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pivotTables/pivotTable1.xml" ContentType="application/vnd.openxmlformats-officedocument.spreadsheetml.pivotTab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pivotTables/pivotTable2.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D:\2active\voting-elections\spreadsheets-voting\states sheets\"/>
    </mc:Choice>
  </mc:AlternateContent>
  <xr:revisionPtr revIDLastSave="0" documentId="13_ncr:1_{B2FE3FF0-000A-49AB-B4E5-B95323A573D6}" xr6:coauthVersionLast="47" xr6:coauthVersionMax="47" xr10:uidLastSave="{00000000-0000-0000-0000-000000000000}"/>
  <bookViews>
    <workbookView xWindow="1716" yWindow="60" windowWidth="21324" windowHeight="12900" xr2:uid="{00000000-000D-0000-FFFF-FFFF00000000}"/>
  </bookViews>
  <sheets>
    <sheet name="explanation" sheetId="5" r:id="rId1"/>
    <sheet name="costs" sheetId="15" r:id="rId2"/>
    <sheet name="hand counts" sheetId="14" r:id="rId3"/>
    <sheet name="tallies" sheetId="1" r:id="rId4"/>
    <sheet name="pivot of tallies" sheetId="13" r:id="rId5"/>
    <sheet name="CA counties" sheetId="6" r:id="rId6"/>
    <sheet name="CA-audits" sheetId="7" r:id="rId7"/>
    <sheet name="CO errs" sheetId="10" r:id="rId8"/>
    <sheet name="CO counties" sheetId="4" r:id="rId9"/>
    <sheet name="CO" sheetId="9" r:id="rId10"/>
    <sheet name="PA counties" sheetId="2" r:id="rId11"/>
    <sheet name="PA pivot" sheetId="8" r:id="rId12"/>
  </sheets>
  <definedNames>
    <definedName name="_xlnm._FilterDatabase" localSheetId="5" hidden="1">'CA counties'!$A$3:$AE$3</definedName>
    <definedName name="_xlnm._FilterDatabase" localSheetId="8" hidden="1">'CO counties'!$A$10:$L$10</definedName>
    <definedName name="_xlnm._FilterDatabase" localSheetId="3" hidden="1">tallies!$W$1:$AO$1104</definedName>
  </definedNames>
  <calcPr calcId="191029"/>
  <pivotCaches>
    <pivotCache cacheId="0" r:id="rId13"/>
    <pivotCache cacheId="1" r:id="rId14"/>
    <pivotCache cacheId="2" r:id="rId15"/>
  </pivotCaches>
</workbook>
</file>

<file path=xl/calcChain.xml><?xml version="1.0" encoding="utf-8"?>
<calcChain xmlns="http://schemas.openxmlformats.org/spreadsheetml/2006/main">
  <c r="T51" i="14" l="1"/>
  <c r="T52" i="14"/>
  <c r="T58" i="14"/>
  <c r="T59" i="14"/>
  <c r="G9" i="15"/>
  <c r="S134" i="15"/>
  <c r="S133" i="15"/>
  <c r="S132" i="15"/>
  <c r="S129" i="15"/>
  <c r="S127" i="15"/>
  <c r="S125" i="15"/>
  <c r="S1" i="15"/>
  <c r="G16" i="15"/>
  <c r="C16" i="15"/>
  <c r="A51" i="15"/>
  <c r="A45" i="15"/>
  <c r="A46" i="15" s="1"/>
  <c r="C15" i="15"/>
  <c r="G15" i="15" s="1"/>
  <c r="D143" i="15"/>
  <c r="F143" i="15" s="1"/>
  <c r="D142" i="15"/>
  <c r="F142" i="15" s="1"/>
  <c r="D141" i="15"/>
  <c r="F141" i="15" s="1"/>
  <c r="H138" i="15"/>
  <c r="F131" i="15"/>
  <c r="H131" i="15" s="1"/>
  <c r="H129" i="15"/>
  <c r="G129" i="15"/>
  <c r="I129" i="15" s="1"/>
  <c r="P129" i="15" s="1"/>
  <c r="H127" i="15"/>
  <c r="G127" i="15"/>
  <c r="I127" i="15" s="1"/>
  <c r="H125" i="15"/>
  <c r="G125" i="15"/>
  <c r="H124" i="15"/>
  <c r="A117" i="15"/>
  <c r="D3" i="15" s="1"/>
  <c r="A111" i="15"/>
  <c r="A109" i="15"/>
  <c r="A101" i="15"/>
  <c r="B99" i="15"/>
  <c r="A99" i="15"/>
  <c r="C98" i="15"/>
  <c r="C99" i="15" s="1"/>
  <c r="A90" i="15"/>
  <c r="A92" i="15" s="1"/>
  <c r="A95" i="15" s="1"/>
  <c r="A89" i="15"/>
  <c r="A81" i="15"/>
  <c r="A82" i="15" s="1"/>
  <c r="A75" i="15"/>
  <c r="A76" i="15" s="1"/>
  <c r="A77" i="15" s="1"/>
  <c r="A71" i="15"/>
  <c r="D18" i="15" s="1"/>
  <c r="A70" i="15"/>
  <c r="A67" i="15"/>
  <c r="A69" i="15" s="1"/>
  <c r="B57" i="15"/>
  <c r="B56" i="15"/>
  <c r="A55" i="15"/>
  <c r="B55" i="15" s="1"/>
  <c r="A54" i="15"/>
  <c r="B54" i="15" s="1"/>
  <c r="C38" i="15"/>
  <c r="B38" i="15"/>
  <c r="A38" i="15"/>
  <c r="D27" i="15"/>
  <c r="D26" i="15"/>
  <c r="D25" i="15"/>
  <c r="D24" i="15"/>
  <c r="D23" i="15"/>
  <c r="D22" i="15"/>
  <c r="D21" i="15"/>
  <c r="D20" i="15"/>
  <c r="B17" i="15"/>
  <c r="G11" i="15"/>
  <c r="C11" i="15"/>
  <c r="D5" i="15"/>
  <c r="C4" i="15"/>
  <c r="C3" i="15"/>
  <c r="D2" i="15"/>
  <c r="R1" i="15"/>
  <c r="Q1" i="15"/>
  <c r="P1" i="15"/>
  <c r="O1" i="15"/>
  <c r="N1" i="15"/>
  <c r="M1" i="15"/>
  <c r="L1" i="15"/>
  <c r="K1" i="15"/>
  <c r="J1" i="15"/>
  <c r="I1" i="15"/>
  <c r="M14" i="14"/>
  <c r="E14" i="14" s="1"/>
  <c r="B14" i="14" s="1"/>
  <c r="C14" i="14" s="1"/>
  <c r="M13" i="14"/>
  <c r="E13" i="14" s="1"/>
  <c r="B13" i="14" s="1"/>
  <c r="C13" i="14" s="1"/>
  <c r="M11" i="14"/>
  <c r="E11" i="14" s="1"/>
  <c r="B11" i="14" s="1"/>
  <c r="M10" i="14"/>
  <c r="E10" i="14" s="1"/>
  <c r="B10" i="14" s="1"/>
  <c r="M9" i="14"/>
  <c r="E9" i="14" s="1"/>
  <c r="B9" i="14" s="1"/>
  <c r="O20" i="14"/>
  <c r="T20" i="14" s="1"/>
  <c r="R2" i="14"/>
  <c r="O2" i="14" s="1"/>
  <c r="Q2" i="14"/>
  <c r="M2" i="14" s="1"/>
  <c r="G2" i="14"/>
  <c r="D2" i="14"/>
  <c r="E93" i="14"/>
  <c r="F93" i="14" s="1"/>
  <c r="D93" i="14"/>
  <c r="E92" i="14"/>
  <c r="F92" i="14" s="1"/>
  <c r="D92" i="14"/>
  <c r="E91" i="14"/>
  <c r="C91" i="14"/>
  <c r="B91" i="14"/>
  <c r="E90" i="14"/>
  <c r="C90" i="14"/>
  <c r="D90" i="14" s="1"/>
  <c r="F89" i="14"/>
  <c r="D89" i="14"/>
  <c r="F88" i="14"/>
  <c r="D88" i="14"/>
  <c r="O83" i="14"/>
  <c r="M83" i="14"/>
  <c r="E83" i="14" s="1"/>
  <c r="B83" i="14" s="1"/>
  <c r="C83" i="14" s="1"/>
  <c r="O82" i="14"/>
  <c r="M82" i="14"/>
  <c r="E82" i="14" s="1"/>
  <c r="B82" i="14" s="1"/>
  <c r="C82" i="14" s="1"/>
  <c r="O81" i="14"/>
  <c r="M81" i="14"/>
  <c r="E81" i="14" s="1"/>
  <c r="B81" i="14" s="1"/>
  <c r="C81" i="14" s="1"/>
  <c r="O80" i="14"/>
  <c r="M80" i="14"/>
  <c r="E80" i="14" s="1"/>
  <c r="B80" i="14" s="1"/>
  <c r="C80" i="14" s="1"/>
  <c r="O79" i="14"/>
  <c r="M79" i="14"/>
  <c r="E79" i="14" s="1"/>
  <c r="B79" i="14" s="1"/>
  <c r="C79" i="14" s="1"/>
  <c r="O78" i="14"/>
  <c r="M78" i="14"/>
  <c r="E78" i="14" s="1"/>
  <c r="B78" i="14" s="1"/>
  <c r="C78" i="14" s="1"/>
  <c r="O77" i="14"/>
  <c r="M77" i="14"/>
  <c r="E77" i="14" s="1"/>
  <c r="B77" i="14" s="1"/>
  <c r="C77" i="14" s="1"/>
  <c r="O76" i="14"/>
  <c r="M76" i="14"/>
  <c r="E76" i="14" s="1"/>
  <c r="B76" i="14" s="1"/>
  <c r="C76" i="14" s="1"/>
  <c r="O75" i="14"/>
  <c r="M75" i="14"/>
  <c r="E75" i="14" s="1"/>
  <c r="B75" i="14" s="1"/>
  <c r="C75" i="14" s="1"/>
  <c r="O74" i="14"/>
  <c r="M74" i="14"/>
  <c r="E74" i="14" s="1"/>
  <c r="B74" i="14" s="1"/>
  <c r="C74" i="14" s="1"/>
  <c r="O73" i="14"/>
  <c r="M73" i="14"/>
  <c r="E73" i="14" s="1"/>
  <c r="B73" i="14" s="1"/>
  <c r="C73" i="14" s="1"/>
  <c r="O72" i="14"/>
  <c r="M72" i="14"/>
  <c r="E72" i="14" s="1"/>
  <c r="B72" i="14" s="1"/>
  <c r="C72" i="14" s="1"/>
  <c r="O71" i="14"/>
  <c r="M71" i="14"/>
  <c r="E71" i="14" s="1"/>
  <c r="B71" i="14" s="1"/>
  <c r="C71" i="14" s="1"/>
  <c r="O70" i="14"/>
  <c r="M70" i="14"/>
  <c r="E70" i="14" s="1"/>
  <c r="B70" i="14" s="1"/>
  <c r="C70" i="14" s="1"/>
  <c r="O69" i="14"/>
  <c r="M69" i="14"/>
  <c r="E69" i="14" s="1"/>
  <c r="B69" i="14" s="1"/>
  <c r="C69" i="14" s="1"/>
  <c r="O68" i="14"/>
  <c r="M68" i="14"/>
  <c r="E68" i="14" s="1"/>
  <c r="B68" i="14" s="1"/>
  <c r="C68" i="14" s="1"/>
  <c r="T65" i="14"/>
  <c r="M65" i="14"/>
  <c r="E65" i="14" s="1"/>
  <c r="B65" i="14" s="1"/>
  <c r="T64" i="14"/>
  <c r="M64" i="14"/>
  <c r="E64" i="14" s="1"/>
  <c r="B64" i="14" s="1"/>
  <c r="T63" i="14"/>
  <c r="M63" i="14"/>
  <c r="E63" i="14" s="1"/>
  <c r="B63" i="14" s="1"/>
  <c r="T62" i="14"/>
  <c r="M62" i="14"/>
  <c r="E62" i="14" s="1"/>
  <c r="B62" i="14" s="1"/>
  <c r="T61" i="14"/>
  <c r="M61" i="14"/>
  <c r="E61" i="14" s="1"/>
  <c r="B61" i="14" s="1"/>
  <c r="T60" i="14"/>
  <c r="M60" i="14"/>
  <c r="E60" i="14" s="1"/>
  <c r="B60" i="14" s="1"/>
  <c r="M59" i="14"/>
  <c r="E59" i="14" s="1"/>
  <c r="B59" i="14" s="1"/>
  <c r="M58" i="14"/>
  <c r="E58" i="14" s="1"/>
  <c r="B58" i="14" s="1"/>
  <c r="T57" i="14"/>
  <c r="M57" i="14"/>
  <c r="E57" i="14" s="1"/>
  <c r="B57" i="14" s="1"/>
  <c r="T56" i="14"/>
  <c r="M56" i="14"/>
  <c r="G56" i="14"/>
  <c r="G4" i="14" s="1"/>
  <c r="T55" i="14"/>
  <c r="M55" i="14"/>
  <c r="E55" i="14" s="1"/>
  <c r="B55" i="14" s="1"/>
  <c r="T54" i="14"/>
  <c r="M54" i="14"/>
  <c r="E54" i="14" s="1"/>
  <c r="B54" i="14" s="1"/>
  <c r="T53" i="14"/>
  <c r="M53" i="14"/>
  <c r="E53" i="14" s="1"/>
  <c r="B53" i="14" s="1"/>
  <c r="M52" i="14"/>
  <c r="E52" i="14" s="1"/>
  <c r="B52" i="14" s="1"/>
  <c r="M51" i="14"/>
  <c r="E51" i="14" s="1"/>
  <c r="B51" i="14" s="1"/>
  <c r="T50" i="14"/>
  <c r="M50" i="14"/>
  <c r="E50" i="14" s="1"/>
  <c r="B50" i="14" s="1"/>
  <c r="T49" i="14"/>
  <c r="M49" i="14"/>
  <c r="E49" i="14" s="1"/>
  <c r="B49" i="14" s="1"/>
  <c r="T48" i="14"/>
  <c r="M48" i="14"/>
  <c r="E48" i="14" s="1"/>
  <c r="B48" i="14" s="1"/>
  <c r="T47" i="14"/>
  <c r="M47" i="14"/>
  <c r="E47" i="14" s="1"/>
  <c r="B47" i="14" s="1"/>
  <c r="T46" i="14"/>
  <c r="M46" i="14"/>
  <c r="E46" i="14" s="1"/>
  <c r="B46" i="14" s="1"/>
  <c r="T45" i="14"/>
  <c r="M45" i="14"/>
  <c r="E45" i="14" s="1"/>
  <c r="B45" i="14" s="1"/>
  <c r="T44" i="14"/>
  <c r="M44" i="14"/>
  <c r="E44" i="14" s="1"/>
  <c r="B44" i="14" s="1"/>
  <c r="T43" i="14"/>
  <c r="M43" i="14"/>
  <c r="E43" i="14" s="1"/>
  <c r="B43" i="14" s="1"/>
  <c r="T42" i="14"/>
  <c r="M42" i="14"/>
  <c r="E42" i="14" s="1"/>
  <c r="B42" i="14" s="1"/>
  <c r="T41" i="14"/>
  <c r="M41" i="14"/>
  <c r="E41" i="14" s="1"/>
  <c r="B41" i="14" s="1"/>
  <c r="T40" i="14"/>
  <c r="M40" i="14"/>
  <c r="E40" i="14" s="1"/>
  <c r="B40" i="14" s="1"/>
  <c r="T39" i="14"/>
  <c r="M39" i="14"/>
  <c r="E39" i="14" s="1"/>
  <c r="B39" i="14" s="1"/>
  <c r="T38" i="14"/>
  <c r="M38" i="14"/>
  <c r="E38" i="14" s="1"/>
  <c r="B38" i="14" s="1"/>
  <c r="T37" i="14"/>
  <c r="M37" i="14"/>
  <c r="E37" i="14" s="1"/>
  <c r="B37" i="14" s="1"/>
  <c r="T36" i="14"/>
  <c r="M36" i="14"/>
  <c r="E36" i="14" s="1"/>
  <c r="B36" i="14" s="1"/>
  <c r="T35" i="14"/>
  <c r="M35" i="14"/>
  <c r="E35" i="14" s="1"/>
  <c r="B35" i="14" s="1"/>
  <c r="T34" i="14"/>
  <c r="M34" i="14"/>
  <c r="E34" i="14" s="1"/>
  <c r="B34" i="14" s="1"/>
  <c r="T33" i="14"/>
  <c r="M33" i="14"/>
  <c r="E33" i="14" s="1"/>
  <c r="B33" i="14" s="1"/>
  <c r="T32" i="14"/>
  <c r="M32" i="14"/>
  <c r="E32" i="14" s="1"/>
  <c r="B32" i="14" s="1"/>
  <c r="T31" i="14"/>
  <c r="M31" i="14"/>
  <c r="E31" i="14" s="1"/>
  <c r="B31" i="14" s="1"/>
  <c r="T30" i="14"/>
  <c r="M30" i="14"/>
  <c r="E30" i="14" s="1"/>
  <c r="B30" i="14" s="1"/>
  <c r="T29" i="14"/>
  <c r="M29" i="14"/>
  <c r="E29" i="14" s="1"/>
  <c r="B29" i="14" s="1"/>
  <c r="O4" i="14"/>
  <c r="O3" i="14"/>
  <c r="M28" i="14"/>
  <c r="E28" i="14" s="1"/>
  <c r="B28" i="14" s="1"/>
  <c r="M27" i="14"/>
  <c r="E27" i="14" s="1"/>
  <c r="B27" i="14" s="1"/>
  <c r="C27" i="14" s="1"/>
  <c r="M26" i="14"/>
  <c r="E26" i="14" s="1"/>
  <c r="B26" i="14" s="1"/>
  <c r="C26" i="14" s="1"/>
  <c r="I26" i="14"/>
  <c r="I27" i="14" s="1"/>
  <c r="M25" i="14"/>
  <c r="E25" i="14" s="1"/>
  <c r="B25" i="14" s="1"/>
  <c r="C25" i="14" s="1"/>
  <c r="Y12" i="14"/>
  <c r="X12" i="14"/>
  <c r="W12" i="14"/>
  <c r="Q12" i="14"/>
  <c r="M12" i="14" s="1"/>
  <c r="E12" i="14" s="1"/>
  <c r="B12" i="14" s="1"/>
  <c r="C12" i="14" s="1"/>
  <c r="M24" i="14"/>
  <c r="I24" i="14"/>
  <c r="I22" i="14" s="1"/>
  <c r="G24" i="14"/>
  <c r="Q23" i="14"/>
  <c r="M23" i="14"/>
  <c r="E23" i="14" s="1"/>
  <c r="B23" i="14" s="1"/>
  <c r="V23" i="14" s="1"/>
  <c r="M22" i="14"/>
  <c r="E22" i="14" s="1"/>
  <c r="B22" i="14" s="1"/>
  <c r="V22" i="14" s="1"/>
  <c r="Q19" i="14"/>
  <c r="P19" i="14"/>
  <c r="G19" i="14"/>
  <c r="Q18" i="14"/>
  <c r="P18" i="14"/>
  <c r="G18" i="14"/>
  <c r="Q17" i="14"/>
  <c r="P17" i="14"/>
  <c r="G17" i="14"/>
  <c r="Q16" i="14"/>
  <c r="P16" i="14"/>
  <c r="G16" i="14"/>
  <c r="M15" i="14"/>
  <c r="E15" i="14"/>
  <c r="O21" i="14"/>
  <c r="M21" i="14" s="1"/>
  <c r="E21" i="14" s="1"/>
  <c r="Q8" i="14"/>
  <c r="M8" i="14" s="1"/>
  <c r="E8" i="14" s="1"/>
  <c r="M7" i="14"/>
  <c r="E7" i="14" s="1"/>
  <c r="Q6" i="14"/>
  <c r="M6" i="14" s="1"/>
  <c r="E6" i="14" s="1"/>
  <c r="Q5" i="14"/>
  <c r="M5" i="14" s="1"/>
  <c r="E5" i="14" s="1"/>
  <c r="K61" i="2"/>
  <c r="L61" i="2" s="1"/>
  <c r="K62" i="2"/>
  <c r="L62" i="2" s="1"/>
  <c r="K63" i="2"/>
  <c r="L63" i="2"/>
  <c r="K64" i="2"/>
  <c r="L64" i="2" s="1"/>
  <c r="K65" i="2"/>
  <c r="L65" i="2" s="1"/>
  <c r="K66" i="2"/>
  <c r="L66" i="2" s="1"/>
  <c r="K67" i="2"/>
  <c r="L67" i="2"/>
  <c r="K68" i="2"/>
  <c r="L68" i="2" s="1"/>
  <c r="K39" i="2"/>
  <c r="K40" i="2"/>
  <c r="L40" i="2" s="1"/>
  <c r="K41" i="2"/>
  <c r="L41" i="2" s="1"/>
  <c r="K42" i="2"/>
  <c r="K43" i="2"/>
  <c r="K44" i="2"/>
  <c r="K45" i="2"/>
  <c r="L45" i="2" s="1"/>
  <c r="K46" i="2"/>
  <c r="K47" i="2"/>
  <c r="K48" i="2"/>
  <c r="L48" i="2" s="1"/>
  <c r="K49" i="2"/>
  <c r="L49" i="2" s="1"/>
  <c r="K50" i="2"/>
  <c r="K51" i="2"/>
  <c r="K52" i="2"/>
  <c r="K53" i="2"/>
  <c r="L53" i="2" s="1"/>
  <c r="K54" i="2"/>
  <c r="K55" i="2"/>
  <c r="K56" i="2"/>
  <c r="L56" i="2" s="1"/>
  <c r="K57" i="2"/>
  <c r="L57" i="2" s="1"/>
  <c r="K58" i="2"/>
  <c r="K59" i="2"/>
  <c r="K60"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2" i="2"/>
  <c r="L43" i="2"/>
  <c r="L44" i="2"/>
  <c r="L46" i="2"/>
  <c r="L47" i="2"/>
  <c r="L50" i="2"/>
  <c r="L51" i="2"/>
  <c r="L52" i="2"/>
  <c r="L54" i="2"/>
  <c r="L55" i="2"/>
  <c r="L58" i="2"/>
  <c r="L59" i="2"/>
  <c r="L60" i="2"/>
  <c r="L2" i="2"/>
  <c r="K3" i="2"/>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2"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2" i="2"/>
  <c r="Q6" i="13"/>
  <c r="Q7" i="13"/>
  <c r="Q8" i="13"/>
  <c r="Q9" i="13"/>
  <c r="Q10" i="13"/>
  <c r="Q11" i="13"/>
  <c r="Q12" i="13"/>
  <c r="Q13" i="13"/>
  <c r="Q14" i="13"/>
  <c r="Q15" i="13"/>
  <c r="Q16" i="13"/>
  <c r="Q17" i="13"/>
  <c r="Q18" i="13"/>
  <c r="Q19" i="13"/>
  <c r="Q20" i="13"/>
  <c r="Q21" i="13"/>
  <c r="Q22" i="13"/>
  <c r="Q23" i="13"/>
  <c r="Q5" i="13"/>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506" i="1"/>
  <c r="AQ507" i="1"/>
  <c r="AQ508" i="1"/>
  <c r="AQ509" i="1"/>
  <c r="AQ510" i="1"/>
  <c r="AQ511" i="1"/>
  <c r="AQ512" i="1"/>
  <c r="AQ513" i="1"/>
  <c r="AQ514" i="1"/>
  <c r="AQ515" i="1"/>
  <c r="AQ516"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572" i="1"/>
  <c r="AQ573" i="1"/>
  <c r="AQ574" i="1"/>
  <c r="AQ575" i="1"/>
  <c r="AQ576" i="1"/>
  <c r="AQ577" i="1"/>
  <c r="AQ578" i="1"/>
  <c r="AQ579" i="1"/>
  <c r="AQ580" i="1"/>
  <c r="AQ581" i="1"/>
  <c r="AQ582" i="1"/>
  <c r="AQ583" i="1"/>
  <c r="AQ584" i="1"/>
  <c r="AQ585" i="1"/>
  <c r="AQ586" i="1"/>
  <c r="AQ587" i="1"/>
  <c r="AQ588" i="1"/>
  <c r="AQ589" i="1"/>
  <c r="AQ590" i="1"/>
  <c r="AQ591" i="1"/>
  <c r="AQ592" i="1"/>
  <c r="AQ593" i="1"/>
  <c r="AQ594" i="1"/>
  <c r="AQ595" i="1"/>
  <c r="AQ596" i="1"/>
  <c r="AQ597" i="1"/>
  <c r="AQ598" i="1"/>
  <c r="AQ599" i="1"/>
  <c r="AQ600" i="1"/>
  <c r="AQ601" i="1"/>
  <c r="AQ602" i="1"/>
  <c r="AQ603" i="1"/>
  <c r="AQ604" i="1"/>
  <c r="AQ605" i="1"/>
  <c r="AQ606" i="1"/>
  <c r="AQ607" i="1"/>
  <c r="AQ608" i="1"/>
  <c r="AQ609" i="1"/>
  <c r="AQ610" i="1"/>
  <c r="AQ611" i="1"/>
  <c r="AQ612" i="1"/>
  <c r="AQ613" i="1"/>
  <c r="AQ614" i="1"/>
  <c r="AQ615" i="1"/>
  <c r="AQ616" i="1"/>
  <c r="AQ617" i="1"/>
  <c r="AQ618" i="1"/>
  <c r="AQ619" i="1"/>
  <c r="AQ620" i="1"/>
  <c r="AQ621" i="1"/>
  <c r="AQ622" i="1"/>
  <c r="AQ623" i="1"/>
  <c r="AQ624" i="1"/>
  <c r="AQ625" i="1"/>
  <c r="AQ626" i="1"/>
  <c r="AQ627" i="1"/>
  <c r="AQ628" i="1"/>
  <c r="AQ629" i="1"/>
  <c r="AQ630" i="1"/>
  <c r="AQ631" i="1"/>
  <c r="AQ632" i="1"/>
  <c r="AQ633" i="1"/>
  <c r="AQ634" i="1"/>
  <c r="AQ635" i="1"/>
  <c r="AQ636" i="1"/>
  <c r="AQ637" i="1"/>
  <c r="AQ638" i="1"/>
  <c r="AQ639" i="1"/>
  <c r="AQ640" i="1"/>
  <c r="AQ641" i="1"/>
  <c r="AQ642" i="1"/>
  <c r="AQ643" i="1"/>
  <c r="AQ644" i="1"/>
  <c r="AQ645" i="1"/>
  <c r="AQ646" i="1"/>
  <c r="AQ647" i="1"/>
  <c r="AQ648" i="1"/>
  <c r="AQ649" i="1"/>
  <c r="AQ650" i="1"/>
  <c r="AQ651" i="1"/>
  <c r="AQ652" i="1"/>
  <c r="AQ653" i="1"/>
  <c r="AQ654" i="1"/>
  <c r="AQ655" i="1"/>
  <c r="AQ656" i="1"/>
  <c r="AQ657" i="1"/>
  <c r="AQ658" i="1"/>
  <c r="AQ659" i="1"/>
  <c r="AQ660" i="1"/>
  <c r="AQ661" i="1"/>
  <c r="AQ662" i="1"/>
  <c r="AQ663" i="1"/>
  <c r="AQ664" i="1"/>
  <c r="AQ665" i="1"/>
  <c r="AQ666" i="1"/>
  <c r="AQ667" i="1"/>
  <c r="AQ668" i="1"/>
  <c r="AQ669" i="1"/>
  <c r="AQ670" i="1"/>
  <c r="AQ671" i="1"/>
  <c r="AQ672" i="1"/>
  <c r="AQ673" i="1"/>
  <c r="AQ674" i="1"/>
  <c r="AQ675" i="1"/>
  <c r="AQ676" i="1"/>
  <c r="AQ677" i="1"/>
  <c r="AQ678" i="1"/>
  <c r="AQ679" i="1"/>
  <c r="AQ680" i="1"/>
  <c r="AQ681" i="1"/>
  <c r="AQ682" i="1"/>
  <c r="AQ683" i="1"/>
  <c r="AQ684" i="1"/>
  <c r="AQ685" i="1"/>
  <c r="AQ686" i="1"/>
  <c r="AQ687" i="1"/>
  <c r="AQ688" i="1"/>
  <c r="AQ689" i="1"/>
  <c r="AQ690" i="1"/>
  <c r="AQ691" i="1"/>
  <c r="AQ692" i="1"/>
  <c r="AQ693" i="1"/>
  <c r="AQ694" i="1"/>
  <c r="AQ695" i="1"/>
  <c r="AQ696" i="1"/>
  <c r="AQ697" i="1"/>
  <c r="AQ698" i="1"/>
  <c r="AQ699" i="1"/>
  <c r="AQ700" i="1"/>
  <c r="AQ701" i="1"/>
  <c r="AQ702" i="1"/>
  <c r="AQ703" i="1"/>
  <c r="AQ704" i="1"/>
  <c r="AQ705" i="1"/>
  <c r="AQ706" i="1"/>
  <c r="AQ707" i="1"/>
  <c r="AQ708" i="1"/>
  <c r="AQ709" i="1"/>
  <c r="AQ710" i="1"/>
  <c r="AQ711" i="1"/>
  <c r="AQ712" i="1"/>
  <c r="AQ713" i="1"/>
  <c r="AQ714" i="1"/>
  <c r="AQ715" i="1"/>
  <c r="AQ716" i="1"/>
  <c r="AQ717" i="1"/>
  <c r="AQ718" i="1"/>
  <c r="AQ719" i="1"/>
  <c r="AQ720" i="1"/>
  <c r="AQ721" i="1"/>
  <c r="AQ722" i="1"/>
  <c r="AQ723" i="1"/>
  <c r="AQ724" i="1"/>
  <c r="AQ725" i="1"/>
  <c r="AQ726" i="1"/>
  <c r="AQ727" i="1"/>
  <c r="AQ728" i="1"/>
  <c r="AQ729" i="1"/>
  <c r="AQ730" i="1"/>
  <c r="AQ731" i="1"/>
  <c r="AQ732" i="1"/>
  <c r="AQ733" i="1"/>
  <c r="AQ734" i="1"/>
  <c r="AQ735" i="1"/>
  <c r="AQ736" i="1"/>
  <c r="AQ737" i="1"/>
  <c r="AQ738" i="1"/>
  <c r="AQ739" i="1"/>
  <c r="AQ740" i="1"/>
  <c r="AQ741" i="1"/>
  <c r="AQ742" i="1"/>
  <c r="AQ743" i="1"/>
  <c r="AQ744" i="1"/>
  <c r="AQ745" i="1"/>
  <c r="AQ746" i="1"/>
  <c r="AQ747" i="1"/>
  <c r="AQ748" i="1"/>
  <c r="AQ749" i="1"/>
  <c r="AQ750" i="1"/>
  <c r="AQ751" i="1"/>
  <c r="AQ752" i="1"/>
  <c r="AQ753" i="1"/>
  <c r="AQ754" i="1"/>
  <c r="AQ755" i="1"/>
  <c r="AQ756" i="1"/>
  <c r="AQ757" i="1"/>
  <c r="AQ758" i="1"/>
  <c r="AQ759" i="1"/>
  <c r="AQ760" i="1"/>
  <c r="AQ761" i="1"/>
  <c r="AQ762" i="1"/>
  <c r="AQ763" i="1"/>
  <c r="AQ764" i="1"/>
  <c r="AQ765" i="1"/>
  <c r="AQ766" i="1"/>
  <c r="AQ767" i="1"/>
  <c r="AQ768" i="1"/>
  <c r="AQ769" i="1"/>
  <c r="AQ770" i="1"/>
  <c r="AQ771" i="1"/>
  <c r="AQ772" i="1"/>
  <c r="AQ773" i="1"/>
  <c r="AQ774" i="1"/>
  <c r="AQ775" i="1"/>
  <c r="AQ776" i="1"/>
  <c r="AQ777" i="1"/>
  <c r="AQ778" i="1"/>
  <c r="AQ779" i="1"/>
  <c r="AQ780" i="1"/>
  <c r="AQ781" i="1"/>
  <c r="AQ782" i="1"/>
  <c r="AQ783" i="1"/>
  <c r="AQ784" i="1"/>
  <c r="AQ785" i="1"/>
  <c r="AQ786" i="1"/>
  <c r="AQ787" i="1"/>
  <c r="AQ788" i="1"/>
  <c r="AQ789" i="1"/>
  <c r="AQ790" i="1"/>
  <c r="AQ791" i="1"/>
  <c r="AQ792" i="1"/>
  <c r="AQ793" i="1"/>
  <c r="AQ794" i="1"/>
  <c r="AQ795" i="1"/>
  <c r="AQ796" i="1"/>
  <c r="AQ797" i="1"/>
  <c r="AQ798" i="1"/>
  <c r="AQ799" i="1"/>
  <c r="AQ800" i="1"/>
  <c r="AQ801" i="1"/>
  <c r="AQ802" i="1"/>
  <c r="AQ803" i="1"/>
  <c r="AQ804" i="1"/>
  <c r="AQ805" i="1"/>
  <c r="AQ806" i="1"/>
  <c r="AQ807" i="1"/>
  <c r="AQ808" i="1"/>
  <c r="AQ809" i="1"/>
  <c r="AQ810" i="1"/>
  <c r="AQ811" i="1"/>
  <c r="AQ812" i="1"/>
  <c r="AQ813" i="1"/>
  <c r="AQ814" i="1"/>
  <c r="AQ815" i="1"/>
  <c r="AQ816" i="1"/>
  <c r="AQ817" i="1"/>
  <c r="AQ818" i="1"/>
  <c r="AQ819" i="1"/>
  <c r="AQ820" i="1"/>
  <c r="AQ821" i="1"/>
  <c r="AQ822" i="1"/>
  <c r="AQ823" i="1"/>
  <c r="AQ824" i="1"/>
  <c r="AQ825" i="1"/>
  <c r="AQ826" i="1"/>
  <c r="AQ827" i="1"/>
  <c r="AQ828" i="1"/>
  <c r="AQ829" i="1"/>
  <c r="AQ830" i="1"/>
  <c r="AQ831" i="1"/>
  <c r="AQ832" i="1"/>
  <c r="AQ833" i="1"/>
  <c r="AQ834" i="1"/>
  <c r="AQ835" i="1"/>
  <c r="AQ836" i="1"/>
  <c r="AQ837" i="1"/>
  <c r="AQ838" i="1"/>
  <c r="AQ839" i="1"/>
  <c r="AQ840" i="1"/>
  <c r="AQ841" i="1"/>
  <c r="AQ842" i="1"/>
  <c r="AQ843" i="1"/>
  <c r="AQ844" i="1"/>
  <c r="AQ845" i="1"/>
  <c r="AQ846" i="1"/>
  <c r="AQ847" i="1"/>
  <c r="AQ848" i="1"/>
  <c r="AQ849" i="1"/>
  <c r="AQ850" i="1"/>
  <c r="AQ851" i="1"/>
  <c r="AQ852" i="1"/>
  <c r="AQ853" i="1"/>
  <c r="AQ854" i="1"/>
  <c r="AQ855" i="1"/>
  <c r="AQ856" i="1"/>
  <c r="AQ857" i="1"/>
  <c r="AQ858" i="1"/>
  <c r="AQ859" i="1"/>
  <c r="AQ860" i="1"/>
  <c r="AQ861" i="1"/>
  <c r="AQ862" i="1"/>
  <c r="AQ863" i="1"/>
  <c r="AQ864" i="1"/>
  <c r="AQ865" i="1"/>
  <c r="AQ866" i="1"/>
  <c r="AQ867" i="1"/>
  <c r="AQ868" i="1"/>
  <c r="AQ869" i="1"/>
  <c r="AQ870" i="1"/>
  <c r="AQ871" i="1"/>
  <c r="AQ872" i="1"/>
  <c r="AQ873" i="1"/>
  <c r="AQ874" i="1"/>
  <c r="AQ875" i="1"/>
  <c r="AQ876" i="1"/>
  <c r="AQ877" i="1"/>
  <c r="AQ878" i="1"/>
  <c r="AQ879" i="1"/>
  <c r="AQ880" i="1"/>
  <c r="AQ881" i="1"/>
  <c r="AQ882" i="1"/>
  <c r="AQ883" i="1"/>
  <c r="AQ884" i="1"/>
  <c r="AQ885" i="1"/>
  <c r="AQ886" i="1"/>
  <c r="AQ887" i="1"/>
  <c r="AQ888" i="1"/>
  <c r="AQ889" i="1"/>
  <c r="AQ890" i="1"/>
  <c r="AQ891" i="1"/>
  <c r="AQ892" i="1"/>
  <c r="AQ893" i="1"/>
  <c r="AQ894" i="1"/>
  <c r="AQ895" i="1"/>
  <c r="AQ896" i="1"/>
  <c r="AQ897" i="1"/>
  <c r="AQ898" i="1"/>
  <c r="AQ899" i="1"/>
  <c r="AQ900" i="1"/>
  <c r="AQ901" i="1"/>
  <c r="AQ902" i="1"/>
  <c r="AQ903" i="1"/>
  <c r="AQ904" i="1"/>
  <c r="AQ905" i="1"/>
  <c r="AQ906" i="1"/>
  <c r="AQ907" i="1"/>
  <c r="AQ908" i="1"/>
  <c r="AQ909" i="1"/>
  <c r="AQ910" i="1"/>
  <c r="AQ911" i="1"/>
  <c r="AQ912" i="1"/>
  <c r="AQ913" i="1"/>
  <c r="AQ914" i="1"/>
  <c r="AQ915" i="1"/>
  <c r="AQ916" i="1"/>
  <c r="AQ917" i="1"/>
  <c r="AQ918" i="1"/>
  <c r="AQ919" i="1"/>
  <c r="AQ920" i="1"/>
  <c r="AQ921" i="1"/>
  <c r="AQ922" i="1"/>
  <c r="AQ923" i="1"/>
  <c r="AQ924" i="1"/>
  <c r="AQ925" i="1"/>
  <c r="AQ926" i="1"/>
  <c r="AQ927" i="1"/>
  <c r="AQ928" i="1"/>
  <c r="AQ929" i="1"/>
  <c r="AQ930" i="1"/>
  <c r="AQ931" i="1"/>
  <c r="AQ932" i="1"/>
  <c r="AQ933" i="1"/>
  <c r="AQ934" i="1"/>
  <c r="AQ935" i="1"/>
  <c r="AQ936" i="1"/>
  <c r="AQ937" i="1"/>
  <c r="AQ938" i="1"/>
  <c r="AQ939" i="1"/>
  <c r="AQ940" i="1"/>
  <c r="AQ941" i="1"/>
  <c r="AQ942" i="1"/>
  <c r="AQ943" i="1"/>
  <c r="AQ944" i="1"/>
  <c r="AQ945" i="1"/>
  <c r="AQ946" i="1"/>
  <c r="AQ947" i="1"/>
  <c r="AQ948" i="1"/>
  <c r="AQ949" i="1"/>
  <c r="AQ950" i="1"/>
  <c r="AQ951" i="1"/>
  <c r="AQ952" i="1"/>
  <c r="AQ953" i="1"/>
  <c r="AQ954" i="1"/>
  <c r="AQ955" i="1"/>
  <c r="AQ956" i="1"/>
  <c r="AQ957" i="1"/>
  <c r="AQ958" i="1"/>
  <c r="AQ959" i="1"/>
  <c r="AQ960" i="1"/>
  <c r="AQ961" i="1"/>
  <c r="AQ962" i="1"/>
  <c r="AQ963" i="1"/>
  <c r="AQ964" i="1"/>
  <c r="AQ965" i="1"/>
  <c r="AQ966" i="1"/>
  <c r="AQ967" i="1"/>
  <c r="AQ968" i="1"/>
  <c r="AQ969" i="1"/>
  <c r="AQ970" i="1"/>
  <c r="AQ971" i="1"/>
  <c r="AQ972" i="1"/>
  <c r="AQ973" i="1"/>
  <c r="AQ974" i="1"/>
  <c r="AQ975" i="1"/>
  <c r="AQ976" i="1"/>
  <c r="AQ977" i="1"/>
  <c r="AQ978" i="1"/>
  <c r="AQ979" i="1"/>
  <c r="AQ980" i="1"/>
  <c r="AQ981" i="1"/>
  <c r="AQ982" i="1"/>
  <c r="AQ983" i="1"/>
  <c r="AQ984" i="1"/>
  <c r="AQ985" i="1"/>
  <c r="AQ986" i="1"/>
  <c r="AQ987" i="1"/>
  <c r="AQ988" i="1"/>
  <c r="AQ989" i="1"/>
  <c r="AQ990" i="1"/>
  <c r="AQ991" i="1"/>
  <c r="AQ992" i="1"/>
  <c r="AQ993" i="1"/>
  <c r="AQ994" i="1"/>
  <c r="AQ995" i="1"/>
  <c r="AQ996" i="1"/>
  <c r="AQ997" i="1"/>
  <c r="AQ998" i="1"/>
  <c r="AQ999" i="1"/>
  <c r="AQ1000" i="1"/>
  <c r="AQ1001" i="1"/>
  <c r="AQ1002" i="1"/>
  <c r="AQ1003" i="1"/>
  <c r="AQ1004" i="1"/>
  <c r="AQ1005" i="1"/>
  <c r="AQ1006" i="1"/>
  <c r="AQ1007" i="1"/>
  <c r="AQ1008" i="1"/>
  <c r="AQ1009" i="1"/>
  <c r="AQ1010" i="1"/>
  <c r="AQ1011" i="1"/>
  <c r="AQ1012" i="1"/>
  <c r="AQ1013" i="1"/>
  <c r="AQ1014" i="1"/>
  <c r="AQ1015" i="1"/>
  <c r="AQ1016" i="1"/>
  <c r="AQ1017" i="1"/>
  <c r="AQ1018" i="1"/>
  <c r="AQ1019" i="1"/>
  <c r="AQ1020" i="1"/>
  <c r="AQ1021" i="1"/>
  <c r="AQ1022" i="1"/>
  <c r="AQ1023" i="1"/>
  <c r="AQ1024" i="1"/>
  <c r="AQ1025" i="1"/>
  <c r="AQ1026" i="1"/>
  <c r="AQ1027" i="1"/>
  <c r="AQ1028" i="1"/>
  <c r="AQ1029" i="1"/>
  <c r="AQ1030" i="1"/>
  <c r="AQ1031" i="1"/>
  <c r="AQ1032" i="1"/>
  <c r="AQ1033" i="1"/>
  <c r="AQ1034" i="1"/>
  <c r="AQ1035" i="1"/>
  <c r="AQ1036" i="1"/>
  <c r="AQ1037" i="1"/>
  <c r="AQ1038" i="1"/>
  <c r="AQ1039" i="1"/>
  <c r="AQ1040" i="1"/>
  <c r="AQ1041" i="1"/>
  <c r="AQ1042" i="1"/>
  <c r="AQ1043" i="1"/>
  <c r="AQ1044" i="1"/>
  <c r="AQ1045" i="1"/>
  <c r="AQ1046" i="1"/>
  <c r="AQ1047" i="1"/>
  <c r="AQ1048" i="1"/>
  <c r="AQ1049" i="1"/>
  <c r="AQ1050" i="1"/>
  <c r="AQ1051" i="1"/>
  <c r="AQ1052" i="1"/>
  <c r="AQ1053" i="1"/>
  <c r="AQ1054" i="1"/>
  <c r="AQ1055" i="1"/>
  <c r="AQ1056" i="1"/>
  <c r="AQ1057" i="1"/>
  <c r="AQ1058" i="1"/>
  <c r="AQ1059" i="1"/>
  <c r="AQ1060" i="1"/>
  <c r="AQ1061" i="1"/>
  <c r="AQ1062" i="1"/>
  <c r="AQ1063" i="1"/>
  <c r="AQ1064" i="1"/>
  <c r="AQ1065" i="1"/>
  <c r="AQ1066" i="1"/>
  <c r="AQ1067" i="1"/>
  <c r="AQ1068" i="1"/>
  <c r="AQ1069" i="1"/>
  <c r="AQ1070" i="1"/>
  <c r="AQ1071" i="1"/>
  <c r="AQ1072" i="1"/>
  <c r="AQ1073" i="1"/>
  <c r="AQ1074" i="1"/>
  <c r="AQ1075" i="1"/>
  <c r="AQ1076" i="1"/>
  <c r="AQ1077" i="1"/>
  <c r="AQ1078" i="1"/>
  <c r="AQ1079" i="1"/>
  <c r="AQ1080" i="1"/>
  <c r="AQ1081" i="1"/>
  <c r="AQ1082" i="1"/>
  <c r="AQ1083" i="1"/>
  <c r="AQ1084" i="1"/>
  <c r="AQ1085" i="1"/>
  <c r="AQ1086" i="1"/>
  <c r="AQ1087" i="1"/>
  <c r="AQ1088" i="1"/>
  <c r="AQ1089" i="1"/>
  <c r="AQ1090" i="1"/>
  <c r="AQ1091" i="1"/>
  <c r="AQ1092" i="1"/>
  <c r="AQ1093" i="1"/>
  <c r="AQ1094" i="1"/>
  <c r="AQ1095" i="1"/>
  <c r="AQ1096" i="1"/>
  <c r="AQ1097" i="1"/>
  <c r="AQ1098" i="1"/>
  <c r="AQ1099" i="1"/>
  <c r="AQ1100" i="1"/>
  <c r="AQ1101" i="1"/>
  <c r="AQ1102" i="1"/>
  <c r="AQ1103" i="1"/>
  <c r="AQ1104" i="1"/>
  <c r="AQ1105" i="1"/>
  <c r="AQ1106" i="1"/>
  <c r="AQ1107" i="1"/>
  <c r="AQ1108" i="1"/>
  <c r="AQ1109" i="1"/>
  <c r="AQ1110" i="1"/>
  <c r="AQ1111" i="1"/>
  <c r="AQ1112" i="1"/>
  <c r="AQ1113" i="1"/>
  <c r="AQ1114" i="1"/>
  <c r="AQ1115" i="1"/>
  <c r="AQ1116" i="1"/>
  <c r="AQ1117" i="1"/>
  <c r="AQ1118" i="1"/>
  <c r="AQ1119" i="1"/>
  <c r="AQ1120" i="1"/>
  <c r="AQ1121" i="1"/>
  <c r="AQ1122" i="1"/>
  <c r="AQ1123" i="1"/>
  <c r="AQ1124" i="1"/>
  <c r="AQ1125" i="1"/>
  <c r="AQ1126" i="1"/>
  <c r="AQ1127" i="1"/>
  <c r="AQ1128" i="1"/>
  <c r="AQ1129" i="1"/>
  <c r="AQ1130" i="1"/>
  <c r="AQ1131" i="1"/>
  <c r="AQ1132" i="1"/>
  <c r="AQ1133" i="1"/>
  <c r="AQ1134" i="1"/>
  <c r="AQ1135" i="1"/>
  <c r="AQ1136" i="1"/>
  <c r="AQ1137" i="1"/>
  <c r="AQ1138" i="1"/>
  <c r="AQ1139" i="1"/>
  <c r="AQ1140" i="1"/>
  <c r="AQ1141" i="1"/>
  <c r="AQ1142" i="1"/>
  <c r="AQ1143" i="1"/>
  <c r="AQ1144" i="1"/>
  <c r="AQ1145" i="1"/>
  <c r="AQ1146" i="1"/>
  <c r="AQ1147" i="1"/>
  <c r="AQ1148" i="1"/>
  <c r="AQ1149" i="1"/>
  <c r="AQ1150" i="1"/>
  <c r="AQ1151" i="1"/>
  <c r="AQ1152" i="1"/>
  <c r="AQ1153" i="1"/>
  <c r="AQ1154" i="1"/>
  <c r="AQ1155" i="1"/>
  <c r="AQ1156" i="1"/>
  <c r="AQ1157" i="1"/>
  <c r="AQ1158" i="1"/>
  <c r="AQ1159" i="1"/>
  <c r="AQ1160" i="1"/>
  <c r="AQ1161" i="1"/>
  <c r="AQ1162" i="1"/>
  <c r="AQ1163" i="1"/>
  <c r="AQ1164" i="1"/>
  <c r="AQ1165" i="1"/>
  <c r="AQ1166" i="1"/>
  <c r="AQ1167" i="1"/>
  <c r="AQ1168" i="1"/>
  <c r="AQ1169" i="1"/>
  <c r="AQ1170" i="1"/>
  <c r="AQ1171" i="1"/>
  <c r="AQ1172" i="1"/>
  <c r="AQ1173" i="1"/>
  <c r="AQ1174" i="1"/>
  <c r="AQ1175" i="1"/>
  <c r="AQ1176" i="1"/>
  <c r="AQ1177" i="1"/>
  <c r="AQ1178" i="1"/>
  <c r="AQ1179" i="1"/>
  <c r="AQ1180" i="1"/>
  <c r="AQ1181" i="1"/>
  <c r="AQ1182" i="1"/>
  <c r="AQ1183" i="1"/>
  <c r="AQ1184" i="1"/>
  <c r="AQ1185" i="1"/>
  <c r="AQ1186" i="1"/>
  <c r="AQ1187" i="1"/>
  <c r="AQ1188" i="1"/>
  <c r="AQ1189" i="1"/>
  <c r="AQ1190" i="1"/>
  <c r="AQ1191" i="1"/>
  <c r="AQ1192" i="1"/>
  <c r="AQ1193" i="1"/>
  <c r="AQ1194" i="1"/>
  <c r="AQ1195" i="1"/>
  <c r="AQ1196" i="1"/>
  <c r="AQ1197" i="1"/>
  <c r="AQ1198" i="1"/>
  <c r="AQ1199" i="1"/>
  <c r="AQ1200" i="1"/>
  <c r="AQ1201" i="1"/>
  <c r="AQ1202" i="1"/>
  <c r="AQ1203" i="1"/>
  <c r="AQ1204" i="1"/>
  <c r="AQ1205" i="1"/>
  <c r="AQ1206" i="1"/>
  <c r="AQ1207" i="1"/>
  <c r="AQ1208" i="1"/>
  <c r="AQ1209" i="1"/>
  <c r="AQ1210" i="1"/>
  <c r="AQ1211" i="1"/>
  <c r="AQ1212" i="1"/>
  <c r="AQ1213" i="1"/>
  <c r="AQ1214" i="1"/>
  <c r="AQ1215" i="1"/>
  <c r="AQ1216" i="1"/>
  <c r="AQ1217" i="1"/>
  <c r="AQ1218" i="1"/>
  <c r="AQ1219" i="1"/>
  <c r="AQ1220" i="1"/>
  <c r="AQ1221" i="1"/>
  <c r="AQ1222" i="1"/>
  <c r="AQ1223" i="1"/>
  <c r="AQ1224" i="1"/>
  <c r="AQ1225" i="1"/>
  <c r="AQ1226" i="1"/>
  <c r="AQ1227" i="1"/>
  <c r="AQ1228" i="1"/>
  <c r="AQ1229" i="1"/>
  <c r="AQ1230" i="1"/>
  <c r="AQ1231" i="1"/>
  <c r="AQ1232" i="1"/>
  <c r="AQ1233" i="1"/>
  <c r="AQ1234" i="1"/>
  <c r="AQ1235" i="1"/>
  <c r="AQ1236" i="1"/>
  <c r="AQ1237" i="1"/>
  <c r="AQ1238" i="1"/>
  <c r="AQ1239" i="1"/>
  <c r="AQ1240" i="1"/>
  <c r="AQ1241" i="1"/>
  <c r="AQ1242" i="1"/>
  <c r="AQ1243" i="1"/>
  <c r="AQ1244" i="1"/>
  <c r="AQ1245" i="1"/>
  <c r="AQ1246" i="1"/>
  <c r="AQ1247" i="1"/>
  <c r="AQ1248" i="1"/>
  <c r="AQ1249" i="1"/>
  <c r="AQ1250" i="1"/>
  <c r="AQ1251" i="1"/>
  <c r="AQ1252" i="1"/>
  <c r="AQ1253" i="1"/>
  <c r="AQ1254" i="1"/>
  <c r="AQ1255" i="1"/>
  <c r="AQ1256" i="1"/>
  <c r="AQ1257" i="1"/>
  <c r="AQ1258" i="1"/>
  <c r="AQ1259" i="1"/>
  <c r="AQ1260" i="1"/>
  <c r="AQ1261" i="1"/>
  <c r="AQ1262" i="1"/>
  <c r="AQ1263" i="1"/>
  <c r="AQ1264" i="1"/>
  <c r="AQ1265" i="1"/>
  <c r="AQ1266" i="1"/>
  <c r="AQ1267" i="1"/>
  <c r="AQ1268" i="1"/>
  <c r="AQ1269" i="1"/>
  <c r="AQ1270" i="1"/>
  <c r="AQ1271" i="1"/>
  <c r="AQ1272" i="1"/>
  <c r="AQ1273" i="1"/>
  <c r="AQ1274" i="1"/>
  <c r="AR104" i="1"/>
  <c r="AS104" i="1"/>
  <c r="AR105" i="1"/>
  <c r="AS105" i="1"/>
  <c r="AR106" i="1"/>
  <c r="AS106" i="1"/>
  <c r="AR107" i="1"/>
  <c r="AS107" i="1"/>
  <c r="AR108" i="1"/>
  <c r="AS108" i="1"/>
  <c r="AR109" i="1"/>
  <c r="AS109" i="1"/>
  <c r="AR110" i="1"/>
  <c r="AS110" i="1"/>
  <c r="AR111" i="1"/>
  <c r="AS111" i="1"/>
  <c r="AR112" i="1"/>
  <c r="AS112" i="1"/>
  <c r="AR113" i="1"/>
  <c r="AS113" i="1"/>
  <c r="AR114" i="1"/>
  <c r="AS114" i="1"/>
  <c r="AR115" i="1"/>
  <c r="AS115" i="1"/>
  <c r="AR116" i="1"/>
  <c r="AS116" i="1"/>
  <c r="AR117" i="1"/>
  <c r="AS117" i="1"/>
  <c r="AR118" i="1"/>
  <c r="AS118" i="1"/>
  <c r="AR119" i="1"/>
  <c r="AS119" i="1"/>
  <c r="AR120" i="1"/>
  <c r="AS120" i="1"/>
  <c r="AR121" i="1"/>
  <c r="AS121" i="1"/>
  <c r="AR122" i="1"/>
  <c r="AS122" i="1"/>
  <c r="AR123" i="1"/>
  <c r="AS123" i="1"/>
  <c r="AR124" i="1"/>
  <c r="AS124" i="1"/>
  <c r="AR125" i="1"/>
  <c r="AS125" i="1"/>
  <c r="AR126" i="1"/>
  <c r="AS126" i="1"/>
  <c r="AR127" i="1"/>
  <c r="AS127" i="1"/>
  <c r="AR128" i="1"/>
  <c r="AS128" i="1"/>
  <c r="AR129" i="1"/>
  <c r="AS129" i="1"/>
  <c r="AR130" i="1"/>
  <c r="AS130" i="1"/>
  <c r="AR131" i="1"/>
  <c r="AS131" i="1"/>
  <c r="AR132" i="1"/>
  <c r="AS132" i="1"/>
  <c r="AR133" i="1"/>
  <c r="AS133" i="1"/>
  <c r="AR134" i="1"/>
  <c r="AS134" i="1"/>
  <c r="AR135" i="1"/>
  <c r="AS135" i="1"/>
  <c r="AR136" i="1"/>
  <c r="AS136" i="1"/>
  <c r="AR137" i="1"/>
  <c r="AS137" i="1"/>
  <c r="AR138" i="1"/>
  <c r="AS138" i="1"/>
  <c r="AR139" i="1"/>
  <c r="AS139" i="1"/>
  <c r="AR140" i="1"/>
  <c r="AS140" i="1"/>
  <c r="AR141" i="1"/>
  <c r="AS141" i="1"/>
  <c r="AR142" i="1"/>
  <c r="AS142" i="1"/>
  <c r="AR143" i="1"/>
  <c r="AS143" i="1"/>
  <c r="AR144" i="1"/>
  <c r="AS144" i="1"/>
  <c r="AR145" i="1"/>
  <c r="AS145" i="1"/>
  <c r="AR146" i="1"/>
  <c r="AS146" i="1"/>
  <c r="AR147" i="1"/>
  <c r="AS147" i="1"/>
  <c r="AR148" i="1"/>
  <c r="AS148" i="1"/>
  <c r="AR149" i="1"/>
  <c r="AS149" i="1"/>
  <c r="AR150" i="1"/>
  <c r="AS150" i="1"/>
  <c r="AR151" i="1"/>
  <c r="AS151" i="1"/>
  <c r="AR152" i="1"/>
  <c r="AS152" i="1"/>
  <c r="AR153" i="1"/>
  <c r="AS153" i="1"/>
  <c r="AR154" i="1"/>
  <c r="AS154" i="1"/>
  <c r="AR155" i="1"/>
  <c r="AS155" i="1"/>
  <c r="AR156" i="1"/>
  <c r="AS156" i="1"/>
  <c r="AR157" i="1"/>
  <c r="AS157" i="1"/>
  <c r="AR158" i="1"/>
  <c r="AS158" i="1"/>
  <c r="AR159" i="1"/>
  <c r="AS159" i="1"/>
  <c r="AR160" i="1"/>
  <c r="AS160" i="1"/>
  <c r="AR161" i="1"/>
  <c r="AS161" i="1"/>
  <c r="AR162" i="1"/>
  <c r="AS162" i="1"/>
  <c r="AR163" i="1"/>
  <c r="AS163" i="1"/>
  <c r="AR164" i="1"/>
  <c r="AS164" i="1"/>
  <c r="AR165" i="1"/>
  <c r="AS165" i="1"/>
  <c r="AR166" i="1"/>
  <c r="AS166" i="1"/>
  <c r="AR167" i="1"/>
  <c r="AS167" i="1"/>
  <c r="AR168" i="1"/>
  <c r="AS168" i="1"/>
  <c r="AR169" i="1"/>
  <c r="AS169" i="1"/>
  <c r="AR170" i="1"/>
  <c r="AS170" i="1"/>
  <c r="AR171" i="1"/>
  <c r="AS171" i="1"/>
  <c r="AR172" i="1"/>
  <c r="AS172" i="1"/>
  <c r="AR173" i="1"/>
  <c r="AS173" i="1"/>
  <c r="AR174" i="1"/>
  <c r="AS174" i="1"/>
  <c r="AR175" i="1"/>
  <c r="AS175" i="1"/>
  <c r="AR176" i="1"/>
  <c r="AS176" i="1"/>
  <c r="AR177" i="1"/>
  <c r="AS177" i="1"/>
  <c r="AR178" i="1"/>
  <c r="AS178" i="1"/>
  <c r="AR179" i="1"/>
  <c r="AS179" i="1"/>
  <c r="AR180" i="1"/>
  <c r="AS180" i="1"/>
  <c r="AR181" i="1"/>
  <c r="AS181" i="1"/>
  <c r="AR182" i="1"/>
  <c r="AS182" i="1"/>
  <c r="AR183" i="1"/>
  <c r="AS183" i="1"/>
  <c r="AR184" i="1"/>
  <c r="AS184" i="1"/>
  <c r="AR185" i="1"/>
  <c r="AS185" i="1"/>
  <c r="AR186" i="1"/>
  <c r="AS186" i="1"/>
  <c r="AR187" i="1"/>
  <c r="AS187" i="1"/>
  <c r="AR188" i="1"/>
  <c r="AS188" i="1"/>
  <c r="AR189" i="1"/>
  <c r="AS189" i="1"/>
  <c r="AR190" i="1"/>
  <c r="AS190" i="1"/>
  <c r="AR191" i="1"/>
  <c r="AS191" i="1"/>
  <c r="AR192" i="1"/>
  <c r="AS192" i="1"/>
  <c r="AR193" i="1"/>
  <c r="AS193" i="1"/>
  <c r="AR194" i="1"/>
  <c r="AS194" i="1"/>
  <c r="AR195" i="1"/>
  <c r="AS195" i="1"/>
  <c r="AR196" i="1"/>
  <c r="AS196" i="1"/>
  <c r="AR197" i="1"/>
  <c r="AS197" i="1"/>
  <c r="AR198" i="1"/>
  <c r="AS198" i="1"/>
  <c r="AR199" i="1"/>
  <c r="AS199" i="1"/>
  <c r="AR200" i="1"/>
  <c r="AS200" i="1"/>
  <c r="AR201" i="1"/>
  <c r="AS201" i="1"/>
  <c r="AR202" i="1"/>
  <c r="AS202" i="1"/>
  <c r="AR203" i="1"/>
  <c r="AS203" i="1"/>
  <c r="AR204" i="1"/>
  <c r="AS204" i="1"/>
  <c r="AR205" i="1"/>
  <c r="AS205" i="1"/>
  <c r="AR206" i="1"/>
  <c r="AS206" i="1"/>
  <c r="AR207" i="1"/>
  <c r="AS207" i="1"/>
  <c r="AR208" i="1"/>
  <c r="AS208" i="1"/>
  <c r="AR209" i="1"/>
  <c r="AS209" i="1"/>
  <c r="AR210" i="1"/>
  <c r="AS210" i="1"/>
  <c r="AR211" i="1"/>
  <c r="AS211" i="1"/>
  <c r="AR212" i="1"/>
  <c r="AS212" i="1"/>
  <c r="AR213" i="1"/>
  <c r="AS213" i="1"/>
  <c r="AR214" i="1"/>
  <c r="AS214" i="1"/>
  <c r="AR215" i="1"/>
  <c r="AS215" i="1"/>
  <c r="AR216" i="1"/>
  <c r="AS216" i="1"/>
  <c r="AR217" i="1"/>
  <c r="AS217" i="1"/>
  <c r="AR218" i="1"/>
  <c r="AS218" i="1"/>
  <c r="AR219" i="1"/>
  <c r="AS219" i="1"/>
  <c r="AR220" i="1"/>
  <c r="AS220" i="1"/>
  <c r="AR221" i="1"/>
  <c r="AS221" i="1"/>
  <c r="AR222" i="1"/>
  <c r="AS222" i="1"/>
  <c r="AR223" i="1"/>
  <c r="AS223" i="1"/>
  <c r="AR224" i="1"/>
  <c r="AS224" i="1"/>
  <c r="AR225" i="1"/>
  <c r="AS225" i="1"/>
  <c r="AR226" i="1"/>
  <c r="AS226" i="1"/>
  <c r="AR227" i="1"/>
  <c r="AS227" i="1"/>
  <c r="AR228" i="1"/>
  <c r="AS228" i="1"/>
  <c r="AR229" i="1"/>
  <c r="AS229" i="1"/>
  <c r="AR230" i="1"/>
  <c r="AS230" i="1"/>
  <c r="AR231" i="1"/>
  <c r="AS231" i="1"/>
  <c r="AR232" i="1"/>
  <c r="AS232" i="1"/>
  <c r="AR233" i="1"/>
  <c r="AS233" i="1"/>
  <c r="AR234" i="1"/>
  <c r="AS234" i="1"/>
  <c r="AR235" i="1"/>
  <c r="AS235" i="1"/>
  <c r="AR236" i="1"/>
  <c r="AS236" i="1"/>
  <c r="AR237" i="1"/>
  <c r="AS237" i="1"/>
  <c r="AR238" i="1"/>
  <c r="AS238" i="1"/>
  <c r="AR239" i="1"/>
  <c r="AS239" i="1"/>
  <c r="AR240" i="1"/>
  <c r="AS240" i="1"/>
  <c r="AR241" i="1"/>
  <c r="AS241" i="1"/>
  <c r="AR242" i="1"/>
  <c r="AS242" i="1"/>
  <c r="AR243" i="1"/>
  <c r="AS243" i="1"/>
  <c r="AR244" i="1"/>
  <c r="AS244" i="1"/>
  <c r="AR245" i="1"/>
  <c r="AS245" i="1"/>
  <c r="AR246" i="1"/>
  <c r="AS246" i="1"/>
  <c r="AR247" i="1"/>
  <c r="AS247" i="1"/>
  <c r="AR248" i="1"/>
  <c r="AS248" i="1"/>
  <c r="AR249" i="1"/>
  <c r="AS249" i="1"/>
  <c r="AR250" i="1"/>
  <c r="AS250" i="1"/>
  <c r="AR251" i="1"/>
  <c r="AS251" i="1"/>
  <c r="AR252" i="1"/>
  <c r="AS252" i="1"/>
  <c r="AR253" i="1"/>
  <c r="AS253" i="1"/>
  <c r="AR254" i="1"/>
  <c r="AS254" i="1"/>
  <c r="AR255" i="1"/>
  <c r="AS255" i="1"/>
  <c r="AR256" i="1"/>
  <c r="AS256" i="1"/>
  <c r="AR257" i="1"/>
  <c r="AS257" i="1"/>
  <c r="AR258" i="1"/>
  <c r="AS258" i="1"/>
  <c r="AR259" i="1"/>
  <c r="AS259" i="1"/>
  <c r="AR260" i="1"/>
  <c r="AS260" i="1"/>
  <c r="AR261" i="1"/>
  <c r="AS261" i="1"/>
  <c r="AR262" i="1"/>
  <c r="AS262" i="1"/>
  <c r="AR263" i="1"/>
  <c r="AS263" i="1"/>
  <c r="AR264" i="1"/>
  <c r="AS264" i="1"/>
  <c r="AR265" i="1"/>
  <c r="AS265" i="1"/>
  <c r="AR266" i="1"/>
  <c r="AS266" i="1"/>
  <c r="AR267" i="1"/>
  <c r="AS267" i="1"/>
  <c r="AR268" i="1"/>
  <c r="AS268" i="1"/>
  <c r="AR269" i="1"/>
  <c r="AS269" i="1"/>
  <c r="AR270" i="1"/>
  <c r="AS270" i="1"/>
  <c r="AR271" i="1"/>
  <c r="AS271" i="1"/>
  <c r="AR272" i="1"/>
  <c r="AS272" i="1"/>
  <c r="AR273" i="1"/>
  <c r="AS273" i="1"/>
  <c r="AR274" i="1"/>
  <c r="AS274" i="1"/>
  <c r="AR275" i="1"/>
  <c r="AS275" i="1"/>
  <c r="AR276" i="1"/>
  <c r="AS276" i="1"/>
  <c r="AR277" i="1"/>
  <c r="AS277" i="1"/>
  <c r="AR278" i="1"/>
  <c r="AS278" i="1"/>
  <c r="AR279" i="1"/>
  <c r="AS279" i="1"/>
  <c r="AR280" i="1"/>
  <c r="AS280" i="1"/>
  <c r="AR281" i="1"/>
  <c r="AS281" i="1"/>
  <c r="AR282" i="1"/>
  <c r="AS282" i="1"/>
  <c r="AR283" i="1"/>
  <c r="AS283" i="1"/>
  <c r="AR284" i="1"/>
  <c r="AS284" i="1"/>
  <c r="AR285" i="1"/>
  <c r="AS285" i="1"/>
  <c r="AR286" i="1"/>
  <c r="AS286" i="1"/>
  <c r="AR287" i="1"/>
  <c r="AS287" i="1"/>
  <c r="AR288" i="1"/>
  <c r="AS288" i="1"/>
  <c r="AR289" i="1"/>
  <c r="AS289" i="1"/>
  <c r="AR290" i="1"/>
  <c r="AS290" i="1"/>
  <c r="AR291" i="1"/>
  <c r="AS291" i="1"/>
  <c r="AR292" i="1"/>
  <c r="AS292" i="1"/>
  <c r="AR293" i="1"/>
  <c r="AS293" i="1"/>
  <c r="AR294" i="1"/>
  <c r="AS294" i="1"/>
  <c r="AR295" i="1"/>
  <c r="AS295" i="1"/>
  <c r="AR296" i="1"/>
  <c r="AS296" i="1"/>
  <c r="AR297" i="1"/>
  <c r="AS297" i="1"/>
  <c r="AR298" i="1"/>
  <c r="AS298" i="1"/>
  <c r="AR299" i="1"/>
  <c r="AS299" i="1"/>
  <c r="AR300" i="1"/>
  <c r="AS300" i="1"/>
  <c r="AR301" i="1"/>
  <c r="AS301" i="1"/>
  <c r="AR302" i="1"/>
  <c r="AS302" i="1"/>
  <c r="AR303" i="1"/>
  <c r="AS303" i="1"/>
  <c r="AR304" i="1"/>
  <c r="AS304" i="1"/>
  <c r="AR305" i="1"/>
  <c r="AS305" i="1"/>
  <c r="AR306" i="1"/>
  <c r="AS306" i="1"/>
  <c r="AR307" i="1"/>
  <c r="AS307" i="1"/>
  <c r="AR308" i="1"/>
  <c r="AS308" i="1"/>
  <c r="AR309" i="1"/>
  <c r="AS309" i="1"/>
  <c r="AR310" i="1"/>
  <c r="AS310" i="1"/>
  <c r="AR311" i="1"/>
  <c r="AS311" i="1"/>
  <c r="AR312" i="1"/>
  <c r="AS312" i="1"/>
  <c r="AR313" i="1"/>
  <c r="AS313" i="1"/>
  <c r="AR314" i="1"/>
  <c r="AS314" i="1"/>
  <c r="AR315" i="1"/>
  <c r="AS315" i="1"/>
  <c r="AR316" i="1"/>
  <c r="AS316" i="1"/>
  <c r="AR317" i="1"/>
  <c r="AS317" i="1"/>
  <c r="AR318" i="1"/>
  <c r="AS318" i="1"/>
  <c r="AR319" i="1"/>
  <c r="AS319" i="1"/>
  <c r="AR320" i="1"/>
  <c r="AS320" i="1"/>
  <c r="AR321" i="1"/>
  <c r="AS321" i="1"/>
  <c r="AR322" i="1"/>
  <c r="AS322" i="1"/>
  <c r="AR323" i="1"/>
  <c r="AS323" i="1"/>
  <c r="AR324" i="1"/>
  <c r="AS324" i="1"/>
  <c r="AR325" i="1"/>
  <c r="AS325" i="1"/>
  <c r="AR326" i="1"/>
  <c r="AS326" i="1"/>
  <c r="AR327" i="1"/>
  <c r="AS327" i="1"/>
  <c r="AR328" i="1"/>
  <c r="AS328" i="1"/>
  <c r="AR329" i="1"/>
  <c r="AS329" i="1"/>
  <c r="AR330" i="1"/>
  <c r="AS330" i="1"/>
  <c r="AR331" i="1"/>
  <c r="AS331" i="1"/>
  <c r="AR332" i="1"/>
  <c r="AS332" i="1"/>
  <c r="AR333" i="1"/>
  <c r="AS333" i="1"/>
  <c r="AR334" i="1"/>
  <c r="AS334" i="1"/>
  <c r="AR335" i="1"/>
  <c r="AS335" i="1"/>
  <c r="AR336" i="1"/>
  <c r="AS336" i="1"/>
  <c r="AR337" i="1"/>
  <c r="AS337" i="1"/>
  <c r="AR338" i="1"/>
  <c r="AS338" i="1"/>
  <c r="AR339" i="1"/>
  <c r="AS339" i="1"/>
  <c r="AR340" i="1"/>
  <c r="AS340" i="1"/>
  <c r="AR341" i="1"/>
  <c r="AS341" i="1"/>
  <c r="AR342" i="1"/>
  <c r="AS342" i="1"/>
  <c r="AR343" i="1"/>
  <c r="AS343" i="1"/>
  <c r="AR344" i="1"/>
  <c r="AS344" i="1"/>
  <c r="AR345" i="1"/>
  <c r="AS345" i="1"/>
  <c r="AR346" i="1"/>
  <c r="AS346" i="1"/>
  <c r="AR347" i="1"/>
  <c r="AS347" i="1"/>
  <c r="AR348" i="1"/>
  <c r="AS348" i="1"/>
  <c r="AR349" i="1"/>
  <c r="AS349" i="1"/>
  <c r="AR350" i="1"/>
  <c r="AS350" i="1"/>
  <c r="AR351" i="1"/>
  <c r="AS351" i="1"/>
  <c r="AR352" i="1"/>
  <c r="AS352" i="1"/>
  <c r="AR353" i="1"/>
  <c r="AS353" i="1"/>
  <c r="AR354" i="1"/>
  <c r="AS354" i="1"/>
  <c r="AR355" i="1"/>
  <c r="AS355" i="1"/>
  <c r="AR356" i="1"/>
  <c r="AS356" i="1"/>
  <c r="AR357" i="1"/>
  <c r="AS357" i="1"/>
  <c r="AR358" i="1"/>
  <c r="AS358" i="1"/>
  <c r="AR359" i="1"/>
  <c r="AS359" i="1"/>
  <c r="AR360" i="1"/>
  <c r="AS360" i="1"/>
  <c r="AR361" i="1"/>
  <c r="AS361" i="1"/>
  <c r="AR362" i="1"/>
  <c r="AS362" i="1"/>
  <c r="AR363" i="1"/>
  <c r="AS363" i="1"/>
  <c r="AR364" i="1"/>
  <c r="AS364" i="1"/>
  <c r="AR365" i="1"/>
  <c r="AS365" i="1"/>
  <c r="AR366" i="1"/>
  <c r="AS366" i="1"/>
  <c r="AR367" i="1"/>
  <c r="AS367" i="1"/>
  <c r="AR368" i="1"/>
  <c r="AS368" i="1"/>
  <c r="AR369" i="1"/>
  <c r="AS369" i="1"/>
  <c r="AR370" i="1"/>
  <c r="AS370" i="1"/>
  <c r="AR371" i="1"/>
  <c r="AS371" i="1"/>
  <c r="AR372" i="1"/>
  <c r="AS372" i="1"/>
  <c r="AR373" i="1"/>
  <c r="AS373" i="1"/>
  <c r="AR374" i="1"/>
  <c r="AS374" i="1"/>
  <c r="AR375" i="1"/>
  <c r="AS375" i="1"/>
  <c r="AR376" i="1"/>
  <c r="AS376" i="1"/>
  <c r="AR377" i="1"/>
  <c r="AS377" i="1"/>
  <c r="AR378" i="1"/>
  <c r="AS378" i="1"/>
  <c r="AR379" i="1"/>
  <c r="AS379" i="1"/>
  <c r="AR380" i="1"/>
  <c r="AS380" i="1"/>
  <c r="AR381" i="1"/>
  <c r="AS381" i="1"/>
  <c r="AR382" i="1"/>
  <c r="AS382" i="1"/>
  <c r="AR383" i="1"/>
  <c r="AS383" i="1"/>
  <c r="AR384" i="1"/>
  <c r="AS384" i="1"/>
  <c r="AR385" i="1"/>
  <c r="AS385" i="1"/>
  <c r="AR386" i="1"/>
  <c r="AS386" i="1"/>
  <c r="AR387" i="1"/>
  <c r="AS387" i="1"/>
  <c r="AR388" i="1"/>
  <c r="AS388" i="1"/>
  <c r="AR389" i="1"/>
  <c r="AS389" i="1"/>
  <c r="AR390" i="1"/>
  <c r="AS390" i="1"/>
  <c r="AR391" i="1"/>
  <c r="AS391" i="1"/>
  <c r="AR392" i="1"/>
  <c r="AS392" i="1"/>
  <c r="AR393" i="1"/>
  <c r="AS393" i="1"/>
  <c r="AR394" i="1"/>
  <c r="AS394" i="1"/>
  <c r="AR395" i="1"/>
  <c r="AS395" i="1"/>
  <c r="AR396" i="1"/>
  <c r="AS396" i="1"/>
  <c r="AR397" i="1"/>
  <c r="AS397" i="1"/>
  <c r="AR398" i="1"/>
  <c r="AS398" i="1"/>
  <c r="AR399" i="1"/>
  <c r="AS399" i="1"/>
  <c r="AR400" i="1"/>
  <c r="AS400" i="1"/>
  <c r="AR401" i="1"/>
  <c r="AS401" i="1"/>
  <c r="AR402" i="1"/>
  <c r="AS402" i="1"/>
  <c r="AR403" i="1"/>
  <c r="AS403" i="1"/>
  <c r="AR404" i="1"/>
  <c r="AS404" i="1"/>
  <c r="AR405" i="1"/>
  <c r="AS405" i="1"/>
  <c r="AR406" i="1"/>
  <c r="AS406" i="1"/>
  <c r="AR407" i="1"/>
  <c r="AS407" i="1"/>
  <c r="AR408" i="1"/>
  <c r="AS408" i="1"/>
  <c r="AR409" i="1"/>
  <c r="AS409" i="1"/>
  <c r="AR410" i="1"/>
  <c r="AS410" i="1"/>
  <c r="AR411" i="1"/>
  <c r="AS411" i="1"/>
  <c r="AR412" i="1"/>
  <c r="AS412" i="1"/>
  <c r="AR413" i="1"/>
  <c r="AS413" i="1"/>
  <c r="AR414" i="1"/>
  <c r="AS414" i="1"/>
  <c r="AR415" i="1"/>
  <c r="AS415" i="1"/>
  <c r="AR416" i="1"/>
  <c r="AS416" i="1"/>
  <c r="AR417" i="1"/>
  <c r="AS417" i="1"/>
  <c r="AR418" i="1"/>
  <c r="AS418" i="1"/>
  <c r="AR419" i="1"/>
  <c r="AS419" i="1"/>
  <c r="AR420" i="1"/>
  <c r="AS420" i="1"/>
  <c r="AR421" i="1"/>
  <c r="AS421" i="1"/>
  <c r="AR422" i="1"/>
  <c r="AS422" i="1"/>
  <c r="AR423" i="1"/>
  <c r="AS423" i="1"/>
  <c r="AR424" i="1"/>
  <c r="AS424" i="1"/>
  <c r="AR425" i="1"/>
  <c r="AS425" i="1"/>
  <c r="AR426" i="1"/>
  <c r="AS426" i="1"/>
  <c r="AR427" i="1"/>
  <c r="AS427" i="1"/>
  <c r="AR428" i="1"/>
  <c r="AS428" i="1"/>
  <c r="AR429" i="1"/>
  <c r="AS429" i="1"/>
  <c r="AR430" i="1"/>
  <c r="AS430" i="1"/>
  <c r="AR431" i="1"/>
  <c r="AS431" i="1"/>
  <c r="AR432" i="1"/>
  <c r="AS432" i="1"/>
  <c r="AR433" i="1"/>
  <c r="AS433" i="1"/>
  <c r="AR434" i="1"/>
  <c r="AS434" i="1"/>
  <c r="AR435" i="1"/>
  <c r="AS435" i="1"/>
  <c r="AR436" i="1"/>
  <c r="AS436" i="1"/>
  <c r="AR437" i="1"/>
  <c r="AS437" i="1"/>
  <c r="AR438" i="1"/>
  <c r="AS438" i="1"/>
  <c r="AR439" i="1"/>
  <c r="AS439" i="1"/>
  <c r="AR440" i="1"/>
  <c r="AS440" i="1"/>
  <c r="AR441" i="1"/>
  <c r="AS441" i="1"/>
  <c r="AR442" i="1"/>
  <c r="AS442" i="1"/>
  <c r="AR443" i="1"/>
  <c r="AS443" i="1"/>
  <c r="AR444" i="1"/>
  <c r="AS444" i="1"/>
  <c r="AR445" i="1"/>
  <c r="AS445" i="1"/>
  <c r="AR446" i="1"/>
  <c r="AS446" i="1"/>
  <c r="AR447" i="1"/>
  <c r="AS447" i="1"/>
  <c r="AR448" i="1"/>
  <c r="AS448" i="1"/>
  <c r="AR449" i="1"/>
  <c r="AS449" i="1"/>
  <c r="AR450" i="1"/>
  <c r="AS450" i="1"/>
  <c r="AR451" i="1"/>
  <c r="AS451" i="1"/>
  <c r="AR452" i="1"/>
  <c r="AS452" i="1"/>
  <c r="AR453" i="1"/>
  <c r="AS453" i="1"/>
  <c r="AR454" i="1"/>
  <c r="AS454" i="1"/>
  <c r="AR455" i="1"/>
  <c r="AS455" i="1"/>
  <c r="AR456" i="1"/>
  <c r="AS456" i="1"/>
  <c r="AR457" i="1"/>
  <c r="AS457" i="1"/>
  <c r="AR458" i="1"/>
  <c r="AS458" i="1"/>
  <c r="AR459" i="1"/>
  <c r="AS459" i="1"/>
  <c r="AR460" i="1"/>
  <c r="AS460" i="1"/>
  <c r="AR461" i="1"/>
  <c r="AS461" i="1"/>
  <c r="AR462" i="1"/>
  <c r="AS462" i="1"/>
  <c r="AR463" i="1"/>
  <c r="AS463" i="1"/>
  <c r="AR464" i="1"/>
  <c r="AS464" i="1"/>
  <c r="AR465" i="1"/>
  <c r="AS465" i="1"/>
  <c r="AR466" i="1"/>
  <c r="AS466" i="1"/>
  <c r="AR467" i="1"/>
  <c r="AS467" i="1"/>
  <c r="AR468" i="1"/>
  <c r="AS468" i="1"/>
  <c r="AR469" i="1"/>
  <c r="AS469" i="1"/>
  <c r="AR470" i="1"/>
  <c r="AS470" i="1"/>
  <c r="AR471" i="1"/>
  <c r="AS471" i="1"/>
  <c r="AR472" i="1"/>
  <c r="AS472" i="1"/>
  <c r="AR473" i="1"/>
  <c r="AS473" i="1"/>
  <c r="AR474" i="1"/>
  <c r="AS474" i="1"/>
  <c r="AR475" i="1"/>
  <c r="AS475" i="1"/>
  <c r="AR476" i="1"/>
  <c r="AS476" i="1"/>
  <c r="AR477" i="1"/>
  <c r="AS477" i="1"/>
  <c r="AR478" i="1"/>
  <c r="AS478" i="1"/>
  <c r="AR479" i="1"/>
  <c r="AS479" i="1"/>
  <c r="AR480" i="1"/>
  <c r="AS480" i="1"/>
  <c r="AR481" i="1"/>
  <c r="AS481" i="1"/>
  <c r="AR482" i="1"/>
  <c r="AS482" i="1"/>
  <c r="AR483" i="1"/>
  <c r="AS483" i="1"/>
  <c r="AR484" i="1"/>
  <c r="AS484" i="1"/>
  <c r="AR485" i="1"/>
  <c r="AS485" i="1"/>
  <c r="AR486" i="1"/>
  <c r="AS486" i="1"/>
  <c r="AR487" i="1"/>
  <c r="AS487" i="1"/>
  <c r="AR488" i="1"/>
  <c r="AS488" i="1"/>
  <c r="AR489" i="1"/>
  <c r="AS489" i="1"/>
  <c r="AR490" i="1"/>
  <c r="AS490" i="1"/>
  <c r="AR491" i="1"/>
  <c r="AS491" i="1"/>
  <c r="AR492" i="1"/>
  <c r="AS492" i="1"/>
  <c r="AR493" i="1"/>
  <c r="AS493" i="1"/>
  <c r="AR494" i="1"/>
  <c r="AS494" i="1"/>
  <c r="AR495" i="1"/>
  <c r="AS495" i="1"/>
  <c r="AR496" i="1"/>
  <c r="AS496" i="1"/>
  <c r="AR497" i="1"/>
  <c r="AS497" i="1"/>
  <c r="AR498" i="1"/>
  <c r="AS498" i="1"/>
  <c r="AR499" i="1"/>
  <c r="AS499" i="1"/>
  <c r="AR500" i="1"/>
  <c r="AS500" i="1"/>
  <c r="AR501" i="1"/>
  <c r="AS501" i="1"/>
  <c r="AR502" i="1"/>
  <c r="AS502" i="1"/>
  <c r="AR503" i="1"/>
  <c r="AS503" i="1"/>
  <c r="AR504" i="1"/>
  <c r="AS504" i="1"/>
  <c r="AR505" i="1"/>
  <c r="AS505" i="1"/>
  <c r="AR506" i="1"/>
  <c r="AS506" i="1"/>
  <c r="AR507" i="1"/>
  <c r="AS507" i="1"/>
  <c r="AR508" i="1"/>
  <c r="AS508" i="1"/>
  <c r="AR509" i="1"/>
  <c r="AS509" i="1"/>
  <c r="AR510" i="1"/>
  <c r="AS510" i="1"/>
  <c r="AR511" i="1"/>
  <c r="AS511" i="1"/>
  <c r="AR512" i="1"/>
  <c r="AS512" i="1"/>
  <c r="AR513" i="1"/>
  <c r="AS513" i="1"/>
  <c r="AR514" i="1"/>
  <c r="AS514" i="1"/>
  <c r="AR515" i="1"/>
  <c r="AS515" i="1"/>
  <c r="AR516" i="1"/>
  <c r="AS516" i="1"/>
  <c r="AR517" i="1"/>
  <c r="AS517" i="1"/>
  <c r="AR518" i="1"/>
  <c r="AS518" i="1"/>
  <c r="AR519" i="1"/>
  <c r="AS519" i="1"/>
  <c r="AR520" i="1"/>
  <c r="AS520" i="1"/>
  <c r="AR521" i="1"/>
  <c r="AS521" i="1"/>
  <c r="AR522" i="1"/>
  <c r="AS522" i="1"/>
  <c r="AR523" i="1"/>
  <c r="AS523" i="1"/>
  <c r="AR524" i="1"/>
  <c r="AS524" i="1"/>
  <c r="AR525" i="1"/>
  <c r="AS525" i="1"/>
  <c r="AR526" i="1"/>
  <c r="AS526" i="1"/>
  <c r="AR527" i="1"/>
  <c r="AS527" i="1"/>
  <c r="AR528" i="1"/>
  <c r="AS528" i="1"/>
  <c r="AR529" i="1"/>
  <c r="AS529" i="1"/>
  <c r="AR530" i="1"/>
  <c r="AS530" i="1"/>
  <c r="AR531" i="1"/>
  <c r="AS531" i="1"/>
  <c r="AR532" i="1"/>
  <c r="AS532" i="1"/>
  <c r="AR533" i="1"/>
  <c r="AS533" i="1"/>
  <c r="AR534" i="1"/>
  <c r="AS534" i="1"/>
  <c r="AR535" i="1"/>
  <c r="AS535" i="1"/>
  <c r="AR536" i="1"/>
  <c r="AS536" i="1"/>
  <c r="AR537" i="1"/>
  <c r="AS537" i="1"/>
  <c r="AR538" i="1"/>
  <c r="AS538" i="1"/>
  <c r="AR539" i="1"/>
  <c r="AS539" i="1"/>
  <c r="AR540" i="1"/>
  <c r="AS540" i="1"/>
  <c r="AR541" i="1"/>
  <c r="AS541" i="1"/>
  <c r="AR542" i="1"/>
  <c r="AS542" i="1"/>
  <c r="AR543" i="1"/>
  <c r="AS543" i="1"/>
  <c r="AR544" i="1"/>
  <c r="AS544" i="1"/>
  <c r="AR545" i="1"/>
  <c r="AS545" i="1"/>
  <c r="AR546" i="1"/>
  <c r="AS546" i="1"/>
  <c r="AR547" i="1"/>
  <c r="AS547" i="1"/>
  <c r="AR548" i="1"/>
  <c r="AS548" i="1"/>
  <c r="AR549" i="1"/>
  <c r="AS549" i="1"/>
  <c r="AR550" i="1"/>
  <c r="AS550" i="1"/>
  <c r="AR551" i="1"/>
  <c r="AS551" i="1"/>
  <c r="AR552" i="1"/>
  <c r="AS552" i="1"/>
  <c r="AR553" i="1"/>
  <c r="AS553" i="1"/>
  <c r="AR554" i="1"/>
  <c r="AS554" i="1"/>
  <c r="AR555" i="1"/>
  <c r="AS555" i="1"/>
  <c r="AR556" i="1"/>
  <c r="AS556" i="1"/>
  <c r="AR557" i="1"/>
  <c r="AS557" i="1"/>
  <c r="AR558" i="1"/>
  <c r="AS558" i="1"/>
  <c r="AR559" i="1"/>
  <c r="AS559" i="1"/>
  <c r="AR560" i="1"/>
  <c r="AS560" i="1"/>
  <c r="AR561" i="1"/>
  <c r="AS561" i="1"/>
  <c r="AR562" i="1"/>
  <c r="AS562" i="1"/>
  <c r="AR563" i="1"/>
  <c r="AS563" i="1"/>
  <c r="AR564" i="1"/>
  <c r="AS564" i="1"/>
  <c r="AR565" i="1"/>
  <c r="AS565" i="1"/>
  <c r="AR566" i="1"/>
  <c r="AS566" i="1"/>
  <c r="AR567" i="1"/>
  <c r="AS567" i="1"/>
  <c r="AR568" i="1"/>
  <c r="AS568" i="1"/>
  <c r="AR569" i="1"/>
  <c r="AS569" i="1"/>
  <c r="AR570" i="1"/>
  <c r="AS570" i="1"/>
  <c r="AR571" i="1"/>
  <c r="AS571" i="1"/>
  <c r="AR572" i="1"/>
  <c r="AS572" i="1"/>
  <c r="AR573" i="1"/>
  <c r="AS573" i="1"/>
  <c r="AR574" i="1"/>
  <c r="AS574" i="1"/>
  <c r="AR575" i="1"/>
  <c r="AS575" i="1"/>
  <c r="AR576" i="1"/>
  <c r="AS576" i="1"/>
  <c r="AR577" i="1"/>
  <c r="AS577" i="1"/>
  <c r="AR578" i="1"/>
  <c r="AS578" i="1"/>
  <c r="AR579" i="1"/>
  <c r="AS579" i="1"/>
  <c r="AR580" i="1"/>
  <c r="AS580" i="1"/>
  <c r="AR581" i="1"/>
  <c r="AS581" i="1"/>
  <c r="AR582" i="1"/>
  <c r="AS582" i="1"/>
  <c r="AR583" i="1"/>
  <c r="AS583" i="1"/>
  <c r="AR584" i="1"/>
  <c r="AS584" i="1"/>
  <c r="AR585" i="1"/>
  <c r="AS585" i="1"/>
  <c r="AR586" i="1"/>
  <c r="AS586" i="1"/>
  <c r="AR587" i="1"/>
  <c r="AS587" i="1"/>
  <c r="AR588" i="1"/>
  <c r="AS588" i="1"/>
  <c r="AR589" i="1"/>
  <c r="AS589" i="1"/>
  <c r="AR590" i="1"/>
  <c r="AS590" i="1"/>
  <c r="AR591" i="1"/>
  <c r="AS591" i="1"/>
  <c r="AR592" i="1"/>
  <c r="AS592" i="1"/>
  <c r="AR593" i="1"/>
  <c r="AS593" i="1"/>
  <c r="AR594" i="1"/>
  <c r="AS594" i="1"/>
  <c r="AR595" i="1"/>
  <c r="AS595" i="1"/>
  <c r="AR596" i="1"/>
  <c r="AS596" i="1"/>
  <c r="AR597" i="1"/>
  <c r="AS597" i="1"/>
  <c r="AR598" i="1"/>
  <c r="AS598" i="1"/>
  <c r="AR599" i="1"/>
  <c r="AS599" i="1"/>
  <c r="AR600" i="1"/>
  <c r="AS600" i="1"/>
  <c r="AR601" i="1"/>
  <c r="AS601" i="1"/>
  <c r="AR602" i="1"/>
  <c r="AS602" i="1"/>
  <c r="AR603" i="1"/>
  <c r="AS603" i="1"/>
  <c r="AR604" i="1"/>
  <c r="AS604" i="1"/>
  <c r="AR605" i="1"/>
  <c r="AS605" i="1"/>
  <c r="AR606" i="1"/>
  <c r="AS606" i="1"/>
  <c r="AR607" i="1"/>
  <c r="AS607" i="1"/>
  <c r="AR608" i="1"/>
  <c r="AS608" i="1"/>
  <c r="AR609" i="1"/>
  <c r="AS609" i="1"/>
  <c r="AR610" i="1"/>
  <c r="AS610" i="1"/>
  <c r="AR611" i="1"/>
  <c r="AS611" i="1"/>
  <c r="AR612" i="1"/>
  <c r="AS612" i="1"/>
  <c r="AR613" i="1"/>
  <c r="AS613" i="1"/>
  <c r="AR614" i="1"/>
  <c r="AS614" i="1"/>
  <c r="AR615" i="1"/>
  <c r="AS615" i="1"/>
  <c r="AR616" i="1"/>
  <c r="AS616" i="1"/>
  <c r="AR617" i="1"/>
  <c r="AS617" i="1"/>
  <c r="AR618" i="1"/>
  <c r="AS618" i="1"/>
  <c r="AR619" i="1"/>
  <c r="AS619" i="1"/>
  <c r="AR620" i="1"/>
  <c r="AS620" i="1"/>
  <c r="AR621" i="1"/>
  <c r="AS621" i="1"/>
  <c r="AR622" i="1"/>
  <c r="AS622" i="1"/>
  <c r="AR623" i="1"/>
  <c r="AS623" i="1"/>
  <c r="AR624" i="1"/>
  <c r="AS624" i="1"/>
  <c r="AR625" i="1"/>
  <c r="AS625" i="1"/>
  <c r="AR626" i="1"/>
  <c r="AS626" i="1"/>
  <c r="AR627" i="1"/>
  <c r="AS627" i="1"/>
  <c r="AR628" i="1"/>
  <c r="AS628" i="1"/>
  <c r="AR629" i="1"/>
  <c r="AS629" i="1"/>
  <c r="AR630" i="1"/>
  <c r="AS630" i="1"/>
  <c r="AR631" i="1"/>
  <c r="AS631" i="1"/>
  <c r="AR632" i="1"/>
  <c r="AS632" i="1"/>
  <c r="AR633" i="1"/>
  <c r="AS633" i="1"/>
  <c r="AR634" i="1"/>
  <c r="AS634" i="1"/>
  <c r="AR635" i="1"/>
  <c r="AS635" i="1"/>
  <c r="AR636" i="1"/>
  <c r="AS636" i="1"/>
  <c r="AR637" i="1"/>
  <c r="AS637" i="1"/>
  <c r="AR638" i="1"/>
  <c r="AS638" i="1"/>
  <c r="AR639" i="1"/>
  <c r="AS639" i="1"/>
  <c r="AR640" i="1"/>
  <c r="AS640" i="1"/>
  <c r="AR641" i="1"/>
  <c r="AS641" i="1"/>
  <c r="AR642" i="1"/>
  <c r="AS642" i="1"/>
  <c r="AR643" i="1"/>
  <c r="AS643" i="1"/>
  <c r="AR644" i="1"/>
  <c r="AS644" i="1"/>
  <c r="AR645" i="1"/>
  <c r="AS645" i="1"/>
  <c r="AR646" i="1"/>
  <c r="AS646" i="1"/>
  <c r="AR647" i="1"/>
  <c r="AS647" i="1"/>
  <c r="AR648" i="1"/>
  <c r="AS648" i="1"/>
  <c r="AR649" i="1"/>
  <c r="AS649" i="1"/>
  <c r="AR650" i="1"/>
  <c r="AS650" i="1"/>
  <c r="AR651" i="1"/>
  <c r="AS651" i="1"/>
  <c r="AR652" i="1"/>
  <c r="AS652" i="1"/>
  <c r="AR653" i="1"/>
  <c r="AS653" i="1"/>
  <c r="AR654" i="1"/>
  <c r="AS654" i="1"/>
  <c r="AR655" i="1"/>
  <c r="AS655" i="1"/>
  <c r="AR656" i="1"/>
  <c r="AS656" i="1"/>
  <c r="AR657" i="1"/>
  <c r="AS657" i="1"/>
  <c r="AR658" i="1"/>
  <c r="AS658" i="1"/>
  <c r="AR659" i="1"/>
  <c r="AS659" i="1"/>
  <c r="AR660" i="1"/>
  <c r="AS660" i="1"/>
  <c r="AR661" i="1"/>
  <c r="AS661" i="1"/>
  <c r="AR662" i="1"/>
  <c r="AS662" i="1"/>
  <c r="AR663" i="1"/>
  <c r="AS663" i="1"/>
  <c r="AR664" i="1"/>
  <c r="AS664" i="1"/>
  <c r="AR665" i="1"/>
  <c r="AS665" i="1"/>
  <c r="AR666" i="1"/>
  <c r="AS666" i="1"/>
  <c r="AR667" i="1"/>
  <c r="AS667" i="1"/>
  <c r="AR668" i="1"/>
  <c r="AS668" i="1"/>
  <c r="AR669" i="1"/>
  <c r="AS669" i="1"/>
  <c r="AR670" i="1"/>
  <c r="AS670" i="1"/>
  <c r="AR671" i="1"/>
  <c r="AS671" i="1"/>
  <c r="AR672" i="1"/>
  <c r="AS672" i="1"/>
  <c r="AR673" i="1"/>
  <c r="AS673" i="1"/>
  <c r="AR674" i="1"/>
  <c r="AS674" i="1"/>
  <c r="AR675" i="1"/>
  <c r="AS675" i="1"/>
  <c r="AR676" i="1"/>
  <c r="AS676" i="1"/>
  <c r="AR677" i="1"/>
  <c r="AS677" i="1"/>
  <c r="AR678" i="1"/>
  <c r="AS678" i="1"/>
  <c r="AR679" i="1"/>
  <c r="AS679" i="1"/>
  <c r="AR680" i="1"/>
  <c r="AS680" i="1"/>
  <c r="AR681" i="1"/>
  <c r="AS681" i="1"/>
  <c r="AR682" i="1"/>
  <c r="AS682" i="1"/>
  <c r="AR683" i="1"/>
  <c r="AS683" i="1"/>
  <c r="AR684" i="1"/>
  <c r="AS684" i="1"/>
  <c r="AR685" i="1"/>
  <c r="AS685" i="1"/>
  <c r="AR686" i="1"/>
  <c r="AS686" i="1"/>
  <c r="AR687" i="1"/>
  <c r="AS687" i="1"/>
  <c r="AR688" i="1"/>
  <c r="AS688" i="1"/>
  <c r="AR689" i="1"/>
  <c r="AS689" i="1"/>
  <c r="AR690" i="1"/>
  <c r="AS690" i="1"/>
  <c r="AR691" i="1"/>
  <c r="AS691" i="1"/>
  <c r="AR692" i="1"/>
  <c r="AS692" i="1"/>
  <c r="AR693" i="1"/>
  <c r="AS693" i="1"/>
  <c r="AR694" i="1"/>
  <c r="AS694" i="1"/>
  <c r="AR695" i="1"/>
  <c r="AS695" i="1"/>
  <c r="AR696" i="1"/>
  <c r="AS696" i="1"/>
  <c r="AR697" i="1"/>
  <c r="AS697" i="1"/>
  <c r="AR698" i="1"/>
  <c r="AS698" i="1"/>
  <c r="AR699" i="1"/>
  <c r="AS699" i="1"/>
  <c r="AR700" i="1"/>
  <c r="AS700" i="1"/>
  <c r="AR701" i="1"/>
  <c r="AS701" i="1"/>
  <c r="AR702" i="1"/>
  <c r="AS702" i="1"/>
  <c r="AR703" i="1"/>
  <c r="AS703" i="1"/>
  <c r="AR704" i="1"/>
  <c r="AS704" i="1"/>
  <c r="AR705" i="1"/>
  <c r="AS705" i="1"/>
  <c r="AR706" i="1"/>
  <c r="AS706" i="1"/>
  <c r="AR707" i="1"/>
  <c r="AS707" i="1"/>
  <c r="AR708" i="1"/>
  <c r="AS708" i="1"/>
  <c r="AR709" i="1"/>
  <c r="AS709" i="1"/>
  <c r="AR710" i="1"/>
  <c r="AS710" i="1"/>
  <c r="AR711" i="1"/>
  <c r="AS711" i="1"/>
  <c r="AR712" i="1"/>
  <c r="AS712" i="1"/>
  <c r="AR713" i="1"/>
  <c r="AS713" i="1"/>
  <c r="AR714" i="1"/>
  <c r="AS714" i="1"/>
  <c r="AR715" i="1"/>
  <c r="AS715" i="1"/>
  <c r="AR716" i="1"/>
  <c r="AS716" i="1"/>
  <c r="AR717" i="1"/>
  <c r="AS717" i="1"/>
  <c r="AR718" i="1"/>
  <c r="AS718" i="1"/>
  <c r="AR719" i="1"/>
  <c r="AS719" i="1"/>
  <c r="AR720" i="1"/>
  <c r="AS720" i="1"/>
  <c r="AR721" i="1"/>
  <c r="AS721" i="1"/>
  <c r="AR722" i="1"/>
  <c r="AS722" i="1"/>
  <c r="AR723" i="1"/>
  <c r="AS723" i="1"/>
  <c r="AR724" i="1"/>
  <c r="AS724" i="1"/>
  <c r="AR725" i="1"/>
  <c r="AS725" i="1"/>
  <c r="AR726" i="1"/>
  <c r="AS726" i="1"/>
  <c r="AR727" i="1"/>
  <c r="AS727" i="1"/>
  <c r="AR728" i="1"/>
  <c r="AS728" i="1"/>
  <c r="AR729" i="1"/>
  <c r="AS729" i="1"/>
  <c r="AR730" i="1"/>
  <c r="AS730" i="1"/>
  <c r="AR731" i="1"/>
  <c r="AS731" i="1"/>
  <c r="AR732" i="1"/>
  <c r="AS732" i="1"/>
  <c r="AR733" i="1"/>
  <c r="AS733" i="1"/>
  <c r="AR734" i="1"/>
  <c r="AS734" i="1"/>
  <c r="AR735" i="1"/>
  <c r="AS735" i="1"/>
  <c r="AR736" i="1"/>
  <c r="AS736" i="1"/>
  <c r="AR737" i="1"/>
  <c r="AS737" i="1"/>
  <c r="AR738" i="1"/>
  <c r="AS738" i="1"/>
  <c r="AR739" i="1"/>
  <c r="AS739" i="1"/>
  <c r="AR740" i="1"/>
  <c r="AS740" i="1"/>
  <c r="AR741" i="1"/>
  <c r="AS741" i="1"/>
  <c r="AR742" i="1"/>
  <c r="AS742" i="1"/>
  <c r="AR743" i="1"/>
  <c r="AS743" i="1"/>
  <c r="AR744" i="1"/>
  <c r="AS744" i="1"/>
  <c r="AR745" i="1"/>
  <c r="AS745" i="1"/>
  <c r="AR746" i="1"/>
  <c r="AS746" i="1"/>
  <c r="AR747" i="1"/>
  <c r="AS747" i="1"/>
  <c r="AR748" i="1"/>
  <c r="AS748" i="1"/>
  <c r="AR749" i="1"/>
  <c r="AS749" i="1"/>
  <c r="AR750" i="1"/>
  <c r="AS750" i="1"/>
  <c r="AR751" i="1"/>
  <c r="AS751" i="1"/>
  <c r="AR752" i="1"/>
  <c r="AS752" i="1"/>
  <c r="AR753" i="1"/>
  <c r="AS753" i="1"/>
  <c r="AR754" i="1"/>
  <c r="AS754" i="1"/>
  <c r="AR755" i="1"/>
  <c r="AS755" i="1"/>
  <c r="AR756" i="1"/>
  <c r="AS756" i="1"/>
  <c r="AR757" i="1"/>
  <c r="AS757" i="1"/>
  <c r="AR758" i="1"/>
  <c r="AS758" i="1"/>
  <c r="AR759" i="1"/>
  <c r="AS759" i="1"/>
  <c r="AR760" i="1"/>
  <c r="AS760" i="1"/>
  <c r="AR761" i="1"/>
  <c r="AS761" i="1"/>
  <c r="AR762" i="1"/>
  <c r="AS762" i="1"/>
  <c r="AR763" i="1"/>
  <c r="AS763" i="1"/>
  <c r="AR764" i="1"/>
  <c r="AS764" i="1"/>
  <c r="AR765" i="1"/>
  <c r="AS765" i="1"/>
  <c r="AR766" i="1"/>
  <c r="AS766" i="1"/>
  <c r="AR767" i="1"/>
  <c r="AS767" i="1"/>
  <c r="AR768" i="1"/>
  <c r="AS768" i="1"/>
  <c r="AR769" i="1"/>
  <c r="AS769" i="1"/>
  <c r="AR770" i="1"/>
  <c r="AS770" i="1"/>
  <c r="AR771" i="1"/>
  <c r="AS771" i="1"/>
  <c r="AR772" i="1"/>
  <c r="AS772" i="1"/>
  <c r="AR773" i="1"/>
  <c r="AS773" i="1"/>
  <c r="AR774" i="1"/>
  <c r="AS774" i="1"/>
  <c r="AR775" i="1"/>
  <c r="AS775" i="1"/>
  <c r="AR776" i="1"/>
  <c r="AS776" i="1"/>
  <c r="AR777" i="1"/>
  <c r="AS777" i="1"/>
  <c r="AR778" i="1"/>
  <c r="AS778" i="1"/>
  <c r="AR779" i="1"/>
  <c r="AS779" i="1"/>
  <c r="AR780" i="1"/>
  <c r="AS780" i="1"/>
  <c r="AR781" i="1"/>
  <c r="AS781" i="1"/>
  <c r="AR782" i="1"/>
  <c r="AS782" i="1"/>
  <c r="AR783" i="1"/>
  <c r="AS783" i="1"/>
  <c r="AR784" i="1"/>
  <c r="AS784" i="1"/>
  <c r="AR785" i="1"/>
  <c r="AS785" i="1"/>
  <c r="AR786" i="1"/>
  <c r="AS786" i="1"/>
  <c r="AR787" i="1"/>
  <c r="AS787" i="1"/>
  <c r="AR788" i="1"/>
  <c r="AS788" i="1"/>
  <c r="AR789" i="1"/>
  <c r="AS789" i="1"/>
  <c r="AR790" i="1"/>
  <c r="AS790" i="1"/>
  <c r="AR791" i="1"/>
  <c r="AS791" i="1"/>
  <c r="AR792" i="1"/>
  <c r="AS792" i="1"/>
  <c r="AR793" i="1"/>
  <c r="AS793" i="1"/>
  <c r="AR794" i="1"/>
  <c r="AS794" i="1"/>
  <c r="AR795" i="1"/>
  <c r="AS795" i="1"/>
  <c r="AR796" i="1"/>
  <c r="AS796" i="1"/>
  <c r="AR797" i="1"/>
  <c r="AS797" i="1"/>
  <c r="AR798" i="1"/>
  <c r="AS798" i="1"/>
  <c r="AR799" i="1"/>
  <c r="AS799" i="1"/>
  <c r="AR800" i="1"/>
  <c r="AS800" i="1"/>
  <c r="AR801" i="1"/>
  <c r="AS801" i="1"/>
  <c r="AR802" i="1"/>
  <c r="AS802" i="1"/>
  <c r="AR803" i="1"/>
  <c r="AS803" i="1"/>
  <c r="AR804" i="1"/>
  <c r="AS804" i="1"/>
  <c r="AR805" i="1"/>
  <c r="AS805" i="1"/>
  <c r="AR806" i="1"/>
  <c r="AS806" i="1"/>
  <c r="AR807" i="1"/>
  <c r="AS807" i="1"/>
  <c r="AR808" i="1"/>
  <c r="AS808" i="1"/>
  <c r="AR809" i="1"/>
  <c r="AS809" i="1"/>
  <c r="AR810" i="1"/>
  <c r="AS810" i="1"/>
  <c r="AR811" i="1"/>
  <c r="AS811" i="1"/>
  <c r="AR812" i="1"/>
  <c r="AS812" i="1"/>
  <c r="AR813" i="1"/>
  <c r="AS813" i="1"/>
  <c r="AR814" i="1"/>
  <c r="AS814" i="1"/>
  <c r="AR815" i="1"/>
  <c r="AS815" i="1"/>
  <c r="AR816" i="1"/>
  <c r="AS816" i="1"/>
  <c r="AR817" i="1"/>
  <c r="AS817" i="1"/>
  <c r="AR818" i="1"/>
  <c r="AS818" i="1"/>
  <c r="AR819" i="1"/>
  <c r="AS819" i="1"/>
  <c r="AR820" i="1"/>
  <c r="AS820" i="1"/>
  <c r="AR821" i="1"/>
  <c r="AS821" i="1"/>
  <c r="AR822" i="1"/>
  <c r="AS822" i="1"/>
  <c r="AR823" i="1"/>
  <c r="AS823" i="1"/>
  <c r="AR824" i="1"/>
  <c r="AS824" i="1"/>
  <c r="AR825" i="1"/>
  <c r="AS825" i="1"/>
  <c r="AR826" i="1"/>
  <c r="AS826" i="1"/>
  <c r="AR827" i="1"/>
  <c r="AS827" i="1"/>
  <c r="AR828" i="1"/>
  <c r="AS828" i="1"/>
  <c r="AR829" i="1"/>
  <c r="AS829" i="1"/>
  <c r="AR830" i="1"/>
  <c r="AS830" i="1"/>
  <c r="AR831" i="1"/>
  <c r="AS831" i="1"/>
  <c r="AR832" i="1"/>
  <c r="AS832" i="1"/>
  <c r="AR833" i="1"/>
  <c r="AS833" i="1"/>
  <c r="AR834" i="1"/>
  <c r="AS834" i="1"/>
  <c r="AR835" i="1"/>
  <c r="AS835" i="1"/>
  <c r="AR836" i="1"/>
  <c r="AS836" i="1"/>
  <c r="AR837" i="1"/>
  <c r="AS837" i="1"/>
  <c r="AR838" i="1"/>
  <c r="AS838" i="1"/>
  <c r="AR839" i="1"/>
  <c r="AS839" i="1"/>
  <c r="AR840" i="1"/>
  <c r="AS840" i="1"/>
  <c r="AR841" i="1"/>
  <c r="AS841" i="1"/>
  <c r="AR842" i="1"/>
  <c r="AS842" i="1"/>
  <c r="AR843" i="1"/>
  <c r="AS843" i="1"/>
  <c r="AR844" i="1"/>
  <c r="AS844" i="1"/>
  <c r="AR845" i="1"/>
  <c r="AS845" i="1"/>
  <c r="AR846" i="1"/>
  <c r="AS846" i="1"/>
  <c r="AR847" i="1"/>
  <c r="AS847" i="1"/>
  <c r="AR848" i="1"/>
  <c r="AS848" i="1"/>
  <c r="AR849" i="1"/>
  <c r="AS849" i="1"/>
  <c r="AR850" i="1"/>
  <c r="AS850" i="1"/>
  <c r="AR851" i="1"/>
  <c r="AS851" i="1"/>
  <c r="AR852" i="1"/>
  <c r="AS852" i="1"/>
  <c r="AR853" i="1"/>
  <c r="AS853" i="1"/>
  <c r="AR854" i="1"/>
  <c r="AS854" i="1"/>
  <c r="AR855" i="1"/>
  <c r="AS855" i="1"/>
  <c r="AR856" i="1"/>
  <c r="AS856" i="1"/>
  <c r="AR857" i="1"/>
  <c r="AS857" i="1"/>
  <c r="AR858" i="1"/>
  <c r="AS858" i="1"/>
  <c r="AR859" i="1"/>
  <c r="AS859" i="1"/>
  <c r="AR860" i="1"/>
  <c r="AS860" i="1"/>
  <c r="AR861" i="1"/>
  <c r="AS861" i="1"/>
  <c r="AR862" i="1"/>
  <c r="AS862" i="1"/>
  <c r="AR863" i="1"/>
  <c r="AS863" i="1"/>
  <c r="AR864" i="1"/>
  <c r="AS864" i="1"/>
  <c r="AR865" i="1"/>
  <c r="AS865" i="1"/>
  <c r="AR866" i="1"/>
  <c r="AS866" i="1"/>
  <c r="AR867" i="1"/>
  <c r="AS867" i="1"/>
  <c r="AR868" i="1"/>
  <c r="AS868" i="1"/>
  <c r="AR869" i="1"/>
  <c r="AS869" i="1"/>
  <c r="AR870" i="1"/>
  <c r="AS870" i="1"/>
  <c r="AR871" i="1"/>
  <c r="AS871" i="1"/>
  <c r="AR872" i="1"/>
  <c r="AS872" i="1"/>
  <c r="AR873" i="1"/>
  <c r="AS873" i="1"/>
  <c r="AR874" i="1"/>
  <c r="AS874" i="1"/>
  <c r="AR875" i="1"/>
  <c r="AS875" i="1"/>
  <c r="AR876" i="1"/>
  <c r="AS876" i="1"/>
  <c r="AR877" i="1"/>
  <c r="AS877" i="1"/>
  <c r="AR878" i="1"/>
  <c r="AS878" i="1"/>
  <c r="AR879" i="1"/>
  <c r="AS879" i="1"/>
  <c r="AR880" i="1"/>
  <c r="AS880" i="1"/>
  <c r="AR881" i="1"/>
  <c r="AS881" i="1"/>
  <c r="AR882" i="1"/>
  <c r="AS882" i="1"/>
  <c r="AR883" i="1"/>
  <c r="AS883" i="1"/>
  <c r="AR884" i="1"/>
  <c r="AS884" i="1"/>
  <c r="AR885" i="1"/>
  <c r="AS885" i="1"/>
  <c r="AR886" i="1"/>
  <c r="AS886" i="1"/>
  <c r="AR887" i="1"/>
  <c r="AS887" i="1"/>
  <c r="AR888" i="1"/>
  <c r="AS888" i="1"/>
  <c r="AR889" i="1"/>
  <c r="AS889" i="1"/>
  <c r="AR890" i="1"/>
  <c r="AS890" i="1"/>
  <c r="AR891" i="1"/>
  <c r="AS891" i="1"/>
  <c r="AR892" i="1"/>
  <c r="AS892" i="1"/>
  <c r="AR893" i="1"/>
  <c r="AS893" i="1"/>
  <c r="AR894" i="1"/>
  <c r="AS894" i="1"/>
  <c r="AR895" i="1"/>
  <c r="AS895" i="1"/>
  <c r="AR896" i="1"/>
  <c r="AS896" i="1"/>
  <c r="AR897" i="1"/>
  <c r="AS897" i="1"/>
  <c r="AR898" i="1"/>
  <c r="AS898" i="1"/>
  <c r="AR899" i="1"/>
  <c r="AS899" i="1"/>
  <c r="AR900" i="1"/>
  <c r="AS900" i="1"/>
  <c r="AR901" i="1"/>
  <c r="AS901" i="1"/>
  <c r="AR902" i="1"/>
  <c r="AS902" i="1"/>
  <c r="AR903" i="1"/>
  <c r="AS903" i="1"/>
  <c r="AR904" i="1"/>
  <c r="AS904" i="1"/>
  <c r="AR905" i="1"/>
  <c r="AS905" i="1"/>
  <c r="AR906" i="1"/>
  <c r="AS906" i="1"/>
  <c r="AR907" i="1"/>
  <c r="AS907" i="1"/>
  <c r="AR908" i="1"/>
  <c r="AS908" i="1"/>
  <c r="AR909" i="1"/>
  <c r="AS909" i="1"/>
  <c r="AR910" i="1"/>
  <c r="AS910" i="1"/>
  <c r="AR911" i="1"/>
  <c r="AS911" i="1"/>
  <c r="AR912" i="1"/>
  <c r="AS912" i="1"/>
  <c r="AR913" i="1"/>
  <c r="AS913" i="1"/>
  <c r="AR914" i="1"/>
  <c r="AS914" i="1"/>
  <c r="AR915" i="1"/>
  <c r="AS915" i="1"/>
  <c r="AR916" i="1"/>
  <c r="AS916" i="1"/>
  <c r="AR917" i="1"/>
  <c r="AS917" i="1"/>
  <c r="AR918" i="1"/>
  <c r="AS918" i="1"/>
  <c r="AR919" i="1"/>
  <c r="AS919" i="1"/>
  <c r="AR920" i="1"/>
  <c r="AS920" i="1"/>
  <c r="AR921" i="1"/>
  <c r="AS921" i="1"/>
  <c r="AR922" i="1"/>
  <c r="AS922" i="1"/>
  <c r="AR923" i="1"/>
  <c r="AS923" i="1"/>
  <c r="AR924" i="1"/>
  <c r="AS924" i="1"/>
  <c r="AR925" i="1"/>
  <c r="AS925" i="1"/>
  <c r="AR926" i="1"/>
  <c r="AS926" i="1"/>
  <c r="AR927" i="1"/>
  <c r="AS927" i="1"/>
  <c r="AR928" i="1"/>
  <c r="AS928" i="1"/>
  <c r="AR929" i="1"/>
  <c r="AS929" i="1"/>
  <c r="AR930" i="1"/>
  <c r="AS930" i="1"/>
  <c r="AR931" i="1"/>
  <c r="AS931" i="1"/>
  <c r="AR932" i="1"/>
  <c r="AS932" i="1"/>
  <c r="AR933" i="1"/>
  <c r="AS933" i="1"/>
  <c r="AR934" i="1"/>
  <c r="AS934" i="1"/>
  <c r="AR935" i="1"/>
  <c r="AS935" i="1"/>
  <c r="AR936" i="1"/>
  <c r="AS936" i="1"/>
  <c r="AR937" i="1"/>
  <c r="AS937" i="1"/>
  <c r="AR938" i="1"/>
  <c r="AS938" i="1"/>
  <c r="AR939" i="1"/>
  <c r="AS939" i="1"/>
  <c r="AR940" i="1"/>
  <c r="AS940" i="1"/>
  <c r="AR941" i="1"/>
  <c r="AS941" i="1"/>
  <c r="AR942" i="1"/>
  <c r="AS942" i="1"/>
  <c r="AR943" i="1"/>
  <c r="AS943" i="1"/>
  <c r="AR944" i="1"/>
  <c r="AS944" i="1"/>
  <c r="AR945" i="1"/>
  <c r="AS945" i="1"/>
  <c r="AR946" i="1"/>
  <c r="AS946" i="1"/>
  <c r="AR947" i="1"/>
  <c r="AS947" i="1"/>
  <c r="AR948" i="1"/>
  <c r="AS948" i="1"/>
  <c r="AR949" i="1"/>
  <c r="AS949" i="1"/>
  <c r="AR950" i="1"/>
  <c r="AS950" i="1"/>
  <c r="AR951" i="1"/>
  <c r="AS951" i="1"/>
  <c r="AR952" i="1"/>
  <c r="AS952" i="1"/>
  <c r="AR953" i="1"/>
  <c r="AS953" i="1"/>
  <c r="AR954" i="1"/>
  <c r="AS954" i="1"/>
  <c r="AR955" i="1"/>
  <c r="AS955" i="1"/>
  <c r="AR956" i="1"/>
  <c r="AS956" i="1"/>
  <c r="AR957" i="1"/>
  <c r="AS957" i="1"/>
  <c r="AR958" i="1"/>
  <c r="AS958" i="1"/>
  <c r="AR959" i="1"/>
  <c r="AS959" i="1"/>
  <c r="AR960" i="1"/>
  <c r="AS960" i="1"/>
  <c r="AR961" i="1"/>
  <c r="AS961" i="1"/>
  <c r="AR962" i="1"/>
  <c r="AS962" i="1"/>
  <c r="AR963" i="1"/>
  <c r="AS963" i="1"/>
  <c r="AR964" i="1"/>
  <c r="AS964" i="1"/>
  <c r="AR965" i="1"/>
  <c r="AS965" i="1"/>
  <c r="AR966" i="1"/>
  <c r="AS966" i="1"/>
  <c r="AR967" i="1"/>
  <c r="AS967" i="1"/>
  <c r="AR968" i="1"/>
  <c r="AS968" i="1"/>
  <c r="AR969" i="1"/>
  <c r="AS969" i="1"/>
  <c r="AR970" i="1"/>
  <c r="AS970" i="1"/>
  <c r="AR971" i="1"/>
  <c r="AS971" i="1"/>
  <c r="AR972" i="1"/>
  <c r="AS972" i="1"/>
  <c r="AR973" i="1"/>
  <c r="AS973" i="1"/>
  <c r="AR974" i="1"/>
  <c r="AS974" i="1"/>
  <c r="AR975" i="1"/>
  <c r="AS975" i="1"/>
  <c r="AR976" i="1"/>
  <c r="AS976" i="1"/>
  <c r="AR977" i="1"/>
  <c r="AS977" i="1"/>
  <c r="AR978" i="1"/>
  <c r="AS978" i="1"/>
  <c r="AR979" i="1"/>
  <c r="AS979" i="1"/>
  <c r="AR980" i="1"/>
  <c r="AS980" i="1"/>
  <c r="AR981" i="1"/>
  <c r="AS981" i="1"/>
  <c r="AR982" i="1"/>
  <c r="AS982" i="1"/>
  <c r="AR983" i="1"/>
  <c r="AS983" i="1"/>
  <c r="AR984" i="1"/>
  <c r="AS984" i="1"/>
  <c r="AR985" i="1"/>
  <c r="AS985" i="1"/>
  <c r="AR986" i="1"/>
  <c r="AS986" i="1"/>
  <c r="AR987" i="1"/>
  <c r="AS987" i="1"/>
  <c r="AR988" i="1"/>
  <c r="AS988" i="1"/>
  <c r="AR989" i="1"/>
  <c r="AS989" i="1"/>
  <c r="AR990" i="1"/>
  <c r="AS990" i="1"/>
  <c r="AR991" i="1"/>
  <c r="AS991" i="1"/>
  <c r="AR992" i="1"/>
  <c r="AS992" i="1"/>
  <c r="AR993" i="1"/>
  <c r="AS993" i="1"/>
  <c r="AR994" i="1"/>
  <c r="AS994" i="1"/>
  <c r="AR995" i="1"/>
  <c r="AS995" i="1"/>
  <c r="AR996" i="1"/>
  <c r="AS996" i="1"/>
  <c r="AR997" i="1"/>
  <c r="AS997" i="1"/>
  <c r="AR998" i="1"/>
  <c r="AS998" i="1"/>
  <c r="AR999" i="1"/>
  <c r="AS999" i="1"/>
  <c r="AR1000" i="1"/>
  <c r="AS1000" i="1"/>
  <c r="AR1001" i="1"/>
  <c r="AS1001" i="1"/>
  <c r="AR1002" i="1"/>
  <c r="AS1002" i="1"/>
  <c r="AR1003" i="1"/>
  <c r="AS1003" i="1"/>
  <c r="AR1004" i="1"/>
  <c r="AS1004" i="1"/>
  <c r="AR1005" i="1"/>
  <c r="AS1005" i="1"/>
  <c r="AR1006" i="1"/>
  <c r="AS1006" i="1"/>
  <c r="AR1007" i="1"/>
  <c r="AS1007" i="1"/>
  <c r="AR1008" i="1"/>
  <c r="AS1008" i="1"/>
  <c r="AR1009" i="1"/>
  <c r="AS1009" i="1"/>
  <c r="AR1010" i="1"/>
  <c r="AS1010" i="1"/>
  <c r="AR1011" i="1"/>
  <c r="AS1011" i="1"/>
  <c r="AR1012" i="1"/>
  <c r="AS1012" i="1"/>
  <c r="AR1013" i="1"/>
  <c r="AS1013" i="1"/>
  <c r="AR1014" i="1"/>
  <c r="AS1014" i="1"/>
  <c r="AR1015" i="1"/>
  <c r="AS1015" i="1"/>
  <c r="AR1016" i="1"/>
  <c r="AS1016" i="1"/>
  <c r="AR1017" i="1"/>
  <c r="AS1017" i="1"/>
  <c r="AR1018" i="1"/>
  <c r="AS1018" i="1"/>
  <c r="AR1019" i="1"/>
  <c r="AS1019" i="1"/>
  <c r="AR1020" i="1"/>
  <c r="AS1020" i="1"/>
  <c r="AR1021" i="1"/>
  <c r="AS1021" i="1"/>
  <c r="AR1022" i="1"/>
  <c r="AS1022" i="1"/>
  <c r="AR1023" i="1"/>
  <c r="AS1023" i="1"/>
  <c r="AR1024" i="1"/>
  <c r="AS1024" i="1"/>
  <c r="AR1025" i="1"/>
  <c r="AS1025" i="1"/>
  <c r="AR1026" i="1"/>
  <c r="AS1026" i="1"/>
  <c r="AR1027" i="1"/>
  <c r="AS1027" i="1"/>
  <c r="AR1028" i="1"/>
  <c r="AS1028" i="1"/>
  <c r="AR1029" i="1"/>
  <c r="AS1029" i="1"/>
  <c r="AR1030" i="1"/>
  <c r="AS1030" i="1"/>
  <c r="AR1031" i="1"/>
  <c r="AS1031" i="1"/>
  <c r="AR1032" i="1"/>
  <c r="AS1032" i="1"/>
  <c r="AR1033" i="1"/>
  <c r="AS1033" i="1"/>
  <c r="AR1034" i="1"/>
  <c r="AS1034" i="1"/>
  <c r="AR1035" i="1"/>
  <c r="AS1035" i="1"/>
  <c r="AR1036" i="1"/>
  <c r="AS1036" i="1"/>
  <c r="AR1037" i="1"/>
  <c r="AS1037" i="1"/>
  <c r="AR1038" i="1"/>
  <c r="AS1038" i="1"/>
  <c r="AR1039" i="1"/>
  <c r="AS1039" i="1"/>
  <c r="AR1040" i="1"/>
  <c r="AS1040" i="1"/>
  <c r="AR1041" i="1"/>
  <c r="AS1041" i="1"/>
  <c r="AR1042" i="1"/>
  <c r="AS1042" i="1"/>
  <c r="AR1043" i="1"/>
  <c r="AS1043" i="1"/>
  <c r="AR1044" i="1"/>
  <c r="AS1044" i="1"/>
  <c r="AR1045" i="1"/>
  <c r="AS1045" i="1"/>
  <c r="AR1046" i="1"/>
  <c r="AS1046" i="1"/>
  <c r="AR1047" i="1"/>
  <c r="AS1047" i="1"/>
  <c r="AR1048" i="1"/>
  <c r="AS1048" i="1"/>
  <c r="AR1049" i="1"/>
  <c r="AS1049" i="1"/>
  <c r="AR1050" i="1"/>
  <c r="AS1050" i="1"/>
  <c r="AR1051" i="1"/>
  <c r="AS1051" i="1"/>
  <c r="AR1052" i="1"/>
  <c r="AS1052" i="1"/>
  <c r="AR1053" i="1"/>
  <c r="AS1053" i="1"/>
  <c r="AR1054" i="1"/>
  <c r="AS1054" i="1"/>
  <c r="AR1055" i="1"/>
  <c r="AS1055" i="1"/>
  <c r="AR1056" i="1"/>
  <c r="AS1056" i="1"/>
  <c r="AR1057" i="1"/>
  <c r="AS1057" i="1"/>
  <c r="AR1058" i="1"/>
  <c r="AS1058" i="1"/>
  <c r="AR1059" i="1"/>
  <c r="AS1059" i="1"/>
  <c r="AR1060" i="1"/>
  <c r="AS1060" i="1"/>
  <c r="AR1061" i="1"/>
  <c r="AS1061" i="1"/>
  <c r="AR1062" i="1"/>
  <c r="AS1062" i="1"/>
  <c r="AR1063" i="1"/>
  <c r="AS1063" i="1"/>
  <c r="AR1064" i="1"/>
  <c r="AS1064" i="1"/>
  <c r="AR1065" i="1"/>
  <c r="AS1065" i="1"/>
  <c r="AR1066" i="1"/>
  <c r="AS1066" i="1"/>
  <c r="AR1067" i="1"/>
  <c r="AS1067" i="1"/>
  <c r="AR1068" i="1"/>
  <c r="AS1068" i="1"/>
  <c r="AR1069" i="1"/>
  <c r="AS1069" i="1"/>
  <c r="AR1070" i="1"/>
  <c r="AS1070" i="1"/>
  <c r="AR1071" i="1"/>
  <c r="AS1071" i="1"/>
  <c r="AR1072" i="1"/>
  <c r="AS1072" i="1"/>
  <c r="AR1073" i="1"/>
  <c r="AS1073" i="1"/>
  <c r="AR1074" i="1"/>
  <c r="AS1074" i="1"/>
  <c r="AR1075" i="1"/>
  <c r="AS1075" i="1"/>
  <c r="AR1076" i="1"/>
  <c r="AS1076" i="1"/>
  <c r="AR1077" i="1"/>
  <c r="AS1077" i="1"/>
  <c r="AR1078" i="1"/>
  <c r="AS1078" i="1"/>
  <c r="AR1079" i="1"/>
  <c r="AS1079" i="1"/>
  <c r="AR1080" i="1"/>
  <c r="AS1080" i="1"/>
  <c r="AR1081" i="1"/>
  <c r="AS1081" i="1"/>
  <c r="AR1082" i="1"/>
  <c r="AS1082" i="1"/>
  <c r="AR1083" i="1"/>
  <c r="AS1083" i="1"/>
  <c r="AR1084" i="1"/>
  <c r="AS1084" i="1"/>
  <c r="AR1085" i="1"/>
  <c r="AS1085" i="1"/>
  <c r="AR1086" i="1"/>
  <c r="AS1086" i="1"/>
  <c r="AR1087" i="1"/>
  <c r="AS1087" i="1"/>
  <c r="AR1088" i="1"/>
  <c r="AS1088" i="1"/>
  <c r="AR1089" i="1"/>
  <c r="AS1089" i="1"/>
  <c r="AR1090" i="1"/>
  <c r="AS1090" i="1"/>
  <c r="AR1091" i="1"/>
  <c r="AS1091" i="1"/>
  <c r="AR1092" i="1"/>
  <c r="AS1092" i="1"/>
  <c r="AR1093" i="1"/>
  <c r="AS1093" i="1"/>
  <c r="AR1094" i="1"/>
  <c r="AS1094" i="1"/>
  <c r="AR1095" i="1"/>
  <c r="AS1095" i="1"/>
  <c r="AR1096" i="1"/>
  <c r="AS1096" i="1"/>
  <c r="AR1097" i="1"/>
  <c r="AS1097" i="1"/>
  <c r="AR1098" i="1"/>
  <c r="AS1098" i="1"/>
  <c r="AR1099" i="1"/>
  <c r="AS1099" i="1"/>
  <c r="AR1100" i="1"/>
  <c r="AS1100" i="1"/>
  <c r="AR1101" i="1"/>
  <c r="AS1101" i="1"/>
  <c r="AR1102" i="1"/>
  <c r="AS1102" i="1"/>
  <c r="AR1103" i="1"/>
  <c r="AS1103" i="1"/>
  <c r="AR1104" i="1"/>
  <c r="AS1104" i="1"/>
  <c r="AR1105" i="1"/>
  <c r="AS1105" i="1"/>
  <c r="AR1106" i="1"/>
  <c r="AS1106" i="1"/>
  <c r="AR1107" i="1"/>
  <c r="AS1107" i="1"/>
  <c r="AR1108" i="1"/>
  <c r="AS1108" i="1"/>
  <c r="AR1109" i="1"/>
  <c r="AS1109" i="1"/>
  <c r="AR1110" i="1"/>
  <c r="AS1110" i="1"/>
  <c r="AR1111" i="1"/>
  <c r="AS1111" i="1"/>
  <c r="AR1112" i="1"/>
  <c r="AS1112" i="1"/>
  <c r="AR1113" i="1"/>
  <c r="AS1113" i="1"/>
  <c r="AR1114" i="1"/>
  <c r="AS1114" i="1"/>
  <c r="AR1115" i="1"/>
  <c r="AS1115" i="1"/>
  <c r="AR1116" i="1"/>
  <c r="AS1116" i="1"/>
  <c r="AR1117" i="1"/>
  <c r="AS1117" i="1"/>
  <c r="AR1118" i="1"/>
  <c r="AS1118" i="1"/>
  <c r="AR1119" i="1"/>
  <c r="AS1119" i="1"/>
  <c r="AR1120" i="1"/>
  <c r="AS1120" i="1"/>
  <c r="AR1121" i="1"/>
  <c r="AS1121" i="1"/>
  <c r="AR1122" i="1"/>
  <c r="AS1122" i="1"/>
  <c r="AR1123" i="1"/>
  <c r="AS1123" i="1"/>
  <c r="AR1124" i="1"/>
  <c r="AS1124" i="1"/>
  <c r="AR1125" i="1"/>
  <c r="AS1125" i="1"/>
  <c r="AR1126" i="1"/>
  <c r="AS1126" i="1"/>
  <c r="AR1127" i="1"/>
  <c r="AS1127" i="1"/>
  <c r="AR1128" i="1"/>
  <c r="AS1128" i="1"/>
  <c r="AR1129" i="1"/>
  <c r="AS1129" i="1"/>
  <c r="AR1130" i="1"/>
  <c r="AS1130" i="1"/>
  <c r="AR1131" i="1"/>
  <c r="AS1131" i="1"/>
  <c r="AR1132" i="1"/>
  <c r="AS1132" i="1"/>
  <c r="AR1133" i="1"/>
  <c r="AS1133" i="1"/>
  <c r="AR1134" i="1"/>
  <c r="AS1134" i="1"/>
  <c r="AR1135" i="1"/>
  <c r="AS1135" i="1"/>
  <c r="AR1136" i="1"/>
  <c r="AS1136" i="1"/>
  <c r="AR1137" i="1"/>
  <c r="AS1137" i="1"/>
  <c r="AR1138" i="1"/>
  <c r="AS1138" i="1"/>
  <c r="AR1139" i="1"/>
  <c r="AS1139" i="1"/>
  <c r="AR1140" i="1"/>
  <c r="AS1140" i="1"/>
  <c r="AR1141" i="1"/>
  <c r="AS1141" i="1"/>
  <c r="AR1142" i="1"/>
  <c r="AS1142" i="1"/>
  <c r="AR1143" i="1"/>
  <c r="AS1143" i="1"/>
  <c r="AR1144" i="1"/>
  <c r="AS1144" i="1"/>
  <c r="AR1145" i="1"/>
  <c r="AS1145" i="1"/>
  <c r="AR1146" i="1"/>
  <c r="AS1146" i="1"/>
  <c r="AR1147" i="1"/>
  <c r="AS1147" i="1"/>
  <c r="AR1148" i="1"/>
  <c r="AS1148" i="1"/>
  <c r="AR1149" i="1"/>
  <c r="AS1149" i="1"/>
  <c r="AR1150" i="1"/>
  <c r="AS1150" i="1"/>
  <c r="AR1151" i="1"/>
  <c r="AS1151" i="1"/>
  <c r="AR1152" i="1"/>
  <c r="AS1152" i="1"/>
  <c r="AR1153" i="1"/>
  <c r="AS1153" i="1"/>
  <c r="AR1154" i="1"/>
  <c r="AS1154" i="1"/>
  <c r="AR1155" i="1"/>
  <c r="AS1155" i="1"/>
  <c r="AR1156" i="1"/>
  <c r="AS1156" i="1"/>
  <c r="AR1157" i="1"/>
  <c r="AS1157" i="1"/>
  <c r="AR1158" i="1"/>
  <c r="AS1158" i="1"/>
  <c r="AR1159" i="1"/>
  <c r="AS1159" i="1"/>
  <c r="AR1160" i="1"/>
  <c r="AS1160" i="1"/>
  <c r="AR1161" i="1"/>
  <c r="AS1161" i="1"/>
  <c r="AR1162" i="1"/>
  <c r="AS1162" i="1"/>
  <c r="AR1163" i="1"/>
  <c r="AS1163" i="1"/>
  <c r="AR1164" i="1"/>
  <c r="AS1164" i="1"/>
  <c r="AR1165" i="1"/>
  <c r="AS1165" i="1"/>
  <c r="AR1166" i="1"/>
  <c r="AS1166" i="1"/>
  <c r="AR1167" i="1"/>
  <c r="AS1167" i="1"/>
  <c r="AR1168" i="1"/>
  <c r="AS1168" i="1"/>
  <c r="AR1169" i="1"/>
  <c r="AS1169" i="1"/>
  <c r="AR1170" i="1"/>
  <c r="AS1170" i="1"/>
  <c r="AR1171" i="1"/>
  <c r="AS1171" i="1"/>
  <c r="AR1172" i="1"/>
  <c r="AS1172" i="1"/>
  <c r="AR1173" i="1"/>
  <c r="AS1173" i="1"/>
  <c r="AR1174" i="1"/>
  <c r="AS1174" i="1"/>
  <c r="AR1175" i="1"/>
  <c r="AS1175" i="1"/>
  <c r="AR1176" i="1"/>
  <c r="AS1176" i="1"/>
  <c r="AR1177" i="1"/>
  <c r="AS1177" i="1"/>
  <c r="AR1178" i="1"/>
  <c r="AS1178" i="1"/>
  <c r="AR1179" i="1"/>
  <c r="AS1179" i="1"/>
  <c r="AR1180" i="1"/>
  <c r="AS1180" i="1"/>
  <c r="AR1181" i="1"/>
  <c r="AS1181" i="1"/>
  <c r="AR1182" i="1"/>
  <c r="AS1182" i="1"/>
  <c r="AR1183" i="1"/>
  <c r="AS1183" i="1"/>
  <c r="AR1184" i="1"/>
  <c r="AS1184" i="1"/>
  <c r="AR1185" i="1"/>
  <c r="AS1185" i="1"/>
  <c r="AR1186" i="1"/>
  <c r="AS1186" i="1"/>
  <c r="AR1187" i="1"/>
  <c r="AS1187" i="1"/>
  <c r="AR1188" i="1"/>
  <c r="AS1188" i="1"/>
  <c r="AR1189" i="1"/>
  <c r="AS1189" i="1"/>
  <c r="AR1190" i="1"/>
  <c r="AS1190" i="1"/>
  <c r="AR1191" i="1"/>
  <c r="AS1191" i="1"/>
  <c r="AR1192" i="1"/>
  <c r="AS1192" i="1"/>
  <c r="AR1193" i="1"/>
  <c r="AS1193" i="1"/>
  <c r="AR1194" i="1"/>
  <c r="AS1194" i="1"/>
  <c r="AR1195" i="1"/>
  <c r="AS1195" i="1"/>
  <c r="AR1196" i="1"/>
  <c r="AS1196" i="1"/>
  <c r="AR1197" i="1"/>
  <c r="AS1197" i="1"/>
  <c r="AR1198" i="1"/>
  <c r="AS1198" i="1"/>
  <c r="AR1199" i="1"/>
  <c r="AS1199" i="1"/>
  <c r="AR1200" i="1"/>
  <c r="AS1200" i="1"/>
  <c r="AR1201" i="1"/>
  <c r="AS1201" i="1"/>
  <c r="AR1202" i="1"/>
  <c r="AS1202" i="1"/>
  <c r="AR1203" i="1"/>
  <c r="AS1203" i="1"/>
  <c r="AR1204" i="1"/>
  <c r="AS1204" i="1"/>
  <c r="AR1205" i="1"/>
  <c r="AS1205" i="1"/>
  <c r="AR1206" i="1"/>
  <c r="AS1206" i="1"/>
  <c r="AR1207" i="1"/>
  <c r="AS1207" i="1"/>
  <c r="AR1208" i="1"/>
  <c r="AS1208" i="1"/>
  <c r="AR1209" i="1"/>
  <c r="AS1209" i="1"/>
  <c r="AR1210" i="1"/>
  <c r="AS1210" i="1"/>
  <c r="AR1211" i="1"/>
  <c r="AS1211" i="1"/>
  <c r="AR1212" i="1"/>
  <c r="AS1212" i="1"/>
  <c r="AR1213" i="1"/>
  <c r="AS1213" i="1"/>
  <c r="AR1214" i="1"/>
  <c r="AS1214" i="1"/>
  <c r="AR1215" i="1"/>
  <c r="AS1215" i="1"/>
  <c r="AR1216" i="1"/>
  <c r="AS1216" i="1"/>
  <c r="AR1217" i="1"/>
  <c r="AS1217" i="1"/>
  <c r="AR1218" i="1"/>
  <c r="AS1218" i="1"/>
  <c r="AR1219" i="1"/>
  <c r="AS1219" i="1"/>
  <c r="AR1220" i="1"/>
  <c r="AS1220" i="1"/>
  <c r="AR1221" i="1"/>
  <c r="AS1221" i="1"/>
  <c r="AR1222" i="1"/>
  <c r="AS1222" i="1"/>
  <c r="AR1223" i="1"/>
  <c r="AS1223" i="1"/>
  <c r="AR1224" i="1"/>
  <c r="AS1224" i="1"/>
  <c r="AR1225" i="1"/>
  <c r="AS1225" i="1"/>
  <c r="AR1226" i="1"/>
  <c r="AS1226" i="1"/>
  <c r="AR1227" i="1"/>
  <c r="AS1227" i="1"/>
  <c r="AR1228" i="1"/>
  <c r="AS1228" i="1"/>
  <c r="AR1229" i="1"/>
  <c r="AS1229" i="1"/>
  <c r="AR1230" i="1"/>
  <c r="AS1230" i="1"/>
  <c r="AR1231" i="1"/>
  <c r="AS1231" i="1"/>
  <c r="AR1232" i="1"/>
  <c r="AS1232" i="1"/>
  <c r="AR1233" i="1"/>
  <c r="AS1233" i="1"/>
  <c r="AR1234" i="1"/>
  <c r="AS1234" i="1"/>
  <c r="AR1235" i="1"/>
  <c r="AS1235" i="1"/>
  <c r="AR1236" i="1"/>
  <c r="AS1236" i="1"/>
  <c r="AR1237" i="1"/>
  <c r="AS1237" i="1"/>
  <c r="AR1238" i="1"/>
  <c r="AS1238" i="1"/>
  <c r="AR1239" i="1"/>
  <c r="AS1239" i="1"/>
  <c r="AR1240" i="1"/>
  <c r="AS1240" i="1"/>
  <c r="AR1241" i="1"/>
  <c r="AS1241" i="1"/>
  <c r="AR1242" i="1"/>
  <c r="AS1242" i="1"/>
  <c r="AR1243" i="1"/>
  <c r="AS1243" i="1"/>
  <c r="AR1244" i="1"/>
  <c r="AS1244" i="1"/>
  <c r="AR1245" i="1"/>
  <c r="AS1245" i="1"/>
  <c r="AR1246" i="1"/>
  <c r="AS1246" i="1"/>
  <c r="AR1247" i="1"/>
  <c r="AS1247" i="1"/>
  <c r="AR1248" i="1"/>
  <c r="AS1248" i="1"/>
  <c r="AR1249" i="1"/>
  <c r="AS1249" i="1"/>
  <c r="AR1250" i="1"/>
  <c r="AS1250" i="1"/>
  <c r="AR1251" i="1"/>
  <c r="AS1251" i="1"/>
  <c r="AR1252" i="1"/>
  <c r="AS1252" i="1"/>
  <c r="AR1253" i="1"/>
  <c r="AS1253" i="1"/>
  <c r="AR1254" i="1"/>
  <c r="AS1254" i="1"/>
  <c r="AR1255" i="1"/>
  <c r="AS1255" i="1"/>
  <c r="AR1256" i="1"/>
  <c r="AS1256" i="1"/>
  <c r="AR1257" i="1"/>
  <c r="AS1257" i="1"/>
  <c r="AR1258" i="1"/>
  <c r="AS1258" i="1"/>
  <c r="AR1259" i="1"/>
  <c r="AS1259" i="1"/>
  <c r="AR1260" i="1"/>
  <c r="AS1260" i="1"/>
  <c r="AR1261" i="1"/>
  <c r="AS1261" i="1"/>
  <c r="AR1262" i="1"/>
  <c r="AS1262" i="1"/>
  <c r="AR1263" i="1"/>
  <c r="AS1263" i="1"/>
  <c r="AR1264" i="1"/>
  <c r="AS1264" i="1"/>
  <c r="AR1265" i="1"/>
  <c r="AS1265" i="1"/>
  <c r="AR1266" i="1"/>
  <c r="AS1266" i="1"/>
  <c r="AR1267" i="1"/>
  <c r="AS1267" i="1"/>
  <c r="AR1268" i="1"/>
  <c r="AS1268" i="1"/>
  <c r="AR1269" i="1"/>
  <c r="AS1269" i="1"/>
  <c r="AR1270" i="1"/>
  <c r="AS1270" i="1"/>
  <c r="AR1271" i="1"/>
  <c r="AS1271" i="1"/>
  <c r="AR1272" i="1"/>
  <c r="AS1272" i="1"/>
  <c r="AR1273" i="1"/>
  <c r="AS1273" i="1"/>
  <c r="AR1274" i="1"/>
  <c r="AS1274" i="1"/>
  <c r="AQ2" i="1"/>
  <c r="AR2" i="1"/>
  <c r="AS2" i="1"/>
  <c r="AR3" i="1"/>
  <c r="AS3" i="1"/>
  <c r="AR4" i="1"/>
  <c r="AS4" i="1"/>
  <c r="AR5" i="1"/>
  <c r="AS5" i="1"/>
  <c r="AR6" i="1"/>
  <c r="AS6" i="1"/>
  <c r="AR7" i="1"/>
  <c r="AS7" i="1"/>
  <c r="AR8" i="1"/>
  <c r="AS8" i="1"/>
  <c r="AR9" i="1"/>
  <c r="AS9" i="1"/>
  <c r="AR10" i="1"/>
  <c r="AS10" i="1"/>
  <c r="AR11" i="1"/>
  <c r="AS11" i="1"/>
  <c r="AR12" i="1"/>
  <c r="AS12" i="1"/>
  <c r="AR13" i="1"/>
  <c r="AS13" i="1"/>
  <c r="AR14" i="1"/>
  <c r="AS14" i="1"/>
  <c r="AR15" i="1"/>
  <c r="AS15" i="1"/>
  <c r="AR16" i="1"/>
  <c r="AS16" i="1"/>
  <c r="AR17" i="1"/>
  <c r="AS17" i="1"/>
  <c r="AR18" i="1"/>
  <c r="AS18" i="1"/>
  <c r="AR19" i="1"/>
  <c r="AS19" i="1"/>
  <c r="AR20" i="1"/>
  <c r="AS20" i="1"/>
  <c r="AR21" i="1"/>
  <c r="AS21" i="1"/>
  <c r="AR22" i="1"/>
  <c r="AS22" i="1"/>
  <c r="AR23" i="1"/>
  <c r="AS23" i="1"/>
  <c r="AR24" i="1"/>
  <c r="AS24" i="1"/>
  <c r="AR25" i="1"/>
  <c r="AS25" i="1"/>
  <c r="AR26" i="1"/>
  <c r="AS26" i="1"/>
  <c r="AR27" i="1"/>
  <c r="AS27" i="1"/>
  <c r="AR28" i="1"/>
  <c r="AS28" i="1"/>
  <c r="AR29" i="1"/>
  <c r="AS29" i="1"/>
  <c r="AR30" i="1"/>
  <c r="AS30" i="1"/>
  <c r="AR31" i="1"/>
  <c r="AS31" i="1"/>
  <c r="AR32" i="1"/>
  <c r="AS32" i="1"/>
  <c r="AR33" i="1"/>
  <c r="AS33" i="1"/>
  <c r="AR34" i="1"/>
  <c r="AS34" i="1"/>
  <c r="AR35" i="1"/>
  <c r="AS35" i="1"/>
  <c r="AR36" i="1"/>
  <c r="AS36" i="1"/>
  <c r="AR37" i="1"/>
  <c r="AS37" i="1"/>
  <c r="AR38" i="1"/>
  <c r="AS38" i="1"/>
  <c r="AR39" i="1"/>
  <c r="AS39" i="1"/>
  <c r="AR40" i="1"/>
  <c r="AS40" i="1"/>
  <c r="AR41" i="1"/>
  <c r="AS41" i="1"/>
  <c r="AR42" i="1"/>
  <c r="AS42" i="1"/>
  <c r="AR43" i="1"/>
  <c r="AS43" i="1"/>
  <c r="AR44" i="1"/>
  <c r="AS44" i="1"/>
  <c r="AR45" i="1"/>
  <c r="AS45" i="1"/>
  <c r="AR46" i="1"/>
  <c r="AS46" i="1"/>
  <c r="AR47" i="1"/>
  <c r="AS47" i="1"/>
  <c r="AR48" i="1"/>
  <c r="AS48" i="1"/>
  <c r="AR49" i="1"/>
  <c r="AS49" i="1"/>
  <c r="AR50" i="1"/>
  <c r="AS50" i="1"/>
  <c r="AR51" i="1"/>
  <c r="AS51" i="1"/>
  <c r="AR52" i="1"/>
  <c r="AS52" i="1"/>
  <c r="AR53" i="1"/>
  <c r="AS53" i="1"/>
  <c r="AR54" i="1"/>
  <c r="AS54" i="1"/>
  <c r="AR55" i="1"/>
  <c r="AS55" i="1"/>
  <c r="AR56" i="1"/>
  <c r="AS56" i="1"/>
  <c r="AR57" i="1"/>
  <c r="AS57" i="1"/>
  <c r="AR58" i="1"/>
  <c r="AS58" i="1"/>
  <c r="AR59" i="1"/>
  <c r="AS59" i="1"/>
  <c r="AR60" i="1"/>
  <c r="AS60" i="1"/>
  <c r="AR61" i="1"/>
  <c r="AS61" i="1"/>
  <c r="AR62" i="1"/>
  <c r="AS62" i="1"/>
  <c r="AR63" i="1"/>
  <c r="AS63" i="1"/>
  <c r="AR64" i="1"/>
  <c r="AS64" i="1"/>
  <c r="AR65" i="1"/>
  <c r="AS65" i="1"/>
  <c r="AR66" i="1"/>
  <c r="AS66" i="1"/>
  <c r="AR67" i="1"/>
  <c r="AS67" i="1"/>
  <c r="AR68" i="1"/>
  <c r="AS68" i="1"/>
  <c r="AR69" i="1"/>
  <c r="AS69" i="1"/>
  <c r="AR70" i="1"/>
  <c r="AS70" i="1"/>
  <c r="AR71" i="1"/>
  <c r="AS71" i="1"/>
  <c r="AR72" i="1"/>
  <c r="AS72" i="1"/>
  <c r="AR73" i="1"/>
  <c r="AS73" i="1"/>
  <c r="AR74" i="1"/>
  <c r="AS74" i="1"/>
  <c r="AR75" i="1"/>
  <c r="AS75" i="1"/>
  <c r="AR76" i="1"/>
  <c r="AS76" i="1"/>
  <c r="AR77" i="1"/>
  <c r="AS77" i="1"/>
  <c r="AR78" i="1"/>
  <c r="AS78" i="1"/>
  <c r="AR79" i="1"/>
  <c r="AS79" i="1"/>
  <c r="AR80" i="1"/>
  <c r="AS80" i="1"/>
  <c r="AR81" i="1"/>
  <c r="AS81" i="1"/>
  <c r="AR82" i="1"/>
  <c r="AS82" i="1"/>
  <c r="AR83" i="1"/>
  <c r="AS83" i="1"/>
  <c r="AR84" i="1"/>
  <c r="AS84" i="1"/>
  <c r="AR85" i="1"/>
  <c r="AS85" i="1"/>
  <c r="AR86" i="1"/>
  <c r="AS86" i="1"/>
  <c r="AR87" i="1"/>
  <c r="AS87" i="1"/>
  <c r="AR88" i="1"/>
  <c r="AS88" i="1"/>
  <c r="AR89" i="1"/>
  <c r="AS89" i="1"/>
  <c r="AR90" i="1"/>
  <c r="AS90" i="1"/>
  <c r="AR91" i="1"/>
  <c r="AS91" i="1"/>
  <c r="AR92" i="1"/>
  <c r="AS92" i="1"/>
  <c r="AR93" i="1"/>
  <c r="AS93" i="1"/>
  <c r="AR94" i="1"/>
  <c r="AS94" i="1"/>
  <c r="AR95" i="1"/>
  <c r="AS95" i="1"/>
  <c r="AR96" i="1"/>
  <c r="AS96" i="1"/>
  <c r="AR97" i="1"/>
  <c r="AS97" i="1"/>
  <c r="AR98" i="1"/>
  <c r="AS98" i="1"/>
  <c r="AR99" i="1"/>
  <c r="AS99" i="1"/>
  <c r="AR100" i="1"/>
  <c r="AS100" i="1"/>
  <c r="AR101" i="1"/>
  <c r="AS101" i="1"/>
  <c r="AR102" i="1"/>
  <c r="AS102" i="1"/>
  <c r="AR103" i="1"/>
  <c r="AS103" i="1"/>
  <c r="AQ3" i="1"/>
  <c r="AQ4" i="1"/>
  <c r="AQ5" i="1"/>
  <c r="AQ6" i="1"/>
  <c r="AQ7" i="1"/>
  <c r="AQ8"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D1253" i="1"/>
  <c r="AD1254" i="1"/>
  <c r="AD1255" i="1"/>
  <c r="AD1256" i="1"/>
  <c r="AD1257" i="1"/>
  <c r="AD1258" i="1"/>
  <c r="AD1259" i="1"/>
  <c r="AP1259" i="1" s="1"/>
  <c r="AD1260" i="1"/>
  <c r="AD1261" i="1"/>
  <c r="AD1262" i="1"/>
  <c r="AD1263" i="1"/>
  <c r="AD1264" i="1"/>
  <c r="AD1265" i="1"/>
  <c r="AD1266" i="1"/>
  <c r="AD1267" i="1"/>
  <c r="AP1267" i="1" s="1"/>
  <c r="AD1268" i="1"/>
  <c r="AD1269" i="1"/>
  <c r="AD1270" i="1"/>
  <c r="AD1271" i="1"/>
  <c r="AD1272" i="1"/>
  <c r="AD1273" i="1"/>
  <c r="AD1274" i="1"/>
  <c r="AD1252" i="1"/>
  <c r="AP1252" i="1" s="1"/>
  <c r="AP1253" i="1"/>
  <c r="AP1254" i="1"/>
  <c r="AP1255" i="1"/>
  <c r="AP1256" i="1"/>
  <c r="AP1257" i="1"/>
  <c r="AP1258" i="1"/>
  <c r="AP1260" i="1"/>
  <c r="AP1261" i="1"/>
  <c r="AP1262" i="1"/>
  <c r="AP1263" i="1"/>
  <c r="AP1264" i="1"/>
  <c r="AP1265" i="1"/>
  <c r="AP1266" i="1"/>
  <c r="AP1268" i="1"/>
  <c r="AP1269" i="1"/>
  <c r="AP1270" i="1"/>
  <c r="AP1271" i="1"/>
  <c r="AP1272" i="1"/>
  <c r="AP1273" i="1"/>
  <c r="AP1274" i="1"/>
  <c r="O7331" i="1"/>
  <c r="O7346" i="1"/>
  <c r="O7347" i="1" s="1"/>
  <c r="R7347" i="1" s="1"/>
  <c r="O7418" i="1"/>
  <c r="O7419" i="1" s="1"/>
  <c r="O7442" i="1"/>
  <c r="O7506" i="1"/>
  <c r="O7516" i="1"/>
  <c r="O7546"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O7315" i="1" s="1"/>
  <c r="A7316" i="1"/>
  <c r="A7317" i="1"/>
  <c r="A7318" i="1"/>
  <c r="A7319" i="1"/>
  <c r="A7320" i="1"/>
  <c r="A7321" i="1"/>
  <c r="A7322" i="1"/>
  <c r="A7323" i="1"/>
  <c r="O7323" i="1" s="1"/>
  <c r="A7324" i="1"/>
  <c r="U7324" i="1" s="1"/>
  <c r="A7325" i="1"/>
  <c r="A7326" i="1"/>
  <c r="A7327" i="1"/>
  <c r="A7328" i="1"/>
  <c r="A7329" i="1"/>
  <c r="A7330" i="1"/>
  <c r="A7331" i="1"/>
  <c r="A7332" i="1"/>
  <c r="A7333" i="1"/>
  <c r="A7334" i="1"/>
  <c r="A7335" i="1"/>
  <c r="A7336" i="1"/>
  <c r="A7337" i="1"/>
  <c r="A7338" i="1"/>
  <c r="A7339" i="1"/>
  <c r="A7340" i="1"/>
  <c r="U7340" i="1" s="1"/>
  <c r="A7341" i="1"/>
  <c r="U7341" i="1" s="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O7364" i="1" s="1"/>
  <c r="O7365" i="1" s="1"/>
  <c r="A7365" i="1"/>
  <c r="A7366" i="1"/>
  <c r="O7366" i="1" s="1"/>
  <c r="A7367" i="1"/>
  <c r="A7368" i="1"/>
  <c r="A7369" i="1"/>
  <c r="A7370" i="1"/>
  <c r="A7371" i="1"/>
  <c r="A7372" i="1"/>
  <c r="U7372" i="1" s="1"/>
  <c r="A7373" i="1"/>
  <c r="A7374" i="1"/>
  <c r="A7375" i="1"/>
  <c r="A7376" i="1"/>
  <c r="A7377" i="1"/>
  <c r="A7378" i="1"/>
  <c r="O7378" i="1" s="1"/>
  <c r="A7379" i="1"/>
  <c r="A7380" i="1"/>
  <c r="A7381" i="1"/>
  <c r="U7381" i="1" s="1"/>
  <c r="A7382" i="1"/>
  <c r="A7383" i="1"/>
  <c r="A7384" i="1"/>
  <c r="A7385" i="1"/>
  <c r="A7386" i="1"/>
  <c r="A7387" i="1"/>
  <c r="A7388" i="1"/>
  <c r="A7389" i="1"/>
  <c r="A7390" i="1"/>
  <c r="A7391" i="1"/>
  <c r="A7392" i="1"/>
  <c r="A7393" i="1"/>
  <c r="A7394" i="1"/>
  <c r="A7395" i="1"/>
  <c r="O7395" i="1" s="1"/>
  <c r="A7396" i="1"/>
  <c r="A7397" i="1"/>
  <c r="O7397" i="1" s="1"/>
  <c r="A7398" i="1"/>
  <c r="A7399" i="1"/>
  <c r="A7400" i="1"/>
  <c r="A7401" i="1"/>
  <c r="A7402" i="1"/>
  <c r="A7403" i="1"/>
  <c r="O7403" i="1" s="1"/>
  <c r="R7403" i="1" s="1"/>
  <c r="A7404" i="1"/>
  <c r="A7405" i="1"/>
  <c r="O7405" i="1" s="1"/>
  <c r="A7406" i="1"/>
  <c r="A7407" i="1"/>
  <c r="A7408" i="1"/>
  <c r="A7409" i="1"/>
  <c r="A7410" i="1"/>
  <c r="A7411" i="1"/>
  <c r="A7412" i="1"/>
  <c r="A7413" i="1"/>
  <c r="A7414" i="1"/>
  <c r="A7415" i="1"/>
  <c r="A7416" i="1"/>
  <c r="A7417" i="1"/>
  <c r="A7418" i="1"/>
  <c r="A7419" i="1"/>
  <c r="A7420" i="1"/>
  <c r="O7420" i="1" s="1"/>
  <c r="A7421" i="1"/>
  <c r="A7422" i="1"/>
  <c r="A7423" i="1"/>
  <c r="A7424" i="1"/>
  <c r="A7425" i="1"/>
  <c r="A7426" i="1"/>
  <c r="O7426" i="1" s="1"/>
  <c r="A7427" i="1"/>
  <c r="O7427" i="1" s="1"/>
  <c r="A7428" i="1"/>
  <c r="A7429" i="1"/>
  <c r="O7429" i="1" s="1"/>
  <c r="A7430" i="1"/>
  <c r="A7431" i="1"/>
  <c r="O7431" i="1" s="1"/>
  <c r="A7432" i="1"/>
  <c r="A7433" i="1"/>
  <c r="A7434" i="1"/>
  <c r="A7435" i="1"/>
  <c r="A7436" i="1"/>
  <c r="A7437" i="1"/>
  <c r="A7438" i="1"/>
  <c r="A7439" i="1"/>
  <c r="A7440" i="1"/>
  <c r="A7441" i="1"/>
  <c r="A7442" i="1"/>
  <c r="A7443" i="1"/>
  <c r="A7444" i="1"/>
  <c r="O7444" i="1" s="1"/>
  <c r="A7445" i="1"/>
  <c r="U7445" i="1" s="1"/>
  <c r="A7446" i="1"/>
  <c r="A7447" i="1"/>
  <c r="A7448" i="1"/>
  <c r="A7449" i="1"/>
  <c r="A7450" i="1"/>
  <c r="A7451" i="1"/>
  <c r="O7451" i="1" s="1"/>
  <c r="A7452" i="1"/>
  <c r="A7453" i="1"/>
  <c r="O7453" i="1" s="1"/>
  <c r="A7454" i="1"/>
  <c r="A7455" i="1"/>
  <c r="A7456" i="1"/>
  <c r="A7457" i="1"/>
  <c r="A7458" i="1"/>
  <c r="A7459" i="1"/>
  <c r="A7460" i="1"/>
  <c r="A7461" i="1"/>
  <c r="A7462" i="1"/>
  <c r="A7463" i="1"/>
  <c r="A7464" i="1"/>
  <c r="A7465" i="1"/>
  <c r="A7466" i="1"/>
  <c r="A7467" i="1"/>
  <c r="O7467" i="1" s="1"/>
  <c r="R7467" i="1" s="1"/>
  <c r="A7468" i="1"/>
  <c r="A7469" i="1"/>
  <c r="A7470" i="1"/>
  <c r="A7471" i="1"/>
  <c r="A7472" i="1"/>
  <c r="A7473" i="1"/>
  <c r="A7474" i="1"/>
  <c r="O7474" i="1" s="1"/>
  <c r="A7475" i="1"/>
  <c r="O7475" i="1" s="1"/>
  <c r="A7476" i="1"/>
  <c r="O7476" i="1" s="1"/>
  <c r="A7477" i="1"/>
  <c r="A7478" i="1"/>
  <c r="O7478" i="1" s="1"/>
  <c r="A7479" i="1"/>
  <c r="A7480" i="1"/>
  <c r="O7480" i="1" s="1"/>
  <c r="A7481" i="1"/>
  <c r="A7482" i="1"/>
  <c r="O7482" i="1" s="1"/>
  <c r="A7483" i="1"/>
  <c r="A7484" i="1"/>
  <c r="A7485" i="1"/>
  <c r="A7486" i="1"/>
  <c r="A7487" i="1"/>
  <c r="A7488" i="1"/>
  <c r="A7489" i="1"/>
  <c r="A7490" i="1"/>
  <c r="O7490" i="1" s="1"/>
  <c r="A7491" i="1"/>
  <c r="A7492" i="1"/>
  <c r="O7492" i="1" s="1"/>
  <c r="A7493" i="1"/>
  <c r="A7494" i="1"/>
  <c r="A7495" i="1"/>
  <c r="A7496" i="1"/>
  <c r="A7497" i="1"/>
  <c r="A7498" i="1"/>
  <c r="O7498" i="1" s="1"/>
  <c r="A7499" i="1"/>
  <c r="O7499" i="1" s="1"/>
  <c r="A7500" i="1"/>
  <c r="O7500" i="1" s="1"/>
  <c r="A7501" i="1"/>
  <c r="A7502" i="1"/>
  <c r="A7503" i="1"/>
  <c r="A7504" i="1"/>
  <c r="A7505" i="1"/>
  <c r="A7506" i="1"/>
  <c r="A7507" i="1"/>
  <c r="O7507" i="1" s="1"/>
  <c r="A7508" i="1"/>
  <c r="A7509" i="1"/>
  <c r="A7510" i="1"/>
  <c r="A7511" i="1"/>
  <c r="A7512" i="1"/>
  <c r="A7513" i="1"/>
  <c r="A7514" i="1"/>
  <c r="O7514" i="1" s="1"/>
  <c r="A7515" i="1"/>
  <c r="O7515" i="1" s="1"/>
  <c r="A7516" i="1"/>
  <c r="U7516" i="1" s="1"/>
  <c r="A7517" i="1"/>
  <c r="A7518" i="1"/>
  <c r="O7518" i="1" s="1"/>
  <c r="A7519" i="1"/>
  <c r="A7520" i="1"/>
  <c r="A7521" i="1"/>
  <c r="A7522" i="1"/>
  <c r="A7523" i="1"/>
  <c r="A7524" i="1"/>
  <c r="A7525" i="1"/>
  <c r="A7526" i="1"/>
  <c r="A7527" i="1"/>
  <c r="A7528" i="1"/>
  <c r="A7529" i="1"/>
  <c r="A7530" i="1"/>
  <c r="A7531" i="1"/>
  <c r="O7531" i="1" s="1"/>
  <c r="R7531" i="1" s="1"/>
  <c r="A7532" i="1"/>
  <c r="A7533" i="1"/>
  <c r="A7534" i="1"/>
  <c r="A7535" i="1"/>
  <c r="A7536" i="1"/>
  <c r="A7537" i="1"/>
  <c r="A7538" i="1"/>
  <c r="A7539" i="1"/>
  <c r="A7540" i="1"/>
  <c r="U7540" i="1" s="1"/>
  <c r="A7541" i="1"/>
  <c r="A7542" i="1"/>
  <c r="A7543" i="1"/>
  <c r="A7544" i="1"/>
  <c r="A7545" i="1"/>
  <c r="A7546" i="1"/>
  <c r="A7547" i="1"/>
  <c r="A7548" i="1"/>
  <c r="O7548" i="1" s="1"/>
  <c r="A7549" i="1"/>
  <c r="A7550" i="1"/>
  <c r="A7551" i="1"/>
  <c r="A7552" i="1"/>
  <c r="A7553" i="1"/>
  <c r="A7554" i="1"/>
  <c r="A7555" i="1"/>
  <c r="U7555" i="1" s="1"/>
  <c r="A7556" i="1"/>
  <c r="A7557" i="1"/>
  <c r="O7557" i="1" s="1"/>
  <c r="A7558" i="1"/>
  <c r="A7559" i="1"/>
  <c r="A7560" i="1"/>
  <c r="A7561" i="1"/>
  <c r="A7562" i="1"/>
  <c r="A7563" i="1"/>
  <c r="Q7562" i="1" s="1"/>
  <c r="A7564" i="1"/>
  <c r="A7565" i="1"/>
  <c r="A7566" i="1"/>
  <c r="A7567" i="1"/>
  <c r="A7568" i="1"/>
  <c r="A7569" i="1"/>
  <c r="A7570" i="1"/>
  <c r="O7570" i="1" s="1"/>
  <c r="A7571" i="1"/>
  <c r="Q7571" i="1" s="1"/>
  <c r="A7278" i="1"/>
  <c r="B10" i="10"/>
  <c r="E10" i="10"/>
  <c r="G8" i="10"/>
  <c r="F8" i="10"/>
  <c r="E8" i="10"/>
  <c r="G7" i="10"/>
  <c r="F7" i="10"/>
  <c r="E7" i="10"/>
  <c r="G6" i="10"/>
  <c r="F6" i="10"/>
  <c r="E6" i="10"/>
  <c r="E5" i="10"/>
  <c r="E4" i="10"/>
  <c r="G3" i="10"/>
  <c r="F3" i="10"/>
  <c r="E3" i="10"/>
  <c r="G1" i="10"/>
  <c r="F1" i="10"/>
  <c r="E1" i="10"/>
  <c r="D10" i="15" l="1"/>
  <c r="A91" i="15"/>
  <c r="A94" i="15" s="1"/>
  <c r="A86" i="15" s="1"/>
  <c r="L131" i="15" s="1"/>
  <c r="G131" i="15"/>
  <c r="I131" i="15" s="1"/>
  <c r="J131" i="15" s="1"/>
  <c r="K131" i="15" s="1"/>
  <c r="A60" i="15"/>
  <c r="A58" i="15"/>
  <c r="A59" i="15" s="1"/>
  <c r="A63" i="15" s="1"/>
  <c r="C102" i="15"/>
  <c r="C103" i="15" s="1"/>
  <c r="O7379" i="1"/>
  <c r="A61" i="15"/>
  <c r="A62" i="15" s="1"/>
  <c r="J127" i="15"/>
  <c r="K127" i="15" s="1"/>
  <c r="P127" i="15"/>
  <c r="A112" i="15"/>
  <c r="A113" i="15" s="1"/>
  <c r="D17" i="15" s="1"/>
  <c r="J129" i="15"/>
  <c r="K129" i="15" s="1"/>
  <c r="I125" i="15"/>
  <c r="A102" i="15"/>
  <c r="A114" i="15" s="1"/>
  <c r="B102" i="15"/>
  <c r="B103" i="15" s="1"/>
  <c r="E2" i="14"/>
  <c r="G3" i="14"/>
  <c r="M19" i="14"/>
  <c r="V12" i="14"/>
  <c r="M3" i="14"/>
  <c r="B15" i="14"/>
  <c r="C15" i="14" s="1"/>
  <c r="M17" i="14"/>
  <c r="M16" i="14"/>
  <c r="E24" i="14"/>
  <c r="B24" i="14" s="1"/>
  <c r="D91" i="14"/>
  <c r="H91" i="14" s="1"/>
  <c r="N3" i="14"/>
  <c r="T3" i="14" s="1"/>
  <c r="E56" i="14"/>
  <c r="B56" i="14" s="1"/>
  <c r="D96" i="14"/>
  <c r="F91" i="14"/>
  <c r="I92" i="14" s="1"/>
  <c r="M20" i="14"/>
  <c r="E20" i="14" s="1"/>
  <c r="B20" i="14" s="1"/>
  <c r="C20" i="14" s="1"/>
  <c r="M18" i="14"/>
  <c r="F90" i="14"/>
  <c r="D95" i="14"/>
  <c r="B6" i="14"/>
  <c r="C6" i="14" s="1"/>
  <c r="B21" i="14"/>
  <c r="C21" i="14" s="1"/>
  <c r="B8" i="14"/>
  <c r="C8" i="14" s="1"/>
  <c r="B5" i="14"/>
  <c r="C5" i="14" s="1"/>
  <c r="T21" i="14"/>
  <c r="E16" i="14"/>
  <c r="E17" i="14"/>
  <c r="E18" i="14"/>
  <c r="E19" i="14"/>
  <c r="M4" i="14"/>
  <c r="E4" i="14" s="1"/>
  <c r="B4" i="14" s="1"/>
  <c r="B7" i="14"/>
  <c r="C7" i="14" s="1"/>
  <c r="N4" i="14"/>
  <c r="T4" i="14" s="1"/>
  <c r="Q7530" i="1"/>
  <c r="O7491" i="1"/>
  <c r="R7491" i="1" s="1"/>
  <c r="Q7314" i="1"/>
  <c r="U7530" i="1"/>
  <c r="O7381" i="1"/>
  <c r="O7382" i="1" s="1"/>
  <c r="U7514" i="1"/>
  <c r="U7447" i="1"/>
  <c r="U7319" i="1"/>
  <c r="U7303" i="1"/>
  <c r="O7494" i="1"/>
  <c r="R7494" i="1" s="1"/>
  <c r="U7390" i="1"/>
  <c r="U7382" i="1"/>
  <c r="U7366" i="1"/>
  <c r="U7358" i="1"/>
  <c r="U7350" i="1"/>
  <c r="U7334" i="1"/>
  <c r="U7326" i="1"/>
  <c r="U7318" i="1"/>
  <c r="U7302" i="1"/>
  <c r="O7468" i="1"/>
  <c r="O7302" i="1"/>
  <c r="O7481" i="1"/>
  <c r="R7480" i="1"/>
  <c r="R7395" i="1"/>
  <c r="O7396" i="1"/>
  <c r="U7568" i="1"/>
  <c r="U7560" i="1"/>
  <c r="Q7560" i="1"/>
  <c r="Q7559" i="1" s="1"/>
  <c r="U7552" i="1"/>
  <c r="O7552" i="1"/>
  <c r="U7544" i="1"/>
  <c r="O7544" i="1"/>
  <c r="U7536" i="1"/>
  <c r="O7536" i="1"/>
  <c r="U7528" i="1"/>
  <c r="Q7528" i="1"/>
  <c r="Q7527" i="1" s="1"/>
  <c r="O7529" i="1"/>
  <c r="U7520" i="1"/>
  <c r="O7520" i="1"/>
  <c r="O7512" i="1"/>
  <c r="U7512" i="1"/>
  <c r="U7504" i="1"/>
  <c r="O7504" i="1"/>
  <c r="U7496" i="1"/>
  <c r="O7496" i="1"/>
  <c r="U7488" i="1"/>
  <c r="O7488" i="1"/>
  <c r="U7480" i="1"/>
  <c r="U7472" i="1"/>
  <c r="O7472" i="1"/>
  <c r="U7567" i="1"/>
  <c r="O7519" i="1"/>
  <c r="R7518" i="1"/>
  <c r="R7546" i="1"/>
  <c r="O7547" i="1"/>
  <c r="R7442" i="1"/>
  <c r="O7443" i="1"/>
  <c r="R7431" i="1"/>
  <c r="R7515" i="1"/>
  <c r="S7515" i="1"/>
  <c r="T7515" i="1" s="1"/>
  <c r="S7507" i="1"/>
  <c r="T7507" i="1" s="1"/>
  <c r="R7507" i="1"/>
  <c r="S7499" i="1"/>
  <c r="T7499" i="1" s="1"/>
  <c r="R7499" i="1"/>
  <c r="S7475" i="1"/>
  <c r="T7475" i="1" s="1"/>
  <c r="R7475" i="1"/>
  <c r="R7474" i="1" s="1"/>
  <c r="R7451" i="1"/>
  <c r="R7379" i="1"/>
  <c r="R7378" i="1" s="1"/>
  <c r="O7380" i="1"/>
  <c r="O7332" i="1"/>
  <c r="R7570" i="1"/>
  <c r="R7514" i="1"/>
  <c r="R7498" i="1"/>
  <c r="R7490" i="1"/>
  <c r="R7482" i="1"/>
  <c r="R7426" i="1"/>
  <c r="R7419" i="1"/>
  <c r="S7419" i="1"/>
  <c r="T7419" i="1" s="1"/>
  <c r="O7549" i="1"/>
  <c r="R7548" i="1"/>
  <c r="O7501" i="1"/>
  <c r="R7500" i="1"/>
  <c r="O7477" i="1"/>
  <c r="R7476" i="1"/>
  <c r="O7469" i="1"/>
  <c r="R7468" i="1"/>
  <c r="S7468" i="1"/>
  <c r="T7468" i="1" s="1"/>
  <c r="O7452" i="1"/>
  <c r="O7445" i="1"/>
  <c r="R7444" i="1"/>
  <c r="O7428" i="1"/>
  <c r="O7421" i="1"/>
  <c r="R7420" i="1"/>
  <c r="O7404" i="1"/>
  <c r="O7348" i="1"/>
  <c r="O7493" i="1"/>
  <c r="R7492" i="1"/>
  <c r="O7479" i="1"/>
  <c r="R7478" i="1"/>
  <c r="O7430" i="1"/>
  <c r="R7429" i="1"/>
  <c r="O7303" i="1"/>
  <c r="Q7464" i="1"/>
  <c r="U7464" i="1"/>
  <c r="Q7456" i="1"/>
  <c r="U7456" i="1"/>
  <c r="Q7448" i="1"/>
  <c r="U7448" i="1"/>
  <c r="U7440" i="1"/>
  <c r="O7440" i="1"/>
  <c r="U7432" i="1"/>
  <c r="O7432" i="1"/>
  <c r="U7424" i="1"/>
  <c r="O7424" i="1"/>
  <c r="U7416" i="1"/>
  <c r="O7416" i="1"/>
  <c r="U7408" i="1"/>
  <c r="Q7408" i="1"/>
  <c r="Q7407" i="1" s="1"/>
  <c r="U7400" i="1"/>
  <c r="Q7400" i="1"/>
  <c r="U7392" i="1"/>
  <c r="O7392" i="1"/>
  <c r="O7393" i="1" s="1"/>
  <c r="U7384" i="1"/>
  <c r="O7384" i="1"/>
  <c r="O7385" i="1" s="1"/>
  <c r="U7376" i="1"/>
  <c r="Q7368" i="1"/>
  <c r="Q7367" i="1" s="1"/>
  <c r="Q7366" i="1" s="1"/>
  <c r="U7368" i="1"/>
  <c r="Q7360" i="1"/>
  <c r="U7360" i="1"/>
  <c r="U7352" i="1"/>
  <c r="U7344" i="1"/>
  <c r="Q7336" i="1"/>
  <c r="U7336" i="1"/>
  <c r="U7328" i="1"/>
  <c r="U7320" i="1"/>
  <c r="U7312" i="1"/>
  <c r="Q7304" i="1"/>
  <c r="Q7303" i="1" s="1"/>
  <c r="Q7302" i="1" s="1"/>
  <c r="U7304" i="1"/>
  <c r="U7296" i="1"/>
  <c r="U7288" i="1"/>
  <c r="U7280" i="1"/>
  <c r="O7280" i="1"/>
  <c r="O7367" i="1"/>
  <c r="U7559" i="1"/>
  <c r="U7551" i="1"/>
  <c r="Q7551" i="1"/>
  <c r="U7543" i="1"/>
  <c r="Q7543" i="1"/>
  <c r="Q7542" i="1" s="1"/>
  <c r="Q7541" i="1" s="1"/>
  <c r="Q7540" i="1" s="1"/>
  <c r="U7535" i="1"/>
  <c r="Q7535" i="1"/>
  <c r="Q7534" i="1" s="1"/>
  <c r="Q7533" i="1" s="1"/>
  <c r="U7527" i="1"/>
  <c r="O7527" i="1"/>
  <c r="R7527" i="1" s="1"/>
  <c r="Q7519" i="1"/>
  <c r="U7519" i="1"/>
  <c r="U7511" i="1"/>
  <c r="Q7511" i="1"/>
  <c r="Q7510" i="1" s="1"/>
  <c r="U7503" i="1"/>
  <c r="Q7503" i="1"/>
  <c r="Q7502" i="1" s="1"/>
  <c r="U7495" i="1"/>
  <c r="Q7495" i="1"/>
  <c r="Q7494" i="1" s="1"/>
  <c r="U7487" i="1"/>
  <c r="Q7487" i="1"/>
  <c r="Q7486" i="1" s="1"/>
  <c r="U7479" i="1"/>
  <c r="Q7479" i="1"/>
  <c r="Q7478" i="1" s="1"/>
  <c r="U7471" i="1"/>
  <c r="Q7471" i="1"/>
  <c r="Q7470" i="1" s="1"/>
  <c r="U7463" i="1"/>
  <c r="Q7463" i="1"/>
  <c r="O7463" i="1"/>
  <c r="U7455" i="1"/>
  <c r="Q7455" i="1"/>
  <c r="Q7447" i="1"/>
  <c r="Q7446" i="1" s="1"/>
  <c r="Q7439" i="1"/>
  <c r="Q7438" i="1" s="1"/>
  <c r="U7439" i="1"/>
  <c r="U7431" i="1"/>
  <c r="Q7423" i="1"/>
  <c r="Q7422" i="1" s="1"/>
  <c r="U7423" i="1"/>
  <c r="Q7415" i="1"/>
  <c r="Q7414" i="1" s="1"/>
  <c r="Q7413" i="1" s="1"/>
  <c r="U7415" i="1"/>
  <c r="U7407" i="1"/>
  <c r="Q7399" i="1"/>
  <c r="O7399" i="1"/>
  <c r="O7400" i="1" s="1"/>
  <c r="U7399" i="1"/>
  <c r="U7391" i="1"/>
  <c r="Q7391" i="1"/>
  <c r="Q7390" i="1" s="1"/>
  <c r="Q7389" i="1" s="1"/>
  <c r="Q7383" i="1"/>
  <c r="Q7382" i="1" s="1"/>
  <c r="Q7381" i="1" s="1"/>
  <c r="U7383" i="1"/>
  <c r="U7375" i="1"/>
  <c r="O7375" i="1"/>
  <c r="U7367" i="1"/>
  <c r="U7359" i="1"/>
  <c r="Q7359" i="1"/>
  <c r="Q7358" i="1" s="1"/>
  <c r="U7351" i="1"/>
  <c r="U7343" i="1"/>
  <c r="O7343" i="1"/>
  <c r="U7335" i="1"/>
  <c r="Q7335" i="1"/>
  <c r="Q7334" i="1" s="1"/>
  <c r="U7327" i="1"/>
  <c r="U7311" i="1"/>
  <c r="O7311" i="1"/>
  <c r="U7295" i="1"/>
  <c r="O7295" i="1"/>
  <c r="O7296" i="1" s="1"/>
  <c r="U7287" i="1"/>
  <c r="O7287" i="1"/>
  <c r="O7288" i="1" s="1"/>
  <c r="Q7279" i="1"/>
  <c r="Q7278" i="1" s="1"/>
  <c r="U7279" i="1"/>
  <c r="O7517" i="1"/>
  <c r="R7516" i="1"/>
  <c r="O7465" i="1"/>
  <c r="R7418" i="1"/>
  <c r="R7365" i="1"/>
  <c r="R7364" i="1" s="1"/>
  <c r="S7365" i="1"/>
  <c r="S7364" i="1" s="1"/>
  <c r="T7364" i="1" s="1"/>
  <c r="Q7561" i="1"/>
  <c r="U7566" i="1"/>
  <c r="U7558" i="1"/>
  <c r="Q7558" i="1"/>
  <c r="Q7557" i="1" s="1"/>
  <c r="Q7550" i="1"/>
  <c r="U7550" i="1"/>
  <c r="O7550" i="1"/>
  <c r="U7542" i="1"/>
  <c r="U7534" i="1"/>
  <c r="U7526" i="1"/>
  <c r="Q7526" i="1"/>
  <c r="Q7525" i="1" s="1"/>
  <c r="U7518" i="1"/>
  <c r="Q7518" i="1"/>
  <c r="O7510" i="1"/>
  <c r="U7510" i="1"/>
  <c r="U7502" i="1"/>
  <c r="O7502" i="1"/>
  <c r="O7495" i="1"/>
  <c r="R7506" i="1"/>
  <c r="O7407" i="1"/>
  <c r="O7558" i="1"/>
  <c r="R7557" i="1"/>
  <c r="O7454" i="1"/>
  <c r="R7453" i="1"/>
  <c r="O7398" i="1"/>
  <c r="R7397" i="1"/>
  <c r="O7559" i="1"/>
  <c r="R7559" i="1" s="1"/>
  <c r="O7455" i="1"/>
  <c r="O7406" i="1"/>
  <c r="R7405" i="1"/>
  <c r="R7346" i="1"/>
  <c r="Q7569" i="1"/>
  <c r="Q7568" i="1" s="1"/>
  <c r="Q7567" i="1" s="1"/>
  <c r="Q7566" i="1" s="1"/>
  <c r="Q7565" i="1" s="1"/>
  <c r="U7569" i="1"/>
  <c r="U7561" i="1"/>
  <c r="U7553" i="1"/>
  <c r="U7545" i="1"/>
  <c r="Q7545" i="1"/>
  <c r="Q7544" i="1" s="1"/>
  <c r="U7537" i="1"/>
  <c r="U7529" i="1"/>
  <c r="Q7521" i="1"/>
  <c r="Q7520" i="1" s="1"/>
  <c r="U7521" i="1"/>
  <c r="U7513" i="1"/>
  <c r="Q7513" i="1"/>
  <c r="Q7512" i="1" s="1"/>
  <c r="U7505" i="1"/>
  <c r="Q7505" i="1"/>
  <c r="Q7504" i="1" s="1"/>
  <c r="U7497" i="1"/>
  <c r="Q7497" i="1"/>
  <c r="Q7496" i="1" s="1"/>
  <c r="U7489" i="1"/>
  <c r="Q7489" i="1"/>
  <c r="Q7488" i="1" s="1"/>
  <c r="U7481" i="1"/>
  <c r="Q7481" i="1"/>
  <c r="Q7480" i="1" s="1"/>
  <c r="U7473" i="1"/>
  <c r="Q7473" i="1"/>
  <c r="Q7472" i="1" s="1"/>
  <c r="U7465" i="1"/>
  <c r="U7457" i="1"/>
  <c r="U7449" i="1"/>
  <c r="U7441" i="1"/>
  <c r="U7433" i="1"/>
  <c r="Q7433" i="1"/>
  <c r="Q7432" i="1" s="1"/>
  <c r="Q7431" i="1" s="1"/>
  <c r="Q7425" i="1"/>
  <c r="Q7424" i="1" s="1"/>
  <c r="U7425" i="1"/>
  <c r="Q7417" i="1"/>
  <c r="Q7416" i="1" s="1"/>
  <c r="U7417" i="1"/>
  <c r="U7409" i="1"/>
  <c r="U7401" i="1"/>
  <c r="U7393" i="1"/>
  <c r="Q7385" i="1"/>
  <c r="Q7384" i="1" s="1"/>
  <c r="U7385" i="1"/>
  <c r="U7377" i="1"/>
  <c r="Q7377" i="1"/>
  <c r="Q7376" i="1" s="1"/>
  <c r="Q7375" i="1" s="1"/>
  <c r="U7369" i="1"/>
  <c r="U7361" i="1"/>
  <c r="U7353" i="1"/>
  <c r="Q7345" i="1"/>
  <c r="Q7344" i="1" s="1"/>
  <c r="Q7343" i="1" s="1"/>
  <c r="U7345" i="1"/>
  <c r="U7337" i="1"/>
  <c r="U7329" i="1"/>
  <c r="U7321" i="1"/>
  <c r="U7313" i="1"/>
  <c r="Q7313" i="1"/>
  <c r="Q7312" i="1" s="1"/>
  <c r="Q7311" i="1" s="1"/>
  <c r="O7305" i="1"/>
  <c r="O7306" i="1" s="1"/>
  <c r="U7297" i="1"/>
  <c r="U7289" i="1"/>
  <c r="U7281" i="1"/>
  <c r="O7561" i="1"/>
  <c r="O7457" i="1"/>
  <c r="O7369" i="1"/>
  <c r="O7370" i="1" s="1"/>
  <c r="O7334" i="1"/>
  <c r="U7494" i="1"/>
  <c r="U7486" i="1"/>
  <c r="U7478" i="1"/>
  <c r="U7470" i="1"/>
  <c r="Q7462" i="1"/>
  <c r="U7462" i="1"/>
  <c r="Q7454" i="1"/>
  <c r="Q7453" i="1" s="1"/>
  <c r="U7446" i="1"/>
  <c r="U7438" i="1"/>
  <c r="U7430" i="1"/>
  <c r="Q7430" i="1"/>
  <c r="U7422" i="1"/>
  <c r="U7414" i="1"/>
  <c r="U7406" i="1"/>
  <c r="Q7406" i="1"/>
  <c r="Q7405" i="1" s="1"/>
  <c r="U7398" i="1"/>
  <c r="Q7398" i="1"/>
  <c r="Q7397" i="1" s="1"/>
  <c r="U7374" i="1"/>
  <c r="Q7374" i="1"/>
  <c r="Q7373" i="1" s="1"/>
  <c r="Q7372" i="1" s="1"/>
  <c r="U7342" i="1"/>
  <c r="Q7342" i="1"/>
  <c r="Q7341" i="1" s="1"/>
  <c r="Q7340" i="1" s="1"/>
  <c r="Q7310" i="1"/>
  <c r="U7310" i="1"/>
  <c r="U7294" i="1"/>
  <c r="Q7294" i="1"/>
  <c r="Q7293" i="1" s="1"/>
  <c r="Q7292" i="1" s="1"/>
  <c r="Q7286" i="1"/>
  <c r="Q7285" i="1" s="1"/>
  <c r="O7571" i="1"/>
  <c r="O7361" i="1"/>
  <c r="O7362" i="1" s="1"/>
  <c r="O7326" i="1"/>
  <c r="U7565" i="1"/>
  <c r="U7549" i="1"/>
  <c r="Q7549" i="1"/>
  <c r="Q7548" i="1" s="1"/>
  <c r="U7533" i="1"/>
  <c r="U7525" i="1"/>
  <c r="U7517" i="1"/>
  <c r="Q7517" i="1"/>
  <c r="Q7516" i="1" s="1"/>
  <c r="U7509" i="1"/>
  <c r="Q7509" i="1"/>
  <c r="U7501" i="1"/>
  <c r="Q7501" i="1"/>
  <c r="Q7500" i="1" s="1"/>
  <c r="U7493" i="1"/>
  <c r="Q7493" i="1"/>
  <c r="U7485" i="1"/>
  <c r="Q7485" i="1"/>
  <c r="Q7484" i="1" s="1"/>
  <c r="U7477" i="1"/>
  <c r="Q7477" i="1"/>
  <c r="U7469" i="1"/>
  <c r="Q7469" i="1"/>
  <c r="Q7468" i="1" s="1"/>
  <c r="Q7467" i="1" s="1"/>
  <c r="U7461" i="1"/>
  <c r="Q7461" i="1"/>
  <c r="U7453" i="1"/>
  <c r="Q7445" i="1"/>
  <c r="Q7437" i="1"/>
  <c r="Q7429" i="1"/>
  <c r="U7429" i="1"/>
  <c r="Q7421" i="1"/>
  <c r="U7421" i="1"/>
  <c r="U7413" i="1"/>
  <c r="U7405" i="1"/>
  <c r="U7397" i="1"/>
  <c r="U7389" i="1"/>
  <c r="U7373" i="1"/>
  <c r="Q7365" i="1"/>
  <c r="Q7364" i="1" s="1"/>
  <c r="U7365" i="1"/>
  <c r="Q7357" i="1"/>
  <c r="Q7356" i="1" s="1"/>
  <c r="Q7355" i="1" s="1"/>
  <c r="U7357" i="1"/>
  <c r="U7349" i="1"/>
  <c r="Q7349" i="1"/>
  <c r="U7333" i="1"/>
  <c r="Q7333" i="1"/>
  <c r="Q7325" i="1"/>
  <c r="Q7324" i="1" s="1"/>
  <c r="Q7323" i="1" s="1"/>
  <c r="U7325" i="1"/>
  <c r="Q7317" i="1"/>
  <c r="U7317" i="1"/>
  <c r="Q7309" i="1"/>
  <c r="Q7308" i="1" s="1"/>
  <c r="U7309" i="1"/>
  <c r="U7301" i="1"/>
  <c r="Q7301" i="1"/>
  <c r="Q7300" i="1" s="1"/>
  <c r="Q7299" i="1" s="1"/>
  <c r="U7293" i="1"/>
  <c r="U7285" i="1"/>
  <c r="O7285" i="1"/>
  <c r="R7285" i="1" s="1"/>
  <c r="O7540" i="1"/>
  <c r="O7525" i="1"/>
  <c r="O7438" i="1"/>
  <c r="O7413" i="1"/>
  <c r="O7389" i="1"/>
  <c r="O7358" i="1"/>
  <c r="O7359" i="1" s="1"/>
  <c r="O7324" i="1"/>
  <c r="U7557" i="1"/>
  <c r="U7541" i="1"/>
  <c r="U7314" i="1"/>
  <c r="U7278" i="1"/>
  <c r="O7278" i="1"/>
  <c r="R7278" i="1" s="1"/>
  <c r="U7564" i="1"/>
  <c r="Q7564" i="1"/>
  <c r="Q7563" i="1" s="1"/>
  <c r="U7556" i="1"/>
  <c r="Q7556" i="1"/>
  <c r="Q7555" i="1" s="1"/>
  <c r="U7548" i="1"/>
  <c r="Q7532" i="1"/>
  <c r="Q7531" i="1" s="1"/>
  <c r="U7532" i="1"/>
  <c r="Q7524" i="1"/>
  <c r="Q7523" i="1" s="1"/>
  <c r="Q7522" i="1" s="1"/>
  <c r="U7524" i="1"/>
  <c r="Q7508" i="1"/>
  <c r="U7508" i="1"/>
  <c r="U7500" i="1"/>
  <c r="Q7492" i="1"/>
  <c r="U7492" i="1"/>
  <c r="U7484" i="1"/>
  <c r="Q7476" i="1"/>
  <c r="U7476" i="1"/>
  <c r="U7468" i="1"/>
  <c r="Q7460" i="1"/>
  <c r="Q7459" i="1" s="1"/>
  <c r="U7460" i="1"/>
  <c r="Q7452" i="1"/>
  <c r="Q7451" i="1" s="1"/>
  <c r="U7452" i="1"/>
  <c r="Q7444" i="1"/>
  <c r="U7444" i="1"/>
  <c r="Q7436" i="1"/>
  <c r="U7436" i="1"/>
  <c r="U7428" i="1"/>
  <c r="Q7428" i="1"/>
  <c r="Q7427" i="1" s="1"/>
  <c r="Q7426" i="1" s="1"/>
  <c r="U7420" i="1"/>
  <c r="Q7420" i="1"/>
  <c r="U7412" i="1"/>
  <c r="Q7412" i="1"/>
  <c r="Q7411" i="1" s="1"/>
  <c r="Q7404" i="1"/>
  <c r="Q7403" i="1" s="1"/>
  <c r="U7404" i="1"/>
  <c r="Q7396" i="1"/>
  <c r="Q7395" i="1" s="1"/>
  <c r="U7396" i="1"/>
  <c r="Q7388" i="1"/>
  <c r="Q7387" i="1" s="1"/>
  <c r="Q7386" i="1" s="1"/>
  <c r="U7388" i="1"/>
  <c r="Q7380" i="1"/>
  <c r="Q7379" i="1" s="1"/>
  <c r="Q7378" i="1" s="1"/>
  <c r="U7380" i="1"/>
  <c r="U7364" i="1"/>
  <c r="U7356" i="1"/>
  <c r="Q7348" i="1"/>
  <c r="Q7347" i="1" s="1"/>
  <c r="Q7346" i="1" s="1"/>
  <c r="U7348" i="1"/>
  <c r="Q7332" i="1"/>
  <c r="Q7331" i="1" s="1"/>
  <c r="U7332" i="1"/>
  <c r="Q7316" i="1"/>
  <c r="Q7315" i="1" s="1"/>
  <c r="U7316" i="1"/>
  <c r="U7308" i="1"/>
  <c r="O7308" i="1"/>
  <c r="U7300" i="1"/>
  <c r="U7292" i="1"/>
  <c r="O7292" i="1"/>
  <c r="Q7284" i="1"/>
  <c r="Q7283" i="1" s="1"/>
  <c r="U7284" i="1"/>
  <c r="O7565" i="1"/>
  <c r="O7566" i="1" s="1"/>
  <c r="O7567" i="1" s="1"/>
  <c r="O7555" i="1"/>
  <c r="R7555" i="1" s="1"/>
  <c r="O7486" i="1"/>
  <c r="O7461" i="1"/>
  <c r="O7436" i="1"/>
  <c r="O7401" i="1"/>
  <c r="Q7441" i="1"/>
  <c r="Q7440" i="1" s="1"/>
  <c r="U7305" i="1"/>
  <c r="Q7570" i="1"/>
  <c r="U7563" i="1"/>
  <c r="Q7547" i="1"/>
  <c r="Q7546" i="1" s="1"/>
  <c r="U7547" i="1"/>
  <c r="Q7539" i="1"/>
  <c r="Q7538" i="1" s="1"/>
  <c r="Q7537" i="1" s="1"/>
  <c r="Q7536" i="1" s="1"/>
  <c r="U7539" i="1"/>
  <c r="U7531" i="1"/>
  <c r="U7523" i="1"/>
  <c r="U7515" i="1"/>
  <c r="Q7515" i="1"/>
  <c r="Q7514" i="1" s="1"/>
  <c r="U7507" i="1"/>
  <c r="Q7507" i="1"/>
  <c r="Q7506" i="1" s="1"/>
  <c r="U7499" i="1"/>
  <c r="Q7499" i="1"/>
  <c r="Q7498" i="1" s="1"/>
  <c r="U7491" i="1"/>
  <c r="Q7491" i="1"/>
  <c r="Q7490" i="1" s="1"/>
  <c r="U7483" i="1"/>
  <c r="Q7483" i="1"/>
  <c r="Q7482" i="1" s="1"/>
  <c r="U7475" i="1"/>
  <c r="Q7475" i="1"/>
  <c r="Q7474" i="1" s="1"/>
  <c r="U7467" i="1"/>
  <c r="U7459" i="1"/>
  <c r="U7451" i="1"/>
  <c r="Q7443" i="1"/>
  <c r="Q7442" i="1" s="1"/>
  <c r="U7443" i="1"/>
  <c r="Q7435" i="1"/>
  <c r="Q7434" i="1" s="1"/>
  <c r="U7435" i="1"/>
  <c r="U7427" i="1"/>
  <c r="Q7419" i="1"/>
  <c r="Q7418" i="1" s="1"/>
  <c r="U7419" i="1"/>
  <c r="U7411" i="1"/>
  <c r="U7403" i="1"/>
  <c r="U7395" i="1"/>
  <c r="U7387" i="1"/>
  <c r="U7379" i="1"/>
  <c r="Q7371" i="1"/>
  <c r="Q7370" i="1" s="1"/>
  <c r="Q7369" i="1" s="1"/>
  <c r="U7371" i="1"/>
  <c r="Q7363" i="1"/>
  <c r="Q7362" i="1" s="1"/>
  <c r="Q7361" i="1" s="1"/>
  <c r="U7363" i="1"/>
  <c r="U7355" i="1"/>
  <c r="U7347" i="1"/>
  <c r="Q7339" i="1"/>
  <c r="Q7338" i="1" s="1"/>
  <c r="Q7337" i="1" s="1"/>
  <c r="U7339" i="1"/>
  <c r="U7331" i="1"/>
  <c r="U7323" i="1"/>
  <c r="U7315" i="1"/>
  <c r="Q7307" i="1"/>
  <c r="Q7306" i="1" s="1"/>
  <c r="Q7305" i="1" s="1"/>
  <c r="U7307" i="1"/>
  <c r="U7299" i="1"/>
  <c r="O7299" i="1"/>
  <c r="Q7291" i="1"/>
  <c r="U7291" i="1"/>
  <c r="U7283" i="1"/>
  <c r="O7283" i="1"/>
  <c r="R7283" i="1" s="1"/>
  <c r="O7533" i="1"/>
  <c r="O7484" i="1"/>
  <c r="O7449" i="1"/>
  <c r="O7411" i="1"/>
  <c r="O7412" i="1" s="1"/>
  <c r="O7355" i="1"/>
  <c r="O7340" i="1"/>
  <c r="O7318" i="1"/>
  <c r="U7571" i="1"/>
  <c r="U7437" i="1"/>
  <c r="U7570" i="1"/>
  <c r="U7562" i="1"/>
  <c r="Q7554" i="1"/>
  <c r="Q7553" i="1" s="1"/>
  <c r="Q7552" i="1" s="1"/>
  <c r="U7554" i="1"/>
  <c r="U7546" i="1"/>
  <c r="U7538" i="1"/>
  <c r="Q7529" i="1"/>
  <c r="U7522" i="1"/>
  <c r="U7506" i="1"/>
  <c r="U7498" i="1"/>
  <c r="U7490" i="1"/>
  <c r="U7482" i="1"/>
  <c r="U7474" i="1"/>
  <c r="Q7466" i="1"/>
  <c r="Q7465" i="1" s="1"/>
  <c r="U7466" i="1"/>
  <c r="Q7458" i="1"/>
  <c r="Q7457" i="1" s="1"/>
  <c r="U7458" i="1"/>
  <c r="Q7450" i="1"/>
  <c r="Q7449" i="1" s="1"/>
  <c r="U7450" i="1"/>
  <c r="U7442" i="1"/>
  <c r="U7434" i="1"/>
  <c r="U7426" i="1"/>
  <c r="U7418" i="1"/>
  <c r="U7410" i="1"/>
  <c r="Q7410" i="1"/>
  <c r="Q7409" i="1" s="1"/>
  <c r="U7402" i="1"/>
  <c r="Q7402" i="1"/>
  <c r="Q7401" i="1" s="1"/>
  <c r="U7394" i="1"/>
  <c r="Q7394" i="1"/>
  <c r="Q7393" i="1" s="1"/>
  <c r="Q7392" i="1" s="1"/>
  <c r="U7386" i="1"/>
  <c r="U7378" i="1"/>
  <c r="U7370" i="1"/>
  <c r="U7362" i="1"/>
  <c r="Q7354" i="1"/>
  <c r="Q7353" i="1" s="1"/>
  <c r="Q7352" i="1" s="1"/>
  <c r="Q7351" i="1" s="1"/>
  <c r="Q7350" i="1" s="1"/>
  <c r="U7354" i="1"/>
  <c r="U7346" i="1"/>
  <c r="U7338" i="1"/>
  <c r="U7330" i="1"/>
  <c r="Q7330" i="1"/>
  <c r="Q7329" i="1" s="1"/>
  <c r="Q7328" i="1" s="1"/>
  <c r="Q7327" i="1" s="1"/>
  <c r="Q7326" i="1" s="1"/>
  <c r="U7322" i="1"/>
  <c r="Q7322" i="1"/>
  <c r="Q7321" i="1" s="1"/>
  <c r="Q7320" i="1" s="1"/>
  <c r="Q7319" i="1" s="1"/>
  <c r="Q7318" i="1" s="1"/>
  <c r="U7306" i="1"/>
  <c r="U7298" i="1"/>
  <c r="Q7298" i="1"/>
  <c r="Q7297" i="1" s="1"/>
  <c r="Q7296" i="1" s="1"/>
  <c r="Q7295" i="1" s="1"/>
  <c r="U7290" i="1"/>
  <c r="Q7290" i="1"/>
  <c r="Q7289" i="1" s="1"/>
  <c r="Q7288" i="1" s="1"/>
  <c r="Q7287" i="1" s="1"/>
  <c r="U7282" i="1"/>
  <c r="Q7282" i="1"/>
  <c r="Q7281" i="1" s="1"/>
  <c r="Q7280" i="1" s="1"/>
  <c r="O7563" i="1"/>
  <c r="O7564" i="1" s="1"/>
  <c r="O7532" i="1"/>
  <c r="O7522" i="1"/>
  <c r="O7523" i="1" s="1"/>
  <c r="O7508" i="1"/>
  <c r="O7483" i="1"/>
  <c r="O7470" i="1"/>
  <c r="O7459" i="1"/>
  <c r="O7446" i="1"/>
  <c r="O7434" i="1"/>
  <c r="O7435" i="1" s="1"/>
  <c r="O7422" i="1"/>
  <c r="O7409" i="1"/>
  <c r="O7386" i="1"/>
  <c r="O7372" i="1"/>
  <c r="O7350" i="1"/>
  <c r="O7351" i="1" s="1"/>
  <c r="O7337" i="1"/>
  <c r="O7338" i="1" s="1"/>
  <c r="O7316" i="1"/>
  <c r="U7454" i="1"/>
  <c r="U7286" i="1"/>
  <c r="Q6923" i="1"/>
  <c r="Q6925" i="1"/>
  <c r="Q6927" i="1"/>
  <c r="Q6929" i="1"/>
  <c r="Q6931" i="1"/>
  <c r="Q6933" i="1"/>
  <c r="Q6935" i="1"/>
  <c r="Q6967" i="1"/>
  <c r="Q6966" i="1" s="1"/>
  <c r="Q6965" i="1" s="1"/>
  <c r="Q6964" i="1" s="1"/>
  <c r="Q6963" i="1" s="1"/>
  <c r="Q6962" i="1" s="1"/>
  <c r="Q6961" i="1" s="1"/>
  <c r="Q6960" i="1" s="1"/>
  <c r="Q6959" i="1" s="1"/>
  <c r="Q6958" i="1" s="1"/>
  <c r="Q6957" i="1" s="1"/>
  <c r="Q6956" i="1" s="1"/>
  <c r="Q6955" i="1" s="1"/>
  <c r="Q6954" i="1" s="1"/>
  <c r="Q6953" i="1" s="1"/>
  <c r="Q6952" i="1" s="1"/>
  <c r="Q6951" i="1" s="1"/>
  <c r="Q6950" i="1" s="1"/>
  <c r="Q6949" i="1" s="1"/>
  <c r="Q6948" i="1" s="1"/>
  <c r="Q6947" i="1" s="1"/>
  <c r="Q6946" i="1" s="1"/>
  <c r="Q6945" i="1" s="1"/>
  <c r="Q6944" i="1" s="1"/>
  <c r="Q6943" i="1" s="1"/>
  <c r="Q6942" i="1" s="1"/>
  <c r="Q6941" i="1" s="1"/>
  <c r="Q6940" i="1" s="1"/>
  <c r="Q6939" i="1" s="1"/>
  <c r="Q6938" i="1" s="1"/>
  <c r="Q6937" i="1" s="1"/>
  <c r="Q6970" i="1"/>
  <c r="Q6969" i="1" s="1"/>
  <c r="Q6973" i="1"/>
  <c r="Q6972" i="1" s="1"/>
  <c r="Q6976" i="1"/>
  <c r="Q6975" i="1" s="1"/>
  <c r="Q6979" i="1"/>
  <c r="Q6978" i="1" s="1"/>
  <c r="Q6982" i="1"/>
  <c r="Q6981" i="1" s="1"/>
  <c r="Q6987" i="1"/>
  <c r="Q6986" i="1" s="1"/>
  <c r="Q6985" i="1" s="1"/>
  <c r="Q6984" i="1" s="1"/>
  <c r="Q6992" i="1"/>
  <c r="Q6991" i="1" s="1"/>
  <c r="Q6990" i="1" s="1"/>
  <c r="Q6989" i="1" s="1"/>
  <c r="Q6996" i="1"/>
  <c r="Q6995" i="1" s="1"/>
  <c r="Q6994" i="1" s="1"/>
  <c r="Q7003" i="1"/>
  <c r="Q7002" i="1" s="1"/>
  <c r="Q7001" i="1" s="1"/>
  <c r="Q7000" i="1" s="1"/>
  <c r="Q6999" i="1" s="1"/>
  <c r="Q6998" i="1" s="1"/>
  <c r="Q7007" i="1"/>
  <c r="Q7006" i="1" s="1"/>
  <c r="Q7005" i="1" s="1"/>
  <c r="Q7010" i="1"/>
  <c r="Q7009" i="1" s="1"/>
  <c r="Q7013" i="1"/>
  <c r="Q7012" i="1" s="1"/>
  <c r="Q7016" i="1"/>
  <c r="Q7015" i="1" s="1"/>
  <c r="Q7024" i="1"/>
  <c r="Q7023" i="1" s="1"/>
  <c r="Q7022" i="1" s="1"/>
  <c r="Q7021" i="1" s="1"/>
  <c r="Q7020" i="1" s="1"/>
  <c r="Q7019" i="1" s="1"/>
  <c r="Q7018" i="1" s="1"/>
  <c r="Q7026" i="1"/>
  <c r="Q7030" i="1"/>
  <c r="Q7029" i="1" s="1"/>
  <c r="Q7028" i="1" s="1"/>
  <c r="Q7033" i="1"/>
  <c r="Q7032" i="1" s="1"/>
  <c r="Q7036" i="1"/>
  <c r="Q7035" i="1" s="1"/>
  <c r="Q7039" i="1"/>
  <c r="Q7038" i="1" s="1"/>
  <c r="Q7043" i="1"/>
  <c r="Q7042" i="1" s="1"/>
  <c r="Q7041" i="1" s="1"/>
  <c r="Q7046" i="1"/>
  <c r="Q7045" i="1" s="1"/>
  <c r="Q7049" i="1"/>
  <c r="Q7048" i="1" s="1"/>
  <c r="Q7052" i="1"/>
  <c r="Q7051" i="1" s="1"/>
  <c r="Q7055" i="1"/>
  <c r="Q7054" i="1" s="1"/>
  <c r="Q7058" i="1"/>
  <c r="Q7057" i="1" s="1"/>
  <c r="Q7061" i="1"/>
  <c r="Q7060" i="1" s="1"/>
  <c r="Q7068" i="1"/>
  <c r="Q7067" i="1" s="1"/>
  <c r="Q7066" i="1" s="1"/>
  <c r="Q7065" i="1" s="1"/>
  <c r="Q7064" i="1" s="1"/>
  <c r="Q7063" i="1" s="1"/>
  <c r="Q7070" i="1"/>
  <c r="Q7073" i="1"/>
  <c r="Q7072" i="1" s="1"/>
  <c r="Q7075" i="1"/>
  <c r="Q7078" i="1"/>
  <c r="Q7077" i="1" s="1"/>
  <c r="Q7081" i="1"/>
  <c r="Q7080" i="1" s="1"/>
  <c r="Q7088" i="1"/>
  <c r="Q7087" i="1" s="1"/>
  <c r="Q7086" i="1" s="1"/>
  <c r="Q7085" i="1" s="1"/>
  <c r="Q7084" i="1" s="1"/>
  <c r="Q7083" i="1" s="1"/>
  <c r="Q7090" i="1"/>
  <c r="Q7094" i="1"/>
  <c r="Q7093" i="1" s="1"/>
  <c r="Q7092" i="1" s="1"/>
  <c r="Q7099" i="1"/>
  <c r="Q7098" i="1" s="1"/>
  <c r="Q7097" i="1" s="1"/>
  <c r="Q7096" i="1" s="1"/>
  <c r="Q7101" i="1"/>
  <c r="Q7104" i="1"/>
  <c r="Q7103" i="1" s="1"/>
  <c r="Q7107" i="1"/>
  <c r="Q7106" i="1" s="1"/>
  <c r="Q7109" i="1"/>
  <c r="Q7111" i="1"/>
  <c r="Q7114" i="1"/>
  <c r="Q7113" i="1" s="1"/>
  <c r="Q7117" i="1"/>
  <c r="Q7116" i="1" s="1"/>
  <c r="Q7120" i="1"/>
  <c r="Q7119" i="1" s="1"/>
  <c r="Q7125" i="1"/>
  <c r="Q7124" i="1" s="1"/>
  <c r="Q7123" i="1" s="1"/>
  <c r="Q7122" i="1" s="1"/>
  <c r="Q7128" i="1"/>
  <c r="Q7127" i="1" s="1"/>
  <c r="Q7131" i="1"/>
  <c r="Q7130" i="1" s="1"/>
  <c r="Q7133" i="1"/>
  <c r="Q7135" i="1"/>
  <c r="Q7137" i="1"/>
  <c r="Q7146" i="1"/>
  <c r="Q7145" i="1" s="1"/>
  <c r="Q7144" i="1" s="1"/>
  <c r="Q7143" i="1" s="1"/>
  <c r="Q7142" i="1" s="1"/>
  <c r="Q7141" i="1" s="1"/>
  <c r="Q7140" i="1" s="1"/>
  <c r="Q7139" i="1" s="1"/>
  <c r="Q7157" i="1"/>
  <c r="Q7156" i="1" s="1"/>
  <c r="Q7155" i="1" s="1"/>
  <c r="Q7154" i="1" s="1"/>
  <c r="Q7153" i="1" s="1"/>
  <c r="Q7152" i="1" s="1"/>
  <c r="Q7151" i="1" s="1"/>
  <c r="Q7150" i="1" s="1"/>
  <c r="Q7149" i="1" s="1"/>
  <c r="Q7148" i="1" s="1"/>
  <c r="Q7159" i="1"/>
  <c r="Q7162" i="1"/>
  <c r="Q7161" i="1" s="1"/>
  <c r="Q7164" i="1"/>
  <c r="Q7167" i="1"/>
  <c r="Q7166" i="1" s="1"/>
  <c r="Q7170" i="1"/>
  <c r="Q7169" i="1" s="1"/>
  <c r="Q7173" i="1"/>
  <c r="Q7172" i="1" s="1"/>
  <c r="Q7175" i="1"/>
  <c r="Q7177" i="1"/>
  <c r="Q7183" i="1"/>
  <c r="Q7182" i="1" s="1"/>
  <c r="Q7181" i="1" s="1"/>
  <c r="Q7180" i="1" s="1"/>
  <c r="Q7179" i="1" s="1"/>
  <c r="Q7189" i="1"/>
  <c r="Q7188" i="1" s="1"/>
  <c r="Q7187" i="1" s="1"/>
  <c r="Q7186" i="1" s="1"/>
  <c r="Q7185" i="1" s="1"/>
  <c r="Q7192" i="1"/>
  <c r="Q7191" i="1" s="1"/>
  <c r="Q7195" i="1"/>
  <c r="Q7194" i="1" s="1"/>
  <c r="Q7197" i="1"/>
  <c r="Q7201" i="1"/>
  <c r="Q7200" i="1" s="1"/>
  <c r="Q7199" i="1" s="1"/>
  <c r="Q7203" i="1"/>
  <c r="Q7206" i="1"/>
  <c r="Q7205" i="1" s="1"/>
  <c r="Q7209" i="1"/>
  <c r="Q7208" i="1" s="1"/>
  <c r="Q7212" i="1"/>
  <c r="Q7211" i="1" s="1"/>
  <c r="Q7215" i="1"/>
  <c r="Q7214" i="1" s="1"/>
  <c r="Q7218" i="1"/>
  <c r="Q7217" i="1" s="1"/>
  <c r="Q7221" i="1"/>
  <c r="Q7220" i="1" s="1"/>
  <c r="Q7224" i="1"/>
  <c r="Q7223" i="1" s="1"/>
  <c r="Q7226" i="1"/>
  <c r="Q7228" i="1"/>
  <c r="Q7231" i="1"/>
  <c r="Q7230" i="1" s="1"/>
  <c r="Q7234" i="1"/>
  <c r="Q7233" i="1" s="1"/>
  <c r="Q7237" i="1"/>
  <c r="Q7236" i="1" s="1"/>
  <c r="Q7241" i="1"/>
  <c r="Q7240" i="1" s="1"/>
  <c r="Q7239" i="1" s="1"/>
  <c r="Q7244" i="1"/>
  <c r="Q7243" i="1" s="1"/>
  <c r="Q7247" i="1"/>
  <c r="Q7246" i="1" s="1"/>
  <c r="Q7251" i="1"/>
  <c r="Q7250" i="1" s="1"/>
  <c r="Q7249" i="1" s="1"/>
  <c r="Q7254" i="1"/>
  <c r="Q7253" i="1" s="1"/>
  <c r="Q7259" i="1"/>
  <c r="Q7258" i="1" s="1"/>
  <c r="Q7257" i="1" s="1"/>
  <c r="Q7256" i="1" s="1"/>
  <c r="Q7262" i="1"/>
  <c r="Q7261" i="1" s="1"/>
  <c r="Q7265" i="1"/>
  <c r="Q7264" i="1" s="1"/>
  <c r="Q7267" i="1"/>
  <c r="Q7269" i="1"/>
  <c r="Q7271" i="1"/>
  <c r="Q7274" i="1"/>
  <c r="Q7273" i="1" s="1"/>
  <c r="Q7277" i="1"/>
  <c r="Q7276" i="1" s="1"/>
  <c r="AM1164" i="1"/>
  <c r="AM1158" i="1"/>
  <c r="AM1153" i="1"/>
  <c r="AM1173" i="1"/>
  <c r="AM1168" i="1"/>
  <c r="AM1183" i="1"/>
  <c r="AM1163" i="1"/>
  <c r="AM1188" i="1"/>
  <c r="AM1182" i="1"/>
  <c r="AM1169" i="1"/>
  <c r="AM1197" i="1"/>
  <c r="AM1157" i="1"/>
  <c r="AM1154" i="1"/>
  <c r="AM1174" i="1"/>
  <c r="AM1159" i="1"/>
  <c r="AM1201" i="1"/>
  <c r="AM1160" i="1"/>
  <c r="AM1178" i="1"/>
  <c r="AM1234" i="1"/>
  <c r="AM1243" i="1"/>
  <c r="AM1202" i="1"/>
  <c r="AM1239" i="1"/>
  <c r="AM1162" i="1"/>
  <c r="AM1180" i="1"/>
  <c r="AM1181" i="1"/>
  <c r="AM1166" i="1"/>
  <c r="AM1165" i="1"/>
  <c r="AM1170" i="1"/>
  <c r="AM1247" i="1"/>
  <c r="AM1155" i="1"/>
  <c r="AM1171" i="1"/>
  <c r="AM1172" i="1"/>
  <c r="AM1227" i="1"/>
  <c r="AM1205" i="1"/>
  <c r="AM1236" i="1"/>
  <c r="AM1167" i="1"/>
  <c r="AM1189" i="1"/>
  <c r="AM1238" i="1"/>
  <c r="AM1161" i="1"/>
  <c r="AM1190" i="1"/>
  <c r="AM1245" i="1"/>
  <c r="AM1185" i="1"/>
  <c r="AM1219" i="1"/>
  <c r="AM1191" i="1"/>
  <c r="AM1221" i="1"/>
  <c r="AM1211" i="1"/>
  <c r="AM1224" i="1"/>
  <c r="AM1187" i="1"/>
  <c r="AM1200" i="1"/>
  <c r="AM1226" i="1"/>
  <c r="AM1175" i="1"/>
  <c r="AM1220" i="1"/>
  <c r="AM1251" i="1"/>
  <c r="AM1204" i="1"/>
  <c r="AM1249" i="1"/>
  <c r="AM1230" i="1"/>
  <c r="AM1156" i="1"/>
  <c r="AM1228" i="1"/>
  <c r="AM1232" i="1"/>
  <c r="AM1248" i="1"/>
  <c r="AM1218" i="1"/>
  <c r="AM1184" i="1"/>
  <c r="AM1209" i="1"/>
  <c r="AM1246" i="1"/>
  <c r="AM1216" i="1"/>
  <c r="AM1229" i="1"/>
  <c r="AM1231" i="1"/>
  <c r="AM1233" i="1"/>
  <c r="AM1242" i="1"/>
  <c r="AM1241" i="1"/>
  <c r="AM1240" i="1"/>
  <c r="AM1250" i="1"/>
  <c r="AM1237" i="1"/>
  <c r="AM1177" i="1"/>
  <c r="AM1179" i="1"/>
  <c r="AM1176" i="1"/>
  <c r="AM1217" i="1"/>
  <c r="AM1235" i="1"/>
  <c r="AM1186" i="1"/>
  <c r="AM1203" i="1"/>
  <c r="AM1194" i="1"/>
  <c r="AM1210" i="1"/>
  <c r="AM1212" i="1"/>
  <c r="AM1208" i="1"/>
  <c r="AM1193" i="1"/>
  <c r="AM1199" i="1"/>
  <c r="AM1195" i="1"/>
  <c r="AM1198" i="1"/>
  <c r="AM1196" i="1"/>
  <c r="AM1222" i="1"/>
  <c r="AM1244" i="1"/>
  <c r="AM1207" i="1"/>
  <c r="AM1225" i="1"/>
  <c r="AM1206" i="1"/>
  <c r="AM1214" i="1"/>
  <c r="AM1215" i="1"/>
  <c r="AM1223" i="1"/>
  <c r="AM1192" i="1"/>
  <c r="AM1213" i="1"/>
  <c r="AM1152" i="1"/>
  <c r="X1152" i="1"/>
  <c r="Y1152" i="1" s="1"/>
  <c r="AE1152" i="1"/>
  <c r="X1153" i="1"/>
  <c r="Y1153" i="1" s="1"/>
  <c r="AE1153" i="1"/>
  <c r="X1154" i="1"/>
  <c r="Y1154" i="1" s="1"/>
  <c r="AE1154" i="1"/>
  <c r="X1155" i="1"/>
  <c r="Y1155" i="1" s="1"/>
  <c r="AE1155" i="1"/>
  <c r="X1156" i="1"/>
  <c r="Y1156" i="1" s="1"/>
  <c r="AE1156" i="1"/>
  <c r="X1157" i="1"/>
  <c r="Y1157" i="1" s="1"/>
  <c r="AE1157" i="1"/>
  <c r="X1158" i="1"/>
  <c r="Y1158" i="1" s="1"/>
  <c r="AE1158" i="1"/>
  <c r="X1159" i="1"/>
  <c r="Y1159" i="1" s="1"/>
  <c r="AE1159" i="1"/>
  <c r="X1160" i="1"/>
  <c r="Y1160" i="1" s="1"/>
  <c r="AE1160" i="1"/>
  <c r="X1161" i="1"/>
  <c r="Y1161" i="1" s="1"/>
  <c r="AE1161" i="1"/>
  <c r="X1162" i="1"/>
  <c r="Y1162" i="1" s="1"/>
  <c r="AE1162" i="1"/>
  <c r="X1163" i="1"/>
  <c r="Y1163" i="1" s="1"/>
  <c r="AE1163" i="1"/>
  <c r="X1164" i="1"/>
  <c r="Y1164" i="1" s="1"/>
  <c r="AE1164" i="1"/>
  <c r="X1165" i="1"/>
  <c r="Y1165" i="1" s="1"/>
  <c r="AE1165" i="1"/>
  <c r="X1166" i="1"/>
  <c r="Y1166" i="1" s="1"/>
  <c r="AE1166" i="1"/>
  <c r="X1167" i="1"/>
  <c r="Y1167" i="1" s="1"/>
  <c r="AE1167" i="1"/>
  <c r="X1168" i="1"/>
  <c r="Y1168" i="1" s="1"/>
  <c r="AE1168" i="1"/>
  <c r="X1169" i="1"/>
  <c r="Y1169" i="1" s="1"/>
  <c r="AE1169" i="1"/>
  <c r="X1170" i="1"/>
  <c r="Y1170" i="1" s="1"/>
  <c r="AE1170" i="1"/>
  <c r="X1171" i="1"/>
  <c r="Y1171" i="1" s="1"/>
  <c r="AE1171" i="1"/>
  <c r="X1172" i="1"/>
  <c r="Y1172" i="1" s="1"/>
  <c r="AE1172" i="1"/>
  <c r="X1173" i="1"/>
  <c r="Y1173" i="1" s="1"/>
  <c r="AE1173" i="1"/>
  <c r="X1174" i="1"/>
  <c r="Y1174" i="1" s="1"/>
  <c r="AE1174" i="1"/>
  <c r="X1175" i="1"/>
  <c r="Y1175" i="1" s="1"/>
  <c r="AE1175" i="1"/>
  <c r="X1176" i="1"/>
  <c r="Y1176" i="1" s="1"/>
  <c r="AE1176" i="1"/>
  <c r="X1177" i="1"/>
  <c r="Y1177" i="1" s="1"/>
  <c r="AE1177" i="1"/>
  <c r="X1178" i="1"/>
  <c r="Y1178" i="1" s="1"/>
  <c r="AE1178" i="1"/>
  <c r="X1179" i="1"/>
  <c r="Y1179" i="1" s="1"/>
  <c r="AE1179" i="1"/>
  <c r="X1180" i="1"/>
  <c r="Y1180" i="1" s="1"/>
  <c r="AE1180" i="1"/>
  <c r="X1181" i="1"/>
  <c r="Y1181" i="1" s="1"/>
  <c r="AE1181" i="1"/>
  <c r="X1182" i="1"/>
  <c r="Y1182" i="1" s="1"/>
  <c r="AE1182" i="1"/>
  <c r="X1183" i="1"/>
  <c r="Y1183" i="1" s="1"/>
  <c r="AE1183" i="1"/>
  <c r="X1184" i="1"/>
  <c r="Y1184" i="1" s="1"/>
  <c r="AE1184" i="1"/>
  <c r="X1185" i="1"/>
  <c r="Y1185" i="1" s="1"/>
  <c r="AE1185" i="1"/>
  <c r="X1186" i="1"/>
  <c r="Y1186" i="1" s="1"/>
  <c r="AE1186" i="1"/>
  <c r="X1187" i="1"/>
  <c r="Y1187" i="1" s="1"/>
  <c r="AE1187" i="1"/>
  <c r="X1188" i="1"/>
  <c r="Y1188" i="1" s="1"/>
  <c r="AE1188" i="1"/>
  <c r="X1189" i="1"/>
  <c r="Y1189" i="1" s="1"/>
  <c r="AE1189" i="1"/>
  <c r="X1190" i="1"/>
  <c r="Y1190" i="1" s="1"/>
  <c r="AE1190" i="1"/>
  <c r="X1191" i="1"/>
  <c r="Y1191" i="1" s="1"/>
  <c r="AE1191" i="1"/>
  <c r="X1192" i="1"/>
  <c r="Y1192" i="1" s="1"/>
  <c r="AE1192" i="1"/>
  <c r="X1193" i="1"/>
  <c r="Y1193" i="1" s="1"/>
  <c r="AE1193" i="1"/>
  <c r="X1194" i="1"/>
  <c r="Y1194" i="1" s="1"/>
  <c r="AE1194" i="1"/>
  <c r="X1195" i="1"/>
  <c r="Y1195" i="1" s="1"/>
  <c r="AE1195" i="1"/>
  <c r="X1196" i="1"/>
  <c r="Y1196" i="1" s="1"/>
  <c r="AE1196" i="1"/>
  <c r="X1197" i="1"/>
  <c r="Y1197" i="1" s="1"/>
  <c r="AE1197" i="1"/>
  <c r="X1198" i="1"/>
  <c r="Y1198" i="1" s="1"/>
  <c r="AE1198" i="1"/>
  <c r="X1199" i="1"/>
  <c r="Y1199" i="1" s="1"/>
  <c r="AE1199" i="1"/>
  <c r="X1200" i="1"/>
  <c r="Y1200" i="1" s="1"/>
  <c r="AE1200" i="1"/>
  <c r="X1201" i="1"/>
  <c r="Y1201" i="1" s="1"/>
  <c r="AE1201" i="1"/>
  <c r="X1202" i="1"/>
  <c r="Y1202" i="1" s="1"/>
  <c r="AE1202" i="1"/>
  <c r="X1203" i="1"/>
  <c r="Y1203" i="1" s="1"/>
  <c r="AE1203" i="1"/>
  <c r="X1204" i="1"/>
  <c r="Y1204" i="1" s="1"/>
  <c r="AE1204" i="1"/>
  <c r="X1205" i="1"/>
  <c r="Y1205" i="1" s="1"/>
  <c r="AE1205" i="1"/>
  <c r="X1206" i="1"/>
  <c r="Y1206" i="1" s="1"/>
  <c r="AE1206" i="1"/>
  <c r="X1207" i="1"/>
  <c r="Y1207" i="1" s="1"/>
  <c r="AE1207" i="1"/>
  <c r="X1208" i="1"/>
  <c r="Y1208" i="1" s="1"/>
  <c r="AE1208" i="1"/>
  <c r="X1209" i="1"/>
  <c r="Y1209" i="1" s="1"/>
  <c r="AE1209" i="1"/>
  <c r="X1210" i="1"/>
  <c r="Y1210" i="1" s="1"/>
  <c r="AE1210" i="1"/>
  <c r="X1211" i="1"/>
  <c r="Y1211" i="1" s="1"/>
  <c r="AE1211" i="1"/>
  <c r="X1212" i="1"/>
  <c r="Y1212" i="1" s="1"/>
  <c r="AE1212" i="1"/>
  <c r="X1213" i="1"/>
  <c r="Y1213" i="1" s="1"/>
  <c r="AE1213" i="1"/>
  <c r="X1214" i="1"/>
  <c r="Y1214" i="1" s="1"/>
  <c r="AE1214" i="1"/>
  <c r="X1215" i="1"/>
  <c r="Y1215" i="1" s="1"/>
  <c r="AE1215" i="1"/>
  <c r="X1216" i="1"/>
  <c r="Y1216" i="1" s="1"/>
  <c r="AE1216" i="1"/>
  <c r="X1217" i="1"/>
  <c r="Y1217" i="1" s="1"/>
  <c r="AE1217" i="1"/>
  <c r="X1218" i="1"/>
  <c r="Y1218" i="1" s="1"/>
  <c r="AE1218" i="1"/>
  <c r="X1219" i="1"/>
  <c r="Y1219" i="1" s="1"/>
  <c r="AE1219" i="1"/>
  <c r="X1220" i="1"/>
  <c r="Y1220" i="1" s="1"/>
  <c r="AE1220" i="1"/>
  <c r="X1221" i="1"/>
  <c r="Y1221" i="1" s="1"/>
  <c r="AE1221" i="1"/>
  <c r="X1222" i="1"/>
  <c r="Y1222" i="1" s="1"/>
  <c r="AE1222" i="1"/>
  <c r="X1223" i="1"/>
  <c r="Y1223" i="1" s="1"/>
  <c r="AE1223" i="1"/>
  <c r="X1224" i="1"/>
  <c r="Y1224" i="1" s="1"/>
  <c r="AE1224" i="1"/>
  <c r="X1225" i="1"/>
  <c r="Y1225" i="1" s="1"/>
  <c r="AE1225" i="1"/>
  <c r="X1226" i="1"/>
  <c r="Y1226" i="1" s="1"/>
  <c r="AE1226" i="1"/>
  <c r="X1227" i="1"/>
  <c r="Y1227" i="1" s="1"/>
  <c r="AE1227" i="1"/>
  <c r="X1228" i="1"/>
  <c r="Y1228" i="1" s="1"/>
  <c r="AE1228" i="1"/>
  <c r="X1229" i="1"/>
  <c r="Y1229" i="1" s="1"/>
  <c r="AE1229" i="1"/>
  <c r="X1230" i="1"/>
  <c r="Y1230" i="1" s="1"/>
  <c r="AE1230" i="1"/>
  <c r="X1231" i="1"/>
  <c r="AN1231" i="1" s="1"/>
  <c r="AE1231" i="1"/>
  <c r="X1232" i="1"/>
  <c r="Y1232" i="1" s="1"/>
  <c r="AE1232" i="1"/>
  <c r="X1233" i="1"/>
  <c r="Y1233" i="1" s="1"/>
  <c r="AE1233" i="1"/>
  <c r="X1234" i="1"/>
  <c r="Y1234" i="1" s="1"/>
  <c r="AE1234" i="1"/>
  <c r="X1235" i="1"/>
  <c r="Y1235" i="1" s="1"/>
  <c r="AE1235" i="1"/>
  <c r="X1236" i="1"/>
  <c r="Y1236" i="1" s="1"/>
  <c r="AE1236" i="1"/>
  <c r="X1237" i="1"/>
  <c r="Y1237" i="1" s="1"/>
  <c r="AE1237" i="1"/>
  <c r="X1238" i="1"/>
  <c r="Y1238" i="1" s="1"/>
  <c r="AE1238" i="1"/>
  <c r="X1239" i="1"/>
  <c r="AN1239" i="1" s="1"/>
  <c r="AE1239" i="1"/>
  <c r="X1240" i="1"/>
  <c r="Y1240" i="1" s="1"/>
  <c r="AE1240" i="1"/>
  <c r="X1241" i="1"/>
  <c r="Y1241" i="1" s="1"/>
  <c r="AE1241" i="1"/>
  <c r="X1242" i="1"/>
  <c r="AN1242" i="1" s="1"/>
  <c r="AE1242" i="1"/>
  <c r="X1243" i="1"/>
  <c r="Y1243" i="1" s="1"/>
  <c r="AE1243" i="1"/>
  <c r="X1244" i="1"/>
  <c r="Y1244" i="1" s="1"/>
  <c r="AE1244" i="1"/>
  <c r="X1245" i="1"/>
  <c r="Y1245" i="1" s="1"/>
  <c r="AE1245" i="1"/>
  <c r="X1246" i="1"/>
  <c r="Y1246" i="1" s="1"/>
  <c r="AE1246" i="1"/>
  <c r="X1247" i="1"/>
  <c r="Y1247" i="1" s="1"/>
  <c r="AE1247" i="1"/>
  <c r="X1248" i="1"/>
  <c r="Y1248" i="1" s="1"/>
  <c r="AE1248" i="1"/>
  <c r="X1249" i="1"/>
  <c r="Y1249" i="1" s="1"/>
  <c r="AE1249" i="1"/>
  <c r="X1250" i="1"/>
  <c r="Y1250" i="1" s="1"/>
  <c r="AE1250" i="1"/>
  <c r="X1251" i="1"/>
  <c r="Y1251" i="1" s="1"/>
  <c r="AE12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B1199" i="1" s="1"/>
  <c r="AF1200" i="1"/>
  <c r="AF1201" i="1"/>
  <c r="AF1202" i="1"/>
  <c r="AF1203" i="1"/>
  <c r="AF1204" i="1"/>
  <c r="AF1205" i="1"/>
  <c r="AF1206" i="1"/>
  <c r="AF1207" i="1"/>
  <c r="AB1207" i="1" s="1"/>
  <c r="AF1208" i="1"/>
  <c r="AF1209" i="1"/>
  <c r="AF1210" i="1"/>
  <c r="AF1211" i="1"/>
  <c r="AF1212" i="1"/>
  <c r="AF1213" i="1"/>
  <c r="AF1214" i="1"/>
  <c r="AF1215" i="1"/>
  <c r="AB1215" i="1" s="1"/>
  <c r="AF1216" i="1"/>
  <c r="AF1217" i="1"/>
  <c r="AF1218" i="1"/>
  <c r="AF1219" i="1"/>
  <c r="AF1220" i="1"/>
  <c r="AF1221" i="1"/>
  <c r="AF1222" i="1"/>
  <c r="AF1223" i="1"/>
  <c r="AB1223" i="1" s="1"/>
  <c r="AF1224" i="1"/>
  <c r="AF1225" i="1"/>
  <c r="AF1226" i="1"/>
  <c r="AF1227" i="1"/>
  <c r="AF1228" i="1"/>
  <c r="AF1229" i="1"/>
  <c r="AF1230" i="1"/>
  <c r="AF1231" i="1"/>
  <c r="AB1231" i="1" s="1"/>
  <c r="AF1232" i="1"/>
  <c r="AF1233" i="1"/>
  <c r="AF1234" i="1"/>
  <c r="AF1235" i="1"/>
  <c r="AF1236" i="1"/>
  <c r="AF1237" i="1"/>
  <c r="AF1238" i="1"/>
  <c r="AF1239" i="1"/>
  <c r="AB1239" i="1" s="1"/>
  <c r="AF1240" i="1"/>
  <c r="AF1241" i="1"/>
  <c r="AF1242" i="1"/>
  <c r="AF1243" i="1"/>
  <c r="AF1244" i="1"/>
  <c r="AF1245" i="1"/>
  <c r="AF1246" i="1"/>
  <c r="AF1247" i="1"/>
  <c r="AB1247" i="1" s="1"/>
  <c r="AF1248" i="1"/>
  <c r="AF1249" i="1"/>
  <c r="AF1250" i="1"/>
  <c r="AF1251" i="1"/>
  <c r="D6921" i="1"/>
  <c r="A6921" i="1"/>
  <c r="U6922" i="1" s="1"/>
  <c r="P6921" i="1"/>
  <c r="Q6921" i="1"/>
  <c r="R6921" i="1"/>
  <c r="S6921" i="1"/>
  <c r="T6921" i="1"/>
  <c r="U6921" i="1"/>
  <c r="O6921" i="1"/>
  <c r="O6922" i="1"/>
  <c r="P6922" i="1"/>
  <c r="P6923" i="1"/>
  <c r="U6923" i="1"/>
  <c r="O6924" i="1"/>
  <c r="O6925" i="1" s="1"/>
  <c r="S6925" i="1" s="1"/>
  <c r="P6924" i="1"/>
  <c r="U6924" i="1"/>
  <c r="P6925" i="1"/>
  <c r="U6925" i="1"/>
  <c r="O6926" i="1"/>
  <c r="P6926" i="1"/>
  <c r="U6926" i="1"/>
  <c r="P6927" i="1"/>
  <c r="U6927" i="1"/>
  <c r="O6930" i="1"/>
  <c r="O6931" i="1" s="1"/>
  <c r="P6930" i="1"/>
  <c r="U6930" i="1"/>
  <c r="P6931" i="1"/>
  <c r="U6931" i="1"/>
  <c r="O6932" i="1"/>
  <c r="P6932" i="1"/>
  <c r="U6932" i="1"/>
  <c r="P6933" i="1"/>
  <c r="U6933" i="1"/>
  <c r="O6934" i="1"/>
  <c r="O6935" i="1" s="1"/>
  <c r="P6934" i="1"/>
  <c r="U6934" i="1"/>
  <c r="P6935" i="1"/>
  <c r="U6935" i="1"/>
  <c r="O6928" i="1"/>
  <c r="P6928" i="1"/>
  <c r="U6928" i="1"/>
  <c r="P6929" i="1"/>
  <c r="U6929" i="1"/>
  <c r="O6936" i="1"/>
  <c r="O6937" i="1" s="1"/>
  <c r="P6936" i="1"/>
  <c r="U6936" i="1"/>
  <c r="P6937" i="1"/>
  <c r="U6937" i="1"/>
  <c r="P6938" i="1"/>
  <c r="U6938" i="1"/>
  <c r="P6939" i="1"/>
  <c r="U6939" i="1"/>
  <c r="P6940" i="1"/>
  <c r="U6940" i="1"/>
  <c r="P6941" i="1"/>
  <c r="U6941" i="1"/>
  <c r="P6942" i="1"/>
  <c r="U6942" i="1"/>
  <c r="P6943" i="1"/>
  <c r="U6943" i="1"/>
  <c r="P6944" i="1"/>
  <c r="U6944" i="1"/>
  <c r="P6945" i="1"/>
  <c r="U6945" i="1"/>
  <c r="P6946" i="1"/>
  <c r="U6946" i="1"/>
  <c r="P6947" i="1"/>
  <c r="U6947" i="1"/>
  <c r="P6948" i="1"/>
  <c r="U6948" i="1"/>
  <c r="P6949" i="1"/>
  <c r="U6949" i="1"/>
  <c r="P6950" i="1"/>
  <c r="U6950" i="1"/>
  <c r="P6951" i="1"/>
  <c r="U6951" i="1"/>
  <c r="P6952" i="1"/>
  <c r="U6952" i="1"/>
  <c r="P6953" i="1"/>
  <c r="U6953" i="1"/>
  <c r="P6954" i="1"/>
  <c r="U6954" i="1"/>
  <c r="P6955" i="1"/>
  <c r="U6955" i="1"/>
  <c r="P6956" i="1"/>
  <c r="U6956" i="1"/>
  <c r="P6957" i="1"/>
  <c r="U6957" i="1"/>
  <c r="P6958" i="1"/>
  <c r="U6958" i="1"/>
  <c r="P6959" i="1"/>
  <c r="U6959" i="1"/>
  <c r="P6960" i="1"/>
  <c r="U6960" i="1"/>
  <c r="P6961" i="1"/>
  <c r="U6961" i="1"/>
  <c r="P6962" i="1"/>
  <c r="U6962" i="1"/>
  <c r="P6963" i="1"/>
  <c r="U6963" i="1"/>
  <c r="P6964" i="1"/>
  <c r="U6964" i="1"/>
  <c r="P6965" i="1"/>
  <c r="U6965" i="1"/>
  <c r="P6966" i="1"/>
  <c r="U6966" i="1"/>
  <c r="P6967" i="1"/>
  <c r="U6967" i="1"/>
  <c r="O6968" i="1"/>
  <c r="O6969" i="1" s="1"/>
  <c r="P6968" i="1"/>
  <c r="U6968" i="1"/>
  <c r="P6969" i="1"/>
  <c r="U6969" i="1"/>
  <c r="P6970" i="1"/>
  <c r="U6970" i="1"/>
  <c r="O6971" i="1"/>
  <c r="P6971" i="1"/>
  <c r="U6971" i="1"/>
  <c r="P6972" i="1"/>
  <c r="U6972" i="1"/>
  <c r="P6973" i="1"/>
  <c r="U6973" i="1"/>
  <c r="O6974" i="1"/>
  <c r="P6974" i="1"/>
  <c r="U6974" i="1"/>
  <c r="P6975" i="1"/>
  <c r="U6975" i="1"/>
  <c r="P6976" i="1"/>
  <c r="U6976" i="1"/>
  <c r="O6977" i="1"/>
  <c r="O6978" i="1" s="1"/>
  <c r="P6977" i="1"/>
  <c r="U6977" i="1"/>
  <c r="P6978" i="1"/>
  <c r="U6978" i="1"/>
  <c r="P6979" i="1"/>
  <c r="U6979" i="1"/>
  <c r="O6980" i="1"/>
  <c r="P6980" i="1"/>
  <c r="U6980" i="1"/>
  <c r="P6981" i="1"/>
  <c r="U6981" i="1"/>
  <c r="P6982" i="1"/>
  <c r="U6982" i="1"/>
  <c r="O6983" i="1"/>
  <c r="P6983" i="1"/>
  <c r="U6983" i="1"/>
  <c r="P6984" i="1"/>
  <c r="U6984" i="1"/>
  <c r="P6985" i="1"/>
  <c r="U6985" i="1"/>
  <c r="P6986" i="1"/>
  <c r="U6986" i="1"/>
  <c r="P6987" i="1"/>
  <c r="U6987" i="1"/>
  <c r="O6988" i="1"/>
  <c r="P6988" i="1"/>
  <c r="U6988" i="1"/>
  <c r="P6989" i="1"/>
  <c r="U6989" i="1"/>
  <c r="P6990" i="1"/>
  <c r="U6990" i="1"/>
  <c r="P6991" i="1"/>
  <c r="U6991" i="1"/>
  <c r="P6992" i="1"/>
  <c r="U6992" i="1"/>
  <c r="O6993" i="1"/>
  <c r="P6993" i="1"/>
  <c r="U6993" i="1"/>
  <c r="P6994" i="1"/>
  <c r="U6994" i="1"/>
  <c r="P6995" i="1"/>
  <c r="U6995" i="1"/>
  <c r="P6996" i="1"/>
  <c r="U6996" i="1"/>
  <c r="O6997" i="1"/>
  <c r="O6998" i="1" s="1"/>
  <c r="P6997" i="1"/>
  <c r="U6997" i="1"/>
  <c r="P6998" i="1"/>
  <c r="U6998" i="1"/>
  <c r="P6999" i="1"/>
  <c r="U6999" i="1"/>
  <c r="P7000" i="1"/>
  <c r="U7000" i="1"/>
  <c r="P7001" i="1"/>
  <c r="U7001" i="1"/>
  <c r="P7002" i="1"/>
  <c r="U7002" i="1"/>
  <c r="P7003" i="1"/>
  <c r="U7003" i="1"/>
  <c r="O7004" i="1"/>
  <c r="O7005" i="1" s="1"/>
  <c r="R7005" i="1" s="1"/>
  <c r="P7004" i="1"/>
  <c r="U7004" i="1"/>
  <c r="P7005" i="1"/>
  <c r="U7005" i="1"/>
  <c r="P7006" i="1"/>
  <c r="U7006" i="1"/>
  <c r="P7007" i="1"/>
  <c r="U7007" i="1"/>
  <c r="O7112" i="1"/>
  <c r="O7113" i="1" s="1"/>
  <c r="P7112" i="1"/>
  <c r="U7112" i="1"/>
  <c r="P7113" i="1"/>
  <c r="U7113" i="1"/>
  <c r="P7114" i="1"/>
  <c r="U7114" i="1"/>
  <c r="O7115" i="1"/>
  <c r="P7115" i="1"/>
  <c r="U7115" i="1"/>
  <c r="P7116" i="1"/>
  <c r="U7116" i="1"/>
  <c r="P7117" i="1"/>
  <c r="U7117" i="1"/>
  <c r="O7118" i="1"/>
  <c r="P7118" i="1"/>
  <c r="U7118" i="1"/>
  <c r="P7119" i="1"/>
  <c r="U7119" i="1"/>
  <c r="P7120" i="1"/>
  <c r="U7120" i="1"/>
  <c r="O7121" i="1"/>
  <c r="P7121" i="1"/>
  <c r="U7121" i="1"/>
  <c r="P7122" i="1"/>
  <c r="U7122" i="1"/>
  <c r="P7123" i="1"/>
  <c r="U7123" i="1"/>
  <c r="P7124" i="1"/>
  <c r="U7124" i="1"/>
  <c r="P7125" i="1"/>
  <c r="U7125" i="1"/>
  <c r="O7176" i="1"/>
  <c r="P7176" i="1"/>
  <c r="U7176" i="1"/>
  <c r="P7177" i="1"/>
  <c r="U7177" i="1"/>
  <c r="O7178" i="1"/>
  <c r="O7179" i="1" s="1"/>
  <c r="P7178" i="1"/>
  <c r="U7178" i="1"/>
  <c r="P7179" i="1"/>
  <c r="U7179" i="1"/>
  <c r="P7180" i="1"/>
  <c r="U7180" i="1"/>
  <c r="P7181" i="1"/>
  <c r="U7181" i="1"/>
  <c r="P7182" i="1"/>
  <c r="U7182" i="1"/>
  <c r="P7183" i="1"/>
  <c r="U7183" i="1"/>
  <c r="O7184" i="1"/>
  <c r="P7184" i="1"/>
  <c r="U7184" i="1"/>
  <c r="P7185" i="1"/>
  <c r="U7185" i="1"/>
  <c r="P7186" i="1"/>
  <c r="U7186" i="1"/>
  <c r="P7187" i="1"/>
  <c r="U7187" i="1"/>
  <c r="P7188" i="1"/>
  <c r="U7188" i="1"/>
  <c r="P7189" i="1"/>
  <c r="U7189" i="1"/>
  <c r="O7190" i="1"/>
  <c r="O7191" i="1" s="1"/>
  <c r="S7191" i="1" s="1"/>
  <c r="P7190" i="1"/>
  <c r="U7190" i="1"/>
  <c r="P7191" i="1"/>
  <c r="U7191" i="1"/>
  <c r="P7192" i="1"/>
  <c r="U7192" i="1"/>
  <c r="O7207" i="1"/>
  <c r="P7207" i="1"/>
  <c r="U7207" i="1"/>
  <c r="P7208" i="1"/>
  <c r="U7208" i="1"/>
  <c r="P7209" i="1"/>
  <c r="U7209" i="1"/>
  <c r="O7210" i="1"/>
  <c r="P7210" i="1"/>
  <c r="U7210" i="1"/>
  <c r="P7211" i="1"/>
  <c r="U7211" i="1"/>
  <c r="P7212" i="1"/>
  <c r="U7212" i="1"/>
  <c r="O7213" i="1"/>
  <c r="P7213" i="1"/>
  <c r="U7213" i="1"/>
  <c r="P7214" i="1"/>
  <c r="U7214" i="1"/>
  <c r="P7215" i="1"/>
  <c r="U7215" i="1"/>
  <c r="O7216" i="1"/>
  <c r="O7217" i="1" s="1"/>
  <c r="P7216" i="1"/>
  <c r="U7216" i="1"/>
  <c r="P7217" i="1"/>
  <c r="U7217" i="1"/>
  <c r="P7218" i="1"/>
  <c r="U7218" i="1"/>
  <c r="O7219" i="1"/>
  <c r="O7220" i="1" s="1"/>
  <c r="P7219" i="1"/>
  <c r="U7219" i="1"/>
  <c r="P7220" i="1"/>
  <c r="U7220" i="1"/>
  <c r="P7221" i="1"/>
  <c r="U7221" i="1"/>
  <c r="O7222" i="1"/>
  <c r="O7223" i="1" s="1"/>
  <c r="P7222" i="1"/>
  <c r="U7222" i="1"/>
  <c r="P7223" i="1"/>
  <c r="U7223" i="1"/>
  <c r="P7224" i="1"/>
  <c r="U7224" i="1"/>
  <c r="O7225" i="1"/>
  <c r="P7225" i="1"/>
  <c r="U7225" i="1"/>
  <c r="P7226" i="1"/>
  <c r="U7226" i="1"/>
  <c r="O7227" i="1"/>
  <c r="O7228" i="1" s="1"/>
  <c r="P7227" i="1"/>
  <c r="U7227" i="1"/>
  <c r="P7228" i="1"/>
  <c r="U7228" i="1"/>
  <c r="O7193" i="1"/>
  <c r="O7194" i="1" s="1"/>
  <c r="P7193" i="1"/>
  <c r="U7193" i="1"/>
  <c r="P7194" i="1"/>
  <c r="U7194" i="1"/>
  <c r="P7195" i="1"/>
  <c r="U7195" i="1"/>
  <c r="O7196" i="1"/>
  <c r="P7196" i="1"/>
  <c r="U7196" i="1"/>
  <c r="P7197" i="1"/>
  <c r="U7197" i="1"/>
  <c r="O7198" i="1"/>
  <c r="P7198" i="1"/>
  <c r="U7198" i="1"/>
  <c r="P7199" i="1"/>
  <c r="U7199" i="1"/>
  <c r="P7200" i="1"/>
  <c r="U7200" i="1"/>
  <c r="P7201" i="1"/>
  <c r="U7201" i="1"/>
  <c r="O7202" i="1"/>
  <c r="P7202" i="1"/>
  <c r="Q7202" i="1" s="1"/>
  <c r="U7202" i="1"/>
  <c r="P7203" i="1"/>
  <c r="U7203" i="1"/>
  <c r="O7204" i="1"/>
  <c r="P7204" i="1"/>
  <c r="U7204" i="1"/>
  <c r="P7205" i="1"/>
  <c r="U7205" i="1"/>
  <c r="P7206" i="1"/>
  <c r="U7206" i="1"/>
  <c r="O7229" i="1"/>
  <c r="O7230" i="1" s="1"/>
  <c r="O7231" i="1" s="1"/>
  <c r="P7229" i="1"/>
  <c r="U7229" i="1"/>
  <c r="P7230" i="1"/>
  <c r="U7230" i="1"/>
  <c r="P7231" i="1"/>
  <c r="U7231" i="1"/>
  <c r="O7232" i="1"/>
  <c r="O7233" i="1" s="1"/>
  <c r="O7234" i="1" s="1"/>
  <c r="P7232" i="1"/>
  <c r="U7232" i="1"/>
  <c r="P7233" i="1"/>
  <c r="U7233" i="1"/>
  <c r="P7234" i="1"/>
  <c r="U7234" i="1"/>
  <c r="O7235" i="1"/>
  <c r="P7235" i="1"/>
  <c r="U7235" i="1"/>
  <c r="P7236" i="1"/>
  <c r="U7236" i="1"/>
  <c r="P7237" i="1"/>
  <c r="U7237" i="1"/>
  <c r="O7238" i="1"/>
  <c r="O7239" i="1" s="1"/>
  <c r="O7240" i="1" s="1"/>
  <c r="P7238" i="1"/>
  <c r="U7238" i="1"/>
  <c r="P7239" i="1"/>
  <c r="U7239" i="1"/>
  <c r="P7240" i="1"/>
  <c r="U7240" i="1"/>
  <c r="P7241" i="1"/>
  <c r="U7241" i="1"/>
  <c r="O7242" i="1"/>
  <c r="P7242" i="1"/>
  <c r="U7242" i="1"/>
  <c r="P7243" i="1"/>
  <c r="U7243" i="1"/>
  <c r="P7244" i="1"/>
  <c r="U7244" i="1"/>
  <c r="O7245" i="1"/>
  <c r="O7246" i="1" s="1"/>
  <c r="O7247" i="1" s="1"/>
  <c r="P7245" i="1"/>
  <c r="U7245" i="1"/>
  <c r="P7246" i="1"/>
  <c r="U7246" i="1"/>
  <c r="P7247" i="1"/>
  <c r="U7247" i="1"/>
  <c r="O7248" i="1"/>
  <c r="P7248" i="1"/>
  <c r="U7248" i="1"/>
  <c r="P7249" i="1"/>
  <c r="U7249" i="1"/>
  <c r="P7250" i="1"/>
  <c r="U7250" i="1"/>
  <c r="P7251" i="1"/>
  <c r="U7251" i="1"/>
  <c r="O7252" i="1"/>
  <c r="O7253" i="1" s="1"/>
  <c r="O7254" i="1" s="1"/>
  <c r="P7252" i="1"/>
  <c r="U7252" i="1"/>
  <c r="P7253" i="1"/>
  <c r="U7253" i="1"/>
  <c r="P7254" i="1"/>
  <c r="U7254" i="1"/>
  <c r="O7255" i="1"/>
  <c r="P7255" i="1"/>
  <c r="U7255" i="1"/>
  <c r="P7256" i="1"/>
  <c r="U7256" i="1"/>
  <c r="P7257" i="1"/>
  <c r="U7257" i="1"/>
  <c r="P7258" i="1"/>
  <c r="U7258" i="1"/>
  <c r="P7259" i="1"/>
  <c r="U7259" i="1"/>
  <c r="O7260" i="1"/>
  <c r="P7260" i="1"/>
  <c r="U7260" i="1"/>
  <c r="P7261" i="1"/>
  <c r="U7261" i="1"/>
  <c r="P7262" i="1"/>
  <c r="U7262" i="1"/>
  <c r="O7263" i="1"/>
  <c r="P7263" i="1"/>
  <c r="U7263" i="1"/>
  <c r="P7264" i="1"/>
  <c r="U7264" i="1"/>
  <c r="P7265" i="1"/>
  <c r="U7265" i="1"/>
  <c r="O7266" i="1"/>
  <c r="P7266" i="1"/>
  <c r="Q7266" i="1" s="1"/>
  <c r="U7266" i="1"/>
  <c r="P7267" i="1"/>
  <c r="U7267" i="1"/>
  <c r="O7268" i="1"/>
  <c r="P7268" i="1"/>
  <c r="U7268" i="1"/>
  <c r="P7269" i="1"/>
  <c r="U7269" i="1"/>
  <c r="O7270" i="1"/>
  <c r="O7271" i="1" s="1"/>
  <c r="P7270" i="1"/>
  <c r="U7270" i="1"/>
  <c r="P7271" i="1"/>
  <c r="U7271" i="1"/>
  <c r="O7272" i="1"/>
  <c r="P7272" i="1"/>
  <c r="U7272" i="1"/>
  <c r="P7273" i="1"/>
  <c r="U7273" i="1"/>
  <c r="P7274" i="1"/>
  <c r="U7274" i="1"/>
  <c r="O7275" i="1"/>
  <c r="O7276" i="1" s="1"/>
  <c r="P7275" i="1"/>
  <c r="U7275" i="1"/>
  <c r="P7276" i="1"/>
  <c r="U7276" i="1"/>
  <c r="P7277" i="1"/>
  <c r="U7277" i="1"/>
  <c r="O7008" i="1"/>
  <c r="P7008" i="1"/>
  <c r="U7008" i="1"/>
  <c r="P7009" i="1"/>
  <c r="U7009" i="1"/>
  <c r="P7010" i="1"/>
  <c r="U7010" i="1"/>
  <c r="O7011" i="1"/>
  <c r="O7012" i="1" s="1"/>
  <c r="P7011" i="1"/>
  <c r="U7011" i="1"/>
  <c r="P7012" i="1"/>
  <c r="U7012" i="1"/>
  <c r="P7013" i="1"/>
  <c r="U7013" i="1"/>
  <c r="O7014" i="1"/>
  <c r="P7014" i="1"/>
  <c r="U7014" i="1"/>
  <c r="P7015" i="1"/>
  <c r="U7015" i="1"/>
  <c r="P7016" i="1"/>
  <c r="U7016" i="1"/>
  <c r="O7017" i="1"/>
  <c r="P7017" i="1"/>
  <c r="U7017" i="1"/>
  <c r="P7018" i="1"/>
  <c r="U7018" i="1"/>
  <c r="P7019" i="1"/>
  <c r="U7019" i="1"/>
  <c r="P7020" i="1"/>
  <c r="U7020" i="1"/>
  <c r="P7021" i="1"/>
  <c r="U7021" i="1"/>
  <c r="P7022" i="1"/>
  <c r="U7022" i="1"/>
  <c r="P7023" i="1"/>
  <c r="U7023" i="1"/>
  <c r="P7024" i="1"/>
  <c r="U7024" i="1"/>
  <c r="O7025" i="1"/>
  <c r="P7025" i="1"/>
  <c r="Q7025" i="1" s="1"/>
  <c r="U7025" i="1"/>
  <c r="P7026" i="1"/>
  <c r="U7026" i="1"/>
  <c r="O7027" i="1"/>
  <c r="O7028" i="1" s="1"/>
  <c r="P7027" i="1"/>
  <c r="U7027" i="1"/>
  <c r="P7028" i="1"/>
  <c r="U7028" i="1"/>
  <c r="P7029" i="1"/>
  <c r="U7029" i="1"/>
  <c r="P7030" i="1"/>
  <c r="U7030" i="1"/>
  <c r="O7031" i="1"/>
  <c r="O7032" i="1" s="1"/>
  <c r="P7031" i="1"/>
  <c r="U7031" i="1"/>
  <c r="P7032" i="1"/>
  <c r="U7032" i="1"/>
  <c r="P7033" i="1"/>
  <c r="U7033" i="1"/>
  <c r="O7034" i="1"/>
  <c r="O7035" i="1" s="1"/>
  <c r="P7034" i="1"/>
  <c r="U7034" i="1"/>
  <c r="P7035" i="1"/>
  <c r="U7035" i="1"/>
  <c r="P7036" i="1"/>
  <c r="U7036" i="1"/>
  <c r="O7037" i="1"/>
  <c r="O7038" i="1" s="1"/>
  <c r="S7038" i="1" s="1"/>
  <c r="P7037" i="1"/>
  <c r="U7037" i="1"/>
  <c r="P7038" i="1"/>
  <c r="U7038" i="1"/>
  <c r="P7039" i="1"/>
  <c r="U7039" i="1"/>
  <c r="O7040" i="1"/>
  <c r="P7040" i="1"/>
  <c r="U7040" i="1"/>
  <c r="P7041" i="1"/>
  <c r="U7041" i="1"/>
  <c r="P7042" i="1"/>
  <c r="U7042" i="1"/>
  <c r="P7043" i="1"/>
  <c r="U7043" i="1"/>
  <c r="O7044" i="1"/>
  <c r="P7044" i="1"/>
  <c r="U7044" i="1"/>
  <c r="P7045" i="1"/>
  <c r="U7045" i="1"/>
  <c r="P7046" i="1"/>
  <c r="U7046" i="1"/>
  <c r="O7047" i="1"/>
  <c r="O7048" i="1" s="1"/>
  <c r="O7049" i="1" s="1"/>
  <c r="P7047" i="1"/>
  <c r="U7047" i="1"/>
  <c r="P7048" i="1"/>
  <c r="U7048" i="1"/>
  <c r="P7049" i="1"/>
  <c r="U7049" i="1"/>
  <c r="O7050" i="1"/>
  <c r="O7051" i="1" s="1"/>
  <c r="P7050" i="1"/>
  <c r="U7050" i="1"/>
  <c r="P7051" i="1"/>
  <c r="U7051" i="1"/>
  <c r="P7052" i="1"/>
  <c r="U7052" i="1"/>
  <c r="O7056" i="1"/>
  <c r="P7056" i="1"/>
  <c r="U7056" i="1"/>
  <c r="P7057" i="1"/>
  <c r="U7057" i="1"/>
  <c r="P7058" i="1"/>
  <c r="U7058" i="1"/>
  <c r="O7059" i="1"/>
  <c r="O7060" i="1" s="1"/>
  <c r="P7059" i="1"/>
  <c r="U7059" i="1"/>
  <c r="P7060" i="1"/>
  <c r="U7060" i="1"/>
  <c r="P7061" i="1"/>
  <c r="U7061" i="1"/>
  <c r="O7053" i="1"/>
  <c r="O7054" i="1" s="1"/>
  <c r="P7053" i="1"/>
  <c r="U7053" i="1"/>
  <c r="P7054" i="1"/>
  <c r="U7054" i="1"/>
  <c r="P7055" i="1"/>
  <c r="U7055" i="1"/>
  <c r="O7062" i="1"/>
  <c r="O7063" i="1" s="1"/>
  <c r="O7064" i="1" s="1"/>
  <c r="O7065" i="1" s="1"/>
  <c r="P7062" i="1"/>
  <c r="U7062" i="1"/>
  <c r="P7063" i="1"/>
  <c r="U7063" i="1"/>
  <c r="P7064" i="1"/>
  <c r="U7064" i="1"/>
  <c r="P7065" i="1"/>
  <c r="U7065" i="1"/>
  <c r="P7066" i="1"/>
  <c r="U7066" i="1"/>
  <c r="P7067" i="1"/>
  <c r="U7067" i="1"/>
  <c r="P7068" i="1"/>
  <c r="U7068" i="1"/>
  <c r="O7069" i="1"/>
  <c r="P7069" i="1"/>
  <c r="Q7069" i="1" s="1"/>
  <c r="U7069" i="1"/>
  <c r="P7070" i="1"/>
  <c r="U7070" i="1"/>
  <c r="O7071" i="1"/>
  <c r="O7072" i="1" s="1"/>
  <c r="P7071" i="1"/>
  <c r="U7071" i="1"/>
  <c r="P7072" i="1"/>
  <c r="U7072" i="1"/>
  <c r="P7073" i="1"/>
  <c r="U7073" i="1"/>
  <c r="O7074" i="1"/>
  <c r="O7075" i="1" s="1"/>
  <c r="P7074" i="1"/>
  <c r="U7074" i="1"/>
  <c r="P7075" i="1"/>
  <c r="U7075" i="1"/>
  <c r="O7076" i="1"/>
  <c r="P7076" i="1"/>
  <c r="U7076" i="1"/>
  <c r="P7077" i="1"/>
  <c r="U7077" i="1"/>
  <c r="P7078" i="1"/>
  <c r="U7078" i="1"/>
  <c r="O7079" i="1"/>
  <c r="P7079" i="1"/>
  <c r="U7079" i="1"/>
  <c r="P7080" i="1"/>
  <c r="U7080" i="1"/>
  <c r="P7081" i="1"/>
  <c r="U7081" i="1"/>
  <c r="O7082" i="1"/>
  <c r="O7083" i="1" s="1"/>
  <c r="P7082" i="1"/>
  <c r="U7082" i="1"/>
  <c r="P7083" i="1"/>
  <c r="U7083" i="1"/>
  <c r="P7084" i="1"/>
  <c r="U7084" i="1"/>
  <c r="P7085" i="1"/>
  <c r="U7085" i="1"/>
  <c r="P7086" i="1"/>
  <c r="U7086" i="1"/>
  <c r="P7087" i="1"/>
  <c r="U7087" i="1"/>
  <c r="P7088" i="1"/>
  <c r="U7088" i="1"/>
  <c r="O7089" i="1"/>
  <c r="P7089" i="1"/>
  <c r="U7089" i="1"/>
  <c r="P7090" i="1"/>
  <c r="U7090" i="1"/>
  <c r="O7091" i="1"/>
  <c r="O7092" i="1" s="1"/>
  <c r="P7091" i="1"/>
  <c r="U7091" i="1"/>
  <c r="P7092" i="1"/>
  <c r="U7092" i="1"/>
  <c r="P7093" i="1"/>
  <c r="U7093" i="1"/>
  <c r="P7094" i="1"/>
  <c r="U7094" i="1"/>
  <c r="O7095" i="1"/>
  <c r="P7095" i="1"/>
  <c r="U7095" i="1"/>
  <c r="P7096" i="1"/>
  <c r="U7096" i="1"/>
  <c r="P7097" i="1"/>
  <c r="U7097" i="1"/>
  <c r="P7098" i="1"/>
  <c r="U7098" i="1"/>
  <c r="P7099" i="1"/>
  <c r="U7099" i="1"/>
  <c r="O7100" i="1"/>
  <c r="O7101" i="1" s="1"/>
  <c r="S7101" i="1" s="1"/>
  <c r="P7100" i="1"/>
  <c r="U7100" i="1"/>
  <c r="P7101" i="1"/>
  <c r="U7101" i="1"/>
  <c r="O7105" i="1"/>
  <c r="P7105" i="1"/>
  <c r="U7105" i="1"/>
  <c r="P7106" i="1"/>
  <c r="U7106" i="1"/>
  <c r="P7107" i="1"/>
  <c r="U7107" i="1"/>
  <c r="O7108" i="1"/>
  <c r="O7109" i="1" s="1"/>
  <c r="P7108" i="1"/>
  <c r="U7108" i="1"/>
  <c r="P7109" i="1"/>
  <c r="U7109" i="1"/>
  <c r="O7102" i="1"/>
  <c r="P7102" i="1"/>
  <c r="U7102" i="1"/>
  <c r="P7103" i="1"/>
  <c r="U7103" i="1"/>
  <c r="P7104" i="1"/>
  <c r="U7104" i="1"/>
  <c r="O7110" i="1"/>
  <c r="P7110" i="1"/>
  <c r="Q7110" i="1" s="1"/>
  <c r="U7110" i="1"/>
  <c r="P7111" i="1"/>
  <c r="U7111" i="1"/>
  <c r="O7126" i="1"/>
  <c r="O7127" i="1" s="1"/>
  <c r="P7126" i="1"/>
  <c r="U7126" i="1"/>
  <c r="P7127" i="1"/>
  <c r="U7127" i="1"/>
  <c r="P7128" i="1"/>
  <c r="U7128" i="1"/>
  <c r="O7129" i="1"/>
  <c r="O7130" i="1" s="1"/>
  <c r="P7129" i="1"/>
  <c r="U7129" i="1"/>
  <c r="P7130" i="1"/>
  <c r="U7130" i="1"/>
  <c r="P7131" i="1"/>
  <c r="U7131" i="1"/>
  <c r="O7132" i="1"/>
  <c r="P7132" i="1"/>
  <c r="U7132" i="1"/>
  <c r="P7133" i="1"/>
  <c r="U7133" i="1"/>
  <c r="O7134" i="1"/>
  <c r="O7135" i="1" s="1"/>
  <c r="S7135" i="1" s="1"/>
  <c r="P7134" i="1"/>
  <c r="U7134" i="1"/>
  <c r="P7135" i="1"/>
  <c r="U7135" i="1"/>
  <c r="O7136" i="1"/>
  <c r="P7136" i="1"/>
  <c r="U7136" i="1"/>
  <c r="P7137" i="1"/>
  <c r="U7137" i="1"/>
  <c r="O7138" i="1"/>
  <c r="P7138" i="1"/>
  <c r="U7138" i="1"/>
  <c r="P7139" i="1"/>
  <c r="U7139" i="1"/>
  <c r="P7140" i="1"/>
  <c r="U7140" i="1"/>
  <c r="P7141" i="1"/>
  <c r="U7141" i="1"/>
  <c r="P7142" i="1"/>
  <c r="U7142" i="1"/>
  <c r="P7143" i="1"/>
  <c r="U7143" i="1"/>
  <c r="P7144" i="1"/>
  <c r="U7144" i="1"/>
  <c r="P7145" i="1"/>
  <c r="U7145" i="1"/>
  <c r="P7146" i="1"/>
  <c r="U7146" i="1"/>
  <c r="O7147" i="1"/>
  <c r="P7147" i="1"/>
  <c r="U7147" i="1"/>
  <c r="P7148" i="1"/>
  <c r="U7148" i="1"/>
  <c r="P7149" i="1"/>
  <c r="U7149" i="1"/>
  <c r="P7150" i="1"/>
  <c r="U7150" i="1"/>
  <c r="P7151" i="1"/>
  <c r="U7151" i="1"/>
  <c r="P7152" i="1"/>
  <c r="U7152" i="1"/>
  <c r="P7153" i="1"/>
  <c r="U7153" i="1"/>
  <c r="P7154" i="1"/>
  <c r="U7154" i="1"/>
  <c r="P7155" i="1"/>
  <c r="U7155" i="1"/>
  <c r="P7156" i="1"/>
  <c r="U7156" i="1"/>
  <c r="P7157" i="1"/>
  <c r="U7157" i="1"/>
  <c r="O7158" i="1"/>
  <c r="P7158" i="1"/>
  <c r="U7158" i="1"/>
  <c r="P7159" i="1"/>
  <c r="U7159" i="1"/>
  <c r="O7160" i="1"/>
  <c r="P7160" i="1"/>
  <c r="U7160" i="1"/>
  <c r="P7161" i="1"/>
  <c r="U7161" i="1"/>
  <c r="P7162" i="1"/>
  <c r="U7162" i="1"/>
  <c r="O7163" i="1"/>
  <c r="P7163" i="1"/>
  <c r="U7163" i="1"/>
  <c r="P7164" i="1"/>
  <c r="U7164" i="1"/>
  <c r="O7165" i="1"/>
  <c r="P7165" i="1"/>
  <c r="U7165" i="1"/>
  <c r="P7166" i="1"/>
  <c r="U7166" i="1"/>
  <c r="P7167" i="1"/>
  <c r="U7167" i="1"/>
  <c r="O7168" i="1"/>
  <c r="P7168" i="1"/>
  <c r="U7168" i="1"/>
  <c r="P7169" i="1"/>
  <c r="U7169" i="1"/>
  <c r="P7170" i="1"/>
  <c r="U7170" i="1"/>
  <c r="O7171" i="1"/>
  <c r="P7171" i="1"/>
  <c r="U7171" i="1"/>
  <c r="P7172" i="1"/>
  <c r="U7172" i="1"/>
  <c r="P7173" i="1"/>
  <c r="U7173" i="1"/>
  <c r="O7174" i="1"/>
  <c r="P7174" i="1"/>
  <c r="U7174" i="1"/>
  <c r="P7175" i="1"/>
  <c r="U7175" i="1"/>
  <c r="D6923" i="1"/>
  <c r="D6924" i="1"/>
  <c r="D6925" i="1"/>
  <c r="D6926" i="1"/>
  <c r="D6927" i="1"/>
  <c r="D6930" i="1"/>
  <c r="D6931" i="1"/>
  <c r="D6932" i="1"/>
  <c r="D6933" i="1"/>
  <c r="D6934" i="1"/>
  <c r="D6935" i="1"/>
  <c r="D6928" i="1"/>
  <c r="D6929"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112" i="1"/>
  <c r="D7113" i="1"/>
  <c r="D7114" i="1"/>
  <c r="D7115" i="1"/>
  <c r="D7116" i="1"/>
  <c r="D7117" i="1"/>
  <c r="D7118" i="1"/>
  <c r="D7119" i="1"/>
  <c r="D7120" i="1"/>
  <c r="D7121" i="1"/>
  <c r="D7122" i="1"/>
  <c r="D7123" i="1"/>
  <c r="D7124" i="1"/>
  <c r="D7125" i="1"/>
  <c r="D7176" i="1"/>
  <c r="D7177" i="1"/>
  <c r="D7178" i="1"/>
  <c r="D7179" i="1"/>
  <c r="D7180" i="1"/>
  <c r="D7181" i="1"/>
  <c r="D7182" i="1"/>
  <c r="D7183" i="1"/>
  <c r="D7184" i="1"/>
  <c r="D7185" i="1"/>
  <c r="D7186" i="1"/>
  <c r="D7187" i="1"/>
  <c r="D7188" i="1"/>
  <c r="D7189" i="1"/>
  <c r="D7190" i="1"/>
  <c r="D7191" i="1"/>
  <c r="D7192" i="1"/>
  <c r="D7207" i="1"/>
  <c r="D7208" i="1"/>
  <c r="D7209" i="1"/>
  <c r="D7210" i="1"/>
  <c r="D7211" i="1"/>
  <c r="D7212" i="1"/>
  <c r="D7213" i="1"/>
  <c r="D7214" i="1"/>
  <c r="D7215" i="1"/>
  <c r="D7216" i="1"/>
  <c r="D7217" i="1"/>
  <c r="D7218" i="1"/>
  <c r="D7219" i="1"/>
  <c r="D7220" i="1"/>
  <c r="D7221" i="1"/>
  <c r="D7222" i="1"/>
  <c r="D7223" i="1"/>
  <c r="D7224" i="1"/>
  <c r="D7225" i="1"/>
  <c r="D7226" i="1"/>
  <c r="D7227" i="1"/>
  <c r="D7228" i="1"/>
  <c r="D7193" i="1"/>
  <c r="D7194" i="1"/>
  <c r="D7195" i="1"/>
  <c r="D7196" i="1"/>
  <c r="D7197" i="1"/>
  <c r="D7198" i="1"/>
  <c r="D7199" i="1"/>
  <c r="D7200" i="1"/>
  <c r="D7201" i="1"/>
  <c r="D7202" i="1"/>
  <c r="D7203" i="1"/>
  <c r="D7204" i="1"/>
  <c r="D7205" i="1"/>
  <c r="D7206"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6" i="1"/>
  <c r="D7057" i="1"/>
  <c r="D7058" i="1"/>
  <c r="D7059" i="1"/>
  <c r="D7060" i="1"/>
  <c r="D7061" i="1"/>
  <c r="D7053" i="1"/>
  <c r="D7054" i="1"/>
  <c r="D7055"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5" i="1"/>
  <c r="D7106" i="1"/>
  <c r="D7107" i="1"/>
  <c r="D7108" i="1"/>
  <c r="D7109" i="1"/>
  <c r="D7102" i="1"/>
  <c r="D7103" i="1"/>
  <c r="D7104" i="1"/>
  <c r="D7110" i="1"/>
  <c r="D7111"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6922" i="1"/>
  <c r="F305" i="9"/>
  <c r="B305" i="9"/>
  <c r="F304" i="9"/>
  <c r="B304" i="9"/>
  <c r="F303" i="9"/>
  <c r="B303" i="9"/>
  <c r="F302" i="9"/>
  <c r="B302" i="9"/>
  <c r="F301" i="9"/>
  <c r="B301" i="9"/>
  <c r="F300" i="9"/>
  <c r="B300" i="9"/>
  <c r="F299" i="9"/>
  <c r="B299" i="9"/>
  <c r="F298" i="9"/>
  <c r="B298" i="9"/>
  <c r="F297" i="9"/>
  <c r="B297" i="9"/>
  <c r="F296" i="9"/>
  <c r="B296" i="9"/>
  <c r="F295" i="9"/>
  <c r="B295" i="9"/>
  <c r="F294" i="9"/>
  <c r="B294" i="9"/>
  <c r="F293" i="9"/>
  <c r="B293" i="9"/>
  <c r="F292" i="9"/>
  <c r="B292" i="9"/>
  <c r="F291" i="9"/>
  <c r="B291" i="9"/>
  <c r="F290" i="9"/>
  <c r="B290" i="9"/>
  <c r="F289" i="9"/>
  <c r="B289" i="9"/>
  <c r="F288" i="9"/>
  <c r="B288" i="9"/>
  <c r="F287" i="9"/>
  <c r="B287" i="9"/>
  <c r="F286" i="9"/>
  <c r="B286" i="9"/>
  <c r="F285" i="9"/>
  <c r="B285" i="9"/>
  <c r="F284" i="9"/>
  <c r="B284" i="9"/>
  <c r="F283" i="9"/>
  <c r="B283" i="9"/>
  <c r="F282" i="9"/>
  <c r="B282" i="9"/>
  <c r="F281" i="9"/>
  <c r="B281" i="9"/>
  <c r="F280" i="9"/>
  <c r="B280" i="9"/>
  <c r="F279" i="9"/>
  <c r="B279" i="9"/>
  <c r="F278" i="9"/>
  <c r="B278" i="9"/>
  <c r="F277" i="9"/>
  <c r="B277" i="9"/>
  <c r="F276" i="9"/>
  <c r="B276" i="9"/>
  <c r="F275" i="9"/>
  <c r="B275" i="9"/>
  <c r="F274" i="9"/>
  <c r="B274" i="9"/>
  <c r="F273" i="9"/>
  <c r="B273" i="9"/>
  <c r="F272" i="9"/>
  <c r="B272" i="9"/>
  <c r="F271" i="9"/>
  <c r="B271" i="9"/>
  <c r="F270" i="9"/>
  <c r="B270" i="9"/>
  <c r="F269" i="9"/>
  <c r="B269" i="9"/>
  <c r="F268" i="9"/>
  <c r="B268" i="9"/>
  <c r="F267" i="9"/>
  <c r="B267" i="9"/>
  <c r="F266" i="9"/>
  <c r="B266" i="9"/>
  <c r="F265" i="9"/>
  <c r="B265" i="9"/>
  <c r="F264" i="9"/>
  <c r="B264" i="9"/>
  <c r="F263" i="9"/>
  <c r="B263" i="9"/>
  <c r="F262" i="9"/>
  <c r="B262" i="9"/>
  <c r="F261" i="9"/>
  <c r="B261" i="9"/>
  <c r="F260" i="9"/>
  <c r="B260" i="9"/>
  <c r="F259" i="9"/>
  <c r="B259" i="9"/>
  <c r="F258" i="9"/>
  <c r="B258" i="9"/>
  <c r="F257" i="9"/>
  <c r="B257" i="9"/>
  <c r="F256" i="9"/>
  <c r="B256" i="9"/>
  <c r="F255" i="9"/>
  <c r="B255" i="9"/>
  <c r="F254" i="9"/>
  <c r="B254" i="9"/>
  <c r="F253" i="9"/>
  <c r="B253" i="9"/>
  <c r="F252" i="9"/>
  <c r="B252" i="9"/>
  <c r="F251" i="9"/>
  <c r="B251" i="9"/>
  <c r="F250" i="9"/>
  <c r="B250" i="9"/>
  <c r="F249" i="9"/>
  <c r="B249" i="9"/>
  <c r="F248" i="9"/>
  <c r="B248" i="9"/>
  <c r="F247" i="9"/>
  <c r="B247" i="9"/>
  <c r="F246" i="9"/>
  <c r="B246" i="9"/>
  <c r="F245" i="9"/>
  <c r="B245" i="9"/>
  <c r="F244" i="9"/>
  <c r="B244" i="9"/>
  <c r="F243" i="9"/>
  <c r="B243" i="9"/>
  <c r="F242" i="9"/>
  <c r="B242" i="9"/>
  <c r="F241" i="9"/>
  <c r="B241" i="9"/>
  <c r="F240" i="9"/>
  <c r="B240" i="9"/>
  <c r="F239" i="9"/>
  <c r="B239" i="9"/>
  <c r="F238" i="9"/>
  <c r="B238" i="9"/>
  <c r="F237" i="9"/>
  <c r="B237" i="9"/>
  <c r="F236" i="9"/>
  <c r="B236" i="9"/>
  <c r="F235" i="9"/>
  <c r="B235" i="9"/>
  <c r="F234" i="9"/>
  <c r="B234" i="9"/>
  <c r="F233" i="9"/>
  <c r="B233" i="9"/>
  <c r="F232" i="9"/>
  <c r="B232" i="9"/>
  <c r="F231" i="9"/>
  <c r="B231" i="9"/>
  <c r="F230" i="9"/>
  <c r="B230" i="9"/>
  <c r="F229" i="9"/>
  <c r="B229" i="9"/>
  <c r="F228" i="9"/>
  <c r="B228" i="9"/>
  <c r="F227" i="9"/>
  <c r="B227" i="9"/>
  <c r="F226" i="9"/>
  <c r="B226" i="9"/>
  <c r="F225" i="9"/>
  <c r="B225" i="9"/>
  <c r="F224" i="9"/>
  <c r="B224" i="9"/>
  <c r="F223" i="9"/>
  <c r="B223" i="9"/>
  <c r="F222" i="9"/>
  <c r="B222" i="9"/>
  <c r="F221" i="9"/>
  <c r="B221" i="9"/>
  <c r="F220" i="9"/>
  <c r="B220" i="9"/>
  <c r="F219" i="9"/>
  <c r="B219" i="9"/>
  <c r="F218" i="9"/>
  <c r="B218" i="9"/>
  <c r="F217" i="9"/>
  <c r="B217" i="9"/>
  <c r="F216" i="9"/>
  <c r="B216" i="9"/>
  <c r="F215" i="9"/>
  <c r="B215" i="9"/>
  <c r="F214" i="9"/>
  <c r="B214" i="9"/>
  <c r="F213" i="9"/>
  <c r="B213" i="9"/>
  <c r="F212" i="9"/>
  <c r="B212" i="9"/>
  <c r="F211" i="9"/>
  <c r="B211" i="9"/>
  <c r="F210" i="9"/>
  <c r="B210" i="9"/>
  <c r="F209" i="9"/>
  <c r="B209" i="9"/>
  <c r="F208" i="9"/>
  <c r="B208" i="9"/>
  <c r="F207" i="9"/>
  <c r="B207" i="9"/>
  <c r="F206" i="9"/>
  <c r="B206" i="9"/>
  <c r="F205" i="9"/>
  <c r="B205" i="9"/>
  <c r="F204" i="9"/>
  <c r="B204" i="9"/>
  <c r="F203" i="9"/>
  <c r="B203" i="9"/>
  <c r="F202" i="9"/>
  <c r="B202" i="9"/>
  <c r="F201" i="9"/>
  <c r="B201" i="9"/>
  <c r="F200" i="9"/>
  <c r="B200" i="9"/>
  <c r="F199" i="9"/>
  <c r="B199" i="9"/>
  <c r="F198" i="9"/>
  <c r="B198" i="9"/>
  <c r="F197" i="9"/>
  <c r="B197" i="9"/>
  <c r="F196" i="9"/>
  <c r="B196" i="9"/>
  <c r="F195" i="9"/>
  <c r="B195" i="9"/>
  <c r="F194" i="9"/>
  <c r="B194" i="9"/>
  <c r="F193" i="9"/>
  <c r="B193" i="9"/>
  <c r="F192" i="9"/>
  <c r="B192" i="9"/>
  <c r="F191" i="9"/>
  <c r="B191" i="9"/>
  <c r="F190" i="9"/>
  <c r="B190" i="9"/>
  <c r="F189" i="9"/>
  <c r="B189" i="9"/>
  <c r="F188" i="9"/>
  <c r="B188" i="9"/>
  <c r="F187" i="9"/>
  <c r="B187" i="9"/>
  <c r="F186" i="9"/>
  <c r="B186" i="9"/>
  <c r="F185" i="9"/>
  <c r="B185" i="9"/>
  <c r="F184" i="9"/>
  <c r="B184" i="9"/>
  <c r="F183" i="9"/>
  <c r="B183" i="9"/>
  <c r="F182" i="9"/>
  <c r="B182" i="9"/>
  <c r="F181" i="9"/>
  <c r="B181" i="9"/>
  <c r="F180" i="9"/>
  <c r="B180" i="9"/>
  <c r="F179" i="9"/>
  <c r="B179" i="9"/>
  <c r="F178" i="9"/>
  <c r="B178" i="9"/>
  <c r="F177" i="9"/>
  <c r="B177" i="9"/>
  <c r="F176" i="9"/>
  <c r="B176" i="9"/>
  <c r="F175" i="9"/>
  <c r="B175" i="9"/>
  <c r="F174" i="9"/>
  <c r="B174" i="9"/>
  <c r="F173" i="9"/>
  <c r="B173" i="9"/>
  <c r="F172" i="9"/>
  <c r="B172" i="9"/>
  <c r="F171" i="9"/>
  <c r="B171" i="9"/>
  <c r="F170" i="9"/>
  <c r="B170" i="9"/>
  <c r="F169" i="9"/>
  <c r="B169" i="9"/>
  <c r="F168" i="9"/>
  <c r="B168" i="9"/>
  <c r="F167" i="9"/>
  <c r="B167" i="9"/>
  <c r="F166" i="9"/>
  <c r="B166" i="9"/>
  <c r="F165" i="9"/>
  <c r="B165" i="9"/>
  <c r="F164" i="9"/>
  <c r="B164" i="9"/>
  <c r="F163" i="9"/>
  <c r="B163" i="9"/>
  <c r="F162" i="9"/>
  <c r="B162" i="9"/>
  <c r="F161" i="9"/>
  <c r="B161" i="9"/>
  <c r="F160" i="9"/>
  <c r="B160" i="9"/>
  <c r="F159" i="9"/>
  <c r="B159" i="9"/>
  <c r="F158" i="9"/>
  <c r="B158" i="9"/>
  <c r="F157" i="9"/>
  <c r="B157" i="9"/>
  <c r="F156" i="9"/>
  <c r="B156" i="9"/>
  <c r="F155" i="9"/>
  <c r="B155" i="9"/>
  <c r="F154" i="9"/>
  <c r="B154" i="9"/>
  <c r="F153" i="9"/>
  <c r="B153" i="9"/>
  <c r="F152" i="9"/>
  <c r="B152" i="9"/>
  <c r="F151" i="9"/>
  <c r="B151" i="9"/>
  <c r="F150" i="9"/>
  <c r="B150" i="9"/>
  <c r="F149" i="9"/>
  <c r="B149" i="9"/>
  <c r="F148" i="9"/>
  <c r="B148" i="9"/>
  <c r="F147" i="9"/>
  <c r="B147" i="9"/>
  <c r="F146" i="9"/>
  <c r="B146" i="9"/>
  <c r="F145" i="9"/>
  <c r="B145" i="9"/>
  <c r="F144" i="9"/>
  <c r="B144" i="9"/>
  <c r="F143" i="9"/>
  <c r="B143" i="9"/>
  <c r="F142" i="9"/>
  <c r="B142" i="9"/>
  <c r="F141" i="9"/>
  <c r="B141" i="9"/>
  <c r="F140" i="9"/>
  <c r="B140" i="9"/>
  <c r="F139" i="9"/>
  <c r="B139" i="9"/>
  <c r="F138" i="9"/>
  <c r="B138" i="9"/>
  <c r="F137" i="9"/>
  <c r="B137" i="9"/>
  <c r="F136" i="9"/>
  <c r="B136" i="9"/>
  <c r="F135" i="9"/>
  <c r="B135" i="9"/>
  <c r="F134" i="9"/>
  <c r="B134" i="9"/>
  <c r="F133" i="9"/>
  <c r="B133" i="9"/>
  <c r="F132" i="9"/>
  <c r="B132" i="9"/>
  <c r="F131" i="9"/>
  <c r="B131" i="9"/>
  <c r="F130" i="9"/>
  <c r="B130" i="9"/>
  <c r="F129" i="9"/>
  <c r="B129" i="9"/>
  <c r="F128" i="9"/>
  <c r="B128" i="9"/>
  <c r="F127" i="9"/>
  <c r="B127" i="9"/>
  <c r="F126" i="9"/>
  <c r="B126" i="9"/>
  <c r="F125" i="9"/>
  <c r="B125" i="9"/>
  <c r="F124" i="9"/>
  <c r="B124" i="9"/>
  <c r="F123" i="9"/>
  <c r="B123" i="9"/>
  <c r="F122" i="9"/>
  <c r="B122" i="9"/>
  <c r="F121" i="9"/>
  <c r="B121" i="9"/>
  <c r="F120" i="9"/>
  <c r="B120" i="9"/>
  <c r="F119" i="9"/>
  <c r="B119" i="9"/>
  <c r="F118" i="9"/>
  <c r="B118" i="9"/>
  <c r="F117" i="9"/>
  <c r="B117" i="9"/>
  <c r="F116" i="9"/>
  <c r="B116" i="9"/>
  <c r="F115" i="9"/>
  <c r="B115" i="9"/>
  <c r="F114" i="9"/>
  <c r="B114" i="9"/>
  <c r="F113" i="9"/>
  <c r="B113" i="9"/>
  <c r="F112" i="9"/>
  <c r="B112" i="9"/>
  <c r="F111" i="9"/>
  <c r="B111" i="9"/>
  <c r="F110" i="9"/>
  <c r="B110" i="9"/>
  <c r="F109" i="9"/>
  <c r="B109" i="9"/>
  <c r="F108" i="9"/>
  <c r="B108" i="9"/>
  <c r="F107" i="9"/>
  <c r="B107" i="9"/>
  <c r="F106" i="9"/>
  <c r="B106" i="9"/>
  <c r="F105" i="9"/>
  <c r="B105" i="9"/>
  <c r="F104" i="9"/>
  <c r="B104" i="9"/>
  <c r="F103" i="9"/>
  <c r="B103" i="9"/>
  <c r="F102" i="9"/>
  <c r="B102" i="9"/>
  <c r="F101" i="9"/>
  <c r="B101" i="9"/>
  <c r="F100" i="9"/>
  <c r="B100" i="9"/>
  <c r="F99" i="9"/>
  <c r="B99" i="9"/>
  <c r="F98" i="9"/>
  <c r="B98" i="9"/>
  <c r="F97" i="9"/>
  <c r="B97" i="9"/>
  <c r="F96" i="9"/>
  <c r="B96" i="9"/>
  <c r="F95" i="9"/>
  <c r="B95" i="9"/>
  <c r="F94" i="9"/>
  <c r="B94" i="9"/>
  <c r="F93" i="9"/>
  <c r="B93" i="9"/>
  <c r="F92" i="9"/>
  <c r="B92" i="9"/>
  <c r="F91" i="9"/>
  <c r="B91" i="9"/>
  <c r="F90" i="9"/>
  <c r="B90" i="9"/>
  <c r="F89" i="9"/>
  <c r="B89" i="9"/>
  <c r="F88" i="9"/>
  <c r="B88" i="9"/>
  <c r="F87" i="9"/>
  <c r="B87" i="9"/>
  <c r="F86" i="9"/>
  <c r="B86" i="9"/>
  <c r="F85" i="9"/>
  <c r="B85" i="9"/>
  <c r="F84" i="9"/>
  <c r="B84" i="9"/>
  <c r="F83" i="9"/>
  <c r="B83" i="9"/>
  <c r="F82" i="9"/>
  <c r="B82" i="9"/>
  <c r="F81" i="9"/>
  <c r="B81" i="9"/>
  <c r="F80" i="9"/>
  <c r="B80" i="9"/>
  <c r="F79" i="9"/>
  <c r="B79" i="9"/>
  <c r="F78" i="9"/>
  <c r="B78" i="9"/>
  <c r="F77" i="9"/>
  <c r="B77" i="9"/>
  <c r="F76" i="9"/>
  <c r="B76" i="9"/>
  <c r="F75" i="9"/>
  <c r="B75" i="9"/>
  <c r="F74" i="9"/>
  <c r="B74" i="9"/>
  <c r="F73" i="9"/>
  <c r="B73" i="9"/>
  <c r="F72" i="9"/>
  <c r="B72" i="9"/>
  <c r="F71" i="9"/>
  <c r="B71" i="9"/>
  <c r="F70" i="9"/>
  <c r="B70" i="9"/>
  <c r="F69" i="9"/>
  <c r="B69" i="9"/>
  <c r="F68" i="9"/>
  <c r="B68" i="9"/>
  <c r="F67" i="9"/>
  <c r="B67" i="9"/>
  <c r="F66" i="9"/>
  <c r="B66" i="9"/>
  <c r="F65" i="9"/>
  <c r="B65" i="9"/>
  <c r="F64" i="9"/>
  <c r="B64" i="9"/>
  <c r="F63" i="9"/>
  <c r="B63" i="9"/>
  <c r="F62" i="9"/>
  <c r="B62" i="9"/>
  <c r="F61" i="9"/>
  <c r="B61" i="9"/>
  <c r="F60" i="9"/>
  <c r="B60" i="9"/>
  <c r="F59" i="9"/>
  <c r="B59" i="9"/>
  <c r="F58" i="9"/>
  <c r="B58" i="9"/>
  <c r="F57" i="9"/>
  <c r="B57" i="9"/>
  <c r="F56" i="9"/>
  <c r="B56" i="9"/>
  <c r="F55" i="9"/>
  <c r="B55" i="9"/>
  <c r="F54" i="9"/>
  <c r="B54" i="9"/>
  <c r="F53" i="9"/>
  <c r="B53" i="9"/>
  <c r="F52" i="9"/>
  <c r="B52" i="9"/>
  <c r="F51" i="9"/>
  <c r="B51" i="9"/>
  <c r="F50" i="9"/>
  <c r="B50" i="9"/>
  <c r="F49" i="9"/>
  <c r="B49" i="9"/>
  <c r="F48" i="9"/>
  <c r="B48" i="9"/>
  <c r="F47" i="9"/>
  <c r="B47" i="9"/>
  <c r="F46" i="9"/>
  <c r="B46" i="9"/>
  <c r="F45" i="9"/>
  <c r="B45" i="9"/>
  <c r="F44" i="9"/>
  <c r="B44" i="9"/>
  <c r="F43" i="9"/>
  <c r="B43" i="9"/>
  <c r="F42" i="9"/>
  <c r="B42" i="9"/>
  <c r="F41" i="9"/>
  <c r="B41" i="9"/>
  <c r="F40" i="9"/>
  <c r="B40" i="9"/>
  <c r="F39" i="9"/>
  <c r="B39" i="9"/>
  <c r="F38" i="9"/>
  <c r="B38" i="9"/>
  <c r="F37" i="9"/>
  <c r="B37" i="9"/>
  <c r="F36" i="9"/>
  <c r="B36" i="9"/>
  <c r="F35" i="9"/>
  <c r="B35" i="9"/>
  <c r="F34" i="9"/>
  <c r="B34" i="9"/>
  <c r="F33" i="9"/>
  <c r="B33" i="9"/>
  <c r="F32" i="9"/>
  <c r="B32" i="9"/>
  <c r="F31" i="9"/>
  <c r="B31" i="9"/>
  <c r="F30" i="9"/>
  <c r="B30" i="9"/>
  <c r="F29" i="9"/>
  <c r="B29" i="9"/>
  <c r="F28" i="9"/>
  <c r="B28" i="9"/>
  <c r="F27" i="9"/>
  <c r="B27" i="9"/>
  <c r="F26" i="9"/>
  <c r="B26" i="9"/>
  <c r="F25" i="9"/>
  <c r="B25" i="9"/>
  <c r="F24" i="9"/>
  <c r="B24" i="9"/>
  <c r="F23" i="9"/>
  <c r="B23" i="9"/>
  <c r="F22" i="9"/>
  <c r="B22" i="9"/>
  <c r="F21" i="9"/>
  <c r="B21" i="9"/>
  <c r="F20" i="9"/>
  <c r="B20" i="9"/>
  <c r="F19" i="9"/>
  <c r="B19" i="9"/>
  <c r="F18" i="9"/>
  <c r="B18" i="9"/>
  <c r="F17" i="9"/>
  <c r="B17" i="9"/>
  <c r="F16" i="9"/>
  <c r="B16" i="9"/>
  <c r="F15" i="9"/>
  <c r="B15" i="9"/>
  <c r="F14" i="9"/>
  <c r="B14" i="9"/>
  <c r="F13" i="9"/>
  <c r="B13" i="9"/>
  <c r="F12" i="9"/>
  <c r="B12" i="9"/>
  <c r="F11" i="9"/>
  <c r="B11" i="9"/>
  <c r="F10" i="9"/>
  <c r="B10" i="9"/>
  <c r="F9" i="9"/>
  <c r="B9" i="9"/>
  <c r="F8" i="9"/>
  <c r="B8" i="9"/>
  <c r="F7" i="9"/>
  <c r="B7" i="9"/>
  <c r="F6" i="9"/>
  <c r="B6" i="9"/>
  <c r="F5" i="9"/>
  <c r="B5" i="9"/>
  <c r="F4" i="9"/>
  <c r="B4" i="9"/>
  <c r="F3" i="9"/>
  <c r="B3" i="9"/>
  <c r="B2" i="9"/>
  <c r="B1" i="9"/>
  <c r="L127" i="15" l="1"/>
  <c r="L129" i="15"/>
  <c r="B58" i="15"/>
  <c r="L138" i="15"/>
  <c r="L125" i="15"/>
  <c r="T7365" i="1"/>
  <c r="G17" i="15"/>
  <c r="A103" i="15"/>
  <c r="M129" i="15" s="1"/>
  <c r="N129" i="15" s="1"/>
  <c r="O129" i="15" s="1"/>
  <c r="B129" i="15" s="1"/>
  <c r="S7418" i="1"/>
  <c r="T7418" i="1" s="1"/>
  <c r="S7491" i="1"/>
  <c r="T7491" i="1" s="1"/>
  <c r="A78" i="15"/>
  <c r="A121" i="15" s="1"/>
  <c r="D4" i="15" s="1"/>
  <c r="P125" i="15"/>
  <c r="J125" i="15"/>
  <c r="K125" i="15" s="1"/>
  <c r="H92" i="14"/>
  <c r="F95" i="14"/>
  <c r="H89" i="14"/>
  <c r="H93" i="14"/>
  <c r="H90" i="14"/>
  <c r="E3" i="14"/>
  <c r="B3" i="14" s="1"/>
  <c r="I93" i="14"/>
  <c r="I89" i="14"/>
  <c r="I90" i="14"/>
  <c r="F96" i="14"/>
  <c r="F97" i="14" s="1"/>
  <c r="F98" i="14"/>
  <c r="I91" i="14"/>
  <c r="B19" i="14"/>
  <c r="C19" i="14" s="1"/>
  <c r="B18" i="14"/>
  <c r="C18" i="14" s="1"/>
  <c r="B17" i="14"/>
  <c r="C17" i="14" s="1"/>
  <c r="B16" i="14"/>
  <c r="C16" i="14" s="1"/>
  <c r="S7506" i="1"/>
  <c r="T7506" i="1" s="1"/>
  <c r="S7498" i="1"/>
  <c r="T7498" i="1" s="1"/>
  <c r="S7474" i="1"/>
  <c r="T7474" i="1" s="1"/>
  <c r="S7490" i="1"/>
  <c r="T7490" i="1" s="1"/>
  <c r="S7514" i="1"/>
  <c r="T7514" i="1" s="1"/>
  <c r="S7467" i="1"/>
  <c r="T7467" i="1" s="1"/>
  <c r="R7523" i="1"/>
  <c r="S7523" i="1"/>
  <c r="T7523" i="1" s="1"/>
  <c r="O7524" i="1"/>
  <c r="S7412" i="1"/>
  <c r="T7412" i="1" s="1"/>
  <c r="R7412" i="1"/>
  <c r="S7564" i="1"/>
  <c r="T7564" i="1" s="1"/>
  <c r="R7564" i="1"/>
  <c r="S7400" i="1"/>
  <c r="T7400" i="1" s="1"/>
  <c r="R7400" i="1"/>
  <c r="R7288" i="1"/>
  <c r="R7287" i="1" s="1"/>
  <c r="O7289" i="1"/>
  <c r="R7296" i="1"/>
  <c r="R7295" i="1" s="1"/>
  <c r="O7297" i="1"/>
  <c r="O7373" i="1"/>
  <c r="S7483" i="1"/>
  <c r="R7483" i="1"/>
  <c r="O7319" i="1"/>
  <c r="O7485" i="1"/>
  <c r="R7484" i="1"/>
  <c r="O7390" i="1"/>
  <c r="O7286" i="1"/>
  <c r="O7307" i="1"/>
  <c r="R7306" i="1"/>
  <c r="R7305" i="1" s="1"/>
  <c r="O7511" i="1"/>
  <c r="R7510" i="1"/>
  <c r="R7463" i="1"/>
  <c r="O7281" i="1"/>
  <c r="R7280" i="1"/>
  <c r="O7394" i="1"/>
  <c r="R7393" i="1"/>
  <c r="R7392" i="1" s="1"/>
  <c r="R7469" i="1"/>
  <c r="S7469" i="1"/>
  <c r="T7469" i="1" s="1"/>
  <c r="O7556" i="1"/>
  <c r="O7383" i="1"/>
  <c r="R7382" i="1"/>
  <c r="R7381" i="1" s="1"/>
  <c r="O7530" i="1"/>
  <c r="R7529" i="1"/>
  <c r="O7509" i="1"/>
  <c r="R7508" i="1"/>
  <c r="O7341" i="1"/>
  <c r="O7437" i="1"/>
  <c r="R7436" i="1"/>
  <c r="O7414" i="1"/>
  <c r="R7413" i="1"/>
  <c r="O7335" i="1"/>
  <c r="S7406" i="1"/>
  <c r="R7406" i="1"/>
  <c r="R7454" i="1"/>
  <c r="S7454" i="1"/>
  <c r="R7517" i="1"/>
  <c r="S7517" i="1"/>
  <c r="O7433" i="1"/>
  <c r="R7432" i="1"/>
  <c r="S7432" i="1"/>
  <c r="S7479" i="1"/>
  <c r="R7479" i="1"/>
  <c r="R7421" i="1"/>
  <c r="S7421" i="1"/>
  <c r="R7547" i="1"/>
  <c r="S7547" i="1"/>
  <c r="O7489" i="1"/>
  <c r="R7488" i="1"/>
  <c r="O7528" i="1"/>
  <c r="O7410" i="1"/>
  <c r="R7409" i="1"/>
  <c r="S7522" i="1"/>
  <c r="R7522" i="1"/>
  <c r="O7534" i="1"/>
  <c r="R7533" i="1"/>
  <c r="O7462" i="1"/>
  <c r="R7461" i="1"/>
  <c r="O7293" i="1"/>
  <c r="O7439" i="1"/>
  <c r="R7438" i="1"/>
  <c r="O7371" i="1"/>
  <c r="R7370" i="1"/>
  <c r="R7369" i="1" s="1"/>
  <c r="R7455" i="1"/>
  <c r="O7279" i="1"/>
  <c r="O7312" i="1"/>
  <c r="O7376" i="1"/>
  <c r="S7428" i="1"/>
  <c r="R7428" i="1"/>
  <c r="R7427" i="1" s="1"/>
  <c r="R7477" i="1"/>
  <c r="S7477" i="1"/>
  <c r="O7333" i="1"/>
  <c r="R7332" i="1"/>
  <c r="R7331" i="1" s="1"/>
  <c r="O7553" i="1"/>
  <c r="R7552" i="1"/>
  <c r="R7396" i="1"/>
  <c r="S7396" i="1"/>
  <c r="R7202" i="1"/>
  <c r="R7115" i="1"/>
  <c r="R7004" i="1"/>
  <c r="R6993" i="1"/>
  <c r="S6924" i="1"/>
  <c r="AB1225" i="1"/>
  <c r="O7423" i="1"/>
  <c r="R7422" i="1"/>
  <c r="R7532" i="1"/>
  <c r="S7532" i="1"/>
  <c r="O7387" i="1"/>
  <c r="O7487" i="1"/>
  <c r="R7486" i="1"/>
  <c r="O7526" i="1"/>
  <c r="R7525" i="1"/>
  <c r="O7458" i="1"/>
  <c r="R7457" i="1"/>
  <c r="S7495" i="1"/>
  <c r="R7495" i="1"/>
  <c r="O7417" i="1"/>
  <c r="R7416" i="1"/>
  <c r="O7304" i="1"/>
  <c r="R7303" i="1"/>
  <c r="R7302" i="1" s="1"/>
  <c r="O7513" i="1"/>
  <c r="R7512" i="1"/>
  <c r="R7434" i="1"/>
  <c r="R7563" i="1"/>
  <c r="S7563" i="1"/>
  <c r="R7411" i="1"/>
  <c r="O7541" i="1"/>
  <c r="R7540" i="1"/>
  <c r="O7327" i="1"/>
  <c r="O7562" i="1"/>
  <c r="R7561" i="1"/>
  <c r="R7558" i="1"/>
  <c r="S7558" i="1"/>
  <c r="O7503" i="1"/>
  <c r="R7502" i="1"/>
  <c r="R7399" i="1"/>
  <c r="R7493" i="1"/>
  <c r="S7493" i="1"/>
  <c r="R7445" i="1"/>
  <c r="S7445" i="1"/>
  <c r="R7501" i="1"/>
  <c r="S7501" i="1"/>
  <c r="O7473" i="1"/>
  <c r="R7472" i="1"/>
  <c r="O7497" i="1"/>
  <c r="R7496" i="1"/>
  <c r="O7560" i="1"/>
  <c r="O7317" i="1"/>
  <c r="R7316" i="1"/>
  <c r="R7315" i="1" s="1"/>
  <c r="O7447" i="1"/>
  <c r="R7446" i="1"/>
  <c r="R7435" i="1"/>
  <c r="S7435" i="1"/>
  <c r="T7435" i="1" s="1"/>
  <c r="O7356" i="1"/>
  <c r="R7407" i="1"/>
  <c r="R7385" i="1"/>
  <c r="R7384" i="1" s="1"/>
  <c r="S7385" i="1"/>
  <c r="O7441" i="1"/>
  <c r="R7440" i="1"/>
  <c r="O7300" i="1"/>
  <c r="S7452" i="1"/>
  <c r="R7452" i="1"/>
  <c r="O7521" i="1"/>
  <c r="R7520" i="1"/>
  <c r="O7537" i="1"/>
  <c r="R7536" i="1"/>
  <c r="S7481" i="1"/>
  <c r="R7481" i="1"/>
  <c r="O7339" i="1"/>
  <c r="R7338" i="1"/>
  <c r="R7337" i="1" s="1"/>
  <c r="R7459" i="1"/>
  <c r="O7450" i="1"/>
  <c r="R7449" i="1"/>
  <c r="O7568" i="1"/>
  <c r="O7325" i="1"/>
  <c r="R7324" i="1"/>
  <c r="R7323" i="1" s="1"/>
  <c r="O7363" i="1"/>
  <c r="R7362" i="1"/>
  <c r="R7361" i="1" s="1"/>
  <c r="R7398" i="1"/>
  <c r="S7398" i="1"/>
  <c r="O7456" i="1"/>
  <c r="O7466" i="1"/>
  <c r="R7465" i="1"/>
  <c r="O7344" i="1"/>
  <c r="O7425" i="1"/>
  <c r="R7424" i="1"/>
  <c r="O7464" i="1"/>
  <c r="S7430" i="1"/>
  <c r="R7430" i="1"/>
  <c r="O7349" i="1"/>
  <c r="R7348" i="1"/>
  <c r="S7348" i="1"/>
  <c r="R7380" i="1"/>
  <c r="S7380" i="1"/>
  <c r="R7443" i="1"/>
  <c r="S7443" i="1"/>
  <c r="R7519" i="1"/>
  <c r="S7519" i="1"/>
  <c r="AB1245" i="1"/>
  <c r="O7352" i="1"/>
  <c r="R7351" i="1"/>
  <c r="R7350" i="1" s="1"/>
  <c r="O7471" i="1"/>
  <c r="R7470" i="1"/>
  <c r="O7460" i="1"/>
  <c r="O7402" i="1"/>
  <c r="R7401" i="1"/>
  <c r="O7284" i="1"/>
  <c r="O7309" i="1"/>
  <c r="O7360" i="1"/>
  <c r="R7359" i="1"/>
  <c r="R7358" i="1" s="1"/>
  <c r="R7571" i="1"/>
  <c r="S7571" i="1"/>
  <c r="O7551" i="1"/>
  <c r="R7550" i="1"/>
  <c r="O7368" i="1"/>
  <c r="R7367" i="1"/>
  <c r="R7366" i="1" s="1"/>
  <c r="O7408" i="1"/>
  <c r="R7404" i="1"/>
  <c r="S7404" i="1"/>
  <c r="R7549" i="1"/>
  <c r="S7549" i="1"/>
  <c r="O7505" i="1"/>
  <c r="R7504" i="1"/>
  <c r="O7545" i="1"/>
  <c r="R7544" i="1"/>
  <c r="Q7196" i="1"/>
  <c r="W1244" i="1"/>
  <c r="S7254" i="1"/>
  <c r="T7254" i="1" s="1"/>
  <c r="R7247" i="1"/>
  <c r="W1246" i="1"/>
  <c r="W1238" i="1"/>
  <c r="AC1222" i="1"/>
  <c r="AD1222" i="1" s="1"/>
  <c r="AB1206" i="1"/>
  <c r="AB1198" i="1"/>
  <c r="W1245" i="1"/>
  <c r="AB1243" i="1"/>
  <c r="AB1211" i="1"/>
  <c r="S7035" i="1"/>
  <c r="S7034" i="1" s="1"/>
  <c r="R7028" i="1"/>
  <c r="R7027" i="1" s="1"/>
  <c r="AB1250" i="1"/>
  <c r="AB1242" i="1"/>
  <c r="AC1234" i="1"/>
  <c r="AD1234" i="1" s="1"/>
  <c r="R7008" i="1"/>
  <c r="R7268" i="1"/>
  <c r="R7210" i="1"/>
  <c r="R6971" i="1"/>
  <c r="AB1240" i="1"/>
  <c r="AA1240" i="1" s="1"/>
  <c r="Z1240" i="1" s="1"/>
  <c r="AB1232" i="1"/>
  <c r="AB1224" i="1"/>
  <c r="Q7158" i="1"/>
  <c r="Q7126" i="1"/>
  <c r="Q6977" i="1"/>
  <c r="R7168" i="1"/>
  <c r="R7158" i="1"/>
  <c r="R7025" i="1"/>
  <c r="Q7193" i="1"/>
  <c r="AC1236" i="1"/>
  <c r="AD1236" i="1" s="1"/>
  <c r="AB1228" i="1"/>
  <c r="Q7232" i="1"/>
  <c r="Q7213" i="1"/>
  <c r="Q7165" i="1"/>
  <c r="Q7017" i="1"/>
  <c r="R7174" i="1"/>
  <c r="R7076" i="1"/>
  <c r="S7032" i="1"/>
  <c r="S7031" i="1" s="1"/>
  <c r="R7263" i="1"/>
  <c r="R7242" i="1"/>
  <c r="R7235" i="1"/>
  <c r="R7196" i="1"/>
  <c r="R6983" i="1"/>
  <c r="Q6988" i="1"/>
  <c r="Q7108" i="1"/>
  <c r="Q6936" i="1"/>
  <c r="Q7219" i="1"/>
  <c r="Q7132" i="1"/>
  <c r="Q7112" i="1"/>
  <c r="Q7095" i="1"/>
  <c r="Q7027" i="1"/>
  <c r="Q6980" i="1"/>
  <c r="Q6934" i="1"/>
  <c r="R7102" i="1"/>
  <c r="R7079" i="1"/>
  <c r="R7069" i="1"/>
  <c r="Q7037" i="1"/>
  <c r="R7266" i="1"/>
  <c r="S7240" i="1"/>
  <c r="T7240" i="1" s="1"/>
  <c r="R7225" i="1"/>
  <c r="R7176" i="1"/>
  <c r="Q7260" i="1"/>
  <c r="Q7235" i="1"/>
  <c r="Q7216" i="1"/>
  <c r="Q7174" i="1"/>
  <c r="Q7129" i="1"/>
  <c r="Q7091" i="1"/>
  <c r="Q7004" i="1"/>
  <c r="Q6932" i="1"/>
  <c r="Q7255" i="1"/>
  <c r="Q7089" i="1"/>
  <c r="Q7044" i="1"/>
  <c r="Q6997" i="1"/>
  <c r="Q7040" i="1"/>
  <c r="Q7272" i="1"/>
  <c r="Q7252" i="1"/>
  <c r="Q7229" i="1"/>
  <c r="Q7190" i="1"/>
  <c r="Q7168" i="1"/>
  <c r="Q7121" i="1"/>
  <c r="Q7105" i="1"/>
  <c r="Q7082" i="1"/>
  <c r="Q7014" i="1"/>
  <c r="Q6971" i="1"/>
  <c r="R7213" i="1"/>
  <c r="R6988" i="1"/>
  <c r="R6974" i="1"/>
  <c r="R6926" i="1"/>
  <c r="Q7270" i="1"/>
  <c r="Q7248" i="1"/>
  <c r="Q7138" i="1"/>
  <c r="Q7118" i="1"/>
  <c r="Q7102" i="1"/>
  <c r="Q7056" i="1"/>
  <c r="Q6968" i="1"/>
  <c r="S7130" i="1"/>
  <c r="S7129" i="1" s="1"/>
  <c r="S7109" i="1"/>
  <c r="S7108" i="1" s="1"/>
  <c r="S7092" i="1"/>
  <c r="S7091" i="1" s="1"/>
  <c r="S7060" i="1"/>
  <c r="S7059" i="1" s="1"/>
  <c r="R7014" i="1"/>
  <c r="S7231" i="1"/>
  <c r="T7231" i="1" s="1"/>
  <c r="S7217" i="1"/>
  <c r="S6978" i="1"/>
  <c r="S6977" i="1" s="1"/>
  <c r="S6935" i="1"/>
  <c r="S6934" i="1" s="1"/>
  <c r="R6922" i="1"/>
  <c r="Y1231" i="1"/>
  <c r="Q7268" i="1"/>
  <c r="Q7245" i="1"/>
  <c r="Q7225" i="1"/>
  <c r="Q7204" i="1"/>
  <c r="Q7100" i="1"/>
  <c r="Q7076" i="1"/>
  <c r="Q7053" i="1"/>
  <c r="Q6983" i="1"/>
  <c r="Y1242" i="1"/>
  <c r="Q7222" i="1"/>
  <c r="Q7178" i="1"/>
  <c r="Q7134" i="1"/>
  <c r="Q7074" i="1"/>
  <c r="Q7008" i="1"/>
  <c r="R7171" i="1"/>
  <c r="R7132" i="1"/>
  <c r="S7054" i="1"/>
  <c r="T7054" i="1" s="1"/>
  <c r="S7271" i="1"/>
  <c r="S7270" i="1" s="1"/>
  <c r="R7260" i="1"/>
  <c r="S7234" i="1"/>
  <c r="S7233" i="1" s="1"/>
  <c r="S7232" i="1" s="1"/>
  <c r="R7194" i="1"/>
  <c r="R7220" i="1"/>
  <c r="R7184" i="1"/>
  <c r="R6980" i="1"/>
  <c r="Y1239" i="1"/>
  <c r="Q7238" i="1"/>
  <c r="Q7227" i="1"/>
  <c r="Q7031" i="1"/>
  <c r="Q6974" i="1"/>
  <c r="Q6924" i="1"/>
  <c r="AN1246" i="1"/>
  <c r="AN1238" i="1"/>
  <c r="AN1230" i="1"/>
  <c r="AN1222" i="1"/>
  <c r="AN1214" i="1"/>
  <c r="AN1206" i="1"/>
  <c r="AN1198" i="1"/>
  <c r="AN1190" i="1"/>
  <c r="AN1182" i="1"/>
  <c r="AN1174" i="1"/>
  <c r="AN1166" i="1"/>
  <c r="AN1158" i="1"/>
  <c r="R7065" i="1"/>
  <c r="R7064" i="1" s="1"/>
  <c r="R7063" i="1" s="1"/>
  <c r="R7062" i="1" s="1"/>
  <c r="S7223" i="1"/>
  <c r="T7223" i="1" s="1"/>
  <c r="S6931" i="1"/>
  <c r="S6930" i="1" s="1"/>
  <c r="Q7071" i="1"/>
  <c r="Q6993" i="1"/>
  <c r="AN1245" i="1"/>
  <c r="AN1237" i="1"/>
  <c r="AN1229" i="1"/>
  <c r="AN1221" i="1"/>
  <c r="AN1213" i="1"/>
  <c r="AN1205" i="1"/>
  <c r="AN1197" i="1"/>
  <c r="AN1189" i="1"/>
  <c r="AN1181" i="1"/>
  <c r="AN1173" i="1"/>
  <c r="AN1165" i="1"/>
  <c r="AN1157" i="1"/>
  <c r="S7113" i="1"/>
  <c r="R6928" i="1"/>
  <c r="AN1152" i="1"/>
  <c r="AN1244" i="1"/>
  <c r="AN1236" i="1"/>
  <c r="AN1228" i="1"/>
  <c r="AN1220" i="1"/>
  <c r="AN1212" i="1"/>
  <c r="AN1204" i="1"/>
  <c r="AN1196" i="1"/>
  <c r="AN1188" i="1"/>
  <c r="AN1180" i="1"/>
  <c r="AN1172" i="1"/>
  <c r="AN1164" i="1"/>
  <c r="AN1156" i="1"/>
  <c r="R7110" i="1"/>
  <c r="Q7176" i="1"/>
  <c r="Q7147" i="1"/>
  <c r="Q7079" i="1"/>
  <c r="AN1251" i="1"/>
  <c r="AN1243" i="1"/>
  <c r="AN1235" i="1"/>
  <c r="AN1227" i="1"/>
  <c r="AN1219" i="1"/>
  <c r="AN1211" i="1"/>
  <c r="AN1203" i="1"/>
  <c r="AN1195" i="1"/>
  <c r="AN1187" i="1"/>
  <c r="AN1179" i="1"/>
  <c r="AN1171" i="1"/>
  <c r="AN1163" i="1"/>
  <c r="AN1155" i="1"/>
  <c r="S7134" i="1"/>
  <c r="R7044" i="1"/>
  <c r="R7089" i="1"/>
  <c r="R7049" i="1"/>
  <c r="R7040" i="1"/>
  <c r="R7276" i="1"/>
  <c r="R7198" i="1"/>
  <c r="R7207" i="1"/>
  <c r="R7118" i="1"/>
  <c r="S6969" i="1"/>
  <c r="S6968" i="1" s="1"/>
  <c r="R6932" i="1"/>
  <c r="AC1237" i="1"/>
  <c r="AD1237" i="1" s="1"/>
  <c r="Q7198" i="1"/>
  <c r="Q7062" i="1"/>
  <c r="Q7050" i="1"/>
  <c r="AN1250" i="1"/>
  <c r="AN1234" i="1"/>
  <c r="AN1226" i="1"/>
  <c r="AN1218" i="1"/>
  <c r="AN1210" i="1"/>
  <c r="AN1202" i="1"/>
  <c r="AN1194" i="1"/>
  <c r="AN1186" i="1"/>
  <c r="AN1178" i="1"/>
  <c r="AN1170" i="1"/>
  <c r="AN1162" i="1"/>
  <c r="AN1154" i="1"/>
  <c r="R7072" i="1"/>
  <c r="R7051" i="1"/>
  <c r="R7050" i="1" s="1"/>
  <c r="R7228" i="1"/>
  <c r="S6937" i="1"/>
  <c r="S6936" i="1" s="1"/>
  <c r="Q7210" i="1"/>
  <c r="Q7163" i="1"/>
  <c r="Q7047" i="1"/>
  <c r="Q6930" i="1"/>
  <c r="AN1249" i="1"/>
  <c r="AN1241" i="1"/>
  <c r="AN1233" i="1"/>
  <c r="AN1225" i="1"/>
  <c r="AN1217" i="1"/>
  <c r="AN1209" i="1"/>
  <c r="AN1201" i="1"/>
  <c r="AN1193" i="1"/>
  <c r="AN1185" i="1"/>
  <c r="AN1177" i="1"/>
  <c r="AN1169" i="1"/>
  <c r="AN1161" i="1"/>
  <c r="AN1153" i="1"/>
  <c r="R7160" i="1"/>
  <c r="R7163" i="1"/>
  <c r="R7272" i="1"/>
  <c r="R7248" i="1"/>
  <c r="R7165" i="1"/>
  <c r="R7136" i="1"/>
  <c r="S7127" i="1"/>
  <c r="S7126" i="1" s="1"/>
  <c r="R7105" i="1"/>
  <c r="R7095" i="1"/>
  <c r="S7075" i="1"/>
  <c r="S7074" i="1" s="1"/>
  <c r="R7056" i="1"/>
  <c r="S7012" i="1"/>
  <c r="S7011" i="1" s="1"/>
  <c r="R7204" i="1"/>
  <c r="W1158" i="1"/>
  <c r="Q7275" i="1"/>
  <c r="Q7207" i="1"/>
  <c r="Q7184" i="1"/>
  <c r="Q7136" i="1"/>
  <c r="Q7059" i="1"/>
  <c r="Q6928" i="1"/>
  <c r="AN1248" i="1"/>
  <c r="AN1240" i="1"/>
  <c r="AN1232" i="1"/>
  <c r="AN1224" i="1"/>
  <c r="AN1216" i="1"/>
  <c r="AN1208" i="1"/>
  <c r="AN1200" i="1"/>
  <c r="AN1192" i="1"/>
  <c r="AN1184" i="1"/>
  <c r="AN1176" i="1"/>
  <c r="AN1168" i="1"/>
  <c r="AN1160" i="1"/>
  <c r="Q7263" i="1"/>
  <c r="Q7242" i="1"/>
  <c r="Q7171" i="1"/>
  <c r="Q7160" i="1"/>
  <c r="Q7115" i="1"/>
  <c r="Q7034" i="1"/>
  <c r="Q7011" i="1"/>
  <c r="Q6926" i="1"/>
  <c r="AN1247" i="1"/>
  <c r="AN1223" i="1"/>
  <c r="AN1215" i="1"/>
  <c r="AN1207" i="1"/>
  <c r="AN1199" i="1"/>
  <c r="AN1191" i="1"/>
  <c r="AN1183" i="1"/>
  <c r="AN1175" i="1"/>
  <c r="AN1167" i="1"/>
  <c r="AN1159" i="1"/>
  <c r="R7240" i="1"/>
  <c r="R7231" i="1"/>
  <c r="R7223" i="1"/>
  <c r="R7191" i="1"/>
  <c r="R7134" i="1"/>
  <c r="R7126" i="1"/>
  <c r="R7109" i="1"/>
  <c r="R7101" i="1"/>
  <c r="R7074" i="1"/>
  <c r="R7047" i="1"/>
  <c r="R7031" i="1"/>
  <c r="R6978" i="1"/>
  <c r="R6930" i="1"/>
  <c r="S7276" i="1"/>
  <c r="S7275" i="1" s="1"/>
  <c r="R7271" i="1"/>
  <c r="R7239" i="1"/>
  <c r="R7230" i="1"/>
  <c r="R7222" i="1"/>
  <c r="R7190" i="1"/>
  <c r="R7108" i="1"/>
  <c r="R7100" i="1"/>
  <c r="R7092" i="1"/>
  <c r="R7054" i="1"/>
  <c r="R7038" i="1"/>
  <c r="R7012" i="1"/>
  <c r="R6977" i="1"/>
  <c r="T6977" i="1" s="1"/>
  <c r="R6969" i="1"/>
  <c r="R6937" i="1"/>
  <c r="O7214" i="1"/>
  <c r="R7214" i="1" s="1"/>
  <c r="O7211" i="1"/>
  <c r="O7212" i="1" s="1"/>
  <c r="S7230" i="1"/>
  <c r="S7229" i="1" s="1"/>
  <c r="R7270" i="1"/>
  <c r="R7254" i="1"/>
  <c r="R7246" i="1"/>
  <c r="R7245" i="1" s="1"/>
  <c r="R7238" i="1"/>
  <c r="R7229" i="1"/>
  <c r="R7091" i="1"/>
  <c r="R7053" i="1"/>
  <c r="R7037" i="1"/>
  <c r="R7011" i="1"/>
  <c r="R6968" i="1"/>
  <c r="R6936" i="1"/>
  <c r="S7220" i="1"/>
  <c r="S7219" i="1" s="1"/>
  <c r="R7253" i="1"/>
  <c r="R7071" i="1"/>
  <c r="R7060" i="1"/>
  <c r="R6935" i="1"/>
  <c r="Q6922" i="1"/>
  <c r="R7252" i="1"/>
  <c r="R7227" i="1"/>
  <c r="R7219" i="1"/>
  <c r="R7130" i="1"/>
  <c r="R7113" i="1"/>
  <c r="R7059" i="1"/>
  <c r="R7035" i="1"/>
  <c r="R6934" i="1"/>
  <c r="S7194" i="1"/>
  <c r="S7193" i="1" s="1"/>
  <c r="R7275" i="1"/>
  <c r="R7129" i="1"/>
  <c r="R7112" i="1"/>
  <c r="R7034" i="1"/>
  <c r="R6925" i="1"/>
  <c r="R7234" i="1"/>
  <c r="R7217" i="1"/>
  <c r="R7193" i="1"/>
  <c r="R6924" i="1"/>
  <c r="R7233" i="1"/>
  <c r="R7232" i="1" s="1"/>
  <c r="T7232" i="1" s="1"/>
  <c r="R7216" i="1"/>
  <c r="R7135" i="1"/>
  <c r="R7127" i="1"/>
  <c r="R7075" i="1"/>
  <c r="R7048" i="1"/>
  <c r="R7032" i="1"/>
  <c r="R6931" i="1"/>
  <c r="W1239" i="1"/>
  <c r="AB1248" i="1"/>
  <c r="AB1251" i="1"/>
  <c r="W1247" i="1"/>
  <c r="AC1226" i="1"/>
  <c r="AD1226" i="1" s="1"/>
  <c r="AB1218" i="1"/>
  <c r="AB1210" i="1"/>
  <c r="W1202" i="1"/>
  <c r="AC1246" i="1"/>
  <c r="AD1246" i="1" s="1"/>
  <c r="AB1241" i="1"/>
  <c r="AB1233" i="1"/>
  <c r="AC1249" i="1"/>
  <c r="AD1249" i="1" s="1"/>
  <c r="AB1249" i="1"/>
  <c r="W1201" i="1"/>
  <c r="W1161" i="1"/>
  <c r="W1162" i="1" s="1"/>
  <c r="W1153" i="1"/>
  <c r="W1154" i="1" s="1"/>
  <c r="W1155" i="1" s="1"/>
  <c r="W1156" i="1" s="1"/>
  <c r="W1157" i="1" s="1"/>
  <c r="W1167" i="1"/>
  <c r="W1168" i="1" s="1"/>
  <c r="W1169" i="1" s="1"/>
  <c r="W1170" i="1" s="1"/>
  <c r="W1171" i="1" s="1"/>
  <c r="W1172" i="1" s="1"/>
  <c r="W1173" i="1" s="1"/>
  <c r="W1174" i="1" s="1"/>
  <c r="W1175" i="1" s="1"/>
  <c r="W1176" i="1" s="1"/>
  <c r="W1177" i="1" s="1"/>
  <c r="W1178" i="1" s="1"/>
  <c r="W1179" i="1" s="1"/>
  <c r="W1180" i="1" s="1"/>
  <c r="W1181" i="1" s="1"/>
  <c r="W1182" i="1" s="1"/>
  <c r="W1183" i="1" s="1"/>
  <c r="W1184" i="1" s="1"/>
  <c r="W1185" i="1" s="1"/>
  <c r="W1186" i="1" s="1"/>
  <c r="W1187" i="1" s="1"/>
  <c r="W1188" i="1" s="1"/>
  <c r="W1189" i="1" s="1"/>
  <c r="W1190" i="1" s="1"/>
  <c r="W1191" i="1" s="1"/>
  <c r="W1192" i="1" s="1"/>
  <c r="W1193" i="1" s="1"/>
  <c r="W1194" i="1" s="1"/>
  <c r="W1195" i="1" s="1"/>
  <c r="W1196" i="1" s="1"/>
  <c r="W1197" i="1" s="1"/>
  <c r="W1198" i="1" s="1"/>
  <c r="W1199" i="1" s="1"/>
  <c r="W1200" i="1" s="1"/>
  <c r="W1159" i="1"/>
  <c r="W1160" i="1" s="1"/>
  <c r="AB1246" i="1"/>
  <c r="AC1240" i="1"/>
  <c r="AD1240" i="1" s="1"/>
  <c r="AC1233" i="1"/>
  <c r="AD1233" i="1" s="1"/>
  <c r="W1248" i="1"/>
  <c r="W1249" i="1" s="1"/>
  <c r="W1250" i="1" s="1"/>
  <c r="W1240" i="1"/>
  <c r="W1241" i="1" s="1"/>
  <c r="AC1230" i="1"/>
  <c r="AD1230" i="1" s="1"/>
  <c r="AB1229" i="1"/>
  <c r="AC1207" i="1"/>
  <c r="AD1207" i="1" s="1"/>
  <c r="AC1245" i="1"/>
  <c r="AD1245" i="1" s="1"/>
  <c r="AC1214" i="1"/>
  <c r="AD1214" i="1" s="1"/>
  <c r="AC1199" i="1"/>
  <c r="AD1199" i="1" s="1"/>
  <c r="W1219" i="1"/>
  <c r="W1220" i="1" s="1"/>
  <c r="W1221" i="1" s="1"/>
  <c r="W1222" i="1" s="1"/>
  <c r="W1223" i="1" s="1"/>
  <c r="W1224" i="1" s="1"/>
  <c r="W1225" i="1" s="1"/>
  <c r="W1226" i="1" s="1"/>
  <c r="W1227" i="1" s="1"/>
  <c r="W1228" i="1" s="1"/>
  <c r="W1229" i="1" s="1"/>
  <c r="W1230" i="1" s="1"/>
  <c r="W1231" i="1" s="1"/>
  <c r="W1232" i="1" s="1"/>
  <c r="W1233" i="1" s="1"/>
  <c r="W1234" i="1" s="1"/>
  <c r="W1235" i="1" s="1"/>
  <c r="W1236" i="1" s="1"/>
  <c r="W1163" i="1"/>
  <c r="W1164" i="1" s="1"/>
  <c r="W1165" i="1" s="1"/>
  <c r="W1166" i="1" s="1"/>
  <c r="AC1250" i="1"/>
  <c r="AD1250" i="1" s="1"/>
  <c r="AB1227" i="1"/>
  <c r="AB1217" i="1"/>
  <c r="AB1202" i="1"/>
  <c r="W1237" i="1"/>
  <c r="W1203" i="1"/>
  <c r="W1204" i="1" s="1"/>
  <c r="W1205" i="1" s="1"/>
  <c r="W1206" i="1" s="1"/>
  <c r="W1207" i="1" s="1"/>
  <c r="W1208" i="1" s="1"/>
  <c r="W1209" i="1" s="1"/>
  <c r="W1210" i="1" s="1"/>
  <c r="W1211" i="1" s="1"/>
  <c r="W1212" i="1" s="1"/>
  <c r="W1213" i="1" s="1"/>
  <c r="W1214" i="1" s="1"/>
  <c r="W1215" i="1" s="1"/>
  <c r="W1216" i="1" s="1"/>
  <c r="W1217" i="1" s="1"/>
  <c r="W1218" i="1" s="1"/>
  <c r="AB1220" i="1"/>
  <c r="AC1243" i="1"/>
  <c r="AD1243" i="1" s="1"/>
  <c r="W1251" i="1"/>
  <c r="W1242" i="1"/>
  <c r="W1243" i="1" s="1"/>
  <c r="AB1237" i="1"/>
  <c r="AC1231" i="1"/>
  <c r="AD1231" i="1" s="1"/>
  <c r="AC1219" i="1"/>
  <c r="AD1219" i="1" s="1"/>
  <c r="AC1210" i="1"/>
  <c r="AD1210" i="1" s="1"/>
  <c r="AB1204" i="1"/>
  <c r="AC1247" i="1"/>
  <c r="AD1247" i="1" s="1"/>
  <c r="AC1244" i="1"/>
  <c r="AD1244" i="1" s="1"/>
  <c r="AC1238" i="1"/>
  <c r="AD1238" i="1" s="1"/>
  <c r="AB1235" i="1"/>
  <c r="AB1226" i="1"/>
  <c r="AC1224" i="1"/>
  <c r="AD1224" i="1" s="1"/>
  <c r="AB1222" i="1"/>
  <c r="AB1219" i="1"/>
  <c r="AB1216" i="1"/>
  <c r="AB1213" i="1"/>
  <c r="AC1203" i="1"/>
  <c r="AD1203" i="1" s="1"/>
  <c r="AB1201" i="1"/>
  <c r="AB1214" i="1"/>
  <c r="AB1244" i="1"/>
  <c r="AC1241" i="1"/>
  <c r="AD1241" i="1" s="1"/>
  <c r="AB1238" i="1"/>
  <c r="AC1206" i="1"/>
  <c r="AD1206" i="1" s="1"/>
  <c r="AB1203" i="1"/>
  <c r="AC1198" i="1"/>
  <c r="AD1198" i="1" s="1"/>
  <c r="AC1228" i="1"/>
  <c r="AD1228" i="1" s="1"/>
  <c r="AC1215" i="1"/>
  <c r="AD1215" i="1" s="1"/>
  <c r="AB1212" i="1"/>
  <c r="AB1209" i="1"/>
  <c r="AB1236" i="1"/>
  <c r="AC1251" i="1"/>
  <c r="AD1251" i="1" s="1"/>
  <c r="AC1248" i="1"/>
  <c r="AD1248" i="1" s="1"/>
  <c r="AC1242" i="1"/>
  <c r="AD1242" i="1" s="1"/>
  <c r="AC1239" i="1"/>
  <c r="AD1239" i="1" s="1"/>
  <c r="AB1234" i="1"/>
  <c r="AA1234" i="1" s="1"/>
  <c r="Z1234" i="1" s="1"/>
  <c r="AC1232" i="1"/>
  <c r="AD1232" i="1" s="1"/>
  <c r="AB1230" i="1"/>
  <c r="AC1225" i="1"/>
  <c r="AD1225" i="1" s="1"/>
  <c r="AB1221" i="1"/>
  <c r="AC1218" i="1"/>
  <c r="AD1218" i="1" s="1"/>
  <c r="AB1200" i="1"/>
  <c r="AC1223" i="1"/>
  <c r="AD1223" i="1" s="1"/>
  <c r="AC1211" i="1"/>
  <c r="AD1211" i="1" s="1"/>
  <c r="AB1208" i="1"/>
  <c r="AB1205" i="1"/>
  <c r="AC1202" i="1"/>
  <c r="AD1202" i="1" s="1"/>
  <c r="AB1191" i="1"/>
  <c r="AC1191" i="1"/>
  <c r="AD1191" i="1" s="1"/>
  <c r="AB1183" i="1"/>
  <c r="AC1183" i="1"/>
  <c r="AD1183" i="1" s="1"/>
  <c r="AB1175" i="1"/>
  <c r="AC1175" i="1"/>
  <c r="AD1175" i="1" s="1"/>
  <c r="AB1167" i="1"/>
  <c r="AC1167" i="1"/>
  <c r="AD1167" i="1" s="1"/>
  <c r="AB1159" i="1"/>
  <c r="AC1159" i="1"/>
  <c r="AD1159" i="1" s="1"/>
  <c r="AC1235" i="1"/>
  <c r="AD1235" i="1" s="1"/>
  <c r="AC1227" i="1"/>
  <c r="AD1227" i="1" s="1"/>
  <c r="AC1220" i="1"/>
  <c r="AD1220" i="1" s="1"/>
  <c r="AC1216" i="1"/>
  <c r="AD1216" i="1" s="1"/>
  <c r="AC1212" i="1"/>
  <c r="AD1212" i="1" s="1"/>
  <c r="AC1208" i="1"/>
  <c r="AD1208" i="1" s="1"/>
  <c r="AC1204" i="1"/>
  <c r="AD1204" i="1" s="1"/>
  <c r="AC1200" i="1"/>
  <c r="AD1200" i="1" s="1"/>
  <c r="AB1188" i="1"/>
  <c r="AC1188" i="1"/>
  <c r="AD1188" i="1" s="1"/>
  <c r="AB1180" i="1"/>
  <c r="AC1180" i="1"/>
  <c r="AD1180" i="1" s="1"/>
  <c r="AB1172" i="1"/>
  <c r="AC1172" i="1"/>
  <c r="AD1172" i="1" s="1"/>
  <c r="AB1164" i="1"/>
  <c r="AC1164" i="1"/>
  <c r="AD1164" i="1" s="1"/>
  <c r="AB1156" i="1"/>
  <c r="AC1156" i="1"/>
  <c r="AD1156" i="1" s="1"/>
  <c r="AB1197" i="1"/>
  <c r="AC1197" i="1"/>
  <c r="AD1197" i="1" s="1"/>
  <c r="AB1195" i="1"/>
  <c r="AC1195" i="1"/>
  <c r="AD1195" i="1" s="1"/>
  <c r="AB1193" i="1"/>
  <c r="AC1193" i="1"/>
  <c r="AD1193" i="1" s="1"/>
  <c r="AB1185" i="1"/>
  <c r="AC1185" i="1"/>
  <c r="AD1185" i="1" s="1"/>
  <c r="AB1177" i="1"/>
  <c r="AC1177" i="1"/>
  <c r="AD1177" i="1" s="1"/>
  <c r="AB1169" i="1"/>
  <c r="AC1169" i="1"/>
  <c r="AD1169" i="1" s="1"/>
  <c r="AB1161" i="1"/>
  <c r="AC1161" i="1"/>
  <c r="AD1161" i="1" s="1"/>
  <c r="AB1153" i="1"/>
  <c r="AC1153" i="1"/>
  <c r="AD1153" i="1" s="1"/>
  <c r="AC1229" i="1"/>
  <c r="AD1229" i="1" s="1"/>
  <c r="AC1221" i="1"/>
  <c r="AD1221" i="1" s="1"/>
  <c r="AC1217" i="1"/>
  <c r="AD1217" i="1" s="1"/>
  <c r="AC1213" i="1"/>
  <c r="AD1213" i="1" s="1"/>
  <c r="AC1209" i="1"/>
  <c r="AD1209" i="1" s="1"/>
  <c r="AC1205" i="1"/>
  <c r="AD1205" i="1" s="1"/>
  <c r="AC1201" i="1"/>
  <c r="AD1201" i="1" s="1"/>
  <c r="AB1190" i="1"/>
  <c r="AC1190" i="1"/>
  <c r="AD1190" i="1" s="1"/>
  <c r="AB1182" i="1"/>
  <c r="AC1182" i="1"/>
  <c r="AD1182" i="1" s="1"/>
  <c r="AB1174" i="1"/>
  <c r="AC1174" i="1"/>
  <c r="AD1174" i="1" s="1"/>
  <c r="AB1166" i="1"/>
  <c r="AC1166" i="1"/>
  <c r="AD1166" i="1" s="1"/>
  <c r="AB1158" i="1"/>
  <c r="AC1158" i="1"/>
  <c r="AD1158" i="1" s="1"/>
  <c r="AB1187" i="1"/>
  <c r="AC1187" i="1"/>
  <c r="AD1187" i="1" s="1"/>
  <c r="AB1179" i="1"/>
  <c r="AC1179" i="1"/>
  <c r="AD1179" i="1" s="1"/>
  <c r="AB1171" i="1"/>
  <c r="AC1171" i="1"/>
  <c r="AD1171" i="1" s="1"/>
  <c r="AB1163" i="1"/>
  <c r="AC1163" i="1"/>
  <c r="AD1163" i="1" s="1"/>
  <c r="AB1155" i="1"/>
  <c r="AC1155" i="1"/>
  <c r="AD1155" i="1" s="1"/>
  <c r="AB1192" i="1"/>
  <c r="AC1192" i="1"/>
  <c r="AD1192" i="1" s="1"/>
  <c r="AB1184" i="1"/>
  <c r="AC1184" i="1"/>
  <c r="AD1184" i="1" s="1"/>
  <c r="AB1176" i="1"/>
  <c r="AC1176" i="1"/>
  <c r="AD1176" i="1" s="1"/>
  <c r="AB1168" i="1"/>
  <c r="AC1168" i="1"/>
  <c r="AD1168" i="1" s="1"/>
  <c r="AB1160" i="1"/>
  <c r="AC1160" i="1"/>
  <c r="AD1160" i="1" s="1"/>
  <c r="AB1152" i="1"/>
  <c r="AC1152" i="1"/>
  <c r="AD1152" i="1" s="1"/>
  <c r="AB1196" i="1"/>
  <c r="AC1196" i="1"/>
  <c r="AD1196" i="1" s="1"/>
  <c r="AB1194" i="1"/>
  <c r="AC1194" i="1"/>
  <c r="AD1194" i="1" s="1"/>
  <c r="AB1189" i="1"/>
  <c r="AC1189" i="1"/>
  <c r="AD1189" i="1" s="1"/>
  <c r="AB1181" i="1"/>
  <c r="AC1181" i="1"/>
  <c r="AD1181" i="1" s="1"/>
  <c r="AB1173" i="1"/>
  <c r="AC1173" i="1"/>
  <c r="AD1173" i="1" s="1"/>
  <c r="AB1165" i="1"/>
  <c r="AC1165" i="1"/>
  <c r="AD1165" i="1" s="1"/>
  <c r="AB1157" i="1"/>
  <c r="AC1157" i="1"/>
  <c r="AD1157" i="1" s="1"/>
  <c r="AB1186" i="1"/>
  <c r="AC1186" i="1"/>
  <c r="AD1186" i="1" s="1"/>
  <c r="AB1178" i="1"/>
  <c r="AC1178" i="1"/>
  <c r="AD1178" i="1" s="1"/>
  <c r="AB1170" i="1"/>
  <c r="AC1170" i="1"/>
  <c r="AD1170" i="1" s="1"/>
  <c r="AB1162" i="1"/>
  <c r="AC1162" i="1"/>
  <c r="AD1162" i="1" s="1"/>
  <c r="AB1154" i="1"/>
  <c r="AC1154" i="1"/>
  <c r="AD1154" i="1" s="1"/>
  <c r="S7037" i="1"/>
  <c r="S7112" i="1"/>
  <c r="S7247" i="1"/>
  <c r="S7246" i="1" s="1"/>
  <c r="S7239" i="1"/>
  <c r="S7238" i="1" s="1"/>
  <c r="S7228" i="1"/>
  <c r="S7227" i="1" s="1"/>
  <c r="S7100" i="1"/>
  <c r="S7053" i="1"/>
  <c r="S7216" i="1"/>
  <c r="S7190" i="1"/>
  <c r="S7253" i="1"/>
  <c r="S7252" i="1" s="1"/>
  <c r="S7049" i="1"/>
  <c r="T7049" i="1" s="1"/>
  <c r="S7072" i="1"/>
  <c r="S7071" i="1" s="1"/>
  <c r="S7048" i="1"/>
  <c r="S7047" i="1" s="1"/>
  <c r="S7222" i="1"/>
  <c r="O7013" i="1"/>
  <c r="R7013" i="1" s="1"/>
  <c r="O7041" i="1"/>
  <c r="O7103" i="1"/>
  <c r="O7104" i="1" s="1"/>
  <c r="O7055" i="1"/>
  <c r="R7055" i="1" s="1"/>
  <c r="O7137" i="1"/>
  <c r="R7137" i="1" s="1"/>
  <c r="O7139" i="1"/>
  <c r="O7140" i="1" s="1"/>
  <c r="O7119" i="1"/>
  <c r="R7119" i="1" s="1"/>
  <c r="O6975" i="1"/>
  <c r="O6976" i="1" s="1"/>
  <c r="R6976" i="1" s="1"/>
  <c r="O7267" i="1"/>
  <c r="R7267" i="1" s="1"/>
  <c r="O6923" i="1"/>
  <c r="O7015" i="1"/>
  <c r="R7015" i="1" s="1"/>
  <c r="O7009" i="1"/>
  <c r="O7010" i="1" s="1"/>
  <c r="O7269" i="1"/>
  <c r="R7269" i="1" s="1"/>
  <c r="O6984" i="1"/>
  <c r="R6984" i="1" s="1"/>
  <c r="O7166" i="1"/>
  <c r="R7166" i="1" s="1"/>
  <c r="O7073" i="1"/>
  <c r="O7128" i="1"/>
  <c r="T7234" i="1"/>
  <c r="T6925" i="1"/>
  <c r="O7195" i="1"/>
  <c r="R7195" i="1" s="1"/>
  <c r="O6979" i="1"/>
  <c r="R6979" i="1" s="1"/>
  <c r="T7135" i="1"/>
  <c r="O6999" i="1"/>
  <c r="R6999" i="1" s="1"/>
  <c r="R6998" i="1" s="1"/>
  <c r="R6997" i="1" s="1"/>
  <c r="O7261" i="1"/>
  <c r="R7261" i="1" s="1"/>
  <c r="O7172" i="1"/>
  <c r="R7172" i="1" s="1"/>
  <c r="O7164" i="1"/>
  <c r="R7164" i="1" s="1"/>
  <c r="O7148" i="1"/>
  <c r="O7149" i="1" s="1"/>
  <c r="O7203" i="1"/>
  <c r="R7203" i="1" s="1"/>
  <c r="O7177" i="1"/>
  <c r="O7090" i="1"/>
  <c r="R7090" i="1" s="1"/>
  <c r="O7169" i="1"/>
  <c r="O7161" i="1"/>
  <c r="R7161" i="1" s="1"/>
  <c r="O7199" i="1"/>
  <c r="R7199" i="1" s="1"/>
  <c r="O6929" i="1"/>
  <c r="R6929" i="1" s="1"/>
  <c r="O7029" i="1"/>
  <c r="R7029" i="1" s="1"/>
  <c r="O7185" i="1"/>
  <c r="R7185" i="1" s="1"/>
  <c r="O6927" i="1"/>
  <c r="O7106" i="1"/>
  <c r="R7106" i="1" s="1"/>
  <c r="O7045" i="1"/>
  <c r="R7045" i="1" s="1"/>
  <c r="O7208" i="1"/>
  <c r="R7208" i="1" s="1"/>
  <c r="O6933" i="1"/>
  <c r="R6933" i="1" s="1"/>
  <c r="O7175" i="1"/>
  <c r="O7159" i="1"/>
  <c r="R7159" i="1" s="1"/>
  <c r="O7077" i="1"/>
  <c r="R7077" i="1" s="1"/>
  <c r="T7101" i="1"/>
  <c r="O7131" i="1"/>
  <c r="O7018" i="1"/>
  <c r="O7277" i="1"/>
  <c r="O7052" i="1"/>
  <c r="O7133" i="1"/>
  <c r="R7133" i="1" s="1"/>
  <c r="O7111" i="1"/>
  <c r="O7096" i="1"/>
  <c r="O7205" i="1"/>
  <c r="O7224" i="1"/>
  <c r="O7070" i="1"/>
  <c r="O7066" i="1"/>
  <c r="O7033" i="1"/>
  <c r="O7256" i="1"/>
  <c r="R7256" i="1" s="1"/>
  <c r="R7255" i="1" s="1"/>
  <c r="O7241" i="1"/>
  <c r="O7026" i="1"/>
  <c r="O7084" i="1"/>
  <c r="O7039" i="1"/>
  <c r="T7038" i="1"/>
  <c r="O7249" i="1"/>
  <c r="O7093" i="1"/>
  <c r="O7080" i="1"/>
  <c r="R7080" i="1" s="1"/>
  <c r="O7057" i="1"/>
  <c r="O7264" i="1"/>
  <c r="T7075" i="1"/>
  <c r="O7061" i="1"/>
  <c r="O7036" i="1"/>
  <c r="O7197" i="1"/>
  <c r="T7113" i="1"/>
  <c r="O7114" i="1"/>
  <c r="T6931" i="1"/>
  <c r="O7273" i="1"/>
  <c r="R7273" i="1" s="1"/>
  <c r="O7221" i="1"/>
  <c r="O7180" i="1"/>
  <c r="O7236" i="1"/>
  <c r="O6972" i="1"/>
  <c r="O7243" i="1"/>
  <c r="T7230" i="1"/>
  <c r="T7217" i="1"/>
  <c r="O7218" i="1"/>
  <c r="T7191" i="1"/>
  <c r="O7192" i="1"/>
  <c r="O7116" i="1"/>
  <c r="O7006" i="1"/>
  <c r="R7006" i="1" s="1"/>
  <c r="T6969" i="1"/>
  <c r="O6970" i="1"/>
  <c r="O6938" i="1"/>
  <c r="O7226" i="1"/>
  <c r="O7122" i="1"/>
  <c r="O6994" i="1"/>
  <c r="O6989" i="1"/>
  <c r="R6989" i="1" s="1"/>
  <c r="O6981" i="1"/>
  <c r="R6981" i="1" s="1"/>
  <c r="AN802" i="1"/>
  <c r="AN818" i="1"/>
  <c r="AN820" i="1"/>
  <c r="AN787" i="1"/>
  <c r="AN817" i="1"/>
  <c r="AN788" i="1"/>
  <c r="AN784" i="1"/>
  <c r="AN785" i="1"/>
  <c r="AN781" i="1"/>
  <c r="AN789" i="1"/>
  <c r="AN782" i="1"/>
  <c r="AN822" i="1"/>
  <c r="AN819" i="1"/>
  <c r="AN823" i="1"/>
  <c r="AN814" i="1"/>
  <c r="AN792" i="1"/>
  <c r="AN806" i="1"/>
  <c r="AN821" i="1"/>
  <c r="AN790" i="1"/>
  <c r="AN791" i="1"/>
  <c r="AN794" i="1"/>
  <c r="AN826" i="1"/>
  <c r="AN811" i="1"/>
  <c r="AN825" i="1"/>
  <c r="AN824" i="1"/>
  <c r="AN813" i="1"/>
  <c r="AN798" i="1"/>
  <c r="AN793" i="1"/>
  <c r="AN795" i="1"/>
  <c r="AN797" i="1"/>
  <c r="AN808" i="1"/>
  <c r="AN805" i="1"/>
  <c r="AN827" i="1"/>
  <c r="AN796" i="1"/>
  <c r="AN828" i="1"/>
  <c r="AN810" i="1"/>
  <c r="AN803" i="1"/>
  <c r="AN809" i="1"/>
  <c r="AN800" i="1"/>
  <c r="AN799" i="1"/>
  <c r="AN804" i="1"/>
  <c r="AN807" i="1"/>
  <c r="AN812" i="1"/>
  <c r="AN780" i="1"/>
  <c r="AN786" i="1"/>
  <c r="AN783" i="1"/>
  <c r="AN801" i="1"/>
  <c r="AN816" i="1"/>
  <c r="AN815" i="1"/>
  <c r="AF731" i="1"/>
  <c r="AF730" i="1"/>
  <c r="AF733" i="1"/>
  <c r="AF732" i="1"/>
  <c r="AF734" i="1"/>
  <c r="AF737" i="1"/>
  <c r="AF736" i="1"/>
  <c r="AF738" i="1"/>
  <c r="AF735" i="1"/>
  <c r="AF739" i="1"/>
  <c r="AF740" i="1"/>
  <c r="AF743" i="1"/>
  <c r="AF128" i="1"/>
  <c r="AF138" i="1"/>
  <c r="AF134" i="1"/>
  <c r="AF57" i="1"/>
  <c r="AF80" i="1"/>
  <c r="AF120" i="1"/>
  <c r="AF145" i="1"/>
  <c r="AF143" i="1"/>
  <c r="AF150" i="1"/>
  <c r="AF99" i="1"/>
  <c r="AF741" i="1"/>
  <c r="AF159" i="1"/>
  <c r="AF742" i="1"/>
  <c r="AF306" i="1"/>
  <c r="AF744" i="1"/>
  <c r="AF161" i="1"/>
  <c r="AF745" i="1"/>
  <c r="AF357" i="1"/>
  <c r="AF359" i="1"/>
  <c r="AF360" i="1"/>
  <c r="AF358" i="1"/>
  <c r="AF361" i="1"/>
  <c r="AF142" i="1"/>
  <c r="AF362" i="1"/>
  <c r="AF363" i="1"/>
  <c r="AF364" i="1"/>
  <c r="AF154" i="1"/>
  <c r="AF365" i="1"/>
  <c r="AF157" i="1"/>
  <c r="AF367" i="1"/>
  <c r="AF153" i="1"/>
  <c r="AF366" i="1"/>
  <c r="AF368" i="1"/>
  <c r="AF152" i="1"/>
  <c r="AF160" i="1"/>
  <c r="AF156" i="1"/>
  <c r="AF155" i="1"/>
  <c r="AF170" i="1"/>
  <c r="AF162" i="1"/>
  <c r="AF158" i="1"/>
  <c r="AF193" i="1"/>
  <c r="AF163" i="1"/>
  <c r="AF164" i="1"/>
  <c r="AF168" i="1"/>
  <c r="AF169" i="1"/>
  <c r="AF184" i="1"/>
  <c r="AF166" i="1"/>
  <c r="AF167" i="1"/>
  <c r="AF165" i="1"/>
  <c r="AF172" i="1"/>
  <c r="AF189" i="1"/>
  <c r="AF171" i="1"/>
  <c r="AF173" i="1"/>
  <c r="AF194" i="1"/>
  <c r="AF175" i="1"/>
  <c r="AF174" i="1"/>
  <c r="AF178" i="1"/>
  <c r="AF176" i="1"/>
  <c r="AF179" i="1"/>
  <c r="AF177" i="1"/>
  <c r="AF181" i="1"/>
  <c r="AF182" i="1"/>
  <c r="AF180" i="1"/>
  <c r="AF192" i="1"/>
  <c r="AF185" i="1"/>
  <c r="AF183" i="1"/>
  <c r="AF186" i="1"/>
  <c r="AF187" i="1"/>
  <c r="AF190" i="1"/>
  <c r="AF188" i="1"/>
  <c r="AF191" i="1"/>
  <c r="AF195" i="1"/>
  <c r="AF199" i="1"/>
  <c r="AF414" i="1"/>
  <c r="AF200" i="1"/>
  <c r="AF196" i="1"/>
  <c r="AF1130" i="1"/>
  <c r="AF1128" i="1"/>
  <c r="AF198" i="1"/>
  <c r="AF201" i="1"/>
  <c r="AF197" i="1"/>
  <c r="AF1129" i="1"/>
  <c r="AF202" i="1"/>
  <c r="AF326" i="1"/>
  <c r="AF1132" i="1"/>
  <c r="AF17" i="1"/>
  <c r="AF465" i="1"/>
  <c r="AF460" i="1"/>
  <c r="AF97" i="1"/>
  <c r="AF313" i="1"/>
  <c r="AF348" i="1"/>
  <c r="AF488" i="1"/>
  <c r="AF137" i="1"/>
  <c r="AF135" i="1"/>
  <c r="AF490" i="1"/>
  <c r="AF62" i="1"/>
  <c r="AF493" i="1"/>
  <c r="AF139" i="1"/>
  <c r="AF492" i="1"/>
  <c r="AF591" i="1"/>
  <c r="AF497" i="1"/>
  <c r="AF353" i="1"/>
  <c r="AF495" i="1"/>
  <c r="AF144" i="1"/>
  <c r="AF499" i="1"/>
  <c r="AF416" i="1"/>
  <c r="AF498" i="1"/>
  <c r="AF500" i="1"/>
  <c r="AF595" i="1"/>
  <c r="AF692" i="1"/>
  <c r="AF693" i="1"/>
  <c r="AF501" i="1"/>
  <c r="AF596" i="1"/>
  <c r="AF690" i="1"/>
  <c r="AF149" i="1"/>
  <c r="AF502" i="1"/>
  <c r="AF151" i="1"/>
  <c r="AF1126" i="1"/>
  <c r="AF320" i="1"/>
  <c r="AF599" i="1"/>
  <c r="AF116" i="1"/>
  <c r="AF667" i="1"/>
  <c r="AF503" i="1"/>
  <c r="AF602" i="1"/>
  <c r="AF603" i="1"/>
  <c r="AF140" i="1"/>
  <c r="AF496" i="1"/>
  <c r="AF665" i="1"/>
  <c r="AF271" i="1"/>
  <c r="AF604" i="1"/>
  <c r="AF354" i="1"/>
  <c r="AF336" i="1"/>
  <c r="AF356" i="1"/>
  <c r="AF1131" i="1"/>
  <c r="AF829" i="1"/>
  <c r="AF350" i="1"/>
  <c r="AF601" i="1"/>
  <c r="AF411" i="1"/>
  <c r="AF652" i="1"/>
  <c r="AF321" i="1"/>
  <c r="AF338" i="1"/>
  <c r="AF609" i="1"/>
  <c r="AF716" i="1"/>
  <c r="AF717" i="1"/>
  <c r="AF515" i="1"/>
  <c r="AF694" i="1"/>
  <c r="AF309" i="1"/>
  <c r="AF718" i="1"/>
  <c r="AF695" i="1"/>
  <c r="AF832" i="1"/>
  <c r="AF663" i="1"/>
  <c r="AF148" i="1"/>
  <c r="AF831" i="1"/>
  <c r="AF516" i="1"/>
  <c r="AF833" i="1"/>
  <c r="AF636" i="1"/>
  <c r="AF664" i="1"/>
  <c r="AF518" i="1"/>
  <c r="AF638" i="1"/>
  <c r="AF517" i="1"/>
  <c r="AF513" i="1"/>
  <c r="AF610" i="1"/>
  <c r="AF605" i="1"/>
  <c r="AF478" i="1"/>
  <c r="AF834" i="1"/>
  <c r="AF696" i="1"/>
  <c r="AF491" i="1"/>
  <c r="AF668" i="1"/>
  <c r="AF619" i="1"/>
  <c r="AF494" i="1"/>
  <c r="AF349" i="1"/>
  <c r="AF606" i="1"/>
  <c r="AF1111" i="1"/>
  <c r="AF669" i="1"/>
  <c r="AF697" i="1"/>
  <c r="AF607" i="1"/>
  <c r="AF969" i="1"/>
  <c r="AF699" i="1"/>
  <c r="AF698" i="1"/>
  <c r="AF700" i="1"/>
  <c r="AF721" i="1"/>
  <c r="AF670" i="1"/>
  <c r="AF671" i="1"/>
  <c r="AF701" i="1"/>
  <c r="AF702" i="1"/>
  <c r="AF672" i="1"/>
  <c r="AF401" i="1"/>
  <c r="AF703" i="1"/>
  <c r="AF608" i="1"/>
  <c r="AF355" i="1"/>
  <c r="AF673" i="1"/>
  <c r="AF704" i="1"/>
  <c r="AF674" i="1"/>
  <c r="AF675" i="1"/>
  <c r="AF403" i="1"/>
  <c r="AF39" i="1"/>
  <c r="AF803" i="1"/>
  <c r="AF65" i="1"/>
  <c r="AF804" i="1"/>
  <c r="AF552" i="1"/>
  <c r="AF136" i="1"/>
  <c r="AF88" i="1"/>
  <c r="AF553" i="1"/>
  <c r="AF621" i="1"/>
  <c r="AF410" i="1"/>
  <c r="AF554" i="1"/>
  <c r="AF550" i="1"/>
  <c r="AF30" i="1"/>
  <c r="AF612" i="1"/>
  <c r="AF807" i="1"/>
  <c r="AF296" i="1"/>
  <c r="AF110" i="1"/>
  <c r="AF519" i="1"/>
  <c r="AF620" i="1"/>
  <c r="AF615" i="1"/>
  <c r="AF68" i="1"/>
  <c r="AF622" i="1"/>
  <c r="AF21" i="1"/>
  <c r="AF777" i="1"/>
  <c r="AF836" i="1"/>
  <c r="AF341" i="1"/>
  <c r="AF118" i="1"/>
  <c r="AF611" i="1"/>
  <c r="AF307" i="1"/>
  <c r="AF520" i="1"/>
  <c r="AF523" i="1"/>
  <c r="AF614" i="1"/>
  <c r="AF613" i="1"/>
  <c r="AF835" i="1"/>
  <c r="AF127" i="1"/>
  <c r="AF521" i="1"/>
  <c r="AF528" i="1"/>
  <c r="AF616" i="1"/>
  <c r="AF49" i="1"/>
  <c r="AF79" i="1"/>
  <c r="AF771" i="1"/>
  <c r="AF522" i="1"/>
  <c r="AF83" i="1"/>
  <c r="AF524" i="1"/>
  <c r="AF101" i="1"/>
  <c r="AF837" i="1"/>
  <c r="AF122" i="1"/>
  <c r="AF95" i="1"/>
  <c r="AF60" i="1"/>
  <c r="AF525" i="1"/>
  <c r="AF618" i="1"/>
  <c r="AF838" i="1"/>
  <c r="AF551" i="1"/>
  <c r="AF85" i="1"/>
  <c r="AF56" i="1"/>
  <c r="AF75" i="1"/>
  <c r="AF841" i="1"/>
  <c r="AF1119" i="1"/>
  <c r="AF839" i="1"/>
  <c r="AF44" i="1"/>
  <c r="AF617" i="1"/>
  <c r="AF526" i="1"/>
  <c r="AF840" i="1"/>
  <c r="AF84" i="1"/>
  <c r="AF577" i="1"/>
  <c r="AF147" i="1"/>
  <c r="AF842" i="1"/>
  <c r="AF396" i="1"/>
  <c r="AF527" i="1"/>
  <c r="AF342" i="1"/>
  <c r="AF89" i="1"/>
  <c r="AF843" i="1"/>
  <c r="AF578" i="1"/>
  <c r="AF1105" i="1"/>
  <c r="AF58" i="1"/>
  <c r="AF844" i="1"/>
  <c r="AF845" i="1"/>
  <c r="AF41" i="1"/>
  <c r="AF330" i="1"/>
  <c r="AF846" i="1"/>
  <c r="AF94" i="1"/>
  <c r="AF1106" i="1"/>
  <c r="AF847" i="1"/>
  <c r="AF328" i="1"/>
  <c r="AF475" i="1"/>
  <c r="AF273" i="1"/>
  <c r="AF848" i="1"/>
  <c r="AF108" i="1"/>
  <c r="AF723" i="1"/>
  <c r="AF468" i="1"/>
  <c r="AF489" i="1"/>
  <c r="AF345" i="1"/>
  <c r="AF312" i="1"/>
  <c r="AF724" i="1"/>
  <c r="AF331" i="1"/>
  <c r="AF637" i="1"/>
  <c r="AF16" i="1"/>
  <c r="AF725" i="1"/>
  <c r="AF542" i="1"/>
  <c r="AF726" i="1"/>
  <c r="AF532" i="1"/>
  <c r="AF727" i="1"/>
  <c r="AF92" i="1"/>
  <c r="AF34" i="1"/>
  <c r="AF114" i="1"/>
  <c r="AF332" i="1"/>
  <c r="AF575" i="1"/>
  <c r="AF69" i="1"/>
  <c r="AF529" i="1"/>
  <c r="AF302" i="1"/>
  <c r="AF728" i="1"/>
  <c r="AF73" i="1"/>
  <c r="AF346" i="1"/>
  <c r="AF778" i="1"/>
  <c r="AF688" i="1"/>
  <c r="AF74" i="1"/>
  <c r="AF352" i="1"/>
  <c r="AF76" i="1"/>
  <c r="AF779" i="1"/>
  <c r="AF117" i="1"/>
  <c r="AF476" i="1"/>
  <c r="AF506" i="1"/>
  <c r="AF86" i="1"/>
  <c r="AF310" i="1"/>
  <c r="AF653" i="1"/>
  <c r="AF93" i="1"/>
  <c r="AF90" i="1"/>
  <c r="AF548" i="1"/>
  <c r="AF1127" i="1"/>
  <c r="AF20" i="1"/>
  <c r="AF96" i="1"/>
  <c r="AF398" i="1"/>
  <c r="AF445" i="1"/>
  <c r="AF659" i="1"/>
  <c r="AF15" i="1"/>
  <c r="AF538" i="1"/>
  <c r="AF395" i="1"/>
  <c r="AF722" i="1"/>
  <c r="AF880" i="1"/>
  <c r="AF547" i="1"/>
  <c r="AF55" i="1"/>
  <c r="AF459" i="1"/>
  <c r="AF482" i="1"/>
  <c r="AF81" i="1"/>
  <c r="AF471" i="1"/>
  <c r="AF473" i="1"/>
  <c r="AF572" i="1"/>
  <c r="AF666" i="1"/>
  <c r="AF579" i="1"/>
  <c r="AF812" i="1"/>
  <c r="AF325" i="1"/>
  <c r="AF456" i="1"/>
  <c r="AF689" i="1"/>
  <c r="AF308" i="1"/>
  <c r="AF581" i="1"/>
  <c r="AF660" i="1"/>
  <c r="AF299" i="1"/>
  <c r="AF382" i="1"/>
  <c r="AF399" i="1"/>
  <c r="AF111" i="1"/>
  <c r="AF45" i="1"/>
  <c r="AF589" i="1"/>
  <c r="AF404" i="1"/>
  <c r="AF582" i="1"/>
  <c r="AF407" i="1"/>
  <c r="AF580" i="1"/>
  <c r="AF402" i="1"/>
  <c r="AF113" i="1"/>
  <c r="AF681" i="1"/>
  <c r="AF409" i="1"/>
  <c r="AF351" i="1"/>
  <c r="AF123" i="1"/>
  <c r="AF477" i="1"/>
  <c r="AF405" i="1"/>
  <c r="AF683" i="1"/>
  <c r="AF631" i="1"/>
  <c r="AF316" i="1"/>
  <c r="AF576" i="1"/>
  <c r="AF539" i="1"/>
  <c r="AF115" i="1"/>
  <c r="AF413" i="1"/>
  <c r="AF559" i="1"/>
  <c r="AF327" i="1"/>
  <c r="AF389" i="1"/>
  <c r="AF537" i="1"/>
  <c r="AF661" i="1"/>
  <c r="AF585" i="1"/>
  <c r="AF241" i="1"/>
  <c r="AF22" i="1"/>
  <c r="AF324" i="1"/>
  <c r="AF633" i="1"/>
  <c r="AF635" i="1"/>
  <c r="AF479" i="1"/>
  <c r="AF107" i="1"/>
  <c r="AF583" i="1"/>
  <c r="AF562" i="1"/>
  <c r="AF70" i="1"/>
  <c r="AF632" i="1"/>
  <c r="AF514" i="1"/>
  <c r="AF474" i="1"/>
  <c r="AF563" i="1"/>
  <c r="AF344" i="1"/>
  <c r="AF560" i="1"/>
  <c r="AF448" i="1"/>
  <c r="AF682" i="1"/>
  <c r="AF715" i="1"/>
  <c r="AF337" i="1"/>
  <c r="AF480" i="1"/>
  <c r="AF106" i="1"/>
  <c r="AF584" i="1"/>
  <c r="AF103" i="1"/>
  <c r="AF536" i="1"/>
  <c r="AF470" i="1"/>
  <c r="AF112" i="1"/>
  <c r="AF598" i="1"/>
  <c r="AF297" i="1"/>
  <c r="AF586" i="1"/>
  <c r="AF397" i="1"/>
  <c r="AF587" i="1"/>
  <c r="AF549" i="1"/>
  <c r="AF773" i="1"/>
  <c r="AF805" i="1"/>
  <c r="AF54" i="1"/>
  <c r="AF463" i="1"/>
  <c r="AF1107" i="1"/>
  <c r="AF719" i="1"/>
  <c r="AF481" i="1"/>
  <c r="AF1112" i="1"/>
  <c r="AF466" i="1"/>
  <c r="AF104" i="1"/>
  <c r="AF400" i="1"/>
  <c r="AF658" i="1"/>
  <c r="AF568" i="1"/>
  <c r="AF391" i="1"/>
  <c r="AF654" i="1"/>
  <c r="AF129" i="1"/>
  <c r="AF305" i="1"/>
  <c r="AF318" i="1"/>
  <c r="AF1116" i="1"/>
  <c r="AF564" i="1"/>
  <c r="AF319" i="1"/>
  <c r="AF713" i="1"/>
  <c r="AF770" i="1"/>
  <c r="AF775" i="1"/>
  <c r="AF227" i="1"/>
  <c r="AF343" i="1"/>
  <c r="AF100" i="1"/>
  <c r="AF1134" i="1"/>
  <c r="AF1135" i="1"/>
  <c r="AF1115" i="1"/>
  <c r="AF651" i="1"/>
  <c r="AF543" i="1"/>
  <c r="AF684" i="1"/>
  <c r="AF764" i="1"/>
  <c r="AF1136" i="1"/>
  <c r="AF655" i="1"/>
  <c r="AF334" i="1"/>
  <c r="AF119" i="1"/>
  <c r="AF483" i="1"/>
  <c r="AF774" i="1"/>
  <c r="AF657" i="1"/>
  <c r="AF408" i="1"/>
  <c r="AF105" i="1"/>
  <c r="AF487" i="1"/>
  <c r="AF687" i="1"/>
  <c r="AF31" i="1"/>
  <c r="AF686" i="1"/>
  <c r="AF124" i="1"/>
  <c r="AF507" i="1"/>
  <c r="AF685" i="1"/>
  <c r="AF541" i="1"/>
  <c r="AF484" i="1"/>
  <c r="AF50" i="1"/>
  <c r="AF656" i="1"/>
  <c r="AF511" i="1"/>
  <c r="AF662" i="1"/>
  <c r="AF565" i="1"/>
  <c r="AF125" i="1"/>
  <c r="AF534" i="1"/>
  <c r="AF1117" i="1"/>
  <c r="AF1103" i="1"/>
  <c r="AF278" i="1"/>
  <c r="AF8" i="1"/>
  <c r="AF91" i="1"/>
  <c r="AF540" i="1"/>
  <c r="AF245" i="1"/>
  <c r="AF634" i="1"/>
  <c r="AF263" i="1"/>
  <c r="AF286" i="1"/>
  <c r="AF574" i="1"/>
  <c r="AF126" i="1"/>
  <c r="AF374" i="1"/>
  <c r="AF485" i="1"/>
  <c r="AF469" i="1"/>
  <c r="AF1138" i="1"/>
  <c r="AF78" i="1"/>
  <c r="AF347" i="1"/>
  <c r="AF383" i="1"/>
  <c r="AF381" i="1"/>
  <c r="AF567" i="1"/>
  <c r="AF1122" i="1"/>
  <c r="AF323" i="1"/>
  <c r="AF385" i="1"/>
  <c r="AF1118" i="1"/>
  <c r="AF691" i="1"/>
  <c r="AF71" i="1"/>
  <c r="AF508" i="1"/>
  <c r="AF287" i="1"/>
  <c r="AF378" i="1"/>
  <c r="AF28" i="1"/>
  <c r="AF545" i="1"/>
  <c r="AF53" i="1"/>
  <c r="AF322" i="1"/>
  <c r="AF386" i="1"/>
  <c r="AF379" i="1"/>
  <c r="AF311" i="1"/>
  <c r="AF486" i="1"/>
  <c r="AF509" i="1"/>
  <c r="AF649" i="1"/>
  <c r="AF98" i="1"/>
  <c r="AF277" i="1"/>
  <c r="AF592" i="1"/>
  <c r="AF18" i="1"/>
  <c r="AF625" i="1"/>
  <c r="AF505" i="1"/>
  <c r="AF279" i="1"/>
  <c r="AF290" i="1"/>
  <c r="AF826" i="1"/>
  <c r="AF1114" i="1"/>
  <c r="AF1123" i="1"/>
  <c r="AF294" i="1"/>
  <c r="AF776" i="1"/>
  <c r="AF1121" i="1"/>
  <c r="AF569" i="1"/>
  <c r="AF802" i="1"/>
  <c r="AF461" i="1"/>
  <c r="AF1124" i="1"/>
  <c r="AF43" i="1"/>
  <c r="AF259" i="1"/>
  <c r="AF1110" i="1"/>
  <c r="AF590" i="1"/>
  <c r="AF588" i="1"/>
  <c r="AF1120" i="1"/>
  <c r="AF46" i="1"/>
  <c r="AF333" i="1"/>
  <c r="AF372" i="1"/>
  <c r="AF570" i="1"/>
  <c r="AF82" i="1"/>
  <c r="AF226" i="1"/>
  <c r="AF597" i="1"/>
  <c r="AF47" i="1"/>
  <c r="AF388" i="1"/>
  <c r="AF387" i="1"/>
  <c r="AF827" i="1"/>
  <c r="AF546" i="1"/>
  <c r="AF215" i="1"/>
  <c r="AF275" i="1"/>
  <c r="AF828" i="1"/>
  <c r="AF720" i="1"/>
  <c r="AF849" i="1"/>
  <c r="AF650" i="1"/>
  <c r="AF257" i="1"/>
  <c r="AF213" i="1"/>
  <c r="AF769" i="1"/>
  <c r="AF852" i="1"/>
  <c r="AF246" i="1"/>
  <c r="AF393" i="1"/>
  <c r="AF77" i="1"/>
  <c r="AF52" i="1"/>
  <c r="AF1108" i="1"/>
  <c r="AF510" i="1"/>
  <c r="AF261" i="1"/>
  <c r="AF406" i="1"/>
  <c r="AF249" i="1"/>
  <c r="AF594" i="1"/>
  <c r="AF394" i="1"/>
  <c r="AF369" i="1"/>
  <c r="AF340" i="1"/>
  <c r="AF373" i="1"/>
  <c r="AF228" i="1"/>
  <c r="AF284" i="1"/>
  <c r="AF301" i="1"/>
  <c r="AF102" i="1"/>
  <c r="AF317" i="1"/>
  <c r="AF427" i="1"/>
  <c r="AF29" i="1"/>
  <c r="AF1113" i="1"/>
  <c r="AF623" i="1"/>
  <c r="AF573" i="1"/>
  <c r="AF339" i="1"/>
  <c r="AF298" i="1"/>
  <c r="AF436" i="1"/>
  <c r="AF335" i="1"/>
  <c r="AF762" i="1"/>
  <c r="AF593" i="1"/>
  <c r="AF851" i="1"/>
  <c r="AF141" i="1"/>
  <c r="AF415" i="1"/>
  <c r="AF600" i="1"/>
  <c r="AF63" i="1"/>
  <c r="AF512" i="1"/>
  <c r="AF229" i="1"/>
  <c r="AF231" i="1"/>
  <c r="AF808" i="1"/>
  <c r="AF314" i="1"/>
  <c r="AF300" i="1"/>
  <c r="AF242" i="1"/>
  <c r="AF233" i="1"/>
  <c r="AF237" i="1"/>
  <c r="AF571" i="1"/>
  <c r="AF464" i="1"/>
  <c r="AF61" i="1"/>
  <c r="AF303" i="1"/>
  <c r="AF940" i="1"/>
  <c r="AF329" i="1"/>
  <c r="AF239" i="1"/>
  <c r="AF801" i="1"/>
  <c r="AF295" i="1"/>
  <c r="AF535" i="1"/>
  <c r="AF216" i="1"/>
  <c r="AF390" i="1"/>
  <c r="AF376" i="1"/>
  <c r="AF763" i="1"/>
  <c r="AF222" i="1"/>
  <c r="AF268" i="1"/>
  <c r="AF438" i="1"/>
  <c r="AF10" i="1"/>
  <c r="AF219" i="1"/>
  <c r="AF230" i="1"/>
  <c r="AF59" i="1"/>
  <c r="AF223" i="1"/>
  <c r="AF819" i="1"/>
  <c r="AF809" i="1"/>
  <c r="AF758" i="1"/>
  <c r="AF412" i="1"/>
  <c r="AF37" i="1"/>
  <c r="AF384" i="1"/>
  <c r="AF232" i="1"/>
  <c r="AF760" i="1"/>
  <c r="AF72" i="1"/>
  <c r="AF262" i="1"/>
  <c r="AF27" i="1"/>
  <c r="AF67" i="1"/>
  <c r="AF558" i="1"/>
  <c r="AF446" i="1"/>
  <c r="AF240" i="1"/>
  <c r="AF561" i="1"/>
  <c r="AF132" i="1"/>
  <c r="AF26" i="1"/>
  <c r="AF235" i="1"/>
  <c r="AF293" i="1"/>
  <c r="AF258" i="1"/>
  <c r="AF782" i="1"/>
  <c r="AF462" i="1"/>
  <c r="AF247" i="1"/>
  <c r="AF441" i="1"/>
  <c r="AF264" i="1"/>
  <c r="AF288" i="1"/>
  <c r="AF781" i="1"/>
  <c r="AF472" i="1"/>
  <c r="AF283" i="1"/>
  <c r="AF811" i="1"/>
  <c r="AF304" i="1"/>
  <c r="AF796" i="1"/>
  <c r="AF454" i="1"/>
  <c r="AF815" i="1"/>
  <c r="AF955" i="1"/>
  <c r="AF817" i="1"/>
  <c r="AF1102" i="1"/>
  <c r="AF566" i="1"/>
  <c r="AF280" i="1"/>
  <c r="AF131" i="1"/>
  <c r="AF66" i="1"/>
  <c r="AF443" i="1"/>
  <c r="AF380" i="1"/>
  <c r="AF1125" i="1"/>
  <c r="AF712" i="1"/>
  <c r="AF220" i="1"/>
  <c r="AF813" i="1"/>
  <c r="AF950" i="1"/>
  <c r="AF793" i="1"/>
  <c r="AF225" i="1"/>
  <c r="AF315" i="1"/>
  <c r="AF821" i="1"/>
  <c r="AF252" i="1"/>
  <c r="AF544" i="1"/>
  <c r="AF1137" i="1"/>
  <c r="AF434" i="1"/>
  <c r="AF931" i="1"/>
  <c r="AF243" i="1"/>
  <c r="AF48" i="1"/>
  <c r="AF292" i="1"/>
  <c r="AF425" i="1"/>
  <c r="AF906" i="1"/>
  <c r="AF451" i="1"/>
  <c r="AF557" i="1"/>
  <c r="AF276" i="1"/>
  <c r="AF959" i="1"/>
  <c r="AF51" i="1"/>
  <c r="AF799" i="1"/>
  <c r="AF238" i="1"/>
  <c r="AF628" i="1"/>
  <c r="AF917" i="1"/>
  <c r="AF12" i="1"/>
  <c r="AF806" i="1"/>
  <c r="AF281" i="1"/>
  <c r="AF772" i="1"/>
  <c r="AF935" i="1"/>
  <c r="AF830" i="1"/>
  <c r="AF212" i="1"/>
  <c r="AF810" i="1"/>
  <c r="AF797" i="1"/>
  <c r="AF291" i="1"/>
  <c r="AF421" i="1"/>
  <c r="AF211" i="1"/>
  <c r="AF428" i="1"/>
  <c r="AF272" i="1"/>
  <c r="AF946" i="1"/>
  <c r="AF825" i="1"/>
  <c r="AF251" i="1"/>
  <c r="AF941" i="1"/>
  <c r="AF958" i="1"/>
  <c r="AF856" i="1"/>
  <c r="AF780" i="1"/>
  <c r="AF630" i="1"/>
  <c r="AF953" i="1"/>
  <c r="AF426" i="1"/>
  <c r="AF1148" i="1"/>
  <c r="AF968" i="1"/>
  <c r="AF645" i="1"/>
  <c r="AF234" i="1"/>
  <c r="AF217" i="1"/>
  <c r="AF824" i="1"/>
  <c r="AF936" i="1"/>
  <c r="AF750" i="1"/>
  <c r="AF255" i="1"/>
  <c r="AF878" i="1"/>
  <c r="AF266" i="1"/>
  <c r="AF444" i="1"/>
  <c r="AF792" i="1"/>
  <c r="AF1100" i="1"/>
  <c r="AF256" i="1"/>
  <c r="AF768" i="1"/>
  <c r="AF282" i="1"/>
  <c r="AF433" i="1"/>
  <c r="AF23" i="1"/>
  <c r="AF951" i="1"/>
  <c r="AF853" i="1"/>
  <c r="AF624" i="1"/>
  <c r="AF1104" i="1"/>
  <c r="AF893" i="1"/>
  <c r="AF218" i="1"/>
  <c r="AF938" i="1"/>
  <c r="AF1090" i="1"/>
  <c r="AF254" i="1"/>
  <c r="AF1147" i="1"/>
  <c r="AF850" i="1"/>
  <c r="AF1082" i="1"/>
  <c r="AF253" i="1"/>
  <c r="AF648" i="1"/>
  <c r="AF791" i="1"/>
  <c r="AF647" i="1"/>
  <c r="AF1145" i="1"/>
  <c r="AF794" i="1"/>
  <c r="AF751" i="1"/>
  <c r="AF452" i="1"/>
  <c r="AF795" i="1"/>
  <c r="AF646" i="1"/>
  <c r="AF270" i="1"/>
  <c r="AF1149" i="1"/>
  <c r="AF790" i="1"/>
  <c r="AF64" i="1"/>
  <c r="AF863" i="1"/>
  <c r="AF818" i="1"/>
  <c r="AF767" i="1"/>
  <c r="AF289" i="1"/>
  <c r="AF626" i="1"/>
  <c r="AF430" i="1"/>
  <c r="AF274" i="1"/>
  <c r="AF714" i="1"/>
  <c r="AF207" i="1"/>
  <c r="AF629" i="1"/>
  <c r="AF285" i="1"/>
  <c r="AF785" i="1"/>
  <c r="AF40" i="1"/>
  <c r="AF816" i="1"/>
  <c r="AF453" i="1"/>
  <c r="AF467" i="1"/>
  <c r="AF203" i="1"/>
  <c r="AF265" i="1"/>
  <c r="AF627" i="1"/>
  <c r="AF761" i="1"/>
  <c r="AF907" i="1"/>
  <c r="AF964" i="1"/>
  <c r="AF748" i="1"/>
  <c r="AF260" i="1"/>
  <c r="AF789" i="1"/>
  <c r="AF447" i="1"/>
  <c r="AF954" i="1"/>
  <c r="AF957" i="1"/>
  <c r="AF1093" i="1"/>
  <c r="AF756" i="1"/>
  <c r="AF1058" i="1"/>
  <c r="AF1088" i="1"/>
  <c r="AF1101" i="1"/>
  <c r="AF450" i="1"/>
  <c r="AF1086" i="1"/>
  <c r="AF854" i="1"/>
  <c r="AF800" i="1"/>
  <c r="AF711" i="1"/>
  <c r="AF942" i="1"/>
  <c r="AF644" i="1"/>
  <c r="AF458" i="1"/>
  <c r="AF248" i="1"/>
  <c r="AF956" i="1"/>
  <c r="AF822" i="1"/>
  <c r="AF457" i="1"/>
  <c r="AF874" i="1"/>
  <c r="AF891" i="1"/>
  <c r="AF757" i="1"/>
  <c r="AF784" i="1"/>
  <c r="AF944" i="1"/>
  <c r="AF753" i="1"/>
  <c r="AF146" i="1"/>
  <c r="AF1066" i="1"/>
  <c r="AF1070" i="1"/>
  <c r="AF1150" i="1"/>
  <c r="AF754" i="1"/>
  <c r="AF236" i="1"/>
  <c r="AF896" i="1"/>
  <c r="AF939" i="1"/>
  <c r="AF1094" i="1"/>
  <c r="AF960" i="1"/>
  <c r="AF952" i="1"/>
  <c r="AF1057" i="1"/>
  <c r="AF855" i="1"/>
  <c r="AF214" i="1"/>
  <c r="AF1084" i="1"/>
  <c r="AF431" i="1"/>
  <c r="AF912" i="1"/>
  <c r="AF1014" i="1"/>
  <c r="AF42" i="1"/>
  <c r="AF1062" i="1"/>
  <c r="AF504" i="1"/>
  <c r="AF1072" i="1"/>
  <c r="AF823" i="1"/>
  <c r="AF130" i="1"/>
  <c r="AF1041" i="1"/>
  <c r="AF820" i="1"/>
  <c r="AF1035" i="1"/>
  <c r="AF915" i="1"/>
  <c r="AF884" i="1"/>
  <c r="AF949" i="1"/>
  <c r="AF1151" i="1"/>
  <c r="W1152" i="1" s="1"/>
  <c r="AF250" i="1"/>
  <c r="AF962" i="1"/>
  <c r="AF267" i="1"/>
  <c r="AF947" i="1"/>
  <c r="AF759" i="1"/>
  <c r="AF858" i="1"/>
  <c r="AF787" i="1"/>
  <c r="AF766" i="1"/>
  <c r="AF442" i="1"/>
  <c r="AF867" i="1"/>
  <c r="AF1096" i="1"/>
  <c r="AF449" i="1"/>
  <c r="AF1047" i="1"/>
  <c r="AF752" i="1"/>
  <c r="AF798" i="1"/>
  <c r="AF440" i="1"/>
  <c r="AF887" i="1"/>
  <c r="AF929" i="1"/>
  <c r="AF680" i="1"/>
  <c r="AF930" i="1"/>
  <c r="AF871" i="1"/>
  <c r="AF928" i="1"/>
  <c r="AF435" i="1"/>
  <c r="AF788" i="1"/>
  <c r="AF429" i="1"/>
  <c r="AF1087" i="1"/>
  <c r="AF640" i="1"/>
  <c r="AF765" i="1"/>
  <c r="AF755" i="1"/>
  <c r="AF424" i="1"/>
  <c r="AF1056" i="1"/>
  <c r="AF916" i="1"/>
  <c r="AF14" i="1"/>
  <c r="AF1083" i="1"/>
  <c r="AF24" i="1"/>
  <c r="AF641" i="1"/>
  <c r="AF432" i="1"/>
  <c r="AF377" i="1"/>
  <c r="AF1089" i="1"/>
  <c r="AF902" i="1"/>
  <c r="AF1015" i="1"/>
  <c r="AF857" i="1"/>
  <c r="AF32" i="1"/>
  <c r="AF1028" i="1"/>
  <c r="AF876" i="1"/>
  <c r="AF244" i="1"/>
  <c r="AF1109" i="1"/>
  <c r="AF1097" i="1"/>
  <c r="AF1095" i="1"/>
  <c r="AF38" i="1"/>
  <c r="AF455" i="1"/>
  <c r="AF269" i="1"/>
  <c r="AF1039" i="1"/>
  <c r="AF392" i="1"/>
  <c r="AF1081" i="1"/>
  <c r="AF948" i="1"/>
  <c r="AF1019" i="1"/>
  <c r="AF642" i="1"/>
  <c r="AF419" i="1"/>
  <c r="AF1059" i="1"/>
  <c r="AF1051" i="1"/>
  <c r="AF530" i="1"/>
  <c r="AF932" i="1"/>
  <c r="AF965" i="1"/>
  <c r="AF1099" i="1"/>
  <c r="AF420" i="1"/>
  <c r="AF814" i="1"/>
  <c r="AF913" i="1"/>
  <c r="AF1065" i="1"/>
  <c r="AF25" i="1"/>
  <c r="AF859" i="1"/>
  <c r="AF422" i="1"/>
  <c r="AF1079" i="1"/>
  <c r="AF885" i="1"/>
  <c r="AF943" i="1"/>
  <c r="AF927" i="1"/>
  <c r="AF882" i="1"/>
  <c r="AF879" i="1"/>
  <c r="AF208" i="1"/>
  <c r="AF922" i="1"/>
  <c r="AF899" i="1"/>
  <c r="AF224" i="1"/>
  <c r="AF980" i="1"/>
  <c r="AF423" i="1"/>
  <c r="AF783" i="1"/>
  <c r="AF205" i="1"/>
  <c r="AF1009" i="1"/>
  <c r="AF860" i="1"/>
  <c r="AF861" i="1"/>
  <c r="AF914" i="1"/>
  <c r="AF895" i="1"/>
  <c r="AF7" i="1"/>
  <c r="AF994" i="1"/>
  <c r="AF437" i="1"/>
  <c r="AF886" i="1"/>
  <c r="AF865" i="1"/>
  <c r="AF888" i="1"/>
  <c r="AF1011" i="1"/>
  <c r="AF989" i="1"/>
  <c r="AF210" i="1"/>
  <c r="AF890" i="1"/>
  <c r="AF33" i="1"/>
  <c r="AF881" i="1"/>
  <c r="AF1044" i="1"/>
  <c r="AF966" i="1"/>
  <c r="AF1027" i="1"/>
  <c r="AF900" i="1"/>
  <c r="AF35" i="1"/>
  <c r="AF221" i="1"/>
  <c r="AF1069" i="1"/>
  <c r="AF1000" i="1"/>
  <c r="AF910" i="1"/>
  <c r="AF1053" i="1"/>
  <c r="AF1075" i="1"/>
  <c r="AF1048" i="1"/>
  <c r="AF1042" i="1"/>
  <c r="AF970" i="1"/>
  <c r="AF786" i="1"/>
  <c r="AF439" i="1"/>
  <c r="AF1055" i="1"/>
  <c r="AF1098" i="1"/>
  <c r="AF1037" i="1"/>
  <c r="AF1001" i="1"/>
  <c r="AF375" i="1"/>
  <c r="AF1085" i="1"/>
  <c r="AF1091" i="1"/>
  <c r="AF11" i="1"/>
  <c r="AF679" i="1"/>
  <c r="AF990" i="1"/>
  <c r="AF531" i="1"/>
  <c r="AF1071" i="1"/>
  <c r="AF747" i="1"/>
  <c r="AF643" i="1"/>
  <c r="AF1074" i="1"/>
  <c r="AF981" i="1"/>
  <c r="AF1032" i="1"/>
  <c r="AF904" i="1"/>
  <c r="AF2" i="1"/>
  <c r="AF36" i="1"/>
  <c r="AF982" i="1"/>
  <c r="AF1140" i="1"/>
  <c r="AF926" i="1"/>
  <c r="AF533" i="1"/>
  <c r="AF1016" i="1"/>
  <c r="AF864" i="1"/>
  <c r="AF892" i="1"/>
  <c r="AF866" i="1"/>
  <c r="AF918" i="1"/>
  <c r="AF1068" i="1"/>
  <c r="AF862" i="1"/>
  <c r="AF1006" i="1"/>
  <c r="AF897" i="1"/>
  <c r="AF877" i="1"/>
  <c r="AF6" i="1"/>
  <c r="AF1076" i="1"/>
  <c r="AF1092" i="1"/>
  <c r="AF933" i="1"/>
  <c r="AF934" i="1"/>
  <c r="AF983" i="1"/>
  <c r="AF209" i="1"/>
  <c r="AF869" i="1"/>
  <c r="AF889" i="1"/>
  <c r="AF9" i="1"/>
  <c r="AF868" i="1"/>
  <c r="AF875" i="1"/>
  <c r="AF1061" i="1"/>
  <c r="AF908" i="1"/>
  <c r="AF872" i="1"/>
  <c r="AF109" i="1"/>
  <c r="AF986" i="1"/>
  <c r="AF4" i="1"/>
  <c r="AF1024" i="1"/>
  <c r="AF1040" i="1"/>
  <c r="AF945" i="1"/>
  <c r="AF1064" i="1"/>
  <c r="AF993" i="1"/>
  <c r="AF1078" i="1"/>
  <c r="AF1052" i="1"/>
  <c r="AF1007" i="1"/>
  <c r="AF1020" i="1"/>
  <c r="AF1063" i="1"/>
  <c r="AF971" i="1"/>
  <c r="AF204" i="1"/>
  <c r="AF984" i="1"/>
  <c r="AF898" i="1"/>
  <c r="AF937" i="1"/>
  <c r="AF87" i="1"/>
  <c r="AF1010" i="1"/>
  <c r="AF1004" i="1"/>
  <c r="AF923" i="1"/>
  <c r="AF370" i="1"/>
  <c r="AF997" i="1"/>
  <c r="AF987" i="1"/>
  <c r="AF133" i="1"/>
  <c r="AF1029" i="1"/>
  <c r="AF973" i="1"/>
  <c r="AF13" i="1"/>
  <c r="AF1146" i="1"/>
  <c r="AF1073" i="1"/>
  <c r="AF894" i="1"/>
  <c r="AF710" i="1"/>
  <c r="AF1045" i="1"/>
  <c r="AF371" i="1"/>
  <c r="AF870" i="1"/>
  <c r="AF676" i="1"/>
  <c r="AF1005" i="1"/>
  <c r="AF873" i="1"/>
  <c r="AF919" i="1"/>
  <c r="AF901" i="1"/>
  <c r="AF909" i="1"/>
  <c r="AF998" i="1"/>
  <c r="AF883" i="1"/>
  <c r="AF1030" i="1"/>
  <c r="AF746" i="1"/>
  <c r="AF977" i="1"/>
  <c r="AF1018" i="1"/>
  <c r="AF749" i="1"/>
  <c r="AF903" i="1"/>
  <c r="AF920" i="1"/>
  <c r="AF1012" i="1"/>
  <c r="AF1050" i="1"/>
  <c r="AF1067" i="1"/>
  <c r="AF1031" i="1"/>
  <c r="AF924" i="1"/>
  <c r="AF677" i="1"/>
  <c r="AF555" i="1"/>
  <c r="AF1049" i="1"/>
  <c r="AF1077" i="1"/>
  <c r="AF19" i="1"/>
  <c r="AF1036" i="1"/>
  <c r="AF921" i="1"/>
  <c r="AF1025" i="1"/>
  <c r="AF1046" i="1"/>
  <c r="AF1013" i="1"/>
  <c r="AF995" i="1"/>
  <c r="AF1017" i="1"/>
  <c r="AF974" i="1"/>
  <c r="AF1033" i="1"/>
  <c r="AF1054" i="1"/>
  <c r="AF985" i="1"/>
  <c r="AF996" i="1"/>
  <c r="AF1060" i="1"/>
  <c r="AF1133" i="1"/>
  <c r="AF1021" i="1"/>
  <c r="AF3" i="1"/>
  <c r="AF988" i="1"/>
  <c r="AF992" i="1"/>
  <c r="AF963" i="1"/>
  <c r="AF1034" i="1"/>
  <c r="AF1002" i="1"/>
  <c r="AF1022" i="1"/>
  <c r="AF972" i="1"/>
  <c r="AF206" i="1"/>
  <c r="AF1038" i="1"/>
  <c r="AF556" i="1"/>
  <c r="AF999" i="1"/>
  <c r="AF975" i="1"/>
  <c r="AF911" i="1"/>
  <c r="AF1080" i="1"/>
  <c r="AF1026" i="1"/>
  <c r="AF1143" i="1"/>
  <c r="AF991" i="1"/>
  <c r="AF1043" i="1"/>
  <c r="AF1008" i="1"/>
  <c r="AF976" i="1"/>
  <c r="AF1144" i="1"/>
  <c r="AF5" i="1"/>
  <c r="AF978" i="1"/>
  <c r="AF706" i="1"/>
  <c r="AF121" i="1"/>
  <c r="AF709" i="1"/>
  <c r="AF707" i="1"/>
  <c r="AF905" i="1"/>
  <c r="AF678" i="1"/>
  <c r="AF1142" i="1"/>
  <c r="AF708" i="1"/>
  <c r="AF1023" i="1"/>
  <c r="AF961" i="1"/>
  <c r="AF705" i="1"/>
  <c r="AF1139" i="1"/>
  <c r="AF1141" i="1"/>
  <c r="AF418" i="1"/>
  <c r="AF979" i="1"/>
  <c r="AF1003" i="1"/>
  <c r="AF639" i="1"/>
  <c r="AF925" i="1"/>
  <c r="AF417" i="1"/>
  <c r="AF967" i="1"/>
  <c r="AF729" i="1"/>
  <c r="C2658" i="1"/>
  <c r="C2659" i="1"/>
  <c r="C2660" i="1"/>
  <c r="C2662" i="1"/>
  <c r="C2664" i="1"/>
  <c r="C2663" i="1"/>
  <c r="C2661" i="1"/>
  <c r="C2665" i="1"/>
  <c r="C2669" i="1"/>
  <c r="C2668" i="1"/>
  <c r="C2666" i="1"/>
  <c r="C2667" i="1"/>
  <c r="C2670" i="1"/>
  <c r="C2673" i="1"/>
  <c r="C2672" i="1"/>
  <c r="C2676" i="1"/>
  <c r="C2671" i="1"/>
  <c r="C2674" i="1"/>
  <c r="C2675" i="1"/>
  <c r="C2677" i="1"/>
  <c r="C2678" i="1"/>
  <c r="C2681" i="1"/>
  <c r="C2679" i="1"/>
  <c r="C2680" i="1"/>
  <c r="C2682" i="1"/>
  <c r="C2683" i="1"/>
  <c r="C2686" i="1"/>
  <c r="C2684" i="1"/>
  <c r="C2685" i="1"/>
  <c r="C2687" i="1"/>
  <c r="C2688" i="1"/>
  <c r="C2689" i="1"/>
  <c r="C2690" i="1"/>
  <c r="C2691" i="1"/>
  <c r="C2693" i="1"/>
  <c r="C2692" i="1"/>
  <c r="C2694" i="1"/>
  <c r="C2696" i="1"/>
  <c r="C2695" i="1"/>
  <c r="C2697" i="1"/>
  <c r="C2698" i="1"/>
  <c r="C2699" i="1"/>
  <c r="C2700" i="1"/>
  <c r="C2702" i="1"/>
  <c r="C2701" i="1"/>
  <c r="C2704" i="1"/>
  <c r="C2703" i="1"/>
  <c r="C2705" i="1"/>
  <c r="C2706" i="1"/>
  <c r="C2710" i="1"/>
  <c r="C2708" i="1"/>
  <c r="C2707" i="1"/>
  <c r="C2709" i="1"/>
  <c r="C2711" i="1"/>
  <c r="C2712" i="1"/>
  <c r="C2716" i="1"/>
  <c r="C2717" i="1"/>
  <c r="C2714" i="1"/>
  <c r="C2719" i="1"/>
  <c r="C2722" i="1"/>
  <c r="C2720" i="1"/>
  <c r="C2715" i="1"/>
  <c r="C2718" i="1"/>
  <c r="C2721" i="1"/>
  <c r="C2713" i="1"/>
  <c r="C2723" i="1"/>
  <c r="C2726" i="1"/>
  <c r="C2728" i="1"/>
  <c r="C2725" i="1"/>
  <c r="C2727" i="1"/>
  <c r="C2724" i="1"/>
  <c r="C2729" i="1"/>
  <c r="C2730" i="1"/>
  <c r="C2732" i="1"/>
  <c r="C2731" i="1"/>
  <c r="C2733" i="1"/>
  <c r="C2735" i="1"/>
  <c r="C2734" i="1"/>
  <c r="C2736" i="1"/>
  <c r="C2744" i="1"/>
  <c r="C2739" i="1"/>
  <c r="C2742" i="1"/>
  <c r="C2740" i="1"/>
  <c r="C2737" i="1"/>
  <c r="C2743" i="1"/>
  <c r="C2741" i="1"/>
  <c r="C2738" i="1"/>
  <c r="C2745" i="1"/>
  <c r="C2747" i="1"/>
  <c r="C2746" i="1"/>
  <c r="C2750" i="1"/>
  <c r="C2751" i="1"/>
  <c r="C2752" i="1"/>
  <c r="C2748" i="1"/>
  <c r="C2749" i="1"/>
  <c r="C2753" i="1"/>
  <c r="C2755" i="1"/>
  <c r="C2754" i="1"/>
  <c r="C2756" i="1"/>
  <c r="C2757" i="1"/>
  <c r="C2758" i="1"/>
  <c r="C2760" i="1"/>
  <c r="C2759" i="1"/>
  <c r="C2761" i="1"/>
  <c r="C2764" i="1"/>
  <c r="C2762" i="1"/>
  <c r="C2763" i="1"/>
  <c r="C2765" i="1"/>
  <c r="C2775" i="1"/>
  <c r="C2771" i="1"/>
  <c r="C2772" i="1"/>
  <c r="C2777" i="1"/>
  <c r="C2770" i="1"/>
  <c r="C2767" i="1"/>
  <c r="C2776" i="1"/>
  <c r="C2774" i="1"/>
  <c r="C2768" i="1"/>
  <c r="C2773" i="1"/>
  <c r="C2769" i="1"/>
  <c r="C2766" i="1"/>
  <c r="C2778" i="1"/>
  <c r="C2779" i="1"/>
  <c r="C2780" i="1"/>
  <c r="C2784" i="1"/>
  <c r="C2783" i="1"/>
  <c r="C2782" i="1"/>
  <c r="C2781" i="1"/>
  <c r="C2785" i="1"/>
  <c r="C2792" i="1"/>
  <c r="C2793" i="1"/>
  <c r="C2795" i="1"/>
  <c r="C2796" i="1"/>
  <c r="C2797" i="1"/>
  <c r="C2799" i="1"/>
  <c r="C2800" i="1"/>
  <c r="C2801" i="1"/>
  <c r="C2798" i="1"/>
  <c r="C2802" i="1"/>
  <c r="C2803" i="1"/>
  <c r="C2808" i="1"/>
  <c r="C2807" i="1"/>
  <c r="C2804" i="1"/>
  <c r="C2805" i="1"/>
  <c r="C2806" i="1"/>
  <c r="C2809" i="1"/>
  <c r="C2810" i="1"/>
  <c r="C2812" i="1"/>
  <c r="C2811" i="1"/>
  <c r="C2813" i="1"/>
  <c r="C2818" i="1"/>
  <c r="C2817" i="1"/>
  <c r="C2816" i="1"/>
  <c r="C2814" i="1"/>
  <c r="C2815" i="1"/>
  <c r="C2819" i="1"/>
  <c r="C2822" i="1"/>
  <c r="C2824" i="1"/>
  <c r="C2820" i="1"/>
  <c r="C2823" i="1"/>
  <c r="C2825" i="1"/>
  <c r="C2821" i="1"/>
  <c r="C2829" i="1"/>
  <c r="C2828" i="1"/>
  <c r="C2826" i="1"/>
  <c r="C2827" i="1"/>
  <c r="C2830" i="1"/>
  <c r="C2831" i="1"/>
  <c r="C2833" i="1"/>
  <c r="C2832" i="1"/>
  <c r="C2834" i="1"/>
  <c r="C2839" i="1"/>
  <c r="C2840" i="1"/>
  <c r="C2841" i="1"/>
  <c r="C2835" i="1"/>
  <c r="C2836" i="1"/>
  <c r="C2838" i="1"/>
  <c r="C2837" i="1"/>
  <c r="C2842" i="1"/>
  <c r="C2844" i="1"/>
  <c r="C2843" i="1"/>
  <c r="C2845" i="1"/>
  <c r="C2849" i="1"/>
  <c r="C2846" i="1"/>
  <c r="C2847" i="1"/>
  <c r="C2848" i="1"/>
  <c r="C2850" i="1"/>
  <c r="C2851" i="1"/>
  <c r="C2852" i="1"/>
  <c r="C2853" i="1"/>
  <c r="C2858" i="1"/>
  <c r="C2859" i="1"/>
  <c r="C2860" i="1"/>
  <c r="C2854" i="1"/>
  <c r="C2861" i="1"/>
  <c r="C2855" i="1"/>
  <c r="C2857" i="1"/>
  <c r="C2862" i="1"/>
  <c r="C2856" i="1"/>
  <c r="C2866" i="1"/>
  <c r="C2869" i="1"/>
  <c r="C2876" i="1"/>
  <c r="C2868" i="1"/>
  <c r="C2873" i="1"/>
  <c r="C2863" i="1"/>
  <c r="C2865" i="1"/>
  <c r="C2877" i="1"/>
  <c r="C2867" i="1"/>
  <c r="C2870" i="1"/>
  <c r="C2872" i="1"/>
  <c r="C2875" i="1"/>
  <c r="C2871" i="1"/>
  <c r="C2878" i="1"/>
  <c r="C2874" i="1"/>
  <c r="C2864" i="1"/>
  <c r="C2879" i="1"/>
  <c r="C2880" i="1"/>
  <c r="C2881" i="1"/>
  <c r="C2883" i="1"/>
  <c r="C2886" i="1"/>
  <c r="C2887" i="1"/>
  <c r="C2885" i="1"/>
  <c r="C2884" i="1"/>
  <c r="C2882" i="1"/>
  <c r="C2888" i="1"/>
  <c r="C2889" i="1"/>
  <c r="C2890" i="1"/>
  <c r="C2891" i="1"/>
  <c r="C2893" i="1"/>
  <c r="C2892" i="1"/>
  <c r="C2894" i="1"/>
  <c r="C2896" i="1"/>
  <c r="C2895" i="1"/>
  <c r="C2897" i="1"/>
  <c r="C2898" i="1"/>
  <c r="C2899" i="1"/>
  <c r="C2900" i="1"/>
  <c r="C2901" i="1"/>
  <c r="C2903" i="1"/>
  <c r="C2904" i="1"/>
  <c r="C2902" i="1"/>
  <c r="C2905" i="1"/>
  <c r="C2909" i="1"/>
  <c r="C2908" i="1"/>
  <c r="C2907" i="1"/>
  <c r="C2906" i="1"/>
  <c r="C2910" i="1"/>
  <c r="C2911" i="1"/>
  <c r="C2913" i="1"/>
  <c r="C2914" i="1"/>
  <c r="C2915" i="1"/>
  <c r="C2916" i="1"/>
  <c r="C2912" i="1"/>
  <c r="C2920" i="1"/>
  <c r="C2921" i="1"/>
  <c r="C2919" i="1"/>
  <c r="C2917" i="1"/>
  <c r="C2918" i="1"/>
  <c r="C2922" i="1"/>
  <c r="C2923" i="1"/>
  <c r="C2924" i="1"/>
  <c r="C2925" i="1"/>
  <c r="C2926" i="1"/>
  <c r="C2927" i="1"/>
  <c r="C2928" i="1"/>
  <c r="C2929" i="1"/>
  <c r="C2931" i="1"/>
  <c r="C2932" i="1"/>
  <c r="C2930" i="1"/>
  <c r="C2933" i="1"/>
  <c r="C2934" i="1"/>
  <c r="C2935" i="1"/>
  <c r="T7219" i="1" l="1"/>
  <c r="M125" i="15"/>
  <c r="M138" i="15"/>
  <c r="M131" i="15"/>
  <c r="N131" i="15" s="1"/>
  <c r="O131" i="15" s="1"/>
  <c r="T7092" i="1"/>
  <c r="N125" i="15"/>
  <c r="O125" i="15" s="1"/>
  <c r="B125" i="15" s="1"/>
  <c r="M127" i="15"/>
  <c r="N127" i="15" s="1"/>
  <c r="O127" i="15" s="1"/>
  <c r="B127" i="15" s="1"/>
  <c r="T7238" i="1"/>
  <c r="T7220" i="1"/>
  <c r="T7091" i="1"/>
  <c r="T7035" i="1"/>
  <c r="S7399" i="1"/>
  <c r="T7399" i="1" s="1"/>
  <c r="T7522" i="1"/>
  <c r="B2" i="14"/>
  <c r="C2" i="14" s="1"/>
  <c r="H96" i="14"/>
  <c r="I96" i="14"/>
  <c r="G97" i="14"/>
  <c r="J89" i="14"/>
  <c r="G98" i="14"/>
  <c r="G96" i="14"/>
  <c r="T7060" i="1"/>
  <c r="AA1222" i="1"/>
  <c r="Z1222" i="1" s="1"/>
  <c r="S7411" i="1"/>
  <c r="T7411" i="1" s="1"/>
  <c r="T7229" i="1"/>
  <c r="T7059" i="1"/>
  <c r="R7368" i="1"/>
  <c r="S7368" i="1"/>
  <c r="T7443" i="1"/>
  <c r="S7442" i="1"/>
  <c r="T7442" i="1" s="1"/>
  <c r="T7430" i="1"/>
  <c r="S7429" i="1"/>
  <c r="T7429" i="1" s="1"/>
  <c r="S7397" i="1"/>
  <c r="T7397" i="1" s="1"/>
  <c r="T7398" i="1"/>
  <c r="O7569" i="1"/>
  <c r="R7568" i="1"/>
  <c r="R7567" i="1" s="1"/>
  <c r="R7566" i="1" s="1"/>
  <c r="R7565" i="1" s="1"/>
  <c r="T7452" i="1"/>
  <c r="S7451" i="1"/>
  <c r="T7451" i="1" s="1"/>
  <c r="R7317" i="1"/>
  <c r="S7317" i="1"/>
  <c r="S7444" i="1"/>
  <c r="T7444" i="1" s="1"/>
  <c r="T7445" i="1"/>
  <c r="S7503" i="1"/>
  <c r="R7503" i="1"/>
  <c r="T7495" i="1"/>
  <c r="S7494" i="1"/>
  <c r="T7494" i="1" s="1"/>
  <c r="S7487" i="1"/>
  <c r="R7487" i="1"/>
  <c r="O7554" i="1"/>
  <c r="R7553" i="1"/>
  <c r="S7553" i="1"/>
  <c r="R7312" i="1"/>
  <c r="R7311" i="1" s="1"/>
  <c r="O7313" i="1"/>
  <c r="R7528" i="1"/>
  <c r="S7528" i="1"/>
  <c r="S7478" i="1"/>
  <c r="T7478" i="1" s="1"/>
  <c r="T7479" i="1"/>
  <c r="T7454" i="1"/>
  <c r="S7453" i="1"/>
  <c r="T7453" i="1" s="1"/>
  <c r="O7415" i="1"/>
  <c r="S7414" i="1"/>
  <c r="R7414" i="1"/>
  <c r="O7391" i="1"/>
  <c r="R7390" i="1"/>
  <c r="R7389" i="1" s="1"/>
  <c r="S7505" i="1"/>
  <c r="R7505" i="1"/>
  <c r="R7360" i="1"/>
  <c r="S7360" i="1"/>
  <c r="R7464" i="1"/>
  <c r="S7464" i="1"/>
  <c r="S7480" i="1"/>
  <c r="T7480" i="1" s="1"/>
  <c r="T7481" i="1"/>
  <c r="O7301" i="1"/>
  <c r="R7300" i="1"/>
  <c r="R7299" i="1" s="1"/>
  <c r="O7357" i="1"/>
  <c r="R7356" i="1"/>
  <c r="R7355" i="1" s="1"/>
  <c r="R7560" i="1"/>
  <c r="S7560" i="1"/>
  <c r="T7558" i="1"/>
  <c r="S7557" i="1"/>
  <c r="T7557" i="1" s="1"/>
  <c r="O7542" i="1"/>
  <c r="R7541" i="1"/>
  <c r="S7541" i="1"/>
  <c r="R7513" i="1"/>
  <c r="S7513" i="1"/>
  <c r="R7387" i="1"/>
  <c r="R7386" i="1" s="1"/>
  <c r="O7388" i="1"/>
  <c r="S7431" i="1"/>
  <c r="T7431" i="1" s="1"/>
  <c r="T7432" i="1"/>
  <c r="O7374" i="1"/>
  <c r="R7373" i="1"/>
  <c r="R7372" i="1" s="1"/>
  <c r="S7548" i="1"/>
  <c r="T7548" i="1" s="1"/>
  <c r="T7549" i="1"/>
  <c r="S7471" i="1"/>
  <c r="R7471" i="1"/>
  <c r="T7380" i="1"/>
  <c r="S7379" i="1"/>
  <c r="R7450" i="1"/>
  <c r="S7450" i="1"/>
  <c r="S7492" i="1"/>
  <c r="T7492" i="1" s="1"/>
  <c r="T7493" i="1"/>
  <c r="R7458" i="1"/>
  <c r="S7458" i="1"/>
  <c r="T7532" i="1"/>
  <c r="S7531" i="1"/>
  <c r="T7531" i="1" s="1"/>
  <c r="R7333" i="1"/>
  <c r="S7333" i="1"/>
  <c r="R7279" i="1"/>
  <c r="S7279" i="1"/>
  <c r="R7439" i="1"/>
  <c r="S7439" i="1"/>
  <c r="O7535" i="1"/>
  <c r="R7534" i="1"/>
  <c r="S7534" i="1"/>
  <c r="S7489" i="1"/>
  <c r="R7489" i="1"/>
  <c r="R7437" i="1"/>
  <c r="S7437" i="1"/>
  <c r="R7530" i="1"/>
  <c r="S7530" i="1"/>
  <c r="S7394" i="1"/>
  <c r="R7394" i="1"/>
  <c r="R7511" i="1"/>
  <c r="S7511" i="1"/>
  <c r="O7298" i="1"/>
  <c r="R7297" i="1"/>
  <c r="S7297" i="1"/>
  <c r="O7310" i="1"/>
  <c r="R7309" i="1"/>
  <c r="R7308" i="1" s="1"/>
  <c r="R7425" i="1"/>
  <c r="S7425" i="1"/>
  <c r="O7538" i="1"/>
  <c r="R7537" i="1"/>
  <c r="S7537" i="1"/>
  <c r="S7441" i="1"/>
  <c r="R7441" i="1"/>
  <c r="S7497" i="1"/>
  <c r="R7497" i="1"/>
  <c r="S7476" i="1"/>
  <c r="T7476" i="1" s="1"/>
  <c r="T7477" i="1"/>
  <c r="T7547" i="1"/>
  <c r="S7546" i="1"/>
  <c r="T7546" i="1" s="1"/>
  <c r="R7433" i="1"/>
  <c r="S7433" i="1"/>
  <c r="T7433" i="1" s="1"/>
  <c r="S7405" i="1"/>
  <c r="T7405" i="1" s="1"/>
  <c r="T7406" i="1"/>
  <c r="R7485" i="1"/>
  <c r="S7485" i="1"/>
  <c r="T7404" i="1"/>
  <c r="S7403" i="1"/>
  <c r="T7403" i="1" s="1"/>
  <c r="R7284" i="1"/>
  <c r="S7284" i="1"/>
  <c r="O7353" i="1"/>
  <c r="S7352" i="1"/>
  <c r="R7352" i="1"/>
  <c r="T7348" i="1"/>
  <c r="S7347" i="1"/>
  <c r="R7344" i="1"/>
  <c r="R7343" i="1" s="1"/>
  <c r="O7345" i="1"/>
  <c r="R7363" i="1"/>
  <c r="S7363" i="1"/>
  <c r="S7384" i="1"/>
  <c r="T7384" i="1" s="1"/>
  <c r="T7385" i="1"/>
  <c r="S7562" i="1"/>
  <c r="R7562" i="1"/>
  <c r="T7563" i="1"/>
  <c r="R7304" i="1"/>
  <c r="S7304" i="1"/>
  <c r="O7294" i="1"/>
  <c r="R7293" i="1"/>
  <c r="R7292" i="1" s="1"/>
  <c r="O7342" i="1"/>
  <c r="R7341" i="1"/>
  <c r="R7340" i="1" s="1"/>
  <c r="S7551" i="1"/>
  <c r="R7551" i="1"/>
  <c r="R7521" i="1"/>
  <c r="S7521" i="1"/>
  <c r="S7473" i="1"/>
  <c r="R7473" i="1"/>
  <c r="R7526" i="1"/>
  <c r="S7526" i="1"/>
  <c r="T7396" i="1"/>
  <c r="S7395" i="1"/>
  <c r="T7395" i="1" s="1"/>
  <c r="S7420" i="1"/>
  <c r="T7420" i="1" s="1"/>
  <c r="T7421" i="1"/>
  <c r="O7336" i="1"/>
  <c r="R7335" i="1"/>
  <c r="R7334" i="1" s="1"/>
  <c r="R7383" i="1"/>
  <c r="S7383" i="1"/>
  <c r="O7282" i="1"/>
  <c r="R7281" i="1"/>
  <c r="S7281" i="1"/>
  <c r="R7307" i="1"/>
  <c r="S7307" i="1"/>
  <c r="O7320" i="1"/>
  <c r="R7319" i="1"/>
  <c r="R7318" i="1" s="1"/>
  <c r="O7290" i="1"/>
  <c r="R7289" i="1"/>
  <c r="S7289" i="1"/>
  <c r="R7524" i="1"/>
  <c r="S7524" i="1"/>
  <c r="T7524" i="1" s="1"/>
  <c r="T7011" i="1"/>
  <c r="T7108" i="1"/>
  <c r="R7408" i="1"/>
  <c r="S7408" i="1"/>
  <c r="T7571" i="1"/>
  <c r="S7570" i="1"/>
  <c r="T7570" i="1" s="1"/>
  <c r="S7402" i="1"/>
  <c r="R7402" i="1"/>
  <c r="T7519" i="1"/>
  <c r="S7518" i="1"/>
  <c r="T7518" i="1" s="1"/>
  <c r="S7349" i="1"/>
  <c r="T7349" i="1" s="1"/>
  <c r="R7349" i="1"/>
  <c r="R7466" i="1"/>
  <c r="S7466" i="1"/>
  <c r="R7325" i="1"/>
  <c r="S7325" i="1"/>
  <c r="O7448" i="1"/>
  <c r="R7447" i="1"/>
  <c r="S7447" i="1"/>
  <c r="S7500" i="1"/>
  <c r="T7500" i="1" s="1"/>
  <c r="T7501" i="1"/>
  <c r="O7328" i="1"/>
  <c r="R7327" i="1"/>
  <c r="R7326" i="1" s="1"/>
  <c r="S7434" i="1"/>
  <c r="T7434" i="1" s="1"/>
  <c r="R7417" i="1"/>
  <c r="S7417" i="1"/>
  <c r="R7423" i="1"/>
  <c r="S7423" i="1"/>
  <c r="T7428" i="1"/>
  <c r="S7427" i="1"/>
  <c r="S7516" i="1"/>
  <c r="T7516" i="1" s="1"/>
  <c r="T7517" i="1"/>
  <c r="R7556" i="1"/>
  <c r="S7556" i="1"/>
  <c r="R7286" i="1"/>
  <c r="S7286" i="1"/>
  <c r="R7545" i="1"/>
  <c r="S7545" i="1"/>
  <c r="R7460" i="1"/>
  <c r="S7460" i="1"/>
  <c r="R7456" i="1"/>
  <c r="S7456" i="1"/>
  <c r="R7339" i="1"/>
  <c r="S7339" i="1"/>
  <c r="O7377" i="1"/>
  <c r="R7376" i="1"/>
  <c r="R7375" i="1" s="1"/>
  <c r="R7371" i="1"/>
  <c r="S7371" i="1"/>
  <c r="R7462" i="1"/>
  <c r="S7462" i="1"/>
  <c r="R7410" i="1"/>
  <c r="S7410" i="1"/>
  <c r="S7509" i="1"/>
  <c r="R7509" i="1"/>
  <c r="T7483" i="1"/>
  <c r="S7482" i="1"/>
  <c r="T7482" i="1" s="1"/>
  <c r="T7233" i="1"/>
  <c r="T7109" i="1"/>
  <c r="T6978" i="1"/>
  <c r="T7227" i="1"/>
  <c r="T7032" i="1"/>
  <c r="AP1153" i="1"/>
  <c r="AP1185" i="1"/>
  <c r="AP1156" i="1"/>
  <c r="AP1188" i="1"/>
  <c r="AP1227" i="1"/>
  <c r="AP1183" i="1"/>
  <c r="AP1214" i="1"/>
  <c r="AP1240" i="1"/>
  <c r="AP1249" i="1"/>
  <c r="AP1234" i="1"/>
  <c r="AP1154" i="1"/>
  <c r="AP1166" i="1"/>
  <c r="AP1161" i="1"/>
  <c r="AP1193" i="1"/>
  <c r="AP1164" i="1"/>
  <c r="AP1200" i="1"/>
  <c r="AP1159" i="1"/>
  <c r="AP1191" i="1"/>
  <c r="AA1245" i="1"/>
  <c r="Z1245" i="1" s="1"/>
  <c r="AP1203" i="1"/>
  <c r="AP1238" i="1"/>
  <c r="T7134" i="1"/>
  <c r="AP1222" i="1"/>
  <c r="AP1152" i="1"/>
  <c r="AP1245" i="1"/>
  <c r="AP1162" i="1"/>
  <c r="AP1157" i="1"/>
  <c r="AP1189" i="1"/>
  <c r="AP1160" i="1"/>
  <c r="AP1192" i="1"/>
  <c r="AP1179" i="1"/>
  <c r="AP1174" i="1"/>
  <c r="AP1209" i="1"/>
  <c r="AP1244" i="1"/>
  <c r="AP1246" i="1"/>
  <c r="AP1184" i="1"/>
  <c r="AP1213" i="1"/>
  <c r="AP1169" i="1"/>
  <c r="AP1195" i="1"/>
  <c r="AP1172" i="1"/>
  <c r="AP1208" i="1"/>
  <c r="AP1167" i="1"/>
  <c r="AP1202" i="1"/>
  <c r="AP1251" i="1"/>
  <c r="AP1230" i="1"/>
  <c r="AP1181" i="1"/>
  <c r="AP1170" i="1"/>
  <c r="AP1165" i="1"/>
  <c r="AP1194" i="1"/>
  <c r="AP1168" i="1"/>
  <c r="AP1155" i="1"/>
  <c r="AP1187" i="1"/>
  <c r="AP1182" i="1"/>
  <c r="AP1217" i="1"/>
  <c r="AP1212" i="1"/>
  <c r="AA1236" i="1"/>
  <c r="Z1236" i="1" s="1"/>
  <c r="AP1237" i="1"/>
  <c r="AP1186" i="1"/>
  <c r="AP1201" i="1"/>
  <c r="AP1221" i="1"/>
  <c r="AP1177" i="1"/>
  <c r="AP1197" i="1"/>
  <c r="AP1180" i="1"/>
  <c r="AP1175" i="1"/>
  <c r="AP1241" i="1"/>
  <c r="AP1210" i="1"/>
  <c r="AP1171" i="1"/>
  <c r="AP1235" i="1"/>
  <c r="AP1236" i="1"/>
  <c r="AP1178" i="1"/>
  <c r="AP1173" i="1"/>
  <c r="AP1196" i="1"/>
  <c r="AP1176" i="1"/>
  <c r="AP1163" i="1"/>
  <c r="AP1158" i="1"/>
  <c r="AP1190" i="1"/>
  <c r="AP1220" i="1"/>
  <c r="AP1219" i="1"/>
  <c r="AP1233" i="1"/>
  <c r="AP1226" i="1"/>
  <c r="AA1216" i="1"/>
  <c r="Z1216" i="1" s="1"/>
  <c r="T7130" i="1"/>
  <c r="AA1229" i="1"/>
  <c r="Z1229" i="1" s="1"/>
  <c r="AA1211" i="1"/>
  <c r="Z1211" i="1" s="1"/>
  <c r="AA1224" i="1"/>
  <c r="Z1224" i="1" s="1"/>
  <c r="AA1199" i="1"/>
  <c r="Z1199" i="1" s="1"/>
  <c r="AA1223" i="1"/>
  <c r="Z1223" i="1" s="1"/>
  <c r="AA1239" i="1"/>
  <c r="Z1239" i="1" s="1"/>
  <c r="AA1215" i="1"/>
  <c r="Z1215" i="1" s="1"/>
  <c r="AA1231" i="1"/>
  <c r="Z1231" i="1" s="1"/>
  <c r="T6935" i="1"/>
  <c r="AA1242" i="1"/>
  <c r="Z1242" i="1" s="1"/>
  <c r="AA1228" i="1"/>
  <c r="Z1228" i="1" s="1"/>
  <c r="AA1232" i="1"/>
  <c r="Z1232" i="1" s="1"/>
  <c r="AA1205" i="1"/>
  <c r="Z1205" i="1" s="1"/>
  <c r="AA1218" i="1"/>
  <c r="Z1218" i="1" s="1"/>
  <c r="AA1198" i="1"/>
  <c r="Z1198" i="1" s="1"/>
  <c r="AA1207" i="1"/>
  <c r="Z1207" i="1" s="1"/>
  <c r="T7100" i="1"/>
  <c r="T7270" i="1"/>
  <c r="T7194" i="1"/>
  <c r="T7252" i="1"/>
  <c r="AA1204" i="1"/>
  <c r="Z1204" i="1" s="1"/>
  <c r="AA1248" i="1"/>
  <c r="Z1248" i="1" s="1"/>
  <c r="T7247" i="1"/>
  <c r="T7074" i="1"/>
  <c r="AA1225" i="1"/>
  <c r="Z1225" i="1" s="1"/>
  <c r="AA1206" i="1"/>
  <c r="Z1206" i="1" s="1"/>
  <c r="AA1247" i="1"/>
  <c r="Z1247" i="1" s="1"/>
  <c r="AA1243" i="1"/>
  <c r="Z1243" i="1" s="1"/>
  <c r="AA1250" i="1"/>
  <c r="Z1250" i="1" s="1"/>
  <c r="T7012" i="1"/>
  <c r="T7222" i="1"/>
  <c r="AA1212" i="1"/>
  <c r="Z1212" i="1" s="1"/>
  <c r="AA1210" i="1"/>
  <c r="Z1210" i="1" s="1"/>
  <c r="O7120" i="1"/>
  <c r="R7120" i="1" s="1"/>
  <c r="AA1214" i="1"/>
  <c r="Z1214" i="1" s="1"/>
  <c r="T7127" i="1"/>
  <c r="AA1200" i="1"/>
  <c r="Z1200" i="1" s="1"/>
  <c r="AA1237" i="1"/>
  <c r="Z1237" i="1" s="1"/>
  <c r="T7275" i="1"/>
  <c r="T7271" i="1"/>
  <c r="O7215" i="1"/>
  <c r="R7215" i="1" s="1"/>
  <c r="AA1202" i="1"/>
  <c r="Z1202" i="1" s="1"/>
  <c r="AA1251" i="1"/>
  <c r="Z1251" i="1" s="1"/>
  <c r="T7253" i="1"/>
  <c r="S7214" i="1"/>
  <c r="S7213" i="1" s="1"/>
  <c r="T7213" i="1" s="1"/>
  <c r="AA1217" i="1"/>
  <c r="Z1217" i="1" s="1"/>
  <c r="T6937" i="1"/>
  <c r="AA1241" i="1"/>
  <c r="Z1241" i="1" s="1"/>
  <c r="T7228" i="1"/>
  <c r="T7053" i="1"/>
  <c r="AA1219" i="1"/>
  <c r="Z1219" i="1" s="1"/>
  <c r="AA1201" i="1"/>
  <c r="Z1201" i="1" s="1"/>
  <c r="AA1235" i="1"/>
  <c r="Z1235" i="1" s="1"/>
  <c r="AA1208" i="1"/>
  <c r="Z1208" i="1" s="1"/>
  <c r="AA1246" i="1"/>
  <c r="Z1246" i="1" s="1"/>
  <c r="AA1233" i="1"/>
  <c r="Z1233" i="1" s="1"/>
  <c r="AN1252" i="1"/>
  <c r="O7173" i="1"/>
  <c r="R7173" i="1" s="1"/>
  <c r="AA1249" i="1"/>
  <c r="Z1249" i="1" s="1"/>
  <c r="AA1226" i="1"/>
  <c r="Z1226" i="1" s="1"/>
  <c r="S7061" i="1"/>
  <c r="T7061" i="1" s="1"/>
  <c r="R7061" i="1"/>
  <c r="S6938" i="1"/>
  <c r="T6938" i="1" s="1"/>
  <c r="R6938" i="1"/>
  <c r="S7218" i="1"/>
  <c r="T7218" i="1" s="1"/>
  <c r="R7218" i="1"/>
  <c r="S7249" i="1"/>
  <c r="S7248" i="1" s="1"/>
  <c r="T7248" i="1" s="1"/>
  <c r="R7249" i="1"/>
  <c r="S7241" i="1"/>
  <c r="T7241" i="1" s="1"/>
  <c r="R7241" i="1"/>
  <c r="S7224" i="1"/>
  <c r="T7224" i="1" s="1"/>
  <c r="R7224" i="1"/>
  <c r="S7277" i="1"/>
  <c r="T7277" i="1" s="1"/>
  <c r="R7277" i="1"/>
  <c r="S7128" i="1"/>
  <c r="T7128" i="1" s="1"/>
  <c r="R7128" i="1"/>
  <c r="S7212" i="1"/>
  <c r="T7212" i="1" s="1"/>
  <c r="R7212" i="1"/>
  <c r="S6970" i="1"/>
  <c r="T6970" i="1" s="1"/>
  <c r="R6970" i="1"/>
  <c r="S7039" i="1"/>
  <c r="T7039" i="1" s="1"/>
  <c r="R7039" i="1"/>
  <c r="S7205" i="1"/>
  <c r="S7204" i="1" s="1"/>
  <c r="T7204" i="1" s="1"/>
  <c r="R7205" i="1"/>
  <c r="S7169" i="1"/>
  <c r="R7169" i="1"/>
  <c r="S7197" i="1"/>
  <c r="S7196" i="1" s="1"/>
  <c r="T7196" i="1" s="1"/>
  <c r="R7197" i="1"/>
  <c r="S7264" i="1"/>
  <c r="S7263" i="1" s="1"/>
  <c r="T7263" i="1" s="1"/>
  <c r="R7264" i="1"/>
  <c r="S7033" i="1"/>
  <c r="T7033" i="1" s="1"/>
  <c r="R7033" i="1"/>
  <c r="S6927" i="1"/>
  <c r="S6926" i="1" s="1"/>
  <c r="T6926" i="1" s="1"/>
  <c r="R6927" i="1"/>
  <c r="S7073" i="1"/>
  <c r="R7073" i="1"/>
  <c r="S6994" i="1"/>
  <c r="S6993" i="1" s="1"/>
  <c r="T6993" i="1" s="1"/>
  <c r="R6994" i="1"/>
  <c r="S7243" i="1"/>
  <c r="S7242" i="1" s="1"/>
  <c r="T7242" i="1" s="1"/>
  <c r="R7243" i="1"/>
  <c r="S7221" i="1"/>
  <c r="T7221" i="1" s="1"/>
  <c r="R7221" i="1"/>
  <c r="S7010" i="1"/>
  <c r="T7010" i="1" s="1"/>
  <c r="R7010" i="1"/>
  <c r="S7175" i="1"/>
  <c r="S7174" i="1" s="1"/>
  <c r="T7174" i="1" s="1"/>
  <c r="R7175" i="1"/>
  <c r="T7048" i="1"/>
  <c r="S7103" i="1"/>
  <c r="R7103" i="1"/>
  <c r="S6923" i="1"/>
  <c r="R6923" i="1"/>
  <c r="R7211" i="1"/>
  <c r="S7211" i="1"/>
  <c r="S7116" i="1"/>
  <c r="S7115" i="1" s="1"/>
  <c r="T7115" i="1" s="1"/>
  <c r="R7116" i="1"/>
  <c r="S6972" i="1"/>
  <c r="S6971" i="1" s="1"/>
  <c r="T6971" i="1" s="1"/>
  <c r="R6972" i="1"/>
  <c r="S7057" i="1"/>
  <c r="S7056" i="1" s="1"/>
  <c r="T7056" i="1" s="1"/>
  <c r="R7057" i="1"/>
  <c r="S7096" i="1"/>
  <c r="S7095" i="1" s="1"/>
  <c r="T7095" i="1" s="1"/>
  <c r="R7096" i="1"/>
  <c r="S6975" i="1"/>
  <c r="S6974" i="1" s="1"/>
  <c r="T6974" i="1" s="1"/>
  <c r="R6975" i="1"/>
  <c r="S7041" i="1"/>
  <c r="S7040" i="1" s="1"/>
  <c r="T7040" i="1" s="1"/>
  <c r="R7041" i="1"/>
  <c r="S7226" i="1"/>
  <c r="S7225" i="1" s="1"/>
  <c r="T7225" i="1" s="1"/>
  <c r="R7226" i="1"/>
  <c r="S7192" i="1"/>
  <c r="T7192" i="1" s="1"/>
  <c r="R7192" i="1"/>
  <c r="S7026" i="1"/>
  <c r="S7025" i="1" s="1"/>
  <c r="T7025" i="1" s="1"/>
  <c r="R7026" i="1"/>
  <c r="S7066" i="1"/>
  <c r="S7065" i="1" s="1"/>
  <c r="S7064" i="1" s="1"/>
  <c r="S7063" i="1" s="1"/>
  <c r="R7066" i="1"/>
  <c r="O7107" i="1"/>
  <c r="S7052" i="1"/>
  <c r="S7051" i="1" s="1"/>
  <c r="S7050" i="1" s="1"/>
  <c r="T7050" i="1" s="1"/>
  <c r="R7052" i="1"/>
  <c r="S7104" i="1"/>
  <c r="T7104" i="1" s="1"/>
  <c r="R7104" i="1"/>
  <c r="S7236" i="1"/>
  <c r="S7235" i="1" s="1"/>
  <c r="T7235" i="1" s="1"/>
  <c r="R7236" i="1"/>
  <c r="S7114" i="1"/>
  <c r="T7114" i="1" s="1"/>
  <c r="R7114" i="1"/>
  <c r="S7036" i="1"/>
  <c r="T7036" i="1" s="1"/>
  <c r="R7036" i="1"/>
  <c r="S7093" i="1"/>
  <c r="T7093" i="1" s="1"/>
  <c r="R7093" i="1"/>
  <c r="S7070" i="1"/>
  <c r="S7069" i="1" s="1"/>
  <c r="T7069" i="1" s="1"/>
  <c r="R7070" i="1"/>
  <c r="S7111" i="1"/>
  <c r="S7110" i="1" s="1"/>
  <c r="T7110" i="1" s="1"/>
  <c r="R7111" i="1"/>
  <c r="T7276" i="1"/>
  <c r="S7131" i="1"/>
  <c r="T7131" i="1" s="1"/>
  <c r="R7131" i="1"/>
  <c r="S7177" i="1"/>
  <c r="S7176" i="1" s="1"/>
  <c r="T7176" i="1" s="1"/>
  <c r="R7177" i="1"/>
  <c r="S7009" i="1"/>
  <c r="R7009" i="1"/>
  <c r="AA1221" i="1"/>
  <c r="Z1221" i="1" s="1"/>
  <c r="AA1177" i="1"/>
  <c r="Z1177" i="1" s="1"/>
  <c r="AA1197" i="1"/>
  <c r="Z1197" i="1" s="1"/>
  <c r="AA1180" i="1"/>
  <c r="Z1180" i="1" s="1"/>
  <c r="AA1175" i="1"/>
  <c r="Z1175" i="1" s="1"/>
  <c r="AA1153" i="1"/>
  <c r="Z1153" i="1" s="1"/>
  <c r="AA1185" i="1"/>
  <c r="Z1185" i="1" s="1"/>
  <c r="AA1156" i="1"/>
  <c r="Z1156" i="1" s="1"/>
  <c r="AA1188" i="1"/>
  <c r="Z1188" i="1" s="1"/>
  <c r="AA1227" i="1"/>
  <c r="Z1227" i="1" s="1"/>
  <c r="AA1183" i="1"/>
  <c r="Z1183" i="1" s="1"/>
  <c r="AA1244" i="1"/>
  <c r="Z1244" i="1" s="1"/>
  <c r="AA1161" i="1"/>
  <c r="Z1161" i="1" s="1"/>
  <c r="AA1193" i="1"/>
  <c r="Z1193" i="1" s="1"/>
  <c r="AA1164" i="1"/>
  <c r="Z1164" i="1" s="1"/>
  <c r="AA1159" i="1"/>
  <c r="Z1159" i="1" s="1"/>
  <c r="AA1191" i="1"/>
  <c r="Z1191" i="1" s="1"/>
  <c r="AA1213" i="1"/>
  <c r="Z1213" i="1" s="1"/>
  <c r="AA1230" i="1"/>
  <c r="Z1230" i="1" s="1"/>
  <c r="AA1220" i="1"/>
  <c r="Z1220" i="1" s="1"/>
  <c r="AA1203" i="1"/>
  <c r="Z1203" i="1" s="1"/>
  <c r="AA1238" i="1"/>
  <c r="Z1238" i="1" s="1"/>
  <c r="AA1209" i="1"/>
  <c r="Z1209" i="1" s="1"/>
  <c r="AA1169" i="1"/>
  <c r="Z1169" i="1" s="1"/>
  <c r="AA1195" i="1"/>
  <c r="Z1195" i="1" s="1"/>
  <c r="AA1172" i="1"/>
  <c r="Z1172" i="1" s="1"/>
  <c r="AA1167" i="1"/>
  <c r="Z1167" i="1" s="1"/>
  <c r="AA1178" i="1"/>
  <c r="Z1178" i="1" s="1"/>
  <c r="AA1173" i="1"/>
  <c r="Z1173" i="1" s="1"/>
  <c r="AA1196" i="1"/>
  <c r="Z1196" i="1" s="1"/>
  <c r="AA1176" i="1"/>
  <c r="Z1176" i="1" s="1"/>
  <c r="AA1163" i="1"/>
  <c r="Z1163" i="1" s="1"/>
  <c r="AA1158" i="1"/>
  <c r="Z1158" i="1" s="1"/>
  <c r="AA1190" i="1"/>
  <c r="Z1190" i="1" s="1"/>
  <c r="AA1154" i="1"/>
  <c r="Z1154" i="1" s="1"/>
  <c r="AA1186" i="1"/>
  <c r="Z1186" i="1" s="1"/>
  <c r="AA1181" i="1"/>
  <c r="Z1181" i="1" s="1"/>
  <c r="AA1152" i="1"/>
  <c r="Z1152" i="1" s="1"/>
  <c r="AA1184" i="1"/>
  <c r="Z1184" i="1" s="1"/>
  <c r="AA1171" i="1"/>
  <c r="Z1171" i="1" s="1"/>
  <c r="AA1166" i="1"/>
  <c r="Z1166" i="1" s="1"/>
  <c r="AA1162" i="1"/>
  <c r="Z1162" i="1" s="1"/>
  <c r="AA1157" i="1"/>
  <c r="Z1157" i="1" s="1"/>
  <c r="AA1189" i="1"/>
  <c r="Z1189" i="1" s="1"/>
  <c r="AA1160" i="1"/>
  <c r="Z1160" i="1" s="1"/>
  <c r="AA1192" i="1"/>
  <c r="Z1192" i="1" s="1"/>
  <c r="AA1179" i="1"/>
  <c r="Z1179" i="1" s="1"/>
  <c r="AA1174" i="1"/>
  <c r="Z1174" i="1" s="1"/>
  <c r="AA1170" i="1"/>
  <c r="Z1170" i="1" s="1"/>
  <c r="AA1165" i="1"/>
  <c r="Z1165" i="1" s="1"/>
  <c r="AA1194" i="1"/>
  <c r="Z1194" i="1" s="1"/>
  <c r="AA1168" i="1"/>
  <c r="Z1168" i="1" s="1"/>
  <c r="AA1155" i="1"/>
  <c r="Z1155" i="1" s="1"/>
  <c r="AA1187" i="1"/>
  <c r="Z1187" i="1" s="1"/>
  <c r="AA1182" i="1"/>
  <c r="Z1182" i="1" s="1"/>
  <c r="T7246" i="1"/>
  <c r="S7245" i="1"/>
  <c r="T7245" i="1" s="1"/>
  <c r="S6989" i="1"/>
  <c r="S6988" i="1" s="1"/>
  <c r="T6988" i="1" s="1"/>
  <c r="S7077" i="1"/>
  <c r="S7076" i="1" s="1"/>
  <c r="T7076" i="1" s="1"/>
  <c r="S7045" i="1"/>
  <c r="S7044" i="1" s="1"/>
  <c r="T7044" i="1" s="1"/>
  <c r="S6929" i="1"/>
  <c r="S6928" i="1" s="1"/>
  <c r="T6928" i="1" s="1"/>
  <c r="S7267" i="1"/>
  <c r="S7266" i="1" s="1"/>
  <c r="T7266" i="1" s="1"/>
  <c r="S7159" i="1"/>
  <c r="S7158" i="1" s="1"/>
  <c r="T7158" i="1" s="1"/>
  <c r="S7106" i="1"/>
  <c r="S7105" i="1" s="1"/>
  <c r="T7105" i="1" s="1"/>
  <c r="S6976" i="1"/>
  <c r="T6976" i="1" s="1"/>
  <c r="S7203" i="1"/>
  <c r="S7202" i="1" s="1"/>
  <c r="T7202" i="1" s="1"/>
  <c r="S7166" i="1"/>
  <c r="S7165" i="1" s="1"/>
  <c r="T7165" i="1" s="1"/>
  <c r="S7137" i="1"/>
  <c r="T7037" i="1"/>
  <c r="S7199" i="1"/>
  <c r="S7198" i="1" s="1"/>
  <c r="T7198" i="1" s="1"/>
  <c r="O7262" i="1"/>
  <c r="R7262" i="1" s="1"/>
  <c r="S7261" i="1"/>
  <c r="S7260" i="1" s="1"/>
  <c r="T7260" i="1" s="1"/>
  <c r="O6985" i="1"/>
  <c r="R6985" i="1" s="1"/>
  <c r="S6984" i="1"/>
  <c r="S7269" i="1"/>
  <c r="S7055" i="1"/>
  <c r="T7055" i="1" s="1"/>
  <c r="S7013" i="1"/>
  <c r="T7013" i="1" s="1"/>
  <c r="T7072" i="1"/>
  <c r="S7273" i="1"/>
  <c r="S7272" i="1" s="1"/>
  <c r="T7272" i="1" s="1"/>
  <c r="S6933" i="1"/>
  <c r="S7080" i="1"/>
  <c r="S7079" i="1" s="1"/>
  <c r="T7079" i="1" s="1"/>
  <c r="S7133" i="1"/>
  <c r="S7132" i="1" s="1"/>
  <c r="T7132" i="1" s="1"/>
  <c r="S7185" i="1"/>
  <c r="S7184" i="1" s="1"/>
  <c r="T7184" i="1" s="1"/>
  <c r="O7016" i="1"/>
  <c r="R7016" i="1" s="1"/>
  <c r="S7015" i="1"/>
  <c r="S7119" i="1"/>
  <c r="T7239" i="1"/>
  <c r="O7209" i="1"/>
  <c r="R7209" i="1" s="1"/>
  <c r="S7208" i="1"/>
  <c r="S7207" i="1" s="1"/>
  <c r="T7207" i="1" s="1"/>
  <c r="S7029" i="1"/>
  <c r="S7028" i="1" s="1"/>
  <c r="S7027" i="1" s="1"/>
  <c r="T7027" i="1" s="1"/>
  <c r="S7164" i="1"/>
  <c r="S6979" i="1"/>
  <c r="T6979" i="1" s="1"/>
  <c r="S6981" i="1"/>
  <c r="S6980" i="1" s="1"/>
  <c r="T6980" i="1" s="1"/>
  <c r="S7006" i="1"/>
  <c r="S7005" i="1" s="1"/>
  <c r="S7004" i="1" s="1"/>
  <c r="T7004" i="1" s="1"/>
  <c r="O7042" i="1"/>
  <c r="O7043" i="1" s="1"/>
  <c r="S7161" i="1"/>
  <c r="S7160" i="1" s="1"/>
  <c r="T7160" i="1" s="1"/>
  <c r="S7090" i="1"/>
  <c r="S7089" i="1" s="1"/>
  <c r="T7089" i="1" s="1"/>
  <c r="S7172" i="1"/>
  <c r="S7195" i="1"/>
  <c r="T7195" i="1" s="1"/>
  <c r="S7215" i="1"/>
  <c r="T7215" i="1" s="1"/>
  <c r="T7034" i="1"/>
  <c r="O7046" i="1"/>
  <c r="T7193" i="1"/>
  <c r="O7141" i="1"/>
  <c r="R7141" i="1" s="1"/>
  <c r="R7140" i="1" s="1"/>
  <c r="R7139" i="1" s="1"/>
  <c r="R7138" i="1" s="1"/>
  <c r="T6930" i="1"/>
  <c r="T7216" i="1"/>
  <c r="O7167" i="1"/>
  <c r="R7167" i="1" s="1"/>
  <c r="T7073" i="1"/>
  <c r="O7030" i="1"/>
  <c r="O7000" i="1"/>
  <c r="R7000" i="1" s="1"/>
  <c r="T6934" i="1"/>
  <c r="T7126" i="1"/>
  <c r="O7200" i="1"/>
  <c r="T7190" i="1"/>
  <c r="T7047" i="1"/>
  <c r="O7162" i="1"/>
  <c r="O7078" i="1"/>
  <c r="R7078" i="1" s="1"/>
  <c r="O7186" i="1"/>
  <c r="T7112" i="1"/>
  <c r="O7170" i="1"/>
  <c r="T7177" i="1"/>
  <c r="O7117" i="1"/>
  <c r="O7094" i="1"/>
  <c r="O6982" i="1"/>
  <c r="T7071" i="1"/>
  <c r="O7085" i="1"/>
  <c r="O7123" i="1"/>
  <c r="O7237" i="1"/>
  <c r="T7129" i="1"/>
  <c r="O6990" i="1"/>
  <c r="T6936" i="1"/>
  <c r="O7244" i="1"/>
  <c r="O7019" i="1"/>
  <c r="R7019" i="1" s="1"/>
  <c r="R7018" i="1" s="1"/>
  <c r="R7017" i="1" s="1"/>
  <c r="T6972" i="1"/>
  <c r="O6973" i="1"/>
  <c r="O7274" i="1"/>
  <c r="O7058" i="1"/>
  <c r="O7250" i="1"/>
  <c r="O6939" i="1"/>
  <c r="O7206" i="1"/>
  <c r="O6995" i="1"/>
  <c r="O7007" i="1"/>
  <c r="T6924" i="1"/>
  <c r="T7031" i="1"/>
  <c r="O7257" i="1"/>
  <c r="R7257" i="1" s="1"/>
  <c r="O7150" i="1"/>
  <c r="T7051" i="1"/>
  <c r="O7181" i="1"/>
  <c r="T6968" i="1"/>
  <c r="O7265" i="1"/>
  <c r="O7081" i="1"/>
  <c r="O7067" i="1"/>
  <c r="O7097" i="1"/>
  <c r="AX71" i="1"/>
  <c r="BA71" i="1" s="1"/>
  <c r="X1103" i="1"/>
  <c r="Y1103" i="1" s="1"/>
  <c r="AE1103" i="1"/>
  <c r="X1104" i="1"/>
  <c r="Y1104" i="1" s="1"/>
  <c r="AE1104" i="1"/>
  <c r="X1105" i="1"/>
  <c r="Y1105" i="1" s="1"/>
  <c r="AE1105" i="1"/>
  <c r="X1106" i="1"/>
  <c r="Y1106" i="1" s="1"/>
  <c r="AE1106" i="1"/>
  <c r="X1107" i="1"/>
  <c r="Y1107" i="1" s="1"/>
  <c r="AE1107" i="1"/>
  <c r="X1108" i="1"/>
  <c r="Y1108" i="1" s="1"/>
  <c r="AE1108" i="1"/>
  <c r="X1109" i="1"/>
  <c r="Y1109" i="1" s="1"/>
  <c r="AE1109" i="1"/>
  <c r="X1110" i="1"/>
  <c r="Y1110" i="1" s="1"/>
  <c r="AE1110" i="1"/>
  <c r="X1111" i="1"/>
  <c r="Y1111" i="1" s="1"/>
  <c r="AE1111" i="1"/>
  <c r="X1112" i="1"/>
  <c r="Y1112" i="1" s="1"/>
  <c r="AE1112" i="1"/>
  <c r="X1113" i="1"/>
  <c r="Y1113" i="1" s="1"/>
  <c r="AE1113" i="1"/>
  <c r="X1114" i="1"/>
  <c r="Y1114" i="1" s="1"/>
  <c r="AE1114" i="1"/>
  <c r="X1115" i="1"/>
  <c r="Y1115" i="1" s="1"/>
  <c r="AE1115" i="1"/>
  <c r="X1116" i="1"/>
  <c r="Y1116" i="1" s="1"/>
  <c r="AE1116" i="1"/>
  <c r="X1117" i="1"/>
  <c r="Y1117" i="1" s="1"/>
  <c r="AE1117" i="1"/>
  <c r="X1118" i="1"/>
  <c r="Y1118" i="1" s="1"/>
  <c r="AE1118" i="1"/>
  <c r="X1119" i="1"/>
  <c r="Y1119" i="1" s="1"/>
  <c r="AE1119" i="1"/>
  <c r="X1120" i="1"/>
  <c r="Y1120" i="1" s="1"/>
  <c r="AE1120" i="1"/>
  <c r="X1121" i="1"/>
  <c r="Y1121" i="1" s="1"/>
  <c r="AE1121" i="1"/>
  <c r="X1122" i="1"/>
  <c r="Y1122" i="1" s="1"/>
  <c r="AE1122" i="1"/>
  <c r="X1123" i="1"/>
  <c r="Y1123" i="1" s="1"/>
  <c r="AE1123" i="1"/>
  <c r="X1124" i="1"/>
  <c r="Y1124" i="1" s="1"/>
  <c r="AE1124" i="1"/>
  <c r="X1125" i="1"/>
  <c r="Y1125" i="1" s="1"/>
  <c r="AE1125" i="1"/>
  <c r="X1126" i="1"/>
  <c r="Y1126" i="1" s="1"/>
  <c r="AE1126" i="1"/>
  <c r="X1127" i="1"/>
  <c r="Y1127" i="1" s="1"/>
  <c r="AE1127" i="1"/>
  <c r="X1128" i="1"/>
  <c r="Y1128" i="1" s="1"/>
  <c r="AE1128" i="1"/>
  <c r="X1129" i="1"/>
  <c r="Y1129" i="1" s="1"/>
  <c r="AE1129" i="1"/>
  <c r="X1130" i="1"/>
  <c r="Y1130" i="1" s="1"/>
  <c r="AE1130" i="1"/>
  <c r="X1131" i="1"/>
  <c r="Y1131" i="1" s="1"/>
  <c r="AE1131" i="1"/>
  <c r="X1132" i="1"/>
  <c r="Y1132" i="1" s="1"/>
  <c r="AE1132" i="1"/>
  <c r="X1133" i="1"/>
  <c r="Y1133" i="1" s="1"/>
  <c r="AE1133" i="1"/>
  <c r="X1134" i="1"/>
  <c r="Y1134" i="1" s="1"/>
  <c r="AE1134" i="1"/>
  <c r="X1135" i="1"/>
  <c r="Y1135" i="1" s="1"/>
  <c r="AE1135" i="1"/>
  <c r="X1136" i="1"/>
  <c r="Y1136" i="1" s="1"/>
  <c r="AE1136" i="1"/>
  <c r="X1137" i="1"/>
  <c r="Y1137" i="1" s="1"/>
  <c r="AE1137" i="1"/>
  <c r="X1138" i="1"/>
  <c r="Y1138" i="1" s="1"/>
  <c r="AE1138" i="1"/>
  <c r="X1139" i="1"/>
  <c r="Y1139" i="1" s="1"/>
  <c r="AE1139" i="1"/>
  <c r="X1140" i="1"/>
  <c r="Y1140" i="1" s="1"/>
  <c r="AE1140" i="1"/>
  <c r="X1141" i="1"/>
  <c r="Y1141" i="1" s="1"/>
  <c r="AE1141" i="1"/>
  <c r="X1142" i="1"/>
  <c r="Y1142" i="1" s="1"/>
  <c r="AE1142" i="1"/>
  <c r="X1143" i="1"/>
  <c r="Y1143" i="1" s="1"/>
  <c r="AE1143" i="1"/>
  <c r="X1144" i="1"/>
  <c r="Y1144" i="1" s="1"/>
  <c r="AE1144" i="1"/>
  <c r="X1145" i="1"/>
  <c r="Y1145" i="1" s="1"/>
  <c r="AE1145" i="1"/>
  <c r="X1146" i="1"/>
  <c r="Y1146" i="1" s="1"/>
  <c r="AE1146" i="1"/>
  <c r="X1147" i="1"/>
  <c r="Y1147" i="1" s="1"/>
  <c r="AE1147" i="1"/>
  <c r="X1148" i="1"/>
  <c r="Y1148" i="1" s="1"/>
  <c r="AE1148" i="1"/>
  <c r="X1149" i="1"/>
  <c r="Y1149" i="1" s="1"/>
  <c r="AE1149" i="1"/>
  <c r="X1150" i="1"/>
  <c r="Y1150" i="1" s="1"/>
  <c r="AE1150" i="1"/>
  <c r="X1151" i="1"/>
  <c r="Y1151" i="1" s="1"/>
  <c r="AE1151" i="1"/>
  <c r="AF2808" i="1"/>
  <c r="AF2807" i="1"/>
  <c r="AF2809" i="1"/>
  <c r="AF2810" i="1"/>
  <c r="AF2812" i="1"/>
  <c r="AF2811" i="1"/>
  <c r="AF2813" i="1"/>
  <c r="AF2814" i="1"/>
  <c r="AF2815" i="1"/>
  <c r="AF2818" i="1"/>
  <c r="AF2380" i="1"/>
  <c r="AF2388" i="1"/>
  <c r="AF2385" i="1"/>
  <c r="AF2328" i="1"/>
  <c r="AF2347" i="1"/>
  <c r="AF2374" i="1"/>
  <c r="AF2393" i="1"/>
  <c r="AF2391" i="1"/>
  <c r="AF2397" i="1"/>
  <c r="AF2360" i="1"/>
  <c r="AF2816" i="1"/>
  <c r="AF2404" i="1"/>
  <c r="AF2817" i="1"/>
  <c r="AF2508" i="1"/>
  <c r="AF2406" i="1"/>
  <c r="AF2819" i="1"/>
  <c r="AF2548" i="1"/>
  <c r="AF2550" i="1"/>
  <c r="AF2549" i="1"/>
  <c r="AF2551" i="1"/>
  <c r="AF2552" i="1"/>
  <c r="AF2553" i="1"/>
  <c r="AF2554" i="1"/>
  <c r="AF2400" i="1"/>
  <c r="AF2555" i="1"/>
  <c r="AF2402" i="1"/>
  <c r="AF2556" i="1"/>
  <c r="AF2557" i="1"/>
  <c r="AF2399" i="1"/>
  <c r="AF2405" i="1"/>
  <c r="AF2401" i="1"/>
  <c r="AF2414" i="1"/>
  <c r="AF2407" i="1"/>
  <c r="AF2403" i="1"/>
  <c r="AF2430" i="1"/>
  <c r="AF2408" i="1"/>
  <c r="AF2412" i="1"/>
  <c r="AF2413" i="1"/>
  <c r="AF2423" i="1"/>
  <c r="AF2410" i="1"/>
  <c r="AF2411" i="1"/>
  <c r="AF2409" i="1"/>
  <c r="AF2415" i="1"/>
  <c r="AF2427" i="1"/>
  <c r="AF2431" i="1"/>
  <c r="AF2416" i="1"/>
  <c r="AF2418" i="1"/>
  <c r="AF2417" i="1"/>
  <c r="AF2419" i="1"/>
  <c r="AF2420" i="1"/>
  <c r="AF2421" i="1"/>
  <c r="AF2429" i="1"/>
  <c r="AF2424" i="1"/>
  <c r="AF2422" i="1"/>
  <c r="AF2425" i="1"/>
  <c r="AF2426" i="1"/>
  <c r="AF2428" i="1"/>
  <c r="AF2593" i="1"/>
  <c r="AF2434" i="1"/>
  <c r="AF2432" i="1"/>
  <c r="AF3095" i="1"/>
  <c r="AF3094" i="1"/>
  <c r="AF2433" i="1"/>
  <c r="AF2435" i="1"/>
  <c r="AF2525" i="1"/>
  <c r="AF3097" i="1"/>
  <c r="AF2629" i="1"/>
  <c r="AF2359" i="1"/>
  <c r="AF2540" i="1"/>
  <c r="AF2651" i="1"/>
  <c r="AF2387" i="1"/>
  <c r="AF2386" i="1"/>
  <c r="AF2653" i="1"/>
  <c r="AF2332" i="1"/>
  <c r="AF2655" i="1"/>
  <c r="AF2654" i="1"/>
  <c r="AF2658" i="1"/>
  <c r="AF2544" i="1"/>
  <c r="AF2657" i="1"/>
  <c r="AF2392" i="1"/>
  <c r="AF2660" i="1"/>
  <c r="AF2595" i="1"/>
  <c r="AF2659" i="1"/>
  <c r="AF2661" i="1"/>
  <c r="AF2730" i="1"/>
  <c r="AF2781" i="1"/>
  <c r="AF2782" i="1"/>
  <c r="AF2662" i="1"/>
  <c r="AF2731" i="1"/>
  <c r="AF2396" i="1"/>
  <c r="AF2663" i="1"/>
  <c r="AF2398" i="1"/>
  <c r="AF3093" i="1"/>
  <c r="AF2521" i="1"/>
  <c r="AF2370" i="1"/>
  <c r="AF2768" i="1"/>
  <c r="AF2735" i="1"/>
  <c r="AF2736" i="1"/>
  <c r="AF2389" i="1"/>
  <c r="AF2767" i="1"/>
  <c r="AF2482" i="1"/>
  <c r="AF2545" i="1"/>
  <c r="AF2530" i="1"/>
  <c r="AF2547" i="1"/>
  <c r="AF3096" i="1"/>
  <c r="AF2975" i="1"/>
  <c r="AF2542" i="1"/>
  <c r="AF2590" i="1"/>
  <c r="AF2522" i="1"/>
  <c r="AF2532" i="1"/>
  <c r="AF2739" i="1"/>
  <c r="AF2800" i="1"/>
  <c r="AF2673" i="1"/>
  <c r="AF2783" i="1"/>
  <c r="AF2511" i="1"/>
  <c r="AF2801" i="1"/>
  <c r="AF2784" i="1"/>
  <c r="AF2977" i="1"/>
  <c r="AF2766" i="1"/>
  <c r="AF2395" i="1"/>
  <c r="AF2976" i="1"/>
  <c r="AF2674" i="1"/>
  <c r="AF2978" i="1"/>
  <c r="AF2675" i="1"/>
  <c r="AF2671" i="1"/>
  <c r="AF2737" i="1"/>
  <c r="AF2643" i="1"/>
  <c r="AF2980" i="1"/>
  <c r="AF2785" i="1"/>
  <c r="AF2744" i="1"/>
  <c r="AF2656" i="1"/>
  <c r="AF2849" i="1"/>
  <c r="AF2541" i="1"/>
  <c r="AF3083" i="1"/>
  <c r="AF2769" i="1"/>
  <c r="AF2786" i="1"/>
  <c r="AF2738" i="1"/>
  <c r="AF2983" i="1"/>
  <c r="AF2788" i="1"/>
  <c r="AF2787" i="1"/>
  <c r="AF2850" i="1"/>
  <c r="AF2770" i="1"/>
  <c r="AF2789" i="1"/>
  <c r="AF2851" i="1"/>
  <c r="AF2790" i="1"/>
  <c r="AF2584" i="1"/>
  <c r="AF2791" i="1"/>
  <c r="AF2546" i="1"/>
  <c r="AF2771" i="1"/>
  <c r="AF2792" i="1"/>
  <c r="AF2772" i="1"/>
  <c r="AF2586" i="1"/>
  <c r="AF2335" i="1"/>
  <c r="AF2354" i="1"/>
  <c r="AF2701" i="1"/>
  <c r="AF2745" i="1"/>
  <c r="AF2702" i="1"/>
  <c r="AF2699" i="1"/>
  <c r="AF2501" i="1"/>
  <c r="AF2676" i="1"/>
  <c r="AF2742" i="1"/>
  <c r="AF2338" i="1"/>
  <c r="AF2846" i="1"/>
  <c r="AF2981" i="1"/>
  <c r="AF2372" i="1"/>
  <c r="AF2740" i="1"/>
  <c r="AF2509" i="1"/>
  <c r="AF2677" i="1"/>
  <c r="AF2679" i="1"/>
  <c r="AF2741" i="1"/>
  <c r="AF2683" i="1"/>
  <c r="AF2323" i="1"/>
  <c r="AF2346" i="1"/>
  <c r="AF2840" i="1"/>
  <c r="AF2678" i="1"/>
  <c r="AF2349" i="1"/>
  <c r="AF2680" i="1"/>
  <c r="AF2361" i="1"/>
  <c r="AF2979" i="1"/>
  <c r="AF2376" i="1"/>
  <c r="AF2358" i="1"/>
  <c r="AF2681" i="1"/>
  <c r="AF2982" i="1"/>
  <c r="AF2700" i="1"/>
  <c r="AF2351" i="1"/>
  <c r="AF2327" i="1"/>
  <c r="AF3088" i="1"/>
  <c r="AF2319" i="1"/>
  <c r="AF2743" i="1"/>
  <c r="AF2984" i="1"/>
  <c r="AF2350" i="1"/>
  <c r="AF2718" i="1"/>
  <c r="AF2394" i="1"/>
  <c r="AF2579" i="1"/>
  <c r="AF2682" i="1"/>
  <c r="AF2535" i="1"/>
  <c r="AF2355" i="1"/>
  <c r="AF2986" i="1"/>
  <c r="AF2719" i="1"/>
  <c r="AF3080" i="1"/>
  <c r="AF2329" i="1"/>
  <c r="AF2985" i="1"/>
  <c r="AF2987" i="1"/>
  <c r="AF2317" i="1"/>
  <c r="AF2527" i="1"/>
  <c r="AF2988" i="1"/>
  <c r="AF2526" i="1"/>
  <c r="AF2641" i="1"/>
  <c r="AF2484" i="1"/>
  <c r="AF2989" i="1"/>
  <c r="AF2635" i="1"/>
  <c r="AF2652" i="1"/>
  <c r="AF2538" i="1"/>
  <c r="AF2514" i="1"/>
  <c r="AF2804" i="1"/>
  <c r="AF2753" i="1"/>
  <c r="AF2301" i="1"/>
  <c r="BL71" i="1" s="1"/>
  <c r="AF2693" i="1"/>
  <c r="AF2805" i="1"/>
  <c r="AF2686" i="1"/>
  <c r="AF2313" i="1"/>
  <c r="AF2368" i="1"/>
  <c r="AF2528" i="1"/>
  <c r="AF2716" i="1"/>
  <c r="AF2339" i="1"/>
  <c r="AF2684" i="1"/>
  <c r="AF2506" i="1"/>
  <c r="AF2806" i="1"/>
  <c r="AF2539" i="1"/>
  <c r="AF2847" i="1"/>
  <c r="AF2342" i="1"/>
  <c r="AF2543" i="1"/>
  <c r="AF2343" i="1"/>
  <c r="AF2848" i="1"/>
  <c r="AF2371" i="1"/>
  <c r="AF2642" i="1"/>
  <c r="AF2666" i="1"/>
  <c r="AF2352" i="1"/>
  <c r="AF2512" i="1"/>
  <c r="AF2761" i="1"/>
  <c r="AF2357" i="1"/>
  <c r="AF2303" i="1"/>
  <c r="AF2581" i="1"/>
  <c r="AF2617" i="1"/>
  <c r="AF2764" i="1"/>
  <c r="AF2803" i="1"/>
  <c r="AF2969" i="1"/>
  <c r="AF2697" i="1"/>
  <c r="AF2628" i="1"/>
  <c r="AF2647" i="1"/>
  <c r="AF2348" i="1"/>
  <c r="AF2637" i="1"/>
  <c r="AF2639" i="1"/>
  <c r="AF2714" i="1"/>
  <c r="AF2626" i="1"/>
  <c r="AF2779" i="1"/>
  <c r="AF2510" i="1"/>
  <c r="AF2721" i="1"/>
  <c r="AF2504" i="1"/>
  <c r="AF2568" i="1"/>
  <c r="AF2582" i="1"/>
  <c r="AF2366" i="1"/>
  <c r="AF2320" i="1"/>
  <c r="AF2726" i="1"/>
  <c r="AF2588" i="1"/>
  <c r="AF2720" i="1"/>
  <c r="AF2585" i="1"/>
  <c r="AF2367" i="1"/>
  <c r="AF2775" i="1"/>
  <c r="AF2589" i="1"/>
  <c r="AF2377" i="1"/>
  <c r="AF2587" i="1"/>
  <c r="AF2776" i="1"/>
  <c r="AF2750" i="1"/>
  <c r="AF2517" i="1"/>
  <c r="AF2717" i="1"/>
  <c r="AF2691" i="1"/>
  <c r="AF2369" i="1"/>
  <c r="AF2592" i="1"/>
  <c r="AF2706" i="1"/>
  <c r="AF2575" i="1"/>
  <c r="AF2690" i="1"/>
  <c r="AF2765" i="1"/>
  <c r="AF2459" i="1"/>
  <c r="AF2304" i="1"/>
  <c r="AF2524" i="1"/>
  <c r="AF2751" i="1"/>
  <c r="AF2752" i="1"/>
  <c r="AF2644" i="1"/>
  <c r="AF2364" i="1"/>
  <c r="AF2722" i="1"/>
  <c r="AF2708" i="1"/>
  <c r="AF2340" i="1"/>
  <c r="AF2672" i="1"/>
  <c r="AF2640" i="1"/>
  <c r="AF2709" i="1"/>
  <c r="AF2537" i="1"/>
  <c r="AF2707" i="1"/>
  <c r="AF2619" i="1"/>
  <c r="AF2531" i="1"/>
  <c r="AF2645" i="1"/>
  <c r="AF2723" i="1"/>
  <c r="AF2362" i="1"/>
  <c r="AF2689" i="1"/>
  <c r="AF2636" i="1"/>
  <c r="AF2733" i="1"/>
  <c r="AF2502" i="1"/>
  <c r="AF2724" i="1"/>
  <c r="AF2580" i="1"/>
  <c r="AF2725" i="1"/>
  <c r="AF2698" i="1"/>
  <c r="AF2842" i="1"/>
  <c r="AF2326" i="1"/>
  <c r="AF2631" i="1"/>
  <c r="AF3081" i="1"/>
  <c r="AF2646" i="1"/>
  <c r="AF2633" i="1"/>
  <c r="AF2583" i="1"/>
  <c r="AF2712" i="1"/>
  <c r="AF2381" i="1"/>
  <c r="AF2519" i="1"/>
  <c r="AF3086" i="1"/>
  <c r="AF2520" i="1"/>
  <c r="AF2839" i="1"/>
  <c r="AF2844" i="1"/>
  <c r="AF2536" i="1"/>
  <c r="AF3099" i="1"/>
  <c r="AF3085" i="1"/>
  <c r="AF2760" i="1"/>
  <c r="AF2694" i="1"/>
  <c r="AF2834" i="1"/>
  <c r="AF3100" i="1"/>
  <c r="AF2762" i="1"/>
  <c r="AF2529" i="1"/>
  <c r="AF2373" i="1"/>
  <c r="AF2843" i="1"/>
  <c r="AF2763" i="1"/>
  <c r="AF2363" i="1"/>
  <c r="AF2778" i="1"/>
  <c r="AF2310" i="1"/>
  <c r="AF2667" i="1"/>
  <c r="AF2777" i="1"/>
  <c r="AF2648" i="1"/>
  <c r="AF2670" i="1"/>
  <c r="AF2710" i="1"/>
  <c r="AF2378" i="1"/>
  <c r="AF3087" i="1"/>
  <c r="AF3079" i="1"/>
  <c r="AF2297" i="1"/>
  <c r="AF2356" i="1"/>
  <c r="AF2692" i="1"/>
  <c r="AF2462" i="1"/>
  <c r="AF2475" i="1"/>
  <c r="AF2379" i="1"/>
  <c r="AF2562" i="1"/>
  <c r="AF2649" i="1"/>
  <c r="AF2345" i="1"/>
  <c r="AF2569" i="1"/>
  <c r="AF2711" i="1"/>
  <c r="AF2571" i="1"/>
  <c r="AF2780" i="1"/>
  <c r="AF2495" i="1"/>
  <c r="AF2566" i="1"/>
  <c r="AF2695" i="1"/>
  <c r="AF2523" i="1"/>
  <c r="AF2572" i="1"/>
  <c r="AF2513" i="1"/>
  <c r="AF2650" i="1"/>
  <c r="AF2668" i="1"/>
  <c r="AF2759" i="1"/>
  <c r="AF2488" i="1"/>
  <c r="AF2728" i="1"/>
  <c r="AF2302" i="1"/>
  <c r="AF2747" i="1"/>
  <c r="AF2665" i="1"/>
  <c r="AF2489" i="1"/>
  <c r="AF2497" i="1"/>
  <c r="AF3091" i="1"/>
  <c r="AF2845" i="1"/>
  <c r="AF3090" i="1"/>
  <c r="AF2857" i="1"/>
  <c r="AF2318" i="1"/>
  <c r="AF2473" i="1"/>
  <c r="AF2727" i="1"/>
  <c r="AF3089" i="1"/>
  <c r="AF2321" i="1"/>
  <c r="AF2713" i="1"/>
  <c r="AF2451" i="1"/>
  <c r="AF2732" i="1"/>
  <c r="AF2574" i="1"/>
  <c r="AF2573" i="1"/>
  <c r="AF2879" i="1"/>
  <c r="AF2696" i="1"/>
  <c r="AF2444" i="1"/>
  <c r="AF2486" i="1"/>
  <c r="AF2802" i="1"/>
  <c r="AF2964" i="1"/>
  <c r="AF2471" i="1"/>
  <c r="AF2442" i="1"/>
  <c r="AF2838" i="1"/>
  <c r="AF2974" i="1"/>
  <c r="AF2463" i="1"/>
  <c r="AF2344" i="1"/>
  <c r="AF2325" i="1"/>
  <c r="AF2669" i="1"/>
  <c r="AF2474" i="1"/>
  <c r="AF2465" i="1"/>
  <c r="AF2578" i="1"/>
  <c r="AF2558" i="1"/>
  <c r="AF2534" i="1"/>
  <c r="AF2561" i="1"/>
  <c r="AF2452" i="1"/>
  <c r="AF2493" i="1"/>
  <c r="AF2518" i="1"/>
  <c r="AF2603" i="1"/>
  <c r="AF2309" i="1"/>
  <c r="AF3084" i="1"/>
  <c r="AF2746" i="1"/>
  <c r="AF2715" i="1"/>
  <c r="AF2533" i="1"/>
  <c r="AF2503" i="1"/>
  <c r="AF2611" i="1"/>
  <c r="AF2833" i="1"/>
  <c r="AF2729" i="1"/>
  <c r="AF2973" i="1"/>
  <c r="AF2390" i="1"/>
  <c r="AF2594" i="1"/>
  <c r="AF2734" i="1"/>
  <c r="AF2333" i="1"/>
  <c r="AF2878" i="1"/>
  <c r="AF2515" i="1"/>
  <c r="AF2505" i="1"/>
  <c r="AF2457" i="1"/>
  <c r="AF2632" i="1"/>
  <c r="AF2331" i="1"/>
  <c r="AF2914" i="1"/>
  <c r="AF2458" i="1"/>
  <c r="AF2500" i="1"/>
  <c r="AF2688" i="1"/>
  <c r="AF2576" i="1"/>
  <c r="AF2564" i="1"/>
  <c r="AF2449" i="1"/>
  <c r="AF2480" i="1"/>
  <c r="AF2612" i="1"/>
  <c r="AF2298" i="1"/>
  <c r="AF2447" i="1"/>
  <c r="AF2453" i="1"/>
  <c r="AF2330" i="1"/>
  <c r="AF2867" i="1"/>
  <c r="AF2591" i="1"/>
  <c r="AF2570" i="1"/>
  <c r="AF2454" i="1"/>
  <c r="AF2831" i="1"/>
  <c r="AF2341" i="1"/>
  <c r="AF2308" i="1"/>
  <c r="AF2337" i="1"/>
  <c r="AF2618" i="1"/>
  <c r="AF2384" i="1"/>
  <c r="AF2456" i="1"/>
  <c r="AF2499" i="1"/>
  <c r="AF2472" i="1"/>
  <c r="AF2865" i="1"/>
  <c r="AF2630" i="1"/>
  <c r="AF2464" i="1"/>
  <c r="AF2614" i="1"/>
  <c r="AF2476" i="1"/>
  <c r="AF2863" i="1"/>
  <c r="AF2638" i="1"/>
  <c r="AF2873" i="1"/>
  <c r="AF2507" i="1"/>
  <c r="AF2880" i="1"/>
  <c r="AF2624" i="1"/>
  <c r="AF2852" i="1"/>
  <c r="AF2959" i="1"/>
  <c r="AF3078" i="1"/>
  <c r="AF2490" i="1"/>
  <c r="AF2383" i="1"/>
  <c r="AF2336" i="1"/>
  <c r="AF2567" i="1"/>
  <c r="AF3092" i="1"/>
  <c r="AF2798" i="1"/>
  <c r="AF2448" i="1"/>
  <c r="AF2950" i="1"/>
  <c r="AF2876" i="1"/>
  <c r="AF2516" i="1"/>
  <c r="AF2468" i="1"/>
  <c r="AF3101" i="1"/>
  <c r="AF2609" i="1"/>
  <c r="AF2951" i="1"/>
  <c r="AF2460" i="1"/>
  <c r="AF2322" i="1"/>
  <c r="AF2498" i="1"/>
  <c r="AF2601" i="1"/>
  <c r="AF2963" i="1"/>
  <c r="AF2622" i="1"/>
  <c r="AF2705" i="1"/>
  <c r="AF2487" i="1"/>
  <c r="AF2967" i="1"/>
  <c r="AF2324" i="1"/>
  <c r="AF2883" i="1"/>
  <c r="AF2972" i="1"/>
  <c r="AF2299" i="1"/>
  <c r="AF2870" i="1"/>
  <c r="AF2491" i="1"/>
  <c r="AF2841" i="1"/>
  <c r="AF2970" i="1"/>
  <c r="AF2961" i="1"/>
  <c r="AF2441" i="1"/>
  <c r="AF2881" i="1"/>
  <c r="AF2604" i="1"/>
  <c r="AF2483" i="1"/>
  <c r="AF2943" i="1"/>
  <c r="AF2467" i="1"/>
  <c r="AF2904" i="1"/>
  <c r="AF2853" i="1"/>
  <c r="AF2952" i="1"/>
  <c r="AF2602" i="1"/>
  <c r="AF3108" i="1"/>
  <c r="AF2925" i="1"/>
  <c r="AF2757" i="1"/>
  <c r="AF2455" i="1"/>
  <c r="AF2445" i="1"/>
  <c r="AF2874" i="1"/>
  <c r="AF2971" i="1"/>
  <c r="AF2823" i="1"/>
  <c r="AF2470" i="1"/>
  <c r="AF2478" i="1"/>
  <c r="AF2616" i="1"/>
  <c r="AF3077" i="1"/>
  <c r="AF2837" i="1"/>
  <c r="AF2492" i="1"/>
  <c r="AF2608" i="1"/>
  <c r="AF2305" i="1"/>
  <c r="AF2962" i="1"/>
  <c r="AF2945" i="1"/>
  <c r="AF2446" i="1"/>
  <c r="AF2892" i="1"/>
  <c r="AF3069" i="1"/>
  <c r="AF2960" i="1"/>
  <c r="AF2469" i="1"/>
  <c r="AF2758" i="1"/>
  <c r="AF3106" i="1"/>
  <c r="AF2872" i="1"/>
  <c r="AF2824" i="1"/>
  <c r="AF2623" i="1"/>
  <c r="AF2877" i="1"/>
  <c r="AF3109" i="1"/>
  <c r="AF2871" i="1"/>
  <c r="AF2334" i="1"/>
  <c r="AF2912" i="1"/>
  <c r="AF2858" i="1"/>
  <c r="AF2836" i="1"/>
  <c r="AF2496" i="1"/>
  <c r="AF2485" i="1"/>
  <c r="AF2799" i="1"/>
  <c r="AF2749" i="1"/>
  <c r="AF2494" i="1"/>
  <c r="AF2316" i="1"/>
  <c r="AF2856" i="1"/>
  <c r="AF2634" i="1"/>
  <c r="AF2477" i="1"/>
  <c r="AF2748" i="1"/>
  <c r="AF2832" i="1"/>
  <c r="AF2949" i="1"/>
  <c r="AF2822" i="1"/>
  <c r="AF2864" i="1"/>
  <c r="AF2944" i="1"/>
  <c r="AF2955" i="1"/>
  <c r="AF3072" i="1"/>
  <c r="AF2828" i="1"/>
  <c r="AF3050" i="1"/>
  <c r="AF3067" i="1"/>
  <c r="AF2621" i="1"/>
  <c r="AF3066" i="1"/>
  <c r="AF2965" i="1"/>
  <c r="AF2882" i="1"/>
  <c r="AF2627" i="1"/>
  <c r="AF2956" i="1"/>
  <c r="AF2866" i="1"/>
  <c r="AF2915" i="1"/>
  <c r="AF2829" i="1"/>
  <c r="AF2862" i="1"/>
  <c r="AF2920" i="1"/>
  <c r="AF2825" i="1"/>
  <c r="AF3056" i="1"/>
  <c r="AF3059" i="1"/>
  <c r="AF3110" i="1"/>
  <c r="AF2826" i="1"/>
  <c r="AF2946" i="1"/>
  <c r="AF2893" i="1"/>
  <c r="AF3073" i="1"/>
  <c r="AF2953" i="1"/>
  <c r="AF2885" i="1"/>
  <c r="AF2443" i="1"/>
  <c r="AF2606" i="1"/>
  <c r="AF2957" i="1"/>
  <c r="AF3053" i="1"/>
  <c r="AF2664" i="1"/>
  <c r="AF3061" i="1"/>
  <c r="AF2868" i="1"/>
  <c r="AF2382" i="1"/>
  <c r="AF3035" i="1"/>
  <c r="AF2859" i="1"/>
  <c r="AF2933" i="1"/>
  <c r="AF2927" i="1"/>
  <c r="AF3111" i="1"/>
  <c r="AF2466" i="1"/>
  <c r="AF2958" i="1"/>
  <c r="AF2479" i="1"/>
  <c r="AF2923" i="1"/>
  <c r="AF2830" i="1"/>
  <c r="AF2899" i="1"/>
  <c r="AF2860" i="1"/>
  <c r="AF2615" i="1"/>
  <c r="AF2903" i="1"/>
  <c r="AF2620" i="1"/>
  <c r="AF3041" i="1"/>
  <c r="AF2875" i="1"/>
  <c r="AF2932" i="1"/>
  <c r="AF2935" i="1"/>
  <c r="AF2934" i="1"/>
  <c r="AF2610" i="1"/>
  <c r="AF2861" i="1"/>
  <c r="AF2605" i="1"/>
  <c r="AF2835" i="1"/>
  <c r="AF2827" i="1"/>
  <c r="AF2600" i="1"/>
  <c r="AF3049" i="1"/>
  <c r="AF2948" i="1"/>
  <c r="AF2300" i="1"/>
  <c r="AF2306" i="1"/>
  <c r="AF2755" i="1"/>
  <c r="AF2607" i="1"/>
  <c r="AF2565" i="1"/>
  <c r="AF3068" i="1"/>
  <c r="AF2311" i="1"/>
  <c r="AF2906" i="1"/>
  <c r="AF2461" i="1"/>
  <c r="AF3082" i="1"/>
  <c r="AF3075" i="1"/>
  <c r="AF3074" i="1"/>
  <c r="AF2315" i="1"/>
  <c r="AF2625" i="1"/>
  <c r="AF2481" i="1"/>
  <c r="AF2577" i="1"/>
  <c r="AF2918" i="1"/>
  <c r="AF3024" i="1"/>
  <c r="AF3044" i="1"/>
  <c r="AF2685" i="1"/>
  <c r="AF2968" i="1"/>
  <c r="AF2598" i="1"/>
  <c r="AF2869" i="1"/>
  <c r="AF3055" i="1"/>
  <c r="AF2307" i="1"/>
  <c r="AF2599" i="1"/>
  <c r="AF2905" i="1"/>
  <c r="AF2916" i="1"/>
  <c r="AF2913" i="1"/>
  <c r="AF2908" i="1"/>
  <c r="AF2438" i="1"/>
  <c r="AF2954" i="1"/>
  <c r="AF2941" i="1"/>
  <c r="AF2450" i="1"/>
  <c r="AF2998" i="1"/>
  <c r="AF2855" i="1"/>
  <c r="AF3020" i="1"/>
  <c r="AF2896" i="1"/>
  <c r="AF2897" i="1"/>
  <c r="AF2931" i="1"/>
  <c r="AF2296" i="1"/>
  <c r="AF3010" i="1"/>
  <c r="AF2898" i="1"/>
  <c r="AF2917" i="1"/>
  <c r="AF3021" i="1"/>
  <c r="AF3006" i="1"/>
  <c r="AF2440" i="1"/>
  <c r="AF2924" i="1"/>
  <c r="AF2312" i="1"/>
  <c r="AF2902" i="1"/>
  <c r="AF3038" i="1"/>
  <c r="AF2966" i="1"/>
  <c r="AF3030" i="1"/>
  <c r="AF2936" i="1"/>
  <c r="AF3058" i="1"/>
  <c r="AF2942" i="1"/>
  <c r="AF3046" i="1"/>
  <c r="AF3063" i="1"/>
  <c r="AF3042" i="1"/>
  <c r="AF3036" i="1"/>
  <c r="AF2990" i="1"/>
  <c r="AF2854" i="1"/>
  <c r="AF2613" i="1"/>
  <c r="AF3048" i="1"/>
  <c r="AF3076" i="1"/>
  <c r="AF3013" i="1"/>
  <c r="AF2563" i="1"/>
  <c r="AF3070" i="1"/>
  <c r="AF2774" i="1"/>
  <c r="AF3060" i="1"/>
  <c r="AF2821" i="1"/>
  <c r="AF2756" i="1"/>
  <c r="AF3062" i="1"/>
  <c r="AF2999" i="1"/>
  <c r="AF2921" i="1"/>
  <c r="AF2314" i="1"/>
  <c r="AF3000" i="1"/>
  <c r="AF3103" i="1"/>
  <c r="AF2947" i="1"/>
  <c r="AF2687" i="1"/>
  <c r="AF3022" i="1"/>
  <c r="AF2888" i="1"/>
  <c r="AF2922" i="1"/>
  <c r="AF2894" i="1"/>
  <c r="AF2939" i="1"/>
  <c r="AF2890" i="1"/>
  <c r="AF3018" i="1"/>
  <c r="AF2900" i="1"/>
  <c r="AF3064" i="1"/>
  <c r="AF3071" i="1"/>
  <c r="AF2926" i="1"/>
  <c r="AF3001" i="1"/>
  <c r="AF2439" i="1"/>
  <c r="AF2909" i="1"/>
  <c r="AF2895" i="1"/>
  <c r="AF3052" i="1"/>
  <c r="AF2886" i="1"/>
  <c r="AF2365" i="1"/>
  <c r="AF3003" i="1"/>
  <c r="AF3028" i="1"/>
  <c r="AF3034" i="1"/>
  <c r="AF3009" i="1"/>
  <c r="AF3065" i="1"/>
  <c r="AF3045" i="1"/>
  <c r="AF3019" i="1"/>
  <c r="AF3025" i="1"/>
  <c r="AF3054" i="1"/>
  <c r="AF2436" i="1"/>
  <c r="AF2911" i="1"/>
  <c r="AF2940" i="1"/>
  <c r="AF2353" i="1"/>
  <c r="AF3016" i="1"/>
  <c r="AF2937" i="1"/>
  <c r="AF2559" i="1"/>
  <c r="AF3004" i="1"/>
  <c r="AF3031" i="1"/>
  <c r="AF2992" i="1"/>
  <c r="AF3107" i="1"/>
  <c r="AF2797" i="1"/>
  <c r="AF3039" i="1"/>
  <c r="AF2560" i="1"/>
  <c r="AF2891" i="1"/>
  <c r="AF3017" i="1"/>
  <c r="AF2889" i="1"/>
  <c r="AF2919" i="1"/>
  <c r="AF3012" i="1"/>
  <c r="AF2820" i="1"/>
  <c r="AF2996" i="1"/>
  <c r="AF3023" i="1"/>
  <c r="AF2910" i="1"/>
  <c r="AF2930" i="1"/>
  <c r="AF3043" i="1"/>
  <c r="AF3057" i="1"/>
  <c r="AF2938" i="1"/>
  <c r="AF2773" i="1"/>
  <c r="AF2703" i="1"/>
  <c r="AF3033" i="1"/>
  <c r="AF2929" i="1"/>
  <c r="AF3040" i="1"/>
  <c r="AF2993" i="1"/>
  <c r="AF3032" i="1"/>
  <c r="AF3047" i="1"/>
  <c r="AF3002" i="1"/>
  <c r="AF3011" i="1"/>
  <c r="AF3051" i="1"/>
  <c r="AF3098" i="1"/>
  <c r="AF2294" i="1"/>
  <c r="BN78" i="1" s="1"/>
  <c r="AF3005" i="1"/>
  <c r="AF3008" i="1"/>
  <c r="AF2928" i="1"/>
  <c r="AF3014" i="1"/>
  <c r="AF3026" i="1"/>
  <c r="AF2991" i="1"/>
  <c r="AF2437" i="1"/>
  <c r="AF2704" i="1"/>
  <c r="AF2994" i="1"/>
  <c r="AF2907" i="1"/>
  <c r="AF3029" i="1"/>
  <c r="AF3105" i="1"/>
  <c r="AF3007" i="1"/>
  <c r="AF3037" i="1"/>
  <c r="AF2995" i="1"/>
  <c r="AF2295" i="1"/>
  <c r="AF2997" i="1"/>
  <c r="AF2794" i="1"/>
  <c r="AF2375" i="1"/>
  <c r="AF2795" i="1"/>
  <c r="AF2796" i="1"/>
  <c r="AF3027" i="1"/>
  <c r="AF2901" i="1"/>
  <c r="AF2793" i="1"/>
  <c r="AF3102" i="1"/>
  <c r="AF3104" i="1"/>
  <c r="AF2597" i="1"/>
  <c r="AF3015" i="1"/>
  <c r="AF2754" i="1"/>
  <c r="AF2884" i="1"/>
  <c r="AF2596" i="1"/>
  <c r="AF2887" i="1"/>
  <c r="O6918" i="1"/>
  <c r="P6918" i="1"/>
  <c r="U6918" i="1"/>
  <c r="P6919" i="1"/>
  <c r="U6919" i="1"/>
  <c r="P6920" i="1"/>
  <c r="U6920" i="1"/>
  <c r="A2935" i="1"/>
  <c r="B2935" i="1" s="1"/>
  <c r="A2934" i="1"/>
  <c r="B2934" i="1" s="1"/>
  <c r="A2933" i="1"/>
  <c r="B2933" i="1" s="1"/>
  <c r="A2930" i="1"/>
  <c r="A2932" i="1"/>
  <c r="A2931" i="1"/>
  <c r="A2929" i="1"/>
  <c r="B2929" i="1" s="1"/>
  <c r="A2928" i="1"/>
  <c r="A2927" i="1"/>
  <c r="B2927" i="1" s="1"/>
  <c r="A2926" i="1"/>
  <c r="B2926" i="1" s="1"/>
  <c r="A2925" i="1"/>
  <c r="B2925" i="1" s="1"/>
  <c r="A2924" i="1"/>
  <c r="P2924" i="1" s="1"/>
  <c r="A2923" i="1"/>
  <c r="B2923" i="1" s="1"/>
  <c r="A2922" i="1"/>
  <c r="B2922" i="1" s="1"/>
  <c r="A2918" i="1"/>
  <c r="A2917" i="1"/>
  <c r="P2917" i="1" s="1"/>
  <c r="A2919" i="1"/>
  <c r="B2919" i="1" s="1"/>
  <c r="A2921" i="1"/>
  <c r="A2920" i="1"/>
  <c r="A2912" i="1"/>
  <c r="B2912" i="1" s="1"/>
  <c r="A2916" i="1"/>
  <c r="A2915" i="1"/>
  <c r="A2914" i="1"/>
  <c r="A2913" i="1"/>
  <c r="P2913" i="1" s="1"/>
  <c r="A2911" i="1"/>
  <c r="B2911" i="1" s="1"/>
  <c r="A2910" i="1"/>
  <c r="B2910" i="1" s="1"/>
  <c r="A2906" i="1"/>
  <c r="A2907" i="1"/>
  <c r="P2907" i="1" s="1"/>
  <c r="A2908" i="1"/>
  <c r="B2908" i="1" s="1"/>
  <c r="A2909" i="1"/>
  <c r="A2905" i="1"/>
  <c r="B2905" i="1" s="1"/>
  <c r="A2902" i="1"/>
  <c r="P2902" i="1" s="1"/>
  <c r="A2904" i="1"/>
  <c r="A2903" i="1"/>
  <c r="A2901" i="1"/>
  <c r="B2901" i="1" s="1"/>
  <c r="A2900" i="1"/>
  <c r="B2900" i="1" s="1"/>
  <c r="A2899" i="1"/>
  <c r="B2899" i="1" s="1"/>
  <c r="A2898" i="1"/>
  <c r="B2898" i="1" s="1"/>
  <c r="A2897" i="1"/>
  <c r="B2897" i="1" s="1"/>
  <c r="A2895" i="1"/>
  <c r="A2896" i="1"/>
  <c r="A2894" i="1"/>
  <c r="B2894" i="1" s="1"/>
  <c r="A2892" i="1"/>
  <c r="A2893" i="1"/>
  <c r="P2893" i="1" s="1"/>
  <c r="A2891" i="1"/>
  <c r="B2891" i="1" s="1"/>
  <c r="A2890" i="1"/>
  <c r="B2890" i="1" s="1"/>
  <c r="A2889" i="1"/>
  <c r="B2889" i="1" s="1"/>
  <c r="A2888" i="1"/>
  <c r="P2888" i="1" s="1"/>
  <c r="A2882" i="1"/>
  <c r="P2882" i="1" s="1"/>
  <c r="A2884" i="1"/>
  <c r="A2885" i="1"/>
  <c r="B2885" i="1" s="1"/>
  <c r="A2887" i="1"/>
  <c r="A2886" i="1"/>
  <c r="A2883" i="1"/>
  <c r="A2881" i="1"/>
  <c r="B2881" i="1" s="1"/>
  <c r="A2880" i="1"/>
  <c r="A2879" i="1"/>
  <c r="B2879" i="1" s="1"/>
  <c r="A2864" i="1"/>
  <c r="A2874" i="1"/>
  <c r="A2878" i="1"/>
  <c r="P2878" i="1" s="1"/>
  <c r="A2871" i="1"/>
  <c r="A2875" i="1"/>
  <c r="A2872" i="1"/>
  <c r="A2870" i="1"/>
  <c r="A2867" i="1"/>
  <c r="A2877" i="1"/>
  <c r="A2865" i="1"/>
  <c r="A2863" i="1"/>
  <c r="A2873" i="1"/>
  <c r="A2868" i="1"/>
  <c r="A2876" i="1"/>
  <c r="B2876" i="1" s="1"/>
  <c r="A2869" i="1"/>
  <c r="A2866" i="1"/>
  <c r="A2856" i="1"/>
  <c r="A2862" i="1"/>
  <c r="A2857" i="1"/>
  <c r="P2857" i="1" s="1"/>
  <c r="A2855" i="1"/>
  <c r="A2861" i="1"/>
  <c r="A2854" i="1"/>
  <c r="A2860" i="1"/>
  <c r="P2860" i="1" s="1"/>
  <c r="A2859" i="1"/>
  <c r="A2858" i="1"/>
  <c r="A2853" i="1"/>
  <c r="P2853" i="1" s="1"/>
  <c r="A2852" i="1"/>
  <c r="B2852" i="1" s="1"/>
  <c r="A2851" i="1"/>
  <c r="A2850" i="1"/>
  <c r="A2848" i="1"/>
  <c r="B2848" i="1" s="1"/>
  <c r="A2847" i="1"/>
  <c r="P2847" i="1" s="1"/>
  <c r="A2846" i="1"/>
  <c r="A2849" i="1"/>
  <c r="A2845" i="1"/>
  <c r="B2845" i="1" s="1"/>
  <c r="A2843" i="1"/>
  <c r="P2843" i="1" s="1"/>
  <c r="A2844" i="1"/>
  <c r="B2844" i="1" s="1"/>
  <c r="A2842" i="1"/>
  <c r="A2837" i="1"/>
  <c r="A2838" i="1"/>
  <c r="A2836" i="1"/>
  <c r="A2835" i="1"/>
  <c r="P2835" i="1" s="1"/>
  <c r="A2841" i="1"/>
  <c r="A2840" i="1"/>
  <c r="A2839" i="1"/>
  <c r="P2839" i="1" s="1"/>
  <c r="A2834" i="1"/>
  <c r="A2832" i="1"/>
  <c r="A2833" i="1"/>
  <c r="P2833" i="1" s="1"/>
  <c r="A2831" i="1"/>
  <c r="A2830" i="1"/>
  <c r="P2830" i="1" s="1"/>
  <c r="A2827" i="1"/>
  <c r="A2826" i="1"/>
  <c r="P2826" i="1" s="1"/>
  <c r="A2828" i="1"/>
  <c r="B2828" i="1" s="1"/>
  <c r="A2829" i="1"/>
  <c r="A2821" i="1"/>
  <c r="A2825" i="1"/>
  <c r="P2825" i="1" s="1"/>
  <c r="A2823" i="1"/>
  <c r="A2820" i="1"/>
  <c r="A2824" i="1"/>
  <c r="B2824" i="1" s="1"/>
  <c r="A2822" i="1"/>
  <c r="A2819" i="1"/>
  <c r="B2819" i="1" s="1"/>
  <c r="A2815" i="1"/>
  <c r="A2814" i="1"/>
  <c r="A2816" i="1"/>
  <c r="A2817" i="1"/>
  <c r="A2818" i="1"/>
  <c r="A2813" i="1"/>
  <c r="A2811" i="1"/>
  <c r="A2812" i="1"/>
  <c r="B2812" i="1" s="1"/>
  <c r="A2810" i="1"/>
  <c r="A2809" i="1"/>
  <c r="A2806" i="1"/>
  <c r="A2805" i="1"/>
  <c r="A2804" i="1"/>
  <c r="A2807" i="1"/>
  <c r="A2808" i="1"/>
  <c r="P2808" i="1" s="1"/>
  <c r="A2803" i="1"/>
  <c r="A2802" i="1"/>
  <c r="B2802" i="1" s="1"/>
  <c r="A2798" i="1"/>
  <c r="A2801" i="1"/>
  <c r="P2801" i="1" s="1"/>
  <c r="A2800" i="1"/>
  <c r="A2799" i="1"/>
  <c r="A2797" i="1"/>
  <c r="A2796" i="1"/>
  <c r="A2795" i="1"/>
  <c r="A2793" i="1"/>
  <c r="A2792" i="1"/>
  <c r="A2794" i="1"/>
  <c r="A2790" i="1"/>
  <c r="A2791" i="1"/>
  <c r="A2789" i="1"/>
  <c r="A2788" i="1"/>
  <c r="A2786" i="1"/>
  <c r="A2787" i="1"/>
  <c r="A2785" i="1"/>
  <c r="A2781" i="1"/>
  <c r="A2782" i="1"/>
  <c r="A2783" i="1"/>
  <c r="A2784" i="1"/>
  <c r="A2780" i="1"/>
  <c r="A2779" i="1"/>
  <c r="A2778" i="1"/>
  <c r="P2778" i="1" s="1"/>
  <c r="A2766" i="1"/>
  <c r="A2769" i="1"/>
  <c r="A2773" i="1"/>
  <c r="A2768" i="1"/>
  <c r="P2768" i="1" s="1"/>
  <c r="A2774" i="1"/>
  <c r="A2776" i="1"/>
  <c r="A2767" i="1"/>
  <c r="P2767" i="1" s="1"/>
  <c r="A2770" i="1"/>
  <c r="P2770" i="1" s="1"/>
  <c r="A2777" i="1"/>
  <c r="A2772" i="1"/>
  <c r="A2771" i="1"/>
  <c r="P2771" i="1" s="1"/>
  <c r="A2775" i="1"/>
  <c r="A2765" i="1"/>
  <c r="A2763" i="1"/>
  <c r="A2762" i="1"/>
  <c r="A2764" i="1"/>
  <c r="A2761" i="1"/>
  <c r="A2759" i="1"/>
  <c r="A2760" i="1"/>
  <c r="A2758" i="1"/>
  <c r="A2757" i="1"/>
  <c r="A2756" i="1"/>
  <c r="A2754" i="1"/>
  <c r="B2754" i="1" s="1"/>
  <c r="A2755" i="1"/>
  <c r="A2753" i="1"/>
  <c r="A2749" i="1"/>
  <c r="A2748" i="1"/>
  <c r="A2752" i="1"/>
  <c r="A2751" i="1"/>
  <c r="A2750" i="1"/>
  <c r="P2750" i="1" s="1"/>
  <c r="A2746" i="1"/>
  <c r="A2747" i="1"/>
  <c r="A2745" i="1"/>
  <c r="A2738" i="1"/>
  <c r="B2738" i="1" s="1"/>
  <c r="A2741" i="1"/>
  <c r="A2743" i="1"/>
  <c r="P2743" i="1" s="1"/>
  <c r="A2737" i="1"/>
  <c r="A2740" i="1"/>
  <c r="A2742" i="1"/>
  <c r="A2739" i="1"/>
  <c r="A2744" i="1"/>
  <c r="P2744" i="1" s="1"/>
  <c r="A2736" i="1"/>
  <c r="A2734" i="1"/>
  <c r="B2734" i="1" s="1"/>
  <c r="A2735" i="1"/>
  <c r="P2735" i="1" s="1"/>
  <c r="A2733" i="1"/>
  <c r="A2731" i="1"/>
  <c r="A2732" i="1"/>
  <c r="A2730" i="1"/>
  <c r="A2729" i="1"/>
  <c r="A2724" i="1"/>
  <c r="A2727" i="1"/>
  <c r="A2725" i="1"/>
  <c r="P2725" i="1" s="1"/>
  <c r="A2728" i="1"/>
  <c r="A2726" i="1"/>
  <c r="A2723" i="1"/>
  <c r="A2713" i="1"/>
  <c r="A2721" i="1"/>
  <c r="A2718" i="1"/>
  <c r="A2715" i="1"/>
  <c r="A2720" i="1"/>
  <c r="P2720" i="1" s="1"/>
  <c r="A2722" i="1"/>
  <c r="B2722" i="1" s="1"/>
  <c r="A2719" i="1"/>
  <c r="A2714" i="1"/>
  <c r="A2717" i="1"/>
  <c r="P2717" i="1" s="1"/>
  <c r="A2716" i="1"/>
  <c r="A2712" i="1"/>
  <c r="A2711" i="1"/>
  <c r="A2709" i="1"/>
  <c r="A2707" i="1"/>
  <c r="A2708" i="1"/>
  <c r="A2710" i="1"/>
  <c r="A2706" i="1"/>
  <c r="B2706" i="1" s="1"/>
  <c r="A2705" i="1"/>
  <c r="A2703" i="1"/>
  <c r="A2704" i="1"/>
  <c r="A2701" i="1"/>
  <c r="A2702" i="1"/>
  <c r="B2702" i="1" s="1"/>
  <c r="A2700" i="1"/>
  <c r="A2699" i="1"/>
  <c r="A2698" i="1"/>
  <c r="A2697" i="1"/>
  <c r="P2697" i="1" s="1"/>
  <c r="A2695" i="1"/>
  <c r="A2696" i="1"/>
  <c r="A2694" i="1"/>
  <c r="B2694" i="1" s="1"/>
  <c r="A2692" i="1"/>
  <c r="A2693" i="1"/>
  <c r="A2691" i="1"/>
  <c r="A2690" i="1"/>
  <c r="B2690" i="1" s="1"/>
  <c r="A2689" i="1"/>
  <c r="A2688" i="1"/>
  <c r="A2687" i="1"/>
  <c r="A2685" i="1"/>
  <c r="A2684" i="1"/>
  <c r="A2686" i="1"/>
  <c r="A2683" i="1"/>
  <c r="A2682" i="1"/>
  <c r="A2680" i="1"/>
  <c r="A2679" i="1"/>
  <c r="A2681" i="1"/>
  <c r="A2678" i="1"/>
  <c r="A2677" i="1"/>
  <c r="A2675" i="1"/>
  <c r="A2674" i="1"/>
  <c r="B2674" i="1" s="1"/>
  <c r="A2671" i="1"/>
  <c r="A2676" i="1"/>
  <c r="A2672" i="1"/>
  <c r="A2673" i="1"/>
  <c r="A2670" i="1"/>
  <c r="B2670" i="1" s="1"/>
  <c r="A2667" i="1"/>
  <c r="A2666" i="1"/>
  <c r="A2668" i="1"/>
  <c r="A2669" i="1"/>
  <c r="A2665" i="1"/>
  <c r="A2661" i="1"/>
  <c r="A2663" i="1"/>
  <c r="A2664" i="1"/>
  <c r="A2662" i="1"/>
  <c r="B2662" i="1" s="1"/>
  <c r="A2660" i="1"/>
  <c r="A2659" i="1"/>
  <c r="A2658" i="1"/>
  <c r="B2658" i="1" s="1"/>
  <c r="A2657" i="1"/>
  <c r="T7052" i="1" l="1"/>
  <c r="T7065" i="1"/>
  <c r="T6927" i="1"/>
  <c r="T7214" i="1"/>
  <c r="T7236" i="1"/>
  <c r="T7066" i="1"/>
  <c r="T7526" i="1"/>
  <c r="S7525" i="1"/>
  <c r="T7525" i="1" s="1"/>
  <c r="S7536" i="1"/>
  <c r="T7536" i="1" s="1"/>
  <c r="T7537" i="1"/>
  <c r="T7297" i="1"/>
  <c r="S7296" i="1"/>
  <c r="T7439" i="1"/>
  <c r="S7438" i="1"/>
  <c r="T7438" i="1" s="1"/>
  <c r="S7457" i="1"/>
  <c r="T7457" i="1" s="1"/>
  <c r="T7458" i="1"/>
  <c r="O7543" i="1"/>
  <c r="R7542" i="1"/>
  <c r="S7542" i="1"/>
  <c r="T7542" i="1" s="1"/>
  <c r="S7301" i="1"/>
  <c r="R7301" i="1"/>
  <c r="S7504" i="1"/>
  <c r="T7504" i="1" s="1"/>
  <c r="T7505" i="1"/>
  <c r="T7371" i="1"/>
  <c r="S7370" i="1"/>
  <c r="T7460" i="1"/>
  <c r="S7459" i="1"/>
  <c r="T7459" i="1" s="1"/>
  <c r="S7448" i="1"/>
  <c r="T7448" i="1" s="1"/>
  <c r="R7448" i="1"/>
  <c r="O7321" i="1"/>
  <c r="S7320" i="1"/>
  <c r="R7320" i="1"/>
  <c r="S7346" i="1"/>
  <c r="T7346" i="1" s="1"/>
  <c r="T7347" i="1"/>
  <c r="S7436" i="1"/>
  <c r="T7436" i="1" s="1"/>
  <c r="T7437" i="1"/>
  <c r="T7471" i="1"/>
  <c r="S7470" i="1"/>
  <c r="T7470" i="1" s="1"/>
  <c r="R7554" i="1"/>
  <c r="S7554" i="1"/>
  <c r="T7554" i="1" s="1"/>
  <c r="S7324" i="1"/>
  <c r="T7325" i="1"/>
  <c r="T7307" i="1"/>
  <c r="S7306" i="1"/>
  <c r="S7342" i="1"/>
  <c r="R7342" i="1"/>
  <c r="S7561" i="1"/>
  <c r="T7561" i="1" s="1"/>
  <c r="T7562" i="1"/>
  <c r="S7484" i="1"/>
  <c r="T7484" i="1" s="1"/>
  <c r="T7485" i="1"/>
  <c r="O7539" i="1"/>
  <c r="R7538" i="1"/>
  <c r="S7538" i="1"/>
  <c r="T7538" i="1" s="1"/>
  <c r="S7298" i="1"/>
  <c r="T7298" i="1" s="1"/>
  <c r="R7298" i="1"/>
  <c r="T7279" i="1"/>
  <c r="S7278" i="1"/>
  <c r="T7278" i="1" s="1"/>
  <c r="R7388" i="1"/>
  <c r="S7388" i="1"/>
  <c r="S7316" i="1"/>
  <c r="T7317" i="1"/>
  <c r="S7544" i="1"/>
  <c r="T7544" i="1" s="1"/>
  <c r="T7545" i="1"/>
  <c r="T7427" i="1"/>
  <c r="S7426" i="1"/>
  <c r="T7426" i="1" s="1"/>
  <c r="S7401" i="1"/>
  <c r="T7401" i="1" s="1"/>
  <c r="T7402" i="1"/>
  <c r="R7336" i="1"/>
  <c r="S7336" i="1"/>
  <c r="S7472" i="1"/>
  <c r="T7472" i="1" s="1"/>
  <c r="T7473" i="1"/>
  <c r="S7424" i="1"/>
  <c r="T7424" i="1" s="1"/>
  <c r="T7425" i="1"/>
  <c r="T7511" i="1"/>
  <c r="S7510" i="1"/>
  <c r="T7510" i="1" s="1"/>
  <c r="S7559" i="1"/>
  <c r="T7559" i="1" s="1"/>
  <c r="T7560" i="1"/>
  <c r="T7464" i="1"/>
  <c r="S7463" i="1"/>
  <c r="T7463" i="1" s="1"/>
  <c r="S7391" i="1"/>
  <c r="R7391" i="1"/>
  <c r="S7527" i="1"/>
  <c r="T7527" i="1" s="1"/>
  <c r="T7528" i="1"/>
  <c r="T7487" i="1"/>
  <c r="S7486" i="1"/>
  <c r="T7486" i="1" s="1"/>
  <c r="T7509" i="1"/>
  <c r="S7508" i="1"/>
  <c r="T7508" i="1" s="1"/>
  <c r="R7377" i="1"/>
  <c r="S7377" i="1"/>
  <c r="O7329" i="1"/>
  <c r="R7328" i="1"/>
  <c r="S7328" i="1"/>
  <c r="S7465" i="1"/>
  <c r="T7465" i="1" s="1"/>
  <c r="T7466" i="1"/>
  <c r="S7288" i="1"/>
  <c r="T7289" i="1"/>
  <c r="T7281" i="1"/>
  <c r="S7280" i="1"/>
  <c r="T7280" i="1" s="1"/>
  <c r="S7520" i="1"/>
  <c r="T7520" i="1" s="1"/>
  <c r="T7521" i="1"/>
  <c r="S7351" i="1"/>
  <c r="T7352" i="1"/>
  <c r="S7488" i="1"/>
  <c r="T7488" i="1" s="1"/>
  <c r="T7489" i="1"/>
  <c r="S7332" i="1"/>
  <c r="T7333" i="1"/>
  <c r="S7449" i="1"/>
  <c r="T7449" i="1" s="1"/>
  <c r="T7450" i="1"/>
  <c r="S7512" i="1"/>
  <c r="T7512" i="1" s="1"/>
  <c r="T7513" i="1"/>
  <c r="S7409" i="1"/>
  <c r="T7409" i="1" s="1"/>
  <c r="T7410" i="1"/>
  <c r="T7339" i="1"/>
  <c r="S7338" i="1"/>
  <c r="T7286" i="1"/>
  <c r="S7285" i="1"/>
  <c r="T7285" i="1" s="1"/>
  <c r="T7423" i="1"/>
  <c r="S7422" i="1"/>
  <c r="T7422" i="1" s="1"/>
  <c r="S7294" i="1"/>
  <c r="R7294" i="1"/>
  <c r="T7363" i="1"/>
  <c r="S7362" i="1"/>
  <c r="O7354" i="1"/>
  <c r="R7353" i="1"/>
  <c r="S7353" i="1"/>
  <c r="T7353" i="1" s="1"/>
  <c r="S7496" i="1"/>
  <c r="T7496" i="1" s="1"/>
  <c r="T7497" i="1"/>
  <c r="T7534" i="1"/>
  <c r="S7533" i="1"/>
  <c r="T7533" i="1" s="1"/>
  <c r="S7359" i="1"/>
  <c r="T7360" i="1"/>
  <c r="T7414" i="1"/>
  <c r="S7413" i="1"/>
  <c r="T7413" i="1" s="1"/>
  <c r="O7314" i="1"/>
  <c r="S7313" i="1"/>
  <c r="R7313" i="1"/>
  <c r="T7199" i="1"/>
  <c r="S7120" i="1"/>
  <c r="T7120" i="1" s="1"/>
  <c r="S7173" i="1"/>
  <c r="T7173" i="1" s="1"/>
  <c r="T7408" i="1"/>
  <c r="S7407" i="1"/>
  <c r="T7407" i="1" s="1"/>
  <c r="O7291" i="1"/>
  <c r="R7290" i="1"/>
  <c r="S7290" i="1"/>
  <c r="T7290" i="1" s="1"/>
  <c r="S7282" i="1"/>
  <c r="T7282" i="1" s="1"/>
  <c r="R7282" i="1"/>
  <c r="T7304" i="1"/>
  <c r="S7303" i="1"/>
  <c r="T7284" i="1"/>
  <c r="S7283" i="1"/>
  <c r="T7283" i="1" s="1"/>
  <c r="S7393" i="1"/>
  <c r="T7394" i="1"/>
  <c r="S7378" i="1"/>
  <c r="T7378" i="1" s="1"/>
  <c r="T7379" i="1"/>
  <c r="S7374" i="1"/>
  <c r="R7374" i="1"/>
  <c r="T7541" i="1"/>
  <c r="S7540" i="1"/>
  <c r="T7540" i="1" s="1"/>
  <c r="R7357" i="1"/>
  <c r="S7357" i="1"/>
  <c r="R7415" i="1"/>
  <c r="S7415" i="1"/>
  <c r="T7415" i="1" s="1"/>
  <c r="S7367" i="1"/>
  <c r="T7368" i="1"/>
  <c r="T7462" i="1"/>
  <c r="S7461" i="1"/>
  <c r="T7461" i="1" s="1"/>
  <c r="T7456" i="1"/>
  <c r="S7455" i="1"/>
  <c r="T7455" i="1" s="1"/>
  <c r="T7556" i="1"/>
  <c r="S7555" i="1"/>
  <c r="T7555" i="1" s="1"/>
  <c r="S7416" i="1"/>
  <c r="T7416" i="1" s="1"/>
  <c r="T7417" i="1"/>
  <c r="T7447" i="1"/>
  <c r="S7446" i="1"/>
  <c r="T7446" i="1" s="1"/>
  <c r="T7383" i="1"/>
  <c r="S7382" i="1"/>
  <c r="T7551" i="1"/>
  <c r="S7550" i="1"/>
  <c r="T7550" i="1" s="1"/>
  <c r="R7345" i="1"/>
  <c r="S7345" i="1"/>
  <c r="S7440" i="1"/>
  <c r="T7440" i="1" s="1"/>
  <c r="T7441" i="1"/>
  <c r="R7310" i="1"/>
  <c r="S7310" i="1"/>
  <c r="S7529" i="1"/>
  <c r="T7529" i="1" s="1"/>
  <c r="T7530" i="1"/>
  <c r="S7535" i="1"/>
  <c r="T7535" i="1" s="1"/>
  <c r="R7535" i="1"/>
  <c r="S7552" i="1"/>
  <c r="T7552" i="1" s="1"/>
  <c r="T7553" i="1"/>
  <c r="T7503" i="1"/>
  <c r="S7502" i="1"/>
  <c r="T7502" i="1" s="1"/>
  <c r="R7569" i="1"/>
  <c r="S7569" i="1"/>
  <c r="T7041" i="1"/>
  <c r="T6989" i="1"/>
  <c r="T7264" i="1"/>
  <c r="T7096" i="1"/>
  <c r="T7064" i="1"/>
  <c r="T7070" i="1"/>
  <c r="T7243" i="1"/>
  <c r="AP1231" i="1"/>
  <c r="AP1199" i="1"/>
  <c r="AP1247" i="1"/>
  <c r="AP1248" i="1"/>
  <c r="AP1207" i="1"/>
  <c r="AP1232" i="1"/>
  <c r="AP1216" i="1"/>
  <c r="AP1215" i="1"/>
  <c r="AP1224" i="1"/>
  <c r="T7208" i="1"/>
  <c r="AP1206" i="1"/>
  <c r="AP1204" i="1"/>
  <c r="AP1198" i="1"/>
  <c r="AP1228" i="1"/>
  <c r="AP1239" i="1"/>
  <c r="AP1211" i="1"/>
  <c r="AP1250" i="1"/>
  <c r="AP1225" i="1"/>
  <c r="AP1218" i="1"/>
  <c r="AP1242" i="1"/>
  <c r="AP1223" i="1"/>
  <c r="AP1229" i="1"/>
  <c r="AP1243" i="1"/>
  <c r="AP1205" i="1"/>
  <c r="T7197" i="1"/>
  <c r="T7006" i="1"/>
  <c r="T7116" i="1"/>
  <c r="T7175" i="1"/>
  <c r="T6975" i="1"/>
  <c r="T6994" i="1"/>
  <c r="T7026" i="1"/>
  <c r="T7261" i="1"/>
  <c r="T7159" i="1"/>
  <c r="T7249" i="1"/>
  <c r="T7090" i="1"/>
  <c r="T7205" i="1"/>
  <c r="T7267" i="1"/>
  <c r="BM78" i="1"/>
  <c r="T7133" i="1"/>
  <c r="S7265" i="1"/>
  <c r="T7265" i="1" s="1"/>
  <c r="R7265" i="1"/>
  <c r="T7166" i="1"/>
  <c r="S7081" i="1"/>
  <c r="R7081" i="1"/>
  <c r="T7057" i="1"/>
  <c r="S6990" i="1"/>
  <c r="T6990" i="1" s="1"/>
  <c r="R6990" i="1"/>
  <c r="S7274" i="1"/>
  <c r="T7274" i="1" s="1"/>
  <c r="R7274" i="1"/>
  <c r="S7162" i="1"/>
  <c r="T7162" i="1" s="1"/>
  <c r="R7162" i="1"/>
  <c r="S7008" i="1"/>
  <c r="T7008" i="1" s="1"/>
  <c r="T7009" i="1"/>
  <c r="S6922" i="1"/>
  <c r="T6922" i="1" s="1"/>
  <c r="T6923" i="1"/>
  <c r="S7007" i="1"/>
  <c r="T7007" i="1" s="1"/>
  <c r="R7007" i="1"/>
  <c r="T7273" i="1"/>
  <c r="S7237" i="1"/>
  <c r="T7237" i="1" s="1"/>
  <c r="R7237" i="1"/>
  <c r="S7170" i="1"/>
  <c r="T7170" i="1" s="1"/>
  <c r="R7170" i="1"/>
  <c r="T6929" i="1"/>
  <c r="S7200" i="1"/>
  <c r="T7200" i="1" s="1"/>
  <c r="R7200" i="1"/>
  <c r="S7062" i="1"/>
  <c r="T7062" i="1" s="1"/>
  <c r="T7063" i="1"/>
  <c r="S6939" i="1"/>
  <c r="T6939" i="1" s="1"/>
  <c r="R6939" i="1"/>
  <c r="T6981" i="1"/>
  <c r="S7097" i="1"/>
  <c r="T7097" i="1" s="1"/>
  <c r="R7097" i="1"/>
  <c r="S6995" i="1"/>
  <c r="T6995" i="1" s="1"/>
  <c r="R6995" i="1"/>
  <c r="S6973" i="1"/>
  <c r="T6973" i="1" s="1"/>
  <c r="R6973" i="1"/>
  <c r="T7111" i="1"/>
  <c r="S7094" i="1"/>
  <c r="T7094" i="1" s="1"/>
  <c r="R7094" i="1"/>
  <c r="S7030" i="1"/>
  <c r="T7030" i="1" s="1"/>
  <c r="R7030" i="1"/>
  <c r="T7203" i="1"/>
  <c r="S7102" i="1"/>
  <c r="T7102" i="1" s="1"/>
  <c r="T7103" i="1"/>
  <c r="S7186" i="1"/>
  <c r="T7186" i="1" s="1"/>
  <c r="R7186" i="1"/>
  <c r="T7077" i="1"/>
  <c r="S6982" i="1"/>
  <c r="T6982" i="1" s="1"/>
  <c r="R6982" i="1"/>
  <c r="S7067" i="1"/>
  <c r="T7067" i="1" s="1"/>
  <c r="R7067" i="1"/>
  <c r="S7250" i="1"/>
  <c r="T7250" i="1" s="1"/>
  <c r="R7250" i="1"/>
  <c r="S7244" i="1"/>
  <c r="T7244" i="1" s="1"/>
  <c r="R7244" i="1"/>
  <c r="T7226" i="1"/>
  <c r="T7185" i="1"/>
  <c r="S7168" i="1"/>
  <c r="T7168" i="1" s="1"/>
  <c r="T7169" i="1"/>
  <c r="S7058" i="1"/>
  <c r="T7058" i="1" s="1"/>
  <c r="R7058" i="1"/>
  <c r="S7107" i="1"/>
  <c r="T7107" i="1" s="1"/>
  <c r="R7107" i="1"/>
  <c r="S7206" i="1"/>
  <c r="T7206" i="1" s="1"/>
  <c r="R7206" i="1"/>
  <c r="S7043" i="1"/>
  <c r="T7043" i="1" s="1"/>
  <c r="R7043" i="1"/>
  <c r="S7117" i="1"/>
  <c r="T7117" i="1" s="1"/>
  <c r="R7117" i="1"/>
  <c r="S7046" i="1"/>
  <c r="T7046" i="1" s="1"/>
  <c r="R7046" i="1"/>
  <c r="S7042" i="1"/>
  <c r="T7042" i="1" s="1"/>
  <c r="R7042" i="1"/>
  <c r="S7210" i="1"/>
  <c r="T7210" i="1" s="1"/>
  <c r="T7211" i="1"/>
  <c r="S7167" i="1"/>
  <c r="T7167" i="1" s="1"/>
  <c r="S7118" i="1"/>
  <c r="T7118" i="1" s="1"/>
  <c r="T7119" i="1"/>
  <c r="S7136" i="1"/>
  <c r="T7136" i="1" s="1"/>
  <c r="T7137" i="1"/>
  <c r="S7000" i="1"/>
  <c r="S6999" i="1" s="1"/>
  <c r="S6998" i="1" s="1"/>
  <c r="T7080" i="1"/>
  <c r="S7014" i="1"/>
  <c r="T7014" i="1" s="1"/>
  <c r="T7015" i="1"/>
  <c r="S6983" i="1"/>
  <c r="T6983" i="1" s="1"/>
  <c r="T6984" i="1"/>
  <c r="S7163" i="1"/>
  <c r="T7163" i="1" s="1"/>
  <c r="T7164" i="1"/>
  <c r="S6985" i="1"/>
  <c r="T6985" i="1" s="1"/>
  <c r="O6986" i="1"/>
  <c r="R6986" i="1" s="1"/>
  <c r="S7016" i="1"/>
  <c r="T7016" i="1" s="1"/>
  <c r="S6932" i="1"/>
  <c r="T6932" i="1" s="1"/>
  <c r="T6933" i="1"/>
  <c r="S7262" i="1"/>
  <c r="T7262" i="1" s="1"/>
  <c r="S7257" i="1"/>
  <c r="S7256" i="1" s="1"/>
  <c r="S7255" i="1" s="1"/>
  <c r="T7255" i="1" s="1"/>
  <c r="S7078" i="1"/>
  <c r="T7078" i="1" s="1"/>
  <c r="T7029" i="1"/>
  <c r="T7161" i="1"/>
  <c r="S7171" i="1"/>
  <c r="T7171" i="1" s="1"/>
  <c r="T7172" i="1"/>
  <c r="T7005" i="1"/>
  <c r="T7028" i="1"/>
  <c r="T7106" i="1"/>
  <c r="S7209" i="1"/>
  <c r="T7209" i="1" s="1"/>
  <c r="S7268" i="1"/>
  <c r="T7268" i="1" s="1"/>
  <c r="T7269" i="1"/>
  <c r="T7045" i="1"/>
  <c r="O7142" i="1"/>
  <c r="R7142" i="1" s="1"/>
  <c r="O7187" i="1"/>
  <c r="O7201" i="1"/>
  <c r="O7001" i="1"/>
  <c r="O7020" i="1"/>
  <c r="O7182" i="1"/>
  <c r="R7182" i="1" s="1"/>
  <c r="R7181" i="1" s="1"/>
  <c r="R7180" i="1" s="1"/>
  <c r="R7179" i="1" s="1"/>
  <c r="R7178" i="1" s="1"/>
  <c r="O7258" i="1"/>
  <c r="O7124" i="1"/>
  <c r="R7124" i="1" s="1"/>
  <c r="R7123" i="1" s="1"/>
  <c r="R7122" i="1" s="1"/>
  <c r="R7121" i="1" s="1"/>
  <c r="O7086" i="1"/>
  <c r="R7086" i="1" s="1"/>
  <c r="R7085" i="1" s="1"/>
  <c r="R7084" i="1" s="1"/>
  <c r="R7083" i="1" s="1"/>
  <c r="R7082" i="1" s="1"/>
  <c r="T7081" i="1"/>
  <c r="O7098" i="1"/>
  <c r="O7151" i="1"/>
  <c r="R7151" i="1" s="1"/>
  <c r="R7150" i="1" s="1"/>
  <c r="R7149" i="1" s="1"/>
  <c r="R7148" i="1" s="1"/>
  <c r="R7147" i="1" s="1"/>
  <c r="O6991" i="1"/>
  <c r="O6996" i="1"/>
  <c r="O7068" i="1"/>
  <c r="O6940" i="1"/>
  <c r="O7251" i="1"/>
  <c r="O2788" i="1"/>
  <c r="O2789" i="1" s="1"/>
  <c r="U2788" i="1"/>
  <c r="P2788" i="1"/>
  <c r="B2796" i="1"/>
  <c r="Q2796" i="1"/>
  <c r="Q2795" i="1" s="1"/>
  <c r="U2796" i="1"/>
  <c r="P2796" i="1"/>
  <c r="O2797" i="1"/>
  <c r="P2797" i="1"/>
  <c r="U2797" i="1"/>
  <c r="P2791" i="1"/>
  <c r="U2791" i="1"/>
  <c r="Q2791" i="1"/>
  <c r="U2799" i="1"/>
  <c r="P2799" i="1"/>
  <c r="P2790" i="1"/>
  <c r="O2790" i="1"/>
  <c r="U2790" i="1"/>
  <c r="U2800" i="1"/>
  <c r="P2800" i="1"/>
  <c r="U2794" i="1"/>
  <c r="P2794" i="1"/>
  <c r="P2785" i="1"/>
  <c r="Q2785" i="1"/>
  <c r="U2785" i="1"/>
  <c r="B2792" i="1"/>
  <c r="U2792" i="1"/>
  <c r="P2792" i="1"/>
  <c r="B2789" i="1"/>
  <c r="Q2789" i="1"/>
  <c r="P2789" i="1"/>
  <c r="U2789" i="1"/>
  <c r="U2787" i="1"/>
  <c r="P2787" i="1"/>
  <c r="Q2787" i="1"/>
  <c r="P2793" i="1"/>
  <c r="U2793" i="1"/>
  <c r="O2786" i="1"/>
  <c r="O2787" i="1" s="1"/>
  <c r="P2786" i="1"/>
  <c r="U2786" i="1"/>
  <c r="B2795" i="1"/>
  <c r="P2795" i="1"/>
  <c r="U2795" i="1"/>
  <c r="B2861" i="1"/>
  <c r="B2915" i="1"/>
  <c r="B2931" i="1"/>
  <c r="B2893" i="1"/>
  <c r="U2906" i="1"/>
  <c r="U2895" i="1"/>
  <c r="U2757" i="1"/>
  <c r="B2847" i="1"/>
  <c r="B2906" i="1"/>
  <c r="U2766" i="1"/>
  <c r="B2867" i="1"/>
  <c r="B2875" i="1"/>
  <c r="U2762" i="1"/>
  <c r="B2822" i="1"/>
  <c r="B2914" i="1"/>
  <c r="P2910" i="1"/>
  <c r="R6918" i="1"/>
  <c r="Q2778" i="1"/>
  <c r="U2821" i="1"/>
  <c r="U2869" i="1"/>
  <c r="U2870" i="1"/>
  <c r="B2918" i="1"/>
  <c r="U2813" i="1"/>
  <c r="B2751" i="1"/>
  <c r="Q2842" i="1"/>
  <c r="B2854" i="1"/>
  <c r="B2892" i="1"/>
  <c r="U2840" i="1"/>
  <c r="U2912" i="1"/>
  <c r="B2932" i="1"/>
  <c r="U2880" i="1"/>
  <c r="U2739" i="1"/>
  <c r="B2782" i="1"/>
  <c r="U2851" i="1"/>
  <c r="B2888" i="1"/>
  <c r="B2903" i="1"/>
  <c r="B2917" i="1"/>
  <c r="P2880" i="1"/>
  <c r="B2882" i="1"/>
  <c r="B2766" i="1"/>
  <c r="B2775" i="1"/>
  <c r="U2726" i="1"/>
  <c r="B2839" i="1"/>
  <c r="B2860" i="1"/>
  <c r="B2868" i="1"/>
  <c r="U2913" i="1"/>
  <c r="B2869" i="1"/>
  <c r="U2763" i="1"/>
  <c r="B2770" i="1"/>
  <c r="B2855" i="1"/>
  <c r="B2870" i="1"/>
  <c r="P2929" i="1"/>
  <c r="U2711" i="1"/>
  <c r="U2718" i="1"/>
  <c r="B2726" i="1"/>
  <c r="U2740" i="1"/>
  <c r="B2788" i="1"/>
  <c r="B2798" i="1"/>
  <c r="U2834" i="1"/>
  <c r="U2842" i="1"/>
  <c r="B2862" i="1"/>
  <c r="B2877" i="1"/>
  <c r="U2887" i="1"/>
  <c r="P2926" i="1"/>
  <c r="U2878" i="1"/>
  <c r="U2830" i="1"/>
  <c r="B2783" i="1"/>
  <c r="B2883" i="1"/>
  <c r="U2839" i="1"/>
  <c r="B2849" i="1"/>
  <c r="B2856" i="1"/>
  <c r="B2863" i="1"/>
  <c r="B2871" i="1"/>
  <c r="B2878" i="1"/>
  <c r="B2907" i="1"/>
  <c r="B2913" i="1"/>
  <c r="B2920" i="1"/>
  <c r="O2928" i="1"/>
  <c r="O2929" i="1" s="1"/>
  <c r="U2933" i="1"/>
  <c r="U2923" i="1"/>
  <c r="P2909" i="1"/>
  <c r="B2808" i="1"/>
  <c r="B2857" i="1"/>
  <c r="B2872" i="1"/>
  <c r="B2886" i="1"/>
  <c r="B2921" i="1"/>
  <c r="U2932" i="1"/>
  <c r="U2921" i="1"/>
  <c r="U2863" i="1"/>
  <c r="P2806" i="1"/>
  <c r="P2748" i="1"/>
  <c r="U2926" i="1"/>
  <c r="U2758" i="1"/>
  <c r="B2771" i="1"/>
  <c r="B2786" i="1"/>
  <c r="U2816" i="1"/>
  <c r="B2858" i="1"/>
  <c r="B2865" i="1"/>
  <c r="B2873" i="1"/>
  <c r="B2887" i="1"/>
  <c r="B2930" i="1"/>
  <c r="U2931" i="1"/>
  <c r="P2901" i="1"/>
  <c r="P2856" i="1"/>
  <c r="B2758" i="1"/>
  <c r="Q2780" i="1"/>
  <c r="U2810" i="1"/>
  <c r="B2816" i="1"/>
  <c r="B2859" i="1"/>
  <c r="B2866" i="1"/>
  <c r="B2874" i="1"/>
  <c r="B2880" i="1"/>
  <c r="B2902" i="1"/>
  <c r="B2909" i="1"/>
  <c r="P2931" i="1"/>
  <c r="P2912" i="1"/>
  <c r="P2898" i="1"/>
  <c r="P2848" i="1"/>
  <c r="U2725" i="1"/>
  <c r="U2837" i="1"/>
  <c r="B2895" i="1"/>
  <c r="U2892" i="1"/>
  <c r="P2849" i="1"/>
  <c r="U2783" i="1"/>
  <c r="P2658" i="1"/>
  <c r="U2658" i="1"/>
  <c r="B2664" i="1"/>
  <c r="P2661" i="1"/>
  <c r="U2661" i="1"/>
  <c r="B2677" i="1"/>
  <c r="P2677" i="1"/>
  <c r="U2677" i="1"/>
  <c r="B2683" i="1"/>
  <c r="P2683" i="1"/>
  <c r="Q2683" i="1"/>
  <c r="Q2682" i="1" s="1"/>
  <c r="U2683" i="1"/>
  <c r="P2690" i="1"/>
  <c r="U2690" i="1"/>
  <c r="B2696" i="1"/>
  <c r="P2695" i="1"/>
  <c r="U2695" i="1"/>
  <c r="B2709" i="1"/>
  <c r="P2707" i="1"/>
  <c r="B2715" i="1"/>
  <c r="P2714" i="1"/>
  <c r="U2714" i="1"/>
  <c r="U2713" i="1"/>
  <c r="P2713" i="1"/>
  <c r="B2728" i="1"/>
  <c r="U2724" i="1"/>
  <c r="P2724" i="1"/>
  <c r="B2741" i="1"/>
  <c r="P2737" i="1"/>
  <c r="U2737" i="1"/>
  <c r="B2747" i="1"/>
  <c r="U2746" i="1"/>
  <c r="O2746" i="1"/>
  <c r="O2747" i="1" s="1"/>
  <c r="U2755" i="1"/>
  <c r="B2760" i="1"/>
  <c r="U2759" i="1"/>
  <c r="B2773" i="1"/>
  <c r="P2774" i="1"/>
  <c r="B2779" i="1"/>
  <c r="P2779" i="1"/>
  <c r="B2799" i="1"/>
  <c r="B2805" i="1"/>
  <c r="U2807" i="1"/>
  <c r="P2811" i="1"/>
  <c r="U2811" i="1"/>
  <c r="B2818" i="1"/>
  <c r="U2815" i="1"/>
  <c r="B2831" i="1"/>
  <c r="U2831" i="1"/>
  <c r="B2837" i="1"/>
  <c r="P2841" i="1"/>
  <c r="U2841" i="1"/>
  <c r="B2850" i="1"/>
  <c r="U2850" i="1"/>
  <c r="O2934" i="1"/>
  <c r="O2935" i="1" s="1"/>
  <c r="U2928" i="1"/>
  <c r="U2909" i="1"/>
  <c r="Q2901" i="1"/>
  <c r="Q2900" i="1" s="1"/>
  <c r="Q2898" i="1"/>
  <c r="Q2897" i="1" s="1"/>
  <c r="P2894" i="1"/>
  <c r="U2890" i="1"/>
  <c r="P2887" i="1"/>
  <c r="U2881" i="1"/>
  <c r="Q2880" i="1"/>
  <c r="Q2879" i="1" s="1"/>
  <c r="P2874" i="1"/>
  <c r="P2872" i="1"/>
  <c r="P2865" i="1"/>
  <c r="P2876" i="1"/>
  <c r="P2855" i="1"/>
  <c r="O2831" i="1"/>
  <c r="Q2819" i="1"/>
  <c r="U2806" i="1"/>
  <c r="P2802" i="1"/>
  <c r="P2782" i="1"/>
  <c r="U2778" i="1"/>
  <c r="U2748" i="1"/>
  <c r="U2717" i="1"/>
  <c r="P2678" i="1"/>
  <c r="Q2678" i="1"/>
  <c r="Q2677" i="1" s="1"/>
  <c r="U2678" i="1"/>
  <c r="P2709" i="1"/>
  <c r="U2709" i="1"/>
  <c r="B2825" i="1"/>
  <c r="P2821" i="1"/>
  <c r="P2669" i="1"/>
  <c r="U2669" i="1"/>
  <c r="B2672" i="1"/>
  <c r="P2672" i="1"/>
  <c r="U2672" i="1"/>
  <c r="B2678" i="1"/>
  <c r="B2685" i="1"/>
  <c r="P2684" i="1"/>
  <c r="U2684" i="1"/>
  <c r="B2691" i="1"/>
  <c r="P2691" i="1"/>
  <c r="Q2691" i="1"/>
  <c r="Q2690" i="1" s="1"/>
  <c r="Q2689" i="1" s="1"/>
  <c r="U2691" i="1"/>
  <c r="U2698" i="1"/>
  <c r="O2698" i="1"/>
  <c r="O2699" i="1" s="1"/>
  <c r="O2700" i="1" s="1"/>
  <c r="P2698" i="1"/>
  <c r="B2704" i="1"/>
  <c r="U2703" i="1"/>
  <c r="B2710" i="1"/>
  <c r="B2717" i="1"/>
  <c r="P2722" i="1"/>
  <c r="U2722" i="1"/>
  <c r="B2723" i="1"/>
  <c r="P2723" i="1"/>
  <c r="Q2723" i="1"/>
  <c r="O2730" i="1"/>
  <c r="P2730" i="1"/>
  <c r="U2730" i="1"/>
  <c r="B2736" i="1"/>
  <c r="Q2736" i="1"/>
  <c r="U2736" i="1"/>
  <c r="B2742" i="1"/>
  <c r="B2749" i="1"/>
  <c r="P2751" i="1"/>
  <c r="B2755" i="1"/>
  <c r="U2754" i="1"/>
  <c r="P2754" i="1"/>
  <c r="P2764" i="1"/>
  <c r="U2764" i="1"/>
  <c r="B2768" i="1"/>
  <c r="B2774" i="1"/>
  <c r="B2781" i="1"/>
  <c r="P2784" i="1"/>
  <c r="U2784" i="1"/>
  <c r="B2794" i="1"/>
  <c r="B2800" i="1"/>
  <c r="B2807" i="1"/>
  <c r="U2805" i="1"/>
  <c r="B2813" i="1"/>
  <c r="Q2813" i="1"/>
  <c r="P2822" i="1"/>
  <c r="U2822" i="1"/>
  <c r="B2826" i="1"/>
  <c r="P2829" i="1"/>
  <c r="U2829" i="1"/>
  <c r="B2832" i="1"/>
  <c r="B2864" i="1"/>
  <c r="B2896" i="1"/>
  <c r="B2928" i="1"/>
  <c r="Q2933" i="1"/>
  <c r="O2926" i="1"/>
  <c r="O2927" i="1" s="1"/>
  <c r="P2923" i="1"/>
  <c r="U2917" i="1"/>
  <c r="P2921" i="1"/>
  <c r="U2916" i="1"/>
  <c r="U2911" i="1"/>
  <c r="P2906" i="1"/>
  <c r="P2904" i="1"/>
  <c r="U2900" i="1"/>
  <c r="U2897" i="1"/>
  <c r="P2895" i="1"/>
  <c r="P2892" i="1"/>
  <c r="P2889" i="1"/>
  <c r="U2884" i="1"/>
  <c r="U2886" i="1"/>
  <c r="U2879" i="1"/>
  <c r="P2870" i="1"/>
  <c r="P2863" i="1"/>
  <c r="P2869" i="1"/>
  <c r="U2862" i="1"/>
  <c r="P2861" i="1"/>
  <c r="P2859" i="1"/>
  <c r="P2852" i="1"/>
  <c r="U2847" i="1"/>
  <c r="U2825" i="1"/>
  <c r="P2815" i="1"/>
  <c r="P2813" i="1"/>
  <c r="P2805" i="1"/>
  <c r="U2801" i="1"/>
  <c r="P2783" i="1"/>
  <c r="U2751" i="1"/>
  <c r="B2729" i="1"/>
  <c r="P2729" i="1"/>
  <c r="Q2729" i="1"/>
  <c r="B2761" i="1"/>
  <c r="P2761" i="1"/>
  <c r="U2798" i="1"/>
  <c r="B2659" i="1"/>
  <c r="P2659" i="1"/>
  <c r="U2659" i="1"/>
  <c r="B2660" i="1"/>
  <c r="P2660" i="1"/>
  <c r="Q2660" i="1"/>
  <c r="Q2659" i="1" s="1"/>
  <c r="Q2658" i="1" s="1"/>
  <c r="U2660" i="1"/>
  <c r="B2666" i="1"/>
  <c r="B2673" i="1"/>
  <c r="P2676" i="1"/>
  <c r="U2676" i="1"/>
  <c r="B2679" i="1"/>
  <c r="P2681" i="1"/>
  <c r="U2681" i="1"/>
  <c r="P2685" i="1"/>
  <c r="U2685" i="1"/>
  <c r="B2692" i="1"/>
  <c r="U2693" i="1"/>
  <c r="P2693" i="1"/>
  <c r="B2698" i="1"/>
  <c r="B2705" i="1"/>
  <c r="U2705" i="1"/>
  <c r="O2705" i="1"/>
  <c r="O2706" i="1" s="1"/>
  <c r="B2711" i="1"/>
  <c r="P2711" i="1"/>
  <c r="B2724" i="1"/>
  <c r="P2726" i="1"/>
  <c r="B2730" i="1"/>
  <c r="B2737" i="1"/>
  <c r="U2744" i="1"/>
  <c r="B2743" i="1"/>
  <c r="P2741" i="1"/>
  <c r="U2741" i="1"/>
  <c r="P2752" i="1"/>
  <c r="U2752" i="1"/>
  <c r="B2756" i="1"/>
  <c r="U2756" i="1"/>
  <c r="B2762" i="1"/>
  <c r="B2769" i="1"/>
  <c r="P2777" i="1"/>
  <c r="U2777" i="1"/>
  <c r="B2787" i="1"/>
  <c r="B2790" i="1"/>
  <c r="B2801" i="1"/>
  <c r="P2798" i="1"/>
  <c r="B2814" i="1"/>
  <c r="U2818" i="1"/>
  <c r="B2820" i="1"/>
  <c r="B2827" i="1"/>
  <c r="P2828" i="1"/>
  <c r="B2833" i="1"/>
  <c r="U2832" i="1"/>
  <c r="U2838" i="1"/>
  <c r="B2846" i="1"/>
  <c r="U2849" i="1"/>
  <c r="B2884" i="1"/>
  <c r="B2916" i="1"/>
  <c r="U2935" i="1"/>
  <c r="P2933" i="1"/>
  <c r="U2929" i="1"/>
  <c r="P2928" i="1"/>
  <c r="U2925" i="1"/>
  <c r="O2923" i="1"/>
  <c r="P2916" i="1"/>
  <c r="U2907" i="1"/>
  <c r="U2905" i="1"/>
  <c r="U2903" i="1"/>
  <c r="P2900" i="1"/>
  <c r="U2896" i="1"/>
  <c r="U2893" i="1"/>
  <c r="Q2890" i="1"/>
  <c r="O2889" i="1"/>
  <c r="O2890" i="1" s="1"/>
  <c r="P2886" i="1"/>
  <c r="U2871" i="1"/>
  <c r="U2867" i="1"/>
  <c r="U2873" i="1"/>
  <c r="U2866" i="1"/>
  <c r="U2854" i="1"/>
  <c r="U2846" i="1"/>
  <c r="U2845" i="1"/>
  <c r="P2838" i="1"/>
  <c r="U2826" i="1"/>
  <c r="U2820" i="1"/>
  <c r="P2816" i="1"/>
  <c r="P2812" i="1"/>
  <c r="U2780" i="1"/>
  <c r="U2773" i="1"/>
  <c r="U2772" i="1"/>
  <c r="P2756" i="1"/>
  <c r="P2736" i="1"/>
  <c r="U2723" i="1"/>
  <c r="U2707" i="1"/>
  <c r="B2671" i="1"/>
  <c r="P2673" i="1"/>
  <c r="U2673" i="1"/>
  <c r="B2716" i="1"/>
  <c r="P2719" i="1"/>
  <c r="B2851" i="1"/>
  <c r="O2851" i="1"/>
  <c r="B2661" i="1"/>
  <c r="P2662" i="1"/>
  <c r="U2662" i="1"/>
  <c r="B2667" i="1"/>
  <c r="P2668" i="1"/>
  <c r="U2668" i="1"/>
  <c r="P2671" i="1"/>
  <c r="U2671" i="1"/>
  <c r="B2680" i="1"/>
  <c r="P2679" i="1"/>
  <c r="U2679" i="1"/>
  <c r="B2686" i="1"/>
  <c r="B2693" i="1"/>
  <c r="P2692" i="1"/>
  <c r="U2692" i="1"/>
  <c r="B2699" i="1"/>
  <c r="P2699" i="1"/>
  <c r="U2699" i="1"/>
  <c r="P2706" i="1"/>
  <c r="Q2706" i="1"/>
  <c r="B2712" i="1"/>
  <c r="P2712" i="1"/>
  <c r="Q2712" i="1"/>
  <c r="Q2711" i="1" s="1"/>
  <c r="U2712" i="1"/>
  <c r="B2718" i="1"/>
  <c r="B2725" i="1"/>
  <c r="P2728" i="1"/>
  <c r="U2728" i="1"/>
  <c r="B2731" i="1"/>
  <c r="P2732" i="1"/>
  <c r="U2732" i="1"/>
  <c r="P2739" i="1"/>
  <c r="B2744" i="1"/>
  <c r="P2738" i="1"/>
  <c r="B2750" i="1"/>
  <c r="B2757" i="1"/>
  <c r="P2757" i="1"/>
  <c r="Q2757" i="1"/>
  <c r="Q2756" i="1" s="1"/>
  <c r="B2763" i="1"/>
  <c r="P2762" i="1"/>
  <c r="U2770" i="1"/>
  <c r="B2776" i="1"/>
  <c r="P2769" i="1"/>
  <c r="U2769" i="1"/>
  <c r="B2815" i="1"/>
  <c r="B2821" i="1"/>
  <c r="P2824" i="1"/>
  <c r="B2834" i="1"/>
  <c r="P2834" i="1"/>
  <c r="Q2834" i="1"/>
  <c r="B2840" i="1"/>
  <c r="B2853" i="1"/>
  <c r="U2853" i="1"/>
  <c r="B2904" i="1"/>
  <c r="U2930" i="1"/>
  <c r="Q2925" i="1"/>
  <c r="Q2924" i="1" s="1"/>
  <c r="U2922" i="1"/>
  <c r="U2920" i="1"/>
  <c r="U2915" i="1"/>
  <c r="P2911" i="1"/>
  <c r="Q2905" i="1"/>
  <c r="U2899" i="1"/>
  <c r="P2896" i="1"/>
  <c r="P2890" i="1"/>
  <c r="U2888" i="1"/>
  <c r="P2884" i="1"/>
  <c r="Q2881" i="1"/>
  <c r="P2879" i="1"/>
  <c r="P2871" i="1"/>
  <c r="P2867" i="1"/>
  <c r="P2873" i="1"/>
  <c r="P2862" i="1"/>
  <c r="P2854" i="1"/>
  <c r="U2858" i="1"/>
  <c r="P2851" i="1"/>
  <c r="Q2845" i="1"/>
  <c r="U2836" i="1"/>
  <c r="P2832" i="1"/>
  <c r="P2820" i="1"/>
  <c r="U2817" i="1"/>
  <c r="P2807" i="1"/>
  <c r="P2773" i="1"/>
  <c r="P2772" i="1"/>
  <c r="U2761" i="1"/>
  <c r="P2746" i="1"/>
  <c r="B2665" i="1"/>
  <c r="P2665" i="1"/>
  <c r="Q2665" i="1"/>
  <c r="U2665" i="1"/>
  <c r="B2703" i="1"/>
  <c r="P2704" i="1"/>
  <c r="U2704" i="1"/>
  <c r="B2735" i="1"/>
  <c r="P2734" i="1"/>
  <c r="U2734" i="1"/>
  <c r="U2852" i="1"/>
  <c r="P2819" i="1"/>
  <c r="P2664" i="1"/>
  <c r="U2664" i="1"/>
  <c r="B2668" i="1"/>
  <c r="U2666" i="1"/>
  <c r="P2666" i="1"/>
  <c r="B2681" i="1"/>
  <c r="P2680" i="1"/>
  <c r="U2680" i="1"/>
  <c r="B2687" i="1"/>
  <c r="P2687" i="1"/>
  <c r="Q2687" i="1"/>
  <c r="U2687" i="1"/>
  <c r="P2694" i="1"/>
  <c r="Q2694" i="1"/>
  <c r="U2694" i="1"/>
  <c r="B2700" i="1"/>
  <c r="P2700" i="1"/>
  <c r="Q2700" i="1"/>
  <c r="Q2699" i="1" s="1"/>
  <c r="U2700" i="1"/>
  <c r="B2713" i="1"/>
  <c r="P2716" i="1"/>
  <c r="U2716" i="1"/>
  <c r="B2719" i="1"/>
  <c r="P2715" i="1"/>
  <c r="U2715" i="1"/>
  <c r="B2732" i="1"/>
  <c r="U2731" i="1"/>
  <c r="B2745" i="1"/>
  <c r="P2745" i="1"/>
  <c r="Q2745" i="1"/>
  <c r="U2745" i="1"/>
  <c r="O2758" i="1"/>
  <c r="P2758" i="1"/>
  <c r="B2764" i="1"/>
  <c r="P2763" i="1"/>
  <c r="B2777" i="1"/>
  <c r="P2766" i="1"/>
  <c r="B2791" i="1"/>
  <c r="B2803" i="1"/>
  <c r="P2803" i="1"/>
  <c r="Q2803" i="1"/>
  <c r="Q2802" i="1" s="1"/>
  <c r="U2803" i="1"/>
  <c r="B2809" i="1"/>
  <c r="Q2809" i="1"/>
  <c r="U2809" i="1"/>
  <c r="B2835" i="1"/>
  <c r="B2841" i="1"/>
  <c r="P2837" i="1"/>
  <c r="B2924" i="1"/>
  <c r="P2935" i="1"/>
  <c r="P2930" i="1"/>
  <c r="Q2929" i="1"/>
  <c r="U2927" i="1"/>
  <c r="P2925" i="1"/>
  <c r="Q2922" i="1"/>
  <c r="U2919" i="1"/>
  <c r="P2920" i="1"/>
  <c r="P2915" i="1"/>
  <c r="O2911" i="1"/>
  <c r="U2908" i="1"/>
  <c r="P2905" i="1"/>
  <c r="P2903" i="1"/>
  <c r="P2899" i="1"/>
  <c r="P2897" i="1"/>
  <c r="U2891" i="1"/>
  <c r="Q2888" i="1"/>
  <c r="U2885" i="1"/>
  <c r="U2883" i="1"/>
  <c r="P2881" i="1"/>
  <c r="U2864" i="1"/>
  <c r="U2875" i="1"/>
  <c r="U2877" i="1"/>
  <c r="U2868" i="1"/>
  <c r="P2866" i="1"/>
  <c r="U2857" i="1"/>
  <c r="U2860" i="1"/>
  <c r="P2858" i="1"/>
  <c r="Q2850" i="1"/>
  <c r="P2845" i="1"/>
  <c r="P2836" i="1"/>
  <c r="U2833" i="1"/>
  <c r="U2828" i="1"/>
  <c r="U2824" i="1"/>
  <c r="U2808" i="1"/>
  <c r="U2768" i="1"/>
  <c r="Q2761" i="1"/>
  <c r="P2731" i="1"/>
  <c r="U2706" i="1"/>
  <c r="B2684" i="1"/>
  <c r="P2686" i="1"/>
  <c r="U2686" i="1"/>
  <c r="B2767" i="1"/>
  <c r="U2771" i="1"/>
  <c r="B2793" i="1"/>
  <c r="P2918" i="1"/>
  <c r="U2904" i="1"/>
  <c r="U2861" i="1"/>
  <c r="B2669" i="1"/>
  <c r="P2667" i="1"/>
  <c r="U2667" i="1"/>
  <c r="B2675" i="1"/>
  <c r="P2674" i="1"/>
  <c r="U2674" i="1"/>
  <c r="P2682" i="1"/>
  <c r="U2682" i="1"/>
  <c r="B2688" i="1"/>
  <c r="O2688" i="1"/>
  <c r="O2689" i="1" s="1"/>
  <c r="P2688" i="1"/>
  <c r="U2688" i="1"/>
  <c r="B2701" i="1"/>
  <c r="P2702" i="1"/>
  <c r="U2702" i="1"/>
  <c r="B2707" i="1"/>
  <c r="P2710" i="1"/>
  <c r="U2710" i="1"/>
  <c r="B2720" i="1"/>
  <c r="P2718" i="1"/>
  <c r="B2733" i="1"/>
  <c r="P2733" i="1"/>
  <c r="U2733" i="1"/>
  <c r="B2739" i="1"/>
  <c r="P2742" i="1"/>
  <c r="U2742" i="1"/>
  <c r="P2747" i="1"/>
  <c r="U2747" i="1"/>
  <c r="B2752" i="1"/>
  <c r="P2749" i="1"/>
  <c r="U2749" i="1"/>
  <c r="B2765" i="1"/>
  <c r="P2765" i="1"/>
  <c r="Q2765" i="1"/>
  <c r="B2784" i="1"/>
  <c r="P2781" i="1"/>
  <c r="U2781" i="1"/>
  <c r="B2797" i="1"/>
  <c r="B2810" i="1"/>
  <c r="O2810" i="1"/>
  <c r="B2823" i="1"/>
  <c r="P2823" i="1"/>
  <c r="U2823" i="1"/>
  <c r="B2829" i="1"/>
  <c r="P2827" i="1"/>
  <c r="U2827" i="1"/>
  <c r="B2842" i="1"/>
  <c r="P2842" i="1"/>
  <c r="U2934" i="1"/>
  <c r="Q2927" i="1"/>
  <c r="U2924" i="1"/>
  <c r="P2922" i="1"/>
  <c r="U2914" i="1"/>
  <c r="U2910" i="1"/>
  <c r="P2908" i="1"/>
  <c r="U2902" i="1"/>
  <c r="O2899" i="1"/>
  <c r="O2900" i="1" s="1"/>
  <c r="O2901" i="1" s="1"/>
  <c r="U2894" i="1"/>
  <c r="P2891" i="1"/>
  <c r="U2889" i="1"/>
  <c r="P2885" i="1"/>
  <c r="P2883" i="1"/>
  <c r="O2881" i="1"/>
  <c r="P2864" i="1"/>
  <c r="P2875" i="1"/>
  <c r="P2877" i="1"/>
  <c r="P2868" i="1"/>
  <c r="P2850" i="1"/>
  <c r="U2843" i="1"/>
  <c r="P2817" i="1"/>
  <c r="P2810" i="1"/>
  <c r="U2779" i="1"/>
  <c r="U2774" i="1"/>
  <c r="P2759" i="1"/>
  <c r="P2755" i="1"/>
  <c r="U2738" i="1"/>
  <c r="U2720" i="1"/>
  <c r="P2705" i="1"/>
  <c r="B2697" i="1"/>
  <c r="Q2697" i="1"/>
  <c r="U2697" i="1"/>
  <c r="B2748" i="1"/>
  <c r="U2750" i="1"/>
  <c r="B2780" i="1"/>
  <c r="P2780" i="1"/>
  <c r="B2806" i="1"/>
  <c r="P2804" i="1"/>
  <c r="U2804" i="1"/>
  <c r="B2838" i="1"/>
  <c r="U2835" i="1"/>
  <c r="B2657" i="1"/>
  <c r="P2657" i="1"/>
  <c r="Q6920" i="1"/>
  <c r="Q6919" i="1" s="1"/>
  <c r="Q6918" i="1" s="1"/>
  <c r="B2663" i="1"/>
  <c r="P2663" i="1"/>
  <c r="U2663" i="1"/>
  <c r="Q2670" i="1"/>
  <c r="U2670" i="1"/>
  <c r="P2670" i="1"/>
  <c r="B2676" i="1"/>
  <c r="P2675" i="1"/>
  <c r="U2675" i="1"/>
  <c r="B2682" i="1"/>
  <c r="B2689" i="1"/>
  <c r="P2689" i="1"/>
  <c r="U2689" i="1"/>
  <c r="B2695" i="1"/>
  <c r="P2696" i="1"/>
  <c r="U2696" i="1"/>
  <c r="P2701" i="1"/>
  <c r="U2701" i="1"/>
  <c r="B2708" i="1"/>
  <c r="P2708" i="1"/>
  <c r="U2708" i="1"/>
  <c r="B2714" i="1"/>
  <c r="B2721" i="1"/>
  <c r="P2721" i="1"/>
  <c r="U2721" i="1"/>
  <c r="B2727" i="1"/>
  <c r="P2727" i="1"/>
  <c r="U2727" i="1"/>
  <c r="U2735" i="1"/>
  <c r="B2740" i="1"/>
  <c r="P2740" i="1"/>
  <c r="B2746" i="1"/>
  <c r="B2753" i="1"/>
  <c r="U2753" i="1"/>
  <c r="P2753" i="1"/>
  <c r="B2759" i="1"/>
  <c r="P2760" i="1"/>
  <c r="U2760" i="1"/>
  <c r="P2775" i="1"/>
  <c r="U2775" i="1"/>
  <c r="B2772" i="1"/>
  <c r="P2776" i="1"/>
  <c r="U2776" i="1"/>
  <c r="B2778" i="1"/>
  <c r="B2785" i="1"/>
  <c r="B2804" i="1"/>
  <c r="B2811" i="1"/>
  <c r="U2812" i="1"/>
  <c r="B2817" i="1"/>
  <c r="P2814" i="1"/>
  <c r="U2814" i="1"/>
  <c r="B2830" i="1"/>
  <c r="Q2830" i="1"/>
  <c r="B2836" i="1"/>
  <c r="B2843" i="1"/>
  <c r="P2844" i="1"/>
  <c r="U2844" i="1"/>
  <c r="P2934" i="1"/>
  <c r="P2932" i="1"/>
  <c r="P2927" i="1"/>
  <c r="U2918" i="1"/>
  <c r="P2919" i="1"/>
  <c r="P2914" i="1"/>
  <c r="Q2910" i="1"/>
  <c r="U2901" i="1"/>
  <c r="U2898" i="1"/>
  <c r="Q2894" i="1"/>
  <c r="O2891" i="1"/>
  <c r="U2882" i="1"/>
  <c r="U2874" i="1"/>
  <c r="U2872" i="1"/>
  <c r="U2865" i="1"/>
  <c r="U2876" i="1"/>
  <c r="U2856" i="1"/>
  <c r="U2855" i="1"/>
  <c r="U2859" i="1"/>
  <c r="Q2853" i="1"/>
  <c r="Q2852" i="1" s="1"/>
  <c r="U2848" i="1"/>
  <c r="P2846" i="1"/>
  <c r="P2840" i="1"/>
  <c r="P2831" i="1"/>
  <c r="U2819" i="1"/>
  <c r="P2818" i="1"/>
  <c r="P2809" i="1"/>
  <c r="U2802" i="1"/>
  <c r="U2782" i="1"/>
  <c r="O2779" i="1"/>
  <c r="U2767" i="1"/>
  <c r="U2765" i="1"/>
  <c r="Q2753" i="1"/>
  <c r="U2743" i="1"/>
  <c r="U2729" i="1"/>
  <c r="U2719" i="1"/>
  <c r="P2703" i="1"/>
  <c r="O6919"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916" i="1"/>
  <c r="AE893" i="1"/>
  <c r="AE951" i="1"/>
  <c r="AE896" i="1"/>
  <c r="AE926" i="1"/>
  <c r="AE914" i="1"/>
  <c r="AE913" i="1"/>
  <c r="AE954" i="1"/>
  <c r="AE946" i="1"/>
  <c r="AE891" i="1"/>
  <c r="AE952" i="1"/>
  <c r="AE910" i="1"/>
  <c r="AE902" i="1"/>
  <c r="AE899" i="1"/>
  <c r="AE937" i="1"/>
  <c r="AE918" i="1"/>
  <c r="AE932" i="1"/>
  <c r="AE924" i="1"/>
  <c r="AE878" i="1"/>
  <c r="AE923" i="1"/>
  <c r="AE919" i="1"/>
  <c r="AE930" i="1"/>
  <c r="AE900" i="1"/>
  <c r="AE929" i="1"/>
  <c r="AE928" i="1"/>
  <c r="AE884" i="1"/>
  <c r="AE887" i="1"/>
  <c r="AE895" i="1"/>
  <c r="AE921" i="1"/>
  <c r="AE920" i="1"/>
  <c r="AE908" i="1"/>
  <c r="AE963" i="1"/>
  <c r="AE934" i="1"/>
  <c r="AE949" i="1"/>
  <c r="AE942" i="1"/>
  <c r="AE933" i="1"/>
  <c r="AE968" i="1"/>
  <c r="AE890" i="1"/>
  <c r="AE947" i="1"/>
  <c r="AE892" i="1"/>
  <c r="AE904" i="1"/>
  <c r="AE944" i="1"/>
  <c r="AE909" i="1"/>
  <c r="AE885" i="1"/>
  <c r="AE948" i="1"/>
  <c r="AE888" i="1"/>
  <c r="AE927" i="1"/>
  <c r="AE874" i="1"/>
  <c r="AE886" i="1"/>
  <c r="AE940" i="1"/>
  <c r="AE901" i="1"/>
  <c r="AE882" i="1"/>
  <c r="AE863" i="1"/>
  <c r="AE898" i="1"/>
  <c r="AE903" i="1"/>
  <c r="AE897" i="1"/>
  <c r="AE889" i="1"/>
  <c r="AE879" i="1"/>
  <c r="AE871" i="1"/>
  <c r="AE894" i="1"/>
  <c r="AE911" i="1"/>
  <c r="AE876" i="1"/>
  <c r="AE943" i="1"/>
  <c r="AE941" i="1"/>
  <c r="AE856" i="1"/>
  <c r="AE867" i="1"/>
  <c r="AE881" i="1"/>
  <c r="AE857" i="1"/>
  <c r="AE961" i="1"/>
  <c r="AE883" i="1"/>
  <c r="AE877" i="1"/>
  <c r="AE858" i="1"/>
  <c r="AE945" i="1"/>
  <c r="AE865" i="1"/>
  <c r="AE861" i="1"/>
  <c r="AE860" i="1"/>
  <c r="AE859" i="1"/>
  <c r="AE875" i="1"/>
  <c r="AE866" i="1"/>
  <c r="AE869" i="1"/>
  <c r="AE939" i="1"/>
  <c r="AE938" i="1"/>
  <c r="AE870" i="1"/>
  <c r="AE862" i="1"/>
  <c r="AE873" i="1"/>
  <c r="AE864" i="1"/>
  <c r="AE967" i="1"/>
  <c r="AE905" i="1"/>
  <c r="AE872" i="1"/>
  <c r="AE868" i="1"/>
  <c r="AE855" i="1"/>
  <c r="AE925" i="1"/>
  <c r="AE812" i="1"/>
  <c r="AE807" i="1"/>
  <c r="AE804" i="1"/>
  <c r="AE799" i="1"/>
  <c r="AE800" i="1"/>
  <c r="AE809" i="1"/>
  <c r="AE810" i="1"/>
  <c r="AE803" i="1"/>
  <c r="AE828" i="1"/>
  <c r="AE796" i="1"/>
  <c r="AE827" i="1"/>
  <c r="AE805" i="1"/>
  <c r="AE808" i="1"/>
  <c r="AE797" i="1"/>
  <c r="AE795" i="1"/>
  <c r="AE793" i="1"/>
  <c r="AE798" i="1"/>
  <c r="AE813" i="1"/>
  <c r="AE824" i="1"/>
  <c r="AE825" i="1"/>
  <c r="AE811" i="1"/>
  <c r="AE826" i="1"/>
  <c r="AE794" i="1"/>
  <c r="AE791" i="1"/>
  <c r="AE790" i="1"/>
  <c r="AE821" i="1"/>
  <c r="AE806" i="1"/>
  <c r="AE792" i="1"/>
  <c r="AE814" i="1"/>
  <c r="AE823" i="1"/>
  <c r="AE819" i="1"/>
  <c r="AE822" i="1"/>
  <c r="AE782" i="1"/>
  <c r="AE789" i="1"/>
  <c r="AE781" i="1"/>
  <c r="AE785" i="1"/>
  <c r="AE784" i="1"/>
  <c r="AE788" i="1"/>
  <c r="AE817" i="1"/>
  <c r="AE787" i="1"/>
  <c r="AE820" i="1"/>
  <c r="AE818" i="1"/>
  <c r="AE802" i="1"/>
  <c r="AE816" i="1"/>
  <c r="AE801" i="1"/>
  <c r="AE783" i="1"/>
  <c r="AE786" i="1"/>
  <c r="AE780" i="1"/>
  <c r="AE815" i="1"/>
  <c r="AE1059" i="1"/>
  <c r="AE1057" i="1"/>
  <c r="AE1058" i="1"/>
  <c r="AE1056" i="1"/>
  <c r="AE1054" i="1"/>
  <c r="AE1053" i="1"/>
  <c r="AE1055" i="1"/>
  <c r="AE1051" i="1"/>
  <c r="AE1050" i="1"/>
  <c r="AE1052" i="1"/>
  <c r="AE1045" i="1"/>
  <c r="AE1049" i="1"/>
  <c r="AE1048" i="1"/>
  <c r="AE1044" i="1"/>
  <c r="AE1047" i="1"/>
  <c r="AE1046" i="1"/>
  <c r="AE1042" i="1"/>
  <c r="AE1043" i="1"/>
  <c r="AE1041" i="1"/>
  <c r="AE1040" i="1"/>
  <c r="AE1039" i="1"/>
  <c r="AE1038" i="1"/>
  <c r="AE1037" i="1"/>
  <c r="AE1036" i="1"/>
  <c r="AE1035" i="1"/>
  <c r="AE1034" i="1"/>
  <c r="AE1033" i="1"/>
  <c r="AE1031" i="1"/>
  <c r="AE1032" i="1"/>
  <c r="AE1030" i="1"/>
  <c r="AE1029" i="1"/>
  <c r="AE1028" i="1"/>
  <c r="AE1027" i="1"/>
  <c r="AE1026" i="1"/>
  <c r="AE1025" i="1"/>
  <c r="AE1024" i="1"/>
  <c r="AE1022" i="1"/>
  <c r="AE1023" i="1"/>
  <c r="AE1021" i="1"/>
  <c r="AE1019" i="1"/>
  <c r="AE1020" i="1"/>
  <c r="AE1018" i="1"/>
  <c r="AE1017" i="1"/>
  <c r="AE1016" i="1"/>
  <c r="AE1015" i="1"/>
  <c r="AE1014" i="1"/>
  <c r="AE1013" i="1"/>
  <c r="AE1012" i="1"/>
  <c r="AE1011" i="1"/>
  <c r="AE1007" i="1"/>
  <c r="AE1010" i="1"/>
  <c r="AE1009" i="1"/>
  <c r="AE1008" i="1"/>
  <c r="AE1006" i="1"/>
  <c r="AE1004" i="1"/>
  <c r="AE1005" i="1"/>
  <c r="AE1003" i="1"/>
  <c r="AE1002" i="1"/>
  <c r="AE1001" i="1"/>
  <c r="AE1000" i="1"/>
  <c r="AE999" i="1"/>
  <c r="AE998" i="1"/>
  <c r="AE997" i="1"/>
  <c r="AE995" i="1"/>
  <c r="AE996" i="1"/>
  <c r="AE994" i="1"/>
  <c r="AE993" i="1"/>
  <c r="AE991" i="1"/>
  <c r="AE992" i="1"/>
  <c r="AE990" i="1"/>
  <c r="AE989" i="1"/>
  <c r="AE988" i="1"/>
  <c r="AE987" i="1"/>
  <c r="AE986" i="1"/>
  <c r="AE985" i="1"/>
  <c r="AE984" i="1"/>
  <c r="AE983" i="1"/>
  <c r="AE982" i="1"/>
  <c r="AE981" i="1"/>
  <c r="AE980" i="1"/>
  <c r="AE979" i="1"/>
  <c r="AE978" i="1"/>
  <c r="AE977" i="1"/>
  <c r="AE976" i="1"/>
  <c r="AE975" i="1"/>
  <c r="AE974" i="1"/>
  <c r="AE973" i="1"/>
  <c r="AE972" i="1"/>
  <c r="AE971" i="1"/>
  <c r="AE970" i="1"/>
  <c r="AE848" i="1"/>
  <c r="AE846" i="1"/>
  <c r="AE847" i="1"/>
  <c r="AE845" i="1"/>
  <c r="AE843" i="1"/>
  <c r="AE844" i="1"/>
  <c r="AE841" i="1"/>
  <c r="AE842" i="1"/>
  <c r="AE840" i="1"/>
  <c r="AE839" i="1"/>
  <c r="AE969" i="1"/>
  <c r="AE838" i="1"/>
  <c r="AE836" i="1"/>
  <c r="AE834" i="1"/>
  <c r="AE837" i="1"/>
  <c r="AE833" i="1"/>
  <c r="AE835" i="1"/>
  <c r="AE832" i="1"/>
  <c r="AE831" i="1"/>
  <c r="AE829" i="1"/>
  <c r="AE964" i="1"/>
  <c r="AE852" i="1"/>
  <c r="AE851" i="1"/>
  <c r="AE917" i="1"/>
  <c r="AE936" i="1"/>
  <c r="AE935" i="1"/>
  <c r="AE880" i="1"/>
  <c r="AE965" i="1"/>
  <c r="AE959" i="1"/>
  <c r="AE966" i="1"/>
  <c r="AE854" i="1"/>
  <c r="AE849" i="1"/>
  <c r="AE906" i="1"/>
  <c r="AE853" i="1"/>
  <c r="AE958" i="1"/>
  <c r="AE830" i="1"/>
  <c r="AE850" i="1"/>
  <c r="AE955" i="1"/>
  <c r="AE915" i="1"/>
  <c r="AE962" i="1"/>
  <c r="AE912" i="1"/>
  <c r="AE956" i="1"/>
  <c r="AE957" i="1"/>
  <c r="AE922" i="1"/>
  <c r="AE960" i="1"/>
  <c r="AE953" i="1"/>
  <c r="AE931" i="1"/>
  <c r="AE950" i="1"/>
  <c r="AE907"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86" i="1"/>
  <c r="AE1085" i="1"/>
  <c r="AE1084" i="1"/>
  <c r="AE1087" i="1"/>
  <c r="AE1088" i="1"/>
  <c r="AE1089" i="1"/>
  <c r="AE1090" i="1"/>
  <c r="AE1091" i="1"/>
  <c r="AE1092" i="1"/>
  <c r="AE1093" i="1"/>
  <c r="AE1094" i="1"/>
  <c r="AE1095" i="1"/>
  <c r="AE1096" i="1"/>
  <c r="AE1097" i="1"/>
  <c r="AE1098" i="1"/>
  <c r="AE1099" i="1"/>
  <c r="AE1100" i="1"/>
  <c r="AE1101" i="1"/>
  <c r="AE1102" i="1"/>
  <c r="Q27" i="1"/>
  <c r="Q29" i="1"/>
  <c r="Q34" i="1"/>
  <c r="Q33" i="1" s="1"/>
  <c r="Q32" i="1" s="1"/>
  <c r="Q31" i="1" s="1"/>
  <c r="Q36" i="1"/>
  <c r="Q38" i="1"/>
  <c r="Q41" i="1"/>
  <c r="Q40" i="1" s="1"/>
  <c r="Q46" i="1"/>
  <c r="Q45" i="1" s="1"/>
  <c r="Q44" i="1" s="1"/>
  <c r="Q43" i="1" s="1"/>
  <c r="Q49" i="1"/>
  <c r="Q48" i="1" s="1"/>
  <c r="Q52" i="1"/>
  <c r="Q51" i="1" s="1"/>
  <c r="Q54" i="1"/>
  <c r="Q59" i="1"/>
  <c r="Q58" i="1" s="1"/>
  <c r="Q57" i="1" s="1"/>
  <c r="Q56" i="1" s="1"/>
  <c r="Q70" i="1"/>
  <c r="Q69" i="1" s="1"/>
  <c r="Q68" i="1" s="1"/>
  <c r="Q67" i="1" s="1"/>
  <c r="Q66" i="1" s="1"/>
  <c r="Q65" i="1" s="1"/>
  <c r="Q64" i="1" s="1"/>
  <c r="Q63" i="1" s="1"/>
  <c r="Q62" i="1" s="1"/>
  <c r="Q61" i="1" s="1"/>
  <c r="Q72" i="1"/>
  <c r="Q74" i="1"/>
  <c r="Q81" i="1"/>
  <c r="Q80" i="1" s="1"/>
  <c r="Q79" i="1" s="1"/>
  <c r="Q78" i="1" s="1"/>
  <c r="Q77" i="1" s="1"/>
  <c r="Q76" i="1" s="1"/>
  <c r="Q89" i="1"/>
  <c r="Q88" i="1" s="1"/>
  <c r="Q87" i="1" s="1"/>
  <c r="Q86" i="1" s="1"/>
  <c r="Q85" i="1" s="1"/>
  <c r="Q84" i="1" s="1"/>
  <c r="Q83" i="1" s="1"/>
  <c r="Q91" i="1"/>
  <c r="Q93" i="1"/>
  <c r="Q95" i="1"/>
  <c r="Q97" i="1"/>
  <c r="Q99" i="1"/>
  <c r="Q101" i="1"/>
  <c r="Q103" i="1"/>
  <c r="Q105" i="1"/>
  <c r="Q107" i="1"/>
  <c r="Q109" i="1"/>
  <c r="Q111" i="1"/>
  <c r="Q123" i="1"/>
  <c r="Q122" i="1" s="1"/>
  <c r="Q121" i="1" s="1"/>
  <c r="Q120" i="1" s="1"/>
  <c r="Q119" i="1" s="1"/>
  <c r="Q118" i="1" s="1"/>
  <c r="Q117" i="1" s="1"/>
  <c r="Q116" i="1" s="1"/>
  <c r="Q115" i="1" s="1"/>
  <c r="Q114" i="1" s="1"/>
  <c r="Q113" i="1" s="1"/>
  <c r="Q126" i="1"/>
  <c r="Q125" i="1" s="1"/>
  <c r="Q132" i="1"/>
  <c r="Q131" i="1" s="1"/>
  <c r="Q130" i="1" s="1"/>
  <c r="Q129" i="1" s="1"/>
  <c r="Q128" i="1" s="1"/>
  <c r="Q135" i="1"/>
  <c r="Q134" i="1" s="1"/>
  <c r="Q138" i="1"/>
  <c r="Q137" i="1" s="1"/>
  <c r="Q141" i="1"/>
  <c r="Q140" i="1" s="1"/>
  <c r="Q145" i="1"/>
  <c r="Q144" i="1" s="1"/>
  <c r="Q143" i="1" s="1"/>
  <c r="Q152" i="1"/>
  <c r="Q151" i="1" s="1"/>
  <c r="Q150" i="1" s="1"/>
  <c r="Q149" i="1" s="1"/>
  <c r="Q148" i="1" s="1"/>
  <c r="Q147" i="1" s="1"/>
  <c r="Q154" i="1"/>
  <c r="Q163" i="1"/>
  <c r="Q162" i="1" s="1"/>
  <c r="Q161" i="1" s="1"/>
  <c r="Q160" i="1" s="1"/>
  <c r="Q159" i="1" s="1"/>
  <c r="Q158" i="1" s="1"/>
  <c r="Q157" i="1" s="1"/>
  <c r="Q156" i="1" s="1"/>
  <c r="Q170" i="1"/>
  <c r="Q169" i="1" s="1"/>
  <c r="Q168" i="1" s="1"/>
  <c r="Q167" i="1" s="1"/>
  <c r="Q166" i="1" s="1"/>
  <c r="Q165" i="1" s="1"/>
  <c r="Q172" i="1"/>
  <c r="Q174" i="1"/>
  <c r="Q176" i="1"/>
  <c r="Q179" i="1"/>
  <c r="Q178" i="1" s="1"/>
  <c r="Q186" i="1"/>
  <c r="Q185" i="1" s="1"/>
  <c r="Q184" i="1" s="1"/>
  <c r="Q183" i="1" s="1"/>
  <c r="Q182" i="1" s="1"/>
  <c r="Q181" i="1" s="1"/>
  <c r="Q189" i="1"/>
  <c r="Q188" i="1" s="1"/>
  <c r="Q194" i="1"/>
  <c r="Q193" i="1" s="1"/>
  <c r="Q192" i="1" s="1"/>
  <c r="Q191" i="1" s="1"/>
  <c r="Q196" i="1"/>
  <c r="Q198" i="1"/>
  <c r="Q200" i="1"/>
  <c r="Q202" i="1"/>
  <c r="Q204" i="1"/>
  <c r="Q206" i="1"/>
  <c r="Q210" i="1"/>
  <c r="Q209" i="1" s="1"/>
  <c r="Q208" i="1" s="1"/>
  <c r="Q215" i="1"/>
  <c r="Q214" i="1" s="1"/>
  <c r="Q213" i="1" s="1"/>
  <c r="Q212" i="1" s="1"/>
  <c r="Q220" i="1"/>
  <c r="Q219" i="1" s="1"/>
  <c r="Q218" i="1" s="1"/>
  <c r="Q217" i="1" s="1"/>
  <c r="Q222" i="1"/>
  <c r="Q224" i="1"/>
  <c r="Q226" i="1"/>
  <c r="Q228" i="1"/>
  <c r="Q230" i="1"/>
  <c r="Q232" i="1"/>
  <c r="Q235" i="1"/>
  <c r="Q234" i="1" s="1"/>
  <c r="Q237" i="1"/>
  <c r="Q239" i="1"/>
  <c r="Q241" i="1"/>
  <c r="Q247" i="1"/>
  <c r="Q246" i="1" s="1"/>
  <c r="Q245" i="1" s="1"/>
  <c r="Q244" i="1" s="1"/>
  <c r="Q243" i="1" s="1"/>
  <c r="Q253" i="1"/>
  <c r="Q252" i="1" s="1"/>
  <c r="Q251" i="1" s="1"/>
  <c r="Q250" i="1" s="1"/>
  <c r="Q249" i="1" s="1"/>
  <c r="Q255" i="1"/>
  <c r="Q259" i="1"/>
  <c r="Q258" i="1" s="1"/>
  <c r="Q257" i="1" s="1"/>
  <c r="Q261" i="1"/>
  <c r="Q269" i="1"/>
  <c r="Q268" i="1" s="1"/>
  <c r="Q267" i="1" s="1"/>
  <c r="Q266" i="1" s="1"/>
  <c r="Q265" i="1" s="1"/>
  <c r="Q264" i="1" s="1"/>
  <c r="Q263" i="1" s="1"/>
  <c r="Q277" i="1"/>
  <c r="Q276" i="1" s="1"/>
  <c r="Q275" i="1" s="1"/>
  <c r="Q274" i="1" s="1"/>
  <c r="Q273" i="1" s="1"/>
  <c r="Q272" i="1" s="1"/>
  <c r="Q271" i="1" s="1"/>
  <c r="Q282" i="1"/>
  <c r="Q281" i="1" s="1"/>
  <c r="Q280" i="1" s="1"/>
  <c r="Q279" i="1" s="1"/>
  <c r="Q285" i="1"/>
  <c r="Q284" i="1" s="1"/>
  <c r="Q287" i="1"/>
  <c r="Q290" i="1"/>
  <c r="Q289" i="1" s="1"/>
  <c r="Q293" i="1"/>
  <c r="Q292" i="1" s="1"/>
  <c r="Q300" i="1"/>
  <c r="Q299" i="1" s="1"/>
  <c r="Q298" i="1" s="1"/>
  <c r="Q297" i="1" s="1"/>
  <c r="Q296" i="1" s="1"/>
  <c r="Q295" i="1" s="1"/>
  <c r="Q302" i="1"/>
  <c r="Q304" i="1"/>
  <c r="Q312" i="1"/>
  <c r="Q311" i="1" s="1"/>
  <c r="Q310" i="1" s="1"/>
  <c r="Q309" i="1" s="1"/>
  <c r="Q308" i="1" s="1"/>
  <c r="Q307" i="1" s="1"/>
  <c r="Q306" i="1" s="1"/>
  <c r="Q322" i="1"/>
  <c r="Q321" i="1" s="1"/>
  <c r="Q320" i="1" s="1"/>
  <c r="Q319" i="1" s="1"/>
  <c r="Q318" i="1" s="1"/>
  <c r="Q317" i="1" s="1"/>
  <c r="Q316" i="1" s="1"/>
  <c r="Q315" i="1" s="1"/>
  <c r="Q314" i="1" s="1"/>
  <c r="Q324" i="1"/>
  <c r="Q326" i="1"/>
  <c r="Q328" i="1"/>
  <c r="Q330" i="1"/>
  <c r="Q332" i="1"/>
  <c r="Q334" i="1"/>
  <c r="Q340" i="1"/>
  <c r="Q339" i="1" s="1"/>
  <c r="Q338" i="1" s="1"/>
  <c r="Q337" i="1" s="1"/>
  <c r="Q336" i="1" s="1"/>
  <c r="Q346" i="1"/>
  <c r="Q345" i="1" s="1"/>
  <c r="Q344" i="1" s="1"/>
  <c r="Q343" i="1" s="1"/>
  <c r="Q342" i="1" s="1"/>
  <c r="Q350" i="1"/>
  <c r="Q349" i="1" s="1"/>
  <c r="Q348" i="1" s="1"/>
  <c r="Q358" i="1"/>
  <c r="Q357" i="1" s="1"/>
  <c r="Q356" i="1" s="1"/>
  <c r="Q355" i="1" s="1"/>
  <c r="Q354" i="1" s="1"/>
  <c r="Q353" i="1" s="1"/>
  <c r="Q352" i="1" s="1"/>
  <c r="Q365" i="1"/>
  <c r="Q364" i="1" s="1"/>
  <c r="Q363" i="1" s="1"/>
  <c r="Q362" i="1" s="1"/>
  <c r="Q361" i="1" s="1"/>
  <c r="Q360" i="1" s="1"/>
  <c r="Q371" i="1"/>
  <c r="Q370" i="1" s="1"/>
  <c r="Q369" i="1" s="1"/>
  <c r="Q368" i="1" s="1"/>
  <c r="Q367" i="1" s="1"/>
  <c r="Q378" i="1"/>
  <c r="Q377" i="1" s="1"/>
  <c r="Q376" i="1" s="1"/>
  <c r="Q375" i="1" s="1"/>
  <c r="Q374" i="1" s="1"/>
  <c r="Q373" i="1" s="1"/>
  <c r="Q380" i="1"/>
  <c r="Q390" i="1"/>
  <c r="Q389" i="1" s="1"/>
  <c r="Q388" i="1" s="1"/>
  <c r="Q387" i="1" s="1"/>
  <c r="Q386" i="1" s="1"/>
  <c r="Q385" i="1" s="1"/>
  <c r="Q384" i="1" s="1"/>
  <c r="Q383" i="1" s="1"/>
  <c r="Q382" i="1" s="1"/>
  <c r="Q392" i="1"/>
  <c r="Q394" i="1"/>
  <c r="Q403" i="1"/>
  <c r="Q402" i="1" s="1"/>
  <c r="Q401" i="1" s="1"/>
  <c r="Q400" i="1" s="1"/>
  <c r="Q399" i="1" s="1"/>
  <c r="Q398" i="1" s="1"/>
  <c r="Q397" i="1" s="1"/>
  <c r="Q396" i="1" s="1"/>
  <c r="Q405" i="1"/>
  <c r="Q407" i="1"/>
  <c r="Q409" i="1"/>
  <c r="Q418" i="1"/>
  <c r="Q417" i="1" s="1"/>
  <c r="Q416" i="1" s="1"/>
  <c r="Q415" i="1" s="1"/>
  <c r="Q414" i="1" s="1"/>
  <c r="Q413" i="1" s="1"/>
  <c r="Q412" i="1" s="1"/>
  <c r="Q411" i="1" s="1"/>
  <c r="Q420" i="1"/>
  <c r="Q422" i="1"/>
  <c r="Q429" i="1"/>
  <c r="Q428" i="1" s="1"/>
  <c r="Q427" i="1" s="1"/>
  <c r="Q426" i="1" s="1"/>
  <c r="Q425" i="1" s="1"/>
  <c r="Q424" i="1" s="1"/>
  <c r="Q436" i="1"/>
  <c r="Q435" i="1" s="1"/>
  <c r="Q434" i="1" s="1"/>
  <c r="Q433" i="1" s="1"/>
  <c r="Q432" i="1" s="1"/>
  <c r="Q431" i="1" s="1"/>
  <c r="Q439" i="1"/>
  <c r="Q438" i="1" s="1"/>
  <c r="Q442" i="1"/>
  <c r="Q441" i="1" s="1"/>
  <c r="Q446" i="1"/>
  <c r="Q445" i="1" s="1"/>
  <c r="Q444" i="1" s="1"/>
  <c r="Q452" i="1"/>
  <c r="Q451" i="1" s="1"/>
  <c r="Q450" i="1" s="1"/>
  <c r="Q449" i="1" s="1"/>
  <c r="Q448" i="1" s="1"/>
  <c r="Q456" i="1"/>
  <c r="Q455" i="1" s="1"/>
  <c r="Q454" i="1" s="1"/>
  <c r="Q460" i="1"/>
  <c r="Q459" i="1" s="1"/>
  <c r="Q458" i="1" s="1"/>
  <c r="Q464" i="1"/>
  <c r="Q463" i="1" s="1"/>
  <c r="Q462" i="1" s="1"/>
  <c r="Q468" i="1"/>
  <c r="Q467" i="1" s="1"/>
  <c r="Q466" i="1" s="1"/>
  <c r="Q476" i="1"/>
  <c r="Q475" i="1" s="1"/>
  <c r="Q474" i="1" s="1"/>
  <c r="Q473" i="1" s="1"/>
  <c r="Q472" i="1" s="1"/>
  <c r="Q471" i="1" s="1"/>
  <c r="Q470" i="1" s="1"/>
  <c r="Q482" i="1"/>
  <c r="Q481" i="1" s="1"/>
  <c r="Q480" i="1" s="1"/>
  <c r="Q479" i="1" s="1"/>
  <c r="Q478" i="1" s="1"/>
  <c r="Q486" i="1"/>
  <c r="Q485" i="1" s="1"/>
  <c r="Q484" i="1" s="1"/>
  <c r="Q490" i="1"/>
  <c r="Q489" i="1" s="1"/>
  <c r="Q488" i="1" s="1"/>
  <c r="Q495" i="1"/>
  <c r="Q494" i="1" s="1"/>
  <c r="Q493" i="1" s="1"/>
  <c r="Q492" i="1" s="1"/>
  <c r="Q502" i="1"/>
  <c r="Q501" i="1" s="1"/>
  <c r="Q500" i="1" s="1"/>
  <c r="Q499" i="1" s="1"/>
  <c r="Q498" i="1" s="1"/>
  <c r="Q497" i="1" s="1"/>
  <c r="Q507" i="1"/>
  <c r="Q506" i="1" s="1"/>
  <c r="Q505" i="1" s="1"/>
  <c r="Q504" i="1" s="1"/>
  <c r="Q511" i="1"/>
  <c r="Q510" i="1" s="1"/>
  <c r="Q509" i="1" s="1"/>
  <c r="Q516" i="1"/>
  <c r="Q515" i="1" s="1"/>
  <c r="Q514" i="1" s="1"/>
  <c r="Q513" i="1" s="1"/>
  <c r="Q520" i="1"/>
  <c r="Q519" i="1" s="1"/>
  <c r="Q518" i="1" s="1"/>
  <c r="Q525" i="1"/>
  <c r="Q524" i="1" s="1"/>
  <c r="Q523" i="1" s="1"/>
  <c r="Q522" i="1" s="1"/>
  <c r="Q530" i="1"/>
  <c r="Q529" i="1" s="1"/>
  <c r="Q528" i="1" s="1"/>
  <c r="Q527" i="1" s="1"/>
  <c r="Q533" i="1"/>
  <c r="Q532" i="1" s="1"/>
  <c r="Q537" i="1"/>
  <c r="Q536" i="1" s="1"/>
  <c r="Q535" i="1" s="1"/>
  <c r="Q540" i="1"/>
  <c r="Q539" i="1" s="1"/>
  <c r="Q543" i="1"/>
  <c r="Q542" i="1" s="1"/>
  <c r="Q547" i="1"/>
  <c r="Q546" i="1" s="1"/>
  <c r="Q545" i="1" s="1"/>
  <c r="Q551" i="1"/>
  <c r="Q550" i="1" s="1"/>
  <c r="Q549" i="1" s="1"/>
  <c r="Q557" i="1"/>
  <c r="Q556" i="1" s="1"/>
  <c r="Q555" i="1" s="1"/>
  <c r="Q554" i="1" s="1"/>
  <c r="Q553" i="1" s="1"/>
  <c r="Q560" i="1"/>
  <c r="Q559" i="1" s="1"/>
  <c r="Q563" i="1"/>
  <c r="Q562" i="1" s="1"/>
  <c r="Q565" i="1"/>
  <c r="Q568" i="1"/>
  <c r="Q567" i="1" s="1"/>
  <c r="Q570" i="1"/>
  <c r="Q573" i="1"/>
  <c r="Q572" i="1" s="1"/>
  <c r="Q578" i="1"/>
  <c r="Q577" i="1" s="1"/>
  <c r="Q576" i="1" s="1"/>
  <c r="Q575" i="1" s="1"/>
  <c r="Q581" i="1"/>
  <c r="Q580" i="1" s="1"/>
  <c r="Q584" i="1"/>
  <c r="Q583" i="1" s="1"/>
  <c r="Q587" i="1"/>
  <c r="Q586" i="1" s="1"/>
  <c r="Q590" i="1"/>
  <c r="Q589" i="1" s="1"/>
  <c r="Q593" i="1"/>
  <c r="Q592" i="1" s="1"/>
  <c r="Q598" i="1"/>
  <c r="Q597" i="1" s="1"/>
  <c r="Q596" i="1" s="1"/>
  <c r="Q595" i="1" s="1"/>
  <c r="Q600" i="1"/>
  <c r="Q603" i="1"/>
  <c r="Q602" i="1" s="1"/>
  <c r="Q605" i="1"/>
  <c r="Q607" i="1"/>
  <c r="Q609" i="1"/>
  <c r="Q611" i="1"/>
  <c r="Q613" i="1"/>
  <c r="Q615" i="1"/>
  <c r="Q617" i="1"/>
  <c r="Q619" i="1"/>
  <c r="Q621" i="1"/>
  <c r="Q623" i="1"/>
  <c r="Q625" i="1"/>
  <c r="Q627" i="1"/>
  <c r="Q629" i="1"/>
  <c r="Q631" i="1"/>
  <c r="Q633" i="1"/>
  <c r="Q635" i="1"/>
  <c r="Q637" i="1"/>
  <c r="Q639" i="1"/>
  <c r="Q641" i="1"/>
  <c r="Q643" i="1"/>
  <c r="Q645" i="1"/>
  <c r="Q647" i="1"/>
  <c r="Q649" i="1"/>
  <c r="Q651" i="1"/>
  <c r="Q653" i="1"/>
  <c r="Q655" i="1"/>
  <c r="Q657" i="1"/>
  <c r="Q659" i="1"/>
  <c r="Q661" i="1"/>
  <c r="Q663" i="1"/>
  <c r="Q665" i="1"/>
  <c r="Q667" i="1"/>
  <c r="Q669" i="1"/>
  <c r="Q671" i="1"/>
  <c r="Q673" i="1"/>
  <c r="Q675" i="1"/>
  <c r="Q677" i="1"/>
  <c r="Q679" i="1"/>
  <c r="Q681" i="1"/>
  <c r="Q683" i="1"/>
  <c r="Q685" i="1"/>
  <c r="Q687" i="1"/>
  <c r="Q689" i="1"/>
  <c r="Q699" i="1"/>
  <c r="Q698" i="1" s="1"/>
  <c r="Q697" i="1" s="1"/>
  <c r="Q696" i="1" s="1"/>
  <c r="Q695" i="1" s="1"/>
  <c r="Q694" i="1" s="1"/>
  <c r="Q693" i="1" s="1"/>
  <c r="Q692" i="1" s="1"/>
  <c r="Q691" i="1" s="1"/>
  <c r="Q708" i="1"/>
  <c r="Q707" i="1" s="1"/>
  <c r="Q706" i="1" s="1"/>
  <c r="Q705" i="1" s="1"/>
  <c r="Q704" i="1" s="1"/>
  <c r="Q703" i="1" s="1"/>
  <c r="Q702" i="1" s="1"/>
  <c r="Q701" i="1" s="1"/>
  <c r="Q710" i="1"/>
  <c r="Q712" i="1"/>
  <c r="Q714" i="1"/>
  <c r="Q716" i="1"/>
  <c r="Q718" i="1"/>
  <c r="Q720" i="1"/>
  <c r="Q722" i="1"/>
  <c r="Q724" i="1"/>
  <c r="Q726" i="1"/>
  <c r="Q728" i="1"/>
  <c r="Q731" i="1"/>
  <c r="Q730" i="1" s="1"/>
  <c r="Q734" i="1"/>
  <c r="Q733" i="1" s="1"/>
  <c r="Q743" i="1"/>
  <c r="Q742" i="1" s="1"/>
  <c r="Q741" i="1" s="1"/>
  <c r="Q740" i="1" s="1"/>
  <c r="Q739" i="1" s="1"/>
  <c r="Q738" i="1" s="1"/>
  <c r="Q737" i="1" s="1"/>
  <c r="Q736" i="1" s="1"/>
  <c r="Q748" i="1"/>
  <c r="Q747" i="1" s="1"/>
  <c r="Q746" i="1" s="1"/>
  <c r="Q745" i="1" s="1"/>
  <c r="Q751" i="1"/>
  <c r="Q750" i="1" s="1"/>
  <c r="Q757" i="1"/>
  <c r="Q756" i="1" s="1"/>
  <c r="Q755" i="1" s="1"/>
  <c r="Q754" i="1" s="1"/>
  <c r="Q753" i="1" s="1"/>
  <c r="Q762" i="1"/>
  <c r="Q761" i="1" s="1"/>
  <c r="Q760" i="1" s="1"/>
  <c r="Q759" i="1" s="1"/>
  <c r="Q765" i="1"/>
  <c r="Q764" i="1" s="1"/>
  <c r="Q786" i="1"/>
  <c r="Q785" i="1" s="1"/>
  <c r="Q784" i="1" s="1"/>
  <c r="Q783" i="1" s="1"/>
  <c r="Q782" i="1" s="1"/>
  <c r="Q781" i="1" s="1"/>
  <c r="Q780" i="1" s="1"/>
  <c r="Q779" i="1" s="1"/>
  <c r="Q778" i="1" s="1"/>
  <c r="Q777" i="1" s="1"/>
  <c r="Q776" i="1" s="1"/>
  <c r="Q775" i="1" s="1"/>
  <c r="Q774" i="1" s="1"/>
  <c r="Q773" i="1" s="1"/>
  <c r="Q772" i="1" s="1"/>
  <c r="Q771" i="1" s="1"/>
  <c r="Q770" i="1" s="1"/>
  <c r="Q769" i="1" s="1"/>
  <c r="Q768" i="1" s="1"/>
  <c r="Q767" i="1" s="1"/>
  <c r="Q792" i="1"/>
  <c r="Q791" i="1" s="1"/>
  <c r="Q790" i="1" s="1"/>
  <c r="Q789" i="1" s="1"/>
  <c r="Q788" i="1" s="1"/>
  <c r="Q795" i="1"/>
  <c r="Q794" i="1" s="1"/>
  <c r="Q803" i="1"/>
  <c r="Q802" i="1" s="1"/>
  <c r="Q801" i="1" s="1"/>
  <c r="Q800" i="1" s="1"/>
  <c r="Q799" i="1" s="1"/>
  <c r="Q798" i="1" s="1"/>
  <c r="Q797" i="1" s="1"/>
  <c r="Q6313" i="1"/>
  <c r="Q6318" i="1"/>
  <c r="Q6317" i="1" s="1"/>
  <c r="Q6316" i="1" s="1"/>
  <c r="Q6315" i="1" s="1"/>
  <c r="Q6323" i="1"/>
  <c r="Q6322" i="1" s="1"/>
  <c r="Q6321" i="1" s="1"/>
  <c r="Q6320" i="1" s="1"/>
  <c r="Q6325" i="1"/>
  <c r="Q6327" i="1"/>
  <c r="Q6330" i="1"/>
  <c r="Q6329" i="1" s="1"/>
  <c r="Q6333" i="1"/>
  <c r="Q6332" i="1" s="1"/>
  <c r="Q6337" i="1"/>
  <c r="Q6336" i="1" s="1"/>
  <c r="Q6335" i="1" s="1"/>
  <c r="Q6343" i="1"/>
  <c r="Q6342" i="1" s="1"/>
  <c r="Q6341" i="1" s="1"/>
  <c r="Q6340" i="1" s="1"/>
  <c r="Q6339" i="1" s="1"/>
  <c r="Q6345" i="1"/>
  <c r="Q6351" i="1"/>
  <c r="Q6350" i="1" s="1"/>
  <c r="Q6349" i="1" s="1"/>
  <c r="Q6348" i="1" s="1"/>
  <c r="Q6347" i="1" s="1"/>
  <c r="Q6353" i="1"/>
  <c r="Q6354" i="1"/>
  <c r="Q6355" i="1"/>
  <c r="Q6356" i="1"/>
  <c r="Q6357" i="1"/>
  <c r="Q6360" i="1"/>
  <c r="Q6359" i="1" s="1"/>
  <c r="Q6361" i="1"/>
  <c r="Q6362" i="1"/>
  <c r="Q6364" i="1"/>
  <c r="Q6366" i="1"/>
  <c r="Q6367" i="1"/>
  <c r="Q6368" i="1"/>
  <c r="Q6370" i="1"/>
  <c r="Q6371" i="1"/>
  <c r="Q6372" i="1"/>
  <c r="Q6373" i="1"/>
  <c r="Q6374" i="1"/>
  <c r="Q6375" i="1"/>
  <c r="Q6376" i="1"/>
  <c r="Q6377" i="1"/>
  <c r="Q6378" i="1"/>
  <c r="Q6379" i="1"/>
  <c r="Q6380" i="1"/>
  <c r="Q6382" i="1"/>
  <c r="Q6383" i="1"/>
  <c r="Q6385" i="1"/>
  <c r="Q6387" i="1"/>
  <c r="Q6388" i="1"/>
  <c r="Q6389" i="1"/>
  <c r="Q6391" i="1"/>
  <c r="Q6392" i="1"/>
  <c r="Q6393" i="1"/>
  <c r="Q6395" i="1"/>
  <c r="Q6397" i="1"/>
  <c r="Q6400" i="1"/>
  <c r="Q6399" i="1" s="1"/>
  <c r="Q6402" i="1"/>
  <c r="Q6404" i="1"/>
  <c r="Q6406" i="1"/>
  <c r="Q6407" i="1"/>
  <c r="Q6409" i="1"/>
  <c r="Q6410" i="1"/>
  <c r="Q6411" i="1"/>
  <c r="Q6413" i="1"/>
  <c r="Q6415" i="1"/>
  <c r="Q6416" i="1"/>
  <c r="Q6417" i="1"/>
  <c r="Q6418" i="1"/>
  <c r="Q6419" i="1"/>
  <c r="Q6420" i="1"/>
  <c r="Q6421" i="1"/>
  <c r="Q6423" i="1"/>
  <c r="Q6425" i="1"/>
  <c r="Q6426" i="1"/>
  <c r="Q6427" i="1"/>
  <c r="Q6429" i="1"/>
  <c r="Q6430" i="1"/>
  <c r="Q6431" i="1"/>
  <c r="Q6432" i="1"/>
  <c r="Q6433" i="1"/>
  <c r="Q6434" i="1"/>
  <c r="Q6435" i="1"/>
  <c r="Q6436" i="1"/>
  <c r="Q6437" i="1"/>
  <c r="Q6438" i="1"/>
  <c r="Q6439" i="1"/>
  <c r="Q6440" i="1"/>
  <c r="Q6442" i="1"/>
  <c r="Q6443" i="1"/>
  <c r="Q6444" i="1"/>
  <c r="Q6446" i="1"/>
  <c r="Q6447" i="1"/>
  <c r="Q6448" i="1"/>
  <c r="Q6449" i="1"/>
  <c r="Q6450" i="1"/>
  <c r="Q6452" i="1"/>
  <c r="Q6453" i="1"/>
  <c r="Q6454" i="1"/>
  <c r="Q6456" i="1"/>
  <c r="Q6457" i="1"/>
  <c r="Q6458" i="1"/>
  <c r="Q6459" i="1"/>
  <c r="Q6460" i="1"/>
  <c r="Q6461" i="1"/>
  <c r="Q6462" i="1"/>
  <c r="Q6463" i="1"/>
  <c r="Q6464" i="1"/>
  <c r="Q6465" i="1"/>
  <c r="Q6467" i="1"/>
  <c r="Q6469" i="1"/>
  <c r="Q6470" i="1"/>
  <c r="Q6472" i="1"/>
  <c r="Q6474" i="1"/>
  <c r="Q6476" i="1"/>
  <c r="Q6478" i="1"/>
  <c r="Q6479" i="1"/>
  <c r="Q6480" i="1"/>
  <c r="Q6481" i="1"/>
  <c r="Q6482" i="1"/>
  <c r="Q6483" i="1"/>
  <c r="Q6484" i="1"/>
  <c r="Q6485" i="1"/>
  <c r="Q6487" i="1"/>
  <c r="Q6488" i="1"/>
  <c r="Q6489" i="1"/>
  <c r="Q6490" i="1"/>
  <c r="Q6493" i="1"/>
  <c r="Q6492" i="1" s="1"/>
  <c r="Q6494" i="1"/>
  <c r="Q6495" i="1"/>
  <c r="Q6497" i="1"/>
  <c r="Q6499" i="1"/>
  <c r="Q6500" i="1"/>
  <c r="Q6502" i="1"/>
  <c r="Q6504" i="1"/>
  <c r="Q6506" i="1"/>
  <c r="Q6507" i="1"/>
  <c r="Q6508" i="1"/>
  <c r="Q6510" i="1"/>
  <c r="Q6511" i="1"/>
  <c r="Q6512" i="1"/>
  <c r="Q6513" i="1"/>
  <c r="Q6515" i="1"/>
  <c r="Q6516" i="1"/>
  <c r="Q6517" i="1"/>
  <c r="Q6518" i="1"/>
  <c r="Q6519" i="1"/>
  <c r="Q6520" i="1"/>
  <c r="Q6522" i="1"/>
  <c r="Q6523" i="1"/>
  <c r="Q6524" i="1"/>
  <c r="Q6526" i="1"/>
  <c r="Q6527" i="1"/>
  <c r="Q6528" i="1"/>
  <c r="Q6529" i="1"/>
  <c r="Q6532" i="1"/>
  <c r="Q6531" i="1" s="1"/>
  <c r="Q6534" i="1"/>
  <c r="Q6535" i="1"/>
  <c r="Q6537" i="1"/>
  <c r="Q6539" i="1"/>
  <c r="Q6540" i="1"/>
  <c r="Q6542" i="1"/>
  <c r="Q6544" i="1"/>
  <c r="Q6546" i="1"/>
  <c r="Q6548" i="1"/>
  <c r="Q6550" i="1"/>
  <c r="Q6551" i="1"/>
  <c r="Q6552" i="1"/>
  <c r="Q6553" i="1"/>
  <c r="Q6555" i="1"/>
  <c r="Q6556" i="1"/>
  <c r="Q6558" i="1"/>
  <c r="Q6560" i="1"/>
  <c r="Q6562" i="1"/>
  <c r="Q6563" i="1"/>
  <c r="Q6564" i="1"/>
  <c r="Q6566" i="1"/>
  <c r="Q6567" i="1"/>
  <c r="Q6568" i="1"/>
  <c r="Q6570" i="1"/>
  <c r="Q6571" i="1"/>
  <c r="Q6572" i="1"/>
  <c r="Q6573" i="1"/>
  <c r="Q6574" i="1"/>
  <c r="Q6575" i="1"/>
  <c r="Q6576" i="1"/>
  <c r="Q6578" i="1"/>
  <c r="Q6579" i="1"/>
  <c r="Q6580" i="1"/>
  <c r="Q6581" i="1"/>
  <c r="Q6583" i="1"/>
  <c r="Q6585" i="1"/>
  <c r="Q6586" i="1"/>
  <c r="Q6587" i="1"/>
  <c r="Q6588" i="1"/>
  <c r="Q6589" i="1"/>
  <c r="Q6591" i="1"/>
  <c r="Q6593" i="1"/>
  <c r="Q6594" i="1"/>
  <c r="Q6595" i="1"/>
  <c r="Q6597" i="1"/>
  <c r="Q6598" i="1"/>
  <c r="Q6599" i="1"/>
  <c r="Q6601" i="1"/>
  <c r="Q6602" i="1"/>
  <c r="Q6603" i="1"/>
  <c r="Q6604" i="1"/>
  <c r="Q6606" i="1"/>
  <c r="Q6611" i="1"/>
  <c r="Q6610" i="1" s="1"/>
  <c r="Q6609" i="1" s="1"/>
  <c r="Q6608" i="1" s="1"/>
  <c r="Q6612" i="1"/>
  <c r="Q6614" i="1"/>
  <c r="Q6615" i="1"/>
  <c r="Q6617" i="1"/>
  <c r="Q6618" i="1"/>
  <c r="Q6619" i="1"/>
  <c r="Q6620" i="1"/>
  <c r="Q6621" i="1"/>
  <c r="Q6622" i="1"/>
  <c r="Q6623" i="1"/>
  <c r="Q6625" i="1"/>
  <c r="Q6629" i="1"/>
  <c r="Q6628" i="1" s="1"/>
  <c r="Q6627" i="1" s="1"/>
  <c r="Q6630" i="1"/>
  <c r="Q6632" i="1"/>
  <c r="Q6634" i="1"/>
  <c r="Q6636" i="1"/>
  <c r="Q6640" i="1"/>
  <c r="Q6639" i="1" s="1"/>
  <c r="Q6638" i="1" s="1"/>
  <c r="Q6642" i="1"/>
  <c r="Q6644" i="1"/>
  <c r="Q6656" i="1"/>
  <c r="Q6655" i="1" s="1"/>
  <c r="Q6654" i="1" s="1"/>
  <c r="Q6653" i="1" s="1"/>
  <c r="Q6652" i="1" s="1"/>
  <c r="Q6651" i="1" s="1"/>
  <c r="Q6650" i="1" s="1"/>
  <c r="Q6649" i="1" s="1"/>
  <c r="Q6648" i="1" s="1"/>
  <c r="Q6647" i="1" s="1"/>
  <c r="Q6646" i="1" s="1"/>
  <c r="Q6660" i="1"/>
  <c r="Q6659" i="1" s="1"/>
  <c r="Q6658" i="1" s="1"/>
  <c r="Q6665" i="1"/>
  <c r="Q6664" i="1" s="1"/>
  <c r="Q6663" i="1" s="1"/>
  <c r="Q6662" i="1" s="1"/>
  <c r="Q6666" i="1"/>
  <c r="Q6668" i="1"/>
  <c r="Q6669" i="1"/>
  <c r="Q6671" i="1"/>
  <c r="Q6672" i="1"/>
  <c r="Q6674" i="1"/>
  <c r="Q6675" i="1"/>
  <c r="Q6676" i="1"/>
  <c r="Q6677" i="1"/>
  <c r="Q6678" i="1"/>
  <c r="Q6679" i="1"/>
  <c r="Q6680" i="1"/>
  <c r="Q6681" i="1"/>
  <c r="Q6683" i="1"/>
  <c r="Q6684" i="1"/>
  <c r="Q6685" i="1"/>
  <c r="Q6686" i="1"/>
  <c r="Q6687" i="1"/>
  <c r="Q6689" i="1"/>
  <c r="Q6690" i="1"/>
  <c r="Q6691" i="1"/>
  <c r="Q6693" i="1"/>
  <c r="Q6694" i="1"/>
  <c r="Q6695" i="1"/>
  <c r="Q6696" i="1"/>
  <c r="Q6697" i="1"/>
  <c r="Q6698" i="1"/>
  <c r="Q6699" i="1"/>
  <c r="Q6701" i="1"/>
  <c r="Q6703" i="1"/>
  <c r="Q6704" i="1"/>
  <c r="Q6705" i="1"/>
  <c r="Q6706" i="1"/>
  <c r="Q6707" i="1"/>
  <c r="Q6709" i="1"/>
  <c r="Q6710" i="1"/>
  <c r="Q6711" i="1"/>
  <c r="Q6712" i="1"/>
  <c r="Q6713" i="1"/>
  <c r="Q6714" i="1"/>
  <c r="Q6715" i="1"/>
  <c r="Q6716" i="1"/>
  <c r="Q6718" i="1"/>
  <c r="Q6720" i="1"/>
  <c r="Q6722" i="1"/>
  <c r="Q6723" i="1"/>
  <c r="Q6724" i="1"/>
  <c r="Q6725" i="1"/>
  <c r="Q6726" i="1"/>
  <c r="Q6728" i="1"/>
  <c r="Q6730" i="1"/>
  <c r="Q6731" i="1"/>
  <c r="Q6732" i="1"/>
  <c r="Q6733" i="1"/>
  <c r="Q6735" i="1"/>
  <c r="Q6736" i="1"/>
  <c r="Q6737" i="1"/>
  <c r="Q6739" i="1"/>
  <c r="Q6740" i="1"/>
  <c r="Q6741" i="1"/>
  <c r="Q6742" i="1"/>
  <c r="Q6744" i="1"/>
  <c r="Q6745" i="1"/>
  <c r="Q6746" i="1"/>
  <c r="Q6748" i="1"/>
  <c r="Q6749" i="1"/>
  <c r="Q6750" i="1"/>
  <c r="Q6751" i="1"/>
  <c r="Q6752" i="1"/>
  <c r="Q6754" i="1"/>
  <c r="Q6755" i="1"/>
  <c r="Q6756" i="1"/>
  <c r="Q6757" i="1"/>
  <c r="Q6758" i="1"/>
  <c r="Q6759" i="1"/>
  <c r="Q6760" i="1"/>
  <c r="Q6761" i="1"/>
  <c r="Q6762" i="1"/>
  <c r="Q6763" i="1"/>
  <c r="Q6764" i="1"/>
  <c r="Q6765" i="1"/>
  <c r="Q6766" i="1"/>
  <c r="Q6767" i="1"/>
  <c r="Q6768" i="1"/>
  <c r="Q6769" i="1"/>
  <c r="Q6770" i="1"/>
  <c r="Q6771" i="1"/>
  <c r="Q6772" i="1"/>
  <c r="Q6773" i="1"/>
  <c r="Q6774" i="1"/>
  <c r="Q6775" i="1"/>
  <c r="Q6776" i="1"/>
  <c r="Q6777" i="1"/>
  <c r="Q6778" i="1"/>
  <c r="Q6779" i="1"/>
  <c r="Q6780" i="1"/>
  <c r="Q6781" i="1"/>
  <c r="Q6782" i="1"/>
  <c r="Q6783" i="1"/>
  <c r="Q6784" i="1"/>
  <c r="Q6785" i="1"/>
  <c r="Q6786" i="1"/>
  <c r="Q6787" i="1"/>
  <c r="Q6788" i="1"/>
  <c r="Q6789" i="1"/>
  <c r="Q6791" i="1"/>
  <c r="Q6792" i="1"/>
  <c r="Q6793" i="1"/>
  <c r="Q6794" i="1"/>
  <c r="Q6795" i="1"/>
  <c r="Q6796" i="1"/>
  <c r="Q6797" i="1"/>
  <c r="Q6798" i="1"/>
  <c r="Q6800" i="1"/>
  <c r="Q6801" i="1"/>
  <c r="Q6802" i="1"/>
  <c r="Q6803" i="1"/>
  <c r="Q6804" i="1"/>
  <c r="Q6805" i="1"/>
  <c r="Q6806" i="1"/>
  <c r="Q6807" i="1"/>
  <c r="Q6808" i="1"/>
  <c r="Q6809" i="1"/>
  <c r="Q6810" i="1"/>
  <c r="Q6812" i="1"/>
  <c r="Q6813" i="1"/>
  <c r="Q6814" i="1"/>
  <c r="Q6815" i="1"/>
  <c r="Q6816" i="1"/>
  <c r="Q6818" i="1"/>
  <c r="Q6819" i="1"/>
  <c r="Q6820" i="1"/>
  <c r="Q6821" i="1"/>
  <c r="Q6822" i="1"/>
  <c r="Q6824" i="1"/>
  <c r="Q6825" i="1"/>
  <c r="Q6826" i="1"/>
  <c r="Q6827" i="1"/>
  <c r="Q6828" i="1"/>
  <c r="Q6829" i="1"/>
  <c r="Q6830" i="1"/>
  <c r="Q6831" i="1"/>
  <c r="Q6833" i="1"/>
  <c r="Q6835" i="1"/>
  <c r="Q6837" i="1"/>
  <c r="Q6838" i="1"/>
  <c r="Q6839" i="1"/>
  <c r="Q6840" i="1"/>
  <c r="Q6842" i="1"/>
  <c r="Q6844" i="1"/>
  <c r="Q6846" i="1"/>
  <c r="Q6847" i="1"/>
  <c r="Q6849" i="1"/>
  <c r="Q6850" i="1"/>
  <c r="Q6851" i="1"/>
  <c r="Q6852" i="1"/>
  <c r="Q6854" i="1"/>
  <c r="Q6856" i="1"/>
  <c r="Q6858" i="1"/>
  <c r="Q6859" i="1"/>
  <c r="Q6860" i="1"/>
  <c r="Q6862" i="1"/>
  <c r="Q6863" i="1"/>
  <c r="Q6864" i="1"/>
  <c r="Q6866" i="1"/>
  <c r="Q6867" i="1"/>
  <c r="Q6868" i="1"/>
  <c r="Q6869" i="1"/>
  <c r="Q6870" i="1"/>
  <c r="Q6872" i="1"/>
  <c r="Q6873" i="1"/>
  <c r="Q6874" i="1"/>
  <c r="Q6875" i="1"/>
  <c r="Q6876" i="1"/>
  <c r="Q6877" i="1"/>
  <c r="Q6878" i="1"/>
  <c r="Q6879" i="1"/>
  <c r="Q6880" i="1"/>
  <c r="Q6881" i="1"/>
  <c r="Q6882" i="1"/>
  <c r="Q6883" i="1"/>
  <c r="Q6884" i="1"/>
  <c r="Q6885" i="1"/>
  <c r="Q6886" i="1"/>
  <c r="Q6887" i="1"/>
  <c r="Q6888" i="1"/>
  <c r="Q6891" i="1"/>
  <c r="Q6890" i="1" s="1"/>
  <c r="Q6892" i="1"/>
  <c r="Q6893" i="1"/>
  <c r="Q6894" i="1"/>
  <c r="Q6895" i="1"/>
  <c r="Q6896" i="1"/>
  <c r="Q6898" i="1"/>
  <c r="Q6899" i="1"/>
  <c r="Q6900" i="1"/>
  <c r="Q6902" i="1"/>
  <c r="Q6903" i="1"/>
  <c r="Q6904" i="1"/>
  <c r="Q6908" i="1"/>
  <c r="Q6907" i="1" s="1"/>
  <c r="Q6906" i="1" s="1"/>
  <c r="Q6910" i="1"/>
  <c r="Q6911" i="1"/>
  <c r="Q6913" i="1"/>
  <c r="Q6915" i="1"/>
  <c r="Q6917" i="1"/>
  <c r="Q3" i="1"/>
  <c r="Q5" i="1"/>
  <c r="Q8" i="1"/>
  <c r="Q7" i="1" s="1"/>
  <c r="Q10" i="1"/>
  <c r="Q12" i="1"/>
  <c r="Q14" i="1"/>
  <c r="Q16" i="1"/>
  <c r="Q18" i="1"/>
  <c r="Q20" i="1"/>
  <c r="Q25" i="1"/>
  <c r="Q24" i="1" s="1"/>
  <c r="Q23" i="1" s="1"/>
  <c r="Q22" i="1" s="1"/>
  <c r="AX1124" i="1"/>
  <c r="AX1123" i="1"/>
  <c r="AU1119" i="1"/>
  <c r="AU1120" i="1"/>
  <c r="D2" i="7"/>
  <c r="E2" i="7" s="1"/>
  <c r="F2" i="7" s="1"/>
  <c r="G2" i="7" s="1"/>
  <c r="H2" i="7" s="1"/>
  <c r="J2" i="7" s="1"/>
  <c r="K2" i="7" s="1"/>
  <c r="L2" i="7" s="1"/>
  <c r="C2" i="7"/>
  <c r="B40" i="7"/>
  <c r="A39" i="7"/>
  <c r="A31" i="7"/>
  <c r="C27" i="7"/>
  <c r="D27" i="7" s="1"/>
  <c r="C11" i="7"/>
  <c r="D11" i="7" s="1"/>
  <c r="B6" i="7"/>
  <c r="B25" i="7" s="1"/>
  <c r="C5" i="7"/>
  <c r="C6" i="7" s="1"/>
  <c r="C25" i="7" s="1"/>
  <c r="B4" i="7"/>
  <c r="B28" i="7" s="1"/>
  <c r="B29" i="7" s="1"/>
  <c r="C3" i="7"/>
  <c r="D3" i="7" s="1"/>
  <c r="E3" i="7" s="1"/>
  <c r="F3" i="7" s="1"/>
  <c r="G3" i="7" s="1"/>
  <c r="H3" i="7" s="1"/>
  <c r="I3" i="7" s="1"/>
  <c r="J3" i="7" s="1"/>
  <c r="B7" i="7"/>
  <c r="M1"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5" i="6"/>
  <c r="M6" i="6"/>
  <c r="M7" i="6"/>
  <c r="M8" i="6"/>
  <c r="M9" i="6"/>
  <c r="M10" i="6"/>
  <c r="M4" i="6"/>
  <c r="J63" i="6"/>
  <c r="L61" i="6"/>
  <c r="K61" i="6"/>
  <c r="J61" i="6"/>
  <c r="L60" i="6"/>
  <c r="K60" i="6"/>
  <c r="J60" i="6"/>
  <c r="L59" i="6"/>
  <c r="K59" i="6"/>
  <c r="J59" i="6"/>
  <c r="L58" i="6"/>
  <c r="K58" i="6"/>
  <c r="J58" i="6"/>
  <c r="L57" i="6"/>
  <c r="K57" i="6"/>
  <c r="J57" i="6"/>
  <c r="L56" i="6"/>
  <c r="K56" i="6"/>
  <c r="J56" i="6"/>
  <c r="L55" i="6"/>
  <c r="K55" i="6"/>
  <c r="J55" i="6"/>
  <c r="L54" i="6"/>
  <c r="K54" i="6"/>
  <c r="J54" i="6"/>
  <c r="L53" i="6"/>
  <c r="K53" i="6"/>
  <c r="J53" i="6"/>
  <c r="L52" i="6"/>
  <c r="K52" i="6"/>
  <c r="J52" i="6"/>
  <c r="L51" i="6"/>
  <c r="K51" i="6"/>
  <c r="J51" i="6"/>
  <c r="L50" i="6"/>
  <c r="K50" i="6"/>
  <c r="J50" i="6"/>
  <c r="L49" i="6"/>
  <c r="K49" i="6"/>
  <c r="J49" i="6"/>
  <c r="L48" i="6"/>
  <c r="K48" i="6"/>
  <c r="J48" i="6"/>
  <c r="L47" i="6"/>
  <c r="K47" i="6"/>
  <c r="J47" i="6"/>
  <c r="L46" i="6"/>
  <c r="K46" i="6"/>
  <c r="J46" i="6"/>
  <c r="L45" i="6"/>
  <c r="K45" i="6"/>
  <c r="J45" i="6"/>
  <c r="L44" i="6"/>
  <c r="K44" i="6"/>
  <c r="J44" i="6"/>
  <c r="L43" i="6"/>
  <c r="K43" i="6"/>
  <c r="J43" i="6"/>
  <c r="L42" i="6"/>
  <c r="K42" i="6"/>
  <c r="J42" i="6"/>
  <c r="L41" i="6"/>
  <c r="K41" i="6"/>
  <c r="J41" i="6"/>
  <c r="L40" i="6"/>
  <c r="K40" i="6"/>
  <c r="J40" i="6"/>
  <c r="L39" i="6"/>
  <c r="K39" i="6"/>
  <c r="J39" i="6"/>
  <c r="L38" i="6"/>
  <c r="K38" i="6"/>
  <c r="J38" i="6"/>
  <c r="L37" i="6"/>
  <c r="K37" i="6"/>
  <c r="J37" i="6"/>
  <c r="L36" i="6"/>
  <c r="K36" i="6"/>
  <c r="J36" i="6"/>
  <c r="L35" i="6"/>
  <c r="K35" i="6"/>
  <c r="J35" i="6"/>
  <c r="L34" i="6"/>
  <c r="K34" i="6"/>
  <c r="J34" i="6"/>
  <c r="L33" i="6"/>
  <c r="K33" i="6"/>
  <c r="J33" i="6"/>
  <c r="L32" i="6"/>
  <c r="K32" i="6"/>
  <c r="J32" i="6"/>
  <c r="L31" i="6"/>
  <c r="K31" i="6"/>
  <c r="J31" i="6"/>
  <c r="L30" i="6"/>
  <c r="K30" i="6"/>
  <c r="J30" i="6"/>
  <c r="L29" i="6"/>
  <c r="K29" i="6"/>
  <c r="J29" i="6"/>
  <c r="L28" i="6"/>
  <c r="K28" i="6"/>
  <c r="J28" i="6"/>
  <c r="L27" i="6"/>
  <c r="K27" i="6"/>
  <c r="J27" i="6"/>
  <c r="L26" i="6"/>
  <c r="K26" i="6"/>
  <c r="J26" i="6"/>
  <c r="L25" i="6"/>
  <c r="K25" i="6"/>
  <c r="J25" i="6"/>
  <c r="L24" i="6"/>
  <c r="K24" i="6"/>
  <c r="J24" i="6"/>
  <c r="L23" i="6"/>
  <c r="K23" i="6"/>
  <c r="J23" i="6"/>
  <c r="L22" i="6"/>
  <c r="K22" i="6"/>
  <c r="J22" i="6"/>
  <c r="L21" i="6"/>
  <c r="K21" i="6"/>
  <c r="J21" i="6"/>
  <c r="L20" i="6"/>
  <c r="K20" i="6"/>
  <c r="J20" i="6"/>
  <c r="L19" i="6"/>
  <c r="K19" i="6"/>
  <c r="J19" i="6"/>
  <c r="L18" i="6"/>
  <c r="K18" i="6"/>
  <c r="J18" i="6"/>
  <c r="L17" i="6"/>
  <c r="K17" i="6"/>
  <c r="J17" i="6"/>
  <c r="L16" i="6"/>
  <c r="K16" i="6"/>
  <c r="J16" i="6"/>
  <c r="L15" i="6"/>
  <c r="K15" i="6"/>
  <c r="J15" i="6"/>
  <c r="L14" i="6"/>
  <c r="K14" i="6"/>
  <c r="J14" i="6"/>
  <c r="L13" i="6"/>
  <c r="K13" i="6"/>
  <c r="J13" i="6"/>
  <c r="L12" i="6"/>
  <c r="K12" i="6"/>
  <c r="J12" i="6"/>
  <c r="L11" i="6"/>
  <c r="K11" i="6"/>
  <c r="J11" i="6"/>
  <c r="L10" i="6"/>
  <c r="K10" i="6"/>
  <c r="J10" i="6"/>
  <c r="L9" i="6"/>
  <c r="K9" i="6"/>
  <c r="J9" i="6"/>
  <c r="L8" i="6"/>
  <c r="K8" i="6"/>
  <c r="J8" i="6"/>
  <c r="L7" i="6"/>
  <c r="K7" i="6"/>
  <c r="J7" i="6"/>
  <c r="L6" i="6"/>
  <c r="K6" i="6"/>
  <c r="J6" i="6"/>
  <c r="L5" i="6"/>
  <c r="K5" i="6"/>
  <c r="J5" i="6"/>
  <c r="L4" i="6"/>
  <c r="K4" i="6"/>
  <c r="J4" i="6"/>
  <c r="S76" i="4"/>
  <c r="R76" i="4"/>
  <c r="Q76" i="4"/>
  <c r="P76" i="4"/>
  <c r="O76" i="4"/>
  <c r="N76" i="4"/>
  <c r="G76" i="4"/>
  <c r="D76" i="4"/>
  <c r="R7291" i="1" l="1"/>
  <c r="S7291" i="1"/>
  <c r="T7291" i="1" s="1"/>
  <c r="R7314" i="1"/>
  <c r="S7314" i="1"/>
  <c r="T7314" i="1" s="1"/>
  <c r="O7322" i="1"/>
  <c r="R7321" i="1"/>
  <c r="S7321" i="1"/>
  <c r="T7321" i="1" s="1"/>
  <c r="S7350" i="1"/>
  <c r="T7350" i="1" s="1"/>
  <c r="T7351" i="1"/>
  <c r="T7336" i="1"/>
  <c r="S7335" i="1"/>
  <c r="T7342" i="1"/>
  <c r="S7341" i="1"/>
  <c r="S7344" i="1"/>
  <c r="T7345" i="1"/>
  <c r="T7303" i="1"/>
  <c r="S7302" i="1"/>
  <c r="T7302" i="1" s="1"/>
  <c r="T7328" i="1"/>
  <c r="S7327" i="1"/>
  <c r="T7316" i="1"/>
  <c r="S7315" i="1"/>
  <c r="T7315" i="1" s="1"/>
  <c r="S7305" i="1"/>
  <c r="T7305" i="1" s="1"/>
  <c r="T7306" i="1"/>
  <c r="S7300" i="1"/>
  <c r="T7301" i="1"/>
  <c r="T7296" i="1"/>
  <c r="S7295" i="1"/>
  <c r="T7295" i="1" s="1"/>
  <c r="T7367" i="1"/>
  <c r="S7366" i="1"/>
  <c r="T7366" i="1" s="1"/>
  <c r="T7374" i="1"/>
  <c r="S7373" i="1"/>
  <c r="R7354" i="1"/>
  <c r="S7354" i="1"/>
  <c r="T7354" i="1" s="1"/>
  <c r="T7388" i="1"/>
  <c r="S7387" i="1"/>
  <c r="R7539" i="1"/>
  <c r="S7539" i="1"/>
  <c r="T7539" i="1" s="1"/>
  <c r="S7568" i="1"/>
  <c r="T7569" i="1"/>
  <c r="T7359" i="1"/>
  <c r="S7358" i="1"/>
  <c r="T7358" i="1" s="1"/>
  <c r="S7361" i="1"/>
  <c r="T7361" i="1" s="1"/>
  <c r="T7362" i="1"/>
  <c r="S7337" i="1"/>
  <c r="T7337" i="1" s="1"/>
  <c r="T7338" i="1"/>
  <c r="O7330" i="1"/>
  <c r="R7329" i="1"/>
  <c r="S7329" i="1"/>
  <c r="T7329" i="1" s="1"/>
  <c r="T7332" i="1"/>
  <c r="S7331" i="1"/>
  <c r="T7331" i="1" s="1"/>
  <c r="S7376" i="1"/>
  <c r="T7377" i="1"/>
  <c r="T7324" i="1"/>
  <c r="S7323" i="1"/>
  <c r="T7323" i="1" s="1"/>
  <c r="S7369" i="1"/>
  <c r="T7369" i="1" s="1"/>
  <c r="T7370" i="1"/>
  <c r="R7543" i="1"/>
  <c r="S7543" i="1"/>
  <c r="T7543" i="1" s="1"/>
  <c r="T7257" i="1"/>
  <c r="T7310" i="1"/>
  <c r="S7309" i="1"/>
  <c r="T7382" i="1"/>
  <c r="S7381" i="1"/>
  <c r="T7381" i="1" s="1"/>
  <c r="S7356" i="1"/>
  <c r="T7357" i="1"/>
  <c r="T7391" i="1"/>
  <c r="S7390" i="1"/>
  <c r="T7393" i="1"/>
  <c r="S7392" i="1"/>
  <c r="T7392" i="1" s="1"/>
  <c r="S7312" i="1"/>
  <c r="T7313" i="1"/>
  <c r="T7294" i="1"/>
  <c r="S7293" i="1"/>
  <c r="S7287" i="1"/>
  <c r="T7287" i="1" s="1"/>
  <c r="T7288" i="1"/>
  <c r="T7320" i="1"/>
  <c r="S7319" i="1"/>
  <c r="Q2698" i="1"/>
  <c r="T7000" i="1"/>
  <c r="O7143" i="1"/>
  <c r="O7144" i="1" s="1"/>
  <c r="S6940" i="1"/>
  <c r="R6940" i="1"/>
  <c r="S7201" i="1"/>
  <c r="T7201" i="1" s="1"/>
  <c r="R7201" i="1"/>
  <c r="S6991" i="1"/>
  <c r="T6991" i="1" s="1"/>
  <c r="R6991" i="1"/>
  <c r="S7068" i="1"/>
  <c r="T7068" i="1" s="1"/>
  <c r="R7068" i="1"/>
  <c r="S7187" i="1"/>
  <c r="R7187" i="1"/>
  <c r="S6996" i="1"/>
  <c r="T6996" i="1" s="1"/>
  <c r="R6996" i="1"/>
  <c r="S7098" i="1"/>
  <c r="T7098" i="1" s="1"/>
  <c r="R7098" i="1"/>
  <c r="S7020" i="1"/>
  <c r="S7019" i="1" s="1"/>
  <c r="S7018" i="1" s="1"/>
  <c r="S7017" i="1" s="1"/>
  <c r="T7017" i="1" s="1"/>
  <c r="R7020" i="1"/>
  <c r="T7256" i="1"/>
  <c r="S7251" i="1"/>
  <c r="T7251" i="1" s="1"/>
  <c r="R7251" i="1"/>
  <c r="S7258" i="1"/>
  <c r="R7258" i="1"/>
  <c r="S7001" i="1"/>
  <c r="T7001" i="1" s="1"/>
  <c r="R7001" i="1"/>
  <c r="T6999" i="1"/>
  <c r="S7142" i="1"/>
  <c r="S6986" i="1"/>
  <c r="T6986" i="1" s="1"/>
  <c r="O6987" i="1"/>
  <c r="R6987" i="1" s="1"/>
  <c r="S6997" i="1"/>
  <c r="T6997" i="1" s="1"/>
  <c r="T6998" i="1"/>
  <c r="O7188" i="1"/>
  <c r="T7187" i="1"/>
  <c r="O7002" i="1"/>
  <c r="T6940" i="1"/>
  <c r="O6941" i="1"/>
  <c r="O7152" i="1"/>
  <c r="R7152" i="1" s="1"/>
  <c r="O7125" i="1"/>
  <c r="O7087" i="1"/>
  <c r="R7087" i="1" s="1"/>
  <c r="O7183" i="1"/>
  <c r="O6992" i="1"/>
  <c r="O7099" i="1"/>
  <c r="O7021" i="1"/>
  <c r="Q2790" i="1"/>
  <c r="T7258" i="1"/>
  <c r="O7259" i="1"/>
  <c r="Q2786" i="1"/>
  <c r="S2787" i="1"/>
  <c r="T2787" i="1" s="1"/>
  <c r="Q2788" i="1"/>
  <c r="R2934" i="1"/>
  <c r="R2787" i="1"/>
  <c r="R2790" i="1"/>
  <c r="O2791" i="1"/>
  <c r="R2791" i="1" s="1"/>
  <c r="R2788" i="1"/>
  <c r="R2786" i="1"/>
  <c r="S2789" i="1"/>
  <c r="R2789" i="1"/>
  <c r="R2797" i="1"/>
  <c r="Q2693" i="1"/>
  <c r="Q2692" i="1" s="1"/>
  <c r="Q2889" i="1"/>
  <c r="Q2849" i="1"/>
  <c r="Q2848" i="1" s="1"/>
  <c r="Q2847" i="1" s="1"/>
  <c r="Q2846" i="1" s="1"/>
  <c r="S2900" i="1"/>
  <c r="T2900" i="1" s="1"/>
  <c r="Q2779" i="1"/>
  <c r="Q2784" i="1"/>
  <c r="Q2926" i="1"/>
  <c r="R2851" i="1"/>
  <c r="Q2851" i="1"/>
  <c r="Q2896" i="1"/>
  <c r="Q2895" i="1" s="1"/>
  <c r="O2892" i="1"/>
  <c r="O2893" i="1" s="1"/>
  <c r="R2893" i="1" s="1"/>
  <c r="Q2705" i="1"/>
  <c r="R2899" i="1"/>
  <c r="O2820" i="1"/>
  <c r="R2820" i="1" s="1"/>
  <c r="R2927" i="1"/>
  <c r="R2891" i="1"/>
  <c r="Q2702" i="1"/>
  <c r="Q2701" i="1" s="1"/>
  <c r="O2852" i="1"/>
  <c r="O2853" i="1" s="1"/>
  <c r="Q2909" i="1"/>
  <c r="R2900" i="1"/>
  <c r="R2699" i="1"/>
  <c r="R2698" i="1"/>
  <c r="O2843" i="1"/>
  <c r="O2844" i="1" s="1"/>
  <c r="R2844" i="1" s="1"/>
  <c r="Q2923" i="1"/>
  <c r="Q2688" i="1"/>
  <c r="Q2755" i="1"/>
  <c r="Q2754" i="1" s="1"/>
  <c r="Q2928" i="1"/>
  <c r="S2699" i="1"/>
  <c r="T2699" i="1" s="1"/>
  <c r="S2927" i="1"/>
  <c r="T2927" i="1" s="1"/>
  <c r="Q2829" i="1"/>
  <c r="Q2696" i="1"/>
  <c r="Q2695" i="1" s="1"/>
  <c r="R2890" i="1"/>
  <c r="S2890" i="1"/>
  <c r="T2890" i="1" s="1"/>
  <c r="R2911" i="1"/>
  <c r="R2929" i="1"/>
  <c r="S2929" i="1"/>
  <c r="T2929" i="1" s="1"/>
  <c r="R2810" i="1"/>
  <c r="Q2710" i="1"/>
  <c r="Q2709" i="1" s="1"/>
  <c r="R2923" i="1"/>
  <c r="O2924" i="1"/>
  <c r="Q2818" i="1"/>
  <c r="O2780" i="1"/>
  <c r="R2779" i="1"/>
  <c r="Q2686" i="1"/>
  <c r="Q2685" i="1" s="1"/>
  <c r="Q2684" i="1" s="1"/>
  <c r="Q2844" i="1"/>
  <c r="Q2843" i="1" s="1"/>
  <c r="Q2704" i="1"/>
  <c r="Q2703" i="1" s="1"/>
  <c r="R2831" i="1"/>
  <c r="Q2899" i="1"/>
  <c r="R2881" i="1"/>
  <c r="S2881" i="1"/>
  <c r="T2881" i="1" s="1"/>
  <c r="R2889" i="1"/>
  <c r="R2705" i="1"/>
  <c r="R2926" i="1"/>
  <c r="O2695" i="1"/>
  <c r="O2696" i="1" s="1"/>
  <c r="R2696" i="1" s="1"/>
  <c r="R2928" i="1"/>
  <c r="O2701" i="1"/>
  <c r="O2702" i="1" s="1"/>
  <c r="R2702" i="1" s="1"/>
  <c r="AC615" i="1"/>
  <c r="AC609" i="1"/>
  <c r="X503" i="1"/>
  <c r="Y503" i="1" s="1"/>
  <c r="AC655" i="1"/>
  <c r="AC757" i="1"/>
  <c r="AC643" i="1"/>
  <c r="AC747" i="1"/>
  <c r="AC695" i="1"/>
  <c r="AC663" i="1"/>
  <c r="AC619" i="1"/>
  <c r="AC587" i="1"/>
  <c r="AC625" i="1"/>
  <c r="AC679" i="1"/>
  <c r="AC577" i="1"/>
  <c r="AC683" i="1"/>
  <c r="AC648" i="1"/>
  <c r="AC627" i="1"/>
  <c r="AC773" i="1"/>
  <c r="X461" i="1"/>
  <c r="Y461" i="1" s="1"/>
  <c r="AC761" i="1"/>
  <c r="AC703" i="1"/>
  <c r="AC573" i="1"/>
  <c r="AC651" i="1"/>
  <c r="AC557" i="1"/>
  <c r="AC601" i="1"/>
  <c r="AC617" i="1"/>
  <c r="AC777" i="1"/>
  <c r="AC541" i="1"/>
  <c r="AC760" i="1"/>
  <c r="AC707" i="1"/>
  <c r="AC776" i="1"/>
  <c r="AC599" i="1"/>
  <c r="AC657" i="1"/>
  <c r="AD657" i="1" s="1"/>
  <c r="AC633" i="1"/>
  <c r="AC631" i="1"/>
  <c r="AC595" i="1"/>
  <c r="AC656" i="1"/>
  <c r="AC649" i="1"/>
  <c r="AC647" i="1"/>
  <c r="AC759" i="1"/>
  <c r="AC721" i="1"/>
  <c r="AC591" i="1"/>
  <c r="AD591" i="1" s="1"/>
  <c r="X180" i="1"/>
  <c r="Y180" i="1" s="1"/>
  <c r="AC699" i="1"/>
  <c r="AC724" i="1"/>
  <c r="AC691" i="1"/>
  <c r="X483" i="1"/>
  <c r="Y483" i="1" s="1"/>
  <c r="AC635" i="1"/>
  <c r="AC687" i="1"/>
  <c r="O2781" i="1"/>
  <c r="R2700" i="1"/>
  <c r="S2700" i="1"/>
  <c r="T2700" i="1" s="1"/>
  <c r="S2706" i="1"/>
  <c r="R2706" i="1"/>
  <c r="R6919" i="1"/>
  <c r="S6919" i="1"/>
  <c r="O6920" i="1"/>
  <c r="R2689" i="1"/>
  <c r="R2688" i="1" s="1"/>
  <c r="O2690" i="1"/>
  <c r="O2902" i="1"/>
  <c r="O2903" i="1" s="1"/>
  <c r="O2904" i="1" s="1"/>
  <c r="R2904" i="1" s="1"/>
  <c r="S2901" i="1"/>
  <c r="T2901" i="1" s="1"/>
  <c r="R2901" i="1"/>
  <c r="O2804" i="1"/>
  <c r="AC769" i="1"/>
  <c r="AC632" i="1"/>
  <c r="AC766" i="1"/>
  <c r="AD766" i="1" s="1"/>
  <c r="AC641" i="1"/>
  <c r="AC640" i="1"/>
  <c r="AC765" i="1"/>
  <c r="AC624" i="1"/>
  <c r="AC756" i="1"/>
  <c r="AC749" i="1"/>
  <c r="AC755" i="1"/>
  <c r="AC778" i="1"/>
  <c r="AC750" i="1"/>
  <c r="AC762" i="1"/>
  <c r="AC758" i="1"/>
  <c r="AC618" i="1"/>
  <c r="AC590" i="1"/>
  <c r="AC774" i="1"/>
  <c r="AC770" i="1"/>
  <c r="AD770" i="1" s="1"/>
  <c r="AC772" i="1"/>
  <c r="AC768" i="1"/>
  <c r="AC764" i="1"/>
  <c r="AC704" i="1"/>
  <c r="AC606" i="1"/>
  <c r="AC700" i="1"/>
  <c r="AC727" i="1"/>
  <c r="AC521" i="1"/>
  <c r="AC696" i="1"/>
  <c r="AC579" i="1"/>
  <c r="AC515" i="1"/>
  <c r="AC589" i="1"/>
  <c r="AC711" i="1"/>
  <c r="AC669" i="1"/>
  <c r="AC719" i="1"/>
  <c r="AC513" i="1"/>
  <c r="AC511" i="1"/>
  <c r="AC639" i="1"/>
  <c r="AC746" i="1"/>
  <c r="AC581" i="1"/>
  <c r="AC525" i="1"/>
  <c r="AC661" i="1"/>
  <c r="AC547" i="1"/>
  <c r="AC688" i="1"/>
  <c r="AC754" i="1"/>
  <c r="AC708" i="1"/>
  <c r="AC613" i="1"/>
  <c r="AC517" i="1"/>
  <c r="AC597" i="1"/>
  <c r="AC660" i="1"/>
  <c r="AC684" i="1"/>
  <c r="AC672" i="1"/>
  <c r="AC527" i="1"/>
  <c r="AC665" i="1"/>
  <c r="AC692" i="1"/>
  <c r="AC593" i="1"/>
  <c r="AC565" i="1"/>
  <c r="AC529" i="1"/>
  <c r="AC523" i="1"/>
  <c r="AC753" i="1"/>
  <c r="AC549" i="1"/>
  <c r="AC509" i="1"/>
  <c r="AC507" i="1"/>
  <c r="AC505" i="1"/>
  <c r="AC623" i="1"/>
  <c r="AC680" i="1"/>
  <c r="AC673" i="1"/>
  <c r="AC668" i="1"/>
  <c r="AC605" i="1"/>
  <c r="AD605" i="1" s="1"/>
  <c r="AC519" i="1"/>
  <c r="AC664" i="1"/>
  <c r="AC531" i="1"/>
  <c r="AC676" i="1"/>
  <c r="AC563" i="1"/>
  <c r="AC686" i="1"/>
  <c r="AC678" i="1"/>
  <c r="AC718" i="1"/>
  <c r="AC748" i="1"/>
  <c r="AC726" i="1"/>
  <c r="AC714" i="1"/>
  <c r="AC706" i="1"/>
  <c r="AC682" i="1"/>
  <c r="AC551" i="1"/>
  <c r="AC528" i="1"/>
  <c r="AC722" i="1"/>
  <c r="AC698" i="1"/>
  <c r="AC690" i="1"/>
  <c r="AD690" i="1" s="1"/>
  <c r="AC681" i="1"/>
  <c r="AC662" i="1"/>
  <c r="AC752" i="1"/>
  <c r="AC705" i="1"/>
  <c r="AC689" i="1"/>
  <c r="AC674" i="1"/>
  <c r="AC546" i="1"/>
  <c r="AC542" i="1"/>
  <c r="AD542" i="1" s="1"/>
  <c r="AC512" i="1"/>
  <c r="AC697" i="1"/>
  <c r="AC530" i="1"/>
  <c r="AC608" i="1"/>
  <c r="AC583" i="1"/>
  <c r="AC578" i="1"/>
  <c r="AC572" i="1"/>
  <c r="AC560" i="1"/>
  <c r="AC536" i="1"/>
  <c r="AC526" i="1"/>
  <c r="AC510" i="1"/>
  <c r="AC666" i="1"/>
  <c r="AD666" i="1" s="1"/>
  <c r="AC616" i="1"/>
  <c r="AC574" i="1"/>
  <c r="AC554" i="1"/>
  <c r="AC532" i="1"/>
  <c r="AC514" i="1"/>
  <c r="AC582" i="1"/>
  <c r="AC567" i="1"/>
  <c r="AC556" i="1"/>
  <c r="AC548" i="1"/>
  <c r="AC516" i="1"/>
  <c r="AC562" i="1"/>
  <c r="AC558" i="1"/>
  <c r="AC550" i="1"/>
  <c r="AC538" i="1"/>
  <c r="AC518" i="1"/>
  <c r="AC604" i="1"/>
  <c r="AD604" i="1" s="1"/>
  <c r="AC576" i="1"/>
  <c r="AC570" i="1"/>
  <c r="AC544" i="1"/>
  <c r="AC520" i="1"/>
  <c r="AC504" i="1"/>
  <c r="AC670" i="1"/>
  <c r="AC612" i="1"/>
  <c r="AC564" i="1"/>
  <c r="AC522" i="1"/>
  <c r="AC506" i="1"/>
  <c r="AD506" i="1" s="1"/>
  <c r="AC600" i="1"/>
  <c r="AC575" i="1"/>
  <c r="AC566" i="1"/>
  <c r="AC540" i="1"/>
  <c r="AC533" i="1"/>
  <c r="AC524" i="1"/>
  <c r="AC508" i="1"/>
  <c r="AD508" i="1" s="1"/>
  <c r="AC728" i="1"/>
  <c r="AC717" i="1"/>
  <c r="AC712" i="1"/>
  <c r="AC710" i="1"/>
  <c r="AC701" i="1"/>
  <c r="AD701" i="1" s="1"/>
  <c r="AC779" i="1"/>
  <c r="AC775" i="1"/>
  <c r="AC771" i="1"/>
  <c r="AC767" i="1"/>
  <c r="AC763" i="1"/>
  <c r="AC720" i="1"/>
  <c r="AC685" i="1"/>
  <c r="AD685" i="1" s="1"/>
  <c r="AC694" i="1"/>
  <c r="AC716" i="1"/>
  <c r="AC709" i="1"/>
  <c r="AD709" i="1" s="1"/>
  <c r="AC723" i="1"/>
  <c r="AC713" i="1"/>
  <c r="AC702" i="1"/>
  <c r="AC693" i="1"/>
  <c r="AC751" i="1"/>
  <c r="AC715" i="1"/>
  <c r="AC650" i="1"/>
  <c r="AC671" i="1"/>
  <c r="AC677" i="1"/>
  <c r="AD677" i="1" s="1"/>
  <c r="AC545" i="1"/>
  <c r="AC659" i="1"/>
  <c r="AD659" i="1" s="1"/>
  <c r="AC626" i="1"/>
  <c r="AD626" i="1" s="1"/>
  <c r="AC561" i="1"/>
  <c r="AD561" i="1" s="1"/>
  <c r="AC675" i="1"/>
  <c r="AC667" i="1"/>
  <c r="AD667" i="1" s="1"/>
  <c r="AC654" i="1"/>
  <c r="AC534" i="1"/>
  <c r="AC725" i="1"/>
  <c r="AC658" i="1"/>
  <c r="AD658" i="1" s="1"/>
  <c r="AC642" i="1"/>
  <c r="AC634" i="1"/>
  <c r="AC586" i="1"/>
  <c r="AC652" i="1"/>
  <c r="AC644" i="1"/>
  <c r="AD644" i="1" s="1"/>
  <c r="AC636" i="1"/>
  <c r="AC628" i="1"/>
  <c r="AC620" i="1"/>
  <c r="AC602" i="1"/>
  <c r="AC571" i="1"/>
  <c r="AD571" i="1" s="1"/>
  <c r="AC653" i="1"/>
  <c r="AC645" i="1"/>
  <c r="AD645" i="1" s="1"/>
  <c r="AC637" i="1"/>
  <c r="AD637" i="1" s="1"/>
  <c r="AC629" i="1"/>
  <c r="AD629" i="1" s="1"/>
  <c r="AC621" i="1"/>
  <c r="AD621" i="1" s="1"/>
  <c r="AC614" i="1"/>
  <c r="AC607" i="1"/>
  <c r="AC598" i="1"/>
  <c r="AC568" i="1"/>
  <c r="AC552" i="1"/>
  <c r="AC580" i="1"/>
  <c r="AC646" i="1"/>
  <c r="AD646" i="1" s="1"/>
  <c r="AC638" i="1"/>
  <c r="AD638" i="1" s="1"/>
  <c r="AC630" i="1"/>
  <c r="AC622" i="1"/>
  <c r="AC610" i="1"/>
  <c r="AC594" i="1"/>
  <c r="AC559" i="1"/>
  <c r="AC543" i="1"/>
  <c r="AC584" i="1"/>
  <c r="AC555" i="1"/>
  <c r="AC539" i="1"/>
  <c r="AC611" i="1"/>
  <c r="AD611" i="1" s="1"/>
  <c r="AC603" i="1"/>
  <c r="AC596" i="1"/>
  <c r="AC592" i="1"/>
  <c r="AC588" i="1"/>
  <c r="AC585" i="1"/>
  <c r="AD585" i="1" s="1"/>
  <c r="AC569" i="1"/>
  <c r="AD569" i="1" s="1"/>
  <c r="AC553" i="1"/>
  <c r="AC537" i="1"/>
  <c r="AC535" i="1"/>
  <c r="AU1122" i="1"/>
  <c r="AU1124" i="1" s="1"/>
  <c r="AU1121" i="1"/>
  <c r="C24" i="7"/>
  <c r="B24" i="7"/>
  <c r="C38" i="7"/>
  <c r="B38" i="7"/>
  <c r="B19" i="7"/>
  <c r="B20" i="7" s="1"/>
  <c r="K63" i="6"/>
  <c r="J4" i="7"/>
  <c r="K3" i="7"/>
  <c r="L3" i="7" s="1"/>
  <c r="M3" i="7" s="1"/>
  <c r="B30" i="7"/>
  <c r="C19" i="7"/>
  <c r="C40" i="7"/>
  <c r="B8" i="7"/>
  <c r="B9" i="7" s="1"/>
  <c r="E11" i="7"/>
  <c r="B12" i="7"/>
  <c r="E27" i="7"/>
  <c r="D5" i="7"/>
  <c r="C7" i="7"/>
  <c r="L63" i="6"/>
  <c r="M63" i="6"/>
  <c r="E76" i="4"/>
  <c r="T13" i="4"/>
  <c r="U13" i="4"/>
  <c r="V13" i="4"/>
  <c r="W13" i="4"/>
  <c r="X13" i="4"/>
  <c r="Y13" i="4"/>
  <c r="T14" i="4"/>
  <c r="U14" i="4"/>
  <c r="V14" i="4"/>
  <c r="W14" i="4"/>
  <c r="X14" i="4"/>
  <c r="Y14" i="4"/>
  <c r="T15" i="4"/>
  <c r="U15" i="4"/>
  <c r="V15" i="4"/>
  <c r="W15" i="4"/>
  <c r="X15" i="4"/>
  <c r="Y15" i="4"/>
  <c r="T17" i="4"/>
  <c r="U17" i="4"/>
  <c r="V17" i="4"/>
  <c r="W17" i="4"/>
  <c r="X17" i="4"/>
  <c r="Y17" i="4"/>
  <c r="T18" i="4"/>
  <c r="U18" i="4"/>
  <c r="V18" i="4"/>
  <c r="W18" i="4"/>
  <c r="X18" i="4"/>
  <c r="Y18" i="4"/>
  <c r="T20" i="4"/>
  <c r="U20" i="4"/>
  <c r="V20" i="4"/>
  <c r="W20" i="4"/>
  <c r="X20" i="4"/>
  <c r="Y20" i="4"/>
  <c r="T22" i="4"/>
  <c r="U22" i="4"/>
  <c r="V22" i="4"/>
  <c r="W22" i="4"/>
  <c r="X22" i="4"/>
  <c r="Y22" i="4"/>
  <c r="T23" i="4"/>
  <c r="U23" i="4"/>
  <c r="V23" i="4"/>
  <c r="W23" i="4"/>
  <c r="X23" i="4"/>
  <c r="Y23" i="4"/>
  <c r="T24" i="4"/>
  <c r="U24" i="4"/>
  <c r="V24" i="4"/>
  <c r="W24" i="4"/>
  <c r="X24" i="4"/>
  <c r="Y24" i="4"/>
  <c r="T25" i="4"/>
  <c r="U25" i="4"/>
  <c r="V25" i="4"/>
  <c r="W25" i="4"/>
  <c r="X25" i="4"/>
  <c r="Y25" i="4"/>
  <c r="T26" i="4"/>
  <c r="U26" i="4"/>
  <c r="V26" i="4"/>
  <c r="W26" i="4"/>
  <c r="X26" i="4"/>
  <c r="Y26" i="4"/>
  <c r="T27" i="4"/>
  <c r="U27" i="4"/>
  <c r="V27" i="4"/>
  <c r="W27" i="4"/>
  <c r="X27" i="4"/>
  <c r="Y27" i="4"/>
  <c r="T28" i="4"/>
  <c r="U28" i="4"/>
  <c r="V28" i="4"/>
  <c r="W28" i="4"/>
  <c r="X28" i="4"/>
  <c r="Y28" i="4"/>
  <c r="T29" i="4"/>
  <c r="U29" i="4"/>
  <c r="V29" i="4"/>
  <c r="W29" i="4"/>
  <c r="X29" i="4"/>
  <c r="Y29" i="4"/>
  <c r="T31" i="4"/>
  <c r="U31" i="4"/>
  <c r="V31" i="4"/>
  <c r="W31" i="4"/>
  <c r="X31" i="4"/>
  <c r="Y31" i="4"/>
  <c r="T35" i="4"/>
  <c r="U35" i="4"/>
  <c r="V35" i="4"/>
  <c r="W35" i="4"/>
  <c r="X35" i="4"/>
  <c r="Y35" i="4"/>
  <c r="T40" i="4"/>
  <c r="U40" i="4"/>
  <c r="V40" i="4"/>
  <c r="W40" i="4"/>
  <c r="X40" i="4"/>
  <c r="Y40" i="4"/>
  <c r="T44" i="4"/>
  <c r="U44" i="4"/>
  <c r="V44" i="4"/>
  <c r="W44" i="4"/>
  <c r="X44" i="4"/>
  <c r="Y44" i="4"/>
  <c r="T50" i="4"/>
  <c r="U50" i="4"/>
  <c r="V50" i="4"/>
  <c r="W50" i="4"/>
  <c r="X50" i="4"/>
  <c r="Y50" i="4"/>
  <c r="T51" i="4"/>
  <c r="U51" i="4"/>
  <c r="V51" i="4"/>
  <c r="W51" i="4"/>
  <c r="X51" i="4"/>
  <c r="Y51" i="4"/>
  <c r="T52" i="4"/>
  <c r="U52" i="4"/>
  <c r="V52" i="4"/>
  <c r="W52" i="4"/>
  <c r="X52" i="4"/>
  <c r="Y52" i="4"/>
  <c r="T57" i="4"/>
  <c r="U57" i="4"/>
  <c r="V57" i="4"/>
  <c r="W57" i="4"/>
  <c r="X57" i="4"/>
  <c r="Y57" i="4"/>
  <c r="T61" i="4"/>
  <c r="U61" i="4"/>
  <c r="V61" i="4"/>
  <c r="W61" i="4"/>
  <c r="X61" i="4"/>
  <c r="Y61" i="4"/>
  <c r="T63" i="4"/>
  <c r="U63" i="4"/>
  <c r="V63" i="4"/>
  <c r="W63" i="4"/>
  <c r="X63" i="4"/>
  <c r="Y63" i="4"/>
  <c r="T65" i="4"/>
  <c r="U65" i="4"/>
  <c r="V65" i="4"/>
  <c r="W65" i="4"/>
  <c r="X65" i="4"/>
  <c r="Y65" i="4"/>
  <c r="T66" i="4"/>
  <c r="U66" i="4"/>
  <c r="V66" i="4"/>
  <c r="W66" i="4"/>
  <c r="X66" i="4"/>
  <c r="Y66" i="4"/>
  <c r="T67" i="4"/>
  <c r="U67" i="4"/>
  <c r="V67" i="4"/>
  <c r="W67" i="4"/>
  <c r="X67" i="4"/>
  <c r="Y67" i="4"/>
  <c r="U11" i="4"/>
  <c r="V11" i="4"/>
  <c r="W11" i="4"/>
  <c r="X11" i="4"/>
  <c r="Y11" i="4"/>
  <c r="U10" i="4"/>
  <c r="T11" i="4"/>
  <c r="U3" i="1"/>
  <c r="P3" i="1"/>
  <c r="U2" i="1"/>
  <c r="P2" i="1"/>
  <c r="Q2" i="1" s="1"/>
  <c r="O2" i="1"/>
  <c r="O3" i="1" s="1"/>
  <c r="A1971" i="1"/>
  <c r="P1971" i="1" s="1"/>
  <c r="A1972" i="1"/>
  <c r="A1973" i="1"/>
  <c r="A1974" i="1"/>
  <c r="A1975" i="1"/>
  <c r="A1976" i="1"/>
  <c r="A1977" i="1"/>
  <c r="A1978" i="1"/>
  <c r="A1979" i="1"/>
  <c r="A1980" i="1"/>
  <c r="A1981" i="1"/>
  <c r="A1982" i="1"/>
  <c r="A1983" i="1"/>
  <c r="A1984" i="1"/>
  <c r="A1985" i="1"/>
  <c r="A2508" i="1"/>
  <c r="A2509" i="1"/>
  <c r="A2510" i="1"/>
  <c r="A2511" i="1"/>
  <c r="A2512" i="1"/>
  <c r="A2513" i="1"/>
  <c r="A2514" i="1"/>
  <c r="A2515" i="1"/>
  <c r="A2027" i="1"/>
  <c r="A2026" i="1"/>
  <c r="A2028" i="1"/>
  <c r="A2029" i="1"/>
  <c r="A2030" i="1"/>
  <c r="A2032" i="1"/>
  <c r="A2031" i="1"/>
  <c r="A2033" i="1"/>
  <c r="A2034" i="1"/>
  <c r="A2035" i="1"/>
  <c r="A2036" i="1"/>
  <c r="A2037" i="1"/>
  <c r="A2038" i="1"/>
  <c r="A2039" i="1"/>
  <c r="A2040" i="1"/>
  <c r="A2041" i="1"/>
  <c r="A2042" i="1"/>
  <c r="A2043" i="1"/>
  <c r="A2086" i="1"/>
  <c r="A2085" i="1"/>
  <c r="A2388" i="1"/>
  <c r="A2389" i="1"/>
  <c r="A2088" i="1"/>
  <c r="A2087" i="1"/>
  <c r="A2090" i="1"/>
  <c r="A2089" i="1"/>
  <c r="A2092" i="1"/>
  <c r="A2091" i="1"/>
  <c r="A2292" i="1"/>
  <c r="A2293" i="1"/>
  <c r="A2044" i="1"/>
  <c r="A2045" i="1"/>
  <c r="A2046" i="1"/>
  <c r="A2047" i="1"/>
  <c r="A2164" i="1"/>
  <c r="A2165" i="1"/>
  <c r="A2166" i="1"/>
  <c r="A2167" i="1"/>
  <c r="A2168" i="1"/>
  <c r="A2169" i="1"/>
  <c r="A2170" i="1"/>
  <c r="A2171" i="1"/>
  <c r="A2172" i="1"/>
  <c r="A2173" i="1"/>
  <c r="A2174" i="1"/>
  <c r="A2175" i="1"/>
  <c r="A2176" i="1"/>
  <c r="A2177" i="1"/>
  <c r="A2178" i="1"/>
  <c r="A2179" i="1"/>
  <c r="A2181" i="1"/>
  <c r="A2180" i="1"/>
  <c r="A2182" i="1"/>
  <c r="A2183" i="1"/>
  <c r="A2094" i="1"/>
  <c r="A2093" i="1"/>
  <c r="A2096" i="1"/>
  <c r="A2095" i="1"/>
  <c r="A2098" i="1"/>
  <c r="A2097" i="1"/>
  <c r="A2100" i="1"/>
  <c r="A2099" i="1"/>
  <c r="A2102" i="1"/>
  <c r="A2101" i="1"/>
  <c r="A2241" i="1"/>
  <c r="A2240" i="1"/>
  <c r="A2294" i="1"/>
  <c r="A2295" i="1"/>
  <c r="A2296" i="1"/>
  <c r="A2297" i="1"/>
  <c r="A2298" i="1"/>
  <c r="A2299" i="1"/>
  <c r="A2565" i="1"/>
  <c r="A2567" i="1"/>
  <c r="A2564" i="1"/>
  <c r="A2566" i="1"/>
  <c r="A2390" i="1"/>
  <c r="A2391" i="1"/>
  <c r="A2049" i="1"/>
  <c r="A2048" i="1"/>
  <c r="A2050" i="1"/>
  <c r="A2051" i="1"/>
  <c r="A2568" i="1"/>
  <c r="A2569" i="1"/>
  <c r="A2570" i="1"/>
  <c r="A2571" i="1"/>
  <c r="A2572" i="1"/>
  <c r="A2573" i="1"/>
  <c r="A2574" i="1"/>
  <c r="A2575" i="1"/>
  <c r="A2392" i="1"/>
  <c r="A2393" i="1"/>
  <c r="A2104" i="1"/>
  <c r="A2103" i="1"/>
  <c r="A2105" i="1"/>
  <c r="A2458" i="1"/>
  <c r="A2457" i="1"/>
  <c r="A2107" i="1"/>
  <c r="A2106" i="1"/>
  <c r="A2109" i="1"/>
  <c r="A2108" i="1"/>
  <c r="A2516" i="1"/>
  <c r="A2517" i="1"/>
  <c r="A2518" i="1"/>
  <c r="A2519" i="1"/>
  <c r="A2300" i="1"/>
  <c r="A2301" i="1"/>
  <c r="A2184" i="1"/>
  <c r="A2185" i="1"/>
  <c r="A2186" i="1"/>
  <c r="A2187" i="1"/>
  <c r="A2188" i="1"/>
  <c r="A2189" i="1"/>
  <c r="A2190" i="1"/>
  <c r="A2191" i="1"/>
  <c r="A2192" i="1"/>
  <c r="A2193" i="1"/>
  <c r="A2194" i="1"/>
  <c r="A2195" i="1"/>
  <c r="A2196" i="1"/>
  <c r="A2197" i="1"/>
  <c r="A2198" i="1"/>
  <c r="A2199" i="1"/>
  <c r="A2200" i="1"/>
  <c r="A2201" i="1"/>
  <c r="A1987" i="1"/>
  <c r="A1986" i="1"/>
  <c r="A2576" i="1"/>
  <c r="A2395" i="1"/>
  <c r="A2394" i="1"/>
  <c r="A2202" i="1"/>
  <c r="A2203" i="1"/>
  <c r="A2302" i="1"/>
  <c r="A2459" i="1"/>
  <c r="A2460" i="1"/>
  <c r="A2110" i="1"/>
  <c r="A1989" i="1"/>
  <c r="A1988" i="1"/>
  <c r="A1990" i="1"/>
  <c r="A1991" i="1"/>
  <c r="A1992" i="1"/>
  <c r="A1993" i="1"/>
  <c r="A1994" i="1"/>
  <c r="A1995" i="1"/>
  <c r="A1996" i="1"/>
  <c r="A1997" i="1"/>
  <c r="A1998" i="1"/>
  <c r="A1999" i="1"/>
  <c r="A2000" i="1"/>
  <c r="A2001" i="1"/>
  <c r="A2577" i="1"/>
  <c r="A2578" i="1"/>
  <c r="A2579" i="1"/>
  <c r="A2580" i="1"/>
  <c r="A2396" i="1"/>
  <c r="A2397" i="1"/>
  <c r="A2398" i="1"/>
  <c r="A2399" i="1"/>
  <c r="A2400" i="1"/>
  <c r="A2401" i="1"/>
  <c r="A2402" i="1"/>
  <c r="A2403" i="1"/>
  <c r="A2404" i="1"/>
  <c r="A2405" i="1"/>
  <c r="A2112" i="1"/>
  <c r="A2111" i="1"/>
  <c r="A2114" i="1"/>
  <c r="A2113" i="1"/>
  <c r="A2116" i="1"/>
  <c r="A2115" i="1"/>
  <c r="A2118" i="1"/>
  <c r="A2117" i="1"/>
  <c r="A2120" i="1"/>
  <c r="A2119" i="1"/>
  <c r="A2204" i="1"/>
  <c r="A2205" i="1"/>
  <c r="A2206" i="1"/>
  <c r="A2207" i="1"/>
  <c r="A2208" i="1"/>
  <c r="A2209" i="1"/>
  <c r="A2210" i="1"/>
  <c r="A2211" i="1"/>
  <c r="A2212" i="1"/>
  <c r="A2213" i="1"/>
  <c r="A2214" i="1"/>
  <c r="A2215" i="1"/>
  <c r="A2303" i="1"/>
  <c r="A2304" i="1"/>
  <c r="A2305" i="1"/>
  <c r="A2306" i="1"/>
  <c r="A2307" i="1"/>
  <c r="A2308" i="1"/>
  <c r="A2309" i="1"/>
  <c r="A2310" i="1"/>
  <c r="A2311" i="1"/>
  <c r="A2312" i="1"/>
  <c r="A2313" i="1"/>
  <c r="A2314" i="1"/>
  <c r="A2315" i="1"/>
  <c r="A2316" i="1"/>
  <c r="A2461" i="1"/>
  <c r="A2462" i="1"/>
  <c r="A2463" i="1"/>
  <c r="A2464" i="1"/>
  <c r="A2465" i="1"/>
  <c r="A2466" i="1"/>
  <c r="A2467" i="1"/>
  <c r="A2468" i="1"/>
  <c r="A2317" i="1"/>
  <c r="A2318" i="1"/>
  <c r="A2319" i="1"/>
  <c r="A2320" i="1"/>
  <c r="A2242" i="1"/>
  <c r="A2243" i="1"/>
  <c r="A2244" i="1"/>
  <c r="A2246" i="1"/>
  <c r="A2245" i="1"/>
  <c r="A2321" i="1"/>
  <c r="A2322" i="1"/>
  <c r="A2323" i="1"/>
  <c r="A2324" i="1"/>
  <c r="A2325" i="1"/>
  <c r="A2326" i="1"/>
  <c r="A2327" i="1"/>
  <c r="A2328" i="1"/>
  <c r="A2329" i="1"/>
  <c r="A2330" i="1"/>
  <c r="A2331" i="1"/>
  <c r="A2332" i="1"/>
  <c r="A2333" i="1"/>
  <c r="A2406" i="1"/>
  <c r="A2407" i="1"/>
  <c r="A2408" i="1"/>
  <c r="A2409" i="1"/>
  <c r="A2410" i="1"/>
  <c r="A2411" i="1"/>
  <c r="A2581" i="1"/>
  <c r="A2582" i="1"/>
  <c r="A2247" i="1"/>
  <c r="A2248" i="1"/>
  <c r="A2584" i="1"/>
  <c r="A2583" i="1"/>
  <c r="A2585" i="1"/>
  <c r="A2586" i="1"/>
  <c r="A2588" i="1"/>
  <c r="A2587" i="1"/>
  <c r="A2412" i="1"/>
  <c r="A2413" i="1"/>
  <c r="A2414" i="1"/>
  <c r="A2416" i="1"/>
  <c r="A2415" i="1"/>
  <c r="A2417" i="1"/>
  <c r="A2418" i="1"/>
  <c r="A2419" i="1"/>
  <c r="A2420" i="1"/>
  <c r="A2421" i="1"/>
  <c r="A2422" i="1"/>
  <c r="A2423" i="1"/>
  <c r="A2424" i="1"/>
  <c r="A2425" i="1"/>
  <c r="A2122" i="1"/>
  <c r="A2121" i="1"/>
  <c r="A2520" i="1"/>
  <c r="A2521" i="1"/>
  <c r="A2124" i="1"/>
  <c r="A2123" i="1"/>
  <c r="A2522" i="1"/>
  <c r="A2523" i="1"/>
  <c r="A2469" i="1"/>
  <c r="A2470" i="1"/>
  <c r="A2471" i="1"/>
  <c r="A2472" i="1"/>
  <c r="A2473" i="1"/>
  <c r="A2474" i="1"/>
  <c r="A2475" i="1"/>
  <c r="A2476" i="1"/>
  <c r="A2477" i="1"/>
  <c r="A2478" i="1"/>
  <c r="A2479" i="1"/>
  <c r="A2480" i="1"/>
  <c r="A2481" i="1"/>
  <c r="A2482" i="1"/>
  <c r="A2483" i="1"/>
  <c r="A2484" i="1"/>
  <c r="A2485" i="1"/>
  <c r="A2486" i="1"/>
  <c r="A2487" i="1"/>
  <c r="A2488" i="1"/>
  <c r="A2490" i="1"/>
  <c r="A2489" i="1"/>
  <c r="A2426" i="1"/>
  <c r="A2427" i="1"/>
  <c r="A2491" i="1"/>
  <c r="A2492" i="1"/>
  <c r="A2493" i="1"/>
  <c r="A2494" i="1"/>
  <c r="A2335" i="1"/>
  <c r="A2334" i="1"/>
  <c r="A2336" i="1"/>
  <c r="A2337" i="1"/>
  <c r="A2495" i="1"/>
  <c r="A2496" i="1"/>
  <c r="A2589" i="1"/>
  <c r="A2590" i="1"/>
  <c r="A2524" i="1"/>
  <c r="A2525" i="1"/>
  <c r="A2529" i="1"/>
  <c r="A2530" i="1"/>
  <c r="A2527" i="1"/>
  <c r="A2541" i="1"/>
  <c r="A2526" i="1"/>
  <c r="A2531" i="1"/>
  <c r="A2532" i="1"/>
  <c r="A2538" i="1"/>
  <c r="A2535" i="1"/>
  <c r="A2540" i="1"/>
  <c r="A2539" i="1"/>
  <c r="A2542" i="1"/>
  <c r="A2543" i="1"/>
  <c r="A2534" i="1"/>
  <c r="A2533" i="1"/>
  <c r="A2536" i="1"/>
  <c r="A2537" i="1"/>
  <c r="A2544" i="1"/>
  <c r="A2528" i="1"/>
  <c r="A2545" i="1"/>
  <c r="A2546" i="1"/>
  <c r="A2547" i="1"/>
  <c r="A2548" i="1"/>
  <c r="A2550" i="1"/>
  <c r="A2549" i="1"/>
  <c r="A2551" i="1"/>
  <c r="A2552" i="1"/>
  <c r="A2553" i="1"/>
  <c r="A2554" i="1"/>
  <c r="A2555" i="1"/>
  <c r="A2556" i="1"/>
  <c r="A2557" i="1"/>
  <c r="A2558" i="1"/>
  <c r="A2081" i="1"/>
  <c r="A2052" i="1"/>
  <c r="A2082" i="1"/>
  <c r="A2083" i="1"/>
  <c r="A2084" i="1"/>
  <c r="A2125" i="1"/>
  <c r="A2428" i="1"/>
  <c r="A2338" i="1"/>
  <c r="A2339" i="1"/>
  <c r="A2340" i="1"/>
  <c r="A2342" i="1"/>
  <c r="A2341" i="1"/>
  <c r="A2127" i="1"/>
  <c r="A2129" i="1"/>
  <c r="A2126" i="1"/>
  <c r="A2128" i="1"/>
  <c r="P2128" i="1" s="1"/>
  <c r="A2132" i="1"/>
  <c r="A2130" i="1"/>
  <c r="A2131" i="1"/>
  <c r="A2133" i="1"/>
  <c r="A2004" i="1"/>
  <c r="A2005" i="1"/>
  <c r="A2135" i="1"/>
  <c r="A2134" i="1"/>
  <c r="A2136" i="1"/>
  <c r="A2137" i="1"/>
  <c r="A2138" i="1"/>
  <c r="A2139" i="1"/>
  <c r="A2141" i="1"/>
  <c r="A2140" i="1"/>
  <c r="A2144" i="1"/>
  <c r="A2142" i="1"/>
  <c r="A2143" i="1"/>
  <c r="A2344" i="1"/>
  <c r="A2343" i="1"/>
  <c r="A2345" i="1"/>
  <c r="A2347" i="1"/>
  <c r="A2346" i="1"/>
  <c r="A2348" i="1"/>
  <c r="A2349" i="1"/>
  <c r="A2350" i="1"/>
  <c r="A2351" i="1"/>
  <c r="A2352" i="1"/>
  <c r="A2353" i="1"/>
  <c r="A2354" i="1"/>
  <c r="A2355" i="1"/>
  <c r="A2356" i="1"/>
  <c r="A2357" i="1"/>
  <c r="A2358" i="1"/>
  <c r="A2359" i="1"/>
  <c r="A2218" i="1"/>
  <c r="A2219" i="1"/>
  <c r="A2360" i="1"/>
  <c r="A2361" i="1"/>
  <c r="A2362" i="1"/>
  <c r="A2363" i="1"/>
  <c r="A2364" i="1"/>
  <c r="A2365" i="1"/>
  <c r="A2430" i="1"/>
  <c r="A2429" i="1"/>
  <c r="A2431" i="1"/>
  <c r="A2432" i="1"/>
  <c r="A2433" i="1"/>
  <c r="A2434" i="1"/>
  <c r="A2435" i="1"/>
  <c r="A2436" i="1"/>
  <c r="A2437" i="1"/>
  <c r="A2438" i="1"/>
  <c r="A2439" i="1"/>
  <c r="A2440" i="1"/>
  <c r="A2441" i="1"/>
  <c r="A2442" i="1"/>
  <c r="A2443" i="1"/>
  <c r="A2444" i="1"/>
  <c r="A2445" i="1"/>
  <c r="A2446" i="1"/>
  <c r="A2447" i="1"/>
  <c r="A2054" i="1"/>
  <c r="A2053" i="1"/>
  <c r="A2055" i="1"/>
  <c r="A2007" i="1"/>
  <c r="A2006" i="1"/>
  <c r="A2008" i="1"/>
  <c r="A2009" i="1"/>
  <c r="A2010" i="1"/>
  <c r="A2011" i="1"/>
  <c r="A2145" i="1"/>
  <c r="A2146" i="1"/>
  <c r="A2012" i="1"/>
  <c r="P2012" i="1" s="1"/>
  <c r="A2013" i="1"/>
  <c r="A2014" i="1"/>
  <c r="A2015" i="1"/>
  <c r="A2016" i="1"/>
  <c r="A2057" i="1"/>
  <c r="A2056" i="1"/>
  <c r="A2058" i="1"/>
  <c r="A2059" i="1"/>
  <c r="A2060" i="1"/>
  <c r="A2061" i="1"/>
  <c r="A2251" i="1"/>
  <c r="A2252" i="1"/>
  <c r="A2253" i="1"/>
  <c r="A2221" i="1"/>
  <c r="A2220" i="1"/>
  <c r="A2063" i="1"/>
  <c r="A2062" i="1"/>
  <c r="A2064" i="1"/>
  <c r="A2066" i="1"/>
  <c r="A2065" i="1"/>
  <c r="A2067" i="1"/>
  <c r="A2254" i="1"/>
  <c r="A2255" i="1"/>
  <c r="A2257" i="1"/>
  <c r="A2256" i="1"/>
  <c r="P2256" i="1" s="1"/>
  <c r="A2258" i="1"/>
  <c r="A2259" i="1"/>
  <c r="A2260" i="1"/>
  <c r="A2261" i="1"/>
  <c r="A2591" i="1"/>
  <c r="A2592" i="1"/>
  <c r="A2223" i="1"/>
  <c r="A2222" i="1"/>
  <c r="A2224" i="1"/>
  <c r="A2593" i="1"/>
  <c r="A2594" i="1"/>
  <c r="A2497" i="1"/>
  <c r="A2499" i="1"/>
  <c r="A2498" i="1"/>
  <c r="A2500" i="1"/>
  <c r="A2501" i="1"/>
  <c r="A2226" i="1"/>
  <c r="A2225" i="1"/>
  <c r="A2227" i="1"/>
  <c r="A2595" i="1"/>
  <c r="A2596" i="1"/>
  <c r="A2597" i="1"/>
  <c r="A2228" i="1"/>
  <c r="A2229" i="1"/>
  <c r="A2366" i="1"/>
  <c r="A2367" i="1"/>
  <c r="A2368" i="1"/>
  <c r="A2369" i="1"/>
  <c r="A2370" i="1"/>
  <c r="A2371" i="1"/>
  <c r="A2503" i="1"/>
  <c r="A2502" i="1"/>
  <c r="A2149" i="1"/>
  <c r="A2148" i="1"/>
  <c r="A2147" i="1"/>
  <c r="A2151" i="1"/>
  <c r="A2150" i="1"/>
  <c r="A2448" i="1"/>
  <c r="A2449" i="1"/>
  <c r="A2020" i="1"/>
  <c r="A2021" i="1"/>
  <c r="A2022" i="1"/>
  <c r="A2023" i="1"/>
  <c r="A2068" i="1"/>
  <c r="U2068" i="1" s="1"/>
  <c r="A2069" i="1"/>
  <c r="A2070" i="1"/>
  <c r="A2071" i="1"/>
  <c r="A2072" i="1"/>
  <c r="A2074" i="1"/>
  <c r="A2073" i="1"/>
  <c r="A2075" i="1"/>
  <c r="A2076" i="1"/>
  <c r="A2230" i="1"/>
  <c r="A2231" i="1"/>
  <c r="A2232" i="1"/>
  <c r="A2233" i="1"/>
  <c r="A2262" i="1"/>
  <c r="A2263" i="1"/>
  <c r="A2264" i="1"/>
  <c r="A2077" i="1"/>
  <c r="A2078" i="1"/>
  <c r="A2153" i="1"/>
  <c r="A2152" i="1"/>
  <c r="A2266" i="1"/>
  <c r="A2267" i="1"/>
  <c r="A2265" i="1"/>
  <c r="A2270" i="1"/>
  <c r="A2271" i="1"/>
  <c r="A2269" i="1"/>
  <c r="A2268" i="1"/>
  <c r="A2272" i="1"/>
  <c r="A2273" i="1"/>
  <c r="A2274" i="1"/>
  <c r="A2275" i="1"/>
  <c r="A2276" i="1"/>
  <c r="A2599" i="1"/>
  <c r="A2598" i="1"/>
  <c r="A2600" i="1"/>
  <c r="A2601" i="1"/>
  <c r="A2603" i="1"/>
  <c r="A2602" i="1"/>
  <c r="P2602" i="1" s="1"/>
  <c r="A2606" i="1"/>
  <c r="P2606" i="1" s="1"/>
  <c r="A2604" i="1"/>
  <c r="A2607" i="1"/>
  <c r="A2605" i="1"/>
  <c r="A2613" i="1"/>
  <c r="A2610" i="1"/>
  <c r="A2611" i="1"/>
  <c r="A2609" i="1"/>
  <c r="P2609" i="1" s="1"/>
  <c r="A2612" i="1"/>
  <c r="A2608" i="1"/>
  <c r="P2608" i="1" s="1"/>
  <c r="A2615" i="1"/>
  <c r="A2614" i="1"/>
  <c r="P2614" i="1" s="1"/>
  <c r="A2616" i="1"/>
  <c r="A2619" i="1"/>
  <c r="A2620" i="1"/>
  <c r="A2617" i="1"/>
  <c r="P2617" i="1" s="1"/>
  <c r="A2618" i="1"/>
  <c r="A2622" i="1"/>
  <c r="A2621" i="1"/>
  <c r="A2624" i="1"/>
  <c r="A2623" i="1"/>
  <c r="A2625" i="1"/>
  <c r="A2626" i="1"/>
  <c r="A2373" i="1"/>
  <c r="A2372" i="1"/>
  <c r="A2374" i="1"/>
  <c r="A2375" i="1"/>
  <c r="A2376" i="1"/>
  <c r="A2377" i="1"/>
  <c r="A2379" i="1"/>
  <c r="A2378" i="1"/>
  <c r="A2380" i="1"/>
  <c r="A2385" i="1"/>
  <c r="A2383" i="1"/>
  <c r="P2383" i="1" s="1"/>
  <c r="A2381" i="1"/>
  <c r="P2381" i="1" s="1"/>
  <c r="A2384" i="1"/>
  <c r="P2384" i="1" s="1"/>
  <c r="A2382" i="1"/>
  <c r="P2382" i="1" s="1"/>
  <c r="A2284" i="1"/>
  <c r="A2282" i="1"/>
  <c r="P2282" i="1" s="1"/>
  <c r="A2285" i="1"/>
  <c r="P2285" i="1" s="1"/>
  <c r="A2281" i="1"/>
  <c r="P2281" i="1" s="1"/>
  <c r="A2279" i="1"/>
  <c r="A2283" i="1"/>
  <c r="P2283" i="1" s="1"/>
  <c r="A2288" i="1"/>
  <c r="A2278" i="1"/>
  <c r="P2278" i="1" s="1"/>
  <c r="A2280" i="1"/>
  <c r="A2287" i="1"/>
  <c r="P2287" i="1" s="1"/>
  <c r="A2277" i="1"/>
  <c r="P2277" i="1" s="1"/>
  <c r="A2286" i="1"/>
  <c r="A2291" i="1"/>
  <c r="A2289" i="1"/>
  <c r="P2289" i="1" s="1"/>
  <c r="A2290" i="1"/>
  <c r="A2627" i="1"/>
  <c r="A2628" i="1"/>
  <c r="A2631" i="1"/>
  <c r="A2632" i="1"/>
  <c r="A2629" i="1"/>
  <c r="P2629" i="1" s="1"/>
  <c r="A2633" i="1"/>
  <c r="A2630" i="1"/>
  <c r="P2630" i="1" s="1"/>
  <c r="A2158" i="1"/>
  <c r="A2159" i="1"/>
  <c r="A2157" i="1"/>
  <c r="P2157" i="1" s="1"/>
  <c r="A2154" i="1"/>
  <c r="A2155" i="1"/>
  <c r="P2155" i="1" s="1"/>
  <c r="A2156" i="1"/>
  <c r="P2156" i="1" s="1"/>
  <c r="A2386" i="1"/>
  <c r="A2387" i="1"/>
  <c r="A2559" i="1"/>
  <c r="A2560" i="1"/>
  <c r="A2562" i="1"/>
  <c r="A2563" i="1"/>
  <c r="A2561" i="1"/>
  <c r="P2561" i="1" s="1"/>
  <c r="A2079" i="1"/>
  <c r="A2080" i="1"/>
  <c r="A2450" i="1"/>
  <c r="A2452" i="1"/>
  <c r="A2451" i="1"/>
  <c r="A2454" i="1"/>
  <c r="A2453" i="1"/>
  <c r="P2453" i="1" s="1"/>
  <c r="A2455" i="1"/>
  <c r="A2456" i="1"/>
  <c r="A2634" i="1"/>
  <c r="A2635" i="1"/>
  <c r="A2235" i="1"/>
  <c r="A2234" i="1"/>
  <c r="A2236" i="1"/>
  <c r="A2249" i="1"/>
  <c r="A2250" i="1"/>
  <c r="A2017" i="1"/>
  <c r="A2018" i="1"/>
  <c r="A2019" i="1"/>
  <c r="A2238" i="1"/>
  <c r="A2237" i="1"/>
  <c r="A2239" i="1"/>
  <c r="A2024" i="1"/>
  <c r="A2025" i="1"/>
  <c r="A2216" i="1"/>
  <c r="A2217" i="1"/>
  <c r="A2637" i="1"/>
  <c r="A2636" i="1"/>
  <c r="P2636" i="1" s="1"/>
  <c r="A2638" i="1"/>
  <c r="P2638" i="1" s="1"/>
  <c r="A2639" i="1"/>
  <c r="A2640" i="1"/>
  <c r="A2641" i="1"/>
  <c r="A2161" i="1"/>
  <c r="A2160" i="1"/>
  <c r="A2163" i="1"/>
  <c r="A2162" i="1"/>
  <c r="A2002" i="1"/>
  <c r="A2003" i="1"/>
  <c r="A2505" i="1"/>
  <c r="A2504" i="1"/>
  <c r="A2506" i="1"/>
  <c r="A2507" i="1"/>
  <c r="A2643" i="1"/>
  <c r="A2642" i="1"/>
  <c r="A2645" i="1"/>
  <c r="A2644" i="1"/>
  <c r="A2647" i="1"/>
  <c r="A2646" i="1"/>
  <c r="P2646" i="1" s="1"/>
  <c r="A2648" i="1"/>
  <c r="A2649" i="1"/>
  <c r="A2650" i="1"/>
  <c r="A2652" i="1"/>
  <c r="A2651" i="1"/>
  <c r="A2653" i="1"/>
  <c r="A2654" i="1"/>
  <c r="A2655" i="1"/>
  <c r="A2656" i="1"/>
  <c r="A1970" i="1"/>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296"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95" i="1"/>
  <c r="AE273" i="1"/>
  <c r="AE274" i="1"/>
  <c r="AE275" i="1"/>
  <c r="AE276" i="1"/>
  <c r="AE277" i="1"/>
  <c r="AE278" i="1"/>
  <c r="AE279" i="1"/>
  <c r="AE280" i="1"/>
  <c r="AE281" i="1"/>
  <c r="AE282" i="1"/>
  <c r="AE283" i="1"/>
  <c r="AE284" i="1"/>
  <c r="AE285" i="1"/>
  <c r="AE286" i="1"/>
  <c r="AE287" i="1"/>
  <c r="AE288" i="1"/>
  <c r="AE289" i="1"/>
  <c r="AE290" i="1"/>
  <c r="AE291" i="1"/>
  <c r="AE292" i="1"/>
  <c r="AE297" i="1"/>
  <c r="AE298" i="1"/>
  <c r="AE294" i="1"/>
  <c r="AE293" i="1"/>
  <c r="AE299" i="1"/>
  <c r="AE300" i="1"/>
  <c r="AE301" i="1"/>
  <c r="AE302" i="1"/>
  <c r="AE303" i="1"/>
  <c r="AE304" i="1"/>
  <c r="AE305" i="1"/>
  <c r="AE306" i="1"/>
  <c r="AE307" i="1"/>
  <c r="AE308" i="1"/>
  <c r="AE309" i="1"/>
  <c r="AE310" i="1"/>
  <c r="AE311" i="1"/>
  <c r="AE312" i="1"/>
  <c r="AE313" i="1"/>
  <c r="AE314" i="1"/>
  <c r="AE315" i="1"/>
  <c r="AE316" i="1"/>
  <c r="AE317" i="1"/>
  <c r="AE318" i="1"/>
  <c r="T7020" i="1" l="1"/>
  <c r="AD602" i="1"/>
  <c r="AP602" i="1" s="1"/>
  <c r="AD575" i="1"/>
  <c r="AP575" i="1" s="1"/>
  <c r="AD532" i="1"/>
  <c r="AP532" i="1" s="1"/>
  <c r="AD595" i="1"/>
  <c r="AP595" i="1" s="1"/>
  <c r="AD655" i="1"/>
  <c r="AP655" i="1" s="1"/>
  <c r="T7356" i="1"/>
  <c r="S7355" i="1"/>
  <c r="T7355" i="1" s="1"/>
  <c r="AD553" i="1"/>
  <c r="AP553" i="1" s="1"/>
  <c r="AD539" i="1"/>
  <c r="AP539" i="1" s="1"/>
  <c r="AD630" i="1"/>
  <c r="AP630" i="1" s="1"/>
  <c r="AD614" i="1"/>
  <c r="AP614" i="1" s="1"/>
  <c r="AD620" i="1"/>
  <c r="AP620" i="1" s="1"/>
  <c r="AD702" i="1"/>
  <c r="AP702" i="1" s="1"/>
  <c r="AD763" i="1"/>
  <c r="AP763" i="1" s="1"/>
  <c r="AD717" i="1"/>
  <c r="AP717" i="1" s="1"/>
  <c r="AD600" i="1"/>
  <c r="AP600" i="1" s="1"/>
  <c r="AD544" i="1"/>
  <c r="AP544" i="1" s="1"/>
  <c r="AD562" i="1"/>
  <c r="AP562" i="1" s="1"/>
  <c r="AD554" i="1"/>
  <c r="AP554" i="1" s="1"/>
  <c r="AD572" i="1"/>
  <c r="AP572" i="1" s="1"/>
  <c r="AD546" i="1"/>
  <c r="AP546" i="1" s="1"/>
  <c r="AD698" i="1"/>
  <c r="AP698" i="1" s="1"/>
  <c r="AD748" i="1"/>
  <c r="AP748" i="1" s="1"/>
  <c r="AD519" i="1"/>
  <c r="AP519" i="1" s="1"/>
  <c r="AD509" i="1"/>
  <c r="AP509" i="1" s="1"/>
  <c r="AD665" i="1"/>
  <c r="AP665" i="1" s="1"/>
  <c r="AD708" i="1"/>
  <c r="AP708" i="1" s="1"/>
  <c r="AD639" i="1"/>
  <c r="AP639" i="1" s="1"/>
  <c r="AD579" i="1"/>
  <c r="AP579" i="1" s="1"/>
  <c r="AD768" i="1"/>
  <c r="AP768" i="1" s="1"/>
  <c r="AD750" i="1"/>
  <c r="AP750" i="1" s="1"/>
  <c r="AD641" i="1"/>
  <c r="AP641" i="1" s="1"/>
  <c r="AD631" i="1"/>
  <c r="AP631" i="1" s="1"/>
  <c r="AD777" i="1"/>
  <c r="AP777" i="1" s="1"/>
  <c r="AD587" i="1"/>
  <c r="AP587" i="1" s="1"/>
  <c r="S7143" i="1"/>
  <c r="T7143" i="1" s="1"/>
  <c r="S7372" i="1"/>
  <c r="T7372" i="1" s="1"/>
  <c r="T7373" i="1"/>
  <c r="AD537" i="1"/>
  <c r="AP537" i="1" s="1"/>
  <c r="AP693" i="1"/>
  <c r="AD693" i="1"/>
  <c r="AD746" i="1"/>
  <c r="AP746" i="1" s="1"/>
  <c r="AP640" i="1"/>
  <c r="AD640" i="1"/>
  <c r="AD699" i="1"/>
  <c r="AP699" i="1" s="1"/>
  <c r="AP541" i="1"/>
  <c r="AD541" i="1"/>
  <c r="AD555" i="1"/>
  <c r="AP555" i="1" s="1"/>
  <c r="AP628" i="1"/>
  <c r="AD628" i="1"/>
  <c r="AD725" i="1"/>
  <c r="AP725" i="1" s="1"/>
  <c r="AP545" i="1"/>
  <c r="AD545" i="1"/>
  <c r="AD713" i="1"/>
  <c r="AP713" i="1" s="1"/>
  <c r="AP767" i="1"/>
  <c r="AD767" i="1"/>
  <c r="AD728" i="1"/>
  <c r="AP728" i="1" s="1"/>
  <c r="AP570" i="1"/>
  <c r="AD570" i="1"/>
  <c r="AD516" i="1"/>
  <c r="AP516" i="1" s="1"/>
  <c r="AP574" i="1"/>
  <c r="AD574" i="1"/>
  <c r="AD578" i="1"/>
  <c r="AP578" i="1" s="1"/>
  <c r="AP674" i="1"/>
  <c r="AD674" i="1"/>
  <c r="AD722" i="1"/>
  <c r="AP722" i="1" s="1"/>
  <c r="AP718" i="1"/>
  <c r="AD718" i="1"/>
  <c r="AD549" i="1"/>
  <c r="AP549" i="1" s="1"/>
  <c r="AP527" i="1"/>
  <c r="AD527" i="1"/>
  <c r="AD754" i="1"/>
  <c r="AP754" i="1" s="1"/>
  <c r="AP511" i="1"/>
  <c r="AD511" i="1"/>
  <c r="AD696" i="1"/>
  <c r="AP696" i="1" s="1"/>
  <c r="AP772" i="1"/>
  <c r="AD772" i="1"/>
  <c r="AD778" i="1"/>
  <c r="AP778" i="1" s="1"/>
  <c r="AP633" i="1"/>
  <c r="AD633" i="1"/>
  <c r="AD617" i="1"/>
  <c r="AP617" i="1" s="1"/>
  <c r="AP773" i="1"/>
  <c r="AD773" i="1"/>
  <c r="AD619" i="1"/>
  <c r="AP619" i="1" s="1"/>
  <c r="AP609" i="1"/>
  <c r="AD609" i="1"/>
  <c r="T7312" i="1"/>
  <c r="S7311" i="1"/>
  <c r="T7311" i="1" s="1"/>
  <c r="S7330" i="1"/>
  <c r="T7330" i="1" s="1"/>
  <c r="R7330" i="1"/>
  <c r="T7568" i="1"/>
  <c r="S7567" i="1"/>
  <c r="T7344" i="1"/>
  <c r="S7343" i="1"/>
  <c r="T7343" i="1" s="1"/>
  <c r="AD622" i="1"/>
  <c r="AP622" i="1" s="1"/>
  <c r="AP720" i="1"/>
  <c r="AD720" i="1"/>
  <c r="AD560" i="1"/>
  <c r="AP560" i="1" s="1"/>
  <c r="AP507" i="1"/>
  <c r="AD507" i="1"/>
  <c r="AD762" i="1"/>
  <c r="AP762" i="1" s="1"/>
  <c r="AP761" i="1"/>
  <c r="AD761" i="1"/>
  <c r="R7143" i="1"/>
  <c r="AD584" i="1"/>
  <c r="AP584" i="1" s="1"/>
  <c r="AD636" i="1"/>
  <c r="AP636" i="1" s="1"/>
  <c r="AD534" i="1"/>
  <c r="AP534" i="1" s="1"/>
  <c r="AD723" i="1"/>
  <c r="AP723" i="1" s="1"/>
  <c r="AD771" i="1"/>
  <c r="AP771" i="1" s="1"/>
  <c r="AD522" i="1"/>
  <c r="AP522" i="1" s="1"/>
  <c r="AD576" i="1"/>
  <c r="AP576" i="1" s="1"/>
  <c r="AD548" i="1"/>
  <c r="AP548" i="1" s="1"/>
  <c r="AD616" i="1"/>
  <c r="AP616" i="1" s="1"/>
  <c r="AD583" i="1"/>
  <c r="AP583" i="1" s="1"/>
  <c r="AD689" i="1"/>
  <c r="AP689" i="1" s="1"/>
  <c r="AD528" i="1"/>
  <c r="AP528" i="1" s="1"/>
  <c r="AD678" i="1"/>
  <c r="AP678" i="1" s="1"/>
  <c r="AD668" i="1"/>
  <c r="AP668" i="1" s="1"/>
  <c r="AD753" i="1"/>
  <c r="AP753" i="1" s="1"/>
  <c r="AD672" i="1"/>
  <c r="AP672" i="1" s="1"/>
  <c r="AD688" i="1"/>
  <c r="AP688" i="1" s="1"/>
  <c r="AD513" i="1"/>
  <c r="AP513" i="1" s="1"/>
  <c r="AD521" i="1"/>
  <c r="AP521" i="1" s="1"/>
  <c r="AD755" i="1"/>
  <c r="AP755" i="1" s="1"/>
  <c r="AD632" i="1"/>
  <c r="AP632" i="1" s="1"/>
  <c r="AD687" i="1"/>
  <c r="AP687" i="1" s="1"/>
  <c r="AD721" i="1"/>
  <c r="AP721" i="1" s="1"/>
  <c r="AD601" i="1"/>
  <c r="AP601" i="1" s="1"/>
  <c r="AD627" i="1"/>
  <c r="AP627" i="1" s="1"/>
  <c r="AD663" i="1"/>
  <c r="AP663" i="1" s="1"/>
  <c r="AD615" i="1"/>
  <c r="AP615" i="1" s="1"/>
  <c r="T7319" i="1"/>
  <c r="S7318" i="1"/>
  <c r="T7318" i="1" s="1"/>
  <c r="S7308" i="1"/>
  <c r="T7308" i="1" s="1"/>
  <c r="T7309" i="1"/>
  <c r="S7340" i="1"/>
  <c r="T7340" i="1" s="1"/>
  <c r="T7341" i="1"/>
  <c r="R7322" i="1"/>
  <c r="S7322" i="1"/>
  <c r="T7322" i="1" s="1"/>
  <c r="AD712" i="1"/>
  <c r="AP712" i="1" s="1"/>
  <c r="AD726" i="1"/>
  <c r="AP726" i="1" s="1"/>
  <c r="AD692" i="1"/>
  <c r="AP692" i="1" s="1"/>
  <c r="AD515" i="1"/>
  <c r="AP515" i="1" s="1"/>
  <c r="AD625" i="1"/>
  <c r="AP625" i="1" s="1"/>
  <c r="T7300" i="1"/>
  <c r="S7299" i="1"/>
  <c r="T7299" i="1" s="1"/>
  <c r="AD588" i="1"/>
  <c r="AP588" i="1" s="1"/>
  <c r="AD543" i="1"/>
  <c r="AP543" i="1" s="1"/>
  <c r="AD580" i="1"/>
  <c r="AP580" i="1" s="1"/>
  <c r="AD654" i="1"/>
  <c r="AP654" i="1" s="1"/>
  <c r="AD671" i="1"/>
  <c r="AP671" i="1" s="1"/>
  <c r="AD775" i="1"/>
  <c r="AP775" i="1" s="1"/>
  <c r="AD524" i="1"/>
  <c r="AP524" i="1" s="1"/>
  <c r="AD564" i="1"/>
  <c r="AP564" i="1" s="1"/>
  <c r="AD556" i="1"/>
  <c r="AP556" i="1" s="1"/>
  <c r="AD608" i="1"/>
  <c r="AP608" i="1" s="1"/>
  <c r="AD705" i="1"/>
  <c r="AP705" i="1" s="1"/>
  <c r="AD551" i="1"/>
  <c r="AP551" i="1" s="1"/>
  <c r="AD686" i="1"/>
  <c r="AP686" i="1" s="1"/>
  <c r="AD673" i="1"/>
  <c r="AP673" i="1" s="1"/>
  <c r="AD523" i="1"/>
  <c r="AP523" i="1" s="1"/>
  <c r="AD684" i="1"/>
  <c r="AP684" i="1" s="1"/>
  <c r="AD547" i="1"/>
  <c r="AP547" i="1" s="1"/>
  <c r="AD719" i="1"/>
  <c r="AP719" i="1" s="1"/>
  <c r="AD727" i="1"/>
  <c r="AP727" i="1" s="1"/>
  <c r="AD774" i="1"/>
  <c r="AP774" i="1" s="1"/>
  <c r="AD749" i="1"/>
  <c r="AP749" i="1" s="1"/>
  <c r="AD769" i="1"/>
  <c r="AP769" i="1" s="1"/>
  <c r="AD635" i="1"/>
  <c r="AP635" i="1" s="1"/>
  <c r="AD759" i="1"/>
  <c r="AP759" i="1" s="1"/>
  <c r="AD599" i="1"/>
  <c r="AP599" i="1" s="1"/>
  <c r="AD557" i="1"/>
  <c r="AP557" i="1" s="1"/>
  <c r="AD648" i="1"/>
  <c r="AP648" i="1" s="1"/>
  <c r="AD695" i="1"/>
  <c r="AP695" i="1" s="1"/>
  <c r="AD607" i="1"/>
  <c r="AP607" i="1" s="1"/>
  <c r="AD664" i="1"/>
  <c r="AP664" i="1" s="1"/>
  <c r="AD592" i="1"/>
  <c r="AP592" i="1" s="1"/>
  <c r="AD559" i="1"/>
  <c r="AP559" i="1" s="1"/>
  <c r="AD552" i="1"/>
  <c r="AP552" i="1" s="1"/>
  <c r="AD652" i="1"/>
  <c r="AP652" i="1" s="1"/>
  <c r="AD650" i="1"/>
  <c r="AP650" i="1" s="1"/>
  <c r="AD716" i="1"/>
  <c r="AP716" i="1" s="1"/>
  <c r="AD779" i="1"/>
  <c r="AP779" i="1" s="1"/>
  <c r="AD533" i="1"/>
  <c r="AP533" i="1" s="1"/>
  <c r="AD612" i="1"/>
  <c r="AP612" i="1" s="1"/>
  <c r="AD518" i="1"/>
  <c r="AP518" i="1" s="1"/>
  <c r="AD567" i="1"/>
  <c r="AP567" i="1" s="1"/>
  <c r="AD510" i="1"/>
  <c r="AP510" i="1" s="1"/>
  <c r="AD530" i="1"/>
  <c r="AP530" i="1" s="1"/>
  <c r="AD752" i="1"/>
  <c r="AP752" i="1" s="1"/>
  <c r="AD682" i="1"/>
  <c r="AP682" i="1" s="1"/>
  <c r="AD563" i="1"/>
  <c r="AP563" i="1" s="1"/>
  <c r="AD680" i="1"/>
  <c r="AP680" i="1" s="1"/>
  <c r="AD529" i="1"/>
  <c r="AP529" i="1" s="1"/>
  <c r="AD660" i="1"/>
  <c r="AP660" i="1" s="1"/>
  <c r="AD661" i="1"/>
  <c r="AP661" i="1" s="1"/>
  <c r="AD669" i="1"/>
  <c r="AP669" i="1" s="1"/>
  <c r="AD700" i="1"/>
  <c r="AP700" i="1" s="1"/>
  <c r="AD590" i="1"/>
  <c r="AP590" i="1" s="1"/>
  <c r="AD756" i="1"/>
  <c r="AP756" i="1" s="1"/>
  <c r="AD647" i="1"/>
  <c r="AP647" i="1" s="1"/>
  <c r="AD776" i="1"/>
  <c r="AP776" i="1" s="1"/>
  <c r="AD651" i="1"/>
  <c r="AP651" i="1" s="1"/>
  <c r="AD683" i="1"/>
  <c r="AP683" i="1" s="1"/>
  <c r="AD747" i="1"/>
  <c r="AP747" i="1" s="1"/>
  <c r="T7390" i="1"/>
  <c r="S7389" i="1"/>
  <c r="T7389" i="1" s="1"/>
  <c r="S7375" i="1"/>
  <c r="T7375" i="1" s="1"/>
  <c r="T7376" i="1"/>
  <c r="S7386" i="1"/>
  <c r="T7386" i="1" s="1"/>
  <c r="T7387" i="1"/>
  <c r="T7327" i="1"/>
  <c r="S7326" i="1"/>
  <c r="T7326" i="1" s="1"/>
  <c r="T7335" i="1"/>
  <c r="S7334" i="1"/>
  <c r="T7334" i="1" s="1"/>
  <c r="AD642" i="1"/>
  <c r="AP642" i="1" s="1"/>
  <c r="AD764" i="1"/>
  <c r="AP764" i="1" s="1"/>
  <c r="AD596" i="1"/>
  <c r="AP596" i="1" s="1"/>
  <c r="AD594" i="1"/>
  <c r="AP594" i="1" s="1"/>
  <c r="AD568" i="1"/>
  <c r="AP568" i="1" s="1"/>
  <c r="AD653" i="1"/>
  <c r="AP653" i="1" s="1"/>
  <c r="AD586" i="1"/>
  <c r="AP586" i="1" s="1"/>
  <c r="AD675" i="1"/>
  <c r="AP675" i="1" s="1"/>
  <c r="AD715" i="1"/>
  <c r="AP715" i="1" s="1"/>
  <c r="AD694" i="1"/>
  <c r="AP694" i="1" s="1"/>
  <c r="AD540" i="1"/>
  <c r="AP540" i="1" s="1"/>
  <c r="AD670" i="1"/>
  <c r="AP670" i="1" s="1"/>
  <c r="AD538" i="1"/>
  <c r="AP538" i="1" s="1"/>
  <c r="AD582" i="1"/>
  <c r="AP582" i="1" s="1"/>
  <c r="AD526" i="1"/>
  <c r="AP526" i="1" s="1"/>
  <c r="AD697" i="1"/>
  <c r="AP697" i="1" s="1"/>
  <c r="AD662" i="1"/>
  <c r="AP662" i="1" s="1"/>
  <c r="AD706" i="1"/>
  <c r="AP706" i="1" s="1"/>
  <c r="AD676" i="1"/>
  <c r="AP676" i="1" s="1"/>
  <c r="AD623" i="1"/>
  <c r="AP623" i="1" s="1"/>
  <c r="AD565" i="1"/>
  <c r="AP565" i="1" s="1"/>
  <c r="AD597" i="1"/>
  <c r="AP597" i="1" s="1"/>
  <c r="AD525" i="1"/>
  <c r="AP525" i="1" s="1"/>
  <c r="AD711" i="1"/>
  <c r="AP711" i="1" s="1"/>
  <c r="AD606" i="1"/>
  <c r="AP606" i="1" s="1"/>
  <c r="AD618" i="1"/>
  <c r="AP618" i="1" s="1"/>
  <c r="AD624" i="1"/>
  <c r="AP624" i="1" s="1"/>
  <c r="AD691" i="1"/>
  <c r="AP691" i="1" s="1"/>
  <c r="AD649" i="1"/>
  <c r="AP649" i="1" s="1"/>
  <c r="AD707" i="1"/>
  <c r="AP707" i="1" s="1"/>
  <c r="AD573" i="1"/>
  <c r="AP573" i="1" s="1"/>
  <c r="AD577" i="1"/>
  <c r="AP577" i="1" s="1"/>
  <c r="AD643" i="1"/>
  <c r="AP643" i="1" s="1"/>
  <c r="AD520" i="1"/>
  <c r="AP520" i="1" s="1"/>
  <c r="AD558" i="1"/>
  <c r="AP558" i="1" s="1"/>
  <c r="AD613" i="1"/>
  <c r="AP613" i="1" s="1"/>
  <c r="AD535" i="1"/>
  <c r="AP535" i="1" s="1"/>
  <c r="AD603" i="1"/>
  <c r="AP603" i="1" s="1"/>
  <c r="AD610" i="1"/>
  <c r="AP610" i="1" s="1"/>
  <c r="AD598" i="1"/>
  <c r="AP598" i="1" s="1"/>
  <c r="AD634" i="1"/>
  <c r="AP634" i="1" s="1"/>
  <c r="AD751" i="1"/>
  <c r="AP751" i="1" s="1"/>
  <c r="AD710" i="1"/>
  <c r="AP710" i="1" s="1"/>
  <c r="AD566" i="1"/>
  <c r="AP566" i="1" s="1"/>
  <c r="AD504" i="1"/>
  <c r="AP504" i="1" s="1"/>
  <c r="AD550" i="1"/>
  <c r="AP550" i="1" s="1"/>
  <c r="AD514" i="1"/>
  <c r="AP514" i="1" s="1"/>
  <c r="AD536" i="1"/>
  <c r="AP536" i="1" s="1"/>
  <c r="AD512" i="1"/>
  <c r="AP512" i="1" s="1"/>
  <c r="AD681" i="1"/>
  <c r="AP681" i="1" s="1"/>
  <c r="AD714" i="1"/>
  <c r="AP714" i="1" s="1"/>
  <c r="AD531" i="1"/>
  <c r="AP531" i="1" s="1"/>
  <c r="AD505" i="1"/>
  <c r="AP505" i="1" s="1"/>
  <c r="AD593" i="1"/>
  <c r="AP593" i="1" s="1"/>
  <c r="AD517" i="1"/>
  <c r="AP517" i="1" s="1"/>
  <c r="AD581" i="1"/>
  <c r="AP581" i="1" s="1"/>
  <c r="AD589" i="1"/>
  <c r="AP589" i="1" s="1"/>
  <c r="AD704" i="1"/>
  <c r="AP704" i="1" s="1"/>
  <c r="AD758" i="1"/>
  <c r="AP758" i="1" s="1"/>
  <c r="AD765" i="1"/>
  <c r="AP765" i="1" s="1"/>
  <c r="AD724" i="1"/>
  <c r="AP724" i="1" s="1"/>
  <c r="AD656" i="1"/>
  <c r="AP656" i="1" s="1"/>
  <c r="AD760" i="1"/>
  <c r="AP760" i="1" s="1"/>
  <c r="AD703" i="1"/>
  <c r="AP703" i="1" s="1"/>
  <c r="AD679" i="1"/>
  <c r="AP679" i="1" s="1"/>
  <c r="AD757" i="1"/>
  <c r="AP757" i="1" s="1"/>
  <c r="T7293" i="1"/>
  <c r="S7292" i="1"/>
  <c r="T7292" i="1" s="1"/>
  <c r="AM557" i="1"/>
  <c r="AP585" i="1"/>
  <c r="AM668" i="1"/>
  <c r="AP646" i="1"/>
  <c r="AM632" i="1"/>
  <c r="AP629" i="1"/>
  <c r="AM703" i="1"/>
  <c r="AP677" i="1"/>
  <c r="AM525" i="1"/>
  <c r="AP508" i="1"/>
  <c r="AM755" i="1"/>
  <c r="AP770" i="1"/>
  <c r="AM657" i="1"/>
  <c r="AP657" i="1"/>
  <c r="AM624" i="1"/>
  <c r="AP637" i="1"/>
  <c r="AM670" i="1"/>
  <c r="AP644" i="1"/>
  <c r="AM724" i="1"/>
  <c r="AP709" i="1"/>
  <c r="AM606" i="1"/>
  <c r="AP604" i="1"/>
  <c r="AM648" i="1"/>
  <c r="AP666" i="1"/>
  <c r="AM669" i="1"/>
  <c r="AP645" i="1"/>
  <c r="AM647" i="1"/>
  <c r="AP667" i="1"/>
  <c r="AM679" i="1"/>
  <c r="AP701" i="1"/>
  <c r="AM571" i="1"/>
  <c r="AP571" i="1"/>
  <c r="AM581" i="1"/>
  <c r="AP561" i="1"/>
  <c r="AM695" i="1"/>
  <c r="AP685" i="1"/>
  <c r="AM599" i="1"/>
  <c r="AP611" i="1"/>
  <c r="AM635" i="1"/>
  <c r="AP626" i="1"/>
  <c r="AM542" i="1"/>
  <c r="AP542" i="1"/>
  <c r="AM690" i="1"/>
  <c r="AM656" i="1"/>
  <c r="AP658" i="1"/>
  <c r="AM655" i="1"/>
  <c r="AP659" i="1"/>
  <c r="AM573" i="1"/>
  <c r="AP569" i="1"/>
  <c r="AM623" i="1"/>
  <c r="AP638" i="1"/>
  <c r="AM589" i="1"/>
  <c r="AP621" i="1"/>
  <c r="AM527" i="1"/>
  <c r="AP506" i="1"/>
  <c r="AM605" i="1"/>
  <c r="AM759" i="1"/>
  <c r="AP766" i="1"/>
  <c r="AM619" i="1"/>
  <c r="AP591" i="1"/>
  <c r="AM683" i="1"/>
  <c r="AM747" i="1"/>
  <c r="S7183" i="1"/>
  <c r="S7182" i="1" s="1"/>
  <c r="S7181" i="1" s="1"/>
  <c r="S7180" i="1" s="1"/>
  <c r="R7183" i="1"/>
  <c r="S7144" i="1"/>
  <c r="T7144" i="1" s="1"/>
  <c r="R7144" i="1"/>
  <c r="R2843" i="1"/>
  <c r="S7021" i="1"/>
  <c r="T7021" i="1" s="1"/>
  <c r="R7021" i="1"/>
  <c r="S7125" i="1"/>
  <c r="S7124" i="1" s="1"/>
  <c r="S7123" i="1" s="1"/>
  <c r="T7123" i="1" s="1"/>
  <c r="R7125" i="1"/>
  <c r="S7002" i="1"/>
  <c r="T7002" i="1" s="1"/>
  <c r="R7002" i="1"/>
  <c r="S6941" i="1"/>
  <c r="T6941" i="1" s="1"/>
  <c r="R6941" i="1"/>
  <c r="T7019" i="1"/>
  <c r="T7018" i="1"/>
  <c r="S7099" i="1"/>
  <c r="T7099" i="1" s="1"/>
  <c r="R7099" i="1"/>
  <c r="S7259" i="1"/>
  <c r="T7259" i="1" s="1"/>
  <c r="R7259" i="1"/>
  <c r="S6992" i="1"/>
  <c r="T6992" i="1" s="1"/>
  <c r="R6992" i="1"/>
  <c r="S7188" i="1"/>
  <c r="T7188" i="1" s="1"/>
  <c r="R7188" i="1"/>
  <c r="AM758" i="1"/>
  <c r="AM517" i="1"/>
  <c r="S7087" i="1"/>
  <c r="S7086" i="1" s="1"/>
  <c r="S7085" i="1" s="1"/>
  <c r="S6987" i="1"/>
  <c r="T6987" i="1" s="1"/>
  <c r="S7141" i="1"/>
  <c r="T7142" i="1"/>
  <c r="S7152" i="1"/>
  <c r="S7151" i="1" s="1"/>
  <c r="S7150" i="1" s="1"/>
  <c r="O7003" i="1"/>
  <c r="O7189" i="1"/>
  <c r="O7088" i="1"/>
  <c r="O7153" i="1"/>
  <c r="O7145" i="1"/>
  <c r="O7022" i="1"/>
  <c r="O6942" i="1"/>
  <c r="O2845" i="1"/>
  <c r="S2845" i="1" s="1"/>
  <c r="T2845" i="1" s="1"/>
  <c r="S2892" i="1"/>
  <c r="T2892" i="1" s="1"/>
  <c r="AM691" i="1"/>
  <c r="AM643" i="1"/>
  <c r="AM577" i="1"/>
  <c r="S2889" i="1"/>
  <c r="T2889" i="1" s="1"/>
  <c r="AM700" i="1"/>
  <c r="AM660" i="1"/>
  <c r="AM661" i="1"/>
  <c r="AM590" i="1"/>
  <c r="R2892" i="1"/>
  <c r="S2698" i="1"/>
  <c r="T2698" i="1" s="1"/>
  <c r="S2899" i="1"/>
  <c r="T2899" i="1" s="1"/>
  <c r="O2657" i="1"/>
  <c r="U2657" i="1"/>
  <c r="Q2657" i="1"/>
  <c r="S2786" i="1"/>
  <c r="T2786" i="1" s="1"/>
  <c r="R2852" i="1"/>
  <c r="Q2025" i="1"/>
  <c r="AM587" i="1"/>
  <c r="AM511" i="1"/>
  <c r="AM754" i="1"/>
  <c r="AM549" i="1"/>
  <c r="AM772" i="1"/>
  <c r="AM687" i="1"/>
  <c r="AM721" i="1"/>
  <c r="S2893" i="1"/>
  <c r="T2893" i="1" s="1"/>
  <c r="R2903" i="1"/>
  <c r="S2904" i="1"/>
  <c r="T2904" i="1" s="1"/>
  <c r="O2894" i="1"/>
  <c r="R2894" i="1" s="1"/>
  <c r="T2789" i="1"/>
  <c r="S2788" i="1"/>
  <c r="T2788" i="1" s="1"/>
  <c r="AM761" i="1"/>
  <c r="S2852" i="1"/>
  <c r="T2852" i="1" s="1"/>
  <c r="AM625" i="1"/>
  <c r="AM541" i="1"/>
  <c r="S2926" i="1"/>
  <c r="T2926" i="1" s="1"/>
  <c r="AM699" i="1"/>
  <c r="AM774" i="1"/>
  <c r="AM672" i="1"/>
  <c r="AM513" i="1"/>
  <c r="AM707" i="1"/>
  <c r="AM678" i="1"/>
  <c r="AM649" i="1"/>
  <c r="AM757" i="1"/>
  <c r="O2216" i="1"/>
  <c r="O2217" i="1" s="1"/>
  <c r="AM618" i="1"/>
  <c r="AM662" i="1"/>
  <c r="AM688" i="1"/>
  <c r="AM582" i="1"/>
  <c r="AM597" i="1"/>
  <c r="AM567" i="1"/>
  <c r="AM521" i="1"/>
  <c r="AM540" i="1"/>
  <c r="AM705" i="1"/>
  <c r="AM711" i="1"/>
  <c r="AM612" i="1"/>
  <c r="AM529" i="1"/>
  <c r="AM547" i="1"/>
  <c r="AM588" i="1"/>
  <c r="AM603" i="1"/>
  <c r="AM608" i="1"/>
  <c r="AM713" i="1"/>
  <c r="AM584" i="1"/>
  <c r="AM552" i="1"/>
  <c r="AM650" i="1"/>
  <c r="AM526" i="1"/>
  <c r="AM779" i="1"/>
  <c r="AM518" i="1"/>
  <c r="AM763" i="1"/>
  <c r="AM674" i="1"/>
  <c r="AM628" i="1"/>
  <c r="AM593" i="1"/>
  <c r="AM752" i="1"/>
  <c r="AM601" i="1"/>
  <c r="AM531" i="1"/>
  <c r="AM545" i="1"/>
  <c r="AM631" i="1"/>
  <c r="AM777" i="1"/>
  <c r="AM651" i="1"/>
  <c r="AM550" i="1"/>
  <c r="AM505" i="1"/>
  <c r="AM583" i="1"/>
  <c r="AM551" i="1"/>
  <c r="AM523" i="1"/>
  <c r="AM769" i="1"/>
  <c r="AM556" i="1"/>
  <c r="AM686" i="1"/>
  <c r="AM727" i="1"/>
  <c r="AM600" i="1"/>
  <c r="AM627" i="1"/>
  <c r="AM519" i="1"/>
  <c r="AM708" i="1"/>
  <c r="AM572" i="1"/>
  <c r="AM710" i="1"/>
  <c r="AM566" i="1"/>
  <c r="AM536" i="1"/>
  <c r="AM562" i="1"/>
  <c r="AM750" i="1"/>
  <c r="AM509" i="1"/>
  <c r="AM578" i="1"/>
  <c r="AM641" i="1"/>
  <c r="AM696" i="1"/>
  <c r="AM714" i="1"/>
  <c r="AM776" i="1"/>
  <c r="AM717" i="1"/>
  <c r="AM554" i="1"/>
  <c r="AM698" i="1"/>
  <c r="AM579" i="1"/>
  <c r="AM765" i="1"/>
  <c r="AM614" i="1"/>
  <c r="AM616" i="1"/>
  <c r="AM574" i="1"/>
  <c r="AM639" i="1"/>
  <c r="AM718" i="1"/>
  <c r="AM546" i="1"/>
  <c r="AM704" i="1"/>
  <c r="AM615" i="1"/>
  <c r="AM591" i="1"/>
  <c r="AM607" i="1"/>
  <c r="AM723" i="1"/>
  <c r="AM576" i="1"/>
  <c r="AM534" i="1"/>
  <c r="AM548" i="1"/>
  <c r="AM719" i="1"/>
  <c r="AM553" i="1"/>
  <c r="AM528" i="1"/>
  <c r="AM617" i="1"/>
  <c r="AM516" i="1"/>
  <c r="AM561" i="1"/>
  <c r="AM621" i="1"/>
  <c r="AM676" i="1"/>
  <c r="AM767" i="1"/>
  <c r="AM760" i="1"/>
  <c r="AM630" i="1"/>
  <c r="AM748" i="1"/>
  <c r="AM555" i="1"/>
  <c r="AM596" i="1"/>
  <c r="AM762" i="1"/>
  <c r="AM716" i="1"/>
  <c r="AM610" i="1"/>
  <c r="AM580" i="1"/>
  <c r="AM530" i="1"/>
  <c r="AM570" i="1"/>
  <c r="AM538" i="1"/>
  <c r="AM682" i="1"/>
  <c r="AM514" i="1"/>
  <c r="AM524" i="1"/>
  <c r="AM725" i="1"/>
  <c r="AM675" i="1"/>
  <c r="AM563" i="1"/>
  <c r="AM775" i="1"/>
  <c r="AM673" i="1"/>
  <c r="AM693" i="1"/>
  <c r="AM712" i="1"/>
  <c r="AM609" i="1"/>
  <c r="AM634" i="1"/>
  <c r="AM595" i="1"/>
  <c r="AM633" i="1"/>
  <c r="AM539" i="1"/>
  <c r="AM720" i="1"/>
  <c r="AM568" i="1"/>
  <c r="AM564" i="1"/>
  <c r="AM640" i="1"/>
  <c r="AM715" i="1"/>
  <c r="AM535" i="1"/>
  <c r="AM506" i="1"/>
  <c r="AM771" i="1"/>
  <c r="AM522" i="1"/>
  <c r="AM684" i="1"/>
  <c r="AM753" i="1"/>
  <c r="AM626" i="1"/>
  <c r="AM766" i="1"/>
  <c r="AM611" i="1"/>
  <c r="AM585" i="1"/>
  <c r="AM666" i="1"/>
  <c r="AM685" i="1"/>
  <c r="AM558" i="1"/>
  <c r="AM594" i="1"/>
  <c r="AM559" i="1"/>
  <c r="AM702" i="1"/>
  <c r="AM646" i="1"/>
  <c r="AM642" i="1"/>
  <c r="AM692" i="1"/>
  <c r="AM520" i="1"/>
  <c r="AM512" i="1"/>
  <c r="AM770" i="1"/>
  <c r="AM629" i="1"/>
  <c r="AM667" i="1"/>
  <c r="AM749" i="1"/>
  <c r="AM663" i="1"/>
  <c r="AM697" i="1"/>
  <c r="AM778" i="1"/>
  <c r="AM622" i="1"/>
  <c r="AM586" i="1"/>
  <c r="AM602" i="1"/>
  <c r="AM728" i="1"/>
  <c r="AM533" i="1"/>
  <c r="AM694" i="1"/>
  <c r="AM510" i="1"/>
  <c r="AM537" i="1"/>
  <c r="AM706" i="1"/>
  <c r="AM751" i="1"/>
  <c r="AM756" i="1"/>
  <c r="AM689" i="1"/>
  <c r="AM665" i="1"/>
  <c r="AM726" i="1"/>
  <c r="AM569" i="1"/>
  <c r="AM565" i="1"/>
  <c r="AM671" i="1"/>
  <c r="AM532" i="1"/>
  <c r="AM664" i="1"/>
  <c r="AM746" i="1"/>
  <c r="AM598" i="1"/>
  <c r="AM515" i="1"/>
  <c r="AM575" i="1"/>
  <c r="AM773" i="1"/>
  <c r="AM504" i="1"/>
  <c r="AM654" i="1"/>
  <c r="AM653" i="1"/>
  <c r="AM645" i="1"/>
  <c r="AM680" i="1"/>
  <c r="AM620" i="1"/>
  <c r="AM709" i="1"/>
  <c r="AM658" i="1"/>
  <c r="AM677" i="1"/>
  <c r="AM701" i="1"/>
  <c r="AM768" i="1"/>
  <c r="AM544" i="1"/>
  <c r="AM644" i="1"/>
  <c r="AM560" i="1"/>
  <c r="AM507" i="1"/>
  <c r="AM652" i="1"/>
  <c r="AM638" i="1"/>
  <c r="AM613" i="1"/>
  <c r="AM508" i="1"/>
  <c r="AM722" i="1"/>
  <c r="AM604" i="1"/>
  <c r="AM592" i="1"/>
  <c r="AM637" i="1"/>
  <c r="AM681" i="1"/>
  <c r="AM543" i="1"/>
  <c r="AM764" i="1"/>
  <c r="AM636" i="1"/>
  <c r="AM659" i="1"/>
  <c r="O2832" i="1"/>
  <c r="O2833" i="1" s="1"/>
  <c r="R2833" i="1" s="1"/>
  <c r="R2780" i="1"/>
  <c r="S2780" i="1"/>
  <c r="O2854" i="1"/>
  <c r="R2701" i="1"/>
  <c r="S2928" i="1"/>
  <c r="T2928" i="1" s="1"/>
  <c r="R2695" i="1"/>
  <c r="O2697" i="1"/>
  <c r="O2811" i="1"/>
  <c r="O2812" i="1" s="1"/>
  <c r="R2812" i="1" s="1"/>
  <c r="O2826" i="1"/>
  <c r="R2924" i="1"/>
  <c r="S2924" i="1"/>
  <c r="O2925" i="1"/>
  <c r="O2814" i="1"/>
  <c r="BD62" i="1"/>
  <c r="T2706" i="1"/>
  <c r="S2705" i="1"/>
  <c r="T2705" i="1" s="1"/>
  <c r="O2805" i="1"/>
  <c r="R2804" i="1"/>
  <c r="S2903" i="1"/>
  <c r="T2903" i="1" s="1"/>
  <c r="O2835" i="1"/>
  <c r="S2853" i="1"/>
  <c r="T2853" i="1" s="1"/>
  <c r="R2853" i="1"/>
  <c r="O2905" i="1"/>
  <c r="R2902" i="1"/>
  <c r="R6920" i="1"/>
  <c r="S6920" i="1"/>
  <c r="T6920" i="1" s="1"/>
  <c r="S2851" i="1"/>
  <c r="T2851" i="1" s="1"/>
  <c r="T6919" i="1"/>
  <c r="S6918" i="1"/>
  <c r="T6918" i="1" s="1"/>
  <c r="S2690" i="1"/>
  <c r="O2691" i="1"/>
  <c r="R2690" i="1"/>
  <c r="S2844" i="1"/>
  <c r="O2024" i="1"/>
  <c r="O2025" i="1" s="1"/>
  <c r="Q2359" i="1"/>
  <c r="Q2112" i="1"/>
  <c r="Q2003" i="1"/>
  <c r="Q2074" i="1"/>
  <c r="Q2064" i="1"/>
  <c r="Q2063" i="1" s="1"/>
  <c r="BD23" i="1"/>
  <c r="BD57" i="1"/>
  <c r="BD42" i="1"/>
  <c r="BD27" i="1"/>
  <c r="BD20" i="1"/>
  <c r="BD13" i="1"/>
  <c r="BD70" i="1"/>
  <c r="BD31" i="1"/>
  <c r="BD16" i="1"/>
  <c r="BD7" i="1"/>
  <c r="BD50" i="1"/>
  <c r="BD35" i="1"/>
  <c r="BD28" i="1"/>
  <c r="BD21" i="1"/>
  <c r="BD14" i="1"/>
  <c r="Q2507" i="1"/>
  <c r="BD39" i="1"/>
  <c r="BD9" i="1"/>
  <c r="BD58" i="1"/>
  <c r="BD43" i="1"/>
  <c r="BD29" i="1"/>
  <c r="Q2456" i="1"/>
  <c r="BD47" i="1"/>
  <c r="BD32" i="1"/>
  <c r="BD17" i="1"/>
  <c r="BD66" i="1"/>
  <c r="BD51" i="1"/>
  <c r="BD44" i="1"/>
  <c r="BD37" i="1"/>
  <c r="BD30" i="1"/>
  <c r="BD55" i="1"/>
  <c r="BD40" i="1"/>
  <c r="BD25" i="1"/>
  <c r="BD10" i="1"/>
  <c r="BD59" i="1"/>
  <c r="BD52" i="1"/>
  <c r="BD45" i="1"/>
  <c r="BD38" i="1"/>
  <c r="BD63" i="1"/>
  <c r="BD48" i="1"/>
  <c r="BD33" i="1"/>
  <c r="BD18" i="1"/>
  <c r="BD67" i="1"/>
  <c r="BD60" i="1"/>
  <c r="BD53" i="1"/>
  <c r="BD46" i="1"/>
  <c r="BD56" i="1"/>
  <c r="BD11" i="1"/>
  <c r="BD68" i="1"/>
  <c r="BD61" i="1"/>
  <c r="BD54" i="1"/>
  <c r="BD15" i="1"/>
  <c r="BD64" i="1"/>
  <c r="BD49" i="1"/>
  <c r="BD34" i="1"/>
  <c r="BD19" i="1"/>
  <c r="Q2639" i="1"/>
  <c r="Q2638" i="1" s="1"/>
  <c r="Q2228" i="1"/>
  <c r="Q2059" i="1"/>
  <c r="Q2007" i="1"/>
  <c r="Q2081" i="1"/>
  <c r="Q2544" i="1"/>
  <c r="Q2543" i="1" s="1"/>
  <c r="Q2542" i="1" s="1"/>
  <c r="Q2541" i="1" s="1"/>
  <c r="Q2540" i="1" s="1"/>
  <c r="Q2539" i="1" s="1"/>
  <c r="Q2538" i="1" s="1"/>
  <c r="Q2537" i="1" s="1"/>
  <c r="Q2536" i="1" s="1"/>
  <c r="Q2535" i="1" s="1"/>
  <c r="Q2534" i="1" s="1"/>
  <c r="Q2533" i="1" s="1"/>
  <c r="Q2532" i="1" s="1"/>
  <c r="Q2531" i="1" s="1"/>
  <c r="Q2530" i="1" s="1"/>
  <c r="Q2529" i="1" s="1"/>
  <c r="Q2528" i="1" s="1"/>
  <c r="Q2527" i="1" s="1"/>
  <c r="Q2526" i="1" s="1"/>
  <c r="Q2525" i="1" s="1"/>
  <c r="Q2484" i="1"/>
  <c r="Q2476" i="1"/>
  <c r="Q2586" i="1"/>
  <c r="Q2331" i="1"/>
  <c r="Q2323" i="1"/>
  <c r="Q2322" i="1" s="1"/>
  <c r="Q2320" i="1"/>
  <c r="Q2464" i="1"/>
  <c r="Q2312" i="1"/>
  <c r="Q2304" i="1"/>
  <c r="Q2209" i="1"/>
  <c r="Q2397" i="1"/>
  <c r="Q1999" i="1"/>
  <c r="Q1991" i="1"/>
  <c r="Q2569" i="1"/>
  <c r="Q2295" i="1"/>
  <c r="Q2173" i="1"/>
  <c r="Q2165" i="1"/>
  <c r="Q2217" i="1"/>
  <c r="Q2648" i="1"/>
  <c r="Q2647" i="1" s="1"/>
  <c r="Q2646" i="1" s="1"/>
  <c r="Q2438" i="1"/>
  <c r="Q2554" i="1"/>
  <c r="Q2546" i="1"/>
  <c r="Q2420" i="1"/>
  <c r="Q2326" i="1"/>
  <c r="Q2325" i="1" s="1"/>
  <c r="W2" i="1"/>
  <c r="Q2161" i="1"/>
  <c r="Q2385" i="1"/>
  <c r="Q2384" i="1" s="1"/>
  <c r="Q2383" i="1" s="1"/>
  <c r="Q2382" i="1" s="1"/>
  <c r="Q2381" i="1" s="1"/>
  <c r="Q2066" i="1"/>
  <c r="Q2139" i="1"/>
  <c r="Q2244" i="1"/>
  <c r="Q2243" i="1" s="1"/>
  <c r="Q2114" i="1"/>
  <c r="Q2195" i="1"/>
  <c r="Q2187" i="1"/>
  <c r="Q2517" i="1"/>
  <c r="Q2102" i="1"/>
  <c r="Q2094" i="1"/>
  <c r="Q2088" i="1"/>
  <c r="Q2100" i="1"/>
  <c r="Q2449" i="1"/>
  <c r="Q2523" i="1"/>
  <c r="Q2109" i="1"/>
  <c r="Q2037" i="1"/>
  <c r="Q2511" i="1"/>
  <c r="Q1981" i="1"/>
  <c r="Q1973" i="1"/>
  <c r="Q2575" i="1"/>
  <c r="Q2622" i="1"/>
  <c r="Q2521" i="1"/>
  <c r="Q2219" i="1"/>
  <c r="Q2133" i="1"/>
  <c r="Q2132" i="1" s="1"/>
  <c r="Q2131" i="1" s="1"/>
  <c r="Q2105" i="1"/>
  <c r="Q2267" i="1"/>
  <c r="Q2266" i="1" s="1"/>
  <c r="Q2391" i="1"/>
  <c r="Q2233" i="1"/>
  <c r="Q2229" i="1"/>
  <c r="Q2444" i="1"/>
  <c r="Q2443" i="1" s="1"/>
  <c r="Q2436" i="1"/>
  <c r="Q2365" i="1"/>
  <c r="Q2364" i="1" s="1"/>
  <c r="Q2351" i="1"/>
  <c r="Q2350" i="1" s="1"/>
  <c r="Q2137" i="1"/>
  <c r="Q2052" i="1"/>
  <c r="Q2552" i="1"/>
  <c r="Q2122" i="1"/>
  <c r="Q2418" i="1"/>
  <c r="Q2120" i="1"/>
  <c r="Q2302" i="1"/>
  <c r="Q2201" i="1"/>
  <c r="Q2193" i="1"/>
  <c r="Q2185" i="1"/>
  <c r="Q2292" i="1"/>
  <c r="Q2379" i="1"/>
  <c r="Q2503" i="1"/>
  <c r="Q2337" i="1"/>
  <c r="Q2427" i="1"/>
  <c r="Q2425" i="1"/>
  <c r="Q2411" i="1"/>
  <c r="Q2405" i="1"/>
  <c r="Q2203" i="1"/>
  <c r="Q2393" i="1"/>
  <c r="Q2441" i="1"/>
  <c r="Q2440" i="1" s="1"/>
  <c r="Q2362" i="1"/>
  <c r="Q2361" i="1" s="1"/>
  <c r="Q2348" i="1"/>
  <c r="Q2347" i="1" s="1"/>
  <c r="Q2482" i="1"/>
  <c r="Q2474" i="1"/>
  <c r="Q2409" i="1"/>
  <c r="Q2329" i="1"/>
  <c r="Q2328" i="1" s="1"/>
  <c r="Q2318" i="1"/>
  <c r="Q2462" i="1"/>
  <c r="Q2310" i="1"/>
  <c r="Q2207" i="1"/>
  <c r="Q2403" i="1"/>
  <c r="Q1997" i="1"/>
  <c r="Q2567" i="1"/>
  <c r="Q2566" i="1" s="1"/>
  <c r="Q2565" i="1" s="1"/>
  <c r="Q2171" i="1"/>
  <c r="Q2035" i="1"/>
  <c r="Q2509" i="1"/>
  <c r="Q1979" i="1"/>
  <c r="Q1971" i="1"/>
  <c r="Q2163" i="1"/>
  <c r="Q2637" i="1"/>
  <c r="Q2636" i="1" s="1"/>
  <c r="Q2450" i="1"/>
  <c r="Q2375" i="1"/>
  <c r="Q2599" i="1"/>
  <c r="Q2261" i="1"/>
  <c r="Q2260" i="1" s="1"/>
  <c r="Q2057" i="1"/>
  <c r="Q2005" i="1"/>
  <c r="Q2129" i="1"/>
  <c r="Q2128" i="1" s="1"/>
  <c r="Q2127" i="1" s="1"/>
  <c r="Q2125" i="1"/>
  <c r="Q2556" i="1"/>
  <c r="Q2548" i="1"/>
  <c r="Q2335" i="1"/>
  <c r="Q2490" i="1"/>
  <c r="Q2422" i="1"/>
  <c r="Q2414" i="1"/>
  <c r="Q2413" i="1" s="1"/>
  <c r="Q2584" i="1"/>
  <c r="Q1989" i="1"/>
  <c r="Q2395" i="1"/>
  <c r="Q2197" i="1"/>
  <c r="Q2189" i="1"/>
  <c r="P2654" i="1"/>
  <c r="Q2654" i="1"/>
  <c r="P2505" i="1"/>
  <c r="Q2505" i="1"/>
  <c r="O2249" i="1"/>
  <c r="O2250" i="1" s="1"/>
  <c r="P2563" i="1"/>
  <c r="Q2563" i="1"/>
  <c r="Q2562" i="1" s="1"/>
  <c r="Q2561" i="1" s="1"/>
  <c r="Q2560" i="1" s="1"/>
  <c r="P2378" i="1"/>
  <c r="P2626" i="1"/>
  <c r="Q2626" i="1"/>
  <c r="Q2620" i="1"/>
  <c r="Q2619" i="1" s="1"/>
  <c r="Q2618" i="1" s="1"/>
  <c r="Q2617" i="1" s="1"/>
  <c r="P2273" i="1"/>
  <c r="Q2273" i="1"/>
  <c r="Q2072" i="1"/>
  <c r="Q2501" i="1"/>
  <c r="P2495" i="1"/>
  <c r="Q2588" i="1"/>
  <c r="Q2104" i="1"/>
  <c r="Q2030" i="1"/>
  <c r="Q2645" i="1"/>
  <c r="O2002" i="1"/>
  <c r="O2003" i="1" s="1"/>
  <c r="P2159" i="1"/>
  <c r="Q2159" i="1"/>
  <c r="Q2158" i="1" s="1"/>
  <c r="Q2157" i="1" s="1"/>
  <c r="Q2156" i="1" s="1"/>
  <c r="Q2155" i="1" s="1"/>
  <c r="P2377" i="1"/>
  <c r="Q2377" i="1"/>
  <c r="P2616" i="1"/>
  <c r="Q2616" i="1"/>
  <c r="Q2615" i="1" s="1"/>
  <c r="Q2614" i="1" s="1"/>
  <c r="Q2613" i="1"/>
  <c r="Q2612" i="1" s="1"/>
  <c r="Q2611" i="1" s="1"/>
  <c r="Q2610" i="1" s="1"/>
  <c r="Q2609" i="1" s="1"/>
  <c r="Q2608" i="1" s="1"/>
  <c r="Q2600" i="1"/>
  <c r="Q2153" i="1"/>
  <c r="Q2231" i="1"/>
  <c r="Q2070" i="1"/>
  <c r="Q2069" i="1" s="1"/>
  <c r="Q2371" i="1"/>
  <c r="Q2370" i="1" s="1"/>
  <c r="Q2597" i="1"/>
  <c r="Q2596" i="1" s="1"/>
  <c r="P2592" i="1"/>
  <c r="Q2592" i="1"/>
  <c r="Q2255" i="1"/>
  <c r="Q2146" i="1"/>
  <c r="Q2055" i="1"/>
  <c r="Q2054" i="1" s="1"/>
  <c r="P2434" i="1"/>
  <c r="Q2434" i="1"/>
  <c r="Q2433" i="1" s="1"/>
  <c r="Q2357" i="1"/>
  <c r="Q2356" i="1" s="1"/>
  <c r="Q2558" i="1"/>
  <c r="Q2424" i="1"/>
  <c r="Q2118" i="1"/>
  <c r="Q2199" i="1"/>
  <c r="Q2191" i="1"/>
  <c r="Q2301" i="1"/>
  <c r="Q2098" i="1"/>
  <c r="Q2181" i="1"/>
  <c r="Q2092" i="1"/>
  <c r="Q2086" i="1"/>
  <c r="Q2028" i="1"/>
  <c r="Q2027" i="1" s="1"/>
  <c r="P2236" i="1"/>
  <c r="Q2236" i="1"/>
  <c r="Q2235" i="1" s="1"/>
  <c r="P2628" i="1"/>
  <c r="Q2628" i="1"/>
  <c r="P2652" i="1"/>
  <c r="Q2652" i="1"/>
  <c r="P2642" i="1"/>
  <c r="P2162" i="1"/>
  <c r="P2158" i="1"/>
  <c r="P2290" i="1"/>
  <c r="P2288" i="1"/>
  <c r="Q2288" i="1"/>
  <c r="Q2287" i="1" s="1"/>
  <c r="Q2286" i="1" s="1"/>
  <c r="Q2285" i="1" s="1"/>
  <c r="Q2284" i="1" s="1"/>
  <c r="Q2283" i="1" s="1"/>
  <c r="Q2282" i="1" s="1"/>
  <c r="Q2281" i="1" s="1"/>
  <c r="Q2280" i="1" s="1"/>
  <c r="Q2279" i="1" s="1"/>
  <c r="Q2278" i="1" s="1"/>
  <c r="Q2277" i="1" s="1"/>
  <c r="Q2624" i="1"/>
  <c r="P2269" i="1"/>
  <c r="Q2078" i="1"/>
  <c r="Q2499" i="1"/>
  <c r="P2254" i="1"/>
  <c r="Q2221" i="1"/>
  <c r="Q2144" i="1"/>
  <c r="Q2143" i="1" s="1"/>
  <c r="Q2135" i="1"/>
  <c r="Q2428" i="1"/>
  <c r="Q2550" i="1"/>
  <c r="Q2416" i="1"/>
  <c r="Q2215" i="1"/>
  <c r="Q2580" i="1"/>
  <c r="Q2107" i="1"/>
  <c r="Q2051" i="1"/>
  <c r="Q2179" i="1"/>
  <c r="Q2047" i="1"/>
  <c r="Q2043" i="1"/>
  <c r="P2454" i="1"/>
  <c r="Q2454" i="1"/>
  <c r="Q2453" i="1" s="1"/>
  <c r="Q2452" i="1" s="1"/>
  <c r="P1970" i="1"/>
  <c r="P2650" i="1"/>
  <c r="Q2650" i="1"/>
  <c r="Q2643" i="1"/>
  <c r="P2019" i="1"/>
  <c r="Q2019" i="1"/>
  <c r="Q2018" i="1" s="1"/>
  <c r="P2635" i="1"/>
  <c r="Q2635" i="1"/>
  <c r="P2387" i="1"/>
  <c r="Q2387" i="1"/>
  <c r="P2621" i="1"/>
  <c r="P2607" i="1"/>
  <c r="Q2607" i="1"/>
  <c r="Q2606" i="1" s="1"/>
  <c r="Q2605" i="1" s="1"/>
  <c r="Q2604" i="1" s="1"/>
  <c r="Q2603" i="1" s="1"/>
  <c r="Q2602" i="1" s="1"/>
  <c r="Q2271" i="1"/>
  <c r="Q2270" i="1" s="1"/>
  <c r="Q2269" i="1" s="1"/>
  <c r="Q2076" i="1"/>
  <c r="Q2151" i="1"/>
  <c r="P2497" i="1"/>
  <c r="Q2497" i="1"/>
  <c r="Q2067" i="1"/>
  <c r="P2253" i="1"/>
  <c r="Q2253" i="1"/>
  <c r="Q2252" i="1" s="1"/>
  <c r="Q2011" i="1"/>
  <c r="Q2010" i="1" s="1"/>
  <c r="Q2124" i="1"/>
  <c r="Q2116" i="1"/>
  <c r="Q2519" i="1"/>
  <c r="Q2241" i="1"/>
  <c r="Q2096" i="1"/>
  <c r="Q2090" i="1"/>
  <c r="P2239" i="1"/>
  <c r="Q2239" i="1"/>
  <c r="Q2238" i="1" s="1"/>
  <c r="P2562" i="1"/>
  <c r="P2018" i="1"/>
  <c r="O2634" i="1"/>
  <c r="O2635" i="1" s="1"/>
  <c r="Q2080" i="1"/>
  <c r="P2633" i="1"/>
  <c r="Q2633" i="1"/>
  <c r="Q2632" i="1" s="1"/>
  <c r="Q2631" i="1" s="1"/>
  <c r="Q2630" i="1" s="1"/>
  <c r="Q2629" i="1" s="1"/>
  <c r="P2291" i="1"/>
  <c r="Q2291" i="1"/>
  <c r="Q2290" i="1" s="1"/>
  <c r="Q2289" i="1" s="1"/>
  <c r="P2276" i="1"/>
  <c r="Q2276" i="1"/>
  <c r="Q2275" i="1" s="1"/>
  <c r="Q2264" i="1"/>
  <c r="Q2263" i="1" s="1"/>
  <c r="Q2023" i="1"/>
  <c r="Q2368" i="1"/>
  <c r="Q2367" i="1" s="1"/>
  <c r="Q2227" i="1"/>
  <c r="Q2226" i="1" s="1"/>
  <c r="Q2594" i="1"/>
  <c r="Q2016" i="1"/>
  <c r="Q2447" i="1"/>
  <c r="Q2446" i="1" s="1"/>
  <c r="P2431" i="1"/>
  <c r="Q2431" i="1"/>
  <c r="Q2430" i="1" s="1"/>
  <c r="Q2354" i="1"/>
  <c r="Q2353" i="1" s="1"/>
  <c r="Q2141" i="1"/>
  <c r="Q2084" i="1"/>
  <c r="Q2083" i="1" s="1"/>
  <c r="Q2590" i="1"/>
  <c r="Q2494" i="1"/>
  <c r="Q2488" i="1"/>
  <c r="Q2480" i="1"/>
  <c r="Q2472" i="1"/>
  <c r="P2248" i="1"/>
  <c r="Q2248" i="1"/>
  <c r="Q2407" i="1"/>
  <c r="Q2246" i="1"/>
  <c r="Q2468" i="1"/>
  <c r="Q2316" i="1"/>
  <c r="Q2308" i="1"/>
  <c r="Q2213" i="1"/>
  <c r="Q2205" i="1"/>
  <c r="Q2401" i="1"/>
  <c r="Q2578" i="1"/>
  <c r="Q1995" i="1"/>
  <c r="Q2110" i="1"/>
  <c r="Q2576" i="1"/>
  <c r="Q2458" i="1"/>
  <c r="Q2573" i="1"/>
  <c r="Q2299" i="1"/>
  <c r="Q2177" i="1"/>
  <c r="Q2169" i="1"/>
  <c r="Q2045" i="1"/>
  <c r="Q2041" i="1"/>
  <c r="Q2033" i="1"/>
  <c r="Q2032" i="1" s="1"/>
  <c r="Q2515" i="1"/>
  <c r="Q1985" i="1"/>
  <c r="Q1977" i="1"/>
  <c r="P2656" i="1"/>
  <c r="O2017" i="1"/>
  <c r="O2018" i="1" s="1"/>
  <c r="P2079" i="1"/>
  <c r="P2286" i="1"/>
  <c r="P2022" i="1"/>
  <c r="P2225" i="1"/>
  <c r="P2345" i="1"/>
  <c r="Q2345" i="1"/>
  <c r="Q2344" i="1" s="1"/>
  <c r="P2315" i="1"/>
  <c r="Q2460" i="1"/>
  <c r="Q2049" i="1"/>
  <c r="P2504" i="1"/>
  <c r="P2641" i="1"/>
  <c r="Q2641" i="1"/>
  <c r="Q2250" i="1"/>
  <c r="P2373" i="1"/>
  <c r="Q2373" i="1"/>
  <c r="P2262" i="1"/>
  <c r="Q2021" i="1"/>
  <c r="Q2149" i="1"/>
  <c r="Q2148" i="1" s="1"/>
  <c r="Q2224" i="1"/>
  <c r="Q2223" i="1" s="1"/>
  <c r="Q2258" i="1"/>
  <c r="Q2257" i="1" s="1"/>
  <c r="Q2256" i="1" s="1"/>
  <c r="Q2061" i="1"/>
  <c r="Q2014" i="1"/>
  <c r="Q2013" i="1" s="1"/>
  <c r="Q2012" i="1" s="1"/>
  <c r="Q2008" i="1"/>
  <c r="P2437" i="1"/>
  <c r="P2218" i="1"/>
  <c r="P2138" i="1"/>
  <c r="P2342" i="1"/>
  <c r="Q2342" i="1"/>
  <c r="Q2341" i="1" s="1"/>
  <c r="Q2340" i="1" s="1"/>
  <c r="Q2339" i="1" s="1"/>
  <c r="Q2496" i="1"/>
  <c r="Q2492" i="1"/>
  <c r="Q2486" i="1"/>
  <c r="Q2478" i="1"/>
  <c r="Q2470" i="1"/>
  <c r="Q2582" i="1"/>
  <c r="Q2333" i="1"/>
  <c r="Q2466" i="1"/>
  <c r="Q2314" i="1"/>
  <c r="Q2306" i="1"/>
  <c r="Q2211" i="1"/>
  <c r="Q2399" i="1"/>
  <c r="Q2001" i="1"/>
  <c r="Q1993" i="1"/>
  <c r="Q1987" i="1"/>
  <c r="Q2571" i="1"/>
  <c r="Q2297" i="1"/>
  <c r="Q2183" i="1"/>
  <c r="Q2175" i="1"/>
  <c r="Q2167" i="1"/>
  <c r="Q2293" i="1"/>
  <c r="Q2389" i="1"/>
  <c r="Q2039" i="1"/>
  <c r="Q2513" i="1"/>
  <c r="Q1983" i="1"/>
  <c r="Q1975" i="1"/>
  <c r="AU1123" i="1"/>
  <c r="U2618" i="1"/>
  <c r="O1972" i="1"/>
  <c r="O1973" i="1" s="1"/>
  <c r="U2375" i="1"/>
  <c r="S3" i="1"/>
  <c r="T3" i="1" s="1"/>
  <c r="U2154" i="1"/>
  <c r="U2605" i="1"/>
  <c r="U2077" i="1"/>
  <c r="B32" i="7"/>
  <c r="K4" i="7"/>
  <c r="B34" i="7"/>
  <c r="B35" i="7" s="1"/>
  <c r="L4" i="7"/>
  <c r="N3" i="7"/>
  <c r="M4" i="7"/>
  <c r="D6" i="7"/>
  <c r="E5" i="7"/>
  <c r="D40" i="7"/>
  <c r="F27" i="7"/>
  <c r="B41" i="7"/>
  <c r="B42" i="7" s="1"/>
  <c r="B13" i="7"/>
  <c r="B14" i="7"/>
  <c r="C20" i="7"/>
  <c r="D7" i="7"/>
  <c r="C4" i="7"/>
  <c r="F11" i="7"/>
  <c r="B33" i="7"/>
  <c r="B16" i="7"/>
  <c r="B17" i="7" s="1"/>
  <c r="B21" i="7"/>
  <c r="V76" i="4"/>
  <c r="U76" i="4"/>
  <c r="T76" i="4"/>
  <c r="W76" i="4"/>
  <c r="X76" i="4"/>
  <c r="Y76" i="4"/>
  <c r="R3" i="1"/>
  <c r="R2" i="1"/>
  <c r="P1972" i="1"/>
  <c r="O2559" i="1"/>
  <c r="O2560" i="1" s="1"/>
  <c r="U1972" i="1"/>
  <c r="U2372" i="1"/>
  <c r="U2323" i="1"/>
  <c r="U2265" i="1"/>
  <c r="U2148" i="1"/>
  <c r="U2160" i="1"/>
  <c r="O2593" i="1"/>
  <c r="O2594" i="1" s="1"/>
  <c r="U2066" i="1"/>
  <c r="U2376" i="1"/>
  <c r="U2596" i="1"/>
  <c r="U2653" i="1"/>
  <c r="U2644" i="1"/>
  <c r="U2280" i="1"/>
  <c r="U2284" i="1"/>
  <c r="U2234" i="1"/>
  <c r="U2348" i="1"/>
  <c r="U1971" i="1"/>
  <c r="U2643" i="1"/>
  <c r="U2011" i="1"/>
  <c r="U2217" i="1"/>
  <c r="U2386" i="1"/>
  <c r="U2279" i="1"/>
  <c r="U2354" i="1"/>
  <c r="O2079" i="1"/>
  <c r="O2080" i="1" s="1"/>
  <c r="U2648" i="1"/>
  <c r="O2506" i="1"/>
  <c r="O2507" i="1" s="1"/>
  <c r="U2383" i="1"/>
  <c r="O2655" i="1"/>
  <c r="O2656" i="1" s="1"/>
  <c r="U2025" i="1"/>
  <c r="U2250" i="1"/>
  <c r="U2632" i="1"/>
  <c r="U2352" i="1"/>
  <c r="O2651" i="1"/>
  <c r="O2652" i="1" s="1"/>
  <c r="U2638" i="1"/>
  <c r="O2237" i="1"/>
  <c r="O2238" i="1" s="1"/>
  <c r="O2239" i="1" s="1"/>
  <c r="U2451" i="1"/>
  <c r="U2560" i="1"/>
  <c r="U2627" i="1"/>
  <c r="U2623" i="1"/>
  <c r="U2134" i="1"/>
  <c r="P2560" i="1"/>
  <c r="O2376" i="1"/>
  <c r="O2377" i="1" s="1"/>
  <c r="P2025" i="1"/>
  <c r="P2372" i="1"/>
  <c r="U2450" i="1"/>
  <c r="P2653" i="1"/>
  <c r="U2019" i="1"/>
  <c r="P2632" i="1"/>
  <c r="P2623" i="1"/>
  <c r="O2649" i="1"/>
  <c r="O2650" i="1" s="1"/>
  <c r="O2386" i="1"/>
  <c r="O2387" i="1" s="1"/>
  <c r="O2374" i="1"/>
  <c r="O2375" i="1" s="1"/>
  <c r="U2004" i="1"/>
  <c r="P2648" i="1"/>
  <c r="P2250" i="1"/>
  <c r="P2627" i="1"/>
  <c r="P2618" i="1"/>
  <c r="O2251" i="1"/>
  <c r="O2252" i="1" s="1"/>
  <c r="U2446" i="1"/>
  <c r="P2234" i="1"/>
  <c r="P2280" i="1"/>
  <c r="O2614" i="1"/>
  <c r="O2615" i="1" s="1"/>
  <c r="U2455" i="1"/>
  <c r="O2380" i="1"/>
  <c r="U2008" i="1"/>
  <c r="U2162" i="1"/>
  <c r="U2634" i="1"/>
  <c r="P2279" i="1"/>
  <c r="P2605" i="1"/>
  <c r="U2640" i="1"/>
  <c r="U2611" i="1"/>
  <c r="U2603" i="1"/>
  <c r="P2160" i="1"/>
  <c r="P2451" i="1"/>
  <c r="P2284" i="1"/>
  <c r="U2269" i="1"/>
  <c r="P2620" i="1"/>
  <c r="U2620" i="1"/>
  <c r="P2266" i="1"/>
  <c r="U2266" i="1"/>
  <c r="P2233" i="1"/>
  <c r="U2233" i="1"/>
  <c r="P2072" i="1"/>
  <c r="U2072" i="1"/>
  <c r="O2020" i="1"/>
  <c r="O2021" i="1" s="1"/>
  <c r="P2020" i="1"/>
  <c r="U2020" i="1"/>
  <c r="P2502" i="1"/>
  <c r="U2502" i="1"/>
  <c r="O2229" i="1"/>
  <c r="P2229" i="1"/>
  <c r="P2501" i="1"/>
  <c r="U2501" i="1"/>
  <c r="P2222" i="1"/>
  <c r="U2222" i="1"/>
  <c r="P2062" i="1"/>
  <c r="U2062" i="1"/>
  <c r="O2060" i="1"/>
  <c r="O2061" i="1" s="1"/>
  <c r="P2060" i="1"/>
  <c r="U2060" i="1"/>
  <c r="P2013" i="1"/>
  <c r="U2013" i="1"/>
  <c r="O2006" i="1"/>
  <c r="O2007" i="1" s="1"/>
  <c r="P2006" i="1"/>
  <c r="U2006" i="1"/>
  <c r="P2444" i="1"/>
  <c r="U2444" i="1"/>
  <c r="P2436" i="1"/>
  <c r="U2436" i="1"/>
  <c r="P2365" i="1"/>
  <c r="U2365" i="1"/>
  <c r="P2359" i="1"/>
  <c r="U2359" i="1"/>
  <c r="P2351" i="1"/>
  <c r="U2351" i="1"/>
  <c r="P2344" i="1"/>
  <c r="U2344" i="1"/>
  <c r="P2137" i="1"/>
  <c r="U2137" i="1"/>
  <c r="O2130" i="1"/>
  <c r="O2131" i="1" s="1"/>
  <c r="O2132" i="1" s="1"/>
  <c r="P2130" i="1"/>
  <c r="U2130" i="1"/>
  <c r="U2340" i="1"/>
  <c r="P2340" i="1"/>
  <c r="P2052" i="1"/>
  <c r="O2052" i="1"/>
  <c r="U2052" i="1"/>
  <c r="P2552" i="1"/>
  <c r="U2552" i="1"/>
  <c r="P2528" i="1"/>
  <c r="U2528" i="1"/>
  <c r="P2539" i="1"/>
  <c r="U2539" i="1"/>
  <c r="P2527" i="1"/>
  <c r="U2527" i="1"/>
  <c r="U2495" i="1"/>
  <c r="O2495" i="1"/>
  <c r="U2491" i="1"/>
  <c r="O2491" i="1"/>
  <c r="O2492" i="1" s="1"/>
  <c r="P2491" i="1"/>
  <c r="O2485" i="1"/>
  <c r="P2485" i="1"/>
  <c r="U2485" i="1"/>
  <c r="O2477" i="1"/>
  <c r="O2478" i="1" s="1"/>
  <c r="P2477" i="1"/>
  <c r="U2477" i="1"/>
  <c r="O2469" i="1"/>
  <c r="O2470" i="1" s="1"/>
  <c r="P2469" i="1"/>
  <c r="U2469" i="1"/>
  <c r="P2122" i="1"/>
  <c r="P2418" i="1"/>
  <c r="U2418" i="1"/>
  <c r="P2588" i="1"/>
  <c r="U2588" i="1"/>
  <c r="O2581" i="1"/>
  <c r="O2582" i="1" s="1"/>
  <c r="P2581" i="1"/>
  <c r="U2581" i="1"/>
  <c r="U2332" i="1"/>
  <c r="O2332" i="1"/>
  <c r="O2333" i="1" s="1"/>
  <c r="P2332" i="1"/>
  <c r="O2324" i="1"/>
  <c r="O2325" i="1" s="1"/>
  <c r="P2324" i="1"/>
  <c r="U2324" i="1"/>
  <c r="U2242" i="1"/>
  <c r="O2242" i="1"/>
  <c r="P2242" i="1"/>
  <c r="O2465" i="1"/>
  <c r="O2466" i="1" s="1"/>
  <c r="P2465" i="1"/>
  <c r="U2465" i="1"/>
  <c r="U2313" i="1"/>
  <c r="O2313" i="1"/>
  <c r="O2314" i="1" s="1"/>
  <c r="P2313" i="1"/>
  <c r="P2305" i="1"/>
  <c r="U2305" i="1"/>
  <c r="O2305" i="1"/>
  <c r="O2210" i="1"/>
  <c r="P2210" i="1"/>
  <c r="U2210" i="1"/>
  <c r="P2120" i="1"/>
  <c r="U2120" i="1"/>
  <c r="P2112" i="1"/>
  <c r="U2112" i="1"/>
  <c r="P2398" i="1"/>
  <c r="O2398" i="1"/>
  <c r="O2399" i="1" s="1"/>
  <c r="U2398" i="1"/>
  <c r="P2000" i="1"/>
  <c r="O2000" i="1"/>
  <c r="O2001" i="1" s="1"/>
  <c r="U2000" i="1"/>
  <c r="U1992" i="1"/>
  <c r="O1992" i="1"/>
  <c r="O1993" i="1" s="1"/>
  <c r="P1992" i="1"/>
  <c r="P2302" i="1"/>
  <c r="O2302" i="1"/>
  <c r="U2302" i="1"/>
  <c r="U2201" i="1"/>
  <c r="P2201" i="1"/>
  <c r="P2193" i="1"/>
  <c r="U2193" i="1"/>
  <c r="U2185" i="1"/>
  <c r="P2185" i="1"/>
  <c r="P2108" i="1"/>
  <c r="U2108" i="1"/>
  <c r="O2108" i="1"/>
  <c r="O2109" i="1" s="1"/>
  <c r="P2104" i="1"/>
  <c r="U2104" i="1"/>
  <c r="O2570" i="1"/>
  <c r="P2570" i="1"/>
  <c r="U2570" i="1"/>
  <c r="P2390" i="1"/>
  <c r="U2390" i="1"/>
  <c r="O2390" i="1"/>
  <c r="O2391" i="1" s="1"/>
  <c r="O2296" i="1"/>
  <c r="O2297" i="1" s="1"/>
  <c r="P2296" i="1"/>
  <c r="U2296" i="1"/>
  <c r="P2100" i="1"/>
  <c r="U2100" i="1"/>
  <c r="O2182" i="1"/>
  <c r="P2182" i="1"/>
  <c r="U2182" i="1"/>
  <c r="O2174" i="1"/>
  <c r="P2174" i="1"/>
  <c r="U2174" i="1"/>
  <c r="O2166" i="1"/>
  <c r="O2167" i="1" s="1"/>
  <c r="P2166" i="1"/>
  <c r="U2166" i="1"/>
  <c r="O2292" i="1"/>
  <c r="P2292" i="1"/>
  <c r="U2292" i="1"/>
  <c r="O2388" i="1"/>
  <c r="O2389" i="1" s="1"/>
  <c r="P2388" i="1"/>
  <c r="U2388" i="1"/>
  <c r="O2038" i="1"/>
  <c r="O2039" i="1" s="1"/>
  <c r="P2038" i="1"/>
  <c r="U2038" i="1"/>
  <c r="P2030" i="1"/>
  <c r="U2030" i="1"/>
  <c r="O2512" i="1"/>
  <c r="O2513" i="1" s="1"/>
  <c r="P2512" i="1"/>
  <c r="U2512" i="1"/>
  <c r="O1982" i="1"/>
  <c r="O1983" i="1" s="1"/>
  <c r="P1982" i="1"/>
  <c r="U1982" i="1"/>
  <c r="O1974" i="1"/>
  <c r="O1975" i="1" s="1"/>
  <c r="P1974" i="1"/>
  <c r="U1974" i="1"/>
  <c r="U2506" i="1"/>
  <c r="P2154" i="1"/>
  <c r="U2378" i="1"/>
  <c r="O2625" i="1"/>
  <c r="O2626" i="1" s="1"/>
  <c r="U2610" i="1"/>
  <c r="O2601" i="1"/>
  <c r="P2601" i="1"/>
  <c r="U2601" i="1"/>
  <c r="O2272" i="1"/>
  <c r="P2272" i="1"/>
  <c r="U2272" i="1"/>
  <c r="U2152" i="1"/>
  <c r="O2232" i="1"/>
  <c r="P2232" i="1"/>
  <c r="U2232" i="1"/>
  <c r="O2071" i="1"/>
  <c r="O2072" i="1" s="1"/>
  <c r="P2071" i="1"/>
  <c r="P2449" i="1"/>
  <c r="P2503" i="1"/>
  <c r="U2503" i="1"/>
  <c r="O2228" i="1"/>
  <c r="P2228" i="1"/>
  <c r="U2228" i="1"/>
  <c r="U2500" i="1"/>
  <c r="O2500" i="1"/>
  <c r="O2501" i="1" s="1"/>
  <c r="P2223" i="1"/>
  <c r="U2223" i="1"/>
  <c r="P2257" i="1"/>
  <c r="U2257" i="1"/>
  <c r="P2063" i="1"/>
  <c r="U2059" i="1"/>
  <c r="U2012" i="1"/>
  <c r="O2012" i="1"/>
  <c r="R2012" i="1" s="1"/>
  <c r="U2007" i="1"/>
  <c r="P2007" i="1"/>
  <c r="P2443" i="1"/>
  <c r="U2443" i="1"/>
  <c r="O2435" i="1"/>
  <c r="O2436" i="1" s="1"/>
  <c r="P2435" i="1"/>
  <c r="U2435" i="1"/>
  <c r="P2364" i="1"/>
  <c r="U2364" i="1"/>
  <c r="P2358" i="1"/>
  <c r="Q2358" i="1" s="1"/>
  <c r="U2358" i="1"/>
  <c r="P2350" i="1"/>
  <c r="U2350" i="1"/>
  <c r="U2143" i="1"/>
  <c r="O2136" i="1"/>
  <c r="O2137" i="1" s="1"/>
  <c r="P2136" i="1"/>
  <c r="U2136" i="1"/>
  <c r="P2132" i="1"/>
  <c r="U2132" i="1"/>
  <c r="P2339" i="1"/>
  <c r="U2339" i="1"/>
  <c r="P2081" i="1"/>
  <c r="O2081" i="1"/>
  <c r="O2551" i="1"/>
  <c r="O2552" i="1" s="1"/>
  <c r="P2551" i="1"/>
  <c r="U2551" i="1"/>
  <c r="P2544" i="1"/>
  <c r="U2544" i="1"/>
  <c r="P2540" i="1"/>
  <c r="U2540" i="1"/>
  <c r="P2530" i="1"/>
  <c r="U2530" i="1"/>
  <c r="P2337" i="1"/>
  <c r="U2337" i="1"/>
  <c r="P2427" i="1"/>
  <c r="U2427" i="1"/>
  <c r="P2484" i="1"/>
  <c r="U2484" i="1"/>
  <c r="P2476" i="1"/>
  <c r="U2476" i="1"/>
  <c r="P2523" i="1"/>
  <c r="U2523" i="1"/>
  <c r="O2425" i="1"/>
  <c r="P2425" i="1"/>
  <c r="U2425" i="1"/>
  <c r="O2417" i="1"/>
  <c r="P2417" i="1"/>
  <c r="U2417" i="1"/>
  <c r="P2586" i="1"/>
  <c r="U2586" i="1"/>
  <c r="P2411" i="1"/>
  <c r="U2411" i="1"/>
  <c r="P2331" i="1"/>
  <c r="U2331" i="1"/>
  <c r="P2320" i="1"/>
  <c r="U2320" i="1"/>
  <c r="P2464" i="1"/>
  <c r="U2464" i="1"/>
  <c r="P2312" i="1"/>
  <c r="U2312" i="1"/>
  <c r="U2304" i="1"/>
  <c r="P2304" i="1"/>
  <c r="P2209" i="1"/>
  <c r="U2209" i="1"/>
  <c r="O2117" i="1"/>
  <c r="O2118" i="1" s="1"/>
  <c r="U2117" i="1"/>
  <c r="U2405" i="1"/>
  <c r="P2405" i="1"/>
  <c r="U2397" i="1"/>
  <c r="P2397" i="1"/>
  <c r="U1999" i="1"/>
  <c r="P1999" i="1"/>
  <c r="U1991" i="1"/>
  <c r="P1991" i="1"/>
  <c r="P2203" i="1"/>
  <c r="U2203" i="1"/>
  <c r="O2200" i="1"/>
  <c r="O2201" i="1" s="1"/>
  <c r="P2200" i="1"/>
  <c r="U2200" i="1"/>
  <c r="O2192" i="1"/>
  <c r="O2193" i="1" s="1"/>
  <c r="P2192" i="1"/>
  <c r="U2192" i="1"/>
  <c r="O2184" i="1"/>
  <c r="O2185" i="1" s="1"/>
  <c r="P2184" i="1"/>
  <c r="U2184" i="1"/>
  <c r="P2109" i="1"/>
  <c r="U2109" i="1"/>
  <c r="P2393" i="1"/>
  <c r="U2393" i="1"/>
  <c r="U2569" i="1"/>
  <c r="P2569" i="1"/>
  <c r="P2566" i="1"/>
  <c r="U2566" i="1"/>
  <c r="U2295" i="1"/>
  <c r="P2295" i="1"/>
  <c r="U2097" i="1"/>
  <c r="P2097" i="1"/>
  <c r="U2180" i="1"/>
  <c r="P2180" i="1"/>
  <c r="U2173" i="1"/>
  <c r="P2173" i="1"/>
  <c r="U2165" i="1"/>
  <c r="P2165" i="1"/>
  <c r="U2091" i="1"/>
  <c r="P2091" i="1"/>
  <c r="U2085" i="1"/>
  <c r="P2085" i="1"/>
  <c r="U2037" i="1"/>
  <c r="P2037" i="1"/>
  <c r="P2029" i="1"/>
  <c r="U2029" i="1"/>
  <c r="O2029" i="1"/>
  <c r="O2030" i="1" s="1"/>
  <c r="U2511" i="1"/>
  <c r="P2511" i="1"/>
  <c r="U1981" i="1"/>
  <c r="P1981" i="1"/>
  <c r="P1973" i="1"/>
  <c r="U1973" i="1"/>
  <c r="U2655" i="1"/>
  <c r="O2653" i="1"/>
  <c r="U2650" i="1"/>
  <c r="U2646" i="1"/>
  <c r="P2644" i="1"/>
  <c r="P2506" i="1"/>
  <c r="U2003" i="1"/>
  <c r="O2160" i="1"/>
  <c r="P2640" i="1"/>
  <c r="O2638" i="1"/>
  <c r="O2639" i="1" s="1"/>
  <c r="U2024" i="1"/>
  <c r="U2237" i="1"/>
  <c r="U2249" i="1"/>
  <c r="O2234" i="1"/>
  <c r="O2235" i="1" s="1"/>
  <c r="P2455" i="1"/>
  <c r="Q2455" i="1" s="1"/>
  <c r="O2451" i="1"/>
  <c r="O2452" i="1" s="1"/>
  <c r="P2450" i="1"/>
  <c r="U2561" i="1"/>
  <c r="P2386" i="1"/>
  <c r="U2157" i="1"/>
  <c r="U2630" i="1"/>
  <c r="U2631" i="1"/>
  <c r="O2627" i="1"/>
  <c r="U2286" i="1"/>
  <c r="U2278" i="1"/>
  <c r="U2281" i="1"/>
  <c r="P2376" i="1"/>
  <c r="U2373" i="1"/>
  <c r="O2623" i="1"/>
  <c r="O2624" i="1" s="1"/>
  <c r="U2617" i="1"/>
  <c r="P2265" i="1"/>
  <c r="U2225" i="1"/>
  <c r="P2011" i="1"/>
  <c r="U2434" i="1"/>
  <c r="U2613" i="1"/>
  <c r="P2600" i="1"/>
  <c r="U2600" i="1"/>
  <c r="P2268" i="1"/>
  <c r="U2268" i="1"/>
  <c r="P2153" i="1"/>
  <c r="U2153" i="1"/>
  <c r="U2231" i="1"/>
  <c r="P2070" i="1"/>
  <c r="U2070" i="1"/>
  <c r="O2448" i="1"/>
  <c r="P2448" i="1"/>
  <c r="U2448" i="1"/>
  <c r="P2371" i="1"/>
  <c r="U2371" i="1"/>
  <c r="P2597" i="1"/>
  <c r="U2597" i="1"/>
  <c r="P2498" i="1"/>
  <c r="U2498" i="1"/>
  <c r="P2255" i="1"/>
  <c r="U2255" i="1"/>
  <c r="P2220" i="1"/>
  <c r="U2220" i="1"/>
  <c r="O2058" i="1"/>
  <c r="P2058" i="1"/>
  <c r="U2058" i="1"/>
  <c r="P2146" i="1"/>
  <c r="U2146" i="1"/>
  <c r="P2055" i="1"/>
  <c r="U2055" i="1"/>
  <c r="O2442" i="1"/>
  <c r="O2443" i="1" s="1"/>
  <c r="P2442" i="1"/>
  <c r="U2363" i="1"/>
  <c r="O2363" i="1"/>
  <c r="P2357" i="1"/>
  <c r="U2357" i="1"/>
  <c r="O2349" i="1"/>
  <c r="O2350" i="1" s="1"/>
  <c r="P2349" i="1"/>
  <c r="U2349" i="1"/>
  <c r="O2142" i="1"/>
  <c r="O2143" i="1" s="1"/>
  <c r="P2142" i="1"/>
  <c r="U2142" i="1"/>
  <c r="O2134" i="1"/>
  <c r="O2135" i="1" s="1"/>
  <c r="P2134" i="1"/>
  <c r="U2338" i="1"/>
  <c r="O2338" i="1"/>
  <c r="P2338" i="1"/>
  <c r="P2558" i="1"/>
  <c r="U2558" i="1"/>
  <c r="P2549" i="1"/>
  <c r="U2549" i="1"/>
  <c r="P2537" i="1"/>
  <c r="U2537" i="1"/>
  <c r="P2535" i="1"/>
  <c r="U2535" i="1"/>
  <c r="P2529" i="1"/>
  <c r="U2529" i="1"/>
  <c r="P2336" i="1"/>
  <c r="U2336" i="1"/>
  <c r="O2336" i="1"/>
  <c r="U2426" i="1"/>
  <c r="O2426" i="1"/>
  <c r="O2427" i="1" s="1"/>
  <c r="P2426" i="1"/>
  <c r="O2483" i="1"/>
  <c r="P2483" i="1"/>
  <c r="U2483" i="1"/>
  <c r="U2475" i="1"/>
  <c r="O2475" i="1"/>
  <c r="O2476" i="1" s="1"/>
  <c r="P2475" i="1"/>
  <c r="U2522" i="1"/>
  <c r="O2522" i="1"/>
  <c r="O2523" i="1" s="1"/>
  <c r="P2522" i="1"/>
  <c r="U2424" i="1"/>
  <c r="P2424" i="1"/>
  <c r="U2415" i="1"/>
  <c r="P2415" i="1"/>
  <c r="O2585" i="1"/>
  <c r="O2586" i="1" s="1"/>
  <c r="P2585" i="1"/>
  <c r="U2585" i="1"/>
  <c r="O2410" i="1"/>
  <c r="O2411" i="1" s="1"/>
  <c r="P2410" i="1"/>
  <c r="U2410" i="1"/>
  <c r="P2330" i="1"/>
  <c r="U2330" i="1"/>
  <c r="O2330" i="1"/>
  <c r="O2331" i="1" s="1"/>
  <c r="P2322" i="1"/>
  <c r="U2322" i="1"/>
  <c r="U2319" i="1"/>
  <c r="O2319" i="1"/>
  <c r="P2319" i="1"/>
  <c r="O2463" i="1"/>
  <c r="P2463" i="1"/>
  <c r="U2463" i="1"/>
  <c r="O2311" i="1"/>
  <c r="O2312" i="1" s="1"/>
  <c r="P2311" i="1"/>
  <c r="U2311" i="1"/>
  <c r="O2303" i="1"/>
  <c r="P2303" i="1"/>
  <c r="U2303" i="1"/>
  <c r="O2208" i="1"/>
  <c r="P2208" i="1"/>
  <c r="U2208" i="1"/>
  <c r="U2118" i="1"/>
  <c r="P2118" i="1"/>
  <c r="O2404" i="1"/>
  <c r="O2405" i="1" s="1"/>
  <c r="U2404" i="1"/>
  <c r="P2404" i="1"/>
  <c r="O2396" i="1"/>
  <c r="U2396" i="1"/>
  <c r="P2396" i="1"/>
  <c r="O1998" i="1"/>
  <c r="U1998" i="1"/>
  <c r="P1998" i="1"/>
  <c r="U1990" i="1"/>
  <c r="O1990" i="1"/>
  <c r="P1990" i="1"/>
  <c r="U2202" i="1"/>
  <c r="O2202" i="1"/>
  <c r="P2202" i="1"/>
  <c r="U2199" i="1"/>
  <c r="P2199" i="1"/>
  <c r="P2191" i="1"/>
  <c r="U2191" i="1"/>
  <c r="U2301" i="1"/>
  <c r="P2301" i="1"/>
  <c r="P2106" i="1"/>
  <c r="U2106" i="1"/>
  <c r="U2392" i="1"/>
  <c r="O2392" i="1"/>
  <c r="O2393" i="1" s="1"/>
  <c r="P2392" i="1"/>
  <c r="O2568" i="1"/>
  <c r="O2569" i="1" s="1"/>
  <c r="P2568" i="1"/>
  <c r="U2568" i="1"/>
  <c r="P2564" i="1"/>
  <c r="U2564" i="1"/>
  <c r="O2294" i="1"/>
  <c r="O2295" i="1" s="1"/>
  <c r="P2294" i="1"/>
  <c r="U2294" i="1"/>
  <c r="P2098" i="1"/>
  <c r="U2098" i="1"/>
  <c r="P2181" i="1"/>
  <c r="U2181" i="1"/>
  <c r="O2172" i="1"/>
  <c r="O2173" i="1" s="1"/>
  <c r="P2172" i="1"/>
  <c r="U2172" i="1"/>
  <c r="O2164" i="1"/>
  <c r="O2165" i="1" s="1"/>
  <c r="P2164" i="1"/>
  <c r="U2164" i="1"/>
  <c r="P2092" i="1"/>
  <c r="U2092" i="1"/>
  <c r="P2086" i="1"/>
  <c r="U2086" i="1"/>
  <c r="O2036" i="1"/>
  <c r="O2037" i="1" s="1"/>
  <c r="P2036" i="1"/>
  <c r="U2036" i="1"/>
  <c r="P2028" i="1"/>
  <c r="U2028" i="1"/>
  <c r="O2510" i="1"/>
  <c r="O2511" i="1" s="1"/>
  <c r="P2510" i="1"/>
  <c r="U2510" i="1"/>
  <c r="O1980" i="1"/>
  <c r="O1981" i="1" s="1"/>
  <c r="P1980" i="1"/>
  <c r="U1980" i="1"/>
  <c r="U2651" i="1"/>
  <c r="O2644" i="1"/>
  <c r="O2645" i="1" s="1"/>
  <c r="P2643" i="1"/>
  <c r="U2163" i="1"/>
  <c r="U2161" i="1"/>
  <c r="O2640" i="1"/>
  <c r="U2636" i="1"/>
  <c r="P2217" i="1"/>
  <c r="P2237" i="1"/>
  <c r="U2018" i="1"/>
  <c r="U2235" i="1"/>
  <c r="P2634" i="1"/>
  <c r="O2455" i="1"/>
  <c r="U2452" i="1"/>
  <c r="O2450" i="1"/>
  <c r="U2559" i="1"/>
  <c r="P2631" i="1"/>
  <c r="U2290" i="1"/>
  <c r="U2382" i="1"/>
  <c r="U2385" i="1"/>
  <c r="U2379" i="1"/>
  <c r="U2624" i="1"/>
  <c r="U2608" i="1"/>
  <c r="U2606" i="1"/>
  <c r="P2152" i="1"/>
  <c r="U2449" i="1"/>
  <c r="P2500" i="1"/>
  <c r="U2063" i="1"/>
  <c r="U2122" i="1"/>
  <c r="O2598" i="1"/>
  <c r="O2599" i="1" s="1"/>
  <c r="P2598" i="1"/>
  <c r="U2598" i="1"/>
  <c r="P2078" i="1"/>
  <c r="U2078" i="1"/>
  <c r="O2230" i="1"/>
  <c r="O2231" i="1" s="1"/>
  <c r="P2230" i="1"/>
  <c r="U2230" i="1"/>
  <c r="P2069" i="1"/>
  <c r="U2069" i="1"/>
  <c r="U2150" i="1"/>
  <c r="O2150" i="1"/>
  <c r="O2151" i="1" s="1"/>
  <c r="P2370" i="1"/>
  <c r="U2370" i="1"/>
  <c r="P2596" i="1"/>
  <c r="P2499" i="1"/>
  <c r="U2499" i="1"/>
  <c r="O2591" i="1"/>
  <c r="O2592" i="1" s="1"/>
  <c r="P2591" i="1"/>
  <c r="U2591" i="1"/>
  <c r="U2254" i="1"/>
  <c r="O2254" i="1"/>
  <c r="P2221" i="1"/>
  <c r="U2221" i="1"/>
  <c r="P2056" i="1"/>
  <c r="U2056" i="1"/>
  <c r="O2145" i="1"/>
  <c r="O2146" i="1" s="1"/>
  <c r="P2145" i="1"/>
  <c r="U2145" i="1"/>
  <c r="P2053" i="1"/>
  <c r="U2053" i="1"/>
  <c r="P2441" i="1"/>
  <c r="U2441" i="1"/>
  <c r="P2433" i="1"/>
  <c r="U2433" i="1"/>
  <c r="P2362" i="1"/>
  <c r="U2362" i="1"/>
  <c r="P2356" i="1"/>
  <c r="U2356" i="1"/>
  <c r="U2144" i="1"/>
  <c r="P2144" i="1"/>
  <c r="P2135" i="1"/>
  <c r="U2135" i="1"/>
  <c r="P2126" i="1"/>
  <c r="U2126" i="1"/>
  <c r="U2428" i="1"/>
  <c r="P2428" i="1"/>
  <c r="O2428" i="1"/>
  <c r="O2557" i="1"/>
  <c r="O2558" i="1" s="1"/>
  <c r="P2557" i="1"/>
  <c r="U2557" i="1"/>
  <c r="P2550" i="1"/>
  <c r="U2550" i="1"/>
  <c r="P2536" i="1"/>
  <c r="U2536" i="1"/>
  <c r="P2538" i="1"/>
  <c r="U2538" i="1"/>
  <c r="P2525" i="1"/>
  <c r="U2525" i="1"/>
  <c r="P2334" i="1"/>
  <c r="U2334" i="1"/>
  <c r="P2489" i="1"/>
  <c r="U2489" i="1"/>
  <c r="P2482" i="1"/>
  <c r="U2482" i="1"/>
  <c r="P2474" i="1"/>
  <c r="U2474" i="1"/>
  <c r="P2123" i="1"/>
  <c r="U2123" i="1"/>
  <c r="O2423" i="1"/>
  <c r="O2424" i="1" s="1"/>
  <c r="P2423" i="1"/>
  <c r="U2423" i="1"/>
  <c r="P2416" i="1"/>
  <c r="U2416" i="1"/>
  <c r="O2583" i="1"/>
  <c r="O2584" i="1" s="1"/>
  <c r="P2583" i="1"/>
  <c r="U2583" i="1"/>
  <c r="P2409" i="1"/>
  <c r="U2409" i="1"/>
  <c r="P2329" i="1"/>
  <c r="U2329" i="1"/>
  <c r="O2321" i="1"/>
  <c r="O2322" i="1" s="1"/>
  <c r="P2321" i="1"/>
  <c r="U2321" i="1"/>
  <c r="P2318" i="1"/>
  <c r="U2318" i="1"/>
  <c r="P2462" i="1"/>
  <c r="U2462" i="1"/>
  <c r="P2310" i="1"/>
  <c r="U2310" i="1"/>
  <c r="P2215" i="1"/>
  <c r="U2215" i="1"/>
  <c r="U2207" i="1"/>
  <c r="P2207" i="1"/>
  <c r="U2115" i="1"/>
  <c r="O2115" i="1"/>
  <c r="O2116" i="1" s="1"/>
  <c r="P2115" i="1"/>
  <c r="P2403" i="1"/>
  <c r="U2403" i="1"/>
  <c r="P2580" i="1"/>
  <c r="U2580" i="1"/>
  <c r="P1997" i="1"/>
  <c r="U1997" i="1"/>
  <c r="P1988" i="1"/>
  <c r="U1988" i="1"/>
  <c r="O1988" i="1"/>
  <c r="O1989" i="1" s="1"/>
  <c r="O2394" i="1"/>
  <c r="O2395" i="1" s="1"/>
  <c r="P2394" i="1"/>
  <c r="U2394" i="1"/>
  <c r="P2198" i="1"/>
  <c r="U2198" i="1"/>
  <c r="O2198" i="1"/>
  <c r="O2199" i="1" s="1"/>
  <c r="O2190" i="1"/>
  <c r="P2190" i="1"/>
  <c r="U2190" i="1"/>
  <c r="P2300" i="1"/>
  <c r="U2300" i="1"/>
  <c r="O2300" i="1"/>
  <c r="O2301" i="1" s="1"/>
  <c r="U2107" i="1"/>
  <c r="P2107" i="1"/>
  <c r="P2575" i="1"/>
  <c r="U2575" i="1"/>
  <c r="U2051" i="1"/>
  <c r="P2051" i="1"/>
  <c r="P2567" i="1"/>
  <c r="U2567" i="1"/>
  <c r="O2240" i="1"/>
  <c r="O2241" i="1" s="1"/>
  <c r="P2240" i="1"/>
  <c r="U2240" i="1"/>
  <c r="O2095" i="1"/>
  <c r="O2096" i="1" s="1"/>
  <c r="P2095" i="1"/>
  <c r="U2095" i="1"/>
  <c r="P2179" i="1"/>
  <c r="U2179" i="1"/>
  <c r="P2171" i="1"/>
  <c r="U2171" i="1"/>
  <c r="P2047" i="1"/>
  <c r="U2047" i="1"/>
  <c r="O2089" i="1"/>
  <c r="O2090" i="1" s="1"/>
  <c r="P2089" i="1"/>
  <c r="U2089" i="1"/>
  <c r="P2043" i="1"/>
  <c r="U2043" i="1"/>
  <c r="P2035" i="1"/>
  <c r="U2035" i="1"/>
  <c r="O2026" i="1"/>
  <c r="O2027" i="1" s="1"/>
  <c r="O2028" i="1" s="1"/>
  <c r="P2026" i="1"/>
  <c r="U2026" i="1"/>
  <c r="P2509" i="1"/>
  <c r="U2509" i="1"/>
  <c r="P1979" i="1"/>
  <c r="U1979" i="1"/>
  <c r="P2655" i="1"/>
  <c r="P2651" i="1"/>
  <c r="U2649" i="1"/>
  <c r="U2647" i="1"/>
  <c r="U2645" i="1"/>
  <c r="U2504" i="1"/>
  <c r="P2003" i="1"/>
  <c r="P2161" i="1"/>
  <c r="U2639" i="1"/>
  <c r="P2024" i="1"/>
  <c r="R2024" i="1" s="1"/>
  <c r="P2249" i="1"/>
  <c r="U2453" i="1"/>
  <c r="U2080" i="1"/>
  <c r="U2563" i="1"/>
  <c r="U2156" i="1"/>
  <c r="U2159" i="1"/>
  <c r="U2633" i="1"/>
  <c r="U2277" i="1"/>
  <c r="U2288" i="1"/>
  <c r="U2285" i="1"/>
  <c r="P2385" i="1"/>
  <c r="P2375" i="1"/>
  <c r="U2626" i="1"/>
  <c r="P2624" i="1"/>
  <c r="U2619" i="1"/>
  <c r="P2150" i="1"/>
  <c r="U2253" i="1"/>
  <c r="P2348" i="1"/>
  <c r="U2128" i="1"/>
  <c r="P2615" i="1"/>
  <c r="U2615" i="1"/>
  <c r="U2607" i="1"/>
  <c r="P2599" i="1"/>
  <c r="U2599" i="1"/>
  <c r="P2271" i="1"/>
  <c r="U2271" i="1"/>
  <c r="O2077" i="1"/>
  <c r="O2078" i="1" s="1"/>
  <c r="P2077" i="1"/>
  <c r="P2076" i="1"/>
  <c r="U2076" i="1"/>
  <c r="O2068" i="1"/>
  <c r="O2069" i="1" s="1"/>
  <c r="P2068" i="1"/>
  <c r="P2151" i="1"/>
  <c r="U2151" i="1"/>
  <c r="P2369" i="1"/>
  <c r="U2369" i="1"/>
  <c r="O2595" i="1"/>
  <c r="O2596" i="1" s="1"/>
  <c r="P2595" i="1"/>
  <c r="U2595" i="1"/>
  <c r="U2497" i="1"/>
  <c r="O2497" i="1"/>
  <c r="P2261" i="1"/>
  <c r="U2261" i="1"/>
  <c r="O2067" i="1"/>
  <c r="P2067" i="1"/>
  <c r="U2067" i="1"/>
  <c r="P2057" i="1"/>
  <c r="U2057" i="1"/>
  <c r="P2054" i="1"/>
  <c r="U2054" i="1"/>
  <c r="P2440" i="1"/>
  <c r="U2440" i="1"/>
  <c r="O2432" i="1"/>
  <c r="O2433" i="1" s="1"/>
  <c r="P2432" i="1"/>
  <c r="U2432" i="1"/>
  <c r="P2361" i="1"/>
  <c r="U2361" i="1"/>
  <c r="O2355" i="1"/>
  <c r="O2356" i="1" s="1"/>
  <c r="P2355" i="1"/>
  <c r="U2355" i="1"/>
  <c r="O2346" i="1"/>
  <c r="O2347" i="1" s="1"/>
  <c r="P2346" i="1"/>
  <c r="U2346" i="1"/>
  <c r="O2140" i="1"/>
  <c r="O2141" i="1" s="1"/>
  <c r="P2140" i="1"/>
  <c r="U2140" i="1"/>
  <c r="P2005" i="1"/>
  <c r="U2005" i="1"/>
  <c r="U2129" i="1"/>
  <c r="P2129" i="1"/>
  <c r="O2125" i="1"/>
  <c r="U2125" i="1"/>
  <c r="P2556" i="1"/>
  <c r="U2556" i="1"/>
  <c r="P2548" i="1"/>
  <c r="U2548" i="1"/>
  <c r="P2533" i="1"/>
  <c r="U2533" i="1"/>
  <c r="P2532" i="1"/>
  <c r="U2532" i="1"/>
  <c r="U2524" i="1"/>
  <c r="O2524" i="1"/>
  <c r="O2525" i="1" s="1"/>
  <c r="P2524" i="1"/>
  <c r="P2335" i="1"/>
  <c r="U2335" i="1"/>
  <c r="P2490" i="1"/>
  <c r="U2490" i="1"/>
  <c r="O2481" i="1"/>
  <c r="O2482" i="1" s="1"/>
  <c r="P2481" i="1"/>
  <c r="U2481" i="1"/>
  <c r="O2473" i="1"/>
  <c r="O2474" i="1" s="1"/>
  <c r="P2473" i="1"/>
  <c r="U2473" i="1"/>
  <c r="P2124" i="1"/>
  <c r="U2124" i="1"/>
  <c r="P2422" i="1"/>
  <c r="U2422" i="1"/>
  <c r="P2414" i="1"/>
  <c r="U2414" i="1"/>
  <c r="P2584" i="1"/>
  <c r="U2584" i="1"/>
  <c r="U2408" i="1"/>
  <c r="O2408" i="1"/>
  <c r="P2408" i="1"/>
  <c r="P2328" i="1"/>
  <c r="U2328" i="1"/>
  <c r="P2245" i="1"/>
  <c r="U2245" i="1"/>
  <c r="O2317" i="1"/>
  <c r="O2318" i="1" s="1"/>
  <c r="P2317" i="1"/>
  <c r="U2317" i="1"/>
  <c r="O2461" i="1"/>
  <c r="O2462" i="1" s="1"/>
  <c r="P2461" i="1"/>
  <c r="U2461" i="1"/>
  <c r="U2309" i="1"/>
  <c r="O2309" i="1"/>
  <c r="P2309" i="1"/>
  <c r="U2214" i="1"/>
  <c r="O2214" i="1"/>
  <c r="O2215" i="1" s="1"/>
  <c r="P2214" i="1"/>
  <c r="P2206" i="1"/>
  <c r="O2206" i="1"/>
  <c r="O2207" i="1" s="1"/>
  <c r="U2206" i="1"/>
  <c r="P2116" i="1"/>
  <c r="U2116" i="1"/>
  <c r="P2402" i="1"/>
  <c r="O2402" i="1"/>
  <c r="U2402" i="1"/>
  <c r="P2579" i="1"/>
  <c r="O2579" i="1"/>
  <c r="U2579" i="1"/>
  <c r="P1996" i="1"/>
  <c r="O1996" i="1"/>
  <c r="U1996" i="1"/>
  <c r="P1989" i="1"/>
  <c r="U1989" i="1"/>
  <c r="U2395" i="1"/>
  <c r="P2395" i="1"/>
  <c r="P2197" i="1"/>
  <c r="U2197" i="1"/>
  <c r="P2189" i="1"/>
  <c r="U2189" i="1"/>
  <c r="P2519" i="1"/>
  <c r="U2519" i="1"/>
  <c r="O2457" i="1"/>
  <c r="P2457" i="1"/>
  <c r="U2457" i="1"/>
  <c r="P2574" i="1"/>
  <c r="U2574" i="1"/>
  <c r="O2574" i="1"/>
  <c r="O2575" i="1" s="1"/>
  <c r="O2050" i="1"/>
  <c r="O2051" i="1" s="1"/>
  <c r="P2050" i="1"/>
  <c r="U2050" i="1"/>
  <c r="P2565" i="1"/>
  <c r="U2565" i="1"/>
  <c r="P2241" i="1"/>
  <c r="U2241" i="1"/>
  <c r="P2096" i="1"/>
  <c r="U2096" i="1"/>
  <c r="O2178" i="1"/>
  <c r="O2179" i="1" s="1"/>
  <c r="P2178" i="1"/>
  <c r="U2178" i="1"/>
  <c r="O2170" i="1"/>
  <c r="O2171" i="1" s="1"/>
  <c r="P2170" i="1"/>
  <c r="U2170" i="1"/>
  <c r="O2046" i="1"/>
  <c r="O2047" i="1" s="1"/>
  <c r="P2046" i="1"/>
  <c r="U2046" i="1"/>
  <c r="P2090" i="1"/>
  <c r="U2090" i="1"/>
  <c r="O2042" i="1"/>
  <c r="O2043" i="1" s="1"/>
  <c r="P2042" i="1"/>
  <c r="U2042" i="1"/>
  <c r="O2034" i="1"/>
  <c r="O2035" i="1" s="1"/>
  <c r="P2034" i="1"/>
  <c r="U2034" i="1"/>
  <c r="P2027" i="1"/>
  <c r="U2027" i="1"/>
  <c r="O2508" i="1"/>
  <c r="O2509" i="1" s="1"/>
  <c r="P2508" i="1"/>
  <c r="U2508" i="1"/>
  <c r="U1978" i="1"/>
  <c r="O1978" i="1"/>
  <c r="O1979" i="1" s="1"/>
  <c r="P1978" i="1"/>
  <c r="P2645" i="1"/>
  <c r="U2507" i="1"/>
  <c r="P2163" i="1"/>
  <c r="U2637" i="1"/>
  <c r="U2216" i="1"/>
  <c r="U2238" i="1"/>
  <c r="U2017" i="1"/>
  <c r="P2235" i="1"/>
  <c r="U2456" i="1"/>
  <c r="P2452" i="1"/>
  <c r="P2080" i="1"/>
  <c r="P2559" i="1"/>
  <c r="U2628" i="1"/>
  <c r="U2289" i="1"/>
  <c r="U2384" i="1"/>
  <c r="P2379" i="1"/>
  <c r="U2374" i="1"/>
  <c r="P2619" i="1"/>
  <c r="U2609" i="1"/>
  <c r="P2603" i="1"/>
  <c r="P2148" i="1"/>
  <c r="O2053" i="1"/>
  <c r="P2363" i="1"/>
  <c r="U2345" i="1"/>
  <c r="P2323" i="1"/>
  <c r="U2622" i="1"/>
  <c r="P2604" i="1"/>
  <c r="U2604" i="1"/>
  <c r="P2270" i="1"/>
  <c r="U2270" i="1"/>
  <c r="P2264" i="1"/>
  <c r="U2264" i="1"/>
  <c r="P2075" i="1"/>
  <c r="U2075" i="1"/>
  <c r="P2023" i="1"/>
  <c r="U2023" i="1"/>
  <c r="P2147" i="1"/>
  <c r="U2147" i="1"/>
  <c r="P2368" i="1"/>
  <c r="U2368" i="1"/>
  <c r="P2227" i="1"/>
  <c r="U2227" i="1"/>
  <c r="P2594" i="1"/>
  <c r="U2594" i="1"/>
  <c r="U2260" i="1"/>
  <c r="O2065" i="1"/>
  <c r="O2066" i="1" s="1"/>
  <c r="P2065" i="1"/>
  <c r="U2065" i="1"/>
  <c r="P2252" i="1"/>
  <c r="U2252" i="1"/>
  <c r="P2016" i="1"/>
  <c r="U2016" i="1"/>
  <c r="P2010" i="1"/>
  <c r="U2010" i="1"/>
  <c r="P2447" i="1"/>
  <c r="U2447" i="1"/>
  <c r="O2439" i="1"/>
  <c r="P2439" i="1"/>
  <c r="U2431" i="1"/>
  <c r="O2360" i="1"/>
  <c r="P2360" i="1"/>
  <c r="P2354" i="1"/>
  <c r="P2347" i="1"/>
  <c r="U2347" i="1"/>
  <c r="P2141" i="1"/>
  <c r="P2004" i="1"/>
  <c r="O2004" i="1"/>
  <c r="O2005" i="1" s="1"/>
  <c r="P2127" i="1"/>
  <c r="U2127" i="1"/>
  <c r="P2084" i="1"/>
  <c r="U2084" i="1"/>
  <c r="O2555" i="1"/>
  <c r="O2556" i="1" s="1"/>
  <c r="P2555" i="1"/>
  <c r="U2555" i="1"/>
  <c r="O2547" i="1"/>
  <c r="P2547" i="1"/>
  <c r="U2547" i="1"/>
  <c r="P2534" i="1"/>
  <c r="U2534" i="1"/>
  <c r="P2531" i="1"/>
  <c r="U2531" i="1"/>
  <c r="P2590" i="1"/>
  <c r="U2590" i="1"/>
  <c r="U2494" i="1"/>
  <c r="P2494" i="1"/>
  <c r="U2488" i="1"/>
  <c r="P2488" i="1"/>
  <c r="P2480" i="1"/>
  <c r="U2480" i="1"/>
  <c r="P2472" i="1"/>
  <c r="U2472" i="1"/>
  <c r="U2521" i="1"/>
  <c r="P2521" i="1"/>
  <c r="O2421" i="1"/>
  <c r="O2422" i="1" s="1"/>
  <c r="P2421" i="1"/>
  <c r="U2421" i="1"/>
  <c r="U2413" i="1"/>
  <c r="P2413" i="1"/>
  <c r="U2248" i="1"/>
  <c r="P2407" i="1"/>
  <c r="U2407" i="1"/>
  <c r="O2327" i="1"/>
  <c r="P2327" i="1"/>
  <c r="U2327" i="1"/>
  <c r="P2246" i="1"/>
  <c r="U2246" i="1"/>
  <c r="U2468" i="1"/>
  <c r="P2468" i="1"/>
  <c r="P2316" i="1"/>
  <c r="U2316" i="1"/>
  <c r="U2308" i="1"/>
  <c r="P2308" i="1"/>
  <c r="U2213" i="1"/>
  <c r="P2213" i="1"/>
  <c r="P2205" i="1"/>
  <c r="U2205" i="1"/>
  <c r="P2113" i="1"/>
  <c r="O2113" i="1"/>
  <c r="O2114" i="1" s="1"/>
  <c r="U2113" i="1"/>
  <c r="U2401" i="1"/>
  <c r="P2401" i="1"/>
  <c r="U2578" i="1"/>
  <c r="P2578" i="1"/>
  <c r="P1995" i="1"/>
  <c r="U1995" i="1"/>
  <c r="O2110" i="1"/>
  <c r="P2110" i="1"/>
  <c r="U2110" i="1"/>
  <c r="O2576" i="1"/>
  <c r="U2576" i="1"/>
  <c r="P2576" i="1"/>
  <c r="P2196" i="1"/>
  <c r="U2196" i="1"/>
  <c r="O2196" i="1"/>
  <c r="O2197" i="1" s="1"/>
  <c r="O2188" i="1"/>
  <c r="O2189" i="1" s="1"/>
  <c r="U2188" i="1"/>
  <c r="P2188" i="1"/>
  <c r="P2518" i="1"/>
  <c r="U2518" i="1"/>
  <c r="O2518" i="1"/>
  <c r="O2519" i="1" s="1"/>
  <c r="P2458" i="1"/>
  <c r="U2458" i="1"/>
  <c r="U2573" i="1"/>
  <c r="P2573" i="1"/>
  <c r="P2048" i="1"/>
  <c r="U2048" i="1"/>
  <c r="P2299" i="1"/>
  <c r="U2299" i="1"/>
  <c r="P2101" i="1"/>
  <c r="U2101" i="1"/>
  <c r="P2093" i="1"/>
  <c r="U2093" i="1"/>
  <c r="P2177" i="1"/>
  <c r="U2177" i="1"/>
  <c r="P2169" i="1"/>
  <c r="U2169" i="1"/>
  <c r="P2045" i="1"/>
  <c r="U2045" i="1"/>
  <c r="P2087" i="1"/>
  <c r="U2087" i="1"/>
  <c r="P2041" i="1"/>
  <c r="U2041" i="1"/>
  <c r="P2033" i="1"/>
  <c r="U2033" i="1"/>
  <c r="P2515" i="1"/>
  <c r="U2515" i="1"/>
  <c r="P1985" i="1"/>
  <c r="U1985" i="1"/>
  <c r="P1977" i="1"/>
  <c r="U1977" i="1"/>
  <c r="U2654" i="1"/>
  <c r="U2652" i="1"/>
  <c r="P2649" i="1"/>
  <c r="P2647" i="1"/>
  <c r="U2505" i="1"/>
  <c r="U2002" i="1"/>
  <c r="U2641" i="1"/>
  <c r="P2639" i="1"/>
  <c r="P2216" i="1"/>
  <c r="U2239" i="1"/>
  <c r="P2017" i="1"/>
  <c r="U2236" i="1"/>
  <c r="P2456" i="1"/>
  <c r="U2454" i="1"/>
  <c r="U2562" i="1"/>
  <c r="U2155" i="1"/>
  <c r="U2158" i="1"/>
  <c r="U2629" i="1"/>
  <c r="U2287" i="1"/>
  <c r="U2283" i="1"/>
  <c r="U2282" i="1"/>
  <c r="U2380" i="1"/>
  <c r="P2374" i="1"/>
  <c r="U2625" i="1"/>
  <c r="U2621" i="1"/>
  <c r="U2616" i="1"/>
  <c r="P2611" i="1"/>
  <c r="O2600" i="1"/>
  <c r="P2231" i="1"/>
  <c r="U2592" i="1"/>
  <c r="P2059" i="1"/>
  <c r="P2446" i="1"/>
  <c r="U2360" i="1"/>
  <c r="P2143" i="1"/>
  <c r="P2125" i="1"/>
  <c r="P2612" i="1"/>
  <c r="U2612" i="1"/>
  <c r="P2275" i="1"/>
  <c r="U2275" i="1"/>
  <c r="P2263" i="1"/>
  <c r="U2263" i="1"/>
  <c r="P2073" i="1"/>
  <c r="U2073" i="1"/>
  <c r="U2022" i="1"/>
  <c r="O2022" i="1"/>
  <c r="P2367" i="1"/>
  <c r="U2367" i="1"/>
  <c r="P2593" i="1"/>
  <c r="U2593" i="1"/>
  <c r="O2259" i="1"/>
  <c r="P2259" i="1"/>
  <c r="U2259" i="1"/>
  <c r="P2066" i="1"/>
  <c r="P2251" i="1"/>
  <c r="U2251" i="1"/>
  <c r="U2015" i="1"/>
  <c r="O2015" i="1"/>
  <c r="P2015" i="1"/>
  <c r="O2009" i="1"/>
  <c r="P2009" i="1"/>
  <c r="U2009" i="1"/>
  <c r="P2438" i="1"/>
  <c r="U2438" i="1"/>
  <c r="O2429" i="1"/>
  <c r="P2429" i="1"/>
  <c r="U2429" i="1"/>
  <c r="P2219" i="1"/>
  <c r="U2219" i="1"/>
  <c r="P2353" i="1"/>
  <c r="U2353" i="1"/>
  <c r="P2139" i="1"/>
  <c r="U2139" i="1"/>
  <c r="P2133" i="1"/>
  <c r="U2133" i="1"/>
  <c r="P2341" i="1"/>
  <c r="U2341" i="1"/>
  <c r="P2083" i="1"/>
  <c r="U2083" i="1"/>
  <c r="P2554" i="1"/>
  <c r="U2554" i="1"/>
  <c r="U2546" i="1"/>
  <c r="P2546" i="1"/>
  <c r="P2543" i="1"/>
  <c r="U2543" i="1"/>
  <c r="P2526" i="1"/>
  <c r="U2526" i="1"/>
  <c r="U2589" i="1"/>
  <c r="O2589" i="1"/>
  <c r="P2589" i="1"/>
  <c r="O2493" i="1"/>
  <c r="O2494" i="1" s="1"/>
  <c r="P2493" i="1"/>
  <c r="U2493" i="1"/>
  <c r="O2487" i="1"/>
  <c r="O2488" i="1" s="1"/>
  <c r="P2487" i="1"/>
  <c r="U2487" i="1"/>
  <c r="U2479" i="1"/>
  <c r="O2479" i="1"/>
  <c r="P2479" i="1"/>
  <c r="O2471" i="1"/>
  <c r="O2472" i="1" s="1"/>
  <c r="P2471" i="1"/>
  <c r="U2471" i="1"/>
  <c r="O2520" i="1"/>
  <c r="O2521" i="1" s="1"/>
  <c r="P2520" i="1"/>
  <c r="U2520" i="1"/>
  <c r="P2420" i="1"/>
  <c r="U2420" i="1"/>
  <c r="O2412" i="1"/>
  <c r="O2413" i="1" s="1"/>
  <c r="P2412" i="1"/>
  <c r="U2412" i="1"/>
  <c r="O2247" i="1"/>
  <c r="O2248" i="1" s="1"/>
  <c r="P2247" i="1"/>
  <c r="U2247" i="1"/>
  <c r="U2406" i="1"/>
  <c r="O2406" i="1"/>
  <c r="P2406" i="1"/>
  <c r="P2326" i="1"/>
  <c r="U2326" i="1"/>
  <c r="P2244" i="1"/>
  <c r="U2244" i="1"/>
  <c r="O2467" i="1"/>
  <c r="P2467" i="1"/>
  <c r="U2467" i="1"/>
  <c r="U2315" i="1"/>
  <c r="O2315" i="1"/>
  <c r="U2307" i="1"/>
  <c r="O2307" i="1"/>
  <c r="O2308" i="1" s="1"/>
  <c r="P2307" i="1"/>
  <c r="U2212" i="1"/>
  <c r="O2212" i="1"/>
  <c r="P2212" i="1"/>
  <c r="O2204" i="1"/>
  <c r="P2204" i="1"/>
  <c r="U2204" i="1"/>
  <c r="P2114" i="1"/>
  <c r="U2114" i="1"/>
  <c r="O2400" i="1"/>
  <c r="U2400" i="1"/>
  <c r="P2400" i="1"/>
  <c r="O2577" i="1"/>
  <c r="O2578" i="1" s="1"/>
  <c r="U2577" i="1"/>
  <c r="P2577" i="1"/>
  <c r="O1994" i="1"/>
  <c r="P1994" i="1"/>
  <c r="U1994" i="1"/>
  <c r="P2460" i="1"/>
  <c r="U2460" i="1"/>
  <c r="P1986" i="1"/>
  <c r="U1986" i="1"/>
  <c r="P2195" i="1"/>
  <c r="U2195" i="1"/>
  <c r="P2187" i="1"/>
  <c r="U2187" i="1"/>
  <c r="P2517" i="1"/>
  <c r="U2517" i="1"/>
  <c r="P2105" i="1"/>
  <c r="U2105" i="1"/>
  <c r="O2105" i="1"/>
  <c r="O2572" i="1"/>
  <c r="O2573" i="1" s="1"/>
  <c r="P2572" i="1"/>
  <c r="U2572" i="1"/>
  <c r="U2049" i="1"/>
  <c r="P2049" i="1"/>
  <c r="O2298" i="1"/>
  <c r="O2299" i="1" s="1"/>
  <c r="P2298" i="1"/>
  <c r="U2298" i="1"/>
  <c r="P2102" i="1"/>
  <c r="U2102" i="1"/>
  <c r="P2094" i="1"/>
  <c r="U2094" i="1"/>
  <c r="O2176" i="1"/>
  <c r="O2177" i="1" s="1"/>
  <c r="P2176" i="1"/>
  <c r="U2176" i="1"/>
  <c r="O2168" i="1"/>
  <c r="O2169" i="1" s="1"/>
  <c r="P2168" i="1"/>
  <c r="U2168" i="1"/>
  <c r="O2044" i="1"/>
  <c r="O2045" i="1" s="1"/>
  <c r="P2044" i="1"/>
  <c r="U2044" i="1"/>
  <c r="P2088" i="1"/>
  <c r="U2088" i="1"/>
  <c r="O2040" i="1"/>
  <c r="O2041" i="1" s="1"/>
  <c r="P2040" i="1"/>
  <c r="U2040" i="1"/>
  <c r="O2031" i="1"/>
  <c r="P2031" i="1"/>
  <c r="U2031" i="1"/>
  <c r="O2514" i="1"/>
  <c r="O2515" i="1" s="1"/>
  <c r="P2514" i="1"/>
  <c r="U2514" i="1"/>
  <c r="O1984" i="1"/>
  <c r="O1985" i="1" s="1"/>
  <c r="P1984" i="1"/>
  <c r="U1984" i="1"/>
  <c r="O1976" i="1"/>
  <c r="O1977" i="1" s="1"/>
  <c r="P1976" i="1"/>
  <c r="U1976" i="1"/>
  <c r="U2656" i="1"/>
  <c r="U2642" i="1"/>
  <c r="P2507" i="1"/>
  <c r="P2002" i="1"/>
  <c r="P2637" i="1"/>
  <c r="P2238" i="1"/>
  <c r="U2635" i="1"/>
  <c r="U2079" i="1"/>
  <c r="U2387" i="1"/>
  <c r="U2291" i="1"/>
  <c r="U2381" i="1"/>
  <c r="P2380" i="1"/>
  <c r="U2377" i="1"/>
  <c r="P2622" i="1"/>
  <c r="P2610" i="1"/>
  <c r="U2276" i="1"/>
  <c r="O2075" i="1"/>
  <c r="O2369" i="1"/>
  <c r="O2370" i="1" s="1"/>
  <c r="P2260" i="1"/>
  <c r="O2056" i="1"/>
  <c r="O2057" i="1" s="1"/>
  <c r="U2442" i="1"/>
  <c r="U2081" i="1"/>
  <c r="P2117" i="1"/>
  <c r="U2602" i="1"/>
  <c r="O2274" i="1"/>
  <c r="O2275" i="1" s="1"/>
  <c r="P2274" i="1"/>
  <c r="U2274" i="1"/>
  <c r="P2267" i="1"/>
  <c r="U2267" i="1"/>
  <c r="U2262" i="1"/>
  <c r="O2262" i="1"/>
  <c r="O2263" i="1" s="1"/>
  <c r="P2074" i="1"/>
  <c r="U2074" i="1"/>
  <c r="P2021" i="1"/>
  <c r="U2021" i="1"/>
  <c r="P2149" i="1"/>
  <c r="U2149" i="1"/>
  <c r="O2366" i="1"/>
  <c r="O2367" i="1" s="1"/>
  <c r="P2366" i="1"/>
  <c r="U2366" i="1"/>
  <c r="P2226" i="1"/>
  <c r="U2226" i="1"/>
  <c r="P2224" i="1"/>
  <c r="U2224" i="1"/>
  <c r="P2258" i="1"/>
  <c r="U2258" i="1"/>
  <c r="P2064" i="1"/>
  <c r="U2064" i="1"/>
  <c r="P2061" i="1"/>
  <c r="U2061" i="1"/>
  <c r="P2014" i="1"/>
  <c r="U2014" i="1"/>
  <c r="O2008" i="1"/>
  <c r="P2008" i="1"/>
  <c r="O2445" i="1"/>
  <c r="P2445" i="1"/>
  <c r="U2445" i="1"/>
  <c r="U2437" i="1"/>
  <c r="O2437" i="1"/>
  <c r="O2438" i="1" s="1"/>
  <c r="P2430" i="1"/>
  <c r="U2430" i="1"/>
  <c r="U2218" i="1"/>
  <c r="O2218" i="1"/>
  <c r="O2219" i="1" s="1"/>
  <c r="O2352" i="1"/>
  <c r="P2352" i="1"/>
  <c r="P2343" i="1"/>
  <c r="U2343" i="1"/>
  <c r="U2138" i="1"/>
  <c r="O2138" i="1"/>
  <c r="O2139" i="1" s="1"/>
  <c r="P2131" i="1"/>
  <c r="U2131" i="1"/>
  <c r="U2342" i="1"/>
  <c r="U2082" i="1"/>
  <c r="O2082" i="1"/>
  <c r="P2082" i="1"/>
  <c r="O2553" i="1"/>
  <c r="P2553" i="1"/>
  <c r="U2553" i="1"/>
  <c r="O2545" i="1"/>
  <c r="P2545" i="1"/>
  <c r="U2545" i="1"/>
  <c r="P2542" i="1"/>
  <c r="U2542" i="1"/>
  <c r="P2541" i="1"/>
  <c r="U2541" i="1"/>
  <c r="P2496" i="1"/>
  <c r="U2496" i="1"/>
  <c r="P2492" i="1"/>
  <c r="U2492" i="1"/>
  <c r="U2486" i="1"/>
  <c r="P2486" i="1"/>
  <c r="P2478" i="1"/>
  <c r="U2478" i="1"/>
  <c r="P2470" i="1"/>
  <c r="U2470" i="1"/>
  <c r="P2121" i="1"/>
  <c r="U2121" i="1"/>
  <c r="P2419" i="1"/>
  <c r="U2419" i="1"/>
  <c r="O2419" i="1"/>
  <c r="P2587" i="1"/>
  <c r="U2587" i="1"/>
  <c r="U2582" i="1"/>
  <c r="P2582" i="1"/>
  <c r="P2333" i="1"/>
  <c r="U2333" i="1"/>
  <c r="P2325" i="1"/>
  <c r="U2325" i="1"/>
  <c r="P2243" i="1"/>
  <c r="U2243" i="1"/>
  <c r="U2466" i="1"/>
  <c r="P2466" i="1"/>
  <c r="P2314" i="1"/>
  <c r="U2314" i="1"/>
  <c r="P2306" i="1"/>
  <c r="U2306" i="1"/>
  <c r="P2211" i="1"/>
  <c r="U2211" i="1"/>
  <c r="O2119" i="1"/>
  <c r="O2120" i="1" s="1"/>
  <c r="P2119" i="1"/>
  <c r="U2119" i="1"/>
  <c r="O2111" i="1"/>
  <c r="O2112" i="1" s="1"/>
  <c r="P2111" i="1"/>
  <c r="U2111" i="1"/>
  <c r="P2399" i="1"/>
  <c r="U2399" i="1"/>
  <c r="P2001" i="1"/>
  <c r="U2001" i="1"/>
  <c r="P1993" i="1"/>
  <c r="U1993" i="1"/>
  <c r="O2459" i="1"/>
  <c r="P2459" i="1"/>
  <c r="U2459" i="1"/>
  <c r="U1987" i="1"/>
  <c r="P1987" i="1"/>
  <c r="O2194" i="1"/>
  <c r="O2195" i="1" s="1"/>
  <c r="P2194" i="1"/>
  <c r="U2186" i="1"/>
  <c r="O2186" i="1"/>
  <c r="P2186" i="1"/>
  <c r="O2516" i="1"/>
  <c r="O2517" i="1" s="1"/>
  <c r="P2516" i="1"/>
  <c r="U2516" i="1"/>
  <c r="O2103" i="1"/>
  <c r="O2104" i="1" s="1"/>
  <c r="P2103" i="1"/>
  <c r="U2103" i="1"/>
  <c r="P2571" i="1"/>
  <c r="U2571" i="1"/>
  <c r="P2391" i="1"/>
  <c r="U2391" i="1"/>
  <c r="P2297" i="1"/>
  <c r="U2297" i="1"/>
  <c r="O2099" i="1"/>
  <c r="P2099" i="1"/>
  <c r="U2099" i="1"/>
  <c r="P2183" i="1"/>
  <c r="U2183" i="1"/>
  <c r="P2175" i="1"/>
  <c r="U2175" i="1"/>
  <c r="P2167" i="1"/>
  <c r="U2167" i="1"/>
  <c r="O2293" i="1"/>
  <c r="P2293" i="1"/>
  <c r="U2293" i="1"/>
  <c r="P2389" i="1"/>
  <c r="U2389" i="1"/>
  <c r="P2039" i="1"/>
  <c r="U2039" i="1"/>
  <c r="P2032" i="1"/>
  <c r="U2032" i="1"/>
  <c r="P2513" i="1"/>
  <c r="U2513" i="1"/>
  <c r="P1983" i="1"/>
  <c r="U1983" i="1"/>
  <c r="U1975" i="1"/>
  <c r="P1975" i="1"/>
  <c r="P2625" i="1"/>
  <c r="U2614" i="1"/>
  <c r="P2613" i="1"/>
  <c r="U2273" i="1"/>
  <c r="U2071" i="1"/>
  <c r="U2229" i="1"/>
  <c r="U2256" i="1"/>
  <c r="U2439" i="1"/>
  <c r="O2358" i="1"/>
  <c r="U2141" i="1"/>
  <c r="U2194" i="1"/>
  <c r="O2154" i="1"/>
  <c r="O2152" i="1"/>
  <c r="O2153" i="1" s="1"/>
  <c r="O2498" i="1"/>
  <c r="O2499" i="1" s="1"/>
  <c r="O2289" i="1"/>
  <c r="O2225" i="1"/>
  <c r="O2226" i="1" s="1"/>
  <c r="O2220" i="1"/>
  <c r="O2221" i="1" s="1"/>
  <c r="O2378" i="1"/>
  <c r="O2379" i="1" s="1"/>
  <c r="O2372" i="1"/>
  <c r="O2373" i="1" s="1"/>
  <c r="O2265" i="1"/>
  <c r="O2266" i="1" s="1"/>
  <c r="O2621" i="1"/>
  <c r="O2622" i="1" s="1"/>
  <c r="O2073" i="1"/>
  <c r="O2074" i="1" s="1"/>
  <c r="O2343" i="1"/>
  <c r="O2344" i="1" s="1"/>
  <c r="R2344" i="1" s="1"/>
  <c r="O2123" i="1"/>
  <c r="O2124" i="1" s="1"/>
  <c r="O2502" i="1"/>
  <c r="O2503" i="1" s="1"/>
  <c r="O2222" i="1"/>
  <c r="O2223" i="1" s="1"/>
  <c r="O2256" i="1"/>
  <c r="O2257" i="1" s="1"/>
  <c r="O2062" i="1"/>
  <c r="O2063" i="1" s="1"/>
  <c r="O2126" i="1"/>
  <c r="O2127" i="1" s="1"/>
  <c r="O2549" i="1"/>
  <c r="O2550" i="1" s="1"/>
  <c r="O2334" i="1"/>
  <c r="O2335" i="1" s="1"/>
  <c r="O2489" i="1"/>
  <c r="O2490" i="1" s="1"/>
  <c r="O2121" i="1"/>
  <c r="O2122" i="1" s="1"/>
  <c r="O2587" i="1"/>
  <c r="O2588" i="1" s="1"/>
  <c r="O1986" i="1"/>
  <c r="O1987" i="1" s="1"/>
  <c r="BE7" i="1"/>
  <c r="R2845" i="1" l="1"/>
  <c r="Q2402" i="1"/>
  <c r="S2894" i="1"/>
  <c r="T2894" i="1" s="1"/>
  <c r="T7567" i="1"/>
  <c r="S7566" i="1"/>
  <c r="T7181" i="1"/>
  <c r="T7183" i="1"/>
  <c r="AP690" i="1"/>
  <c r="AP605" i="1"/>
  <c r="T7182" i="1"/>
  <c r="Q2194" i="1"/>
  <c r="S7122" i="1"/>
  <c r="T7122" i="1" s="1"/>
  <c r="S7022" i="1"/>
  <c r="T7022" i="1" s="1"/>
  <c r="R7022" i="1"/>
  <c r="T7124" i="1"/>
  <c r="S7189" i="1"/>
  <c r="T7189" i="1" s="1"/>
  <c r="R7189" i="1"/>
  <c r="Q2587" i="1"/>
  <c r="S6942" i="1"/>
  <c r="T6942" i="1" s="1"/>
  <c r="R6942" i="1"/>
  <c r="S7145" i="1"/>
  <c r="T7145" i="1" s="1"/>
  <c r="R7145" i="1"/>
  <c r="Q2520" i="1"/>
  <c r="Q2178" i="1"/>
  <c r="Q2461" i="1"/>
  <c r="T7152" i="1"/>
  <c r="S7003" i="1"/>
  <c r="T7003" i="1" s="1"/>
  <c r="R7003" i="1"/>
  <c r="Q2487" i="1"/>
  <c r="T7125" i="1"/>
  <c r="S7153" i="1"/>
  <c r="T7153" i="1" s="1"/>
  <c r="R7153" i="1"/>
  <c r="S7088" i="1"/>
  <c r="T7088" i="1" s="1"/>
  <c r="R7088" i="1"/>
  <c r="S7084" i="1"/>
  <c r="T7085" i="1"/>
  <c r="T7086" i="1"/>
  <c r="S7149" i="1"/>
  <c r="T7150" i="1"/>
  <c r="T7151" i="1"/>
  <c r="S7140" i="1"/>
  <c r="T7141" i="1"/>
  <c r="S7179" i="1"/>
  <c r="T7180" i="1"/>
  <c r="R2022" i="1"/>
  <c r="T7087" i="1"/>
  <c r="Q2111" i="1"/>
  <c r="Q2598" i="1"/>
  <c r="S2891" i="1"/>
  <c r="T2891" i="1" s="1"/>
  <c r="O6943" i="1"/>
  <c r="O7023" i="1"/>
  <c r="O7154" i="1"/>
  <c r="O7146" i="1"/>
  <c r="R2216" i="1"/>
  <c r="Q2099" i="1"/>
  <c r="O2658" i="1"/>
  <c r="R2657" i="1"/>
  <c r="Q2545" i="1"/>
  <c r="Q2506" i="1"/>
  <c r="Q2006" i="1"/>
  <c r="S2833" i="1"/>
  <c r="T2833" i="1" s="1"/>
  <c r="S2902" i="1"/>
  <c r="T2902" i="1" s="1"/>
  <c r="S2812" i="1"/>
  <c r="T2812" i="1" s="1"/>
  <c r="T2844" i="1"/>
  <c r="S2843" i="1"/>
  <c r="T2843" i="1" s="1"/>
  <c r="Q2419" i="1"/>
  <c r="Q2034" i="1"/>
  <c r="Q2294" i="1"/>
  <c r="Q2121" i="1"/>
  <c r="Q2334" i="1"/>
  <c r="Q2298" i="1"/>
  <c r="R2315" i="1"/>
  <c r="Q2317" i="1"/>
  <c r="Q2073" i="1"/>
  <c r="Q2188" i="1"/>
  <c r="Q1988" i="1"/>
  <c r="R2832" i="1"/>
  <c r="O2834" i="1"/>
  <c r="S2832" i="1"/>
  <c r="T2832" i="1" s="1"/>
  <c r="Q2408" i="1"/>
  <c r="Q2087" i="1"/>
  <c r="Q2093" i="1"/>
  <c r="Q2065" i="1"/>
  <c r="Q2410" i="1"/>
  <c r="R2925" i="1"/>
  <c r="S2925" i="1"/>
  <c r="T2925" i="1" s="1"/>
  <c r="S2697" i="1"/>
  <c r="T2697" i="1" s="1"/>
  <c r="R2697" i="1"/>
  <c r="T2924" i="1"/>
  <c r="S2923" i="1"/>
  <c r="T2923" i="1" s="1"/>
  <c r="S2696" i="1"/>
  <c r="O2917" i="1"/>
  <c r="Q1996" i="1"/>
  <c r="O2827" i="1"/>
  <c r="O2828" i="1" s="1"/>
  <c r="R2826" i="1"/>
  <c r="R2854" i="1"/>
  <c r="Q2473" i="1"/>
  <c r="R2814" i="1"/>
  <c r="O2815" i="1"/>
  <c r="O2816" i="1" s="1"/>
  <c r="R2811" i="1"/>
  <c r="S2811" i="1"/>
  <c r="T2811" i="1" s="1"/>
  <c r="O2813" i="1"/>
  <c r="T2780" i="1"/>
  <c r="S2779" i="1"/>
  <c r="T2779" i="1" s="1"/>
  <c r="Q2553" i="1"/>
  <c r="Q2145" i="1"/>
  <c r="S2702" i="1"/>
  <c r="Q2394" i="1"/>
  <c r="Q1990" i="1"/>
  <c r="R2002" i="1"/>
  <c r="Q2374" i="1"/>
  <c r="Q2555" i="1"/>
  <c r="R2249" i="1"/>
  <c r="Q2591" i="1"/>
  <c r="Q2404" i="1"/>
  <c r="R2495" i="1"/>
  <c r="Q2642" i="1"/>
  <c r="O2748" i="1"/>
  <c r="X2" i="1"/>
  <c r="Y2" i="1" s="1"/>
  <c r="W3" i="1"/>
  <c r="S2905" i="1"/>
  <c r="T2905" i="1" s="1"/>
  <c r="R2905" i="1"/>
  <c r="Q2186" i="1"/>
  <c r="Q2108" i="1"/>
  <c r="S2691" i="1"/>
  <c r="T2691" i="1" s="1"/>
  <c r="R2691" i="1"/>
  <c r="T2690" i="1"/>
  <c r="S2689" i="1"/>
  <c r="O2821" i="1"/>
  <c r="O2822" i="1" s="1"/>
  <c r="O2798" i="1"/>
  <c r="O2799" i="1" s="1"/>
  <c r="O2836" i="1"/>
  <c r="R2835" i="1"/>
  <c r="O2737" i="1"/>
  <c r="Q2119" i="1"/>
  <c r="O2806" i="1"/>
  <c r="O2807" i="1" s="1"/>
  <c r="R2805" i="1"/>
  <c r="S2805" i="1"/>
  <c r="Q2396" i="1"/>
  <c r="Q2585" i="1"/>
  <c r="Q2196" i="1"/>
  <c r="Q2547" i="1"/>
  <c r="Q2170" i="1"/>
  <c r="R2656" i="1"/>
  <c r="Q2230" i="1"/>
  <c r="R2523" i="1"/>
  <c r="Q2437" i="1"/>
  <c r="Q2225" i="1"/>
  <c r="Q2071" i="1"/>
  <c r="Q2366" i="1"/>
  <c r="Q2400" i="1"/>
  <c r="Q2508" i="1"/>
  <c r="Q2042" i="1"/>
  <c r="Q2198" i="1"/>
  <c r="Q2489" i="1"/>
  <c r="R2254" i="1"/>
  <c r="Q2577" i="1"/>
  <c r="Q1998" i="1"/>
  <c r="Q2483" i="1"/>
  <c r="Q2376" i="1"/>
  <c r="Q2516" i="1"/>
  <c r="Q2330" i="1"/>
  <c r="Q2022" i="1"/>
  <c r="Q2036" i="1"/>
  <c r="Q2502" i="1"/>
  <c r="Q2392" i="1"/>
  <c r="Q2218" i="1"/>
  <c r="R2497" i="1"/>
  <c r="S1981" i="1"/>
  <c r="T1981" i="1" s="1"/>
  <c r="Q2058" i="1"/>
  <c r="R2373" i="1"/>
  <c r="Q2103" i="1"/>
  <c r="Q2172" i="1"/>
  <c r="Q2522" i="1"/>
  <c r="Q2621" i="1"/>
  <c r="Q2101" i="1"/>
  <c r="Q2274" i="1"/>
  <c r="Q2380" i="1"/>
  <c r="Q2510" i="1"/>
  <c r="Q2208" i="1"/>
  <c r="Q2475" i="1"/>
  <c r="Q2435" i="1"/>
  <c r="R2223" i="1"/>
  <c r="Q2467" i="1"/>
  <c r="Q2417" i="1"/>
  <c r="Q2160" i="1"/>
  <c r="R2652" i="1"/>
  <c r="Q2504" i="1"/>
  <c r="Q2432" i="1"/>
  <c r="Q2574" i="1"/>
  <c r="Q2349" i="1"/>
  <c r="R2593" i="1"/>
  <c r="Q2583" i="1"/>
  <c r="Q2126" i="1"/>
  <c r="Q2568" i="1"/>
  <c r="Q2448" i="1"/>
  <c r="Q2200" i="1"/>
  <c r="Q2162" i="1"/>
  <c r="Q2307" i="1"/>
  <c r="Q2481" i="1"/>
  <c r="Q2164" i="1"/>
  <c r="Q2232" i="1"/>
  <c r="Q2495" i="1"/>
  <c r="Q2050" i="1"/>
  <c r="Q2214" i="1"/>
  <c r="Q1980" i="1"/>
  <c r="Q2303" i="1"/>
  <c r="Q2319" i="1"/>
  <c r="Q2184" i="1"/>
  <c r="Q2390" i="1"/>
  <c r="Q2113" i="1"/>
  <c r="R2634" i="1"/>
  <c r="Q2202" i="1"/>
  <c r="Q2311" i="1"/>
  <c r="Q2551" i="1"/>
  <c r="S2018" i="1"/>
  <c r="T2018" i="1" s="1"/>
  <c r="O2019" i="1"/>
  <c r="R2019" i="1" s="1"/>
  <c r="Q2327" i="1"/>
  <c r="Q2190" i="1"/>
  <c r="Q2653" i="1"/>
  <c r="Q2079" i="1"/>
  <c r="Q2378" i="1"/>
  <c r="R2588" i="1"/>
  <c r="Q2406" i="1"/>
  <c r="R2017" i="1"/>
  <c r="Q2426" i="1"/>
  <c r="Q2138" i="1"/>
  <c r="Q2262" i="1"/>
  <c r="Q2589" i="1"/>
  <c r="Q2004" i="1"/>
  <c r="Q2463" i="1"/>
  <c r="Q1974" i="1"/>
  <c r="Q2459" i="1"/>
  <c r="Q2206" i="1"/>
  <c r="Q1972" i="1"/>
  <c r="Q2442" i="1"/>
  <c r="R2465" i="1"/>
  <c r="Q2254" i="1"/>
  <c r="Q2369" i="1"/>
  <c r="Q2360" i="1"/>
  <c r="Q2136" i="1"/>
  <c r="Q2237" i="1"/>
  <c r="Q2142" i="1"/>
  <c r="Q2106" i="1"/>
  <c r="Q2091" i="1"/>
  <c r="Q2315" i="1"/>
  <c r="Q2429" i="1"/>
  <c r="Q2268" i="1"/>
  <c r="Q2038" i="1"/>
  <c r="Q1986" i="1"/>
  <c r="Q2242" i="1"/>
  <c r="Q2524" i="1"/>
  <c r="Q2457" i="1"/>
  <c r="Q2559" i="1"/>
  <c r="Q2134" i="1"/>
  <c r="Q2627" i="1"/>
  <c r="Q2097" i="1"/>
  <c r="Q2082" i="1"/>
  <c r="Q1978" i="1"/>
  <c r="Q2336" i="1"/>
  <c r="Q2060" i="1"/>
  <c r="Q2115" i="1"/>
  <c r="Q2421" i="1"/>
  <c r="Q2056" i="1"/>
  <c r="Q2166" i="1"/>
  <c r="Q2398" i="1"/>
  <c r="Q2581" i="1"/>
  <c r="Q1994" i="1"/>
  <c r="Q2245" i="1"/>
  <c r="Q2634" i="1"/>
  <c r="Q2623" i="1"/>
  <c r="R2063" i="1"/>
  <c r="Q2174" i="1"/>
  <c r="Q2210" i="1"/>
  <c r="Q2469" i="1"/>
  <c r="Q2343" i="1"/>
  <c r="Q2123" i="1"/>
  <c r="Q2272" i="1"/>
  <c r="Q2309" i="1"/>
  <c r="Q2192" i="1"/>
  <c r="Q2182" i="1"/>
  <c r="Q2305" i="1"/>
  <c r="Q2477" i="1"/>
  <c r="Q2222" i="1"/>
  <c r="Q2249" i="1"/>
  <c r="Q2017" i="1"/>
  <c r="Q2089" i="1"/>
  <c r="Q2046" i="1"/>
  <c r="Q2415" i="1"/>
  <c r="Q2651" i="1"/>
  <c r="R2177" i="1"/>
  <c r="Q1982" i="1"/>
  <c r="Q2296" i="1"/>
  <c r="Q2024" i="1"/>
  <c r="Q2140" i="1"/>
  <c r="Q2095" i="1"/>
  <c r="Q2386" i="1"/>
  <c r="Q2265" i="1"/>
  <c r="Q2570" i="1"/>
  <c r="Q2491" i="1"/>
  <c r="Q2147" i="1"/>
  <c r="Q2514" i="1"/>
  <c r="Q2346" i="1"/>
  <c r="Q2009" i="1"/>
  <c r="Q2150" i="1"/>
  <c r="Q2498" i="1"/>
  <c r="Q2313" i="1"/>
  <c r="Q2020" i="1"/>
  <c r="Q2640" i="1"/>
  <c r="Q2044" i="1"/>
  <c r="Q2479" i="1"/>
  <c r="Q2593" i="1"/>
  <c r="Q2649" i="1"/>
  <c r="Q2234" i="1"/>
  <c r="Q2595" i="1"/>
  <c r="Q2002" i="1"/>
  <c r="Q2363" i="1"/>
  <c r="S2552" i="1"/>
  <c r="T2552" i="1" s="1"/>
  <c r="Q1992" i="1"/>
  <c r="Q2465" i="1"/>
  <c r="Q2352" i="1"/>
  <c r="Q2168" i="1"/>
  <c r="Q2518" i="1"/>
  <c r="Q2251" i="1"/>
  <c r="Q2075" i="1"/>
  <c r="Q2579" i="1"/>
  <c r="Q2439" i="1"/>
  <c r="Q2117" i="1"/>
  <c r="Q2029" i="1"/>
  <c r="Q2471" i="1"/>
  <c r="R2559" i="1"/>
  <c r="R2052" i="1"/>
  <c r="Q2512" i="1"/>
  <c r="Q2000" i="1"/>
  <c r="Q2485" i="1"/>
  <c r="Q2062" i="1"/>
  <c r="Q2048" i="1"/>
  <c r="Q1976" i="1"/>
  <c r="Q2176" i="1"/>
  <c r="Q2493" i="1"/>
  <c r="Q2451" i="1"/>
  <c r="Q2564" i="1"/>
  <c r="Q2321" i="1"/>
  <c r="Q2557" i="1"/>
  <c r="Q2068" i="1"/>
  <c r="Q2644" i="1"/>
  <c r="Q2625" i="1"/>
  <c r="Q2324" i="1"/>
  <c r="Q2445" i="1"/>
  <c r="Q1984" i="1"/>
  <c r="Q2247" i="1"/>
  <c r="Q2216" i="1"/>
  <c r="Q2549" i="1"/>
  <c r="Q2220" i="1"/>
  <c r="Q2077" i="1"/>
  <c r="Q2026" i="1"/>
  <c r="Q2300" i="1"/>
  <c r="Q2500" i="1"/>
  <c r="Q2388" i="1"/>
  <c r="Q2332" i="1"/>
  <c r="Q2372" i="1"/>
  <c r="Q2572" i="1"/>
  <c r="Q2204" i="1"/>
  <c r="Q2259" i="1"/>
  <c r="Q2601" i="1"/>
  <c r="Q2154" i="1"/>
  <c r="Q2085" i="1"/>
  <c r="Q2152" i="1"/>
  <c r="Q2338" i="1"/>
  <c r="Q2031" i="1"/>
  <c r="Q2212" i="1"/>
  <c r="Q2412" i="1"/>
  <c r="Q2240" i="1"/>
  <c r="Q2423" i="1"/>
  <c r="Q2355" i="1"/>
  <c r="R2655" i="1"/>
  <c r="Q2130" i="1"/>
  <c r="Q2040" i="1"/>
  <c r="Q2015" i="1"/>
  <c r="Q2053" i="1"/>
  <c r="Q2180" i="1"/>
  <c r="R2193" i="1"/>
  <c r="R2201" i="1"/>
  <c r="R2112" i="1"/>
  <c r="R2185" i="1"/>
  <c r="R2197" i="1"/>
  <c r="R2079" i="1"/>
  <c r="R2018" i="1"/>
  <c r="R1972" i="1"/>
  <c r="S2250" i="1"/>
  <c r="S2249" i="1" s="1"/>
  <c r="R2386" i="1"/>
  <c r="R2485" i="1"/>
  <c r="R2237" i="1"/>
  <c r="R2165" i="1"/>
  <c r="R2451" i="1"/>
  <c r="O2486" i="1"/>
  <c r="R2486" i="1" s="1"/>
  <c r="S2" i="1"/>
  <c r="T2" i="1" s="1"/>
  <c r="R2174" i="1"/>
  <c r="R2295" i="1"/>
  <c r="R2305" i="1"/>
  <c r="R2272" i="1"/>
  <c r="D38" i="7"/>
  <c r="D24" i="7"/>
  <c r="D25" i="7"/>
  <c r="B37" i="7"/>
  <c r="B36" i="7"/>
  <c r="O3" i="7"/>
  <c r="N4" i="7"/>
  <c r="D4" i="7"/>
  <c r="E6" i="7"/>
  <c r="F5" i="7"/>
  <c r="E40" i="7"/>
  <c r="G11" i="7"/>
  <c r="C28" i="7"/>
  <c r="C29" i="7" s="1"/>
  <c r="C12" i="7"/>
  <c r="C8" i="7"/>
  <c r="G27" i="7"/>
  <c r="D19" i="7"/>
  <c r="O2175" i="1"/>
  <c r="R2175" i="1" s="1"/>
  <c r="R2296" i="1"/>
  <c r="R2614" i="1"/>
  <c r="R1982" i="1"/>
  <c r="R2583" i="1"/>
  <c r="R1981" i="1"/>
  <c r="S2201" i="1"/>
  <c r="T2201" i="1" s="1"/>
  <c r="R2250" i="1"/>
  <c r="R2438" i="1"/>
  <c r="R2520" i="1"/>
  <c r="R2037" i="1"/>
  <c r="S2185" i="1"/>
  <c r="T2185" i="1" s="1"/>
  <c r="R2317" i="1"/>
  <c r="S2519" i="1"/>
  <c r="T2519" i="1" s="1"/>
  <c r="R2653" i="1"/>
  <c r="S2112" i="1"/>
  <c r="T2112" i="1" s="1"/>
  <c r="R2124" i="1"/>
  <c r="R1977" i="1"/>
  <c r="R2115" i="1"/>
  <c r="R2499" i="1"/>
  <c r="R2041" i="1"/>
  <c r="R2347" i="1"/>
  <c r="S2411" i="1"/>
  <c r="T2411" i="1" s="1"/>
  <c r="S2560" i="1"/>
  <c r="T2560" i="1" s="1"/>
  <c r="S2173" i="1"/>
  <c r="T2173" i="1" s="1"/>
  <c r="R2186" i="1"/>
  <c r="R2335" i="1"/>
  <c r="R2598" i="1"/>
  <c r="S2057" i="1"/>
  <c r="T2057" i="1" s="1"/>
  <c r="R2490" i="1"/>
  <c r="S2045" i="1"/>
  <c r="T2045" i="1" s="1"/>
  <c r="R2036" i="1"/>
  <c r="R2188" i="1"/>
  <c r="S1977" i="1"/>
  <c r="T1977" i="1" s="1"/>
  <c r="R2519" i="1"/>
  <c r="R2104" i="1"/>
  <c r="R1985" i="1"/>
  <c r="R2476" i="1"/>
  <c r="R1988" i="1"/>
  <c r="R2399" i="1"/>
  <c r="R2110" i="1"/>
  <c r="R2327" i="1"/>
  <c r="S2228" i="1"/>
  <c r="T2228" i="1" s="1"/>
  <c r="R2232" i="1"/>
  <c r="S1985" i="1"/>
  <c r="T1985" i="1" s="1"/>
  <c r="S2177" i="1"/>
  <c r="T2177" i="1" s="1"/>
  <c r="S2165" i="1"/>
  <c r="T2165" i="1" s="1"/>
  <c r="R2557" i="1"/>
  <c r="R2042" i="1"/>
  <c r="O2233" i="1"/>
  <c r="S2233" i="1" s="1"/>
  <c r="R2176" i="1"/>
  <c r="S2080" i="1"/>
  <c r="T2080" i="1" s="1"/>
  <c r="R2080" i="1"/>
  <c r="R2178" i="1"/>
  <c r="R2006" i="1"/>
  <c r="R2166" i="1"/>
  <c r="R2551" i="1"/>
  <c r="R2192" i="1"/>
  <c r="S2193" i="1"/>
  <c r="T2193" i="1" s="1"/>
  <c r="S2096" i="1"/>
  <c r="T2096" i="1" s="1"/>
  <c r="S2599" i="1"/>
  <c r="T2599" i="1" s="1"/>
  <c r="R1978" i="1"/>
  <c r="R2004" i="1"/>
  <c r="S2594" i="1"/>
  <c r="S2593" i="1" s="1"/>
  <c r="R2508" i="1"/>
  <c r="S2197" i="1"/>
  <c r="T2197" i="1" s="1"/>
  <c r="R2321" i="1"/>
  <c r="S2584" i="1"/>
  <c r="T2584" i="1" s="1"/>
  <c r="R2145" i="1"/>
  <c r="S2151" i="1"/>
  <c r="T2151" i="1" s="1"/>
  <c r="R2336" i="1"/>
  <c r="S1973" i="1"/>
  <c r="T1973" i="1" s="1"/>
  <c r="R2025" i="1"/>
  <c r="R2404" i="1"/>
  <c r="R2031" i="1"/>
  <c r="R1976" i="1"/>
  <c r="O2187" i="1"/>
  <c r="S2187" i="1" s="1"/>
  <c r="R2021" i="1"/>
  <c r="R2241" i="1"/>
  <c r="R2470" i="1"/>
  <c r="R2153" i="1"/>
  <c r="O2255" i="1"/>
  <c r="S2255" i="1" s="1"/>
  <c r="R2299" i="1"/>
  <c r="R2473" i="1"/>
  <c r="R2579" i="1"/>
  <c r="R1998" i="1"/>
  <c r="R2090" i="1"/>
  <c r="S2090" i="1"/>
  <c r="T2090" i="1" s="1"/>
  <c r="S2001" i="1"/>
  <c r="T2001" i="1" s="1"/>
  <c r="R2001" i="1"/>
  <c r="R2472" i="1"/>
  <c r="R2009" i="1"/>
  <c r="R1996" i="1"/>
  <c r="R2200" i="1"/>
  <c r="R2512" i="1"/>
  <c r="R2570" i="1"/>
  <c r="S2052" i="1"/>
  <c r="T2052" i="1" s="1"/>
  <c r="R2020" i="1"/>
  <c r="S2295" i="1"/>
  <c r="T2295" i="1" s="1"/>
  <c r="S2104" i="1"/>
  <c r="T2104" i="1" s="1"/>
  <c r="R2096" i="1"/>
  <c r="R2411" i="1"/>
  <c r="R2111" i="1"/>
  <c r="R2581" i="1"/>
  <c r="O2013" i="1"/>
  <c r="S2013" i="1" s="1"/>
  <c r="O2273" i="1"/>
  <c r="S2273" i="1" s="1"/>
  <c r="R2445" i="1"/>
  <c r="R1974" i="1"/>
  <c r="R2184" i="1"/>
  <c r="R2469" i="1"/>
  <c r="R2136" i="1"/>
  <c r="R2074" i="1"/>
  <c r="R2150" i="1"/>
  <c r="R2046" i="1"/>
  <c r="R2457" i="1"/>
  <c r="R2294" i="1"/>
  <c r="R2560" i="1"/>
  <c r="R2412" i="1"/>
  <c r="R2198" i="1"/>
  <c r="R2230" i="1"/>
  <c r="S2292" i="1"/>
  <c r="T2292" i="1" s="1"/>
  <c r="R2324" i="1"/>
  <c r="S2229" i="1"/>
  <c r="T2229" i="1" s="1"/>
  <c r="O2306" i="1"/>
  <c r="R2306" i="1" s="1"/>
  <c r="R2459" i="1"/>
  <c r="R2439" i="1"/>
  <c r="R2206" i="1"/>
  <c r="R2355" i="1"/>
  <c r="R2511" i="1"/>
  <c r="R2455" i="1"/>
  <c r="R1987" i="1"/>
  <c r="R2274" i="1"/>
  <c r="S2105" i="1"/>
  <c r="T2105" i="1" s="1"/>
  <c r="R2040" i="1"/>
  <c r="S2041" i="1"/>
  <c r="T2041" i="1" s="1"/>
  <c r="R2194" i="1"/>
  <c r="R2514" i="1"/>
  <c r="R2298" i="1"/>
  <c r="R2189" i="1"/>
  <c r="S1989" i="1"/>
  <c r="T1989" i="1" s="1"/>
  <c r="R2402" i="1"/>
  <c r="R2481" i="1"/>
  <c r="R2151" i="1"/>
  <c r="R2053" i="1"/>
  <c r="R2585" i="1"/>
  <c r="R2029" i="1"/>
  <c r="R2118" i="1"/>
  <c r="R2182" i="1"/>
  <c r="R2108" i="1"/>
  <c r="R2477" i="1"/>
  <c r="R2130" i="1"/>
  <c r="R2168" i="1"/>
  <c r="R2442" i="1"/>
  <c r="S2021" i="1"/>
  <c r="R2394" i="1"/>
  <c r="R2172" i="1"/>
  <c r="R2423" i="1"/>
  <c r="R2077" i="1"/>
  <c r="R2515" i="1"/>
  <c r="R2221" i="1"/>
  <c r="R2651" i="1"/>
  <c r="R2262" i="1"/>
  <c r="R2516" i="1"/>
  <c r="R2008" i="1"/>
  <c r="R2479" i="1"/>
  <c r="R2448" i="1"/>
  <c r="R2624" i="1"/>
  <c r="R2506" i="1"/>
  <c r="R1973" i="1"/>
  <c r="S2037" i="1"/>
  <c r="T2037" i="1" s="1"/>
  <c r="R2173" i="1"/>
  <c r="R2417" i="1"/>
  <c r="R2081" i="1"/>
  <c r="R2374" i="1"/>
  <c r="R2226" i="1"/>
  <c r="R2045" i="1"/>
  <c r="R2169" i="1"/>
  <c r="S2299" i="1"/>
  <c r="T2299" i="1" s="1"/>
  <c r="R2395" i="1"/>
  <c r="S2116" i="1"/>
  <c r="T2116" i="1" s="1"/>
  <c r="R2309" i="1"/>
  <c r="R2584" i="1"/>
  <c r="R2346" i="1"/>
  <c r="R2067" i="1"/>
  <c r="R2190" i="1"/>
  <c r="S2135" i="1"/>
  <c r="T2135" i="1" s="1"/>
  <c r="S2470" i="1"/>
  <c r="T2470" i="1" s="1"/>
  <c r="S2466" i="1"/>
  <c r="T2466" i="1" s="1"/>
  <c r="R2380" i="1"/>
  <c r="R1984" i="1"/>
  <c r="R2572" i="1"/>
  <c r="R2574" i="1"/>
  <c r="R2300" i="1"/>
  <c r="R2524" i="1"/>
  <c r="S2399" i="1"/>
  <c r="T2399" i="1" s="1"/>
  <c r="R2576" i="1"/>
  <c r="R2313" i="1"/>
  <c r="R2376" i="1"/>
  <c r="S2141" i="1"/>
  <c r="T2141" i="1" s="1"/>
  <c r="R2141" i="1"/>
  <c r="S2615" i="1"/>
  <c r="S2614" i="1" s="1"/>
  <c r="R2615" i="1"/>
  <c r="O2616" i="1"/>
  <c r="R2616" i="1" s="1"/>
  <c r="R2114" i="1"/>
  <c r="S2114" i="1"/>
  <c r="T2114" i="1" s="1"/>
  <c r="S1993" i="1"/>
  <c r="R1993" i="1"/>
  <c r="S2252" i="1"/>
  <c r="T2252" i="1" s="1"/>
  <c r="O2253" i="1"/>
  <c r="R2253" i="1" s="1"/>
  <c r="R2061" i="1"/>
  <c r="S2061" i="1"/>
  <c r="T2061" i="1" s="1"/>
  <c r="R2044" i="1"/>
  <c r="O2032" i="1"/>
  <c r="R2032" i="1" s="1"/>
  <c r="R2082" i="1"/>
  <c r="R1980" i="1"/>
  <c r="R2164" i="1"/>
  <c r="S2515" i="1"/>
  <c r="T2515" i="1" s="1"/>
  <c r="S2169" i="1"/>
  <c r="R2196" i="1"/>
  <c r="S2189" i="1"/>
  <c r="T2189" i="1" s="1"/>
  <c r="O2460" i="1"/>
  <c r="S2460" i="1" s="1"/>
  <c r="R2466" i="1"/>
  <c r="R2119" i="1"/>
  <c r="R2421" i="1"/>
  <c r="R2550" i="1"/>
  <c r="R2257" i="1"/>
  <c r="R2366" i="1"/>
  <c r="R2234" i="1"/>
  <c r="R2547" i="1"/>
  <c r="R2116" i="1"/>
  <c r="R2452" i="1"/>
  <c r="R2109" i="1"/>
  <c r="R2467" i="1"/>
  <c r="S2511" i="1"/>
  <c r="R2170" i="1"/>
  <c r="S2067" i="1"/>
  <c r="T2067" i="1" s="1"/>
  <c r="S2347" i="1"/>
  <c r="O2348" i="1"/>
  <c r="S2348" i="1" s="1"/>
  <c r="T2348" i="1" s="1"/>
  <c r="R2622" i="1"/>
  <c r="R2379" i="1"/>
  <c r="R2638" i="1"/>
  <c r="O2654" i="1"/>
  <c r="R2654" i="1" s="1"/>
  <c r="O2183" i="1"/>
  <c r="R2183" i="1" s="1"/>
  <c r="R2251" i="1"/>
  <c r="R2360" i="1"/>
  <c r="R2595" i="1"/>
  <c r="R2135" i="1"/>
  <c r="R1990" i="1"/>
  <c r="R2208" i="1"/>
  <c r="S2497" i="1"/>
  <c r="T2497" i="1" s="1"/>
  <c r="S2025" i="1"/>
  <c r="S2024" i="1" s="1"/>
  <c r="T2024" i="1" s="1"/>
  <c r="S2027" i="1"/>
  <c r="S2026" i="1" s="1"/>
  <c r="S2576" i="1"/>
  <c r="T2576" i="1" s="1"/>
  <c r="O2191" i="1"/>
  <c r="S2191" i="1" s="1"/>
  <c r="R2122" i="1"/>
  <c r="O2328" i="1"/>
  <c r="S2328" i="1" s="1"/>
  <c r="R2214" i="1"/>
  <c r="S2081" i="1"/>
  <c r="T2081" i="1" s="1"/>
  <c r="R2503" i="1"/>
  <c r="S2008" i="1"/>
  <c r="T2008" i="1" s="1"/>
  <c r="R2056" i="1"/>
  <c r="O2571" i="1"/>
  <c r="R2571" i="1" s="1"/>
  <c r="O2496" i="1"/>
  <c r="R2510" i="1"/>
  <c r="R2075" i="1"/>
  <c r="R2235" i="1"/>
  <c r="S2241" i="1"/>
  <c r="T2241" i="1" s="1"/>
  <c r="R2518" i="1"/>
  <c r="R2027" i="1"/>
  <c r="S2110" i="1"/>
  <c r="T2110" i="1" s="1"/>
  <c r="O2446" i="1"/>
  <c r="R2446" i="1" s="1"/>
  <c r="R2591" i="1"/>
  <c r="S2656" i="1"/>
  <c r="S2655" i="1" s="1"/>
  <c r="R2358" i="1"/>
  <c r="R2493" i="1"/>
  <c r="O2458" i="1"/>
  <c r="R2458" i="1" s="1"/>
  <c r="R2034" i="1"/>
  <c r="O2076" i="1"/>
  <c r="S2076" i="1" s="1"/>
  <c r="R2623" i="1"/>
  <c r="R2238" i="1"/>
  <c r="R2649" i="1"/>
  <c r="R2113" i="1"/>
  <c r="R2292" i="1"/>
  <c r="R2000" i="1"/>
  <c r="R2578" i="1"/>
  <c r="S2578" i="1"/>
  <c r="S2556" i="1"/>
  <c r="T2556" i="1" s="1"/>
  <c r="R2556" i="1"/>
  <c r="R2047" i="1"/>
  <c r="S2047" i="1"/>
  <c r="R2393" i="1"/>
  <c r="S2393" i="1"/>
  <c r="R2405" i="1"/>
  <c r="S2405" i="1"/>
  <c r="S2436" i="1"/>
  <c r="R2436" i="1"/>
  <c r="R2120" i="1"/>
  <c r="S2120" i="1"/>
  <c r="R2139" i="1"/>
  <c r="S2139" i="1"/>
  <c r="R2509" i="1"/>
  <c r="S2509" i="1"/>
  <c r="R2051" i="1"/>
  <c r="S2051" i="1"/>
  <c r="R2474" i="1"/>
  <c r="S2474" i="1"/>
  <c r="T2474" i="1" s="1"/>
  <c r="S2494" i="1"/>
  <c r="R2494" i="1"/>
  <c r="S2422" i="1"/>
  <c r="T2422" i="1" s="1"/>
  <c r="R2422" i="1"/>
  <c r="R2043" i="1"/>
  <c r="S2043" i="1"/>
  <c r="T2043" i="1" s="1"/>
  <c r="R2575" i="1"/>
  <c r="S2575" i="1"/>
  <c r="R2525" i="1"/>
  <c r="S2525" i="1"/>
  <c r="R2078" i="1"/>
  <c r="S2078" i="1"/>
  <c r="T2078" i="1" s="1"/>
  <c r="O2144" i="1"/>
  <c r="R2143" i="1"/>
  <c r="S2143" i="1"/>
  <c r="T2143" i="1" s="1"/>
  <c r="S2266" i="1"/>
  <c r="T2266" i="1" s="1"/>
  <c r="O2267" i="1"/>
  <c r="R2267" i="1" s="1"/>
  <c r="R2171" i="1"/>
  <c r="S2171" i="1"/>
  <c r="S2462" i="1"/>
  <c r="R2462" i="1"/>
  <c r="S2639" i="1"/>
  <c r="R2639" i="1"/>
  <c r="R2028" i="1"/>
  <c r="S2028" i="1"/>
  <c r="T2028" i="1" s="1"/>
  <c r="R2482" i="1"/>
  <c r="S2482" i="1"/>
  <c r="T2482" i="1" s="1"/>
  <c r="S2645" i="1"/>
  <c r="T2645" i="1" s="1"/>
  <c r="R2645" i="1"/>
  <c r="R2312" i="1"/>
  <c r="S2312" i="1"/>
  <c r="R2427" i="1"/>
  <c r="S2427" i="1"/>
  <c r="R2127" i="1"/>
  <c r="S2127" i="1"/>
  <c r="T2127" i="1" s="1"/>
  <c r="R2573" i="1"/>
  <c r="S2573" i="1"/>
  <c r="T2573" i="1" s="1"/>
  <c r="S2005" i="1"/>
  <c r="R2005" i="1"/>
  <c r="R2331" i="1"/>
  <c r="S2331" i="1"/>
  <c r="T2331" i="1" s="1"/>
  <c r="S2586" i="1"/>
  <c r="R2586" i="1"/>
  <c r="O2351" i="1"/>
  <c r="R2350" i="1"/>
  <c r="S2350" i="1"/>
  <c r="T2350" i="1" s="1"/>
  <c r="S2370" i="1"/>
  <c r="O2371" i="1"/>
  <c r="S2371" i="1" s="1"/>
  <c r="T2371" i="1" s="1"/>
  <c r="R2370" i="1"/>
  <c r="R2308" i="1"/>
  <c r="S2308" i="1"/>
  <c r="S2248" i="1"/>
  <c r="R2248" i="1"/>
  <c r="S2521" i="1"/>
  <c r="T2521" i="1" s="1"/>
  <c r="R2521" i="1"/>
  <c r="R2179" i="1"/>
  <c r="S2179" i="1"/>
  <c r="O2070" i="1"/>
  <c r="R2070" i="1" s="1"/>
  <c r="R2069" i="1"/>
  <c r="R2569" i="1"/>
  <c r="S2569" i="1"/>
  <c r="T2569" i="1" s="1"/>
  <c r="R2137" i="1"/>
  <c r="S2137" i="1"/>
  <c r="R2132" i="1"/>
  <c r="S2132" i="1"/>
  <c r="T2132" i="1" s="1"/>
  <c r="R2219" i="1"/>
  <c r="S2219" i="1"/>
  <c r="T2219" i="1" s="1"/>
  <c r="O2276" i="1"/>
  <c r="S2276" i="1" s="1"/>
  <c r="T2276" i="1" s="1"/>
  <c r="R2275" i="1"/>
  <c r="S2275" i="1"/>
  <c r="R2488" i="1"/>
  <c r="S2488" i="1"/>
  <c r="R2035" i="1"/>
  <c r="S2035" i="1"/>
  <c r="T2035" i="1" s="1"/>
  <c r="R2596" i="1"/>
  <c r="S2596" i="1"/>
  <c r="O2597" i="1"/>
  <c r="S2597" i="1" s="1"/>
  <c r="T2597" i="1" s="1"/>
  <c r="R2513" i="1"/>
  <c r="S2513" i="1"/>
  <c r="R2099" i="1"/>
  <c r="R2204" i="1"/>
  <c r="O2083" i="1"/>
  <c r="O2468" i="1"/>
  <c r="O2010" i="1"/>
  <c r="R2432" i="1"/>
  <c r="R2057" i="1"/>
  <c r="R2095" i="1"/>
  <c r="R2303" i="1"/>
  <c r="R2319" i="1"/>
  <c r="R2410" i="1"/>
  <c r="O1999" i="1"/>
  <c r="O2304" i="1"/>
  <c r="S2476" i="1"/>
  <c r="S2007" i="1"/>
  <c r="T2007" i="1" s="1"/>
  <c r="R2007" i="1"/>
  <c r="R2071" i="1"/>
  <c r="R2390" i="1"/>
  <c r="R2266" i="1"/>
  <c r="R2389" i="1"/>
  <c r="S2389" i="1"/>
  <c r="S2314" i="1"/>
  <c r="R2314" i="1"/>
  <c r="O2420" i="1"/>
  <c r="R2419" i="1"/>
  <c r="O2546" i="1"/>
  <c r="R2545" i="1"/>
  <c r="R2406" i="1"/>
  <c r="R2429" i="1"/>
  <c r="R2015" i="1"/>
  <c r="R2259" i="1"/>
  <c r="R2600" i="1"/>
  <c r="S2600" i="1"/>
  <c r="T2600" i="1" s="1"/>
  <c r="R2065" i="1"/>
  <c r="R2050" i="1"/>
  <c r="R2068" i="1"/>
  <c r="O2310" i="1"/>
  <c r="S2428" i="1"/>
  <c r="T2428" i="1" s="1"/>
  <c r="R2428" i="1"/>
  <c r="S2450" i="1"/>
  <c r="T2450" i="1" s="1"/>
  <c r="R2450" i="1"/>
  <c r="R2522" i="1"/>
  <c r="R2363" i="1"/>
  <c r="O2364" i="1"/>
  <c r="O2243" i="1"/>
  <c r="R2242" i="1"/>
  <c r="O2418" i="1"/>
  <c r="R2352" i="1"/>
  <c r="R2437" i="1"/>
  <c r="R2400" i="1"/>
  <c r="R2212" i="1"/>
  <c r="O2407" i="1"/>
  <c r="O2480" i="1"/>
  <c r="R2480" i="1" s="1"/>
  <c r="O2260" i="1"/>
  <c r="O2580" i="1"/>
  <c r="O2641" i="1"/>
  <c r="R2640" i="1"/>
  <c r="R2202" i="1"/>
  <c r="R2311" i="1"/>
  <c r="R2483" i="1"/>
  <c r="O2320" i="1"/>
  <c r="R2425" i="1"/>
  <c r="S2425" i="1"/>
  <c r="T2425" i="1" s="1"/>
  <c r="O2484" i="1"/>
  <c r="R2228" i="1"/>
  <c r="R2038" i="1"/>
  <c r="R2552" i="1"/>
  <c r="R2218" i="1"/>
  <c r="O2456" i="1"/>
  <c r="S2239" i="1"/>
  <c r="T2239" i="1" s="1"/>
  <c r="R2239" i="1"/>
  <c r="R2297" i="1"/>
  <c r="S2297" i="1"/>
  <c r="R2333" i="1"/>
  <c r="S2333" i="1"/>
  <c r="R2478" i="1"/>
  <c r="S2478" i="1"/>
  <c r="R2589" i="1"/>
  <c r="O2353" i="1"/>
  <c r="S2438" i="1"/>
  <c r="O2205" i="1"/>
  <c r="O2016" i="1"/>
  <c r="R1989" i="1"/>
  <c r="R2461" i="1"/>
  <c r="S2125" i="1"/>
  <c r="T2125" i="1" s="1"/>
  <c r="R2125" i="1"/>
  <c r="O2440" i="1"/>
  <c r="R2599" i="1"/>
  <c r="R2026" i="1"/>
  <c r="R2240" i="1"/>
  <c r="R2142" i="1"/>
  <c r="O2628" i="1"/>
  <c r="R2627" i="1"/>
  <c r="R2160" i="1"/>
  <c r="O2203" i="1"/>
  <c r="R2117" i="1"/>
  <c r="O2337" i="1"/>
  <c r="S2302" i="1"/>
  <c r="T2302" i="1" s="1"/>
  <c r="R2302" i="1"/>
  <c r="S2582" i="1"/>
  <c r="T2582" i="1" s="1"/>
  <c r="R2582" i="1"/>
  <c r="O2430" i="1"/>
  <c r="S2430" i="1" s="1"/>
  <c r="O2161" i="1"/>
  <c r="R2293" i="1"/>
  <c r="S2293" i="1"/>
  <c r="T2293" i="1" s="1"/>
  <c r="R2103" i="1"/>
  <c r="R1994" i="1"/>
  <c r="R2307" i="1"/>
  <c r="R2247" i="1"/>
  <c r="O2401" i="1"/>
  <c r="O2590" i="1"/>
  <c r="R1979" i="1"/>
  <c r="S1979" i="1"/>
  <c r="O2409" i="1"/>
  <c r="R2408" i="1"/>
  <c r="R2140" i="1"/>
  <c r="R2089" i="1"/>
  <c r="R2568" i="1"/>
  <c r="R2396" i="1"/>
  <c r="R2475" i="1"/>
  <c r="R2426" i="1"/>
  <c r="R2338" i="1"/>
  <c r="R2058" i="1"/>
  <c r="O2397" i="1"/>
  <c r="S2523" i="1"/>
  <c r="R2435" i="1"/>
  <c r="O2059" i="1"/>
  <c r="R2388" i="1"/>
  <c r="O2100" i="1"/>
  <c r="R2398" i="1"/>
  <c r="R2060" i="1"/>
  <c r="R2229" i="1"/>
  <c r="R1983" i="1"/>
  <c r="S1983" i="1"/>
  <c r="O2554" i="1"/>
  <c r="R2553" i="1"/>
  <c r="O2361" i="1"/>
  <c r="R2369" i="1"/>
  <c r="O2403" i="1"/>
  <c r="O2236" i="1"/>
  <c r="O2359" i="1"/>
  <c r="R2039" i="1"/>
  <c r="S2039" i="1"/>
  <c r="R2391" i="1"/>
  <c r="S2391" i="1"/>
  <c r="R2487" i="1"/>
  <c r="R2066" i="1"/>
  <c r="O1995" i="1"/>
  <c r="O2316" i="1"/>
  <c r="S2472" i="1"/>
  <c r="R2555" i="1"/>
  <c r="R2252" i="1"/>
  <c r="R2594" i="1"/>
  <c r="O2548" i="1"/>
  <c r="O2054" i="1"/>
  <c r="S2069" i="1"/>
  <c r="R2644" i="1"/>
  <c r="R2392" i="1"/>
  <c r="R2463" i="1"/>
  <c r="R2330" i="1"/>
  <c r="R2349" i="1"/>
  <c r="R2138" i="1"/>
  <c r="O1991" i="1"/>
  <c r="O2209" i="1"/>
  <c r="R2500" i="1"/>
  <c r="O2449" i="1"/>
  <c r="R2625" i="1"/>
  <c r="R1992" i="1"/>
  <c r="O2211" i="1"/>
  <c r="R2210" i="1"/>
  <c r="R2491" i="1"/>
  <c r="S2217" i="1"/>
  <c r="R2217" i="1"/>
  <c r="R2167" i="1"/>
  <c r="S2167" i="1"/>
  <c r="R2105" i="1"/>
  <c r="R2577" i="1"/>
  <c r="R2471" i="1"/>
  <c r="O2213" i="1"/>
  <c r="O2023" i="1"/>
  <c r="O1997" i="1"/>
  <c r="R2134" i="1"/>
  <c r="O2464" i="1"/>
  <c r="O2339" i="1"/>
  <c r="R1975" i="1"/>
  <c r="S1975" i="1"/>
  <c r="R2332" i="1"/>
  <c r="S2507" i="1"/>
  <c r="R2507" i="1"/>
  <c r="S2003" i="1"/>
  <c r="R2003" i="1"/>
  <c r="R2030" i="1"/>
  <c r="S2030" i="1"/>
  <c r="S2517" i="1"/>
  <c r="R2517" i="1"/>
  <c r="S2395" i="1"/>
  <c r="R2121" i="1"/>
  <c r="R2072" i="1"/>
  <c r="S2072" i="1"/>
  <c r="R2073" i="1"/>
  <c r="R2265" i="1"/>
  <c r="O2147" i="1"/>
  <c r="O2148" i="1" s="1"/>
  <c r="O2149" i="1" s="1"/>
  <c r="R2149" i="1" s="1"/>
  <c r="R1986" i="1"/>
  <c r="R2621" i="1"/>
  <c r="S2231" i="1"/>
  <c r="R2231" i="1"/>
  <c r="R2377" i="1"/>
  <c r="S2377" i="1"/>
  <c r="S2109" i="1"/>
  <c r="S2433" i="1"/>
  <c r="O2434" i="1"/>
  <c r="R2433" i="1"/>
  <c r="S2318" i="1"/>
  <c r="R2318" i="1"/>
  <c r="S2066" i="1"/>
  <c r="R2062" i="1"/>
  <c r="O2064" i="1"/>
  <c r="R2123" i="1"/>
  <c r="R2413" i="1"/>
  <c r="S2413" i="1"/>
  <c r="O2414" i="1"/>
  <c r="R2498" i="1"/>
  <c r="S2375" i="1"/>
  <c r="R2375" i="1"/>
  <c r="O2629" i="1"/>
  <c r="S2652" i="1"/>
  <c r="R2152" i="1"/>
  <c r="S2452" i="1"/>
  <c r="R2587" i="1"/>
  <c r="R2492" i="1"/>
  <c r="S2492" i="1"/>
  <c r="R2489" i="1"/>
  <c r="R2256" i="1"/>
  <c r="O2258" i="1"/>
  <c r="R2372" i="1"/>
  <c r="S2322" i="1"/>
  <c r="O2323" i="1"/>
  <c r="R2322" i="1"/>
  <c r="S2235" i="1"/>
  <c r="S2118" i="1"/>
  <c r="S2207" i="1"/>
  <c r="R2207" i="1"/>
  <c r="S2424" i="1"/>
  <c r="R2424" i="1"/>
  <c r="O2345" i="1"/>
  <c r="R2343" i="1"/>
  <c r="S2146" i="1"/>
  <c r="R2146" i="1"/>
  <c r="R2378" i="1"/>
  <c r="R2220" i="1"/>
  <c r="S2626" i="1"/>
  <c r="R2626" i="1"/>
  <c r="O2381" i="1"/>
  <c r="R2650" i="1"/>
  <c r="S2650" i="1"/>
  <c r="S2199" i="1"/>
  <c r="R2199" i="1"/>
  <c r="O2326" i="1"/>
  <c r="S2325" i="1"/>
  <c r="R2325" i="1"/>
  <c r="R2443" i="1"/>
  <c r="S2443" i="1"/>
  <c r="O2444" i="1"/>
  <c r="R2222" i="1"/>
  <c r="O2224" i="1"/>
  <c r="O2368" i="1"/>
  <c r="R2367" i="1"/>
  <c r="S2367" i="1"/>
  <c r="S2624" i="1"/>
  <c r="S2635" i="1"/>
  <c r="R2635" i="1"/>
  <c r="O2264" i="1"/>
  <c r="S2263" i="1"/>
  <c r="R2263" i="1"/>
  <c r="O2155" i="1"/>
  <c r="R2154" i="1"/>
  <c r="S2195" i="1"/>
  <c r="R2195" i="1"/>
  <c r="S2215" i="1"/>
  <c r="R2215" i="1"/>
  <c r="R2549" i="1"/>
  <c r="R2501" i="1"/>
  <c r="S2501" i="1"/>
  <c r="S2356" i="1"/>
  <c r="O2357" i="1"/>
  <c r="R2356" i="1"/>
  <c r="O2602" i="1"/>
  <c r="O2603" i="1" s="1"/>
  <c r="O2453" i="1"/>
  <c r="O2454" i="1" s="1"/>
  <c r="S2454" i="1" s="1"/>
  <c r="T2454" i="1" s="1"/>
  <c r="S2131" i="1"/>
  <c r="O2133" i="1"/>
  <c r="R2131" i="1"/>
  <c r="S2301" i="1"/>
  <c r="R2301" i="1"/>
  <c r="R2334" i="1"/>
  <c r="S2558" i="1"/>
  <c r="R2558" i="1"/>
  <c r="O2128" i="1"/>
  <c r="O2129" i="1" s="1"/>
  <c r="R2126" i="1"/>
  <c r="R2502" i="1"/>
  <c r="S2592" i="1"/>
  <c r="R2592" i="1"/>
  <c r="O2227" i="1"/>
  <c r="R2225" i="1"/>
  <c r="R2289" i="1"/>
  <c r="O2290" i="1"/>
  <c r="O2291" i="1" s="1"/>
  <c r="R2291" i="1" s="1"/>
  <c r="R2387" i="1"/>
  <c r="S2387" i="1"/>
  <c r="O2617" i="1"/>
  <c r="S2238" i="1"/>
  <c r="BA32" i="1"/>
  <c r="BA62" i="1"/>
  <c r="I74" i="4"/>
  <c r="J74" i="4" s="1"/>
  <c r="I73" i="4"/>
  <c r="F40" i="4"/>
  <c r="F49" i="4"/>
  <c r="F71" i="4"/>
  <c r="F45" i="4"/>
  <c r="F13" i="4"/>
  <c r="F29" i="4"/>
  <c r="F32" i="4"/>
  <c r="F18" i="4"/>
  <c r="F54" i="4"/>
  <c r="F11" i="4"/>
  <c r="F61" i="4"/>
  <c r="F30" i="4"/>
  <c r="F53" i="4"/>
  <c r="F48" i="4"/>
  <c r="F26" i="4"/>
  <c r="F43" i="4"/>
  <c r="F55" i="4"/>
  <c r="F68" i="4"/>
  <c r="F33" i="4"/>
  <c r="F31" i="4"/>
  <c r="F42" i="4"/>
  <c r="F52" i="4"/>
  <c r="F64" i="4"/>
  <c r="F69" i="4"/>
  <c r="F17" i="4"/>
  <c r="F46" i="4"/>
  <c r="F66" i="4"/>
  <c r="F36" i="4"/>
  <c r="F63" i="4"/>
  <c r="F34" i="4"/>
  <c r="F59" i="4"/>
  <c r="F38" i="4"/>
  <c r="F21" i="4"/>
  <c r="F51" i="4"/>
  <c r="F19" i="4"/>
  <c r="F16" i="4"/>
  <c r="F23" i="4"/>
  <c r="F65" i="4"/>
  <c r="F25" i="4"/>
  <c r="F12" i="4"/>
  <c r="F58" i="4"/>
  <c r="F70" i="4"/>
  <c r="F15" i="4"/>
  <c r="F57" i="4"/>
  <c r="F72" i="4"/>
  <c r="F60" i="4"/>
  <c r="F47" i="4"/>
  <c r="F44" i="4"/>
  <c r="F22" i="4"/>
  <c r="F37" i="4"/>
  <c r="F14" i="4"/>
  <c r="F56" i="4"/>
  <c r="F50" i="4"/>
  <c r="F24" i="4"/>
  <c r="F67" i="4"/>
  <c r="F28" i="4"/>
  <c r="F41" i="4"/>
  <c r="F62" i="4"/>
  <c r="F39" i="4"/>
  <c r="F35" i="4"/>
  <c r="F20" i="4"/>
  <c r="F73" i="4"/>
  <c r="F74" i="4"/>
  <c r="F27" i="4"/>
  <c r="BA22" i="1"/>
  <c r="BA36" i="1"/>
  <c r="BA45" i="1"/>
  <c r="BA69" i="1"/>
  <c r="BA41" i="1"/>
  <c r="BA8" i="1"/>
  <c r="BA24" i="1"/>
  <c r="BA27" i="1"/>
  <c r="BA13" i="1"/>
  <c r="BA50" i="1"/>
  <c r="BA6" i="1"/>
  <c r="BA57" i="1"/>
  <c r="BA25" i="1"/>
  <c r="BA49" i="1"/>
  <c r="BA44" i="1"/>
  <c r="BA21" i="1"/>
  <c r="BA39" i="1"/>
  <c r="BA51" i="1"/>
  <c r="BA66" i="1"/>
  <c r="BA28" i="1"/>
  <c r="BA26" i="1"/>
  <c r="BA38" i="1"/>
  <c r="BA48" i="1"/>
  <c r="BA60" i="1"/>
  <c r="BA67" i="1"/>
  <c r="BA12" i="1"/>
  <c r="BA42" i="1"/>
  <c r="BA63" i="1"/>
  <c r="BA31" i="1"/>
  <c r="BA59" i="1"/>
  <c r="BA29" i="1"/>
  <c r="BA55" i="1"/>
  <c r="BA34" i="1"/>
  <c r="BA16" i="1"/>
  <c r="BA47" i="1"/>
  <c r="BA14" i="1"/>
  <c r="BA11" i="1"/>
  <c r="BA18" i="1"/>
  <c r="BA61" i="1"/>
  <c r="BA20" i="1"/>
  <c r="BA7" i="1"/>
  <c r="BA54" i="1"/>
  <c r="BA68" i="1"/>
  <c r="BA10" i="1"/>
  <c r="BA53" i="1"/>
  <c r="BA70" i="1"/>
  <c r="BA56" i="1"/>
  <c r="BA43" i="1"/>
  <c r="BA40" i="1"/>
  <c r="BA17" i="1"/>
  <c r="BA33" i="1"/>
  <c r="BA9" i="1"/>
  <c r="BA52" i="1"/>
  <c r="BA46" i="1"/>
  <c r="BA19" i="1"/>
  <c r="BA64" i="1"/>
  <c r="BA23" i="1"/>
  <c r="BA37" i="1"/>
  <c r="BA58" i="1"/>
  <c r="BA35" i="1"/>
  <c r="BA30" i="1"/>
  <c r="BA15" i="1"/>
  <c r="J40" i="4"/>
  <c r="J49" i="4"/>
  <c r="J71" i="4"/>
  <c r="J45" i="4"/>
  <c r="J13" i="4"/>
  <c r="J29" i="4"/>
  <c r="J32" i="4"/>
  <c r="J18" i="4"/>
  <c r="J54" i="4"/>
  <c r="J11" i="4"/>
  <c r="J61" i="4"/>
  <c r="J30" i="4"/>
  <c r="J53" i="4"/>
  <c r="J48" i="4"/>
  <c r="J26" i="4"/>
  <c r="J43" i="4"/>
  <c r="J55" i="4"/>
  <c r="J68" i="4"/>
  <c r="J33" i="4"/>
  <c r="J31" i="4"/>
  <c r="J42" i="4"/>
  <c r="J52" i="4"/>
  <c r="J64" i="4"/>
  <c r="J69" i="4"/>
  <c r="J17" i="4"/>
  <c r="J46" i="4"/>
  <c r="J66" i="4"/>
  <c r="J36" i="4"/>
  <c r="J63" i="4"/>
  <c r="J34" i="4"/>
  <c r="J59" i="4"/>
  <c r="J38" i="4"/>
  <c r="J21" i="4"/>
  <c r="J51" i="4"/>
  <c r="J19" i="4"/>
  <c r="J16" i="4"/>
  <c r="J23" i="4"/>
  <c r="J65" i="4"/>
  <c r="J25" i="4"/>
  <c r="J12" i="4"/>
  <c r="J58" i="4"/>
  <c r="J70" i="4"/>
  <c r="J15" i="4"/>
  <c r="J57" i="4"/>
  <c r="J72" i="4"/>
  <c r="J60" i="4"/>
  <c r="J47" i="4"/>
  <c r="J44" i="4"/>
  <c r="J22" i="4"/>
  <c r="J37" i="4"/>
  <c r="J14" i="4"/>
  <c r="J56" i="4"/>
  <c r="J50" i="4"/>
  <c r="J24" i="4"/>
  <c r="J67" i="4"/>
  <c r="J28" i="4"/>
  <c r="J41" i="4"/>
  <c r="J62" i="4"/>
  <c r="J39" i="4"/>
  <c r="J35" i="4"/>
  <c r="J20" i="4"/>
  <c r="J27" i="4"/>
  <c r="H40" i="4"/>
  <c r="H49" i="4"/>
  <c r="H71" i="4"/>
  <c r="H45" i="4"/>
  <c r="H13" i="4"/>
  <c r="H29" i="4"/>
  <c r="H32" i="4"/>
  <c r="H18" i="4"/>
  <c r="H54" i="4"/>
  <c r="H11" i="4"/>
  <c r="H61" i="4"/>
  <c r="H30" i="4"/>
  <c r="H53" i="4"/>
  <c r="H48" i="4"/>
  <c r="H26" i="4"/>
  <c r="H43" i="4"/>
  <c r="H55" i="4"/>
  <c r="H68" i="4"/>
  <c r="H33" i="4"/>
  <c r="H31" i="4"/>
  <c r="H42" i="4"/>
  <c r="H52" i="4"/>
  <c r="H64" i="4"/>
  <c r="H69" i="4"/>
  <c r="H17" i="4"/>
  <c r="H46" i="4"/>
  <c r="H66" i="4"/>
  <c r="H36" i="4"/>
  <c r="H63" i="4"/>
  <c r="H34" i="4"/>
  <c r="H59" i="4"/>
  <c r="H38" i="4"/>
  <c r="H21" i="4"/>
  <c r="H51" i="4"/>
  <c r="H19" i="4"/>
  <c r="H16" i="4"/>
  <c r="H23" i="4"/>
  <c r="H65" i="4"/>
  <c r="H25" i="4"/>
  <c r="H12" i="4"/>
  <c r="H58" i="4"/>
  <c r="H70" i="4"/>
  <c r="H15" i="4"/>
  <c r="H57" i="4"/>
  <c r="H72" i="4"/>
  <c r="H60" i="4"/>
  <c r="H47" i="4"/>
  <c r="H44" i="4"/>
  <c r="H22" i="4"/>
  <c r="H37" i="4"/>
  <c r="H14" i="4"/>
  <c r="H56" i="4"/>
  <c r="H50" i="4"/>
  <c r="H24" i="4"/>
  <c r="H67" i="4"/>
  <c r="H28" i="4"/>
  <c r="H41" i="4"/>
  <c r="H62" i="4"/>
  <c r="H39" i="4"/>
  <c r="H35" i="4"/>
  <c r="H20" i="4"/>
  <c r="H27" i="4"/>
  <c r="AX65" i="1"/>
  <c r="T2593" i="1" l="1"/>
  <c r="S2017" i="1"/>
  <c r="T2017" i="1" s="1"/>
  <c r="T7566" i="1"/>
  <c r="S7565" i="1"/>
  <c r="T7565" i="1" s="1"/>
  <c r="S7121" i="1"/>
  <c r="T7121" i="1" s="1"/>
  <c r="S7154" i="1"/>
  <c r="R7154" i="1"/>
  <c r="S7023" i="1"/>
  <c r="T7023" i="1" s="1"/>
  <c r="R7023" i="1"/>
  <c r="S6943" i="1"/>
  <c r="R6943" i="1"/>
  <c r="S7146" i="1"/>
  <c r="T7146" i="1" s="1"/>
  <c r="R7146" i="1"/>
  <c r="S7139" i="1"/>
  <c r="T7140" i="1"/>
  <c r="S7148" i="1"/>
  <c r="T7149" i="1"/>
  <c r="S7178" i="1"/>
  <c r="T7178" i="1" s="1"/>
  <c r="T7179" i="1"/>
  <c r="S7083" i="1"/>
  <c r="T7084" i="1"/>
  <c r="T7154" i="1"/>
  <c r="O7155" i="1"/>
  <c r="O7024" i="1"/>
  <c r="O6944" i="1"/>
  <c r="T6943" i="1"/>
  <c r="S2810" i="1"/>
  <c r="T2810" i="1" s="1"/>
  <c r="T2250" i="1"/>
  <c r="S2551" i="1"/>
  <c r="T2551" i="1" s="1"/>
  <c r="S2658" i="1"/>
  <c r="O2659" i="1"/>
  <c r="R2658" i="1"/>
  <c r="S2831" i="1"/>
  <c r="T2831" i="1" s="1"/>
  <c r="O2808" i="1"/>
  <c r="R2807" i="1"/>
  <c r="S2807" i="1"/>
  <c r="T2807" i="1" s="1"/>
  <c r="R2799" i="1"/>
  <c r="S2799" i="1"/>
  <c r="O2800" i="1"/>
  <c r="O2817" i="1"/>
  <c r="S2816" i="1"/>
  <c r="T2816" i="1" s="1"/>
  <c r="R2816" i="1"/>
  <c r="T2702" i="1"/>
  <c r="S2701" i="1"/>
  <c r="T2701" i="1" s="1"/>
  <c r="T2805" i="1"/>
  <c r="S2804" i="1"/>
  <c r="T2804" i="1" s="1"/>
  <c r="R2822" i="1"/>
  <c r="O2823" i="1"/>
  <c r="O2829" i="1"/>
  <c r="O2830" i="1" s="1"/>
  <c r="R2828" i="1"/>
  <c r="S2828" i="1"/>
  <c r="T2828" i="1" s="1"/>
  <c r="T2696" i="1"/>
  <c r="S2695" i="1"/>
  <c r="T2695" i="1" s="1"/>
  <c r="T2655" i="1"/>
  <c r="T2249" i="1"/>
  <c r="O2882" i="1"/>
  <c r="O2883" i="1" s="1"/>
  <c r="S2827" i="1"/>
  <c r="R2827" i="1"/>
  <c r="S2019" i="1"/>
  <c r="T2019" i="1" s="1"/>
  <c r="S2813" i="1"/>
  <c r="T2813" i="1" s="1"/>
  <c r="R2813" i="1"/>
  <c r="R2815" i="1"/>
  <c r="S2815" i="1"/>
  <c r="R2834" i="1"/>
  <c r="S2834" i="1"/>
  <c r="T2834" i="1" s="1"/>
  <c r="S1980" i="1"/>
  <c r="T1980" i="1" s="1"/>
  <c r="R2748" i="1"/>
  <c r="O2749" i="1"/>
  <c r="O2750" i="1" s="1"/>
  <c r="O2855" i="1"/>
  <c r="O2918" i="1"/>
  <c r="O2919" i="1" s="1"/>
  <c r="R2917" i="1"/>
  <c r="O2724" i="1"/>
  <c r="O2725" i="1" s="1"/>
  <c r="X3" i="1"/>
  <c r="Y3" i="1" s="1"/>
  <c r="W4" i="1"/>
  <c r="R2836" i="1"/>
  <c r="S2836" i="1"/>
  <c r="R2798" i="1"/>
  <c r="S2798" i="1"/>
  <c r="T2798" i="1" s="1"/>
  <c r="R2821" i="1"/>
  <c r="S2821" i="1"/>
  <c r="S2820" i="1" s="1"/>
  <c r="T2820" i="1" s="1"/>
  <c r="O2809" i="1"/>
  <c r="R2806" i="1"/>
  <c r="S2806" i="1"/>
  <c r="T2806" i="1" s="1"/>
  <c r="T2689" i="1"/>
  <c r="S2688" i="1"/>
  <c r="T2688" i="1" s="1"/>
  <c r="AB711" i="1"/>
  <c r="AB719" i="1"/>
  <c r="AB727" i="1"/>
  <c r="AB714" i="1"/>
  <c r="AB708" i="1"/>
  <c r="AB705" i="1"/>
  <c r="AB718" i="1"/>
  <c r="AB725" i="1"/>
  <c r="AB722" i="1"/>
  <c r="AB721" i="1"/>
  <c r="AB707" i="1"/>
  <c r="AB724" i="1"/>
  <c r="AB710" i="1"/>
  <c r="AB709" i="1"/>
  <c r="AB728" i="1"/>
  <c r="AB715" i="1"/>
  <c r="AB712" i="1"/>
  <c r="AB726" i="1"/>
  <c r="AB723" i="1"/>
  <c r="AB717" i="1"/>
  <c r="AB713" i="1"/>
  <c r="AB720" i="1"/>
  <c r="AB706" i="1"/>
  <c r="AB716" i="1"/>
  <c r="AB629" i="1"/>
  <c r="AB630" i="1"/>
  <c r="AB627" i="1"/>
  <c r="AB625" i="1"/>
  <c r="AB637" i="1"/>
  <c r="AB633" i="1"/>
  <c r="AB632" i="1"/>
  <c r="AB623" i="1"/>
  <c r="AB624" i="1"/>
  <c r="AB631" i="1"/>
  <c r="AB638" i="1"/>
  <c r="AB628" i="1"/>
  <c r="AB636" i="1"/>
  <c r="AB626" i="1"/>
  <c r="AB634" i="1"/>
  <c r="AB635" i="1"/>
  <c r="AB554" i="1"/>
  <c r="AB536" i="1"/>
  <c r="AB532" i="1"/>
  <c r="AB547" i="1"/>
  <c r="AB551" i="1"/>
  <c r="AB533" i="1"/>
  <c r="AB530" i="1"/>
  <c r="AB540" i="1"/>
  <c r="AB549" i="1"/>
  <c r="AB539" i="1"/>
  <c r="AB553" i="1"/>
  <c r="AB537" i="1"/>
  <c r="AB541" i="1"/>
  <c r="AB542" i="1"/>
  <c r="AB550" i="1"/>
  <c r="AB535" i="1"/>
  <c r="AB531" i="1"/>
  <c r="AB543" i="1"/>
  <c r="AB534" i="1"/>
  <c r="AB548" i="1"/>
  <c r="AB545" i="1"/>
  <c r="AB552" i="1"/>
  <c r="AB544" i="1"/>
  <c r="AB546" i="1"/>
  <c r="AB538" i="1"/>
  <c r="AB749" i="1"/>
  <c r="AB754" i="1"/>
  <c r="AB752" i="1"/>
  <c r="AB770" i="1"/>
  <c r="AB762" i="1"/>
  <c r="AB755" i="1"/>
  <c r="AB776" i="1"/>
  <c r="AB767" i="1"/>
  <c r="AB750" i="1"/>
  <c r="AB777" i="1"/>
  <c r="AB773" i="1"/>
  <c r="AB764" i="1"/>
  <c r="AB774" i="1"/>
  <c r="AB765" i="1"/>
  <c r="AB759" i="1"/>
  <c r="AB766" i="1"/>
  <c r="AB748" i="1"/>
  <c r="AB760" i="1"/>
  <c r="AB757" i="1"/>
  <c r="AB753" i="1"/>
  <c r="AB758" i="1"/>
  <c r="AB771" i="1"/>
  <c r="AB746" i="1"/>
  <c r="AB772" i="1"/>
  <c r="AB756" i="1"/>
  <c r="AB779" i="1"/>
  <c r="AB775" i="1"/>
  <c r="AB761" i="1"/>
  <c r="AB768" i="1"/>
  <c r="AB763" i="1"/>
  <c r="AB769" i="1"/>
  <c r="AB747" i="1"/>
  <c r="AB778" i="1"/>
  <c r="AB751" i="1"/>
  <c r="AB673" i="1"/>
  <c r="AB672" i="1"/>
  <c r="AB669" i="1"/>
  <c r="AB661" i="1"/>
  <c r="AB665" i="1"/>
  <c r="AB664" i="1"/>
  <c r="AB663" i="1"/>
  <c r="AB659" i="1"/>
  <c r="AB648" i="1"/>
  <c r="AB651" i="1"/>
  <c r="AB668" i="1"/>
  <c r="AB656" i="1"/>
  <c r="AB645" i="1"/>
  <c r="AB660" i="1"/>
  <c r="AB653" i="1"/>
  <c r="AB639" i="1"/>
  <c r="AB652" i="1"/>
  <c r="AB641" i="1"/>
  <c r="AB646" i="1"/>
  <c r="AB658" i="1"/>
  <c r="AB667" i="1"/>
  <c r="AB643" i="1"/>
  <c r="AB655" i="1"/>
  <c r="AB657" i="1"/>
  <c r="AB644" i="1"/>
  <c r="AB675" i="1"/>
  <c r="AB671" i="1"/>
  <c r="AB647" i="1"/>
  <c r="AB640" i="1"/>
  <c r="AB649" i="1"/>
  <c r="AB662" i="1"/>
  <c r="AB654" i="1"/>
  <c r="AB670" i="1"/>
  <c r="AB650" i="1"/>
  <c r="AB666" i="1"/>
  <c r="AB674" i="1"/>
  <c r="AB642" i="1"/>
  <c r="AC730" i="1"/>
  <c r="AC745" i="1"/>
  <c r="AC732" i="1"/>
  <c r="AC729" i="1"/>
  <c r="AC742" i="1"/>
  <c r="AC737" i="1"/>
  <c r="AD737" i="1" s="1"/>
  <c r="AC736" i="1"/>
  <c r="AC744" i="1"/>
  <c r="AC734" i="1"/>
  <c r="AC740" i="1"/>
  <c r="AC738" i="1"/>
  <c r="AC731" i="1"/>
  <c r="AC735" i="1"/>
  <c r="AC743" i="1"/>
  <c r="AC733" i="1"/>
  <c r="AC741" i="1"/>
  <c r="AC739" i="1"/>
  <c r="AB522" i="1"/>
  <c r="AB524" i="1"/>
  <c r="AB520" i="1"/>
  <c r="AB510" i="1"/>
  <c r="AB504" i="1"/>
  <c r="AB528" i="1"/>
  <c r="AB516" i="1"/>
  <c r="AB526" i="1"/>
  <c r="AB512" i="1"/>
  <c r="AB527" i="1"/>
  <c r="AB505" i="1"/>
  <c r="AB514" i="1"/>
  <c r="AB518" i="1"/>
  <c r="AB509" i="1"/>
  <c r="AB513" i="1"/>
  <c r="AB511" i="1"/>
  <c r="AB506" i="1"/>
  <c r="AB508" i="1"/>
  <c r="AB519" i="1"/>
  <c r="AB523" i="1"/>
  <c r="AB515" i="1"/>
  <c r="AB525" i="1"/>
  <c r="AB529" i="1"/>
  <c r="AB517" i="1"/>
  <c r="AB507" i="1"/>
  <c r="AB521" i="1"/>
  <c r="AB566" i="1"/>
  <c r="AB565" i="1"/>
  <c r="AB574" i="1"/>
  <c r="AB583" i="1"/>
  <c r="AB563" i="1"/>
  <c r="AB575" i="1"/>
  <c r="AB572" i="1"/>
  <c r="AB582" i="1"/>
  <c r="AB581" i="1"/>
  <c r="AB567" i="1"/>
  <c r="AB558" i="1"/>
  <c r="AB579" i="1"/>
  <c r="AB557" i="1"/>
  <c r="AB585" i="1"/>
  <c r="AB555" i="1"/>
  <c r="AB556" i="1"/>
  <c r="AB573" i="1"/>
  <c r="AB587" i="1"/>
  <c r="AB569" i="1"/>
  <c r="AB577" i="1"/>
  <c r="AB562" i="1"/>
  <c r="AB576" i="1"/>
  <c r="AB561" i="1"/>
  <c r="AB578" i="1"/>
  <c r="AB580" i="1"/>
  <c r="AB571" i="1"/>
  <c r="AB584" i="1"/>
  <c r="AB564" i="1"/>
  <c r="AB586" i="1"/>
  <c r="AB570" i="1"/>
  <c r="AB559" i="1"/>
  <c r="AB560" i="1"/>
  <c r="AB568" i="1"/>
  <c r="AB704" i="1"/>
  <c r="AB698" i="1"/>
  <c r="AB684" i="1"/>
  <c r="AB692" i="1"/>
  <c r="AB696" i="1"/>
  <c r="AB700" i="1"/>
  <c r="AB688" i="1"/>
  <c r="AB697" i="1"/>
  <c r="AB699" i="1"/>
  <c r="AB691" i="1"/>
  <c r="AB680" i="1"/>
  <c r="AB683" i="1"/>
  <c r="AB676" i="1"/>
  <c r="AB703" i="1"/>
  <c r="AB695" i="1"/>
  <c r="AB677" i="1"/>
  <c r="AB687" i="1"/>
  <c r="AB689" i="1"/>
  <c r="AB681" i="1"/>
  <c r="AB701" i="1"/>
  <c r="AB679" i="1"/>
  <c r="AB690" i="1"/>
  <c r="AB685" i="1"/>
  <c r="AB702" i="1"/>
  <c r="AB682" i="1"/>
  <c r="AB693" i="1"/>
  <c r="AB694" i="1"/>
  <c r="AB678" i="1"/>
  <c r="AB686" i="1"/>
  <c r="AB608" i="1"/>
  <c r="AB612" i="1"/>
  <c r="AB606" i="1"/>
  <c r="AB604" i="1"/>
  <c r="AB593" i="1"/>
  <c r="AB599" i="1"/>
  <c r="AB596" i="1"/>
  <c r="AB601" i="1"/>
  <c r="AB589" i="1"/>
  <c r="AB592" i="1"/>
  <c r="AB605" i="1"/>
  <c r="AB603" i="1"/>
  <c r="AB621" i="1"/>
  <c r="AB620" i="1"/>
  <c r="AB619" i="1"/>
  <c r="AB594" i="1"/>
  <c r="AB609" i="1"/>
  <c r="AB617" i="1"/>
  <c r="AB611" i="1"/>
  <c r="AB613" i="1"/>
  <c r="AB614" i="1"/>
  <c r="AB618" i="1"/>
  <c r="AB591" i="1"/>
  <c r="AB622" i="1"/>
  <c r="AB615" i="1"/>
  <c r="AB607" i="1"/>
  <c r="AB588" i="1"/>
  <c r="AB597" i="1"/>
  <c r="AB590" i="1"/>
  <c r="AB598" i="1"/>
  <c r="AB595" i="1"/>
  <c r="AB600" i="1"/>
  <c r="AB610" i="1"/>
  <c r="AB602" i="1"/>
  <c r="AB616" i="1"/>
  <c r="S2559" i="1"/>
  <c r="T2559" i="1" s="1"/>
  <c r="S2175" i="1"/>
  <c r="S2174" i="1" s="1"/>
  <c r="T2174" i="1" s="1"/>
  <c r="S2486" i="1"/>
  <c r="S2485" i="1" s="1"/>
  <c r="T2485" i="1" s="1"/>
  <c r="S2172" i="1"/>
  <c r="T2172" i="1" s="1"/>
  <c r="S2200" i="1"/>
  <c r="T2200" i="1" s="1"/>
  <c r="S2306" i="1"/>
  <c r="T2306" i="1" s="1"/>
  <c r="S2176" i="1"/>
  <c r="T2176" i="1" s="1"/>
  <c r="S2518" i="1"/>
  <c r="T2518" i="1" s="1"/>
  <c r="T2025" i="1"/>
  <c r="S2349" i="1"/>
  <c r="T2349" i="1" s="1"/>
  <c r="R2255" i="1"/>
  <c r="S2126" i="1"/>
  <c r="T2126" i="1" s="1"/>
  <c r="O2014" i="1"/>
  <c r="R2014" i="1" s="1"/>
  <c r="S1976" i="1"/>
  <c r="T1976" i="1" s="1"/>
  <c r="S2032" i="1"/>
  <c r="T2032" i="1" s="1"/>
  <c r="O2033" i="1"/>
  <c r="R2033" i="1" s="1"/>
  <c r="T2614" i="1"/>
  <c r="R2371" i="1"/>
  <c r="E38" i="7"/>
  <c r="E25" i="7"/>
  <c r="E24" i="7"/>
  <c r="C32" i="7"/>
  <c r="P3" i="7"/>
  <c r="O4" i="7"/>
  <c r="C13" i="7"/>
  <c r="C14" i="7"/>
  <c r="C21" i="7"/>
  <c r="D20" i="7"/>
  <c r="G5" i="7"/>
  <c r="F40" i="7"/>
  <c r="F6" i="7"/>
  <c r="E19" i="7"/>
  <c r="H11" i="7"/>
  <c r="D12" i="7"/>
  <c r="D21" i="7" s="1"/>
  <c r="D28" i="7"/>
  <c r="D29" i="7" s="1"/>
  <c r="D8" i="7"/>
  <c r="C9" i="7"/>
  <c r="C34" i="7"/>
  <c r="E4" i="7"/>
  <c r="F7" i="7"/>
  <c r="H27" i="7"/>
  <c r="E7" i="7"/>
  <c r="S2473" i="1"/>
  <c r="T2473" i="1" s="1"/>
  <c r="S2164" i="1"/>
  <c r="T2164" i="1" s="1"/>
  <c r="S2481" i="1"/>
  <c r="T2481" i="1" s="1"/>
  <c r="S2253" i="1"/>
  <c r="T2253" i="1" s="1"/>
  <c r="S2184" i="1"/>
  <c r="T2184" i="1" s="1"/>
  <c r="J73" i="4"/>
  <c r="I76" i="4"/>
  <c r="L77" i="4" s="1"/>
  <c r="S2410" i="1"/>
  <c r="T2410" i="1" s="1"/>
  <c r="S2142" i="1"/>
  <c r="T2142" i="1" s="1"/>
  <c r="S2150" i="1"/>
  <c r="T2150" i="1" s="1"/>
  <c r="S2044" i="1"/>
  <c r="T2044" i="1" s="1"/>
  <c r="S2070" i="1"/>
  <c r="T2070" i="1" s="1"/>
  <c r="T2594" i="1"/>
  <c r="S2514" i="1"/>
  <c r="T2514" i="1" s="1"/>
  <c r="S2572" i="1"/>
  <c r="T2572" i="1" s="1"/>
  <c r="S2111" i="1"/>
  <c r="T2111" i="1" s="1"/>
  <c r="S2056" i="1"/>
  <c r="T2056" i="1" s="1"/>
  <c r="R2348" i="1"/>
  <c r="S2298" i="1"/>
  <c r="T2298" i="1" s="1"/>
  <c r="S2095" i="1"/>
  <c r="T2095" i="1" s="1"/>
  <c r="O2447" i="1"/>
  <c r="R2447" i="1" s="1"/>
  <c r="S2446" i="1"/>
  <c r="T2446" i="1" s="1"/>
  <c r="S2458" i="1"/>
  <c r="T2458" i="1" s="1"/>
  <c r="S2265" i="1"/>
  <c r="T2265" i="1" s="1"/>
  <c r="S2115" i="1"/>
  <c r="T2115" i="1" s="1"/>
  <c r="S1984" i="1"/>
  <c r="T1984" i="1" s="1"/>
  <c r="S2192" i="1"/>
  <c r="T2192" i="1" s="1"/>
  <c r="S2079" i="1"/>
  <c r="T2079" i="1" s="1"/>
  <c r="R2233" i="1"/>
  <c r="T2656" i="1"/>
  <c r="R2273" i="1"/>
  <c r="R2328" i="1"/>
  <c r="R2013" i="1"/>
  <c r="S2465" i="1"/>
  <c r="T2465" i="1" s="1"/>
  <c r="O2329" i="1"/>
  <c r="S2329" i="1" s="1"/>
  <c r="T2329" i="1" s="1"/>
  <c r="S2616" i="1"/>
  <c r="T2616" i="1" s="1"/>
  <c r="S2469" i="1"/>
  <c r="T2469" i="1" s="1"/>
  <c r="S2000" i="1"/>
  <c r="T2000" i="1" s="1"/>
  <c r="S1972" i="1"/>
  <c r="T1972" i="1" s="1"/>
  <c r="S2398" i="1"/>
  <c r="T2398" i="1" s="1"/>
  <c r="S2089" i="1"/>
  <c r="T2089" i="1" s="1"/>
  <c r="S2040" i="1"/>
  <c r="T2040" i="1" s="1"/>
  <c r="S2113" i="1"/>
  <c r="T2113" i="1" s="1"/>
  <c r="S2583" i="1"/>
  <c r="T2583" i="1" s="1"/>
  <c r="S2140" i="1"/>
  <c r="T2140" i="1" s="1"/>
  <c r="S2196" i="1"/>
  <c r="T2196" i="1" s="1"/>
  <c r="S2598" i="1"/>
  <c r="T2598" i="1" s="1"/>
  <c r="S2134" i="1"/>
  <c r="T2134" i="1" s="1"/>
  <c r="S2480" i="1"/>
  <c r="T2480" i="1" s="1"/>
  <c r="S2294" i="1"/>
  <c r="T2294" i="1" s="1"/>
  <c r="R2276" i="1"/>
  <c r="S2034" i="1"/>
  <c r="T2034" i="1" s="1"/>
  <c r="S2077" i="1"/>
  <c r="T2077" i="1" s="1"/>
  <c r="S1988" i="1"/>
  <c r="T1988" i="1" s="1"/>
  <c r="R2187" i="1"/>
  <c r="S2251" i="1"/>
  <c r="T2251" i="1" s="1"/>
  <c r="S2555" i="1"/>
  <c r="T2555" i="1" s="1"/>
  <c r="S2183" i="1"/>
  <c r="S2182" i="1" s="1"/>
  <c r="T2182" i="1" s="1"/>
  <c r="S2330" i="1"/>
  <c r="T2330" i="1" s="1"/>
  <c r="R2460" i="1"/>
  <c r="R2597" i="1"/>
  <c r="S2568" i="1"/>
  <c r="T2568" i="1" s="1"/>
  <c r="S2103" i="1"/>
  <c r="T2103" i="1" s="1"/>
  <c r="S2036" i="1"/>
  <c r="T2036" i="1" s="1"/>
  <c r="S2060" i="1"/>
  <c r="T2060" i="1" s="1"/>
  <c r="S2240" i="1"/>
  <c r="T2240" i="1" s="1"/>
  <c r="S2654" i="1"/>
  <c r="T2654" i="1" s="1"/>
  <c r="T2021" i="1"/>
  <c r="S2020" i="1"/>
  <c r="T2020" i="1" s="1"/>
  <c r="R2076" i="1"/>
  <c r="S2218" i="1"/>
  <c r="T2218" i="1" s="1"/>
  <c r="T2615" i="1"/>
  <c r="S2006" i="1"/>
  <c r="T2006" i="1" s="1"/>
  <c r="S2421" i="1"/>
  <c r="T2421" i="1" s="1"/>
  <c r="T2026" i="1"/>
  <c r="S2188" i="1"/>
  <c r="T2188" i="1" s="1"/>
  <c r="S2267" i="1"/>
  <c r="T2267" i="1" s="1"/>
  <c r="R2148" i="1"/>
  <c r="T2347" i="1"/>
  <c r="S2346" i="1"/>
  <c r="T2346" i="1" s="1"/>
  <c r="S2644" i="1"/>
  <c r="T2644" i="1" s="1"/>
  <c r="S2520" i="1"/>
  <c r="T2520" i="1" s="1"/>
  <c r="T2027" i="1"/>
  <c r="S2571" i="1"/>
  <c r="S2570" i="1" s="1"/>
  <c r="T2570" i="1" s="1"/>
  <c r="T2511" i="1"/>
  <c r="S2510" i="1"/>
  <c r="T2510" i="1" s="1"/>
  <c r="R2191" i="1"/>
  <c r="T2169" i="1"/>
  <c r="S2168" i="1"/>
  <c r="T2168" i="1" s="1"/>
  <c r="T1993" i="1"/>
  <c r="S1992" i="1"/>
  <c r="T1992" i="1" s="1"/>
  <c r="S2042" i="1"/>
  <c r="T2042" i="1" s="1"/>
  <c r="R2496" i="1"/>
  <c r="S2496" i="1"/>
  <c r="T2624" i="1"/>
  <c r="S2623" i="1"/>
  <c r="T2623" i="1" s="1"/>
  <c r="T2003" i="1"/>
  <c r="S2002" i="1"/>
  <c r="T2002" i="1" s="1"/>
  <c r="T2217" i="1"/>
  <c r="S2216" i="1"/>
  <c r="T2216" i="1" s="1"/>
  <c r="R2209" i="1"/>
  <c r="S2209" i="1"/>
  <c r="R2316" i="1"/>
  <c r="S2316" i="1"/>
  <c r="T2523" i="1"/>
  <c r="S2522" i="1"/>
  <c r="T2522" i="1" s="1"/>
  <c r="R2590" i="1"/>
  <c r="S2590" i="1"/>
  <c r="R2205" i="1"/>
  <c r="S2205" i="1"/>
  <c r="T2333" i="1"/>
  <c r="S2332" i="1"/>
  <c r="T2332" i="1" s="1"/>
  <c r="R2456" i="1"/>
  <c r="S2456" i="1"/>
  <c r="R2580" i="1"/>
  <c r="S2580" i="1"/>
  <c r="R2468" i="1"/>
  <c r="S2468" i="1"/>
  <c r="T2179" i="1"/>
  <c r="S2178" i="1"/>
  <c r="T2178" i="1" s="1"/>
  <c r="T2494" i="1"/>
  <c r="S2493" i="1"/>
  <c r="T2493" i="1" s="1"/>
  <c r="T2139" i="1"/>
  <c r="S2138" i="1"/>
  <c r="T2138" i="1" s="1"/>
  <c r="T2393" i="1"/>
  <c r="S2392" i="1"/>
  <c r="T2392" i="1" s="1"/>
  <c r="T2238" i="1"/>
  <c r="S2237" i="1"/>
  <c r="T2237" i="1" s="1"/>
  <c r="R2129" i="1"/>
  <c r="S2129" i="1"/>
  <c r="T2129" i="1" s="1"/>
  <c r="T2395" i="1"/>
  <c r="S2394" i="1"/>
  <c r="T2394" i="1" s="1"/>
  <c r="R1991" i="1"/>
  <c r="S1991" i="1"/>
  <c r="T2069" i="1"/>
  <c r="S2068" i="1"/>
  <c r="T2068" i="1" s="1"/>
  <c r="R1995" i="1"/>
  <c r="S1995" i="1"/>
  <c r="R2397" i="1"/>
  <c r="S2397" i="1"/>
  <c r="R2401" i="1"/>
  <c r="S2401" i="1"/>
  <c r="T2438" i="1"/>
  <c r="S2437" i="1"/>
  <c r="T2437" i="1" s="1"/>
  <c r="R2320" i="1"/>
  <c r="S2320" i="1"/>
  <c r="R2260" i="1"/>
  <c r="O2261" i="1"/>
  <c r="S2260" i="1"/>
  <c r="R2243" i="1"/>
  <c r="S2243" i="1"/>
  <c r="O2244" i="1"/>
  <c r="S2310" i="1"/>
  <c r="R2310" i="1"/>
  <c r="T2314" i="1"/>
  <c r="S2313" i="1"/>
  <c r="T2313" i="1" s="1"/>
  <c r="R2083" i="1"/>
  <c r="S2083" i="1"/>
  <c r="O2084" i="1"/>
  <c r="T2488" i="1"/>
  <c r="S2487" i="1"/>
  <c r="T2487" i="1" s="1"/>
  <c r="S2351" i="1"/>
  <c r="T2351" i="1" s="1"/>
  <c r="R2351" i="1"/>
  <c r="T2639" i="1"/>
  <c r="S2638" i="1"/>
  <c r="T2638" i="1" s="1"/>
  <c r="T2575" i="1"/>
  <c r="S2574" i="1"/>
  <c r="T2574" i="1" s="1"/>
  <c r="R2454" i="1"/>
  <c r="T2652" i="1"/>
  <c r="S2651" i="1"/>
  <c r="T2651" i="1" s="1"/>
  <c r="S2148" i="1"/>
  <c r="T2148" i="1" s="1"/>
  <c r="T2507" i="1"/>
  <c r="S2506" i="1"/>
  <c r="T2506" i="1" s="1"/>
  <c r="S1997" i="1"/>
  <c r="R1997" i="1"/>
  <c r="R2054" i="1"/>
  <c r="O2055" i="1"/>
  <c r="S2054" i="1"/>
  <c r="S2359" i="1"/>
  <c r="R2359" i="1"/>
  <c r="S2628" i="1"/>
  <c r="R2628" i="1"/>
  <c r="R2440" i="1"/>
  <c r="O2441" i="1"/>
  <c r="S2440" i="1"/>
  <c r="R2353" i="1"/>
  <c r="S2353" i="1"/>
  <c r="O2354" i="1"/>
  <c r="T2297" i="1"/>
  <c r="S2296" i="1"/>
  <c r="T2296" i="1" s="1"/>
  <c r="R2364" i="1"/>
  <c r="S2364" i="1"/>
  <c r="O2365" i="1"/>
  <c r="T2389" i="1"/>
  <c r="S2388" i="1"/>
  <c r="T2388" i="1" s="1"/>
  <c r="T2137" i="1"/>
  <c r="S2136" i="1"/>
  <c r="T2136" i="1" s="1"/>
  <c r="T2370" i="1"/>
  <c r="S2369" i="1"/>
  <c r="T2369" i="1" s="1"/>
  <c r="S2144" i="1"/>
  <c r="T2144" i="1" s="1"/>
  <c r="R2144" i="1"/>
  <c r="T2120" i="1"/>
  <c r="S2119" i="1"/>
  <c r="T2119" i="1" s="1"/>
  <c r="T2047" i="1"/>
  <c r="S2046" i="1"/>
  <c r="T2046" i="1" s="1"/>
  <c r="T2109" i="1"/>
  <c r="S2108" i="1"/>
  <c r="T2108" i="1" s="1"/>
  <c r="T2430" i="1"/>
  <c r="S2429" i="1"/>
  <c r="T2429" i="1" s="1"/>
  <c r="R2023" i="1"/>
  <c r="S2023" i="1"/>
  <c r="T2167" i="1"/>
  <c r="S2166" i="1"/>
  <c r="T2166" i="1" s="1"/>
  <c r="S2211" i="1"/>
  <c r="R2211" i="1"/>
  <c r="R2548" i="1"/>
  <c r="S2548" i="1"/>
  <c r="S2236" i="1"/>
  <c r="T2236" i="1" s="1"/>
  <c r="R2236" i="1"/>
  <c r="S2581" i="1"/>
  <c r="T2581" i="1" s="1"/>
  <c r="R2407" i="1"/>
  <c r="S2407" i="1"/>
  <c r="T2476" i="1"/>
  <c r="S2475" i="1"/>
  <c r="T2475" i="1" s="1"/>
  <c r="T2275" i="1"/>
  <c r="S2274" i="1"/>
  <c r="T2274" i="1" s="1"/>
  <c r="T2586" i="1"/>
  <c r="S2585" i="1"/>
  <c r="T2585" i="1" s="1"/>
  <c r="T2462" i="1"/>
  <c r="S2461" i="1"/>
  <c r="T2461" i="1" s="1"/>
  <c r="T1975" i="1"/>
  <c r="S1974" i="1"/>
  <c r="T1974" i="1" s="1"/>
  <c r="R2213" i="1"/>
  <c r="S2213" i="1"/>
  <c r="S2554" i="1"/>
  <c r="R2554" i="1"/>
  <c r="R2100" i="1"/>
  <c r="S2100" i="1"/>
  <c r="R2337" i="1"/>
  <c r="S2337" i="1"/>
  <c r="R2304" i="1"/>
  <c r="S2304" i="1"/>
  <c r="T2427" i="1"/>
  <c r="S2426" i="1"/>
  <c r="T2426" i="1" s="1"/>
  <c r="T2171" i="1"/>
  <c r="S2170" i="1"/>
  <c r="T2170" i="1" s="1"/>
  <c r="T2051" i="1"/>
  <c r="S2050" i="1"/>
  <c r="T2050" i="1" s="1"/>
  <c r="T2235" i="1"/>
  <c r="S2234" i="1"/>
  <c r="T2234" i="1" s="1"/>
  <c r="T2452" i="1"/>
  <c r="S2451" i="1"/>
  <c r="T2451" i="1" s="1"/>
  <c r="T2391" i="1"/>
  <c r="S2390" i="1"/>
  <c r="T2390" i="1" s="1"/>
  <c r="S2403" i="1"/>
  <c r="R2403" i="1"/>
  <c r="S2409" i="1"/>
  <c r="R2409" i="1"/>
  <c r="R2546" i="1"/>
  <c r="S2546" i="1"/>
  <c r="R1999" i="1"/>
  <c r="S1999" i="1"/>
  <c r="T2596" i="1"/>
  <c r="S2595" i="1"/>
  <c r="T2595" i="1" s="1"/>
  <c r="T2248" i="1"/>
  <c r="S2247" i="1"/>
  <c r="T2247" i="1" s="1"/>
  <c r="T2436" i="1"/>
  <c r="S2435" i="1"/>
  <c r="T2435" i="1" s="1"/>
  <c r="T2118" i="1"/>
  <c r="S2117" i="1"/>
  <c r="T2117" i="1" s="1"/>
  <c r="T2066" i="1"/>
  <c r="S2065" i="1"/>
  <c r="T2065" i="1" s="1"/>
  <c r="R2339" i="1"/>
  <c r="S2339" i="1"/>
  <c r="O2340" i="1"/>
  <c r="O2341" i="1" s="1"/>
  <c r="O2342" i="1" s="1"/>
  <c r="R2449" i="1"/>
  <c r="S2449" i="1"/>
  <c r="R2059" i="1"/>
  <c r="S2059" i="1"/>
  <c r="T1979" i="1"/>
  <c r="S1978" i="1"/>
  <c r="T1978" i="1" s="1"/>
  <c r="R2161" i="1"/>
  <c r="S2161" i="1"/>
  <c r="R2203" i="1"/>
  <c r="S2203" i="1"/>
  <c r="T2478" i="1"/>
  <c r="S2477" i="1"/>
  <c r="T2477" i="1" s="1"/>
  <c r="R2484" i="1"/>
  <c r="S2484" i="1"/>
  <c r="R2010" i="1"/>
  <c r="O2011" i="1"/>
  <c r="S2010" i="1"/>
  <c r="T2513" i="1"/>
  <c r="S2512" i="1"/>
  <c r="T2512" i="1" s="1"/>
  <c r="T2308" i="1"/>
  <c r="S2307" i="1"/>
  <c r="T2307" i="1" s="1"/>
  <c r="T2312" i="1"/>
  <c r="S2311" i="1"/>
  <c r="T2311" i="1" s="1"/>
  <c r="T2509" i="1"/>
  <c r="S2508" i="1"/>
  <c r="T2508" i="1" s="1"/>
  <c r="T2405" i="1"/>
  <c r="S2404" i="1"/>
  <c r="T2404" i="1" s="1"/>
  <c r="S2577" i="1"/>
  <c r="T2577" i="1" s="1"/>
  <c r="T2578" i="1"/>
  <c r="T2131" i="1"/>
  <c r="S2130" i="1"/>
  <c r="T2130" i="1" s="1"/>
  <c r="R2464" i="1"/>
  <c r="S2464" i="1"/>
  <c r="T2472" i="1"/>
  <c r="S2471" i="1"/>
  <c r="T2471" i="1" s="1"/>
  <c r="T2039" i="1"/>
  <c r="S2038" i="1"/>
  <c r="T2038" i="1" s="1"/>
  <c r="R2361" i="1"/>
  <c r="S2361" i="1"/>
  <c r="O2362" i="1"/>
  <c r="T1983" i="1"/>
  <c r="S1982" i="1"/>
  <c r="T1982" i="1" s="1"/>
  <c r="R2430" i="1"/>
  <c r="O2431" i="1"/>
  <c r="R2016" i="1"/>
  <c r="S2016" i="1"/>
  <c r="R2641" i="1"/>
  <c r="S2641" i="1"/>
  <c r="S2418" i="1"/>
  <c r="R2418" i="1"/>
  <c r="S2420" i="1"/>
  <c r="R2420" i="1"/>
  <c r="T2005" i="1"/>
  <c r="S2004" i="1"/>
  <c r="T2004" i="1" s="1"/>
  <c r="T2525" i="1"/>
  <c r="S2524" i="1"/>
  <c r="T2524" i="1" s="1"/>
  <c r="S2226" i="1"/>
  <c r="S2335" i="1"/>
  <c r="R2133" i="1"/>
  <c r="S2133" i="1"/>
  <c r="T2133" i="1" s="1"/>
  <c r="T2501" i="1"/>
  <c r="S2500" i="1"/>
  <c r="T2500" i="1" s="1"/>
  <c r="R2368" i="1"/>
  <c r="S2368" i="1"/>
  <c r="T2368" i="1" s="1"/>
  <c r="T2199" i="1"/>
  <c r="S2198" i="1"/>
  <c r="T2198" i="1" s="1"/>
  <c r="T2322" i="1"/>
  <c r="S2321" i="1"/>
  <c r="T2321" i="1" s="1"/>
  <c r="T2375" i="1"/>
  <c r="S2374" i="1"/>
  <c r="T2374" i="1" s="1"/>
  <c r="R2414" i="1"/>
  <c r="S2414" i="1"/>
  <c r="T2414" i="1" s="1"/>
  <c r="T2191" i="1"/>
  <c r="S2190" i="1"/>
  <c r="T2190" i="1" s="1"/>
  <c r="T2195" i="1"/>
  <c r="S2194" i="1"/>
  <c r="T2194" i="1" s="1"/>
  <c r="S2444" i="1"/>
  <c r="T2444" i="1" s="1"/>
  <c r="R2444" i="1"/>
  <c r="R2345" i="1"/>
  <c r="S2345" i="1"/>
  <c r="T2345" i="1" s="1"/>
  <c r="T2207" i="1"/>
  <c r="S2206" i="1"/>
  <c r="T2206" i="1" s="1"/>
  <c r="S2373" i="1"/>
  <c r="S2588" i="1"/>
  <c r="T2413" i="1"/>
  <c r="S2412" i="1"/>
  <c r="T2412" i="1" s="1"/>
  <c r="R2064" i="1"/>
  <c r="S2064" i="1"/>
  <c r="T2064" i="1" s="1"/>
  <c r="T2318" i="1"/>
  <c r="S2317" i="1"/>
  <c r="T2317" i="1" s="1"/>
  <c r="S2622" i="1"/>
  <c r="T2030" i="1"/>
  <c r="S2029" i="1"/>
  <c r="T2029" i="1" s="1"/>
  <c r="T2387" i="1"/>
  <c r="S2386" i="1"/>
  <c r="T2386" i="1" s="1"/>
  <c r="R2227" i="1"/>
  <c r="S2227" i="1"/>
  <c r="T2227" i="1" s="1"/>
  <c r="T2301" i="1"/>
  <c r="S2300" i="1"/>
  <c r="T2300" i="1" s="1"/>
  <c r="S2550" i="1"/>
  <c r="T2443" i="1"/>
  <c r="S2442" i="1"/>
  <c r="T2442" i="1" s="1"/>
  <c r="S2221" i="1"/>
  <c r="S2344" i="1"/>
  <c r="S2490" i="1"/>
  <c r="O2561" i="1"/>
  <c r="O2562" i="1" s="1"/>
  <c r="S2063" i="1"/>
  <c r="T2013" i="1"/>
  <c r="S2012" i="1"/>
  <c r="T2012" i="1" s="1"/>
  <c r="O2618" i="1"/>
  <c r="O2619" i="1" s="1"/>
  <c r="O2620" i="1" s="1"/>
  <c r="R2128" i="1"/>
  <c r="S2128" i="1"/>
  <c r="T2128" i="1" s="1"/>
  <c r="T2263" i="1"/>
  <c r="S2262" i="1"/>
  <c r="T2262" i="1" s="1"/>
  <c r="R2381" i="1"/>
  <c r="S2381" i="1"/>
  <c r="O2268" i="1"/>
  <c r="O2269" i="1" s="1"/>
  <c r="O2270" i="1" s="1"/>
  <c r="S2270" i="1" s="1"/>
  <c r="T2270" i="1" s="1"/>
  <c r="R2434" i="1"/>
  <c r="S2434" i="1"/>
  <c r="T2434" i="1" s="1"/>
  <c r="T2231" i="1"/>
  <c r="S2230" i="1"/>
  <c r="T2230" i="1" s="1"/>
  <c r="T2233" i="1"/>
  <c r="S2232" i="1"/>
  <c r="T2232" i="1" s="1"/>
  <c r="S2149" i="1"/>
  <c r="T2149" i="1" s="1"/>
  <c r="S2074" i="1"/>
  <c r="T2592" i="1"/>
  <c r="S2591" i="1"/>
  <c r="T2591" i="1" s="1"/>
  <c r="T2215" i="1"/>
  <c r="S2214" i="1"/>
  <c r="T2214" i="1" s="1"/>
  <c r="R2264" i="1"/>
  <c r="S2264" i="1"/>
  <c r="T2264" i="1" s="1"/>
  <c r="T2424" i="1"/>
  <c r="S2423" i="1"/>
  <c r="T2423" i="1" s="1"/>
  <c r="T2187" i="1"/>
  <c r="S2186" i="1"/>
  <c r="T2186" i="1" s="1"/>
  <c r="S2499" i="1"/>
  <c r="T2433" i="1"/>
  <c r="S2432" i="1"/>
  <c r="T2432" i="1" s="1"/>
  <c r="T2517" i="1"/>
  <c r="S2516" i="1"/>
  <c r="T2516" i="1" s="1"/>
  <c r="R2290" i="1"/>
  <c r="S2290" i="1"/>
  <c r="R2453" i="1"/>
  <c r="S2453" i="1"/>
  <c r="T2453" i="1" s="1"/>
  <c r="T2325" i="1"/>
  <c r="S2324" i="1"/>
  <c r="T2324" i="1" s="1"/>
  <c r="S2379" i="1"/>
  <c r="T2328" i="1"/>
  <c r="S2327" i="1"/>
  <c r="T2327" i="1" s="1"/>
  <c r="T2377" i="1"/>
  <c r="S2376" i="1"/>
  <c r="T2376" i="1" s="1"/>
  <c r="R2147" i="1"/>
  <c r="S2291" i="1"/>
  <c r="T2291" i="1" s="1"/>
  <c r="S2503" i="1"/>
  <c r="T2558" i="1"/>
  <c r="S2557" i="1"/>
  <c r="T2557" i="1" s="1"/>
  <c r="R2357" i="1"/>
  <c r="S2357" i="1"/>
  <c r="T2357" i="1" s="1"/>
  <c r="T2367" i="1"/>
  <c r="S2366" i="1"/>
  <c r="T2366" i="1" s="1"/>
  <c r="R2224" i="1"/>
  <c r="S2224" i="1"/>
  <c r="T2224" i="1" s="1"/>
  <c r="S2326" i="1"/>
  <c r="T2326" i="1" s="1"/>
  <c r="R2326" i="1"/>
  <c r="T2650" i="1"/>
  <c r="S2649" i="1"/>
  <c r="T2649" i="1" s="1"/>
  <c r="R2258" i="1"/>
  <c r="S2258" i="1"/>
  <c r="T2258" i="1" s="1"/>
  <c r="T2492" i="1"/>
  <c r="S2491" i="1"/>
  <c r="T2491" i="1" s="1"/>
  <c r="S2153" i="1"/>
  <c r="T2255" i="1"/>
  <c r="S2254" i="1"/>
  <c r="T2254" i="1" s="1"/>
  <c r="S1987" i="1"/>
  <c r="S2122" i="1"/>
  <c r="T2356" i="1"/>
  <c r="S2355" i="1"/>
  <c r="T2355" i="1" s="1"/>
  <c r="O2156" i="1"/>
  <c r="R2155" i="1"/>
  <c r="S2155" i="1"/>
  <c r="T2635" i="1"/>
  <c r="S2634" i="1"/>
  <c r="T2634" i="1" s="1"/>
  <c r="S2223" i="1"/>
  <c r="T2626" i="1"/>
  <c r="S2625" i="1"/>
  <c r="T2625" i="1" s="1"/>
  <c r="T2146" i="1"/>
  <c r="S2145" i="1"/>
  <c r="T2145" i="1" s="1"/>
  <c r="T2460" i="1"/>
  <c r="S2459" i="1"/>
  <c r="T2459" i="1" s="1"/>
  <c r="R2323" i="1"/>
  <c r="S2323" i="1"/>
  <c r="T2323" i="1" s="1"/>
  <c r="S2257" i="1"/>
  <c r="S2124" i="1"/>
  <c r="T2273" i="1"/>
  <c r="S2272" i="1"/>
  <c r="T2272" i="1" s="1"/>
  <c r="T2076" i="1"/>
  <c r="S2075" i="1"/>
  <c r="T2075" i="1" s="1"/>
  <c r="T2072" i="1"/>
  <c r="S2071" i="1"/>
  <c r="T2071" i="1" s="1"/>
  <c r="BA65" i="1"/>
  <c r="AD734" i="1" l="1"/>
  <c r="AP734" i="1" s="1"/>
  <c r="AD740" i="1"/>
  <c r="AP740" i="1" s="1"/>
  <c r="AD745" i="1"/>
  <c r="AP745" i="1" s="1"/>
  <c r="AD739" i="1"/>
  <c r="AP739" i="1" s="1"/>
  <c r="AD741" i="1"/>
  <c r="AP741" i="1" s="1"/>
  <c r="AD744" i="1"/>
  <c r="AP744" i="1" s="1"/>
  <c r="AD730" i="1"/>
  <c r="AP730" i="1" s="1"/>
  <c r="AD733" i="1"/>
  <c r="AP733" i="1" s="1"/>
  <c r="AD736" i="1"/>
  <c r="AP736" i="1" s="1"/>
  <c r="AD743" i="1"/>
  <c r="AP743" i="1" s="1"/>
  <c r="AD735" i="1"/>
  <c r="AP735" i="1" s="1"/>
  <c r="AD742" i="1"/>
  <c r="AP742" i="1" s="1"/>
  <c r="AD731" i="1"/>
  <c r="AP731" i="1" s="1"/>
  <c r="AD729" i="1"/>
  <c r="AP729" i="1" s="1"/>
  <c r="AD738" i="1"/>
  <c r="AP738" i="1" s="1"/>
  <c r="AD732" i="1"/>
  <c r="AP732" i="1" s="1"/>
  <c r="AM737" i="1"/>
  <c r="AP737" i="1"/>
  <c r="T2486" i="1"/>
  <c r="S6944" i="1"/>
  <c r="T6944" i="1" s="1"/>
  <c r="R6944" i="1"/>
  <c r="S7024" i="1"/>
  <c r="T7024" i="1" s="1"/>
  <c r="R7024" i="1"/>
  <c r="S7155" i="1"/>
  <c r="T7155" i="1" s="1"/>
  <c r="R7155" i="1"/>
  <c r="S7082" i="1"/>
  <c r="T7082" i="1" s="1"/>
  <c r="T7083" i="1"/>
  <c r="S7147" i="1"/>
  <c r="T7147" i="1" s="1"/>
  <c r="T7148" i="1"/>
  <c r="S7138" i="1"/>
  <c r="T7138" i="1" s="1"/>
  <c r="T7139" i="1"/>
  <c r="O7156" i="1"/>
  <c r="O6945" i="1"/>
  <c r="T2175" i="1"/>
  <c r="R2659" i="1"/>
  <c r="O2660" i="1"/>
  <c r="S2659" i="1"/>
  <c r="T2659" i="1" s="1"/>
  <c r="T2658" i="1"/>
  <c r="S2657" i="1"/>
  <c r="T2657" i="1" s="1"/>
  <c r="R2829" i="1"/>
  <c r="S2829" i="1"/>
  <c r="T2829" i="1" s="1"/>
  <c r="T2815" i="1"/>
  <c r="S2814" i="1"/>
  <c r="T2814" i="1" s="1"/>
  <c r="O2884" i="1"/>
  <c r="O2824" i="1"/>
  <c r="R2823" i="1"/>
  <c r="S2823" i="1"/>
  <c r="T2823" i="1" s="1"/>
  <c r="O2818" i="1"/>
  <c r="R2817" i="1"/>
  <c r="S2817" i="1"/>
  <c r="T2817" i="1" s="1"/>
  <c r="R2800" i="1"/>
  <c r="S2800" i="1"/>
  <c r="T2800" i="1" s="1"/>
  <c r="O2801" i="1"/>
  <c r="O2726" i="1"/>
  <c r="R2725" i="1"/>
  <c r="S2725" i="1"/>
  <c r="T2725" i="1" s="1"/>
  <c r="S2797" i="1"/>
  <c r="T2797" i="1" s="1"/>
  <c r="T2799" i="1"/>
  <c r="T2836" i="1"/>
  <c r="S2835" i="1"/>
  <c r="T2835" i="1" s="1"/>
  <c r="R2750" i="1"/>
  <c r="O2751" i="1"/>
  <c r="S2750" i="1"/>
  <c r="T2750" i="1" s="1"/>
  <c r="T2827" i="1"/>
  <c r="S2826" i="1"/>
  <c r="T2826" i="1" s="1"/>
  <c r="O2920" i="1"/>
  <c r="R2919" i="1"/>
  <c r="S2919" i="1"/>
  <c r="T2919" i="1" s="1"/>
  <c r="R2808" i="1"/>
  <c r="S2808" i="1"/>
  <c r="T2808" i="1" s="1"/>
  <c r="AM742" i="1"/>
  <c r="S2147" i="1"/>
  <c r="T2147" i="1" s="1"/>
  <c r="T2821" i="1"/>
  <c r="AM736" i="1"/>
  <c r="AM733" i="1"/>
  <c r="AM730" i="1"/>
  <c r="AM734" i="1"/>
  <c r="AM729" i="1"/>
  <c r="AM741" i="1"/>
  <c r="AM731" i="1"/>
  <c r="AM739" i="1"/>
  <c r="AM743" i="1"/>
  <c r="AM745" i="1"/>
  <c r="AM735" i="1"/>
  <c r="AM740" i="1"/>
  <c r="AM744" i="1"/>
  <c r="AM738" i="1"/>
  <c r="AM732" i="1"/>
  <c r="R2855" i="1"/>
  <c r="S2855" i="1"/>
  <c r="O2863" i="1"/>
  <c r="S2830" i="1"/>
  <c r="T2830" i="1" s="1"/>
  <c r="R2830" i="1"/>
  <c r="R2749" i="1"/>
  <c r="S2749" i="1"/>
  <c r="O2912" i="1"/>
  <c r="O2913" i="1" s="1"/>
  <c r="R2918" i="1"/>
  <c r="S2918" i="1"/>
  <c r="R2724" i="1"/>
  <c r="X4" i="1"/>
  <c r="Y4" i="1" s="1"/>
  <c r="W5" i="1"/>
  <c r="R2809" i="1"/>
  <c r="S2809" i="1"/>
  <c r="T2809" i="1" s="1"/>
  <c r="O2837" i="1"/>
  <c r="O2838" i="1" s="1"/>
  <c r="O2839" i="1" s="1"/>
  <c r="S2447" i="1"/>
  <c r="T2447" i="1" s="1"/>
  <c r="AB731" i="1"/>
  <c r="AB744" i="1"/>
  <c r="AB742" i="1"/>
  <c r="AB737" i="1"/>
  <c r="AB740" i="1"/>
  <c r="AB734" i="1"/>
  <c r="AB745" i="1"/>
  <c r="AB732" i="1"/>
  <c r="AB739" i="1"/>
  <c r="AB736" i="1"/>
  <c r="AB741" i="1"/>
  <c r="AB729" i="1"/>
  <c r="AB730" i="1"/>
  <c r="AB738" i="1"/>
  <c r="AB735" i="1"/>
  <c r="AB743" i="1"/>
  <c r="AB733" i="1"/>
  <c r="S2033" i="1"/>
  <c r="T2033" i="1" s="1"/>
  <c r="S2305" i="1"/>
  <c r="T2305" i="1" s="1"/>
  <c r="S2014" i="1"/>
  <c r="T2014" i="1" s="1"/>
  <c r="R2329" i="1"/>
  <c r="S2031" i="1"/>
  <c r="T2031" i="1" s="1"/>
  <c r="S2445" i="1"/>
  <c r="T2445" i="1" s="1"/>
  <c r="F38" i="7"/>
  <c r="F24" i="7"/>
  <c r="F25" i="7"/>
  <c r="Q3" i="7"/>
  <c r="P4" i="7"/>
  <c r="D32" i="7"/>
  <c r="C35" i="7"/>
  <c r="C37" i="7" s="1"/>
  <c r="E20" i="7"/>
  <c r="C30" i="7"/>
  <c r="C41" i="7"/>
  <c r="C42" i="7" s="1"/>
  <c r="D9" i="7"/>
  <c r="D34" i="7"/>
  <c r="F19" i="7"/>
  <c r="I27" i="7"/>
  <c r="D13" i="7"/>
  <c r="D14" i="7"/>
  <c r="I11" i="7"/>
  <c r="H5" i="7"/>
  <c r="G6" i="7"/>
  <c r="G40" i="7"/>
  <c r="C16" i="7"/>
  <c r="C17" i="7" s="1"/>
  <c r="C33" i="7"/>
  <c r="F4" i="7"/>
  <c r="E12" i="7"/>
  <c r="E28" i="7"/>
  <c r="E29" i="7" s="1"/>
  <c r="E8" i="7"/>
  <c r="T2183" i="1"/>
  <c r="S2479" i="1"/>
  <c r="T2479" i="1" s="1"/>
  <c r="A76" i="4"/>
  <c r="S2457" i="1"/>
  <c r="T2457" i="1" s="1"/>
  <c r="S2653" i="1"/>
  <c r="T2653" i="1" s="1"/>
  <c r="T2571" i="1"/>
  <c r="R2342" i="1"/>
  <c r="S2342" i="1"/>
  <c r="T2342" i="1" s="1"/>
  <c r="T2496" i="1"/>
  <c r="S2495" i="1"/>
  <c r="T2495" i="1" s="1"/>
  <c r="T2257" i="1"/>
  <c r="S2256" i="1"/>
  <c r="T2256" i="1" s="1"/>
  <c r="T2381" i="1"/>
  <c r="S2380" i="1"/>
  <c r="T2380" i="1" s="1"/>
  <c r="T2361" i="1"/>
  <c r="S2360" i="1"/>
  <c r="T2360" i="1" s="1"/>
  <c r="T2339" i="1"/>
  <c r="S2338" i="1"/>
  <c r="T2338" i="1" s="1"/>
  <c r="T2337" i="1"/>
  <c r="S2336" i="1"/>
  <c r="T2336" i="1" s="1"/>
  <c r="R2354" i="1"/>
  <c r="S2354" i="1"/>
  <c r="T2354" i="1" s="1"/>
  <c r="T2223" i="1"/>
  <c r="S2222" i="1"/>
  <c r="T2222" i="1" s="1"/>
  <c r="T2153" i="1"/>
  <c r="S2152" i="1"/>
  <c r="T2152" i="1" s="1"/>
  <c r="T2499" i="1"/>
  <c r="S2498" i="1"/>
  <c r="T2498" i="1" s="1"/>
  <c r="T2344" i="1"/>
  <c r="S2343" i="1"/>
  <c r="T2343" i="1" s="1"/>
  <c r="T2016" i="1"/>
  <c r="S2015" i="1"/>
  <c r="T2015" i="1" s="1"/>
  <c r="T2484" i="1"/>
  <c r="S2483" i="1"/>
  <c r="T2483" i="1" s="1"/>
  <c r="T2213" i="1"/>
  <c r="S2212" i="1"/>
  <c r="T2212" i="1" s="1"/>
  <c r="S2022" i="1"/>
  <c r="T2022" i="1" s="1"/>
  <c r="T2023" i="1"/>
  <c r="T2353" i="1"/>
  <c r="S2352" i="1"/>
  <c r="T2352" i="1" s="1"/>
  <c r="T2359" i="1"/>
  <c r="S2358" i="1"/>
  <c r="T2358" i="1" s="1"/>
  <c r="T2401" i="1"/>
  <c r="S2400" i="1"/>
  <c r="T2400" i="1" s="1"/>
  <c r="T1991" i="1"/>
  <c r="S1990" i="1"/>
  <c r="T1990" i="1" s="1"/>
  <c r="T2122" i="1"/>
  <c r="S2121" i="1"/>
  <c r="T2121" i="1" s="1"/>
  <c r="T2550" i="1"/>
  <c r="S2549" i="1"/>
  <c r="T2549" i="1" s="1"/>
  <c r="T2622" i="1"/>
  <c r="S2621" i="1"/>
  <c r="T2621" i="1" s="1"/>
  <c r="T2588" i="1"/>
  <c r="S2587" i="1"/>
  <c r="T2587" i="1" s="1"/>
  <c r="T2100" i="1"/>
  <c r="S2099" i="1"/>
  <c r="T2099" i="1" s="1"/>
  <c r="T2054" i="1"/>
  <c r="S2053" i="1"/>
  <c r="T2053" i="1" s="1"/>
  <c r="S2259" i="1"/>
  <c r="T2259" i="1" s="1"/>
  <c r="T2260" i="1"/>
  <c r="T2316" i="1"/>
  <c r="S2315" i="1"/>
  <c r="T2315" i="1" s="1"/>
  <c r="T2290" i="1"/>
  <c r="S2289" i="1"/>
  <c r="T2289" i="1" s="1"/>
  <c r="S2562" i="1"/>
  <c r="T2562" i="1" s="1"/>
  <c r="O2563" i="1"/>
  <c r="R2562" i="1"/>
  <c r="T2221" i="1"/>
  <c r="S2220" i="1"/>
  <c r="T2220" i="1" s="1"/>
  <c r="T2335" i="1"/>
  <c r="S2334" i="1"/>
  <c r="T2334" i="1" s="1"/>
  <c r="R2431" i="1"/>
  <c r="S2431" i="1"/>
  <c r="T2431" i="1" s="1"/>
  <c r="S2058" i="1"/>
  <c r="T2058" i="1" s="1"/>
  <c r="T2059" i="1"/>
  <c r="T2409" i="1"/>
  <c r="S2408" i="1"/>
  <c r="T2408" i="1" s="1"/>
  <c r="T2548" i="1"/>
  <c r="S2547" i="1"/>
  <c r="T2547" i="1" s="1"/>
  <c r="S2365" i="1"/>
  <c r="T2365" i="1" s="1"/>
  <c r="R2365" i="1"/>
  <c r="T2440" i="1"/>
  <c r="S2439" i="1"/>
  <c r="T2439" i="1" s="1"/>
  <c r="S2055" i="1"/>
  <c r="T2055" i="1" s="1"/>
  <c r="R2055" i="1"/>
  <c r="S2261" i="1"/>
  <c r="T2261" i="1" s="1"/>
  <c r="R2261" i="1"/>
  <c r="T2397" i="1"/>
  <c r="S2396" i="1"/>
  <c r="T2396" i="1" s="1"/>
  <c r="T2468" i="1"/>
  <c r="S2467" i="1"/>
  <c r="T2467" i="1" s="1"/>
  <c r="T2205" i="1"/>
  <c r="S2204" i="1"/>
  <c r="T2204" i="1" s="1"/>
  <c r="T1987" i="1"/>
  <c r="S1986" i="1"/>
  <c r="T1986" i="1" s="1"/>
  <c r="R2270" i="1"/>
  <c r="O2271" i="1"/>
  <c r="T2373" i="1"/>
  <c r="S2372" i="1"/>
  <c r="T2372" i="1" s="1"/>
  <c r="S2419" i="1"/>
  <c r="T2419" i="1" s="1"/>
  <c r="T2420" i="1"/>
  <c r="S1998" i="1"/>
  <c r="T1998" i="1" s="1"/>
  <c r="T1999" i="1"/>
  <c r="S2363" i="1"/>
  <c r="T2363" i="1" s="1"/>
  <c r="T2364" i="1"/>
  <c r="S2441" i="1"/>
  <c r="T2441" i="1" s="1"/>
  <c r="R2441" i="1"/>
  <c r="T2310" i="1"/>
  <c r="S2309" i="1"/>
  <c r="T2309" i="1" s="1"/>
  <c r="T2124" i="1"/>
  <c r="S2123" i="1"/>
  <c r="T2123" i="1" s="1"/>
  <c r="T2155" i="1"/>
  <c r="S2154" i="1"/>
  <c r="T2154" i="1" s="1"/>
  <c r="T2503" i="1"/>
  <c r="S2502" i="1"/>
  <c r="T2502" i="1" s="1"/>
  <c r="T2379" i="1"/>
  <c r="S2378" i="1"/>
  <c r="T2378" i="1" s="1"/>
  <c r="S2269" i="1"/>
  <c r="T2269" i="1" s="1"/>
  <c r="T2226" i="1"/>
  <c r="S2225" i="1"/>
  <c r="T2225" i="1" s="1"/>
  <c r="T2203" i="1"/>
  <c r="S2202" i="1"/>
  <c r="T2202" i="1" s="1"/>
  <c r="S2448" i="1"/>
  <c r="T2448" i="1" s="1"/>
  <c r="T2449" i="1"/>
  <c r="T2554" i="1"/>
  <c r="S2553" i="1"/>
  <c r="T2553" i="1" s="1"/>
  <c r="S2244" i="1"/>
  <c r="T2244" i="1" s="1"/>
  <c r="R2244" i="1"/>
  <c r="T2320" i="1"/>
  <c r="S2319" i="1"/>
  <c r="T2319" i="1" s="1"/>
  <c r="T1995" i="1"/>
  <c r="S1994" i="1"/>
  <c r="T1994" i="1" s="1"/>
  <c r="T2580" i="1"/>
  <c r="S2579" i="1"/>
  <c r="T2579" i="1" s="1"/>
  <c r="T2590" i="1"/>
  <c r="S2589" i="1"/>
  <c r="T2589" i="1" s="1"/>
  <c r="T2209" i="1"/>
  <c r="S2208" i="1"/>
  <c r="T2208" i="1" s="1"/>
  <c r="R2269" i="1"/>
  <c r="T2418" i="1"/>
  <c r="S2417" i="1"/>
  <c r="T2417" i="1" s="1"/>
  <c r="T2464" i="1"/>
  <c r="S2463" i="1"/>
  <c r="T2463" i="1" s="1"/>
  <c r="S2009" i="1"/>
  <c r="T2009" i="1" s="1"/>
  <c r="T2010" i="1"/>
  <c r="T2546" i="1"/>
  <c r="S2545" i="1"/>
  <c r="T2545" i="1" s="1"/>
  <c r="T2304" i="1"/>
  <c r="S2303" i="1"/>
  <c r="T2303" i="1" s="1"/>
  <c r="T2407" i="1"/>
  <c r="S2406" i="1"/>
  <c r="T2406" i="1" s="1"/>
  <c r="T2211" i="1"/>
  <c r="S2210" i="1"/>
  <c r="T2210" i="1" s="1"/>
  <c r="T1997" i="1"/>
  <c r="S1996" i="1"/>
  <c r="T1996" i="1" s="1"/>
  <c r="R2084" i="1"/>
  <c r="S2084" i="1"/>
  <c r="T2084" i="1" s="1"/>
  <c r="T2243" i="1"/>
  <c r="S2242" i="1"/>
  <c r="T2242" i="1" s="1"/>
  <c r="T2074" i="1"/>
  <c r="S2073" i="1"/>
  <c r="T2073" i="1" s="1"/>
  <c r="T2063" i="1"/>
  <c r="S2062" i="1"/>
  <c r="T2062" i="1" s="1"/>
  <c r="T2490" i="1"/>
  <c r="S2489" i="1"/>
  <c r="T2489" i="1" s="1"/>
  <c r="S2640" i="1"/>
  <c r="T2640" i="1" s="1"/>
  <c r="T2641" i="1"/>
  <c r="S2362" i="1"/>
  <c r="T2362" i="1" s="1"/>
  <c r="R2362" i="1"/>
  <c r="R2011" i="1"/>
  <c r="S2011" i="1"/>
  <c r="T2011" i="1" s="1"/>
  <c r="T2161" i="1"/>
  <c r="S2160" i="1"/>
  <c r="T2160" i="1" s="1"/>
  <c r="S2340" i="1"/>
  <c r="T2340" i="1" s="1"/>
  <c r="R2340" i="1"/>
  <c r="T2403" i="1"/>
  <c r="S2402" i="1"/>
  <c r="T2402" i="1" s="1"/>
  <c r="T2628" i="1"/>
  <c r="S2627" i="1"/>
  <c r="T2627" i="1" s="1"/>
  <c r="T2083" i="1"/>
  <c r="S2082" i="1"/>
  <c r="T2082" i="1" s="1"/>
  <c r="T2456" i="1"/>
  <c r="S2455" i="1"/>
  <c r="T2455" i="1" s="1"/>
  <c r="R2341" i="1"/>
  <c r="S2341" i="1"/>
  <c r="T2341" i="1" s="1"/>
  <c r="R2156" i="1"/>
  <c r="S2156" i="1"/>
  <c r="T2156" i="1" s="1"/>
  <c r="R2268" i="1"/>
  <c r="O2608" i="1"/>
  <c r="O2609" i="1" s="1"/>
  <c r="R2561" i="1"/>
  <c r="S2561" i="1"/>
  <c r="T2561" i="1" s="1"/>
  <c r="O2630" i="1"/>
  <c r="O2631" i="1" s="1"/>
  <c r="O2632" i="1" s="1"/>
  <c r="O2633" i="1" s="1"/>
  <c r="O2382" i="1"/>
  <c r="O2383" i="1" s="1"/>
  <c r="O2604" i="1"/>
  <c r="BE56" i="1"/>
  <c r="BE60" i="1"/>
  <c r="BE29" i="1"/>
  <c r="BE39" i="1"/>
  <c r="BE58" i="1"/>
  <c r="BE28" i="1"/>
  <c r="BE48" i="1"/>
  <c r="BE59" i="1"/>
  <c r="BE37" i="1"/>
  <c r="BE43" i="1"/>
  <c r="BE23" i="1"/>
  <c r="BE9" i="1"/>
  <c r="BE55" i="1"/>
  <c r="BE30" i="1"/>
  <c r="BE33" i="1"/>
  <c r="BE14" i="1"/>
  <c r="BE27" i="1"/>
  <c r="BE63" i="1"/>
  <c r="BE51" i="1"/>
  <c r="BE35" i="1"/>
  <c r="BE38" i="1"/>
  <c r="BE34" i="1"/>
  <c r="BE68" i="1"/>
  <c r="BE13" i="1"/>
  <c r="BE10" i="1"/>
  <c r="BE61" i="1"/>
  <c r="BE47" i="1"/>
  <c r="BE53" i="1"/>
  <c r="BE21" i="1"/>
  <c r="BE20" i="1"/>
  <c r="BE18" i="1"/>
  <c r="BE31" i="1"/>
  <c r="BE15" i="1"/>
  <c r="BE42" i="1"/>
  <c r="S6945" i="1" l="1"/>
  <c r="T6945" i="1" s="1"/>
  <c r="R6945" i="1"/>
  <c r="S7156" i="1"/>
  <c r="T7156" i="1" s="1"/>
  <c r="R7156" i="1"/>
  <c r="O6946" i="1"/>
  <c r="O7157" i="1"/>
  <c r="R2660" i="1"/>
  <c r="S2660" i="1"/>
  <c r="T2660" i="1" s="1"/>
  <c r="S2724" i="1"/>
  <c r="T2724" i="1" s="1"/>
  <c r="S2838" i="1"/>
  <c r="T2838" i="1" s="1"/>
  <c r="R2726" i="1"/>
  <c r="S2726" i="1"/>
  <c r="T2726" i="1" s="1"/>
  <c r="O2727" i="1"/>
  <c r="R2839" i="1"/>
  <c r="O2840" i="1"/>
  <c r="S2839" i="1"/>
  <c r="T2839" i="1" s="1"/>
  <c r="T2855" i="1"/>
  <c r="S2854" i="1"/>
  <c r="T2854" i="1" s="1"/>
  <c r="R2801" i="1"/>
  <c r="S2801" i="1"/>
  <c r="T2801" i="1" s="1"/>
  <c r="O2802" i="1"/>
  <c r="S2824" i="1"/>
  <c r="R2824" i="1"/>
  <c r="O2825" i="1"/>
  <c r="O2914" i="1"/>
  <c r="R2913" i="1"/>
  <c r="S2913" i="1"/>
  <c r="T2913" i="1" s="1"/>
  <c r="O2885" i="1"/>
  <c r="R2884" i="1"/>
  <c r="O2921" i="1"/>
  <c r="R2920" i="1"/>
  <c r="S2920" i="1"/>
  <c r="T2920" i="1" s="1"/>
  <c r="T2749" i="1"/>
  <c r="S2748" i="1"/>
  <c r="T2918" i="1"/>
  <c r="S2917" i="1"/>
  <c r="T2917" i="1" s="1"/>
  <c r="R2818" i="1"/>
  <c r="S2818" i="1"/>
  <c r="T2818" i="1" s="1"/>
  <c r="O2819" i="1"/>
  <c r="R2838" i="1"/>
  <c r="O2752" i="1"/>
  <c r="R2751" i="1"/>
  <c r="S2751" i="1"/>
  <c r="T2751" i="1" s="1"/>
  <c r="S2912" i="1"/>
  <c r="S2911" i="1" s="1"/>
  <c r="T2911" i="1" s="1"/>
  <c r="R2912" i="1"/>
  <c r="R2863" i="1"/>
  <c r="X5" i="1"/>
  <c r="Y5" i="1" s="1"/>
  <c r="W6" i="1"/>
  <c r="R2837" i="1"/>
  <c r="S2837" i="1"/>
  <c r="T2837" i="1" s="1"/>
  <c r="O2738" i="1"/>
  <c r="G38" i="7"/>
  <c r="G24" i="7"/>
  <c r="G25" i="7"/>
  <c r="Q4" i="7"/>
  <c r="R3" i="7"/>
  <c r="E32" i="7"/>
  <c r="C36" i="7"/>
  <c r="D35" i="7"/>
  <c r="D37" i="7" s="1"/>
  <c r="G19" i="7"/>
  <c r="G4" i="7"/>
  <c r="D16" i="7"/>
  <c r="D17" i="7" s="1"/>
  <c r="D33" i="7"/>
  <c r="F12" i="7"/>
  <c r="F21" i="7" s="1"/>
  <c r="F28" i="7"/>
  <c r="F29" i="7" s="1"/>
  <c r="F8" i="7"/>
  <c r="J27" i="7"/>
  <c r="E14" i="7"/>
  <c r="E13" i="7"/>
  <c r="D30" i="7"/>
  <c r="D41" i="7"/>
  <c r="D42" i="7" s="1"/>
  <c r="H40" i="7"/>
  <c r="H6" i="7"/>
  <c r="I5" i="7"/>
  <c r="J11" i="7"/>
  <c r="E21" i="7"/>
  <c r="G7" i="7"/>
  <c r="E9" i="7"/>
  <c r="E34" i="7"/>
  <c r="F20" i="7"/>
  <c r="S2268" i="1"/>
  <c r="T2268" i="1" s="1"/>
  <c r="R2563" i="1"/>
  <c r="S2563" i="1"/>
  <c r="T2563" i="1" s="1"/>
  <c r="S2271" i="1"/>
  <c r="T2271" i="1" s="1"/>
  <c r="R2271" i="1"/>
  <c r="R2383" i="1"/>
  <c r="S2383" i="1"/>
  <c r="T2383" i="1" s="1"/>
  <c r="O2384" i="1"/>
  <c r="O2610" i="1"/>
  <c r="O2611" i="1" s="1"/>
  <c r="S2604" i="1"/>
  <c r="T2604" i="1" s="1"/>
  <c r="R2604" i="1"/>
  <c r="O2526" i="1"/>
  <c r="O2527" i="1" s="1"/>
  <c r="R2382" i="1"/>
  <c r="S2382" i="1"/>
  <c r="T2382" i="1" s="1"/>
  <c r="S7157" i="1" l="1"/>
  <c r="T7157" i="1" s="1"/>
  <c r="R7157" i="1"/>
  <c r="S6946" i="1"/>
  <c r="T6946" i="1" s="1"/>
  <c r="R6946" i="1"/>
  <c r="O6947" i="1"/>
  <c r="R2819" i="1"/>
  <c r="S2819" i="1"/>
  <c r="T2819" i="1" s="1"/>
  <c r="R2825" i="1"/>
  <c r="S2825" i="1"/>
  <c r="T2825" i="1" s="1"/>
  <c r="S2921" i="1"/>
  <c r="T2921" i="1" s="1"/>
  <c r="R2921" i="1"/>
  <c r="O2922" i="1"/>
  <c r="S2840" i="1"/>
  <c r="T2840" i="1" s="1"/>
  <c r="R2840" i="1"/>
  <c r="O2841" i="1"/>
  <c r="S2822" i="1"/>
  <c r="T2822" i="1" s="1"/>
  <c r="T2824" i="1"/>
  <c r="R2802" i="1"/>
  <c r="S2802" i="1"/>
  <c r="T2802" i="1" s="1"/>
  <c r="O2803" i="1"/>
  <c r="O2728" i="1"/>
  <c r="R2727" i="1"/>
  <c r="S2727" i="1"/>
  <c r="T2727" i="1" s="1"/>
  <c r="T2748" i="1"/>
  <c r="S2747" i="1"/>
  <c r="R2752" i="1"/>
  <c r="S2752" i="1"/>
  <c r="T2752" i="1" s="1"/>
  <c r="O2753" i="1"/>
  <c r="S2885" i="1"/>
  <c r="R2885" i="1"/>
  <c r="O2886" i="1"/>
  <c r="S2914" i="1"/>
  <c r="T2914" i="1" s="1"/>
  <c r="O2915" i="1"/>
  <c r="R2914" i="1"/>
  <c r="T2912" i="1"/>
  <c r="O2856" i="1"/>
  <c r="O2857" i="1" s="1"/>
  <c r="X6" i="1"/>
  <c r="Y6" i="1" s="1"/>
  <c r="W7" i="1"/>
  <c r="H38" i="7"/>
  <c r="H24" i="7"/>
  <c r="H25" i="7"/>
  <c r="S3" i="7"/>
  <c r="R4" i="7"/>
  <c r="F32" i="7"/>
  <c r="E35" i="7"/>
  <c r="E37" i="7" s="1"/>
  <c r="D36" i="7"/>
  <c r="G12" i="7"/>
  <c r="G21" i="7" s="1"/>
  <c r="G28" i="7"/>
  <c r="G29" i="7" s="1"/>
  <c r="G8" i="7"/>
  <c r="H4" i="7"/>
  <c r="I4" i="7"/>
  <c r="I8" i="7" s="1"/>
  <c r="I9" i="7" s="1"/>
  <c r="F9" i="7"/>
  <c r="F34" i="7"/>
  <c r="G20" i="7"/>
  <c r="E16" i="7"/>
  <c r="E17" i="7" s="1"/>
  <c r="E33" i="7"/>
  <c r="J28" i="7"/>
  <c r="J29" i="7" s="1"/>
  <c r="K27" i="7"/>
  <c r="J12" i="7"/>
  <c r="K11" i="7"/>
  <c r="I40" i="7"/>
  <c r="J5" i="7"/>
  <c r="I6" i="7"/>
  <c r="F14" i="7"/>
  <c r="F13" i="7"/>
  <c r="E30" i="7"/>
  <c r="E41" i="7"/>
  <c r="E42" i="7" s="1"/>
  <c r="H19" i="7"/>
  <c r="H7" i="7"/>
  <c r="R2611" i="1"/>
  <c r="R2610" i="1" s="1"/>
  <c r="O2612" i="1"/>
  <c r="S2611" i="1"/>
  <c r="O2385" i="1"/>
  <c r="R2384" i="1"/>
  <c r="S2384" i="1"/>
  <c r="T2384" i="1" s="1"/>
  <c r="S2527" i="1"/>
  <c r="T2527" i="1" s="1"/>
  <c r="R2527" i="1"/>
  <c r="S2633" i="1"/>
  <c r="S2603" i="1"/>
  <c r="S2602" i="1" s="1"/>
  <c r="T2602" i="1" s="1"/>
  <c r="S2526" i="1"/>
  <c r="T2526" i="1" s="1"/>
  <c r="R2526" i="1"/>
  <c r="S2620" i="1"/>
  <c r="O2605" i="1"/>
  <c r="O2606" i="1" s="1"/>
  <c r="BE19" i="1"/>
  <c r="S6947" i="1" l="1"/>
  <c r="T6947" i="1" s="1"/>
  <c r="R6947" i="1"/>
  <c r="O6948" i="1"/>
  <c r="R2753" i="1"/>
  <c r="S2753" i="1"/>
  <c r="T2753" i="1" s="1"/>
  <c r="S2803" i="1"/>
  <c r="T2803" i="1" s="1"/>
  <c r="R2803" i="1"/>
  <c r="R2922" i="1"/>
  <c r="S2922" i="1"/>
  <c r="T2922" i="1" s="1"/>
  <c r="S2915" i="1"/>
  <c r="T2915" i="1" s="1"/>
  <c r="O2916" i="1"/>
  <c r="R2915" i="1"/>
  <c r="T2747" i="1"/>
  <c r="S2746" i="1"/>
  <c r="O2858" i="1"/>
  <c r="R2857" i="1"/>
  <c r="S2857" i="1"/>
  <c r="T2857" i="1" s="1"/>
  <c r="O2887" i="1"/>
  <c r="S2886" i="1"/>
  <c r="T2886" i="1" s="1"/>
  <c r="R2841" i="1"/>
  <c r="S2841" i="1"/>
  <c r="T2841" i="1" s="1"/>
  <c r="O2842" i="1"/>
  <c r="T2885" i="1"/>
  <c r="S2884" i="1"/>
  <c r="R2728" i="1"/>
  <c r="S2728" i="1"/>
  <c r="T2728" i="1" s="1"/>
  <c r="O2729" i="1"/>
  <c r="S2856" i="1"/>
  <c r="R2856" i="1"/>
  <c r="X7" i="1"/>
  <c r="Y7" i="1" s="1"/>
  <c r="W8" i="1"/>
  <c r="O2713" i="1"/>
  <c r="O2714" i="1" s="1"/>
  <c r="I38" i="7"/>
  <c r="I24" i="7"/>
  <c r="I25" i="7"/>
  <c r="S4" i="7"/>
  <c r="T3" i="7"/>
  <c r="G32" i="7"/>
  <c r="E36" i="7"/>
  <c r="F35" i="7"/>
  <c r="F37" i="7" s="1"/>
  <c r="J13" i="7"/>
  <c r="J14" i="7"/>
  <c r="I12" i="7"/>
  <c r="I28" i="7"/>
  <c r="I29" i="7" s="1"/>
  <c r="J40" i="7"/>
  <c r="J7" i="7"/>
  <c r="J6" i="7"/>
  <c r="J8" i="7"/>
  <c r="J9" i="7" s="1"/>
  <c r="K5" i="7"/>
  <c r="H28" i="7"/>
  <c r="H29" i="7" s="1"/>
  <c r="H12" i="7"/>
  <c r="H21" i="7" s="1"/>
  <c r="H8" i="7"/>
  <c r="L27" i="7"/>
  <c r="K28" i="7"/>
  <c r="K29" i="7" s="1"/>
  <c r="F16" i="7"/>
  <c r="F17" i="7" s="1"/>
  <c r="F33" i="7"/>
  <c r="I19" i="7"/>
  <c r="G9" i="7"/>
  <c r="G34" i="7"/>
  <c r="J30" i="7"/>
  <c r="I34" i="7"/>
  <c r="I7" i="7"/>
  <c r="I33" i="7"/>
  <c r="I16" i="7"/>
  <c r="H20" i="7"/>
  <c r="F30" i="7"/>
  <c r="F41" i="7"/>
  <c r="F42" i="7" s="1"/>
  <c r="L11" i="7"/>
  <c r="K12" i="7"/>
  <c r="G14" i="7"/>
  <c r="G13" i="7"/>
  <c r="O2613" i="1"/>
  <c r="S2613" i="1" s="1"/>
  <c r="T2613" i="1" s="1"/>
  <c r="R2612" i="1"/>
  <c r="S2612" i="1"/>
  <c r="T2612" i="1" s="1"/>
  <c r="R2606" i="1"/>
  <c r="S2606" i="1"/>
  <c r="T2606" i="1" s="1"/>
  <c r="O2607" i="1"/>
  <c r="R2385" i="1"/>
  <c r="S2385" i="1"/>
  <c r="T2385" i="1" s="1"/>
  <c r="S2610" i="1"/>
  <c r="T2611" i="1"/>
  <c r="R2609" i="1"/>
  <c r="R2608" i="1" s="1"/>
  <c r="T2620" i="1"/>
  <c r="S2619" i="1"/>
  <c r="T2633" i="1"/>
  <c r="R2605" i="1"/>
  <c r="S2605" i="1"/>
  <c r="T2605" i="1" s="1"/>
  <c r="T2603" i="1"/>
  <c r="S2601" i="1"/>
  <c r="S6948" i="1" l="1"/>
  <c r="T6948" i="1" s="1"/>
  <c r="R6948" i="1"/>
  <c r="O6949" i="1"/>
  <c r="R2729" i="1"/>
  <c r="S2729" i="1"/>
  <c r="T2729" i="1" s="1"/>
  <c r="R2916" i="1"/>
  <c r="S2916" i="1"/>
  <c r="T2916" i="1" s="1"/>
  <c r="O2715" i="1"/>
  <c r="R2887" i="1"/>
  <c r="R2886" i="1" s="1"/>
  <c r="R2883" i="1" s="1"/>
  <c r="R2882" i="1" s="1"/>
  <c r="S2887" i="1"/>
  <c r="T2887" i="1" s="1"/>
  <c r="O2888" i="1"/>
  <c r="R2842" i="1"/>
  <c r="S2842" i="1"/>
  <c r="T2842" i="1" s="1"/>
  <c r="T2884" i="1"/>
  <c r="S2883" i="1"/>
  <c r="O2859" i="1"/>
  <c r="R2858" i="1"/>
  <c r="S2858" i="1"/>
  <c r="T2858" i="1" s="1"/>
  <c r="T2856" i="1"/>
  <c r="O2766" i="1"/>
  <c r="O2767" i="1" s="1"/>
  <c r="X8" i="1"/>
  <c r="Y8" i="1" s="1"/>
  <c r="W9" i="1"/>
  <c r="J38" i="7"/>
  <c r="J25" i="7"/>
  <c r="J24" i="7"/>
  <c r="L12" i="7"/>
  <c r="L13" i="7" s="1"/>
  <c r="M11" i="7"/>
  <c r="M27" i="7"/>
  <c r="N27" i="7" s="1"/>
  <c r="I32" i="7"/>
  <c r="I35" i="7"/>
  <c r="U3" i="7"/>
  <c r="T4" i="7"/>
  <c r="J32" i="7"/>
  <c r="H32" i="7"/>
  <c r="I17" i="7"/>
  <c r="K30" i="7"/>
  <c r="F36" i="7"/>
  <c r="G35" i="7"/>
  <c r="G37" i="7" s="1"/>
  <c r="J41" i="7"/>
  <c r="J42" i="7" s="1"/>
  <c r="L28" i="7"/>
  <c r="L29" i="7" s="1"/>
  <c r="J19" i="7"/>
  <c r="G33" i="7"/>
  <c r="G16" i="7"/>
  <c r="G17" i="7" s="1"/>
  <c r="K13" i="7"/>
  <c r="K14" i="7"/>
  <c r="G30" i="7"/>
  <c r="G41" i="7"/>
  <c r="G42" i="7" s="1"/>
  <c r="K6" i="7"/>
  <c r="K8" i="7"/>
  <c r="K9" i="7" s="1"/>
  <c r="L5" i="7"/>
  <c r="M5" i="7" s="1"/>
  <c r="K40" i="7"/>
  <c r="K7" i="7"/>
  <c r="I14" i="7"/>
  <c r="I13" i="7"/>
  <c r="I21" i="7"/>
  <c r="I20" i="7"/>
  <c r="H9" i="7"/>
  <c r="H34" i="7"/>
  <c r="H14" i="7"/>
  <c r="H13" i="7"/>
  <c r="J33" i="7"/>
  <c r="J16" i="7"/>
  <c r="J17" i="7" s="1"/>
  <c r="J34" i="7"/>
  <c r="J35" i="7" s="1"/>
  <c r="R2613" i="1"/>
  <c r="S2609" i="1"/>
  <c r="T2610" i="1"/>
  <c r="S2607" i="1"/>
  <c r="T2607" i="1" s="1"/>
  <c r="R2607" i="1"/>
  <c r="T2619" i="1"/>
  <c r="S2618" i="1"/>
  <c r="S2632" i="1"/>
  <c r="S6949" i="1" l="1"/>
  <c r="T6949" i="1" s="1"/>
  <c r="R6949" i="1"/>
  <c r="O6950" i="1"/>
  <c r="R2859" i="1"/>
  <c r="O2860" i="1"/>
  <c r="S2859" i="1"/>
  <c r="T2859" i="1" s="1"/>
  <c r="T2883" i="1"/>
  <c r="S2882" i="1"/>
  <c r="T2882" i="1" s="1"/>
  <c r="O2716" i="1"/>
  <c r="O2768" i="1"/>
  <c r="R2888" i="1"/>
  <c r="S2888" i="1"/>
  <c r="T2888" i="1" s="1"/>
  <c r="W10" i="1"/>
  <c r="X9" i="1"/>
  <c r="Y9" i="1" s="1"/>
  <c r="K38" i="7"/>
  <c r="K25" i="7"/>
  <c r="K24" i="7"/>
  <c r="M28" i="7"/>
  <c r="J37" i="7"/>
  <c r="L14" i="7"/>
  <c r="M29" i="7"/>
  <c r="M30" i="7" s="1"/>
  <c r="I36" i="7"/>
  <c r="I37" i="7"/>
  <c r="L30" i="7"/>
  <c r="N11" i="7"/>
  <c r="M12" i="7"/>
  <c r="N5" i="7"/>
  <c r="M40" i="7"/>
  <c r="M7" i="7"/>
  <c r="M6" i="7"/>
  <c r="M8" i="7"/>
  <c r="M9" i="7" s="1"/>
  <c r="V3" i="7"/>
  <c r="U4" i="7"/>
  <c r="K32" i="7"/>
  <c r="K41" i="7"/>
  <c r="K42" i="7" s="1"/>
  <c r="G36" i="7"/>
  <c r="J36" i="7"/>
  <c r="H35" i="7"/>
  <c r="H37" i="7" s="1"/>
  <c r="O27" i="7"/>
  <c r="N28" i="7"/>
  <c r="N29" i="7" s="1"/>
  <c r="L6" i="7"/>
  <c r="L40" i="7"/>
  <c r="L41" i="7" s="1"/>
  <c r="L42" i="7" s="1"/>
  <c r="L7" i="7"/>
  <c r="L8" i="7"/>
  <c r="L9" i="7" s="1"/>
  <c r="K16" i="7"/>
  <c r="K17" i="7" s="1"/>
  <c r="K33" i="7"/>
  <c r="J21" i="7"/>
  <c r="J20" i="7"/>
  <c r="K34" i="7"/>
  <c r="K35" i="7" s="1"/>
  <c r="I30" i="7"/>
  <c r="I41" i="7"/>
  <c r="I42" i="7" s="1"/>
  <c r="H33" i="7"/>
  <c r="H16" i="7"/>
  <c r="H17" i="7" s="1"/>
  <c r="K19" i="7"/>
  <c r="H30" i="7"/>
  <c r="H41" i="7"/>
  <c r="H42" i="7" s="1"/>
  <c r="T2609" i="1"/>
  <c r="S2608" i="1"/>
  <c r="T2608" i="1" s="1"/>
  <c r="S2617" i="1"/>
  <c r="T2617" i="1" s="1"/>
  <c r="T2618" i="1"/>
  <c r="T2632" i="1"/>
  <c r="S2631" i="1"/>
  <c r="S6950" i="1" l="1"/>
  <c r="T6950" i="1" s="1"/>
  <c r="R6950" i="1"/>
  <c r="O6951" i="1"/>
  <c r="R2768" i="1"/>
  <c r="R2767" i="1" s="1"/>
  <c r="R2766" i="1" s="1"/>
  <c r="O2769" i="1"/>
  <c r="O2717" i="1"/>
  <c r="S2860" i="1"/>
  <c r="T2860" i="1" s="1"/>
  <c r="R2860" i="1"/>
  <c r="O2861" i="1"/>
  <c r="X10" i="1"/>
  <c r="Y10" i="1" s="1"/>
  <c r="W11" i="1"/>
  <c r="M38" i="7"/>
  <c r="M24" i="7"/>
  <c r="M25" i="7"/>
  <c r="L38" i="7"/>
  <c r="L24" i="7"/>
  <c r="L25" i="7"/>
  <c r="K37" i="7"/>
  <c r="M34" i="7"/>
  <c r="M35" i="7" s="1"/>
  <c r="N6" i="7"/>
  <c r="N40" i="7"/>
  <c r="O5" i="7"/>
  <c r="N7" i="7"/>
  <c r="N8" i="7"/>
  <c r="N9" i="7" s="1"/>
  <c r="M13" i="7"/>
  <c r="M14" i="7"/>
  <c r="O11" i="7"/>
  <c r="N12" i="7"/>
  <c r="M16" i="7"/>
  <c r="M17" i="7" s="1"/>
  <c r="M33" i="7"/>
  <c r="M19" i="7"/>
  <c r="M20" i="7" s="1"/>
  <c r="W3" i="7"/>
  <c r="V4" i="7"/>
  <c r="L32" i="7"/>
  <c r="M32" i="7" s="1"/>
  <c r="M41" i="7"/>
  <c r="M42" i="7" s="1"/>
  <c r="P27" i="7"/>
  <c r="O28" i="7"/>
  <c r="O29" i="7" s="1"/>
  <c r="K36" i="7"/>
  <c r="H36" i="7"/>
  <c r="L34" i="7"/>
  <c r="L35" i="7" s="1"/>
  <c r="L33" i="7"/>
  <c r="L16" i="7"/>
  <c r="L17" i="7" s="1"/>
  <c r="K20" i="7"/>
  <c r="K21" i="7"/>
  <c r="L19" i="7"/>
  <c r="T2631" i="1"/>
  <c r="S2630" i="1"/>
  <c r="O2277" i="1"/>
  <c r="O2278" i="1" s="1"/>
  <c r="S6951" i="1" l="1"/>
  <c r="T6951" i="1" s="1"/>
  <c r="R6951" i="1"/>
  <c r="O6952" i="1"/>
  <c r="S2861" i="1"/>
  <c r="T2861" i="1" s="1"/>
  <c r="R2861" i="1"/>
  <c r="O2862" i="1"/>
  <c r="O2718" i="1"/>
  <c r="S2717" i="1"/>
  <c r="O2770" i="1"/>
  <c r="R2769" i="1"/>
  <c r="S2769" i="1"/>
  <c r="X11" i="1"/>
  <c r="Y11" i="1" s="1"/>
  <c r="W12" i="1"/>
  <c r="N38" i="7"/>
  <c r="N24" i="7"/>
  <c r="N25" i="7"/>
  <c r="L37" i="7"/>
  <c r="M36" i="7"/>
  <c r="M37" i="7"/>
  <c r="P11" i="7"/>
  <c r="O12" i="7"/>
  <c r="O7" i="7"/>
  <c r="P5" i="7"/>
  <c r="O6" i="7"/>
  <c r="O40" i="7"/>
  <c r="O8" i="7"/>
  <c r="O9" i="7" s="1"/>
  <c r="N14" i="7"/>
  <c r="N13" i="7"/>
  <c r="N19" i="7"/>
  <c r="N20" i="7" s="1"/>
  <c r="N16" i="7"/>
  <c r="N17" i="7" s="1"/>
  <c r="N33" i="7"/>
  <c r="M21" i="7"/>
  <c r="N34" i="7"/>
  <c r="N35" i="7" s="1"/>
  <c r="N32" i="7"/>
  <c r="X3" i="7"/>
  <c r="W4" i="7"/>
  <c r="N41" i="7"/>
  <c r="N42" i="7" s="1"/>
  <c r="N30" i="7"/>
  <c r="P28" i="7"/>
  <c r="P29" i="7" s="1"/>
  <c r="Q27" i="7"/>
  <c r="L20" i="7"/>
  <c r="L21" i="7"/>
  <c r="L36" i="7"/>
  <c r="O2279" i="1"/>
  <c r="T2630" i="1"/>
  <c r="S2629" i="1"/>
  <c r="T2629" i="1" s="1"/>
  <c r="S6952" i="1" l="1"/>
  <c r="T6952" i="1" s="1"/>
  <c r="R6952" i="1"/>
  <c r="O6953" i="1"/>
  <c r="T2769" i="1"/>
  <c r="S2768" i="1"/>
  <c r="O2719" i="1"/>
  <c r="R2718" i="1"/>
  <c r="S2718" i="1"/>
  <c r="T2718" i="1" s="1"/>
  <c r="O2771" i="1"/>
  <c r="R2770" i="1"/>
  <c r="S2770" i="1"/>
  <c r="T2770" i="1" s="1"/>
  <c r="T2717" i="1"/>
  <c r="S2716" i="1"/>
  <c r="R2862" i="1"/>
  <c r="S2862" i="1"/>
  <c r="T2862" i="1" s="1"/>
  <c r="X12" i="1"/>
  <c r="Y12" i="1" s="1"/>
  <c r="W13" i="1"/>
  <c r="O38" i="7"/>
  <c r="O24" i="7"/>
  <c r="O25" i="7"/>
  <c r="N37" i="7"/>
  <c r="O34" i="7"/>
  <c r="O35" i="7" s="1"/>
  <c r="O32" i="7"/>
  <c r="Q5" i="7"/>
  <c r="P6" i="7"/>
  <c r="P7" i="7"/>
  <c r="P40" i="7"/>
  <c r="P8" i="7"/>
  <c r="P9" i="7" s="1"/>
  <c r="O19" i="7"/>
  <c r="O13" i="7"/>
  <c r="O14" i="7"/>
  <c r="O16" i="7"/>
  <c r="O17" i="7" s="1"/>
  <c r="O33" i="7"/>
  <c r="N21" i="7"/>
  <c r="Q11" i="7"/>
  <c r="P12" i="7"/>
  <c r="X4" i="7"/>
  <c r="Y3" i="7"/>
  <c r="O30" i="7"/>
  <c r="O41" i="7"/>
  <c r="O42" i="7" s="1"/>
  <c r="R27" i="7"/>
  <c r="Q28" i="7"/>
  <c r="Q29" i="7" s="1"/>
  <c r="N36" i="7"/>
  <c r="R2279" i="1"/>
  <c r="R2278" i="1" s="1"/>
  <c r="R2277" i="1" s="1"/>
  <c r="O2280" i="1"/>
  <c r="S6953" i="1" l="1"/>
  <c r="T6953" i="1" s="1"/>
  <c r="R6953" i="1"/>
  <c r="O6954" i="1"/>
  <c r="O2772" i="1"/>
  <c r="S2771" i="1"/>
  <c r="T2771" i="1" s="1"/>
  <c r="R2719" i="1"/>
  <c r="O2720" i="1"/>
  <c r="S2719" i="1"/>
  <c r="T2719" i="1" s="1"/>
  <c r="T2768" i="1"/>
  <c r="S2767" i="1"/>
  <c r="T2716" i="1"/>
  <c r="S2715" i="1"/>
  <c r="X13" i="1"/>
  <c r="Y13" i="1" s="1"/>
  <c r="W14" i="1"/>
  <c r="P38" i="7"/>
  <c r="P24" i="7"/>
  <c r="P25" i="7"/>
  <c r="O37" i="7"/>
  <c r="O20" i="7"/>
  <c r="O21" i="7"/>
  <c r="P19" i="7"/>
  <c r="P16" i="7"/>
  <c r="P17" i="7" s="1"/>
  <c r="P33" i="7"/>
  <c r="P14" i="7"/>
  <c r="P13" i="7"/>
  <c r="Q6" i="7"/>
  <c r="R5" i="7"/>
  <c r="Q40" i="7"/>
  <c r="Q7" i="7"/>
  <c r="Q8" i="7"/>
  <c r="Q9" i="7" s="1"/>
  <c r="R11" i="7"/>
  <c r="Q12" i="7"/>
  <c r="P32" i="7"/>
  <c r="P34" i="7"/>
  <c r="P35" i="7" s="1"/>
  <c r="Y4" i="7"/>
  <c r="Z3" i="7"/>
  <c r="O36" i="7"/>
  <c r="R28" i="7"/>
  <c r="R29" i="7" s="1"/>
  <c r="S27" i="7"/>
  <c r="P30" i="7"/>
  <c r="P41" i="7"/>
  <c r="P42" i="7" s="1"/>
  <c r="O2281" i="1"/>
  <c r="S2280" i="1"/>
  <c r="R2280" i="1"/>
  <c r="S6954" i="1" l="1"/>
  <c r="T6954" i="1" s="1"/>
  <c r="R6954" i="1"/>
  <c r="O6955" i="1"/>
  <c r="T2767" i="1"/>
  <c r="S2766" i="1"/>
  <c r="T2766" i="1" s="1"/>
  <c r="R2720" i="1"/>
  <c r="S2720" i="1"/>
  <c r="T2720" i="1" s="1"/>
  <c r="O2721" i="1"/>
  <c r="T2715" i="1"/>
  <c r="S2714" i="1"/>
  <c r="R2772" i="1"/>
  <c r="R2771" i="1" s="1"/>
  <c r="S2772" i="1"/>
  <c r="T2772" i="1" s="1"/>
  <c r="O2773" i="1"/>
  <c r="O2864" i="1"/>
  <c r="O2865" i="1" s="1"/>
  <c r="X14" i="1"/>
  <c r="Y14" i="1" s="1"/>
  <c r="W15" i="1"/>
  <c r="Q38" i="7"/>
  <c r="Q24" i="7"/>
  <c r="Q25" i="7"/>
  <c r="P37" i="7"/>
  <c r="Q34" i="7"/>
  <c r="Q35" i="7" s="1"/>
  <c r="Q32" i="7"/>
  <c r="Q16" i="7"/>
  <c r="Q17" i="7" s="1"/>
  <c r="Q33" i="7"/>
  <c r="S5" i="7"/>
  <c r="R40" i="7"/>
  <c r="R7" i="7"/>
  <c r="R6" i="7"/>
  <c r="R8" i="7"/>
  <c r="R9" i="7" s="1"/>
  <c r="P20" i="7"/>
  <c r="P21" i="7"/>
  <c r="Q19" i="7"/>
  <c r="S11" i="7"/>
  <c r="R12" i="7"/>
  <c r="Q13" i="7"/>
  <c r="Q14" i="7"/>
  <c r="AA3" i="7"/>
  <c r="Z4" i="7"/>
  <c r="S28" i="7"/>
  <c r="S29" i="7" s="1"/>
  <c r="T27" i="7"/>
  <c r="P36" i="7"/>
  <c r="Q30" i="7"/>
  <c r="Q41" i="7"/>
  <c r="Q42" i="7" s="1"/>
  <c r="T2280" i="1"/>
  <c r="S2279" i="1"/>
  <c r="O2282" i="1"/>
  <c r="R2281" i="1"/>
  <c r="S2281" i="1"/>
  <c r="T2281" i="1" s="1"/>
  <c r="L40" i="4"/>
  <c r="L49" i="4"/>
  <c r="L71" i="4"/>
  <c r="L45" i="4"/>
  <c r="L13" i="4"/>
  <c r="L29" i="4"/>
  <c r="L32" i="4"/>
  <c r="L18" i="4"/>
  <c r="L54" i="4"/>
  <c r="L11" i="4"/>
  <c r="L61" i="4"/>
  <c r="L30" i="4"/>
  <c r="L53" i="4"/>
  <c r="L48" i="4"/>
  <c r="L26" i="4"/>
  <c r="L43" i="4"/>
  <c r="L55" i="4"/>
  <c r="L68" i="4"/>
  <c r="L33" i="4"/>
  <c r="L31" i="4"/>
  <c r="L42" i="4"/>
  <c r="L52" i="4"/>
  <c r="L64" i="4"/>
  <c r="L69" i="4"/>
  <c r="L17" i="4"/>
  <c r="L46" i="4"/>
  <c r="L66" i="4"/>
  <c r="L36" i="4"/>
  <c r="L63" i="4"/>
  <c r="L34" i="4"/>
  <c r="L59" i="4"/>
  <c r="L38" i="4"/>
  <c r="L21" i="4"/>
  <c r="L51" i="4"/>
  <c r="L19" i="4"/>
  <c r="L16" i="4"/>
  <c r="L23" i="4"/>
  <c r="L65" i="4"/>
  <c r="L25" i="4"/>
  <c r="L12" i="4"/>
  <c r="L58" i="4"/>
  <c r="L70" i="4"/>
  <c r="L15" i="4"/>
  <c r="L57" i="4"/>
  <c r="L72" i="4"/>
  <c r="L60" i="4"/>
  <c r="L47" i="4"/>
  <c r="L44" i="4"/>
  <c r="L22" i="4"/>
  <c r="L37" i="4"/>
  <c r="L14" i="4"/>
  <c r="L56" i="4"/>
  <c r="L50" i="4"/>
  <c r="L24" i="4"/>
  <c r="L67" i="4"/>
  <c r="L28" i="4"/>
  <c r="L41" i="4"/>
  <c r="L62" i="4"/>
  <c r="L39" i="4"/>
  <c r="L35" i="4"/>
  <c r="L20" i="4"/>
  <c r="L73" i="4"/>
  <c r="L74" i="4"/>
  <c r="L27" i="4"/>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C2657" i="1" s="1"/>
  <c r="D631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2" i="1"/>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11" i="4"/>
  <c r="E3" i="4"/>
  <c r="F3" i="4"/>
  <c r="E4" i="4"/>
  <c r="F4" i="4"/>
  <c r="E5" i="4"/>
  <c r="F5" i="4"/>
  <c r="E6" i="4"/>
  <c r="F6" i="4"/>
  <c r="E7" i="4"/>
  <c r="F7" i="4"/>
  <c r="F2" i="4"/>
  <c r="E2" i="4"/>
  <c r="AX3" i="1"/>
  <c r="AX4" i="1"/>
  <c r="AX5" i="1"/>
  <c r="AX72" i="1"/>
  <c r="AX73" i="1"/>
  <c r="AX74" i="1"/>
  <c r="AX75" i="1"/>
  <c r="AX76" i="1"/>
  <c r="AX2" i="1"/>
  <c r="AY2" i="1" s="1"/>
  <c r="AY3" i="1" l="1"/>
  <c r="AY4" i="1" s="1"/>
  <c r="AY5" i="1" s="1"/>
  <c r="AY6" i="1" s="1"/>
  <c r="AY7" i="1" s="1"/>
  <c r="AY8" i="1" s="1"/>
  <c r="AY9" i="1" s="1"/>
  <c r="AY10" i="1" s="1"/>
  <c r="AY11" i="1" s="1"/>
  <c r="AY12" i="1" s="1"/>
  <c r="AY13" i="1" s="1"/>
  <c r="AY14" i="1" s="1"/>
  <c r="AY15" i="1" s="1"/>
  <c r="AY16" i="1" s="1"/>
  <c r="AY17" i="1" s="1"/>
  <c r="AY18" i="1" s="1"/>
  <c r="AY19" i="1" s="1"/>
  <c r="AY20" i="1" s="1"/>
  <c r="AY21" i="1" s="1"/>
  <c r="AY22" i="1" s="1"/>
  <c r="AY23" i="1" s="1"/>
  <c r="AY24" i="1" s="1"/>
  <c r="AY25" i="1" s="1"/>
  <c r="AY26" i="1" s="1"/>
  <c r="AY27" i="1" s="1"/>
  <c r="AY28" i="1" s="1"/>
  <c r="AY29" i="1" s="1"/>
  <c r="AY30" i="1" s="1"/>
  <c r="AY31" i="1" s="1"/>
  <c r="AY32" i="1" s="1"/>
  <c r="AY33" i="1" s="1"/>
  <c r="AY34" i="1" s="1"/>
  <c r="AY35" i="1" s="1"/>
  <c r="AY36" i="1" s="1"/>
  <c r="AY37" i="1" s="1"/>
  <c r="AY38" i="1" s="1"/>
  <c r="AY39" i="1" s="1"/>
  <c r="AY40" i="1" s="1"/>
  <c r="AY41" i="1" s="1"/>
  <c r="AY42" i="1" s="1"/>
  <c r="AY43" i="1" s="1"/>
  <c r="AY44" i="1" s="1"/>
  <c r="AY45" i="1" s="1"/>
  <c r="AY46" i="1" s="1"/>
  <c r="AY47" i="1" s="1"/>
  <c r="AY48" i="1" s="1"/>
  <c r="AY49" i="1" s="1"/>
  <c r="AY50" i="1" s="1"/>
  <c r="AY51" i="1" s="1"/>
  <c r="AY52" i="1" s="1"/>
  <c r="AY53" i="1" s="1"/>
  <c r="AY54" i="1" s="1"/>
  <c r="AY55" i="1" s="1"/>
  <c r="AY56" i="1" s="1"/>
  <c r="AY57" i="1" s="1"/>
  <c r="AY58" i="1" s="1"/>
  <c r="AY59" i="1" s="1"/>
  <c r="AY60" i="1" s="1"/>
  <c r="AY61" i="1" s="1"/>
  <c r="AY62" i="1" s="1"/>
  <c r="AY63" i="1" s="1"/>
  <c r="AY64" i="1" s="1"/>
  <c r="AY65" i="1" s="1"/>
  <c r="AY66" i="1" s="1"/>
  <c r="AY67" i="1" s="1"/>
  <c r="AY68" i="1" s="1"/>
  <c r="AY69" i="1" s="1"/>
  <c r="AY70" i="1" s="1"/>
  <c r="AY71" i="1" s="1"/>
  <c r="AY72" i="1" s="1"/>
  <c r="AY73" i="1" s="1"/>
  <c r="AY74" i="1" s="1"/>
  <c r="AY75" i="1" s="1"/>
  <c r="AY76" i="1" s="1"/>
  <c r="S6955" i="1"/>
  <c r="T6955" i="1" s="1"/>
  <c r="R6955" i="1"/>
  <c r="O6956" i="1"/>
  <c r="T2714" i="1"/>
  <c r="S2713" i="1"/>
  <c r="O2722" i="1"/>
  <c r="R2721" i="1"/>
  <c r="S2721" i="1"/>
  <c r="T2721" i="1" s="1"/>
  <c r="O2866" i="1"/>
  <c r="S2865" i="1"/>
  <c r="T2865" i="1" s="1"/>
  <c r="R2865" i="1"/>
  <c r="O2774" i="1"/>
  <c r="R2773" i="1"/>
  <c r="S2773" i="1"/>
  <c r="T2773" i="1" s="1"/>
  <c r="AC1139" i="1"/>
  <c r="AD1139" i="1" s="1"/>
  <c r="AC1149" i="1"/>
  <c r="AD1149" i="1" s="1"/>
  <c r="AC1147" i="1"/>
  <c r="AD1147" i="1" s="1"/>
  <c r="AC1150" i="1"/>
  <c r="AD1150" i="1" s="1"/>
  <c r="AC1140" i="1"/>
  <c r="AD1140" i="1" s="1"/>
  <c r="AC1142" i="1"/>
  <c r="AD1142" i="1" s="1"/>
  <c r="AC1146" i="1"/>
  <c r="AD1146" i="1" s="1"/>
  <c r="AC1144" i="1"/>
  <c r="AD1144" i="1" s="1"/>
  <c r="AC1141" i="1"/>
  <c r="AD1141" i="1" s="1"/>
  <c r="AC1145" i="1"/>
  <c r="AD1145" i="1" s="1"/>
  <c r="AC1151" i="1"/>
  <c r="AD1151" i="1" s="1"/>
  <c r="AC1148" i="1"/>
  <c r="AD1148" i="1" s="1"/>
  <c r="AC1143" i="1"/>
  <c r="AD1143" i="1" s="1"/>
  <c r="AC1137" i="1"/>
  <c r="AD1137" i="1" s="1"/>
  <c r="AC1135" i="1"/>
  <c r="AD1135" i="1" s="1"/>
  <c r="AC1138" i="1"/>
  <c r="AD1138" i="1" s="1"/>
  <c r="AC1133" i="1"/>
  <c r="AD1133" i="1" s="1"/>
  <c r="AC1136" i="1"/>
  <c r="AD1136" i="1" s="1"/>
  <c r="AC1134" i="1"/>
  <c r="AD1134" i="1" s="1"/>
  <c r="AC1129" i="1"/>
  <c r="AD1129" i="1" s="1"/>
  <c r="AC1110" i="1"/>
  <c r="AD1110" i="1" s="1"/>
  <c r="AC1115" i="1"/>
  <c r="AD1115" i="1" s="1"/>
  <c r="AC1114" i="1"/>
  <c r="AD1114" i="1" s="1"/>
  <c r="AC1132" i="1"/>
  <c r="AD1132" i="1" s="1"/>
  <c r="AC1119" i="1"/>
  <c r="AD1119" i="1" s="1"/>
  <c r="AC1120" i="1"/>
  <c r="AD1120" i="1" s="1"/>
  <c r="AC1113" i="1"/>
  <c r="AD1113" i="1" s="1"/>
  <c r="AC1118" i="1"/>
  <c r="AD1118" i="1" s="1"/>
  <c r="AC1122" i="1"/>
  <c r="AD1122" i="1" s="1"/>
  <c r="AC1124" i="1"/>
  <c r="AD1124" i="1" s="1"/>
  <c r="AC1111" i="1"/>
  <c r="AD1111" i="1" s="1"/>
  <c r="AC1112" i="1"/>
  <c r="AD1112" i="1" s="1"/>
  <c r="AC1123" i="1"/>
  <c r="AD1123" i="1" s="1"/>
  <c r="AC1125" i="1"/>
  <c r="AD1125" i="1" s="1"/>
  <c r="AC1126" i="1"/>
  <c r="AD1126" i="1" s="1"/>
  <c r="AC1121" i="1"/>
  <c r="AD1121" i="1" s="1"/>
  <c r="AC1117" i="1"/>
  <c r="AD1117" i="1" s="1"/>
  <c r="AC1131" i="1"/>
  <c r="AD1131" i="1" s="1"/>
  <c r="AC1130" i="1"/>
  <c r="AD1130" i="1" s="1"/>
  <c r="AC1109" i="1"/>
  <c r="AD1109" i="1" s="1"/>
  <c r="AC1127" i="1"/>
  <c r="AD1127" i="1" s="1"/>
  <c r="AC1128" i="1"/>
  <c r="AD1128" i="1" s="1"/>
  <c r="AC1116" i="1"/>
  <c r="AD1116" i="1" s="1"/>
  <c r="AC1107" i="1"/>
  <c r="AC1103" i="1"/>
  <c r="AC1104" i="1"/>
  <c r="AC1105" i="1"/>
  <c r="AC1108" i="1"/>
  <c r="AC1106" i="1"/>
  <c r="S2864" i="1"/>
  <c r="R2864" i="1"/>
  <c r="W16" i="1"/>
  <c r="X15" i="1"/>
  <c r="Y15" i="1" s="1"/>
  <c r="AC330" i="1"/>
  <c r="AC329" i="1"/>
  <c r="AC342" i="1"/>
  <c r="AC327" i="1"/>
  <c r="AC355" i="1"/>
  <c r="AC362" i="1"/>
  <c r="AC359" i="1"/>
  <c r="AC366" i="1"/>
  <c r="AC321" i="1"/>
  <c r="AC326" i="1"/>
  <c r="AC354" i="1"/>
  <c r="AC351" i="1"/>
  <c r="AC334" i="1"/>
  <c r="AC320" i="1"/>
  <c r="AC350" i="1"/>
  <c r="AC346" i="1"/>
  <c r="AC343" i="1"/>
  <c r="AC347" i="1"/>
  <c r="AC360" i="1"/>
  <c r="AC363" i="1"/>
  <c r="AC323" i="1"/>
  <c r="AC322" i="1"/>
  <c r="AC335" i="1"/>
  <c r="AC336" i="1"/>
  <c r="AC338" i="1"/>
  <c r="AC345" i="1"/>
  <c r="AC328" i="1"/>
  <c r="AC344" i="1"/>
  <c r="AC331" i="1"/>
  <c r="AC358" i="1"/>
  <c r="AC339" i="1"/>
  <c r="AC367" i="1"/>
  <c r="AC368" i="1"/>
  <c r="AC352" i="1"/>
  <c r="AC319" i="1"/>
  <c r="AC337" i="1"/>
  <c r="AC357" i="1"/>
  <c r="AC364" i="1"/>
  <c r="AC324" i="1"/>
  <c r="AC341" i="1"/>
  <c r="AC332" i="1"/>
  <c r="AC353" i="1"/>
  <c r="AC348" i="1"/>
  <c r="AC365" i="1"/>
  <c r="AC340" i="1"/>
  <c r="AC349" i="1"/>
  <c r="AC361" i="1"/>
  <c r="AC333" i="1"/>
  <c r="AC325" i="1"/>
  <c r="AC356" i="1"/>
  <c r="AC494" i="1"/>
  <c r="AC474" i="1"/>
  <c r="AC478" i="1"/>
  <c r="AC470" i="1"/>
  <c r="AC495" i="1"/>
  <c r="AC467" i="1"/>
  <c r="AC417" i="1"/>
  <c r="AC503" i="1"/>
  <c r="AC451" i="1"/>
  <c r="AC488" i="1"/>
  <c r="AC442" i="1"/>
  <c r="AD442" i="1" s="1"/>
  <c r="AC493" i="1"/>
  <c r="AC482" i="1"/>
  <c r="AC441" i="1"/>
  <c r="AC419" i="1"/>
  <c r="AC471" i="1"/>
  <c r="AC463" i="1"/>
  <c r="AC427" i="1"/>
  <c r="AC466" i="1"/>
  <c r="AC449" i="1"/>
  <c r="AC431" i="1"/>
  <c r="AC475" i="1"/>
  <c r="AC492" i="1"/>
  <c r="AC444" i="1"/>
  <c r="AC430" i="1"/>
  <c r="AC453" i="1"/>
  <c r="AC486" i="1"/>
  <c r="AC423" i="1"/>
  <c r="AC457" i="1"/>
  <c r="AC462" i="1"/>
  <c r="AC420" i="1"/>
  <c r="AC428" i="1"/>
  <c r="AC447" i="1"/>
  <c r="AC496" i="1"/>
  <c r="AC459" i="1"/>
  <c r="AC489" i="1"/>
  <c r="AC455" i="1"/>
  <c r="AC440" i="1"/>
  <c r="AC434" i="1"/>
  <c r="AC481" i="1"/>
  <c r="AC490" i="1"/>
  <c r="AD490" i="1" s="1"/>
  <c r="AC487" i="1"/>
  <c r="AC438" i="1"/>
  <c r="AC432" i="1"/>
  <c r="AC461" i="1"/>
  <c r="AC437" i="1"/>
  <c r="AC465" i="1"/>
  <c r="AC424" i="1"/>
  <c r="AC433" i="1"/>
  <c r="AC499" i="1"/>
  <c r="AC429" i="1"/>
  <c r="AC473" i="1"/>
  <c r="AC469" i="1"/>
  <c r="AC485" i="1"/>
  <c r="AC502" i="1"/>
  <c r="AC491" i="1"/>
  <c r="AC500" i="1"/>
  <c r="AC464" i="1"/>
  <c r="AC468" i="1"/>
  <c r="AC477" i="1"/>
  <c r="AC456" i="1"/>
  <c r="AC472" i="1"/>
  <c r="AC422" i="1"/>
  <c r="AC460" i="1"/>
  <c r="AD460" i="1" s="1"/>
  <c r="AC425" i="1"/>
  <c r="AC418" i="1"/>
  <c r="AC446" i="1"/>
  <c r="AC435" i="1"/>
  <c r="AC498" i="1"/>
  <c r="AC501" i="1"/>
  <c r="AC483" i="1"/>
  <c r="AC439" i="1"/>
  <c r="AD439" i="1" s="1"/>
  <c r="AC426" i="1"/>
  <c r="AD426" i="1" s="1"/>
  <c r="AC436" i="1"/>
  <c r="AC421" i="1"/>
  <c r="AC497" i="1"/>
  <c r="AD497" i="1" s="1"/>
  <c r="AC484" i="1"/>
  <c r="AC448" i="1"/>
  <c r="AD448" i="1" s="1"/>
  <c r="AC479" i="1"/>
  <c r="AC458" i="1"/>
  <c r="AC454" i="1"/>
  <c r="AC476" i="1"/>
  <c r="AC445" i="1"/>
  <c r="AC450" i="1"/>
  <c r="AD450" i="1" s="1"/>
  <c r="AC480" i="1"/>
  <c r="AC452" i="1"/>
  <c r="AC443" i="1"/>
  <c r="AC1084" i="1"/>
  <c r="AC1085" i="1"/>
  <c r="AC1088" i="1"/>
  <c r="AC1087" i="1"/>
  <c r="AC1086" i="1"/>
  <c r="AC1089" i="1"/>
  <c r="AC403" i="1"/>
  <c r="AC382" i="1"/>
  <c r="AC391" i="1"/>
  <c r="AC371" i="1"/>
  <c r="AC396" i="1"/>
  <c r="AC399" i="1"/>
  <c r="AC388" i="1"/>
  <c r="AC384" i="1"/>
  <c r="AC412" i="1"/>
  <c r="AC395" i="1"/>
  <c r="AC410" i="1"/>
  <c r="AC405" i="1"/>
  <c r="AC404" i="1"/>
  <c r="AC378" i="1"/>
  <c r="AC413" i="1"/>
  <c r="AC379" i="1"/>
  <c r="AC392" i="1"/>
  <c r="AC415" i="1"/>
  <c r="AC406" i="1"/>
  <c r="AC385" i="1"/>
  <c r="AC414" i="1"/>
  <c r="AC386" i="1"/>
  <c r="AD386" i="1" s="1"/>
  <c r="AC408" i="1"/>
  <c r="AC416" i="1"/>
  <c r="AC376" i="1"/>
  <c r="AC402" i="1"/>
  <c r="AC374" i="1"/>
  <c r="AC411" i="1"/>
  <c r="AC375" i="1"/>
  <c r="AC409" i="1"/>
  <c r="AC370" i="1"/>
  <c r="AC407" i="1"/>
  <c r="AC398" i="1"/>
  <c r="AC387" i="1"/>
  <c r="AC369" i="1"/>
  <c r="AC390" i="1"/>
  <c r="AC393" i="1"/>
  <c r="AC400" i="1"/>
  <c r="AC401" i="1"/>
  <c r="AC397" i="1"/>
  <c r="AC389" i="1"/>
  <c r="AC394" i="1"/>
  <c r="AC381" i="1"/>
  <c r="AC377" i="1"/>
  <c r="AC383" i="1"/>
  <c r="AC380" i="1"/>
  <c r="AC373" i="1"/>
  <c r="AC372" i="1"/>
  <c r="AC980" i="1"/>
  <c r="AC1016" i="1"/>
  <c r="AC953" i="1"/>
  <c r="AC957" i="1"/>
  <c r="AC835" i="1"/>
  <c r="AC970" i="1"/>
  <c r="AD970" i="1" s="1"/>
  <c r="AC955" i="1"/>
  <c r="AC965" i="1"/>
  <c r="AC966" i="1"/>
  <c r="AC1019" i="1"/>
  <c r="AC988" i="1"/>
  <c r="AC977" i="1"/>
  <c r="AC1005" i="1"/>
  <c r="AC993" i="1"/>
  <c r="AC978" i="1"/>
  <c r="AC831" i="1"/>
  <c r="AC834" i="1"/>
  <c r="AC842" i="1"/>
  <c r="AC981" i="1"/>
  <c r="AC1047" i="1"/>
  <c r="AC853" i="1"/>
  <c r="AC1013" i="1"/>
  <c r="AC976" i="1"/>
  <c r="AD976" i="1" s="1"/>
  <c r="AC995" i="1"/>
  <c r="AC935" i="1"/>
  <c r="AC1025" i="1"/>
  <c r="AC843" i="1"/>
  <c r="AC959" i="1"/>
  <c r="AC1017" i="1"/>
  <c r="AC972" i="1"/>
  <c r="AD972" i="1" s="1"/>
  <c r="AC838" i="1"/>
  <c r="AC1000" i="1"/>
  <c r="AC906" i="1"/>
  <c r="AC840" i="1"/>
  <c r="AC846" i="1"/>
  <c r="AC1046" i="1"/>
  <c r="AC1004" i="1"/>
  <c r="AC982" i="1"/>
  <c r="AC844" i="1"/>
  <c r="AC852" i="1"/>
  <c r="AC991" i="1"/>
  <c r="AC1033" i="1"/>
  <c r="AC880" i="1"/>
  <c r="AC973" i="1"/>
  <c r="AC950" i="1"/>
  <c r="AC836" i="1"/>
  <c r="AC922" i="1"/>
  <c r="AC847" i="1"/>
  <c r="AC1012" i="1"/>
  <c r="AC956" i="1"/>
  <c r="AC936" i="1"/>
  <c r="AC850" i="1"/>
  <c r="AC985" i="1"/>
  <c r="AC1031" i="1"/>
  <c r="AC990" i="1"/>
  <c r="AC1029" i="1"/>
  <c r="AC997" i="1"/>
  <c r="AC983" i="1"/>
  <c r="AC1055" i="1"/>
  <c r="AC962" i="1"/>
  <c r="AC917" i="1"/>
  <c r="AC1040" i="1"/>
  <c r="AC1049" i="1"/>
  <c r="AC907" i="1"/>
  <c r="AC1051" i="1"/>
  <c r="AC1021" i="1"/>
  <c r="AC958" i="1"/>
  <c r="AC1001" i="1"/>
  <c r="AC992" i="1"/>
  <c r="AD992" i="1" s="1"/>
  <c r="AC964" i="1"/>
  <c r="AC1056" i="1"/>
  <c r="AC1037" i="1"/>
  <c r="AC1009" i="1"/>
  <c r="AC1058" i="1"/>
  <c r="AD1058" i="1" s="1"/>
  <c r="AC912" i="1"/>
  <c r="AC849" i="1"/>
  <c r="AC833" i="1"/>
  <c r="AC848" i="1"/>
  <c r="AC1045" i="1"/>
  <c r="AC999" i="1"/>
  <c r="AC837" i="1"/>
  <c r="AC1011" i="1"/>
  <c r="AC931" i="1"/>
  <c r="AC841" i="1"/>
  <c r="AC986" i="1"/>
  <c r="AC975" i="1"/>
  <c r="AD975" i="1" s="1"/>
  <c r="AC1041" i="1"/>
  <c r="AC1010" i="1"/>
  <c r="AC1054" i="1"/>
  <c r="AC1020" i="1"/>
  <c r="AD1020" i="1" s="1"/>
  <c r="AC1006" i="1"/>
  <c r="AC1038" i="1"/>
  <c r="AC1028" i="1"/>
  <c r="AC1032" i="1"/>
  <c r="AC832" i="1"/>
  <c r="AC971" i="1"/>
  <c r="AD971" i="1" s="1"/>
  <c r="AC1024" i="1"/>
  <c r="AD1024" i="1" s="1"/>
  <c r="AC830" i="1"/>
  <c r="AC984" i="1"/>
  <c r="AC1035" i="1"/>
  <c r="AC974" i="1"/>
  <c r="AD974" i="1" s="1"/>
  <c r="AC1022" i="1"/>
  <c r="AC1042" i="1"/>
  <c r="AC987" i="1"/>
  <c r="AC1039" i="1"/>
  <c r="AD1039" i="1" s="1"/>
  <c r="AC1036" i="1"/>
  <c r="AC845" i="1"/>
  <c r="AC851" i="1"/>
  <c r="AC969" i="1"/>
  <c r="AC996" i="1"/>
  <c r="AC829" i="1"/>
  <c r="AC1023" i="1"/>
  <c r="AC1053" i="1"/>
  <c r="AC1050" i="1"/>
  <c r="AC994" i="1"/>
  <c r="AD994" i="1" s="1"/>
  <c r="AC1026" i="1"/>
  <c r="AC1057" i="1"/>
  <c r="AC1015" i="1"/>
  <c r="AC1003" i="1"/>
  <c r="AC998" i="1"/>
  <c r="AC1030" i="1"/>
  <c r="AC1043" i="1"/>
  <c r="AD1043" i="1" s="1"/>
  <c r="AC1008" i="1"/>
  <c r="AC1044" i="1"/>
  <c r="AC960" i="1"/>
  <c r="AC854" i="1"/>
  <c r="AC1052" i="1"/>
  <c r="AC1002" i="1"/>
  <c r="AC1027" i="1"/>
  <c r="AC1007" i="1"/>
  <c r="AC979" i="1"/>
  <c r="AC1014" i="1"/>
  <c r="AC1048" i="1"/>
  <c r="AD1048" i="1" s="1"/>
  <c r="AC1059" i="1"/>
  <c r="AD1059" i="1" s="1"/>
  <c r="AC1034" i="1"/>
  <c r="AC839" i="1"/>
  <c r="AC1018" i="1"/>
  <c r="AC915" i="1"/>
  <c r="AC989" i="1"/>
  <c r="AC1096" i="1"/>
  <c r="AC1101" i="1"/>
  <c r="AC1090" i="1"/>
  <c r="AC1099" i="1"/>
  <c r="AC1092" i="1"/>
  <c r="AC1093" i="1"/>
  <c r="AD1093" i="1" s="1"/>
  <c r="AC1091" i="1"/>
  <c r="AC1102" i="1"/>
  <c r="AC1100" i="1"/>
  <c r="AD1100" i="1" s="1"/>
  <c r="AC1094" i="1"/>
  <c r="AC1098" i="1"/>
  <c r="AC1095" i="1"/>
  <c r="AC1097" i="1"/>
  <c r="AC1074" i="1"/>
  <c r="AC1065" i="1"/>
  <c r="AC1077" i="1"/>
  <c r="AC1067" i="1"/>
  <c r="AC1083" i="1"/>
  <c r="AC1072" i="1"/>
  <c r="AC1060" i="1"/>
  <c r="AC1080" i="1"/>
  <c r="AC1071" i="1"/>
  <c r="AC1068" i="1"/>
  <c r="AC1081" i="1"/>
  <c r="AC1061" i="1"/>
  <c r="AC1075" i="1"/>
  <c r="AC1064" i="1"/>
  <c r="AC1078" i="1"/>
  <c r="AC1069" i="1"/>
  <c r="AD1069" i="1" s="1"/>
  <c r="AC1076" i="1"/>
  <c r="AC1070" i="1"/>
  <c r="AC1073" i="1"/>
  <c r="AC1062" i="1"/>
  <c r="AC1079" i="1"/>
  <c r="AC1082" i="1"/>
  <c r="AD1082" i="1" s="1"/>
  <c r="AC1063" i="1"/>
  <c r="AC1066" i="1"/>
  <c r="AC790" i="1"/>
  <c r="AD790" i="1" s="1"/>
  <c r="AC822" i="1"/>
  <c r="AC913" i="1"/>
  <c r="AC873" i="1"/>
  <c r="AC824" i="1"/>
  <c r="AC872" i="1"/>
  <c r="AC949" i="1"/>
  <c r="AC798" i="1"/>
  <c r="AC808" i="1"/>
  <c r="AC881" i="1"/>
  <c r="AC796" i="1"/>
  <c r="AC926" i="1"/>
  <c r="AC820" i="1"/>
  <c r="AC875" i="1"/>
  <c r="AC810" i="1"/>
  <c r="AC860" i="1"/>
  <c r="AC809" i="1"/>
  <c r="AC892" i="1"/>
  <c r="AC893" i="1"/>
  <c r="AC882" i="1"/>
  <c r="AC918" i="1"/>
  <c r="AC795" i="1"/>
  <c r="AC792" i="1"/>
  <c r="AC927" i="1"/>
  <c r="AC815" i="1"/>
  <c r="AC780" i="1"/>
  <c r="AC797" i="1"/>
  <c r="AC877" i="1"/>
  <c r="AC947" i="1"/>
  <c r="AC787" i="1"/>
  <c r="AC933" i="1"/>
  <c r="AC963" i="1"/>
  <c r="AC814" i="1"/>
  <c r="AC793" i="1"/>
  <c r="AC866" i="1"/>
  <c r="AC864" i="1"/>
  <c r="AD864" i="1" s="1"/>
  <c r="AC961" i="1"/>
  <c r="AD961" i="1" s="1"/>
  <c r="AC825" i="1"/>
  <c r="AC871" i="1"/>
  <c r="AC857" i="1"/>
  <c r="AC934" i="1"/>
  <c r="AC925" i="1"/>
  <c r="AC952" i="1"/>
  <c r="AC868" i="1"/>
  <c r="AC914" i="1"/>
  <c r="AD914" i="1" s="1"/>
  <c r="AC804" i="1"/>
  <c r="AC782" i="1"/>
  <c r="AC791" i="1"/>
  <c r="AC869" i="1"/>
  <c r="AC902" i="1"/>
  <c r="AC941" i="1"/>
  <c r="AC816" i="1"/>
  <c r="AC828" i="1"/>
  <c r="AD828" i="1" s="1"/>
  <c r="AC865" i="1"/>
  <c r="AC942" i="1"/>
  <c r="AC859" i="1"/>
  <c r="AC813" i="1"/>
  <c r="AC897" i="1"/>
  <c r="AC800" i="1"/>
  <c r="AC909" i="1"/>
  <c r="AC812" i="1"/>
  <c r="AC923" i="1"/>
  <c r="AC887" i="1"/>
  <c r="AC862" i="1"/>
  <c r="AC861" i="1"/>
  <c r="AC924" i="1"/>
  <c r="AC803" i="1"/>
  <c r="AC855" i="1"/>
  <c r="AC801" i="1"/>
  <c r="AC937" i="1"/>
  <c r="AC883" i="1"/>
  <c r="AC946" i="1"/>
  <c r="AC905" i="1"/>
  <c r="AC805" i="1"/>
  <c r="AC858" i="1"/>
  <c r="AC938" i="1"/>
  <c r="AC940" i="1"/>
  <c r="AC910" i="1"/>
  <c r="AC943" i="1"/>
  <c r="AC821" i="1"/>
  <c r="AD821" i="1" s="1"/>
  <c r="AC870" i="1"/>
  <c r="AC916" i="1"/>
  <c r="AC944" i="1"/>
  <c r="AC891" i="1"/>
  <c r="AC908" i="1"/>
  <c r="AC811" i="1"/>
  <c r="AC879" i="1"/>
  <c r="AC878" i="1"/>
  <c r="AC807" i="1"/>
  <c r="AC901" i="1"/>
  <c r="AC929" i="1"/>
  <c r="AC785" i="1"/>
  <c r="AC827" i="1"/>
  <c r="AC967" i="1"/>
  <c r="AC939" i="1"/>
  <c r="AD939" i="1" s="1"/>
  <c r="AC948" i="1"/>
  <c r="AC900" i="1"/>
  <c r="AC903" i="1"/>
  <c r="AC817" i="1"/>
  <c r="AC876" i="1"/>
  <c r="AC799" i="1"/>
  <c r="AC823" i="1"/>
  <c r="AD823" i="1" s="1"/>
  <c r="AC784" i="1"/>
  <c r="AC919" i="1"/>
  <c r="AD919" i="1" s="1"/>
  <c r="AC945" i="1"/>
  <c r="AC951" i="1"/>
  <c r="AC818" i="1"/>
  <c r="AC911" i="1"/>
  <c r="AC789" i="1"/>
  <c r="AC904" i="1"/>
  <c r="AC894" i="1"/>
  <c r="AC826" i="1"/>
  <c r="AC794" i="1"/>
  <c r="AC884" i="1"/>
  <c r="AC783" i="1"/>
  <c r="AC932" i="1"/>
  <c r="AC874" i="1"/>
  <c r="AC786" i="1"/>
  <c r="AD786" i="1" s="1"/>
  <c r="AC890" i="1"/>
  <c r="AC867" i="1"/>
  <c r="AC888" i="1"/>
  <c r="AC930" i="1"/>
  <c r="AC886" i="1"/>
  <c r="AC921" i="1"/>
  <c r="AC954" i="1"/>
  <c r="AC899" i="1"/>
  <c r="AC863" i="1"/>
  <c r="AC968" i="1"/>
  <c r="AC896" i="1"/>
  <c r="AC802" i="1"/>
  <c r="AC781" i="1"/>
  <c r="AC819" i="1"/>
  <c r="AC885" i="1"/>
  <c r="AC920" i="1"/>
  <c r="AD920" i="1" s="1"/>
  <c r="AC788" i="1"/>
  <c r="AC928" i="1"/>
  <c r="AC898" i="1"/>
  <c r="AC856" i="1"/>
  <c r="AC889" i="1"/>
  <c r="AC806" i="1"/>
  <c r="AC895" i="1"/>
  <c r="AD895" i="1" s="1"/>
  <c r="R38" i="7"/>
  <c r="R25" i="7"/>
  <c r="R24" i="7"/>
  <c r="Q37" i="7"/>
  <c r="T11" i="7"/>
  <c r="S12" i="7"/>
  <c r="R34" i="7"/>
  <c r="R35" i="7" s="1"/>
  <c r="R16" i="7"/>
  <c r="R17" i="7" s="1"/>
  <c r="R33" i="7"/>
  <c r="Q20" i="7"/>
  <c r="Q21" i="7"/>
  <c r="R19" i="7"/>
  <c r="R32" i="7"/>
  <c r="S6" i="7"/>
  <c r="S7" i="7"/>
  <c r="T5" i="7"/>
  <c r="S40" i="7"/>
  <c r="S8" i="7"/>
  <c r="S9" i="7" s="1"/>
  <c r="R13" i="7"/>
  <c r="R14" i="7"/>
  <c r="AA4" i="7"/>
  <c r="AB3" i="7"/>
  <c r="T28" i="7"/>
  <c r="T29" i="7" s="1"/>
  <c r="U27" i="7"/>
  <c r="Q36" i="7"/>
  <c r="R30" i="7"/>
  <c r="R41" i="7"/>
  <c r="R42" i="7" s="1"/>
  <c r="L76" i="4"/>
  <c r="AC2" i="1"/>
  <c r="AC4" i="1"/>
  <c r="AC3" i="1"/>
  <c r="O2283" i="1"/>
  <c r="S2282" i="1"/>
  <c r="T2282" i="1" s="1"/>
  <c r="T2279" i="1"/>
  <c r="S2278" i="1"/>
  <c r="AC315" i="1"/>
  <c r="AC318" i="1"/>
  <c r="AC317" i="1"/>
  <c r="AC316" i="1"/>
  <c r="AC310" i="1"/>
  <c r="AC313" i="1"/>
  <c r="AC314" i="1"/>
  <c r="AC311" i="1"/>
  <c r="AC309" i="1"/>
  <c r="AC312" i="1"/>
  <c r="AC287" i="1"/>
  <c r="AC305" i="1"/>
  <c r="AC306" i="1"/>
  <c r="AC307" i="1"/>
  <c r="AC288" i="1"/>
  <c r="AC294" i="1"/>
  <c r="AC303" i="1"/>
  <c r="AC299" i="1"/>
  <c r="AC292" i="1"/>
  <c r="AC289" i="1"/>
  <c r="AC302" i="1"/>
  <c r="AC297" i="1"/>
  <c r="AC286" i="1"/>
  <c r="AC285" i="1"/>
  <c r="AC284" i="1"/>
  <c r="AC293" i="1"/>
  <c r="AC308" i="1"/>
  <c r="AC300" i="1"/>
  <c r="AC290" i="1"/>
  <c r="AC301" i="1"/>
  <c r="AC291" i="1"/>
  <c r="AC298" i="1"/>
  <c r="AC304" i="1"/>
  <c r="AC283" i="1"/>
  <c r="AC178" i="1"/>
  <c r="AC240" i="1"/>
  <c r="AC190" i="1"/>
  <c r="AC281" i="1"/>
  <c r="AC249" i="1"/>
  <c r="AD249" i="1" s="1"/>
  <c r="AC217" i="1"/>
  <c r="AC224" i="1"/>
  <c r="AC230" i="1"/>
  <c r="AC150" i="1"/>
  <c r="AC205" i="1"/>
  <c r="AC173" i="1"/>
  <c r="AC186" i="1"/>
  <c r="AC232" i="1"/>
  <c r="AC158" i="1"/>
  <c r="AC295" i="1"/>
  <c r="AC209" i="1"/>
  <c r="AC177" i="1"/>
  <c r="AC176" i="1"/>
  <c r="AC222" i="1"/>
  <c r="AC269" i="1"/>
  <c r="AC237" i="1"/>
  <c r="AC165" i="1"/>
  <c r="AC258" i="1"/>
  <c r="AC239" i="1"/>
  <c r="AD239" i="1" s="1"/>
  <c r="AC273" i="1"/>
  <c r="AC226" i="1"/>
  <c r="AC272" i="1"/>
  <c r="AC192" i="1"/>
  <c r="AC241" i="1"/>
  <c r="AC277" i="1"/>
  <c r="AD277" i="1" s="1"/>
  <c r="AC214" i="1"/>
  <c r="AC229" i="1"/>
  <c r="AC197" i="1"/>
  <c r="AC201" i="1"/>
  <c r="AD201" i="1" s="1"/>
  <c r="AC169" i="1"/>
  <c r="AC270" i="1"/>
  <c r="AD270" i="1" s="1"/>
  <c r="AC206" i="1"/>
  <c r="AC261" i="1"/>
  <c r="AC170" i="1"/>
  <c r="AC218" i="1"/>
  <c r="AC162" i="1"/>
  <c r="AC264" i="1"/>
  <c r="AC216" i="1"/>
  <c r="AC279" i="1"/>
  <c r="AC265" i="1"/>
  <c r="AC233" i="1"/>
  <c r="AC161" i="1"/>
  <c r="AC145" i="1"/>
  <c r="AC262" i="1"/>
  <c r="AC198" i="1"/>
  <c r="AC189" i="1"/>
  <c r="AC157" i="1"/>
  <c r="AC250" i="1"/>
  <c r="AC154" i="1"/>
  <c r="AC194" i="1"/>
  <c r="AC168" i="1"/>
  <c r="AC225" i="1"/>
  <c r="AC193" i="1"/>
  <c r="AC254" i="1"/>
  <c r="AC182" i="1"/>
  <c r="AC253" i="1"/>
  <c r="AC213" i="1"/>
  <c r="AD213" i="1" s="1"/>
  <c r="AC210" i="1"/>
  <c r="AC256" i="1"/>
  <c r="AC208" i="1"/>
  <c r="AC257" i="1"/>
  <c r="AC280" i="1"/>
  <c r="AC246" i="1"/>
  <c r="AC174" i="1"/>
  <c r="AC181" i="1"/>
  <c r="AC149" i="1"/>
  <c r="AC202" i="1"/>
  <c r="AD202" i="1" s="1"/>
  <c r="AC146" i="1"/>
  <c r="AC248" i="1"/>
  <c r="AC160" i="1"/>
  <c r="AC185" i="1"/>
  <c r="AC153" i="1"/>
  <c r="AC238" i="1"/>
  <c r="AC166" i="1"/>
  <c r="AC276" i="1"/>
  <c r="AC245" i="1"/>
  <c r="AD245" i="1" s="1"/>
  <c r="AC221" i="1"/>
  <c r="AC234" i="1"/>
  <c r="AD234" i="1" s="1"/>
  <c r="AC200" i="1"/>
  <c r="AC152" i="1"/>
  <c r="AC266" i="1"/>
  <c r="AC159" i="1"/>
  <c r="AC184" i="1"/>
  <c r="AC271" i="1"/>
  <c r="AC263" i="1"/>
  <c r="AC183" i="1"/>
  <c r="AC223" i="1"/>
  <c r="AD223" i="1" s="1"/>
  <c r="AC199" i="1"/>
  <c r="AC231" i="1"/>
  <c r="AC228" i="1"/>
  <c r="AC180" i="1"/>
  <c r="AC243" i="1"/>
  <c r="AC179" i="1"/>
  <c r="AC175" i="1"/>
  <c r="AC207" i="1"/>
  <c r="AC268" i="1"/>
  <c r="AC172" i="1"/>
  <c r="AC235" i="1"/>
  <c r="AD235" i="1" s="1"/>
  <c r="AC171" i="1"/>
  <c r="AC242" i="1"/>
  <c r="AD242" i="1" s="1"/>
  <c r="AC167" i="1"/>
  <c r="AC191" i="1"/>
  <c r="AC220" i="1"/>
  <c r="AC164" i="1"/>
  <c r="AC227" i="1"/>
  <c r="AC163" i="1"/>
  <c r="AC151" i="1"/>
  <c r="AC260" i="1"/>
  <c r="AC212" i="1"/>
  <c r="AC282" i="1"/>
  <c r="AC219" i="1"/>
  <c r="AC155" i="1"/>
  <c r="AC252" i="1"/>
  <c r="AC204" i="1"/>
  <c r="AD204" i="1" s="1"/>
  <c r="AC156" i="1"/>
  <c r="AC274" i="1"/>
  <c r="AC211" i="1"/>
  <c r="AD211" i="1" s="1"/>
  <c r="AC147" i="1"/>
  <c r="AC244" i="1"/>
  <c r="AC196" i="1"/>
  <c r="AC148" i="1"/>
  <c r="AC267" i="1"/>
  <c r="AD267" i="1" s="1"/>
  <c r="AC203" i="1"/>
  <c r="AD203" i="1" s="1"/>
  <c r="AC255" i="1"/>
  <c r="AC278" i="1"/>
  <c r="AC188" i="1"/>
  <c r="AC259" i="1"/>
  <c r="AC195" i="1"/>
  <c r="AC215" i="1"/>
  <c r="AC247" i="1"/>
  <c r="AC275" i="1"/>
  <c r="AC236" i="1"/>
  <c r="AC251" i="1"/>
  <c r="AC187" i="1"/>
  <c r="AC107" i="1"/>
  <c r="AC121" i="1"/>
  <c r="AC6" i="1"/>
  <c r="AC61" i="1"/>
  <c r="AC58" i="1"/>
  <c r="AC141" i="1"/>
  <c r="AC130" i="1"/>
  <c r="AC22" i="1"/>
  <c r="AC36" i="1"/>
  <c r="AC53" i="1"/>
  <c r="AC142" i="1"/>
  <c r="AC98" i="1"/>
  <c r="AC97" i="1"/>
  <c r="AC63" i="1"/>
  <c r="AC40" i="1"/>
  <c r="AC15" i="1"/>
  <c r="AC94" i="1"/>
  <c r="AC54" i="1"/>
  <c r="AC144" i="1"/>
  <c r="AC20" i="1"/>
  <c r="AC137" i="1"/>
  <c r="AC134" i="1"/>
  <c r="AC50" i="1"/>
  <c r="AC118" i="1"/>
  <c r="AC24" i="1"/>
  <c r="AC129" i="1"/>
  <c r="AC37" i="1"/>
  <c r="AC126" i="1"/>
  <c r="AC90" i="1"/>
  <c r="AC34" i="1"/>
  <c r="AC125" i="1"/>
  <c r="AC89" i="1"/>
  <c r="AC111" i="1"/>
  <c r="AC55" i="1"/>
  <c r="AC296" i="1"/>
  <c r="AC46" i="1"/>
  <c r="AC30" i="1"/>
  <c r="AC136" i="1"/>
  <c r="AC91" i="1"/>
  <c r="AC82" i="1"/>
  <c r="AC113" i="1"/>
  <c r="AC81" i="1"/>
  <c r="AC103" i="1"/>
  <c r="AC72" i="1"/>
  <c r="AC8" i="1"/>
  <c r="AC78" i="1"/>
  <c r="AC21" i="1"/>
  <c r="AC114" i="1"/>
  <c r="AC95" i="1"/>
  <c r="AC133" i="1"/>
  <c r="AC122" i="1"/>
  <c r="AC47" i="1"/>
  <c r="AC110" i="1"/>
  <c r="AC38" i="1"/>
  <c r="AC128" i="1"/>
  <c r="AC69" i="1"/>
  <c r="AC66" i="1"/>
  <c r="AC18" i="1"/>
  <c r="AC105" i="1"/>
  <c r="AC87" i="1"/>
  <c r="AC41" i="1"/>
  <c r="AC70" i="1"/>
  <c r="AC68" i="1"/>
  <c r="AC5" i="1"/>
  <c r="AC106" i="1"/>
  <c r="AC79" i="1"/>
  <c r="AC56" i="1"/>
  <c r="AC120" i="1"/>
  <c r="AC31" i="1"/>
  <c r="AC138" i="1"/>
  <c r="AC102" i="1"/>
  <c r="AC62" i="1"/>
  <c r="AC52" i="1"/>
  <c r="AC115" i="1"/>
  <c r="AC43" i="1"/>
  <c r="AC25" i="1"/>
  <c r="AC73" i="1"/>
  <c r="AC17" i="1"/>
  <c r="AC83" i="1"/>
  <c r="AC27" i="1"/>
  <c r="AC57" i="1"/>
  <c r="AC11" i="1"/>
  <c r="AC33" i="1"/>
  <c r="AC86" i="1"/>
  <c r="AC75" i="1"/>
  <c r="AC9" i="1"/>
  <c r="AC65" i="1"/>
  <c r="AC143" i="1"/>
  <c r="AC59" i="1"/>
  <c r="AC23" i="1"/>
  <c r="AC26" i="1"/>
  <c r="AC49" i="1"/>
  <c r="AC14" i="1"/>
  <c r="AC16" i="1"/>
  <c r="AC88" i="1"/>
  <c r="AC132" i="1"/>
  <c r="AC74" i="1"/>
  <c r="AC116" i="1"/>
  <c r="AC64" i="1"/>
  <c r="AC80" i="1"/>
  <c r="AC124" i="1"/>
  <c r="AC71" i="1"/>
  <c r="AC108" i="1"/>
  <c r="AC44" i="1"/>
  <c r="AC60" i="1"/>
  <c r="AC117" i="1"/>
  <c r="AC45" i="1"/>
  <c r="AC100" i="1"/>
  <c r="AC127" i="1"/>
  <c r="AC109" i="1"/>
  <c r="AC42" i="1"/>
  <c r="AC92" i="1"/>
  <c r="AC35" i="1"/>
  <c r="AC99" i="1"/>
  <c r="AC119" i="1"/>
  <c r="AC135" i="1"/>
  <c r="AC51" i="1"/>
  <c r="AC101" i="1"/>
  <c r="AC39" i="1"/>
  <c r="AC84" i="1"/>
  <c r="AC32" i="1"/>
  <c r="AC28" i="1"/>
  <c r="AC112" i="1"/>
  <c r="AC48" i="1"/>
  <c r="AC93" i="1"/>
  <c r="AC13" i="1"/>
  <c r="AC139" i="1"/>
  <c r="AD139" i="1" s="1"/>
  <c r="AC76" i="1"/>
  <c r="AC12" i="1"/>
  <c r="AC29" i="1"/>
  <c r="AC104" i="1"/>
  <c r="AC85" i="1"/>
  <c r="AC10" i="1"/>
  <c r="AC131" i="1"/>
  <c r="AC19" i="1"/>
  <c r="AC96" i="1"/>
  <c r="AC140" i="1"/>
  <c r="AC77" i="1"/>
  <c r="AC7" i="1"/>
  <c r="AC123" i="1"/>
  <c r="AC67" i="1"/>
  <c r="BA3" i="1"/>
  <c r="BA2" i="1"/>
  <c r="BA72" i="1"/>
  <c r="BA73" i="1"/>
  <c r="BA76" i="1"/>
  <c r="BA75" i="1"/>
  <c r="BA74" i="1"/>
  <c r="BA4" i="1"/>
  <c r="BA5" i="1"/>
  <c r="AD96" i="1" l="1"/>
  <c r="AP96" i="1" s="1"/>
  <c r="AD132" i="1"/>
  <c r="AP132" i="1" s="1"/>
  <c r="AD114" i="1"/>
  <c r="AP114" i="1" s="1"/>
  <c r="AD147" i="1"/>
  <c r="AP147" i="1" s="1"/>
  <c r="AD160" i="1"/>
  <c r="AP160" i="1" s="1"/>
  <c r="AD222" i="1"/>
  <c r="AP222" i="1" s="1"/>
  <c r="AD306" i="1"/>
  <c r="AP306" i="1" s="1"/>
  <c r="AD789" i="1"/>
  <c r="AP789" i="1" s="1"/>
  <c r="AD801" i="1"/>
  <c r="AP801" i="1" s="1"/>
  <c r="AD820" i="1"/>
  <c r="AP820" i="1" s="1"/>
  <c r="AD853" i="1"/>
  <c r="AP853" i="1" s="1"/>
  <c r="AD393" i="1"/>
  <c r="AP393" i="1" s="1"/>
  <c r="AD476" i="1"/>
  <c r="AP476" i="1" s="1"/>
  <c r="AD427" i="1"/>
  <c r="AP427" i="1" s="1"/>
  <c r="AD344" i="1"/>
  <c r="AP344" i="1" s="1"/>
  <c r="AD39" i="1"/>
  <c r="AP39" i="1" s="1"/>
  <c r="AD42" i="1"/>
  <c r="AP42" i="1" s="1"/>
  <c r="AD108" i="1"/>
  <c r="AP108" i="1" s="1"/>
  <c r="AD88" i="1"/>
  <c r="AP88" i="1" s="1"/>
  <c r="AD65" i="1"/>
  <c r="AP65" i="1" s="1"/>
  <c r="AD83" i="1"/>
  <c r="AP83" i="1" s="1"/>
  <c r="AD102" i="1"/>
  <c r="AP102" i="1" s="1"/>
  <c r="AD68" i="1"/>
  <c r="AP68" i="1" s="1"/>
  <c r="AD128" i="1"/>
  <c r="AP128" i="1" s="1"/>
  <c r="AP21" i="1"/>
  <c r="AD21" i="1"/>
  <c r="AD91" i="1"/>
  <c r="AP91" i="1" s="1"/>
  <c r="AD125" i="1"/>
  <c r="AP125" i="1" s="1"/>
  <c r="AD50" i="1"/>
  <c r="AP50" i="1" s="1"/>
  <c r="AD40" i="1"/>
  <c r="AP40" i="1" s="1"/>
  <c r="AP130" i="1"/>
  <c r="AD130" i="1"/>
  <c r="AD251" i="1"/>
  <c r="AP251" i="1" s="1"/>
  <c r="AD278" i="1"/>
  <c r="AP278" i="1" s="1"/>
  <c r="AD212" i="1"/>
  <c r="AP212" i="1" s="1"/>
  <c r="AD167" i="1"/>
  <c r="AP167" i="1" s="1"/>
  <c r="AD179" i="1"/>
  <c r="AP179" i="1" s="1"/>
  <c r="AD263" i="1"/>
  <c r="AP263" i="1" s="1"/>
  <c r="AD221" i="1"/>
  <c r="AP221" i="1" s="1"/>
  <c r="AD248" i="1"/>
  <c r="AP248" i="1" s="1"/>
  <c r="AD257" i="1"/>
  <c r="AP257" i="1" s="1"/>
  <c r="AD193" i="1"/>
  <c r="AP193" i="1" s="1"/>
  <c r="AP198" i="1"/>
  <c r="AD198" i="1"/>
  <c r="AD264" i="1"/>
  <c r="AP264" i="1" s="1"/>
  <c r="AD226" i="1"/>
  <c r="AP226" i="1" s="1"/>
  <c r="AD176" i="1"/>
  <c r="AP176" i="1" s="1"/>
  <c r="AD205" i="1"/>
  <c r="AP205" i="1" s="1"/>
  <c r="AP240" i="1"/>
  <c r="AD240" i="1"/>
  <c r="AD300" i="1"/>
  <c r="AP300" i="1" s="1"/>
  <c r="AD289" i="1"/>
  <c r="AP289" i="1" s="1"/>
  <c r="AD305" i="1"/>
  <c r="AP305" i="1" s="1"/>
  <c r="AD316" i="1"/>
  <c r="AP316" i="1" s="1"/>
  <c r="AD3" i="1"/>
  <c r="AP3" i="1" s="1"/>
  <c r="AD806" i="1"/>
  <c r="AP806" i="1" s="1"/>
  <c r="AD819" i="1"/>
  <c r="AP819" i="1" s="1"/>
  <c r="AD921" i="1"/>
  <c r="AP921" i="1" s="1"/>
  <c r="AD932" i="1"/>
  <c r="AP932" i="1" s="1"/>
  <c r="AD911" i="1"/>
  <c r="AP911" i="1" s="1"/>
  <c r="AP876" i="1"/>
  <c r="AD876" i="1"/>
  <c r="AD785" i="1"/>
  <c r="AP785" i="1" s="1"/>
  <c r="AD891" i="1"/>
  <c r="AP891" i="1" s="1"/>
  <c r="AD938" i="1"/>
  <c r="AP938" i="1" s="1"/>
  <c r="AD855" i="1"/>
  <c r="AP855" i="1" s="1"/>
  <c r="AP909" i="1"/>
  <c r="AD909" i="1"/>
  <c r="AD816" i="1"/>
  <c r="AP816" i="1" s="1"/>
  <c r="AD868" i="1"/>
  <c r="AP868" i="1" s="1"/>
  <c r="AD877" i="1"/>
  <c r="AP877" i="1" s="1"/>
  <c r="AD882" i="1"/>
  <c r="AP882" i="1" s="1"/>
  <c r="AD926" i="1"/>
  <c r="AP926" i="1" s="1"/>
  <c r="AD873" i="1"/>
  <c r="AP873" i="1" s="1"/>
  <c r="AD1062" i="1"/>
  <c r="AP1062" i="1" s="1"/>
  <c r="AD1061" i="1"/>
  <c r="AP1061" i="1" s="1"/>
  <c r="AD1067" i="1"/>
  <c r="AP1067" i="1" s="1"/>
  <c r="AD1096" i="1"/>
  <c r="AP1096" i="1" s="1"/>
  <c r="AP1014" i="1"/>
  <c r="AD1014" i="1"/>
  <c r="AD1044" i="1"/>
  <c r="AP1044" i="1" s="1"/>
  <c r="AD1026" i="1"/>
  <c r="AP1026" i="1" s="1"/>
  <c r="AD851" i="1"/>
  <c r="AP851" i="1" s="1"/>
  <c r="AD1035" i="1"/>
  <c r="AP1035" i="1" s="1"/>
  <c r="AP1038" i="1"/>
  <c r="AD1038" i="1"/>
  <c r="AD841" i="1"/>
  <c r="AP841" i="1" s="1"/>
  <c r="AD849" i="1"/>
  <c r="AP849" i="1" s="1"/>
  <c r="AD1001" i="1"/>
  <c r="AP1001" i="1" s="1"/>
  <c r="AD962" i="1"/>
  <c r="AP962" i="1" s="1"/>
  <c r="AD850" i="1"/>
  <c r="AP850" i="1" s="1"/>
  <c r="AD973" i="1"/>
  <c r="AP973" i="1" s="1"/>
  <c r="AD1046" i="1"/>
  <c r="AP1046" i="1" s="1"/>
  <c r="AD959" i="1"/>
  <c r="AP959" i="1" s="1"/>
  <c r="AD1047" i="1"/>
  <c r="AP1047" i="1" s="1"/>
  <c r="AD977" i="1"/>
  <c r="AP977" i="1" s="1"/>
  <c r="AP957" i="1"/>
  <c r="AD957" i="1"/>
  <c r="AD377" i="1"/>
  <c r="AP377" i="1" s="1"/>
  <c r="AD390" i="1"/>
  <c r="AP390" i="1" s="1"/>
  <c r="AD411" i="1"/>
  <c r="AP411" i="1" s="1"/>
  <c r="AD385" i="1"/>
  <c r="AP385" i="1" s="1"/>
  <c r="AP405" i="1"/>
  <c r="AD405" i="1"/>
  <c r="AD371" i="1"/>
  <c r="AP371" i="1" s="1"/>
  <c r="AD1085" i="1"/>
  <c r="AP1085" i="1" s="1"/>
  <c r="AD454" i="1"/>
  <c r="AP454" i="1" s="1"/>
  <c r="AD425" i="1"/>
  <c r="AP425" i="1" s="1"/>
  <c r="AD500" i="1"/>
  <c r="AP500" i="1" s="1"/>
  <c r="AD433" i="1"/>
  <c r="AP433" i="1" s="1"/>
  <c r="AD447" i="1"/>
  <c r="AP447" i="1" s="1"/>
  <c r="AD430" i="1"/>
  <c r="AP430" i="1" s="1"/>
  <c r="AD463" i="1"/>
  <c r="AP463" i="1" s="1"/>
  <c r="AD451" i="1"/>
  <c r="AP451" i="1" s="1"/>
  <c r="AP494" i="1"/>
  <c r="AD494" i="1"/>
  <c r="AD348" i="1"/>
  <c r="AP348" i="1" s="1"/>
  <c r="AD319" i="1"/>
  <c r="AP319" i="1" s="1"/>
  <c r="AD328" i="1"/>
  <c r="AP328" i="1" s="1"/>
  <c r="AD360" i="1"/>
  <c r="AP360" i="1" s="1"/>
  <c r="AP354" i="1"/>
  <c r="AD354" i="1"/>
  <c r="AD342" i="1"/>
  <c r="AP342" i="1" s="1"/>
  <c r="AD1108" i="1"/>
  <c r="AP1108" i="1" s="1"/>
  <c r="AD44" i="1"/>
  <c r="AP44" i="1" s="1"/>
  <c r="AD118" i="1"/>
  <c r="AP118" i="1" s="1"/>
  <c r="AD254" i="1"/>
  <c r="AP254" i="1" s="1"/>
  <c r="AD885" i="1"/>
  <c r="AP885" i="1" s="1"/>
  <c r="AD1079" i="1"/>
  <c r="AP1079" i="1" s="1"/>
  <c r="AD950" i="1"/>
  <c r="AP950" i="1" s="1"/>
  <c r="AD1088" i="1"/>
  <c r="AP1088" i="1" s="1"/>
  <c r="AD474" i="1"/>
  <c r="AP474" i="1" s="1"/>
  <c r="AP131" i="1"/>
  <c r="AD131" i="1"/>
  <c r="AD17" i="1"/>
  <c r="AP17" i="1" s="1"/>
  <c r="AD34" i="1"/>
  <c r="AP34" i="1" s="1"/>
  <c r="AD236" i="1"/>
  <c r="AP236" i="1" s="1"/>
  <c r="AD260" i="1"/>
  <c r="AP260" i="1" s="1"/>
  <c r="AP243" i="1"/>
  <c r="AD243" i="1"/>
  <c r="AD146" i="1"/>
  <c r="AP146" i="1" s="1"/>
  <c r="AD262" i="1"/>
  <c r="AP262" i="1" s="1"/>
  <c r="AD162" i="1"/>
  <c r="AP162" i="1" s="1"/>
  <c r="AD197" i="1"/>
  <c r="AP197" i="1" s="1"/>
  <c r="AD273" i="1"/>
  <c r="AP273" i="1" s="1"/>
  <c r="AD177" i="1"/>
  <c r="AP177" i="1" s="1"/>
  <c r="AD150" i="1"/>
  <c r="AP150" i="1" s="1"/>
  <c r="AD178" i="1"/>
  <c r="AP178" i="1" s="1"/>
  <c r="AD308" i="1"/>
  <c r="AP308" i="1" s="1"/>
  <c r="AD292" i="1"/>
  <c r="AP292" i="1" s="1"/>
  <c r="AP287" i="1"/>
  <c r="AD287" i="1"/>
  <c r="AD317" i="1"/>
  <c r="AP317" i="1" s="1"/>
  <c r="AD4" i="1"/>
  <c r="AP4" i="1" s="1"/>
  <c r="AD889" i="1"/>
  <c r="AP889" i="1" s="1"/>
  <c r="AD781" i="1"/>
  <c r="AP781" i="1" s="1"/>
  <c r="AP886" i="1"/>
  <c r="AD886" i="1"/>
  <c r="AD783" i="1"/>
  <c r="AP783" i="1" s="1"/>
  <c r="AD818" i="1"/>
  <c r="AP818" i="1" s="1"/>
  <c r="AD817" i="1"/>
  <c r="AP817" i="1" s="1"/>
  <c r="AD929" i="1"/>
  <c r="AP929" i="1" s="1"/>
  <c r="AD944" i="1"/>
  <c r="AP944" i="1" s="1"/>
  <c r="AD858" i="1"/>
  <c r="AP858" i="1" s="1"/>
  <c r="AD803" i="1"/>
  <c r="AP803" i="1" s="1"/>
  <c r="AD800" i="1"/>
  <c r="AP800" i="1" s="1"/>
  <c r="AD941" i="1"/>
  <c r="AP941" i="1" s="1"/>
  <c r="AD952" i="1"/>
  <c r="AP952" i="1" s="1"/>
  <c r="AP866" i="1"/>
  <c r="AD866" i="1"/>
  <c r="AD797" i="1"/>
  <c r="AP797" i="1" s="1"/>
  <c r="AD893" i="1"/>
  <c r="AP893" i="1" s="1"/>
  <c r="AD796" i="1"/>
  <c r="AP796" i="1" s="1"/>
  <c r="AD913" i="1"/>
  <c r="AP913" i="1" s="1"/>
  <c r="AP1073" i="1"/>
  <c r="AD1073" i="1"/>
  <c r="AD1081" i="1"/>
  <c r="AP1081" i="1" s="1"/>
  <c r="AD1077" i="1"/>
  <c r="AP1077" i="1" s="1"/>
  <c r="AD1102" i="1"/>
  <c r="AP1102" i="1" s="1"/>
  <c r="AD989" i="1"/>
  <c r="AP989" i="1" s="1"/>
  <c r="AD979" i="1"/>
  <c r="AP979" i="1" s="1"/>
  <c r="AD1008" i="1"/>
  <c r="AP1008" i="1" s="1"/>
  <c r="AD845" i="1"/>
  <c r="AP845" i="1" s="1"/>
  <c r="AD984" i="1"/>
  <c r="AP984" i="1" s="1"/>
  <c r="AD1006" i="1"/>
  <c r="AP1006" i="1" s="1"/>
  <c r="AD931" i="1"/>
  <c r="AP931" i="1" s="1"/>
  <c r="AP912" i="1"/>
  <c r="AD912" i="1"/>
  <c r="AD958" i="1"/>
  <c r="AP958" i="1" s="1"/>
  <c r="AD1055" i="1"/>
  <c r="AP1055" i="1" s="1"/>
  <c r="AD936" i="1"/>
  <c r="AP936" i="1" s="1"/>
  <c r="AD880" i="1"/>
  <c r="AP880" i="1" s="1"/>
  <c r="AP846" i="1"/>
  <c r="AD846" i="1"/>
  <c r="AD843" i="1"/>
  <c r="AP843" i="1" s="1"/>
  <c r="AD981" i="1"/>
  <c r="AP981" i="1" s="1"/>
  <c r="AD988" i="1"/>
  <c r="AP988" i="1" s="1"/>
  <c r="AD953" i="1"/>
  <c r="AP953" i="1" s="1"/>
  <c r="AD381" i="1"/>
  <c r="AP381" i="1" s="1"/>
  <c r="AD369" i="1"/>
  <c r="AP369" i="1" s="1"/>
  <c r="AD374" i="1"/>
  <c r="AP374" i="1" s="1"/>
  <c r="AD406" i="1"/>
  <c r="AP406" i="1" s="1"/>
  <c r="AD410" i="1"/>
  <c r="AP410" i="1" s="1"/>
  <c r="AD391" i="1"/>
  <c r="AP391" i="1" s="1"/>
  <c r="AP1084" i="1"/>
  <c r="AD1084" i="1"/>
  <c r="AD458" i="1"/>
  <c r="AP458" i="1" s="1"/>
  <c r="AD491" i="1"/>
  <c r="AP491" i="1" s="1"/>
  <c r="AD424" i="1"/>
  <c r="AP424" i="1" s="1"/>
  <c r="AD481" i="1"/>
  <c r="AP481" i="1" s="1"/>
  <c r="AP428" i="1"/>
  <c r="AD428" i="1"/>
  <c r="AD444" i="1"/>
  <c r="AP444" i="1" s="1"/>
  <c r="AD471" i="1"/>
  <c r="AP471" i="1" s="1"/>
  <c r="AD503" i="1"/>
  <c r="AP503" i="1" s="1"/>
  <c r="AD356" i="1"/>
  <c r="AP356" i="1" s="1"/>
  <c r="AD353" i="1"/>
  <c r="AP353" i="1" s="1"/>
  <c r="AD352" i="1"/>
  <c r="AP352" i="1" s="1"/>
  <c r="AD345" i="1"/>
  <c r="AP345" i="1" s="1"/>
  <c r="AD347" i="1"/>
  <c r="AP347" i="1" s="1"/>
  <c r="AD326" i="1"/>
  <c r="AP326" i="1" s="1"/>
  <c r="AD329" i="1"/>
  <c r="AP329" i="1" s="1"/>
  <c r="AP1105" i="1"/>
  <c r="AD1105" i="1"/>
  <c r="AD69" i="1"/>
  <c r="AP69" i="1" s="1"/>
  <c r="AD187" i="1"/>
  <c r="AP187" i="1" s="1"/>
  <c r="AD272" i="1"/>
  <c r="AP272" i="1" s="1"/>
  <c r="AD290" i="1"/>
  <c r="AP290" i="1" s="1"/>
  <c r="AP954" i="1"/>
  <c r="AD954" i="1"/>
  <c r="AD908" i="1"/>
  <c r="AP908" i="1" s="1"/>
  <c r="AD918" i="1"/>
  <c r="AP918" i="1" s="1"/>
  <c r="AD1094" i="1"/>
  <c r="AP1094" i="1" s="1"/>
  <c r="AD969" i="1"/>
  <c r="AP969" i="1" s="1"/>
  <c r="AD917" i="1"/>
  <c r="AP917" i="1" s="1"/>
  <c r="AD1005" i="1"/>
  <c r="AP1005" i="1" s="1"/>
  <c r="AD414" i="1"/>
  <c r="AP414" i="1" s="1"/>
  <c r="AD418" i="1"/>
  <c r="AP418" i="1" s="1"/>
  <c r="AD488" i="1"/>
  <c r="AP488" i="1" s="1"/>
  <c r="AD1106" i="1"/>
  <c r="AP1106" i="1" s="1"/>
  <c r="AP13" i="1"/>
  <c r="AD13" i="1"/>
  <c r="AD16" i="1"/>
  <c r="AP16" i="1" s="1"/>
  <c r="AD70" i="1"/>
  <c r="AP70" i="1" s="1"/>
  <c r="AD134" i="1"/>
  <c r="AP134" i="1" s="1"/>
  <c r="AD255" i="1"/>
  <c r="AP255" i="1" s="1"/>
  <c r="AP271" i="1"/>
  <c r="AD271" i="1"/>
  <c r="AD208" i="1"/>
  <c r="AP208" i="1" s="1"/>
  <c r="AD67" i="1"/>
  <c r="AP67" i="1" s="1"/>
  <c r="AD10" i="1"/>
  <c r="AP10" i="1" s="1"/>
  <c r="AD93" i="1"/>
  <c r="AP93" i="1" s="1"/>
  <c r="AD51" i="1"/>
  <c r="AP51" i="1" s="1"/>
  <c r="AD127" i="1"/>
  <c r="AP127" i="1" s="1"/>
  <c r="AD124" i="1"/>
  <c r="AP124" i="1" s="1"/>
  <c r="AD14" i="1"/>
  <c r="AP14" i="1" s="1"/>
  <c r="AD75" i="1"/>
  <c r="AP75" i="1" s="1"/>
  <c r="AD73" i="1"/>
  <c r="AP73" i="1" s="1"/>
  <c r="AP31" i="1"/>
  <c r="AD31" i="1"/>
  <c r="AD41" i="1"/>
  <c r="AP41" i="1" s="1"/>
  <c r="AD110" i="1"/>
  <c r="AP110" i="1" s="1"/>
  <c r="AD8" i="1"/>
  <c r="AP8" i="1" s="1"/>
  <c r="AD30" i="1"/>
  <c r="AP30" i="1" s="1"/>
  <c r="AP90" i="1"/>
  <c r="AD90" i="1"/>
  <c r="AD137" i="1"/>
  <c r="AP137" i="1" s="1"/>
  <c r="AD97" i="1"/>
  <c r="AP97" i="1" s="1"/>
  <c r="AD58" i="1"/>
  <c r="AP58" i="1" s="1"/>
  <c r="AD275" i="1"/>
  <c r="AP275" i="1" s="1"/>
  <c r="AD156" i="1"/>
  <c r="AP156" i="1" s="1"/>
  <c r="AD151" i="1"/>
  <c r="AP151" i="1" s="1"/>
  <c r="AD171" i="1"/>
  <c r="AP171" i="1" s="1"/>
  <c r="AD180" i="1"/>
  <c r="AP180" i="1" s="1"/>
  <c r="AD184" i="1"/>
  <c r="AP184" i="1" s="1"/>
  <c r="AD276" i="1"/>
  <c r="AP276" i="1" s="1"/>
  <c r="AP256" i="1"/>
  <c r="AD256" i="1"/>
  <c r="AD168" i="1"/>
  <c r="AP168" i="1" s="1"/>
  <c r="AD145" i="1"/>
  <c r="AP145" i="1" s="1"/>
  <c r="AD218" i="1"/>
  <c r="AP218" i="1" s="1"/>
  <c r="AD229" i="1"/>
  <c r="AP229" i="1" s="1"/>
  <c r="AP209" i="1"/>
  <c r="AD209" i="1"/>
  <c r="AD230" i="1"/>
  <c r="AP230" i="1" s="1"/>
  <c r="AD283" i="1"/>
  <c r="AP283" i="1" s="1"/>
  <c r="AD293" i="1"/>
  <c r="AP293" i="1" s="1"/>
  <c r="AD299" i="1"/>
  <c r="AP299" i="1" s="1"/>
  <c r="AD312" i="1"/>
  <c r="AP312" i="1" s="1"/>
  <c r="AD318" i="1"/>
  <c r="AP318" i="1" s="1"/>
  <c r="AD2" i="1"/>
  <c r="AP2" i="1" s="1"/>
  <c r="AD856" i="1"/>
  <c r="AP856" i="1" s="1"/>
  <c r="AD802" i="1"/>
  <c r="AP802" i="1" s="1"/>
  <c r="AD930" i="1"/>
  <c r="AP930" i="1" s="1"/>
  <c r="AP884" i="1"/>
  <c r="AD884" i="1"/>
  <c r="AD951" i="1"/>
  <c r="AP951" i="1" s="1"/>
  <c r="AD903" i="1"/>
  <c r="AP903" i="1" s="1"/>
  <c r="AD901" i="1"/>
  <c r="AP901" i="1" s="1"/>
  <c r="AD916" i="1"/>
  <c r="AP916" i="1" s="1"/>
  <c r="AP805" i="1"/>
  <c r="AD805" i="1"/>
  <c r="AD924" i="1"/>
  <c r="AP924" i="1" s="1"/>
  <c r="AD897" i="1"/>
  <c r="AP897" i="1" s="1"/>
  <c r="AD902" i="1"/>
  <c r="AP902" i="1" s="1"/>
  <c r="AD925" i="1"/>
  <c r="AP925" i="1" s="1"/>
  <c r="AD793" i="1"/>
  <c r="AP793" i="1" s="1"/>
  <c r="AD780" i="1"/>
  <c r="AP780" i="1" s="1"/>
  <c r="AD892" i="1"/>
  <c r="AP892" i="1" s="1"/>
  <c r="AD881" i="1"/>
  <c r="AP881" i="1" s="1"/>
  <c r="AD822" i="1"/>
  <c r="AP822" i="1" s="1"/>
  <c r="AD1070" i="1"/>
  <c r="AP1070" i="1" s="1"/>
  <c r="AP1068" i="1"/>
  <c r="AD1068" i="1"/>
  <c r="AD1065" i="1"/>
  <c r="AP1065" i="1" s="1"/>
  <c r="AD1091" i="1"/>
  <c r="AP1091" i="1" s="1"/>
  <c r="AD915" i="1"/>
  <c r="AP915" i="1" s="1"/>
  <c r="AD1007" i="1"/>
  <c r="AP1007" i="1" s="1"/>
  <c r="AP1050" i="1"/>
  <c r="AD1050" i="1"/>
  <c r="AD1036" i="1"/>
  <c r="AP1036" i="1" s="1"/>
  <c r="AD830" i="1"/>
  <c r="AP830" i="1" s="1"/>
  <c r="AD1011" i="1"/>
  <c r="AP1011" i="1" s="1"/>
  <c r="AD1021" i="1"/>
  <c r="AP1021" i="1" s="1"/>
  <c r="AD983" i="1"/>
  <c r="AP983" i="1" s="1"/>
  <c r="AD956" i="1"/>
  <c r="AP956" i="1" s="1"/>
  <c r="AD1033" i="1"/>
  <c r="AP1033" i="1" s="1"/>
  <c r="AD840" i="1"/>
  <c r="AP840" i="1" s="1"/>
  <c r="AD1025" i="1"/>
  <c r="AP1025" i="1" s="1"/>
  <c r="AD842" i="1"/>
  <c r="AP842" i="1" s="1"/>
  <c r="AP1019" i="1"/>
  <c r="AD1019" i="1"/>
  <c r="AD1016" i="1"/>
  <c r="AP1016" i="1" s="1"/>
  <c r="AD394" i="1"/>
  <c r="AP394" i="1" s="1"/>
  <c r="AD387" i="1"/>
  <c r="AP387" i="1" s="1"/>
  <c r="AD402" i="1"/>
  <c r="AP402" i="1" s="1"/>
  <c r="AP415" i="1"/>
  <c r="AD415" i="1"/>
  <c r="AD395" i="1"/>
  <c r="AP395" i="1" s="1"/>
  <c r="AD382" i="1"/>
  <c r="AP382" i="1" s="1"/>
  <c r="AD443" i="1"/>
  <c r="AP443" i="1" s="1"/>
  <c r="AD479" i="1"/>
  <c r="AP479" i="1" s="1"/>
  <c r="AD483" i="1"/>
  <c r="AP483" i="1" s="1"/>
  <c r="AD422" i="1"/>
  <c r="AP422" i="1" s="1"/>
  <c r="AD502" i="1"/>
  <c r="AP502" i="1" s="1"/>
  <c r="AD465" i="1"/>
  <c r="AP465" i="1" s="1"/>
  <c r="AD434" i="1"/>
  <c r="AP434" i="1" s="1"/>
  <c r="AD420" i="1"/>
  <c r="AP420" i="1" s="1"/>
  <c r="AP492" i="1"/>
  <c r="AD492" i="1"/>
  <c r="AD419" i="1"/>
  <c r="AP419" i="1" s="1"/>
  <c r="AD417" i="1"/>
  <c r="AP417" i="1" s="1"/>
  <c r="AD325" i="1"/>
  <c r="AP325" i="1" s="1"/>
  <c r="AD332" i="1"/>
  <c r="AP332" i="1" s="1"/>
  <c r="AP368" i="1"/>
  <c r="AD368" i="1"/>
  <c r="AD338" i="1"/>
  <c r="AP338" i="1" s="1"/>
  <c r="AD343" i="1"/>
  <c r="AP343" i="1" s="1"/>
  <c r="AD321" i="1"/>
  <c r="AP321" i="1" s="1"/>
  <c r="AD330" i="1"/>
  <c r="AP330" i="1" s="1"/>
  <c r="AD1104" i="1"/>
  <c r="AP1104" i="1" s="1"/>
  <c r="AD92" i="1"/>
  <c r="AP92" i="1" s="1"/>
  <c r="AD5" i="1"/>
  <c r="AP5" i="1" s="1"/>
  <c r="AD22" i="1"/>
  <c r="AP22" i="1" s="1"/>
  <c r="AD175" i="1"/>
  <c r="AP175" i="1" s="1"/>
  <c r="AD216" i="1"/>
  <c r="AP216" i="1" s="1"/>
  <c r="AP190" i="1"/>
  <c r="AD190" i="1"/>
  <c r="AD310" i="1"/>
  <c r="AP310" i="1" s="1"/>
  <c r="AD874" i="1"/>
  <c r="AP874" i="1" s="1"/>
  <c r="AD940" i="1"/>
  <c r="AP940" i="1" s="1"/>
  <c r="AD947" i="1"/>
  <c r="AP947" i="1" s="1"/>
  <c r="AP1083" i="1"/>
  <c r="AD1083" i="1"/>
  <c r="AD1057" i="1"/>
  <c r="AP1057" i="1" s="1"/>
  <c r="AD986" i="1"/>
  <c r="AP986" i="1" s="1"/>
  <c r="AD1004" i="1"/>
  <c r="AP1004" i="1" s="1"/>
  <c r="AD383" i="1"/>
  <c r="AP383" i="1" s="1"/>
  <c r="AD396" i="1"/>
  <c r="AP396" i="1" s="1"/>
  <c r="AD499" i="1"/>
  <c r="AP499" i="1" s="1"/>
  <c r="AD496" i="1"/>
  <c r="AP496" i="1" s="1"/>
  <c r="AD337" i="1"/>
  <c r="AP337" i="1" s="1"/>
  <c r="AD327" i="1"/>
  <c r="AP327" i="1" s="1"/>
  <c r="AD19" i="1"/>
  <c r="AP19" i="1" s="1"/>
  <c r="AD109" i="1"/>
  <c r="AP109" i="1" s="1"/>
  <c r="AD138" i="1"/>
  <c r="AP138" i="1" s="1"/>
  <c r="AD78" i="1"/>
  <c r="AP78" i="1" s="1"/>
  <c r="AP63" i="1"/>
  <c r="AD63" i="1"/>
  <c r="AP141" i="1"/>
  <c r="AD141" i="1"/>
  <c r="AD274" i="1"/>
  <c r="AP274" i="1" s="1"/>
  <c r="AD225" i="1"/>
  <c r="AP225" i="1" s="1"/>
  <c r="AD123" i="1"/>
  <c r="AP123" i="1" s="1"/>
  <c r="AD85" i="1"/>
  <c r="AP85" i="1" s="1"/>
  <c r="AD48" i="1"/>
  <c r="AP48" i="1" s="1"/>
  <c r="AD135" i="1"/>
  <c r="AP135" i="1" s="1"/>
  <c r="AD100" i="1"/>
  <c r="AP100" i="1" s="1"/>
  <c r="AD80" i="1"/>
  <c r="AP80" i="1" s="1"/>
  <c r="AD49" i="1"/>
  <c r="AP49" i="1" s="1"/>
  <c r="AD86" i="1"/>
  <c r="AP86" i="1" s="1"/>
  <c r="AD25" i="1"/>
  <c r="AP25" i="1" s="1"/>
  <c r="AD120" i="1"/>
  <c r="AP120" i="1" s="1"/>
  <c r="AD87" i="1"/>
  <c r="AP87" i="1" s="1"/>
  <c r="AD47" i="1"/>
  <c r="AP47" i="1" s="1"/>
  <c r="AP72" i="1"/>
  <c r="AD72" i="1"/>
  <c r="AP46" i="1"/>
  <c r="AD46" i="1"/>
  <c r="AP126" i="1"/>
  <c r="AD126" i="1"/>
  <c r="AD20" i="1"/>
  <c r="AP20" i="1" s="1"/>
  <c r="AD98" i="1"/>
  <c r="AP98" i="1" s="1"/>
  <c r="AD61" i="1"/>
  <c r="AP61" i="1" s="1"/>
  <c r="AD247" i="1"/>
  <c r="AP247" i="1" s="1"/>
  <c r="AD163" i="1"/>
  <c r="AP163" i="1" s="1"/>
  <c r="AD228" i="1"/>
  <c r="AP228" i="1" s="1"/>
  <c r="AD159" i="1"/>
  <c r="AP159" i="1" s="1"/>
  <c r="AD166" i="1"/>
  <c r="AP166" i="1" s="1"/>
  <c r="AD149" i="1"/>
  <c r="AP149" i="1" s="1"/>
  <c r="AD210" i="1"/>
  <c r="AP210" i="1" s="1"/>
  <c r="AD194" i="1"/>
  <c r="AP194" i="1" s="1"/>
  <c r="AD161" i="1"/>
  <c r="AP161" i="1" s="1"/>
  <c r="AD170" i="1"/>
  <c r="AP170" i="1" s="1"/>
  <c r="AP214" i="1"/>
  <c r="AD214" i="1"/>
  <c r="AP258" i="1"/>
  <c r="AD258" i="1"/>
  <c r="AP295" i="1"/>
  <c r="AD295" i="1"/>
  <c r="AD224" i="1"/>
  <c r="AP224" i="1" s="1"/>
  <c r="AD304" i="1"/>
  <c r="AP304" i="1" s="1"/>
  <c r="AD284" i="1"/>
  <c r="AP284" i="1" s="1"/>
  <c r="AD303" i="1"/>
  <c r="AP303" i="1" s="1"/>
  <c r="AD309" i="1"/>
  <c r="AP309" i="1" s="1"/>
  <c r="AD315" i="1"/>
  <c r="AP315" i="1" s="1"/>
  <c r="AD898" i="1"/>
  <c r="AP898" i="1" s="1"/>
  <c r="AD896" i="1"/>
  <c r="AP896" i="1" s="1"/>
  <c r="AD888" i="1"/>
  <c r="AP888" i="1" s="1"/>
  <c r="AD794" i="1"/>
  <c r="AP794" i="1" s="1"/>
  <c r="AD945" i="1"/>
  <c r="AP945" i="1" s="1"/>
  <c r="AD900" i="1"/>
  <c r="AP900" i="1" s="1"/>
  <c r="AD807" i="1"/>
  <c r="AP807" i="1" s="1"/>
  <c r="AP870" i="1"/>
  <c r="AD870" i="1"/>
  <c r="AD905" i="1"/>
  <c r="AP905" i="1" s="1"/>
  <c r="AP861" i="1"/>
  <c r="AD861" i="1"/>
  <c r="AD813" i="1"/>
  <c r="AP813" i="1" s="1"/>
  <c r="AD869" i="1"/>
  <c r="AP869" i="1" s="1"/>
  <c r="AD934" i="1"/>
  <c r="AP934" i="1" s="1"/>
  <c r="AD814" i="1"/>
  <c r="AP814" i="1" s="1"/>
  <c r="AD815" i="1"/>
  <c r="AP815" i="1" s="1"/>
  <c r="AD809" i="1"/>
  <c r="AP809" i="1" s="1"/>
  <c r="AD808" i="1"/>
  <c r="AP808" i="1" s="1"/>
  <c r="AD1076" i="1"/>
  <c r="AP1076" i="1" s="1"/>
  <c r="AD1071" i="1"/>
  <c r="AP1071" i="1" s="1"/>
  <c r="AD1074" i="1"/>
  <c r="AP1074" i="1" s="1"/>
  <c r="AD1018" i="1"/>
  <c r="AP1018" i="1" s="1"/>
  <c r="AD1027" i="1"/>
  <c r="AP1027" i="1" s="1"/>
  <c r="AD1030" i="1"/>
  <c r="AP1030" i="1" s="1"/>
  <c r="AP1053" i="1"/>
  <c r="AD1053" i="1"/>
  <c r="AP1054" i="1"/>
  <c r="AD1054" i="1"/>
  <c r="AP837" i="1"/>
  <c r="AD837" i="1"/>
  <c r="AD1009" i="1"/>
  <c r="AP1009" i="1" s="1"/>
  <c r="AD1051" i="1"/>
  <c r="AP1051" i="1" s="1"/>
  <c r="AD997" i="1"/>
  <c r="AP997" i="1" s="1"/>
  <c r="AD1012" i="1"/>
  <c r="AP1012" i="1" s="1"/>
  <c r="AD991" i="1"/>
  <c r="AP991" i="1" s="1"/>
  <c r="AD906" i="1"/>
  <c r="AP906" i="1" s="1"/>
  <c r="AP935" i="1"/>
  <c r="AD935" i="1"/>
  <c r="AD834" i="1"/>
  <c r="AP834" i="1" s="1"/>
  <c r="AD966" i="1"/>
  <c r="AP966" i="1" s="1"/>
  <c r="AD980" i="1"/>
  <c r="AP980" i="1" s="1"/>
  <c r="AD389" i="1"/>
  <c r="AP389" i="1" s="1"/>
  <c r="AD398" i="1"/>
  <c r="AP398" i="1" s="1"/>
  <c r="AD376" i="1"/>
  <c r="AP376" i="1" s="1"/>
  <c r="AP392" i="1"/>
  <c r="AD392" i="1"/>
  <c r="AP412" i="1"/>
  <c r="AD412" i="1"/>
  <c r="AP403" i="1"/>
  <c r="AD403" i="1"/>
  <c r="AD452" i="1"/>
  <c r="AP452" i="1" s="1"/>
  <c r="AD501" i="1"/>
  <c r="AP501" i="1" s="1"/>
  <c r="AD472" i="1"/>
  <c r="AP472" i="1" s="1"/>
  <c r="AD485" i="1"/>
  <c r="AP485" i="1" s="1"/>
  <c r="AD437" i="1"/>
  <c r="AP437" i="1" s="1"/>
  <c r="AD440" i="1"/>
  <c r="AP440" i="1" s="1"/>
  <c r="AD462" i="1"/>
  <c r="AP462" i="1" s="1"/>
  <c r="AD475" i="1"/>
  <c r="AP475" i="1" s="1"/>
  <c r="AD441" i="1"/>
  <c r="AP441" i="1" s="1"/>
  <c r="AD467" i="1"/>
  <c r="AP467" i="1" s="1"/>
  <c r="AD333" i="1"/>
  <c r="AP333" i="1" s="1"/>
  <c r="AD341" i="1"/>
  <c r="AP341" i="1" s="1"/>
  <c r="AD367" i="1"/>
  <c r="AP367" i="1" s="1"/>
  <c r="AP336" i="1"/>
  <c r="AD336" i="1"/>
  <c r="AP346" i="1"/>
  <c r="AD346" i="1"/>
  <c r="AP366" i="1"/>
  <c r="AD366" i="1"/>
  <c r="AD1103" i="1"/>
  <c r="AP1103" i="1" s="1"/>
  <c r="AD143" i="1"/>
  <c r="AP143" i="1" s="1"/>
  <c r="AD82" i="1"/>
  <c r="AP82" i="1" s="1"/>
  <c r="AD282" i="1"/>
  <c r="AP282" i="1" s="1"/>
  <c r="AD280" i="1"/>
  <c r="AP280" i="1" s="1"/>
  <c r="AD173" i="1"/>
  <c r="AP173" i="1" s="1"/>
  <c r="AD302" i="1"/>
  <c r="AP302" i="1" s="1"/>
  <c r="AD827" i="1"/>
  <c r="AP827" i="1" s="1"/>
  <c r="AD1075" i="1"/>
  <c r="AP1075" i="1" s="1"/>
  <c r="AD960" i="1"/>
  <c r="AP960" i="1" s="1"/>
  <c r="AD833" i="1"/>
  <c r="AP833" i="1" s="1"/>
  <c r="AD1017" i="1"/>
  <c r="AP1017" i="1" s="1"/>
  <c r="AD375" i="1"/>
  <c r="AP375" i="1" s="1"/>
  <c r="AP436" i="1"/>
  <c r="AD436" i="1"/>
  <c r="AD453" i="1"/>
  <c r="AP453" i="1" s="1"/>
  <c r="AD363" i="1"/>
  <c r="AP363" i="1" s="1"/>
  <c r="AD71" i="1"/>
  <c r="AP71" i="1" s="1"/>
  <c r="AD38" i="1"/>
  <c r="AP38" i="1" s="1"/>
  <c r="AD7" i="1"/>
  <c r="AP7" i="1" s="1"/>
  <c r="AD119" i="1"/>
  <c r="AP119" i="1" s="1"/>
  <c r="AD64" i="1"/>
  <c r="AP64" i="1" s="1"/>
  <c r="AP33" i="1"/>
  <c r="AD33" i="1"/>
  <c r="AP105" i="1"/>
  <c r="AD105" i="1"/>
  <c r="AP122" i="1"/>
  <c r="AD122" i="1"/>
  <c r="AD296" i="1"/>
  <c r="AP296" i="1" s="1"/>
  <c r="AD37" i="1"/>
  <c r="AP37" i="1" s="1"/>
  <c r="AD144" i="1"/>
  <c r="AP144" i="1" s="1"/>
  <c r="AD142" i="1"/>
  <c r="AP142" i="1" s="1"/>
  <c r="AD6" i="1"/>
  <c r="AP6" i="1" s="1"/>
  <c r="AD215" i="1"/>
  <c r="AP215" i="1" s="1"/>
  <c r="AP148" i="1"/>
  <c r="AD148" i="1"/>
  <c r="AD252" i="1"/>
  <c r="AP252" i="1" s="1"/>
  <c r="AD227" i="1"/>
  <c r="AP227" i="1" s="1"/>
  <c r="AD172" i="1"/>
  <c r="AP172" i="1" s="1"/>
  <c r="AD231" i="1"/>
  <c r="AP231" i="1" s="1"/>
  <c r="AD266" i="1"/>
  <c r="AP266" i="1" s="1"/>
  <c r="AD238" i="1"/>
  <c r="AP238" i="1" s="1"/>
  <c r="AD181" i="1"/>
  <c r="AP181" i="1" s="1"/>
  <c r="AD154" i="1"/>
  <c r="AP154" i="1" s="1"/>
  <c r="AD233" i="1"/>
  <c r="AP233" i="1" s="1"/>
  <c r="AD261" i="1"/>
  <c r="AP261" i="1" s="1"/>
  <c r="AD165" i="1"/>
  <c r="AP165" i="1" s="1"/>
  <c r="AD158" i="1"/>
  <c r="AP158" i="1" s="1"/>
  <c r="AD217" i="1"/>
  <c r="AP217" i="1" s="1"/>
  <c r="AD298" i="1"/>
  <c r="AP298" i="1" s="1"/>
  <c r="AP285" i="1"/>
  <c r="AD285" i="1"/>
  <c r="AP294" i="1"/>
  <c r="AD294" i="1"/>
  <c r="AP311" i="1"/>
  <c r="AD311" i="1"/>
  <c r="AD928" i="1"/>
  <c r="AP928" i="1" s="1"/>
  <c r="AD968" i="1"/>
  <c r="AP968" i="1" s="1"/>
  <c r="AD867" i="1"/>
  <c r="AP867" i="1" s="1"/>
  <c r="AD826" i="1"/>
  <c r="AP826" i="1" s="1"/>
  <c r="AD948" i="1"/>
  <c r="AP948" i="1" s="1"/>
  <c r="AD878" i="1"/>
  <c r="AP878" i="1" s="1"/>
  <c r="AD946" i="1"/>
  <c r="AP946" i="1" s="1"/>
  <c r="AP862" i="1"/>
  <c r="AD862" i="1"/>
  <c r="AD859" i="1"/>
  <c r="AP859" i="1" s="1"/>
  <c r="AD791" i="1"/>
  <c r="AP791" i="1" s="1"/>
  <c r="AD857" i="1"/>
  <c r="AP857" i="1" s="1"/>
  <c r="AD963" i="1"/>
  <c r="AP963" i="1" s="1"/>
  <c r="AD927" i="1"/>
  <c r="AP927" i="1" s="1"/>
  <c r="AD860" i="1"/>
  <c r="AP860" i="1" s="1"/>
  <c r="AD798" i="1"/>
  <c r="AP798" i="1" s="1"/>
  <c r="AD1066" i="1"/>
  <c r="AP1066" i="1" s="1"/>
  <c r="AD1080" i="1"/>
  <c r="AP1080" i="1" s="1"/>
  <c r="AD1097" i="1"/>
  <c r="AP1097" i="1" s="1"/>
  <c r="AD1092" i="1"/>
  <c r="AP1092" i="1" s="1"/>
  <c r="AD839" i="1"/>
  <c r="AP839" i="1" s="1"/>
  <c r="AD1002" i="1"/>
  <c r="AP1002" i="1" s="1"/>
  <c r="AP998" i="1"/>
  <c r="AD998" i="1"/>
  <c r="AP1023" i="1"/>
  <c r="AD1023" i="1"/>
  <c r="AD987" i="1"/>
  <c r="AP987" i="1" s="1"/>
  <c r="AD1010" i="1"/>
  <c r="AP1010" i="1" s="1"/>
  <c r="AD999" i="1"/>
  <c r="AP999" i="1" s="1"/>
  <c r="AD1037" i="1"/>
  <c r="AP1037" i="1" s="1"/>
  <c r="AD907" i="1"/>
  <c r="AP907" i="1" s="1"/>
  <c r="AD1029" i="1"/>
  <c r="AP1029" i="1" s="1"/>
  <c r="AP847" i="1"/>
  <c r="AD847" i="1"/>
  <c r="AP852" i="1"/>
  <c r="AD852" i="1"/>
  <c r="AP1000" i="1"/>
  <c r="AD1000" i="1"/>
  <c r="AD995" i="1"/>
  <c r="AP995" i="1" s="1"/>
  <c r="AD831" i="1"/>
  <c r="AP831" i="1" s="1"/>
  <c r="AD965" i="1"/>
  <c r="AP965" i="1" s="1"/>
  <c r="AD372" i="1"/>
  <c r="AP372" i="1" s="1"/>
  <c r="AD397" i="1"/>
  <c r="AP397" i="1" s="1"/>
  <c r="AD407" i="1"/>
  <c r="AP407" i="1" s="1"/>
  <c r="AD416" i="1"/>
  <c r="AP416" i="1" s="1"/>
  <c r="AD379" i="1"/>
  <c r="AP379" i="1" s="1"/>
  <c r="AD384" i="1"/>
  <c r="AP384" i="1" s="1"/>
  <c r="AD1089" i="1"/>
  <c r="AP1089" i="1" s="1"/>
  <c r="AD480" i="1"/>
  <c r="AP480" i="1" s="1"/>
  <c r="AD484" i="1"/>
  <c r="AP484" i="1" s="1"/>
  <c r="AD498" i="1"/>
  <c r="AP498" i="1" s="1"/>
  <c r="AP456" i="1"/>
  <c r="AD456" i="1"/>
  <c r="AP469" i="1"/>
  <c r="AD469" i="1"/>
  <c r="AP461" i="1"/>
  <c r="AD461" i="1"/>
  <c r="AD455" i="1"/>
  <c r="AP455" i="1" s="1"/>
  <c r="AD457" i="1"/>
  <c r="AP457" i="1" s="1"/>
  <c r="AD431" i="1"/>
  <c r="AP431" i="1" s="1"/>
  <c r="AD482" i="1"/>
  <c r="AP482" i="1" s="1"/>
  <c r="AD495" i="1"/>
  <c r="AP495" i="1" s="1"/>
  <c r="AD361" i="1"/>
  <c r="AP361" i="1" s="1"/>
  <c r="AP324" i="1"/>
  <c r="AD324" i="1"/>
  <c r="AP339" i="1"/>
  <c r="AD339" i="1"/>
  <c r="AD335" i="1"/>
  <c r="AP335" i="1" s="1"/>
  <c r="AD350" i="1"/>
  <c r="AP350" i="1" s="1"/>
  <c r="AD359" i="1"/>
  <c r="AP359" i="1" s="1"/>
  <c r="AD1107" i="1"/>
  <c r="AP1107" i="1" s="1"/>
  <c r="AD84" i="1"/>
  <c r="AP84" i="1" s="1"/>
  <c r="AD62" i="1"/>
  <c r="AP62" i="1" s="1"/>
  <c r="AD15" i="1"/>
  <c r="AP15" i="1" s="1"/>
  <c r="AP191" i="1"/>
  <c r="AD191" i="1"/>
  <c r="AD189" i="1"/>
  <c r="AP189" i="1" s="1"/>
  <c r="AD799" i="1"/>
  <c r="AP799" i="1" s="1"/>
  <c r="AD812" i="1"/>
  <c r="AP812" i="1" s="1"/>
  <c r="AD824" i="1"/>
  <c r="AP824" i="1" s="1"/>
  <c r="AD1101" i="1"/>
  <c r="AP1101" i="1" s="1"/>
  <c r="AP1028" i="1"/>
  <c r="AD1028" i="1"/>
  <c r="AD985" i="1"/>
  <c r="AP985" i="1" s="1"/>
  <c r="AD835" i="1"/>
  <c r="AP835" i="1" s="1"/>
  <c r="AD404" i="1"/>
  <c r="AP404" i="1" s="1"/>
  <c r="AD464" i="1"/>
  <c r="AP464" i="1" s="1"/>
  <c r="AD487" i="1"/>
  <c r="AP487" i="1" s="1"/>
  <c r="AD365" i="1"/>
  <c r="AP365" i="1" s="1"/>
  <c r="AD351" i="1"/>
  <c r="AP351" i="1" s="1"/>
  <c r="AD101" i="1"/>
  <c r="AP101" i="1" s="1"/>
  <c r="AP9" i="1"/>
  <c r="AD9" i="1"/>
  <c r="AP136" i="1"/>
  <c r="AD136" i="1"/>
  <c r="AD104" i="1"/>
  <c r="AP104" i="1" s="1"/>
  <c r="AD112" i="1"/>
  <c r="AP112" i="1" s="1"/>
  <c r="AD45" i="1"/>
  <c r="AP45" i="1" s="1"/>
  <c r="AD26" i="1"/>
  <c r="AP26" i="1" s="1"/>
  <c r="AD43" i="1"/>
  <c r="AP43" i="1" s="1"/>
  <c r="AD56" i="1"/>
  <c r="AP56" i="1" s="1"/>
  <c r="AD103" i="1"/>
  <c r="AP103" i="1" s="1"/>
  <c r="AD77" i="1"/>
  <c r="AP77" i="1" s="1"/>
  <c r="AD29" i="1"/>
  <c r="AP29" i="1" s="1"/>
  <c r="AP28" i="1"/>
  <c r="AD28" i="1"/>
  <c r="AP99" i="1"/>
  <c r="AD99" i="1"/>
  <c r="AD117" i="1"/>
  <c r="AP117" i="1" s="1"/>
  <c r="AD116" i="1"/>
  <c r="AP116" i="1" s="1"/>
  <c r="AD23" i="1"/>
  <c r="AP23" i="1" s="1"/>
  <c r="AD11" i="1"/>
  <c r="AP11" i="1" s="1"/>
  <c r="AD115" i="1"/>
  <c r="AP115" i="1" s="1"/>
  <c r="AP79" i="1"/>
  <c r="AD79" i="1"/>
  <c r="AD18" i="1"/>
  <c r="AP18" i="1" s="1"/>
  <c r="AP133" i="1"/>
  <c r="AD133" i="1"/>
  <c r="AD81" i="1"/>
  <c r="AP81" i="1" s="1"/>
  <c r="AD55" i="1"/>
  <c r="AP55" i="1" s="1"/>
  <c r="AD129" i="1"/>
  <c r="AP129" i="1" s="1"/>
  <c r="AD54" i="1"/>
  <c r="AP54" i="1" s="1"/>
  <c r="AD53" i="1"/>
  <c r="AP53" i="1" s="1"/>
  <c r="AP121" i="1"/>
  <c r="AD121" i="1"/>
  <c r="AP195" i="1"/>
  <c r="AD195" i="1"/>
  <c r="AD196" i="1"/>
  <c r="AP196" i="1" s="1"/>
  <c r="AD155" i="1"/>
  <c r="AP155" i="1" s="1"/>
  <c r="AD164" i="1"/>
  <c r="AP164" i="1" s="1"/>
  <c r="AD268" i="1"/>
  <c r="AP268" i="1" s="1"/>
  <c r="AD199" i="1"/>
  <c r="AP199" i="1" s="1"/>
  <c r="AD152" i="1"/>
  <c r="AP152" i="1" s="1"/>
  <c r="AP153" i="1"/>
  <c r="AD153" i="1"/>
  <c r="AP174" i="1"/>
  <c r="AD174" i="1"/>
  <c r="AP253" i="1"/>
  <c r="AD253" i="1"/>
  <c r="AD250" i="1"/>
  <c r="AP250" i="1" s="1"/>
  <c r="AD265" i="1"/>
  <c r="AP265" i="1" s="1"/>
  <c r="AD206" i="1"/>
  <c r="AP206" i="1" s="1"/>
  <c r="AD241" i="1"/>
  <c r="AP241" i="1" s="1"/>
  <c r="AD237" i="1"/>
  <c r="AP237" i="1" s="1"/>
  <c r="AD232" i="1"/>
  <c r="AP232" i="1" s="1"/>
  <c r="AP291" i="1"/>
  <c r="AD291" i="1"/>
  <c r="AP286" i="1"/>
  <c r="AD286" i="1"/>
  <c r="AD288" i="1"/>
  <c r="AP288" i="1" s="1"/>
  <c r="AD314" i="1"/>
  <c r="AP314" i="1" s="1"/>
  <c r="AD788" i="1"/>
  <c r="AP788" i="1" s="1"/>
  <c r="AD863" i="1"/>
  <c r="AP863" i="1" s="1"/>
  <c r="AD890" i="1"/>
  <c r="AP890" i="1" s="1"/>
  <c r="AP894" i="1"/>
  <c r="AD894" i="1"/>
  <c r="AD784" i="1"/>
  <c r="AP784" i="1" s="1"/>
  <c r="AP879" i="1"/>
  <c r="AD879" i="1"/>
  <c r="AD943" i="1"/>
  <c r="AP943" i="1" s="1"/>
  <c r="AD883" i="1"/>
  <c r="AP883" i="1" s="1"/>
  <c r="AD887" i="1"/>
  <c r="AP887" i="1" s="1"/>
  <c r="AD942" i="1"/>
  <c r="AP942" i="1" s="1"/>
  <c r="AD782" i="1"/>
  <c r="AP782" i="1" s="1"/>
  <c r="AP871" i="1"/>
  <c r="AD871" i="1"/>
  <c r="AP933" i="1"/>
  <c r="AD933" i="1"/>
  <c r="AD792" i="1"/>
  <c r="AP792" i="1" s="1"/>
  <c r="AD810" i="1"/>
  <c r="AP810" i="1" s="1"/>
  <c r="AD949" i="1"/>
  <c r="AP949" i="1" s="1"/>
  <c r="AD1063" i="1"/>
  <c r="AP1063" i="1" s="1"/>
  <c r="AD1078" i="1"/>
  <c r="AP1078" i="1" s="1"/>
  <c r="AD1060" i="1"/>
  <c r="AP1060" i="1" s="1"/>
  <c r="AP1095" i="1"/>
  <c r="AD1095" i="1"/>
  <c r="AP1099" i="1"/>
  <c r="AD1099" i="1"/>
  <c r="AP1034" i="1"/>
  <c r="AD1034" i="1"/>
  <c r="AD1052" i="1"/>
  <c r="AP1052" i="1" s="1"/>
  <c r="AD1003" i="1"/>
  <c r="AP1003" i="1" s="1"/>
  <c r="AD829" i="1"/>
  <c r="AP829" i="1" s="1"/>
  <c r="AD1042" i="1"/>
  <c r="AP1042" i="1" s="1"/>
  <c r="AD832" i="1"/>
  <c r="AP832" i="1" s="1"/>
  <c r="AD1041" i="1"/>
  <c r="AP1041" i="1" s="1"/>
  <c r="AP1045" i="1"/>
  <c r="AD1045" i="1"/>
  <c r="AP1056" i="1"/>
  <c r="AD1056" i="1"/>
  <c r="AD1049" i="1"/>
  <c r="AP1049" i="1" s="1"/>
  <c r="AD990" i="1"/>
  <c r="AP990" i="1" s="1"/>
  <c r="AD922" i="1"/>
  <c r="AP922" i="1" s="1"/>
  <c r="AD844" i="1"/>
  <c r="AP844" i="1" s="1"/>
  <c r="AD838" i="1"/>
  <c r="AP838" i="1" s="1"/>
  <c r="AP978" i="1"/>
  <c r="AD978" i="1"/>
  <c r="AD955" i="1"/>
  <c r="AP955" i="1" s="1"/>
  <c r="AP373" i="1"/>
  <c r="AD373" i="1"/>
  <c r="AD401" i="1"/>
  <c r="AP401" i="1" s="1"/>
  <c r="AD370" i="1"/>
  <c r="AP370" i="1" s="1"/>
  <c r="AD408" i="1"/>
  <c r="AP408" i="1" s="1"/>
  <c r="AD413" i="1"/>
  <c r="AP413" i="1" s="1"/>
  <c r="AD388" i="1"/>
  <c r="AP388" i="1" s="1"/>
  <c r="AP1086" i="1"/>
  <c r="AD1086" i="1"/>
  <c r="AP435" i="1"/>
  <c r="AD435" i="1"/>
  <c r="AD477" i="1"/>
  <c r="AP477" i="1" s="1"/>
  <c r="AD473" i="1"/>
  <c r="AP473" i="1" s="1"/>
  <c r="AD432" i="1"/>
  <c r="AP432" i="1" s="1"/>
  <c r="AD489" i="1"/>
  <c r="AP489" i="1" s="1"/>
  <c r="AD423" i="1"/>
  <c r="AP423" i="1" s="1"/>
  <c r="AD449" i="1"/>
  <c r="AP449" i="1" s="1"/>
  <c r="AP493" i="1"/>
  <c r="AD493" i="1"/>
  <c r="AP470" i="1"/>
  <c r="AD470" i="1"/>
  <c r="AP349" i="1"/>
  <c r="AD349" i="1"/>
  <c r="AD364" i="1"/>
  <c r="AP364" i="1" s="1"/>
  <c r="AD358" i="1"/>
  <c r="AP358" i="1" s="1"/>
  <c r="AD322" i="1"/>
  <c r="AP322" i="1" s="1"/>
  <c r="AD320" i="1"/>
  <c r="AP320" i="1" s="1"/>
  <c r="AD362" i="1"/>
  <c r="AP362" i="1" s="1"/>
  <c r="AD76" i="1"/>
  <c r="AP76" i="1" s="1"/>
  <c r="AP27" i="1"/>
  <c r="AD27" i="1"/>
  <c r="AP89" i="1"/>
  <c r="AD89" i="1"/>
  <c r="AD188" i="1"/>
  <c r="AP188" i="1" s="1"/>
  <c r="AD183" i="1"/>
  <c r="AP183" i="1" s="1"/>
  <c r="AD169" i="1"/>
  <c r="AP169" i="1" s="1"/>
  <c r="AD140" i="1"/>
  <c r="AP140" i="1" s="1"/>
  <c r="AD12" i="1"/>
  <c r="AP12" i="1" s="1"/>
  <c r="AP32" i="1"/>
  <c r="AD32" i="1"/>
  <c r="AD35" i="1"/>
  <c r="AP35" i="1" s="1"/>
  <c r="AP60" i="1"/>
  <c r="AD60" i="1"/>
  <c r="AD74" i="1"/>
  <c r="AP74" i="1" s="1"/>
  <c r="AD59" i="1"/>
  <c r="AP59" i="1" s="1"/>
  <c r="AD57" i="1"/>
  <c r="AP57" i="1" s="1"/>
  <c r="AD52" i="1"/>
  <c r="AP52" i="1" s="1"/>
  <c r="AD106" i="1"/>
  <c r="AP106" i="1" s="1"/>
  <c r="AP66" i="1"/>
  <c r="AD66" i="1"/>
  <c r="AP95" i="1"/>
  <c r="AD95" i="1"/>
  <c r="AD113" i="1"/>
  <c r="AP113" i="1" s="1"/>
  <c r="AD111" i="1"/>
  <c r="AP111" i="1" s="1"/>
  <c r="AD24" i="1"/>
  <c r="AP24" i="1" s="1"/>
  <c r="AD94" i="1"/>
  <c r="AP94" i="1" s="1"/>
  <c r="AD36" i="1"/>
  <c r="AP36" i="1" s="1"/>
  <c r="AD107" i="1"/>
  <c r="AP107" i="1" s="1"/>
  <c r="AP259" i="1"/>
  <c r="AD259" i="1"/>
  <c r="AP244" i="1"/>
  <c r="AD244" i="1"/>
  <c r="AP219" i="1"/>
  <c r="AD219" i="1"/>
  <c r="AD220" i="1"/>
  <c r="AP220" i="1" s="1"/>
  <c r="AP207" i="1"/>
  <c r="AD207" i="1"/>
  <c r="AP200" i="1"/>
  <c r="AD200" i="1"/>
  <c r="AP185" i="1"/>
  <c r="AD185" i="1"/>
  <c r="AD246" i="1"/>
  <c r="AP246" i="1" s="1"/>
  <c r="AP182" i="1"/>
  <c r="AD182" i="1"/>
  <c r="AP157" i="1"/>
  <c r="AD157" i="1"/>
  <c r="AP279" i="1"/>
  <c r="AD279" i="1"/>
  <c r="AD192" i="1"/>
  <c r="AP192" i="1" s="1"/>
  <c r="AP269" i="1"/>
  <c r="AD269" i="1"/>
  <c r="AP186" i="1"/>
  <c r="AD186" i="1"/>
  <c r="AP281" i="1"/>
  <c r="AD281" i="1"/>
  <c r="AD301" i="1"/>
  <c r="AP301" i="1" s="1"/>
  <c r="AP297" i="1"/>
  <c r="AD297" i="1"/>
  <c r="AP307" i="1"/>
  <c r="AD307" i="1"/>
  <c r="AP313" i="1"/>
  <c r="AD313" i="1"/>
  <c r="AD899" i="1"/>
  <c r="AP899" i="1" s="1"/>
  <c r="AP904" i="1"/>
  <c r="AD904" i="1"/>
  <c r="AP967" i="1"/>
  <c r="AD967" i="1"/>
  <c r="AP811" i="1"/>
  <c r="AD811" i="1"/>
  <c r="AD910" i="1"/>
  <c r="AP910" i="1" s="1"/>
  <c r="AP937" i="1"/>
  <c r="AD937" i="1"/>
  <c r="AP923" i="1"/>
  <c r="AD923" i="1"/>
  <c r="AP865" i="1"/>
  <c r="AD865" i="1"/>
  <c r="AD804" i="1"/>
  <c r="AP804" i="1" s="1"/>
  <c r="AP825" i="1"/>
  <c r="AD825" i="1"/>
  <c r="AP787" i="1"/>
  <c r="AD787" i="1"/>
  <c r="AP795" i="1"/>
  <c r="AD795" i="1"/>
  <c r="AD875" i="1"/>
  <c r="AP875" i="1" s="1"/>
  <c r="AP872" i="1"/>
  <c r="AD872" i="1"/>
  <c r="AP1064" i="1"/>
  <c r="AD1064" i="1"/>
  <c r="AP1072" i="1"/>
  <c r="AD1072" i="1"/>
  <c r="AD1098" i="1"/>
  <c r="AP1098" i="1" s="1"/>
  <c r="AP1090" i="1"/>
  <c r="AD1090" i="1"/>
  <c r="AP854" i="1"/>
  <c r="AD854" i="1"/>
  <c r="AP1015" i="1"/>
  <c r="AD1015" i="1"/>
  <c r="AD996" i="1"/>
  <c r="AP996" i="1" s="1"/>
  <c r="AP1022" i="1"/>
  <c r="AD1022" i="1"/>
  <c r="AP1032" i="1"/>
  <c r="AD1032" i="1"/>
  <c r="AP848" i="1"/>
  <c r="AD848" i="1"/>
  <c r="AD964" i="1"/>
  <c r="AP964" i="1" s="1"/>
  <c r="AP1040" i="1"/>
  <c r="AD1040" i="1"/>
  <c r="AP1031" i="1"/>
  <c r="AD1031" i="1"/>
  <c r="AP836" i="1"/>
  <c r="AD836" i="1"/>
  <c r="AD982" i="1"/>
  <c r="AP982" i="1" s="1"/>
  <c r="AP1013" i="1"/>
  <c r="AD1013" i="1"/>
  <c r="AP993" i="1"/>
  <c r="AD993" i="1"/>
  <c r="AP380" i="1"/>
  <c r="AD380" i="1"/>
  <c r="AD400" i="1"/>
  <c r="AP400" i="1" s="1"/>
  <c r="AP409" i="1"/>
  <c r="AD409" i="1"/>
  <c r="AP378" i="1"/>
  <c r="AD378" i="1"/>
  <c r="AP399" i="1"/>
  <c r="AD399" i="1"/>
  <c r="AD1087" i="1"/>
  <c r="AP1087" i="1" s="1"/>
  <c r="AP445" i="1"/>
  <c r="AD445" i="1"/>
  <c r="AP421" i="1"/>
  <c r="AD421" i="1"/>
  <c r="AP446" i="1"/>
  <c r="AD446" i="1"/>
  <c r="AD468" i="1"/>
  <c r="AP468" i="1" s="1"/>
  <c r="AP429" i="1"/>
  <c r="AD429" i="1"/>
  <c r="AP438" i="1"/>
  <c r="AD438" i="1"/>
  <c r="AP459" i="1"/>
  <c r="AD459" i="1"/>
  <c r="AD486" i="1"/>
  <c r="AP486" i="1" s="1"/>
  <c r="AP466" i="1"/>
  <c r="AD466" i="1"/>
  <c r="AP478" i="1"/>
  <c r="AD478" i="1"/>
  <c r="AP340" i="1"/>
  <c r="AD340" i="1"/>
  <c r="AD357" i="1"/>
  <c r="AP357" i="1" s="1"/>
  <c r="AP331" i="1"/>
  <c r="AD331" i="1"/>
  <c r="AP323" i="1"/>
  <c r="AD323" i="1"/>
  <c r="AP334" i="1"/>
  <c r="AD334" i="1"/>
  <c r="AD355" i="1"/>
  <c r="AP355" i="1" s="1"/>
  <c r="AP1127" i="1"/>
  <c r="AP1123" i="1"/>
  <c r="AP1119" i="1"/>
  <c r="AP1133" i="1"/>
  <c r="AP1141" i="1"/>
  <c r="AP1139" i="1"/>
  <c r="AP1109" i="1"/>
  <c r="AP1144" i="1"/>
  <c r="AP1130" i="1"/>
  <c r="AP1111" i="1"/>
  <c r="AP1114" i="1"/>
  <c r="AP1135" i="1"/>
  <c r="AP1146" i="1"/>
  <c r="AP1112" i="1"/>
  <c r="AP1131" i="1"/>
  <c r="AP1124" i="1"/>
  <c r="AP1115" i="1"/>
  <c r="AP1137" i="1"/>
  <c r="AP1142" i="1"/>
  <c r="AP1117" i="1"/>
  <c r="AP1122" i="1"/>
  <c r="AP1110" i="1"/>
  <c r="AP1143" i="1"/>
  <c r="AP1140" i="1"/>
  <c r="AP1121" i="1"/>
  <c r="AP1118" i="1"/>
  <c r="AP1129" i="1"/>
  <c r="AP1148" i="1"/>
  <c r="AP1150" i="1"/>
  <c r="AP1138" i="1"/>
  <c r="AP976" i="1"/>
  <c r="AP1116" i="1"/>
  <c r="AP1126" i="1"/>
  <c r="AP1113" i="1"/>
  <c r="AP1134" i="1"/>
  <c r="AP1151" i="1"/>
  <c r="AP1147" i="1"/>
  <c r="AP1132" i="1"/>
  <c r="AP975" i="1"/>
  <c r="AP972" i="1"/>
  <c r="AP970" i="1"/>
  <c r="AP1128" i="1"/>
  <c r="AP1125" i="1"/>
  <c r="AP1120" i="1"/>
  <c r="AP1136" i="1"/>
  <c r="AP1145" i="1"/>
  <c r="AP1149" i="1"/>
  <c r="AM947" i="1"/>
  <c r="AP914" i="1"/>
  <c r="AM1028" i="1"/>
  <c r="AP1048" i="1"/>
  <c r="AM1086" i="1"/>
  <c r="AP992" i="1"/>
  <c r="AM337" i="1"/>
  <c r="AP234" i="1"/>
  <c r="AM65" i="1"/>
  <c r="AP139" i="1"/>
  <c r="AM820" i="1"/>
  <c r="AP828" i="1"/>
  <c r="AM917" i="1"/>
  <c r="AP961" i="1"/>
  <c r="AM1104" i="1"/>
  <c r="AM918" i="1"/>
  <c r="AP895" i="1"/>
  <c r="AM360" i="1"/>
  <c r="AP211" i="1"/>
  <c r="AM3" i="1"/>
  <c r="AP201" i="1"/>
  <c r="AM841" i="1"/>
  <c r="AP864" i="1"/>
  <c r="AM978" i="1"/>
  <c r="AP1100" i="1"/>
  <c r="AM494" i="1"/>
  <c r="AP426" i="1"/>
  <c r="AM430" i="1"/>
  <c r="AP490" i="1"/>
  <c r="AM329" i="1"/>
  <c r="AP242" i="1"/>
  <c r="AM326" i="1"/>
  <c r="AP245" i="1"/>
  <c r="AM1084" i="1"/>
  <c r="AP994" i="1"/>
  <c r="AM481" i="1"/>
  <c r="AP439" i="1"/>
  <c r="AM460" i="1"/>
  <c r="AP460" i="1"/>
  <c r="AM368" i="1"/>
  <c r="AP203" i="1"/>
  <c r="AM2" i="1"/>
  <c r="AP202" i="1"/>
  <c r="AM332" i="1"/>
  <c r="AP239" i="1"/>
  <c r="AM1036" i="1"/>
  <c r="AP1043" i="1"/>
  <c r="AM1058" i="1"/>
  <c r="AP1020" i="1"/>
  <c r="AM1021" i="1"/>
  <c r="AP1058" i="1"/>
  <c r="AM304" i="1"/>
  <c r="AP267" i="1"/>
  <c r="AM367" i="1"/>
  <c r="AP204" i="1"/>
  <c r="AM336" i="1"/>
  <c r="AP235" i="1"/>
  <c r="AM790" i="1"/>
  <c r="AM980" i="1"/>
  <c r="AP1093" i="1"/>
  <c r="AM1039" i="1"/>
  <c r="AP1039" i="1"/>
  <c r="AM1054" i="1"/>
  <c r="AP1024" i="1"/>
  <c r="AM472" i="1"/>
  <c r="AP448" i="1"/>
  <c r="AM358" i="1"/>
  <c r="AP213" i="1"/>
  <c r="AM294" i="1"/>
  <c r="AP277" i="1"/>
  <c r="AM919" i="1"/>
  <c r="AP919" i="1"/>
  <c r="AM791" i="1"/>
  <c r="AP821" i="1"/>
  <c r="AM1010" i="1"/>
  <c r="AP1069" i="1"/>
  <c r="AM1107" i="1"/>
  <c r="AM322" i="1"/>
  <c r="AP249" i="1"/>
  <c r="AM838" i="1"/>
  <c r="AP939" i="1"/>
  <c r="AM470" i="1"/>
  <c r="AP450" i="1"/>
  <c r="AM423" i="1"/>
  <c r="AP497" i="1"/>
  <c r="AM348" i="1"/>
  <c r="AP223" i="1"/>
  <c r="AM301" i="1"/>
  <c r="AP270" i="1"/>
  <c r="AM937" i="1"/>
  <c r="AP920" i="1"/>
  <c r="AM804" i="1"/>
  <c r="AP786" i="1"/>
  <c r="AM825" i="1"/>
  <c r="AP823" i="1"/>
  <c r="AM996" i="1"/>
  <c r="AP1082" i="1"/>
  <c r="AM1022" i="1"/>
  <c r="AP1059" i="1"/>
  <c r="AM399" i="1"/>
  <c r="AP386" i="1"/>
  <c r="AM478" i="1"/>
  <c r="AP442" i="1"/>
  <c r="AM160" i="1"/>
  <c r="AM102" i="1"/>
  <c r="AM137" i="1"/>
  <c r="AM189" i="1"/>
  <c r="AM192" i="1"/>
  <c r="AM1106" i="1"/>
  <c r="AM357" i="1"/>
  <c r="AM328" i="1"/>
  <c r="AM836" i="1"/>
  <c r="AM1087" i="1"/>
  <c r="AM342" i="1"/>
  <c r="AM319" i="1"/>
  <c r="AM354" i="1"/>
  <c r="S6956" i="1"/>
  <c r="T6956" i="1" s="1"/>
  <c r="R6956" i="1"/>
  <c r="O6957" i="1"/>
  <c r="AM340" i="1"/>
  <c r="AM1013" i="1"/>
  <c r="AM334" i="1"/>
  <c r="AM982" i="1"/>
  <c r="AM355" i="1"/>
  <c r="AM323" i="1"/>
  <c r="AM331" i="1"/>
  <c r="AM854" i="1"/>
  <c r="AM297" i="1"/>
  <c r="AM795" i="1"/>
  <c r="AM964" i="1"/>
  <c r="AM848" i="1"/>
  <c r="AM148" i="1"/>
  <c r="AM829" i="1"/>
  <c r="AM832" i="1"/>
  <c r="AM364" i="1"/>
  <c r="AM844" i="1"/>
  <c r="AM349" i="1"/>
  <c r="AM922" i="1"/>
  <c r="AM320" i="1"/>
  <c r="AM362" i="1"/>
  <c r="AM955" i="1"/>
  <c r="AM962" i="1"/>
  <c r="AM849" i="1"/>
  <c r="AM851" i="1"/>
  <c r="AM1001" i="1"/>
  <c r="AM977" i="1"/>
  <c r="AM926" i="1"/>
  <c r="AM959" i="1"/>
  <c r="AM973" i="1"/>
  <c r="AM957" i="1"/>
  <c r="AM850" i="1"/>
  <c r="AM333" i="1"/>
  <c r="AM966" i="1"/>
  <c r="AM837" i="1"/>
  <c r="AM366" i="1"/>
  <c r="AM906" i="1"/>
  <c r="AM170" i="1"/>
  <c r="AM346" i="1"/>
  <c r="AM834" i="1"/>
  <c r="AM462" i="1"/>
  <c r="AM341" i="1"/>
  <c r="AM935" i="1"/>
  <c r="AM1012" i="1"/>
  <c r="AM441" i="1"/>
  <c r="AM808" i="1"/>
  <c r="AM1024" i="1"/>
  <c r="AM166" i="1"/>
  <c r="AM335" i="1"/>
  <c r="AM311" i="1"/>
  <c r="AM309" i="1"/>
  <c r="AM998" i="1"/>
  <c r="AM1000" i="1"/>
  <c r="AM1089" i="1"/>
  <c r="AM103" i="1"/>
  <c r="AM1009" i="1"/>
  <c r="T2864" i="1"/>
  <c r="S2863" i="1"/>
  <c r="T2863" i="1" s="1"/>
  <c r="R2866" i="1"/>
  <c r="S2866" i="1"/>
  <c r="T2866" i="1" s="1"/>
  <c r="O2867" i="1"/>
  <c r="R2722" i="1"/>
  <c r="S2722" i="1"/>
  <c r="T2722" i="1" s="1"/>
  <c r="O2723" i="1"/>
  <c r="O2775" i="1"/>
  <c r="R2774" i="1"/>
  <c r="S2774" i="1"/>
  <c r="T2774" i="1" s="1"/>
  <c r="AM298" i="1"/>
  <c r="AM316" i="1"/>
  <c r="AM909" i="1"/>
  <c r="AM1047" i="1"/>
  <c r="AM300" i="1"/>
  <c r="AM451" i="1"/>
  <c r="AM176" i="1"/>
  <c r="AM128" i="1"/>
  <c r="AM289" i="1"/>
  <c r="AM191" i="1"/>
  <c r="AM188" i="1"/>
  <c r="AM187" i="1"/>
  <c r="AM363" i="1"/>
  <c r="AM960" i="1"/>
  <c r="AM1004" i="1"/>
  <c r="AM404" i="1"/>
  <c r="AM179" i="1"/>
  <c r="AM1005" i="1"/>
  <c r="AM396" i="1"/>
  <c r="AM167" i="1"/>
  <c r="AM198" i="1"/>
  <c r="AM344" i="1"/>
  <c r="AM305" i="1"/>
  <c r="AM950" i="1"/>
  <c r="AM835" i="1"/>
  <c r="AM833" i="1"/>
  <c r="AM175" i="1"/>
  <c r="AM306" i="1"/>
  <c r="AM365" i="1"/>
  <c r="AM853" i="1"/>
  <c r="AM1044" i="1"/>
  <c r="AM1088" i="1"/>
  <c r="AM488" i="1"/>
  <c r="AM88" i="1"/>
  <c r="AM193" i="1"/>
  <c r="AM125" i="1"/>
  <c r="AM130" i="1"/>
  <c r="AM327" i="1"/>
  <c r="AM351" i="1"/>
  <c r="AM1014" i="1"/>
  <c r="AM985" i="1"/>
  <c r="AM1085" i="1"/>
  <c r="AM405" i="1"/>
  <c r="AM474" i="1"/>
  <c r="AM1017" i="1"/>
  <c r="AM997" i="1"/>
  <c r="AM412" i="1"/>
  <c r="AM475" i="1"/>
  <c r="AM392" i="1"/>
  <c r="AM1051" i="1"/>
  <c r="AM466" i="1"/>
  <c r="AM440" i="1"/>
  <c r="AM194" i="1"/>
  <c r="AM398" i="1"/>
  <c r="AM403" i="1"/>
  <c r="AM437" i="1"/>
  <c r="AM356" i="1"/>
  <c r="AM87" i="1"/>
  <c r="AM149" i="1"/>
  <c r="AM303" i="1"/>
  <c r="AM1018" i="1"/>
  <c r="AM134" i="1"/>
  <c r="AM385" i="1"/>
  <c r="AM120" i="1"/>
  <c r="AM72" i="1"/>
  <c r="AM61" i="1"/>
  <c r="AM153" i="1"/>
  <c r="AM190" i="1"/>
  <c r="AM173" i="1"/>
  <c r="AM163" i="1"/>
  <c r="AM295" i="1"/>
  <c r="AM315" i="1"/>
  <c r="AM900" i="1"/>
  <c r="AM118" i="1"/>
  <c r="AM69" i="1"/>
  <c r="AM159" i="1"/>
  <c r="AM161" i="1"/>
  <c r="AM169" i="1"/>
  <c r="AM147" i="1"/>
  <c r="AM814" i="1"/>
  <c r="AM934" i="1"/>
  <c r="AM986" i="1"/>
  <c r="AM183" i="1"/>
  <c r="AM794" i="1"/>
  <c r="AM824" i="1"/>
  <c r="AM969" i="1"/>
  <c r="AM809" i="1"/>
  <c r="AM141" i="1"/>
  <c r="AM965" i="1"/>
  <c r="AM416" i="1"/>
  <c r="AM324" i="1"/>
  <c r="AM361" i="1"/>
  <c r="AM186" i="1"/>
  <c r="AM339" i="1"/>
  <c r="AM1035" i="1"/>
  <c r="AM831" i="1"/>
  <c r="AM1103" i="1"/>
  <c r="AM907" i="1"/>
  <c r="AM185" i="1"/>
  <c r="AM359" i="1"/>
  <c r="AM350" i="1"/>
  <c r="AM1015" i="1"/>
  <c r="AM1032" i="1"/>
  <c r="AM1040" i="1"/>
  <c r="AM151" i="1"/>
  <c r="AM830" i="1"/>
  <c r="AM810" i="1"/>
  <c r="AM379" i="1"/>
  <c r="AM343" i="1"/>
  <c r="AM915" i="1"/>
  <c r="AM892" i="1"/>
  <c r="AM780" i="1"/>
  <c r="AM822" i="1"/>
  <c r="AM1007" i="1"/>
  <c r="AM1025" i="1"/>
  <c r="AM338" i="1"/>
  <c r="AM924" i="1"/>
  <c r="AM792" i="1"/>
  <c r="AM840" i="1"/>
  <c r="AM459" i="1"/>
  <c r="AM951" i="1"/>
  <c r="AM1016" i="1"/>
  <c r="AM1033" i="1"/>
  <c r="AM1019" i="1"/>
  <c r="AM321" i="1"/>
  <c r="AM91" i="1"/>
  <c r="AM325" i="1"/>
  <c r="AM921" i="1"/>
  <c r="AM318" i="1"/>
  <c r="AM933" i="1"/>
  <c r="AM793" i="1"/>
  <c r="AM956" i="1"/>
  <c r="AM1003" i="1"/>
  <c r="AM1020" i="1"/>
  <c r="AM330" i="1"/>
  <c r="AM805" i="1"/>
  <c r="AM842" i="1"/>
  <c r="AM1011" i="1"/>
  <c r="AM983" i="1"/>
  <c r="AM1105" i="1"/>
  <c r="AM95" i="1"/>
  <c r="AM66" i="1"/>
  <c r="AM923" i="1"/>
  <c r="AM411" i="1"/>
  <c r="AM429" i="1"/>
  <c r="AM496" i="1"/>
  <c r="AM80" i="1"/>
  <c r="AM129" i="1"/>
  <c r="AM196" i="1"/>
  <c r="AM174" i="1"/>
  <c r="AM1046" i="1"/>
  <c r="AM378" i="1"/>
  <c r="AM463" i="1"/>
  <c r="AM447" i="1"/>
  <c r="AM108" i="1"/>
  <c r="AM371" i="1"/>
  <c r="AM111" i="1"/>
  <c r="AM146" i="1"/>
  <c r="AM353" i="1"/>
  <c r="AM803" i="1"/>
  <c r="AM878" i="1"/>
  <c r="AM963" i="1"/>
  <c r="AM1006" i="1"/>
  <c r="AM987" i="1"/>
  <c r="AM157" i="1"/>
  <c r="AM158" i="1"/>
  <c r="AM347" i="1"/>
  <c r="AM931" i="1"/>
  <c r="AM839" i="1"/>
  <c r="AM843" i="1"/>
  <c r="AM1002" i="1"/>
  <c r="AM197" i="1"/>
  <c r="AM880" i="1"/>
  <c r="AM953" i="1"/>
  <c r="AM984" i="1"/>
  <c r="AM1055" i="1"/>
  <c r="AM178" i="1"/>
  <c r="AM936" i="1"/>
  <c r="AM988" i="1"/>
  <c r="AM105" i="1"/>
  <c r="AM181" i="1"/>
  <c r="AM89" i="1"/>
  <c r="AM150" i="1"/>
  <c r="AM40" i="1"/>
  <c r="AM285" i="1"/>
  <c r="AM958" i="1"/>
  <c r="AM798" i="1"/>
  <c r="AM1038" i="1"/>
  <c r="AM1029" i="1"/>
  <c r="AM384" i="1"/>
  <c r="AM377" i="1"/>
  <c r="AM485" i="1"/>
  <c r="AM431" i="1"/>
  <c r="AM471" i="1"/>
  <c r="AM427" i="1"/>
  <c r="AM172" i="1"/>
  <c r="AM352" i="1"/>
  <c r="AM4" i="1"/>
  <c r="AM292" i="1"/>
  <c r="AM796" i="1"/>
  <c r="AM845" i="1"/>
  <c r="AM1008" i="1"/>
  <c r="AM1108" i="1"/>
  <c r="AM482" i="1"/>
  <c r="AM64" i="1"/>
  <c r="AM177" i="1"/>
  <c r="AM142" i="1"/>
  <c r="AM182" i="1"/>
  <c r="AM317" i="1"/>
  <c r="AM952" i="1"/>
  <c r="AM999" i="1"/>
  <c r="AM995" i="1"/>
  <c r="AM981" i="1"/>
  <c r="AM444" i="1"/>
  <c r="AM467" i="1"/>
  <c r="AM913" i="1"/>
  <c r="AM144" i="1"/>
  <c r="AM165" i="1"/>
  <c r="AM162" i="1"/>
  <c r="AM154" i="1"/>
  <c r="AM308" i="1"/>
  <c r="AM307" i="1"/>
  <c r="AM345" i="1"/>
  <c r="AM797" i="1"/>
  <c r="AM846" i="1"/>
  <c r="AM847" i="1"/>
  <c r="AM852" i="1"/>
  <c r="AM912" i="1"/>
  <c r="AM495" i="1"/>
  <c r="AM127" i="1"/>
  <c r="AM73" i="1"/>
  <c r="AM133" i="1"/>
  <c r="AM195" i="1"/>
  <c r="AM126" i="1"/>
  <c r="AM68" i="1"/>
  <c r="AM284" i="1"/>
  <c r="AM799" i="1"/>
  <c r="AM827" i="1"/>
  <c r="AM801" i="1"/>
  <c r="AM375" i="1"/>
  <c r="AM394" i="1"/>
  <c r="AM492" i="1"/>
  <c r="AM417" i="1"/>
  <c r="AB1123" i="1"/>
  <c r="AA1123" i="1" s="1"/>
  <c r="Z1123" i="1" s="1"/>
  <c r="AB1109" i="1"/>
  <c r="AA1109" i="1" s="1"/>
  <c r="Z1109" i="1" s="1"/>
  <c r="AB1118" i="1"/>
  <c r="AA1118" i="1" s="1"/>
  <c r="Z1118" i="1" s="1"/>
  <c r="AB1117" i="1"/>
  <c r="AA1117" i="1" s="1"/>
  <c r="Z1117" i="1" s="1"/>
  <c r="AB1122" i="1"/>
  <c r="AA1122" i="1" s="1"/>
  <c r="Z1122" i="1" s="1"/>
  <c r="AB1110" i="1"/>
  <c r="AA1110" i="1" s="1"/>
  <c r="Z1110" i="1" s="1"/>
  <c r="AB1115" i="1"/>
  <c r="AA1115" i="1" s="1"/>
  <c r="Z1115" i="1" s="1"/>
  <c r="AB1113" i="1"/>
  <c r="AA1113" i="1" s="1"/>
  <c r="Z1113" i="1" s="1"/>
  <c r="AB1125" i="1"/>
  <c r="AA1125" i="1" s="1"/>
  <c r="Z1125" i="1" s="1"/>
  <c r="AB1112" i="1"/>
  <c r="AA1112" i="1" s="1"/>
  <c r="Z1112" i="1" s="1"/>
  <c r="AB1120" i="1"/>
  <c r="AB1119" i="1"/>
  <c r="AA1119" i="1" s="1"/>
  <c r="Z1119" i="1" s="1"/>
  <c r="AB1132" i="1"/>
  <c r="AA1132" i="1" s="1"/>
  <c r="Z1132" i="1" s="1"/>
  <c r="AB1129" i="1"/>
  <c r="AA1129" i="1" s="1"/>
  <c r="Z1129" i="1" s="1"/>
  <c r="AB1128" i="1"/>
  <c r="AA1128" i="1" s="1"/>
  <c r="Z1128" i="1" s="1"/>
  <c r="AB1114" i="1"/>
  <c r="AA1114" i="1" s="1"/>
  <c r="Z1114" i="1" s="1"/>
  <c r="AB1124" i="1"/>
  <c r="AA1124" i="1" s="1"/>
  <c r="Z1124" i="1" s="1"/>
  <c r="AB1130" i="1"/>
  <c r="AA1130" i="1" s="1"/>
  <c r="Z1130" i="1" s="1"/>
  <c r="AB1121" i="1"/>
  <c r="AA1121" i="1" s="1"/>
  <c r="Z1121" i="1" s="1"/>
  <c r="AB1131" i="1"/>
  <c r="AA1131" i="1" s="1"/>
  <c r="Z1131" i="1" s="1"/>
  <c r="AB1116" i="1"/>
  <c r="AA1116" i="1" s="1"/>
  <c r="Z1116" i="1" s="1"/>
  <c r="AB1126" i="1"/>
  <c r="AA1126" i="1" s="1"/>
  <c r="Z1126" i="1" s="1"/>
  <c r="AB1127" i="1"/>
  <c r="AA1127" i="1" s="1"/>
  <c r="Z1127" i="1" s="1"/>
  <c r="AB1111" i="1"/>
  <c r="AA1111" i="1" s="1"/>
  <c r="Z1111" i="1" s="1"/>
  <c r="AM156" i="1"/>
  <c r="AM155" i="1"/>
  <c r="AM184" i="1"/>
  <c r="AM419" i="1"/>
  <c r="AM81" i="1"/>
  <c r="AB1137" i="1"/>
  <c r="AA1137" i="1" s="1"/>
  <c r="Z1137" i="1" s="1"/>
  <c r="AB1138" i="1"/>
  <c r="AA1138" i="1" s="1"/>
  <c r="Z1138" i="1" s="1"/>
  <c r="AB1134" i="1"/>
  <c r="AA1134" i="1" s="1"/>
  <c r="Z1134" i="1" s="1"/>
  <c r="AB1135" i="1"/>
  <c r="AA1135" i="1" s="1"/>
  <c r="Z1135" i="1" s="1"/>
  <c r="AB1136" i="1"/>
  <c r="AA1136" i="1" s="1"/>
  <c r="Z1136" i="1" s="1"/>
  <c r="AB1133" i="1"/>
  <c r="AA1133" i="1" s="1"/>
  <c r="Z1133" i="1" s="1"/>
  <c r="AM100" i="1"/>
  <c r="AM92" i="1"/>
  <c r="AM85" i="1"/>
  <c r="AM171" i="1"/>
  <c r="AM82" i="1"/>
  <c r="AM275" i="1"/>
  <c r="AM310" i="1"/>
  <c r="AM286" i="1"/>
  <c r="AM949" i="1"/>
  <c r="AM413" i="1"/>
  <c r="AM388" i="1"/>
  <c r="AM436" i="1"/>
  <c r="AM422" i="1"/>
  <c r="AM464" i="1"/>
  <c r="AM465" i="1"/>
  <c r="AM283" i="1"/>
  <c r="AM415" i="1"/>
  <c r="AM443" i="1"/>
  <c r="AB1142" i="1"/>
  <c r="AA1142" i="1" s="1"/>
  <c r="Z1142" i="1" s="1"/>
  <c r="AB1145" i="1"/>
  <c r="AA1145" i="1" s="1"/>
  <c r="Z1145" i="1" s="1"/>
  <c r="AB1150" i="1"/>
  <c r="AA1150" i="1" s="1"/>
  <c r="Z1150" i="1" s="1"/>
  <c r="AB1148" i="1"/>
  <c r="AA1148" i="1" s="1"/>
  <c r="Z1148" i="1" s="1"/>
  <c r="AB1146" i="1"/>
  <c r="AA1146" i="1" s="1"/>
  <c r="Z1146" i="1" s="1"/>
  <c r="AB1140" i="1"/>
  <c r="AA1140" i="1" s="1"/>
  <c r="Z1140" i="1" s="1"/>
  <c r="AB1143" i="1"/>
  <c r="AA1143" i="1" s="1"/>
  <c r="Z1143" i="1" s="1"/>
  <c r="AB1141" i="1"/>
  <c r="AA1141" i="1" s="1"/>
  <c r="Z1141" i="1" s="1"/>
  <c r="AB1147" i="1"/>
  <c r="AA1147" i="1" s="1"/>
  <c r="Z1147" i="1" s="1"/>
  <c r="AB1149" i="1"/>
  <c r="AA1149" i="1" s="1"/>
  <c r="Z1149" i="1" s="1"/>
  <c r="AB1144" i="1"/>
  <c r="AA1144" i="1" s="1"/>
  <c r="Z1144" i="1" s="1"/>
  <c r="AB1139" i="1"/>
  <c r="AA1139" i="1" s="1"/>
  <c r="Z1139" i="1" s="1"/>
  <c r="AB1151" i="1"/>
  <c r="AA1151" i="1" s="1"/>
  <c r="Z1151" i="1" s="1"/>
  <c r="AB1103" i="1"/>
  <c r="AA1103" i="1" s="1"/>
  <c r="Z1103" i="1" s="1"/>
  <c r="AB1104" i="1"/>
  <c r="AA1104" i="1" s="1"/>
  <c r="Z1104" i="1" s="1"/>
  <c r="AB1108" i="1"/>
  <c r="AA1108" i="1" s="1"/>
  <c r="Z1108" i="1" s="1"/>
  <c r="AB1105" i="1"/>
  <c r="AA1105" i="1" s="1"/>
  <c r="Z1105" i="1" s="1"/>
  <c r="AB1106" i="1"/>
  <c r="AA1106" i="1" s="1"/>
  <c r="Z1106" i="1" s="1"/>
  <c r="AB1107" i="1"/>
  <c r="AA1107" i="1" s="1"/>
  <c r="Z1107" i="1" s="1"/>
  <c r="AM145" i="1"/>
  <c r="AM152" i="1"/>
  <c r="AM98" i="1"/>
  <c r="AM180" i="1"/>
  <c r="AM110" i="1"/>
  <c r="AM168" i="1"/>
  <c r="AM97" i="1"/>
  <c r="AM312" i="1"/>
  <c r="AM302" i="1"/>
  <c r="AM290" i="1"/>
  <c r="AM258" i="1"/>
  <c r="AM896" i="1"/>
  <c r="AM815" i="1"/>
  <c r="AM1056" i="1"/>
  <c r="AM1045" i="1"/>
  <c r="AM376" i="1"/>
  <c r="AM499" i="1"/>
  <c r="AM452" i="1"/>
  <c r="AM434" i="1"/>
  <c r="AM199" i="1"/>
  <c r="AM90" i="1"/>
  <c r="AM291" i="1"/>
  <c r="AM299" i="1"/>
  <c r="AM402" i="1"/>
  <c r="AM502" i="1"/>
  <c r="AA1120" i="1"/>
  <c r="Z1120" i="1" s="1"/>
  <c r="AM121" i="1"/>
  <c r="AM293" i="1"/>
  <c r="AM314" i="1"/>
  <c r="AM887" i="1"/>
  <c r="AM942" i="1"/>
  <c r="AM395" i="1"/>
  <c r="AM420" i="1"/>
  <c r="AM487" i="1"/>
  <c r="AM96" i="1"/>
  <c r="AM116" i="1"/>
  <c r="AM139" i="1"/>
  <c r="AM136" i="1"/>
  <c r="AM76" i="1"/>
  <c r="AM113" i="1"/>
  <c r="AM79" i="1"/>
  <c r="AM164" i="1"/>
  <c r="AM74" i="1"/>
  <c r="AM37" i="1"/>
  <c r="AM25" i="1"/>
  <c r="AM11" i="1"/>
  <c r="AM6" i="1"/>
  <c r="AM28" i="1"/>
  <c r="AM271" i="1"/>
  <c r="AM282" i="1"/>
  <c r="AM266" i="1"/>
  <c r="AM255" i="1"/>
  <c r="AM201" i="1"/>
  <c r="AM899" i="1"/>
  <c r="AM916" i="1"/>
  <c r="AM944" i="1"/>
  <c r="AM1064" i="1"/>
  <c r="AM858" i="1"/>
  <c r="AM1042" i="1"/>
  <c r="AM873" i="1"/>
  <c r="AM911" i="1"/>
  <c r="AM1077" i="1"/>
  <c r="AM863" i="1"/>
  <c r="AM897" i="1"/>
  <c r="AM1034" i="1"/>
  <c r="AM943" i="1"/>
  <c r="AM1031" i="1"/>
  <c r="AM1101" i="1"/>
  <c r="AM940" i="1"/>
  <c r="AM408" i="1"/>
  <c r="AM374" i="1"/>
  <c r="AM400" i="1"/>
  <c r="AM380" i="1"/>
  <c r="AM414" i="1"/>
  <c r="AM993" i="1"/>
  <c r="AM473" i="1"/>
  <c r="AM490" i="1"/>
  <c r="AM457" i="1"/>
  <c r="AM469" i="1"/>
  <c r="AM426" i="1"/>
  <c r="AM223" i="1"/>
  <c r="AM252" i="1"/>
  <c r="AM243" i="1"/>
  <c r="AM211" i="1"/>
  <c r="AM217" i="1"/>
  <c r="AM229" i="1"/>
  <c r="AM70" i="1"/>
  <c r="AM63" i="1"/>
  <c r="AM58" i="1"/>
  <c r="AM42" i="1"/>
  <c r="AM7" i="1"/>
  <c r="AM27" i="1"/>
  <c r="AM54" i="1"/>
  <c r="AM26" i="1"/>
  <c r="AM263" i="1"/>
  <c r="AM279" i="1"/>
  <c r="AM254" i="1"/>
  <c r="AM200" i="1"/>
  <c r="AM802" i="1"/>
  <c r="AM908" i="1"/>
  <c r="AM785" i="1"/>
  <c r="AM904" i="1"/>
  <c r="AM787" i="1"/>
  <c r="AM968" i="1"/>
  <c r="AM1099" i="1"/>
  <c r="AM1071" i="1"/>
  <c r="AM872" i="1"/>
  <c r="AM1094" i="1"/>
  <c r="AM1072" i="1"/>
  <c r="AM888" i="1"/>
  <c r="AM882" i="1"/>
  <c r="AM871" i="1"/>
  <c r="AM1023" i="1"/>
  <c r="AM857" i="1"/>
  <c r="AM867" i="1"/>
  <c r="AM967" i="1"/>
  <c r="AM868" i="1"/>
  <c r="AM1097" i="1"/>
  <c r="AM1090" i="1"/>
  <c r="AM927" i="1"/>
  <c r="AM994" i="1"/>
  <c r="AM439" i="1"/>
  <c r="AM476" i="1"/>
  <c r="AM449" i="1"/>
  <c r="AM215" i="1"/>
  <c r="AM218" i="1"/>
  <c r="AM219" i="1"/>
  <c r="AM226" i="1"/>
  <c r="AM224" i="1"/>
  <c r="AM245" i="1"/>
  <c r="AM242" i="1"/>
  <c r="AM77" i="1"/>
  <c r="AM131" i="1"/>
  <c r="AM94" i="1"/>
  <c r="AM114" i="1"/>
  <c r="AM67" i="1"/>
  <c r="AM107" i="1"/>
  <c r="AM296" i="1"/>
  <c r="AM48" i="1"/>
  <c r="AM53" i="1"/>
  <c r="AM33" i="1"/>
  <c r="AM24" i="1"/>
  <c r="AM20" i="1"/>
  <c r="AM36" i="1"/>
  <c r="AM59" i="1"/>
  <c r="AM288" i="1"/>
  <c r="AM278" i="1"/>
  <c r="AM272" i="1"/>
  <c r="AM259" i="1"/>
  <c r="AM253" i="1"/>
  <c r="AM202" i="1"/>
  <c r="AM890" i="1"/>
  <c r="AM788" i="1"/>
  <c r="AM928" i="1"/>
  <c r="AM789" i="1"/>
  <c r="AM807" i="1"/>
  <c r="AM893" i="1"/>
  <c r="AM813" i="1"/>
  <c r="AM898" i="1"/>
  <c r="AM1070" i="1"/>
  <c r="AM1030" i="1"/>
  <c r="AM1043" i="1"/>
  <c r="AM889" i="1"/>
  <c r="AM1067" i="1"/>
  <c r="AM1057" i="1"/>
  <c r="AM1095" i="1"/>
  <c r="AM901" i="1"/>
  <c r="AM870" i="1"/>
  <c r="AM1053" i="1"/>
  <c r="AM864" i="1"/>
  <c r="AM1059" i="1"/>
  <c r="AM1062" i="1"/>
  <c r="AM391" i="1"/>
  <c r="AM383" i="1"/>
  <c r="AM370" i="1"/>
  <c r="AM390" i="1"/>
  <c r="AM477" i="1"/>
  <c r="AM498" i="1"/>
  <c r="AM418" i="1"/>
  <c r="AM455" i="1"/>
  <c r="AM486" i="1"/>
  <c r="AM500" i="1"/>
  <c r="AM428" i="1"/>
  <c r="AM501" i="1"/>
  <c r="AM503" i="1"/>
  <c r="AM246" i="1"/>
  <c r="AM239" i="1"/>
  <c r="AM203" i="1"/>
  <c r="AM233" i="1"/>
  <c r="AM228" i="1"/>
  <c r="AM250" i="1"/>
  <c r="AM241" i="1"/>
  <c r="AM119" i="1"/>
  <c r="AM104" i="1"/>
  <c r="AM124" i="1"/>
  <c r="AM84" i="1"/>
  <c r="AM117" i="1"/>
  <c r="AM132" i="1"/>
  <c r="AM78" i="1"/>
  <c r="AM106" i="1"/>
  <c r="AM143" i="1"/>
  <c r="AM41" i="1"/>
  <c r="AM45" i="1"/>
  <c r="AM38" i="1"/>
  <c r="AM55" i="1"/>
  <c r="AM10" i="1"/>
  <c r="AM43" i="1"/>
  <c r="AM34" i="1"/>
  <c r="AM313" i="1"/>
  <c r="AM276" i="1"/>
  <c r="AM267" i="1"/>
  <c r="AM287" i="1"/>
  <c r="AM268" i="1"/>
  <c r="AM262" i="1"/>
  <c r="AM256" i="1"/>
  <c r="AM806" i="1"/>
  <c r="AM930" i="1"/>
  <c r="AM902" i="1"/>
  <c r="AM811" i="1"/>
  <c r="AM812" i="1"/>
  <c r="AM816" i="1"/>
  <c r="AM784" i="1"/>
  <c r="AM1060" i="1"/>
  <c r="AM1052" i="1"/>
  <c r="AM1026" i="1"/>
  <c r="AM875" i="1"/>
  <c r="AM1069" i="1"/>
  <c r="AM1027" i="1"/>
  <c r="AM1081" i="1"/>
  <c r="AM1066" i="1"/>
  <c r="AM894" i="1"/>
  <c r="AM881" i="1"/>
  <c r="AM866" i="1"/>
  <c r="AM941" i="1"/>
  <c r="AM1098" i="1"/>
  <c r="AM387" i="1"/>
  <c r="AM409" i="1"/>
  <c r="AM393" i="1"/>
  <c r="AM373" i="1"/>
  <c r="AM382" i="1"/>
  <c r="AM468" i="1"/>
  <c r="AM448" i="1"/>
  <c r="AM435" i="1"/>
  <c r="AM483" i="1"/>
  <c r="AM480" i="1"/>
  <c r="AM458" i="1"/>
  <c r="AM445" i="1"/>
  <c r="AM479" i="1"/>
  <c r="AM453" i="1"/>
  <c r="AM238" i="1"/>
  <c r="AM230" i="1"/>
  <c r="AM204" i="1"/>
  <c r="AM235" i="1"/>
  <c r="AM225" i="1"/>
  <c r="AM205" i="1"/>
  <c r="AM140" i="1"/>
  <c r="AM99" i="1"/>
  <c r="AM101" i="1"/>
  <c r="AM60" i="1"/>
  <c r="AM62" i="1"/>
  <c r="AM56" i="1"/>
  <c r="AM32" i="1"/>
  <c r="AM23" i="1"/>
  <c r="AM50" i="1"/>
  <c r="AM39" i="1"/>
  <c r="AM46" i="1"/>
  <c r="AM273" i="1"/>
  <c r="AM277" i="1"/>
  <c r="AM260" i="1"/>
  <c r="AM884" i="1"/>
  <c r="AM821" i="1"/>
  <c r="AM910" i="1"/>
  <c r="AM782" i="1"/>
  <c r="AM862" i="1"/>
  <c r="AM1075" i="1"/>
  <c r="AM1080" i="1"/>
  <c r="AM1091" i="1"/>
  <c r="AM1068" i="1"/>
  <c r="AM1079" i="1"/>
  <c r="AM1041" i="1"/>
  <c r="AM948" i="1"/>
  <c r="AM1049" i="1"/>
  <c r="AM905" i="1"/>
  <c r="AM877" i="1"/>
  <c r="AM1078" i="1"/>
  <c r="AM1083" i="1"/>
  <c r="AM860" i="1"/>
  <c r="AM856" i="1"/>
  <c r="AM369" i="1"/>
  <c r="AM406" i="1"/>
  <c r="AM401" i="1"/>
  <c r="AM991" i="1"/>
  <c r="AM489" i="1"/>
  <c r="AM438" i="1"/>
  <c r="AM425" i="1"/>
  <c r="AM210" i="1"/>
  <c r="AM247" i="1"/>
  <c r="AM232" i="1"/>
  <c r="AM236" i="1"/>
  <c r="AM221" i="1"/>
  <c r="AM212" i="1"/>
  <c r="AM71" i="1"/>
  <c r="AM123" i="1"/>
  <c r="AM75" i="1"/>
  <c r="AM83" i="1"/>
  <c r="AM9" i="1"/>
  <c r="AM8" i="1"/>
  <c r="AM49" i="1"/>
  <c r="AM5" i="1"/>
  <c r="AM52" i="1"/>
  <c r="AM51" i="1"/>
  <c r="AM30" i="1"/>
  <c r="AM280" i="1"/>
  <c r="AM257" i="1"/>
  <c r="AM932" i="1"/>
  <c r="AM891" i="1"/>
  <c r="AM954" i="1"/>
  <c r="AM826" i="1"/>
  <c r="AM818" i="1"/>
  <c r="AM946" i="1"/>
  <c r="AM1076" i="1"/>
  <c r="AM945" i="1"/>
  <c r="AM861" i="1"/>
  <c r="AM886" i="1"/>
  <c r="AM855" i="1"/>
  <c r="AM939" i="1"/>
  <c r="AM1102" i="1"/>
  <c r="AM1100" i="1"/>
  <c r="AM903" i="1"/>
  <c r="AM372" i="1"/>
  <c r="AM397" i="1"/>
  <c r="AM992" i="1"/>
  <c r="AM497" i="1"/>
  <c r="AM450" i="1"/>
  <c r="AM222" i="1"/>
  <c r="AM207" i="1"/>
  <c r="AM213" i="1"/>
  <c r="AM249" i="1"/>
  <c r="AM251" i="1"/>
  <c r="AM209" i="1"/>
  <c r="AM138" i="1"/>
  <c r="AM109" i="1"/>
  <c r="AM93" i="1"/>
  <c r="AM19" i="1"/>
  <c r="AM22" i="1"/>
  <c r="AM47" i="1"/>
  <c r="AM12" i="1"/>
  <c r="AM18" i="1"/>
  <c r="AM270" i="1"/>
  <c r="AM274" i="1"/>
  <c r="AM264" i="1"/>
  <c r="AM920" i="1"/>
  <c r="AM929" i="1"/>
  <c r="AM823" i="1"/>
  <c r="AM781" i="1"/>
  <c r="AM876" i="1"/>
  <c r="AM1063" i="1"/>
  <c r="AM1082" i="1"/>
  <c r="AM925" i="1"/>
  <c r="AM883" i="1"/>
  <c r="AM1037" i="1"/>
  <c r="AM1048" i="1"/>
  <c r="AM938" i="1"/>
  <c r="AM1096" i="1"/>
  <c r="AM1065" i="1"/>
  <c r="AM407" i="1"/>
  <c r="AM386" i="1"/>
  <c r="AM989" i="1"/>
  <c r="AM491" i="1"/>
  <c r="AM461" i="1"/>
  <c r="AM454" i="1"/>
  <c r="AM442" i="1"/>
  <c r="AM231" i="1"/>
  <c r="AM214" i="1"/>
  <c r="AM240" i="1"/>
  <c r="AM248" i="1"/>
  <c r="AM237" i="1"/>
  <c r="AM216" i="1"/>
  <c r="AM112" i="1"/>
  <c r="AM135" i="1"/>
  <c r="AM122" i="1"/>
  <c r="AM115" i="1"/>
  <c r="AM86" i="1"/>
  <c r="AM17" i="1"/>
  <c r="AM16" i="1"/>
  <c r="AM57" i="1"/>
  <c r="AM13" i="1"/>
  <c r="AM29" i="1"/>
  <c r="AM21" i="1"/>
  <c r="AM44" i="1"/>
  <c r="AM15" i="1"/>
  <c r="AM35" i="1"/>
  <c r="AM31" i="1"/>
  <c r="AM14" i="1"/>
  <c r="AM281" i="1"/>
  <c r="AM269" i="1"/>
  <c r="AM265" i="1"/>
  <c r="AM261" i="1"/>
  <c r="AM783" i="1"/>
  <c r="AM817" i="1"/>
  <c r="AM800" i="1"/>
  <c r="AM786" i="1"/>
  <c r="AM914" i="1"/>
  <c r="AM895" i="1"/>
  <c r="AM828" i="1"/>
  <c r="AM819" i="1"/>
  <c r="AM979" i="1"/>
  <c r="AM874" i="1"/>
  <c r="AM869" i="1"/>
  <c r="AM1050" i="1"/>
  <c r="AM1092" i="1"/>
  <c r="AM865" i="1"/>
  <c r="AM961" i="1"/>
  <c r="AM1093" i="1"/>
  <c r="AM885" i="1"/>
  <c r="AM1074" i="1"/>
  <c r="AM1061" i="1"/>
  <c r="AM879" i="1"/>
  <c r="AM1073" i="1"/>
  <c r="AM859" i="1"/>
  <c r="AM410" i="1"/>
  <c r="AM381" i="1"/>
  <c r="AM389" i="1"/>
  <c r="AM990" i="1"/>
  <c r="AM484" i="1"/>
  <c r="AM456" i="1"/>
  <c r="AM421" i="1"/>
  <c r="AM433" i="1"/>
  <c r="AM424" i="1"/>
  <c r="AM493" i="1"/>
  <c r="AM432" i="1"/>
  <c r="AM446" i="1"/>
  <c r="AM206" i="1"/>
  <c r="AM234" i="1"/>
  <c r="AM227" i="1"/>
  <c r="AM208" i="1"/>
  <c r="AM220" i="1"/>
  <c r="AM244" i="1"/>
  <c r="X16" i="1"/>
  <c r="Y16" i="1" s="1"/>
  <c r="W17" i="1"/>
  <c r="AB1085" i="1"/>
  <c r="AB1087" i="1"/>
  <c r="AB1088" i="1"/>
  <c r="AB1084" i="1"/>
  <c r="AB1089" i="1"/>
  <c r="AB1086" i="1"/>
  <c r="AB1099" i="1"/>
  <c r="AB1100" i="1"/>
  <c r="AB1098" i="1"/>
  <c r="AB1096" i="1"/>
  <c r="AB1094" i="1"/>
  <c r="AB1093" i="1"/>
  <c r="AB1101" i="1"/>
  <c r="AB1091" i="1"/>
  <c r="AB1095" i="1"/>
  <c r="AB1102" i="1"/>
  <c r="AB1092" i="1"/>
  <c r="AB1097" i="1"/>
  <c r="AB1090" i="1"/>
  <c r="AB1067" i="1"/>
  <c r="AB1073" i="1"/>
  <c r="AB1061" i="1"/>
  <c r="AB1063" i="1"/>
  <c r="AB1076" i="1"/>
  <c r="AB1072" i="1"/>
  <c r="AB1068" i="1"/>
  <c r="AB1060" i="1"/>
  <c r="AB1066" i="1"/>
  <c r="AB1074" i="1"/>
  <c r="AB1077" i="1"/>
  <c r="AB1083" i="1"/>
  <c r="AB1069" i="1"/>
  <c r="AB1081" i="1"/>
  <c r="AB1080" i="1"/>
  <c r="AB1065" i="1"/>
  <c r="AB1071" i="1"/>
  <c r="AB1082" i="1"/>
  <c r="AB1064" i="1"/>
  <c r="AB1075" i="1"/>
  <c r="AB1079" i="1"/>
  <c r="AB1070" i="1"/>
  <c r="AB1078" i="1"/>
  <c r="AB1062" i="1"/>
  <c r="AB835" i="1"/>
  <c r="AB912" i="1"/>
  <c r="AB985" i="1"/>
  <c r="AB1001" i="1"/>
  <c r="AB936" i="1"/>
  <c r="AB853" i="1"/>
  <c r="AB1056" i="1"/>
  <c r="AB969" i="1"/>
  <c r="AB1047" i="1"/>
  <c r="AB956" i="1"/>
  <c r="AB1000" i="1"/>
  <c r="AB832" i="1"/>
  <c r="AB1025" i="1"/>
  <c r="AB970" i="1"/>
  <c r="AB1004" i="1"/>
  <c r="AB917" i="1"/>
  <c r="AB958" i="1"/>
  <c r="AB1051" i="1"/>
  <c r="AB992" i="1"/>
  <c r="AB935" i="1"/>
  <c r="AB1013" i="1"/>
  <c r="AB1009" i="1"/>
  <c r="AB1014" i="1"/>
  <c r="AB974" i="1"/>
  <c r="AB907" i="1"/>
  <c r="AB833" i="1"/>
  <c r="AB836" i="1"/>
  <c r="AB966" i="1"/>
  <c r="AB840" i="1"/>
  <c r="AB1037" i="1"/>
  <c r="AB1023" i="1"/>
  <c r="AB1002" i="1"/>
  <c r="AB982" i="1"/>
  <c r="AB906" i="1"/>
  <c r="AB950" i="1"/>
  <c r="AB986" i="1"/>
  <c r="AB978" i="1"/>
  <c r="AB842" i="1"/>
  <c r="AB834" i="1"/>
  <c r="AB991" i="1"/>
  <c r="AB955" i="1"/>
  <c r="AB993" i="1"/>
  <c r="AB1007" i="1"/>
  <c r="AB962" i="1"/>
  <c r="AB1010" i="1"/>
  <c r="AB1019" i="1"/>
  <c r="AB1031" i="1"/>
  <c r="AB994" i="1"/>
  <c r="AB988" i="1"/>
  <c r="AB1021" i="1"/>
  <c r="AB1017" i="1"/>
  <c r="AB964" i="1"/>
  <c r="AB846" i="1"/>
  <c r="AB997" i="1"/>
  <c r="AB1033" i="1"/>
  <c r="AB976" i="1"/>
  <c r="AB960" i="1"/>
  <c r="AB1026" i="1"/>
  <c r="AB839" i="1"/>
  <c r="AB1012" i="1"/>
  <c r="AB957" i="1"/>
  <c r="AB922" i="1"/>
  <c r="AB975" i="1"/>
  <c r="AB973" i="1"/>
  <c r="AB852" i="1"/>
  <c r="AB845" i="1"/>
  <c r="AB1055" i="1"/>
  <c r="AB995" i="1"/>
  <c r="AB1045" i="1"/>
  <c r="AB1018" i="1"/>
  <c r="AB1029" i="1"/>
  <c r="AB1041" i="1"/>
  <c r="AB1052" i="1"/>
  <c r="AB849" i="1"/>
  <c r="AB977" i="1"/>
  <c r="AB831" i="1"/>
  <c r="AB830" i="1"/>
  <c r="AB1049" i="1"/>
  <c r="AB1034" i="1"/>
  <c r="AB1057" i="1"/>
  <c r="AB1036" i="1"/>
  <c r="AB965" i="1"/>
  <c r="AB838" i="1"/>
  <c r="AB953" i="1"/>
  <c r="AB1043" i="1"/>
  <c r="AB984" i="1"/>
  <c r="AB847" i="1"/>
  <c r="AB844" i="1"/>
  <c r="AB1046" i="1"/>
  <c r="AB829" i="1"/>
  <c r="AB999" i="1"/>
  <c r="AB837" i="1"/>
  <c r="AB1011" i="1"/>
  <c r="AB931" i="1"/>
  <c r="AB972" i="1"/>
  <c r="AB1058" i="1"/>
  <c r="AB980" i="1"/>
  <c r="AB848" i="1"/>
  <c r="AB1006" i="1"/>
  <c r="AB998" i="1"/>
  <c r="AB1030" i="1"/>
  <c r="AB880" i="1"/>
  <c r="AB983" i="1"/>
  <c r="AB1040" i="1"/>
  <c r="AB1024" i="1"/>
  <c r="AB1005" i="1"/>
  <c r="AB1028" i="1"/>
  <c r="AB1032" i="1"/>
  <c r="AB850" i="1"/>
  <c r="AB841" i="1"/>
  <c r="AB971" i="1"/>
  <c r="AB915" i="1"/>
  <c r="AB854" i="1"/>
  <c r="AB1038" i="1"/>
  <c r="AB1035" i="1"/>
  <c r="AB1022" i="1"/>
  <c r="AB1042" i="1"/>
  <c r="AB987" i="1"/>
  <c r="AB1039" i="1"/>
  <c r="AB989" i="1"/>
  <c r="AB990" i="1"/>
  <c r="AB1016" i="1"/>
  <c r="AB1044" i="1"/>
  <c r="AB851" i="1"/>
  <c r="AB1050" i="1"/>
  <c r="AB959" i="1"/>
  <c r="AB1015" i="1"/>
  <c r="AB1003" i="1"/>
  <c r="AB1053" i="1"/>
  <c r="AB1008" i="1"/>
  <c r="AB1027" i="1"/>
  <c r="AB1048" i="1"/>
  <c r="AB979" i="1"/>
  <c r="AB1059" i="1"/>
  <c r="AB1054" i="1"/>
  <c r="AB843" i="1"/>
  <c r="AB1020" i="1"/>
  <c r="AB996" i="1"/>
  <c r="AB981" i="1"/>
  <c r="AB488" i="1"/>
  <c r="AB442" i="1"/>
  <c r="AB500" i="1"/>
  <c r="AB469" i="1"/>
  <c r="AB441" i="1"/>
  <c r="AB490" i="1"/>
  <c r="AB434" i="1"/>
  <c r="AB420" i="1"/>
  <c r="AB482" i="1"/>
  <c r="AB498" i="1"/>
  <c r="AB481" i="1"/>
  <c r="AB432" i="1"/>
  <c r="AB444" i="1"/>
  <c r="AB485" i="1"/>
  <c r="AB466" i="1"/>
  <c r="AB440" i="1"/>
  <c r="AB486" i="1"/>
  <c r="AB503" i="1"/>
  <c r="AA503" i="1" s="1"/>
  <c r="Z503" i="1" s="1"/>
  <c r="AB477" i="1"/>
  <c r="AB489" i="1"/>
  <c r="AB428" i="1"/>
  <c r="AB437" i="1"/>
  <c r="AB502" i="1"/>
  <c r="AB461" i="1"/>
  <c r="AB493" i="1"/>
  <c r="AB496" i="1"/>
  <c r="AB424" i="1"/>
  <c r="AB495" i="1"/>
  <c r="AB447" i="1"/>
  <c r="AB463" i="1"/>
  <c r="AB492" i="1"/>
  <c r="AB419" i="1"/>
  <c r="AB471" i="1"/>
  <c r="AB445" i="1"/>
  <c r="AB475" i="1"/>
  <c r="AB467" i="1"/>
  <c r="AB443" i="1"/>
  <c r="AB494" i="1"/>
  <c r="AB474" i="1"/>
  <c r="AB487" i="1"/>
  <c r="AB465" i="1"/>
  <c r="AB433" i="1"/>
  <c r="AB427" i="1"/>
  <c r="AB459" i="1"/>
  <c r="AB458" i="1"/>
  <c r="AB501" i="1"/>
  <c r="AB478" i="1"/>
  <c r="AB470" i="1"/>
  <c r="AB491" i="1"/>
  <c r="AB462" i="1"/>
  <c r="AB423" i="1"/>
  <c r="AB450" i="1"/>
  <c r="AB479" i="1"/>
  <c r="AB425" i="1"/>
  <c r="AB449" i="1"/>
  <c r="AB446" i="1"/>
  <c r="AB429" i="1"/>
  <c r="AB455" i="1"/>
  <c r="AB421" i="1"/>
  <c r="AB417" i="1"/>
  <c r="AB457" i="1"/>
  <c r="AB431" i="1"/>
  <c r="AB499" i="1"/>
  <c r="AB438" i="1"/>
  <c r="AB418" i="1"/>
  <c r="AB454" i="1"/>
  <c r="AB426" i="1"/>
  <c r="AB453" i="1"/>
  <c r="AB430" i="1"/>
  <c r="AB452" i="1"/>
  <c r="AB480" i="1"/>
  <c r="AB436" i="1"/>
  <c r="AB476" i="1"/>
  <c r="AB473" i="1"/>
  <c r="AB435" i="1"/>
  <c r="AB497" i="1"/>
  <c r="AB464" i="1"/>
  <c r="AB468" i="1"/>
  <c r="AB484" i="1"/>
  <c r="AB448" i="1"/>
  <c r="AB460" i="1"/>
  <c r="AB439" i="1"/>
  <c r="AB451" i="1"/>
  <c r="AB483" i="1"/>
  <c r="AB472" i="1"/>
  <c r="AB456" i="1"/>
  <c r="AB422" i="1"/>
  <c r="AB342" i="1"/>
  <c r="AB323" i="1"/>
  <c r="AB320" i="1"/>
  <c r="AB325" i="1"/>
  <c r="AB355" i="1"/>
  <c r="AB366" i="1"/>
  <c r="AB321" i="1"/>
  <c r="AB368" i="1"/>
  <c r="AB360" i="1"/>
  <c r="AB326" i="1"/>
  <c r="AB334" i="1"/>
  <c r="AB350" i="1"/>
  <c r="AB358" i="1"/>
  <c r="AB363" i="1"/>
  <c r="AB343" i="1"/>
  <c r="AB367" i="1"/>
  <c r="AB333" i="1"/>
  <c r="AB353" i="1"/>
  <c r="AB337" i="1"/>
  <c r="AB339" i="1"/>
  <c r="AB322" i="1"/>
  <c r="AB338" i="1"/>
  <c r="AB359" i="1"/>
  <c r="AB330" i="1"/>
  <c r="AB362" i="1"/>
  <c r="AB327" i="1"/>
  <c r="AB335" i="1"/>
  <c r="AB357" i="1"/>
  <c r="AB352" i="1"/>
  <c r="AB336" i="1"/>
  <c r="AB319" i="1"/>
  <c r="AB351" i="1"/>
  <c r="AB344" i="1"/>
  <c r="AB328" i="1"/>
  <c r="AB347" i="1"/>
  <c r="AB331" i="1"/>
  <c r="AB341" i="1"/>
  <c r="AB365" i="1"/>
  <c r="AB345" i="1"/>
  <c r="AB354" i="1"/>
  <c r="AB349" i="1"/>
  <c r="AB346" i="1"/>
  <c r="AB329" i="1"/>
  <c r="AB361" i="1"/>
  <c r="AB356" i="1"/>
  <c r="AB364" i="1"/>
  <c r="AB340" i="1"/>
  <c r="AB332" i="1"/>
  <c r="AB324" i="1"/>
  <c r="AB348" i="1"/>
  <c r="AB810" i="1"/>
  <c r="AB820" i="1"/>
  <c r="AB937" i="1"/>
  <c r="AB875" i="1"/>
  <c r="AB894" i="1"/>
  <c r="AB860" i="1"/>
  <c r="AB809" i="1"/>
  <c r="AB892" i="1"/>
  <c r="AB947" i="1"/>
  <c r="AB879" i="1"/>
  <c r="AB918" i="1"/>
  <c r="AB795" i="1"/>
  <c r="AB808" i="1"/>
  <c r="AB862" i="1"/>
  <c r="AB816" i="1"/>
  <c r="AB790" i="1"/>
  <c r="AB797" i="1"/>
  <c r="AB803" i="1"/>
  <c r="AB949" i="1"/>
  <c r="AB923" i="1"/>
  <c r="AB933" i="1"/>
  <c r="AB927" i="1"/>
  <c r="AB900" i="1"/>
  <c r="AB910" i="1"/>
  <c r="AB780" i="1"/>
  <c r="AB871" i="1"/>
  <c r="AB822" i="1"/>
  <c r="AB877" i="1"/>
  <c r="AB784" i="1"/>
  <c r="AB925" i="1"/>
  <c r="AB952" i="1"/>
  <c r="AB905" i="1"/>
  <c r="AB828" i="1"/>
  <c r="AB825" i="1"/>
  <c r="AB782" i="1"/>
  <c r="AB791" i="1"/>
  <c r="AB869" i="1"/>
  <c r="AB865" i="1"/>
  <c r="AB942" i="1"/>
  <c r="AB859" i="1"/>
  <c r="AB801" i="1"/>
  <c r="AB813" i="1"/>
  <c r="AB811" i="1"/>
  <c r="AB799" i="1"/>
  <c r="AB887" i="1"/>
  <c r="AB870" i="1"/>
  <c r="AB868" i="1"/>
  <c r="AB941" i="1"/>
  <c r="AB798" i="1"/>
  <c r="AB793" i="1"/>
  <c r="AB796" i="1"/>
  <c r="AB861" i="1"/>
  <c r="AB817" i="1"/>
  <c r="AB886" i="1"/>
  <c r="AB806" i="1"/>
  <c r="AB863" i="1"/>
  <c r="AB908" i="1"/>
  <c r="AB804" i="1"/>
  <c r="AB897" i="1"/>
  <c r="AB864" i="1"/>
  <c r="AB855" i="1"/>
  <c r="AB819" i="1"/>
  <c r="AB895" i="1"/>
  <c r="AB856" i="1"/>
  <c r="AB785" i="1"/>
  <c r="AB800" i="1"/>
  <c r="AB903" i="1"/>
  <c r="AB805" i="1"/>
  <c r="AB858" i="1"/>
  <c r="AB943" i="1"/>
  <c r="AB794" i="1"/>
  <c r="AB928" i="1"/>
  <c r="AB889" i="1"/>
  <c r="AB961" i="1"/>
  <c r="AB824" i="1"/>
  <c r="AB932" i="1"/>
  <c r="AB934" i="1"/>
  <c r="AB948" i="1"/>
  <c r="AB926" i="1"/>
  <c r="AB872" i="1"/>
  <c r="AB866" i="1"/>
  <c r="AB878" i="1"/>
  <c r="AB807" i="1"/>
  <c r="AB901" i="1"/>
  <c r="AB929" i="1"/>
  <c r="AB963" i="1"/>
  <c r="AB946" i="1"/>
  <c r="AB951" i="1"/>
  <c r="AB954" i="1"/>
  <c r="AB881" i="1"/>
  <c r="AB815" i="1"/>
  <c r="AB874" i="1"/>
  <c r="AB921" i="1"/>
  <c r="AB913" i="1"/>
  <c r="AB857" i="1"/>
  <c r="AB896" i="1"/>
  <c r="AB914" i="1"/>
  <c r="AB873" i="1"/>
  <c r="AB938" i="1"/>
  <c r="AB814" i="1"/>
  <c r="AB792" i="1"/>
  <c r="AB945" i="1"/>
  <c r="AB909" i="1"/>
  <c r="AB812" i="1"/>
  <c r="AB786" i="1"/>
  <c r="AB781" i="1"/>
  <c r="AB902" i="1"/>
  <c r="AB883" i="1"/>
  <c r="AB823" i="1"/>
  <c r="AB930" i="1"/>
  <c r="AB940" i="1"/>
  <c r="AB967" i="1"/>
  <c r="AB802" i="1"/>
  <c r="AB818" i="1"/>
  <c r="AB911" i="1"/>
  <c r="AB789" i="1"/>
  <c r="AB904" i="1"/>
  <c r="AB787" i="1"/>
  <c r="AB826" i="1"/>
  <c r="AB827" i="1"/>
  <c r="AB821" i="1"/>
  <c r="AB882" i="1"/>
  <c r="AB783" i="1"/>
  <c r="AB890" i="1"/>
  <c r="AB888" i="1"/>
  <c r="AB898" i="1"/>
  <c r="AB939" i="1"/>
  <c r="AB893" i="1"/>
  <c r="AB788" i="1"/>
  <c r="AB891" i="1"/>
  <c r="AB919" i="1"/>
  <c r="AB899" i="1"/>
  <c r="AB924" i="1"/>
  <c r="AB968" i="1"/>
  <c r="AB867" i="1"/>
  <c r="AB944" i="1"/>
  <c r="AB884" i="1"/>
  <c r="AB885" i="1"/>
  <c r="AB920" i="1"/>
  <c r="AB876" i="1"/>
  <c r="AB916" i="1"/>
  <c r="AB391" i="1"/>
  <c r="AB371" i="1"/>
  <c r="AB399" i="1"/>
  <c r="AB376" i="1"/>
  <c r="AB412" i="1"/>
  <c r="AB410" i="1"/>
  <c r="AB409" i="1"/>
  <c r="AB375" i="1"/>
  <c r="AB405" i="1"/>
  <c r="AB395" i="1"/>
  <c r="AB404" i="1"/>
  <c r="AB413" i="1"/>
  <c r="AB379" i="1"/>
  <c r="AB392" i="1"/>
  <c r="AB398" i="1"/>
  <c r="AB415" i="1"/>
  <c r="AB406" i="1"/>
  <c r="AB385" i="1"/>
  <c r="AB414" i="1"/>
  <c r="AB386" i="1"/>
  <c r="AB374" i="1"/>
  <c r="AB408" i="1"/>
  <c r="AB384" i="1"/>
  <c r="AB401" i="1"/>
  <c r="AB416" i="1"/>
  <c r="AB411" i="1"/>
  <c r="AB403" i="1"/>
  <c r="AB370" i="1"/>
  <c r="AB396" i="1"/>
  <c r="AB407" i="1"/>
  <c r="AB369" i="1"/>
  <c r="AB390" i="1"/>
  <c r="AB378" i="1"/>
  <c r="AB382" i="1"/>
  <c r="AB400" i="1"/>
  <c r="AB377" i="1"/>
  <c r="AB373" i="1"/>
  <c r="AB388" i="1"/>
  <c r="AB387" i="1"/>
  <c r="AB402" i="1"/>
  <c r="AB397" i="1"/>
  <c r="AB393" i="1"/>
  <c r="AB389" i="1"/>
  <c r="AB394" i="1"/>
  <c r="AB381" i="1"/>
  <c r="AB383" i="1"/>
  <c r="AB372" i="1"/>
  <c r="AB380" i="1"/>
  <c r="S38" i="7"/>
  <c r="S25" i="7"/>
  <c r="S24" i="7"/>
  <c r="R37" i="7"/>
  <c r="S16" i="7"/>
  <c r="S17" i="7" s="1"/>
  <c r="S33" i="7"/>
  <c r="T40" i="7"/>
  <c r="T41" i="7" s="1"/>
  <c r="T42" i="7" s="1"/>
  <c r="T6" i="7"/>
  <c r="T7" i="7"/>
  <c r="U5" i="7"/>
  <c r="T8" i="7"/>
  <c r="T9" i="7" s="1"/>
  <c r="S19" i="7"/>
  <c r="S32" i="7"/>
  <c r="R20" i="7"/>
  <c r="R21" i="7"/>
  <c r="S14" i="7"/>
  <c r="S13" i="7"/>
  <c r="S34" i="7"/>
  <c r="S35" i="7" s="1"/>
  <c r="U11" i="7"/>
  <c r="T12" i="7"/>
  <c r="AB4" i="7"/>
  <c r="AC3" i="7"/>
  <c r="R36" i="7"/>
  <c r="S30" i="7"/>
  <c r="S41" i="7"/>
  <c r="S42" i="7" s="1"/>
  <c r="V27" i="7"/>
  <c r="U28" i="7"/>
  <c r="U29" i="7" s="1"/>
  <c r="T30" i="7"/>
  <c r="AB4" i="1"/>
  <c r="AB3" i="1"/>
  <c r="AB2" i="1"/>
  <c r="T2278" i="1"/>
  <c r="S2277" i="1"/>
  <c r="T2277" i="1" s="1"/>
  <c r="O2284" i="1"/>
  <c r="R2283" i="1"/>
  <c r="S2283" i="1"/>
  <c r="T2283" i="1" s="1"/>
  <c r="AB288" i="1"/>
  <c r="AB305" i="1"/>
  <c r="AB308" i="1"/>
  <c r="AB306" i="1"/>
  <c r="AB292" i="1"/>
  <c r="AB283" i="1"/>
  <c r="AB307" i="1"/>
  <c r="AB284" i="1"/>
  <c r="AB301" i="1"/>
  <c r="AB299" i="1"/>
  <c r="AB304" i="1"/>
  <c r="AB289" i="1"/>
  <c r="AB302" i="1"/>
  <c r="AB294" i="1"/>
  <c r="AB287" i="1"/>
  <c r="AB291" i="1"/>
  <c r="AB297" i="1"/>
  <c r="AB293" i="1"/>
  <c r="AB303" i="1"/>
  <c r="AB290" i="1"/>
  <c r="AB298" i="1"/>
  <c r="AB285" i="1"/>
  <c r="AB286" i="1"/>
  <c r="AB300" i="1"/>
  <c r="AB310" i="1"/>
  <c r="AB313" i="1"/>
  <c r="AB314" i="1"/>
  <c r="AB311" i="1"/>
  <c r="AB309" i="1"/>
  <c r="AB312" i="1"/>
  <c r="AB315" i="1"/>
  <c r="AB318" i="1"/>
  <c r="AB317" i="1"/>
  <c r="AB316" i="1"/>
  <c r="AB266" i="1"/>
  <c r="AB184" i="1"/>
  <c r="AB152" i="1"/>
  <c r="AB177" i="1"/>
  <c r="AB145" i="1"/>
  <c r="AB269" i="1"/>
  <c r="AB237" i="1"/>
  <c r="AB273" i="1"/>
  <c r="AB226" i="1"/>
  <c r="AB255" i="1"/>
  <c r="AB272" i="1"/>
  <c r="AB192" i="1"/>
  <c r="AB154" i="1"/>
  <c r="AB241" i="1"/>
  <c r="AB197" i="1"/>
  <c r="AB178" i="1"/>
  <c r="AB236" i="1"/>
  <c r="AB224" i="1"/>
  <c r="AB295" i="1"/>
  <c r="AB201" i="1"/>
  <c r="AB169" i="1"/>
  <c r="AB168" i="1"/>
  <c r="AB261" i="1"/>
  <c r="AB165" i="1"/>
  <c r="AB171" i="1"/>
  <c r="AB202" i="1"/>
  <c r="AB220" i="1"/>
  <c r="AB276" i="1"/>
  <c r="AB265" i="1"/>
  <c r="AB233" i="1"/>
  <c r="AB229" i="1"/>
  <c r="AB189" i="1"/>
  <c r="AB157" i="1"/>
  <c r="AB258" i="1"/>
  <c r="AB243" i="1"/>
  <c r="AB176" i="1"/>
  <c r="AB193" i="1"/>
  <c r="AB246" i="1"/>
  <c r="AB253" i="1"/>
  <c r="AB221" i="1"/>
  <c r="AB227" i="1"/>
  <c r="AB182" i="1"/>
  <c r="AB210" i="1"/>
  <c r="AB256" i="1"/>
  <c r="AB208" i="1"/>
  <c r="AB257" i="1"/>
  <c r="AB161" i="1"/>
  <c r="AB209" i="1"/>
  <c r="AB181" i="1"/>
  <c r="AB149" i="1"/>
  <c r="AB150" i="1"/>
  <c r="AB242" i="1"/>
  <c r="AB146" i="1"/>
  <c r="AB175" i="1"/>
  <c r="AB160" i="1"/>
  <c r="AB225" i="1"/>
  <c r="AB185" i="1"/>
  <c r="AB153" i="1"/>
  <c r="AB245" i="1"/>
  <c r="AB213" i="1"/>
  <c r="AB234" i="1"/>
  <c r="AB162" i="1"/>
  <c r="AB200" i="1"/>
  <c r="AB281" i="1"/>
  <c r="AB249" i="1"/>
  <c r="AB217" i="1"/>
  <c r="AB232" i="1"/>
  <c r="AB205" i="1"/>
  <c r="AB173" i="1"/>
  <c r="AB194" i="1"/>
  <c r="AB262" i="1"/>
  <c r="AB280" i="1"/>
  <c r="AB240" i="1"/>
  <c r="AB179" i="1"/>
  <c r="AB264" i="1"/>
  <c r="AB186" i="1"/>
  <c r="AB158" i="1"/>
  <c r="AB275" i="1"/>
  <c r="AB204" i="1"/>
  <c r="AB278" i="1"/>
  <c r="AB195" i="1"/>
  <c r="AB206" i="1"/>
  <c r="AB218" i="1"/>
  <c r="AB216" i="1"/>
  <c r="AB254" i="1"/>
  <c r="AB151" i="1"/>
  <c r="AB238" i="1"/>
  <c r="AB267" i="1"/>
  <c r="AB188" i="1"/>
  <c r="AB199" i="1"/>
  <c r="AB170" i="1"/>
  <c r="AB250" i="1"/>
  <c r="AB247" i="1"/>
  <c r="AB231" i="1"/>
  <c r="AB260" i="1"/>
  <c r="AB277" i="1"/>
  <c r="AB164" i="1"/>
  <c r="AB187" i="1"/>
  <c r="AB235" i="1"/>
  <c r="AB219" i="1"/>
  <c r="AB274" i="1"/>
  <c r="AB222" i="1"/>
  <c r="AB156" i="1"/>
  <c r="AB180" i="1"/>
  <c r="AB248" i="1"/>
  <c r="AB228" i="1"/>
  <c r="AB212" i="1"/>
  <c r="AB268" i="1"/>
  <c r="AB215" i="1"/>
  <c r="AB259" i="1"/>
  <c r="AB148" i="1"/>
  <c r="AB270" i="1"/>
  <c r="AB172" i="1"/>
  <c r="AB279" i="1"/>
  <c r="AB198" i="1"/>
  <c r="AB190" i="1"/>
  <c r="AB174" i="1"/>
  <c r="AB230" i="1"/>
  <c r="AB203" i="1"/>
  <c r="AB252" i="1"/>
  <c r="AB163" i="1"/>
  <c r="AB191" i="1"/>
  <c r="AB196" i="1"/>
  <c r="AB214" i="1"/>
  <c r="AB251" i="1"/>
  <c r="AB155" i="1"/>
  <c r="AB271" i="1"/>
  <c r="AB223" i="1"/>
  <c r="AB282" i="1"/>
  <c r="AB263" i="1"/>
  <c r="AB166" i="1"/>
  <c r="AB159" i="1"/>
  <c r="AB211" i="1"/>
  <c r="AB244" i="1"/>
  <c r="AB147" i="1"/>
  <c r="AB207" i="1"/>
  <c r="AB239" i="1"/>
  <c r="AB167" i="1"/>
  <c r="AB183" i="1"/>
  <c r="AB86" i="1"/>
  <c r="AB138" i="1"/>
  <c r="AB98" i="1"/>
  <c r="AB97" i="1"/>
  <c r="AB33" i="1"/>
  <c r="AB63" i="1"/>
  <c r="AB40" i="1"/>
  <c r="AB23" i="1"/>
  <c r="AB94" i="1"/>
  <c r="AB54" i="1"/>
  <c r="AB62" i="1"/>
  <c r="AB144" i="1"/>
  <c r="AB137" i="1"/>
  <c r="AB58" i="1"/>
  <c r="AB133" i="1"/>
  <c r="AB17" i="1"/>
  <c r="AB130" i="1"/>
  <c r="AB14" i="1"/>
  <c r="AB24" i="1"/>
  <c r="AB52" i="1"/>
  <c r="AB37" i="1"/>
  <c r="AB90" i="1"/>
  <c r="AB125" i="1"/>
  <c r="AB89" i="1"/>
  <c r="AB55" i="1"/>
  <c r="AB8" i="1"/>
  <c r="AB78" i="1"/>
  <c r="AB6" i="1"/>
  <c r="AB129" i="1"/>
  <c r="AB29" i="1"/>
  <c r="AB114" i="1"/>
  <c r="AB34" i="1"/>
  <c r="AB122" i="1"/>
  <c r="AB110" i="1"/>
  <c r="AB38" i="1"/>
  <c r="AB15" i="1"/>
  <c r="AB128" i="1"/>
  <c r="AB69" i="1"/>
  <c r="AB11" i="1"/>
  <c r="AB82" i="1"/>
  <c r="AB26" i="1"/>
  <c r="AB113" i="1"/>
  <c r="AB81" i="1"/>
  <c r="AB72" i="1"/>
  <c r="AB70" i="1"/>
  <c r="AB5" i="1"/>
  <c r="AB106" i="1"/>
  <c r="AB100" i="1"/>
  <c r="AB65" i="1"/>
  <c r="AB56" i="1"/>
  <c r="AB120" i="1"/>
  <c r="AB31" i="1"/>
  <c r="AB84" i="1"/>
  <c r="AB102" i="1"/>
  <c r="AB30" i="1"/>
  <c r="AB61" i="1"/>
  <c r="AB66" i="1"/>
  <c r="AB141" i="1"/>
  <c r="AB105" i="1"/>
  <c r="AB49" i="1"/>
  <c r="AB22" i="1"/>
  <c r="AB111" i="1"/>
  <c r="AB91" i="1"/>
  <c r="AB121" i="1"/>
  <c r="AB50" i="1"/>
  <c r="AB126" i="1"/>
  <c r="AB92" i="1"/>
  <c r="AB134" i="1"/>
  <c r="AB80" i="1"/>
  <c r="AB123" i="1"/>
  <c r="AB109" i="1"/>
  <c r="AB83" i="1"/>
  <c r="AB27" i="1"/>
  <c r="AB132" i="1"/>
  <c r="AB104" i="1"/>
  <c r="AB77" i="1"/>
  <c r="AB76" i="1"/>
  <c r="AB71" i="1"/>
  <c r="AB117" i="1"/>
  <c r="AB53" i="1"/>
  <c r="AB28" i="1"/>
  <c r="AB112" i="1"/>
  <c r="AB118" i="1"/>
  <c r="AB93" i="1"/>
  <c r="AB64" i="1"/>
  <c r="AB35" i="1"/>
  <c r="AB79" i="1"/>
  <c r="AB13" i="1"/>
  <c r="AB44" i="1"/>
  <c r="AB16" i="1"/>
  <c r="AB296" i="1"/>
  <c r="AB96" i="1"/>
  <c r="AB136" i="1"/>
  <c r="AB75" i="1"/>
  <c r="AB85" i="1"/>
  <c r="AB20" i="1"/>
  <c r="AB88" i="1"/>
  <c r="AB47" i="1"/>
  <c r="AB18" i="1"/>
  <c r="AB51" i="1"/>
  <c r="AB67" i="1"/>
  <c r="AB36" i="1"/>
  <c r="AB7" i="1"/>
  <c r="AB115" i="1"/>
  <c r="AB68" i="1"/>
  <c r="AB42" i="1"/>
  <c r="AB60" i="1"/>
  <c r="AB32" i="1"/>
  <c r="AB46" i="1"/>
  <c r="AB107" i="1"/>
  <c r="AB139" i="1"/>
  <c r="AB19" i="1"/>
  <c r="AB131" i="1"/>
  <c r="AB21" i="1"/>
  <c r="AB101" i="1"/>
  <c r="AB99" i="1"/>
  <c r="AB59" i="1"/>
  <c r="AB119" i="1"/>
  <c r="AB108" i="1"/>
  <c r="AB10" i="1"/>
  <c r="AB124" i="1"/>
  <c r="AB142" i="1"/>
  <c r="AB45" i="1"/>
  <c r="AB127" i="1"/>
  <c r="AB12" i="1"/>
  <c r="AB74" i="1"/>
  <c r="AB39" i="1"/>
  <c r="AB87" i="1"/>
  <c r="AB41" i="1"/>
  <c r="AB95" i="1"/>
  <c r="AB116" i="1"/>
  <c r="AB57" i="1"/>
  <c r="AB43" i="1"/>
  <c r="AB140" i="1"/>
  <c r="AB135" i="1"/>
  <c r="AB25" i="1"/>
  <c r="AB143" i="1"/>
  <c r="AB73" i="1"/>
  <c r="AB9" i="1"/>
  <c r="AB103" i="1"/>
  <c r="AB48" i="1"/>
  <c r="AA2" i="1"/>
  <c r="Z2" i="1" s="1"/>
  <c r="A1418" i="1"/>
  <c r="A1381" i="1"/>
  <c r="P1381" i="1" s="1"/>
  <c r="A1382" i="1"/>
  <c r="A1383" i="1"/>
  <c r="A1384" i="1"/>
  <c r="A1385" i="1"/>
  <c r="A1386" i="1"/>
  <c r="A1387" i="1"/>
  <c r="A1388" i="1"/>
  <c r="A1389" i="1"/>
  <c r="A1390" i="1"/>
  <c r="A1391" i="1"/>
  <c r="A1392" i="1"/>
  <c r="A1393" i="1"/>
  <c r="A1394" i="1"/>
  <c r="A1395" i="1"/>
  <c r="A1396" i="1"/>
  <c r="A1397" i="1"/>
  <c r="A1398" i="1"/>
  <c r="A1399" i="1"/>
  <c r="P1399" i="1" s="1"/>
  <c r="A1400" i="1"/>
  <c r="A1401" i="1"/>
  <c r="A1402" i="1"/>
  <c r="A1403" i="1"/>
  <c r="A1404" i="1"/>
  <c r="A1405" i="1"/>
  <c r="P1405" i="1" s="1"/>
  <c r="A1406" i="1"/>
  <c r="A1407" i="1"/>
  <c r="A1408" i="1"/>
  <c r="A1409" i="1"/>
  <c r="P1409" i="1" s="1"/>
  <c r="A1410" i="1"/>
  <c r="P1410" i="1" s="1"/>
  <c r="A1411" i="1"/>
  <c r="A1412" i="1"/>
  <c r="A1413" i="1"/>
  <c r="A1414" i="1"/>
  <c r="A1415" i="1"/>
  <c r="A1416" i="1"/>
  <c r="A1417" i="1"/>
  <c r="A1419" i="1"/>
  <c r="A1420" i="1"/>
  <c r="A1421" i="1"/>
  <c r="A1422" i="1"/>
  <c r="A1423" i="1"/>
  <c r="A1424" i="1"/>
  <c r="A1425" i="1"/>
  <c r="P1425" i="1" s="1"/>
  <c r="A1426" i="1"/>
  <c r="P1426" i="1" s="1"/>
  <c r="A1427" i="1"/>
  <c r="P1427" i="1" s="1"/>
  <c r="A1428" i="1"/>
  <c r="A1429" i="1"/>
  <c r="P1429" i="1" s="1"/>
  <c r="A1430" i="1"/>
  <c r="A1431" i="1"/>
  <c r="P1431" i="1" s="1"/>
  <c r="A1432" i="1"/>
  <c r="A1433" i="1"/>
  <c r="A1434" i="1"/>
  <c r="P1434" i="1" s="1"/>
  <c r="A1435" i="1"/>
  <c r="P1435" i="1" s="1"/>
  <c r="A1436" i="1"/>
  <c r="P1436" i="1" s="1"/>
  <c r="A1437" i="1"/>
  <c r="P1437" i="1" s="1"/>
  <c r="A1438" i="1"/>
  <c r="A1439" i="1"/>
  <c r="A1440" i="1"/>
  <c r="A1441" i="1"/>
  <c r="A1442" i="1"/>
  <c r="P1442" i="1" s="1"/>
  <c r="A1443" i="1"/>
  <c r="P1443" i="1" s="1"/>
  <c r="A1444" i="1"/>
  <c r="A1445" i="1"/>
  <c r="P1445" i="1" s="1"/>
  <c r="A1446" i="1"/>
  <c r="A1447" i="1"/>
  <c r="P1447" i="1" s="1"/>
  <c r="A1448" i="1"/>
  <c r="P1448" i="1" s="1"/>
  <c r="A1449" i="1"/>
  <c r="A1450" i="1"/>
  <c r="P1450" i="1" s="1"/>
  <c r="A1451" i="1"/>
  <c r="P1451" i="1" s="1"/>
  <c r="A1452" i="1"/>
  <c r="A1453" i="1"/>
  <c r="P1453" i="1" s="1"/>
  <c r="A1454" i="1"/>
  <c r="A1455" i="1"/>
  <c r="A1456" i="1"/>
  <c r="A1457" i="1"/>
  <c r="P1457" i="1" s="1"/>
  <c r="A1458" i="1"/>
  <c r="P1458" i="1" s="1"/>
  <c r="A1459" i="1"/>
  <c r="A1460" i="1"/>
  <c r="A1461" i="1"/>
  <c r="P1461" i="1" s="1"/>
  <c r="A1462" i="1"/>
  <c r="A1463" i="1"/>
  <c r="P1463" i="1" s="1"/>
  <c r="A1464" i="1"/>
  <c r="A1465" i="1"/>
  <c r="A1466" i="1"/>
  <c r="P1466" i="1" s="1"/>
  <c r="A1467" i="1"/>
  <c r="P1467" i="1" s="1"/>
  <c r="A1468" i="1"/>
  <c r="P1468" i="1" s="1"/>
  <c r="A1469" i="1"/>
  <c r="A1470" i="1"/>
  <c r="A1471" i="1"/>
  <c r="P1471" i="1" s="1"/>
  <c r="A1472" i="1"/>
  <c r="A1473" i="1"/>
  <c r="A1474" i="1"/>
  <c r="P1474" i="1" s="1"/>
  <c r="A1475" i="1"/>
  <c r="P1475" i="1" s="1"/>
  <c r="A1476" i="1"/>
  <c r="P1476" i="1" s="1"/>
  <c r="A1477" i="1"/>
  <c r="P1477" i="1" s="1"/>
  <c r="A1478" i="1"/>
  <c r="A1479" i="1"/>
  <c r="A1480" i="1"/>
  <c r="A1481" i="1"/>
  <c r="A1482" i="1"/>
  <c r="A1483" i="1"/>
  <c r="A1484" i="1"/>
  <c r="A1485" i="1"/>
  <c r="A1486" i="1"/>
  <c r="P1486" i="1" s="1"/>
  <c r="A1487" i="1"/>
  <c r="P1487" i="1" s="1"/>
  <c r="A1488" i="1"/>
  <c r="P1488" i="1" s="1"/>
  <c r="A1489" i="1"/>
  <c r="P1489" i="1" s="1"/>
  <c r="A1490" i="1"/>
  <c r="P1490" i="1" s="1"/>
  <c r="A1491" i="1"/>
  <c r="P1491" i="1" s="1"/>
  <c r="A1492" i="1"/>
  <c r="P1492" i="1" s="1"/>
  <c r="A1493" i="1"/>
  <c r="P1493" i="1" s="1"/>
  <c r="A1494" i="1"/>
  <c r="A1495" i="1"/>
  <c r="P1495" i="1" s="1"/>
  <c r="A1496" i="1"/>
  <c r="A1497" i="1"/>
  <c r="P1497" i="1" s="1"/>
  <c r="A1498" i="1"/>
  <c r="A1499" i="1"/>
  <c r="P1499" i="1" s="1"/>
  <c r="A1500" i="1"/>
  <c r="P1500" i="1" s="1"/>
  <c r="A1501" i="1"/>
  <c r="P1501" i="1" s="1"/>
  <c r="A1502" i="1"/>
  <c r="P1502" i="1" s="1"/>
  <c r="A1503" i="1"/>
  <c r="A1504" i="1"/>
  <c r="A1505" i="1"/>
  <c r="P1505" i="1" s="1"/>
  <c r="A1506" i="1"/>
  <c r="P1506" i="1" s="1"/>
  <c r="A1507" i="1"/>
  <c r="P1507" i="1" s="1"/>
  <c r="A1508" i="1"/>
  <c r="A1509" i="1"/>
  <c r="A1510" i="1"/>
  <c r="A1511" i="1"/>
  <c r="P1511" i="1" s="1"/>
  <c r="A1512" i="1"/>
  <c r="A1513" i="1"/>
  <c r="A1514" i="1"/>
  <c r="P1514" i="1" s="1"/>
  <c r="A1515" i="1"/>
  <c r="P1515" i="1" s="1"/>
  <c r="A1516" i="1"/>
  <c r="A1517" i="1"/>
  <c r="P1517" i="1" s="1"/>
  <c r="A1518" i="1"/>
  <c r="A1519" i="1"/>
  <c r="A1520" i="1"/>
  <c r="A1521" i="1"/>
  <c r="P1521" i="1" s="1"/>
  <c r="A1522" i="1"/>
  <c r="P1522" i="1" s="1"/>
  <c r="A1523" i="1"/>
  <c r="P1523" i="1" s="1"/>
  <c r="A1524" i="1"/>
  <c r="P1524" i="1" s="1"/>
  <c r="A1525" i="1"/>
  <c r="A1526" i="1"/>
  <c r="A1527" i="1"/>
  <c r="P1527" i="1" s="1"/>
  <c r="A1528" i="1"/>
  <c r="A1529" i="1"/>
  <c r="A1530" i="1"/>
  <c r="A1531" i="1"/>
  <c r="A1532" i="1"/>
  <c r="A1533" i="1"/>
  <c r="P1533" i="1" s="1"/>
  <c r="A1534" i="1"/>
  <c r="P1534" i="1" s="1"/>
  <c r="A1535" i="1"/>
  <c r="A1536" i="1"/>
  <c r="P1536" i="1" s="1"/>
  <c r="A1537" i="1"/>
  <c r="A1538" i="1"/>
  <c r="P1538" i="1" s="1"/>
  <c r="A1539" i="1"/>
  <c r="P1539" i="1" s="1"/>
  <c r="A1540" i="1"/>
  <c r="P1540" i="1" s="1"/>
  <c r="A1541" i="1"/>
  <c r="P1541" i="1" s="1"/>
  <c r="A1542" i="1"/>
  <c r="A1543" i="1"/>
  <c r="A1544" i="1"/>
  <c r="P1544" i="1" s="1"/>
  <c r="A1545" i="1"/>
  <c r="P1545" i="1" s="1"/>
  <c r="A1546" i="1"/>
  <c r="A1547" i="1"/>
  <c r="P1547" i="1" s="1"/>
  <c r="A1548" i="1"/>
  <c r="A1549" i="1"/>
  <c r="P1549" i="1" s="1"/>
  <c r="A1550" i="1"/>
  <c r="A1551" i="1"/>
  <c r="A1552" i="1"/>
  <c r="A1553" i="1"/>
  <c r="A1554" i="1"/>
  <c r="A1555" i="1"/>
  <c r="P1555" i="1" s="1"/>
  <c r="A1556" i="1"/>
  <c r="P1556" i="1" s="1"/>
  <c r="A1557" i="1"/>
  <c r="P1557" i="1" s="1"/>
  <c r="A1558" i="1"/>
  <c r="P1558" i="1" s="1"/>
  <c r="A1559" i="1"/>
  <c r="P1559" i="1" s="1"/>
  <c r="A1560" i="1"/>
  <c r="P1560" i="1" s="1"/>
  <c r="A1561" i="1"/>
  <c r="P1561" i="1" s="1"/>
  <c r="A1562" i="1"/>
  <c r="A1563" i="1"/>
  <c r="P1563" i="1" s="1"/>
  <c r="A1564" i="1"/>
  <c r="A1565" i="1"/>
  <c r="A1566" i="1"/>
  <c r="A1567" i="1"/>
  <c r="P1567" i="1" s="1"/>
  <c r="A1568" i="1"/>
  <c r="A1569" i="1"/>
  <c r="A1570" i="1"/>
  <c r="P1570" i="1" s="1"/>
  <c r="A1571" i="1"/>
  <c r="P1571" i="1" s="1"/>
  <c r="A1572" i="1"/>
  <c r="A1573" i="1"/>
  <c r="P1573" i="1" s="1"/>
  <c r="A1574" i="1"/>
  <c r="P1574" i="1" s="1"/>
  <c r="A1575" i="1"/>
  <c r="P1575" i="1" s="1"/>
  <c r="A1576" i="1"/>
  <c r="P1576" i="1" s="1"/>
  <c r="A1577" i="1"/>
  <c r="P1577" i="1" s="1"/>
  <c r="A1578" i="1"/>
  <c r="A1579" i="1"/>
  <c r="P1579" i="1" s="1"/>
  <c r="A1580" i="1"/>
  <c r="A1581" i="1"/>
  <c r="A1582" i="1"/>
  <c r="P1582" i="1" s="1"/>
  <c r="A1583" i="1"/>
  <c r="A1584" i="1"/>
  <c r="A1585" i="1"/>
  <c r="A1586" i="1"/>
  <c r="P1586" i="1" s="1"/>
  <c r="A1587" i="1"/>
  <c r="P1587" i="1" s="1"/>
  <c r="A1588" i="1"/>
  <c r="P1588" i="1" s="1"/>
  <c r="A1589" i="1"/>
  <c r="P1589" i="1" s="1"/>
  <c r="A1590" i="1"/>
  <c r="P1590" i="1" s="1"/>
  <c r="A1591" i="1"/>
  <c r="A1592" i="1"/>
  <c r="A1593" i="1"/>
  <c r="P1593" i="1" s="1"/>
  <c r="A1594" i="1"/>
  <c r="A1595" i="1"/>
  <c r="A1596" i="1"/>
  <c r="P1596" i="1" s="1"/>
  <c r="A1597" i="1"/>
  <c r="P1597" i="1" s="1"/>
  <c r="A1598" i="1"/>
  <c r="P1598" i="1" s="1"/>
  <c r="A1599" i="1"/>
  <c r="P1599" i="1" s="1"/>
  <c r="A1600" i="1"/>
  <c r="A1601" i="1"/>
  <c r="A1602" i="1"/>
  <c r="A1603" i="1"/>
  <c r="A1604" i="1"/>
  <c r="A1605" i="1"/>
  <c r="A1606" i="1"/>
  <c r="A1607" i="1"/>
  <c r="A1608" i="1"/>
  <c r="P1608" i="1" s="1"/>
  <c r="A1609" i="1"/>
  <c r="P1609" i="1" s="1"/>
  <c r="A1610" i="1"/>
  <c r="P1610" i="1" s="1"/>
  <c r="A1611" i="1"/>
  <c r="A1612" i="1"/>
  <c r="A1613" i="1"/>
  <c r="P1613" i="1" s="1"/>
  <c r="A1614" i="1"/>
  <c r="P1614" i="1" s="1"/>
  <c r="A1615" i="1"/>
  <c r="P1615" i="1" s="1"/>
  <c r="A1616" i="1"/>
  <c r="P1616" i="1" s="1"/>
  <c r="A1617" i="1"/>
  <c r="P1617" i="1" s="1"/>
  <c r="A1618" i="1"/>
  <c r="P1618" i="1" s="1"/>
  <c r="A1619" i="1"/>
  <c r="P1619" i="1" s="1"/>
  <c r="A1620" i="1"/>
  <c r="P1620" i="1" s="1"/>
  <c r="A1621" i="1"/>
  <c r="P1621" i="1" s="1"/>
  <c r="A1622" i="1"/>
  <c r="A1623" i="1"/>
  <c r="A1624" i="1"/>
  <c r="P1624" i="1" s="1"/>
  <c r="A1625" i="1"/>
  <c r="P1625" i="1" s="1"/>
  <c r="A1626" i="1"/>
  <c r="A1627" i="1"/>
  <c r="A1628" i="1"/>
  <c r="A1629" i="1"/>
  <c r="P1629" i="1" s="1"/>
  <c r="A1630" i="1"/>
  <c r="A1631" i="1"/>
  <c r="P1631" i="1" s="1"/>
  <c r="A1632" i="1"/>
  <c r="P1632" i="1" s="1"/>
  <c r="A1633" i="1"/>
  <c r="P1633" i="1" s="1"/>
  <c r="A1634" i="1"/>
  <c r="P1634" i="1" s="1"/>
  <c r="A1635" i="1"/>
  <c r="P1635" i="1" s="1"/>
  <c r="A1636" i="1"/>
  <c r="A1637" i="1"/>
  <c r="P1637" i="1" s="1"/>
  <c r="A1638" i="1"/>
  <c r="A1639" i="1"/>
  <c r="A1640" i="1"/>
  <c r="P1640" i="1" s="1"/>
  <c r="A1641" i="1"/>
  <c r="P1641" i="1" s="1"/>
  <c r="A1642" i="1"/>
  <c r="P1642" i="1" s="1"/>
  <c r="A1643" i="1"/>
  <c r="A1644" i="1"/>
  <c r="A1645" i="1"/>
  <c r="P1645" i="1" s="1"/>
  <c r="A1646" i="1"/>
  <c r="P1646" i="1" s="1"/>
  <c r="A1647" i="1"/>
  <c r="P1647" i="1" s="1"/>
  <c r="A1648" i="1"/>
  <c r="A1649" i="1"/>
  <c r="P1649" i="1" s="1"/>
  <c r="A1650" i="1"/>
  <c r="A1651" i="1"/>
  <c r="P1651" i="1" s="1"/>
  <c r="A1652" i="1"/>
  <c r="P1652" i="1" s="1"/>
  <c r="A1653" i="1"/>
  <c r="A1654" i="1"/>
  <c r="P1654" i="1" s="1"/>
  <c r="A1655" i="1"/>
  <c r="P1655" i="1" s="1"/>
  <c r="A1656" i="1"/>
  <c r="A1657" i="1"/>
  <c r="A1658" i="1"/>
  <c r="A1659" i="1"/>
  <c r="A1660" i="1"/>
  <c r="P1660" i="1" s="1"/>
  <c r="A1661" i="1"/>
  <c r="P1661" i="1" s="1"/>
  <c r="A1662" i="1"/>
  <c r="P1662" i="1" s="1"/>
  <c r="A1663" i="1"/>
  <c r="P1663" i="1" s="1"/>
  <c r="A1664" i="1"/>
  <c r="P1664" i="1" s="1"/>
  <c r="A1665" i="1"/>
  <c r="A1666" i="1"/>
  <c r="A1667" i="1"/>
  <c r="A1668" i="1"/>
  <c r="A1669" i="1"/>
  <c r="P1669" i="1" s="1"/>
  <c r="A1670" i="1"/>
  <c r="P1670" i="1" s="1"/>
  <c r="A1671" i="1"/>
  <c r="P1671" i="1" s="1"/>
  <c r="A1672" i="1"/>
  <c r="P1672" i="1" s="1"/>
  <c r="A1673" i="1"/>
  <c r="A1674" i="1"/>
  <c r="A1675" i="1"/>
  <c r="A1676" i="1"/>
  <c r="A1677" i="1"/>
  <c r="P1677" i="1" s="1"/>
  <c r="A1678" i="1"/>
  <c r="A1679" i="1"/>
  <c r="P1679" i="1" s="1"/>
  <c r="A1680" i="1"/>
  <c r="A1681" i="1"/>
  <c r="A1682" i="1"/>
  <c r="P1682" i="1" s="1"/>
  <c r="A1683" i="1"/>
  <c r="P1683" i="1" s="1"/>
  <c r="A1684" i="1"/>
  <c r="P1684" i="1" s="1"/>
  <c r="A1685" i="1"/>
  <c r="P1685" i="1" s="1"/>
  <c r="A1686" i="1"/>
  <c r="A1687" i="1"/>
  <c r="A1688" i="1"/>
  <c r="A1689" i="1"/>
  <c r="A1690" i="1"/>
  <c r="A1691" i="1"/>
  <c r="A1692" i="1"/>
  <c r="P1692" i="1" s="1"/>
  <c r="A1693" i="1"/>
  <c r="A1694" i="1"/>
  <c r="P1694" i="1" s="1"/>
  <c r="A1695" i="1"/>
  <c r="A1696" i="1"/>
  <c r="P1696" i="1" s="1"/>
  <c r="A1697" i="1"/>
  <c r="A1698" i="1"/>
  <c r="A1699" i="1"/>
  <c r="P1699" i="1" s="1"/>
  <c r="A1700" i="1"/>
  <c r="A1701" i="1"/>
  <c r="A1702" i="1"/>
  <c r="P1702" i="1" s="1"/>
  <c r="A1703" i="1"/>
  <c r="P1703" i="1" s="1"/>
  <c r="A1704" i="1"/>
  <c r="A1705" i="1"/>
  <c r="P1705" i="1" s="1"/>
  <c r="A1706" i="1"/>
  <c r="P1706" i="1" s="1"/>
  <c r="A1707" i="1"/>
  <c r="P1707" i="1" s="1"/>
  <c r="A1708" i="1"/>
  <c r="P1708" i="1" s="1"/>
  <c r="A1709" i="1"/>
  <c r="A1710" i="1"/>
  <c r="A1711" i="1"/>
  <c r="A1712" i="1"/>
  <c r="A1372" i="1"/>
  <c r="A1373" i="1"/>
  <c r="P1373" i="1" s="1"/>
  <c r="A1374" i="1"/>
  <c r="A1375" i="1"/>
  <c r="A1376" i="1"/>
  <c r="A1377" i="1"/>
  <c r="A1378" i="1"/>
  <c r="A1379" i="1"/>
  <c r="P1379" i="1" s="1"/>
  <c r="A1380" i="1"/>
  <c r="A1371" i="1"/>
  <c r="P1371" i="1" s="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371" i="1"/>
  <c r="A1939" i="1"/>
  <c r="A1922" i="1"/>
  <c r="A1923" i="1"/>
  <c r="A1894" i="1"/>
  <c r="A1895" i="1"/>
  <c r="A1921" i="1"/>
  <c r="A1938" i="1"/>
  <c r="A1893" i="1"/>
  <c r="A1892" i="1"/>
  <c r="A1937" i="1"/>
  <c r="A1891" i="1"/>
  <c r="A1782" i="1"/>
  <c r="A1781" i="1"/>
  <c r="A1920" i="1"/>
  <c r="Q1920" i="1" s="1"/>
  <c r="A1853" i="1"/>
  <c r="A1930" i="1"/>
  <c r="A1833" i="1"/>
  <c r="A1809" i="1"/>
  <c r="A1730" i="1"/>
  <c r="A1743" i="1"/>
  <c r="A1724" i="1"/>
  <c r="A1729" i="1"/>
  <c r="A1817" i="1"/>
  <c r="A1728" i="1"/>
  <c r="A1932" i="1"/>
  <c r="A1816" i="1"/>
  <c r="A1727" i="1"/>
  <c r="A1832" i="1"/>
  <c r="A1936" i="1"/>
  <c r="A1827" i="1"/>
  <c r="A1821" i="1"/>
  <c r="A1723" i="1"/>
  <c r="A1842" i="1"/>
  <c r="A1844" i="1"/>
  <c r="A1935" i="1"/>
  <c r="A1746" i="1"/>
  <c r="A1808" i="1"/>
  <c r="A1838" i="1"/>
  <c r="A1950" i="1"/>
  <c r="A1934" i="1"/>
  <c r="A1852" i="1"/>
  <c r="A1780" i="1"/>
  <c r="P1780" i="1" s="1"/>
  <c r="A1742" i="1"/>
  <c r="A1840" i="1"/>
  <c r="A1929" i="1"/>
  <c r="A1890" i="1"/>
  <c r="A1843" i="1"/>
  <c r="A1916" i="1"/>
  <c r="A1919" i="1"/>
  <c r="A1826" i="1"/>
  <c r="A1841" i="1"/>
  <c r="A1807" i="1"/>
  <c r="A1889" i="1"/>
  <c r="A1820" i="1"/>
  <c r="A1837" i="1"/>
  <c r="A1949" i="1"/>
  <c r="A1792" i="1"/>
  <c r="A1745" i="1"/>
  <c r="A1819" i="1"/>
  <c r="A1933" i="1"/>
  <c r="A1948" i="1"/>
  <c r="A1738" i="1"/>
  <c r="A1825" i="1"/>
  <c r="A1912" i="1"/>
  <c r="A1835" i="1"/>
  <c r="A1839" i="1"/>
  <c r="A1888" i="1"/>
  <c r="A1856" i="1"/>
  <c r="A1740" i="1"/>
  <c r="A1944" i="1"/>
  <c r="A1716" i="1"/>
  <c r="A1851" i="1"/>
  <c r="P1851" i="1" s="1"/>
  <c r="A1776" i="1"/>
  <c r="A1737" i="1"/>
  <c r="A1909" i="1"/>
  <c r="A1884" i="1"/>
  <c r="A1915" i="1"/>
  <c r="A1855" i="1"/>
  <c r="A1883" i="1"/>
  <c r="A1931" i="1"/>
  <c r="A1741" i="1"/>
  <c r="P1741" i="1" s="1"/>
  <c r="A1882" i="1"/>
  <c r="A1850" i="1"/>
  <c r="A1736" i="1"/>
  <c r="A1775" i="1"/>
  <c r="A1848" i="1"/>
  <c r="A1908" i="1"/>
  <c r="A1914" i="1"/>
  <c r="A1881" i="1"/>
  <c r="A1774" i="1"/>
  <c r="A1849" i="1"/>
  <c r="A1834" i="1"/>
  <c r="A1818" i="1"/>
  <c r="A1824" i="1"/>
  <c r="A1880" i="1"/>
  <c r="A1907" i="1"/>
  <c r="A1773" i="1"/>
  <c r="P1773" i="1" s="1"/>
  <c r="A1928" i="1"/>
  <c r="A1918" i="1"/>
  <c r="A1917" i="1"/>
  <c r="P1917" i="1" s="1"/>
  <c r="A1906" i="1"/>
  <c r="A1791" i="1"/>
  <c r="A1772" i="1"/>
  <c r="A1830" i="1"/>
  <c r="A1913" i="1"/>
  <c r="A1744" i="1"/>
  <c r="A1715" i="1"/>
  <c r="A1847" i="1"/>
  <c r="A1965" i="1"/>
  <c r="A1911" i="1"/>
  <c r="A1831" i="1"/>
  <c r="A1836" i="1"/>
  <c r="A1854" i="1"/>
  <c r="A1927" i="1"/>
  <c r="A1829" i="1"/>
  <c r="P1829" i="1" s="1"/>
  <c r="A1910" i="1"/>
  <c r="A1964" i="1"/>
  <c r="A1953" i="1"/>
  <c r="A1828" i="1"/>
  <c r="A1926" i="1"/>
  <c r="A1905" i="1"/>
  <c r="A1762" i="1"/>
  <c r="A1846" i="1"/>
  <c r="A1952" i="1"/>
  <c r="A1947" i="1"/>
  <c r="A1925" i="1"/>
  <c r="A1887" i="1"/>
  <c r="A1786" i="1"/>
  <c r="A1777" i="1"/>
  <c r="A1771" i="1"/>
  <c r="A1943" i="1"/>
  <c r="A1951" i="1"/>
  <c r="A1904" i="1"/>
  <c r="A1969" i="1"/>
  <c r="A1739" i="1"/>
  <c r="A1942" i="1"/>
  <c r="A1823" i="1"/>
  <c r="A1968" i="1"/>
  <c r="A1963" i="1"/>
  <c r="P1963" i="1" s="1"/>
  <c r="A1785" i="1"/>
  <c r="A1764" i="1"/>
  <c r="A1865" i="1"/>
  <c r="A1763" i="1"/>
  <c r="A1941" i="1"/>
  <c r="A1940" i="1"/>
  <c r="O1940" i="1" s="1"/>
  <c r="A1822" i="1"/>
  <c r="A1761" i="1"/>
  <c r="A1859" i="1"/>
  <c r="A1879" i="1"/>
  <c r="A1876" i="1"/>
  <c r="A1967" i="1"/>
  <c r="A1875" i="1"/>
  <c r="A1858" i="1"/>
  <c r="A1874" i="1"/>
  <c r="A1901" i="1"/>
  <c r="A1962" i="1"/>
  <c r="P1962" i="1" s="1"/>
  <c r="A1966" i="1"/>
  <c r="A1864" i="1"/>
  <c r="P1864" i="1" s="1"/>
  <c r="A1873" i="1"/>
  <c r="A1961" i="1"/>
  <c r="A1735" i="1"/>
  <c r="A1872" i="1"/>
  <c r="P1872" i="1" s="1"/>
  <c r="A1798" i="1"/>
  <c r="A1760" i="1"/>
  <c r="A1796" i="1"/>
  <c r="A1794" i="1"/>
  <c r="A1813" i="1"/>
  <c r="A1870" i="1"/>
  <c r="A1900" i="1"/>
  <c r="A1871" i="1"/>
  <c r="P1871" i="1" s="1"/>
  <c r="A1734" i="1"/>
  <c r="A1946" i="1"/>
  <c r="P1946" i="1" s="1"/>
  <c r="A1755" i="1"/>
  <c r="A1878" i="1"/>
  <c r="A1960" i="1"/>
  <c r="A1959" i="1"/>
  <c r="A1861" i="1"/>
  <c r="A1877" i="1"/>
  <c r="A1754" i="1"/>
  <c r="A1957" i="1"/>
  <c r="A1733" i="1"/>
  <c r="A1800" i="1"/>
  <c r="A1753" i="1"/>
  <c r="A1899" i="1"/>
  <c r="A1958" i="1"/>
  <c r="A1802" i="1"/>
  <c r="A1898" i="1"/>
  <c r="A1897" i="1"/>
  <c r="A1956" i="1"/>
  <c r="A1718" i="1"/>
  <c r="A1788" i="1"/>
  <c r="A1757" i="1"/>
  <c r="A1804" i="1"/>
  <c r="A1896" i="1"/>
  <c r="A1790" i="1"/>
  <c r="A1789" i="1"/>
  <c r="P1789" i="1" s="1"/>
  <c r="A1869" i="1"/>
  <c r="A1803" i="1"/>
  <c r="A1868" i="1"/>
  <c r="A1787" i="1"/>
  <c r="A1863" i="1"/>
  <c r="A1801" i="1"/>
  <c r="A1717" i="1"/>
  <c r="A1945" i="1"/>
  <c r="A1860" i="1"/>
  <c r="A1799" i="1"/>
  <c r="A1857" i="1"/>
  <c r="A1812" i="1"/>
  <c r="A1797" i="1"/>
  <c r="A1795" i="1"/>
  <c r="A1811" i="1"/>
  <c r="A1759" i="1"/>
  <c r="A1862" i="1"/>
  <c r="A1867" i="1"/>
  <c r="A1793" i="1"/>
  <c r="A1758" i="1"/>
  <c r="A1756" i="1"/>
  <c r="A1866" i="1"/>
  <c r="A1845" i="1"/>
  <c r="Q1845" i="1" s="1"/>
  <c r="A1810" i="1"/>
  <c r="A1714" i="1"/>
  <c r="A1815" i="1"/>
  <c r="A1722" i="1"/>
  <c r="A1721" i="1"/>
  <c r="A1814" i="1"/>
  <c r="A1720" i="1"/>
  <c r="A1806" i="1"/>
  <c r="A1713" i="1"/>
  <c r="A1903" i="1"/>
  <c r="A1770" i="1"/>
  <c r="A1886" i="1"/>
  <c r="A1750" i="1"/>
  <c r="A1732" i="1"/>
  <c r="A1726" i="1"/>
  <c r="A1955" i="1"/>
  <c r="A1768" i="1"/>
  <c r="A1752" i="1"/>
  <c r="A1779" i="1"/>
  <c r="A1766" i="1"/>
  <c r="A1784" i="1"/>
  <c r="A1748" i="1"/>
  <c r="A1783" i="1"/>
  <c r="A1719" i="1"/>
  <c r="A1747" i="1"/>
  <c r="A1765" i="1"/>
  <c r="U1765" i="1" s="1"/>
  <c r="A1778" i="1"/>
  <c r="A1767" i="1"/>
  <c r="P1767" i="1" s="1"/>
  <c r="A1725" i="1"/>
  <c r="A1751" i="1"/>
  <c r="A1749" i="1"/>
  <c r="A1954" i="1"/>
  <c r="A1731" i="1"/>
  <c r="A1885" i="1"/>
  <c r="A1769" i="1"/>
  <c r="A1902" i="1"/>
  <c r="A1805" i="1"/>
  <c r="A1924" i="1"/>
  <c r="A1233" i="1"/>
  <c r="A1234" i="1"/>
  <c r="A1237" i="1"/>
  <c r="A1236" i="1"/>
  <c r="A1235" i="1"/>
  <c r="A1238" i="1"/>
  <c r="A1239" i="1"/>
  <c r="A1240" i="1"/>
  <c r="A1242" i="1"/>
  <c r="A1243" i="1"/>
  <c r="A1241" i="1"/>
  <c r="A1345" i="1"/>
  <c r="A1346" i="1"/>
  <c r="A1347" i="1"/>
  <c r="A1348" i="1"/>
  <c r="A1350" i="1"/>
  <c r="A1349" i="1"/>
  <c r="A1352" i="1"/>
  <c r="A1351" i="1"/>
  <c r="A1353" i="1"/>
  <c r="A1354" i="1"/>
  <c r="A1356" i="1"/>
  <c r="A1355" i="1"/>
  <c r="A1357" i="1"/>
  <c r="A1358" i="1"/>
  <c r="A1327" i="1"/>
  <c r="A1328" i="1"/>
  <c r="A1330" i="1"/>
  <c r="A1329" i="1"/>
  <c r="A1157" i="1"/>
  <c r="A1158" i="1"/>
  <c r="A1159" i="1"/>
  <c r="A1160" i="1"/>
  <c r="A1161" i="1"/>
  <c r="A1162" i="1"/>
  <c r="A1164" i="1"/>
  <c r="A1163" i="1"/>
  <c r="A1165" i="1"/>
  <c r="A1166" i="1"/>
  <c r="A1168" i="1"/>
  <c r="A1167" i="1"/>
  <c r="A1170" i="1"/>
  <c r="A1169" i="1"/>
  <c r="A1201" i="1"/>
  <c r="A1200" i="1"/>
  <c r="A1202" i="1"/>
  <c r="A1203" i="1"/>
  <c r="A1204" i="1"/>
  <c r="A1205" i="1"/>
  <c r="A1101" i="1"/>
  <c r="A1103" i="1"/>
  <c r="A1102" i="1"/>
  <c r="A1105" i="1"/>
  <c r="A1104" i="1"/>
  <c r="A1279" i="1"/>
  <c r="A1280" i="1"/>
  <c r="A1281" i="1"/>
  <c r="A1282" i="1"/>
  <c r="A1283" i="1"/>
  <c r="A1284" i="1"/>
  <c r="A1285" i="1"/>
  <c r="A1318" i="1"/>
  <c r="A1319" i="1"/>
  <c r="A1321" i="1"/>
  <c r="A1320" i="1"/>
  <c r="A1322" i="1"/>
  <c r="A1323" i="1"/>
  <c r="A1324" i="1"/>
  <c r="A1326" i="1"/>
  <c r="A1325" i="1"/>
  <c r="A812" i="1"/>
  <c r="A813" i="1"/>
  <c r="A824" i="1"/>
  <c r="A823" i="1"/>
  <c r="A826" i="1"/>
  <c r="A825" i="1"/>
  <c r="A827" i="1"/>
  <c r="A828" i="1"/>
  <c r="A830" i="1"/>
  <c r="A829" i="1"/>
  <c r="A1123" i="1"/>
  <c r="A1122" i="1"/>
  <c r="A1124" i="1"/>
  <c r="A1126" i="1"/>
  <c r="A1125" i="1"/>
  <c r="A1141" i="1"/>
  <c r="A1140" i="1"/>
  <c r="A1138" i="1"/>
  <c r="A1139" i="1"/>
  <c r="A1142" i="1"/>
  <c r="A1143" i="1"/>
  <c r="A1149" i="1"/>
  <c r="A1148" i="1"/>
  <c r="A1150" i="1"/>
  <c r="A1147" i="1"/>
  <c r="A1151" i="1"/>
  <c r="A1153" i="1"/>
  <c r="A1152" i="1"/>
  <c r="A1154" i="1"/>
  <c r="A1155" i="1"/>
  <c r="A1156" i="1"/>
  <c r="A1193" i="1"/>
  <c r="A1192" i="1"/>
  <c r="A1194" i="1"/>
  <c r="A1195" i="1"/>
  <c r="A1196" i="1"/>
  <c r="A1197" i="1"/>
  <c r="A1198" i="1"/>
  <c r="A1199" i="1"/>
  <c r="Q1199" i="1" s="1"/>
  <c r="A1213" i="1"/>
  <c r="A1214" i="1"/>
  <c r="A1216" i="1"/>
  <c r="A1215" i="1"/>
  <c r="A1218" i="1"/>
  <c r="A1219" i="1"/>
  <c r="A1220" i="1"/>
  <c r="A1217" i="1"/>
  <c r="A1224" i="1"/>
  <c r="A1225" i="1"/>
  <c r="A1223" i="1"/>
  <c r="A1227" i="1"/>
  <c r="A1228" i="1"/>
  <c r="A1226" i="1"/>
  <c r="A1231" i="1"/>
  <c r="A1230" i="1"/>
  <c r="A1232" i="1"/>
  <c r="A1229" i="1"/>
  <c r="A1291" i="1"/>
  <c r="A1292" i="1"/>
  <c r="A1294" i="1"/>
  <c r="A1293" i="1"/>
  <c r="A1295" i="1"/>
  <c r="A1300" i="1"/>
  <c r="A1299" i="1"/>
  <c r="A1297" i="1"/>
  <c r="A1296" i="1"/>
  <c r="A1298" i="1"/>
  <c r="A1338" i="1"/>
  <c r="A1340" i="1"/>
  <c r="A1339" i="1"/>
  <c r="A1342" i="1"/>
  <c r="A1341" i="1"/>
  <c r="A1129" i="1"/>
  <c r="A1130" i="1"/>
  <c r="A1133" i="1"/>
  <c r="A1132" i="1"/>
  <c r="A1131" i="1"/>
  <c r="A1134" i="1"/>
  <c r="A808" i="1"/>
  <c r="A809" i="1"/>
  <c r="A819" i="1"/>
  <c r="A818" i="1"/>
  <c r="A1119" i="1"/>
  <c r="A1118" i="1"/>
  <c r="A1120" i="1"/>
  <c r="A1121" i="1"/>
  <c r="A1127" i="1"/>
  <c r="A1128" i="1"/>
  <c r="A1146" i="1"/>
  <c r="Q1146" i="1" s="1"/>
  <c r="A1144" i="1"/>
  <c r="A1145" i="1"/>
  <c r="A1363" i="1"/>
  <c r="A1364" i="1"/>
  <c r="A1110" i="1"/>
  <c r="A1111" i="1"/>
  <c r="A835" i="1"/>
  <c r="A836" i="1"/>
  <c r="A838" i="1"/>
  <c r="A839" i="1"/>
  <c r="A834" i="1"/>
  <c r="A833" i="1"/>
  <c r="A837" i="1"/>
  <c r="A840" i="1"/>
  <c r="A841" i="1"/>
  <c r="A843" i="1"/>
  <c r="A842" i="1"/>
  <c r="A846" i="1"/>
  <c r="A844" i="1"/>
  <c r="A847" i="1"/>
  <c r="A845" i="1"/>
  <c r="A850" i="1"/>
  <c r="A848" i="1"/>
  <c r="A849" i="1"/>
  <c r="A854" i="1"/>
  <c r="A853" i="1"/>
  <c r="A856" i="1"/>
  <c r="A855" i="1"/>
  <c r="A852" i="1"/>
  <c r="A851" i="1"/>
  <c r="A858" i="1"/>
  <c r="A857" i="1"/>
  <c r="A859" i="1"/>
  <c r="A861" i="1"/>
  <c r="A860" i="1"/>
  <c r="A869" i="1"/>
  <c r="A865" i="1"/>
  <c r="A868" i="1"/>
  <c r="A867" i="1"/>
  <c r="A866" i="1"/>
  <c r="A871" i="1"/>
  <c r="A870" i="1"/>
  <c r="A872" i="1"/>
  <c r="A862" i="1"/>
  <c r="A863" i="1"/>
  <c r="A864" i="1"/>
  <c r="A873" i="1"/>
  <c r="A874" i="1"/>
  <c r="A875" i="1"/>
  <c r="A876" i="1"/>
  <c r="A880" i="1"/>
  <c r="A883" i="1"/>
  <c r="A881" i="1"/>
  <c r="A879" i="1"/>
  <c r="A878" i="1"/>
  <c r="A884" i="1"/>
  <c r="A877" i="1"/>
  <c r="A882" i="1"/>
  <c r="A885" i="1"/>
  <c r="A886" i="1"/>
  <c r="A887" i="1"/>
  <c r="A889" i="1"/>
  <c r="A888" i="1"/>
  <c r="A894" i="1"/>
  <c r="A893" i="1"/>
  <c r="A890" i="1"/>
  <c r="A891" i="1"/>
  <c r="A892" i="1"/>
  <c r="A895" i="1"/>
  <c r="A896" i="1"/>
  <c r="A897" i="1"/>
  <c r="A898" i="1"/>
  <c r="A902" i="1"/>
  <c r="A899" i="1"/>
  <c r="A901" i="1"/>
  <c r="A900" i="1"/>
  <c r="A904" i="1"/>
  <c r="A903" i="1"/>
  <c r="A905" i="1"/>
  <c r="A908" i="1"/>
  <c r="A906" i="1"/>
  <c r="A907" i="1"/>
  <c r="A909" i="1"/>
  <c r="A910" i="1"/>
  <c r="A911" i="1"/>
  <c r="A912" i="1"/>
  <c r="A913" i="1"/>
  <c r="A914" i="1"/>
  <c r="A918" i="1"/>
  <c r="A927" i="1"/>
  <c r="A931" i="1"/>
  <c r="A919" i="1"/>
  <c r="A929" i="1"/>
  <c r="A928" i="1"/>
  <c r="A930" i="1"/>
  <c r="A920" i="1"/>
  <c r="A925" i="1"/>
  <c r="A922" i="1"/>
  <c r="A921" i="1"/>
  <c r="A917" i="1"/>
  <c r="A924" i="1"/>
  <c r="A923" i="1"/>
  <c r="A926" i="1"/>
  <c r="A915" i="1"/>
  <c r="A916" i="1"/>
  <c r="A932" i="1"/>
  <c r="A933" i="1"/>
  <c r="A935" i="1"/>
  <c r="A934" i="1"/>
  <c r="A936" i="1"/>
  <c r="A942" i="1"/>
  <c r="A939" i="1"/>
  <c r="A946" i="1"/>
  <c r="A948" i="1"/>
  <c r="A937" i="1"/>
  <c r="A940" i="1"/>
  <c r="A941" i="1"/>
  <c r="A949" i="1"/>
  <c r="A944" i="1"/>
  <c r="A943" i="1"/>
  <c r="A945" i="1"/>
  <c r="A947" i="1"/>
  <c r="A938" i="1"/>
  <c r="A965" i="1"/>
  <c r="A967" i="1"/>
  <c r="A964" i="1"/>
  <c r="A968" i="1"/>
  <c r="A966" i="1"/>
  <c r="A961" i="1"/>
  <c r="A962" i="1"/>
  <c r="A963" i="1"/>
  <c r="A970" i="1"/>
  <c r="A969" i="1"/>
  <c r="A971" i="1"/>
  <c r="A973" i="1"/>
  <c r="A974" i="1"/>
  <c r="A972" i="1"/>
  <c r="A977" i="1"/>
  <c r="A979" i="1"/>
  <c r="A975" i="1"/>
  <c r="A976" i="1"/>
  <c r="A978" i="1"/>
  <c r="A980" i="1"/>
  <c r="A981" i="1"/>
  <c r="A982" i="1"/>
  <c r="A983" i="1"/>
  <c r="A984" i="1"/>
  <c r="A952" i="1"/>
  <c r="A953" i="1"/>
  <c r="A954" i="1"/>
  <c r="A951" i="1"/>
  <c r="A950" i="1"/>
  <c r="A989" i="1"/>
  <c r="A987" i="1"/>
  <c r="A988" i="1"/>
  <c r="A985" i="1"/>
  <c r="A986" i="1"/>
  <c r="A990" i="1"/>
  <c r="A991" i="1"/>
  <c r="A992" i="1"/>
  <c r="A993" i="1"/>
  <c r="A994" i="1"/>
  <c r="A995" i="1"/>
  <c r="A959" i="1"/>
  <c r="A955" i="1"/>
  <c r="A957" i="1"/>
  <c r="A960" i="1"/>
  <c r="A956" i="1"/>
  <c r="A958" i="1"/>
  <c r="A996" i="1"/>
  <c r="A997" i="1"/>
  <c r="A999" i="1"/>
  <c r="A998" i="1"/>
  <c r="A1000" i="1"/>
  <c r="A1007" i="1"/>
  <c r="A1006" i="1"/>
  <c r="A1004" i="1"/>
  <c r="A1001" i="1"/>
  <c r="A1005" i="1"/>
  <c r="A1002" i="1"/>
  <c r="A1003" i="1"/>
  <c r="A1008" i="1"/>
  <c r="A1010" i="1"/>
  <c r="A1009" i="1"/>
  <c r="A1012" i="1"/>
  <c r="A1011" i="1"/>
  <c r="A1013" i="1"/>
  <c r="A1017" i="1"/>
  <c r="A1016" i="1"/>
  <c r="A1021" i="1"/>
  <c r="A1018" i="1"/>
  <c r="A1019" i="1"/>
  <c r="A1020" i="1"/>
  <c r="A1025" i="1"/>
  <c r="A1022" i="1"/>
  <c r="A1023" i="1"/>
  <c r="A1024" i="1"/>
  <c r="A1026" i="1"/>
  <c r="A1028" i="1"/>
  <c r="A1027" i="1"/>
  <c r="A1029" i="1"/>
  <c r="A1030" i="1"/>
  <c r="A1014" i="1"/>
  <c r="A1015" i="1"/>
  <c r="A1034" i="1"/>
  <c r="A1033" i="1"/>
  <c r="A1035" i="1"/>
  <c r="A1037" i="1"/>
  <c r="A1036" i="1"/>
  <c r="A1031" i="1"/>
  <c r="A1032" i="1"/>
  <c r="A1272" i="1"/>
  <c r="A1274" i="1"/>
  <c r="A1271" i="1"/>
  <c r="A1276" i="1"/>
  <c r="A1273" i="1"/>
  <c r="A1275" i="1"/>
  <c r="A1278" i="1"/>
  <c r="A1270" i="1"/>
  <c r="A1277" i="1"/>
  <c r="A1042" i="1"/>
  <c r="A1049" i="1"/>
  <c r="A1041" i="1"/>
  <c r="A1046" i="1"/>
  <c r="A1044" i="1"/>
  <c r="A1043" i="1"/>
  <c r="A1040" i="1"/>
  <c r="A1048" i="1"/>
  <c r="A1045" i="1"/>
  <c r="A1047" i="1"/>
  <c r="A1038" i="1"/>
  <c r="A1039" i="1"/>
  <c r="A1056" i="1"/>
  <c r="A1050" i="1"/>
  <c r="A1053" i="1"/>
  <c r="A1052" i="1"/>
  <c r="A1054" i="1"/>
  <c r="A1057" i="1"/>
  <c r="A1051" i="1"/>
  <c r="A1055" i="1"/>
  <c r="A1059" i="1"/>
  <c r="A1058" i="1"/>
  <c r="A1061" i="1"/>
  <c r="A1060" i="1"/>
  <c r="A1064" i="1"/>
  <c r="A1062" i="1"/>
  <c r="A1063" i="1"/>
  <c r="A1065" i="1"/>
  <c r="A1068" i="1"/>
  <c r="A1067" i="1"/>
  <c r="A1066" i="1"/>
  <c r="A1069" i="1"/>
  <c r="A1073" i="1"/>
  <c r="A1070" i="1"/>
  <c r="A1071" i="1"/>
  <c r="A1072" i="1"/>
  <c r="A1074" i="1"/>
  <c r="A1076" i="1"/>
  <c r="A1078" i="1"/>
  <c r="A1075" i="1"/>
  <c r="A1077" i="1"/>
  <c r="A1079" i="1"/>
  <c r="A1080" i="1"/>
  <c r="A1081" i="1"/>
  <c r="A1082" i="1"/>
  <c r="A1083" i="1"/>
  <c r="A1084" i="1"/>
  <c r="A1085" i="1"/>
  <c r="A1086" i="1"/>
  <c r="A1087" i="1"/>
  <c r="A1093" i="1"/>
  <c r="A1092" i="1"/>
  <c r="A1090" i="1"/>
  <c r="A1089" i="1"/>
  <c r="A1091" i="1"/>
  <c r="A1095" i="1"/>
  <c r="A1088" i="1"/>
  <c r="A1094" i="1"/>
  <c r="A1096" i="1"/>
  <c r="A1097" i="1"/>
  <c r="A1098" i="1"/>
  <c r="A1099" i="1"/>
  <c r="A1100" i="1"/>
  <c r="Q1100" i="1" s="1"/>
  <c r="A821" i="1"/>
  <c r="A820" i="1"/>
  <c r="A822" i="1"/>
  <c r="A1287" i="1"/>
  <c r="A1289" i="1"/>
  <c r="A1290" i="1"/>
  <c r="Q1290" i="1" s="1"/>
  <c r="A1286" i="1"/>
  <c r="A1288" i="1"/>
  <c r="A1312" i="1"/>
  <c r="A1311" i="1"/>
  <c r="A1310" i="1"/>
  <c r="A1107" i="1"/>
  <c r="A1106" i="1"/>
  <c r="A1108" i="1"/>
  <c r="A1109" i="1"/>
  <c r="A1177" i="1"/>
  <c r="A1173" i="1"/>
  <c r="A1176" i="1"/>
  <c r="A1175" i="1"/>
  <c r="A1174" i="1"/>
  <c r="A1331" i="1"/>
  <c r="A1332" i="1"/>
  <c r="A1333" i="1"/>
  <c r="A1334" i="1"/>
  <c r="A1336" i="1"/>
  <c r="A1337" i="1"/>
  <c r="A1335" i="1"/>
  <c r="A1136" i="1"/>
  <c r="A1135" i="1"/>
  <c r="A1137" i="1"/>
  <c r="Q1137" i="1" s="1"/>
  <c r="A1301" i="1"/>
  <c r="A1302" i="1"/>
  <c r="A1303" i="1"/>
  <c r="A1304" i="1"/>
  <c r="A1115" i="1"/>
  <c r="A1114" i="1"/>
  <c r="A1117" i="1"/>
  <c r="A1116" i="1"/>
  <c r="A1171" i="1"/>
  <c r="A1172" i="1"/>
  <c r="A1206" i="1"/>
  <c r="A1207" i="1"/>
  <c r="A1209" i="1"/>
  <c r="A1208" i="1"/>
  <c r="A1210" i="1"/>
  <c r="A1211" i="1"/>
  <c r="A1212" i="1"/>
  <c r="A1317" i="1"/>
  <c r="A1314" i="1"/>
  <c r="A1313" i="1"/>
  <c r="A1315" i="1"/>
  <c r="A1316" i="1"/>
  <c r="A1178" i="1"/>
  <c r="A1179" i="1"/>
  <c r="A1180" i="1"/>
  <c r="A1181" i="1"/>
  <c r="A1184" i="1"/>
  <c r="A1182" i="1"/>
  <c r="A1183" i="1"/>
  <c r="A1185" i="1"/>
  <c r="A1188" i="1"/>
  <c r="A1189" i="1"/>
  <c r="A1186" i="1"/>
  <c r="A1187" i="1"/>
  <c r="A1190" i="1"/>
  <c r="A1191" i="1"/>
  <c r="A815" i="1"/>
  <c r="A817" i="1"/>
  <c r="A814" i="1"/>
  <c r="A816" i="1"/>
  <c r="P816" i="1" s="1"/>
  <c r="A1305" i="1"/>
  <c r="A1306" i="1"/>
  <c r="A1307" i="1"/>
  <c r="A1244" i="1"/>
  <c r="A1245" i="1"/>
  <c r="A1246" i="1"/>
  <c r="A1247" i="1"/>
  <c r="A1248" i="1"/>
  <c r="A1249" i="1"/>
  <c r="A1250" i="1"/>
  <c r="A1251" i="1"/>
  <c r="A1252" i="1"/>
  <c r="A1253" i="1"/>
  <c r="A1254" i="1"/>
  <c r="A1255" i="1"/>
  <c r="A1256" i="1"/>
  <c r="A1257" i="1"/>
  <c r="A1258" i="1"/>
  <c r="A1259" i="1"/>
  <c r="A1261" i="1"/>
  <c r="A1260" i="1"/>
  <c r="A1262" i="1"/>
  <c r="A1263" i="1"/>
  <c r="A1265" i="1"/>
  <c r="A1264" i="1"/>
  <c r="A1266" i="1"/>
  <c r="A1267" i="1"/>
  <c r="A1222" i="1"/>
  <c r="A1221" i="1"/>
  <c r="A1269" i="1"/>
  <c r="A1268" i="1"/>
  <c r="A1308" i="1"/>
  <c r="A1309" i="1"/>
  <c r="A1343" i="1"/>
  <c r="A1344" i="1"/>
  <c r="A1360" i="1"/>
  <c r="A1359" i="1"/>
  <c r="A1362" i="1"/>
  <c r="A1361" i="1"/>
  <c r="A1366" i="1"/>
  <c r="A1365" i="1"/>
  <c r="A1368" i="1"/>
  <c r="A1367" i="1"/>
  <c r="A1370" i="1"/>
  <c r="Q1370" i="1" s="1"/>
  <c r="A1369" i="1"/>
  <c r="A806" i="1"/>
  <c r="A807" i="1"/>
  <c r="A811" i="1"/>
  <c r="A810" i="1"/>
  <c r="A832" i="1"/>
  <c r="A831" i="1"/>
  <c r="A1113" i="1"/>
  <c r="A1112" i="1"/>
  <c r="AP974" i="1" l="1"/>
  <c r="AP971" i="1"/>
  <c r="AP790" i="1"/>
  <c r="S6957" i="1"/>
  <c r="T6957" i="1" s="1"/>
  <c r="R6957" i="1"/>
  <c r="O6958" i="1"/>
  <c r="S2723" i="1"/>
  <c r="T2723" i="1" s="1"/>
  <c r="R2723" i="1"/>
  <c r="O2868" i="1"/>
  <c r="R2867" i="1"/>
  <c r="S2867" i="1"/>
  <c r="T2867" i="1" s="1"/>
  <c r="O2776" i="1"/>
  <c r="S2775" i="1"/>
  <c r="T2775" i="1" s="1"/>
  <c r="R2775" i="1"/>
  <c r="Q1117" i="1"/>
  <c r="Q1116" i="1" s="1"/>
  <c r="Q1115" i="1" s="1"/>
  <c r="Q1362" i="1"/>
  <c r="Q822" i="1"/>
  <c r="Q821" i="1" s="1"/>
  <c r="Q1337" i="1"/>
  <c r="Q1336" i="1" s="1"/>
  <c r="Q1269" i="1"/>
  <c r="Q1121" i="1"/>
  <c r="Q1714" i="1"/>
  <c r="AA17" i="1"/>
  <c r="Z17" i="1" s="1"/>
  <c r="W18" i="1"/>
  <c r="Q1326" i="1"/>
  <c r="Q1325" i="1" s="1"/>
  <c r="Q1344" i="1"/>
  <c r="AA12" i="1"/>
  <c r="Z12" i="1" s="1"/>
  <c r="AA180" i="1"/>
  <c r="Z180" i="1" s="1"/>
  <c r="AA3" i="1"/>
  <c r="Z3" i="1" s="1"/>
  <c r="AA461" i="1"/>
  <c r="Z461" i="1" s="1"/>
  <c r="AA15" i="1"/>
  <c r="Z15" i="1" s="1"/>
  <c r="AA6" i="1"/>
  <c r="Z6" i="1" s="1"/>
  <c r="AA4" i="1"/>
  <c r="Z4" i="1" s="1"/>
  <c r="AA9" i="1"/>
  <c r="Z9" i="1" s="1"/>
  <c r="AA16" i="1"/>
  <c r="Z16" i="1" s="1"/>
  <c r="AA8" i="1"/>
  <c r="Z8" i="1" s="1"/>
  <c r="AA14" i="1"/>
  <c r="Z14" i="1" s="1"/>
  <c r="AA483" i="1"/>
  <c r="Z483" i="1" s="1"/>
  <c r="AA10" i="1"/>
  <c r="Z10" i="1" s="1"/>
  <c r="AA13" i="1"/>
  <c r="Z13" i="1" s="1"/>
  <c r="AA7" i="1"/>
  <c r="Z7" i="1" s="1"/>
  <c r="AA11" i="1"/>
  <c r="Z11" i="1" s="1"/>
  <c r="Q1015" i="1"/>
  <c r="AA5" i="1"/>
  <c r="Z5" i="1" s="1"/>
  <c r="Q1154" i="1"/>
  <c r="Q1153" i="1" s="1"/>
  <c r="Q1195" i="1"/>
  <c r="Q1222" i="1"/>
  <c r="Q1323" i="1"/>
  <c r="Q1420" i="1"/>
  <c r="Q817" i="1"/>
  <c r="Q816" i="1" s="1"/>
  <c r="Q815" i="1" s="1"/>
  <c r="Q960" i="1"/>
  <c r="Q959" i="1" s="1"/>
  <c r="Q958" i="1" s="1"/>
  <c r="Q957" i="1" s="1"/>
  <c r="Q956" i="1" s="1"/>
  <c r="AW1120" i="1"/>
  <c r="AW1118" i="1"/>
  <c r="AW1117" i="1"/>
  <c r="AW1119" i="1"/>
  <c r="AW1124" i="1"/>
  <c r="AW1121" i="1"/>
  <c r="AW1122" i="1"/>
  <c r="AW1123" i="1"/>
  <c r="Q1251" i="1"/>
  <c r="Q1312" i="1"/>
  <c r="Q1311" i="1" s="1"/>
  <c r="Q910" i="1"/>
  <c r="Q1283" i="1"/>
  <c r="Q1282" i="1" s="1"/>
  <c r="Q1957" i="1"/>
  <c r="Q1760" i="1"/>
  <c r="Q1759" i="1" s="1"/>
  <c r="Q1884" i="1"/>
  <c r="Q1883" i="1" s="1"/>
  <c r="Q1882" i="1" s="1"/>
  <c r="Q1881" i="1" s="1"/>
  <c r="Q1840" i="1"/>
  <c r="Q1403" i="1"/>
  <c r="Q1395" i="1"/>
  <c r="Q962" i="1"/>
  <c r="Q876" i="1"/>
  <c r="Q875" i="1" s="1"/>
  <c r="Q874" i="1" s="1"/>
  <c r="Q1160" i="1"/>
  <c r="Q1658" i="1"/>
  <c r="Q1128" i="1"/>
  <c r="Q1151" i="1"/>
  <c r="Q1150" i="1" s="1"/>
  <c r="Q1149" i="1" s="1"/>
  <c r="Q1148" i="1" s="1"/>
  <c r="Q1941" i="1"/>
  <c r="Q1722" i="1"/>
  <c r="Q1543" i="1"/>
  <c r="Q1542" i="1" s="1"/>
  <c r="Q1541" i="1" s="1"/>
  <c r="Q1540" i="1" s="1"/>
  <c r="Q1539" i="1" s="1"/>
  <c r="Q1538" i="1" s="1"/>
  <c r="Q1537" i="1" s="1"/>
  <c r="Q1536" i="1" s="1"/>
  <c r="Q1535" i="1" s="1"/>
  <c r="Q1534" i="1" s="1"/>
  <c r="Q1533" i="1" s="1"/>
  <c r="Q1532" i="1" s="1"/>
  <c r="Q1021" i="1"/>
  <c r="Q1020" i="1" s="1"/>
  <c r="Q1019" i="1" s="1"/>
  <c r="Q1008" i="1"/>
  <c r="Q1007" i="1" s="1"/>
  <c r="Q1006" i="1" s="1"/>
  <c r="Q1005" i="1" s="1"/>
  <c r="Q1004" i="1" s="1"/>
  <c r="Q1003" i="1" s="1"/>
  <c r="Q1002" i="1" s="1"/>
  <c r="Q971" i="1"/>
  <c r="Q970" i="1" s="1"/>
  <c r="Q949" i="1"/>
  <c r="Q948" i="1" s="1"/>
  <c r="Q947" i="1" s="1"/>
  <c r="Q946" i="1" s="1"/>
  <c r="Q945" i="1" s="1"/>
  <c r="Q944" i="1" s="1"/>
  <c r="Q943" i="1" s="1"/>
  <c r="Q942" i="1" s="1"/>
  <c r="Q941" i="1" s="1"/>
  <c r="Q940" i="1" s="1"/>
  <c r="Q939" i="1" s="1"/>
  <c r="Q938" i="1" s="1"/>
  <c r="Q937" i="1" s="1"/>
  <c r="Q1354" i="1"/>
  <c r="Q1848" i="1"/>
  <c r="Q1847" i="1" s="1"/>
  <c r="Q1038" i="1"/>
  <c r="Q832" i="1"/>
  <c r="Q1172" i="1"/>
  <c r="Q1014" i="1"/>
  <c r="Q997" i="1"/>
  <c r="Q995" i="1"/>
  <c r="Q994" i="1" s="1"/>
  <c r="Q993" i="1" s="1"/>
  <c r="Q992" i="1" s="1"/>
  <c r="Q1294" i="1"/>
  <c r="Q1352" i="1"/>
  <c r="Q1955" i="1"/>
  <c r="Q1806" i="1"/>
  <c r="Q1123" i="1"/>
  <c r="Q1265" i="1"/>
  <c r="Q1189" i="1"/>
  <c r="Q1188" i="1" s="1"/>
  <c r="Q1187" i="1" s="1"/>
  <c r="Q1186" i="1" s="1"/>
  <c r="Q1098" i="1"/>
  <c r="Q1097" i="1" s="1"/>
  <c r="Q1074" i="1"/>
  <c r="Q1073" i="1" s="1"/>
  <c r="Q1072" i="1" s="1"/>
  <c r="Q1071" i="1" s="1"/>
  <c r="Q1732" i="1"/>
  <c r="Q1109" i="1"/>
  <c r="Q1083" i="1"/>
  <c r="Q824" i="1"/>
  <c r="Q1928" i="1"/>
  <c r="Q1927" i="1" s="1"/>
  <c r="Q1926" i="1" s="1"/>
  <c r="Q1366" i="1"/>
  <c r="Q1263" i="1"/>
  <c r="Q1255" i="1"/>
  <c r="Q1247" i="1"/>
  <c r="Q1210" i="1"/>
  <c r="Q1209" i="1" s="1"/>
  <c r="Q1208" i="1" s="1"/>
  <c r="Q1207" i="1" s="1"/>
  <c r="Q1081" i="1"/>
  <c r="Q1065" i="1"/>
  <c r="Q1064" i="1" s="1"/>
  <c r="Q1063" i="1" s="1"/>
  <c r="Q1062" i="1" s="1"/>
  <c r="Q1039" i="1"/>
  <c r="Q915" i="1"/>
  <c r="Q908" i="1"/>
  <c r="Q907" i="1" s="1"/>
  <c r="Q906" i="1" s="1"/>
  <c r="Q898" i="1"/>
  <c r="Q843" i="1"/>
  <c r="Q842" i="1" s="1"/>
  <c r="Q1145" i="1"/>
  <c r="Q819" i="1"/>
  <c r="Q1225" i="1"/>
  <c r="Q1224" i="1" s="1"/>
  <c r="Q1214" i="1"/>
  <c r="Q830" i="1"/>
  <c r="Q829" i="1" s="1"/>
  <c r="Q1203" i="1"/>
  <c r="Q1166" i="1"/>
  <c r="Q1158" i="1"/>
  <c r="Q1348" i="1"/>
  <c r="Q1870" i="1"/>
  <c r="Q1869" i="1" s="1"/>
  <c r="Q1868" i="1" s="1"/>
  <c r="Q1867" i="1" s="1"/>
  <c r="Q1912" i="1"/>
  <c r="Q1911" i="1" s="1"/>
  <c r="Q1916" i="1"/>
  <c r="Q1915" i="1" s="1"/>
  <c r="Q1914" i="1" s="1"/>
  <c r="Q1712" i="1"/>
  <c r="Q1704" i="1"/>
  <c r="Q1703" i="1" s="1"/>
  <c r="Q1702" i="1" s="1"/>
  <c r="Q1701" i="1" s="1"/>
  <c r="Q1700" i="1" s="1"/>
  <c r="Q1699" i="1" s="1"/>
  <c r="Q1688" i="1"/>
  <c r="Q1568" i="1"/>
  <c r="Q1567" i="1" s="1"/>
  <c r="Q1566" i="1" s="1"/>
  <c r="Q1565" i="1" s="1"/>
  <c r="Q1564" i="1" s="1"/>
  <c r="Q1563" i="1" s="1"/>
  <c r="Q1562" i="1" s="1"/>
  <c r="Q1561" i="1" s="1"/>
  <c r="Q1560" i="1" s="1"/>
  <c r="Q1559" i="1" s="1"/>
  <c r="Q1558" i="1" s="1"/>
  <c r="Q1557" i="1" s="1"/>
  <c r="Q1556" i="1" s="1"/>
  <c r="Q1555" i="1" s="1"/>
  <c r="Q1464" i="1"/>
  <c r="Q1463" i="1" s="1"/>
  <c r="Q1462" i="1" s="1"/>
  <c r="Q1461" i="1" s="1"/>
  <c r="Q1460" i="1" s="1"/>
  <c r="Q1459" i="1" s="1"/>
  <c r="Q1458" i="1" s="1"/>
  <c r="Q1457" i="1" s="1"/>
  <c r="Q1456" i="1" s="1"/>
  <c r="Q1407" i="1"/>
  <c r="Q1406" i="1" s="1"/>
  <c r="Q1405" i="1" s="1"/>
  <c r="Q1292" i="1"/>
  <c r="Q1136" i="1"/>
  <c r="Q1107" i="1"/>
  <c r="Q1080" i="1"/>
  <c r="Q1035" i="1"/>
  <c r="Q1028" i="1"/>
  <c r="Q1027" i="1" s="1"/>
  <c r="Q1010" i="1"/>
  <c r="Q968" i="1"/>
  <c r="Q967" i="1" s="1"/>
  <c r="Q966" i="1" s="1"/>
  <c r="Q965" i="1" s="1"/>
  <c r="Q809" i="1"/>
  <c r="Q1232" i="1"/>
  <c r="Q1231" i="1" s="1"/>
  <c r="Q1230" i="1" s="1"/>
  <c r="Q1193" i="1"/>
  <c r="Q1141" i="1"/>
  <c r="Q1140" i="1" s="1"/>
  <c r="Q1139" i="1" s="1"/>
  <c r="Q1356" i="1"/>
  <c r="Q1788" i="1"/>
  <c r="Q1813" i="1"/>
  <c r="Q1967" i="1"/>
  <c r="Q1831" i="1"/>
  <c r="Q1716" i="1"/>
  <c r="Q1950" i="1"/>
  <c r="Q1949" i="1" s="1"/>
  <c r="Q1948" i="1" s="1"/>
  <c r="Q1947" i="1" s="1"/>
  <c r="Q1946" i="1" s="1"/>
  <c r="Q1821" i="1"/>
  <c r="Q1817" i="1"/>
  <c r="Q1853" i="1"/>
  <c r="Q1852" i="1" s="1"/>
  <c r="Q1851" i="1" s="1"/>
  <c r="Q1850" i="1" s="1"/>
  <c r="Q1057" i="1"/>
  <c r="Q1056" i="1" s="1"/>
  <c r="Q1055" i="1" s="1"/>
  <c r="Q1054" i="1" s="1"/>
  <c r="Q1053" i="1" s="1"/>
  <c r="Q1052" i="1" s="1"/>
  <c r="Q1051" i="1" s="1"/>
  <c r="Q1049" i="1"/>
  <c r="Q1048" i="1" s="1"/>
  <c r="Q1047" i="1" s="1"/>
  <c r="Q1046" i="1" s="1"/>
  <c r="Q1045" i="1" s="1"/>
  <c r="Q1044" i="1" s="1"/>
  <c r="Q1043" i="1" s="1"/>
  <c r="Q1042" i="1" s="1"/>
  <c r="Q1041" i="1" s="1"/>
  <c r="Q1000" i="1"/>
  <c r="Q954" i="1"/>
  <c r="Q953" i="1" s="1"/>
  <c r="Q952" i="1" s="1"/>
  <c r="Q951" i="1" s="1"/>
  <c r="Q889" i="1"/>
  <c r="Q864" i="1"/>
  <c r="Q863" i="1" s="1"/>
  <c r="Q1342" i="1"/>
  <c r="Q1300" i="1"/>
  <c r="Q1299" i="1" s="1"/>
  <c r="Q1298" i="1" s="1"/>
  <c r="Q1297" i="1" s="1"/>
  <c r="Q1296" i="1" s="1"/>
  <c r="Q1285" i="1"/>
  <c r="Q1105" i="1"/>
  <c r="Q1770" i="1"/>
  <c r="Q1815" i="1"/>
  <c r="Q1718" i="1"/>
  <c r="Q1800" i="1"/>
  <c r="Q1794" i="1"/>
  <c r="Q1876" i="1"/>
  <c r="Q1875" i="1" s="1"/>
  <c r="Q1874" i="1" s="1"/>
  <c r="Q1873" i="1" s="1"/>
  <c r="Q1872" i="1" s="1"/>
  <c r="Q1871" i="1" s="1"/>
  <c r="Q1865" i="1"/>
  <c r="Q1864" i="1" s="1"/>
  <c r="Q1863" i="1" s="1"/>
  <c r="Q1953" i="1"/>
  <c r="Q1952" i="1" s="1"/>
  <c r="Q1944" i="1"/>
  <c r="Q1943" i="1" s="1"/>
  <c r="Q1838" i="1"/>
  <c r="Q1111" i="1"/>
  <c r="Q1346" i="1"/>
  <c r="P1779" i="1"/>
  <c r="Q1779" i="1"/>
  <c r="Q1824" i="1"/>
  <c r="Q1823" i="1" s="1"/>
  <c r="Q1820" i="1"/>
  <c r="Q1819" i="1" s="1"/>
  <c r="Q1686" i="1"/>
  <c r="Q1685" i="1" s="1"/>
  <c r="Q1684" i="1" s="1"/>
  <c r="Q1683" i="1" s="1"/>
  <c r="Q1682" i="1" s="1"/>
  <c r="P1630" i="1"/>
  <c r="Q807" i="1"/>
  <c r="Q1037" i="1"/>
  <c r="Q914" i="1"/>
  <c r="P1784" i="1"/>
  <c r="Q1784" i="1"/>
  <c r="P1750" i="1"/>
  <c r="Q1750" i="1"/>
  <c r="P1757" i="1"/>
  <c r="Q1757" i="1"/>
  <c r="Q1786" i="1"/>
  <c r="Q1836" i="1"/>
  <c r="Q1830" i="1"/>
  <c r="Q1829" i="1" s="1"/>
  <c r="P1723" i="1"/>
  <c r="Q1930" i="1"/>
  <c r="P1680" i="1"/>
  <c r="P1656" i="1"/>
  <c r="Q1656" i="1"/>
  <c r="Q1655" i="1" s="1"/>
  <c r="Q1654" i="1" s="1"/>
  <c r="Q1653" i="1" s="1"/>
  <c r="Q1652" i="1" s="1"/>
  <c r="Q1651" i="1" s="1"/>
  <c r="Q1650" i="1" s="1"/>
  <c r="Q1649" i="1" s="1"/>
  <c r="Q1648" i="1" s="1"/>
  <c r="Q1647" i="1" s="1"/>
  <c r="Q1646" i="1" s="1"/>
  <c r="Q1645" i="1" s="1"/>
  <c r="Q1644" i="1" s="1"/>
  <c r="Q1643" i="1" s="1"/>
  <c r="Q1642" i="1" s="1"/>
  <c r="Q1641" i="1" s="1"/>
  <c r="Q1640" i="1" s="1"/>
  <c r="P1600" i="1"/>
  <c r="P1584" i="1"/>
  <c r="P1552" i="1"/>
  <c r="P1528" i="1"/>
  <c r="P1512" i="1"/>
  <c r="P1496" i="1"/>
  <c r="Q1496" i="1"/>
  <c r="Q1495" i="1" s="1"/>
  <c r="Q1494" i="1" s="1"/>
  <c r="Q1493" i="1" s="1"/>
  <c r="Q1492" i="1" s="1"/>
  <c r="Q1491" i="1" s="1"/>
  <c r="Q1490" i="1" s="1"/>
  <c r="Q1489" i="1" s="1"/>
  <c r="Q1488" i="1" s="1"/>
  <c r="Q1487" i="1" s="1"/>
  <c r="Q1486" i="1" s="1"/>
  <c r="Q1485" i="1" s="1"/>
  <c r="Q1484" i="1" s="1"/>
  <c r="P1480" i="1"/>
  <c r="P1456" i="1"/>
  <c r="P1440" i="1"/>
  <c r="P1432" i="1"/>
  <c r="Q1432" i="1"/>
  <c r="Q1431" i="1" s="1"/>
  <c r="Q1430" i="1" s="1"/>
  <c r="Q1429" i="1" s="1"/>
  <c r="Q1428" i="1" s="1"/>
  <c r="Q1427" i="1" s="1"/>
  <c r="Q1426" i="1" s="1"/>
  <c r="Q1425" i="1" s="1"/>
  <c r="P1424" i="1"/>
  <c r="Q1424" i="1"/>
  <c r="Q1423" i="1" s="1"/>
  <c r="Q1422" i="1" s="1"/>
  <c r="P1415" i="1"/>
  <c r="Q1415" i="1"/>
  <c r="Q1414" i="1" s="1"/>
  <c r="P1391" i="1"/>
  <c r="Q1391" i="1"/>
  <c r="Q1766" i="1"/>
  <c r="P1639" i="1"/>
  <c r="Q1639" i="1"/>
  <c r="Q1638" i="1" s="1"/>
  <c r="Q1637" i="1" s="1"/>
  <c r="Q1636" i="1" s="1"/>
  <c r="Q1635" i="1" s="1"/>
  <c r="Q1634" i="1" s="1"/>
  <c r="Q1633" i="1" s="1"/>
  <c r="Q1632" i="1" s="1"/>
  <c r="Q1631" i="1" s="1"/>
  <c r="Q1630" i="1" s="1"/>
  <c r="Q1629" i="1" s="1"/>
  <c r="Q1628" i="1" s="1"/>
  <c r="Q1627" i="1" s="1"/>
  <c r="Q1626" i="1" s="1"/>
  <c r="Q1625" i="1" s="1"/>
  <c r="Q1624" i="1" s="1"/>
  <c r="Q1623" i="1" s="1"/>
  <c r="Q1622" i="1" s="1"/>
  <c r="Q1621" i="1" s="1"/>
  <c r="Q1620" i="1" s="1"/>
  <c r="Q1619" i="1" s="1"/>
  <c r="Q1618" i="1" s="1"/>
  <c r="Q1617" i="1" s="1"/>
  <c r="Q1616" i="1" s="1"/>
  <c r="Q1615" i="1" s="1"/>
  <c r="Q1614" i="1" s="1"/>
  <c r="Q1613" i="1" s="1"/>
  <c r="P1382" i="1"/>
  <c r="Q1382" i="1"/>
  <c r="Q1381" i="1" s="1"/>
  <c r="P1414" i="1"/>
  <c r="Q912" i="1"/>
  <c r="Q850" i="1"/>
  <c r="Q849" i="1" s="1"/>
  <c r="P1550" i="1"/>
  <c r="P1526" i="1"/>
  <c r="Q1454" i="1"/>
  <c r="Q1453" i="1" s="1"/>
  <c r="Q1452" i="1" s="1"/>
  <c r="Q1451" i="1" s="1"/>
  <c r="Q1450" i="1" s="1"/>
  <c r="Q1449" i="1" s="1"/>
  <c r="Q1448" i="1" s="1"/>
  <c r="Q1447" i="1" s="1"/>
  <c r="Q1446" i="1" s="1"/>
  <c r="Q1445" i="1" s="1"/>
  <c r="Q1444" i="1" s="1"/>
  <c r="Q1443" i="1" s="1"/>
  <c r="Q1442" i="1" s="1"/>
  <c r="Q1113" i="1"/>
  <c r="Q1360" i="1"/>
  <c r="Q1261" i="1"/>
  <c r="Q1191" i="1"/>
  <c r="Q1304" i="1"/>
  <c r="Q1303" i="1" s="1"/>
  <c r="Q1302" i="1" s="1"/>
  <c r="Q1086" i="1"/>
  <c r="Q1034" i="1"/>
  <c r="Q904" i="1"/>
  <c r="Q887" i="1"/>
  <c r="Q852" i="1"/>
  <c r="Q1134" i="1"/>
  <c r="Q1133" i="1" s="1"/>
  <c r="Q1132" i="1" s="1"/>
  <c r="Q1131" i="1" s="1"/>
  <c r="Q1130" i="1" s="1"/>
  <c r="Q1220" i="1"/>
  <c r="Q1219" i="1" s="1"/>
  <c r="Q1218" i="1" s="1"/>
  <c r="Q1198" i="1"/>
  <c r="Q1197" i="1" s="1"/>
  <c r="Q1126" i="1"/>
  <c r="Q1125" i="1" s="1"/>
  <c r="Q1201" i="1"/>
  <c r="Q1164" i="1"/>
  <c r="Q1330" i="1"/>
  <c r="P1752" i="1"/>
  <c r="Q1752" i="1"/>
  <c r="P1903" i="1"/>
  <c r="Q1903" i="1"/>
  <c r="Q1755" i="1"/>
  <c r="Q1754" i="1" s="1"/>
  <c r="Q1796" i="1"/>
  <c r="O1966" i="1"/>
  <c r="O1967" i="1" s="1"/>
  <c r="Q1879" i="1"/>
  <c r="Q1878" i="1" s="1"/>
  <c r="Q1764" i="1"/>
  <c r="Q1965" i="1"/>
  <c r="Q1964" i="1" s="1"/>
  <c r="Q1963" i="1" s="1"/>
  <c r="Q1962" i="1" s="1"/>
  <c r="Q1961" i="1" s="1"/>
  <c r="Q1960" i="1" s="1"/>
  <c r="Q1959" i="1" s="1"/>
  <c r="Q1740" i="1"/>
  <c r="Q1936" i="1"/>
  <c r="Q1935" i="1" s="1"/>
  <c r="Q1934" i="1" s="1"/>
  <c r="Q1724" i="1"/>
  <c r="Q1895" i="1"/>
  <c r="Q1894" i="1" s="1"/>
  <c r="Q1893" i="1" s="1"/>
  <c r="Q1892" i="1" s="1"/>
  <c r="Q1891" i="1" s="1"/>
  <c r="Q1890" i="1" s="1"/>
  <c r="Q1889" i="1" s="1"/>
  <c r="Q1888" i="1" s="1"/>
  <c r="Q1887" i="1" s="1"/>
  <c r="Q1886" i="1" s="1"/>
  <c r="P1376" i="1"/>
  <c r="Q1605" i="1"/>
  <c r="P1509" i="1"/>
  <c r="Q1509" i="1"/>
  <c r="Q1508" i="1" s="1"/>
  <c r="Q1507" i="1" s="1"/>
  <c r="Q1506" i="1" s="1"/>
  <c r="Q1505" i="1" s="1"/>
  <c r="Q1504" i="1" s="1"/>
  <c r="Q1503" i="1" s="1"/>
  <c r="Q1502" i="1" s="1"/>
  <c r="Q1501" i="1" s="1"/>
  <c r="Q1500" i="1" s="1"/>
  <c r="Q1499" i="1" s="1"/>
  <c r="Q1498" i="1" s="1"/>
  <c r="Q1497" i="1" s="1"/>
  <c r="P1412" i="1"/>
  <c r="Q1412" i="1"/>
  <c r="Q1411" i="1" s="1"/>
  <c r="Q1410" i="1" s="1"/>
  <c r="Q1409" i="1" s="1"/>
  <c r="Q1388" i="1"/>
  <c r="Q1418" i="1"/>
  <c r="Q1417" i="1" s="1"/>
  <c r="Q840" i="1"/>
  <c r="Q839" i="1" s="1"/>
  <c r="Q838" i="1" s="1"/>
  <c r="Q837" i="1" s="1"/>
  <c r="Q836" i="1" s="1"/>
  <c r="Q835" i="1" s="1"/>
  <c r="Q834" i="1" s="1"/>
  <c r="P1710" i="1"/>
  <c r="Q1710" i="1"/>
  <c r="Q1709" i="1" s="1"/>
  <c r="Q1708" i="1" s="1"/>
  <c r="Q1707" i="1" s="1"/>
  <c r="Q1706" i="1" s="1"/>
  <c r="Q1705" i="1" s="1"/>
  <c r="P1678" i="1"/>
  <c r="Q1678" i="1"/>
  <c r="Q1677" i="1" s="1"/>
  <c r="P1542" i="1"/>
  <c r="P1422" i="1"/>
  <c r="Q1267" i="1"/>
  <c r="Q1259" i="1"/>
  <c r="Q1307" i="1"/>
  <c r="Q1306" i="1" s="1"/>
  <c r="Q1184" i="1"/>
  <c r="Q1183" i="1" s="1"/>
  <c r="Q1182" i="1" s="1"/>
  <c r="Q1095" i="1"/>
  <c r="Q1094" i="1" s="1"/>
  <c r="Q1093" i="1" s="1"/>
  <c r="Q1092" i="1" s="1"/>
  <c r="Q1091" i="1" s="1"/>
  <c r="Q1090" i="1" s="1"/>
  <c r="Q1089" i="1" s="1"/>
  <c r="Q1088" i="1" s="1"/>
  <c r="Q1069" i="1"/>
  <c r="Q1068" i="1" s="1"/>
  <c r="Q1067" i="1" s="1"/>
  <c r="Q1017" i="1"/>
  <c r="Q999" i="1"/>
  <c r="Q935" i="1"/>
  <c r="Q934" i="1" s="1"/>
  <c r="Q933" i="1" s="1"/>
  <c r="Q869" i="1"/>
  <c r="Q868" i="1" s="1"/>
  <c r="Q867" i="1" s="1"/>
  <c r="Q866" i="1" s="1"/>
  <c r="Q847" i="1"/>
  <c r="Q846" i="1" s="1"/>
  <c r="Q845" i="1" s="1"/>
  <c r="Q1364" i="1"/>
  <c r="Q1120" i="1"/>
  <c r="Q1119" i="1" s="1"/>
  <c r="Q1340" i="1"/>
  <c r="Q1339" i="1" s="1"/>
  <c r="Q1143" i="1"/>
  <c r="Q1103" i="1"/>
  <c r="Q1102" i="1" s="1"/>
  <c r="Q1162" i="1"/>
  <c r="Q1328" i="1"/>
  <c r="P1747" i="1"/>
  <c r="Q1768" i="1"/>
  <c r="Q1767" i="1" s="1"/>
  <c r="P1713" i="1"/>
  <c r="P1897" i="1"/>
  <c r="P1859" i="1"/>
  <c r="Q1859" i="1"/>
  <c r="Q1858" i="1" s="1"/>
  <c r="Q1856" i="1"/>
  <c r="Q1855" i="1" s="1"/>
  <c r="Q1746" i="1"/>
  <c r="Q1745" i="1" s="1"/>
  <c r="Q1743" i="1"/>
  <c r="Q1742" i="1" s="1"/>
  <c r="Q1741" i="1" s="1"/>
  <c r="Q1782" i="1"/>
  <c r="Q1781" i="1" s="1"/>
  <c r="Q1780" i="1" s="1"/>
  <c r="P1612" i="1"/>
  <c r="Q1612" i="1"/>
  <c r="Q1611" i="1" s="1"/>
  <c r="Q1610" i="1" s="1"/>
  <c r="Q1609" i="1" s="1"/>
  <c r="Q1608" i="1" s="1"/>
  <c r="P1548" i="1"/>
  <c r="P1508" i="1"/>
  <c r="P1460" i="1"/>
  <c r="Q805" i="1"/>
  <c r="P1378" i="1"/>
  <c r="Q1378" i="1"/>
  <c r="Q1377" i="1" s="1"/>
  <c r="Q1376" i="1" s="1"/>
  <c r="P1607" i="1"/>
  <c r="Q1607" i="1"/>
  <c r="Q1253" i="1"/>
  <c r="Q990" i="1"/>
  <c r="Q989" i="1" s="1"/>
  <c r="Q988" i="1" s="1"/>
  <c r="Q987" i="1" s="1"/>
  <c r="Q986" i="1" s="1"/>
  <c r="Q827" i="1"/>
  <c r="Q826" i="1" s="1"/>
  <c r="P1606" i="1"/>
  <c r="P1518" i="1"/>
  <c r="Q1518" i="1"/>
  <c r="Q1517" i="1" s="1"/>
  <c r="Q1516" i="1" s="1"/>
  <c r="Q1515" i="1" s="1"/>
  <c r="Q1514" i="1" s="1"/>
  <c r="Q1513" i="1" s="1"/>
  <c r="Q1512" i="1" s="1"/>
  <c r="Q1511" i="1" s="1"/>
  <c r="P1494" i="1"/>
  <c r="P1397" i="1"/>
  <c r="Q1397" i="1"/>
  <c r="Q1368" i="1"/>
  <c r="Q1334" i="1"/>
  <c r="Q1333" i="1" s="1"/>
  <c r="Q1332" i="1" s="1"/>
  <c r="Q1177" i="1"/>
  <c r="Q1176" i="1" s="1"/>
  <c r="Q1175" i="1" s="1"/>
  <c r="Q1174" i="1" s="1"/>
  <c r="Q1078" i="1"/>
  <c r="Q1077" i="1" s="1"/>
  <c r="Q1076" i="1" s="1"/>
  <c r="Q1032" i="1"/>
  <c r="Q1013" i="1"/>
  <c r="Q984" i="1"/>
  <c r="Q983" i="1" s="1"/>
  <c r="Q982" i="1" s="1"/>
  <c r="Q981" i="1" s="1"/>
  <c r="Q979" i="1"/>
  <c r="Q978" i="1" s="1"/>
  <c r="Q977" i="1" s="1"/>
  <c r="Q976" i="1" s="1"/>
  <c r="Q975" i="1" s="1"/>
  <c r="Q974" i="1" s="1"/>
  <c r="Q973" i="1" s="1"/>
  <c r="Q963" i="1"/>
  <c r="Q931" i="1"/>
  <c r="Q930" i="1" s="1"/>
  <c r="Q929" i="1" s="1"/>
  <c r="Q928" i="1" s="1"/>
  <c r="Q927" i="1" s="1"/>
  <c r="Q926" i="1" s="1"/>
  <c r="Q925" i="1" s="1"/>
  <c r="Q924" i="1" s="1"/>
  <c r="Q923" i="1" s="1"/>
  <c r="Q922" i="1" s="1"/>
  <c r="Q921" i="1" s="1"/>
  <c r="Q920" i="1" s="1"/>
  <c r="Q919" i="1" s="1"/>
  <c r="Q918" i="1" s="1"/>
  <c r="Q885" i="1"/>
  <c r="Q884" i="1" s="1"/>
  <c r="Q883" i="1" s="1"/>
  <c r="Q882" i="1" s="1"/>
  <c r="Q881" i="1" s="1"/>
  <c r="Q880" i="1" s="1"/>
  <c r="Q879" i="1" s="1"/>
  <c r="Q878" i="1" s="1"/>
  <c r="Q872" i="1"/>
  <c r="Q871" i="1" s="1"/>
  <c r="Q856" i="1"/>
  <c r="Q855" i="1" s="1"/>
  <c r="Q854" i="1" s="1"/>
  <c r="Q1228" i="1"/>
  <c r="Q1227" i="1" s="1"/>
  <c r="Q1170" i="1"/>
  <c r="Q1243" i="1"/>
  <c r="Q1242" i="1" s="1"/>
  <c r="Q1241" i="1" s="1"/>
  <c r="Q1240" i="1" s="1"/>
  <c r="Q1239" i="1" s="1"/>
  <c r="Q1238" i="1" s="1"/>
  <c r="Q1237" i="1" s="1"/>
  <c r="Q1236" i="1" s="1"/>
  <c r="Q1235" i="1" s="1"/>
  <c r="Q1234" i="1" s="1"/>
  <c r="Q1811" i="1"/>
  <c r="Q1790" i="1"/>
  <c r="Q1789" i="1" s="1"/>
  <c r="P1754" i="1"/>
  <c r="Q1798" i="1"/>
  <c r="Q1901" i="1"/>
  <c r="Q1900" i="1" s="1"/>
  <c r="Q1899" i="1" s="1"/>
  <c r="Q1898" i="1" s="1"/>
  <c r="Q1897" i="1" s="1"/>
  <c r="P1943" i="1"/>
  <c r="Q1909" i="1"/>
  <c r="Q1908" i="1" s="1"/>
  <c r="Q1907" i="1" s="1"/>
  <c r="Q1906" i="1" s="1"/>
  <c r="Q1905" i="1" s="1"/>
  <c r="Q1730" i="1"/>
  <c r="Q1729" i="1" s="1"/>
  <c r="Q1728" i="1" s="1"/>
  <c r="Q1374" i="1"/>
  <c r="Q1373" i="1" s="1"/>
  <c r="Q1691" i="1"/>
  <c r="Q1690" i="1" s="1"/>
  <c r="Q1675" i="1"/>
  <c r="P1667" i="1"/>
  <c r="Q1667" i="1"/>
  <c r="Q1666" i="1" s="1"/>
  <c r="Q1665" i="1" s="1"/>
  <c r="Q1664" i="1" s="1"/>
  <c r="Q1663" i="1" s="1"/>
  <c r="Q1662" i="1" s="1"/>
  <c r="Q1661" i="1" s="1"/>
  <c r="Q1660" i="1" s="1"/>
  <c r="Q1603" i="1"/>
  <c r="P1386" i="1"/>
  <c r="Q1386" i="1"/>
  <c r="P1389" i="1"/>
  <c r="Q1389" i="1"/>
  <c r="Q1317" i="1"/>
  <c r="Q1316" i="1" s="1"/>
  <c r="Q1315" i="1" s="1"/>
  <c r="Q1314" i="1" s="1"/>
  <c r="Q1309" i="1"/>
  <c r="Q1257" i="1"/>
  <c r="Q1249" i="1"/>
  <c r="Q1180" i="1"/>
  <c r="Q1179" i="1" s="1"/>
  <c r="Q1212" i="1"/>
  <c r="Q1278" i="1"/>
  <c r="Q1277" i="1" s="1"/>
  <c r="Q1276" i="1" s="1"/>
  <c r="Q1275" i="1" s="1"/>
  <c r="Q1274" i="1" s="1"/>
  <c r="Q1273" i="1" s="1"/>
  <c r="Q1272" i="1" s="1"/>
  <c r="Q1271" i="1" s="1"/>
  <c r="Q1031" i="1"/>
  <c r="P1030" i="1"/>
  <c r="Q1030" i="1"/>
  <c r="Q1025" i="1"/>
  <c r="Q1024" i="1" s="1"/>
  <c r="Q1023" i="1" s="1"/>
  <c r="Q861" i="1"/>
  <c r="Q1205" i="1"/>
  <c r="Q1358" i="1"/>
  <c r="P1726" i="1"/>
  <c r="Q1726" i="1"/>
  <c r="P1720" i="1"/>
  <c r="Q1720" i="1"/>
  <c r="P1795" i="1"/>
  <c r="P1801" i="1"/>
  <c r="Q1802" i="1"/>
  <c r="P1874" i="1"/>
  <c r="Q1771" i="1"/>
  <c r="Q1762" i="1"/>
  <c r="Q1844" i="1"/>
  <c r="Q1809" i="1"/>
  <c r="Q1808" i="1" s="1"/>
  <c r="P1698" i="1"/>
  <c r="Q1698" i="1"/>
  <c r="Q1697" i="1" s="1"/>
  <c r="Q1696" i="1" s="1"/>
  <c r="Q1695" i="1" s="1"/>
  <c r="Q1694" i="1" s="1"/>
  <c r="Q1693" i="1" s="1"/>
  <c r="Q1692" i="1" s="1"/>
  <c r="P1690" i="1"/>
  <c r="P1602" i="1"/>
  <c r="P1554" i="1"/>
  <c r="Q1554" i="1"/>
  <c r="Q1553" i="1" s="1"/>
  <c r="Q1552" i="1" s="1"/>
  <c r="Q1551" i="1" s="1"/>
  <c r="Q1550" i="1" s="1"/>
  <c r="Q1549" i="1" s="1"/>
  <c r="Q1548" i="1" s="1"/>
  <c r="Q1547" i="1" s="1"/>
  <c r="Q1546" i="1" s="1"/>
  <c r="Q1545" i="1" s="1"/>
  <c r="Q1544" i="1" s="1"/>
  <c r="P1530" i="1"/>
  <c r="Q1530" i="1"/>
  <c r="Q1529" i="1" s="1"/>
  <c r="Q1528" i="1" s="1"/>
  <c r="Q1527" i="1" s="1"/>
  <c r="Q1526" i="1" s="1"/>
  <c r="Q1525" i="1" s="1"/>
  <c r="Q1524" i="1" s="1"/>
  <c r="Q1523" i="1" s="1"/>
  <c r="Q1522" i="1" s="1"/>
  <c r="Q1521" i="1" s="1"/>
  <c r="Q1520" i="1" s="1"/>
  <c r="P1482" i="1"/>
  <c r="Q1482" i="1"/>
  <c r="Q1481" i="1" s="1"/>
  <c r="Q1480" i="1" s="1"/>
  <c r="Q1479" i="1" s="1"/>
  <c r="Q1478" i="1" s="1"/>
  <c r="Q1477" i="1" s="1"/>
  <c r="Q1476" i="1" s="1"/>
  <c r="Q1475" i="1" s="1"/>
  <c r="Q1474" i="1" s="1"/>
  <c r="Q1473" i="1" s="1"/>
  <c r="Q1472" i="1" s="1"/>
  <c r="Q1471" i="1" s="1"/>
  <c r="Q1470" i="1" s="1"/>
  <c r="Q1469" i="1" s="1"/>
  <c r="Q1468" i="1" s="1"/>
  <c r="Q1467" i="1" s="1"/>
  <c r="Q1466" i="1" s="1"/>
  <c r="P1401" i="1"/>
  <c r="Q1401" i="1"/>
  <c r="Q1400" i="1" s="1"/>
  <c r="Q1399" i="1" s="1"/>
  <c r="P1393" i="1"/>
  <c r="Q1393" i="1"/>
  <c r="P1385" i="1"/>
  <c r="P1390" i="1"/>
  <c r="Q1245" i="1"/>
  <c r="Q896" i="1"/>
  <c r="Q895" i="1" s="1"/>
  <c r="Q894" i="1" s="1"/>
  <c r="Q893" i="1" s="1"/>
  <c r="Q892" i="1" s="1"/>
  <c r="Q891" i="1" s="1"/>
  <c r="Q1156" i="1"/>
  <c r="P1878" i="1"/>
  <c r="Q1969" i="1"/>
  <c r="Q1970" i="1"/>
  <c r="Q1738" i="1"/>
  <c r="Q1737" i="1" s="1"/>
  <c r="Q1827" i="1"/>
  <c r="Q1826" i="1" s="1"/>
  <c r="Q811" i="1"/>
  <c r="Q1289" i="1"/>
  <c r="Q1288" i="1" s="1"/>
  <c r="Q1287" i="1" s="1"/>
  <c r="Q1059" i="1"/>
  <c r="Q1012" i="1"/>
  <c r="Q916" i="1"/>
  <c r="Q902" i="1"/>
  <c r="Q901" i="1" s="1"/>
  <c r="Q900" i="1" s="1"/>
  <c r="Q859" i="1"/>
  <c r="Q858" i="1" s="1"/>
  <c r="Q1216" i="1"/>
  <c r="Q813" i="1"/>
  <c r="Q1321" i="1"/>
  <c r="Q1320" i="1" s="1"/>
  <c r="Q1319" i="1" s="1"/>
  <c r="Q1280" i="1"/>
  <c r="Q1168" i="1"/>
  <c r="Q1350" i="1"/>
  <c r="Q1924" i="1"/>
  <c r="Q1923" i="1" s="1"/>
  <c r="Q1922" i="1" s="1"/>
  <c r="Q1748" i="1"/>
  <c r="Q1804" i="1"/>
  <c r="Q1861" i="1"/>
  <c r="Q1735" i="1"/>
  <c r="Q1734" i="1" s="1"/>
  <c r="U1777" i="1"/>
  <c r="Q1777" i="1"/>
  <c r="P1881" i="1"/>
  <c r="Q1776" i="1"/>
  <c r="Q1775" i="1" s="1"/>
  <c r="Q1774" i="1" s="1"/>
  <c r="Q1773" i="1" s="1"/>
  <c r="Q1835" i="1"/>
  <c r="Q1792" i="1"/>
  <c r="Q1919" i="1"/>
  <c r="Q1918" i="1" s="1"/>
  <c r="Q1917" i="1" s="1"/>
  <c r="Q1842" i="1"/>
  <c r="Q1932" i="1"/>
  <c r="Q1833" i="1"/>
  <c r="Q1939" i="1"/>
  <c r="Q1938" i="1" s="1"/>
  <c r="Q1380" i="1"/>
  <c r="Q1379" i="1" s="1"/>
  <c r="P1372" i="1"/>
  <c r="Q1372" i="1"/>
  <c r="Q1371" i="1" s="1"/>
  <c r="P1697" i="1"/>
  <c r="P1689" i="1"/>
  <c r="Q1681" i="1"/>
  <c r="Q1680" i="1" s="1"/>
  <c r="Q1679" i="1" s="1"/>
  <c r="P1673" i="1"/>
  <c r="Q1673" i="1"/>
  <c r="Q1672" i="1" s="1"/>
  <c r="Q1671" i="1" s="1"/>
  <c r="Q1670" i="1" s="1"/>
  <c r="Q1669" i="1" s="1"/>
  <c r="P1657" i="1"/>
  <c r="Q1601" i="1"/>
  <c r="Q1600" i="1" s="1"/>
  <c r="Q1599" i="1" s="1"/>
  <c r="Q1598" i="1" s="1"/>
  <c r="Q1597" i="1" s="1"/>
  <c r="Q1596" i="1" s="1"/>
  <c r="Q1595" i="1" s="1"/>
  <c r="Q1594" i="1" s="1"/>
  <c r="Q1593" i="1" s="1"/>
  <c r="Q1592" i="1" s="1"/>
  <c r="Q1591" i="1" s="1"/>
  <c r="Q1590" i="1" s="1"/>
  <c r="Q1589" i="1" s="1"/>
  <c r="Q1588" i="1" s="1"/>
  <c r="Q1587" i="1" s="1"/>
  <c r="Q1586" i="1" s="1"/>
  <c r="P1585" i="1"/>
  <c r="Q1585" i="1"/>
  <c r="Q1584" i="1" s="1"/>
  <c r="Q1583" i="1" s="1"/>
  <c r="Q1582" i="1" s="1"/>
  <c r="Q1581" i="1" s="1"/>
  <c r="Q1580" i="1" s="1"/>
  <c r="Q1579" i="1" s="1"/>
  <c r="Q1578" i="1" s="1"/>
  <c r="Q1577" i="1" s="1"/>
  <c r="Q1576" i="1" s="1"/>
  <c r="Q1575" i="1" s="1"/>
  <c r="Q1574" i="1" s="1"/>
  <c r="Q1573" i="1" s="1"/>
  <c r="Q1572" i="1" s="1"/>
  <c r="Q1571" i="1" s="1"/>
  <c r="Q1570" i="1" s="1"/>
  <c r="P1441" i="1"/>
  <c r="Q1441" i="1"/>
  <c r="Q1440" i="1" s="1"/>
  <c r="Q1439" i="1" s="1"/>
  <c r="Q1438" i="1" s="1"/>
  <c r="Q1437" i="1" s="1"/>
  <c r="Q1436" i="1" s="1"/>
  <c r="Q1435" i="1" s="1"/>
  <c r="Q1434" i="1" s="1"/>
  <c r="P1408" i="1"/>
  <c r="P1400" i="1"/>
  <c r="P1392" i="1"/>
  <c r="P1384" i="1"/>
  <c r="Q1384" i="1"/>
  <c r="T38" i="7"/>
  <c r="T24" i="7"/>
  <c r="T25" i="7"/>
  <c r="S37" i="7"/>
  <c r="T34" i="7"/>
  <c r="T35" i="7" s="1"/>
  <c r="T33" i="7"/>
  <c r="T16" i="7"/>
  <c r="T17" i="7" s="1"/>
  <c r="V5" i="7"/>
  <c r="U7" i="7"/>
  <c r="U6" i="7"/>
  <c r="U40" i="7"/>
  <c r="U8" i="7"/>
  <c r="U9" i="7" s="1"/>
  <c r="T13" i="7"/>
  <c r="T14" i="7"/>
  <c r="V11" i="7"/>
  <c r="U12" i="7"/>
  <c r="T19" i="7"/>
  <c r="S20" i="7"/>
  <c r="S21" i="7"/>
  <c r="T32" i="7"/>
  <c r="AD3" i="7"/>
  <c r="AC4" i="7"/>
  <c r="W27" i="7"/>
  <c r="V28" i="7"/>
  <c r="V29" i="7" s="1"/>
  <c r="S36" i="7"/>
  <c r="U1418" i="1"/>
  <c r="O1970" i="1"/>
  <c r="U1970" i="1"/>
  <c r="O2285" i="1"/>
  <c r="S2284" i="1"/>
  <c r="T2284" i="1" s="1"/>
  <c r="P1969" i="1"/>
  <c r="U1969" i="1"/>
  <c r="U1968" i="1"/>
  <c r="P1968" i="1"/>
  <c r="O1968" i="1"/>
  <c r="U1566" i="1"/>
  <c r="U1526" i="1"/>
  <c r="U1478" i="1"/>
  <c r="U1454" i="1"/>
  <c r="U1446" i="1"/>
  <c r="U1494" i="1"/>
  <c r="P1446" i="1"/>
  <c r="U1606" i="1"/>
  <c r="U1614" i="1"/>
  <c r="P1566" i="1"/>
  <c r="U1590" i="1"/>
  <c r="U1630" i="1"/>
  <c r="O1687" i="1"/>
  <c r="O1688" i="1" s="1"/>
  <c r="U1591" i="1"/>
  <c r="U1519" i="1"/>
  <c r="U1503" i="1"/>
  <c r="U1455" i="1"/>
  <c r="U1423" i="1"/>
  <c r="U1502" i="1"/>
  <c r="U1422" i="1"/>
  <c r="P1478" i="1"/>
  <c r="O1389" i="1"/>
  <c r="P1503" i="1"/>
  <c r="U1608" i="1"/>
  <c r="U1680" i="1"/>
  <c r="U1656" i="1"/>
  <c r="U1624" i="1"/>
  <c r="U1544" i="1"/>
  <c r="U1480" i="1"/>
  <c r="U1440" i="1"/>
  <c r="U1584" i="1"/>
  <c r="U1552" i="1"/>
  <c r="U1536" i="1"/>
  <c r="U1512" i="1"/>
  <c r="U1391" i="1"/>
  <c r="U1406" i="1"/>
  <c r="U1398" i="1"/>
  <c r="P1551" i="1"/>
  <c r="U1382" i="1"/>
  <c r="P1623" i="1"/>
  <c r="P1439" i="1"/>
  <c r="U1431" i="1"/>
  <c r="P1423" i="1"/>
  <c r="U1576" i="1"/>
  <c r="U1615" i="1"/>
  <c r="P1591" i="1"/>
  <c r="U1407" i="1"/>
  <c r="P1687" i="1"/>
  <c r="P1479" i="1"/>
  <c r="P1406" i="1"/>
  <c r="P1535" i="1"/>
  <c r="U1496" i="1"/>
  <c r="P1519" i="1"/>
  <c r="U1687" i="1"/>
  <c r="U1672" i="1"/>
  <c r="P1543" i="1"/>
  <c r="U1390" i="1"/>
  <c r="P1398" i="1"/>
  <c r="O1383" i="1"/>
  <c r="U1523" i="1"/>
  <c r="U1862" i="1"/>
  <c r="U1824" i="1"/>
  <c r="U1681" i="1"/>
  <c r="U1553" i="1"/>
  <c r="U1397" i="1"/>
  <c r="U1389" i="1"/>
  <c r="U1499" i="1"/>
  <c r="U1489" i="1"/>
  <c r="U1707" i="1"/>
  <c r="U1667" i="1"/>
  <c r="U1651" i="1"/>
  <c r="U1710" i="1"/>
  <c r="U1702" i="1"/>
  <c r="U1593" i="1"/>
  <c r="U1376" i="1"/>
  <c r="U1645" i="1"/>
  <c r="U1629" i="1"/>
  <c r="U1678" i="1"/>
  <c r="P1701" i="1"/>
  <c r="U1691" i="1"/>
  <c r="U1659" i="1"/>
  <c r="U1603" i="1"/>
  <c r="U1563" i="1"/>
  <c r="U1483" i="1"/>
  <c r="U1459" i="1"/>
  <c r="U1427" i="1"/>
  <c r="U1419" i="1"/>
  <c r="U1473" i="1"/>
  <c r="U1433" i="1"/>
  <c r="P1709" i="1"/>
  <c r="U1556" i="1"/>
  <c r="U1666" i="1"/>
  <c r="U1570" i="1"/>
  <c r="U1538" i="1"/>
  <c r="U1530" i="1"/>
  <c r="U1514" i="1"/>
  <c r="U1498" i="1"/>
  <c r="U1482" i="1"/>
  <c r="U1466" i="1"/>
  <c r="U1450" i="1"/>
  <c r="U1400" i="1"/>
  <c r="U1794" i="1"/>
  <c r="U1731" i="1"/>
  <c r="O1497" i="1"/>
  <c r="U1759" i="1"/>
  <c r="O1736" i="1"/>
  <c r="O1737" i="1" s="1"/>
  <c r="P1553" i="1"/>
  <c r="U1617" i="1"/>
  <c r="P1537" i="1"/>
  <c r="U1642" i="1"/>
  <c r="U1618" i="1"/>
  <c r="U1434" i="1"/>
  <c r="O1896" i="1"/>
  <c r="O1897" i="1" s="1"/>
  <c r="U1425" i="1"/>
  <c r="P1465" i="1"/>
  <c r="P1665" i="1"/>
  <c r="P1473" i="1"/>
  <c r="P1449" i="1"/>
  <c r="P1681" i="1"/>
  <c r="O1751" i="1"/>
  <c r="O1752" i="1" s="1"/>
  <c r="O1941" i="1"/>
  <c r="P1433" i="1"/>
  <c r="U1442" i="1"/>
  <c r="U1497" i="1"/>
  <c r="U1725" i="1"/>
  <c r="U1633" i="1"/>
  <c r="U1867" i="1"/>
  <c r="U1876" i="1"/>
  <c r="U1952" i="1"/>
  <c r="P1603" i="1"/>
  <c r="P1691" i="1"/>
  <c r="U1783" i="1"/>
  <c r="O1744" i="1"/>
  <c r="O1745" i="1" s="1"/>
  <c r="O1746" i="1" s="1"/>
  <c r="U1756" i="1"/>
  <c r="U1863" i="1"/>
  <c r="U1958" i="1"/>
  <c r="P1459" i="1"/>
  <c r="P1419" i="1"/>
  <c r="O1783" i="1"/>
  <c r="O1784" i="1" s="1"/>
  <c r="U1886" i="1"/>
  <c r="U1789" i="1"/>
  <c r="O1769" i="1"/>
  <c r="O1770" i="1" s="1"/>
  <c r="O1885" i="1"/>
  <c r="O1886" i="1" s="1"/>
  <c r="O1887" i="1" s="1"/>
  <c r="U1676" i="1"/>
  <c r="U1668" i="1"/>
  <c r="U1636" i="1"/>
  <c r="U1580" i="1"/>
  <c r="U1572" i="1"/>
  <c r="U1564" i="1"/>
  <c r="U1532" i="1"/>
  <c r="U1516" i="1"/>
  <c r="U1485" i="1"/>
  <c r="U1452" i="1"/>
  <c r="U1445" i="1"/>
  <c r="U1429" i="1"/>
  <c r="O1421" i="1"/>
  <c r="O1422" i="1" s="1"/>
  <c r="P1428" i="1"/>
  <c r="U1708" i="1"/>
  <c r="U1685" i="1"/>
  <c r="U1573" i="1"/>
  <c r="U1805" i="1"/>
  <c r="U1870" i="1"/>
  <c r="P1805" i="1"/>
  <c r="P1736" i="1"/>
  <c r="O1805" i="1"/>
  <c r="O1806" i="1" s="1"/>
  <c r="U1726" i="1"/>
  <c r="U1588" i="1"/>
  <c r="U1778" i="1"/>
  <c r="U1925" i="1"/>
  <c r="U1848" i="1"/>
  <c r="U1751" i="1"/>
  <c r="P1940" i="1"/>
  <c r="R1940" i="1" s="1"/>
  <c r="P1452" i="1"/>
  <c r="U1752" i="1"/>
  <c r="U1904" i="1"/>
  <c r="U1964" i="1"/>
  <c r="P1751" i="1"/>
  <c r="U1943" i="1"/>
  <c r="U816" i="1"/>
  <c r="U1847" i="1"/>
  <c r="U1834" i="1"/>
  <c r="U1747" i="1"/>
  <c r="O1747" i="1"/>
  <c r="U1621" i="1"/>
  <c r="U1749" i="1"/>
  <c r="P1783" i="1"/>
  <c r="P1863" i="1"/>
  <c r="U1404" i="1"/>
  <c r="P1404" i="1"/>
  <c r="U1541" i="1"/>
  <c r="P1396" i="1"/>
  <c r="O1413" i="1"/>
  <c r="O1414" i="1" s="1"/>
  <c r="O1415" i="1" s="1"/>
  <c r="P1636" i="1"/>
  <c r="U1565" i="1"/>
  <c r="U1413" i="1"/>
  <c r="P1676" i="1"/>
  <c r="U1692" i="1"/>
  <c r="U1420" i="1"/>
  <c r="U1669" i="1"/>
  <c r="U1581" i="1"/>
  <c r="U1501" i="1"/>
  <c r="U1405" i="1"/>
  <c r="P1532" i="1"/>
  <c r="U1524" i="1"/>
  <c r="P1420" i="1"/>
  <c r="U1436" i="1"/>
  <c r="P1668" i="1"/>
  <c r="P1581" i="1"/>
  <c r="U1677" i="1"/>
  <c r="P832" i="1"/>
  <c r="U832" i="1"/>
  <c r="P1266" i="1"/>
  <c r="U1266" i="1"/>
  <c r="O1266" i="1"/>
  <c r="O1267" i="1" s="1"/>
  <c r="O1250" i="1"/>
  <c r="O1251" i="1" s="1"/>
  <c r="P1250" i="1"/>
  <c r="U1250" i="1"/>
  <c r="P1187" i="1"/>
  <c r="U1187" i="1"/>
  <c r="P1317" i="1"/>
  <c r="U1317" i="1"/>
  <c r="P1302" i="1"/>
  <c r="U1302" i="1"/>
  <c r="P1177" i="1"/>
  <c r="U1177" i="1"/>
  <c r="P1091" i="1"/>
  <c r="U1091" i="1"/>
  <c r="P1078" i="1"/>
  <c r="U1078" i="1"/>
  <c r="U1061" i="1"/>
  <c r="P1061" i="1"/>
  <c r="P1270" i="1"/>
  <c r="U1270" i="1"/>
  <c r="O1014" i="1"/>
  <c r="P1014" i="1"/>
  <c r="U1014" i="1"/>
  <c r="P1005" i="1"/>
  <c r="U1005" i="1"/>
  <c r="P995" i="1"/>
  <c r="U995" i="1"/>
  <c r="P984" i="1"/>
  <c r="U984" i="1"/>
  <c r="O963" i="1"/>
  <c r="P963" i="1"/>
  <c r="U963" i="1"/>
  <c r="P938" i="1"/>
  <c r="U938" i="1"/>
  <c r="P937" i="1"/>
  <c r="U937" i="1"/>
  <c r="P933" i="1"/>
  <c r="U933" i="1"/>
  <c r="P921" i="1"/>
  <c r="U921" i="1"/>
  <c r="P909" i="1"/>
  <c r="O909" i="1"/>
  <c r="O910" i="1" s="1"/>
  <c r="U909" i="1"/>
  <c r="P901" i="1"/>
  <c r="U901" i="1"/>
  <c r="P891" i="1"/>
  <c r="U891" i="1"/>
  <c r="P885" i="1"/>
  <c r="U885" i="1"/>
  <c r="P880" i="1"/>
  <c r="U880" i="1"/>
  <c r="P872" i="1"/>
  <c r="U872" i="1"/>
  <c r="O860" i="1"/>
  <c r="U860" i="1"/>
  <c r="P860" i="1"/>
  <c r="P856" i="1"/>
  <c r="U856" i="1"/>
  <c r="O844" i="1"/>
  <c r="U844" i="1"/>
  <c r="P844" i="1"/>
  <c r="P834" i="1"/>
  <c r="U834" i="1"/>
  <c r="P1363" i="1"/>
  <c r="U1363" i="1"/>
  <c r="O1363" i="1"/>
  <c r="O1364" i="1" s="1"/>
  <c r="O1118" i="1"/>
  <c r="P1118" i="1"/>
  <c r="U1118" i="1"/>
  <c r="P1132" i="1"/>
  <c r="U1132" i="1"/>
  <c r="U1338" i="1"/>
  <c r="O1338" i="1"/>
  <c r="P1338" i="1"/>
  <c r="P1294" i="1"/>
  <c r="U1294" i="1"/>
  <c r="P1228" i="1"/>
  <c r="U1228" i="1"/>
  <c r="P1218" i="1"/>
  <c r="U1218" i="1"/>
  <c r="O1196" i="1"/>
  <c r="O1197" i="1" s="1"/>
  <c r="P1196" i="1"/>
  <c r="U1196" i="1"/>
  <c r="P1152" i="1"/>
  <c r="U1152" i="1"/>
  <c r="O1142" i="1"/>
  <c r="P1142" i="1"/>
  <c r="Q1142" i="1" s="1"/>
  <c r="U1142" i="1"/>
  <c r="P1122" i="1"/>
  <c r="U1122" i="1"/>
  <c r="U823" i="1"/>
  <c r="P823" i="1"/>
  <c r="P1322" i="1"/>
  <c r="U1322" i="1"/>
  <c r="O1322" i="1"/>
  <c r="P1282" i="1"/>
  <c r="U1282" i="1"/>
  <c r="O1101" i="1"/>
  <c r="O1102" i="1" s="1"/>
  <c r="P1101" i="1"/>
  <c r="U1101" i="1"/>
  <c r="P1170" i="1"/>
  <c r="U1170" i="1"/>
  <c r="O1161" i="1"/>
  <c r="P1161" i="1"/>
  <c r="U1161" i="1"/>
  <c r="O1327" i="1"/>
  <c r="P1327" i="1"/>
  <c r="U1327" i="1"/>
  <c r="P1352" i="1"/>
  <c r="U1352" i="1"/>
  <c r="P1243" i="1"/>
  <c r="U1243" i="1"/>
  <c r="P1234" i="1"/>
  <c r="U1234" i="1"/>
  <c r="O1954" i="1"/>
  <c r="P1954" i="1"/>
  <c r="P1719" i="1"/>
  <c r="U1719" i="1"/>
  <c r="O1719" i="1"/>
  <c r="O1720" i="1" s="1"/>
  <c r="U1955" i="1"/>
  <c r="P1955" i="1"/>
  <c r="P1806" i="1"/>
  <c r="U1806" i="1"/>
  <c r="U1845" i="1"/>
  <c r="P1845" i="1"/>
  <c r="U1811" i="1"/>
  <c r="P1811" i="1"/>
  <c r="O1717" i="1"/>
  <c r="O1718" i="1" s="1"/>
  <c r="P1717" i="1"/>
  <c r="U1717" i="1"/>
  <c r="U1909" i="1"/>
  <c r="O1812" i="1"/>
  <c r="P1516" i="1"/>
  <c r="U1511" i="1"/>
  <c r="U1528" i="1"/>
  <c r="P1368" i="1"/>
  <c r="U1368" i="1"/>
  <c r="O1343" i="1"/>
  <c r="P1343" i="1"/>
  <c r="U1343" i="1"/>
  <c r="O1258" i="1"/>
  <c r="P1258" i="1"/>
  <c r="U1258" i="1"/>
  <c r="P1306" i="1"/>
  <c r="U1306" i="1"/>
  <c r="O1181" i="1"/>
  <c r="P1181" i="1"/>
  <c r="U1181" i="1"/>
  <c r="P1172" i="1"/>
  <c r="U1172" i="1"/>
  <c r="P1334" i="1"/>
  <c r="U1334" i="1"/>
  <c r="P1288" i="1"/>
  <c r="U1288" i="1"/>
  <c r="P1100" i="1"/>
  <c r="U1100" i="1"/>
  <c r="O1084" i="1"/>
  <c r="O1085" i="1" s="1"/>
  <c r="U1084" i="1"/>
  <c r="P1084" i="1"/>
  <c r="P1066" i="1"/>
  <c r="U1066" i="1"/>
  <c r="U1053" i="1"/>
  <c r="P1053" i="1"/>
  <c r="P1040" i="1"/>
  <c r="U1040" i="1"/>
  <c r="O1032" i="1"/>
  <c r="P1032" i="1"/>
  <c r="U1032" i="1"/>
  <c r="O1022" i="1"/>
  <c r="P1022" i="1"/>
  <c r="U1022" i="1"/>
  <c r="O1013" i="1"/>
  <c r="P1013" i="1"/>
  <c r="U1013" i="1"/>
  <c r="P997" i="1"/>
  <c r="U997" i="1"/>
  <c r="P988" i="1"/>
  <c r="U988" i="1"/>
  <c r="P979" i="1"/>
  <c r="U979" i="1"/>
  <c r="U931" i="1"/>
  <c r="P931" i="1"/>
  <c r="U1540" i="1"/>
  <c r="U1515" i="1"/>
  <c r="P1580" i="1"/>
  <c r="P1569" i="1"/>
  <c r="P1498" i="1"/>
  <c r="P1454" i="1"/>
  <c r="U1720" i="1"/>
  <c r="P1675" i="1"/>
  <c r="U1535" i="1"/>
  <c r="O1674" i="1"/>
  <c r="P1674" i="1"/>
  <c r="U1674" i="1"/>
  <c r="U1488" i="1"/>
  <c r="O806" i="1"/>
  <c r="P806" i="1"/>
  <c r="U806" i="1"/>
  <c r="U1362" i="1"/>
  <c r="P1362" i="1"/>
  <c r="P1269" i="1"/>
  <c r="U1269" i="1"/>
  <c r="O1262" i="1"/>
  <c r="P1262" i="1"/>
  <c r="U1262" i="1"/>
  <c r="O1254" i="1"/>
  <c r="O1255" i="1" s="1"/>
  <c r="P1254" i="1"/>
  <c r="U1254" i="1"/>
  <c r="P1246" i="1"/>
  <c r="U1246" i="1"/>
  <c r="O1246" i="1"/>
  <c r="P817" i="1"/>
  <c r="U817" i="1"/>
  <c r="O1185" i="1"/>
  <c r="P1185" i="1"/>
  <c r="U1185" i="1"/>
  <c r="P1316" i="1"/>
  <c r="U1316" i="1"/>
  <c r="P1208" i="1"/>
  <c r="U1208" i="1"/>
  <c r="O1114" i="1"/>
  <c r="O1115" i="1" s="1"/>
  <c r="P1114" i="1"/>
  <c r="U1114" i="1"/>
  <c r="P1136" i="1"/>
  <c r="U1136" i="1"/>
  <c r="P1174" i="1"/>
  <c r="U1174" i="1"/>
  <c r="U1107" i="1"/>
  <c r="P1107" i="1"/>
  <c r="P1287" i="1"/>
  <c r="U1287" i="1"/>
  <c r="O1096" i="1"/>
  <c r="O1097" i="1" s="1"/>
  <c r="U1096" i="1"/>
  <c r="P1096" i="1"/>
  <c r="P1093" i="1"/>
  <c r="U1093" i="1"/>
  <c r="U1080" i="1"/>
  <c r="P1080" i="1"/>
  <c r="U1071" i="1"/>
  <c r="P1071" i="1"/>
  <c r="U1063" i="1"/>
  <c r="P1063" i="1"/>
  <c r="U1051" i="1"/>
  <c r="P1051" i="1"/>
  <c r="O1038" i="1"/>
  <c r="P1038" i="1"/>
  <c r="U1038" i="1"/>
  <c r="P1041" i="1"/>
  <c r="U1041" i="1"/>
  <c r="P1276" i="1"/>
  <c r="U1276" i="1"/>
  <c r="U1035" i="1"/>
  <c r="O1035" i="1"/>
  <c r="P1035" i="1"/>
  <c r="U1028" i="1"/>
  <c r="P1028" i="1"/>
  <c r="P1018" i="1"/>
  <c r="U1018" i="1"/>
  <c r="O1018" i="1"/>
  <c r="P1010" i="1"/>
  <c r="U1010" i="1"/>
  <c r="P1007" i="1"/>
  <c r="U1007" i="1"/>
  <c r="P960" i="1"/>
  <c r="U960" i="1"/>
  <c r="O991" i="1"/>
  <c r="O992" i="1" s="1"/>
  <c r="P991" i="1"/>
  <c r="U991" i="1"/>
  <c r="P951" i="1"/>
  <c r="U951" i="1"/>
  <c r="O980" i="1"/>
  <c r="O981" i="1" s="1"/>
  <c r="P980" i="1"/>
  <c r="U980" i="1"/>
  <c r="P973" i="1"/>
  <c r="U973" i="1"/>
  <c r="P968" i="1"/>
  <c r="U968" i="1"/>
  <c r="P944" i="1"/>
  <c r="U944" i="1"/>
  <c r="P942" i="1"/>
  <c r="U942" i="1"/>
  <c r="P926" i="1"/>
  <c r="U926" i="1"/>
  <c r="P930" i="1"/>
  <c r="U930" i="1"/>
  <c r="P913" i="1"/>
  <c r="O913" i="1"/>
  <c r="U913" i="1"/>
  <c r="U905" i="1"/>
  <c r="O905" i="1"/>
  <c r="P905" i="1"/>
  <c r="O897" i="1"/>
  <c r="O898" i="1" s="1"/>
  <c r="P897" i="1"/>
  <c r="U897" i="1"/>
  <c r="U888" i="1"/>
  <c r="O888" i="1"/>
  <c r="O889" i="1" s="1"/>
  <c r="P888" i="1"/>
  <c r="P878" i="1"/>
  <c r="U878" i="1"/>
  <c r="O873" i="1"/>
  <c r="O874" i="1" s="1"/>
  <c r="O875" i="1" s="1"/>
  <c r="P873" i="1"/>
  <c r="U873" i="1"/>
  <c r="P867" i="1"/>
  <c r="U867" i="1"/>
  <c r="U858" i="1"/>
  <c r="P858" i="1"/>
  <c r="O848" i="1"/>
  <c r="U848" i="1"/>
  <c r="P848" i="1"/>
  <c r="O841" i="1"/>
  <c r="P841" i="1"/>
  <c r="U841" i="1"/>
  <c r="P835" i="1"/>
  <c r="U835" i="1"/>
  <c r="U1128" i="1"/>
  <c r="P1128" i="1"/>
  <c r="U809" i="1"/>
  <c r="P809" i="1"/>
  <c r="O1341" i="1"/>
  <c r="P1341" i="1"/>
  <c r="U1341" i="1"/>
  <c r="P1299" i="1"/>
  <c r="U1299" i="1"/>
  <c r="P1232" i="1"/>
  <c r="U1232" i="1"/>
  <c r="P1224" i="1"/>
  <c r="U1224" i="1"/>
  <c r="O1213" i="1"/>
  <c r="P1213" i="1"/>
  <c r="U1213" i="1"/>
  <c r="P1193" i="1"/>
  <c r="U1193" i="1"/>
  <c r="P1150" i="1"/>
  <c r="U1150" i="1"/>
  <c r="P1141" i="1"/>
  <c r="U1141" i="1"/>
  <c r="O828" i="1"/>
  <c r="O829" i="1" s="1"/>
  <c r="P828" i="1"/>
  <c r="U828" i="1"/>
  <c r="P1325" i="1"/>
  <c r="U1325" i="1"/>
  <c r="U1318" i="1"/>
  <c r="O1318" i="1"/>
  <c r="P1318" i="1"/>
  <c r="U1104" i="1"/>
  <c r="P1104" i="1"/>
  <c r="O1202" i="1"/>
  <c r="P1202" i="1"/>
  <c r="U1202" i="1"/>
  <c r="O1165" i="1"/>
  <c r="P1165" i="1"/>
  <c r="U1165" i="1"/>
  <c r="O1157" i="1"/>
  <c r="P1157" i="1"/>
  <c r="U1157" i="1"/>
  <c r="P1356" i="1"/>
  <c r="U1356" i="1"/>
  <c r="O1347" i="1"/>
  <c r="P1347" i="1"/>
  <c r="Q1347" i="1" s="1"/>
  <c r="U1347" i="1"/>
  <c r="P1238" i="1"/>
  <c r="U1238" i="1"/>
  <c r="P1902" i="1"/>
  <c r="U1902" i="1"/>
  <c r="O1902" i="1"/>
  <c r="U1767" i="1"/>
  <c r="O1767" i="1"/>
  <c r="O1768" i="1" s="1"/>
  <c r="P1766" i="1"/>
  <c r="U1766" i="1"/>
  <c r="P1886" i="1"/>
  <c r="U1722" i="1"/>
  <c r="O1723" i="1"/>
  <c r="O1724" i="1" s="1"/>
  <c r="P1722" i="1"/>
  <c r="U1793" i="1"/>
  <c r="O1793" i="1"/>
  <c r="O1794" i="1" s="1"/>
  <c r="P1793" i="1"/>
  <c r="O1857" i="1"/>
  <c r="O1858" i="1" s="1"/>
  <c r="O1859" i="1" s="1"/>
  <c r="P1857" i="1"/>
  <c r="U1857" i="1"/>
  <c r="P1868" i="1"/>
  <c r="U1868" i="1"/>
  <c r="P1788" i="1"/>
  <c r="U1788" i="1"/>
  <c r="O1753" i="1"/>
  <c r="P1753" i="1"/>
  <c r="P1960" i="1"/>
  <c r="U1960" i="1"/>
  <c r="P1813" i="1"/>
  <c r="U1813" i="1"/>
  <c r="P1873" i="1"/>
  <c r="U1873" i="1"/>
  <c r="P1967" i="1"/>
  <c r="U1967" i="1"/>
  <c r="P1763" i="1"/>
  <c r="U1763" i="1"/>
  <c r="O1763" i="1"/>
  <c r="O1764" i="1" s="1"/>
  <c r="O1739" i="1"/>
  <c r="O1740" i="1" s="1"/>
  <c r="P1739" i="1"/>
  <c r="U1739" i="1"/>
  <c r="P1887" i="1"/>
  <c r="U1887" i="1"/>
  <c r="O1828" i="1"/>
  <c r="P1828" i="1"/>
  <c r="U1828" i="1"/>
  <c r="P1831" i="1"/>
  <c r="U1831" i="1"/>
  <c r="O1831" i="1"/>
  <c r="O1772" i="1"/>
  <c r="O1773" i="1" s="1"/>
  <c r="P1772" i="1"/>
  <c r="U1772" i="1"/>
  <c r="P1880" i="1"/>
  <c r="O1880" i="1"/>
  <c r="O1881" i="1" s="1"/>
  <c r="O1882" i="1" s="1"/>
  <c r="U1880" i="1"/>
  <c r="P1908" i="1"/>
  <c r="U1908" i="1"/>
  <c r="P1883" i="1"/>
  <c r="U1883" i="1"/>
  <c r="P1716" i="1"/>
  <c r="U1716" i="1"/>
  <c r="P1825" i="1"/>
  <c r="U1825" i="1"/>
  <c r="O1825" i="1"/>
  <c r="O1826" i="1" s="1"/>
  <c r="O1827" i="1" s="1"/>
  <c r="P1837" i="1"/>
  <c r="U1837" i="1"/>
  <c r="O1837" i="1"/>
  <c r="P1843" i="1"/>
  <c r="U1843" i="1"/>
  <c r="O1843" i="1"/>
  <c r="O1844" i="1" s="1"/>
  <c r="P1950" i="1"/>
  <c r="U1950" i="1"/>
  <c r="O1821" i="1"/>
  <c r="P1821" i="1"/>
  <c r="U1821" i="1"/>
  <c r="P1817" i="1"/>
  <c r="U1817" i="1"/>
  <c r="P1853" i="1"/>
  <c r="U1853" i="1"/>
  <c r="P1938" i="1"/>
  <c r="U1938" i="1"/>
  <c r="U1956" i="1"/>
  <c r="U1829" i="1"/>
  <c r="U1675" i="1"/>
  <c r="U1546" i="1"/>
  <c r="U1500" i="1"/>
  <c r="U1476" i="1"/>
  <c r="O1384" i="1"/>
  <c r="U1379" i="1"/>
  <c r="U1703" i="1"/>
  <c r="U1689" i="1"/>
  <c r="U1652" i="1"/>
  <c r="O1659" i="1"/>
  <c r="U1620" i="1"/>
  <c r="U1631" i="1"/>
  <c r="O1112" i="1"/>
  <c r="P1112" i="1"/>
  <c r="U1112" i="1"/>
  <c r="O1369" i="1"/>
  <c r="P1369" i="1"/>
  <c r="Q1369" i="1" s="1"/>
  <c r="U1369" i="1"/>
  <c r="O1359" i="1"/>
  <c r="O1360" i="1" s="1"/>
  <c r="P1359" i="1"/>
  <c r="U1359" i="1"/>
  <c r="O1221" i="1"/>
  <c r="P1221" i="1"/>
  <c r="U1221" i="1"/>
  <c r="P1260" i="1"/>
  <c r="U1260" i="1"/>
  <c r="O1260" i="1"/>
  <c r="O1261" i="1" s="1"/>
  <c r="O1845" i="1"/>
  <c r="U1753" i="1"/>
  <c r="U1486" i="1"/>
  <c r="U1393" i="1"/>
  <c r="U1561" i="1"/>
  <c r="P1455" i="1"/>
  <c r="P1546" i="1"/>
  <c r="U1470" i="1"/>
  <c r="O1385" i="1"/>
  <c r="O1386" i="1" s="1"/>
  <c r="U1414" i="1"/>
  <c r="P1407" i="1"/>
  <c r="P1113" i="1"/>
  <c r="U1113" i="1"/>
  <c r="P1370" i="1"/>
  <c r="U1370" i="1"/>
  <c r="P1360" i="1"/>
  <c r="U1360" i="1"/>
  <c r="U1222" i="1"/>
  <c r="P1222" i="1"/>
  <c r="P1261" i="1"/>
  <c r="U1261" i="1"/>
  <c r="O1252" i="1"/>
  <c r="O1253" i="1" s="1"/>
  <c r="P1252" i="1"/>
  <c r="U1252" i="1"/>
  <c r="O1244" i="1"/>
  <c r="O1245" i="1" s="1"/>
  <c r="P1244" i="1"/>
  <c r="U1244" i="1"/>
  <c r="P1191" i="1"/>
  <c r="U1191" i="1"/>
  <c r="P1182" i="1"/>
  <c r="U1182" i="1"/>
  <c r="P1313" i="1"/>
  <c r="U1313" i="1"/>
  <c r="P1207" i="1"/>
  <c r="U1207" i="1"/>
  <c r="P1304" i="1"/>
  <c r="U1304" i="1"/>
  <c r="P1337" i="1"/>
  <c r="U1337" i="1"/>
  <c r="U1176" i="1"/>
  <c r="P1176" i="1"/>
  <c r="U1311" i="1"/>
  <c r="P1311" i="1"/>
  <c r="U820" i="1"/>
  <c r="P820" i="1"/>
  <c r="U1088" i="1"/>
  <c r="P1088" i="1"/>
  <c r="P1086" i="1"/>
  <c r="U1086" i="1"/>
  <c r="P1077" i="1"/>
  <c r="U1077" i="1"/>
  <c r="U1073" i="1"/>
  <c r="P1073" i="1"/>
  <c r="P1064" i="1"/>
  <c r="U1064" i="1"/>
  <c r="P1054" i="1"/>
  <c r="U1054" i="1"/>
  <c r="P1045" i="1"/>
  <c r="U1045" i="1"/>
  <c r="P1042" i="1"/>
  <c r="U1042" i="1"/>
  <c r="P1274" i="1"/>
  <c r="U1274" i="1"/>
  <c r="P1034" i="1"/>
  <c r="U1034" i="1"/>
  <c r="P1024" i="1"/>
  <c r="U1024" i="1"/>
  <c r="O1016" i="1"/>
  <c r="P1016" i="1"/>
  <c r="U1016" i="1"/>
  <c r="P1003" i="1"/>
  <c r="U1003" i="1"/>
  <c r="P998" i="1"/>
  <c r="U998" i="1"/>
  <c r="U1954" i="1"/>
  <c r="U1723" i="1"/>
  <c r="O1586" i="1"/>
  <c r="U1569" i="1"/>
  <c r="U1600" i="1"/>
  <c r="U1537" i="1"/>
  <c r="P1485" i="1"/>
  <c r="U1491" i="1"/>
  <c r="U1456" i="1"/>
  <c r="U1378" i="1"/>
  <c r="P1688" i="1"/>
  <c r="O831" i="1"/>
  <c r="P831" i="1"/>
  <c r="U831" i="1"/>
  <c r="U1367" i="1"/>
  <c r="O1367" i="1"/>
  <c r="O1368" i="1" s="1"/>
  <c r="P1367" i="1"/>
  <c r="P1344" i="1"/>
  <c r="U1344" i="1"/>
  <c r="P1267" i="1"/>
  <c r="U1267" i="1"/>
  <c r="U1474" i="1"/>
  <c r="U1479" i="1"/>
  <c r="U1371" i="1"/>
  <c r="U1424" i="1"/>
  <c r="U1399" i="1"/>
  <c r="U1684" i="1"/>
  <c r="U1623" i="1"/>
  <c r="U811" i="1"/>
  <c r="P811" i="1"/>
  <c r="P1366" i="1"/>
  <c r="O1308" i="1"/>
  <c r="O1309" i="1" s="1"/>
  <c r="P1308" i="1"/>
  <c r="U1308" i="1"/>
  <c r="P1265" i="1"/>
  <c r="U1265" i="1"/>
  <c r="U1256" i="1"/>
  <c r="O1256" i="1"/>
  <c r="P1256" i="1"/>
  <c r="O1248" i="1"/>
  <c r="O1249" i="1" s="1"/>
  <c r="P1248" i="1"/>
  <c r="U1248" i="1"/>
  <c r="P1189" i="1"/>
  <c r="U1189" i="1"/>
  <c r="P1179" i="1"/>
  <c r="U1179" i="1"/>
  <c r="O1211" i="1"/>
  <c r="O1212" i="1" s="1"/>
  <c r="P1211" i="1"/>
  <c r="U1211" i="1"/>
  <c r="P1116" i="1"/>
  <c r="U1116" i="1"/>
  <c r="P1137" i="1"/>
  <c r="U1137" i="1"/>
  <c r="P1332" i="1"/>
  <c r="U1332" i="1"/>
  <c r="P1108" i="1"/>
  <c r="Q1108" i="1" s="1"/>
  <c r="U1108" i="1"/>
  <c r="P1290" i="1"/>
  <c r="U1290" i="1"/>
  <c r="P1098" i="1"/>
  <c r="U1098" i="1"/>
  <c r="P1090" i="1"/>
  <c r="U1090" i="1"/>
  <c r="O1082" i="1"/>
  <c r="O1083" i="1" s="1"/>
  <c r="U1082" i="1"/>
  <c r="P1082" i="1"/>
  <c r="U1074" i="1"/>
  <c r="P1074" i="1"/>
  <c r="P1068" i="1"/>
  <c r="U1068" i="1"/>
  <c r="P1059" i="1"/>
  <c r="U1059" i="1"/>
  <c r="P1056" i="1"/>
  <c r="U1056" i="1"/>
  <c r="P1044" i="1"/>
  <c r="U1044" i="1"/>
  <c r="P1275" i="1"/>
  <c r="U1275" i="1"/>
  <c r="U1036" i="1"/>
  <c r="O1036" i="1"/>
  <c r="O1037" i="1" s="1"/>
  <c r="P1036" i="1"/>
  <c r="O1029" i="1"/>
  <c r="O1030" i="1" s="1"/>
  <c r="P1029" i="1"/>
  <c r="U1029" i="1"/>
  <c r="P1020" i="1"/>
  <c r="U1020" i="1"/>
  <c r="P1012" i="1"/>
  <c r="U1012" i="1"/>
  <c r="P1004" i="1"/>
  <c r="U1004" i="1"/>
  <c r="P958" i="1"/>
  <c r="U958" i="1"/>
  <c r="P993" i="1"/>
  <c r="U993" i="1"/>
  <c r="P989" i="1"/>
  <c r="U989" i="1"/>
  <c r="P982" i="1"/>
  <c r="U982" i="1"/>
  <c r="U972" i="1"/>
  <c r="P972" i="1"/>
  <c r="U961" i="1"/>
  <c r="O961" i="1"/>
  <c r="O962" i="1" s="1"/>
  <c r="P961" i="1"/>
  <c r="P945" i="1"/>
  <c r="U945" i="1"/>
  <c r="P946" i="1"/>
  <c r="U946" i="1"/>
  <c r="O916" i="1"/>
  <c r="P916" i="1"/>
  <c r="U916" i="1"/>
  <c r="P925" i="1"/>
  <c r="U925" i="1"/>
  <c r="P918" i="1"/>
  <c r="U918" i="1"/>
  <c r="P906" i="1"/>
  <c r="U906" i="1"/>
  <c r="P902" i="1"/>
  <c r="U902" i="1"/>
  <c r="P893" i="1"/>
  <c r="U893" i="1"/>
  <c r="P877" i="1"/>
  <c r="U877" i="1"/>
  <c r="P875" i="1"/>
  <c r="U875" i="1"/>
  <c r="P871" i="1"/>
  <c r="U871" i="1"/>
  <c r="P859" i="1"/>
  <c r="U859" i="1"/>
  <c r="U854" i="1"/>
  <c r="P854" i="1"/>
  <c r="P842" i="1"/>
  <c r="U842" i="1"/>
  <c r="U838" i="1"/>
  <c r="P838" i="1"/>
  <c r="P1144" i="1"/>
  <c r="U1144" i="1"/>
  <c r="P818" i="1"/>
  <c r="U818" i="1"/>
  <c r="P1130" i="1"/>
  <c r="U1130" i="1"/>
  <c r="P1296" i="1"/>
  <c r="U1296" i="1"/>
  <c r="U1291" i="1"/>
  <c r="O1291" i="1"/>
  <c r="P1291" i="1"/>
  <c r="U1223" i="1"/>
  <c r="P1223" i="1"/>
  <c r="P1216" i="1"/>
  <c r="U1216" i="1"/>
  <c r="O1194" i="1"/>
  <c r="P1194" i="1"/>
  <c r="U1194" i="1"/>
  <c r="P1151" i="1"/>
  <c r="U1151" i="1"/>
  <c r="P1138" i="1"/>
  <c r="U1138" i="1"/>
  <c r="P829" i="1"/>
  <c r="U829" i="1"/>
  <c r="P813" i="1"/>
  <c r="U813" i="1"/>
  <c r="P1321" i="1"/>
  <c r="U1321" i="1"/>
  <c r="P1280" i="1"/>
  <c r="U1280" i="1"/>
  <c r="U1204" i="1"/>
  <c r="O1204" i="1"/>
  <c r="P1204" i="1"/>
  <c r="Q1204" i="1" s="1"/>
  <c r="U1168" i="1"/>
  <c r="P1168" i="1"/>
  <c r="U1159" i="1"/>
  <c r="O1159" i="1"/>
  <c r="O1160" i="1" s="1"/>
  <c r="P1159" i="1"/>
  <c r="U1357" i="1"/>
  <c r="O1357" i="1"/>
  <c r="O1358" i="1" s="1"/>
  <c r="P1357" i="1"/>
  <c r="U1350" i="1"/>
  <c r="P1350" i="1"/>
  <c r="P1240" i="1"/>
  <c r="U1240" i="1"/>
  <c r="P1924" i="1"/>
  <c r="U1924" i="1"/>
  <c r="O1814" i="1"/>
  <c r="O1815" i="1" s="1"/>
  <c r="P1814" i="1"/>
  <c r="P1797" i="1"/>
  <c r="U1797" i="1"/>
  <c r="P1804" i="1"/>
  <c r="U1861" i="1"/>
  <c r="P1861" i="1"/>
  <c r="U1900" i="1"/>
  <c r="P1735" i="1"/>
  <c r="U1735" i="1"/>
  <c r="P1858" i="1"/>
  <c r="U1858" i="1"/>
  <c r="P1823" i="1"/>
  <c r="U1823" i="1"/>
  <c r="P1905" i="1"/>
  <c r="U1905" i="1"/>
  <c r="U1854" i="1"/>
  <c r="O1913" i="1"/>
  <c r="P1913" i="1"/>
  <c r="U1913" i="1"/>
  <c r="P1776" i="1"/>
  <c r="U1776" i="1"/>
  <c r="P1835" i="1"/>
  <c r="U1835" i="1"/>
  <c r="P1792" i="1"/>
  <c r="U1792" i="1"/>
  <c r="P1919" i="1"/>
  <c r="U1919" i="1"/>
  <c r="P1852" i="1"/>
  <c r="U1852" i="1"/>
  <c r="P1842" i="1"/>
  <c r="U1842" i="1"/>
  <c r="U1932" i="1"/>
  <c r="P1932" i="1"/>
  <c r="P1833" i="1"/>
  <c r="U1833" i="1"/>
  <c r="P1892" i="1"/>
  <c r="U1892" i="1"/>
  <c r="P1939" i="1"/>
  <c r="U1939" i="1"/>
  <c r="P1731" i="1"/>
  <c r="P1749" i="1"/>
  <c r="P1765" i="1"/>
  <c r="P1958" i="1"/>
  <c r="P1870" i="1"/>
  <c r="U1872" i="1"/>
  <c r="U1773" i="1"/>
  <c r="U1366" i="1"/>
  <c r="O1602" i="1"/>
  <c r="U1385" i="1"/>
  <c r="U1706" i="1"/>
  <c r="U1701" i="1"/>
  <c r="U1698" i="1"/>
  <c r="U1690" i="1"/>
  <c r="U1655" i="1"/>
  <c r="U1640" i="1"/>
  <c r="U1660" i="1"/>
  <c r="U807" i="1"/>
  <c r="P807" i="1"/>
  <c r="O1361" i="1"/>
  <c r="P1361" i="1"/>
  <c r="U1361" i="1"/>
  <c r="P1268" i="1"/>
  <c r="U1268" i="1"/>
  <c r="O1268" i="1"/>
  <c r="O1269" i="1" s="1"/>
  <c r="P1263" i="1"/>
  <c r="U1263" i="1"/>
  <c r="P1255" i="1"/>
  <c r="U1255" i="1"/>
  <c r="P1247" i="1"/>
  <c r="U1247" i="1"/>
  <c r="P814" i="1"/>
  <c r="U814" i="1"/>
  <c r="P1188" i="1"/>
  <c r="U1188" i="1"/>
  <c r="O1178" i="1"/>
  <c r="O1179" i="1" s="1"/>
  <c r="P1178" i="1"/>
  <c r="U1178" i="1"/>
  <c r="P1210" i="1"/>
  <c r="U1210" i="1"/>
  <c r="P1117" i="1"/>
  <c r="U1117" i="1"/>
  <c r="P1135" i="1"/>
  <c r="U1135" i="1"/>
  <c r="U1331" i="1"/>
  <c r="P1331" i="1"/>
  <c r="O1331" i="1"/>
  <c r="P1106" i="1"/>
  <c r="U1106" i="1"/>
  <c r="P1289" i="1"/>
  <c r="U1289" i="1"/>
  <c r="P1097" i="1"/>
  <c r="U1097" i="1"/>
  <c r="P1092" i="1"/>
  <c r="U1092" i="1"/>
  <c r="O1081" i="1"/>
  <c r="P1081" i="1"/>
  <c r="U1081" i="1"/>
  <c r="P1072" i="1"/>
  <c r="U1072" i="1"/>
  <c r="U1065" i="1"/>
  <c r="P1065" i="1"/>
  <c r="U1055" i="1"/>
  <c r="P1055" i="1"/>
  <c r="O1039" i="1"/>
  <c r="P1039" i="1"/>
  <c r="U1039" i="1"/>
  <c r="P1046" i="1"/>
  <c r="U1046" i="1"/>
  <c r="P1273" i="1"/>
  <c r="U1273" i="1"/>
  <c r="P1037" i="1"/>
  <c r="U1037" i="1"/>
  <c r="P1027" i="1"/>
  <c r="U1027" i="1"/>
  <c r="P1019" i="1"/>
  <c r="U1019" i="1"/>
  <c r="P1009" i="1"/>
  <c r="U1009" i="1"/>
  <c r="P1006" i="1"/>
  <c r="U1006" i="1"/>
  <c r="P956" i="1"/>
  <c r="U956" i="1"/>
  <c r="U992" i="1"/>
  <c r="P992" i="1"/>
  <c r="P950" i="1"/>
  <c r="U950" i="1"/>
  <c r="U981" i="1"/>
  <c r="P981" i="1"/>
  <c r="P974" i="1"/>
  <c r="U974" i="1"/>
  <c r="P966" i="1"/>
  <c r="U966" i="1"/>
  <c r="U943" i="1"/>
  <c r="P943" i="1"/>
  <c r="U939" i="1"/>
  <c r="P939" i="1"/>
  <c r="P915" i="1"/>
  <c r="U915" i="1"/>
  <c r="O915" i="1"/>
  <c r="U920" i="1"/>
  <c r="P920" i="1"/>
  <c r="P914" i="1"/>
  <c r="U914" i="1"/>
  <c r="P908" i="1"/>
  <c r="U908" i="1"/>
  <c r="P898" i="1"/>
  <c r="U898" i="1"/>
  <c r="U894" i="1"/>
  <c r="P894" i="1"/>
  <c r="P884" i="1"/>
  <c r="U884" i="1"/>
  <c r="P874" i="1"/>
  <c r="U874" i="1"/>
  <c r="P866" i="1"/>
  <c r="U866" i="1"/>
  <c r="P857" i="1"/>
  <c r="U857" i="1"/>
  <c r="P849" i="1"/>
  <c r="U849" i="1"/>
  <c r="P843" i="1"/>
  <c r="U843" i="1"/>
  <c r="U836" i="1"/>
  <c r="P836" i="1"/>
  <c r="P1146" i="1"/>
  <c r="U1146" i="1"/>
  <c r="P819" i="1"/>
  <c r="U819" i="1"/>
  <c r="O1129" i="1"/>
  <c r="P1129" i="1"/>
  <c r="U1129" i="1"/>
  <c r="P1297" i="1"/>
  <c r="U1297" i="1"/>
  <c r="P1229" i="1"/>
  <c r="U1229" i="1"/>
  <c r="P1225" i="1"/>
  <c r="U1225" i="1"/>
  <c r="U1214" i="1"/>
  <c r="P1214" i="1"/>
  <c r="U1192" i="1"/>
  <c r="P1192" i="1"/>
  <c r="P1147" i="1"/>
  <c r="U1147" i="1"/>
  <c r="P1140" i="1"/>
  <c r="U1140" i="1"/>
  <c r="U830" i="1"/>
  <c r="P830" i="1"/>
  <c r="U812" i="1"/>
  <c r="O812" i="1"/>
  <c r="P812" i="1"/>
  <c r="P1319" i="1"/>
  <c r="U1319" i="1"/>
  <c r="O1279" i="1"/>
  <c r="O1280" i="1" s="1"/>
  <c r="P1279" i="1"/>
  <c r="U1279" i="1"/>
  <c r="P1203" i="1"/>
  <c r="U1203" i="1"/>
  <c r="P1166" i="1"/>
  <c r="U1166" i="1"/>
  <c r="P1158" i="1"/>
  <c r="U1158" i="1"/>
  <c r="P1355" i="1"/>
  <c r="U1355" i="1"/>
  <c r="P1348" i="1"/>
  <c r="U1348" i="1"/>
  <c r="P1239" i="1"/>
  <c r="U1239" i="1"/>
  <c r="U1750" i="1"/>
  <c r="O1721" i="1"/>
  <c r="O1758" i="1"/>
  <c r="P1758" i="1"/>
  <c r="P1812" i="1"/>
  <c r="Q1812" i="1" s="1"/>
  <c r="U1812" i="1"/>
  <c r="P1787" i="1"/>
  <c r="U1787" i="1"/>
  <c r="P1899" i="1"/>
  <c r="U1899" i="1"/>
  <c r="U1961" i="1"/>
  <c r="U1875" i="1"/>
  <c r="P1941" i="1"/>
  <c r="U1941" i="1"/>
  <c r="P1942" i="1"/>
  <c r="U1942" i="1"/>
  <c r="P1786" i="1"/>
  <c r="U1786" i="1"/>
  <c r="P1926" i="1"/>
  <c r="U1926" i="1"/>
  <c r="P1836" i="1"/>
  <c r="O1836" i="1"/>
  <c r="U1836" i="1"/>
  <c r="P1830" i="1"/>
  <c r="U1830" i="1"/>
  <c r="P1907" i="1"/>
  <c r="U1907" i="1"/>
  <c r="P1914" i="1"/>
  <c r="U1914" i="1"/>
  <c r="O1931" i="1"/>
  <c r="P1931" i="1"/>
  <c r="U1931" i="1"/>
  <c r="U1851" i="1"/>
  <c r="U1912" i="1"/>
  <c r="P1912" i="1"/>
  <c r="U1949" i="1"/>
  <c r="P1949" i="1"/>
  <c r="U1916" i="1"/>
  <c r="P1916" i="1"/>
  <c r="U1934" i="1"/>
  <c r="P1934" i="1"/>
  <c r="U1728" i="1"/>
  <c r="P1728" i="1"/>
  <c r="U1930" i="1"/>
  <c r="P1930" i="1"/>
  <c r="P1893" i="1"/>
  <c r="U1893" i="1"/>
  <c r="U1769" i="1"/>
  <c r="O1731" i="1"/>
  <c r="O1749" i="1"/>
  <c r="O1750" i="1" s="1"/>
  <c r="O1765" i="1"/>
  <c r="O1766" i="1" s="1"/>
  <c r="O1797" i="1"/>
  <c r="O1798" i="1" s="1"/>
  <c r="O1958" i="1"/>
  <c r="P1875" i="1"/>
  <c r="U1940" i="1"/>
  <c r="P1253" i="1"/>
  <c r="U1253" i="1"/>
  <c r="P1245" i="1"/>
  <c r="U1245" i="1"/>
  <c r="U815" i="1"/>
  <c r="P1183" i="1"/>
  <c r="U1183" i="1"/>
  <c r="P1315" i="1"/>
  <c r="U1315" i="1"/>
  <c r="P1209" i="1"/>
  <c r="U1209" i="1"/>
  <c r="U1115" i="1"/>
  <c r="P1115" i="1"/>
  <c r="P1335" i="1"/>
  <c r="U1335" i="1"/>
  <c r="P1175" i="1"/>
  <c r="U1175" i="1"/>
  <c r="P1310" i="1"/>
  <c r="U1310" i="1"/>
  <c r="P822" i="1"/>
  <c r="U822" i="1"/>
  <c r="P1094" i="1"/>
  <c r="U1094" i="1"/>
  <c r="O1087" i="1"/>
  <c r="P1087" i="1"/>
  <c r="U1087" i="1"/>
  <c r="P1079" i="1"/>
  <c r="O1079" i="1"/>
  <c r="U1079" i="1"/>
  <c r="U1070" i="1"/>
  <c r="P1070" i="1"/>
  <c r="U1062" i="1"/>
  <c r="P1062" i="1"/>
  <c r="P1057" i="1"/>
  <c r="U1057" i="1"/>
  <c r="U1047" i="1"/>
  <c r="P1047" i="1"/>
  <c r="U1049" i="1"/>
  <c r="P1049" i="1"/>
  <c r="P1271" i="1"/>
  <c r="U1271" i="1"/>
  <c r="P1033" i="1"/>
  <c r="U1033" i="1"/>
  <c r="O1026" i="1"/>
  <c r="P1026" i="1"/>
  <c r="U1026" i="1"/>
  <c r="P1021" i="1"/>
  <c r="U1021" i="1"/>
  <c r="P1008" i="1"/>
  <c r="U1008" i="1"/>
  <c r="O1000" i="1"/>
  <c r="P1000" i="1"/>
  <c r="U1000" i="1"/>
  <c r="P957" i="1"/>
  <c r="U957" i="1"/>
  <c r="P990" i="1"/>
  <c r="U990" i="1"/>
  <c r="U954" i="1"/>
  <c r="P954" i="1"/>
  <c r="P978" i="1"/>
  <c r="U978" i="1"/>
  <c r="U971" i="1"/>
  <c r="P971" i="1"/>
  <c r="P964" i="1"/>
  <c r="U964" i="1"/>
  <c r="O964" i="1"/>
  <c r="P949" i="1"/>
  <c r="U949" i="1"/>
  <c r="O936" i="1"/>
  <c r="P936" i="1"/>
  <c r="U936" i="1"/>
  <c r="P923" i="1"/>
  <c r="U923" i="1"/>
  <c r="P928" i="1"/>
  <c r="U928" i="1"/>
  <c r="P912" i="1"/>
  <c r="U912" i="1"/>
  <c r="O903" i="1"/>
  <c r="P903" i="1"/>
  <c r="U903" i="1"/>
  <c r="P896" i="1"/>
  <c r="U896" i="1"/>
  <c r="P889" i="1"/>
  <c r="U889" i="1"/>
  <c r="U879" i="1"/>
  <c r="P879" i="1"/>
  <c r="P864" i="1"/>
  <c r="U864" i="1"/>
  <c r="U868" i="1"/>
  <c r="P868" i="1"/>
  <c r="P851" i="1"/>
  <c r="U851" i="1"/>
  <c r="P850" i="1"/>
  <c r="U850" i="1"/>
  <c r="P840" i="1"/>
  <c r="U840" i="1"/>
  <c r="P1111" i="1"/>
  <c r="U1111" i="1"/>
  <c r="O1127" i="1"/>
  <c r="P1127" i="1"/>
  <c r="U1127" i="1"/>
  <c r="O808" i="1"/>
  <c r="P808" i="1"/>
  <c r="U808" i="1"/>
  <c r="U1342" i="1"/>
  <c r="P1342" i="1"/>
  <c r="P1300" i="1"/>
  <c r="U1300" i="1"/>
  <c r="P1230" i="1"/>
  <c r="U1230" i="1"/>
  <c r="P1217" i="1"/>
  <c r="U1217" i="1"/>
  <c r="P1199" i="1"/>
  <c r="U1199" i="1"/>
  <c r="P1156" i="1"/>
  <c r="U1156" i="1"/>
  <c r="P1148" i="1"/>
  <c r="U1148" i="1"/>
  <c r="P1125" i="1"/>
  <c r="U1125" i="1"/>
  <c r="P827" i="1"/>
  <c r="U827" i="1"/>
  <c r="P1326" i="1"/>
  <c r="U1326" i="1"/>
  <c r="P1285" i="1"/>
  <c r="U1285" i="1"/>
  <c r="P1105" i="1"/>
  <c r="U1105" i="1"/>
  <c r="O1200" i="1"/>
  <c r="O1201" i="1" s="1"/>
  <c r="P1200" i="1"/>
  <c r="U1200" i="1"/>
  <c r="O1163" i="1"/>
  <c r="P1163" i="1"/>
  <c r="U1163" i="1"/>
  <c r="O1329" i="1"/>
  <c r="O1330" i="1" s="1"/>
  <c r="P1329" i="1"/>
  <c r="U1329" i="1"/>
  <c r="P1354" i="1"/>
  <c r="U1354" i="1"/>
  <c r="P1346" i="1"/>
  <c r="U1346" i="1"/>
  <c r="P1235" i="1"/>
  <c r="U1235" i="1"/>
  <c r="U1770" i="1"/>
  <c r="U1815" i="1"/>
  <c r="P1867" i="1"/>
  <c r="U1799" i="1"/>
  <c r="P1799" i="1"/>
  <c r="O1803" i="1"/>
  <c r="O1804" i="1" s="1"/>
  <c r="P1803" i="1"/>
  <c r="U1718" i="1"/>
  <c r="P1718" i="1"/>
  <c r="P1800" i="1"/>
  <c r="U1878" i="1"/>
  <c r="P1865" i="1"/>
  <c r="P1925" i="1"/>
  <c r="O1925" i="1"/>
  <c r="O1926" i="1" s="1"/>
  <c r="O1927" i="1" s="1"/>
  <c r="P1953" i="1"/>
  <c r="U1953" i="1"/>
  <c r="P1911" i="1"/>
  <c r="P1791" i="1"/>
  <c r="O1791" i="1"/>
  <c r="U1791" i="1"/>
  <c r="P1824" i="1"/>
  <c r="P1848" i="1"/>
  <c r="P1855" i="1"/>
  <c r="U1944" i="1"/>
  <c r="P1944" i="1"/>
  <c r="U1738" i="1"/>
  <c r="P1738" i="1"/>
  <c r="U1820" i="1"/>
  <c r="P1820" i="1"/>
  <c r="U1890" i="1"/>
  <c r="P1890" i="1"/>
  <c r="P1838" i="1"/>
  <c r="U1838" i="1"/>
  <c r="P1827" i="1"/>
  <c r="U1827" i="1"/>
  <c r="U1729" i="1"/>
  <c r="U1920" i="1"/>
  <c r="P1920" i="1"/>
  <c r="O1921" i="1"/>
  <c r="O1922" i="1" s="1"/>
  <c r="P1921" i="1"/>
  <c r="U1921" i="1"/>
  <c r="P1769" i="1"/>
  <c r="U1713" i="1"/>
  <c r="P1815" i="1"/>
  <c r="O1866" i="1"/>
  <c r="O1867" i="1" s="1"/>
  <c r="O1868" i="1" s="1"/>
  <c r="U1800" i="1"/>
  <c r="P1794" i="1"/>
  <c r="P1876" i="1"/>
  <c r="P815" i="1"/>
  <c r="O955" i="1"/>
  <c r="P955" i="1"/>
  <c r="U955" i="1"/>
  <c r="U986" i="1"/>
  <c r="P986" i="1"/>
  <c r="P953" i="1"/>
  <c r="U953" i="1"/>
  <c r="U976" i="1"/>
  <c r="P976" i="1"/>
  <c r="O969" i="1"/>
  <c r="P969" i="1"/>
  <c r="U969" i="1"/>
  <c r="P967" i="1"/>
  <c r="U967" i="1"/>
  <c r="P941" i="1"/>
  <c r="U941" i="1"/>
  <c r="U934" i="1"/>
  <c r="P934" i="1"/>
  <c r="P924" i="1"/>
  <c r="U924" i="1"/>
  <c r="U929" i="1"/>
  <c r="P929" i="1"/>
  <c r="O911" i="1"/>
  <c r="P911" i="1"/>
  <c r="U911" i="1"/>
  <c r="P904" i="1"/>
  <c r="U904" i="1"/>
  <c r="P895" i="1"/>
  <c r="U895" i="1"/>
  <c r="P887" i="1"/>
  <c r="U887" i="1"/>
  <c r="P881" i="1"/>
  <c r="U881" i="1"/>
  <c r="P863" i="1"/>
  <c r="U863" i="1"/>
  <c r="U865" i="1"/>
  <c r="P865" i="1"/>
  <c r="P852" i="1"/>
  <c r="U852" i="1"/>
  <c r="P845" i="1"/>
  <c r="U845" i="1"/>
  <c r="U837" i="1"/>
  <c r="P837" i="1"/>
  <c r="O1110" i="1"/>
  <c r="P1110" i="1"/>
  <c r="U1110" i="1"/>
  <c r="P1121" i="1"/>
  <c r="U1121" i="1"/>
  <c r="P1134" i="1"/>
  <c r="U1134" i="1"/>
  <c r="P1339" i="1"/>
  <c r="U1339" i="1"/>
  <c r="O1295" i="1"/>
  <c r="P1295" i="1"/>
  <c r="U1295" i="1"/>
  <c r="P1231" i="1"/>
  <c r="U1231" i="1"/>
  <c r="P1220" i="1"/>
  <c r="U1220" i="1"/>
  <c r="P1198" i="1"/>
  <c r="U1198" i="1"/>
  <c r="U1155" i="1"/>
  <c r="O1155" i="1"/>
  <c r="P1155" i="1"/>
  <c r="P1149" i="1"/>
  <c r="U1149" i="1"/>
  <c r="P1126" i="1"/>
  <c r="U1126" i="1"/>
  <c r="O825" i="1"/>
  <c r="O826" i="1" s="1"/>
  <c r="P825" i="1"/>
  <c r="U825" i="1"/>
  <c r="O1324" i="1"/>
  <c r="O1325" i="1" s="1"/>
  <c r="O1326" i="1" s="1"/>
  <c r="P1324" i="1"/>
  <c r="U1324" i="1"/>
  <c r="P1284" i="1"/>
  <c r="U1284" i="1"/>
  <c r="O1284" i="1"/>
  <c r="O1285" i="1" s="1"/>
  <c r="P1102" i="1"/>
  <c r="U1102" i="1"/>
  <c r="P1201" i="1"/>
  <c r="U1201" i="1"/>
  <c r="P1164" i="1"/>
  <c r="U1164" i="1"/>
  <c r="P1330" i="1"/>
  <c r="U1330" i="1"/>
  <c r="O1353" i="1"/>
  <c r="O1354" i="1" s="1"/>
  <c r="P1353" i="1"/>
  <c r="U1353" i="1"/>
  <c r="O1345" i="1"/>
  <c r="P1345" i="1"/>
  <c r="U1345" i="1"/>
  <c r="P1236" i="1"/>
  <c r="U1236" i="1"/>
  <c r="U1903" i="1"/>
  <c r="O1862" i="1"/>
  <c r="O1863" i="1" s="1"/>
  <c r="P1862" i="1"/>
  <c r="O1860" i="1"/>
  <c r="P1860" i="1"/>
  <c r="U1869" i="1"/>
  <c r="P1869" i="1"/>
  <c r="O1956" i="1"/>
  <c r="O1957" i="1" s="1"/>
  <c r="P1956" i="1"/>
  <c r="O1733" i="1"/>
  <c r="P1733" i="1"/>
  <c r="P1755" i="1"/>
  <c r="U1755" i="1"/>
  <c r="P1796" i="1"/>
  <c r="U1796" i="1"/>
  <c r="P1966" i="1"/>
  <c r="U1966" i="1"/>
  <c r="P1879" i="1"/>
  <c r="U1879" i="1"/>
  <c r="P1764" i="1"/>
  <c r="O1904" i="1"/>
  <c r="O1905" i="1" s="1"/>
  <c r="P1904" i="1"/>
  <c r="U1947" i="1"/>
  <c r="P1947" i="1"/>
  <c r="P1964" i="1"/>
  <c r="U1965" i="1"/>
  <c r="P1965" i="1"/>
  <c r="P1906" i="1"/>
  <c r="U1906" i="1"/>
  <c r="P1818" i="1"/>
  <c r="O1818" i="1"/>
  <c r="O1819" i="1" s="1"/>
  <c r="O1820" i="1" s="1"/>
  <c r="U1818" i="1"/>
  <c r="P1775" i="1"/>
  <c r="U1775" i="1"/>
  <c r="P1915" i="1"/>
  <c r="U1915" i="1"/>
  <c r="P1740" i="1"/>
  <c r="U1740" i="1"/>
  <c r="P1948" i="1"/>
  <c r="U1948" i="1"/>
  <c r="P1889" i="1"/>
  <c r="U1889" i="1"/>
  <c r="O1929" i="1"/>
  <c r="P1929" i="1"/>
  <c r="U1929" i="1"/>
  <c r="U1808" i="1"/>
  <c r="P1808" i="1"/>
  <c r="U1936" i="1"/>
  <c r="P1936" i="1"/>
  <c r="P1724" i="1"/>
  <c r="U1724" i="1"/>
  <c r="P1781" i="1"/>
  <c r="U1781" i="1"/>
  <c r="U1895" i="1"/>
  <c r="P1895" i="1"/>
  <c r="U1748" i="1"/>
  <c r="U1768" i="1"/>
  <c r="O1713" i="1"/>
  <c r="U1814" i="1"/>
  <c r="U1714" i="1"/>
  <c r="P1756" i="1"/>
  <c r="U1959" i="1"/>
  <c r="P1961" i="1"/>
  <c r="P1854" i="1"/>
  <c r="P1834" i="1"/>
  <c r="U1741" i="1"/>
  <c r="P1259" i="1"/>
  <c r="U1259" i="1"/>
  <c r="U1251" i="1"/>
  <c r="P1251" i="1"/>
  <c r="P1307" i="1"/>
  <c r="U1307" i="1"/>
  <c r="O1190" i="1"/>
  <c r="O1191" i="1" s="1"/>
  <c r="P1190" i="1"/>
  <c r="U1190" i="1"/>
  <c r="U1184" i="1"/>
  <c r="P1184" i="1"/>
  <c r="P1314" i="1"/>
  <c r="U1314" i="1"/>
  <c r="U1206" i="1"/>
  <c r="O1206" i="1"/>
  <c r="O1207" i="1" s="1"/>
  <c r="P1206" i="1"/>
  <c r="P1303" i="1"/>
  <c r="U1303" i="1"/>
  <c r="P1336" i="1"/>
  <c r="U1336" i="1"/>
  <c r="P1173" i="1"/>
  <c r="U1173" i="1"/>
  <c r="P1312" i="1"/>
  <c r="U1312" i="1"/>
  <c r="U821" i="1"/>
  <c r="P821" i="1"/>
  <c r="P1095" i="1"/>
  <c r="U1095" i="1"/>
  <c r="P1085" i="1"/>
  <c r="U1085" i="1"/>
  <c r="P1075" i="1"/>
  <c r="U1075" i="1"/>
  <c r="P1069" i="1"/>
  <c r="U1069" i="1"/>
  <c r="U1060" i="1"/>
  <c r="P1060" i="1"/>
  <c r="U1052" i="1"/>
  <c r="P1052" i="1"/>
  <c r="P1048" i="1"/>
  <c r="U1048" i="1"/>
  <c r="P1277" i="1"/>
  <c r="U1277" i="1"/>
  <c r="P1272" i="1"/>
  <c r="U1272" i="1"/>
  <c r="U1015" i="1"/>
  <c r="O1015" i="1"/>
  <c r="P1015" i="1"/>
  <c r="P1023" i="1"/>
  <c r="U1023" i="1"/>
  <c r="U1017" i="1"/>
  <c r="P1017" i="1"/>
  <c r="P1002" i="1"/>
  <c r="U1002" i="1"/>
  <c r="P999" i="1"/>
  <c r="U999" i="1"/>
  <c r="P959" i="1"/>
  <c r="U959" i="1"/>
  <c r="P985" i="1"/>
  <c r="U985" i="1"/>
  <c r="P952" i="1"/>
  <c r="U952" i="1"/>
  <c r="P975" i="1"/>
  <c r="U975" i="1"/>
  <c r="P970" i="1"/>
  <c r="U970" i="1"/>
  <c r="P965" i="1"/>
  <c r="U965" i="1"/>
  <c r="U940" i="1"/>
  <c r="P940" i="1"/>
  <c r="P935" i="1"/>
  <c r="U935" i="1"/>
  <c r="U917" i="1"/>
  <c r="P917" i="1"/>
  <c r="P919" i="1"/>
  <c r="U919" i="1"/>
  <c r="U910" i="1"/>
  <c r="P910" i="1"/>
  <c r="P900" i="1"/>
  <c r="U900" i="1"/>
  <c r="U892" i="1"/>
  <c r="P892" i="1"/>
  <c r="U886" i="1"/>
  <c r="O886" i="1"/>
  <c r="O887" i="1" s="1"/>
  <c r="P886" i="1"/>
  <c r="P883" i="1"/>
  <c r="U883" i="1"/>
  <c r="O862" i="1"/>
  <c r="O863" i="1" s="1"/>
  <c r="O864" i="1" s="1"/>
  <c r="P862" i="1"/>
  <c r="Q862" i="1" s="1"/>
  <c r="U862" i="1"/>
  <c r="P869" i="1"/>
  <c r="U869" i="1"/>
  <c r="P855" i="1"/>
  <c r="U855" i="1"/>
  <c r="P847" i="1"/>
  <c r="U847" i="1"/>
  <c r="U833" i="1"/>
  <c r="P833" i="1"/>
  <c r="P1364" i="1"/>
  <c r="U1364" i="1"/>
  <c r="P1120" i="1"/>
  <c r="U1120" i="1"/>
  <c r="P1131" i="1"/>
  <c r="U1131" i="1"/>
  <c r="P1340" i="1"/>
  <c r="U1340" i="1"/>
  <c r="P1293" i="1"/>
  <c r="U1293" i="1"/>
  <c r="P1226" i="1"/>
  <c r="U1226" i="1"/>
  <c r="P1219" i="1"/>
  <c r="U1219" i="1"/>
  <c r="P1197" i="1"/>
  <c r="U1197" i="1"/>
  <c r="P1154" i="1"/>
  <c r="U1154" i="1"/>
  <c r="P1143" i="1"/>
  <c r="U1143" i="1"/>
  <c r="O1124" i="1"/>
  <c r="P1124" i="1"/>
  <c r="U1124" i="1"/>
  <c r="P826" i="1"/>
  <c r="U826" i="1"/>
  <c r="P1323" i="1"/>
  <c r="U1323" i="1"/>
  <c r="P1283" i="1"/>
  <c r="U1283" i="1"/>
  <c r="P1103" i="1"/>
  <c r="U1103" i="1"/>
  <c r="P1169" i="1"/>
  <c r="U1169" i="1"/>
  <c r="P1162" i="1"/>
  <c r="U1162" i="1"/>
  <c r="P1328" i="1"/>
  <c r="U1328" i="1"/>
  <c r="P1351" i="1"/>
  <c r="U1351" i="1"/>
  <c r="P1241" i="1"/>
  <c r="U1241" i="1"/>
  <c r="P1237" i="1"/>
  <c r="U1237" i="1"/>
  <c r="O1810" i="1"/>
  <c r="O1811" i="1" s="1"/>
  <c r="P1810" i="1"/>
  <c r="U1810" i="1"/>
  <c r="U1945" i="1"/>
  <c r="O1945" i="1"/>
  <c r="O1946" i="1" s="1"/>
  <c r="P1945" i="1"/>
  <c r="U1897" i="1"/>
  <c r="P1957" i="1"/>
  <c r="U1946" i="1"/>
  <c r="U1962" i="1"/>
  <c r="P1785" i="1"/>
  <c r="Q1785" i="1" s="1"/>
  <c r="O1785" i="1"/>
  <c r="O1786" i="1" s="1"/>
  <c r="P1951" i="1"/>
  <c r="U1951" i="1"/>
  <c r="O1951" i="1"/>
  <c r="P1952" i="1"/>
  <c r="P1910" i="1"/>
  <c r="U1910" i="1"/>
  <c r="O1910" i="1"/>
  <c r="O1911" i="1" s="1"/>
  <c r="P1847" i="1"/>
  <c r="U1736" i="1"/>
  <c r="U1884" i="1"/>
  <c r="P1884" i="1"/>
  <c r="U1856" i="1"/>
  <c r="P1856" i="1"/>
  <c r="U1933" i="1"/>
  <c r="O1933" i="1"/>
  <c r="P1933" i="1"/>
  <c r="U1807" i="1"/>
  <c r="O1807" i="1"/>
  <c r="O1808" i="1" s="1"/>
  <c r="P1807" i="1"/>
  <c r="U1840" i="1"/>
  <c r="P1840" i="1"/>
  <c r="P1746" i="1"/>
  <c r="U1746" i="1"/>
  <c r="P1832" i="1"/>
  <c r="O1832" i="1"/>
  <c r="O1833" i="1" s="1"/>
  <c r="U1832" i="1"/>
  <c r="U1743" i="1"/>
  <c r="P1743" i="1"/>
  <c r="P1782" i="1"/>
  <c r="U1782" i="1"/>
  <c r="U1894" i="1"/>
  <c r="P1894" i="1"/>
  <c r="U1885" i="1"/>
  <c r="P1725" i="1"/>
  <c r="P1778" i="1"/>
  <c r="P1748" i="1"/>
  <c r="P1768" i="1"/>
  <c r="U1732" i="1"/>
  <c r="U1721" i="1"/>
  <c r="P1714" i="1"/>
  <c r="O1756" i="1"/>
  <c r="O1757" i="1" s="1"/>
  <c r="P1759" i="1"/>
  <c r="O1799" i="1"/>
  <c r="O1787" i="1"/>
  <c r="O1788" i="1" s="1"/>
  <c r="U1804" i="1"/>
  <c r="U1733" i="1"/>
  <c r="P1959" i="1"/>
  <c r="U1760" i="1"/>
  <c r="U1859" i="1"/>
  <c r="U1865" i="1"/>
  <c r="O1854" i="1"/>
  <c r="O1834" i="1"/>
  <c r="O1835" i="1" s="1"/>
  <c r="O1741" i="1"/>
  <c r="R1741" i="1" s="1"/>
  <c r="P1729" i="1"/>
  <c r="O1108" i="1"/>
  <c r="O1109" i="1" s="1"/>
  <c r="P1790" i="1"/>
  <c r="U1790" i="1"/>
  <c r="U1898" i="1"/>
  <c r="U1754" i="1"/>
  <c r="P1734" i="1"/>
  <c r="U1734" i="1"/>
  <c r="P1798" i="1"/>
  <c r="U1798" i="1"/>
  <c r="P1901" i="1"/>
  <c r="U1901" i="1"/>
  <c r="O1761" i="1"/>
  <c r="O1762" i="1" s="1"/>
  <c r="P1761" i="1"/>
  <c r="U1963" i="1"/>
  <c r="P1846" i="1"/>
  <c r="U1846" i="1"/>
  <c r="O1846" i="1"/>
  <c r="O1847" i="1" s="1"/>
  <c r="O1715" i="1"/>
  <c r="O1716" i="1" s="1"/>
  <c r="P1715" i="1"/>
  <c r="U1715" i="1"/>
  <c r="P1918" i="1"/>
  <c r="U1918" i="1"/>
  <c r="P1849" i="1"/>
  <c r="O1849" i="1"/>
  <c r="O1850" i="1" s="1"/>
  <c r="U1849" i="1"/>
  <c r="P1850" i="1"/>
  <c r="U1850" i="1"/>
  <c r="P1909" i="1"/>
  <c r="P1888" i="1"/>
  <c r="U1888" i="1"/>
  <c r="P1819" i="1"/>
  <c r="U1819" i="1"/>
  <c r="P1841" i="1"/>
  <c r="U1841" i="1"/>
  <c r="O1841" i="1"/>
  <c r="O1842" i="1" s="1"/>
  <c r="P1742" i="1"/>
  <c r="U1742" i="1"/>
  <c r="U1935" i="1"/>
  <c r="P1935" i="1"/>
  <c r="U1727" i="1"/>
  <c r="O1727" i="1"/>
  <c r="O1728" i="1" s="1"/>
  <c r="P1727" i="1"/>
  <c r="P1730" i="1"/>
  <c r="U1730" i="1"/>
  <c r="U1891" i="1"/>
  <c r="P1923" i="1"/>
  <c r="U1923" i="1"/>
  <c r="P1885" i="1"/>
  <c r="O1725" i="1"/>
  <c r="O1726" i="1" s="1"/>
  <c r="O1778" i="1"/>
  <c r="U1779" i="1"/>
  <c r="P1732" i="1"/>
  <c r="P1721" i="1"/>
  <c r="U1758" i="1"/>
  <c r="U1860" i="1"/>
  <c r="U1757" i="1"/>
  <c r="P1898" i="1"/>
  <c r="U1957" i="1"/>
  <c r="P1760" i="1"/>
  <c r="U1864" i="1"/>
  <c r="U1764" i="1"/>
  <c r="O1942" i="1"/>
  <c r="O1943" i="1" s="1"/>
  <c r="P1777" i="1"/>
  <c r="U1917" i="1"/>
  <c r="U1881" i="1"/>
  <c r="U1855" i="1"/>
  <c r="P1891" i="1"/>
  <c r="U1030" i="1"/>
  <c r="O810" i="1"/>
  <c r="O811" i="1" s="1"/>
  <c r="P810" i="1"/>
  <c r="U810" i="1"/>
  <c r="O1365" i="1"/>
  <c r="P1365" i="1"/>
  <c r="U1365" i="1"/>
  <c r="U1309" i="1"/>
  <c r="P1309" i="1"/>
  <c r="O1264" i="1"/>
  <c r="P1264" i="1"/>
  <c r="U1264" i="1"/>
  <c r="P1257" i="1"/>
  <c r="U1257" i="1"/>
  <c r="P1249" i="1"/>
  <c r="U1249" i="1"/>
  <c r="O1305" i="1"/>
  <c r="P1305" i="1"/>
  <c r="U1305" i="1"/>
  <c r="P1186" i="1"/>
  <c r="U1186" i="1"/>
  <c r="P1180" i="1"/>
  <c r="U1180" i="1"/>
  <c r="U1212" i="1"/>
  <c r="P1212" i="1"/>
  <c r="O1171" i="1"/>
  <c r="O1172" i="1" s="1"/>
  <c r="P1171" i="1"/>
  <c r="U1171" i="1"/>
  <c r="U1301" i="1"/>
  <c r="O1301" i="1"/>
  <c r="P1301" i="1"/>
  <c r="P1333" i="1"/>
  <c r="U1333" i="1"/>
  <c r="P1109" i="1"/>
  <c r="U1109" i="1"/>
  <c r="P1286" i="1"/>
  <c r="U1286" i="1"/>
  <c r="P1099" i="1"/>
  <c r="Q1099" i="1" s="1"/>
  <c r="O1099" i="1"/>
  <c r="U1099" i="1"/>
  <c r="P1089" i="1"/>
  <c r="U1089" i="1"/>
  <c r="P1083" i="1"/>
  <c r="U1083" i="1"/>
  <c r="P1076" i="1"/>
  <c r="U1076" i="1"/>
  <c r="P1067" i="1"/>
  <c r="U1067" i="1"/>
  <c r="P1058" i="1"/>
  <c r="U1058" i="1"/>
  <c r="P1050" i="1"/>
  <c r="U1050" i="1"/>
  <c r="U1043" i="1"/>
  <c r="P1043" i="1"/>
  <c r="P1278" i="1"/>
  <c r="U1278" i="1"/>
  <c r="O1031" i="1"/>
  <c r="P1031" i="1"/>
  <c r="U1031" i="1"/>
  <c r="P1025" i="1"/>
  <c r="U1025" i="1"/>
  <c r="P1011" i="1"/>
  <c r="U1011" i="1"/>
  <c r="P1001" i="1"/>
  <c r="U1001" i="1"/>
  <c r="U996" i="1"/>
  <c r="O996" i="1"/>
  <c r="O997" i="1" s="1"/>
  <c r="P996" i="1"/>
  <c r="P994" i="1"/>
  <c r="U994" i="1"/>
  <c r="P987" i="1"/>
  <c r="U987" i="1"/>
  <c r="P983" i="1"/>
  <c r="U983" i="1"/>
  <c r="P977" i="1"/>
  <c r="U977" i="1"/>
  <c r="P962" i="1"/>
  <c r="U962" i="1"/>
  <c r="P947" i="1"/>
  <c r="U947" i="1"/>
  <c r="P948" i="1"/>
  <c r="U948" i="1"/>
  <c r="P932" i="1"/>
  <c r="U932" i="1"/>
  <c r="O932" i="1"/>
  <c r="P922" i="1"/>
  <c r="U922" i="1"/>
  <c r="P927" i="1"/>
  <c r="U927" i="1"/>
  <c r="P907" i="1"/>
  <c r="U907" i="1"/>
  <c r="O899" i="1"/>
  <c r="O900" i="1" s="1"/>
  <c r="O901" i="1" s="1"/>
  <c r="P899" i="1"/>
  <c r="U899" i="1"/>
  <c r="P890" i="1"/>
  <c r="U890" i="1"/>
  <c r="U882" i="1"/>
  <c r="P882" i="1"/>
  <c r="P876" i="1"/>
  <c r="U876" i="1"/>
  <c r="P870" i="1"/>
  <c r="U870" i="1"/>
  <c r="U861" i="1"/>
  <c r="P861" i="1"/>
  <c r="U853" i="1"/>
  <c r="P853" i="1"/>
  <c r="P846" i="1"/>
  <c r="U846" i="1"/>
  <c r="P839" i="1"/>
  <c r="U839" i="1"/>
  <c r="U1145" i="1"/>
  <c r="P1145" i="1"/>
  <c r="P1119" i="1"/>
  <c r="U1119" i="1"/>
  <c r="P1133" i="1"/>
  <c r="U1133" i="1"/>
  <c r="P1298" i="1"/>
  <c r="U1298" i="1"/>
  <c r="P1292" i="1"/>
  <c r="U1292" i="1"/>
  <c r="P1227" i="1"/>
  <c r="U1227" i="1"/>
  <c r="O1215" i="1"/>
  <c r="P1215" i="1"/>
  <c r="U1215" i="1"/>
  <c r="P1195" i="1"/>
  <c r="U1195" i="1"/>
  <c r="U1153" i="1"/>
  <c r="P1153" i="1"/>
  <c r="P1139" i="1"/>
  <c r="U1139" i="1"/>
  <c r="P1123" i="1"/>
  <c r="U1123" i="1"/>
  <c r="P824" i="1"/>
  <c r="U824" i="1"/>
  <c r="P1320" i="1"/>
  <c r="U1320" i="1"/>
  <c r="O1281" i="1"/>
  <c r="O1282" i="1" s="1"/>
  <c r="P1281" i="1"/>
  <c r="U1281" i="1"/>
  <c r="P1205" i="1"/>
  <c r="U1205" i="1"/>
  <c r="O1167" i="1"/>
  <c r="O1168" i="1" s="1"/>
  <c r="P1167" i="1"/>
  <c r="U1167" i="1"/>
  <c r="P1160" i="1"/>
  <c r="U1160" i="1"/>
  <c r="P1358" i="1"/>
  <c r="U1358" i="1"/>
  <c r="O1349" i="1"/>
  <c r="O1350" i="1" s="1"/>
  <c r="P1349" i="1"/>
  <c r="U1349" i="1"/>
  <c r="P1242" i="1"/>
  <c r="U1242" i="1"/>
  <c r="O1233" i="1"/>
  <c r="O1234" i="1" s="1"/>
  <c r="P1233" i="1"/>
  <c r="U1233" i="1"/>
  <c r="P1866" i="1"/>
  <c r="U1866" i="1"/>
  <c r="O1795" i="1"/>
  <c r="U1795" i="1"/>
  <c r="U1801" i="1"/>
  <c r="O1801" i="1"/>
  <c r="P1896" i="1"/>
  <c r="U1896" i="1"/>
  <c r="U1802" i="1"/>
  <c r="O1877" i="1"/>
  <c r="P1877" i="1"/>
  <c r="U1877" i="1"/>
  <c r="O1871" i="1"/>
  <c r="U1871" i="1"/>
  <c r="U1874" i="1"/>
  <c r="U1822" i="1"/>
  <c r="O1822" i="1"/>
  <c r="O1823" i="1" s="1"/>
  <c r="P1822" i="1"/>
  <c r="P1771" i="1"/>
  <c r="U1771" i="1"/>
  <c r="O1771" i="1"/>
  <c r="P1762" i="1"/>
  <c r="U1762" i="1"/>
  <c r="P1927" i="1"/>
  <c r="U1927" i="1"/>
  <c r="P1744" i="1"/>
  <c r="U1744" i="1"/>
  <c r="U1928" i="1"/>
  <c r="P1928" i="1"/>
  <c r="U1774" i="1"/>
  <c r="P1774" i="1"/>
  <c r="U1882" i="1"/>
  <c r="P1882" i="1"/>
  <c r="U1737" i="1"/>
  <c r="P1737" i="1"/>
  <c r="U1839" i="1"/>
  <c r="O1839" i="1"/>
  <c r="P1839" i="1"/>
  <c r="U1745" i="1"/>
  <c r="P1745" i="1"/>
  <c r="U1826" i="1"/>
  <c r="P1826" i="1"/>
  <c r="U1780" i="1"/>
  <c r="O1780" i="1"/>
  <c r="P1844" i="1"/>
  <c r="U1844" i="1"/>
  <c r="P1816" i="1"/>
  <c r="O1816" i="1"/>
  <c r="U1816" i="1"/>
  <c r="P1809" i="1"/>
  <c r="U1809" i="1"/>
  <c r="U1937" i="1"/>
  <c r="P1937" i="1"/>
  <c r="O1937" i="1"/>
  <c r="P1922" i="1"/>
  <c r="U1922" i="1"/>
  <c r="U1784" i="1"/>
  <c r="P1770" i="1"/>
  <c r="U1803" i="1"/>
  <c r="P1802" i="1"/>
  <c r="P1900" i="1"/>
  <c r="U1761" i="1"/>
  <c r="U1785" i="1"/>
  <c r="O1777" i="1"/>
  <c r="U1911" i="1"/>
  <c r="O814" i="1"/>
  <c r="O815" i="1" s="1"/>
  <c r="O1917" i="1"/>
  <c r="O1918" i="1" s="1"/>
  <c r="O1135" i="1"/>
  <c r="O1136" i="1" s="1"/>
  <c r="O1106" i="1"/>
  <c r="O1107" i="1" s="1"/>
  <c r="O1173" i="1"/>
  <c r="O950" i="1"/>
  <c r="O1070" i="1"/>
  <c r="O1075" i="1"/>
  <c r="O1076" i="1" s="1"/>
  <c r="O857" i="1"/>
  <c r="O858" i="1" s="1"/>
  <c r="O820" i="1"/>
  <c r="O821" i="1" s="1"/>
  <c r="O985" i="1"/>
  <c r="O998" i="1"/>
  <c r="O999" i="1" s="1"/>
  <c r="O1058" i="1"/>
  <c r="O1059" i="1" s="1"/>
  <c r="O1050" i="1"/>
  <c r="O1033" i="1"/>
  <c r="O1034" i="1" s="1"/>
  <c r="O1011" i="1"/>
  <c r="O1012" i="1" s="1"/>
  <c r="O1229" i="1"/>
  <c r="O1293" i="1"/>
  <c r="O1294" i="1" s="1"/>
  <c r="O1138" i="1"/>
  <c r="O1226" i="1"/>
  <c r="O1227" i="1" s="1"/>
  <c r="O1192" i="1"/>
  <c r="O1193" i="1" s="1"/>
  <c r="O1147" i="1"/>
  <c r="O1148" i="1" s="1"/>
  <c r="O1122" i="1"/>
  <c r="O1123" i="1" s="1"/>
  <c r="O1104" i="1"/>
  <c r="O1105" i="1" s="1"/>
  <c r="O1217" i="1"/>
  <c r="O1218" i="1" s="1"/>
  <c r="O823" i="1"/>
  <c r="O824" i="1" s="1"/>
  <c r="O1408" i="1"/>
  <c r="O1409" i="1" s="1"/>
  <c r="R1409" i="1" s="1"/>
  <c r="P1564" i="1"/>
  <c r="P1483" i="1"/>
  <c r="U1457" i="1"/>
  <c r="P1572" i="1"/>
  <c r="U1548" i="1"/>
  <c r="U1527" i="1"/>
  <c r="P1470" i="1"/>
  <c r="U1380" i="1"/>
  <c r="U1415" i="1"/>
  <c r="U1700" i="1"/>
  <c r="O1689" i="1"/>
  <c r="O1690" i="1" s="1"/>
  <c r="O1691" i="1" s="1"/>
  <c r="P1666" i="1"/>
  <c r="U1637" i="1"/>
  <c r="U1594" i="1"/>
  <c r="U1597" i="1"/>
  <c r="U1567" i="1"/>
  <c r="P1565" i="1"/>
  <c r="U1492" i="1"/>
  <c r="U1504" i="1"/>
  <c r="U1449" i="1"/>
  <c r="U1650" i="1"/>
  <c r="U1609" i="1"/>
  <c r="U1661" i="1"/>
  <c r="P1594" i="1"/>
  <c r="U1596" i="1"/>
  <c r="U1549" i="1"/>
  <c r="P1504" i="1"/>
  <c r="U1428" i="1"/>
  <c r="U1602" i="1"/>
  <c r="U1384" i="1"/>
  <c r="P1380" i="1"/>
  <c r="U1408" i="1"/>
  <c r="P1700" i="1"/>
  <c r="U1688" i="1"/>
  <c r="P1650" i="1"/>
  <c r="U1670" i="1"/>
  <c r="U1534" i="1"/>
  <c r="U1575" i="1"/>
  <c r="U1465" i="1"/>
  <c r="U1443" i="1"/>
  <c r="U1709" i="1"/>
  <c r="U1696" i="1"/>
  <c r="U1654" i="1"/>
  <c r="U1671" i="1"/>
  <c r="P1659" i="1"/>
  <c r="U1613" i="1"/>
  <c r="U1587" i="1"/>
  <c r="U1490" i="1"/>
  <c r="U1439" i="1"/>
  <c r="U1545" i="1"/>
  <c r="U1506" i="1"/>
  <c r="U1432" i="1"/>
  <c r="U1383" i="1"/>
  <c r="U1372" i="1"/>
  <c r="P1418" i="1"/>
  <c r="P1413" i="1"/>
  <c r="U1679" i="1"/>
  <c r="U1586" i="1"/>
  <c r="U1558" i="1"/>
  <c r="U1533" i="1"/>
  <c r="U1517" i="1"/>
  <c r="U1487" i="1"/>
  <c r="U1461" i="1"/>
  <c r="U1574" i="1"/>
  <c r="U1583" i="1"/>
  <c r="U1547" i="1"/>
  <c r="U1521" i="1"/>
  <c r="U1467" i="1"/>
  <c r="U1451" i="1"/>
  <c r="U1392" i="1"/>
  <c r="U1386" i="1"/>
  <c r="P1383" i="1"/>
  <c r="U1421" i="1"/>
  <c r="U1409" i="1"/>
  <c r="U1610" i="1"/>
  <c r="U1664" i="1"/>
  <c r="U1634" i="1"/>
  <c r="U1625" i="1"/>
  <c r="U1599" i="1"/>
  <c r="P1583" i="1"/>
  <c r="U1507" i="1"/>
  <c r="P1421" i="1"/>
  <c r="U1705" i="1"/>
  <c r="U1673" i="1"/>
  <c r="U1447" i="1"/>
  <c r="U1401" i="1"/>
  <c r="U1694" i="1"/>
  <c r="U1641" i="1"/>
  <c r="U1601" i="1"/>
  <c r="O1387" i="1"/>
  <c r="O1388" i="1" s="1"/>
  <c r="O1375" i="1"/>
  <c r="U1711" i="1"/>
  <c r="U1653" i="1"/>
  <c r="U1628" i="1"/>
  <c r="P1562" i="1"/>
  <c r="U1562" i="1"/>
  <c r="P1605" i="1"/>
  <c r="U1605" i="1"/>
  <c r="P1374" i="1"/>
  <c r="U1417" i="1"/>
  <c r="P1417" i="1"/>
  <c r="U1411" i="1"/>
  <c r="P1411" i="1"/>
  <c r="P1644" i="1"/>
  <c r="U1644" i="1"/>
  <c r="P1638" i="1"/>
  <c r="U1638" i="1"/>
  <c r="U1626" i="1"/>
  <c r="P1626" i="1"/>
  <c r="U1435" i="1"/>
  <c r="U1394" i="1"/>
  <c r="P1394" i="1"/>
  <c r="Q1394" i="1" s="1"/>
  <c r="U1648" i="1"/>
  <c r="P1653" i="1"/>
  <c r="P1438" i="1"/>
  <c r="U1438" i="1"/>
  <c r="U1557" i="1"/>
  <c r="U1374" i="1"/>
  <c r="P1578" i="1"/>
  <c r="U1578" i="1"/>
  <c r="P1464" i="1"/>
  <c r="U1464" i="1"/>
  <c r="O1711" i="1"/>
  <c r="O1712" i="1" s="1"/>
  <c r="P1711" i="1"/>
  <c r="U1579" i="1"/>
  <c r="P1628" i="1"/>
  <c r="U1568" i="1"/>
  <c r="U1531" i="1"/>
  <c r="U1469" i="1"/>
  <c r="U1472" i="1"/>
  <c r="U1686" i="1"/>
  <c r="U1693" i="1"/>
  <c r="U1643" i="1"/>
  <c r="U1627" i="1"/>
  <c r="P1592" i="1"/>
  <c r="P1693" i="1"/>
  <c r="U1589" i="1"/>
  <c r="U1577" i="1"/>
  <c r="U1542" i="1"/>
  <c r="P1643" i="1"/>
  <c r="U1475" i="1"/>
  <c r="P1430" i="1"/>
  <c r="U1554" i="1"/>
  <c r="U1481" i="1"/>
  <c r="P1627" i="1"/>
  <c r="U1539" i="1"/>
  <c r="U1471" i="1"/>
  <c r="U1649" i="1"/>
  <c r="P1568" i="1"/>
  <c r="P1529" i="1"/>
  <c r="P1704" i="1"/>
  <c r="U1619" i="1"/>
  <c r="U1559" i="1"/>
  <c r="U1585" i="1"/>
  <c r="O1604" i="1"/>
  <c r="O1605" i="1" s="1"/>
  <c r="U1510" i="1"/>
  <c r="O1390" i="1"/>
  <c r="R1390" i="1" s="1"/>
  <c r="U1592" i="1"/>
  <c r="U1543" i="1"/>
  <c r="P1510" i="1"/>
  <c r="U1513" i="1"/>
  <c r="U1550" i="1"/>
  <c r="U1529" i="1"/>
  <c r="U1520" i="1"/>
  <c r="U1508" i="1"/>
  <c r="U1468" i="1"/>
  <c r="U1477" i="1"/>
  <c r="P1444" i="1"/>
  <c r="U1430" i="1"/>
  <c r="U1607" i="1"/>
  <c r="U1388" i="1"/>
  <c r="P1377" i="1"/>
  <c r="U1410" i="1"/>
  <c r="U1402" i="1"/>
  <c r="O1394" i="1"/>
  <c r="O1395" i="1" s="1"/>
  <c r="U1695" i="1"/>
  <c r="P1648" i="1"/>
  <c r="U1611" i="1"/>
  <c r="U1663" i="1"/>
  <c r="P1481" i="1"/>
  <c r="U1396" i="1"/>
  <c r="U1598" i="1"/>
  <c r="U1518" i="1"/>
  <c r="P1513" i="1"/>
  <c r="U1484" i="1"/>
  <c r="U1460" i="1"/>
  <c r="U1458" i="1"/>
  <c r="P1520" i="1"/>
  <c r="U1453" i="1"/>
  <c r="U1448" i="1"/>
  <c r="P1388" i="1"/>
  <c r="U1381" i="1"/>
  <c r="U1375" i="1"/>
  <c r="P1402" i="1"/>
  <c r="O1396" i="1"/>
  <c r="O1397" i="1" s="1"/>
  <c r="U1704" i="1"/>
  <c r="U1682" i="1"/>
  <c r="P1695" i="1"/>
  <c r="U1657" i="1"/>
  <c r="P1611" i="1"/>
  <c r="P1531" i="1"/>
  <c r="P1469" i="1"/>
  <c r="U1595" i="1"/>
  <c r="P1484" i="1"/>
  <c r="U1441" i="1"/>
  <c r="U1522" i="1"/>
  <c r="U1509" i="1"/>
  <c r="U1426" i="1"/>
  <c r="U1387" i="1"/>
  <c r="P1375" i="1"/>
  <c r="O1419" i="1"/>
  <c r="O1402" i="1"/>
  <c r="O1403" i="1" s="1"/>
  <c r="U1395" i="1"/>
  <c r="U1712" i="1"/>
  <c r="U1612" i="1"/>
  <c r="U1665" i="1"/>
  <c r="U1635" i="1"/>
  <c r="O1668" i="1"/>
  <c r="O1669" i="1" s="1"/>
  <c r="P1601" i="1"/>
  <c r="P1595" i="1"/>
  <c r="U1555" i="1"/>
  <c r="U1560" i="1"/>
  <c r="U1495" i="1"/>
  <c r="U1493" i="1"/>
  <c r="U1463" i="1"/>
  <c r="U1462" i="1"/>
  <c r="U1571" i="1"/>
  <c r="U1582" i="1"/>
  <c r="U1525" i="1"/>
  <c r="U1604" i="1"/>
  <c r="P1387" i="1"/>
  <c r="O1381" i="1"/>
  <c r="R1381" i="1" s="1"/>
  <c r="U1416" i="1"/>
  <c r="U1412" i="1"/>
  <c r="U1403" i="1"/>
  <c r="P1395" i="1"/>
  <c r="P1712" i="1"/>
  <c r="U1699" i="1"/>
  <c r="U1683" i="1"/>
  <c r="U1697" i="1"/>
  <c r="U1658" i="1"/>
  <c r="U1646" i="1"/>
  <c r="U1647" i="1"/>
  <c r="U1616" i="1"/>
  <c r="U1632" i="1"/>
  <c r="P1472" i="1"/>
  <c r="P1462" i="1"/>
  <c r="U1437" i="1"/>
  <c r="U1551" i="1"/>
  <c r="P1525" i="1"/>
  <c r="U1505" i="1"/>
  <c r="P1604" i="1"/>
  <c r="U1373" i="1"/>
  <c r="P1416" i="1"/>
  <c r="P1403" i="1"/>
  <c r="P1658" i="1"/>
  <c r="U1662" i="1"/>
  <c r="U1639" i="1"/>
  <c r="U1444" i="1"/>
  <c r="U1377" i="1"/>
  <c r="P1686" i="1"/>
  <c r="U1622" i="1"/>
  <c r="O1392" i="1"/>
  <c r="P1622" i="1"/>
  <c r="O1371" i="1"/>
  <c r="O1372" i="1" s="1"/>
  <c r="R1372" i="1" s="1"/>
  <c r="O1544" i="1"/>
  <c r="O1373" i="1"/>
  <c r="O1374" i="1" s="1"/>
  <c r="O1657" i="1"/>
  <c r="O1658" i="1" s="1"/>
  <c r="O1379" i="1"/>
  <c r="O1380" i="1" s="1"/>
  <c r="O1608" i="1"/>
  <c r="Q1009" i="1" l="1"/>
  <c r="Q1721" i="1"/>
  <c r="Q1200" i="1"/>
  <c r="Q823" i="1"/>
  <c r="Q1171" i="1"/>
  <c r="Q1361" i="1"/>
  <c r="Q1803" i="1"/>
  <c r="Q1814" i="1"/>
  <c r="Q1264" i="1"/>
  <c r="Q1805" i="1"/>
  <c r="Q1104" i="1"/>
  <c r="Q1951" i="1"/>
  <c r="Q1713" i="1"/>
  <c r="Q818" i="1"/>
  <c r="Q1351" i="1"/>
  <c r="Q1787" i="1"/>
  <c r="Q1849" i="1"/>
  <c r="Q1731" i="1"/>
  <c r="Q1402" i="1"/>
  <c r="Q1250" i="1"/>
  <c r="Q1202" i="1"/>
  <c r="Q1262" i="1"/>
  <c r="Q1106" i="1"/>
  <c r="Q1343" i="1"/>
  <c r="S6958" i="1"/>
  <c r="T6958" i="1" s="1"/>
  <c r="R6958" i="1"/>
  <c r="Q1945" i="1"/>
  <c r="Q820" i="1"/>
  <c r="Q903" i="1"/>
  <c r="Q1192" i="1"/>
  <c r="Q1266" i="1"/>
  <c r="R1392" i="1"/>
  <c r="Q1293" i="1"/>
  <c r="Q1165" i="1"/>
  <c r="Q1254" i="1"/>
  <c r="Q1110" i="1"/>
  <c r="O6959" i="1"/>
  <c r="Q911" i="1"/>
  <c r="Q1221" i="1"/>
  <c r="Q1390" i="1"/>
  <c r="Q1082" i="1"/>
  <c r="Q1816" i="1"/>
  <c r="Q1799" i="1"/>
  <c r="Q1355" i="1"/>
  <c r="Q1194" i="1"/>
  <c r="Q961" i="1"/>
  <c r="Q831" i="1"/>
  <c r="Q1268" i="1"/>
  <c r="Q1246" i="1"/>
  <c r="Q909" i="1"/>
  <c r="O2777" i="1"/>
  <c r="R2776" i="1"/>
  <c r="S2776" i="1"/>
  <c r="T2776" i="1" s="1"/>
  <c r="O2869" i="1"/>
  <c r="R2868" i="1"/>
  <c r="S2868" i="1"/>
  <c r="T2868" i="1" s="1"/>
  <c r="Q1761" i="1"/>
  <c r="Q1769" i="1"/>
  <c r="Q1196" i="1"/>
  <c r="Q1715" i="1"/>
  <c r="Q1229" i="1"/>
  <c r="Q897" i="1"/>
  <c r="Q806" i="1"/>
  <c r="Q1079" i="1"/>
  <c r="R1602" i="1"/>
  <c r="Q1687" i="1"/>
  <c r="Q888" i="1"/>
  <c r="Q1717" i="1"/>
  <c r="X17" i="1"/>
  <c r="Y17" i="1" s="1"/>
  <c r="W19" i="1"/>
  <c r="Q1033" i="1"/>
  <c r="Q814" i="1"/>
  <c r="Q1902" i="1"/>
  <c r="Q808" i="1"/>
  <c r="Q1291" i="1"/>
  <c r="Q1213" i="1"/>
  <c r="Q996" i="1"/>
  <c r="Q1127" i="1"/>
  <c r="Q1419" i="1"/>
  <c r="Q1657" i="1"/>
  <c r="R1784" i="1"/>
  <c r="Q1954" i="1"/>
  <c r="Q1795" i="1"/>
  <c r="Q1157" i="1"/>
  <c r="Q1396" i="1"/>
  <c r="Q1837" i="1"/>
  <c r="R1713" i="1"/>
  <c r="Q1723" i="1"/>
  <c r="Q1604" i="1"/>
  <c r="Q1256" i="1"/>
  <c r="Q1929" i="1"/>
  <c r="Q1711" i="1"/>
  <c r="R1966" i="1"/>
  <c r="Q1839" i="1"/>
  <c r="Q969" i="1"/>
  <c r="Q1778" i="1"/>
  <c r="Q1408" i="1"/>
  <c r="Q1353" i="1"/>
  <c r="Q1365" i="1"/>
  <c r="Q1248" i="1"/>
  <c r="Q1793" i="1"/>
  <c r="Q1341" i="1"/>
  <c r="Q1135" i="1"/>
  <c r="Q1112" i="1"/>
  <c r="Q1676" i="1"/>
  <c r="R1750" i="1"/>
  <c r="Q1322" i="1"/>
  <c r="Q1385" i="1"/>
  <c r="Q1404" i="1"/>
  <c r="Q1846" i="1"/>
  <c r="Q1144" i="1"/>
  <c r="R1384" i="1"/>
  <c r="R1801" i="1"/>
  <c r="Q886" i="1"/>
  <c r="Q1284" i="1"/>
  <c r="Q1602" i="1"/>
  <c r="Q1159" i="1"/>
  <c r="Q1747" i="1"/>
  <c r="Q1001" i="1"/>
  <c r="Q1843" i="1"/>
  <c r="R1747" i="1"/>
  <c r="Q1206" i="1"/>
  <c r="Q1190" i="1"/>
  <c r="Q1122" i="1"/>
  <c r="Q1956" i="1"/>
  <c r="Q1416" i="1"/>
  <c r="Q991" i="1"/>
  <c r="Q1087" i="1"/>
  <c r="Q857" i="1"/>
  <c r="Q1854" i="1"/>
  <c r="Q1465" i="1"/>
  <c r="Q1569" i="1"/>
  <c r="Q1392" i="1"/>
  <c r="Q917" i="1"/>
  <c r="Q1413" i="1"/>
  <c r="Q1318" i="1"/>
  <c r="Q1801" i="1"/>
  <c r="Q1942" i="1"/>
  <c r="Q1383" i="1"/>
  <c r="Q1857" i="1"/>
  <c r="Q1818" i="1"/>
  <c r="Q998" i="1"/>
  <c r="Q1433" i="1"/>
  <c r="Q1834" i="1"/>
  <c r="Q985" i="1"/>
  <c r="Q1689" i="1"/>
  <c r="Q1925" i="1"/>
  <c r="Q860" i="1"/>
  <c r="Q1659" i="1"/>
  <c r="Q1904" i="1"/>
  <c r="Q877" i="1"/>
  <c r="Q1258" i="1"/>
  <c r="Q1885" i="1"/>
  <c r="Q1966" i="1"/>
  <c r="Q1329" i="1"/>
  <c r="Q1011" i="1"/>
  <c r="Q1810" i="1"/>
  <c r="Q1252" i="1"/>
  <c r="Q1260" i="1"/>
  <c r="Q848" i="1"/>
  <c r="Q1937" i="1"/>
  <c r="Q812" i="1"/>
  <c r="Q1455" i="1"/>
  <c r="Q1725" i="1"/>
  <c r="Q980" i="1"/>
  <c r="Q1233" i="1"/>
  <c r="Q1173" i="1"/>
  <c r="Q1510" i="1"/>
  <c r="Q1606" i="1"/>
  <c r="Q1933" i="1"/>
  <c r="Q964" i="1"/>
  <c r="Q1749" i="1"/>
  <c r="Q1398" i="1"/>
  <c r="Q1825" i="1"/>
  <c r="Q1519" i="1"/>
  <c r="Q1896" i="1"/>
  <c r="Q1327" i="1"/>
  <c r="Q1739" i="1"/>
  <c r="Q1124" i="1"/>
  <c r="Q1931" i="1"/>
  <c r="Q1736" i="1"/>
  <c r="Q1040" i="1"/>
  <c r="Q1029" i="1"/>
  <c r="Q1797" i="1"/>
  <c r="Q1375" i="1"/>
  <c r="Q1531" i="1"/>
  <c r="Q1913" i="1"/>
  <c r="Q1223" i="1"/>
  <c r="Q1841" i="1"/>
  <c r="Q1921" i="1"/>
  <c r="Q1244" i="1"/>
  <c r="Q1308" i="1"/>
  <c r="Q1727" i="1"/>
  <c r="Q1226" i="1"/>
  <c r="Q1101" i="1"/>
  <c r="Q932" i="1"/>
  <c r="Q1217" i="1"/>
  <c r="Q1313" i="1"/>
  <c r="Q1753" i="1"/>
  <c r="Q825" i="1"/>
  <c r="Q955" i="1"/>
  <c r="Q1763" i="1"/>
  <c r="Q828" i="1"/>
  <c r="Q1050" i="1"/>
  <c r="Q1114" i="1"/>
  <c r="Q1155" i="1"/>
  <c r="Q1744" i="1"/>
  <c r="Q844" i="1"/>
  <c r="Q1733" i="1"/>
  <c r="Q972" i="1"/>
  <c r="Q1483" i="1"/>
  <c r="Q1161" i="1"/>
  <c r="Q1016" i="1"/>
  <c r="Q1324" i="1"/>
  <c r="Q1163" i="1"/>
  <c r="Q1129" i="1"/>
  <c r="Q1910" i="1"/>
  <c r="Q1940" i="1"/>
  <c r="Q1138" i="1"/>
  <c r="Q1791" i="1"/>
  <c r="Q1215" i="1"/>
  <c r="Q890" i="1"/>
  <c r="Q1061" i="1"/>
  <c r="Q1060" i="1" s="1"/>
  <c r="Q1169" i="1"/>
  <c r="Q1331" i="1"/>
  <c r="Q865" i="1"/>
  <c r="Q833" i="1"/>
  <c r="Q1783" i="1"/>
  <c r="Q905" i="1"/>
  <c r="S1397" i="1"/>
  <c r="Q1668" i="1"/>
  <c r="Q1349" i="1"/>
  <c r="Q853" i="1"/>
  <c r="Q1058" i="1"/>
  <c r="Q1968" i="1"/>
  <c r="Q1357" i="1"/>
  <c r="Q873" i="1"/>
  <c r="Q1270" i="1"/>
  <c r="Q1305" i="1"/>
  <c r="Q1281" i="1"/>
  <c r="Q1301" i="1"/>
  <c r="Q851" i="1"/>
  <c r="Q1866" i="1"/>
  <c r="Q913" i="1"/>
  <c r="Q1345" i="1"/>
  <c r="R1897" i="1"/>
  <c r="Q1772" i="1"/>
  <c r="Q1167" i="1"/>
  <c r="Q1066" i="1"/>
  <c r="Q1877" i="1"/>
  <c r="Q1211" i="1"/>
  <c r="Q870" i="1"/>
  <c r="Q1310" i="1"/>
  <c r="Q1828" i="1"/>
  <c r="Q1756" i="1"/>
  <c r="Q1185" i="1"/>
  <c r="Q1147" i="1"/>
  <c r="Q1363" i="1"/>
  <c r="Q1880" i="1"/>
  <c r="Q1070" i="1"/>
  <c r="Q950" i="1"/>
  <c r="Q1178" i="1"/>
  <c r="Q1758" i="1"/>
  <c r="Q1152" i="1"/>
  <c r="Q1335" i="1"/>
  <c r="Q1421" i="1"/>
  <c r="Q1387" i="1"/>
  <c r="Q1958" i="1"/>
  <c r="Q1085" i="1"/>
  <c r="Q1084" i="1" s="1"/>
  <c r="Q1359" i="1"/>
  <c r="Q936" i="1"/>
  <c r="Q1295" i="1"/>
  <c r="Q1832" i="1"/>
  <c r="Q1860" i="1"/>
  <c r="Q1279" i="1"/>
  <c r="Q1096" i="1"/>
  <c r="Q810" i="1"/>
  <c r="Q1807" i="1"/>
  <c r="Q1719" i="1"/>
  <c r="Q899" i="1"/>
  <c r="Q1367" i="1"/>
  <c r="Q1338" i="1"/>
  <c r="Q1751" i="1"/>
  <c r="Q1018" i="1"/>
  <c r="Q1765" i="1"/>
  <c r="Q841" i="1"/>
  <c r="Q1026" i="1"/>
  <c r="Q1822" i="1"/>
  <c r="S1389" i="1"/>
  <c r="T1389" i="1" s="1"/>
  <c r="Q1286" i="1"/>
  <c r="Q1022" i="1"/>
  <c r="Q1674" i="1"/>
  <c r="Q1075" i="1"/>
  <c r="Q1118" i="1"/>
  <c r="Q1181" i="1"/>
  <c r="Q1036" i="1"/>
  <c r="Q1862" i="1"/>
  <c r="S1368" i="1"/>
  <c r="S1367" i="1" s="1"/>
  <c r="R1136" i="1"/>
  <c r="R1383" i="1"/>
  <c r="U38" i="7"/>
  <c r="U24" i="7"/>
  <c r="U25" i="7"/>
  <c r="T37" i="7"/>
  <c r="U34" i="7"/>
  <c r="U35" i="7" s="1"/>
  <c r="U14" i="7"/>
  <c r="U13" i="7"/>
  <c r="W11" i="7"/>
  <c r="V12" i="7"/>
  <c r="U19" i="7"/>
  <c r="W5" i="7"/>
  <c r="V7" i="7"/>
  <c r="V6" i="7"/>
  <c r="V40" i="7"/>
  <c r="V8" i="7"/>
  <c r="V9" i="7" s="1"/>
  <c r="T20" i="7"/>
  <c r="T21" i="7"/>
  <c r="U33" i="7"/>
  <c r="U16" i="7"/>
  <c r="U17" i="7" s="1"/>
  <c r="U32" i="7"/>
  <c r="AD4" i="7"/>
  <c r="AE3" i="7"/>
  <c r="T36" i="7"/>
  <c r="U30" i="7"/>
  <c r="U41" i="7"/>
  <c r="U42" i="7" s="1"/>
  <c r="X27" i="7"/>
  <c r="W28" i="7"/>
  <c r="W29" i="7" s="1"/>
  <c r="R1389" i="1"/>
  <c r="R1941" i="1"/>
  <c r="R2285" i="1"/>
  <c r="R2282" i="1" s="1"/>
  <c r="R2284" i="1" s="1"/>
  <c r="S2285" i="1"/>
  <c r="T2285" i="1" s="1"/>
  <c r="O2286" i="1"/>
  <c r="R1970" i="1"/>
  <c r="O1971" i="1"/>
  <c r="R1968" i="1"/>
  <c r="O1969" i="1"/>
  <c r="R1172" i="1"/>
  <c r="R1338" i="1"/>
  <c r="R1038" i="1"/>
  <c r="R1752" i="1"/>
  <c r="S1752" i="1"/>
  <c r="T1752" i="1" s="1"/>
  <c r="R1022" i="1"/>
  <c r="S1197" i="1"/>
  <c r="T1197" i="1" s="1"/>
  <c r="S1269" i="1"/>
  <c r="S1268" i="1" s="1"/>
  <c r="R1688" i="1"/>
  <c r="R1687" i="1" s="1"/>
  <c r="S1691" i="1"/>
  <c r="T1691" i="1" s="1"/>
  <c r="R1059" i="1"/>
  <c r="R1929" i="1"/>
  <c r="R1268" i="1"/>
  <c r="S1835" i="1"/>
  <c r="T1835" i="1" s="1"/>
  <c r="S1967" i="1"/>
  <c r="T1967" i="1" s="1"/>
  <c r="R1905" i="1"/>
  <c r="R1854" i="1"/>
  <c r="R1368" i="1"/>
  <c r="R821" i="1"/>
  <c r="R1967" i="1"/>
  <c r="R1012" i="1"/>
  <c r="R1367" i="1"/>
  <c r="R844" i="1"/>
  <c r="R1751" i="1"/>
  <c r="O1748" i="1"/>
  <c r="R1748" i="1" s="1"/>
  <c r="R1769" i="1"/>
  <c r="R1385" i="1"/>
  <c r="R1783" i="1"/>
  <c r="S1384" i="1"/>
  <c r="T1384" i="1" s="1"/>
  <c r="R1254" i="1"/>
  <c r="R1096" i="1"/>
  <c r="S1148" i="1"/>
  <c r="T1148" i="1" s="1"/>
  <c r="R1896" i="1"/>
  <c r="R1331" i="1"/>
  <c r="S1326" i="1"/>
  <c r="T1326" i="1" s="1"/>
  <c r="R964" i="1"/>
  <c r="R915" i="1"/>
  <c r="R1118" i="1"/>
  <c r="S1280" i="1"/>
  <c r="S1279" i="1" s="1"/>
  <c r="R1105" i="1"/>
  <c r="R1329" i="1"/>
  <c r="R1736" i="1"/>
  <c r="S1076" i="1"/>
  <c r="T1076" i="1" s="1"/>
  <c r="R897" i="1"/>
  <c r="R1294" i="1"/>
  <c r="R1037" i="1"/>
  <c r="S1249" i="1"/>
  <c r="T1249" i="1" s="1"/>
  <c r="R909" i="1"/>
  <c r="R1831" i="1"/>
  <c r="S1330" i="1"/>
  <c r="T1330" i="1" s="1"/>
  <c r="S1350" i="1"/>
  <c r="T1350" i="1" s="1"/>
  <c r="R1026" i="1"/>
  <c r="S1115" i="1"/>
  <c r="T1115" i="1" s="1"/>
  <c r="R1160" i="1"/>
  <c r="S1253" i="1"/>
  <c r="T1253" i="1" s="1"/>
  <c r="R1764" i="1"/>
  <c r="R1114" i="1"/>
  <c r="R1258" i="1"/>
  <c r="S1777" i="1"/>
  <c r="T1777" i="1" s="1"/>
  <c r="R1885" i="1"/>
  <c r="R1245" i="1"/>
  <c r="S1245" i="1"/>
  <c r="T1245" i="1" s="1"/>
  <c r="R1034" i="1"/>
  <c r="R1107" i="1"/>
  <c r="O965" i="1"/>
  <c r="O966" i="1" s="1"/>
  <c r="O967" i="1" s="1"/>
  <c r="S967" i="1" s="1"/>
  <c r="T967" i="1" s="1"/>
  <c r="R963" i="1"/>
  <c r="S1764" i="1"/>
  <c r="T1764" i="1" s="1"/>
  <c r="R1360" i="1"/>
  <c r="R1148" i="1"/>
  <c r="R1758" i="1"/>
  <c r="R1200" i="1"/>
  <c r="R999" i="1"/>
  <c r="R1880" i="1"/>
  <c r="R997" i="1"/>
  <c r="R1181" i="1"/>
  <c r="R1343" i="1"/>
  <c r="R1250" i="1"/>
  <c r="S1309" i="1"/>
  <c r="T1309" i="1" s="1"/>
  <c r="R858" i="1"/>
  <c r="R1167" i="1"/>
  <c r="O1259" i="1"/>
  <c r="R1259" i="1" s="1"/>
  <c r="R875" i="1"/>
  <c r="R1363" i="1"/>
  <c r="R1415" i="1"/>
  <c r="S1415" i="1"/>
  <c r="T1415" i="1" s="1"/>
  <c r="S1172" i="1"/>
  <c r="T1172" i="1" s="1"/>
  <c r="R810" i="1"/>
  <c r="S1358" i="1"/>
  <c r="T1358" i="1" s="1"/>
  <c r="R1163" i="1"/>
  <c r="R1357" i="1"/>
  <c r="R1204" i="1"/>
  <c r="R1194" i="1"/>
  <c r="R961" i="1"/>
  <c r="R1256" i="1"/>
  <c r="R1421" i="1"/>
  <c r="R1215" i="1"/>
  <c r="R1715" i="1"/>
  <c r="R1112" i="1"/>
  <c r="S1768" i="1"/>
  <c r="T1768" i="1" s="1"/>
  <c r="R1341" i="1"/>
  <c r="R841" i="1"/>
  <c r="R913" i="1"/>
  <c r="R1185" i="1"/>
  <c r="R1281" i="1"/>
  <c r="O1119" i="1"/>
  <c r="O1120" i="1" s="1"/>
  <c r="O1121" i="1" s="1"/>
  <c r="R1380" i="1"/>
  <c r="R1414" i="1"/>
  <c r="R1413" i="1" s="1"/>
  <c r="R1193" i="1"/>
  <c r="R1349" i="1"/>
  <c r="S1109" i="1"/>
  <c r="T1109" i="1" s="1"/>
  <c r="R1123" i="1"/>
  <c r="R886" i="1"/>
  <c r="S1724" i="1"/>
  <c r="T1724" i="1" s="1"/>
  <c r="R1733" i="1"/>
  <c r="R1913" i="1"/>
  <c r="R1211" i="1"/>
  <c r="R1032" i="1"/>
  <c r="R1266" i="1"/>
  <c r="O914" i="1"/>
  <c r="S914" i="1" s="1"/>
  <c r="R1825" i="1"/>
  <c r="R1805" i="1"/>
  <c r="R860" i="1"/>
  <c r="R1108" i="1"/>
  <c r="O1342" i="1"/>
  <c r="R1342" i="1" s="1"/>
  <c r="O1113" i="1"/>
  <c r="R1113" i="1" s="1"/>
  <c r="R873" i="1"/>
  <c r="R806" i="1"/>
  <c r="R1605" i="1"/>
  <c r="S1905" i="1"/>
  <c r="T1905" i="1" s="1"/>
  <c r="R1233" i="1"/>
  <c r="R1358" i="1"/>
  <c r="S1798" i="1"/>
  <c r="T1798" i="1" s="1"/>
  <c r="O1759" i="1"/>
  <c r="S1759" i="1" s="1"/>
  <c r="T1759" i="1" s="1"/>
  <c r="R1797" i="1"/>
  <c r="R1843" i="1"/>
  <c r="R1828" i="1"/>
  <c r="R1763" i="1"/>
  <c r="R848" i="1"/>
  <c r="R905" i="1"/>
  <c r="R1018" i="1"/>
  <c r="R1246" i="1"/>
  <c r="R1262" i="1"/>
  <c r="S962" i="1"/>
  <c r="S961" i="1" s="1"/>
  <c r="R1082" i="1"/>
  <c r="O876" i="1"/>
  <c r="S876" i="1" s="1"/>
  <c r="T876" i="1" s="1"/>
  <c r="R962" i="1"/>
  <c r="S997" i="1"/>
  <c r="T997" i="1" s="1"/>
  <c r="S1160" i="1"/>
  <c r="T1160" i="1" s="1"/>
  <c r="S1811" i="1"/>
  <c r="T1811" i="1" s="1"/>
  <c r="R1280" i="1"/>
  <c r="S915" i="1"/>
  <c r="T915" i="1" s="1"/>
  <c r="R1361" i="1"/>
  <c r="R1221" i="1"/>
  <c r="R1821" i="1"/>
  <c r="R888" i="1"/>
  <c r="R811" i="1"/>
  <c r="S811" i="1"/>
  <c r="T811" i="1" s="1"/>
  <c r="S1267" i="1"/>
  <c r="T1267" i="1" s="1"/>
  <c r="R1267" i="1"/>
  <c r="R1354" i="1"/>
  <c r="S1354" i="1"/>
  <c r="T1354" i="1" s="1"/>
  <c r="S1285" i="1"/>
  <c r="T1285" i="1" s="1"/>
  <c r="R1285" i="1"/>
  <c r="R1253" i="1"/>
  <c r="R1374" i="1"/>
  <c r="R874" i="1"/>
  <c r="R1084" i="1"/>
  <c r="O1205" i="1"/>
  <c r="O1195" i="1"/>
  <c r="O861" i="1"/>
  <c r="S861" i="1" s="1"/>
  <c r="T861" i="1" s="1"/>
  <c r="R1109" i="1"/>
  <c r="R1740" i="1"/>
  <c r="R1036" i="1"/>
  <c r="R1308" i="1"/>
  <c r="R1837" i="1"/>
  <c r="R991" i="1"/>
  <c r="O1257" i="1"/>
  <c r="S1257" i="1" s="1"/>
  <c r="T1257" i="1" s="1"/>
  <c r="O1164" i="1"/>
  <c r="R1201" i="1"/>
  <c r="R1079" i="1"/>
  <c r="O1263" i="1"/>
  <c r="R1753" i="1"/>
  <c r="R1269" i="1"/>
  <c r="S863" i="1"/>
  <c r="T863" i="1" s="1"/>
  <c r="R1958" i="1"/>
  <c r="S874" i="1"/>
  <c r="T874" i="1" s="1"/>
  <c r="O1247" i="1"/>
  <c r="R1247" i="1" s="1"/>
  <c r="O807" i="1"/>
  <c r="R807" i="1" s="1"/>
  <c r="R1324" i="1"/>
  <c r="R1261" i="1"/>
  <c r="R862" i="1"/>
  <c r="R824" i="1"/>
  <c r="R1804" i="1"/>
  <c r="R996" i="1"/>
  <c r="O849" i="1"/>
  <c r="O850" i="1" s="1"/>
  <c r="R850" i="1" s="1"/>
  <c r="R1350" i="1"/>
  <c r="R1659" i="1"/>
  <c r="O1332" i="1"/>
  <c r="O1333" i="1" s="1"/>
  <c r="R1168" i="1"/>
  <c r="R1818" i="1"/>
  <c r="R1087" i="1"/>
  <c r="R1721" i="1"/>
  <c r="R1159" i="1"/>
  <c r="R1244" i="1"/>
  <c r="O1222" i="1"/>
  <c r="R1222" i="1" s="1"/>
  <c r="R1359" i="1"/>
  <c r="S1038" i="1"/>
  <c r="T1038" i="1" s="1"/>
  <c r="S1032" i="1"/>
  <c r="T1032" i="1" s="1"/>
  <c r="S1821" i="1"/>
  <c r="T1821" i="1" s="1"/>
  <c r="S1831" i="1"/>
  <c r="T1831" i="1" s="1"/>
  <c r="R1841" i="1"/>
  <c r="R1724" i="1"/>
  <c r="O1742" i="1"/>
  <c r="O1743" i="1" s="1"/>
  <c r="S1743" i="1" s="1"/>
  <c r="T1743" i="1" s="1"/>
  <c r="S1784" i="1"/>
  <c r="T1784" i="1" s="1"/>
  <c r="O1855" i="1"/>
  <c r="S1855" i="1" s="1"/>
  <c r="S1858" i="1"/>
  <c r="T1858" i="1" s="1"/>
  <c r="R1798" i="1"/>
  <c r="R1846" i="1"/>
  <c r="R1761" i="1"/>
  <c r="S1819" i="1"/>
  <c r="T1819" i="1" s="1"/>
  <c r="R1819" i="1"/>
  <c r="R1858" i="1"/>
  <c r="R1408" i="1"/>
  <c r="R1773" i="1"/>
  <c r="S1773" i="1"/>
  <c r="T1773" i="1" s="1"/>
  <c r="O1774" i="1"/>
  <c r="S1774" i="1" s="1"/>
  <c r="T1774" i="1" s="1"/>
  <c r="R1387" i="1"/>
  <c r="R1772" i="1"/>
  <c r="S1740" i="1"/>
  <c r="T1740" i="1" s="1"/>
  <c r="S1897" i="1"/>
  <c r="T1897" i="1" s="1"/>
  <c r="O1906" i="1"/>
  <c r="O1907" i="1" s="1"/>
  <c r="O1914" i="1"/>
  <c r="O1915" i="1" s="1"/>
  <c r="S1915" i="1" s="1"/>
  <c r="T1915" i="1" s="1"/>
  <c r="O1754" i="1"/>
  <c r="R1691" i="1"/>
  <c r="R1904" i="1"/>
  <c r="O1802" i="1"/>
  <c r="R1802" i="1" s="1"/>
  <c r="R1690" i="1"/>
  <c r="R1689" i="1" s="1"/>
  <c r="R1808" i="1"/>
  <c r="S1808" i="1"/>
  <c r="T1808" i="1" s="1"/>
  <c r="O1809" i="1"/>
  <c r="O1944" i="1"/>
  <c r="S1944" i="1" s="1"/>
  <c r="T1944" i="1" s="1"/>
  <c r="R1943" i="1"/>
  <c r="S1943" i="1"/>
  <c r="T1943" i="1" s="1"/>
  <c r="R1887" i="1"/>
  <c r="O1888" i="1"/>
  <c r="S1887" i="1"/>
  <c r="T1887" i="1" s="1"/>
  <c r="R1842" i="1"/>
  <c r="S1842" i="1"/>
  <c r="T1842" i="1" s="1"/>
  <c r="O1869" i="1"/>
  <c r="O1870" i="1" s="1"/>
  <c r="S1868" i="1"/>
  <c r="T1868" i="1" s="1"/>
  <c r="S1750" i="1"/>
  <c r="T1750" i="1" s="1"/>
  <c r="O1829" i="1"/>
  <c r="R1777" i="1"/>
  <c r="O1898" i="1"/>
  <c r="R1898" i="1" s="1"/>
  <c r="S1688" i="1"/>
  <c r="T1688" i="1" s="1"/>
  <c r="R1849" i="1"/>
  <c r="O1603" i="1"/>
  <c r="R1603" i="1" s="1"/>
  <c r="R1862" i="1"/>
  <c r="O1838" i="1"/>
  <c r="R1838" i="1" s="1"/>
  <c r="R1227" i="1"/>
  <c r="O1228" i="1"/>
  <c r="O1824" i="1"/>
  <c r="S1823" i="1"/>
  <c r="T1823" i="1" s="1"/>
  <c r="R1823" i="1"/>
  <c r="R1746" i="1"/>
  <c r="S1746" i="1"/>
  <c r="T1746" i="1" s="1"/>
  <c r="S1833" i="1"/>
  <c r="T1833" i="1" s="1"/>
  <c r="R1833" i="1"/>
  <c r="R1326" i="1"/>
  <c r="R1882" i="1"/>
  <c r="S1882" i="1"/>
  <c r="T1882" i="1" s="1"/>
  <c r="O1883" i="1"/>
  <c r="S1771" i="1"/>
  <c r="T1771" i="1" s="1"/>
  <c r="R1771" i="1"/>
  <c r="R1264" i="1"/>
  <c r="R1727" i="1"/>
  <c r="R1788" i="1"/>
  <c r="S1788" i="1"/>
  <c r="T1788" i="1" s="1"/>
  <c r="R1933" i="1"/>
  <c r="R1863" i="1"/>
  <c r="S1863" i="1"/>
  <c r="R911" i="1"/>
  <c r="O1934" i="1"/>
  <c r="R1836" i="1"/>
  <c r="S1836" i="1"/>
  <c r="T1836" i="1" s="1"/>
  <c r="O1714" i="1"/>
  <c r="S1714" i="1" s="1"/>
  <c r="R1016" i="1"/>
  <c r="O1017" i="1"/>
  <c r="S1017" i="1" s="1"/>
  <c r="R1780" i="1"/>
  <c r="O1781" i="1"/>
  <c r="R1744" i="1"/>
  <c r="O1919" i="1"/>
  <c r="R1918" i="1"/>
  <c r="R1799" i="1"/>
  <c r="R1756" i="1"/>
  <c r="R1860" i="1"/>
  <c r="O1861" i="1"/>
  <c r="R1345" i="1"/>
  <c r="O1346" i="1"/>
  <c r="R1295" i="1"/>
  <c r="O1959" i="1"/>
  <c r="R1178" i="1"/>
  <c r="R916" i="1"/>
  <c r="S916" i="1"/>
  <c r="T916" i="1" s="1"/>
  <c r="O1370" i="1"/>
  <c r="R1370" i="1" s="1"/>
  <c r="R1369" i="1"/>
  <c r="R1739" i="1"/>
  <c r="O902" i="1"/>
  <c r="R902" i="1" s="1"/>
  <c r="R901" i="1"/>
  <c r="S901" i="1"/>
  <c r="T901" i="1" s="1"/>
  <c r="R1922" i="1"/>
  <c r="O1923" i="1"/>
  <c r="R1839" i="1"/>
  <c r="O1840" i="1"/>
  <c r="R1927" i="1"/>
  <c r="S1927" i="1"/>
  <c r="T1927" i="1" s="1"/>
  <c r="R1726" i="1"/>
  <c r="S1726" i="1"/>
  <c r="T1726" i="1" s="1"/>
  <c r="R903" i="1"/>
  <c r="O904" i="1"/>
  <c r="R904" i="1" s="1"/>
  <c r="S1255" i="1"/>
  <c r="R1255" i="1"/>
  <c r="R831" i="1"/>
  <c r="O832" i="1"/>
  <c r="S1845" i="1"/>
  <c r="T1845" i="1" s="1"/>
  <c r="R1845" i="1"/>
  <c r="R1716" i="1"/>
  <c r="S1716" i="1"/>
  <c r="O1214" i="1"/>
  <c r="R1213" i="1"/>
  <c r="R1812" i="1"/>
  <c r="O1813" i="1"/>
  <c r="R1859" i="1"/>
  <c r="S1859" i="1"/>
  <c r="T1859" i="1" s="1"/>
  <c r="R1820" i="1"/>
  <c r="S1820" i="1"/>
  <c r="T1820" i="1" s="1"/>
  <c r="O1851" i="1"/>
  <c r="R1850" i="1"/>
  <c r="S1850" i="1"/>
  <c r="S1757" i="1"/>
  <c r="R1757" i="1"/>
  <c r="S1251" i="1"/>
  <c r="R1251" i="1"/>
  <c r="O1734" i="1"/>
  <c r="R1766" i="1"/>
  <c r="S1766" i="1"/>
  <c r="O1930" i="1"/>
  <c r="R812" i="1"/>
  <c r="O1292" i="1"/>
  <c r="R1291" i="1"/>
  <c r="O1166" i="1"/>
  <c r="R1165" i="1"/>
  <c r="O1219" i="1"/>
  <c r="R1218" i="1"/>
  <c r="R1881" i="1"/>
  <c r="S1881" i="1"/>
  <c r="R1031" i="1"/>
  <c r="S1031" i="1"/>
  <c r="T1031" i="1" s="1"/>
  <c r="S1946" i="1"/>
  <c r="T1946" i="1" s="1"/>
  <c r="R1946" i="1"/>
  <c r="R826" i="1"/>
  <c r="O827" i="1"/>
  <c r="O1947" i="1"/>
  <c r="R1827" i="1"/>
  <c r="S1827" i="1"/>
  <c r="T1827" i="1" s="1"/>
  <c r="R1911" i="1"/>
  <c r="S1911" i="1"/>
  <c r="T1911" i="1" s="1"/>
  <c r="O1912" i="1"/>
  <c r="O1864" i="1"/>
  <c r="R1803" i="1"/>
  <c r="R1127" i="1"/>
  <c r="O912" i="1"/>
  <c r="R936" i="1"/>
  <c r="R1815" i="1"/>
  <c r="S1815" i="1"/>
  <c r="O813" i="1"/>
  <c r="R1902" i="1"/>
  <c r="O1903" i="1"/>
  <c r="O1344" i="1"/>
  <c r="R1658" i="1"/>
  <c r="O1393" i="1"/>
  <c r="R1393" i="1" s="1"/>
  <c r="R815" i="1"/>
  <c r="R1737" i="1"/>
  <c r="S1737" i="1"/>
  <c r="R1778" i="1"/>
  <c r="O1779" i="1"/>
  <c r="R1832" i="1"/>
  <c r="R1951" i="1"/>
  <c r="O1952" i="1"/>
  <c r="O1149" i="1"/>
  <c r="R969" i="1"/>
  <c r="O970" i="1"/>
  <c r="R970" i="1" s="1"/>
  <c r="R1931" i="1"/>
  <c r="O1932" i="1"/>
  <c r="R1786" i="1"/>
  <c r="S1786" i="1"/>
  <c r="T1786" i="1" s="1"/>
  <c r="R1081" i="1"/>
  <c r="S1081" i="1"/>
  <c r="T1081" i="1" s="1"/>
  <c r="O1722" i="1"/>
  <c r="R1722" i="1" s="1"/>
  <c r="O1928" i="1"/>
  <c r="R1762" i="1"/>
  <c r="S1762" i="1"/>
  <c r="R932" i="1"/>
  <c r="O933" i="1"/>
  <c r="O934" i="1" s="1"/>
  <c r="O935" i="1" s="1"/>
  <c r="S935" i="1" s="1"/>
  <c r="T935" i="1" s="1"/>
  <c r="R1365" i="1"/>
  <c r="O1366" i="1"/>
  <c r="R1725" i="1"/>
  <c r="R1957" i="1"/>
  <c r="S1957" i="1"/>
  <c r="T1957" i="1" s="1"/>
  <c r="S1728" i="1"/>
  <c r="T1728" i="1" s="1"/>
  <c r="R1728" i="1"/>
  <c r="O1729" i="1"/>
  <c r="R1857" i="1"/>
  <c r="R1954" i="1"/>
  <c r="O1955" i="1"/>
  <c r="S1403" i="1"/>
  <c r="S1402" i="1" s="1"/>
  <c r="T1402" i="1" s="1"/>
  <c r="R1844" i="1"/>
  <c r="S1844" i="1"/>
  <c r="R1745" i="1"/>
  <c r="S1745" i="1"/>
  <c r="T1745" i="1" s="1"/>
  <c r="R1822" i="1"/>
  <c r="R1877" i="1"/>
  <c r="O1878" i="1"/>
  <c r="R1795" i="1"/>
  <c r="O1796" i="1"/>
  <c r="R899" i="1"/>
  <c r="R1099" i="1"/>
  <c r="O1100" i="1"/>
  <c r="R1212" i="1"/>
  <c r="S1212" i="1"/>
  <c r="T1212" i="1" s="1"/>
  <c r="R1305" i="1"/>
  <c r="O1306" i="1"/>
  <c r="R1847" i="1"/>
  <c r="S1847" i="1"/>
  <c r="O1738" i="1"/>
  <c r="O1848" i="1"/>
  <c r="O1800" i="1"/>
  <c r="S1804" i="1"/>
  <c r="O1265" i="1"/>
  <c r="R1265" i="1" s="1"/>
  <c r="O1128" i="1"/>
  <c r="R980" i="1"/>
  <c r="R1811" i="1"/>
  <c r="R1076" i="1"/>
  <c r="R1301" i="1"/>
  <c r="R1910" i="1"/>
  <c r="R1785" i="1"/>
  <c r="R1810" i="1"/>
  <c r="R1124" i="1"/>
  <c r="R863" i="1"/>
  <c r="R1015" i="1"/>
  <c r="S1015" i="1"/>
  <c r="T1015" i="1" s="1"/>
  <c r="R1353" i="1"/>
  <c r="O1111" i="1"/>
  <c r="R1110" i="1"/>
  <c r="R955" i="1"/>
  <c r="R889" i="1"/>
  <c r="R1248" i="1"/>
  <c r="R1252" i="1"/>
  <c r="S1886" i="1"/>
  <c r="R1886" i="1"/>
  <c r="O1328" i="1"/>
  <c r="R1327" i="1"/>
  <c r="S1926" i="1"/>
  <c r="T1926" i="1" s="1"/>
  <c r="R1926" i="1"/>
  <c r="R1937" i="1"/>
  <c r="R1816" i="1"/>
  <c r="R1826" i="1"/>
  <c r="S1826" i="1"/>
  <c r="R1871" i="1"/>
  <c r="O1872" i="1"/>
  <c r="R1249" i="1"/>
  <c r="R1309" i="1"/>
  <c r="R1942" i="1"/>
  <c r="R1956" i="1"/>
  <c r="R1866" i="1"/>
  <c r="R1925" i="1"/>
  <c r="S1039" i="1"/>
  <c r="T1039" i="1" s="1"/>
  <c r="R1039" i="1"/>
  <c r="R1814" i="1"/>
  <c r="R1794" i="1"/>
  <c r="S1794" i="1"/>
  <c r="T1794" i="1" s="1"/>
  <c r="R1793" i="1"/>
  <c r="O1203" i="1"/>
  <c r="R1202" i="1"/>
  <c r="O1362" i="1"/>
  <c r="R1674" i="1"/>
  <c r="O1675" i="1"/>
  <c r="R1675" i="1" s="1"/>
  <c r="R1013" i="1"/>
  <c r="S1013" i="1"/>
  <c r="T1013" i="1" s="1"/>
  <c r="R1719" i="1"/>
  <c r="O1103" i="1"/>
  <c r="R1101" i="1"/>
  <c r="R1196" i="1"/>
  <c r="O1216" i="1"/>
  <c r="R1768" i="1"/>
  <c r="R1770" i="1"/>
  <c r="S1770" i="1"/>
  <c r="T1770" i="1" s="1"/>
  <c r="R1720" i="1"/>
  <c r="S1720" i="1"/>
  <c r="T1720" i="1" s="1"/>
  <c r="O1198" i="1"/>
  <c r="R1197" i="1"/>
  <c r="O1302" i="1"/>
  <c r="R1834" i="1"/>
  <c r="R1807" i="1"/>
  <c r="R1945" i="1"/>
  <c r="R1206" i="1"/>
  <c r="R1190" i="1"/>
  <c r="R1330" i="1"/>
  <c r="R1921" i="1"/>
  <c r="R1791" i="1"/>
  <c r="O1792" i="1"/>
  <c r="R1867" i="1"/>
  <c r="S1867" i="1"/>
  <c r="T1867" i="1" s="1"/>
  <c r="R808" i="1"/>
  <c r="R1000" i="1"/>
  <c r="S1000" i="1"/>
  <c r="T1000" i="1" s="1"/>
  <c r="R1115" i="1"/>
  <c r="R1749" i="1"/>
  <c r="R1279" i="1"/>
  <c r="O1130" i="1"/>
  <c r="R1129" i="1"/>
  <c r="R1029" i="1"/>
  <c r="O1158" i="1"/>
  <c r="R1157" i="1"/>
  <c r="O830" i="1"/>
  <c r="R828" i="1"/>
  <c r="O809" i="1"/>
  <c r="R1806" i="1"/>
  <c r="S1806" i="1"/>
  <c r="O1162" i="1"/>
  <c r="R1161" i="1"/>
  <c r="S963" i="1"/>
  <c r="T963" i="1" s="1"/>
  <c r="R1171" i="1"/>
  <c r="R1835" i="1"/>
  <c r="R1787" i="1"/>
  <c r="R1284" i="1"/>
  <c r="R825" i="1"/>
  <c r="R1155" i="1"/>
  <c r="R1718" i="1"/>
  <c r="S1718" i="1"/>
  <c r="T1718" i="1" s="1"/>
  <c r="O1125" i="1"/>
  <c r="O1156" i="1"/>
  <c r="R1156" i="1" s="1"/>
  <c r="R1731" i="1"/>
  <c r="R1765" i="1"/>
  <c r="R1260" i="1"/>
  <c r="O1938" i="1"/>
  <c r="O1817" i="1"/>
  <c r="R1868" i="1"/>
  <c r="R1723" i="1"/>
  <c r="R1767" i="1"/>
  <c r="R1035" i="1"/>
  <c r="S1035" i="1"/>
  <c r="T1035" i="1" s="1"/>
  <c r="O1732" i="1"/>
  <c r="S1732" i="1" s="1"/>
  <c r="T1732" i="1" s="1"/>
  <c r="O1023" i="1"/>
  <c r="O1323" i="1"/>
  <c r="R1322" i="1"/>
  <c r="R1014" i="1"/>
  <c r="S1014" i="1"/>
  <c r="T1014" i="1" s="1"/>
  <c r="O1348" i="1"/>
  <c r="R1347" i="1"/>
  <c r="O1319" i="1"/>
  <c r="O1320" i="1" s="1"/>
  <c r="O1321" i="1" s="1"/>
  <c r="R1321" i="1" s="1"/>
  <c r="R1318" i="1"/>
  <c r="O1019" i="1"/>
  <c r="O1080" i="1"/>
  <c r="R1717" i="1"/>
  <c r="O1143" i="1"/>
  <c r="R1142" i="1"/>
  <c r="S1037" i="1"/>
  <c r="R998" i="1"/>
  <c r="R1917" i="1"/>
  <c r="S1168" i="1"/>
  <c r="R1104" i="1"/>
  <c r="S1218" i="1"/>
  <c r="T1218" i="1" s="1"/>
  <c r="O842" i="1"/>
  <c r="O843" i="1" s="1"/>
  <c r="R843" i="1" s="1"/>
  <c r="O1339" i="1"/>
  <c r="O1340" i="1" s="1"/>
  <c r="S1340" i="1" s="1"/>
  <c r="O1001" i="1"/>
  <c r="O890" i="1"/>
  <c r="R1030" i="1"/>
  <c r="S1030" i="1"/>
  <c r="O1066" i="1"/>
  <c r="O1067" i="1" s="1"/>
  <c r="O1068" i="1" s="1"/>
  <c r="R1068" i="1" s="1"/>
  <c r="O822" i="1"/>
  <c r="R820" i="1"/>
  <c r="R1293" i="1"/>
  <c r="S898" i="1"/>
  <c r="R898" i="1"/>
  <c r="R1033" i="1"/>
  <c r="O1310" i="1"/>
  <c r="O1311" i="1" s="1"/>
  <c r="O1312" i="1" s="1"/>
  <c r="R1312" i="1" s="1"/>
  <c r="R1173" i="1"/>
  <c r="R1106" i="1"/>
  <c r="S1941" i="1"/>
  <c r="S1234" i="1"/>
  <c r="R1234" i="1"/>
  <c r="R1147" i="1"/>
  <c r="O1283" i="1"/>
  <c r="S1282" i="1"/>
  <c r="R1282" i="1"/>
  <c r="R1192" i="1"/>
  <c r="S900" i="1"/>
  <c r="R900" i="1"/>
  <c r="S1097" i="1"/>
  <c r="O1098" i="1"/>
  <c r="R1097" i="1"/>
  <c r="O1116" i="1"/>
  <c r="O1117" i="1" s="1"/>
  <c r="S1117" i="1" s="1"/>
  <c r="T1117" i="1" s="1"/>
  <c r="S1364" i="1"/>
  <c r="R1364" i="1"/>
  <c r="O1223" i="1"/>
  <c r="O1224" i="1" s="1"/>
  <c r="R1138" i="1"/>
  <c r="O1139" i="1"/>
  <c r="S887" i="1"/>
  <c r="R887" i="1"/>
  <c r="S1227" i="1"/>
  <c r="T1227" i="1" s="1"/>
  <c r="O906" i="1"/>
  <c r="O986" i="1"/>
  <c r="O987" i="1" s="1"/>
  <c r="R985" i="1"/>
  <c r="S1083" i="1"/>
  <c r="R1083" i="1"/>
  <c r="O1335" i="1"/>
  <c r="O1336" i="1" s="1"/>
  <c r="R1325" i="1"/>
  <c r="S1325" i="1"/>
  <c r="O982" i="1"/>
  <c r="R981" i="1"/>
  <c r="O1313" i="1"/>
  <c r="O1314" i="1" s="1"/>
  <c r="S1314" i="1" s="1"/>
  <c r="R1102" i="1"/>
  <c r="S1102" i="1"/>
  <c r="T1102" i="1" s="1"/>
  <c r="S910" i="1"/>
  <c r="R910" i="1"/>
  <c r="O845" i="1"/>
  <c r="O846" i="1" s="1"/>
  <c r="O972" i="1"/>
  <c r="O973" i="1" s="1"/>
  <c r="R1011" i="1"/>
  <c r="R1050" i="1"/>
  <c r="R1085" i="1"/>
  <c r="O1086" i="1"/>
  <c r="R1207" i="1"/>
  <c r="S1207" i="1"/>
  <c r="R1075" i="1"/>
  <c r="O1077" i="1"/>
  <c r="O1078" i="1" s="1"/>
  <c r="O1071" i="1"/>
  <c r="R1070" i="1"/>
  <c r="O1182" i="1"/>
  <c r="S1922" i="1"/>
  <c r="T1922" i="1" s="1"/>
  <c r="O1137" i="1"/>
  <c r="R1135" i="1"/>
  <c r="O859" i="1"/>
  <c r="R857" i="1"/>
  <c r="S1201" i="1"/>
  <c r="R1217" i="1"/>
  <c r="S826" i="1"/>
  <c r="R823" i="1"/>
  <c r="R829" i="1"/>
  <c r="R1226" i="1"/>
  <c r="R864" i="1"/>
  <c r="S864" i="1"/>
  <c r="T864" i="1" s="1"/>
  <c r="S889" i="1"/>
  <c r="R1229" i="1"/>
  <c r="R1058" i="1"/>
  <c r="O1180" i="1"/>
  <c r="R1179" i="1"/>
  <c r="S1179" i="1"/>
  <c r="S1360" i="1"/>
  <c r="O816" i="1"/>
  <c r="O817" i="1" s="1"/>
  <c r="R814" i="1"/>
  <c r="R1122" i="1"/>
  <c r="S992" i="1"/>
  <c r="R992" i="1"/>
  <c r="O993" i="1"/>
  <c r="R1191" i="1"/>
  <c r="S1191" i="1"/>
  <c r="R950" i="1"/>
  <c r="S1261" i="1"/>
  <c r="O1410" i="1"/>
  <c r="O1411" i="1" s="1"/>
  <c r="O1412" i="1" s="1"/>
  <c r="R1397" i="1"/>
  <c r="R1396" i="1" s="1"/>
  <c r="R1395" i="1"/>
  <c r="R1394" i="1" s="1"/>
  <c r="S1395" i="1"/>
  <c r="T1395" i="1" s="1"/>
  <c r="T1397" i="1"/>
  <c r="S1396" i="1"/>
  <c r="O1705" i="1"/>
  <c r="O1660" i="1"/>
  <c r="O1661" i="1" s="1"/>
  <c r="S1669" i="1"/>
  <c r="T1669" i="1" s="1"/>
  <c r="R1669" i="1"/>
  <c r="R1668" i="1"/>
  <c r="R1604" i="1"/>
  <c r="O1391" i="1"/>
  <c r="R1391" i="1" s="1"/>
  <c r="S1712" i="1"/>
  <c r="R1712" i="1"/>
  <c r="R1711" i="1" s="1"/>
  <c r="O1382" i="1"/>
  <c r="R1382" i="1" s="1"/>
  <c r="R1403" i="1"/>
  <c r="O1420" i="1"/>
  <c r="R1419" i="1"/>
  <c r="O1606" i="1"/>
  <c r="O1607" i="1" s="1"/>
  <c r="R1607" i="1" s="1"/>
  <c r="R1373" i="1"/>
  <c r="O1416" i="1"/>
  <c r="O1417" i="1" s="1"/>
  <c r="O1418" i="1" s="1"/>
  <c r="R1418" i="1" s="1"/>
  <c r="R1388" i="1"/>
  <c r="S1388" i="1"/>
  <c r="O1376" i="1"/>
  <c r="O1377" i="1" s="1"/>
  <c r="R1386" i="1"/>
  <c r="S1386" i="1"/>
  <c r="R1371" i="1"/>
  <c r="O1609" i="1"/>
  <c r="O1610" i="1" s="1"/>
  <c r="R1610" i="1" s="1"/>
  <c r="R1608" i="1"/>
  <c r="S1422" i="1"/>
  <c r="R1422" i="1"/>
  <c r="O1423" i="1"/>
  <c r="R1657" i="1"/>
  <c r="R1379" i="1"/>
  <c r="O1670" i="1"/>
  <c r="O1671" i="1" s="1"/>
  <c r="S6959" i="1" l="1"/>
  <c r="T6959" i="1" s="1"/>
  <c r="R6959" i="1"/>
  <c r="O6960" i="1"/>
  <c r="T1269" i="1"/>
  <c r="R2869" i="1"/>
  <c r="S2869" i="1"/>
  <c r="T2869" i="1" s="1"/>
  <c r="O2870" i="1"/>
  <c r="R2777" i="1"/>
  <c r="S2777" i="1"/>
  <c r="T2777" i="1" s="1"/>
  <c r="O2778" i="1"/>
  <c r="X18" i="1"/>
  <c r="Y18" i="1" s="1"/>
  <c r="AA18" i="1"/>
  <c r="Z18" i="1" s="1"/>
  <c r="W20" i="1"/>
  <c r="T1368" i="1"/>
  <c r="R967" i="1"/>
  <c r="O968" i="1"/>
  <c r="S968" i="1" s="1"/>
  <c r="T968" i="1" s="1"/>
  <c r="R966" i="1"/>
  <c r="S875" i="1"/>
  <c r="T875" i="1" s="1"/>
  <c r="R876" i="1"/>
  <c r="V38" i="7"/>
  <c r="V24" i="7"/>
  <c r="V25" i="7"/>
  <c r="U37" i="7"/>
  <c r="V32" i="7"/>
  <c r="U20" i="7"/>
  <c r="U21" i="7"/>
  <c r="V34" i="7"/>
  <c r="V35" i="7" s="1"/>
  <c r="V33" i="7"/>
  <c r="V16" i="7"/>
  <c r="V17" i="7" s="1"/>
  <c r="V14" i="7"/>
  <c r="V13" i="7"/>
  <c r="V19" i="7"/>
  <c r="X11" i="7"/>
  <c r="W12" i="7"/>
  <c r="W40" i="7"/>
  <c r="W7" i="7"/>
  <c r="W6" i="7"/>
  <c r="X5" i="7"/>
  <c r="W8" i="7"/>
  <c r="W9" i="7" s="1"/>
  <c r="AE4" i="7"/>
  <c r="AF3" i="7"/>
  <c r="Y27" i="7"/>
  <c r="X28" i="7"/>
  <c r="X29" i="7" s="1"/>
  <c r="U36" i="7"/>
  <c r="V30" i="7"/>
  <c r="V41" i="7"/>
  <c r="V42" i="7" s="1"/>
  <c r="S1113" i="1"/>
  <c r="T1113" i="1" s="1"/>
  <c r="S1751" i="1"/>
  <c r="T1751" i="1" s="1"/>
  <c r="R1971" i="1"/>
  <c r="S1971" i="1"/>
  <c r="O2287" i="1"/>
  <c r="S2286" i="1"/>
  <c r="T2286" i="1" s="1"/>
  <c r="R2286" i="1"/>
  <c r="O2528" i="1"/>
  <c r="O2529" i="1" s="1"/>
  <c r="R1969" i="1"/>
  <c r="S1969" i="1"/>
  <c r="S1222" i="1"/>
  <c r="T1222" i="1" s="1"/>
  <c r="S1834" i="1"/>
  <c r="T1834" i="1" s="1"/>
  <c r="S1690" i="1"/>
  <c r="T1690" i="1" s="1"/>
  <c r="T962" i="1"/>
  <c r="S1966" i="1"/>
  <c r="T1966" i="1" s="1"/>
  <c r="R914" i="1"/>
  <c r="S1196" i="1"/>
  <c r="T1196" i="1" s="1"/>
  <c r="T1280" i="1"/>
  <c r="T1268" i="1"/>
  <c r="S1748" i="1"/>
  <c r="T1748" i="1" s="1"/>
  <c r="S1265" i="1"/>
  <c r="T1265" i="1" s="1"/>
  <c r="S1383" i="1"/>
  <c r="T1383" i="1" s="1"/>
  <c r="S1075" i="1"/>
  <c r="T1075" i="1" s="1"/>
  <c r="S996" i="1"/>
  <c r="T996" i="1" s="1"/>
  <c r="R849" i="1"/>
  <c r="S850" i="1"/>
  <c r="T850" i="1" s="1"/>
  <c r="S1308" i="1"/>
  <c r="T1308" i="1" s="1"/>
  <c r="S807" i="1"/>
  <c r="T807" i="1" s="1"/>
  <c r="R1759" i="1"/>
  <c r="S1244" i="1"/>
  <c r="T1244" i="1" s="1"/>
  <c r="T1367" i="1"/>
  <c r="S966" i="1"/>
  <c r="T966" i="1" s="1"/>
  <c r="S1758" i="1"/>
  <c r="T1758" i="1" s="1"/>
  <c r="S1763" i="1"/>
  <c r="T1763" i="1" s="1"/>
  <c r="S849" i="1"/>
  <c r="T849" i="1" s="1"/>
  <c r="R965" i="1"/>
  <c r="O1760" i="1"/>
  <c r="R1760" i="1" s="1"/>
  <c r="S1259" i="1"/>
  <c r="T1259" i="1" s="1"/>
  <c r="S1171" i="1"/>
  <c r="T1171" i="1" s="1"/>
  <c r="T961" i="1"/>
  <c r="S1349" i="1"/>
  <c r="T1349" i="1" s="1"/>
  <c r="S1357" i="1"/>
  <c r="T1357" i="1" s="1"/>
  <c r="S1723" i="1"/>
  <c r="T1723" i="1" s="1"/>
  <c r="R1743" i="1"/>
  <c r="S1248" i="1"/>
  <c r="T1248" i="1" s="1"/>
  <c r="S1810" i="1"/>
  <c r="T1810" i="1" s="1"/>
  <c r="S1252" i="1"/>
  <c r="T1252" i="1" s="1"/>
  <c r="S1108" i="1"/>
  <c r="T1108" i="1" s="1"/>
  <c r="R1774" i="1"/>
  <c r="S1147" i="1"/>
  <c r="T1147" i="1" s="1"/>
  <c r="S1247" i="1"/>
  <c r="S1246" i="1" s="1"/>
  <c r="T1246" i="1" s="1"/>
  <c r="R1119" i="1"/>
  <c r="S1904" i="1"/>
  <c r="T1904" i="1" s="1"/>
  <c r="S1159" i="1"/>
  <c r="T1159" i="1" s="1"/>
  <c r="S810" i="1"/>
  <c r="T810" i="1" s="1"/>
  <c r="S965" i="1"/>
  <c r="T965" i="1" s="1"/>
  <c r="S1353" i="1"/>
  <c r="T1353" i="1" s="1"/>
  <c r="S1414" i="1"/>
  <c r="S1413" i="1" s="1"/>
  <c r="T1413" i="1" s="1"/>
  <c r="S1256" i="1"/>
  <c r="T1256" i="1" s="1"/>
  <c r="R1257" i="1"/>
  <c r="S1114" i="1"/>
  <c r="T1114" i="1" s="1"/>
  <c r="S902" i="1"/>
  <c r="T902" i="1" s="1"/>
  <c r="S1332" i="1"/>
  <c r="T1332" i="1" s="1"/>
  <c r="R1017" i="1"/>
  <c r="S1329" i="1"/>
  <c r="T1329" i="1" s="1"/>
  <c r="S862" i="1"/>
  <c r="T862" i="1" s="1"/>
  <c r="S1767" i="1"/>
  <c r="T1767" i="1" s="1"/>
  <c r="S1687" i="1"/>
  <c r="T1687" i="1" s="1"/>
  <c r="S1841" i="1"/>
  <c r="T1841" i="1" s="1"/>
  <c r="S1914" i="1"/>
  <c r="S1913" i="1" s="1"/>
  <c r="T1913" i="1" s="1"/>
  <c r="O1775" i="1"/>
  <c r="R1775" i="1" s="1"/>
  <c r="S1120" i="1"/>
  <c r="T1120" i="1" s="1"/>
  <c r="R1120" i="1"/>
  <c r="R1332" i="1"/>
  <c r="S1772" i="1"/>
  <c r="T1772" i="1" s="1"/>
  <c r="S1898" i="1"/>
  <c r="T1898" i="1" s="1"/>
  <c r="S1119" i="1"/>
  <c r="O1899" i="1"/>
  <c r="S1899" i="1" s="1"/>
  <c r="T1899" i="1" s="1"/>
  <c r="S1807" i="1"/>
  <c r="T1807" i="1" s="1"/>
  <c r="R935" i="1"/>
  <c r="S1284" i="1"/>
  <c r="T1284" i="1" s="1"/>
  <c r="S904" i="1"/>
  <c r="T904" i="1" s="1"/>
  <c r="S1797" i="1"/>
  <c r="T1797" i="1" s="1"/>
  <c r="S860" i="1"/>
  <c r="T860" i="1" s="1"/>
  <c r="S1342" i="1"/>
  <c r="T1342" i="1" s="1"/>
  <c r="R1855" i="1"/>
  <c r="S1211" i="1"/>
  <c r="T1211" i="1" s="1"/>
  <c r="R1314" i="1"/>
  <c r="S1370" i="1"/>
  <c r="T1370" i="1" s="1"/>
  <c r="S873" i="1"/>
  <c r="T873" i="1" s="1"/>
  <c r="R861" i="1"/>
  <c r="R1164" i="1"/>
  <c r="S1164" i="1"/>
  <c r="R1117" i="1"/>
  <c r="S1195" i="1"/>
  <c r="R1195" i="1"/>
  <c r="R1205" i="1"/>
  <c r="S1205" i="1"/>
  <c r="S1266" i="1"/>
  <c r="T1266" i="1" s="1"/>
  <c r="S1263" i="1"/>
  <c r="R1263" i="1"/>
  <c r="R1944" i="1"/>
  <c r="S1869" i="1"/>
  <c r="T1869" i="1" s="1"/>
  <c r="R1869" i="1"/>
  <c r="S1783" i="1"/>
  <c r="T1783" i="1" s="1"/>
  <c r="O1856" i="1"/>
  <c r="R1856" i="1" s="1"/>
  <c r="S1822" i="1"/>
  <c r="T1822" i="1" s="1"/>
  <c r="S1725" i="1"/>
  <c r="T1725" i="1" s="1"/>
  <c r="S1739" i="1"/>
  <c r="T1739" i="1" s="1"/>
  <c r="R1714" i="1"/>
  <c r="S1857" i="1"/>
  <c r="T1857" i="1" s="1"/>
  <c r="S1945" i="1"/>
  <c r="T1945" i="1" s="1"/>
  <c r="S1749" i="1"/>
  <c r="T1749" i="1" s="1"/>
  <c r="S1942" i="1"/>
  <c r="T1942" i="1" s="1"/>
  <c r="S1802" i="1"/>
  <c r="T1802" i="1" s="1"/>
  <c r="S1226" i="1"/>
  <c r="T1226" i="1" s="1"/>
  <c r="T1403" i="1"/>
  <c r="R1411" i="1"/>
  <c r="R1402" i="1"/>
  <c r="R1742" i="1"/>
  <c r="S1742" i="1"/>
  <c r="T1742" i="1" s="1"/>
  <c r="S1722" i="1"/>
  <c r="S1721" i="1" s="1"/>
  <c r="T1721" i="1" s="1"/>
  <c r="S1896" i="1"/>
  <c r="T1896" i="1" s="1"/>
  <c r="S1832" i="1"/>
  <c r="T1832" i="1" s="1"/>
  <c r="S1818" i="1"/>
  <c r="T1818" i="1" s="1"/>
  <c r="S1675" i="1"/>
  <c r="T1675" i="1" s="1"/>
  <c r="R1914" i="1"/>
  <c r="O1916" i="1"/>
  <c r="S1916" i="1" s="1"/>
  <c r="T1916" i="1" s="1"/>
  <c r="R1915" i="1"/>
  <c r="S1787" i="1"/>
  <c r="T1787" i="1" s="1"/>
  <c r="S1727" i="1"/>
  <c r="T1727" i="1" s="1"/>
  <c r="S1603" i="1"/>
  <c r="T1603" i="1" s="1"/>
  <c r="S1910" i="1"/>
  <c r="T1910" i="1" s="1"/>
  <c r="O1755" i="1"/>
  <c r="S1754" i="1"/>
  <c r="R1754" i="1"/>
  <c r="R1906" i="1"/>
  <c r="S1906" i="1"/>
  <c r="T1906" i="1" s="1"/>
  <c r="S1719" i="1"/>
  <c r="T1719" i="1" s="1"/>
  <c r="O1830" i="1"/>
  <c r="R1829" i="1"/>
  <c r="S1829" i="1"/>
  <c r="O1889" i="1"/>
  <c r="R1888" i="1"/>
  <c r="S1888" i="1"/>
  <c r="T1888" i="1" s="1"/>
  <c r="R1417" i="1"/>
  <c r="R1732" i="1"/>
  <c r="S1838" i="1"/>
  <c r="S1837" i="1" s="1"/>
  <c r="T1837" i="1" s="1"/>
  <c r="S1809" i="1"/>
  <c r="T1809" i="1" s="1"/>
  <c r="R1809" i="1"/>
  <c r="S1717" i="1"/>
  <c r="T1717" i="1" s="1"/>
  <c r="T1279" i="1"/>
  <c r="S1925" i="1"/>
  <c r="T1925" i="1" s="1"/>
  <c r="S1956" i="1"/>
  <c r="T1956" i="1" s="1"/>
  <c r="S1785" i="1"/>
  <c r="T1785" i="1" s="1"/>
  <c r="S1217" i="1"/>
  <c r="T1217" i="1" s="1"/>
  <c r="S1793" i="1"/>
  <c r="T1793" i="1" s="1"/>
  <c r="R1671" i="1"/>
  <c r="S1671" i="1"/>
  <c r="T1671" i="1" s="1"/>
  <c r="R1377" i="1"/>
  <c r="R1660" i="1"/>
  <c r="S1660" i="1"/>
  <c r="S1101" i="1"/>
  <c r="T1101" i="1" s="1"/>
  <c r="R1067" i="1"/>
  <c r="R1340" i="1"/>
  <c r="R1348" i="1"/>
  <c r="S1348" i="1"/>
  <c r="R1938" i="1"/>
  <c r="S1938" i="1"/>
  <c r="O1939" i="1"/>
  <c r="R1792" i="1"/>
  <c r="S1792" i="1"/>
  <c r="R1216" i="1"/>
  <c r="S1216" i="1"/>
  <c r="R1848" i="1"/>
  <c r="S1848" i="1"/>
  <c r="T1848" i="1" s="1"/>
  <c r="R1306" i="1"/>
  <c r="S1306" i="1"/>
  <c r="O1307" i="1"/>
  <c r="S1344" i="1"/>
  <c r="R1344" i="1"/>
  <c r="O1220" i="1"/>
  <c r="S1219" i="1"/>
  <c r="T1219" i="1" s="1"/>
  <c r="R1219" i="1"/>
  <c r="T1251" i="1"/>
  <c r="S1250" i="1"/>
  <c r="T1250" i="1" s="1"/>
  <c r="S1744" i="1"/>
  <c r="T1744" i="1" s="1"/>
  <c r="R1824" i="1"/>
  <c r="S1824" i="1"/>
  <c r="T1824" i="1" s="1"/>
  <c r="T826" i="1"/>
  <c r="S825" i="1"/>
  <c r="T825" i="1" s="1"/>
  <c r="R973" i="1"/>
  <c r="O974" i="1"/>
  <c r="T1941" i="1"/>
  <c r="S1940" i="1"/>
  <c r="T1940" i="1" s="1"/>
  <c r="R1158" i="1"/>
  <c r="S1158" i="1"/>
  <c r="O1199" i="1"/>
  <c r="R1198" i="1"/>
  <c r="S1198" i="1"/>
  <c r="T1198" i="1" s="1"/>
  <c r="R1738" i="1"/>
  <c r="S1738" i="1"/>
  <c r="T1738" i="1" s="1"/>
  <c r="T1844" i="1"/>
  <c r="S1843" i="1"/>
  <c r="T1843" i="1" s="1"/>
  <c r="R933" i="1"/>
  <c r="S1932" i="1"/>
  <c r="R1932" i="1"/>
  <c r="R1779" i="1"/>
  <c r="S1779" i="1"/>
  <c r="R912" i="1"/>
  <c r="S912" i="1"/>
  <c r="R1907" i="1"/>
  <c r="S1907" i="1"/>
  <c r="T1907" i="1" s="1"/>
  <c r="O1908" i="1"/>
  <c r="R1214" i="1"/>
  <c r="S1214" i="1"/>
  <c r="R1228" i="1"/>
  <c r="S1228" i="1"/>
  <c r="T1228" i="1" s="1"/>
  <c r="T1261" i="1"/>
  <c r="S1260" i="1"/>
  <c r="T1260" i="1" s="1"/>
  <c r="R817" i="1"/>
  <c r="S817" i="1"/>
  <c r="T817" i="1" s="1"/>
  <c r="S1412" i="1"/>
  <c r="T1412" i="1" s="1"/>
  <c r="R1412" i="1"/>
  <c r="S1321" i="1"/>
  <c r="T1321" i="1" s="1"/>
  <c r="T889" i="1"/>
  <c r="S888" i="1"/>
  <c r="T888" i="1" s="1"/>
  <c r="S1078" i="1"/>
  <c r="T1078" i="1" s="1"/>
  <c r="R1078" i="1"/>
  <c r="S1311" i="1"/>
  <c r="S1310" i="1" s="1"/>
  <c r="S1067" i="1"/>
  <c r="T1067" i="1" s="1"/>
  <c r="T1037" i="1"/>
  <c r="S1036" i="1"/>
  <c r="T1036" i="1" s="1"/>
  <c r="R1080" i="1"/>
  <c r="S1080" i="1"/>
  <c r="R1162" i="1"/>
  <c r="S1162" i="1"/>
  <c r="S1362" i="1"/>
  <c r="R1362" i="1"/>
  <c r="S1878" i="1"/>
  <c r="R1878" i="1"/>
  <c r="O1879" i="1"/>
  <c r="R1149" i="1"/>
  <c r="S1149" i="1"/>
  <c r="T1149" i="1" s="1"/>
  <c r="S1903" i="1"/>
  <c r="R1903" i="1"/>
  <c r="O1948" i="1"/>
  <c r="R1947" i="1"/>
  <c r="S1947" i="1"/>
  <c r="T1947" i="1" s="1"/>
  <c r="S1930" i="1"/>
  <c r="R1930" i="1"/>
  <c r="T1757" i="1"/>
  <c r="S1756" i="1"/>
  <c r="T1756" i="1" s="1"/>
  <c r="T1716" i="1"/>
  <c r="S1715" i="1"/>
  <c r="T1715" i="1" s="1"/>
  <c r="O1782" i="1"/>
  <c r="S1781" i="1"/>
  <c r="R1781" i="1"/>
  <c r="R1934" i="1"/>
  <c r="S1934" i="1"/>
  <c r="O1935" i="1"/>
  <c r="T1360" i="1"/>
  <c r="S1359" i="1"/>
  <c r="T1359" i="1" s="1"/>
  <c r="T1201" i="1"/>
  <c r="S1200" i="1"/>
  <c r="T1200" i="1" s="1"/>
  <c r="R1336" i="1"/>
  <c r="O1337" i="1"/>
  <c r="R1311" i="1"/>
  <c r="T1806" i="1"/>
  <c r="S1805" i="1"/>
  <c r="T1805" i="1" s="1"/>
  <c r="R1103" i="1"/>
  <c r="S1103" i="1"/>
  <c r="T1103" i="1" s="1"/>
  <c r="R1128" i="1"/>
  <c r="S1128" i="1"/>
  <c r="S1729" i="1"/>
  <c r="T1729" i="1" s="1"/>
  <c r="R1729" i="1"/>
  <c r="O1730" i="1"/>
  <c r="T1762" i="1"/>
  <c r="S1761" i="1"/>
  <c r="T1761" i="1" s="1"/>
  <c r="T1766" i="1"/>
  <c r="S1765" i="1"/>
  <c r="T1765" i="1" s="1"/>
  <c r="T1850" i="1"/>
  <c r="S1849" i="1"/>
  <c r="T1849" i="1" s="1"/>
  <c r="R1840" i="1"/>
  <c r="S1840" i="1"/>
  <c r="R1346" i="1"/>
  <c r="S1346" i="1"/>
  <c r="S843" i="1"/>
  <c r="T843" i="1" s="1"/>
  <c r="O1020" i="1"/>
  <c r="R1019" i="1"/>
  <c r="S1019" i="1"/>
  <c r="R1323" i="1"/>
  <c r="S1323" i="1"/>
  <c r="S1921" i="1"/>
  <c r="T1921" i="1" s="1"/>
  <c r="R1203" i="1"/>
  <c r="S1203" i="1"/>
  <c r="T1826" i="1"/>
  <c r="S1825" i="1"/>
  <c r="T1825" i="1" s="1"/>
  <c r="R1100" i="1"/>
  <c r="S1100" i="1"/>
  <c r="R1952" i="1"/>
  <c r="S1952" i="1"/>
  <c r="O1953" i="1"/>
  <c r="T1737" i="1"/>
  <c r="S1736" i="1"/>
  <c r="T1736" i="1" s="1"/>
  <c r="S1864" i="1"/>
  <c r="T1864" i="1" s="1"/>
  <c r="R1864" i="1"/>
  <c r="O1865" i="1"/>
  <c r="R827" i="1"/>
  <c r="S827" i="1"/>
  <c r="T827" i="1" s="1"/>
  <c r="T1881" i="1"/>
  <c r="S1880" i="1"/>
  <c r="T1880" i="1" s="1"/>
  <c r="S1166" i="1"/>
  <c r="R1166" i="1"/>
  <c r="T1255" i="1"/>
  <c r="S1254" i="1"/>
  <c r="T1254" i="1" s="1"/>
  <c r="O1150" i="1"/>
  <c r="T1714" i="1"/>
  <c r="S1713" i="1"/>
  <c r="T1713" i="1" s="1"/>
  <c r="T1863" i="1"/>
  <c r="S1862" i="1"/>
  <c r="T1862" i="1" s="1"/>
  <c r="O1884" i="1"/>
  <c r="R1883" i="1"/>
  <c r="S1883" i="1"/>
  <c r="T1883" i="1" s="1"/>
  <c r="R846" i="1"/>
  <c r="O847" i="1"/>
  <c r="R1224" i="1"/>
  <c r="O1225" i="1"/>
  <c r="T1168" i="1"/>
  <c r="S1167" i="1"/>
  <c r="T1167" i="1" s="1"/>
  <c r="R1125" i="1"/>
  <c r="O1126" i="1"/>
  <c r="S1125" i="1"/>
  <c r="R809" i="1"/>
  <c r="S809" i="1"/>
  <c r="S1130" i="1"/>
  <c r="R1130" i="1"/>
  <c r="S1156" i="1"/>
  <c r="R1328" i="1"/>
  <c r="S1328" i="1"/>
  <c r="T1804" i="1"/>
  <c r="S1803" i="1"/>
  <c r="T1803" i="1" s="1"/>
  <c r="R1928" i="1"/>
  <c r="S1928" i="1"/>
  <c r="T1928" i="1" s="1"/>
  <c r="T1855" i="1"/>
  <c r="S1854" i="1"/>
  <c r="T1854" i="1" s="1"/>
  <c r="R813" i="1"/>
  <c r="S813" i="1"/>
  <c r="R1912" i="1"/>
  <c r="S1912" i="1"/>
  <c r="T1912" i="1" s="1"/>
  <c r="S1769" i="1"/>
  <c r="T1769" i="1" s="1"/>
  <c r="O1735" i="1"/>
  <c r="R1734" i="1"/>
  <c r="S1734" i="1"/>
  <c r="R1851" i="1"/>
  <c r="S1851" i="1"/>
  <c r="T1851" i="1" s="1"/>
  <c r="O1852" i="1"/>
  <c r="S1861" i="1"/>
  <c r="R1861" i="1"/>
  <c r="S1731" i="1"/>
  <c r="T1731" i="1" s="1"/>
  <c r="R1870" i="1"/>
  <c r="S1870" i="1"/>
  <c r="T1870" i="1" s="1"/>
  <c r="S1417" i="1"/>
  <c r="S1416" i="1" s="1"/>
  <c r="T1017" i="1"/>
  <c r="S1016" i="1"/>
  <c r="T1016" i="1" s="1"/>
  <c r="R1319" i="1"/>
  <c r="S1319" i="1"/>
  <c r="O1024" i="1"/>
  <c r="R1023" i="1"/>
  <c r="S1023" i="1"/>
  <c r="S1866" i="1"/>
  <c r="T1866" i="1" s="1"/>
  <c r="R1111" i="1"/>
  <c r="S1111" i="1"/>
  <c r="T1847" i="1"/>
  <c r="S1846" i="1"/>
  <c r="T1846" i="1" s="1"/>
  <c r="R1916" i="1"/>
  <c r="S1411" i="1"/>
  <c r="T1411" i="1" s="1"/>
  <c r="T1815" i="1"/>
  <c r="S1814" i="1"/>
  <c r="T1814" i="1" s="1"/>
  <c r="R1813" i="1"/>
  <c r="S1813" i="1"/>
  <c r="R832" i="1"/>
  <c r="S832" i="1"/>
  <c r="O1924" i="1"/>
  <c r="R1923" i="1"/>
  <c r="S1923" i="1"/>
  <c r="T1923" i="1" s="1"/>
  <c r="R1661" i="1"/>
  <c r="S1661" i="1"/>
  <c r="T1661" i="1" s="1"/>
  <c r="T1325" i="1"/>
  <c r="S1324" i="1"/>
  <c r="T1324" i="1" s="1"/>
  <c r="O988" i="1"/>
  <c r="R987" i="1"/>
  <c r="S987" i="1"/>
  <c r="T987" i="1" s="1"/>
  <c r="T900" i="1"/>
  <c r="R1143" i="1"/>
  <c r="S1143" i="1"/>
  <c r="S1817" i="1"/>
  <c r="R1817" i="1"/>
  <c r="R830" i="1"/>
  <c r="S830" i="1"/>
  <c r="O1303" i="1"/>
  <c r="R1302" i="1"/>
  <c r="S1302" i="1"/>
  <c r="R1872" i="1"/>
  <c r="S1872" i="1"/>
  <c r="O1873" i="1"/>
  <c r="T1886" i="1"/>
  <c r="S1885" i="1"/>
  <c r="T1885" i="1" s="1"/>
  <c r="R1800" i="1"/>
  <c r="S1800" i="1"/>
  <c r="R1796" i="1"/>
  <c r="S1796" i="1"/>
  <c r="S1955" i="1"/>
  <c r="R1955" i="1"/>
  <c r="R1366" i="1"/>
  <c r="S1366" i="1"/>
  <c r="S970" i="1"/>
  <c r="O971" i="1"/>
  <c r="R1292" i="1"/>
  <c r="S1292" i="1"/>
  <c r="R1959" i="1"/>
  <c r="O1960" i="1"/>
  <c r="S1959" i="1"/>
  <c r="R1919" i="1"/>
  <c r="S1919" i="1"/>
  <c r="T1919" i="1" s="1"/>
  <c r="O1920" i="1"/>
  <c r="S858" i="1"/>
  <c r="R1137" i="1"/>
  <c r="S1137" i="1"/>
  <c r="T1137" i="1" s="1"/>
  <c r="S1012" i="1"/>
  <c r="O1286" i="1"/>
  <c r="O1287" i="1" s="1"/>
  <c r="R1287" i="1" s="1"/>
  <c r="R842" i="1"/>
  <c r="S842" i="1"/>
  <c r="T842" i="1" s="1"/>
  <c r="R1121" i="1"/>
  <c r="S1121" i="1"/>
  <c r="T1121" i="1" s="1"/>
  <c r="T1207" i="1"/>
  <c r="S1206" i="1"/>
  <c r="T1206" i="1" s="1"/>
  <c r="S845" i="1"/>
  <c r="R845" i="1"/>
  <c r="T1179" i="1"/>
  <c r="S1178" i="1"/>
  <c r="T1178" i="1" s="1"/>
  <c r="S824" i="1"/>
  <c r="S859" i="1"/>
  <c r="T859" i="1" s="1"/>
  <c r="R859" i="1"/>
  <c r="S1136" i="1"/>
  <c r="O1208" i="1"/>
  <c r="O1209" i="1" s="1"/>
  <c r="R1209" i="1" s="1"/>
  <c r="R986" i="1"/>
  <c r="S986" i="1"/>
  <c r="T1364" i="1"/>
  <c r="S1363" i="1"/>
  <c r="T1363" i="1" s="1"/>
  <c r="T1282" i="1"/>
  <c r="S1281" i="1"/>
  <c r="T1281" i="1" s="1"/>
  <c r="O956" i="1"/>
  <c r="O957" i="1" s="1"/>
  <c r="R822" i="1"/>
  <c r="S822" i="1"/>
  <c r="T822" i="1" s="1"/>
  <c r="R890" i="1"/>
  <c r="O891" i="1"/>
  <c r="T1340" i="1"/>
  <c r="S1918" i="1"/>
  <c r="R1086" i="1"/>
  <c r="S1086" i="1"/>
  <c r="S999" i="1"/>
  <c r="R816" i="1"/>
  <c r="S816" i="1"/>
  <c r="S1059" i="1"/>
  <c r="R972" i="1"/>
  <c r="T910" i="1"/>
  <c r="S909" i="1"/>
  <c r="T909" i="1" s="1"/>
  <c r="S1336" i="1"/>
  <c r="T1336" i="1" s="1"/>
  <c r="S1294" i="1"/>
  <c r="O1069" i="1"/>
  <c r="R1066" i="1"/>
  <c r="R1339" i="1"/>
  <c r="S1339" i="1"/>
  <c r="T1339" i="1" s="1"/>
  <c r="R1180" i="1"/>
  <c r="S1180" i="1"/>
  <c r="T1180" i="1" s="1"/>
  <c r="O1072" i="1"/>
  <c r="O1073" i="1" s="1"/>
  <c r="R1073" i="1" s="1"/>
  <c r="R1071" i="1"/>
  <c r="S1071" i="1"/>
  <c r="T898" i="1"/>
  <c r="S897" i="1"/>
  <c r="T897" i="1" s="1"/>
  <c r="R1320" i="1"/>
  <c r="S1320" i="1"/>
  <c r="T1320" i="1" s="1"/>
  <c r="S1394" i="1"/>
  <c r="T1394" i="1" s="1"/>
  <c r="O994" i="1"/>
  <c r="R993" i="1"/>
  <c r="S993" i="1"/>
  <c r="T993" i="1" s="1"/>
  <c r="R1077" i="1"/>
  <c r="S1077" i="1"/>
  <c r="T1077" i="1" s="1"/>
  <c r="S973" i="1"/>
  <c r="T973" i="1" s="1"/>
  <c r="O1315" i="1"/>
  <c r="R1313" i="1"/>
  <c r="S1313" i="1"/>
  <c r="O1186" i="1"/>
  <c r="R1333" i="1"/>
  <c r="S1333" i="1"/>
  <c r="T1333" i="1" s="1"/>
  <c r="O1334" i="1"/>
  <c r="S1312" i="1"/>
  <c r="T1312" i="1" s="1"/>
  <c r="S1068" i="1"/>
  <c r="T1068" i="1" s="1"/>
  <c r="S1105" i="1"/>
  <c r="O1296" i="1"/>
  <c r="O1297" i="1" s="1"/>
  <c r="S1297" i="1" s="1"/>
  <c r="T1297" i="1" s="1"/>
  <c r="O1131" i="1"/>
  <c r="O1132" i="1" s="1"/>
  <c r="O1133" i="1" s="1"/>
  <c r="R934" i="1"/>
  <c r="S934" i="1"/>
  <c r="T934" i="1" s="1"/>
  <c r="T1314" i="1"/>
  <c r="R1335" i="1"/>
  <c r="R1098" i="1"/>
  <c r="S1098" i="1"/>
  <c r="T1098" i="1" s="1"/>
  <c r="S1193" i="1"/>
  <c r="S1107" i="1"/>
  <c r="T1030" i="1"/>
  <c r="S1029" i="1"/>
  <c r="T1029" i="1" s="1"/>
  <c r="T1191" i="1"/>
  <c r="S1190" i="1"/>
  <c r="T1190" i="1" s="1"/>
  <c r="R1139" i="1"/>
  <c r="S1139" i="1"/>
  <c r="R1116" i="1"/>
  <c r="S1116" i="1"/>
  <c r="T1116" i="1" s="1"/>
  <c r="R1283" i="1"/>
  <c r="S1283" i="1"/>
  <c r="T1283" i="1" s="1"/>
  <c r="S1123" i="1"/>
  <c r="T992" i="1"/>
  <c r="S991" i="1"/>
  <c r="T991" i="1" s="1"/>
  <c r="T914" i="1"/>
  <c r="S913" i="1"/>
  <c r="T913" i="1" s="1"/>
  <c r="O1183" i="1"/>
  <c r="O1184" i="1" s="1"/>
  <c r="R1182" i="1"/>
  <c r="S1182" i="1"/>
  <c r="T1182" i="1" s="1"/>
  <c r="S1224" i="1"/>
  <c r="T1224" i="1" s="1"/>
  <c r="T1097" i="1"/>
  <c r="S1096" i="1"/>
  <c r="T1096" i="1" s="1"/>
  <c r="R1310" i="1"/>
  <c r="R1001" i="1"/>
  <c r="R982" i="1"/>
  <c r="S982" i="1"/>
  <c r="O983" i="1"/>
  <c r="T1083" i="1"/>
  <c r="S1082" i="1"/>
  <c r="T1082" i="1" s="1"/>
  <c r="O907" i="1"/>
  <c r="O908" i="1" s="1"/>
  <c r="R906" i="1"/>
  <c r="S906" i="1"/>
  <c r="T906" i="1" s="1"/>
  <c r="T887" i="1"/>
  <c r="S886" i="1"/>
  <c r="T886" i="1" s="1"/>
  <c r="R1223" i="1"/>
  <c r="T1234" i="1"/>
  <c r="S1233" i="1"/>
  <c r="T1233" i="1" s="1"/>
  <c r="S1034" i="1"/>
  <c r="S821" i="1"/>
  <c r="R1410" i="1"/>
  <c r="S1410" i="1"/>
  <c r="T1410" i="1" s="1"/>
  <c r="S1605" i="1"/>
  <c r="T1396" i="1"/>
  <c r="S1668" i="1"/>
  <c r="T1668" i="1" s="1"/>
  <c r="T1712" i="1"/>
  <c r="S1711" i="1"/>
  <c r="T1711" i="1" s="1"/>
  <c r="O1692" i="1"/>
  <c r="O1693" i="1" s="1"/>
  <c r="O1699" i="1"/>
  <c r="O1700" i="1" s="1"/>
  <c r="S1393" i="1"/>
  <c r="S1391" i="1"/>
  <c r="S1390" i="1" s="1"/>
  <c r="T1390" i="1" s="1"/>
  <c r="S1382" i="1"/>
  <c r="T1382" i="1" s="1"/>
  <c r="S1420" i="1"/>
  <c r="R1420" i="1"/>
  <c r="R1606" i="1"/>
  <c r="R1416" i="1"/>
  <c r="S1610" i="1"/>
  <c r="T1610" i="1" s="1"/>
  <c r="R1376" i="1"/>
  <c r="R1375" i="1" s="1"/>
  <c r="O1378" i="1"/>
  <c r="R1609" i="1"/>
  <c r="S1609" i="1"/>
  <c r="O1455" i="1"/>
  <c r="O1456" i="1" s="1"/>
  <c r="T1388" i="1"/>
  <c r="S1387" i="1"/>
  <c r="T1387" i="1" s="1"/>
  <c r="S1418" i="1"/>
  <c r="T1418" i="1" s="1"/>
  <c r="S1380" i="1"/>
  <c r="S1658" i="1"/>
  <c r="S1372" i="1"/>
  <c r="R1670" i="1"/>
  <c r="S1670" i="1"/>
  <c r="T1670" i="1" s="1"/>
  <c r="O1672" i="1"/>
  <c r="O1673" i="1" s="1"/>
  <c r="O1662" i="1"/>
  <c r="S1423" i="1"/>
  <c r="T1423" i="1" s="1"/>
  <c r="R1423" i="1"/>
  <c r="O1424" i="1"/>
  <c r="S1374" i="1"/>
  <c r="T1422" i="1"/>
  <c r="S1421" i="1"/>
  <c r="T1421" i="1" s="1"/>
  <c r="T1386" i="1"/>
  <c r="S1385" i="1"/>
  <c r="T1385" i="1" s="1"/>
  <c r="S6960" i="1" l="1"/>
  <c r="T6960" i="1" s="1"/>
  <c r="R6960" i="1"/>
  <c r="S1112" i="1"/>
  <c r="T1112" i="1" s="1"/>
  <c r="O6961" i="1"/>
  <c r="S2778" i="1"/>
  <c r="T2778" i="1" s="1"/>
  <c r="R2778" i="1"/>
  <c r="S2870" i="1"/>
  <c r="T2870" i="1" s="1"/>
  <c r="R2870" i="1"/>
  <c r="O2871" i="1"/>
  <c r="W21" i="1"/>
  <c r="X19" i="1"/>
  <c r="Y19" i="1" s="1"/>
  <c r="AA19" i="1"/>
  <c r="Z19" i="1" s="1"/>
  <c r="R968" i="1"/>
  <c r="S899" i="1"/>
  <c r="T899" i="1" s="1"/>
  <c r="S933" i="1"/>
  <c r="T933" i="1" s="1"/>
  <c r="T982" i="1"/>
  <c r="S981" i="1"/>
  <c r="T816" i="1"/>
  <c r="S815" i="1"/>
  <c r="S1221" i="1"/>
  <c r="T1221" i="1" s="1"/>
  <c r="T830" i="1"/>
  <c r="S829" i="1"/>
  <c r="T1086" i="1"/>
  <c r="S1085" i="1"/>
  <c r="S1689" i="1"/>
  <c r="T1689" i="1" s="1"/>
  <c r="W38" i="7"/>
  <c r="W24" i="7"/>
  <c r="W25" i="7"/>
  <c r="V37" i="7"/>
  <c r="W34" i="7"/>
  <c r="W35" i="7" s="1"/>
  <c r="W32" i="7"/>
  <c r="Y11" i="7"/>
  <c r="X12" i="7"/>
  <c r="W14" i="7"/>
  <c r="W13" i="7"/>
  <c r="W16" i="7"/>
  <c r="W17" i="7" s="1"/>
  <c r="W33" i="7"/>
  <c r="V20" i="7"/>
  <c r="V21" i="7"/>
  <c r="Y5" i="7"/>
  <c r="X6" i="7"/>
  <c r="X40" i="7"/>
  <c r="X41" i="7" s="1"/>
  <c r="X42" i="7" s="1"/>
  <c r="X7" i="7"/>
  <c r="X8" i="7"/>
  <c r="X9" i="7" s="1"/>
  <c r="W19" i="7"/>
  <c r="AG3" i="7"/>
  <c r="AF4" i="7"/>
  <c r="Z27" i="7"/>
  <c r="Y28" i="7"/>
  <c r="Y29" i="7" s="1"/>
  <c r="V36" i="7"/>
  <c r="W30" i="7"/>
  <c r="W41" i="7"/>
  <c r="W42" i="7" s="1"/>
  <c r="S1331" i="1"/>
  <c r="T1331" i="1" s="1"/>
  <c r="S2529" i="1"/>
  <c r="T2529" i="1" s="1"/>
  <c r="O2530" i="1"/>
  <c r="R2529" i="1"/>
  <c r="O2288" i="1"/>
  <c r="S2287" i="1"/>
  <c r="T2287" i="1" s="1"/>
  <c r="R2287" i="1"/>
  <c r="T1971" i="1"/>
  <c r="S1970" i="1"/>
  <c r="T1970" i="1" s="1"/>
  <c r="S2528" i="1"/>
  <c r="T2528" i="1" s="1"/>
  <c r="R2528" i="1"/>
  <c r="S1264" i="1"/>
  <c r="T1264" i="1" s="1"/>
  <c r="T1969" i="1"/>
  <c r="S1968" i="1"/>
  <c r="T1968" i="1" s="1"/>
  <c r="S806" i="1"/>
  <c r="T806" i="1" s="1"/>
  <c r="S1747" i="1"/>
  <c r="T1747" i="1" s="1"/>
  <c r="T1914" i="1"/>
  <c r="S964" i="1"/>
  <c r="T964" i="1" s="1"/>
  <c r="S848" i="1"/>
  <c r="T848" i="1" s="1"/>
  <c r="T1414" i="1"/>
  <c r="S1760" i="1"/>
  <c r="T1760" i="1" s="1"/>
  <c r="S1258" i="1"/>
  <c r="T1258" i="1" s="1"/>
  <c r="T1247" i="1"/>
  <c r="S1341" i="1"/>
  <c r="T1341" i="1" s="1"/>
  <c r="S1856" i="1"/>
  <c r="T1856" i="1" s="1"/>
  <c r="T1722" i="1"/>
  <c r="S1369" i="1"/>
  <c r="T1369" i="1" s="1"/>
  <c r="S903" i="1"/>
  <c r="T903" i="1" s="1"/>
  <c r="S1775" i="1"/>
  <c r="T1775" i="1" s="1"/>
  <c r="O1900" i="1"/>
  <c r="S1900" i="1" s="1"/>
  <c r="T1900" i="1" s="1"/>
  <c r="O1776" i="1"/>
  <c r="R1776" i="1" s="1"/>
  <c r="R1899" i="1"/>
  <c r="T1119" i="1"/>
  <c r="S1118" i="1"/>
  <c r="T1118" i="1" s="1"/>
  <c r="R1132" i="1"/>
  <c r="T1205" i="1"/>
  <c r="S1204" i="1"/>
  <c r="T1204" i="1" s="1"/>
  <c r="T1195" i="1"/>
  <c r="S1194" i="1"/>
  <c r="T1194" i="1" s="1"/>
  <c r="T1263" i="1"/>
  <c r="S1262" i="1"/>
  <c r="T1262" i="1" s="1"/>
  <c r="T1164" i="1"/>
  <c r="S1163" i="1"/>
  <c r="T1163" i="1" s="1"/>
  <c r="S1801" i="1"/>
  <c r="T1801" i="1" s="1"/>
  <c r="T1417" i="1"/>
  <c r="T1838" i="1"/>
  <c r="S1674" i="1"/>
  <c r="T1674" i="1" s="1"/>
  <c r="S1741" i="1"/>
  <c r="T1741" i="1" s="1"/>
  <c r="S1602" i="1"/>
  <c r="T1602" i="1" s="1"/>
  <c r="S1409" i="1"/>
  <c r="T1409" i="1" s="1"/>
  <c r="S1223" i="1"/>
  <c r="T1223" i="1" s="1"/>
  <c r="T1754" i="1"/>
  <c r="S1753" i="1"/>
  <c r="T1753" i="1" s="1"/>
  <c r="R1755" i="1"/>
  <c r="S1755" i="1"/>
  <c r="T1755" i="1" s="1"/>
  <c r="T1311" i="1"/>
  <c r="R1889" i="1"/>
  <c r="O1890" i="1"/>
  <c r="S1889" i="1"/>
  <c r="T1889" i="1" s="1"/>
  <c r="T1829" i="1"/>
  <c r="S1828" i="1"/>
  <c r="T1828" i="1" s="1"/>
  <c r="T1416" i="1"/>
  <c r="S1830" i="1"/>
  <c r="T1830" i="1" s="1"/>
  <c r="R1830" i="1"/>
  <c r="T1391" i="1"/>
  <c r="S1066" i="1"/>
  <c r="T1066" i="1" s="1"/>
  <c r="S841" i="1"/>
  <c r="T841" i="1" s="1"/>
  <c r="T1313" i="1"/>
  <c r="T1310" i="1"/>
  <c r="T1139" i="1"/>
  <c r="S1138" i="1"/>
  <c r="T1138" i="1" s="1"/>
  <c r="T1071" i="1"/>
  <c r="S1070" i="1"/>
  <c r="T1070" i="1" s="1"/>
  <c r="S972" i="1"/>
  <c r="T972" i="1" s="1"/>
  <c r="S1209" i="1"/>
  <c r="T1209" i="1" s="1"/>
  <c r="S1873" i="1"/>
  <c r="T1873" i="1" s="1"/>
  <c r="R1873" i="1"/>
  <c r="O1874" i="1"/>
  <c r="T1023" i="1"/>
  <c r="S1022" i="1"/>
  <c r="T1022" i="1" s="1"/>
  <c r="R1852" i="1"/>
  <c r="O1853" i="1"/>
  <c r="S1852" i="1"/>
  <c r="T1852" i="1" s="1"/>
  <c r="R1953" i="1"/>
  <c r="S1953" i="1"/>
  <c r="T1953" i="1" s="1"/>
  <c r="O1021" i="1"/>
  <c r="R1020" i="1"/>
  <c r="S1020" i="1"/>
  <c r="T1020" i="1" s="1"/>
  <c r="R1948" i="1"/>
  <c r="O1949" i="1"/>
  <c r="S1948" i="1"/>
  <c r="T1948" i="1" s="1"/>
  <c r="T1158" i="1"/>
  <c r="S1157" i="1"/>
  <c r="T1157" i="1" s="1"/>
  <c r="S1307" i="1"/>
  <c r="T1307" i="1" s="1"/>
  <c r="R1307" i="1"/>
  <c r="T1216" i="1"/>
  <c r="S1215" i="1"/>
  <c r="T1215" i="1" s="1"/>
  <c r="T1372" i="1"/>
  <c r="S1371" i="1"/>
  <c r="T1371" i="1" s="1"/>
  <c r="T1034" i="1"/>
  <c r="S1033" i="1"/>
  <c r="T1033" i="1" s="1"/>
  <c r="T1107" i="1"/>
  <c r="S1106" i="1"/>
  <c r="T1106" i="1" s="1"/>
  <c r="R1133" i="1"/>
  <c r="S1133" i="1"/>
  <c r="T1133" i="1" s="1"/>
  <c r="S1338" i="1"/>
  <c r="T1338" i="1" s="1"/>
  <c r="R957" i="1"/>
  <c r="S957" i="1"/>
  <c r="T957" i="1" s="1"/>
  <c r="T1292" i="1"/>
  <c r="S1291" i="1"/>
  <c r="T1291" i="1" s="1"/>
  <c r="T1955" i="1"/>
  <c r="S1954" i="1"/>
  <c r="T1954" i="1" s="1"/>
  <c r="T1872" i="1"/>
  <c r="S1871" i="1"/>
  <c r="T1871" i="1" s="1"/>
  <c r="T1817" i="1"/>
  <c r="S1816" i="1"/>
  <c r="T1816" i="1" s="1"/>
  <c r="T813" i="1"/>
  <c r="S812" i="1"/>
  <c r="T812" i="1" s="1"/>
  <c r="S1129" i="1"/>
  <c r="T1129" i="1" s="1"/>
  <c r="T1130" i="1"/>
  <c r="S1225" i="1"/>
  <c r="T1225" i="1" s="1"/>
  <c r="R1225" i="1"/>
  <c r="T1952" i="1"/>
  <c r="S1951" i="1"/>
  <c r="T1951" i="1" s="1"/>
  <c r="S1202" i="1"/>
  <c r="T1202" i="1" s="1"/>
  <c r="T1203" i="1"/>
  <c r="T1128" i="1"/>
  <c r="S1127" i="1"/>
  <c r="T1127" i="1" s="1"/>
  <c r="T912" i="1"/>
  <c r="S911" i="1"/>
  <c r="T911" i="1" s="1"/>
  <c r="T1306" i="1"/>
  <c r="S1305" i="1"/>
  <c r="T1305" i="1" s="1"/>
  <c r="T1374" i="1"/>
  <c r="S1373" i="1"/>
  <c r="T1373" i="1" s="1"/>
  <c r="R1700" i="1"/>
  <c r="R1699" i="1" s="1"/>
  <c r="O1701" i="1"/>
  <c r="T1605" i="1"/>
  <c r="S1604" i="1"/>
  <c r="T1604" i="1" s="1"/>
  <c r="T1123" i="1"/>
  <c r="S1122" i="1"/>
  <c r="T1122" i="1" s="1"/>
  <c r="S1132" i="1"/>
  <c r="T1132" i="1" s="1"/>
  <c r="T1294" i="1"/>
  <c r="S1293" i="1"/>
  <c r="T1293" i="1" s="1"/>
  <c r="T1136" i="1"/>
  <c r="S1135" i="1"/>
  <c r="T1135" i="1" s="1"/>
  <c r="T1796" i="1"/>
  <c r="S1795" i="1"/>
  <c r="T1795" i="1" s="1"/>
  <c r="T1143" i="1"/>
  <c r="S1142" i="1"/>
  <c r="T1142" i="1" s="1"/>
  <c r="O989" i="1"/>
  <c r="S988" i="1"/>
  <c r="T988" i="1" s="1"/>
  <c r="R988" i="1"/>
  <c r="O1025" i="1"/>
  <c r="R1024" i="1"/>
  <c r="S1024" i="1"/>
  <c r="T1024" i="1" s="1"/>
  <c r="T809" i="1"/>
  <c r="S808" i="1"/>
  <c r="T808" i="1" s="1"/>
  <c r="R1884" i="1"/>
  <c r="S1884" i="1"/>
  <c r="T1884" i="1" s="1"/>
  <c r="R1150" i="1"/>
  <c r="S1150" i="1"/>
  <c r="T1150" i="1" s="1"/>
  <c r="O1151" i="1"/>
  <c r="S1935" i="1"/>
  <c r="T1935" i="1" s="1"/>
  <c r="R1935" i="1"/>
  <c r="O1936" i="1"/>
  <c r="T1903" i="1"/>
  <c r="S1902" i="1"/>
  <c r="T1902" i="1" s="1"/>
  <c r="T1792" i="1"/>
  <c r="S1791" i="1"/>
  <c r="T1791" i="1" s="1"/>
  <c r="R1693" i="1"/>
  <c r="R1692" i="1" s="1"/>
  <c r="T999" i="1"/>
  <c r="S998" i="1"/>
  <c r="T998" i="1" s="1"/>
  <c r="T986" i="1"/>
  <c r="S985" i="1"/>
  <c r="T985" i="1" s="1"/>
  <c r="S1920" i="1"/>
  <c r="T1920" i="1" s="1"/>
  <c r="R1920" i="1"/>
  <c r="T1302" i="1"/>
  <c r="S1301" i="1"/>
  <c r="T1301" i="1" s="1"/>
  <c r="S1924" i="1"/>
  <c r="T1924" i="1" s="1"/>
  <c r="R1924" i="1"/>
  <c r="T1111" i="1"/>
  <c r="S1110" i="1"/>
  <c r="T1110" i="1" s="1"/>
  <c r="T1319" i="1"/>
  <c r="S1318" i="1"/>
  <c r="T1318" i="1" s="1"/>
  <c r="T1734" i="1"/>
  <c r="S1733" i="1"/>
  <c r="T1733" i="1" s="1"/>
  <c r="S1327" i="1"/>
  <c r="T1327" i="1" s="1"/>
  <c r="T1328" i="1"/>
  <c r="R1865" i="1"/>
  <c r="S1865" i="1"/>
  <c r="T1865" i="1" s="1"/>
  <c r="R1337" i="1"/>
  <c r="S1337" i="1"/>
  <c r="T1337" i="1" s="1"/>
  <c r="T1934" i="1"/>
  <c r="S1933" i="1"/>
  <c r="T1933" i="1" s="1"/>
  <c r="T1362" i="1"/>
  <c r="S1361" i="1"/>
  <c r="T1361" i="1" s="1"/>
  <c r="T1779" i="1"/>
  <c r="S1778" i="1"/>
  <c r="T1778" i="1" s="1"/>
  <c r="T1609" i="1"/>
  <c r="S1608" i="1"/>
  <c r="T1608" i="1" s="1"/>
  <c r="T1393" i="1"/>
  <c r="S1392" i="1"/>
  <c r="T1392" i="1" s="1"/>
  <c r="S1335" i="1"/>
  <c r="T1335" i="1" s="1"/>
  <c r="R1297" i="1"/>
  <c r="S905" i="1"/>
  <c r="T905" i="1" s="1"/>
  <c r="S1181" i="1"/>
  <c r="T1181" i="1" s="1"/>
  <c r="R971" i="1"/>
  <c r="S971" i="1"/>
  <c r="T971" i="1" s="1"/>
  <c r="T1800" i="1"/>
  <c r="S1799" i="1"/>
  <c r="T1799" i="1" s="1"/>
  <c r="T832" i="1"/>
  <c r="S831" i="1"/>
  <c r="T831" i="1" s="1"/>
  <c r="T1125" i="1"/>
  <c r="S1124" i="1"/>
  <c r="T1124" i="1" s="1"/>
  <c r="S1322" i="1"/>
  <c r="T1322" i="1" s="1"/>
  <c r="T1323" i="1"/>
  <c r="T1346" i="1"/>
  <c r="S1345" i="1"/>
  <c r="T1345" i="1" s="1"/>
  <c r="S1161" i="1"/>
  <c r="T1161" i="1" s="1"/>
  <c r="T1162" i="1"/>
  <c r="T1214" i="1"/>
  <c r="S1213" i="1"/>
  <c r="T1213" i="1" s="1"/>
  <c r="S974" i="1"/>
  <c r="T974" i="1" s="1"/>
  <c r="R974" i="1"/>
  <c r="R1220" i="1"/>
  <c r="S1220" i="1"/>
  <c r="T1220" i="1" s="1"/>
  <c r="S1939" i="1"/>
  <c r="T1939" i="1" s="1"/>
  <c r="R1939" i="1"/>
  <c r="T1658" i="1"/>
  <c r="S1657" i="1"/>
  <c r="T1657" i="1" s="1"/>
  <c r="S908" i="1"/>
  <c r="T908" i="1" s="1"/>
  <c r="R908" i="1"/>
  <c r="S1184" i="1"/>
  <c r="T1184" i="1" s="1"/>
  <c r="R1184" i="1"/>
  <c r="T1193" i="1"/>
  <c r="S1192" i="1"/>
  <c r="T1192" i="1" s="1"/>
  <c r="S1073" i="1"/>
  <c r="T1073" i="1" s="1"/>
  <c r="S1287" i="1"/>
  <c r="T1287" i="1" s="1"/>
  <c r="T970" i="1"/>
  <c r="S969" i="1"/>
  <c r="T969" i="1" s="1"/>
  <c r="S1303" i="1"/>
  <c r="T1303" i="1" s="1"/>
  <c r="O1304" i="1"/>
  <c r="R1303" i="1"/>
  <c r="S1735" i="1"/>
  <c r="T1735" i="1" s="1"/>
  <c r="R1735" i="1"/>
  <c r="R1126" i="1"/>
  <c r="S1126" i="1"/>
  <c r="T1126" i="1" s="1"/>
  <c r="T1100" i="1"/>
  <c r="S1099" i="1"/>
  <c r="T1099" i="1" s="1"/>
  <c r="T1930" i="1"/>
  <c r="S1929" i="1"/>
  <c r="T1929" i="1" s="1"/>
  <c r="R1879" i="1"/>
  <c r="S1879" i="1"/>
  <c r="T1879" i="1" s="1"/>
  <c r="T1938" i="1"/>
  <c r="S1937" i="1"/>
  <c r="T1937" i="1" s="1"/>
  <c r="T824" i="1"/>
  <c r="S823" i="1"/>
  <c r="T823" i="1" s="1"/>
  <c r="T1012" i="1"/>
  <c r="S1011" i="1"/>
  <c r="T1011" i="1" s="1"/>
  <c r="T858" i="1"/>
  <c r="S857" i="1"/>
  <c r="T857" i="1" s="1"/>
  <c r="T1959" i="1"/>
  <c r="S1958" i="1"/>
  <c r="T1958" i="1" s="1"/>
  <c r="T1366" i="1"/>
  <c r="S1365" i="1"/>
  <c r="T1365" i="1" s="1"/>
  <c r="T1813" i="1"/>
  <c r="S1812" i="1"/>
  <c r="T1812" i="1" s="1"/>
  <c r="R847" i="1"/>
  <c r="S847" i="1"/>
  <c r="S1165" i="1"/>
  <c r="T1165" i="1" s="1"/>
  <c r="T1166" i="1"/>
  <c r="T1019" i="1"/>
  <c r="S1018" i="1"/>
  <c r="T1018" i="1" s="1"/>
  <c r="T1840" i="1"/>
  <c r="S1839" i="1"/>
  <c r="T1839" i="1" s="1"/>
  <c r="S1730" i="1"/>
  <c r="T1730" i="1" s="1"/>
  <c r="R1730" i="1"/>
  <c r="T1781" i="1"/>
  <c r="S1780" i="1"/>
  <c r="T1780" i="1" s="1"/>
  <c r="T1080" i="1"/>
  <c r="S1079" i="1"/>
  <c r="T1079" i="1" s="1"/>
  <c r="O1909" i="1"/>
  <c r="S1908" i="1"/>
  <c r="T1908" i="1" s="1"/>
  <c r="R1908" i="1"/>
  <c r="T1932" i="1"/>
  <c r="S1931" i="1"/>
  <c r="T1931" i="1" s="1"/>
  <c r="T1344" i="1"/>
  <c r="S1343" i="1"/>
  <c r="T1343" i="1" s="1"/>
  <c r="T1660" i="1"/>
  <c r="S1659" i="1"/>
  <c r="T1659" i="1" s="1"/>
  <c r="T1380" i="1"/>
  <c r="S1379" i="1"/>
  <c r="T1379" i="1" s="1"/>
  <c r="T821" i="1"/>
  <c r="S820" i="1"/>
  <c r="T820" i="1" s="1"/>
  <c r="T1105" i="1"/>
  <c r="S1104" i="1"/>
  <c r="T1104" i="1" s="1"/>
  <c r="T1059" i="1"/>
  <c r="S1058" i="1"/>
  <c r="T1058" i="1" s="1"/>
  <c r="T1918" i="1"/>
  <c r="S1917" i="1"/>
  <c r="T1917" i="1" s="1"/>
  <c r="T845" i="1"/>
  <c r="S844" i="1"/>
  <c r="T844" i="1" s="1"/>
  <c r="R1960" i="1"/>
  <c r="O1961" i="1"/>
  <c r="S1960" i="1"/>
  <c r="T1960" i="1" s="1"/>
  <c r="T1861" i="1"/>
  <c r="S1860" i="1"/>
  <c r="T1860" i="1" s="1"/>
  <c r="T1156" i="1"/>
  <c r="S1155" i="1"/>
  <c r="T1155" i="1" s="1"/>
  <c r="R1782" i="1"/>
  <c r="S1782" i="1"/>
  <c r="T1782" i="1" s="1"/>
  <c r="T1878" i="1"/>
  <c r="S1877" i="1"/>
  <c r="T1877" i="1" s="1"/>
  <c r="S1199" i="1"/>
  <c r="T1199" i="1" s="1"/>
  <c r="R1199" i="1"/>
  <c r="T1348" i="1"/>
  <c r="S1347" i="1"/>
  <c r="T1347" i="1" s="1"/>
  <c r="O1134" i="1"/>
  <c r="R1131" i="1"/>
  <c r="S1131" i="1"/>
  <c r="T1131" i="1" s="1"/>
  <c r="R1315" i="1"/>
  <c r="S1315" i="1"/>
  <c r="T1315" i="1" s="1"/>
  <c r="O1316" i="1"/>
  <c r="O1317" i="1" s="1"/>
  <c r="R1069" i="1"/>
  <c r="S1069" i="1"/>
  <c r="T1069" i="1" s="1"/>
  <c r="S956" i="1"/>
  <c r="R956" i="1"/>
  <c r="O958" i="1"/>
  <c r="O959" i="1" s="1"/>
  <c r="R983" i="1"/>
  <c r="S983" i="1"/>
  <c r="T983" i="1" s="1"/>
  <c r="O984" i="1"/>
  <c r="S994" i="1"/>
  <c r="T994" i="1" s="1"/>
  <c r="R994" i="1"/>
  <c r="O995" i="1"/>
  <c r="R1072" i="1"/>
  <c r="S1072" i="1"/>
  <c r="T1072" i="1" s="1"/>
  <c r="O1074" i="1"/>
  <c r="O937" i="1"/>
  <c r="R891" i="1"/>
  <c r="S891" i="1"/>
  <c r="O892" i="1"/>
  <c r="O893" i="1" s="1"/>
  <c r="O1235" i="1"/>
  <c r="O1236" i="1" s="1"/>
  <c r="O1237" i="1" s="1"/>
  <c r="R1286" i="1"/>
  <c r="O1288" i="1"/>
  <c r="O1289" i="1" s="1"/>
  <c r="S1381" i="1"/>
  <c r="T1381" i="1" s="1"/>
  <c r="R907" i="1"/>
  <c r="S907" i="1"/>
  <c r="T907" i="1" s="1"/>
  <c r="O1002" i="1"/>
  <c r="R1183" i="1"/>
  <c r="S1183" i="1"/>
  <c r="T1183" i="1" s="1"/>
  <c r="R1334" i="1"/>
  <c r="S1334" i="1"/>
  <c r="T1334" i="1" s="1"/>
  <c r="O1174" i="1"/>
  <c r="O1175" i="1" s="1"/>
  <c r="O1176" i="1" s="1"/>
  <c r="O1298" i="1"/>
  <c r="O1299" i="1" s="1"/>
  <c r="R1296" i="1"/>
  <c r="S1296" i="1"/>
  <c r="R1186" i="1"/>
  <c r="S1186" i="1"/>
  <c r="O1187" i="1"/>
  <c r="O1188" i="1" s="1"/>
  <c r="R1208" i="1"/>
  <c r="S1208" i="1"/>
  <c r="T1208" i="1" s="1"/>
  <c r="O1210" i="1"/>
  <c r="O1706" i="1"/>
  <c r="O1707" i="1" s="1"/>
  <c r="R1673" i="1"/>
  <c r="S1673" i="1"/>
  <c r="T1673" i="1" s="1"/>
  <c r="O1694" i="1"/>
  <c r="O1695" i="1" s="1"/>
  <c r="O1404" i="1"/>
  <c r="O1405" i="1" s="1"/>
  <c r="S1607" i="1"/>
  <c r="T1420" i="1"/>
  <c r="S1419" i="1"/>
  <c r="T1419" i="1" s="1"/>
  <c r="S1424" i="1"/>
  <c r="T1424" i="1" s="1"/>
  <c r="R1424" i="1"/>
  <c r="O1433" i="1"/>
  <c r="R1662" i="1"/>
  <c r="S1662" i="1"/>
  <c r="T1662" i="1" s="1"/>
  <c r="O1611" i="1"/>
  <c r="O1612" i="1" s="1"/>
  <c r="S1612" i="1" s="1"/>
  <c r="T1612" i="1" s="1"/>
  <c r="S1672" i="1"/>
  <c r="T1672" i="1" s="1"/>
  <c r="R1672" i="1"/>
  <c r="S1378" i="1"/>
  <c r="R1378" i="1"/>
  <c r="O4" i="1"/>
  <c r="P4" i="1"/>
  <c r="Q4" i="1" s="1"/>
  <c r="P5" i="1"/>
  <c r="O6" i="1"/>
  <c r="P6" i="1"/>
  <c r="Q6" i="1" s="1"/>
  <c r="P7" i="1"/>
  <c r="P8" i="1"/>
  <c r="O9" i="1"/>
  <c r="O10" i="1" s="1"/>
  <c r="P9" i="1"/>
  <c r="Q9" i="1" s="1"/>
  <c r="P10" i="1"/>
  <c r="O11" i="1"/>
  <c r="O12" i="1" s="1"/>
  <c r="P11" i="1"/>
  <c r="Q11" i="1" s="1"/>
  <c r="P12" i="1"/>
  <c r="O13" i="1"/>
  <c r="P13" i="1"/>
  <c r="Q13" i="1" s="1"/>
  <c r="P14" i="1"/>
  <c r="O15" i="1"/>
  <c r="O16" i="1" s="1"/>
  <c r="P15" i="1"/>
  <c r="Q15" i="1" s="1"/>
  <c r="P16" i="1"/>
  <c r="O17" i="1"/>
  <c r="O18" i="1" s="1"/>
  <c r="P17" i="1"/>
  <c r="Q17" i="1" s="1"/>
  <c r="P18" i="1"/>
  <c r="O19" i="1"/>
  <c r="O20" i="1" s="1"/>
  <c r="P19" i="1"/>
  <c r="Q19" i="1" s="1"/>
  <c r="P20" i="1"/>
  <c r="O21" i="1"/>
  <c r="P21" i="1"/>
  <c r="Q21" i="1" s="1"/>
  <c r="P22" i="1"/>
  <c r="P23" i="1"/>
  <c r="P24" i="1"/>
  <c r="P25" i="1"/>
  <c r="O26" i="1"/>
  <c r="O27" i="1" s="1"/>
  <c r="P26" i="1"/>
  <c r="Q26" i="1" s="1"/>
  <c r="P27" i="1"/>
  <c r="O28" i="1"/>
  <c r="O29" i="1" s="1"/>
  <c r="P28" i="1"/>
  <c r="Q28" i="1" s="1"/>
  <c r="P29" i="1"/>
  <c r="O30" i="1"/>
  <c r="O31" i="1" s="1"/>
  <c r="O32" i="1" s="1"/>
  <c r="P30" i="1"/>
  <c r="Q30" i="1" s="1"/>
  <c r="P31" i="1"/>
  <c r="P32" i="1"/>
  <c r="P33" i="1"/>
  <c r="P34" i="1"/>
  <c r="O35" i="1"/>
  <c r="O36" i="1" s="1"/>
  <c r="P35" i="1"/>
  <c r="Q35" i="1" s="1"/>
  <c r="P36" i="1"/>
  <c r="O37" i="1"/>
  <c r="P37" i="1"/>
  <c r="Q37" i="1" s="1"/>
  <c r="P38" i="1"/>
  <c r="O39" i="1"/>
  <c r="O40" i="1" s="1"/>
  <c r="P39" i="1"/>
  <c r="Q39" i="1" s="1"/>
  <c r="P40" i="1"/>
  <c r="P41" i="1"/>
  <c r="O42" i="1"/>
  <c r="P42" i="1"/>
  <c r="Q42" i="1" s="1"/>
  <c r="P43" i="1"/>
  <c r="P44" i="1"/>
  <c r="P45" i="1"/>
  <c r="P46" i="1"/>
  <c r="O47" i="1"/>
  <c r="O48" i="1" s="1"/>
  <c r="P47" i="1"/>
  <c r="Q47" i="1" s="1"/>
  <c r="P48" i="1"/>
  <c r="P49" i="1"/>
  <c r="O50" i="1"/>
  <c r="O51" i="1" s="1"/>
  <c r="P50" i="1"/>
  <c r="Q50" i="1" s="1"/>
  <c r="P51" i="1"/>
  <c r="P52" i="1"/>
  <c r="O53" i="1"/>
  <c r="P53" i="1"/>
  <c r="Q53" i="1" s="1"/>
  <c r="P54" i="1"/>
  <c r="O55" i="1"/>
  <c r="O56" i="1" s="1"/>
  <c r="P55" i="1"/>
  <c r="Q55" i="1" s="1"/>
  <c r="P56" i="1"/>
  <c r="P57" i="1"/>
  <c r="P58" i="1"/>
  <c r="P59" i="1"/>
  <c r="O60" i="1"/>
  <c r="O61" i="1" s="1"/>
  <c r="P60" i="1"/>
  <c r="Q60" i="1" s="1"/>
  <c r="P61" i="1"/>
  <c r="P62" i="1"/>
  <c r="P63" i="1"/>
  <c r="P64" i="1"/>
  <c r="P65" i="1"/>
  <c r="P66" i="1"/>
  <c r="P67" i="1"/>
  <c r="P68" i="1"/>
  <c r="P69" i="1"/>
  <c r="P70" i="1"/>
  <c r="O71" i="1"/>
  <c r="O72" i="1" s="1"/>
  <c r="P71" i="1"/>
  <c r="Q71" i="1" s="1"/>
  <c r="P72" i="1"/>
  <c r="O73" i="1"/>
  <c r="O74" i="1" s="1"/>
  <c r="P73" i="1"/>
  <c r="Q73" i="1" s="1"/>
  <c r="P74" i="1"/>
  <c r="O75" i="1"/>
  <c r="O76" i="1" s="1"/>
  <c r="P75" i="1"/>
  <c r="Q75" i="1" s="1"/>
  <c r="P76" i="1"/>
  <c r="P77" i="1"/>
  <c r="P78" i="1"/>
  <c r="P79" i="1"/>
  <c r="P80" i="1"/>
  <c r="P81" i="1"/>
  <c r="O82" i="1"/>
  <c r="O83" i="1" s="1"/>
  <c r="P82" i="1"/>
  <c r="Q82" i="1" s="1"/>
  <c r="P83" i="1"/>
  <c r="P84" i="1"/>
  <c r="P85" i="1"/>
  <c r="P86" i="1"/>
  <c r="P87" i="1"/>
  <c r="P88" i="1"/>
  <c r="P89" i="1"/>
  <c r="O90" i="1"/>
  <c r="P90" i="1"/>
  <c r="Q90" i="1" s="1"/>
  <c r="P91" i="1"/>
  <c r="O92" i="1"/>
  <c r="O93" i="1" s="1"/>
  <c r="P92" i="1"/>
  <c r="Q92" i="1" s="1"/>
  <c r="P93" i="1"/>
  <c r="O94" i="1"/>
  <c r="P94" i="1"/>
  <c r="Q94" i="1" s="1"/>
  <c r="P95" i="1"/>
  <c r="O96" i="1"/>
  <c r="P96" i="1"/>
  <c r="Q96" i="1" s="1"/>
  <c r="P97" i="1"/>
  <c r="O98" i="1"/>
  <c r="O99" i="1" s="1"/>
  <c r="P98" i="1"/>
  <c r="Q98" i="1" s="1"/>
  <c r="P99" i="1"/>
  <c r="O100" i="1"/>
  <c r="P100" i="1"/>
  <c r="Q100" i="1" s="1"/>
  <c r="P101" i="1"/>
  <c r="O102" i="1"/>
  <c r="P102" i="1"/>
  <c r="Q102" i="1" s="1"/>
  <c r="P103" i="1"/>
  <c r="O104" i="1"/>
  <c r="P104" i="1"/>
  <c r="Q104" i="1" s="1"/>
  <c r="P105" i="1"/>
  <c r="O106" i="1"/>
  <c r="O107" i="1" s="1"/>
  <c r="P106" i="1"/>
  <c r="Q106" i="1" s="1"/>
  <c r="P107" i="1"/>
  <c r="O108" i="1"/>
  <c r="P108" i="1"/>
  <c r="Q108" i="1" s="1"/>
  <c r="P109" i="1"/>
  <c r="O110" i="1"/>
  <c r="P110" i="1"/>
  <c r="Q110" i="1" s="1"/>
  <c r="P111" i="1"/>
  <c r="O112" i="1"/>
  <c r="P112" i="1"/>
  <c r="Q112" i="1" s="1"/>
  <c r="P113" i="1"/>
  <c r="P114" i="1"/>
  <c r="P115" i="1"/>
  <c r="P116" i="1"/>
  <c r="P117" i="1"/>
  <c r="P118" i="1"/>
  <c r="P119" i="1"/>
  <c r="P120" i="1"/>
  <c r="P121" i="1"/>
  <c r="P122" i="1"/>
  <c r="P123" i="1"/>
  <c r="O124" i="1"/>
  <c r="O125" i="1" s="1"/>
  <c r="O126" i="1" s="1"/>
  <c r="P124" i="1"/>
  <c r="Q124" i="1" s="1"/>
  <c r="P125" i="1"/>
  <c r="P126" i="1"/>
  <c r="O127" i="1"/>
  <c r="O128" i="1" s="1"/>
  <c r="P127" i="1"/>
  <c r="Q127" i="1" s="1"/>
  <c r="P128" i="1"/>
  <c r="P129" i="1"/>
  <c r="P130" i="1"/>
  <c r="P131" i="1"/>
  <c r="P132" i="1"/>
  <c r="O133" i="1"/>
  <c r="O134" i="1" s="1"/>
  <c r="O135" i="1" s="1"/>
  <c r="P133" i="1"/>
  <c r="Q133" i="1" s="1"/>
  <c r="P134" i="1"/>
  <c r="P135" i="1"/>
  <c r="O136" i="1"/>
  <c r="P136" i="1"/>
  <c r="Q136" i="1" s="1"/>
  <c r="P137" i="1"/>
  <c r="P138" i="1"/>
  <c r="O139" i="1"/>
  <c r="O140" i="1" s="1"/>
  <c r="P139" i="1"/>
  <c r="Q139" i="1" s="1"/>
  <c r="P140" i="1"/>
  <c r="P141" i="1"/>
  <c r="O142" i="1"/>
  <c r="O143" i="1" s="1"/>
  <c r="P142" i="1"/>
  <c r="Q142" i="1" s="1"/>
  <c r="P143" i="1"/>
  <c r="P144" i="1"/>
  <c r="P145" i="1"/>
  <c r="O146" i="1"/>
  <c r="O147" i="1" s="1"/>
  <c r="O148" i="1" s="1"/>
  <c r="O149" i="1" s="1"/>
  <c r="P146" i="1"/>
  <c r="Q146" i="1" s="1"/>
  <c r="P147" i="1"/>
  <c r="P148" i="1"/>
  <c r="P149" i="1"/>
  <c r="P150" i="1"/>
  <c r="P151" i="1"/>
  <c r="P152" i="1"/>
  <c r="O153" i="1"/>
  <c r="P153" i="1"/>
  <c r="Q153" i="1" s="1"/>
  <c r="P154" i="1"/>
  <c r="O155" i="1"/>
  <c r="O156" i="1" s="1"/>
  <c r="P155" i="1"/>
  <c r="Q155" i="1" s="1"/>
  <c r="P156" i="1"/>
  <c r="P157" i="1"/>
  <c r="P158" i="1"/>
  <c r="P159" i="1"/>
  <c r="P160" i="1"/>
  <c r="P161" i="1"/>
  <c r="P162" i="1"/>
  <c r="P163" i="1"/>
  <c r="O164" i="1"/>
  <c r="O165" i="1" s="1"/>
  <c r="P164" i="1"/>
  <c r="Q164" i="1" s="1"/>
  <c r="P165" i="1"/>
  <c r="P166" i="1"/>
  <c r="P167" i="1"/>
  <c r="P168" i="1"/>
  <c r="P169" i="1"/>
  <c r="P170" i="1"/>
  <c r="O171" i="1"/>
  <c r="O172" i="1" s="1"/>
  <c r="P171" i="1"/>
  <c r="Q171" i="1" s="1"/>
  <c r="P172" i="1"/>
  <c r="O173" i="1"/>
  <c r="P173" i="1"/>
  <c r="Q173" i="1" s="1"/>
  <c r="P174" i="1"/>
  <c r="O175" i="1"/>
  <c r="O176" i="1" s="1"/>
  <c r="P175" i="1"/>
  <c r="Q175" i="1" s="1"/>
  <c r="P176" i="1"/>
  <c r="O177" i="1"/>
  <c r="P177" i="1"/>
  <c r="Q177" i="1" s="1"/>
  <c r="P178" i="1"/>
  <c r="P179" i="1"/>
  <c r="O180" i="1"/>
  <c r="O181" i="1" s="1"/>
  <c r="P180" i="1"/>
  <c r="Q180" i="1" s="1"/>
  <c r="P181" i="1"/>
  <c r="P182" i="1"/>
  <c r="P183" i="1"/>
  <c r="P184" i="1"/>
  <c r="P185" i="1"/>
  <c r="P186" i="1"/>
  <c r="O187" i="1"/>
  <c r="P187" i="1"/>
  <c r="Q187" i="1" s="1"/>
  <c r="P188" i="1"/>
  <c r="P189" i="1"/>
  <c r="O190" i="1"/>
  <c r="P190" i="1"/>
  <c r="Q190" i="1" s="1"/>
  <c r="P191" i="1"/>
  <c r="P192" i="1"/>
  <c r="P193" i="1"/>
  <c r="P194" i="1"/>
  <c r="O195" i="1"/>
  <c r="P195" i="1"/>
  <c r="Q195" i="1" s="1"/>
  <c r="P196" i="1"/>
  <c r="O197" i="1"/>
  <c r="P197" i="1"/>
  <c r="Q197" i="1" s="1"/>
  <c r="P198" i="1"/>
  <c r="O199" i="1"/>
  <c r="P199" i="1"/>
  <c r="Q199" i="1" s="1"/>
  <c r="P200" i="1"/>
  <c r="O201" i="1"/>
  <c r="P201" i="1"/>
  <c r="Q201" i="1" s="1"/>
  <c r="P202" i="1"/>
  <c r="O203" i="1"/>
  <c r="P203" i="1"/>
  <c r="Q203" i="1" s="1"/>
  <c r="P204" i="1"/>
  <c r="O205" i="1"/>
  <c r="P205" i="1"/>
  <c r="Q205" i="1" s="1"/>
  <c r="P206" i="1"/>
  <c r="O207" i="1"/>
  <c r="O208" i="1" s="1"/>
  <c r="P207" i="1"/>
  <c r="Q207" i="1" s="1"/>
  <c r="P208" i="1"/>
  <c r="P209" i="1"/>
  <c r="P210" i="1"/>
  <c r="O211" i="1"/>
  <c r="O212" i="1" s="1"/>
  <c r="O213" i="1" s="1"/>
  <c r="P211" i="1"/>
  <c r="Q211" i="1" s="1"/>
  <c r="P212" i="1"/>
  <c r="P213" i="1"/>
  <c r="P214" i="1"/>
  <c r="P215" i="1"/>
  <c r="O216" i="1"/>
  <c r="O217" i="1" s="1"/>
  <c r="P216" i="1"/>
  <c r="Q216" i="1" s="1"/>
  <c r="P217" i="1"/>
  <c r="P218" i="1"/>
  <c r="P219" i="1"/>
  <c r="P220" i="1"/>
  <c r="O221" i="1"/>
  <c r="O222" i="1" s="1"/>
  <c r="P221" i="1"/>
  <c r="Q221" i="1" s="1"/>
  <c r="P222" i="1"/>
  <c r="O223" i="1"/>
  <c r="O224" i="1" s="1"/>
  <c r="P223" i="1"/>
  <c r="Q223" i="1" s="1"/>
  <c r="P224" i="1"/>
  <c r="O225" i="1"/>
  <c r="P225" i="1"/>
  <c r="Q225" i="1" s="1"/>
  <c r="P226" i="1"/>
  <c r="O227" i="1"/>
  <c r="P227" i="1"/>
  <c r="Q227" i="1" s="1"/>
  <c r="P228" i="1"/>
  <c r="O229" i="1"/>
  <c r="P229" i="1"/>
  <c r="Q229" i="1" s="1"/>
  <c r="P230" i="1"/>
  <c r="O231" i="1"/>
  <c r="P231" i="1"/>
  <c r="Q231" i="1" s="1"/>
  <c r="P232" i="1"/>
  <c r="O233" i="1"/>
  <c r="P233" i="1"/>
  <c r="Q233" i="1" s="1"/>
  <c r="P234" i="1"/>
  <c r="P235" i="1"/>
  <c r="O236" i="1"/>
  <c r="P236" i="1"/>
  <c r="Q236" i="1" s="1"/>
  <c r="P237" i="1"/>
  <c r="O238" i="1"/>
  <c r="P238" i="1"/>
  <c r="Q238" i="1" s="1"/>
  <c r="P239" i="1"/>
  <c r="O240" i="1"/>
  <c r="P240" i="1"/>
  <c r="Q240" i="1" s="1"/>
  <c r="P241" i="1"/>
  <c r="O242" i="1"/>
  <c r="O243" i="1" s="1"/>
  <c r="O244" i="1" s="1"/>
  <c r="P242" i="1"/>
  <c r="Q242" i="1" s="1"/>
  <c r="P243" i="1"/>
  <c r="P244" i="1"/>
  <c r="P245" i="1"/>
  <c r="P246" i="1"/>
  <c r="P247" i="1"/>
  <c r="O248" i="1"/>
  <c r="O249" i="1" s="1"/>
  <c r="P248" i="1"/>
  <c r="Q248" i="1" s="1"/>
  <c r="P249" i="1"/>
  <c r="P250" i="1"/>
  <c r="P251" i="1"/>
  <c r="P252" i="1"/>
  <c r="P253" i="1"/>
  <c r="O254" i="1"/>
  <c r="P254" i="1"/>
  <c r="Q254" i="1" s="1"/>
  <c r="P255" i="1"/>
  <c r="O256" i="1"/>
  <c r="P256" i="1"/>
  <c r="Q256" i="1" s="1"/>
  <c r="P257" i="1"/>
  <c r="P258" i="1"/>
  <c r="P259" i="1"/>
  <c r="O260" i="1"/>
  <c r="O261" i="1" s="1"/>
  <c r="P260" i="1"/>
  <c r="Q260" i="1" s="1"/>
  <c r="P261" i="1"/>
  <c r="O262" i="1"/>
  <c r="O263" i="1" s="1"/>
  <c r="P262" i="1"/>
  <c r="Q262" i="1" s="1"/>
  <c r="P263" i="1"/>
  <c r="P264" i="1"/>
  <c r="P265" i="1"/>
  <c r="P266" i="1"/>
  <c r="P267" i="1"/>
  <c r="P268" i="1"/>
  <c r="P269" i="1"/>
  <c r="O270" i="1"/>
  <c r="P270" i="1"/>
  <c r="Q270" i="1" s="1"/>
  <c r="P271" i="1"/>
  <c r="P272" i="1"/>
  <c r="P273" i="1"/>
  <c r="P274" i="1"/>
  <c r="P275" i="1"/>
  <c r="P276" i="1"/>
  <c r="P277" i="1"/>
  <c r="O278" i="1"/>
  <c r="O279" i="1" s="1"/>
  <c r="P278" i="1"/>
  <c r="Q278" i="1" s="1"/>
  <c r="P279" i="1"/>
  <c r="P280" i="1"/>
  <c r="P281" i="1"/>
  <c r="P282" i="1"/>
  <c r="O283" i="1"/>
  <c r="P283" i="1"/>
  <c r="Q283" i="1" s="1"/>
  <c r="P284" i="1"/>
  <c r="P285" i="1"/>
  <c r="O286" i="1"/>
  <c r="P286" i="1"/>
  <c r="Q286" i="1" s="1"/>
  <c r="P287" i="1"/>
  <c r="O288" i="1"/>
  <c r="P288" i="1"/>
  <c r="Q288" i="1" s="1"/>
  <c r="P289" i="1"/>
  <c r="P290" i="1"/>
  <c r="O291" i="1"/>
  <c r="O292" i="1" s="1"/>
  <c r="O293" i="1" s="1"/>
  <c r="P291" i="1"/>
  <c r="Q291" i="1" s="1"/>
  <c r="P292" i="1"/>
  <c r="P293" i="1"/>
  <c r="O294" i="1"/>
  <c r="O295" i="1" s="1"/>
  <c r="P294" i="1"/>
  <c r="Q294" i="1" s="1"/>
  <c r="P295" i="1"/>
  <c r="P296" i="1"/>
  <c r="P297" i="1"/>
  <c r="P298" i="1"/>
  <c r="P299" i="1"/>
  <c r="P300" i="1"/>
  <c r="O301" i="1"/>
  <c r="O302" i="1" s="1"/>
  <c r="P301" i="1"/>
  <c r="Q301" i="1" s="1"/>
  <c r="P302" i="1"/>
  <c r="O303" i="1"/>
  <c r="O304" i="1" s="1"/>
  <c r="P303" i="1"/>
  <c r="Q303" i="1" s="1"/>
  <c r="P304" i="1"/>
  <c r="O305" i="1"/>
  <c r="P305" i="1"/>
  <c r="Q305" i="1" s="1"/>
  <c r="P306" i="1"/>
  <c r="P307" i="1"/>
  <c r="P308" i="1"/>
  <c r="P309" i="1"/>
  <c r="P310" i="1"/>
  <c r="P311" i="1"/>
  <c r="P312" i="1"/>
  <c r="O313" i="1"/>
  <c r="P313" i="1"/>
  <c r="Q313" i="1" s="1"/>
  <c r="P314" i="1"/>
  <c r="P315" i="1"/>
  <c r="P316" i="1"/>
  <c r="P317" i="1"/>
  <c r="P318" i="1"/>
  <c r="P319" i="1"/>
  <c r="P320" i="1"/>
  <c r="P321" i="1"/>
  <c r="P322" i="1"/>
  <c r="O323" i="1"/>
  <c r="O324" i="1" s="1"/>
  <c r="P323" i="1"/>
  <c r="Q323" i="1" s="1"/>
  <c r="P324" i="1"/>
  <c r="O325" i="1"/>
  <c r="P325" i="1"/>
  <c r="Q325" i="1" s="1"/>
  <c r="P326" i="1"/>
  <c r="O327" i="1"/>
  <c r="O328" i="1" s="1"/>
  <c r="P327" i="1"/>
  <c r="Q327" i="1" s="1"/>
  <c r="P328" i="1"/>
  <c r="O329" i="1"/>
  <c r="P329" i="1"/>
  <c r="Q329" i="1" s="1"/>
  <c r="P330" i="1"/>
  <c r="O331" i="1"/>
  <c r="O332" i="1" s="1"/>
  <c r="P331" i="1"/>
  <c r="Q331" i="1" s="1"/>
  <c r="P332" i="1"/>
  <c r="O333" i="1"/>
  <c r="P333" i="1"/>
  <c r="Q333" i="1" s="1"/>
  <c r="P334" i="1"/>
  <c r="O335" i="1"/>
  <c r="P335" i="1"/>
  <c r="Q335" i="1" s="1"/>
  <c r="P336" i="1"/>
  <c r="P337" i="1"/>
  <c r="P338" i="1"/>
  <c r="P339" i="1"/>
  <c r="P340" i="1"/>
  <c r="O341" i="1"/>
  <c r="O342" i="1" s="1"/>
  <c r="P341" i="1"/>
  <c r="Q341" i="1" s="1"/>
  <c r="P342" i="1"/>
  <c r="P343" i="1"/>
  <c r="P344" i="1"/>
  <c r="P345" i="1"/>
  <c r="P346" i="1"/>
  <c r="O347" i="1"/>
  <c r="O348" i="1" s="1"/>
  <c r="P347" i="1"/>
  <c r="Q347" i="1" s="1"/>
  <c r="P348" i="1"/>
  <c r="P349" i="1"/>
  <c r="P350" i="1"/>
  <c r="O351" i="1"/>
  <c r="O352" i="1" s="1"/>
  <c r="P351" i="1"/>
  <c r="Q351" i="1" s="1"/>
  <c r="P352" i="1"/>
  <c r="P353" i="1"/>
  <c r="P354" i="1"/>
  <c r="P355" i="1"/>
  <c r="P356" i="1"/>
  <c r="P357" i="1"/>
  <c r="P358" i="1"/>
  <c r="O359" i="1"/>
  <c r="O360" i="1" s="1"/>
  <c r="O361" i="1" s="1"/>
  <c r="P359" i="1"/>
  <c r="Q359" i="1" s="1"/>
  <c r="P360" i="1"/>
  <c r="P361" i="1"/>
  <c r="P362" i="1"/>
  <c r="P363" i="1"/>
  <c r="P364" i="1"/>
  <c r="P365" i="1"/>
  <c r="O366" i="1"/>
  <c r="O367" i="1" s="1"/>
  <c r="O368" i="1" s="1"/>
  <c r="P366" i="1"/>
  <c r="Q366" i="1" s="1"/>
  <c r="P367" i="1"/>
  <c r="P368" i="1"/>
  <c r="P369" i="1"/>
  <c r="P370" i="1"/>
  <c r="P371" i="1"/>
  <c r="O372" i="1"/>
  <c r="P372" i="1"/>
  <c r="Q372" i="1" s="1"/>
  <c r="P373" i="1"/>
  <c r="P374" i="1"/>
  <c r="P375" i="1"/>
  <c r="P376" i="1"/>
  <c r="P377" i="1"/>
  <c r="P378" i="1"/>
  <c r="O379" i="1"/>
  <c r="P379" i="1"/>
  <c r="Q379" i="1" s="1"/>
  <c r="P380" i="1"/>
  <c r="O381" i="1"/>
  <c r="P381" i="1"/>
  <c r="Q381" i="1" s="1"/>
  <c r="P382" i="1"/>
  <c r="P383" i="1"/>
  <c r="P384" i="1"/>
  <c r="P385" i="1"/>
  <c r="P386" i="1"/>
  <c r="P387" i="1"/>
  <c r="P388" i="1"/>
  <c r="P389" i="1"/>
  <c r="P390" i="1"/>
  <c r="O391" i="1"/>
  <c r="P391" i="1"/>
  <c r="Q391" i="1" s="1"/>
  <c r="P392" i="1"/>
  <c r="O393" i="1"/>
  <c r="O394" i="1" s="1"/>
  <c r="P393" i="1"/>
  <c r="Q393" i="1" s="1"/>
  <c r="P394" i="1"/>
  <c r="O395" i="1"/>
  <c r="O396" i="1" s="1"/>
  <c r="O397" i="1" s="1"/>
  <c r="O398" i="1" s="1"/>
  <c r="P395" i="1"/>
  <c r="Q395" i="1" s="1"/>
  <c r="P396" i="1"/>
  <c r="P397" i="1"/>
  <c r="P398" i="1"/>
  <c r="P399" i="1"/>
  <c r="P400" i="1"/>
  <c r="P401" i="1"/>
  <c r="P402" i="1"/>
  <c r="P403" i="1"/>
  <c r="O404" i="1"/>
  <c r="P404" i="1"/>
  <c r="Q404" i="1" s="1"/>
  <c r="P405" i="1"/>
  <c r="O406" i="1"/>
  <c r="P406" i="1"/>
  <c r="Q406" i="1" s="1"/>
  <c r="P407" i="1"/>
  <c r="O408" i="1"/>
  <c r="P408" i="1"/>
  <c r="Q408" i="1" s="1"/>
  <c r="P409" i="1"/>
  <c r="O410" i="1"/>
  <c r="O411" i="1" s="1"/>
  <c r="P410" i="1"/>
  <c r="Q410" i="1" s="1"/>
  <c r="P411" i="1"/>
  <c r="P412" i="1"/>
  <c r="P413" i="1"/>
  <c r="P414" i="1"/>
  <c r="P415" i="1"/>
  <c r="P416" i="1"/>
  <c r="P417" i="1"/>
  <c r="P418" i="1"/>
  <c r="O419" i="1"/>
  <c r="P419" i="1"/>
  <c r="Q419" i="1" s="1"/>
  <c r="P420" i="1"/>
  <c r="O421" i="1"/>
  <c r="P421" i="1"/>
  <c r="Q421" i="1" s="1"/>
  <c r="P422" i="1"/>
  <c r="O423" i="1"/>
  <c r="P423" i="1"/>
  <c r="Q423" i="1" s="1"/>
  <c r="P424" i="1"/>
  <c r="P425" i="1"/>
  <c r="P426" i="1"/>
  <c r="P427" i="1"/>
  <c r="P428" i="1"/>
  <c r="P429" i="1"/>
  <c r="O430" i="1"/>
  <c r="P430" i="1"/>
  <c r="Q430" i="1" s="1"/>
  <c r="P431" i="1"/>
  <c r="P432" i="1"/>
  <c r="P433" i="1"/>
  <c r="P434" i="1"/>
  <c r="P435" i="1"/>
  <c r="P436" i="1"/>
  <c r="O437" i="1"/>
  <c r="P437" i="1"/>
  <c r="Q437" i="1" s="1"/>
  <c r="P438" i="1"/>
  <c r="P439" i="1"/>
  <c r="O440" i="1"/>
  <c r="P440" i="1"/>
  <c r="Q440" i="1" s="1"/>
  <c r="P441" i="1"/>
  <c r="P442" i="1"/>
  <c r="O443" i="1"/>
  <c r="P443" i="1"/>
  <c r="Q443" i="1" s="1"/>
  <c r="P444" i="1"/>
  <c r="P445" i="1"/>
  <c r="P446" i="1"/>
  <c r="O447" i="1"/>
  <c r="P447" i="1"/>
  <c r="Q447" i="1" s="1"/>
  <c r="P448" i="1"/>
  <c r="P449" i="1"/>
  <c r="P450" i="1"/>
  <c r="P451" i="1"/>
  <c r="P452" i="1"/>
  <c r="O453" i="1"/>
  <c r="P453" i="1"/>
  <c r="Q453" i="1" s="1"/>
  <c r="P454" i="1"/>
  <c r="P455" i="1"/>
  <c r="P456" i="1"/>
  <c r="O457" i="1"/>
  <c r="O458" i="1" s="1"/>
  <c r="O459" i="1" s="1"/>
  <c r="P457" i="1"/>
  <c r="Q457" i="1" s="1"/>
  <c r="P458" i="1"/>
  <c r="P459" i="1"/>
  <c r="P460" i="1"/>
  <c r="O461" i="1"/>
  <c r="O462" i="1" s="1"/>
  <c r="O463" i="1" s="1"/>
  <c r="P461" i="1"/>
  <c r="Q461" i="1" s="1"/>
  <c r="P462" i="1"/>
  <c r="P463" i="1"/>
  <c r="P464" i="1"/>
  <c r="O465" i="1"/>
  <c r="O466" i="1" s="1"/>
  <c r="O467" i="1" s="1"/>
  <c r="P465" i="1"/>
  <c r="Q465" i="1" s="1"/>
  <c r="P466" i="1"/>
  <c r="P467" i="1"/>
  <c r="P468" i="1"/>
  <c r="O469" i="1"/>
  <c r="O470" i="1" s="1"/>
  <c r="O471" i="1" s="1"/>
  <c r="O472" i="1" s="1"/>
  <c r="P469" i="1"/>
  <c r="Q469" i="1" s="1"/>
  <c r="P470" i="1"/>
  <c r="P471" i="1"/>
  <c r="P472" i="1"/>
  <c r="P473" i="1"/>
  <c r="P474" i="1"/>
  <c r="P475" i="1"/>
  <c r="P476" i="1"/>
  <c r="O477" i="1"/>
  <c r="O478" i="1" s="1"/>
  <c r="O479" i="1" s="1"/>
  <c r="O480" i="1" s="1"/>
  <c r="P477" i="1"/>
  <c r="Q477" i="1" s="1"/>
  <c r="P478" i="1"/>
  <c r="P479" i="1"/>
  <c r="P480" i="1"/>
  <c r="P481" i="1"/>
  <c r="P482" i="1"/>
  <c r="O483" i="1"/>
  <c r="P483" i="1"/>
  <c r="Q483" i="1" s="1"/>
  <c r="P484" i="1"/>
  <c r="P485" i="1"/>
  <c r="P486" i="1"/>
  <c r="O487" i="1"/>
  <c r="O488" i="1" s="1"/>
  <c r="P487" i="1"/>
  <c r="Q487" i="1" s="1"/>
  <c r="P488" i="1"/>
  <c r="P489" i="1"/>
  <c r="P490" i="1"/>
  <c r="O491" i="1"/>
  <c r="O492" i="1" s="1"/>
  <c r="P491" i="1"/>
  <c r="Q491" i="1" s="1"/>
  <c r="P492" i="1"/>
  <c r="P493" i="1"/>
  <c r="P494" i="1"/>
  <c r="P495" i="1"/>
  <c r="O496" i="1"/>
  <c r="P496" i="1"/>
  <c r="Q496" i="1" s="1"/>
  <c r="P497" i="1"/>
  <c r="P498" i="1"/>
  <c r="P499" i="1"/>
  <c r="P500" i="1"/>
  <c r="P501" i="1"/>
  <c r="P502" i="1"/>
  <c r="O503" i="1"/>
  <c r="P503" i="1"/>
  <c r="Q503" i="1" s="1"/>
  <c r="P504" i="1"/>
  <c r="P505" i="1"/>
  <c r="P506" i="1"/>
  <c r="P507" i="1"/>
  <c r="O508" i="1"/>
  <c r="P508" i="1"/>
  <c r="Q508" i="1" s="1"/>
  <c r="P509" i="1"/>
  <c r="P510" i="1"/>
  <c r="P511" i="1"/>
  <c r="O512" i="1"/>
  <c r="O513" i="1" s="1"/>
  <c r="P512" i="1"/>
  <c r="Q512" i="1" s="1"/>
  <c r="P513" i="1"/>
  <c r="P514" i="1"/>
  <c r="P515" i="1"/>
  <c r="P516" i="1"/>
  <c r="O517" i="1"/>
  <c r="O518" i="1" s="1"/>
  <c r="O519" i="1" s="1"/>
  <c r="P517" i="1"/>
  <c r="Q517" i="1" s="1"/>
  <c r="P518" i="1"/>
  <c r="P519" i="1"/>
  <c r="P520" i="1"/>
  <c r="O521" i="1"/>
  <c r="P521" i="1"/>
  <c r="Q521" i="1" s="1"/>
  <c r="P522" i="1"/>
  <c r="P523" i="1"/>
  <c r="P524" i="1"/>
  <c r="P525" i="1"/>
  <c r="O526" i="1"/>
  <c r="O527" i="1" s="1"/>
  <c r="P526" i="1"/>
  <c r="Q526" i="1" s="1"/>
  <c r="P527" i="1"/>
  <c r="P528" i="1"/>
  <c r="P529" i="1"/>
  <c r="P530" i="1"/>
  <c r="O531" i="1"/>
  <c r="O532" i="1" s="1"/>
  <c r="P531" i="1"/>
  <c r="Q531" i="1" s="1"/>
  <c r="P532" i="1"/>
  <c r="P533" i="1"/>
  <c r="O534" i="1"/>
  <c r="O535" i="1" s="1"/>
  <c r="P534" i="1"/>
  <c r="Q534" i="1" s="1"/>
  <c r="P535" i="1"/>
  <c r="P536" i="1"/>
  <c r="P537" i="1"/>
  <c r="O538" i="1"/>
  <c r="O539" i="1" s="1"/>
  <c r="P538" i="1"/>
  <c r="Q538" i="1" s="1"/>
  <c r="P539" i="1"/>
  <c r="P540" i="1"/>
  <c r="O541" i="1"/>
  <c r="O542" i="1" s="1"/>
  <c r="O543" i="1" s="1"/>
  <c r="P541" i="1"/>
  <c r="Q541" i="1" s="1"/>
  <c r="P542" i="1"/>
  <c r="P543" i="1"/>
  <c r="O544" i="1"/>
  <c r="P544" i="1"/>
  <c r="Q544" i="1" s="1"/>
  <c r="P545" i="1"/>
  <c r="P546" i="1"/>
  <c r="P547" i="1"/>
  <c r="O548" i="1"/>
  <c r="O549" i="1" s="1"/>
  <c r="O550" i="1" s="1"/>
  <c r="P548" i="1"/>
  <c r="Q548" i="1" s="1"/>
  <c r="P549" i="1"/>
  <c r="P550" i="1"/>
  <c r="P551" i="1"/>
  <c r="O552" i="1"/>
  <c r="O553" i="1" s="1"/>
  <c r="P552" i="1"/>
  <c r="Q552" i="1" s="1"/>
  <c r="P553" i="1"/>
  <c r="P554" i="1"/>
  <c r="P555" i="1"/>
  <c r="P556" i="1"/>
  <c r="P557" i="1"/>
  <c r="O558" i="1"/>
  <c r="P558" i="1"/>
  <c r="Q558" i="1" s="1"/>
  <c r="P559" i="1"/>
  <c r="P560" i="1"/>
  <c r="O561" i="1"/>
  <c r="O562" i="1" s="1"/>
  <c r="P561" i="1"/>
  <c r="Q561" i="1" s="1"/>
  <c r="P562" i="1"/>
  <c r="P563" i="1"/>
  <c r="O564" i="1"/>
  <c r="O565" i="1" s="1"/>
  <c r="P564" i="1"/>
  <c r="Q564" i="1" s="1"/>
  <c r="P565" i="1"/>
  <c r="O566" i="1"/>
  <c r="O567" i="1" s="1"/>
  <c r="P566" i="1"/>
  <c r="Q566" i="1" s="1"/>
  <c r="P567" i="1"/>
  <c r="P568" i="1"/>
  <c r="O569" i="1"/>
  <c r="O570" i="1" s="1"/>
  <c r="P569" i="1"/>
  <c r="Q569" i="1" s="1"/>
  <c r="P570" i="1"/>
  <c r="O571" i="1"/>
  <c r="O572" i="1" s="1"/>
  <c r="O573" i="1" s="1"/>
  <c r="P571" i="1"/>
  <c r="Q571" i="1" s="1"/>
  <c r="P572" i="1"/>
  <c r="P573" i="1"/>
  <c r="O574" i="1"/>
  <c r="P574" i="1"/>
  <c r="Q574" i="1" s="1"/>
  <c r="P575" i="1"/>
  <c r="P576" i="1"/>
  <c r="P577" i="1"/>
  <c r="P578" i="1"/>
  <c r="O579" i="1"/>
  <c r="O580" i="1" s="1"/>
  <c r="O581" i="1" s="1"/>
  <c r="P579" i="1"/>
  <c r="Q579" i="1" s="1"/>
  <c r="P580" i="1"/>
  <c r="P581" i="1"/>
  <c r="O582" i="1"/>
  <c r="P582" i="1"/>
  <c r="Q582" i="1" s="1"/>
  <c r="P583" i="1"/>
  <c r="P584" i="1"/>
  <c r="O585" i="1"/>
  <c r="P585" i="1"/>
  <c r="Q585" i="1" s="1"/>
  <c r="P586" i="1"/>
  <c r="P587" i="1"/>
  <c r="O588" i="1"/>
  <c r="O589" i="1" s="1"/>
  <c r="P588" i="1"/>
  <c r="Q588" i="1" s="1"/>
  <c r="P589" i="1"/>
  <c r="P590" i="1"/>
  <c r="O591" i="1"/>
  <c r="O592" i="1" s="1"/>
  <c r="O593" i="1" s="1"/>
  <c r="P591" i="1"/>
  <c r="Q591" i="1" s="1"/>
  <c r="P592" i="1"/>
  <c r="P593" i="1"/>
  <c r="O594" i="1"/>
  <c r="P594" i="1"/>
  <c r="Q594" i="1" s="1"/>
  <c r="P595" i="1"/>
  <c r="P596" i="1"/>
  <c r="P597" i="1"/>
  <c r="P598" i="1"/>
  <c r="O599" i="1"/>
  <c r="O600" i="1" s="1"/>
  <c r="P599" i="1"/>
  <c r="Q599" i="1" s="1"/>
  <c r="P600" i="1"/>
  <c r="O601" i="1"/>
  <c r="O602" i="1" s="1"/>
  <c r="P601" i="1"/>
  <c r="Q601" i="1" s="1"/>
  <c r="P602" i="1"/>
  <c r="P603" i="1"/>
  <c r="O604" i="1"/>
  <c r="O605" i="1" s="1"/>
  <c r="P604" i="1"/>
  <c r="Q604" i="1" s="1"/>
  <c r="P605" i="1"/>
  <c r="O606" i="1"/>
  <c r="P606" i="1"/>
  <c r="Q606" i="1" s="1"/>
  <c r="P607" i="1"/>
  <c r="O608" i="1"/>
  <c r="O609" i="1" s="1"/>
  <c r="P608" i="1"/>
  <c r="Q608" i="1" s="1"/>
  <c r="P609" i="1"/>
  <c r="O610" i="1"/>
  <c r="O611" i="1" s="1"/>
  <c r="P610" i="1"/>
  <c r="Q610" i="1" s="1"/>
  <c r="P611" i="1"/>
  <c r="O612" i="1"/>
  <c r="P612" i="1"/>
  <c r="Q612" i="1" s="1"/>
  <c r="P613" i="1"/>
  <c r="O614" i="1"/>
  <c r="P614" i="1"/>
  <c r="Q614" i="1" s="1"/>
  <c r="P615" i="1"/>
  <c r="O616" i="1"/>
  <c r="O617" i="1" s="1"/>
  <c r="P616" i="1"/>
  <c r="Q616" i="1" s="1"/>
  <c r="P617" i="1"/>
  <c r="O618" i="1"/>
  <c r="P618" i="1"/>
  <c r="Q618" i="1" s="1"/>
  <c r="P619" i="1"/>
  <c r="O620" i="1"/>
  <c r="O621" i="1" s="1"/>
  <c r="P620" i="1"/>
  <c r="Q620" i="1" s="1"/>
  <c r="P621" i="1"/>
  <c r="O622" i="1"/>
  <c r="P622" i="1"/>
  <c r="Q622" i="1" s="1"/>
  <c r="P623" i="1"/>
  <c r="O624" i="1"/>
  <c r="O625" i="1" s="1"/>
  <c r="P624" i="1"/>
  <c r="Q624" i="1" s="1"/>
  <c r="P625" i="1"/>
  <c r="O626" i="1"/>
  <c r="O627" i="1" s="1"/>
  <c r="P626" i="1"/>
  <c r="Q626" i="1" s="1"/>
  <c r="P627" i="1"/>
  <c r="O628" i="1"/>
  <c r="P628" i="1"/>
  <c r="Q628" i="1" s="1"/>
  <c r="P629" i="1"/>
  <c r="O630" i="1"/>
  <c r="P630" i="1"/>
  <c r="Q630" i="1" s="1"/>
  <c r="P631" i="1"/>
  <c r="O632" i="1"/>
  <c r="P632" i="1"/>
  <c r="Q632" i="1" s="1"/>
  <c r="P633" i="1"/>
  <c r="O634" i="1"/>
  <c r="P634" i="1"/>
  <c r="Q634" i="1" s="1"/>
  <c r="P635" i="1"/>
  <c r="O636" i="1"/>
  <c r="O637" i="1" s="1"/>
  <c r="P636" i="1"/>
  <c r="Q636" i="1" s="1"/>
  <c r="P637" i="1"/>
  <c r="O638" i="1"/>
  <c r="P638" i="1"/>
  <c r="Q638" i="1" s="1"/>
  <c r="P639" i="1"/>
  <c r="O640" i="1"/>
  <c r="O641" i="1" s="1"/>
  <c r="P640" i="1"/>
  <c r="Q640" i="1" s="1"/>
  <c r="P641" i="1"/>
  <c r="O642" i="1"/>
  <c r="O643" i="1" s="1"/>
  <c r="P642" i="1"/>
  <c r="Q642" i="1" s="1"/>
  <c r="P643" i="1"/>
  <c r="O644" i="1"/>
  <c r="P644" i="1"/>
  <c r="Q644" i="1" s="1"/>
  <c r="P645" i="1"/>
  <c r="O646" i="1"/>
  <c r="P646" i="1"/>
  <c r="Q646" i="1" s="1"/>
  <c r="P647" i="1"/>
  <c r="O648" i="1"/>
  <c r="O649" i="1" s="1"/>
  <c r="P648" i="1"/>
  <c r="Q648" i="1" s="1"/>
  <c r="P649" i="1"/>
  <c r="O650" i="1"/>
  <c r="P650" i="1"/>
  <c r="Q650" i="1" s="1"/>
  <c r="P651" i="1"/>
  <c r="O652" i="1"/>
  <c r="O653" i="1" s="1"/>
  <c r="P652" i="1"/>
  <c r="Q652" i="1" s="1"/>
  <c r="P653" i="1"/>
  <c r="O654" i="1"/>
  <c r="O655" i="1" s="1"/>
  <c r="P654" i="1"/>
  <c r="Q654" i="1" s="1"/>
  <c r="P655" i="1"/>
  <c r="O656" i="1"/>
  <c r="P656" i="1"/>
  <c r="Q656" i="1" s="1"/>
  <c r="P657" i="1"/>
  <c r="O658" i="1"/>
  <c r="O659" i="1" s="1"/>
  <c r="P658" i="1"/>
  <c r="Q658" i="1" s="1"/>
  <c r="P659" i="1"/>
  <c r="O660" i="1"/>
  <c r="P660" i="1"/>
  <c r="Q660" i="1" s="1"/>
  <c r="P661" i="1"/>
  <c r="O662" i="1"/>
  <c r="P662" i="1"/>
  <c r="Q662" i="1" s="1"/>
  <c r="P663" i="1"/>
  <c r="O664" i="1"/>
  <c r="O665" i="1" s="1"/>
  <c r="P664" i="1"/>
  <c r="Q664" i="1" s="1"/>
  <c r="P665" i="1"/>
  <c r="O666" i="1"/>
  <c r="P666" i="1"/>
  <c r="Q666" i="1" s="1"/>
  <c r="P667" i="1"/>
  <c r="O668" i="1"/>
  <c r="P668" i="1"/>
  <c r="Q668" i="1" s="1"/>
  <c r="P669" i="1"/>
  <c r="O670" i="1"/>
  <c r="P670" i="1"/>
  <c r="Q670" i="1" s="1"/>
  <c r="P671" i="1"/>
  <c r="O672" i="1"/>
  <c r="O673" i="1" s="1"/>
  <c r="P672" i="1"/>
  <c r="Q672" i="1" s="1"/>
  <c r="P673" i="1"/>
  <c r="O674" i="1"/>
  <c r="O675" i="1" s="1"/>
  <c r="P674" i="1"/>
  <c r="Q674" i="1" s="1"/>
  <c r="P675" i="1"/>
  <c r="O676" i="1"/>
  <c r="P676" i="1"/>
  <c r="Q676" i="1" s="1"/>
  <c r="P677" i="1"/>
  <c r="O678" i="1"/>
  <c r="P678" i="1"/>
  <c r="Q678" i="1" s="1"/>
  <c r="P679" i="1"/>
  <c r="O680" i="1"/>
  <c r="P680" i="1"/>
  <c r="Q680" i="1" s="1"/>
  <c r="P681" i="1"/>
  <c r="O682" i="1"/>
  <c r="P682" i="1"/>
  <c r="Q682" i="1" s="1"/>
  <c r="P683" i="1"/>
  <c r="O684" i="1"/>
  <c r="O685" i="1" s="1"/>
  <c r="P684" i="1"/>
  <c r="Q684" i="1" s="1"/>
  <c r="P685" i="1"/>
  <c r="O686" i="1"/>
  <c r="P686" i="1"/>
  <c r="Q686" i="1" s="1"/>
  <c r="P687" i="1"/>
  <c r="O688" i="1"/>
  <c r="P688" i="1"/>
  <c r="Q688" i="1" s="1"/>
  <c r="P689" i="1"/>
  <c r="O690" i="1"/>
  <c r="O691" i="1" s="1"/>
  <c r="P690" i="1"/>
  <c r="Q690" i="1" s="1"/>
  <c r="P691" i="1"/>
  <c r="P692" i="1"/>
  <c r="P693" i="1"/>
  <c r="P694" i="1"/>
  <c r="P695" i="1"/>
  <c r="P696" i="1"/>
  <c r="P697" i="1"/>
  <c r="P698" i="1"/>
  <c r="P699" i="1"/>
  <c r="O700" i="1"/>
  <c r="O701" i="1" s="1"/>
  <c r="O702" i="1" s="1"/>
  <c r="O703" i="1" s="1"/>
  <c r="O704" i="1" s="1"/>
  <c r="P700" i="1"/>
  <c r="Q700" i="1" s="1"/>
  <c r="P701" i="1"/>
  <c r="P702" i="1"/>
  <c r="P703" i="1"/>
  <c r="P704" i="1"/>
  <c r="P705" i="1"/>
  <c r="P706" i="1"/>
  <c r="P707" i="1"/>
  <c r="P708" i="1"/>
  <c r="O709" i="1"/>
  <c r="P709" i="1"/>
  <c r="Q709" i="1" s="1"/>
  <c r="P710" i="1"/>
  <c r="O711" i="1"/>
  <c r="P711" i="1"/>
  <c r="Q711" i="1" s="1"/>
  <c r="P712" i="1"/>
  <c r="O713" i="1"/>
  <c r="P713" i="1"/>
  <c r="Q713" i="1" s="1"/>
  <c r="P714" i="1"/>
  <c r="O715" i="1"/>
  <c r="O716" i="1" s="1"/>
  <c r="P715" i="1"/>
  <c r="Q715" i="1" s="1"/>
  <c r="P716" i="1"/>
  <c r="O717" i="1"/>
  <c r="P717" i="1"/>
  <c r="Q717" i="1" s="1"/>
  <c r="P718" i="1"/>
  <c r="O719" i="1"/>
  <c r="P719" i="1"/>
  <c r="Q719" i="1" s="1"/>
  <c r="P720" i="1"/>
  <c r="O721" i="1"/>
  <c r="O722" i="1" s="1"/>
  <c r="P721" i="1"/>
  <c r="Q721" i="1" s="1"/>
  <c r="P722" i="1"/>
  <c r="O723" i="1"/>
  <c r="P723" i="1"/>
  <c r="Q723" i="1" s="1"/>
  <c r="P724" i="1"/>
  <c r="O725" i="1"/>
  <c r="P725" i="1"/>
  <c r="Q725" i="1" s="1"/>
  <c r="P726" i="1"/>
  <c r="O727" i="1"/>
  <c r="P727" i="1"/>
  <c r="Q727" i="1" s="1"/>
  <c r="P728" i="1"/>
  <c r="O729" i="1"/>
  <c r="P729" i="1"/>
  <c r="Q729" i="1" s="1"/>
  <c r="P730" i="1"/>
  <c r="P731" i="1"/>
  <c r="O732" i="1"/>
  <c r="P732" i="1"/>
  <c r="Q732" i="1" s="1"/>
  <c r="P733" i="1"/>
  <c r="P734" i="1"/>
  <c r="O735" i="1"/>
  <c r="P735" i="1"/>
  <c r="Q735" i="1" s="1"/>
  <c r="P736" i="1"/>
  <c r="P737" i="1"/>
  <c r="P738" i="1"/>
  <c r="P739" i="1"/>
  <c r="P740" i="1"/>
  <c r="P741" i="1"/>
  <c r="P742" i="1"/>
  <c r="P743" i="1"/>
  <c r="O744" i="1"/>
  <c r="O745" i="1" s="1"/>
  <c r="P744" i="1"/>
  <c r="Q744" i="1" s="1"/>
  <c r="P745" i="1"/>
  <c r="P746" i="1"/>
  <c r="P747" i="1"/>
  <c r="P748" i="1"/>
  <c r="O749" i="1"/>
  <c r="P749" i="1"/>
  <c r="Q749" i="1" s="1"/>
  <c r="P750" i="1"/>
  <c r="P751" i="1"/>
  <c r="O752" i="1"/>
  <c r="O753" i="1" s="1"/>
  <c r="P752" i="1"/>
  <c r="Q752" i="1" s="1"/>
  <c r="P753" i="1"/>
  <c r="P754" i="1"/>
  <c r="P755" i="1"/>
  <c r="P756" i="1"/>
  <c r="P757" i="1"/>
  <c r="O758" i="1"/>
  <c r="P758" i="1"/>
  <c r="Q758" i="1" s="1"/>
  <c r="P759" i="1"/>
  <c r="P760" i="1"/>
  <c r="P761" i="1"/>
  <c r="P762" i="1"/>
  <c r="O763" i="1"/>
  <c r="P763" i="1"/>
  <c r="Q763" i="1" s="1"/>
  <c r="P764" i="1"/>
  <c r="P765" i="1"/>
  <c r="O766" i="1"/>
  <c r="O767" i="1" s="1"/>
  <c r="P766" i="1"/>
  <c r="Q766" i="1" s="1"/>
  <c r="P767" i="1"/>
  <c r="P768" i="1"/>
  <c r="P769" i="1"/>
  <c r="P770" i="1"/>
  <c r="P771" i="1"/>
  <c r="P772" i="1"/>
  <c r="P773" i="1"/>
  <c r="P774" i="1"/>
  <c r="P775" i="1"/>
  <c r="P776" i="1"/>
  <c r="P777" i="1"/>
  <c r="P778" i="1"/>
  <c r="P779" i="1"/>
  <c r="P780" i="1"/>
  <c r="P781" i="1"/>
  <c r="P782" i="1"/>
  <c r="P783" i="1"/>
  <c r="P784" i="1"/>
  <c r="P785" i="1"/>
  <c r="P786" i="1"/>
  <c r="O787" i="1"/>
  <c r="O788" i="1" s="1"/>
  <c r="P787" i="1"/>
  <c r="Q787" i="1" s="1"/>
  <c r="P788" i="1"/>
  <c r="P789" i="1"/>
  <c r="P790" i="1"/>
  <c r="P791" i="1"/>
  <c r="P792" i="1"/>
  <c r="O793" i="1"/>
  <c r="P793" i="1"/>
  <c r="Q793" i="1" s="1"/>
  <c r="P794" i="1"/>
  <c r="P795" i="1"/>
  <c r="O796" i="1"/>
  <c r="O797" i="1" s="1"/>
  <c r="P796" i="1"/>
  <c r="Q796" i="1" s="1"/>
  <c r="P797" i="1"/>
  <c r="P798" i="1"/>
  <c r="P799" i="1"/>
  <c r="P800" i="1"/>
  <c r="P801" i="1"/>
  <c r="P802" i="1"/>
  <c r="P803" i="1"/>
  <c r="O804" i="1"/>
  <c r="P804" i="1"/>
  <c r="Q804" i="1" s="1"/>
  <c r="P805" i="1"/>
  <c r="P6312" i="1"/>
  <c r="P6313" i="1"/>
  <c r="O6314" i="1"/>
  <c r="O6315" i="1" s="1"/>
  <c r="O6316" i="1" s="1"/>
  <c r="O6317" i="1" s="1"/>
  <c r="P6314" i="1"/>
  <c r="Q6314" i="1" s="1"/>
  <c r="P6315" i="1"/>
  <c r="P6316" i="1"/>
  <c r="P6317" i="1"/>
  <c r="P6318" i="1"/>
  <c r="O6319" i="1"/>
  <c r="P6319" i="1"/>
  <c r="Q6319" i="1" s="1"/>
  <c r="P6320" i="1"/>
  <c r="P6321" i="1"/>
  <c r="P6322" i="1"/>
  <c r="P6323" i="1"/>
  <c r="O6324" i="1"/>
  <c r="P6324" i="1"/>
  <c r="Q6324" i="1" s="1"/>
  <c r="P6325" i="1"/>
  <c r="O6326" i="1"/>
  <c r="O6327" i="1" s="1"/>
  <c r="P6326" i="1"/>
  <c r="Q6326" i="1" s="1"/>
  <c r="P6327" i="1"/>
  <c r="O6328" i="1"/>
  <c r="O6329" i="1" s="1"/>
  <c r="O6330" i="1" s="1"/>
  <c r="P6328" i="1"/>
  <c r="Q6328" i="1" s="1"/>
  <c r="P6329" i="1"/>
  <c r="P6330" i="1"/>
  <c r="O6331" i="1"/>
  <c r="P6331" i="1"/>
  <c r="Q6331" i="1" s="1"/>
  <c r="P6332" i="1"/>
  <c r="P6333" i="1"/>
  <c r="O6334" i="1"/>
  <c r="O6335" i="1" s="1"/>
  <c r="P6334" i="1"/>
  <c r="Q6334" i="1" s="1"/>
  <c r="P6335" i="1"/>
  <c r="P6336" i="1"/>
  <c r="P6337" i="1"/>
  <c r="O6338" i="1"/>
  <c r="O6339" i="1" s="1"/>
  <c r="P6338" i="1"/>
  <c r="Q6338" i="1" s="1"/>
  <c r="P6339" i="1"/>
  <c r="P6340" i="1"/>
  <c r="P6341" i="1"/>
  <c r="P6342" i="1"/>
  <c r="P6343" i="1"/>
  <c r="O6344" i="1"/>
  <c r="O6345" i="1" s="1"/>
  <c r="P6344" i="1"/>
  <c r="Q6344" i="1" s="1"/>
  <c r="P6345" i="1"/>
  <c r="O6346" i="1"/>
  <c r="O6347" i="1" s="1"/>
  <c r="P6346" i="1"/>
  <c r="Q6346" i="1" s="1"/>
  <c r="P6347" i="1"/>
  <c r="P6348" i="1"/>
  <c r="P6349" i="1"/>
  <c r="P6350" i="1"/>
  <c r="P6351" i="1"/>
  <c r="O6352" i="1"/>
  <c r="O6353" i="1" s="1"/>
  <c r="P6352" i="1"/>
  <c r="Q6352" i="1" s="1"/>
  <c r="P6353" i="1"/>
  <c r="O6354" i="1"/>
  <c r="P6354" i="1"/>
  <c r="O6355" i="1"/>
  <c r="P6355" i="1"/>
  <c r="O6356" i="1"/>
  <c r="P6356" i="1"/>
  <c r="O6357" i="1"/>
  <c r="P6357" i="1"/>
  <c r="O6358" i="1"/>
  <c r="O6359" i="1" s="1"/>
  <c r="P6358" i="1"/>
  <c r="Q6358" i="1" s="1"/>
  <c r="P6359" i="1"/>
  <c r="P6360" i="1"/>
  <c r="O6361" i="1"/>
  <c r="P6361" i="1"/>
  <c r="O6362" i="1"/>
  <c r="P6362" i="1"/>
  <c r="O6363" i="1"/>
  <c r="O6364" i="1" s="1"/>
  <c r="P6363" i="1"/>
  <c r="Q6363" i="1" s="1"/>
  <c r="P6364" i="1"/>
  <c r="O6365" i="1"/>
  <c r="P6365" i="1"/>
  <c r="Q6365" i="1" s="1"/>
  <c r="P6366" i="1"/>
  <c r="O6367" i="1"/>
  <c r="P6367" i="1"/>
  <c r="O6368" i="1"/>
  <c r="P6368" i="1"/>
  <c r="O6369" i="1"/>
  <c r="O6370" i="1" s="1"/>
  <c r="P6369" i="1"/>
  <c r="Q6369" i="1" s="1"/>
  <c r="P6370" i="1"/>
  <c r="O6371" i="1"/>
  <c r="P6371" i="1"/>
  <c r="O6372" i="1"/>
  <c r="P6372" i="1"/>
  <c r="O6373" i="1"/>
  <c r="P6373" i="1"/>
  <c r="O6374" i="1"/>
  <c r="P6374" i="1"/>
  <c r="O6375" i="1"/>
  <c r="P6375" i="1"/>
  <c r="O6376" i="1"/>
  <c r="P6376" i="1"/>
  <c r="O6377" i="1"/>
  <c r="P6377" i="1"/>
  <c r="O6378" i="1"/>
  <c r="P6378" i="1"/>
  <c r="O6379" i="1"/>
  <c r="P6379" i="1"/>
  <c r="O6380" i="1"/>
  <c r="P6380" i="1"/>
  <c r="O6381" i="1"/>
  <c r="P6381" i="1"/>
  <c r="Q6381" i="1" s="1"/>
  <c r="P6382" i="1"/>
  <c r="O6383" i="1"/>
  <c r="P6383" i="1"/>
  <c r="O6384" i="1"/>
  <c r="O6385" i="1" s="1"/>
  <c r="P6384" i="1"/>
  <c r="Q6384" i="1" s="1"/>
  <c r="P6385" i="1"/>
  <c r="O6386" i="1"/>
  <c r="O6387" i="1" s="1"/>
  <c r="P6386" i="1"/>
  <c r="Q6386" i="1" s="1"/>
  <c r="P6387" i="1"/>
  <c r="O6388" i="1"/>
  <c r="P6388" i="1"/>
  <c r="O6389" i="1"/>
  <c r="P6389" i="1"/>
  <c r="O6390" i="1"/>
  <c r="O6391" i="1" s="1"/>
  <c r="P6390" i="1"/>
  <c r="Q6390" i="1" s="1"/>
  <c r="P6391" i="1"/>
  <c r="O6392" i="1"/>
  <c r="P6392" i="1"/>
  <c r="O6393" i="1"/>
  <c r="P6393" i="1"/>
  <c r="O6394" i="1"/>
  <c r="O6395" i="1" s="1"/>
  <c r="P6394" i="1"/>
  <c r="Q6394" i="1" s="1"/>
  <c r="P6395" i="1"/>
  <c r="O6396" i="1"/>
  <c r="O6397" i="1" s="1"/>
  <c r="P6396" i="1"/>
  <c r="Q6396" i="1" s="1"/>
  <c r="P6397" i="1"/>
  <c r="O6398" i="1"/>
  <c r="O6399" i="1" s="1"/>
  <c r="P6398" i="1"/>
  <c r="Q6398" i="1" s="1"/>
  <c r="P6399" i="1"/>
  <c r="P6400" i="1"/>
  <c r="O6401" i="1"/>
  <c r="O6402" i="1" s="1"/>
  <c r="P6401" i="1"/>
  <c r="Q6401" i="1" s="1"/>
  <c r="P6402" i="1"/>
  <c r="O6403" i="1"/>
  <c r="P6403" i="1"/>
  <c r="Q6403" i="1" s="1"/>
  <c r="P6404" i="1"/>
  <c r="O6405" i="1"/>
  <c r="P6405" i="1"/>
  <c r="Q6405" i="1" s="1"/>
  <c r="P6406" i="1"/>
  <c r="O6407" i="1"/>
  <c r="P6407" i="1"/>
  <c r="O6408" i="1"/>
  <c r="O6409" i="1" s="1"/>
  <c r="P6408" i="1"/>
  <c r="Q6408" i="1" s="1"/>
  <c r="P6409" i="1"/>
  <c r="O6410" i="1"/>
  <c r="P6410" i="1"/>
  <c r="O6411" i="1"/>
  <c r="P6411" i="1"/>
  <c r="O6412" i="1"/>
  <c r="O6413" i="1" s="1"/>
  <c r="P6412" i="1"/>
  <c r="Q6412" i="1" s="1"/>
  <c r="P6413" i="1"/>
  <c r="O6414" i="1"/>
  <c r="O6415" i="1" s="1"/>
  <c r="P6414" i="1"/>
  <c r="Q6414" i="1" s="1"/>
  <c r="P6415" i="1"/>
  <c r="O6416" i="1"/>
  <c r="P6416" i="1"/>
  <c r="O6417" i="1"/>
  <c r="P6417" i="1"/>
  <c r="O6418" i="1"/>
  <c r="P6418" i="1"/>
  <c r="O6419" i="1"/>
  <c r="P6419" i="1"/>
  <c r="O6420" i="1"/>
  <c r="P6420" i="1"/>
  <c r="O6421" i="1"/>
  <c r="P6421" i="1"/>
  <c r="O6422" i="1"/>
  <c r="O6423" i="1" s="1"/>
  <c r="P6422" i="1"/>
  <c r="Q6422" i="1" s="1"/>
  <c r="P6423" i="1"/>
  <c r="O6424" i="1"/>
  <c r="O6425" i="1" s="1"/>
  <c r="P6424" i="1"/>
  <c r="Q6424" i="1" s="1"/>
  <c r="P6425" i="1"/>
  <c r="O6426" i="1"/>
  <c r="P6426" i="1"/>
  <c r="O6427" i="1"/>
  <c r="P6427" i="1"/>
  <c r="O6428" i="1"/>
  <c r="O6429" i="1" s="1"/>
  <c r="P6428" i="1"/>
  <c r="Q6428" i="1" s="1"/>
  <c r="P6429" i="1"/>
  <c r="O6430" i="1"/>
  <c r="P6430" i="1"/>
  <c r="O6431" i="1"/>
  <c r="P6431" i="1"/>
  <c r="O6432" i="1"/>
  <c r="P6432" i="1"/>
  <c r="O6433" i="1"/>
  <c r="P6433" i="1"/>
  <c r="O6434" i="1"/>
  <c r="P6434" i="1"/>
  <c r="O6435" i="1"/>
  <c r="P6435" i="1"/>
  <c r="O6436" i="1"/>
  <c r="P6436" i="1"/>
  <c r="O6437" i="1"/>
  <c r="P6437" i="1"/>
  <c r="O6438" i="1"/>
  <c r="P6438" i="1"/>
  <c r="O6439" i="1"/>
  <c r="P6439" i="1"/>
  <c r="O6440" i="1"/>
  <c r="P6440" i="1"/>
  <c r="O6441" i="1"/>
  <c r="O6442" i="1" s="1"/>
  <c r="P6441" i="1"/>
  <c r="Q6441" i="1" s="1"/>
  <c r="P6442" i="1"/>
  <c r="O6443" i="1"/>
  <c r="P6443" i="1"/>
  <c r="O6444" i="1"/>
  <c r="P6444" i="1"/>
  <c r="O6445" i="1"/>
  <c r="P6445" i="1"/>
  <c r="Q6445" i="1" s="1"/>
  <c r="P6446" i="1"/>
  <c r="O6447" i="1"/>
  <c r="P6447" i="1"/>
  <c r="O6448" i="1"/>
  <c r="P6448" i="1"/>
  <c r="O6449" i="1"/>
  <c r="P6449" i="1"/>
  <c r="O6450" i="1"/>
  <c r="P6450" i="1"/>
  <c r="O6451" i="1"/>
  <c r="P6451" i="1"/>
  <c r="Q6451" i="1" s="1"/>
  <c r="P6452" i="1"/>
  <c r="O6453" i="1"/>
  <c r="P6453" i="1"/>
  <c r="O6454" i="1"/>
  <c r="P6454" i="1"/>
  <c r="O6455" i="1"/>
  <c r="P6455" i="1"/>
  <c r="Q6455" i="1" s="1"/>
  <c r="P6456" i="1"/>
  <c r="O6457" i="1"/>
  <c r="P6457" i="1"/>
  <c r="O6458" i="1"/>
  <c r="P6458" i="1"/>
  <c r="O6459" i="1"/>
  <c r="P6459" i="1"/>
  <c r="O6460" i="1"/>
  <c r="P6460" i="1"/>
  <c r="O6461" i="1"/>
  <c r="P6461" i="1"/>
  <c r="O6462" i="1"/>
  <c r="P6462" i="1"/>
  <c r="O6463" i="1"/>
  <c r="P6463" i="1"/>
  <c r="O6464" i="1"/>
  <c r="P6464" i="1"/>
  <c r="O6465" i="1"/>
  <c r="P6465" i="1"/>
  <c r="O6466" i="1"/>
  <c r="O6467" i="1" s="1"/>
  <c r="P6466" i="1"/>
  <c r="Q6466" i="1" s="1"/>
  <c r="P6467" i="1"/>
  <c r="O6468" i="1"/>
  <c r="P6468" i="1"/>
  <c r="Q6468" i="1" s="1"/>
  <c r="P6469" i="1"/>
  <c r="O6470" i="1"/>
  <c r="P6470" i="1"/>
  <c r="O6471" i="1"/>
  <c r="P6471" i="1"/>
  <c r="Q6471" i="1" s="1"/>
  <c r="P6472" i="1"/>
  <c r="O6473" i="1"/>
  <c r="O6474" i="1" s="1"/>
  <c r="P6473" i="1"/>
  <c r="Q6473" i="1" s="1"/>
  <c r="P6474" i="1"/>
  <c r="O6475" i="1"/>
  <c r="P6475" i="1"/>
  <c r="Q6475" i="1" s="1"/>
  <c r="P6476" i="1"/>
  <c r="O6477" i="1"/>
  <c r="P6477" i="1"/>
  <c r="Q6477" i="1" s="1"/>
  <c r="P6478" i="1"/>
  <c r="O6479" i="1"/>
  <c r="P6479" i="1"/>
  <c r="O6480" i="1"/>
  <c r="P6480" i="1"/>
  <c r="O6481" i="1"/>
  <c r="P6481" i="1"/>
  <c r="O6482" i="1"/>
  <c r="P6482" i="1"/>
  <c r="O6483" i="1"/>
  <c r="P6483" i="1"/>
  <c r="O6484" i="1"/>
  <c r="P6484" i="1"/>
  <c r="O6485" i="1"/>
  <c r="P6485" i="1"/>
  <c r="O6486" i="1"/>
  <c r="O6487" i="1" s="1"/>
  <c r="P6486" i="1"/>
  <c r="Q6486" i="1" s="1"/>
  <c r="P6487" i="1"/>
  <c r="O6488" i="1"/>
  <c r="P6488" i="1"/>
  <c r="O6489" i="1"/>
  <c r="P6489" i="1"/>
  <c r="O6490" i="1"/>
  <c r="P6490" i="1"/>
  <c r="O6491" i="1"/>
  <c r="O6492" i="1" s="1"/>
  <c r="O6493" i="1" s="1"/>
  <c r="P6491" i="1"/>
  <c r="Q6491" i="1" s="1"/>
  <c r="P6492" i="1"/>
  <c r="P6493" i="1"/>
  <c r="O6494" i="1"/>
  <c r="P6494" i="1"/>
  <c r="O6495" i="1"/>
  <c r="P6495" i="1"/>
  <c r="O6496" i="1"/>
  <c r="O6497" i="1" s="1"/>
  <c r="P6496" i="1"/>
  <c r="Q6496" i="1" s="1"/>
  <c r="P6497" i="1"/>
  <c r="O6498" i="1"/>
  <c r="O6499" i="1" s="1"/>
  <c r="P6498" i="1"/>
  <c r="Q6498" i="1" s="1"/>
  <c r="P6499" i="1"/>
  <c r="O6500" i="1"/>
  <c r="P6500" i="1"/>
  <c r="O6501" i="1"/>
  <c r="P6501" i="1"/>
  <c r="Q6501" i="1" s="1"/>
  <c r="P6502" i="1"/>
  <c r="O6503" i="1"/>
  <c r="P6503" i="1"/>
  <c r="Q6503" i="1" s="1"/>
  <c r="P6504" i="1"/>
  <c r="O6505" i="1"/>
  <c r="O6506" i="1" s="1"/>
  <c r="P6505" i="1"/>
  <c r="Q6505" i="1" s="1"/>
  <c r="P6506" i="1"/>
  <c r="O6507" i="1"/>
  <c r="P6507" i="1"/>
  <c r="O6508" i="1"/>
  <c r="P6508" i="1"/>
  <c r="O6509" i="1"/>
  <c r="P6509" i="1"/>
  <c r="Q6509" i="1" s="1"/>
  <c r="P6510" i="1"/>
  <c r="O6511" i="1"/>
  <c r="P6511" i="1"/>
  <c r="O6512" i="1"/>
  <c r="P6512" i="1"/>
  <c r="O6513" i="1"/>
  <c r="P6513" i="1"/>
  <c r="O6514" i="1"/>
  <c r="O6515" i="1" s="1"/>
  <c r="P6514" i="1"/>
  <c r="Q6514" i="1" s="1"/>
  <c r="P6515" i="1"/>
  <c r="O6516" i="1"/>
  <c r="P6516" i="1"/>
  <c r="O6517" i="1"/>
  <c r="P6517" i="1"/>
  <c r="O6518" i="1"/>
  <c r="P6518" i="1"/>
  <c r="O6519" i="1"/>
  <c r="P6519" i="1"/>
  <c r="O6520" i="1"/>
  <c r="P6520" i="1"/>
  <c r="O6521" i="1"/>
  <c r="O6522" i="1" s="1"/>
  <c r="P6521" i="1"/>
  <c r="Q6521" i="1" s="1"/>
  <c r="P6522" i="1"/>
  <c r="O6523" i="1"/>
  <c r="P6523" i="1"/>
  <c r="O6524" i="1"/>
  <c r="P6524" i="1"/>
  <c r="O6525" i="1"/>
  <c r="P6525" i="1"/>
  <c r="Q6525" i="1" s="1"/>
  <c r="P6526" i="1"/>
  <c r="O6527" i="1"/>
  <c r="P6527" i="1"/>
  <c r="O6528" i="1"/>
  <c r="P6528" i="1"/>
  <c r="O6529" i="1"/>
  <c r="P6529" i="1"/>
  <c r="O6530" i="1"/>
  <c r="O6531" i="1" s="1"/>
  <c r="P6530" i="1"/>
  <c r="Q6530" i="1" s="1"/>
  <c r="P6531" i="1"/>
  <c r="P6532" i="1"/>
  <c r="O6533" i="1"/>
  <c r="P6533" i="1"/>
  <c r="Q6533" i="1" s="1"/>
  <c r="P6534" i="1"/>
  <c r="O6535" i="1"/>
  <c r="P6535" i="1"/>
  <c r="O6536" i="1"/>
  <c r="O6537" i="1" s="1"/>
  <c r="P6536" i="1"/>
  <c r="Q6536" i="1" s="1"/>
  <c r="P6537" i="1"/>
  <c r="O6538" i="1"/>
  <c r="O6539" i="1" s="1"/>
  <c r="P6538" i="1"/>
  <c r="Q6538" i="1" s="1"/>
  <c r="P6539" i="1"/>
  <c r="O6540" i="1"/>
  <c r="P6540" i="1"/>
  <c r="O6541" i="1"/>
  <c r="P6541" i="1"/>
  <c r="Q6541" i="1" s="1"/>
  <c r="P6542" i="1"/>
  <c r="O6543" i="1"/>
  <c r="P6543" i="1"/>
  <c r="Q6543" i="1" s="1"/>
  <c r="P6544" i="1"/>
  <c r="O6545" i="1"/>
  <c r="O6546" i="1" s="1"/>
  <c r="P6545" i="1"/>
  <c r="Q6545" i="1" s="1"/>
  <c r="P6546" i="1"/>
  <c r="O6547" i="1"/>
  <c r="P6547" i="1"/>
  <c r="Q6547" i="1" s="1"/>
  <c r="P6548" i="1"/>
  <c r="O6549" i="1"/>
  <c r="P6549" i="1"/>
  <c r="Q6549" i="1" s="1"/>
  <c r="P6550" i="1"/>
  <c r="O6551" i="1"/>
  <c r="P6551" i="1"/>
  <c r="O6552" i="1"/>
  <c r="P6552" i="1"/>
  <c r="O6553" i="1"/>
  <c r="P6553" i="1"/>
  <c r="O6554" i="1"/>
  <c r="O6555" i="1" s="1"/>
  <c r="P6554" i="1"/>
  <c r="Q6554" i="1" s="1"/>
  <c r="P6555" i="1"/>
  <c r="O6556" i="1"/>
  <c r="P6556" i="1"/>
  <c r="O6557" i="1"/>
  <c r="P6557" i="1"/>
  <c r="Q6557" i="1" s="1"/>
  <c r="P6558" i="1"/>
  <c r="O6559" i="1"/>
  <c r="P6559" i="1"/>
  <c r="Q6559" i="1" s="1"/>
  <c r="P6560" i="1"/>
  <c r="O6561" i="1"/>
  <c r="O6562" i="1" s="1"/>
  <c r="P6561" i="1"/>
  <c r="Q6561" i="1" s="1"/>
  <c r="P6562" i="1"/>
  <c r="O6563" i="1"/>
  <c r="P6563" i="1"/>
  <c r="O6564" i="1"/>
  <c r="P6564" i="1"/>
  <c r="O6565" i="1"/>
  <c r="P6565" i="1"/>
  <c r="Q6565" i="1" s="1"/>
  <c r="P6566" i="1"/>
  <c r="O6567" i="1"/>
  <c r="P6567" i="1"/>
  <c r="O6568" i="1"/>
  <c r="P6568" i="1"/>
  <c r="O6569" i="1"/>
  <c r="O6570" i="1" s="1"/>
  <c r="P6569" i="1"/>
  <c r="Q6569" i="1" s="1"/>
  <c r="P6570" i="1"/>
  <c r="O6571" i="1"/>
  <c r="P6571" i="1"/>
  <c r="O6572" i="1"/>
  <c r="P6572" i="1"/>
  <c r="O6573" i="1"/>
  <c r="P6573" i="1"/>
  <c r="O6574" i="1"/>
  <c r="P6574" i="1"/>
  <c r="O6575" i="1"/>
  <c r="P6575" i="1"/>
  <c r="O6576" i="1"/>
  <c r="P6576" i="1"/>
  <c r="O6577" i="1"/>
  <c r="O6578" i="1" s="1"/>
  <c r="P6577" i="1"/>
  <c r="Q6577" i="1" s="1"/>
  <c r="P6578" i="1"/>
  <c r="O6579" i="1"/>
  <c r="P6579" i="1"/>
  <c r="O6580" i="1"/>
  <c r="P6580" i="1"/>
  <c r="O6581" i="1"/>
  <c r="P6581" i="1"/>
  <c r="O6582" i="1"/>
  <c r="O6583" i="1" s="1"/>
  <c r="P6582" i="1"/>
  <c r="Q6582" i="1" s="1"/>
  <c r="P6583" i="1"/>
  <c r="O6584" i="1"/>
  <c r="O6585" i="1" s="1"/>
  <c r="P6584" i="1"/>
  <c r="Q6584" i="1" s="1"/>
  <c r="P6585" i="1"/>
  <c r="O6586" i="1"/>
  <c r="P6586" i="1"/>
  <c r="O6587" i="1"/>
  <c r="P6587" i="1"/>
  <c r="O6588" i="1"/>
  <c r="P6588" i="1"/>
  <c r="O6589" i="1"/>
  <c r="P6589" i="1"/>
  <c r="O6590" i="1"/>
  <c r="O6591" i="1" s="1"/>
  <c r="P6590" i="1"/>
  <c r="Q6590" i="1" s="1"/>
  <c r="P6591" i="1"/>
  <c r="O6592" i="1"/>
  <c r="O6593" i="1" s="1"/>
  <c r="P6592" i="1"/>
  <c r="Q6592" i="1" s="1"/>
  <c r="P6593" i="1"/>
  <c r="O6594" i="1"/>
  <c r="P6594" i="1"/>
  <c r="O6595" i="1"/>
  <c r="P6595" i="1"/>
  <c r="O6596" i="1"/>
  <c r="O6597" i="1" s="1"/>
  <c r="P6596" i="1"/>
  <c r="Q6596" i="1" s="1"/>
  <c r="P6597" i="1"/>
  <c r="O6598" i="1"/>
  <c r="P6598" i="1"/>
  <c r="O6599" i="1"/>
  <c r="P6599" i="1"/>
  <c r="O6600" i="1"/>
  <c r="O6601" i="1" s="1"/>
  <c r="P6600" i="1"/>
  <c r="Q6600" i="1" s="1"/>
  <c r="P6601" i="1"/>
  <c r="O6602" i="1"/>
  <c r="P6602" i="1"/>
  <c r="O6603" i="1"/>
  <c r="P6603" i="1"/>
  <c r="O6604" i="1"/>
  <c r="P6604" i="1"/>
  <c r="O6605" i="1"/>
  <c r="P6605" i="1"/>
  <c r="Q6605" i="1" s="1"/>
  <c r="P6606" i="1"/>
  <c r="O6607" i="1"/>
  <c r="P6607" i="1"/>
  <c r="Q6607" i="1" s="1"/>
  <c r="P6608" i="1"/>
  <c r="P6609" i="1"/>
  <c r="P6610" i="1"/>
  <c r="P6611" i="1"/>
  <c r="O6612" i="1"/>
  <c r="P6612" i="1"/>
  <c r="O6613" i="1"/>
  <c r="P6613" i="1"/>
  <c r="Q6613" i="1" s="1"/>
  <c r="P6614" i="1"/>
  <c r="O6615" i="1"/>
  <c r="P6615" i="1"/>
  <c r="O6616" i="1"/>
  <c r="O6617" i="1" s="1"/>
  <c r="P6616" i="1"/>
  <c r="Q6616" i="1" s="1"/>
  <c r="P6617" i="1"/>
  <c r="O6618" i="1"/>
  <c r="P6618" i="1"/>
  <c r="O6619" i="1"/>
  <c r="P6619" i="1"/>
  <c r="O6620" i="1"/>
  <c r="P6620" i="1"/>
  <c r="O6621" i="1"/>
  <c r="P6621" i="1"/>
  <c r="O6622" i="1"/>
  <c r="P6622" i="1"/>
  <c r="O6623" i="1"/>
  <c r="P6623" i="1"/>
  <c r="O6624" i="1"/>
  <c r="O6625" i="1" s="1"/>
  <c r="P6624" i="1"/>
  <c r="Q6624" i="1" s="1"/>
  <c r="P6625" i="1"/>
  <c r="O6626" i="1"/>
  <c r="O6627" i="1" s="1"/>
  <c r="O6628" i="1" s="1"/>
  <c r="P6626" i="1"/>
  <c r="Q6626" i="1" s="1"/>
  <c r="P6627" i="1"/>
  <c r="P6628" i="1"/>
  <c r="P6629" i="1"/>
  <c r="O6630" i="1"/>
  <c r="P6630" i="1"/>
  <c r="O6631" i="1"/>
  <c r="P6631" i="1"/>
  <c r="Q6631" i="1" s="1"/>
  <c r="P6632" i="1"/>
  <c r="O6633" i="1"/>
  <c r="O6634" i="1" s="1"/>
  <c r="P6633" i="1"/>
  <c r="Q6633" i="1" s="1"/>
  <c r="P6634" i="1"/>
  <c r="O6635" i="1"/>
  <c r="O6636" i="1" s="1"/>
  <c r="P6635" i="1"/>
  <c r="Q6635" i="1" s="1"/>
  <c r="P6636" i="1"/>
  <c r="O6637" i="1"/>
  <c r="P6637" i="1"/>
  <c r="Q6637" i="1" s="1"/>
  <c r="P6638" i="1"/>
  <c r="P6639" i="1"/>
  <c r="P6640" i="1"/>
  <c r="O6641" i="1"/>
  <c r="O6642" i="1" s="1"/>
  <c r="P6641" i="1"/>
  <c r="Q6641" i="1" s="1"/>
  <c r="P6642" i="1"/>
  <c r="O6643" i="1"/>
  <c r="P6643" i="1"/>
  <c r="Q6643" i="1" s="1"/>
  <c r="P6644" i="1"/>
  <c r="O6645" i="1"/>
  <c r="P6645" i="1"/>
  <c r="Q6645" i="1" s="1"/>
  <c r="P6646" i="1"/>
  <c r="P6647" i="1"/>
  <c r="P6648" i="1"/>
  <c r="P6649" i="1"/>
  <c r="P6650" i="1"/>
  <c r="P6651" i="1"/>
  <c r="P6652" i="1"/>
  <c r="P6653" i="1"/>
  <c r="P6654" i="1"/>
  <c r="P6655" i="1"/>
  <c r="P6656" i="1"/>
  <c r="O6657" i="1"/>
  <c r="O6658" i="1" s="1"/>
  <c r="O6659" i="1" s="1"/>
  <c r="P6657" i="1"/>
  <c r="Q6657" i="1" s="1"/>
  <c r="P6658" i="1"/>
  <c r="P6659" i="1"/>
  <c r="P6660" i="1"/>
  <c r="O6661" i="1"/>
  <c r="P6661" i="1"/>
  <c r="Q6661" i="1" s="1"/>
  <c r="P6662" i="1"/>
  <c r="P6663" i="1"/>
  <c r="P6664" i="1"/>
  <c r="P6665" i="1"/>
  <c r="O6666" i="1"/>
  <c r="P6666" i="1"/>
  <c r="O6667" i="1"/>
  <c r="O6668" i="1" s="1"/>
  <c r="P6667" i="1"/>
  <c r="Q6667" i="1" s="1"/>
  <c r="P6668" i="1"/>
  <c r="O6669" i="1"/>
  <c r="P6669" i="1"/>
  <c r="O6670" i="1"/>
  <c r="O6671" i="1" s="1"/>
  <c r="P6670" i="1"/>
  <c r="Q6670" i="1" s="1"/>
  <c r="P6671" i="1"/>
  <c r="O6672" i="1"/>
  <c r="P6672" i="1"/>
  <c r="O6673" i="1"/>
  <c r="P6673" i="1"/>
  <c r="Q6673" i="1" s="1"/>
  <c r="P6674" i="1"/>
  <c r="O6675" i="1"/>
  <c r="P6675" i="1"/>
  <c r="O6676" i="1"/>
  <c r="P6676" i="1"/>
  <c r="O6677" i="1"/>
  <c r="P6677" i="1"/>
  <c r="O6678" i="1"/>
  <c r="P6678" i="1"/>
  <c r="O6679" i="1"/>
  <c r="P6679" i="1"/>
  <c r="O6680" i="1"/>
  <c r="P6680" i="1"/>
  <c r="O6681" i="1"/>
  <c r="P6681" i="1"/>
  <c r="O6682" i="1"/>
  <c r="O6683" i="1" s="1"/>
  <c r="P6682" i="1"/>
  <c r="Q6682" i="1" s="1"/>
  <c r="P6683" i="1"/>
  <c r="O6684" i="1"/>
  <c r="P6684" i="1"/>
  <c r="O6685" i="1"/>
  <c r="P6685" i="1"/>
  <c r="O6686" i="1"/>
  <c r="P6686" i="1"/>
  <c r="O6687" i="1"/>
  <c r="P6687" i="1"/>
  <c r="O6688" i="1"/>
  <c r="O6689" i="1" s="1"/>
  <c r="P6688" i="1"/>
  <c r="Q6688" i="1" s="1"/>
  <c r="P6689" i="1"/>
  <c r="O6690" i="1"/>
  <c r="P6690" i="1"/>
  <c r="O6691" i="1"/>
  <c r="P6691" i="1"/>
  <c r="O6692" i="1"/>
  <c r="O6693" i="1" s="1"/>
  <c r="P6692" i="1"/>
  <c r="Q6692" i="1" s="1"/>
  <c r="P6693" i="1"/>
  <c r="O6694" i="1"/>
  <c r="P6694" i="1"/>
  <c r="O6695" i="1"/>
  <c r="P6695" i="1"/>
  <c r="O6696" i="1"/>
  <c r="P6696" i="1"/>
  <c r="O6697" i="1"/>
  <c r="P6697" i="1"/>
  <c r="O6698" i="1"/>
  <c r="P6698" i="1"/>
  <c r="O6699" i="1"/>
  <c r="P6699" i="1"/>
  <c r="O6700" i="1"/>
  <c r="O6701" i="1" s="1"/>
  <c r="P6700" i="1"/>
  <c r="Q6700" i="1" s="1"/>
  <c r="P6701" i="1"/>
  <c r="O6702" i="1"/>
  <c r="O6703" i="1" s="1"/>
  <c r="P6702" i="1"/>
  <c r="Q6702" i="1" s="1"/>
  <c r="P6703" i="1"/>
  <c r="O6704" i="1"/>
  <c r="P6704" i="1"/>
  <c r="O6705" i="1"/>
  <c r="P6705" i="1"/>
  <c r="O6706" i="1"/>
  <c r="P6706" i="1"/>
  <c r="O6707" i="1"/>
  <c r="P6707" i="1"/>
  <c r="O6708" i="1"/>
  <c r="O6709" i="1" s="1"/>
  <c r="P6708" i="1"/>
  <c r="Q6708" i="1" s="1"/>
  <c r="P6709" i="1"/>
  <c r="O6710" i="1"/>
  <c r="P6710" i="1"/>
  <c r="O6711" i="1"/>
  <c r="P6711" i="1"/>
  <c r="O6712" i="1"/>
  <c r="P6712" i="1"/>
  <c r="O6713" i="1"/>
  <c r="P6713" i="1"/>
  <c r="O6714" i="1"/>
  <c r="P6714" i="1"/>
  <c r="O6715" i="1"/>
  <c r="P6715" i="1"/>
  <c r="O6716" i="1"/>
  <c r="P6716" i="1"/>
  <c r="O6717" i="1"/>
  <c r="O6718" i="1" s="1"/>
  <c r="P6717" i="1"/>
  <c r="Q6717" i="1" s="1"/>
  <c r="P6718" i="1"/>
  <c r="O6719" i="1"/>
  <c r="O6720" i="1" s="1"/>
  <c r="P6719" i="1"/>
  <c r="Q6719" i="1" s="1"/>
  <c r="P6720" i="1"/>
  <c r="O6721" i="1"/>
  <c r="P6721" i="1"/>
  <c r="Q6721" i="1" s="1"/>
  <c r="P6722" i="1"/>
  <c r="O6723" i="1"/>
  <c r="P6723" i="1"/>
  <c r="O6724" i="1"/>
  <c r="P6724" i="1"/>
  <c r="O6725" i="1"/>
  <c r="P6725" i="1"/>
  <c r="O6726" i="1"/>
  <c r="P6726" i="1"/>
  <c r="O6727" i="1"/>
  <c r="O6728" i="1" s="1"/>
  <c r="P6727" i="1"/>
  <c r="Q6727" i="1" s="1"/>
  <c r="P6728" i="1"/>
  <c r="O6729" i="1"/>
  <c r="O6730" i="1" s="1"/>
  <c r="P6729" i="1"/>
  <c r="Q6729" i="1" s="1"/>
  <c r="P6730" i="1"/>
  <c r="O6731" i="1"/>
  <c r="P6731" i="1"/>
  <c r="O6732" i="1"/>
  <c r="P6732" i="1"/>
  <c r="O6733" i="1"/>
  <c r="P6733" i="1"/>
  <c r="O6734" i="1"/>
  <c r="P6734" i="1"/>
  <c r="Q6734" i="1" s="1"/>
  <c r="P6735" i="1"/>
  <c r="O6736" i="1"/>
  <c r="P6736" i="1"/>
  <c r="O6737" i="1"/>
  <c r="P6737" i="1"/>
  <c r="O6738" i="1"/>
  <c r="P6738" i="1"/>
  <c r="Q6738" i="1" s="1"/>
  <c r="P6739" i="1"/>
  <c r="O6740" i="1"/>
  <c r="P6740" i="1"/>
  <c r="O6741" i="1"/>
  <c r="P6741" i="1"/>
  <c r="O6742" i="1"/>
  <c r="P6742" i="1"/>
  <c r="O6743" i="1"/>
  <c r="P6743" i="1"/>
  <c r="Q6743" i="1" s="1"/>
  <c r="P6744" i="1"/>
  <c r="O6745" i="1"/>
  <c r="P6745" i="1"/>
  <c r="O6746" i="1"/>
  <c r="P6746" i="1"/>
  <c r="O6747" i="1"/>
  <c r="P6747" i="1"/>
  <c r="Q6747" i="1" s="1"/>
  <c r="P6748" i="1"/>
  <c r="O6749" i="1"/>
  <c r="P6749" i="1"/>
  <c r="O6750" i="1"/>
  <c r="P6750" i="1"/>
  <c r="O6751" i="1"/>
  <c r="P6751" i="1"/>
  <c r="O6752" i="1"/>
  <c r="P6752" i="1"/>
  <c r="O6753" i="1"/>
  <c r="P6753" i="1"/>
  <c r="Q6753" i="1" s="1"/>
  <c r="P6754" i="1"/>
  <c r="O6755" i="1"/>
  <c r="P6755" i="1"/>
  <c r="O6756" i="1"/>
  <c r="P6756" i="1"/>
  <c r="O6757" i="1"/>
  <c r="P6757" i="1"/>
  <c r="O6758" i="1"/>
  <c r="P6758" i="1"/>
  <c r="O6759" i="1"/>
  <c r="P6759" i="1"/>
  <c r="O6760" i="1"/>
  <c r="P6760" i="1"/>
  <c r="O6761" i="1"/>
  <c r="P6761" i="1"/>
  <c r="O6762" i="1"/>
  <c r="P6762" i="1"/>
  <c r="O6763" i="1"/>
  <c r="P6763" i="1"/>
  <c r="O6764" i="1"/>
  <c r="P6764" i="1"/>
  <c r="O6765" i="1"/>
  <c r="P6765" i="1"/>
  <c r="O6766" i="1"/>
  <c r="P6766" i="1"/>
  <c r="O6767" i="1"/>
  <c r="P6767" i="1"/>
  <c r="O6768" i="1"/>
  <c r="P6768" i="1"/>
  <c r="O6769" i="1"/>
  <c r="P6769" i="1"/>
  <c r="O6770" i="1"/>
  <c r="P6770" i="1"/>
  <c r="O6771" i="1"/>
  <c r="P6771" i="1"/>
  <c r="O6772" i="1"/>
  <c r="P6772" i="1"/>
  <c r="O6773" i="1"/>
  <c r="P6773" i="1"/>
  <c r="O6774" i="1"/>
  <c r="P6774" i="1"/>
  <c r="O6775" i="1"/>
  <c r="P6775" i="1"/>
  <c r="O6776" i="1"/>
  <c r="P6776" i="1"/>
  <c r="O6777" i="1"/>
  <c r="P6777" i="1"/>
  <c r="O6778" i="1"/>
  <c r="P6778" i="1"/>
  <c r="O6779" i="1"/>
  <c r="P6779" i="1"/>
  <c r="O6780" i="1"/>
  <c r="P6780" i="1"/>
  <c r="O6781" i="1"/>
  <c r="P6781" i="1"/>
  <c r="O6782" i="1"/>
  <c r="P6782" i="1"/>
  <c r="O6783" i="1"/>
  <c r="P6783" i="1"/>
  <c r="O6784" i="1"/>
  <c r="P6784" i="1"/>
  <c r="O6785" i="1"/>
  <c r="P6785" i="1"/>
  <c r="O6786" i="1"/>
  <c r="P6786" i="1"/>
  <c r="O6787" i="1"/>
  <c r="P6787" i="1"/>
  <c r="O6788" i="1"/>
  <c r="P6788" i="1"/>
  <c r="O6789" i="1"/>
  <c r="P6789" i="1"/>
  <c r="O6790" i="1"/>
  <c r="O6791" i="1" s="1"/>
  <c r="P6790" i="1"/>
  <c r="Q6790" i="1" s="1"/>
  <c r="P6791" i="1"/>
  <c r="O6792" i="1"/>
  <c r="P6792" i="1"/>
  <c r="O6793" i="1"/>
  <c r="P6793" i="1"/>
  <c r="O6794" i="1"/>
  <c r="P6794" i="1"/>
  <c r="O6795" i="1"/>
  <c r="P6795" i="1"/>
  <c r="O6796" i="1"/>
  <c r="P6796" i="1"/>
  <c r="O6797" i="1"/>
  <c r="P6797" i="1"/>
  <c r="O6798" i="1"/>
  <c r="P6798" i="1"/>
  <c r="O6799" i="1"/>
  <c r="O6800" i="1" s="1"/>
  <c r="P6799" i="1"/>
  <c r="Q6799" i="1" s="1"/>
  <c r="P6800" i="1"/>
  <c r="O6801" i="1"/>
  <c r="P6801" i="1"/>
  <c r="O6802" i="1"/>
  <c r="P6802" i="1"/>
  <c r="O6803" i="1"/>
  <c r="P6803" i="1"/>
  <c r="O6804" i="1"/>
  <c r="P6804" i="1"/>
  <c r="O6805" i="1"/>
  <c r="P6805" i="1"/>
  <c r="O6806" i="1"/>
  <c r="P6806" i="1"/>
  <c r="O6807" i="1"/>
  <c r="P6807" i="1"/>
  <c r="O6808" i="1"/>
  <c r="P6808" i="1"/>
  <c r="O6809" i="1"/>
  <c r="P6809" i="1"/>
  <c r="O6810" i="1"/>
  <c r="P6810" i="1"/>
  <c r="O6811" i="1"/>
  <c r="P6811" i="1"/>
  <c r="Q6811" i="1" s="1"/>
  <c r="P6812" i="1"/>
  <c r="O6813" i="1"/>
  <c r="P6813" i="1"/>
  <c r="O6814" i="1"/>
  <c r="P6814" i="1"/>
  <c r="O6815" i="1"/>
  <c r="P6815" i="1"/>
  <c r="O6816" i="1"/>
  <c r="P6816" i="1"/>
  <c r="O6817" i="1"/>
  <c r="P6817" i="1"/>
  <c r="Q6817" i="1" s="1"/>
  <c r="P6818" i="1"/>
  <c r="O6819" i="1"/>
  <c r="P6819" i="1"/>
  <c r="O6820" i="1"/>
  <c r="P6820" i="1"/>
  <c r="O6821" i="1"/>
  <c r="P6821" i="1"/>
  <c r="O6822" i="1"/>
  <c r="P6822" i="1"/>
  <c r="O6823" i="1"/>
  <c r="P6823" i="1"/>
  <c r="Q6823" i="1" s="1"/>
  <c r="P6824" i="1"/>
  <c r="O6825" i="1"/>
  <c r="P6825" i="1"/>
  <c r="O6826" i="1"/>
  <c r="P6826" i="1"/>
  <c r="O6827" i="1"/>
  <c r="P6827" i="1"/>
  <c r="O6828" i="1"/>
  <c r="P6828" i="1"/>
  <c r="O6829" i="1"/>
  <c r="P6829" i="1"/>
  <c r="O6830" i="1"/>
  <c r="P6830" i="1"/>
  <c r="O6831" i="1"/>
  <c r="P6831" i="1"/>
  <c r="O6832" i="1"/>
  <c r="O6833" i="1" s="1"/>
  <c r="P6832" i="1"/>
  <c r="Q6832" i="1" s="1"/>
  <c r="P6833" i="1"/>
  <c r="O6834" i="1"/>
  <c r="P6834" i="1"/>
  <c r="Q6834" i="1" s="1"/>
  <c r="P6835" i="1"/>
  <c r="O6836" i="1"/>
  <c r="O6837" i="1" s="1"/>
  <c r="P6836" i="1"/>
  <c r="Q6836" i="1" s="1"/>
  <c r="P6837" i="1"/>
  <c r="O6838" i="1"/>
  <c r="P6838" i="1"/>
  <c r="O6839" i="1"/>
  <c r="P6839" i="1"/>
  <c r="O6840" i="1"/>
  <c r="P6840" i="1"/>
  <c r="O6841" i="1"/>
  <c r="O6842" i="1" s="1"/>
  <c r="P6841" i="1"/>
  <c r="Q6841" i="1" s="1"/>
  <c r="P6842" i="1"/>
  <c r="O6843" i="1"/>
  <c r="P6843" i="1"/>
  <c r="Q6843" i="1" s="1"/>
  <c r="P6844" i="1"/>
  <c r="O6845" i="1"/>
  <c r="O6846" i="1" s="1"/>
  <c r="P6845" i="1"/>
  <c r="Q6845" i="1" s="1"/>
  <c r="P6846" i="1"/>
  <c r="O6847" i="1"/>
  <c r="P6847" i="1"/>
  <c r="O6848" i="1"/>
  <c r="O6849" i="1" s="1"/>
  <c r="P6848" i="1"/>
  <c r="Q6848" i="1" s="1"/>
  <c r="P6849" i="1"/>
  <c r="O6850" i="1"/>
  <c r="P6850" i="1"/>
  <c r="O6851" i="1"/>
  <c r="P6851" i="1"/>
  <c r="O6852" i="1"/>
  <c r="P6852" i="1"/>
  <c r="O6853" i="1"/>
  <c r="O6854" i="1" s="1"/>
  <c r="P6853" i="1"/>
  <c r="Q6853" i="1" s="1"/>
  <c r="P6854" i="1"/>
  <c r="O6855" i="1"/>
  <c r="O6856" i="1" s="1"/>
  <c r="P6855" i="1"/>
  <c r="Q6855" i="1" s="1"/>
  <c r="P6856" i="1"/>
  <c r="O6857" i="1"/>
  <c r="P6857" i="1"/>
  <c r="Q6857" i="1" s="1"/>
  <c r="P6858" i="1"/>
  <c r="O6859" i="1"/>
  <c r="P6859" i="1"/>
  <c r="O6860" i="1"/>
  <c r="P6860" i="1"/>
  <c r="O6861" i="1"/>
  <c r="P6861" i="1"/>
  <c r="Q6861" i="1" s="1"/>
  <c r="P6862" i="1"/>
  <c r="O6863" i="1"/>
  <c r="P6863" i="1"/>
  <c r="O6864" i="1"/>
  <c r="P6864" i="1"/>
  <c r="O6865" i="1"/>
  <c r="O6866" i="1" s="1"/>
  <c r="P6865" i="1"/>
  <c r="Q6865" i="1" s="1"/>
  <c r="P6866" i="1"/>
  <c r="O6867" i="1"/>
  <c r="P6867" i="1"/>
  <c r="O6868" i="1"/>
  <c r="P6868" i="1"/>
  <c r="O6869" i="1"/>
  <c r="P6869" i="1"/>
  <c r="O6870" i="1"/>
  <c r="P6870" i="1"/>
  <c r="O6871" i="1"/>
  <c r="O6872" i="1" s="1"/>
  <c r="P6871" i="1"/>
  <c r="Q6871" i="1" s="1"/>
  <c r="P6872" i="1"/>
  <c r="O6873" i="1"/>
  <c r="P6873" i="1"/>
  <c r="O6874" i="1"/>
  <c r="P6874" i="1"/>
  <c r="O6875" i="1"/>
  <c r="P6875" i="1"/>
  <c r="O6876" i="1"/>
  <c r="P6876" i="1"/>
  <c r="O6877" i="1"/>
  <c r="P6877" i="1"/>
  <c r="O6878" i="1"/>
  <c r="P6878" i="1"/>
  <c r="O6879" i="1"/>
  <c r="P6879" i="1"/>
  <c r="O6880" i="1"/>
  <c r="P6880" i="1"/>
  <c r="O6881" i="1"/>
  <c r="P6881" i="1"/>
  <c r="O6882" i="1"/>
  <c r="P6882" i="1"/>
  <c r="O6883" i="1"/>
  <c r="P6883" i="1"/>
  <c r="O6884" i="1"/>
  <c r="P6884" i="1"/>
  <c r="O6885" i="1"/>
  <c r="P6885" i="1"/>
  <c r="O6886" i="1"/>
  <c r="P6886" i="1"/>
  <c r="O6887" i="1"/>
  <c r="P6887" i="1"/>
  <c r="O6888" i="1"/>
  <c r="P6888" i="1"/>
  <c r="O6889" i="1"/>
  <c r="P6889" i="1"/>
  <c r="Q6889" i="1" s="1"/>
  <c r="P6890" i="1"/>
  <c r="P6891" i="1"/>
  <c r="O6892" i="1"/>
  <c r="P6892" i="1"/>
  <c r="O6893" i="1"/>
  <c r="P6893" i="1"/>
  <c r="O6894" i="1"/>
  <c r="P6894" i="1"/>
  <c r="O6895" i="1"/>
  <c r="P6895" i="1"/>
  <c r="O6896" i="1"/>
  <c r="P6896" i="1"/>
  <c r="O6897" i="1"/>
  <c r="P6897" i="1"/>
  <c r="Q6897" i="1" s="1"/>
  <c r="P6898" i="1"/>
  <c r="O6899" i="1"/>
  <c r="P6899" i="1"/>
  <c r="O6900" i="1"/>
  <c r="P6900" i="1"/>
  <c r="O6901" i="1"/>
  <c r="P6901" i="1"/>
  <c r="Q6901" i="1" s="1"/>
  <c r="P6902" i="1"/>
  <c r="O6903" i="1"/>
  <c r="P6903" i="1"/>
  <c r="O6904" i="1"/>
  <c r="P6904" i="1"/>
  <c r="O6905" i="1"/>
  <c r="P6905" i="1"/>
  <c r="Q6905" i="1" s="1"/>
  <c r="P6906" i="1"/>
  <c r="P6907" i="1"/>
  <c r="P6908" i="1"/>
  <c r="O6909" i="1"/>
  <c r="O6910" i="1" s="1"/>
  <c r="P6909" i="1"/>
  <c r="Q6909" i="1" s="1"/>
  <c r="P6910" i="1"/>
  <c r="O6911" i="1"/>
  <c r="P6911" i="1"/>
  <c r="O6912" i="1"/>
  <c r="O6913" i="1" s="1"/>
  <c r="P6912" i="1"/>
  <c r="Q6912" i="1" s="1"/>
  <c r="P6913" i="1"/>
  <c r="O6914" i="1"/>
  <c r="P6914" i="1"/>
  <c r="Q6914" i="1" s="1"/>
  <c r="P6915" i="1"/>
  <c r="O6916" i="1"/>
  <c r="O6917" i="1" s="1"/>
  <c r="P6916" i="1"/>
  <c r="Q6916" i="1" s="1"/>
  <c r="P6917"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312" i="1"/>
  <c r="A38" i="2"/>
  <c r="A67" i="2"/>
  <c r="A31" i="2"/>
  <c r="A49" i="2"/>
  <c r="A25" i="2"/>
  <c r="A60" i="2"/>
  <c r="A42" i="2"/>
  <c r="B42" i="2" s="1"/>
  <c r="A27" i="2"/>
  <c r="A65" i="2"/>
  <c r="A50" i="2"/>
  <c r="A44" i="2"/>
  <c r="A2" i="2"/>
  <c r="A30" i="2"/>
  <c r="A46" i="2"/>
  <c r="A63" i="2"/>
  <c r="B63" i="2" s="1"/>
  <c r="A15" i="2"/>
  <c r="A32" i="2"/>
  <c r="A11" i="2"/>
  <c r="A28" i="2"/>
  <c r="A35" i="2"/>
  <c r="A54" i="2"/>
  <c r="A55" i="2"/>
  <c r="B55" i="2" s="1"/>
  <c r="A64" i="2"/>
  <c r="B64" i="2" s="1"/>
  <c r="A10" i="2"/>
  <c r="A53" i="2"/>
  <c r="A41" i="2"/>
  <c r="A3" i="2"/>
  <c r="A47" i="2"/>
  <c r="A5" i="2"/>
  <c r="A12" i="2"/>
  <c r="A21" i="2"/>
  <c r="A34" i="2"/>
  <c r="A22" i="2"/>
  <c r="A8" i="2"/>
  <c r="A51" i="2"/>
  <c r="A62" i="2"/>
  <c r="A37" i="2"/>
  <c r="A45" i="2"/>
  <c r="A58" i="2"/>
  <c r="B58" i="2" s="1"/>
  <c r="A56" i="2"/>
  <c r="B56" i="2" s="1"/>
  <c r="A40" i="2"/>
  <c r="A14" i="2"/>
  <c r="A39" i="2"/>
  <c r="A19" i="2"/>
  <c r="A48" i="2"/>
  <c r="A66" i="2"/>
  <c r="A7" i="2"/>
  <c r="A57" i="2"/>
  <c r="A36" i="2"/>
  <c r="A23" i="2"/>
  <c r="A68" i="2"/>
  <c r="A29" i="2"/>
  <c r="A6" i="2"/>
  <c r="A43" i="2"/>
  <c r="A13" i="2"/>
  <c r="A33" i="2"/>
  <c r="A4" i="2"/>
  <c r="A20" i="2"/>
  <c r="A18" i="2"/>
  <c r="A16" i="2"/>
  <c r="A24" i="2"/>
  <c r="A17" i="2"/>
  <c r="A52" i="2"/>
  <c r="A26" i="2"/>
  <c r="A59" i="2"/>
  <c r="A9" i="2"/>
  <c r="A61" i="2"/>
  <c r="B34" i="2" l="1"/>
  <c r="B15" i="2"/>
  <c r="B26" i="2"/>
  <c r="B7" i="2"/>
  <c r="B16" i="2"/>
  <c r="S1" i="2"/>
  <c r="S6961" i="1"/>
  <c r="T6961" i="1" s="1"/>
  <c r="R6961" i="1"/>
  <c r="O6962" i="1"/>
  <c r="T1085" i="1"/>
  <c r="S1084" i="1"/>
  <c r="T1084" i="1" s="1"/>
  <c r="O2872" i="1"/>
  <c r="R2871" i="1"/>
  <c r="S2871" i="1"/>
  <c r="T2871" i="1" s="1"/>
  <c r="S932" i="1"/>
  <c r="T932" i="1" s="1"/>
  <c r="X20" i="1"/>
  <c r="Y20" i="1" s="1"/>
  <c r="AA20" i="1"/>
  <c r="Z20" i="1" s="1"/>
  <c r="W22" i="1"/>
  <c r="T815" i="1"/>
  <c r="S814" i="1"/>
  <c r="T814" i="1" s="1"/>
  <c r="T981" i="1"/>
  <c r="S980" i="1"/>
  <c r="T980" i="1" s="1"/>
  <c r="T829" i="1"/>
  <c r="S828" i="1"/>
  <c r="T828" i="1" s="1"/>
  <c r="T847" i="1"/>
  <c r="S846" i="1"/>
  <c r="T846" i="1" s="1"/>
  <c r="I46" i="2"/>
  <c r="B46" i="2"/>
  <c r="I60" i="2"/>
  <c r="B60" i="2"/>
  <c r="I58" i="2"/>
  <c r="I7" i="2"/>
  <c r="I57" i="2"/>
  <c r="B57" i="2"/>
  <c r="I10" i="2"/>
  <c r="B10" i="2"/>
  <c r="I13" i="2"/>
  <c r="B13" i="2"/>
  <c r="I17" i="2"/>
  <c r="B17" i="2"/>
  <c r="I66" i="2"/>
  <c r="B66" i="2"/>
  <c r="I12" i="2"/>
  <c r="B12" i="2"/>
  <c r="I6" i="2"/>
  <c r="B6" i="2"/>
  <c r="I37" i="2"/>
  <c r="B37" i="2"/>
  <c r="I30" i="2"/>
  <c r="B30" i="2"/>
  <c r="I56" i="2"/>
  <c r="I29" i="2"/>
  <c r="B29" i="2"/>
  <c r="I19" i="2"/>
  <c r="B19" i="2"/>
  <c r="I62" i="2"/>
  <c r="B62" i="2"/>
  <c r="I47" i="2"/>
  <c r="B47" i="2"/>
  <c r="I35" i="2"/>
  <c r="B35" i="2"/>
  <c r="I2" i="2"/>
  <c r="B2" i="2"/>
  <c r="I49" i="2"/>
  <c r="B49" i="2"/>
  <c r="I55" i="2"/>
  <c r="I43" i="2"/>
  <c r="B43" i="2"/>
  <c r="I45" i="2"/>
  <c r="B45" i="2"/>
  <c r="I24" i="2"/>
  <c r="B24" i="2"/>
  <c r="I48" i="2"/>
  <c r="B48" i="2"/>
  <c r="I5" i="2"/>
  <c r="B5" i="2"/>
  <c r="I54" i="2"/>
  <c r="B54" i="2"/>
  <c r="I25" i="2"/>
  <c r="B25" i="2"/>
  <c r="I61" i="2"/>
  <c r="B61" i="2"/>
  <c r="I18" i="2"/>
  <c r="B18" i="2"/>
  <c r="I68" i="2"/>
  <c r="B68" i="2"/>
  <c r="I39" i="2"/>
  <c r="B39" i="2"/>
  <c r="I51" i="2"/>
  <c r="B51" i="2"/>
  <c r="I3" i="2"/>
  <c r="B3" i="2"/>
  <c r="I28" i="2"/>
  <c r="B28" i="2"/>
  <c r="I44" i="2"/>
  <c r="B44" i="2"/>
  <c r="I31" i="2"/>
  <c r="B31" i="2"/>
  <c r="I42" i="2"/>
  <c r="I9" i="2"/>
  <c r="B9" i="2"/>
  <c r="I20" i="2"/>
  <c r="B20" i="2"/>
  <c r="I23" i="2"/>
  <c r="B23" i="2"/>
  <c r="I14" i="2"/>
  <c r="B14" i="2"/>
  <c r="I8" i="2"/>
  <c r="B8" i="2"/>
  <c r="I41" i="2"/>
  <c r="B41" i="2"/>
  <c r="I11" i="2"/>
  <c r="B11" i="2"/>
  <c r="I50" i="2"/>
  <c r="B50" i="2"/>
  <c r="I67" i="2"/>
  <c r="B67" i="2"/>
  <c r="I34" i="2"/>
  <c r="I33" i="2"/>
  <c r="B33" i="2"/>
  <c r="I52" i="2"/>
  <c r="B52" i="2"/>
  <c r="I21" i="2"/>
  <c r="B21" i="2"/>
  <c r="I59" i="2"/>
  <c r="B59" i="2"/>
  <c r="I4" i="2"/>
  <c r="B4" i="2"/>
  <c r="I36" i="2"/>
  <c r="B36" i="2"/>
  <c r="I40" i="2"/>
  <c r="B40" i="2"/>
  <c r="I22" i="2"/>
  <c r="B22" i="2"/>
  <c r="I53" i="2"/>
  <c r="B53" i="2"/>
  <c r="I32" i="2"/>
  <c r="B32" i="2"/>
  <c r="I65" i="2"/>
  <c r="B65" i="2"/>
  <c r="I38" i="2"/>
  <c r="B38" i="2"/>
  <c r="I26" i="2"/>
  <c r="I27" i="2"/>
  <c r="B27" i="2"/>
  <c r="I64" i="2"/>
  <c r="I16" i="2"/>
  <c r="I63" i="2"/>
  <c r="I15" i="2"/>
  <c r="X38" i="7"/>
  <c r="X25" i="7"/>
  <c r="X24" i="7"/>
  <c r="W37" i="7"/>
  <c r="X34" i="7"/>
  <c r="X35" i="7" s="1"/>
  <c r="X32" i="7"/>
  <c r="X16" i="7"/>
  <c r="X17" i="7" s="1"/>
  <c r="X33" i="7"/>
  <c r="W20" i="7"/>
  <c r="W21" i="7"/>
  <c r="X19" i="7"/>
  <c r="Y6" i="7"/>
  <c r="Z5" i="7"/>
  <c r="Y7" i="7"/>
  <c r="Y40" i="7"/>
  <c r="Y8" i="7"/>
  <c r="Y9" i="7" s="1"/>
  <c r="X13" i="7"/>
  <c r="X14" i="7"/>
  <c r="Z11" i="7"/>
  <c r="Y12" i="7"/>
  <c r="AG4" i="7"/>
  <c r="AH3" i="7"/>
  <c r="X30" i="7"/>
  <c r="Z28" i="7"/>
  <c r="Z29" i="7" s="1"/>
  <c r="AA27" i="7"/>
  <c r="W36" i="7"/>
  <c r="O1901" i="1"/>
  <c r="R1901" i="1" s="1"/>
  <c r="R2288" i="1"/>
  <c r="S2288" i="1"/>
  <c r="T2288" i="1" s="1"/>
  <c r="R2530" i="1"/>
  <c r="S2530" i="1"/>
  <c r="T2530" i="1" s="1"/>
  <c r="O2531" i="1"/>
  <c r="S1776" i="1"/>
  <c r="T1776" i="1" s="1"/>
  <c r="R1900" i="1"/>
  <c r="R1175" i="1"/>
  <c r="S1236" i="1"/>
  <c r="T1236" i="1" s="1"/>
  <c r="S1408" i="1"/>
  <c r="T1408" i="1" s="1"/>
  <c r="R1236" i="1"/>
  <c r="S1286" i="1"/>
  <c r="T1286" i="1" s="1"/>
  <c r="T1378" i="1"/>
  <c r="S1377" i="1"/>
  <c r="R1612" i="1"/>
  <c r="R1890" i="1"/>
  <c r="S1890" i="1"/>
  <c r="T1890" i="1" s="1"/>
  <c r="O1891" i="1"/>
  <c r="S1188" i="1"/>
  <c r="T1188" i="1" s="1"/>
  <c r="O1189" i="1"/>
  <c r="R1188" i="1"/>
  <c r="R1317" i="1"/>
  <c r="S1317" i="1"/>
  <c r="T1317" i="1" s="1"/>
  <c r="S1961" i="1"/>
  <c r="T1961" i="1" s="1"/>
  <c r="R1961" i="1"/>
  <c r="O1962" i="1"/>
  <c r="R1909" i="1"/>
  <c r="S1909" i="1"/>
  <c r="T1909" i="1" s="1"/>
  <c r="R1304" i="1"/>
  <c r="S1304" i="1"/>
  <c r="T1304" i="1" s="1"/>
  <c r="S1021" i="1"/>
  <c r="T1021" i="1" s="1"/>
  <c r="R1021" i="1"/>
  <c r="O1406" i="1"/>
  <c r="R1405" i="1"/>
  <c r="R1404" i="1" s="1"/>
  <c r="T1186" i="1"/>
  <c r="S1185" i="1"/>
  <c r="T1185" i="1" s="1"/>
  <c r="O1177" i="1"/>
  <c r="R1176" i="1"/>
  <c r="S1176" i="1"/>
  <c r="T1176" i="1" s="1"/>
  <c r="O894" i="1"/>
  <c r="O895" i="1" s="1"/>
  <c r="R893" i="1"/>
  <c r="S893" i="1"/>
  <c r="T893" i="1" s="1"/>
  <c r="R1151" i="1"/>
  <c r="S1151" i="1"/>
  <c r="T1151" i="1" s="1"/>
  <c r="S1175" i="1"/>
  <c r="T1175" i="1" s="1"/>
  <c r="T891" i="1"/>
  <c r="R959" i="1"/>
  <c r="O960" i="1"/>
  <c r="R1025" i="1"/>
  <c r="S1025" i="1"/>
  <c r="T1025" i="1" s="1"/>
  <c r="R1707" i="1"/>
  <c r="S1707" i="1"/>
  <c r="T1707" i="1" s="1"/>
  <c r="T1296" i="1"/>
  <c r="S1295" i="1"/>
  <c r="T1295" i="1" s="1"/>
  <c r="S1289" i="1"/>
  <c r="T1289" i="1" s="1"/>
  <c r="O1290" i="1"/>
  <c r="R1289" i="1"/>
  <c r="S1874" i="1"/>
  <c r="T1874" i="1" s="1"/>
  <c r="R1874" i="1"/>
  <c r="O1875" i="1"/>
  <c r="R1695" i="1"/>
  <c r="S1695" i="1"/>
  <c r="T1695" i="1" s="1"/>
  <c r="T956" i="1"/>
  <c r="S955" i="1"/>
  <c r="T955" i="1" s="1"/>
  <c r="R1949" i="1"/>
  <c r="S1949" i="1"/>
  <c r="T1949" i="1" s="1"/>
  <c r="O1950" i="1"/>
  <c r="S302" i="1"/>
  <c r="S301" i="1" s="1"/>
  <c r="O1300" i="1"/>
  <c r="R1299" i="1"/>
  <c r="S1299" i="1"/>
  <c r="T1299" i="1" s="1"/>
  <c r="R989" i="1"/>
  <c r="S989" i="1"/>
  <c r="T989" i="1" s="1"/>
  <c r="O990" i="1"/>
  <c r="T1607" i="1"/>
  <c r="S1606" i="1"/>
  <c r="T1606" i="1" s="1"/>
  <c r="R1237" i="1"/>
  <c r="S1237" i="1"/>
  <c r="T1237" i="1" s="1"/>
  <c r="R1936" i="1"/>
  <c r="S1936" i="1"/>
  <c r="T1936" i="1" s="1"/>
  <c r="O1702" i="1"/>
  <c r="R1701" i="1"/>
  <c r="S1701" i="1"/>
  <c r="S1853" i="1"/>
  <c r="T1853" i="1" s="1"/>
  <c r="R1853" i="1"/>
  <c r="R1288" i="1"/>
  <c r="S1288" i="1"/>
  <c r="T1288" i="1" s="1"/>
  <c r="R937" i="1"/>
  <c r="S937" i="1"/>
  <c r="S995" i="1"/>
  <c r="T995" i="1" s="1"/>
  <c r="R995" i="1"/>
  <c r="R958" i="1"/>
  <c r="S958" i="1"/>
  <c r="T958" i="1" s="1"/>
  <c r="O833" i="1"/>
  <c r="O834" i="1" s="1"/>
  <c r="O835" i="1" s="1"/>
  <c r="R1298" i="1"/>
  <c r="S1298" i="1"/>
  <c r="T1298" i="1" s="1"/>
  <c r="O975" i="1"/>
  <c r="O877" i="1"/>
  <c r="O878" i="1" s="1"/>
  <c r="R1134" i="1"/>
  <c r="S1134" i="1"/>
  <c r="T1134" i="1" s="1"/>
  <c r="S892" i="1"/>
  <c r="R892" i="1"/>
  <c r="R1235" i="1"/>
  <c r="S1235" i="1"/>
  <c r="T1235" i="1" s="1"/>
  <c r="O1238" i="1"/>
  <c r="R1074" i="1"/>
  <c r="S1074" i="1"/>
  <c r="T1074" i="1" s="1"/>
  <c r="S1210" i="1"/>
  <c r="T1210" i="1" s="1"/>
  <c r="R1210" i="1"/>
  <c r="S984" i="1"/>
  <c r="T984" i="1" s="1"/>
  <c r="R984" i="1"/>
  <c r="R1174" i="1"/>
  <c r="S1174" i="1"/>
  <c r="R1187" i="1"/>
  <c r="S1187" i="1"/>
  <c r="T1187" i="1" s="1"/>
  <c r="S1002" i="1"/>
  <c r="O1003" i="1"/>
  <c r="O1004" i="1" s="1"/>
  <c r="R1002" i="1"/>
  <c r="R1316" i="1"/>
  <c r="S1316" i="1"/>
  <c r="T1316" i="1" s="1"/>
  <c r="O1696" i="1"/>
  <c r="O1697" i="1" s="1"/>
  <c r="R1694" i="1"/>
  <c r="S1694" i="1"/>
  <c r="O1708" i="1"/>
  <c r="O1709" i="1" s="1"/>
  <c r="O1710" i="1" s="1"/>
  <c r="R1706" i="1"/>
  <c r="R1705" i="1" s="1"/>
  <c r="R1611" i="1"/>
  <c r="S1611" i="1"/>
  <c r="T1611" i="1" s="1"/>
  <c r="O1465" i="1"/>
  <c r="O1466" i="1" s="1"/>
  <c r="O1519" i="1"/>
  <c r="O1520" i="1" s="1"/>
  <c r="O1640" i="1"/>
  <c r="O1569" i="1"/>
  <c r="O1570" i="1" s="1"/>
  <c r="O1663" i="1"/>
  <c r="S6776" i="1"/>
  <c r="T6776" i="1" s="1"/>
  <c r="R406" i="1"/>
  <c r="R6607" i="1"/>
  <c r="R6887" i="1"/>
  <c r="S6838" i="1"/>
  <c r="T6838" i="1" s="1"/>
  <c r="S6786" i="1"/>
  <c r="T6786" i="1" s="1"/>
  <c r="S6448" i="1"/>
  <c r="T6448" i="1" s="1"/>
  <c r="S6622" i="1"/>
  <c r="T6622" i="1" s="1"/>
  <c r="R6761" i="1"/>
  <c r="S6598" i="1"/>
  <c r="T6598" i="1" s="1"/>
  <c r="R6913" i="1"/>
  <c r="S6518" i="1"/>
  <c r="T6518" i="1" s="1"/>
  <c r="R6781" i="1"/>
  <c r="R332" i="1"/>
  <c r="R195" i="1"/>
  <c r="R6559" i="1"/>
  <c r="R463" i="1"/>
  <c r="R187" i="1"/>
  <c r="R197" i="1"/>
  <c r="R6567" i="1"/>
  <c r="S6515" i="1"/>
  <c r="S6514" i="1" s="1"/>
  <c r="R6479" i="1"/>
  <c r="S6430" i="1"/>
  <c r="T6430" i="1" s="1"/>
  <c r="R6407" i="1"/>
  <c r="R205" i="1"/>
  <c r="R4" i="1"/>
  <c r="R6833" i="1"/>
  <c r="S6574" i="1"/>
  <c r="T6574" i="1" s="1"/>
  <c r="R6569" i="1"/>
  <c r="S6454" i="1"/>
  <c r="T6454" i="1" s="1"/>
  <c r="S6432" i="1"/>
  <c r="T6432" i="1" s="1"/>
  <c r="S6419" i="1"/>
  <c r="T6419" i="1" s="1"/>
  <c r="R642" i="1"/>
  <c r="S570" i="1"/>
  <c r="S569" i="1" s="1"/>
  <c r="R6641" i="1"/>
  <c r="S6347" i="1"/>
  <c r="T6347" i="1" s="1"/>
  <c r="S6728" i="1"/>
  <c r="S6727" i="1" s="1"/>
  <c r="S6808" i="1"/>
  <c r="T6808" i="1" s="1"/>
  <c r="S6715" i="1"/>
  <c r="T6715" i="1" s="1"/>
  <c r="S6711" i="1"/>
  <c r="T6711" i="1" s="1"/>
  <c r="S6894" i="1"/>
  <c r="T6894" i="1" s="1"/>
  <c r="R6885" i="1"/>
  <c r="S6840" i="1"/>
  <c r="T6840" i="1" s="1"/>
  <c r="S617" i="1"/>
  <c r="S616" i="1" s="1"/>
  <c r="R32" i="1"/>
  <c r="R31" i="1" s="1"/>
  <c r="R30" i="1" s="1"/>
  <c r="R6767" i="1"/>
  <c r="S6763" i="1"/>
  <c r="T6763" i="1" s="1"/>
  <c r="R6615" i="1"/>
  <c r="R614" i="1"/>
  <c r="S6671" i="1"/>
  <c r="T6671" i="1" s="1"/>
  <c r="R379" i="1"/>
  <c r="S6874" i="1"/>
  <c r="T6874" i="1" s="1"/>
  <c r="R6842" i="1"/>
  <c r="R6797" i="1"/>
  <c r="R6631" i="1"/>
  <c r="R6621" i="1"/>
  <c r="R6391" i="1"/>
  <c r="S6376" i="1"/>
  <c r="T6376" i="1" s="1"/>
  <c r="R723" i="1"/>
  <c r="R90" i="1"/>
  <c r="R668" i="1"/>
  <c r="R108" i="1"/>
  <c r="R6873" i="1"/>
  <c r="S6686" i="1"/>
  <c r="T6686" i="1" s="1"/>
  <c r="S6678" i="1"/>
  <c r="T6678" i="1" s="1"/>
  <c r="S6669" i="1"/>
  <c r="T6669" i="1" s="1"/>
  <c r="S6599" i="1"/>
  <c r="T6599" i="1" s="1"/>
  <c r="R6519" i="1"/>
  <c r="S6443" i="1"/>
  <c r="T6443" i="1" s="1"/>
  <c r="R6383" i="1"/>
  <c r="R6356" i="1"/>
  <c r="S643" i="1"/>
  <c r="S642" i="1" s="1"/>
  <c r="R440" i="1"/>
  <c r="R128" i="1"/>
  <c r="S6863" i="1"/>
  <c r="T6863" i="1" s="1"/>
  <c r="S6839" i="1"/>
  <c r="T6839" i="1" s="1"/>
  <c r="S6552" i="1"/>
  <c r="T6552" i="1" s="1"/>
  <c r="R6473" i="1"/>
  <c r="R6401" i="1"/>
  <c r="R621" i="1"/>
  <c r="R513" i="1"/>
  <c r="R512" i="1" s="1"/>
  <c r="R323" i="1"/>
  <c r="S74" i="1"/>
  <c r="S73" i="1" s="1"/>
  <c r="R28" i="1"/>
  <c r="R6901" i="1"/>
  <c r="R6849" i="1"/>
  <c r="S6760" i="1"/>
  <c r="T6760" i="1" s="1"/>
  <c r="S6751" i="1"/>
  <c r="T6751" i="1" s="1"/>
  <c r="S6685" i="1"/>
  <c r="T6685" i="1" s="1"/>
  <c r="R6661" i="1"/>
  <c r="S6621" i="1"/>
  <c r="T6621" i="1" s="1"/>
  <c r="R6551" i="1"/>
  <c r="R676" i="1"/>
  <c r="R394" i="1"/>
  <c r="S6917" i="1"/>
  <c r="S6916" i="1" s="1"/>
  <c r="S6703" i="1"/>
  <c r="S6702" i="1" s="1"/>
  <c r="T6702" i="1" s="1"/>
  <c r="S6395" i="1"/>
  <c r="T6395" i="1" s="1"/>
  <c r="S6391" i="1"/>
  <c r="S6390" i="1" s="1"/>
  <c r="R6359" i="1"/>
  <c r="S567" i="1"/>
  <c r="S566" i="1" s="1"/>
  <c r="R352" i="1"/>
  <c r="R72" i="1"/>
  <c r="S6807" i="1"/>
  <c r="T6807" i="1" s="1"/>
  <c r="S6732" i="1"/>
  <c r="T6732" i="1" s="1"/>
  <c r="R6623" i="1"/>
  <c r="S6494" i="1"/>
  <c r="T6494" i="1" s="1"/>
  <c r="R644" i="1"/>
  <c r="R283" i="1"/>
  <c r="O245" i="1"/>
  <c r="R245" i="1" s="1"/>
  <c r="R244" i="1"/>
  <c r="R243" i="1" s="1"/>
  <c r="R242" i="1" s="1"/>
  <c r="R6863" i="1"/>
  <c r="S6806" i="1"/>
  <c r="T6806" i="1" s="1"/>
  <c r="R6791" i="1"/>
  <c r="S6774" i="1"/>
  <c r="T6774" i="1" s="1"/>
  <c r="S6583" i="1"/>
  <c r="S6582" i="1" s="1"/>
  <c r="R6455" i="1"/>
  <c r="R628" i="1"/>
  <c r="R419" i="1"/>
  <c r="O407" i="1"/>
  <c r="S407" i="1" s="1"/>
  <c r="S406" i="1" s="1"/>
  <c r="R236" i="1"/>
  <c r="R221" i="1"/>
  <c r="S6555" i="1"/>
  <c r="S6554" i="1" s="1"/>
  <c r="R6513" i="1"/>
  <c r="S6387" i="1"/>
  <c r="T6387" i="1" s="1"/>
  <c r="S6368" i="1"/>
  <c r="T6368" i="1" s="1"/>
  <c r="O284" i="1"/>
  <c r="R203" i="1"/>
  <c r="O198" i="1"/>
  <c r="R198" i="1" s="1"/>
  <c r="R74" i="1"/>
  <c r="S6899" i="1"/>
  <c r="T6899" i="1" s="1"/>
  <c r="S6830" i="1"/>
  <c r="T6830" i="1" s="1"/>
  <c r="R632" i="1"/>
  <c r="R341" i="1"/>
  <c r="R124" i="1"/>
  <c r="R6749" i="1"/>
  <c r="R6745" i="1"/>
  <c r="S6731" i="1"/>
  <c r="T6731" i="1" s="1"/>
  <c r="S6710" i="1"/>
  <c r="T6710" i="1" s="1"/>
  <c r="R6705" i="1"/>
  <c r="S6630" i="1"/>
  <c r="T6630" i="1" s="1"/>
  <c r="S6499" i="1"/>
  <c r="T6499" i="1" s="1"/>
  <c r="S6467" i="1"/>
  <c r="S6466" i="1" s="1"/>
  <c r="S6462" i="1"/>
  <c r="T6462" i="1" s="1"/>
  <c r="R6367" i="1"/>
  <c r="R636" i="1"/>
  <c r="R6893" i="1"/>
  <c r="R6841" i="1"/>
  <c r="S6693" i="1"/>
  <c r="T6693" i="1" s="1"/>
  <c r="S6539" i="1"/>
  <c r="S6538" i="1" s="1"/>
  <c r="O724" i="1"/>
  <c r="R724" i="1" s="1"/>
  <c r="O380" i="1"/>
  <c r="S380" i="1" s="1"/>
  <c r="S379" i="1" s="1"/>
  <c r="R223" i="1"/>
  <c r="O206" i="1"/>
  <c r="S206" i="1" s="1"/>
  <c r="S205" i="1" s="1"/>
  <c r="R173" i="1"/>
  <c r="R100" i="1"/>
  <c r="O91" i="1"/>
  <c r="R91" i="1" s="1"/>
  <c r="R6815" i="1"/>
  <c r="R6799" i="1"/>
  <c r="S6431" i="1"/>
  <c r="T6431" i="1" s="1"/>
  <c r="S6392" i="1"/>
  <c r="T6392" i="1" s="1"/>
  <c r="R766" i="1"/>
  <c r="R660" i="1"/>
  <c r="R333" i="1"/>
  <c r="R227" i="1"/>
  <c r="O109" i="1"/>
  <c r="R109" i="1" s="1"/>
  <c r="S36" i="1"/>
  <c r="S35" i="1" s="1"/>
  <c r="R6911" i="1"/>
  <c r="S6879" i="1"/>
  <c r="T6879" i="1" s="1"/>
  <c r="S6850" i="1"/>
  <c r="T6850" i="1" s="1"/>
  <c r="S6767" i="1"/>
  <c r="T6767" i="1" s="1"/>
  <c r="R6751" i="1"/>
  <c r="S6716" i="1"/>
  <c r="T6716" i="1" s="1"/>
  <c r="S6374" i="1"/>
  <c r="T6374" i="1" s="1"/>
  <c r="S605" i="1"/>
  <c r="S604" i="1" s="1"/>
  <c r="R605" i="1"/>
  <c r="R6897" i="1"/>
  <c r="S6888" i="1"/>
  <c r="T6888" i="1" s="1"/>
  <c r="S6869" i="1"/>
  <c r="T6869" i="1" s="1"/>
  <c r="R6857" i="1"/>
  <c r="S6815" i="1"/>
  <c r="T6815" i="1" s="1"/>
  <c r="R6766" i="1"/>
  <c r="S6725" i="1"/>
  <c r="T6725" i="1" s="1"/>
  <c r="S6575" i="1"/>
  <c r="T6575" i="1" s="1"/>
  <c r="R6543" i="1"/>
  <c r="R6451" i="1"/>
  <c r="R6447" i="1"/>
  <c r="S6438" i="1"/>
  <c r="T6438" i="1" s="1"/>
  <c r="R6417" i="1"/>
  <c r="R763" i="1"/>
  <c r="R744" i="1"/>
  <c r="R652" i="1"/>
  <c r="S332" i="1"/>
  <c r="S331" i="1" s="1"/>
  <c r="S292" i="1"/>
  <c r="S291" i="1" s="1"/>
  <c r="O237" i="1"/>
  <c r="S237" i="1" s="1"/>
  <c r="S236" i="1" s="1"/>
  <c r="O228" i="1"/>
  <c r="R106" i="1"/>
  <c r="O101" i="1"/>
  <c r="R101" i="1" s="1"/>
  <c r="R92" i="1"/>
  <c r="S6904" i="1"/>
  <c r="T6904" i="1" s="1"/>
  <c r="S6892" i="1"/>
  <c r="T6892" i="1" s="1"/>
  <c r="S6873" i="1"/>
  <c r="T6873" i="1" s="1"/>
  <c r="S6837" i="1"/>
  <c r="S6836" i="1" s="1"/>
  <c r="R6831" i="1"/>
  <c r="S6780" i="1"/>
  <c r="T6780" i="1" s="1"/>
  <c r="S6742" i="1"/>
  <c r="T6742" i="1" s="1"/>
  <c r="R6733" i="1"/>
  <c r="R6695" i="1"/>
  <c r="S6579" i="1"/>
  <c r="T6579" i="1" s="1"/>
  <c r="S6507" i="1"/>
  <c r="T6507" i="1" s="1"/>
  <c r="S6480" i="1"/>
  <c r="T6480" i="1" s="1"/>
  <c r="R6471" i="1"/>
  <c r="R6377" i="1"/>
  <c r="R767" i="1"/>
  <c r="R749" i="1"/>
  <c r="R715" i="1"/>
  <c r="S685" i="1"/>
  <c r="S684" i="1" s="1"/>
  <c r="S653" i="1"/>
  <c r="S652" i="1" s="1"/>
  <c r="O633" i="1"/>
  <c r="S633" i="1" s="1"/>
  <c r="S632" i="1" s="1"/>
  <c r="R582" i="1"/>
  <c r="S539" i="1"/>
  <c r="S538" i="1" s="1"/>
  <c r="O441" i="1"/>
  <c r="O442" i="1" s="1"/>
  <c r="S442" i="1" s="1"/>
  <c r="R292" i="1"/>
  <c r="R175" i="1"/>
  <c r="R561" i="1"/>
  <c r="R36" i="1"/>
  <c r="S6903" i="1"/>
  <c r="T6903" i="1" s="1"/>
  <c r="R6895" i="1"/>
  <c r="S6875" i="1"/>
  <c r="T6875" i="1" s="1"/>
  <c r="R6867" i="1"/>
  <c r="R6851" i="1"/>
  <c r="S6783" i="1"/>
  <c r="T6783" i="1" s="1"/>
  <c r="S6775" i="1"/>
  <c r="T6775" i="1" s="1"/>
  <c r="S6764" i="1"/>
  <c r="T6764" i="1" s="1"/>
  <c r="S6758" i="1"/>
  <c r="T6758" i="1" s="1"/>
  <c r="S6741" i="1"/>
  <c r="T6741" i="1" s="1"/>
  <c r="S6603" i="1"/>
  <c r="T6603" i="1" s="1"/>
  <c r="R6495" i="1"/>
  <c r="S6470" i="1"/>
  <c r="T6470" i="1" s="1"/>
  <c r="R6465" i="1"/>
  <c r="R6449" i="1"/>
  <c r="S6355" i="1"/>
  <c r="T6355" i="1" s="1"/>
  <c r="O669" i="1"/>
  <c r="S669" i="1" s="1"/>
  <c r="S668" i="1" s="1"/>
  <c r="S293" i="1"/>
  <c r="O196" i="1"/>
  <c r="S196" i="1" s="1"/>
  <c r="S195" i="1" s="1"/>
  <c r="O174" i="1"/>
  <c r="S174" i="1" s="1"/>
  <c r="S173" i="1" s="1"/>
  <c r="S6872" i="1"/>
  <c r="T6872" i="1" s="1"/>
  <c r="S6568" i="1"/>
  <c r="T6568" i="1" s="1"/>
  <c r="R6545" i="1"/>
  <c r="R6521" i="1"/>
  <c r="R6423" i="1"/>
  <c r="R6372" i="1"/>
  <c r="R6364" i="1"/>
  <c r="R6319" i="1"/>
  <c r="R664" i="1"/>
  <c r="R654" i="1"/>
  <c r="R612" i="1"/>
  <c r="R569" i="1"/>
  <c r="R404" i="1"/>
  <c r="R347" i="1"/>
  <c r="R342" i="1"/>
  <c r="R331" i="1"/>
  <c r="R301" i="1"/>
  <c r="R291" i="1"/>
  <c r="R6830" i="1"/>
  <c r="S6757" i="1"/>
  <c r="T6757" i="1" s="1"/>
  <c r="R6697" i="1"/>
  <c r="R6685" i="1"/>
  <c r="R6431" i="1"/>
  <c r="S627" i="1"/>
  <c r="S626" i="1" s="1"/>
  <c r="R579" i="1"/>
  <c r="O334" i="1"/>
  <c r="S334" i="1" s="1"/>
  <c r="S333" i="1" s="1"/>
  <c r="R6881" i="1"/>
  <c r="R6874" i="1"/>
  <c r="R6870" i="1"/>
  <c r="R6865" i="1"/>
  <c r="O6858" i="1"/>
  <c r="R6858" i="1" s="1"/>
  <c r="R6853" i="1"/>
  <c r="R6838" i="1"/>
  <c r="R6829" i="1"/>
  <c r="S6821" i="1"/>
  <c r="T6821" i="1" s="1"/>
  <c r="R6813" i="1"/>
  <c r="R6809" i="1"/>
  <c r="R6786" i="1"/>
  <c r="R6782" i="1"/>
  <c r="S6766" i="1"/>
  <c r="T6766" i="1" s="1"/>
  <c r="R6713" i="1"/>
  <c r="R6681" i="1"/>
  <c r="S6677" i="1"/>
  <c r="T6677" i="1" s="1"/>
  <c r="S6672" i="1"/>
  <c r="T6672" i="1" s="1"/>
  <c r="R6601" i="1"/>
  <c r="S6563" i="1"/>
  <c r="T6563" i="1" s="1"/>
  <c r="S6520" i="1"/>
  <c r="T6520" i="1" s="1"/>
  <c r="R6503" i="1"/>
  <c r="S6439" i="1"/>
  <c r="T6439" i="1" s="1"/>
  <c r="S6427" i="1"/>
  <c r="T6427" i="1" s="1"/>
  <c r="S6379" i="1"/>
  <c r="T6379" i="1" s="1"/>
  <c r="R6375" i="1"/>
  <c r="S6371" i="1"/>
  <c r="T6371" i="1" s="1"/>
  <c r="S6367" i="1"/>
  <c r="T6367" i="1" s="1"/>
  <c r="R6353" i="1"/>
  <c r="R758" i="1"/>
  <c r="R752" i="1"/>
  <c r="R672" i="1"/>
  <c r="R658" i="1"/>
  <c r="R653" i="1"/>
  <c r="R98" i="1"/>
  <c r="R50" i="1"/>
  <c r="R6910" i="1"/>
  <c r="S6910" i="1"/>
  <c r="T6910" i="1" s="1"/>
  <c r="R6899" i="1"/>
  <c r="S6887" i="1"/>
  <c r="T6887" i="1" s="1"/>
  <c r="S6876" i="1"/>
  <c r="T6876" i="1" s="1"/>
  <c r="R6847" i="1"/>
  <c r="R6823" i="1"/>
  <c r="O6824" i="1"/>
  <c r="S6824" i="1" s="1"/>
  <c r="S6823" i="1" s="1"/>
  <c r="S6792" i="1"/>
  <c r="T6792" i="1" s="1"/>
  <c r="R6773" i="1"/>
  <c r="S6712" i="1"/>
  <c r="T6712" i="1" s="1"/>
  <c r="S6709" i="1"/>
  <c r="S6708" i="1" s="1"/>
  <c r="S6535" i="1"/>
  <c r="T6535" i="1" s="1"/>
  <c r="R6535" i="1"/>
  <c r="R6883" i="1"/>
  <c r="R6759" i="1"/>
  <c r="S6759" i="1"/>
  <c r="T6759" i="1" s="1"/>
  <c r="S6335" i="1"/>
  <c r="T6335" i="1" s="1"/>
  <c r="R6335" i="1"/>
  <c r="S6531" i="1"/>
  <c r="S6530" i="1" s="1"/>
  <c r="O6532" i="1"/>
  <c r="R6532" i="1" s="1"/>
  <c r="R6866" i="1"/>
  <c r="R6822" i="1"/>
  <c r="S6822" i="1"/>
  <c r="T6822" i="1" s="1"/>
  <c r="S6765" i="1"/>
  <c r="T6765" i="1" s="1"/>
  <c r="R6765" i="1"/>
  <c r="R6737" i="1"/>
  <c r="S6737" i="1"/>
  <c r="T6737" i="1" s="1"/>
  <c r="S6679" i="1"/>
  <c r="T6679" i="1" s="1"/>
  <c r="R6679" i="1"/>
  <c r="R6583" i="1"/>
  <c r="R6324" i="1"/>
  <c r="O6325" i="1"/>
  <c r="R6325" i="1" s="1"/>
  <c r="S6849" i="1"/>
  <c r="S6848" i="1" s="1"/>
  <c r="R6845" i="1"/>
  <c r="R6826" i="1"/>
  <c r="S6826" i="1"/>
  <c r="T6826" i="1" s="1"/>
  <c r="R6783" i="1"/>
  <c r="S6694" i="1"/>
  <c r="T6694" i="1" s="1"/>
  <c r="S6591" i="1"/>
  <c r="S6590" i="1" s="1"/>
  <c r="R6591" i="1"/>
  <c r="R6743" i="1"/>
  <c r="O6744" i="1"/>
  <c r="R6882" i="1"/>
  <c r="S6882" i="1"/>
  <c r="T6882" i="1" s="1"/>
  <c r="S6867" i="1"/>
  <c r="T6867" i="1" s="1"/>
  <c r="S6860" i="1"/>
  <c r="T6860" i="1" s="1"/>
  <c r="S6856" i="1"/>
  <c r="S6855" i="1" s="1"/>
  <c r="S6399" i="1"/>
  <c r="S6398" i="1" s="1"/>
  <c r="R6399" i="1"/>
  <c r="R6871" i="1"/>
  <c r="S6825" i="1"/>
  <c r="T6825" i="1" s="1"/>
  <c r="R6825" i="1"/>
  <c r="O6674" i="1"/>
  <c r="R6674" i="1" s="1"/>
  <c r="R6673" i="1"/>
  <c r="S6527" i="1"/>
  <c r="T6527" i="1" s="1"/>
  <c r="R6527" i="1"/>
  <c r="S6339" i="1"/>
  <c r="T6339" i="1" s="1"/>
  <c r="O6340" i="1"/>
  <c r="S6340" i="1" s="1"/>
  <c r="R6909" i="1"/>
  <c r="R6877" i="1"/>
  <c r="S6828" i="1"/>
  <c r="T6828" i="1" s="1"/>
  <c r="S6805" i="1"/>
  <c r="T6805" i="1" s="1"/>
  <c r="R6801" i="1"/>
  <c r="S6797" i="1"/>
  <c r="T6797" i="1" s="1"/>
  <c r="R6785" i="1"/>
  <c r="S6785" i="1"/>
  <c r="T6785" i="1" s="1"/>
  <c r="S6726" i="1"/>
  <c r="T6726" i="1" s="1"/>
  <c r="R6717" i="1"/>
  <c r="S6487" i="1"/>
  <c r="S6486" i="1" s="1"/>
  <c r="T6486" i="1" s="1"/>
  <c r="R6487" i="1"/>
  <c r="R6718" i="1"/>
  <c r="R6625" i="1"/>
  <c r="S6587" i="1"/>
  <c r="T6587" i="1" s="1"/>
  <c r="R6575" i="1"/>
  <c r="R6547" i="1"/>
  <c r="S6511" i="1"/>
  <c r="T6511" i="1" s="1"/>
  <c r="R6497" i="1"/>
  <c r="S6483" i="1"/>
  <c r="T6483" i="1" s="1"/>
  <c r="R6475" i="1"/>
  <c r="S6463" i="1"/>
  <c r="T6463" i="1" s="1"/>
  <c r="O6452" i="1"/>
  <c r="R6452" i="1" s="1"/>
  <c r="R6439" i="1"/>
  <c r="R6425" i="1"/>
  <c r="S6415" i="1"/>
  <c r="S6414" i="1" s="1"/>
  <c r="S6411" i="1"/>
  <c r="T6411" i="1" s="1"/>
  <c r="R6403" i="1"/>
  <c r="R6388" i="1"/>
  <c r="R6380" i="1"/>
  <c r="O6348" i="1"/>
  <c r="S6348" i="1" s="1"/>
  <c r="R6331" i="1"/>
  <c r="S6327" i="1"/>
  <c r="S6326" i="1" s="1"/>
  <c r="S6893" i="1"/>
  <c r="T6893" i="1" s="1"/>
  <c r="S6885" i="1"/>
  <c r="T6885" i="1" s="1"/>
  <c r="R6878" i="1"/>
  <c r="R6850" i="1"/>
  <c r="S6827" i="1"/>
  <c r="T6827" i="1" s="1"/>
  <c r="R6817" i="1"/>
  <c r="R6814" i="1"/>
  <c r="R6807" i="1"/>
  <c r="R6795" i="1"/>
  <c r="S6777" i="1"/>
  <c r="T6777" i="1" s="1"/>
  <c r="R6770" i="1"/>
  <c r="S6761" i="1"/>
  <c r="T6761" i="1" s="1"/>
  <c r="R6721" i="1"/>
  <c r="S6704" i="1"/>
  <c r="T6704" i="1" s="1"/>
  <c r="S6696" i="1"/>
  <c r="T6696" i="1" s="1"/>
  <c r="R6689" i="1"/>
  <c r="R6657" i="1"/>
  <c r="R6633" i="1"/>
  <c r="S6615" i="1"/>
  <c r="T6615" i="1" s="1"/>
  <c r="R6593" i="1"/>
  <c r="S6551" i="1"/>
  <c r="T6551" i="1" s="1"/>
  <c r="R6537" i="1"/>
  <c r="R6529" i="1"/>
  <c r="R6505" i="1"/>
  <c r="R6489" i="1"/>
  <c r="S6479" i="1"/>
  <c r="T6479" i="1" s="1"/>
  <c r="S6459" i="1"/>
  <c r="T6459" i="1" s="1"/>
  <c r="S6407" i="1"/>
  <c r="T6407" i="1" s="1"/>
  <c r="R6329" i="1"/>
  <c r="S6809" i="1"/>
  <c r="T6809" i="1" s="1"/>
  <c r="R6802" i="1"/>
  <c r="R6798" i="1"/>
  <c r="S6773" i="1"/>
  <c r="T6773" i="1" s="1"/>
  <c r="R6769" i="1"/>
  <c r="R6753" i="1"/>
  <c r="R6750" i="1"/>
  <c r="R6719" i="1"/>
  <c r="R6711" i="1"/>
  <c r="R6637" i="1"/>
  <c r="R6617" i="1"/>
  <c r="R6599" i="1"/>
  <c r="R6585" i="1"/>
  <c r="S6571" i="1"/>
  <c r="T6571" i="1" s="1"/>
  <c r="S6567" i="1"/>
  <c r="T6567" i="1" s="1"/>
  <c r="R6553" i="1"/>
  <c r="S6528" i="1"/>
  <c r="T6528" i="1" s="1"/>
  <c r="S6488" i="1"/>
  <c r="T6488" i="1" s="1"/>
  <c r="R6481" i="1"/>
  <c r="S6447" i="1"/>
  <c r="T6447" i="1" s="1"/>
  <c r="S6435" i="1"/>
  <c r="T6435" i="1" s="1"/>
  <c r="R6409" i="1"/>
  <c r="R6393" i="1"/>
  <c r="S6383" i="1"/>
  <c r="T6383" i="1" s="1"/>
  <c r="S6375" i="1"/>
  <c r="T6375" i="1" s="1"/>
  <c r="R6363" i="1"/>
  <c r="S6359" i="1"/>
  <c r="S6358" i="1" s="1"/>
  <c r="R6577" i="1"/>
  <c r="R6561" i="1"/>
  <c r="S6512" i="1"/>
  <c r="T6512" i="1" s="1"/>
  <c r="S6464" i="1"/>
  <c r="T6464" i="1" s="1"/>
  <c r="R6457" i="1"/>
  <c r="R6441" i="1"/>
  <c r="S6416" i="1"/>
  <c r="T6416" i="1" s="1"/>
  <c r="S6793" i="1"/>
  <c r="T6793" i="1" s="1"/>
  <c r="S6789" i="1"/>
  <c r="T6789" i="1" s="1"/>
  <c r="R6779" i="1"/>
  <c r="S6745" i="1"/>
  <c r="T6745" i="1" s="1"/>
  <c r="S6713" i="1"/>
  <c r="T6713" i="1" s="1"/>
  <c r="S6695" i="1"/>
  <c r="T6695" i="1" s="1"/>
  <c r="R6385" i="1"/>
  <c r="R6345" i="1"/>
  <c r="R6894" i="1"/>
  <c r="S6886" i="1"/>
  <c r="T6886" i="1" s="1"/>
  <c r="R6879" i="1"/>
  <c r="R6859" i="1"/>
  <c r="S6796" i="1"/>
  <c r="T6796" i="1" s="1"/>
  <c r="S6718" i="1"/>
  <c r="T6718" i="1" s="1"/>
  <c r="S6687" i="1"/>
  <c r="T6687" i="1" s="1"/>
  <c r="S6680" i="1"/>
  <c r="T6680" i="1" s="1"/>
  <c r="S6623" i="1"/>
  <c r="T6623" i="1" s="1"/>
  <c r="S6595" i="1"/>
  <c r="T6595" i="1" s="1"/>
  <c r="S6576" i="1"/>
  <c r="T6576" i="1" s="1"/>
  <c r="O6548" i="1"/>
  <c r="S6548" i="1" s="1"/>
  <c r="T6548" i="1" s="1"/>
  <c r="S6523" i="1"/>
  <c r="T6523" i="1" s="1"/>
  <c r="S6519" i="1"/>
  <c r="T6519" i="1" s="1"/>
  <c r="R6511" i="1"/>
  <c r="S6495" i="1"/>
  <c r="T6495" i="1" s="1"/>
  <c r="R6491" i="1"/>
  <c r="O6476" i="1"/>
  <c r="S6476" i="1" s="1"/>
  <c r="S6475" i="1" s="1"/>
  <c r="R6463" i="1"/>
  <c r="S6440" i="1"/>
  <c r="T6440" i="1" s="1"/>
  <c r="R6433" i="1"/>
  <c r="S6423" i="1"/>
  <c r="S6422" i="1" s="1"/>
  <c r="R6415" i="1"/>
  <c r="O6404" i="1"/>
  <c r="R6404" i="1" s="1"/>
  <c r="R6396" i="1"/>
  <c r="R6369" i="1"/>
  <c r="R6361" i="1"/>
  <c r="O6332" i="1"/>
  <c r="S6332" i="1" s="1"/>
  <c r="S6331" i="1" s="1"/>
  <c r="R6327" i="1"/>
  <c r="R670" i="1"/>
  <c r="O671" i="1"/>
  <c r="S671" i="1" s="1"/>
  <c r="S670" i="1" s="1"/>
  <c r="R324" i="1"/>
  <c r="S324" i="1"/>
  <c r="S323" i="1" s="1"/>
  <c r="R172" i="1"/>
  <c r="S172" i="1"/>
  <c r="S171" i="1" s="1"/>
  <c r="O730" i="1"/>
  <c r="R730" i="1" s="1"/>
  <c r="R729" i="1"/>
  <c r="R753" i="1"/>
  <c r="S753" i="1"/>
  <c r="S752" i="1" s="1"/>
  <c r="O754" i="1"/>
  <c r="O755" i="1" s="1"/>
  <c r="R408" i="1"/>
  <c r="O409" i="1"/>
  <c r="R409" i="1" s="1"/>
  <c r="R571" i="1"/>
  <c r="R140" i="1"/>
  <c r="S140" i="1"/>
  <c r="S139" i="1" s="1"/>
  <c r="O141" i="1"/>
  <c r="S141" i="1" s="1"/>
  <c r="R18" i="1"/>
  <c r="S18" i="1"/>
  <c r="S17" i="1" s="1"/>
  <c r="O710" i="1"/>
  <c r="R710" i="1" s="1"/>
  <c r="R709" i="1"/>
  <c r="R638" i="1"/>
  <c r="O639" i="1"/>
  <c r="S639" i="1" s="1"/>
  <c r="S638" i="1" s="1"/>
  <c r="S573" i="1"/>
  <c r="R573" i="1"/>
  <c r="O43" i="1"/>
  <c r="O44" i="1" s="1"/>
  <c r="R42" i="1"/>
  <c r="R12" i="1"/>
  <c r="S12" i="1"/>
  <c r="S11" i="1" s="1"/>
  <c r="O683" i="1"/>
  <c r="S683" i="1" s="1"/>
  <c r="S682" i="1" s="1"/>
  <c r="R682" i="1"/>
  <c r="S589" i="1"/>
  <c r="S588" i="1" s="1"/>
  <c r="R589" i="1"/>
  <c r="O590" i="1"/>
  <c r="R590" i="1" s="1"/>
  <c r="R348" i="1"/>
  <c r="S348" i="1"/>
  <c r="S347" i="1" s="1"/>
  <c r="O349" i="1"/>
  <c r="O350" i="1" s="1"/>
  <c r="R16" i="1"/>
  <c r="R6" i="1"/>
  <c r="O7" i="1"/>
  <c r="S7" i="1" s="1"/>
  <c r="S6" i="1" s="1"/>
  <c r="R637" i="1"/>
  <c r="R229" i="1"/>
  <c r="O230" i="1"/>
  <c r="R148" i="1"/>
  <c r="R147" i="1" s="1"/>
  <c r="R146" i="1" s="1"/>
  <c r="O768" i="1"/>
  <c r="O769" i="1" s="1"/>
  <c r="S767" i="1"/>
  <c r="S766" i="1" s="1"/>
  <c r="R721" i="1"/>
  <c r="O718" i="1"/>
  <c r="R718" i="1" s="1"/>
  <c r="R717" i="1"/>
  <c r="R686" i="1"/>
  <c r="O687" i="1"/>
  <c r="S687" i="1" s="1"/>
  <c r="S686" i="1" s="1"/>
  <c r="R622" i="1"/>
  <c r="O623" i="1"/>
  <c r="S623" i="1" s="1"/>
  <c r="S622" i="1" s="1"/>
  <c r="R471" i="1"/>
  <c r="S471" i="1"/>
  <c r="S470" i="1" s="1"/>
  <c r="S469" i="1" s="1"/>
  <c r="O464" i="1"/>
  <c r="R464" i="1" s="1"/>
  <c r="R325" i="1"/>
  <c r="O326" i="1"/>
  <c r="R725" i="1"/>
  <c r="O726" i="1"/>
  <c r="R726" i="1" s="1"/>
  <c r="R680" i="1"/>
  <c r="O681" i="1"/>
  <c r="S681" i="1" s="1"/>
  <c r="S680" i="1" s="1"/>
  <c r="S659" i="1"/>
  <c r="S658" i="1" s="1"/>
  <c r="R659" i="1"/>
  <c r="R626" i="1"/>
  <c r="R591" i="1"/>
  <c r="S463" i="1"/>
  <c r="S462" i="1" s="1"/>
  <c r="S461" i="1" s="1"/>
  <c r="R393" i="1"/>
  <c r="S20" i="1"/>
  <c r="S19" i="1" s="1"/>
  <c r="R20" i="1"/>
  <c r="O712" i="1"/>
  <c r="R712" i="1" s="1"/>
  <c r="R711" i="1"/>
  <c r="R684" i="1"/>
  <c r="R606" i="1"/>
  <c r="O607" i="1"/>
  <c r="S607" i="1" s="1"/>
  <c r="S606" i="1" s="1"/>
  <c r="R171" i="1"/>
  <c r="S149" i="1"/>
  <c r="S148" i="1" s="1"/>
  <c r="S147" i="1" s="1"/>
  <c r="S146" i="1" s="1"/>
  <c r="R149" i="1"/>
  <c r="O150" i="1"/>
  <c r="R150" i="1" s="1"/>
  <c r="R10" i="1"/>
  <c r="S10" i="1"/>
  <c r="S9" i="1" s="1"/>
  <c r="R666" i="1"/>
  <c r="R634" i="1"/>
  <c r="R601" i="1"/>
  <c r="S580" i="1"/>
  <c r="S579" i="1" s="1"/>
  <c r="R541" i="1"/>
  <c r="R302" i="1"/>
  <c r="R260" i="1"/>
  <c r="R225" i="1"/>
  <c r="R177" i="1"/>
  <c r="R139" i="1"/>
  <c r="O5" i="1"/>
  <c r="R5" i="1" s="1"/>
  <c r="S637" i="1"/>
  <c r="S636" i="1" s="1"/>
  <c r="S621" i="1"/>
  <c r="S620" i="1" s="1"/>
  <c r="R600" i="1"/>
  <c r="R585" i="1"/>
  <c r="R570" i="1"/>
  <c r="R391" i="1"/>
  <c r="R26" i="1"/>
  <c r="R727" i="1"/>
  <c r="S675" i="1"/>
  <c r="S674" i="1" s="1"/>
  <c r="R616" i="1"/>
  <c r="R566" i="1"/>
  <c r="R421" i="1"/>
  <c r="R372" i="1"/>
  <c r="R136" i="1"/>
  <c r="R104" i="1"/>
  <c r="R610" i="1"/>
  <c r="R381" i="1"/>
  <c r="R303" i="1"/>
  <c r="R96" i="1"/>
  <c r="S6701" i="1"/>
  <c r="S6700" i="1" s="1"/>
  <c r="T6700" i="1" s="1"/>
  <c r="R6701" i="1"/>
  <c r="R6854" i="1"/>
  <c r="S6854" i="1"/>
  <c r="S6853" i="1" s="1"/>
  <c r="R6846" i="1"/>
  <c r="S6846" i="1"/>
  <c r="S6845" i="1" s="1"/>
  <c r="S6493" i="1"/>
  <c r="R6493" i="1"/>
  <c r="R6628" i="1"/>
  <c r="S6628" i="1"/>
  <c r="S6627" i="1" s="1"/>
  <c r="S6626" i="1" s="1"/>
  <c r="O6629" i="1"/>
  <c r="S6413" i="1"/>
  <c r="T6413" i="1" s="1"/>
  <c r="R6413" i="1"/>
  <c r="R6636" i="1"/>
  <c r="S6636" i="1"/>
  <c r="S6635" i="1" s="1"/>
  <c r="R6580" i="1"/>
  <c r="S6580" i="1"/>
  <c r="T6580" i="1" s="1"/>
  <c r="R6468" i="1"/>
  <c r="S6895" i="1"/>
  <c r="T6895" i="1" s="1"/>
  <c r="S6877" i="1"/>
  <c r="T6877" i="1" s="1"/>
  <c r="R6855" i="1"/>
  <c r="R6852" i="1"/>
  <c r="S6852" i="1"/>
  <c r="T6852" i="1" s="1"/>
  <c r="R6827" i="1"/>
  <c r="R6821" i="1"/>
  <c r="S6813" i="1"/>
  <c r="T6813" i="1" s="1"/>
  <c r="R6803" i="1"/>
  <c r="S6803" i="1"/>
  <c r="T6803" i="1" s="1"/>
  <c r="S6791" i="1"/>
  <c r="S6790" i="1" s="1"/>
  <c r="S6782" i="1"/>
  <c r="T6782" i="1" s="1"/>
  <c r="S6779" i="1"/>
  <c r="T6779" i="1" s="1"/>
  <c r="S6770" i="1"/>
  <c r="T6770" i="1" s="1"/>
  <c r="R6762" i="1"/>
  <c r="S6762" i="1"/>
  <c r="T6762" i="1" s="1"/>
  <c r="S6750" i="1"/>
  <c r="T6750" i="1" s="1"/>
  <c r="R6741" i="1"/>
  <c r="R6738" i="1"/>
  <c r="O6739" i="1"/>
  <c r="R6714" i="1"/>
  <c r="S6714" i="1"/>
  <c r="T6714" i="1" s="1"/>
  <c r="R6669" i="1"/>
  <c r="R6643" i="1"/>
  <c r="R6572" i="1"/>
  <c r="S6572" i="1"/>
  <c r="T6572" i="1" s="1"/>
  <c r="R6564" i="1"/>
  <c r="S6564" i="1"/>
  <c r="T6564" i="1" s="1"/>
  <c r="S6517" i="1"/>
  <c r="T6517" i="1" s="1"/>
  <c r="R6517" i="1"/>
  <c r="R6506" i="1"/>
  <c r="S6506" i="1"/>
  <c r="S6505" i="1" s="1"/>
  <c r="R6501" i="1"/>
  <c r="O6502" i="1"/>
  <c r="S6453" i="1"/>
  <c r="T6453" i="1" s="1"/>
  <c r="R6453" i="1"/>
  <c r="R6442" i="1"/>
  <c r="S6442" i="1"/>
  <c r="S6441" i="1" s="1"/>
  <c r="R6420" i="1"/>
  <c r="S6420" i="1"/>
  <c r="T6420" i="1" s="1"/>
  <c r="R6402" i="1"/>
  <c r="S6402" i="1"/>
  <c r="S6401" i="1" s="1"/>
  <c r="O6318" i="1"/>
  <c r="S6659" i="1"/>
  <c r="R6659" i="1"/>
  <c r="O6898" i="1"/>
  <c r="O6890" i="1"/>
  <c r="S6881" i="1"/>
  <c r="T6881" i="1" s="1"/>
  <c r="R6868" i="1"/>
  <c r="S6868" i="1"/>
  <c r="T6868" i="1" s="1"/>
  <c r="S6851" i="1"/>
  <c r="T6851" i="1" s="1"/>
  <c r="O6818" i="1"/>
  <c r="R6794" i="1"/>
  <c r="S6794" i="1"/>
  <c r="T6794" i="1" s="1"/>
  <c r="R6788" i="1"/>
  <c r="S6788" i="1"/>
  <c r="T6788" i="1" s="1"/>
  <c r="R6756" i="1"/>
  <c r="S6756" i="1"/>
  <c r="T6756" i="1" s="1"/>
  <c r="O6748" i="1"/>
  <c r="R6747" i="1"/>
  <c r="R6708" i="1"/>
  <c r="R6692" i="1"/>
  <c r="R6676" i="1"/>
  <c r="S6676" i="1"/>
  <c r="T6676" i="1" s="1"/>
  <c r="R6635" i="1"/>
  <c r="R6604" i="1"/>
  <c r="S6604" i="1"/>
  <c r="T6604" i="1" s="1"/>
  <c r="S6597" i="1"/>
  <c r="T6597" i="1" s="1"/>
  <c r="R6597" i="1"/>
  <c r="R6524" i="1"/>
  <c r="S6524" i="1"/>
  <c r="T6524" i="1" s="1"/>
  <c r="R6509" i="1"/>
  <c r="O6510" i="1"/>
  <c r="R6460" i="1"/>
  <c r="S6460" i="1"/>
  <c r="T6460" i="1" s="1"/>
  <c r="R6445" i="1"/>
  <c r="O6446" i="1"/>
  <c r="R6405" i="1"/>
  <c r="O6406" i="1"/>
  <c r="S6397" i="1"/>
  <c r="S6396" i="1" s="1"/>
  <c r="R6397" i="1"/>
  <c r="S6461" i="1"/>
  <c r="T6461" i="1" s="1"/>
  <c r="R6461" i="1"/>
  <c r="O6906" i="1"/>
  <c r="S6831" i="1"/>
  <c r="T6831" i="1" s="1"/>
  <c r="S6802" i="1"/>
  <c r="T6802" i="1" s="1"/>
  <c r="R6793" i="1"/>
  <c r="R6787" i="1"/>
  <c r="S6787" i="1"/>
  <c r="T6787" i="1" s="1"/>
  <c r="R6755" i="1"/>
  <c r="S6755" i="1"/>
  <c r="T6755" i="1" s="1"/>
  <c r="R6725" i="1"/>
  <c r="R6671" i="1"/>
  <c r="R6627" i="1"/>
  <c r="R6626" i="1" s="1"/>
  <c r="R6613" i="1"/>
  <c r="O6614" i="1"/>
  <c r="R6516" i="1"/>
  <c r="S6516" i="1"/>
  <c r="T6516" i="1" s="1"/>
  <c r="R6500" i="1"/>
  <c r="S6500" i="1"/>
  <c r="T6500" i="1" s="1"/>
  <c r="S6437" i="1"/>
  <c r="T6437" i="1" s="1"/>
  <c r="R6437" i="1"/>
  <c r="R6412" i="1"/>
  <c r="R6330" i="1"/>
  <c r="S6330" i="1"/>
  <c r="T6330" i="1" s="1"/>
  <c r="R6804" i="1"/>
  <c r="S6804" i="1"/>
  <c r="T6804" i="1" s="1"/>
  <c r="S6699" i="1"/>
  <c r="T6699" i="1" s="1"/>
  <c r="R6699" i="1"/>
  <c r="R6605" i="1"/>
  <c r="O6606" i="1"/>
  <c r="R6917" i="1"/>
  <c r="S6911" i="1"/>
  <c r="T6911" i="1" s="1"/>
  <c r="R6884" i="1"/>
  <c r="S6884" i="1"/>
  <c r="T6884" i="1" s="1"/>
  <c r="S6870" i="1"/>
  <c r="T6870" i="1" s="1"/>
  <c r="S6859" i="1"/>
  <c r="T6859" i="1" s="1"/>
  <c r="O6844" i="1"/>
  <c r="R6843" i="1"/>
  <c r="R6837" i="1"/>
  <c r="R6914" i="1"/>
  <c r="O6915" i="1"/>
  <c r="R6903" i="1"/>
  <c r="R6900" i="1"/>
  <c r="S6900" i="1"/>
  <c r="T6900" i="1" s="1"/>
  <c r="S6883" i="1"/>
  <c r="T6883" i="1" s="1"/>
  <c r="S6878" i="1"/>
  <c r="T6878" i="1" s="1"/>
  <c r="S6842" i="1"/>
  <c r="S6841" i="1" s="1"/>
  <c r="R6834" i="1"/>
  <c r="O6835" i="1"/>
  <c r="S6829" i="1"/>
  <c r="T6829" i="1" s="1"/>
  <c r="S6814" i="1"/>
  <c r="T6814" i="1" s="1"/>
  <c r="R6805" i="1"/>
  <c r="S6769" i="1"/>
  <c r="T6769" i="1" s="1"/>
  <c r="R6746" i="1"/>
  <c r="S6746" i="1"/>
  <c r="T6746" i="1" s="1"/>
  <c r="R6734" i="1"/>
  <c r="O6735" i="1"/>
  <c r="R6731" i="1"/>
  <c r="O6722" i="1"/>
  <c r="R6720" i="1"/>
  <c r="S6720" i="1"/>
  <c r="S6719" i="1" s="1"/>
  <c r="S6707" i="1"/>
  <c r="T6707" i="1" s="1"/>
  <c r="R6707" i="1"/>
  <c r="R6703" i="1"/>
  <c r="S6691" i="1"/>
  <c r="T6691" i="1" s="1"/>
  <c r="R6691" i="1"/>
  <c r="R6687" i="1"/>
  <c r="S6675" i="1"/>
  <c r="T6675" i="1" s="1"/>
  <c r="R6675" i="1"/>
  <c r="O6662" i="1"/>
  <c r="R6658" i="1"/>
  <c r="S6658" i="1"/>
  <c r="S6657" i="1" s="1"/>
  <c r="R6620" i="1"/>
  <c r="S6620" i="1"/>
  <c r="T6620" i="1" s="1"/>
  <c r="R6596" i="1"/>
  <c r="S6589" i="1"/>
  <c r="T6589" i="1" s="1"/>
  <c r="R6589" i="1"/>
  <c r="R6508" i="1"/>
  <c r="S6508" i="1"/>
  <c r="T6508" i="1" s="1"/>
  <c r="R6444" i="1"/>
  <c r="S6444" i="1"/>
  <c r="T6444" i="1" s="1"/>
  <c r="S6389" i="1"/>
  <c r="T6389" i="1" s="1"/>
  <c r="R6389" i="1"/>
  <c r="R6381" i="1"/>
  <c r="O6382" i="1"/>
  <c r="R6723" i="1"/>
  <c r="S6723" i="1"/>
  <c r="T6723" i="1" s="1"/>
  <c r="R6525" i="1"/>
  <c r="O6526" i="1"/>
  <c r="S6913" i="1"/>
  <c r="T6913" i="1" s="1"/>
  <c r="S6833" i="1"/>
  <c r="S6832" i="1" s="1"/>
  <c r="R6820" i="1"/>
  <c r="S6820" i="1"/>
  <c r="T6820" i="1" s="1"/>
  <c r="O6812" i="1"/>
  <c r="R6811" i="1"/>
  <c r="R6800" i="1"/>
  <c r="S6800" i="1"/>
  <c r="S6799" i="1" s="1"/>
  <c r="R6778" i="1"/>
  <c r="S6778" i="1"/>
  <c r="T6778" i="1" s="1"/>
  <c r="R6740" i="1"/>
  <c r="S6740" i="1"/>
  <c r="T6740" i="1" s="1"/>
  <c r="R6668" i="1"/>
  <c r="S6668" i="1"/>
  <c r="S6667" i="1" s="1"/>
  <c r="O6646" i="1"/>
  <c r="R6642" i="1"/>
  <c r="S6642" i="1"/>
  <c r="S6641" i="1" s="1"/>
  <c r="R6634" i="1"/>
  <c r="S6634" i="1"/>
  <c r="S6633" i="1" s="1"/>
  <c r="R6612" i="1"/>
  <c r="S6612" i="1"/>
  <c r="T6612" i="1" s="1"/>
  <c r="R6578" i="1"/>
  <c r="S6578" i="1"/>
  <c r="S6577" i="1" s="1"/>
  <c r="R6492" i="1"/>
  <c r="S6492" i="1"/>
  <c r="S6491" i="1" s="1"/>
  <c r="S6485" i="1"/>
  <c r="T6485" i="1" s="1"/>
  <c r="R6485" i="1"/>
  <c r="R6474" i="1"/>
  <c r="S6474" i="1"/>
  <c r="S6473" i="1" s="1"/>
  <c r="R6436" i="1"/>
  <c r="S6436" i="1"/>
  <c r="T6436" i="1" s="1"/>
  <c r="S6429" i="1"/>
  <c r="S6428" i="1" s="1"/>
  <c r="T6428" i="1" s="1"/>
  <c r="R6429" i="1"/>
  <c r="R6370" i="1"/>
  <c r="S6370" i="1"/>
  <c r="S6369" i="1" s="1"/>
  <c r="R6365" i="1"/>
  <c r="O6366" i="1"/>
  <c r="S6683" i="1"/>
  <c r="S6682" i="1" s="1"/>
  <c r="R6683" i="1"/>
  <c r="R6540" i="1"/>
  <c r="S6540" i="1"/>
  <c r="T6540" i="1" s="1"/>
  <c r="O6862" i="1"/>
  <c r="R6886" i="1"/>
  <c r="R6875" i="1"/>
  <c r="R6869" i="1"/>
  <c r="S6866" i="1"/>
  <c r="R6861" i="1"/>
  <c r="S6847" i="1"/>
  <c r="T6847" i="1" s="1"/>
  <c r="R6819" i="1"/>
  <c r="S6819" i="1"/>
  <c r="T6819" i="1" s="1"/>
  <c r="S6801" i="1"/>
  <c r="T6801" i="1" s="1"/>
  <c r="S6798" i="1"/>
  <c r="T6798" i="1" s="1"/>
  <c r="S6795" i="1"/>
  <c r="T6795" i="1" s="1"/>
  <c r="R6789" i="1"/>
  <c r="S6781" i="1"/>
  <c r="T6781" i="1" s="1"/>
  <c r="R6777" i="1"/>
  <c r="R6775" i="1"/>
  <c r="R6772" i="1"/>
  <c r="S6772" i="1"/>
  <c r="T6772" i="1" s="1"/>
  <c r="R6757" i="1"/>
  <c r="S6749" i="1"/>
  <c r="T6749" i="1" s="1"/>
  <c r="R6730" i="1"/>
  <c r="S6730" i="1"/>
  <c r="T6730" i="1" s="1"/>
  <c r="R6709" i="1"/>
  <c r="R6700" i="1"/>
  <c r="R6693" i="1"/>
  <c r="R6684" i="1"/>
  <c r="S6684" i="1"/>
  <c r="T6684" i="1" s="1"/>
  <c r="R6677" i="1"/>
  <c r="O6660" i="1"/>
  <c r="O6638" i="1"/>
  <c r="S6619" i="1"/>
  <c r="T6619" i="1" s="1"/>
  <c r="R6619" i="1"/>
  <c r="R6588" i="1"/>
  <c r="S6588" i="1"/>
  <c r="T6588" i="1" s="1"/>
  <c r="S6581" i="1"/>
  <c r="T6581" i="1" s="1"/>
  <c r="R6581" i="1"/>
  <c r="R6570" i="1"/>
  <c r="S6570" i="1"/>
  <c r="S6569" i="1" s="1"/>
  <c r="R6562" i="1"/>
  <c r="S6562" i="1"/>
  <c r="S6561" i="1" s="1"/>
  <c r="R6557" i="1"/>
  <c r="O6558" i="1"/>
  <c r="R6546" i="1"/>
  <c r="S6546" i="1"/>
  <c r="S6545" i="1" s="1"/>
  <c r="R6541" i="1"/>
  <c r="O6542" i="1"/>
  <c r="R6477" i="1"/>
  <c r="O6478" i="1"/>
  <c r="O6469" i="1"/>
  <c r="S6373" i="1"/>
  <c r="T6373" i="1" s="1"/>
  <c r="R6373" i="1"/>
  <c r="S6357" i="1"/>
  <c r="T6357" i="1" s="1"/>
  <c r="R6357" i="1"/>
  <c r="R6556" i="1"/>
  <c r="S6556" i="1"/>
  <c r="T6556" i="1" s="1"/>
  <c r="R6916" i="1"/>
  <c r="O6902" i="1"/>
  <c r="R6839" i="1"/>
  <c r="R6836" i="1"/>
  <c r="R6810" i="1"/>
  <c r="S6810" i="1"/>
  <c r="T6810" i="1" s="1"/>
  <c r="R6771" i="1"/>
  <c r="S6771" i="1"/>
  <c r="T6771" i="1" s="1"/>
  <c r="R6763" i="1"/>
  <c r="O6754" i="1"/>
  <c r="S6733" i="1"/>
  <c r="T6733" i="1" s="1"/>
  <c r="R6729" i="1"/>
  <c r="R6727" i="1"/>
  <c r="R6724" i="1"/>
  <c r="S6724" i="1"/>
  <c r="T6724" i="1" s="1"/>
  <c r="R6715" i="1"/>
  <c r="R6667" i="1"/>
  <c r="O6644" i="1"/>
  <c r="S6573" i="1"/>
  <c r="T6573" i="1" s="1"/>
  <c r="R6573" i="1"/>
  <c r="R6565" i="1"/>
  <c r="O6566" i="1"/>
  <c r="R6549" i="1"/>
  <c r="O6550" i="1"/>
  <c r="R6533" i="1"/>
  <c r="O6534" i="1"/>
  <c r="R6522" i="1"/>
  <c r="S6522" i="1"/>
  <c r="S6521" i="1" s="1"/>
  <c r="R6484" i="1"/>
  <c r="S6484" i="1"/>
  <c r="T6484" i="1" s="1"/>
  <c r="R6428" i="1"/>
  <c r="S6421" i="1"/>
  <c r="T6421" i="1" s="1"/>
  <c r="R6421" i="1"/>
  <c r="R6912" i="1"/>
  <c r="R6896" i="1"/>
  <c r="R6880" i="1"/>
  <c r="R6864" i="1"/>
  <c r="R6848" i="1"/>
  <c r="R6832" i="1"/>
  <c r="R6816" i="1"/>
  <c r="R6784" i="1"/>
  <c r="R6768" i="1"/>
  <c r="R6752" i="1"/>
  <c r="R6736" i="1"/>
  <c r="R6706" i="1"/>
  <c r="R6698" i="1"/>
  <c r="R6690" i="1"/>
  <c r="R6682" i="1"/>
  <c r="R6666" i="1"/>
  <c r="R6618" i="1"/>
  <c r="R6602" i="1"/>
  <c r="R6594" i="1"/>
  <c r="R6586" i="1"/>
  <c r="R6554" i="1"/>
  <c r="R6538" i="1"/>
  <c r="R6530" i="1"/>
  <c r="R6514" i="1"/>
  <c r="R6498" i="1"/>
  <c r="R6490" i="1"/>
  <c r="R6482" i="1"/>
  <c r="R6466" i="1"/>
  <c r="R6458" i="1"/>
  <c r="R6450" i="1"/>
  <c r="R6434" i="1"/>
  <c r="R6426" i="1"/>
  <c r="R6418" i="1"/>
  <c r="R6410" i="1"/>
  <c r="R6394" i="1"/>
  <c r="S6388" i="1"/>
  <c r="T6388" i="1" s="1"/>
  <c r="R6386" i="1"/>
  <c r="S6380" i="1"/>
  <c r="T6380" i="1" s="1"/>
  <c r="R6378" i="1"/>
  <c r="S6372" i="1"/>
  <c r="T6372" i="1" s="1"/>
  <c r="S6364" i="1"/>
  <c r="S6363" i="1" s="1"/>
  <c r="R6362" i="1"/>
  <c r="S6356" i="1"/>
  <c r="T6356" i="1" s="1"/>
  <c r="R6354" i="1"/>
  <c r="R6346" i="1"/>
  <c r="R6338" i="1"/>
  <c r="R6806" i="1"/>
  <c r="R6790" i="1"/>
  <c r="R6774" i="1"/>
  <c r="R6758" i="1"/>
  <c r="R6742" i="1"/>
  <c r="R6726" i="1"/>
  <c r="R6710" i="1"/>
  <c r="S6705" i="1"/>
  <c r="T6705" i="1" s="1"/>
  <c r="S6697" i="1"/>
  <c r="T6697" i="1" s="1"/>
  <c r="S6689" i="1"/>
  <c r="S6688" i="1" s="1"/>
  <c r="S6681" i="1"/>
  <c r="T6681" i="1" s="1"/>
  <c r="S6625" i="1"/>
  <c r="S6624" i="1" s="1"/>
  <c r="S6617" i="1"/>
  <c r="S6616" i="1" s="1"/>
  <c r="R6603" i="1"/>
  <c r="S6601" i="1"/>
  <c r="S6600" i="1" s="1"/>
  <c r="R6595" i="1"/>
  <c r="S6593" i="1"/>
  <c r="S6592" i="1" s="1"/>
  <c r="R6587" i="1"/>
  <c r="S6585" i="1"/>
  <c r="T6585" i="1" s="1"/>
  <c r="R6579" i="1"/>
  <c r="R6571" i="1"/>
  <c r="R6563" i="1"/>
  <c r="R6555" i="1"/>
  <c r="S6553" i="1"/>
  <c r="T6553" i="1" s="1"/>
  <c r="R6539" i="1"/>
  <c r="S6537" i="1"/>
  <c r="S6536" i="1" s="1"/>
  <c r="R6531" i="1"/>
  <c r="S6529" i="1"/>
  <c r="T6529" i="1" s="1"/>
  <c r="R6523" i="1"/>
  <c r="R6515" i="1"/>
  <c r="S6513" i="1"/>
  <c r="T6513" i="1" s="1"/>
  <c r="R6507" i="1"/>
  <c r="R6499" i="1"/>
  <c r="S6497" i="1"/>
  <c r="S6496" i="1" s="1"/>
  <c r="S6489" i="1"/>
  <c r="T6489" i="1" s="1"/>
  <c r="R6483" i="1"/>
  <c r="S6481" i="1"/>
  <c r="T6481" i="1" s="1"/>
  <c r="R6467" i="1"/>
  <c r="S6465" i="1"/>
  <c r="T6465" i="1" s="1"/>
  <c r="R6459" i="1"/>
  <c r="S6457" i="1"/>
  <c r="T6457" i="1" s="1"/>
  <c r="S6449" i="1"/>
  <c r="T6449" i="1" s="1"/>
  <c r="R6443" i="1"/>
  <c r="R6435" i="1"/>
  <c r="S6433" i="1"/>
  <c r="T6433" i="1" s="1"/>
  <c r="R6427" i="1"/>
  <c r="S6425" i="1"/>
  <c r="S6424" i="1" s="1"/>
  <c r="T6424" i="1" s="1"/>
  <c r="R6419" i="1"/>
  <c r="S6417" i="1"/>
  <c r="T6417" i="1" s="1"/>
  <c r="R6411" i="1"/>
  <c r="S6409" i="1"/>
  <c r="S6408" i="1" s="1"/>
  <c r="T6408" i="1" s="1"/>
  <c r="R6395" i="1"/>
  <c r="S6393" i="1"/>
  <c r="T6393" i="1" s="1"/>
  <c r="R6387" i="1"/>
  <c r="S6385" i="1"/>
  <c r="S6384" i="1" s="1"/>
  <c r="T6384" i="1" s="1"/>
  <c r="R6379" i="1"/>
  <c r="S6377" i="1"/>
  <c r="T6377" i="1" s="1"/>
  <c r="R6371" i="1"/>
  <c r="S6361" i="1"/>
  <c r="T6361" i="1" s="1"/>
  <c r="R6355" i="1"/>
  <c r="S6353" i="1"/>
  <c r="T6353" i="1" s="1"/>
  <c r="R6347" i="1"/>
  <c r="S6345" i="1"/>
  <c r="S6344" i="1" s="1"/>
  <c r="R6339" i="1"/>
  <c r="S6329" i="1"/>
  <c r="S6328" i="1" s="1"/>
  <c r="R6904" i="1"/>
  <c r="R6888" i="1"/>
  <c r="R6872" i="1"/>
  <c r="R6856" i="1"/>
  <c r="R6840" i="1"/>
  <c r="R6808" i="1"/>
  <c r="R6792" i="1"/>
  <c r="R6776" i="1"/>
  <c r="R6760" i="1"/>
  <c r="R6728" i="1"/>
  <c r="R6712" i="1"/>
  <c r="R6702" i="1"/>
  <c r="R6694" i="1"/>
  <c r="R6686" i="1"/>
  <c r="R6678" i="1"/>
  <c r="R6670" i="1"/>
  <c r="R6630" i="1"/>
  <c r="R6622" i="1"/>
  <c r="R6598" i="1"/>
  <c r="R6590" i="1"/>
  <c r="R6582" i="1"/>
  <c r="R6574" i="1"/>
  <c r="R6518" i="1"/>
  <c r="R6494" i="1"/>
  <c r="R6486" i="1"/>
  <c r="R6470" i="1"/>
  <c r="R6462" i="1"/>
  <c r="R6454" i="1"/>
  <c r="R6438" i="1"/>
  <c r="R6430" i="1"/>
  <c r="R6422" i="1"/>
  <c r="R6414" i="1"/>
  <c r="R6398" i="1"/>
  <c r="R6390" i="1"/>
  <c r="R6374" i="1"/>
  <c r="R6358" i="1"/>
  <c r="R6334" i="1"/>
  <c r="R6326" i="1"/>
  <c r="S6896" i="1"/>
  <c r="T6896" i="1" s="1"/>
  <c r="R6892" i="1"/>
  <c r="S6880" i="1"/>
  <c r="T6880" i="1" s="1"/>
  <c r="R6876" i="1"/>
  <c r="S6864" i="1"/>
  <c r="T6864" i="1" s="1"/>
  <c r="R6860" i="1"/>
  <c r="R6828" i="1"/>
  <c r="S6816" i="1"/>
  <c r="T6816" i="1" s="1"/>
  <c r="R6796" i="1"/>
  <c r="S6784" i="1"/>
  <c r="T6784" i="1" s="1"/>
  <c r="R6780" i="1"/>
  <c r="S6768" i="1"/>
  <c r="T6768" i="1" s="1"/>
  <c r="R6764" i="1"/>
  <c r="S6752" i="1"/>
  <c r="T6752" i="1" s="1"/>
  <c r="S6736" i="1"/>
  <c r="T6736" i="1" s="1"/>
  <c r="R6732" i="1"/>
  <c r="R6716" i="1"/>
  <c r="S6706" i="1"/>
  <c r="T6706" i="1" s="1"/>
  <c r="R6704" i="1"/>
  <c r="S6698" i="1"/>
  <c r="T6698" i="1" s="1"/>
  <c r="R6696" i="1"/>
  <c r="S6690" i="1"/>
  <c r="T6690" i="1" s="1"/>
  <c r="R6688" i="1"/>
  <c r="R6680" i="1"/>
  <c r="R6672" i="1"/>
  <c r="S6666" i="1"/>
  <c r="T6666" i="1" s="1"/>
  <c r="O6632" i="1"/>
  <c r="R6624" i="1"/>
  <c r="S6618" i="1"/>
  <c r="T6618" i="1" s="1"/>
  <c r="R6616" i="1"/>
  <c r="O6608" i="1"/>
  <c r="S6602" i="1"/>
  <c r="T6602" i="1" s="1"/>
  <c r="R6600" i="1"/>
  <c r="S6594" i="1"/>
  <c r="T6594" i="1" s="1"/>
  <c r="R6592" i="1"/>
  <c r="S6586" i="1"/>
  <c r="T6586" i="1" s="1"/>
  <c r="R6584" i="1"/>
  <c r="R6576" i="1"/>
  <c r="R6568" i="1"/>
  <c r="O6560" i="1"/>
  <c r="R6552" i="1"/>
  <c r="O6544" i="1"/>
  <c r="R6536" i="1"/>
  <c r="R6528" i="1"/>
  <c r="R6520" i="1"/>
  <c r="R6512" i="1"/>
  <c r="O6504" i="1"/>
  <c r="R6496" i="1"/>
  <c r="S6490" i="1"/>
  <c r="T6490" i="1" s="1"/>
  <c r="R6488" i="1"/>
  <c r="S6482" i="1"/>
  <c r="T6482" i="1" s="1"/>
  <c r="R6480" i="1"/>
  <c r="O6472" i="1"/>
  <c r="R6464" i="1"/>
  <c r="S6458" i="1"/>
  <c r="T6458" i="1" s="1"/>
  <c r="O6456" i="1"/>
  <c r="S6450" i="1"/>
  <c r="T6450" i="1" s="1"/>
  <c r="R6448" i="1"/>
  <c r="R6440" i="1"/>
  <c r="S6434" i="1"/>
  <c r="T6434" i="1" s="1"/>
  <c r="R6432" i="1"/>
  <c r="S6426" i="1"/>
  <c r="T6426" i="1" s="1"/>
  <c r="R6424" i="1"/>
  <c r="S6418" i="1"/>
  <c r="T6418" i="1" s="1"/>
  <c r="R6416" i="1"/>
  <c r="S6410" i="1"/>
  <c r="T6410" i="1" s="1"/>
  <c r="R6408" i="1"/>
  <c r="O6400" i="1"/>
  <c r="R6392" i="1"/>
  <c r="R6384" i="1"/>
  <c r="S6378" i="1"/>
  <c r="T6378" i="1" s="1"/>
  <c r="R6376" i="1"/>
  <c r="R6368" i="1"/>
  <c r="S6362" i="1"/>
  <c r="T6362" i="1" s="1"/>
  <c r="O6360" i="1"/>
  <c r="S6354" i="1"/>
  <c r="T6354" i="1" s="1"/>
  <c r="R6352" i="1"/>
  <c r="R6344" i="1"/>
  <c r="O6336" i="1"/>
  <c r="R6328" i="1"/>
  <c r="O6320" i="1"/>
  <c r="R618" i="1"/>
  <c r="O619" i="1"/>
  <c r="R735" i="1"/>
  <c r="R745" i="1"/>
  <c r="S745" i="1"/>
  <c r="S744" i="1" s="1"/>
  <c r="O746" i="1"/>
  <c r="O692" i="1"/>
  <c r="O714" i="1"/>
  <c r="R713" i="1"/>
  <c r="R722" i="1"/>
  <c r="S722" i="1"/>
  <c r="S721" i="1" s="1"/>
  <c r="S673" i="1"/>
  <c r="S672" i="1" s="1"/>
  <c r="R673" i="1"/>
  <c r="R793" i="1"/>
  <c r="O794" i="1"/>
  <c r="R719" i="1"/>
  <c r="R688" i="1"/>
  <c r="O689" i="1"/>
  <c r="O554" i="1"/>
  <c r="R732" i="1"/>
  <c r="R704" i="1"/>
  <c r="S704" i="1"/>
  <c r="O651" i="1"/>
  <c r="R602" i="1"/>
  <c r="S602" i="1"/>
  <c r="S601" i="1" s="1"/>
  <c r="O603" i="1"/>
  <c r="R593" i="1"/>
  <c r="S593" i="1"/>
  <c r="R543" i="1"/>
  <c r="S543" i="1"/>
  <c r="R675" i="1"/>
  <c r="O657" i="1"/>
  <c r="R656" i="1"/>
  <c r="R646" i="1"/>
  <c r="O647" i="1"/>
  <c r="R562" i="1"/>
  <c r="O563" i="1"/>
  <c r="S562" i="1"/>
  <c r="S561" i="1" s="1"/>
  <c r="R527" i="1"/>
  <c r="R526" i="1" s="1"/>
  <c r="O528" i="1"/>
  <c r="R492" i="1"/>
  <c r="R491" i="1" s="1"/>
  <c r="O493" i="1"/>
  <c r="R716" i="1"/>
  <c r="S716" i="1"/>
  <c r="S715" i="1" s="1"/>
  <c r="S649" i="1"/>
  <c r="S648" i="1" s="1"/>
  <c r="R649" i="1"/>
  <c r="R627" i="1"/>
  <c r="S625" i="1"/>
  <c r="S624" i="1" s="1"/>
  <c r="R625" i="1"/>
  <c r="O705" i="1"/>
  <c r="R678" i="1"/>
  <c r="O679" i="1"/>
  <c r="O667" i="1"/>
  <c r="S655" i="1"/>
  <c r="S654" i="1" s="1"/>
  <c r="R655" i="1"/>
  <c r="R620" i="1"/>
  <c r="S609" i="1"/>
  <c r="S608" i="1" s="1"/>
  <c r="R609" i="1"/>
  <c r="R535" i="1"/>
  <c r="R534" i="1" s="1"/>
  <c r="O536" i="1"/>
  <c r="O764" i="1"/>
  <c r="O736" i="1"/>
  <c r="O728" i="1"/>
  <c r="O720" i="1"/>
  <c r="R674" i="1"/>
  <c r="R662" i="1"/>
  <c r="O663" i="1"/>
  <c r="R648" i="1"/>
  <c r="R604" i="1"/>
  <c r="S565" i="1"/>
  <c r="S564" i="1" s="1"/>
  <c r="R565" i="1"/>
  <c r="O551" i="1"/>
  <c r="R519" i="1"/>
  <c r="S519" i="1"/>
  <c r="S518" i="1" s="1"/>
  <c r="S517" i="1" s="1"/>
  <c r="O520" i="1"/>
  <c r="O805" i="1"/>
  <c r="O798" i="1"/>
  <c r="O789" i="1"/>
  <c r="O750" i="1"/>
  <c r="S703" i="1"/>
  <c r="S702" i="1" s="1"/>
  <c r="S701" i="1" s="1"/>
  <c r="S700" i="1" s="1"/>
  <c r="R702" i="1"/>
  <c r="R701" i="1" s="1"/>
  <c r="R700" i="1" s="1"/>
  <c r="S665" i="1"/>
  <c r="S664" i="1" s="1"/>
  <c r="R665" i="1"/>
  <c r="O635" i="1"/>
  <c r="R630" i="1"/>
  <c r="O631" i="1"/>
  <c r="S611" i="1"/>
  <c r="S610" i="1" s="1"/>
  <c r="R611" i="1"/>
  <c r="R544" i="1"/>
  <c r="O545" i="1"/>
  <c r="R459" i="1"/>
  <c r="S459" i="1"/>
  <c r="S458" i="1" s="1"/>
  <c r="S457" i="1" s="1"/>
  <c r="O460" i="1"/>
  <c r="R804" i="1"/>
  <c r="O759" i="1"/>
  <c r="O733" i="1"/>
  <c r="R703" i="1"/>
  <c r="R685" i="1"/>
  <c r="R650" i="1"/>
  <c r="R643" i="1"/>
  <c r="S641" i="1"/>
  <c r="S640" i="1" s="1"/>
  <c r="R641" i="1"/>
  <c r="S581" i="1"/>
  <c r="R581" i="1"/>
  <c r="R467" i="1"/>
  <c r="S467" i="1"/>
  <c r="S466" i="1" s="1"/>
  <c r="S465" i="1" s="1"/>
  <c r="O468" i="1"/>
  <c r="O677" i="1"/>
  <c r="O661" i="1"/>
  <c r="O645" i="1"/>
  <c r="R640" i="1"/>
  <c r="O629" i="1"/>
  <c r="R624" i="1"/>
  <c r="R617" i="1"/>
  <c r="O613" i="1"/>
  <c r="R608" i="1"/>
  <c r="R599" i="1"/>
  <c r="R594" i="1"/>
  <c r="O595" i="1"/>
  <c r="R488" i="1"/>
  <c r="R487" i="1" s="1"/>
  <c r="O489" i="1"/>
  <c r="O615" i="1"/>
  <c r="R567" i="1"/>
  <c r="O568" i="1"/>
  <c r="R558" i="1"/>
  <c r="O559" i="1"/>
  <c r="O514" i="1"/>
  <c r="O497" i="1"/>
  <c r="O484" i="1"/>
  <c r="R328" i="1"/>
  <c r="S328" i="1"/>
  <c r="S327" i="1" s="1"/>
  <c r="O586" i="1"/>
  <c r="O583" i="1"/>
  <c r="O540" i="1"/>
  <c r="O504" i="1"/>
  <c r="R466" i="1"/>
  <c r="R465" i="1" s="1"/>
  <c r="S600" i="1"/>
  <c r="S599" i="1" s="1"/>
  <c r="R580" i="1"/>
  <c r="R539" i="1"/>
  <c r="O509" i="1"/>
  <c r="O362" i="1"/>
  <c r="R361" i="1"/>
  <c r="R360" i="1" s="1"/>
  <c r="R359" i="1" s="1"/>
  <c r="R472" i="1"/>
  <c r="S472" i="1"/>
  <c r="O473" i="1"/>
  <c r="R574" i="1"/>
  <c r="O575" i="1"/>
  <c r="R542" i="1"/>
  <c r="S542" i="1"/>
  <c r="S541" i="1" s="1"/>
  <c r="R532" i="1"/>
  <c r="R531" i="1" s="1"/>
  <c r="O533" i="1"/>
  <c r="R518" i="1"/>
  <c r="R517" i="1" s="1"/>
  <c r="O481" i="1"/>
  <c r="O424" i="1"/>
  <c r="R592" i="1"/>
  <c r="S592" i="1"/>
  <c r="S591" i="1" s="1"/>
  <c r="R572" i="1"/>
  <c r="S572" i="1"/>
  <c r="S571" i="1" s="1"/>
  <c r="O522" i="1"/>
  <c r="R135" i="1"/>
  <c r="S135" i="1"/>
  <c r="R538" i="1"/>
  <c r="R458" i="1"/>
  <c r="R457" i="1" s="1"/>
  <c r="R437" i="1"/>
  <c r="R398" i="1"/>
  <c r="S398" i="1"/>
  <c r="S397" i="1" s="1"/>
  <c r="S396" i="1" s="1"/>
  <c r="S395" i="1" s="1"/>
  <c r="O399" i="1"/>
  <c r="R564" i="1"/>
  <c r="R548" i="1"/>
  <c r="O444" i="1"/>
  <c r="S368" i="1"/>
  <c r="R368" i="1"/>
  <c r="O369" i="1"/>
  <c r="S352" i="1"/>
  <c r="S351" i="1" s="1"/>
  <c r="O353" i="1"/>
  <c r="O250" i="1"/>
  <c r="R552" i="1"/>
  <c r="R254" i="1"/>
  <c r="O255" i="1"/>
  <c r="R478" i="1"/>
  <c r="R477" i="1" s="1"/>
  <c r="R470" i="1"/>
  <c r="R469" i="1" s="1"/>
  <c r="R462" i="1"/>
  <c r="R461" i="1" s="1"/>
  <c r="O431" i="1"/>
  <c r="R335" i="1"/>
  <c r="O336" i="1"/>
  <c r="R588" i="1"/>
  <c r="O412" i="1"/>
  <c r="O420" i="1"/>
  <c r="S394" i="1"/>
  <c r="S393" i="1" s="1"/>
  <c r="R366" i="1"/>
  <c r="R329" i="1"/>
  <c r="O330" i="1"/>
  <c r="R288" i="1"/>
  <c r="O289" i="1"/>
  <c r="R233" i="1"/>
  <c r="O234" i="1"/>
  <c r="O157" i="1"/>
  <c r="O454" i="1"/>
  <c r="O438" i="1"/>
  <c r="O422" i="1"/>
  <c r="O392" i="1"/>
  <c r="O382" i="1"/>
  <c r="R126" i="1"/>
  <c r="S126" i="1"/>
  <c r="O343" i="1"/>
  <c r="R240" i="1"/>
  <c r="O241" i="1"/>
  <c r="R222" i="1"/>
  <c r="S222" i="1"/>
  <c r="S221" i="1" s="1"/>
  <c r="O166" i="1"/>
  <c r="R40" i="1"/>
  <c r="R351" i="1"/>
  <c r="S342" i="1"/>
  <c r="S341" i="1" s="1"/>
  <c r="O314" i="1"/>
  <c r="O306" i="1"/>
  <c r="R286" i="1"/>
  <c r="O287" i="1"/>
  <c r="O280" i="1"/>
  <c r="O271" i="1"/>
  <c r="R231" i="1"/>
  <c r="O232" i="1"/>
  <c r="O218" i="1"/>
  <c r="R201" i="1"/>
  <c r="O202" i="1"/>
  <c r="O191" i="1"/>
  <c r="R134" i="1"/>
  <c r="S134" i="1"/>
  <c r="S133" i="1" s="1"/>
  <c r="O113" i="1"/>
  <c r="R51" i="1"/>
  <c r="S51" i="1"/>
  <c r="S50" i="1" s="1"/>
  <c r="O52" i="1"/>
  <c r="O405" i="1"/>
  <c r="O373" i="1"/>
  <c r="R327" i="1"/>
  <c r="R293" i="1"/>
  <c r="O257" i="1"/>
  <c r="S367" i="1"/>
  <c r="S366" i="1" s="1"/>
  <c r="R367" i="1"/>
  <c r="R304" i="1"/>
  <c r="S304" i="1"/>
  <c r="S303" i="1" s="1"/>
  <c r="R238" i="1"/>
  <c r="O239" i="1"/>
  <c r="O209" i="1"/>
  <c r="R176" i="1"/>
  <c r="S176" i="1"/>
  <c r="S175" i="1" s="1"/>
  <c r="O154" i="1"/>
  <c r="R153" i="1"/>
  <c r="O77" i="1"/>
  <c r="O448" i="1"/>
  <c r="R397" i="1"/>
  <c r="R396" i="1" s="1"/>
  <c r="R395" i="1" s="1"/>
  <c r="O296" i="1"/>
  <c r="O264" i="1"/>
  <c r="S261" i="1"/>
  <c r="S260" i="1" s="1"/>
  <c r="R261" i="1"/>
  <c r="R224" i="1"/>
  <c r="S224" i="1"/>
  <c r="S223" i="1" s="1"/>
  <c r="R213" i="1"/>
  <c r="R212" i="1" s="1"/>
  <c r="R211" i="1" s="1"/>
  <c r="O214" i="1"/>
  <c r="R199" i="1"/>
  <c r="O200" i="1"/>
  <c r="R181" i="1"/>
  <c r="R180" i="1" s="1"/>
  <c r="O182" i="1"/>
  <c r="O226" i="1"/>
  <c r="O178" i="1"/>
  <c r="R107" i="1"/>
  <c r="S107" i="1"/>
  <c r="S106" i="1" s="1"/>
  <c r="O105" i="1"/>
  <c r="O144" i="1"/>
  <c r="R110" i="1"/>
  <c r="O111" i="1"/>
  <c r="R133" i="1"/>
  <c r="R99" i="1"/>
  <c r="S99" i="1"/>
  <c r="S98" i="1" s="1"/>
  <c r="O97" i="1"/>
  <c r="O84" i="1"/>
  <c r="R48" i="1"/>
  <c r="R125" i="1"/>
  <c r="S125" i="1"/>
  <c r="S124" i="1" s="1"/>
  <c r="R102" i="1"/>
  <c r="O103" i="1"/>
  <c r="R142" i="1"/>
  <c r="O137" i="1"/>
  <c r="R27" i="1"/>
  <c r="S27" i="1"/>
  <c r="S26" i="1" s="1"/>
  <c r="O204" i="1"/>
  <c r="O188" i="1"/>
  <c r="S128" i="1"/>
  <c r="S127" i="1" s="1"/>
  <c r="O129" i="1"/>
  <c r="R94" i="1"/>
  <c r="O95" i="1"/>
  <c r="R93" i="1"/>
  <c r="S93" i="1"/>
  <c r="S92" i="1" s="1"/>
  <c r="R53" i="1"/>
  <c r="R37" i="1"/>
  <c r="R29" i="1"/>
  <c r="S29" i="1"/>
  <c r="S28" i="1" s="1"/>
  <c r="R13" i="1"/>
  <c r="R127" i="1"/>
  <c r="R71" i="1"/>
  <c r="R47" i="1"/>
  <c r="R39" i="1"/>
  <c r="R15" i="1"/>
  <c r="R73" i="1"/>
  <c r="O57" i="1"/>
  <c r="O49" i="1"/>
  <c r="O41" i="1"/>
  <c r="O33" i="1"/>
  <c r="R17" i="1"/>
  <c r="R9" i="1"/>
  <c r="S72" i="1"/>
  <c r="S71" i="1" s="1"/>
  <c r="S48" i="1"/>
  <c r="S47" i="1" s="1"/>
  <c r="S40" i="1"/>
  <c r="S39" i="1" s="1"/>
  <c r="S16" i="1"/>
  <c r="S15" i="1" s="1"/>
  <c r="O62" i="1"/>
  <c r="O54" i="1"/>
  <c r="O38" i="1"/>
  <c r="R35" i="1"/>
  <c r="O22" i="1"/>
  <c r="R19" i="1"/>
  <c r="O14" i="1"/>
  <c r="R11" i="1"/>
  <c r="S6962" i="1" l="1"/>
  <c r="T6962" i="1" s="1"/>
  <c r="R6962" i="1"/>
  <c r="O6963" i="1"/>
  <c r="O2873" i="1"/>
  <c r="S2872" i="1"/>
  <c r="T2872" i="1" s="1"/>
  <c r="R2872" i="1"/>
  <c r="X21" i="1"/>
  <c r="Y21" i="1" s="1"/>
  <c r="AA21" i="1"/>
  <c r="Z21" i="1" s="1"/>
  <c r="W23" i="1"/>
  <c r="S464" i="1"/>
  <c r="S718" i="1"/>
  <c r="S717" i="1" s="1"/>
  <c r="R442" i="1"/>
  <c r="S1901" i="1"/>
  <c r="T1901" i="1" s="1"/>
  <c r="T892" i="1"/>
  <c r="S6858" i="1"/>
  <c r="T6858" i="1" s="1"/>
  <c r="S6325" i="1"/>
  <c r="S6324" i="1" s="1"/>
  <c r="T6324" i="1" s="1"/>
  <c r="S441" i="1"/>
  <c r="S440" i="1" s="1"/>
  <c r="Y38" i="7"/>
  <c r="Y24" i="7"/>
  <c r="Y25" i="7"/>
  <c r="Y34" i="7"/>
  <c r="Y35" i="7" s="1"/>
  <c r="X36" i="7"/>
  <c r="X37" i="7"/>
  <c r="Y32" i="7"/>
  <c r="X20" i="7"/>
  <c r="X21" i="7"/>
  <c r="Y16" i="7"/>
  <c r="Y17" i="7" s="1"/>
  <c r="Y33" i="7"/>
  <c r="Y13" i="7"/>
  <c r="Y14" i="7"/>
  <c r="AA11" i="7"/>
  <c r="Z12" i="7"/>
  <c r="AA5" i="7"/>
  <c r="Z6" i="7"/>
  <c r="Z40" i="7"/>
  <c r="Z7" i="7"/>
  <c r="Z8" i="7"/>
  <c r="Z9" i="7" s="1"/>
  <c r="Y19" i="7"/>
  <c r="AH4" i="7"/>
  <c r="AI3" i="7"/>
  <c r="AB27" i="7"/>
  <c r="AA28" i="7"/>
  <c r="AA29" i="7" s="1"/>
  <c r="Y30" i="7"/>
  <c r="Y41" i="7"/>
  <c r="Y42" i="7" s="1"/>
  <c r="S245" i="1"/>
  <c r="S244" i="1" s="1"/>
  <c r="S243" i="1" s="1"/>
  <c r="S242" i="1" s="1"/>
  <c r="S109" i="1"/>
  <c r="S108" i="1" s="1"/>
  <c r="R174" i="1"/>
  <c r="S6334" i="1"/>
  <c r="T6334" i="1" s="1"/>
  <c r="O246" i="1"/>
  <c r="S101" i="1"/>
  <c r="S100" i="1" s="1"/>
  <c r="S2531" i="1"/>
  <c r="T2531" i="1" s="1"/>
  <c r="R2531" i="1"/>
  <c r="O2532" i="1"/>
  <c r="R441" i="1"/>
  <c r="S43" i="1"/>
  <c r="S42" i="1" s="1"/>
  <c r="T6701" i="1"/>
  <c r="R43" i="1"/>
  <c r="S724" i="1"/>
  <c r="S723" i="1" s="1"/>
  <c r="S590" i="1"/>
  <c r="R687" i="1"/>
  <c r="R407" i="1"/>
  <c r="R380" i="1"/>
  <c r="S710" i="1"/>
  <c r="S709" i="1" s="1"/>
  <c r="R206" i="1"/>
  <c r="R639" i="1"/>
  <c r="O731" i="1"/>
  <c r="S731" i="1" s="1"/>
  <c r="S730" i="1"/>
  <c r="S729" i="1" s="1"/>
  <c r="S1706" i="1"/>
  <c r="T1706" i="1" s="1"/>
  <c r="R196" i="1"/>
  <c r="S834" i="1"/>
  <c r="T834" i="1" s="1"/>
  <c r="R834" i="1"/>
  <c r="S726" i="1"/>
  <c r="S725" i="1" s="1"/>
  <c r="S409" i="1"/>
  <c r="S408" i="1" s="1"/>
  <c r="S6674" i="1"/>
  <c r="S6673" i="1" s="1"/>
  <c r="T6397" i="1"/>
  <c r="T1377" i="1"/>
  <c r="S1376" i="1"/>
  <c r="R6824" i="1"/>
  <c r="T1701" i="1"/>
  <c r="S1700" i="1"/>
  <c r="S6404" i="1"/>
  <c r="S6403" i="1" s="1"/>
  <c r="T1694" i="1"/>
  <c r="S1693" i="1"/>
  <c r="R6548" i="1"/>
  <c r="S6670" i="1"/>
  <c r="T6670" i="1" s="1"/>
  <c r="S6394" i="1"/>
  <c r="T6394" i="1" s="1"/>
  <c r="R1891" i="1"/>
  <c r="S1891" i="1"/>
  <c r="T1891" i="1" s="1"/>
  <c r="O1892" i="1"/>
  <c r="T6399" i="1"/>
  <c r="T6391" i="1"/>
  <c r="R1710" i="1"/>
  <c r="S1710" i="1"/>
  <c r="T1710" i="1" s="1"/>
  <c r="T1002" i="1"/>
  <c r="S1001" i="1"/>
  <c r="T1001" i="1" s="1"/>
  <c r="O836" i="1"/>
  <c r="O837" i="1" s="1"/>
  <c r="O838" i="1" s="1"/>
  <c r="R835" i="1"/>
  <c r="R1950" i="1"/>
  <c r="S1950" i="1"/>
  <c r="T1950" i="1" s="1"/>
  <c r="R1406" i="1"/>
  <c r="O1407" i="1"/>
  <c r="S1406" i="1"/>
  <c r="S1962" i="1"/>
  <c r="T1962" i="1" s="1"/>
  <c r="R1962" i="1"/>
  <c r="O1963" i="1"/>
  <c r="S1702" i="1"/>
  <c r="T1702" i="1" s="1"/>
  <c r="O1703" i="1"/>
  <c r="R1702" i="1"/>
  <c r="S990" i="1"/>
  <c r="T990" i="1" s="1"/>
  <c r="R990" i="1"/>
  <c r="R894" i="1"/>
  <c r="S894" i="1"/>
  <c r="T894" i="1" s="1"/>
  <c r="O879" i="1"/>
  <c r="R878" i="1"/>
  <c r="S878" i="1"/>
  <c r="T878" i="1" s="1"/>
  <c r="T937" i="1"/>
  <c r="S936" i="1"/>
  <c r="T936" i="1" s="1"/>
  <c r="O1664" i="1"/>
  <c r="R1177" i="1"/>
  <c r="S1177" i="1"/>
  <c r="T1177" i="1" s="1"/>
  <c r="R1697" i="1"/>
  <c r="S1697" i="1"/>
  <c r="T1697" i="1" s="1"/>
  <c r="R1290" i="1"/>
  <c r="S1290" i="1"/>
  <c r="T1290" i="1" s="1"/>
  <c r="S1709" i="1"/>
  <c r="T1709" i="1" s="1"/>
  <c r="R1709" i="1"/>
  <c r="T1174" i="1"/>
  <c r="S1173" i="1"/>
  <c r="T1173" i="1" s="1"/>
  <c r="R1300" i="1"/>
  <c r="S1300" i="1"/>
  <c r="T1300" i="1" s="1"/>
  <c r="S960" i="1"/>
  <c r="R960" i="1"/>
  <c r="R1189" i="1"/>
  <c r="S1189" i="1"/>
  <c r="T1189" i="1" s="1"/>
  <c r="R1004" i="1"/>
  <c r="O1005" i="1"/>
  <c r="S1875" i="1"/>
  <c r="T1875" i="1" s="1"/>
  <c r="R1875" i="1"/>
  <c r="O1876" i="1"/>
  <c r="R877" i="1"/>
  <c r="O1088" i="1"/>
  <c r="O1089" i="1" s="1"/>
  <c r="O1040" i="1"/>
  <c r="O1041" i="1" s="1"/>
  <c r="O896" i="1"/>
  <c r="R895" i="1"/>
  <c r="S895" i="1"/>
  <c r="T895" i="1" s="1"/>
  <c r="T6359" i="1"/>
  <c r="O1270" i="1"/>
  <c r="O1271" i="1" s="1"/>
  <c r="O1239" i="1"/>
  <c r="R1238" i="1"/>
  <c r="S1238" i="1"/>
  <c r="T1238" i="1" s="1"/>
  <c r="T6703" i="1"/>
  <c r="R1003" i="1"/>
  <c r="S1003" i="1"/>
  <c r="T1003" i="1" s="1"/>
  <c r="R833" i="1"/>
  <c r="S975" i="1"/>
  <c r="T975" i="1" s="1"/>
  <c r="O976" i="1"/>
  <c r="O977" i="1" s="1"/>
  <c r="R975" i="1"/>
  <c r="O1051" i="1"/>
  <c r="O1052" i="1" s="1"/>
  <c r="S1708" i="1"/>
  <c r="T1708" i="1" s="1"/>
  <c r="R1708" i="1"/>
  <c r="O1698" i="1"/>
  <c r="R1696" i="1"/>
  <c r="S1696" i="1"/>
  <c r="T1696" i="1" s="1"/>
  <c r="S6547" i="1"/>
  <c r="T6547" i="1" s="1"/>
  <c r="T6415" i="1"/>
  <c r="S6346" i="1"/>
  <c r="T6346" i="1" s="1"/>
  <c r="T6515" i="1"/>
  <c r="T6487" i="1"/>
  <c r="S6912" i="1"/>
  <c r="T6912" i="1" s="1"/>
  <c r="T6329" i="1"/>
  <c r="S6909" i="1"/>
  <c r="T6909" i="1" s="1"/>
  <c r="O1434" i="1"/>
  <c r="O1435" i="1" s="1"/>
  <c r="O1436" i="1" s="1"/>
  <c r="O1437" i="1" s="1"/>
  <c r="R1640" i="1"/>
  <c r="S6498" i="1"/>
  <c r="T6498" i="1" s="1"/>
  <c r="S6871" i="1"/>
  <c r="T6871" i="1" s="1"/>
  <c r="T6683" i="1"/>
  <c r="O1457" i="1"/>
  <c r="O1458" i="1" s="1"/>
  <c r="O1459" i="1" s="1"/>
  <c r="O1521" i="1"/>
  <c r="T6398" i="1"/>
  <c r="S1663" i="1"/>
  <c r="T1663" i="1" s="1"/>
  <c r="R1663" i="1"/>
  <c r="R633" i="1"/>
  <c r="S5" i="1"/>
  <c r="S4" i="1" s="1"/>
  <c r="S150" i="1"/>
  <c r="R237" i="1"/>
  <c r="T6429" i="1"/>
  <c r="O151" i="1"/>
  <c r="S151" i="1" s="1"/>
  <c r="T6345" i="1"/>
  <c r="S712" i="1"/>
  <c r="S711" i="1" s="1"/>
  <c r="S6532" i="1"/>
  <c r="R141" i="1"/>
  <c r="S198" i="1"/>
  <c r="S197" i="1" s="1"/>
  <c r="T6385" i="1"/>
  <c r="T6917" i="1"/>
  <c r="T6709" i="1"/>
  <c r="R334" i="1"/>
  <c r="T6846" i="1"/>
  <c r="T6628" i="1"/>
  <c r="T6409" i="1"/>
  <c r="S6596" i="1"/>
  <c r="T6596" i="1" s="1"/>
  <c r="T6423" i="1"/>
  <c r="S6338" i="1"/>
  <c r="T6338" i="1" s="1"/>
  <c r="S6717" i="1"/>
  <c r="T6717" i="1" s="1"/>
  <c r="S6386" i="1"/>
  <c r="T6386" i="1" s="1"/>
  <c r="S91" i="1"/>
  <c r="S90" i="1" s="1"/>
  <c r="R681" i="1"/>
  <c r="T6425" i="1"/>
  <c r="S6692" i="1"/>
  <c r="T6692" i="1" s="1"/>
  <c r="R683" i="1"/>
  <c r="O285" i="1"/>
  <c r="S284" i="1"/>
  <c r="S283" i="1" s="1"/>
  <c r="R284" i="1"/>
  <c r="R228" i="1"/>
  <c r="S228" i="1"/>
  <c r="S227" i="1" s="1"/>
  <c r="S6452" i="1"/>
  <c r="S6451" i="1" s="1"/>
  <c r="R669" i="1"/>
  <c r="R671" i="1"/>
  <c r="T6854" i="1"/>
  <c r="R607" i="1"/>
  <c r="R623" i="1"/>
  <c r="S6412" i="1"/>
  <c r="T6412" i="1" s="1"/>
  <c r="R6476" i="1"/>
  <c r="S6744" i="1"/>
  <c r="S6743" i="1" s="1"/>
  <c r="T6743" i="1" s="1"/>
  <c r="R6744" i="1"/>
  <c r="R7" i="1"/>
  <c r="O8" i="1"/>
  <c r="S349" i="1"/>
  <c r="R349" i="1"/>
  <c r="R6348" i="1"/>
  <c r="O6349" i="1"/>
  <c r="R230" i="1"/>
  <c r="S230" i="1"/>
  <c r="S229" i="1" s="1"/>
  <c r="R6340" i="1"/>
  <c r="O6341" i="1"/>
  <c r="R326" i="1"/>
  <c r="S326" i="1"/>
  <c r="S325" i="1" s="1"/>
  <c r="R6332" i="1"/>
  <c r="O6333" i="1"/>
  <c r="S239" i="1"/>
  <c r="S238" i="1" s="1"/>
  <c r="R239" i="1"/>
  <c r="R33" i="1"/>
  <c r="S33" i="1"/>
  <c r="S32" i="1" s="1"/>
  <c r="S31" i="1" s="1"/>
  <c r="S30" i="1" s="1"/>
  <c r="O34" i="1"/>
  <c r="S343" i="1"/>
  <c r="R343" i="1"/>
  <c r="O344" i="1"/>
  <c r="R214" i="1"/>
  <c r="S214" i="1"/>
  <c r="S213" i="1" s="1"/>
  <c r="S212" i="1" s="1"/>
  <c r="S211" i="1" s="1"/>
  <c r="O215" i="1"/>
  <c r="S392" i="1"/>
  <c r="S391" i="1" s="1"/>
  <c r="R392" i="1"/>
  <c r="R420" i="1"/>
  <c r="S420" i="1"/>
  <c r="S419" i="1" s="1"/>
  <c r="O400" i="1"/>
  <c r="R154" i="1"/>
  <c r="S154" i="1"/>
  <c r="S153" i="1" s="1"/>
  <c r="O145" i="1"/>
  <c r="R736" i="1"/>
  <c r="S736" i="1"/>
  <c r="S735" i="1" s="1"/>
  <c r="O737" i="1"/>
  <c r="S6352" i="1"/>
  <c r="T6352" i="1" s="1"/>
  <c r="R6662" i="1"/>
  <c r="O6663" i="1"/>
  <c r="S6662" i="1"/>
  <c r="S6661" i="1" s="1"/>
  <c r="R6446" i="1"/>
  <c r="S6446" i="1"/>
  <c r="S6445" i="1" s="1"/>
  <c r="R41" i="1"/>
  <c r="S41" i="1"/>
  <c r="O130" i="1"/>
  <c r="S137" i="1"/>
  <c r="S136" i="1" s="1"/>
  <c r="O138" i="1"/>
  <c r="R137" i="1"/>
  <c r="R218" i="1"/>
  <c r="R217" i="1" s="1"/>
  <c r="R216" i="1" s="1"/>
  <c r="O219" i="1"/>
  <c r="O307" i="1"/>
  <c r="R234" i="1"/>
  <c r="S234" i="1"/>
  <c r="S233" i="1" s="1"/>
  <c r="O235" i="1"/>
  <c r="S330" i="1"/>
  <c r="S329" i="1" s="1"/>
  <c r="R330" i="1"/>
  <c r="S369" i="1"/>
  <c r="O370" i="1"/>
  <c r="R369" i="1"/>
  <c r="O482" i="1"/>
  <c r="O363" i="1"/>
  <c r="R362" i="1"/>
  <c r="S362" i="1"/>
  <c r="S361" i="1" s="1"/>
  <c r="S360" i="1" s="1"/>
  <c r="S359" i="1" s="1"/>
  <c r="R586" i="1"/>
  <c r="S586" i="1"/>
  <c r="S585" i="1" s="1"/>
  <c r="O587" i="1"/>
  <c r="R559" i="1"/>
  <c r="S559" i="1"/>
  <c r="S558" i="1" s="1"/>
  <c r="O560" i="1"/>
  <c r="R759" i="1"/>
  <c r="S759" i="1"/>
  <c r="S758" i="1" s="1"/>
  <c r="O760" i="1"/>
  <c r="R789" i="1"/>
  <c r="R788" i="1" s="1"/>
  <c r="R787" i="1" s="1"/>
  <c r="O790" i="1"/>
  <c r="S764" i="1"/>
  <c r="S763" i="1" s="1"/>
  <c r="R764" i="1"/>
  <c r="O765" i="1"/>
  <c r="R528" i="1"/>
  <c r="S528" i="1"/>
  <c r="S527" i="1" s="1"/>
  <c r="S526" i="1" s="1"/>
  <c r="O529" i="1"/>
  <c r="O756" i="1"/>
  <c r="R6534" i="1"/>
  <c r="S6534" i="1"/>
  <c r="S6533" i="1" s="1"/>
  <c r="T6533" i="1" s="1"/>
  <c r="T6866" i="1"/>
  <c r="S6865" i="1"/>
  <c r="T6865" i="1" s="1"/>
  <c r="R6812" i="1"/>
  <c r="S6812" i="1"/>
  <c r="S6811" i="1" s="1"/>
  <c r="T6811" i="1" s="1"/>
  <c r="R6606" i="1"/>
  <c r="S6606" i="1"/>
  <c r="S6605" i="1" s="1"/>
  <c r="R6818" i="1"/>
  <c r="S6818" i="1"/>
  <c r="R6566" i="1"/>
  <c r="S6566" i="1"/>
  <c r="S6565" i="1" s="1"/>
  <c r="T6565" i="1" s="1"/>
  <c r="T6842" i="1"/>
  <c r="O23" i="1"/>
  <c r="R49" i="1"/>
  <c r="S49" i="1"/>
  <c r="R97" i="1"/>
  <c r="S97" i="1"/>
  <c r="S96" i="1" s="1"/>
  <c r="R105" i="1"/>
  <c r="S105" i="1"/>
  <c r="S104" i="1" s="1"/>
  <c r="R182" i="1"/>
  <c r="S182" i="1"/>
  <c r="S181" i="1" s="1"/>
  <c r="S180" i="1" s="1"/>
  <c r="O183" i="1"/>
  <c r="R448" i="1"/>
  <c r="R447" i="1" s="1"/>
  <c r="O449" i="1"/>
  <c r="R52" i="1"/>
  <c r="S52" i="1"/>
  <c r="R280" i="1"/>
  <c r="R279" i="1" s="1"/>
  <c r="R278" i="1" s="1"/>
  <c r="O281" i="1"/>
  <c r="S241" i="1"/>
  <c r="S240" i="1" s="1"/>
  <c r="R241" i="1"/>
  <c r="S422" i="1"/>
  <c r="S421" i="1" s="1"/>
  <c r="R422" i="1"/>
  <c r="O432" i="1"/>
  <c r="O498" i="1"/>
  <c r="R497" i="1"/>
  <c r="R496" i="1" s="1"/>
  <c r="R798" i="1"/>
  <c r="R797" i="1" s="1"/>
  <c r="R796" i="1" s="1"/>
  <c r="O799" i="1"/>
  <c r="R520" i="1"/>
  <c r="S520" i="1"/>
  <c r="S657" i="1"/>
  <c r="S656" i="1" s="1"/>
  <c r="R657" i="1"/>
  <c r="R6320" i="1"/>
  <c r="S6320" i="1"/>
  <c r="S6319" i="1" s="1"/>
  <c r="O6321" i="1"/>
  <c r="R6360" i="1"/>
  <c r="S6360" i="1"/>
  <c r="T6360" i="1" s="1"/>
  <c r="R6504" i="1"/>
  <c r="S6504" i="1"/>
  <c r="S6503" i="1" s="1"/>
  <c r="T6503" i="1" s="1"/>
  <c r="R6544" i="1"/>
  <c r="S6544" i="1"/>
  <c r="R6902" i="1"/>
  <c r="S6902" i="1"/>
  <c r="S6901" i="1" s="1"/>
  <c r="T6901" i="1" s="1"/>
  <c r="R6542" i="1"/>
  <c r="S6542" i="1"/>
  <c r="S6541" i="1" s="1"/>
  <c r="T6541" i="1" s="1"/>
  <c r="R6748" i="1"/>
  <c r="S6748" i="1"/>
  <c r="S6747" i="1" s="1"/>
  <c r="T6747" i="1" s="1"/>
  <c r="R296" i="1"/>
  <c r="R295" i="1" s="1"/>
  <c r="R294" i="1" s="1"/>
  <c r="O297" i="1"/>
  <c r="R6400" i="1"/>
  <c r="S6400" i="1"/>
  <c r="T6400" i="1" s="1"/>
  <c r="R6472" i="1"/>
  <c r="S6472" i="1"/>
  <c r="S6471" i="1" s="1"/>
  <c r="T6471" i="1" s="1"/>
  <c r="R6632" i="1"/>
  <c r="S6632" i="1"/>
  <c r="S6631" i="1" s="1"/>
  <c r="T6631" i="1" s="1"/>
  <c r="R6844" i="1"/>
  <c r="S6844" i="1"/>
  <c r="S6843" i="1" s="1"/>
  <c r="T6843" i="1" s="1"/>
  <c r="R6318" i="1"/>
  <c r="R6317" i="1" s="1"/>
  <c r="R6316" i="1" s="1"/>
  <c r="R6315" i="1" s="1"/>
  <c r="R6314" i="1" s="1"/>
  <c r="S6318" i="1"/>
  <c r="S6317" i="1" s="1"/>
  <c r="S6316" i="1" s="1"/>
  <c r="S6315" i="1" s="1"/>
  <c r="S6314" i="1" s="1"/>
  <c r="S6729" i="1"/>
  <c r="T6729" i="1" s="1"/>
  <c r="R583" i="1"/>
  <c r="O584" i="1"/>
  <c r="S583" i="1"/>
  <c r="S582" i="1" s="1"/>
  <c r="S679" i="1"/>
  <c r="S678" i="1" s="1"/>
  <c r="R679" i="1"/>
  <c r="O45" i="1"/>
  <c r="O192" i="1"/>
  <c r="R95" i="1"/>
  <c r="S95" i="1"/>
  <c r="S94" i="1" s="1"/>
  <c r="R350" i="1"/>
  <c r="S350" i="1"/>
  <c r="R77" i="1"/>
  <c r="R76" i="1" s="1"/>
  <c r="R75" i="1" s="1"/>
  <c r="O78" i="1"/>
  <c r="R209" i="1"/>
  <c r="R208" i="1" s="1"/>
  <c r="R207" i="1" s="1"/>
  <c r="O210" i="1"/>
  <c r="O258" i="1"/>
  <c r="S373" i="1"/>
  <c r="S372" i="1" s="1"/>
  <c r="R373" i="1"/>
  <c r="O374" i="1"/>
  <c r="R232" i="1"/>
  <c r="S232" i="1"/>
  <c r="S231" i="1" s="1"/>
  <c r="O315" i="1"/>
  <c r="S289" i="1"/>
  <c r="S288" i="1" s="1"/>
  <c r="R289" i="1"/>
  <c r="O290" i="1"/>
  <c r="S255" i="1"/>
  <c r="S254" i="1" s="1"/>
  <c r="R255" i="1"/>
  <c r="R250" i="1"/>
  <c r="R249" i="1" s="1"/>
  <c r="R248" i="1" s="1"/>
  <c r="O251" i="1"/>
  <c r="R444" i="1"/>
  <c r="R443" i="1" s="1"/>
  <c r="O445" i="1"/>
  <c r="R575" i="1"/>
  <c r="S575" i="1"/>
  <c r="S574" i="1" s="1"/>
  <c r="O576" i="1"/>
  <c r="R504" i="1"/>
  <c r="R503" i="1" s="1"/>
  <c r="O505" i="1"/>
  <c r="S661" i="1"/>
  <c r="S660" i="1" s="1"/>
  <c r="R661" i="1"/>
  <c r="R536" i="1"/>
  <c r="S536" i="1"/>
  <c r="S535" i="1" s="1"/>
  <c r="S534" i="1" s="1"/>
  <c r="O537" i="1"/>
  <c r="O706" i="1"/>
  <c r="R705" i="1"/>
  <c r="S705" i="1"/>
  <c r="R563" i="1"/>
  <c r="S563" i="1"/>
  <c r="S651" i="1"/>
  <c r="S650" i="1" s="1"/>
  <c r="R651" i="1"/>
  <c r="S794" i="1"/>
  <c r="S793" i="1" s="1"/>
  <c r="R794" i="1"/>
  <c r="O795" i="1"/>
  <c r="O770" i="1"/>
  <c r="S619" i="1"/>
  <c r="S618" i="1" s="1"/>
  <c r="R619" i="1"/>
  <c r="R6336" i="1"/>
  <c r="S6336" i="1"/>
  <c r="T6336" i="1" s="1"/>
  <c r="O6337" i="1"/>
  <c r="R6638" i="1"/>
  <c r="S6638" i="1"/>
  <c r="S6637" i="1" s="1"/>
  <c r="O6639" i="1"/>
  <c r="R6722" i="1"/>
  <c r="S6722" i="1"/>
  <c r="S6721" i="1" s="1"/>
  <c r="R6406" i="1"/>
  <c r="S6406" i="1"/>
  <c r="S6405" i="1" s="1"/>
  <c r="T6405" i="1" s="1"/>
  <c r="R6739" i="1"/>
  <c r="S6739" i="1"/>
  <c r="S6738" i="1" s="1"/>
  <c r="R188" i="1"/>
  <c r="S188" i="1"/>
  <c r="S187" i="1" s="1"/>
  <c r="O189" i="1"/>
  <c r="S438" i="1"/>
  <c r="S437" i="1" s="1"/>
  <c r="R438" i="1"/>
  <c r="O439" i="1"/>
  <c r="S645" i="1"/>
  <c r="S644" i="1" s="1"/>
  <c r="R645" i="1"/>
  <c r="R38" i="1"/>
  <c r="S38" i="1"/>
  <c r="S37" i="1" s="1"/>
  <c r="R204" i="1"/>
  <c r="S204" i="1"/>
  <c r="S203" i="1" s="1"/>
  <c r="R111" i="1"/>
  <c r="S111" i="1"/>
  <c r="S110" i="1" s="1"/>
  <c r="R200" i="1"/>
  <c r="S200" i="1"/>
  <c r="S199" i="1" s="1"/>
  <c r="S287" i="1"/>
  <c r="S286" i="1" s="1"/>
  <c r="R287" i="1"/>
  <c r="R166" i="1"/>
  <c r="R165" i="1" s="1"/>
  <c r="R164" i="1" s="1"/>
  <c r="O167" i="1"/>
  <c r="R246" i="1"/>
  <c r="S246" i="1"/>
  <c r="O247" i="1"/>
  <c r="R454" i="1"/>
  <c r="R453" i="1" s="1"/>
  <c r="O455" i="1"/>
  <c r="O425" i="1"/>
  <c r="R540" i="1"/>
  <c r="S540" i="1"/>
  <c r="R514" i="1"/>
  <c r="S514" i="1"/>
  <c r="S513" i="1" s="1"/>
  <c r="S512" i="1" s="1"/>
  <c r="O515" i="1"/>
  <c r="S615" i="1"/>
  <c r="S614" i="1" s="1"/>
  <c r="R615" i="1"/>
  <c r="S677" i="1"/>
  <c r="S676" i="1" s="1"/>
  <c r="R677" i="1"/>
  <c r="S631" i="1"/>
  <c r="S630" i="1" s="1"/>
  <c r="R631" i="1"/>
  <c r="R551" i="1"/>
  <c r="R550" i="1" s="1"/>
  <c r="R549" i="1" s="1"/>
  <c r="S551" i="1"/>
  <c r="S550" i="1" s="1"/>
  <c r="S549" i="1" s="1"/>
  <c r="S548" i="1" s="1"/>
  <c r="O693" i="1"/>
  <c r="R6560" i="1"/>
  <c r="S6560" i="1"/>
  <c r="S6559" i="1" s="1"/>
  <c r="T6559" i="1" s="1"/>
  <c r="R6550" i="1"/>
  <c r="S6550" i="1"/>
  <c r="S6549" i="1" s="1"/>
  <c r="T6549" i="1" s="1"/>
  <c r="R6644" i="1"/>
  <c r="S6644" i="1"/>
  <c r="S6643" i="1" s="1"/>
  <c r="T6643" i="1" s="1"/>
  <c r="R6366" i="1"/>
  <c r="S6366" i="1"/>
  <c r="S6365" i="1" s="1"/>
  <c r="T6365" i="1" s="1"/>
  <c r="R6382" i="1"/>
  <c r="S6382" i="1"/>
  <c r="S6381" i="1" s="1"/>
  <c r="T6381" i="1" s="1"/>
  <c r="R6614" i="1"/>
  <c r="S6614" i="1"/>
  <c r="S6613" i="1" s="1"/>
  <c r="S6629" i="1"/>
  <c r="T6629" i="1" s="1"/>
  <c r="R6629" i="1"/>
  <c r="S635" i="1"/>
  <c r="S634" i="1" s="1"/>
  <c r="R635" i="1"/>
  <c r="R57" i="1"/>
  <c r="R56" i="1" s="1"/>
  <c r="R55" i="1" s="1"/>
  <c r="O58" i="1"/>
  <c r="R103" i="1"/>
  <c r="S103" i="1"/>
  <c r="S102" i="1" s="1"/>
  <c r="O413" i="1"/>
  <c r="S613" i="1"/>
  <c r="S612" i="1" s="1"/>
  <c r="R613" i="1"/>
  <c r="O555" i="1"/>
  <c r="R54" i="1"/>
  <c r="S54" i="1"/>
  <c r="S53" i="1" s="1"/>
  <c r="R84" i="1"/>
  <c r="R83" i="1" s="1"/>
  <c r="R82" i="1" s="1"/>
  <c r="O85" i="1"/>
  <c r="R202" i="1"/>
  <c r="S202" i="1"/>
  <c r="S201" i="1" s="1"/>
  <c r="O158" i="1"/>
  <c r="R157" i="1"/>
  <c r="R156" i="1" s="1"/>
  <c r="R155" i="1" s="1"/>
  <c r="R336" i="1"/>
  <c r="S336" i="1"/>
  <c r="S335" i="1" s="1"/>
  <c r="O337" i="1"/>
  <c r="R522" i="1"/>
  <c r="R521" i="1" s="1"/>
  <c r="O523" i="1"/>
  <c r="O510" i="1"/>
  <c r="R509" i="1"/>
  <c r="R508" i="1" s="1"/>
  <c r="R595" i="1"/>
  <c r="S595" i="1"/>
  <c r="S594" i="1" s="1"/>
  <c r="O596" i="1"/>
  <c r="R468" i="1"/>
  <c r="S468" i="1"/>
  <c r="O546" i="1"/>
  <c r="S750" i="1"/>
  <c r="S749" i="1" s="1"/>
  <c r="R750" i="1"/>
  <c r="O751" i="1"/>
  <c r="S663" i="1"/>
  <c r="S662" i="1" s="1"/>
  <c r="R663" i="1"/>
  <c r="R720" i="1"/>
  <c r="S720" i="1"/>
  <c r="S719" i="1" s="1"/>
  <c r="S667" i="1"/>
  <c r="S666" i="1" s="1"/>
  <c r="R667" i="1"/>
  <c r="S493" i="1"/>
  <c r="S492" i="1" s="1"/>
  <c r="S491" i="1" s="1"/>
  <c r="O494" i="1"/>
  <c r="R493" i="1"/>
  <c r="S689" i="1"/>
  <c r="S688" i="1" s="1"/>
  <c r="R689" i="1"/>
  <c r="R714" i="1"/>
  <c r="S714" i="1"/>
  <c r="S713" i="1" s="1"/>
  <c r="O747" i="1"/>
  <c r="R6608" i="1"/>
  <c r="S6608" i="1"/>
  <c r="S6607" i="1" s="1"/>
  <c r="T6607" i="1" s="1"/>
  <c r="O6609" i="1"/>
  <c r="S6469" i="1"/>
  <c r="S6468" i="1" s="1"/>
  <c r="R6469" i="1"/>
  <c r="R6660" i="1"/>
  <c r="S6660" i="1"/>
  <c r="R6862" i="1"/>
  <c r="S6862" i="1"/>
  <c r="O6647" i="1"/>
  <c r="R6526" i="1"/>
  <c r="S6526" i="1"/>
  <c r="S6525" i="1" s="1"/>
  <c r="T6525" i="1" s="1"/>
  <c r="S6735" i="1"/>
  <c r="R6735" i="1"/>
  <c r="R6835" i="1"/>
  <c r="S6835" i="1"/>
  <c r="S6834" i="1" s="1"/>
  <c r="R6510" i="1"/>
  <c r="S6510" i="1"/>
  <c r="S6509" i="1" s="1"/>
  <c r="T6509" i="1" s="1"/>
  <c r="O6891" i="1"/>
  <c r="R6502" i="1"/>
  <c r="S6502" i="1"/>
  <c r="S6501" i="1" s="1"/>
  <c r="T6501" i="1" s="1"/>
  <c r="S226" i="1"/>
  <c r="S225" i="1" s="1"/>
  <c r="R226" i="1"/>
  <c r="O474" i="1"/>
  <c r="R568" i="1"/>
  <c r="S568" i="1"/>
  <c r="R460" i="1"/>
  <c r="S460" i="1"/>
  <c r="R805" i="1"/>
  <c r="S805" i="1"/>
  <c r="S804" i="1" s="1"/>
  <c r="R14" i="1"/>
  <c r="S14" i="1"/>
  <c r="S13" i="1" s="1"/>
  <c r="O63" i="1"/>
  <c r="S178" i="1"/>
  <c r="S177" i="1" s="1"/>
  <c r="O179" i="1"/>
  <c r="R178" i="1"/>
  <c r="R264" i="1"/>
  <c r="R263" i="1" s="1"/>
  <c r="R262" i="1" s="1"/>
  <c r="O265" i="1"/>
  <c r="S405" i="1"/>
  <c r="S404" i="1" s="1"/>
  <c r="R405" i="1"/>
  <c r="O114" i="1"/>
  <c r="O272" i="1"/>
  <c r="S382" i="1"/>
  <c r="S381" i="1" s="1"/>
  <c r="O383" i="1"/>
  <c r="R382" i="1"/>
  <c r="S353" i="1"/>
  <c r="O354" i="1"/>
  <c r="R353" i="1"/>
  <c r="S533" i="1"/>
  <c r="S532" i="1" s="1"/>
  <c r="S531" i="1" s="1"/>
  <c r="R533" i="1"/>
  <c r="R484" i="1"/>
  <c r="R483" i="1" s="1"/>
  <c r="O485" i="1"/>
  <c r="S489" i="1"/>
  <c r="S488" i="1" s="1"/>
  <c r="S487" i="1" s="1"/>
  <c r="O490" i="1"/>
  <c r="R489" i="1"/>
  <c r="S629" i="1"/>
  <c r="S628" i="1" s="1"/>
  <c r="R629" i="1"/>
  <c r="R733" i="1"/>
  <c r="S733" i="1"/>
  <c r="S732" i="1" s="1"/>
  <c r="O734" i="1"/>
  <c r="R728" i="1"/>
  <c r="S728" i="1"/>
  <c r="S727" i="1" s="1"/>
  <c r="S647" i="1"/>
  <c r="S646" i="1" s="1"/>
  <c r="R647" i="1"/>
  <c r="S603" i="1"/>
  <c r="R603" i="1"/>
  <c r="R6456" i="1"/>
  <c r="S6456" i="1"/>
  <c r="S6455" i="1" s="1"/>
  <c r="R6754" i="1"/>
  <c r="S6754" i="1"/>
  <c r="R6478" i="1"/>
  <c r="S6478" i="1"/>
  <c r="S6477" i="1" s="1"/>
  <c r="T6477" i="1" s="1"/>
  <c r="R6558" i="1"/>
  <c r="S6558" i="1"/>
  <c r="S6557" i="1" s="1"/>
  <c r="T6557" i="1" s="1"/>
  <c r="S6584" i="1"/>
  <c r="T6584" i="1" s="1"/>
  <c r="R6915" i="1"/>
  <c r="S6915" i="1"/>
  <c r="S6914" i="1" s="1"/>
  <c r="T6914" i="1" s="1"/>
  <c r="O6907" i="1"/>
  <c r="R6898" i="1"/>
  <c r="S6898" i="1"/>
  <c r="T6396" i="1"/>
  <c r="T6841" i="1"/>
  <c r="T6845" i="1"/>
  <c r="T6358" i="1"/>
  <c r="T6514" i="1"/>
  <c r="T6856" i="1"/>
  <c r="T6855" i="1"/>
  <c r="T6327" i="1"/>
  <c r="T6422" i="1"/>
  <c r="T6636" i="1"/>
  <c r="T6635" i="1"/>
  <c r="T6800" i="1"/>
  <c r="T6799" i="1"/>
  <c r="T6593" i="1"/>
  <c r="T6592" i="1"/>
  <c r="T6546" i="1"/>
  <c r="T6545" i="1"/>
  <c r="T6344" i="1"/>
  <c r="T6473" i="1"/>
  <c r="T6474" i="1"/>
  <c r="T6505" i="1"/>
  <c r="T6506" i="1"/>
  <c r="T6562" i="1"/>
  <c r="T6561" i="1"/>
  <c r="T6467" i="1"/>
  <c r="T6466" i="1"/>
  <c r="T6492" i="1"/>
  <c r="T6491" i="1"/>
  <c r="T6668" i="1"/>
  <c r="T6667" i="1"/>
  <c r="T6853" i="1"/>
  <c r="T6728" i="1"/>
  <c r="T6727" i="1"/>
  <c r="T6570" i="1"/>
  <c r="T6569" i="1"/>
  <c r="T6390" i="1"/>
  <c r="T6370" i="1"/>
  <c r="T6369" i="1"/>
  <c r="T6476" i="1"/>
  <c r="T6475" i="1"/>
  <c r="T6493" i="1"/>
  <c r="T6326" i="1"/>
  <c r="T6328" i="1"/>
  <c r="T6402" i="1"/>
  <c r="T6401" i="1"/>
  <c r="T6577" i="1"/>
  <c r="T6578" i="1"/>
  <c r="T6708" i="1"/>
  <c r="T6521" i="1"/>
  <c r="T6522" i="1"/>
  <c r="T6414" i="1"/>
  <c r="T6348" i="1"/>
  <c r="T6340" i="1"/>
  <c r="T6682" i="1"/>
  <c r="T6720" i="1"/>
  <c r="T6719" i="1"/>
  <c r="T6791" i="1"/>
  <c r="T6790" i="1"/>
  <c r="T6823" i="1"/>
  <c r="T6824" i="1"/>
  <c r="T6916" i="1"/>
  <c r="S6963" i="1" l="1"/>
  <c r="T6963" i="1" s="1"/>
  <c r="R6963" i="1"/>
  <c r="O6964" i="1"/>
  <c r="R2873" i="1"/>
  <c r="S2873" i="1"/>
  <c r="T2873" i="1" s="1"/>
  <c r="O2874" i="1"/>
  <c r="X22" i="1"/>
  <c r="Y22" i="1" s="1"/>
  <c r="AA22" i="1"/>
  <c r="Z22" i="1" s="1"/>
  <c r="W24" i="1"/>
  <c r="S6857" i="1"/>
  <c r="T6857" i="1" s="1"/>
  <c r="T6325" i="1"/>
  <c r="T960" i="1"/>
  <c r="S959" i="1"/>
  <c r="T959" i="1" s="1"/>
  <c r="Z38" i="7"/>
  <c r="Z25" i="7"/>
  <c r="Z24" i="7"/>
  <c r="Y37" i="7"/>
  <c r="Z34" i="7"/>
  <c r="Z35" i="7" s="1"/>
  <c r="Z33" i="7"/>
  <c r="Z16" i="7"/>
  <c r="Z17" i="7" s="1"/>
  <c r="Y20" i="7"/>
  <c r="Y21" i="7"/>
  <c r="Z19" i="7"/>
  <c r="AA6" i="7"/>
  <c r="AB5" i="7"/>
  <c r="AA40" i="7"/>
  <c r="AA7" i="7"/>
  <c r="AA8" i="7"/>
  <c r="AA9" i="7" s="1"/>
  <c r="Z14" i="7"/>
  <c r="Z13" i="7"/>
  <c r="Z32" i="7"/>
  <c r="AB11" i="7"/>
  <c r="AA12" i="7"/>
  <c r="AI4" i="7"/>
  <c r="AJ3" i="7"/>
  <c r="Z30" i="7"/>
  <c r="Z41" i="7"/>
  <c r="Z42" i="7" s="1"/>
  <c r="Y36" i="7"/>
  <c r="AB28" i="7"/>
  <c r="AB29" i="7" s="1"/>
  <c r="AC27" i="7"/>
  <c r="S2532" i="1"/>
  <c r="T2532" i="1" s="1"/>
  <c r="R2532" i="1"/>
  <c r="O2533" i="1"/>
  <c r="R731" i="1"/>
  <c r="O152" i="1"/>
  <c r="S152" i="1" s="1"/>
  <c r="R151" i="1"/>
  <c r="S1705" i="1"/>
  <c r="T1705" i="1" s="1"/>
  <c r="S833" i="1"/>
  <c r="T833" i="1" s="1"/>
  <c r="T1376" i="1"/>
  <c r="S1375" i="1"/>
  <c r="T1375" i="1" s="1"/>
  <c r="T6504" i="1"/>
  <c r="T6748" i="1"/>
  <c r="T1693" i="1"/>
  <c r="S1692" i="1"/>
  <c r="T1692" i="1" s="1"/>
  <c r="T1700" i="1"/>
  <c r="S1699" i="1"/>
  <c r="T1699" i="1" s="1"/>
  <c r="T1406" i="1"/>
  <c r="S1405" i="1"/>
  <c r="O1893" i="1"/>
  <c r="S1892" i="1"/>
  <c r="T1892" i="1" s="1"/>
  <c r="R1892" i="1"/>
  <c r="O1053" i="1"/>
  <c r="R1052" i="1"/>
  <c r="S1052" i="1"/>
  <c r="T1052" i="1" s="1"/>
  <c r="O839" i="1"/>
  <c r="O840" i="1" s="1"/>
  <c r="R838" i="1"/>
  <c r="O1272" i="1"/>
  <c r="R1271" i="1"/>
  <c r="S1271" i="1"/>
  <c r="T1271" i="1" s="1"/>
  <c r="O880" i="1"/>
  <c r="R879" i="1"/>
  <c r="S879" i="1"/>
  <c r="T879" i="1" s="1"/>
  <c r="O1964" i="1"/>
  <c r="R1963" i="1"/>
  <c r="S1963" i="1"/>
  <c r="T1963" i="1" s="1"/>
  <c r="O1006" i="1"/>
  <c r="S1005" i="1"/>
  <c r="R1005" i="1"/>
  <c r="R1664" i="1"/>
  <c r="S1664" i="1"/>
  <c r="T1664" i="1" s="1"/>
  <c r="O1665" i="1"/>
  <c r="S836" i="1"/>
  <c r="R836" i="1"/>
  <c r="R977" i="1"/>
  <c r="S877" i="1"/>
  <c r="T877" i="1" s="1"/>
  <c r="S1407" i="1"/>
  <c r="T1407" i="1" s="1"/>
  <c r="R1407" i="1"/>
  <c r="O1090" i="1"/>
  <c r="R1089" i="1"/>
  <c r="S1089" i="1"/>
  <c r="T1089" i="1" s="1"/>
  <c r="R1876" i="1"/>
  <c r="S1876" i="1"/>
  <c r="T1876" i="1" s="1"/>
  <c r="S1703" i="1"/>
  <c r="T1703" i="1" s="1"/>
  <c r="R1703" i="1"/>
  <c r="O1704" i="1"/>
  <c r="O1042" i="1"/>
  <c r="R1041" i="1"/>
  <c r="R896" i="1"/>
  <c r="S896" i="1"/>
  <c r="O1240" i="1"/>
  <c r="R1239" i="1"/>
  <c r="S1239" i="1"/>
  <c r="T1239" i="1" s="1"/>
  <c r="R1040" i="1"/>
  <c r="R1051" i="1"/>
  <c r="S1051" i="1"/>
  <c r="R837" i="1"/>
  <c r="S837" i="1"/>
  <c r="T837" i="1" s="1"/>
  <c r="R1270" i="1"/>
  <c r="R1088" i="1"/>
  <c r="S1088" i="1"/>
  <c r="R976" i="1"/>
  <c r="O978" i="1"/>
  <c r="O979" i="1" s="1"/>
  <c r="S976" i="1"/>
  <c r="T976" i="1" s="1"/>
  <c r="S1698" i="1"/>
  <c r="T1698" i="1" s="1"/>
  <c r="R1698" i="1"/>
  <c r="T6744" i="1"/>
  <c r="T6644" i="1"/>
  <c r="O1587" i="1"/>
  <c r="O1588" i="1" s="1"/>
  <c r="O1589" i="1" s="1"/>
  <c r="O1531" i="1"/>
  <c r="T6632" i="1"/>
  <c r="T6608" i="1"/>
  <c r="T6502" i="1"/>
  <c r="O1522" i="1"/>
  <c r="O1523" i="1" s="1"/>
  <c r="O1545" i="1"/>
  <c r="O1546" i="1" s="1"/>
  <c r="O1547" i="1" s="1"/>
  <c r="O1548" i="1" s="1"/>
  <c r="T6510" i="1"/>
  <c r="O1442" i="1"/>
  <c r="O1443" i="1" s="1"/>
  <c r="T6915" i="1"/>
  <c r="T6560" i="1"/>
  <c r="T6366" i="1"/>
  <c r="T6382" i="1"/>
  <c r="T6812" i="1"/>
  <c r="T6844" i="1"/>
  <c r="T6902" i="1"/>
  <c r="T6526" i="1"/>
  <c r="S285" i="1"/>
  <c r="R285" i="1"/>
  <c r="T6472" i="1"/>
  <c r="T6542" i="1"/>
  <c r="T6534" i="1"/>
  <c r="T6550" i="1"/>
  <c r="S6341" i="1"/>
  <c r="T6341" i="1" s="1"/>
  <c r="R6341" i="1"/>
  <c r="O6342" i="1"/>
  <c r="O6343" i="1" s="1"/>
  <c r="S6343" i="1" s="1"/>
  <c r="S6342" i="1" s="1"/>
  <c r="R8" i="1"/>
  <c r="S8" i="1"/>
  <c r="T6566" i="1"/>
  <c r="R6333" i="1"/>
  <c r="S6333" i="1"/>
  <c r="T6333" i="1" s="1"/>
  <c r="S6349" i="1"/>
  <c r="T6349" i="1" s="1"/>
  <c r="R6349" i="1"/>
  <c r="O6350" i="1"/>
  <c r="T6478" i="1"/>
  <c r="T6406" i="1"/>
  <c r="R490" i="1"/>
  <c r="S490" i="1"/>
  <c r="O355" i="1"/>
  <c r="R354" i="1"/>
  <c r="S354" i="1"/>
  <c r="O273" i="1"/>
  <c r="O266" i="1"/>
  <c r="S6734" i="1"/>
  <c r="T6734" i="1" s="1"/>
  <c r="T6735" i="1"/>
  <c r="O547" i="1"/>
  <c r="R413" i="1"/>
  <c r="R412" i="1" s="1"/>
  <c r="R411" i="1" s="1"/>
  <c r="R410" i="1" s="1"/>
  <c r="O414" i="1"/>
  <c r="S6639" i="1"/>
  <c r="T6639" i="1" s="1"/>
  <c r="O6640" i="1"/>
  <c r="R6639" i="1"/>
  <c r="R795" i="1"/>
  <c r="S795" i="1"/>
  <c r="S251" i="1"/>
  <c r="S250" i="1" s="1"/>
  <c r="S249" i="1" s="1"/>
  <c r="S248" i="1" s="1"/>
  <c r="O252" i="1"/>
  <c r="R251" i="1"/>
  <c r="O316" i="1"/>
  <c r="R315" i="1"/>
  <c r="R314" i="1" s="1"/>
  <c r="R313" i="1" s="1"/>
  <c r="O259" i="1"/>
  <c r="R258" i="1"/>
  <c r="R257" i="1" s="1"/>
  <c r="R256" i="1" s="1"/>
  <c r="O46" i="1"/>
  <c r="S297" i="1"/>
  <c r="S296" i="1" s="1"/>
  <c r="S295" i="1" s="1"/>
  <c r="S294" i="1" s="1"/>
  <c r="R297" i="1"/>
  <c r="O298" i="1"/>
  <c r="O450" i="1"/>
  <c r="R560" i="1"/>
  <c r="S560" i="1"/>
  <c r="S363" i="1"/>
  <c r="R363" i="1"/>
  <c r="O364" i="1"/>
  <c r="O345" i="1"/>
  <c r="S6753" i="1"/>
  <c r="T6753" i="1" s="1"/>
  <c r="T6754" i="1"/>
  <c r="O6648" i="1"/>
  <c r="S6861" i="1"/>
  <c r="T6861" i="1" s="1"/>
  <c r="T6862" i="1"/>
  <c r="R510" i="1"/>
  <c r="S510" i="1"/>
  <c r="S509" i="1" s="1"/>
  <c r="S508" i="1" s="1"/>
  <c r="O511" i="1"/>
  <c r="R706" i="1"/>
  <c r="S706" i="1"/>
  <c r="O707" i="1"/>
  <c r="R498" i="1"/>
  <c r="S498" i="1"/>
  <c r="S497" i="1" s="1"/>
  <c r="S496" i="1" s="1"/>
  <c r="O499" i="1"/>
  <c r="R482" i="1"/>
  <c r="R481" i="1" s="1"/>
  <c r="R480" i="1" s="1"/>
  <c r="R479" i="1" s="1"/>
  <c r="S482" i="1"/>
  <c r="S481" i="1" s="1"/>
  <c r="S480" i="1" s="1"/>
  <c r="S479" i="1" s="1"/>
  <c r="S478" i="1" s="1"/>
  <c r="S477" i="1" s="1"/>
  <c r="S235" i="1"/>
  <c r="R235" i="1"/>
  <c r="S6663" i="1"/>
  <c r="T6663" i="1" s="1"/>
  <c r="O6664" i="1"/>
  <c r="R6663" i="1"/>
  <c r="O6908" i="1"/>
  <c r="R6907" i="1"/>
  <c r="R6906" i="1" s="1"/>
  <c r="R6905" i="1" s="1"/>
  <c r="R734" i="1"/>
  <c r="S734" i="1"/>
  <c r="S485" i="1"/>
  <c r="S484" i="1" s="1"/>
  <c r="S483" i="1" s="1"/>
  <c r="O486" i="1"/>
  <c r="R485" i="1"/>
  <c r="O6610" i="1"/>
  <c r="R158" i="1"/>
  <c r="S158" i="1"/>
  <c r="S157" i="1" s="1"/>
  <c r="S156" i="1" s="1"/>
  <c r="S155" i="1" s="1"/>
  <c r="O159" i="1"/>
  <c r="S537" i="1"/>
  <c r="R537" i="1"/>
  <c r="O577" i="1"/>
  <c r="S281" i="1"/>
  <c r="S280" i="1" s="1"/>
  <c r="S279" i="1" s="1"/>
  <c r="S278" i="1" s="1"/>
  <c r="R281" i="1"/>
  <c r="O282" i="1"/>
  <c r="O184" i="1"/>
  <c r="O791" i="1"/>
  <c r="S145" i="1"/>
  <c r="S144" i="1" s="1"/>
  <c r="S143" i="1" s="1"/>
  <c r="S142" i="1" s="1"/>
  <c r="R145" i="1"/>
  <c r="R144" i="1" s="1"/>
  <c r="R143" i="1" s="1"/>
  <c r="S383" i="1"/>
  <c r="R383" i="1"/>
  <c r="O384" i="1"/>
  <c r="R114" i="1"/>
  <c r="R113" i="1" s="1"/>
  <c r="R112" i="1" s="1"/>
  <c r="O115" i="1"/>
  <c r="O475" i="1"/>
  <c r="S523" i="1"/>
  <c r="S522" i="1" s="1"/>
  <c r="S521" i="1" s="1"/>
  <c r="R523" i="1"/>
  <c r="O524" i="1"/>
  <c r="O694" i="1"/>
  <c r="R693" i="1"/>
  <c r="R692" i="1" s="1"/>
  <c r="R691" i="1" s="1"/>
  <c r="R690" i="1" s="1"/>
  <c r="R425" i="1"/>
  <c r="R424" i="1" s="1"/>
  <c r="R423" i="1" s="1"/>
  <c r="O426" i="1"/>
  <c r="S167" i="1"/>
  <c r="S166" i="1" s="1"/>
  <c r="S165" i="1" s="1"/>
  <c r="S164" i="1" s="1"/>
  <c r="R167" i="1"/>
  <c r="O168" i="1"/>
  <c r="S439" i="1"/>
  <c r="R439" i="1"/>
  <c r="S770" i="1"/>
  <c r="S769" i="1" s="1"/>
  <c r="S768" i="1" s="1"/>
  <c r="R770" i="1"/>
  <c r="R769" i="1" s="1"/>
  <c r="R768" i="1" s="1"/>
  <c r="O771" i="1"/>
  <c r="S210" i="1"/>
  <c r="S209" i="1" s="1"/>
  <c r="S208" i="1" s="1"/>
  <c r="S207" i="1" s="1"/>
  <c r="R210" i="1"/>
  <c r="R584" i="1"/>
  <c r="S584" i="1"/>
  <c r="R23" i="1"/>
  <c r="R22" i="1" s="1"/>
  <c r="R21" i="1" s="1"/>
  <c r="O24" i="1"/>
  <c r="S6817" i="1"/>
  <c r="T6817" i="1" s="1"/>
  <c r="T6818" i="1"/>
  <c r="R587" i="1"/>
  <c r="S587" i="1"/>
  <c r="S138" i="1"/>
  <c r="R138" i="1"/>
  <c r="R34" i="1"/>
  <c r="S34" i="1"/>
  <c r="T6558" i="1"/>
  <c r="T6898" i="1"/>
  <c r="S6897" i="1"/>
  <c r="T6897" i="1" s="1"/>
  <c r="S179" i="1"/>
  <c r="R179" i="1"/>
  <c r="R6891" i="1"/>
  <c r="R6890" i="1" s="1"/>
  <c r="R6889" i="1" s="1"/>
  <c r="S6891" i="1"/>
  <c r="S6890" i="1" s="1"/>
  <c r="S6889" i="1" s="1"/>
  <c r="T6889" i="1" s="1"/>
  <c r="O556" i="1"/>
  <c r="R555" i="1"/>
  <c r="R554" i="1" s="1"/>
  <c r="R553" i="1" s="1"/>
  <c r="S555" i="1"/>
  <c r="S554" i="1" s="1"/>
  <c r="S553" i="1" s="1"/>
  <c r="S552" i="1" s="1"/>
  <c r="S515" i="1"/>
  <c r="R515" i="1"/>
  <c r="O516" i="1"/>
  <c r="S455" i="1"/>
  <c r="S454" i="1" s="1"/>
  <c r="S453" i="1" s="1"/>
  <c r="O456" i="1"/>
  <c r="R455" i="1"/>
  <c r="S6321" i="1"/>
  <c r="T6321" i="1" s="1"/>
  <c r="R6321" i="1"/>
  <c r="O6322" i="1"/>
  <c r="R432" i="1"/>
  <c r="R431" i="1" s="1"/>
  <c r="R430" i="1" s="1"/>
  <c r="O433" i="1"/>
  <c r="S756" i="1"/>
  <c r="S755" i="1" s="1"/>
  <c r="S754" i="1" s="1"/>
  <c r="R756" i="1"/>
  <c r="R755" i="1" s="1"/>
  <c r="R754" i="1" s="1"/>
  <c r="O757" i="1"/>
  <c r="S529" i="1"/>
  <c r="O530" i="1"/>
  <c r="R529" i="1"/>
  <c r="O748" i="1"/>
  <c r="R494" i="1"/>
  <c r="S494" i="1"/>
  <c r="O495" i="1"/>
  <c r="R751" i="1"/>
  <c r="S751" i="1"/>
  <c r="O597" i="1"/>
  <c r="O59" i="1"/>
  <c r="R58" i="1"/>
  <c r="S58" i="1"/>
  <c r="S57" i="1" s="1"/>
  <c r="S56" i="1" s="1"/>
  <c r="S55" i="1" s="1"/>
  <c r="S6337" i="1"/>
  <c r="T6337" i="1" s="1"/>
  <c r="R6337" i="1"/>
  <c r="S445" i="1"/>
  <c r="S444" i="1" s="1"/>
  <c r="S443" i="1" s="1"/>
  <c r="R445" i="1"/>
  <c r="O446" i="1"/>
  <c r="S290" i="1"/>
  <c r="R290" i="1"/>
  <c r="R374" i="1"/>
  <c r="O375" i="1"/>
  <c r="S374" i="1"/>
  <c r="R192" i="1"/>
  <c r="R191" i="1" s="1"/>
  <c r="R190" i="1" s="1"/>
  <c r="O193" i="1"/>
  <c r="O800" i="1"/>
  <c r="R799" i="1"/>
  <c r="S799" i="1"/>
  <c r="S798" i="1" s="1"/>
  <c r="S797" i="1" s="1"/>
  <c r="S796" i="1" s="1"/>
  <c r="O761" i="1"/>
  <c r="O371" i="1"/>
  <c r="R370" i="1"/>
  <c r="S370" i="1"/>
  <c r="R307" i="1"/>
  <c r="R306" i="1" s="1"/>
  <c r="R305" i="1" s="1"/>
  <c r="O308" i="1"/>
  <c r="O131" i="1"/>
  <c r="S215" i="1"/>
  <c r="R215" i="1"/>
  <c r="O64" i="1"/>
  <c r="O338" i="1"/>
  <c r="O86" i="1"/>
  <c r="S189" i="1"/>
  <c r="R189" i="1"/>
  <c r="R78" i="1"/>
  <c r="S78" i="1"/>
  <c r="S77" i="1" s="1"/>
  <c r="S76" i="1" s="1"/>
  <c r="S75" i="1" s="1"/>
  <c r="O79" i="1"/>
  <c r="T6544" i="1"/>
  <c r="S6543" i="1"/>
  <c r="T6543" i="1" s="1"/>
  <c r="O738" i="1"/>
  <c r="S247" i="1"/>
  <c r="R247" i="1"/>
  <c r="S505" i="1"/>
  <c r="S504" i="1" s="1"/>
  <c r="S503" i="1" s="1"/>
  <c r="O506" i="1"/>
  <c r="R505" i="1"/>
  <c r="R6343" i="1"/>
  <c r="R6342" i="1" s="1"/>
  <c r="S765" i="1"/>
  <c r="R765" i="1"/>
  <c r="S219" i="1"/>
  <c r="S218" i="1" s="1"/>
  <c r="S217" i="1" s="1"/>
  <c r="S216" i="1" s="1"/>
  <c r="O220" i="1"/>
  <c r="R219" i="1"/>
  <c r="R400" i="1"/>
  <c r="R399" i="1" s="1"/>
  <c r="S400" i="1"/>
  <c r="S399" i="1" s="1"/>
  <c r="O401" i="1"/>
  <c r="T6627" i="1"/>
  <c r="T6626" i="1"/>
  <c r="T6674" i="1"/>
  <c r="T6673" i="1"/>
  <c r="T6658" i="1"/>
  <c r="T6657" i="1"/>
  <c r="T6689" i="1"/>
  <c r="T6688" i="1"/>
  <c r="T6601" i="1"/>
  <c r="T6600" i="1"/>
  <c r="T6537" i="1"/>
  <c r="T6536" i="1"/>
  <c r="T6722" i="1"/>
  <c r="T6721" i="1"/>
  <c r="T6452" i="1"/>
  <c r="T6451" i="1"/>
  <c r="T6456" i="1"/>
  <c r="T6455" i="1"/>
  <c r="T6662" i="1"/>
  <c r="T6661" i="1"/>
  <c r="T6849" i="1"/>
  <c r="T6848" i="1"/>
  <c r="T6625" i="1"/>
  <c r="T6624" i="1"/>
  <c r="T6497" i="1"/>
  <c r="T6496" i="1"/>
  <c r="T6835" i="1"/>
  <c r="T6834" i="1"/>
  <c r="T6614" i="1"/>
  <c r="T6613" i="1"/>
  <c r="T6659" i="1"/>
  <c r="T6404" i="1"/>
  <c r="T6403" i="1"/>
  <c r="T6833" i="1"/>
  <c r="T6832" i="1"/>
  <c r="T6555" i="1"/>
  <c r="T6554" i="1"/>
  <c r="T6469" i="1"/>
  <c r="T6468" i="1"/>
  <c r="T6617" i="1"/>
  <c r="T6616" i="1"/>
  <c r="T6837" i="1"/>
  <c r="T6836" i="1"/>
  <c r="T6332" i="1"/>
  <c r="T6331" i="1"/>
  <c r="T6539" i="1"/>
  <c r="T6538" i="1"/>
  <c r="T6642" i="1"/>
  <c r="T6641" i="1"/>
  <c r="T6583" i="1"/>
  <c r="T6582" i="1"/>
  <c r="T6364" i="1"/>
  <c r="T6363" i="1"/>
  <c r="T6532" i="1"/>
  <c r="T6634" i="1"/>
  <c r="T6633" i="1"/>
  <c r="T6446" i="1"/>
  <c r="T6445" i="1"/>
  <c r="T6606" i="1"/>
  <c r="T6605" i="1"/>
  <c r="T6442" i="1"/>
  <c r="T6441" i="1"/>
  <c r="T6638" i="1"/>
  <c r="T6637" i="1"/>
  <c r="T6531" i="1"/>
  <c r="T6530" i="1"/>
  <c r="T6591" i="1"/>
  <c r="T6590" i="1"/>
  <c r="T6739" i="1"/>
  <c r="T6738" i="1"/>
  <c r="T6320" i="1"/>
  <c r="T6319" i="1"/>
  <c r="S6964" i="1" l="1"/>
  <c r="T6964" i="1" s="1"/>
  <c r="R6964" i="1"/>
  <c r="O6965" i="1"/>
  <c r="O2875" i="1"/>
  <c r="S2874" i="1"/>
  <c r="T2874" i="1" s="1"/>
  <c r="R2874" i="1"/>
  <c r="W25" i="1"/>
  <c r="X23" i="1"/>
  <c r="Y23" i="1" s="1"/>
  <c r="AA23" i="1"/>
  <c r="Z23" i="1" s="1"/>
  <c r="T836" i="1"/>
  <c r="S835" i="1"/>
  <c r="T835" i="1" s="1"/>
  <c r="T896" i="1"/>
  <c r="S890" i="1"/>
  <c r="T890" i="1" s="1"/>
  <c r="T1005" i="1"/>
  <c r="S1004" i="1"/>
  <c r="T1004" i="1" s="1"/>
  <c r="R152" i="1"/>
  <c r="AA38" i="7"/>
  <c r="AA25" i="7"/>
  <c r="AA24" i="7"/>
  <c r="AA34" i="7"/>
  <c r="AA35" i="7" s="1"/>
  <c r="Z36" i="7"/>
  <c r="Z37" i="7"/>
  <c r="AA16" i="7"/>
  <c r="AA17" i="7" s="1"/>
  <c r="AA33" i="7"/>
  <c r="AA13" i="7"/>
  <c r="AA14" i="7"/>
  <c r="AC11" i="7"/>
  <c r="AB12" i="7"/>
  <c r="AB6" i="7"/>
  <c r="AB7" i="7"/>
  <c r="AB40" i="7"/>
  <c r="AC5" i="7"/>
  <c r="AB8" i="7"/>
  <c r="AB9" i="7" s="1"/>
  <c r="AA32" i="7"/>
  <c r="AA19" i="7"/>
  <c r="Z20" i="7"/>
  <c r="Z21" i="7"/>
  <c r="AK3" i="7"/>
  <c r="AJ4" i="7"/>
  <c r="AD27" i="7"/>
  <c r="AC28" i="7"/>
  <c r="AC29" i="7" s="1"/>
  <c r="AA30" i="7"/>
  <c r="AA41" i="7"/>
  <c r="AA42" i="7" s="1"/>
  <c r="O2534" i="1"/>
  <c r="R2533" i="1"/>
  <c r="S2533" i="1"/>
  <c r="T2533" i="1" s="1"/>
  <c r="T1405" i="1"/>
  <c r="S1404" i="1"/>
  <c r="T1404" i="1" s="1"/>
  <c r="S1893" i="1"/>
  <c r="T1893" i="1" s="1"/>
  <c r="R1893" i="1"/>
  <c r="O1894" i="1"/>
  <c r="O1444" i="1"/>
  <c r="R1704" i="1"/>
  <c r="S1704" i="1"/>
  <c r="T1704" i="1" s="1"/>
  <c r="R1272" i="1"/>
  <c r="S1272" i="1"/>
  <c r="T1272" i="1" s="1"/>
  <c r="O1273" i="1"/>
  <c r="T1088" i="1"/>
  <c r="S1087" i="1"/>
  <c r="T1087" i="1" s="1"/>
  <c r="T1051" i="1"/>
  <c r="S1050" i="1"/>
  <c r="T1050" i="1" s="1"/>
  <c r="R1665" i="1"/>
  <c r="S1665" i="1"/>
  <c r="T1665" i="1" s="1"/>
  <c r="O1666" i="1"/>
  <c r="O1965" i="1"/>
  <c r="R1964" i="1"/>
  <c r="S1964" i="1"/>
  <c r="T1964" i="1" s="1"/>
  <c r="R839" i="1"/>
  <c r="S839" i="1"/>
  <c r="S1270" i="1"/>
  <c r="T1270" i="1" s="1"/>
  <c r="O881" i="1"/>
  <c r="R880" i="1"/>
  <c r="S880" i="1"/>
  <c r="T880" i="1" s="1"/>
  <c r="R1053" i="1"/>
  <c r="S1053" i="1"/>
  <c r="T1053" i="1" s="1"/>
  <c r="O1054" i="1"/>
  <c r="S979" i="1"/>
  <c r="T979" i="1" s="1"/>
  <c r="R979" i="1"/>
  <c r="R1042" i="1"/>
  <c r="S1042" i="1"/>
  <c r="O1043" i="1"/>
  <c r="R1090" i="1"/>
  <c r="S1090" i="1"/>
  <c r="T1090" i="1" s="1"/>
  <c r="O1091" i="1"/>
  <c r="S1006" i="1"/>
  <c r="T1006" i="1" s="1"/>
  <c r="R1006" i="1"/>
  <c r="O1007" i="1"/>
  <c r="R978" i="1"/>
  <c r="S978" i="1"/>
  <c r="R840" i="1"/>
  <c r="S840" i="1"/>
  <c r="T840" i="1" s="1"/>
  <c r="R1240" i="1"/>
  <c r="S1240" i="1"/>
  <c r="T1240" i="1" s="1"/>
  <c r="O1438" i="1"/>
  <c r="O1439" i="1" s="1"/>
  <c r="O1440" i="1" s="1"/>
  <c r="S1440" i="1" s="1"/>
  <c r="O1549" i="1"/>
  <c r="O1550" i="1" s="1"/>
  <c r="O1551" i="1" s="1"/>
  <c r="O1483" i="1"/>
  <c r="O1484" i="1" s="1"/>
  <c r="T6890" i="1"/>
  <c r="T6891" i="1"/>
  <c r="S6350" i="1"/>
  <c r="T6350" i="1" s="1"/>
  <c r="R6350" i="1"/>
  <c r="O6351" i="1"/>
  <c r="R556" i="1"/>
  <c r="S556" i="1"/>
  <c r="O557" i="1"/>
  <c r="R79" i="1"/>
  <c r="S79" i="1"/>
  <c r="O80" i="1"/>
  <c r="S800" i="1"/>
  <c r="R800" i="1"/>
  <c r="O801" i="1"/>
  <c r="R757" i="1"/>
  <c r="S757" i="1"/>
  <c r="O695" i="1"/>
  <c r="O385" i="1"/>
  <c r="O500" i="1"/>
  <c r="R511" i="1"/>
  <c r="S511" i="1"/>
  <c r="O346" i="1"/>
  <c r="S259" i="1"/>
  <c r="S258" i="1" s="1"/>
  <c r="S257" i="1" s="1"/>
  <c r="S256" i="1" s="1"/>
  <c r="R259" i="1"/>
  <c r="R86" i="1"/>
  <c r="R85" i="1" s="1"/>
  <c r="S86" i="1"/>
  <c r="S85" i="1" s="1"/>
  <c r="S84" i="1" s="1"/>
  <c r="S83" i="1" s="1"/>
  <c r="S82" i="1" s="1"/>
  <c r="O87" i="1"/>
  <c r="S193" i="1"/>
  <c r="S192" i="1" s="1"/>
  <c r="S191" i="1" s="1"/>
  <c r="S190" i="1" s="1"/>
  <c r="R193" i="1"/>
  <c r="O194" i="1"/>
  <c r="S446" i="1"/>
  <c r="R446" i="1"/>
  <c r="R426" i="1"/>
  <c r="S426" i="1"/>
  <c r="S425" i="1" s="1"/>
  <c r="S424" i="1" s="1"/>
  <c r="S423" i="1" s="1"/>
  <c r="O427" i="1"/>
  <c r="R791" i="1"/>
  <c r="R790" i="1" s="1"/>
  <c r="S791" i="1"/>
  <c r="S790" i="1" s="1"/>
  <c r="S789" i="1" s="1"/>
  <c r="S788" i="1" s="1"/>
  <c r="S787" i="1" s="1"/>
  <c r="O792" i="1"/>
  <c r="O578" i="1"/>
  <c r="R6908" i="1"/>
  <c r="S6908" i="1"/>
  <c r="O415" i="1"/>
  <c r="O267" i="1"/>
  <c r="S355" i="1"/>
  <c r="O356" i="1"/>
  <c r="R355" i="1"/>
  <c r="R524" i="1"/>
  <c r="S524" i="1"/>
  <c r="O525" i="1"/>
  <c r="R475" i="1"/>
  <c r="R474" i="1" s="1"/>
  <c r="R473" i="1" s="1"/>
  <c r="S475" i="1"/>
  <c r="S474" i="1" s="1"/>
  <c r="S473" i="1" s="1"/>
  <c r="O476" i="1"/>
  <c r="R486" i="1"/>
  <c r="S486" i="1"/>
  <c r="R6640" i="1"/>
  <c r="S6640" i="1"/>
  <c r="T6640" i="1" s="1"/>
  <c r="O160" i="1"/>
  <c r="O402" i="1"/>
  <c r="R506" i="1"/>
  <c r="S506" i="1"/>
  <c r="O507" i="1"/>
  <c r="O739" i="1"/>
  <c r="S371" i="1"/>
  <c r="R371" i="1"/>
  <c r="R456" i="1"/>
  <c r="S456" i="1"/>
  <c r="R184" i="1"/>
  <c r="R183" i="1" s="1"/>
  <c r="S184" i="1"/>
  <c r="S183" i="1" s="1"/>
  <c r="O185" i="1"/>
  <c r="O6611" i="1"/>
  <c r="R364" i="1"/>
  <c r="S364" i="1"/>
  <c r="O365" i="1"/>
  <c r="S450" i="1"/>
  <c r="S449" i="1" s="1"/>
  <c r="S448" i="1" s="1"/>
  <c r="S447" i="1" s="1"/>
  <c r="R450" i="1"/>
  <c r="R449" i="1" s="1"/>
  <c r="O451" i="1"/>
  <c r="R298" i="1"/>
  <c r="S298" i="1"/>
  <c r="O299" i="1"/>
  <c r="S316" i="1"/>
  <c r="S315" i="1" s="1"/>
  <c r="S314" i="1" s="1"/>
  <c r="S313" i="1" s="1"/>
  <c r="O317" i="1"/>
  <c r="R316" i="1"/>
  <c r="S748" i="1"/>
  <c r="S747" i="1" s="1"/>
  <c r="S746" i="1" s="1"/>
  <c r="R748" i="1"/>
  <c r="R747" i="1" s="1"/>
  <c r="R746" i="1" s="1"/>
  <c r="O708" i="1"/>
  <c r="R707" i="1"/>
  <c r="S707" i="1"/>
  <c r="R131" i="1"/>
  <c r="R130" i="1" s="1"/>
  <c r="R129" i="1" s="1"/>
  <c r="S131" i="1"/>
  <c r="S130" i="1" s="1"/>
  <c r="S129" i="1" s="1"/>
  <c r="O132" i="1"/>
  <c r="O762" i="1"/>
  <c r="R495" i="1"/>
  <c r="S495" i="1"/>
  <c r="R24" i="1"/>
  <c r="S24" i="1"/>
  <c r="S23" i="1" s="1"/>
  <c r="S22" i="1" s="1"/>
  <c r="S21" i="1" s="1"/>
  <c r="O25" i="1"/>
  <c r="R771" i="1"/>
  <c r="S771" i="1"/>
  <c r="O772" i="1"/>
  <c r="R6664" i="1"/>
  <c r="S6664" i="1"/>
  <c r="T6664" i="1" s="1"/>
  <c r="O6665" i="1"/>
  <c r="O6649" i="1"/>
  <c r="R46" i="1"/>
  <c r="R45" i="1" s="1"/>
  <c r="R44" i="1" s="1"/>
  <c r="S46" i="1"/>
  <c r="S45" i="1" s="1"/>
  <c r="S44" i="1" s="1"/>
  <c r="O274" i="1"/>
  <c r="O339" i="1"/>
  <c r="O376" i="1"/>
  <c r="S433" i="1"/>
  <c r="S432" i="1" s="1"/>
  <c r="S431" i="1" s="1"/>
  <c r="S430" i="1" s="1"/>
  <c r="R433" i="1"/>
  <c r="O434" i="1"/>
  <c r="R6322" i="1"/>
  <c r="S6322" i="1"/>
  <c r="T6322" i="1" s="1"/>
  <c r="O6323" i="1"/>
  <c r="R516" i="1"/>
  <c r="S516" i="1"/>
  <c r="R115" i="1"/>
  <c r="S115" i="1"/>
  <c r="S114" i="1" s="1"/>
  <c r="S113" i="1" s="1"/>
  <c r="S112" i="1" s="1"/>
  <c r="O116" i="1"/>
  <c r="R547" i="1"/>
  <c r="R546" i="1" s="1"/>
  <c r="R545" i="1" s="1"/>
  <c r="S547" i="1"/>
  <c r="S546" i="1" s="1"/>
  <c r="S545" i="1" s="1"/>
  <c r="S544" i="1" s="1"/>
  <c r="O598" i="1"/>
  <c r="R220" i="1"/>
  <c r="S220" i="1"/>
  <c r="R64" i="1"/>
  <c r="R63" i="1" s="1"/>
  <c r="R62" i="1" s="1"/>
  <c r="R61" i="1" s="1"/>
  <c r="R60" i="1" s="1"/>
  <c r="O65" i="1"/>
  <c r="O309" i="1"/>
  <c r="R59" i="1"/>
  <c r="S59" i="1"/>
  <c r="R530" i="1"/>
  <c r="S530" i="1"/>
  <c r="S168" i="1"/>
  <c r="O169" i="1"/>
  <c r="R168" i="1"/>
  <c r="R282" i="1"/>
  <c r="S282" i="1"/>
  <c r="R252" i="1"/>
  <c r="S252" i="1"/>
  <c r="O253" i="1"/>
  <c r="T6342" i="1"/>
  <c r="T6660" i="1"/>
  <c r="S6965" i="1" l="1"/>
  <c r="T6965" i="1" s="1"/>
  <c r="R6965" i="1"/>
  <c r="O6966" i="1"/>
  <c r="O2876" i="1"/>
  <c r="R2875" i="1"/>
  <c r="S2875" i="1"/>
  <c r="T2875" i="1" s="1"/>
  <c r="X24" i="1"/>
  <c r="Y24" i="1" s="1"/>
  <c r="AA24" i="1"/>
  <c r="Z24" i="1" s="1"/>
  <c r="W26" i="1"/>
  <c r="T1042" i="1"/>
  <c r="S1041" i="1"/>
  <c r="T839" i="1"/>
  <c r="S838" i="1"/>
  <c r="T838" i="1" s="1"/>
  <c r="T978" i="1"/>
  <c r="S977" i="1"/>
  <c r="T977" i="1" s="1"/>
  <c r="AB38" i="7"/>
  <c r="AB24" i="7"/>
  <c r="AB25" i="7"/>
  <c r="AA37" i="7"/>
  <c r="AD11" i="7"/>
  <c r="AC12" i="7"/>
  <c r="AB34" i="7"/>
  <c r="AB35" i="7" s="1"/>
  <c r="AB16" i="7"/>
  <c r="AB17" i="7" s="1"/>
  <c r="AB33" i="7"/>
  <c r="AB19" i="7"/>
  <c r="AD5" i="7"/>
  <c r="AC7" i="7"/>
  <c r="AC6" i="7"/>
  <c r="AC40" i="7"/>
  <c r="AC41" i="7" s="1"/>
  <c r="AC42" i="7" s="1"/>
  <c r="AC8" i="7"/>
  <c r="AC9" i="7" s="1"/>
  <c r="AB32" i="7"/>
  <c r="AA20" i="7"/>
  <c r="AA21" i="7"/>
  <c r="AB13" i="7"/>
  <c r="AB14" i="7"/>
  <c r="AL3" i="7"/>
  <c r="AK4" i="7"/>
  <c r="AA36" i="7"/>
  <c r="AD28" i="7"/>
  <c r="AD29" i="7" s="1"/>
  <c r="AE27" i="7"/>
  <c r="AB30" i="7"/>
  <c r="AB41" i="7"/>
  <c r="AB42" i="7" s="1"/>
  <c r="O2535" i="1"/>
  <c r="R2534" i="1"/>
  <c r="S2534" i="1"/>
  <c r="T2534" i="1" s="1"/>
  <c r="S1439" i="1"/>
  <c r="T1439" i="1" s="1"/>
  <c r="R1894" i="1"/>
  <c r="O1895" i="1"/>
  <c r="S1894" i="1"/>
  <c r="T1894" i="1" s="1"/>
  <c r="R1439" i="1"/>
  <c r="R1965" i="1"/>
  <c r="S1965" i="1"/>
  <c r="T1965" i="1" s="1"/>
  <c r="O1274" i="1"/>
  <c r="R1273" i="1"/>
  <c r="S1273" i="1"/>
  <c r="T1273" i="1" s="1"/>
  <c r="R881" i="1"/>
  <c r="S881" i="1"/>
  <c r="T881" i="1" s="1"/>
  <c r="O882" i="1"/>
  <c r="O1667" i="1"/>
  <c r="R1666" i="1"/>
  <c r="S1666" i="1"/>
  <c r="T1666" i="1" s="1"/>
  <c r="O1092" i="1"/>
  <c r="R1091" i="1"/>
  <c r="S1091" i="1"/>
  <c r="T1091" i="1" s="1"/>
  <c r="R1054" i="1"/>
  <c r="S1054" i="1"/>
  <c r="T1054" i="1" s="1"/>
  <c r="O1055" i="1"/>
  <c r="S1550" i="1"/>
  <c r="S1549" i="1" s="1"/>
  <c r="O1044" i="1"/>
  <c r="R1043" i="1"/>
  <c r="S1043" i="1"/>
  <c r="T1043" i="1" s="1"/>
  <c r="O1445" i="1"/>
  <c r="O1446" i="1" s="1"/>
  <c r="O1447" i="1" s="1"/>
  <c r="O1448" i="1" s="1"/>
  <c r="R1551" i="1"/>
  <c r="S1551" i="1"/>
  <c r="T1551" i="1" s="1"/>
  <c r="O1441" i="1"/>
  <c r="R1440" i="1"/>
  <c r="R1007" i="1"/>
  <c r="S1007" i="1"/>
  <c r="T1007" i="1" s="1"/>
  <c r="O1008" i="1"/>
  <c r="O917" i="1"/>
  <c r="O918" i="1" s="1"/>
  <c r="T1440" i="1"/>
  <c r="O1510" i="1"/>
  <c r="O1511" i="1" s="1"/>
  <c r="O1512" i="1" s="1"/>
  <c r="O1513" i="1" s="1"/>
  <c r="O1514" i="1" s="1"/>
  <c r="O1515" i="1" s="1"/>
  <c r="O1552" i="1"/>
  <c r="O1553" i="1" s="1"/>
  <c r="R1549" i="1"/>
  <c r="R1438" i="1"/>
  <c r="S1438" i="1"/>
  <c r="T1438" i="1" s="1"/>
  <c r="O1498" i="1"/>
  <c r="O1460" i="1"/>
  <c r="O1461" i="1" s="1"/>
  <c r="O1462" i="1" s="1"/>
  <c r="O1463" i="1" s="1"/>
  <c r="O1464" i="1" s="1"/>
  <c r="S6351" i="1"/>
  <c r="T6351" i="1" s="1"/>
  <c r="R6351" i="1"/>
  <c r="R598" i="1"/>
  <c r="R597" i="1" s="1"/>
  <c r="R596" i="1" s="1"/>
  <c r="S598" i="1"/>
  <c r="S597" i="1" s="1"/>
  <c r="S596" i="1" s="1"/>
  <c r="S434" i="1"/>
  <c r="O435" i="1"/>
  <c r="R434" i="1"/>
  <c r="S267" i="1"/>
  <c r="S266" i="1" s="1"/>
  <c r="S265" i="1" s="1"/>
  <c r="S264" i="1" s="1"/>
  <c r="S263" i="1" s="1"/>
  <c r="S262" i="1" s="1"/>
  <c r="O268" i="1"/>
  <c r="R267" i="1"/>
  <c r="R266" i="1" s="1"/>
  <c r="R265" i="1" s="1"/>
  <c r="S427" i="1"/>
  <c r="O428" i="1"/>
  <c r="R427" i="1"/>
  <c r="O501" i="1"/>
  <c r="O696" i="1"/>
  <c r="R695" i="1"/>
  <c r="R694" i="1" s="1"/>
  <c r="S695" i="1"/>
  <c r="S694" i="1" s="1"/>
  <c r="S693" i="1" s="1"/>
  <c r="S692" i="1" s="1"/>
  <c r="S691" i="1" s="1"/>
  <c r="S690" i="1" s="1"/>
  <c r="S772" i="1"/>
  <c r="R772" i="1"/>
  <c r="O773" i="1"/>
  <c r="O452" i="1"/>
  <c r="S525" i="1"/>
  <c r="R525" i="1"/>
  <c r="R346" i="1"/>
  <c r="R345" i="1" s="1"/>
  <c r="R344" i="1" s="1"/>
  <c r="S346" i="1"/>
  <c r="S345" i="1" s="1"/>
  <c r="S344" i="1" s="1"/>
  <c r="S309" i="1"/>
  <c r="S308" i="1" s="1"/>
  <c r="S307" i="1" s="1"/>
  <c r="S306" i="1" s="1"/>
  <c r="S305" i="1" s="1"/>
  <c r="O310" i="1"/>
  <c r="R309" i="1"/>
  <c r="R308" i="1" s="1"/>
  <c r="S762" i="1"/>
  <c r="S761" i="1" s="1"/>
  <c r="S760" i="1" s="1"/>
  <c r="R762" i="1"/>
  <c r="R761" i="1" s="1"/>
  <c r="R760" i="1" s="1"/>
  <c r="S6611" i="1"/>
  <c r="R6611" i="1"/>
  <c r="R6610" i="1" s="1"/>
  <c r="R6609" i="1" s="1"/>
  <c r="R557" i="1"/>
  <c r="S557" i="1"/>
  <c r="O275" i="1"/>
  <c r="O6650" i="1"/>
  <c r="S6665" i="1"/>
  <c r="T6665" i="1" s="1"/>
  <c r="R6665" i="1"/>
  <c r="R476" i="1"/>
  <c r="S476" i="1"/>
  <c r="O88" i="1"/>
  <c r="R65" i="1"/>
  <c r="S65" i="1"/>
  <c r="S64" i="1" s="1"/>
  <c r="S63" i="1" s="1"/>
  <c r="S62" i="1" s="1"/>
  <c r="S61" i="1" s="1"/>
  <c r="S60" i="1" s="1"/>
  <c r="O66" i="1"/>
  <c r="O377" i="1"/>
  <c r="S339" i="1"/>
  <c r="S338" i="1" s="1"/>
  <c r="S337" i="1" s="1"/>
  <c r="R339" i="1"/>
  <c r="R338" i="1" s="1"/>
  <c r="R337" i="1" s="1"/>
  <c r="O340" i="1"/>
  <c r="S317" i="1"/>
  <c r="R317" i="1"/>
  <c r="O318" i="1"/>
  <c r="S365" i="1"/>
  <c r="R365" i="1"/>
  <c r="O161" i="1"/>
  <c r="R801" i="1"/>
  <c r="S801" i="1"/>
  <c r="O802" i="1"/>
  <c r="S6323" i="1"/>
  <c r="T6323" i="1" s="1"/>
  <c r="R6323" i="1"/>
  <c r="S132" i="1"/>
  <c r="R132" i="1"/>
  <c r="R507" i="1"/>
  <c r="S507" i="1"/>
  <c r="S6907" i="1"/>
  <c r="T6908" i="1"/>
  <c r="R578" i="1"/>
  <c r="R577" i="1" s="1"/>
  <c r="R576" i="1" s="1"/>
  <c r="S578" i="1"/>
  <c r="S577" i="1" s="1"/>
  <c r="S576" i="1" s="1"/>
  <c r="S792" i="1"/>
  <c r="R792" i="1"/>
  <c r="S194" i="1"/>
  <c r="R194" i="1"/>
  <c r="S80" i="1"/>
  <c r="O81" i="1"/>
  <c r="R80" i="1"/>
  <c r="R25" i="1"/>
  <c r="S25" i="1"/>
  <c r="R708" i="1"/>
  <c r="S708" i="1"/>
  <c r="S299" i="1"/>
  <c r="O300" i="1"/>
  <c r="R299" i="1"/>
  <c r="O403" i="1"/>
  <c r="O357" i="1"/>
  <c r="S415" i="1"/>
  <c r="S414" i="1" s="1"/>
  <c r="S413" i="1" s="1"/>
  <c r="S412" i="1" s="1"/>
  <c r="S411" i="1" s="1"/>
  <c r="S410" i="1" s="1"/>
  <c r="O416" i="1"/>
  <c r="R415" i="1"/>
  <c r="R414" i="1" s="1"/>
  <c r="O386" i="1"/>
  <c r="S169" i="1"/>
  <c r="O170" i="1"/>
  <c r="R169" i="1"/>
  <c r="S253" i="1"/>
  <c r="R253" i="1"/>
  <c r="R116" i="1"/>
  <c r="S116" i="1"/>
  <c r="O117" i="1"/>
  <c r="O186" i="1"/>
  <c r="R739" i="1"/>
  <c r="R738" i="1" s="1"/>
  <c r="R737" i="1" s="1"/>
  <c r="S739" i="1"/>
  <c r="S738" i="1" s="1"/>
  <c r="S737" i="1" s="1"/>
  <c r="O740" i="1"/>
  <c r="T6318" i="1"/>
  <c r="T6343" i="1"/>
  <c r="S6966" i="1" l="1"/>
  <c r="T6966" i="1" s="1"/>
  <c r="R6966" i="1"/>
  <c r="O6967" i="1"/>
  <c r="R2876" i="1"/>
  <c r="S2876" i="1"/>
  <c r="T2876" i="1" s="1"/>
  <c r="O2877" i="1"/>
  <c r="X25" i="1"/>
  <c r="Y25" i="1" s="1"/>
  <c r="AA25" i="1"/>
  <c r="Z25" i="1" s="1"/>
  <c r="W27" i="1"/>
  <c r="T1041" i="1"/>
  <c r="S1040" i="1"/>
  <c r="T1040" i="1" s="1"/>
  <c r="AC38" i="7"/>
  <c r="AC25" i="7"/>
  <c r="AC24" i="7"/>
  <c r="AB37" i="7"/>
  <c r="AC34" i="7"/>
  <c r="AC35" i="7" s="1"/>
  <c r="AC16" i="7"/>
  <c r="AC17" i="7" s="1"/>
  <c r="AC33" i="7"/>
  <c r="AC19" i="7"/>
  <c r="AD7" i="7"/>
  <c r="AE5" i="7"/>
  <c r="AD40" i="7"/>
  <c r="AD6" i="7"/>
  <c r="AD8" i="7"/>
  <c r="AD9" i="7" s="1"/>
  <c r="AC14" i="7"/>
  <c r="AC13" i="7"/>
  <c r="AE11" i="7"/>
  <c r="AD12" i="7"/>
  <c r="AB20" i="7"/>
  <c r="AB21" i="7"/>
  <c r="AC32" i="7"/>
  <c r="AM3" i="7"/>
  <c r="AL4" i="7"/>
  <c r="AC30" i="7"/>
  <c r="AF27" i="7"/>
  <c r="AE28" i="7"/>
  <c r="AE29" i="7" s="1"/>
  <c r="AB36" i="7"/>
  <c r="S2535" i="1"/>
  <c r="T2535" i="1" s="1"/>
  <c r="R2535" i="1"/>
  <c r="O2536" i="1"/>
  <c r="T1550" i="1"/>
  <c r="S1895" i="1"/>
  <c r="T1895" i="1" s="1"/>
  <c r="R1895" i="1"/>
  <c r="T1549" i="1"/>
  <c r="S1548" i="1"/>
  <c r="T1548" i="1" s="1"/>
  <c r="S1463" i="1"/>
  <c r="T1463" i="1" s="1"/>
  <c r="O883" i="1"/>
  <c r="S882" i="1"/>
  <c r="T882" i="1" s="1"/>
  <c r="R882" i="1"/>
  <c r="R918" i="1"/>
  <c r="O919" i="1"/>
  <c r="S918" i="1"/>
  <c r="T918" i="1" s="1"/>
  <c r="S1448" i="1"/>
  <c r="T1448" i="1" s="1"/>
  <c r="O1449" i="1"/>
  <c r="S1461" i="1"/>
  <c r="T1461" i="1" s="1"/>
  <c r="R1044" i="1"/>
  <c r="O1045" i="1"/>
  <c r="O1093" i="1"/>
  <c r="S1092" i="1"/>
  <c r="T1092" i="1" s="1"/>
  <c r="R1092" i="1"/>
  <c r="O1554" i="1"/>
  <c r="R1553" i="1"/>
  <c r="S1553" i="1"/>
  <c r="T1553" i="1" s="1"/>
  <c r="O1516" i="1"/>
  <c r="R1515" i="1"/>
  <c r="R1514" i="1" s="1"/>
  <c r="R1274" i="1"/>
  <c r="S1274" i="1"/>
  <c r="T1274" i="1" s="1"/>
  <c r="O1275" i="1"/>
  <c r="R1463" i="1"/>
  <c r="R1464" i="1"/>
  <c r="S1464" i="1"/>
  <c r="T1464" i="1" s="1"/>
  <c r="S1008" i="1"/>
  <c r="T1008" i="1" s="1"/>
  <c r="R1008" i="1"/>
  <c r="O1056" i="1"/>
  <c r="S1055" i="1"/>
  <c r="T1055" i="1" s="1"/>
  <c r="R1055" i="1"/>
  <c r="R1667" i="1"/>
  <c r="S1667" i="1"/>
  <c r="T1667" i="1" s="1"/>
  <c r="R917" i="1"/>
  <c r="O1241" i="1"/>
  <c r="O1242" i="1" s="1"/>
  <c r="O1532" i="1"/>
  <c r="O1555" i="1"/>
  <c r="O1556" i="1" s="1"/>
  <c r="O1571" i="1"/>
  <c r="O1572" i="1" s="1"/>
  <c r="R1460" i="1"/>
  <c r="R1459" i="1" s="1"/>
  <c r="R1461" i="1" s="1"/>
  <c r="R1552" i="1"/>
  <c r="S1552" i="1"/>
  <c r="T1552" i="1" s="1"/>
  <c r="O1499" i="1"/>
  <c r="O1500" i="1" s="1"/>
  <c r="O311" i="1"/>
  <c r="S6906" i="1"/>
  <c r="T6907" i="1"/>
  <c r="S377" i="1"/>
  <c r="S376" i="1" s="1"/>
  <c r="S375" i="1" s="1"/>
  <c r="O378" i="1"/>
  <c r="R377" i="1"/>
  <c r="R376" i="1" s="1"/>
  <c r="R375" i="1" s="1"/>
  <c r="O67" i="1"/>
  <c r="R66" i="1"/>
  <c r="S66" i="1"/>
  <c r="S300" i="1"/>
  <c r="R300" i="1"/>
  <c r="S161" i="1"/>
  <c r="S160" i="1" s="1"/>
  <c r="S159" i="1" s="1"/>
  <c r="O162" i="1"/>
  <c r="R161" i="1"/>
  <c r="R160" i="1" s="1"/>
  <c r="R159" i="1" s="1"/>
  <c r="R275" i="1"/>
  <c r="R274" i="1" s="1"/>
  <c r="R273" i="1" s="1"/>
  <c r="R272" i="1" s="1"/>
  <c r="R271" i="1" s="1"/>
  <c r="R270" i="1" s="1"/>
  <c r="O276" i="1"/>
  <c r="T6611" i="1"/>
  <c r="S6610" i="1"/>
  <c r="R428" i="1"/>
  <c r="S428" i="1"/>
  <c r="O429" i="1"/>
  <c r="O358" i="1"/>
  <c r="R186" i="1"/>
  <c r="R185" i="1" s="1"/>
  <c r="S186" i="1"/>
  <c r="S185" i="1" s="1"/>
  <c r="R802" i="1"/>
  <c r="O803" i="1"/>
  <c r="R773" i="1"/>
  <c r="S773" i="1"/>
  <c r="O774" i="1"/>
  <c r="R696" i="1"/>
  <c r="S696" i="1"/>
  <c r="O697" i="1"/>
  <c r="R416" i="1"/>
  <c r="S416" i="1"/>
  <c r="O417" i="1"/>
  <c r="R117" i="1"/>
  <c r="S117" i="1"/>
  <c r="O118" i="1"/>
  <c r="S403" i="1"/>
  <c r="S402" i="1" s="1"/>
  <c r="S401" i="1" s="1"/>
  <c r="R403" i="1"/>
  <c r="R402" i="1" s="1"/>
  <c r="R401" i="1" s="1"/>
  <c r="R318" i="1"/>
  <c r="O319" i="1"/>
  <c r="S318" i="1"/>
  <c r="R452" i="1"/>
  <c r="R451" i="1" s="1"/>
  <c r="S452" i="1"/>
  <c r="S451" i="1" s="1"/>
  <c r="S501" i="1"/>
  <c r="S500" i="1" s="1"/>
  <c r="S499" i="1" s="1"/>
  <c r="O502" i="1"/>
  <c r="R501" i="1"/>
  <c r="R500" i="1" s="1"/>
  <c r="R499" i="1" s="1"/>
  <c r="O269" i="1"/>
  <c r="S740" i="1"/>
  <c r="R740" i="1"/>
  <c r="O741" i="1"/>
  <c r="R340" i="1"/>
  <c r="S340" i="1"/>
  <c r="S435" i="1"/>
  <c r="R435" i="1"/>
  <c r="O436" i="1"/>
  <c r="R170" i="1"/>
  <c r="S170" i="1"/>
  <c r="R386" i="1"/>
  <c r="R385" i="1" s="1"/>
  <c r="R384" i="1" s="1"/>
  <c r="S386" i="1"/>
  <c r="S385" i="1" s="1"/>
  <c r="S384" i="1" s="1"/>
  <c r="O387" i="1"/>
  <c r="R81" i="1"/>
  <c r="S81" i="1"/>
  <c r="O89" i="1"/>
  <c r="O6651" i="1"/>
  <c r="T6317" i="1"/>
  <c r="S6967" i="1" l="1"/>
  <c r="T6967" i="1" s="1"/>
  <c r="R6967" i="1"/>
  <c r="R2877" i="1"/>
  <c r="S2877" i="1"/>
  <c r="T2877" i="1" s="1"/>
  <c r="O2878" i="1"/>
  <c r="X26" i="1"/>
  <c r="Y26" i="1" s="1"/>
  <c r="AA26" i="1"/>
  <c r="Z26" i="1" s="1"/>
  <c r="W28" i="1"/>
  <c r="AD38" i="7"/>
  <c r="AD25" i="7"/>
  <c r="AD24" i="7"/>
  <c r="AD34" i="7"/>
  <c r="AD35" i="7" s="1"/>
  <c r="AC37" i="7"/>
  <c r="AC20" i="7"/>
  <c r="AC21" i="7"/>
  <c r="AD16" i="7"/>
  <c r="AD17" i="7" s="1"/>
  <c r="AD33" i="7"/>
  <c r="AD32" i="7"/>
  <c r="AD19" i="7"/>
  <c r="AD13" i="7"/>
  <c r="AD14" i="7"/>
  <c r="AE7" i="7"/>
  <c r="AF5" i="7"/>
  <c r="AE6" i="7"/>
  <c r="AE40" i="7"/>
  <c r="AE8" i="7"/>
  <c r="AE9" i="7" s="1"/>
  <c r="AF11" i="7"/>
  <c r="AE12" i="7"/>
  <c r="AN3" i="7"/>
  <c r="AM4" i="7"/>
  <c r="AD30" i="7"/>
  <c r="AC36" i="7"/>
  <c r="AD41" i="7"/>
  <c r="AD42" i="7" s="1"/>
  <c r="AG27" i="7"/>
  <c r="AF28" i="7"/>
  <c r="AF29" i="7" s="1"/>
  <c r="O2537" i="1"/>
  <c r="R2536" i="1"/>
  <c r="S2536" i="1"/>
  <c r="T2536" i="1" s="1"/>
  <c r="S917" i="1"/>
  <c r="T917" i="1" s="1"/>
  <c r="S1460" i="1"/>
  <c r="T1460" i="1" s="1"/>
  <c r="R1056" i="1"/>
  <c r="S1056" i="1"/>
  <c r="T1056" i="1" s="1"/>
  <c r="O1057" i="1"/>
  <c r="R1093" i="1"/>
  <c r="S1093" i="1"/>
  <c r="T1093" i="1" s="1"/>
  <c r="O1094" i="1"/>
  <c r="O1046" i="1"/>
  <c r="S1045" i="1"/>
  <c r="R1045" i="1"/>
  <c r="S919" i="1"/>
  <c r="T919" i="1" s="1"/>
  <c r="R919" i="1"/>
  <c r="O920" i="1"/>
  <c r="O1517" i="1"/>
  <c r="O1518" i="1" s="1"/>
  <c r="R1516" i="1"/>
  <c r="S1516" i="1"/>
  <c r="O1501" i="1"/>
  <c r="O1557" i="1"/>
  <c r="R1242" i="1"/>
  <c r="S1242" i="1"/>
  <c r="T1242" i="1" s="1"/>
  <c r="O1243" i="1"/>
  <c r="R1554" i="1"/>
  <c r="R1550" i="1" s="1"/>
  <c r="R1548" i="1" s="1"/>
  <c r="S1554" i="1"/>
  <c r="T1554" i="1" s="1"/>
  <c r="O1450" i="1"/>
  <c r="R1449" i="1"/>
  <c r="S1449" i="1"/>
  <c r="T1449" i="1" s="1"/>
  <c r="R883" i="1"/>
  <c r="O884" i="1"/>
  <c r="O1276" i="1"/>
  <c r="S1275" i="1"/>
  <c r="T1275" i="1" s="1"/>
  <c r="R1275" i="1"/>
  <c r="R1241" i="1"/>
  <c r="S1241" i="1"/>
  <c r="T1241" i="1" s="1"/>
  <c r="S1547" i="1"/>
  <c r="S1441" i="1"/>
  <c r="O1533" i="1"/>
  <c r="O1534" i="1" s="1"/>
  <c r="O1467" i="1"/>
  <c r="O1641" i="1"/>
  <c r="O1485" i="1"/>
  <c r="O1486" i="1" s="1"/>
  <c r="R6651" i="1"/>
  <c r="R6650" i="1" s="1"/>
  <c r="R6649" i="1" s="1"/>
  <c r="R6648" i="1" s="1"/>
  <c r="R6647" i="1" s="1"/>
  <c r="R6646" i="1" s="1"/>
  <c r="R6645" i="1" s="1"/>
  <c r="O6652" i="1"/>
  <c r="R436" i="1"/>
  <c r="S436" i="1"/>
  <c r="S319" i="1"/>
  <c r="R319" i="1"/>
  <c r="O320" i="1"/>
  <c r="S6905" i="1"/>
  <c r="T6905" i="1" s="1"/>
  <c r="T6906" i="1"/>
  <c r="S6609" i="1"/>
  <c r="T6609" i="1" s="1"/>
  <c r="T6610" i="1"/>
  <c r="S429" i="1"/>
  <c r="R429" i="1"/>
  <c r="O277" i="1"/>
  <c r="R276" i="1"/>
  <c r="S276" i="1"/>
  <c r="S275" i="1" s="1"/>
  <c r="S274" i="1" s="1"/>
  <c r="S273" i="1" s="1"/>
  <c r="S272" i="1" s="1"/>
  <c r="S271" i="1" s="1"/>
  <c r="S270" i="1" s="1"/>
  <c r="O312" i="1"/>
  <c r="O418" i="1"/>
  <c r="O698" i="1"/>
  <c r="R697" i="1"/>
  <c r="S697" i="1"/>
  <c r="R502" i="1"/>
  <c r="S502" i="1"/>
  <c r="R358" i="1"/>
  <c r="R357" i="1" s="1"/>
  <c r="R356" i="1" s="1"/>
  <c r="S358" i="1"/>
  <c r="S357" i="1" s="1"/>
  <c r="S356" i="1" s="1"/>
  <c r="O68" i="1"/>
  <c r="O119" i="1"/>
  <c r="S269" i="1"/>
  <c r="S268" i="1" s="1"/>
  <c r="R269" i="1"/>
  <c r="R268" i="1" s="1"/>
  <c r="R741" i="1"/>
  <c r="S741" i="1"/>
  <c r="O742" i="1"/>
  <c r="S774" i="1"/>
  <c r="O775" i="1"/>
  <c r="R774" i="1"/>
  <c r="O163" i="1"/>
  <c r="S378" i="1"/>
  <c r="R378" i="1"/>
  <c r="R89" i="1"/>
  <c r="R88" i="1" s="1"/>
  <c r="R87" i="1" s="1"/>
  <c r="S89" i="1"/>
  <c r="S88" i="1" s="1"/>
  <c r="S87" i="1" s="1"/>
  <c r="S387" i="1"/>
  <c r="O388" i="1"/>
  <c r="R387" i="1"/>
  <c r="R803" i="1"/>
  <c r="S803" i="1"/>
  <c r="S802" i="1" s="1"/>
  <c r="T6316" i="1"/>
  <c r="R2878" i="1" l="1"/>
  <c r="S2878" i="1"/>
  <c r="T2878" i="1" s="1"/>
  <c r="O2879" i="1"/>
  <c r="X27" i="1"/>
  <c r="Y27" i="1" s="1"/>
  <c r="AA27" i="1"/>
  <c r="Z27" i="1" s="1"/>
  <c r="W29" i="1"/>
  <c r="T1045" i="1"/>
  <c r="S1044" i="1"/>
  <c r="T1044" i="1" s="1"/>
  <c r="AE38" i="7"/>
  <c r="AE24" i="7"/>
  <c r="AE25" i="7"/>
  <c r="AD36" i="7"/>
  <c r="AD37" i="7"/>
  <c r="AE34" i="7"/>
  <c r="AE35" i="7" s="1"/>
  <c r="AG5" i="7"/>
  <c r="AF6" i="7"/>
  <c r="AF7" i="7"/>
  <c r="AF40" i="7"/>
  <c r="AF8" i="7"/>
  <c r="AF9" i="7" s="1"/>
  <c r="AE13" i="7"/>
  <c r="AE14" i="7"/>
  <c r="AE32" i="7"/>
  <c r="AG11" i="7"/>
  <c r="AF12" i="7"/>
  <c r="AE33" i="7"/>
  <c r="AE16" i="7"/>
  <c r="AE17" i="7" s="1"/>
  <c r="AD20" i="7"/>
  <c r="AD21" i="7"/>
  <c r="AE19" i="7"/>
  <c r="AO3" i="7"/>
  <c r="AN4" i="7"/>
  <c r="AG28" i="7"/>
  <c r="AG29" i="7" s="1"/>
  <c r="AH27" i="7"/>
  <c r="AE30" i="7"/>
  <c r="AE41" i="7"/>
  <c r="AE42" i="7" s="1"/>
  <c r="O2538" i="1"/>
  <c r="R2537" i="1"/>
  <c r="S2537" i="1"/>
  <c r="T2537" i="1" s="1"/>
  <c r="S1459" i="1"/>
  <c r="T1459" i="1" s="1"/>
  <c r="S1517" i="1"/>
  <c r="T1517" i="1" s="1"/>
  <c r="S1518" i="1"/>
  <c r="T1518" i="1" s="1"/>
  <c r="R1518" i="1"/>
  <c r="R1046" i="1"/>
  <c r="S1046" i="1"/>
  <c r="T1046" i="1" s="1"/>
  <c r="O1047" i="1"/>
  <c r="O1558" i="1"/>
  <c r="R1517" i="1"/>
  <c r="R1450" i="1"/>
  <c r="S1450" i="1"/>
  <c r="T1450" i="1" s="1"/>
  <c r="O1451" i="1"/>
  <c r="O1095" i="1"/>
  <c r="R1094" i="1"/>
  <c r="S1094" i="1"/>
  <c r="T1094" i="1" s="1"/>
  <c r="S920" i="1"/>
  <c r="T920" i="1" s="1"/>
  <c r="R920" i="1"/>
  <c r="O921" i="1"/>
  <c r="O1487" i="1"/>
  <c r="O1642" i="1"/>
  <c r="S1276" i="1"/>
  <c r="T1276" i="1" s="1"/>
  <c r="R1276" i="1"/>
  <c r="O1277" i="1"/>
  <c r="R884" i="1"/>
  <c r="S884" i="1"/>
  <c r="O885" i="1"/>
  <c r="S1243" i="1"/>
  <c r="T1243" i="1" s="1"/>
  <c r="R1243" i="1"/>
  <c r="O1502" i="1"/>
  <c r="R1057" i="1"/>
  <c r="S1057" i="1"/>
  <c r="T1057" i="1" s="1"/>
  <c r="T1516" i="1"/>
  <c r="S1515" i="1"/>
  <c r="O938" i="1"/>
  <c r="O939" i="1" s="1"/>
  <c r="T1441" i="1"/>
  <c r="S1437" i="1"/>
  <c r="S1436" i="1" s="1"/>
  <c r="T1436" i="1" s="1"/>
  <c r="T1547" i="1"/>
  <c r="S1546" i="1"/>
  <c r="S1447" i="1"/>
  <c r="O1535" i="1"/>
  <c r="O1536" i="1" s="1"/>
  <c r="R1641" i="1"/>
  <c r="S1641" i="1"/>
  <c r="S277" i="1"/>
  <c r="R277" i="1"/>
  <c r="O69" i="1"/>
  <c r="S418" i="1"/>
  <c r="S417" i="1" s="1"/>
  <c r="R418" i="1"/>
  <c r="R417" i="1" s="1"/>
  <c r="R320" i="1"/>
  <c r="S320" i="1"/>
  <c r="O321" i="1"/>
  <c r="R775" i="1"/>
  <c r="S775" i="1"/>
  <c r="O776" i="1"/>
  <c r="S742" i="1"/>
  <c r="O743" i="1"/>
  <c r="R742" i="1"/>
  <c r="R6652" i="1"/>
  <c r="S6652" i="1"/>
  <c r="S6651" i="1" s="1"/>
  <c r="S6650" i="1" s="1"/>
  <c r="S6649" i="1" s="1"/>
  <c r="S6648" i="1" s="1"/>
  <c r="S6647" i="1" s="1"/>
  <c r="S6646" i="1" s="1"/>
  <c r="S6645" i="1" s="1"/>
  <c r="O6653" i="1"/>
  <c r="O699" i="1"/>
  <c r="R388" i="1"/>
  <c r="S388" i="1"/>
  <c r="O389" i="1"/>
  <c r="O120" i="1"/>
  <c r="R312" i="1"/>
  <c r="R311" i="1" s="1"/>
  <c r="R310" i="1" s="1"/>
  <c r="S312" i="1"/>
  <c r="S311" i="1" s="1"/>
  <c r="S310" i="1" s="1"/>
  <c r="S163" i="1"/>
  <c r="S162" i="1" s="1"/>
  <c r="R163" i="1"/>
  <c r="R162" i="1" s="1"/>
  <c r="T6315" i="1"/>
  <c r="T6314" i="1"/>
  <c r="O2880" i="1" l="1"/>
  <c r="R2879" i="1"/>
  <c r="S2879" i="1"/>
  <c r="T2879" i="1" s="1"/>
  <c r="X28" i="1"/>
  <c r="Y28" i="1" s="1"/>
  <c r="AA28" i="1"/>
  <c r="Z28" i="1" s="1"/>
  <c r="W30" i="1"/>
  <c r="T884" i="1"/>
  <c r="S883" i="1"/>
  <c r="T883" i="1" s="1"/>
  <c r="AF38" i="7"/>
  <c r="AF24" i="7"/>
  <c r="AF25" i="7"/>
  <c r="AE37" i="7"/>
  <c r="AF13" i="7"/>
  <c r="AF14" i="7"/>
  <c r="AF34" i="7"/>
  <c r="AF35" i="7" s="1"/>
  <c r="AE20" i="7"/>
  <c r="AE21" i="7"/>
  <c r="AH11" i="7"/>
  <c r="AG12" i="7"/>
  <c r="AF16" i="7"/>
  <c r="AF17" i="7" s="1"/>
  <c r="AF33" i="7"/>
  <c r="AF32" i="7"/>
  <c r="AF19" i="7"/>
  <c r="AG6" i="7"/>
  <c r="AG7" i="7"/>
  <c r="AH5" i="7"/>
  <c r="AG40" i="7"/>
  <c r="AG8" i="7"/>
  <c r="AG9" i="7" s="1"/>
  <c r="AO4" i="7"/>
  <c r="AP3" i="7"/>
  <c r="AH28" i="7"/>
  <c r="AH29" i="7" s="1"/>
  <c r="AI27" i="7"/>
  <c r="AE36" i="7"/>
  <c r="AF41" i="7"/>
  <c r="AF42" i="7" s="1"/>
  <c r="AF30" i="7"/>
  <c r="R2538" i="1"/>
  <c r="S2538" i="1"/>
  <c r="T2538" i="1" s="1"/>
  <c r="O2539" i="1"/>
  <c r="S1458" i="1"/>
  <c r="S1457" i="1" s="1"/>
  <c r="T1457" i="1" s="1"/>
  <c r="T1515" i="1"/>
  <c r="S1514" i="1"/>
  <c r="T1514" i="1" s="1"/>
  <c r="T1546" i="1"/>
  <c r="S1545" i="1"/>
  <c r="O1643" i="1"/>
  <c r="R1642" i="1"/>
  <c r="S1642" i="1"/>
  <c r="T1642" i="1" s="1"/>
  <c r="R939" i="1"/>
  <c r="O940" i="1"/>
  <c r="R885" i="1"/>
  <c r="S885" i="1"/>
  <c r="T885" i="1" s="1"/>
  <c r="O1559" i="1"/>
  <c r="S1095" i="1"/>
  <c r="T1095" i="1" s="1"/>
  <c r="R1095" i="1"/>
  <c r="O1048" i="1"/>
  <c r="R1047" i="1"/>
  <c r="S1047" i="1"/>
  <c r="T1047" i="1" s="1"/>
  <c r="O1452" i="1"/>
  <c r="R1451" i="1"/>
  <c r="S1451" i="1"/>
  <c r="T1451" i="1" s="1"/>
  <c r="O1488" i="1"/>
  <c r="T1641" i="1"/>
  <c r="S1640" i="1"/>
  <c r="T1640" i="1" s="1"/>
  <c r="O1278" i="1"/>
  <c r="R1277" i="1"/>
  <c r="S1277" i="1"/>
  <c r="T1277" i="1" s="1"/>
  <c r="O922" i="1"/>
  <c r="R921" i="1"/>
  <c r="S921" i="1"/>
  <c r="T921" i="1" s="1"/>
  <c r="O1537" i="1"/>
  <c r="T1447" i="1"/>
  <c r="S1446" i="1"/>
  <c r="O1503" i="1"/>
  <c r="S938" i="1"/>
  <c r="T938" i="1" s="1"/>
  <c r="R938" i="1"/>
  <c r="S1462" i="1"/>
  <c r="T1462" i="1" s="1"/>
  <c r="T1437" i="1"/>
  <c r="S1435" i="1"/>
  <c r="O1590" i="1"/>
  <c r="O1591" i="1" s="1"/>
  <c r="O1573" i="1"/>
  <c r="O1574" i="1" s="1"/>
  <c r="O1575" i="1" s="1"/>
  <c r="R699" i="1"/>
  <c r="R698" i="1" s="1"/>
  <c r="S699" i="1"/>
  <c r="S698" i="1" s="1"/>
  <c r="S776" i="1"/>
  <c r="R776" i="1"/>
  <c r="O777" i="1"/>
  <c r="S321" i="1"/>
  <c r="R321" i="1"/>
  <c r="O322" i="1"/>
  <c r="R69" i="1"/>
  <c r="R68" i="1" s="1"/>
  <c r="R67" i="1" s="1"/>
  <c r="S69" i="1"/>
  <c r="S68" i="1" s="1"/>
  <c r="S67" i="1" s="1"/>
  <c r="O70" i="1"/>
  <c r="S6653" i="1"/>
  <c r="T6653" i="1" s="1"/>
  <c r="O6654" i="1"/>
  <c r="R6653" i="1"/>
  <c r="R743" i="1"/>
  <c r="S743" i="1"/>
  <c r="O121" i="1"/>
  <c r="S389" i="1"/>
  <c r="R389" i="1"/>
  <c r="O390" i="1"/>
  <c r="T6652" i="1"/>
  <c r="S2880" i="1" l="1"/>
  <c r="T2880" i="1" s="1"/>
  <c r="R2880" i="1"/>
  <c r="X29" i="1"/>
  <c r="Y29" i="1" s="1"/>
  <c r="AA29" i="1"/>
  <c r="Z29" i="1" s="1"/>
  <c r="W31" i="1"/>
  <c r="AG38" i="7"/>
  <c r="AG24" i="7"/>
  <c r="AG25" i="7"/>
  <c r="AF37" i="7"/>
  <c r="AG34" i="7"/>
  <c r="AG35" i="7" s="1"/>
  <c r="AG32" i="7"/>
  <c r="AF20" i="7"/>
  <c r="AF21" i="7"/>
  <c r="AG33" i="7"/>
  <c r="AG16" i="7"/>
  <c r="AG17" i="7" s="1"/>
  <c r="AH6" i="7"/>
  <c r="AH7" i="7"/>
  <c r="AI5" i="7"/>
  <c r="AH40" i="7"/>
  <c r="AH8" i="7"/>
  <c r="AH9" i="7" s="1"/>
  <c r="AI11" i="7"/>
  <c r="AH12" i="7"/>
  <c r="AG19" i="7"/>
  <c r="AG14" i="7"/>
  <c r="AG13" i="7"/>
  <c r="AP4" i="7"/>
  <c r="AQ3" i="7"/>
  <c r="AG30" i="7"/>
  <c r="AG41" i="7"/>
  <c r="AG42" i="7" s="1"/>
  <c r="AF36" i="7"/>
  <c r="AI28" i="7"/>
  <c r="AI29" i="7" s="1"/>
  <c r="AJ27" i="7"/>
  <c r="O2540" i="1"/>
  <c r="R2539" i="1"/>
  <c r="S2539" i="1"/>
  <c r="T2539" i="1" s="1"/>
  <c r="T1458" i="1"/>
  <c r="S1456" i="1"/>
  <c r="T1456" i="1" s="1"/>
  <c r="O1504" i="1"/>
  <c r="R1503" i="1"/>
  <c r="S1503" i="1"/>
  <c r="R1575" i="1"/>
  <c r="S1575" i="1"/>
  <c r="T1575" i="1" s="1"/>
  <c r="O1576" i="1"/>
  <c r="T1446" i="1"/>
  <c r="S1445" i="1"/>
  <c r="S1452" i="1"/>
  <c r="T1452" i="1" s="1"/>
  <c r="R1452" i="1"/>
  <c r="O1453" i="1"/>
  <c r="O1560" i="1"/>
  <c r="R1591" i="1"/>
  <c r="R1590" i="1" s="1"/>
  <c r="R1589" i="1" s="1"/>
  <c r="O1592" i="1"/>
  <c r="O1593" i="1" s="1"/>
  <c r="R1278" i="1"/>
  <c r="S1278" i="1"/>
  <c r="T1278" i="1" s="1"/>
  <c r="T1435" i="1"/>
  <c r="S1434" i="1"/>
  <c r="R1643" i="1"/>
  <c r="S1643" i="1"/>
  <c r="T1643" i="1" s="1"/>
  <c r="O1644" i="1"/>
  <c r="R1574" i="1"/>
  <c r="R1573" i="1" s="1"/>
  <c r="R1572" i="1" s="1"/>
  <c r="O1538" i="1"/>
  <c r="R1537" i="1"/>
  <c r="S1537" i="1"/>
  <c r="O1049" i="1"/>
  <c r="R1048" i="1"/>
  <c r="T1545" i="1"/>
  <c r="S1544" i="1"/>
  <c r="O1489" i="1"/>
  <c r="S940" i="1"/>
  <c r="O941" i="1"/>
  <c r="R940" i="1"/>
  <c r="R922" i="1"/>
  <c r="S922" i="1"/>
  <c r="T922" i="1" s="1"/>
  <c r="O923" i="1"/>
  <c r="S1513" i="1"/>
  <c r="O1613" i="1"/>
  <c r="O1614" i="1" s="1"/>
  <c r="R70" i="1"/>
  <c r="S70" i="1"/>
  <c r="S322" i="1"/>
  <c r="R322" i="1"/>
  <c r="O122" i="1"/>
  <c r="R777" i="1"/>
  <c r="S777" i="1"/>
  <c r="O778" i="1"/>
  <c r="R390" i="1"/>
  <c r="S390" i="1"/>
  <c r="R6654" i="1"/>
  <c r="O6655" i="1"/>
  <c r="S6654" i="1"/>
  <c r="T6654" i="1" s="1"/>
  <c r="T6651" i="1"/>
  <c r="X30" i="1" l="1"/>
  <c r="Y30" i="1" s="1"/>
  <c r="AA30" i="1"/>
  <c r="Z30" i="1" s="1"/>
  <c r="W32" i="1"/>
  <c r="T940" i="1"/>
  <c r="S939" i="1"/>
  <c r="T939" i="1" s="1"/>
  <c r="AH38" i="7"/>
  <c r="AH25" i="7"/>
  <c r="AH24" i="7"/>
  <c r="AG37" i="7"/>
  <c r="AH34" i="7"/>
  <c r="AH35" i="7" s="1"/>
  <c r="AG20" i="7"/>
  <c r="AG21" i="7"/>
  <c r="AI7" i="7"/>
  <c r="AJ5" i="7"/>
  <c r="AI6" i="7"/>
  <c r="AI40" i="7"/>
  <c r="AI8" i="7"/>
  <c r="AI9" i="7" s="1"/>
  <c r="AH32" i="7"/>
  <c r="AH19" i="7"/>
  <c r="AH13" i="7"/>
  <c r="AH14" i="7"/>
  <c r="AJ11" i="7"/>
  <c r="AI12" i="7"/>
  <c r="AH33" i="7"/>
  <c r="AH16" i="7"/>
  <c r="AH17" i="7" s="1"/>
  <c r="AQ4" i="7"/>
  <c r="AR3" i="7"/>
  <c r="AH30" i="7"/>
  <c r="AH41" i="7"/>
  <c r="AH42" i="7" s="1"/>
  <c r="AG36" i="7"/>
  <c r="AK27" i="7"/>
  <c r="AJ28" i="7"/>
  <c r="AJ29" i="7" s="1"/>
  <c r="O2541" i="1"/>
  <c r="R2540" i="1"/>
  <c r="S2540" i="1"/>
  <c r="T2540" i="1" s="1"/>
  <c r="S1455" i="1"/>
  <c r="S1574" i="1"/>
  <c r="R1588" i="1"/>
  <c r="R1587" i="1" s="1"/>
  <c r="T1513" i="1"/>
  <c r="S1512" i="1"/>
  <c r="S1444" i="1"/>
  <c r="T1445" i="1"/>
  <c r="O942" i="1"/>
  <c r="R941" i="1"/>
  <c r="S941" i="1"/>
  <c r="T941" i="1" s="1"/>
  <c r="R1049" i="1"/>
  <c r="S1049" i="1"/>
  <c r="T1434" i="1"/>
  <c r="S1433" i="1"/>
  <c r="S1576" i="1"/>
  <c r="T1576" i="1" s="1"/>
  <c r="R1576" i="1"/>
  <c r="O1615" i="1"/>
  <c r="R1614" i="1"/>
  <c r="S1614" i="1"/>
  <c r="T1614" i="1" s="1"/>
  <c r="T1537" i="1"/>
  <c r="S1536" i="1"/>
  <c r="O1561" i="1"/>
  <c r="O1490" i="1"/>
  <c r="S1489" i="1"/>
  <c r="O1539" i="1"/>
  <c r="S1538" i="1"/>
  <c r="T1538" i="1" s="1"/>
  <c r="O1454" i="1"/>
  <c r="S1454" i="1" s="1"/>
  <c r="T1454" i="1" s="1"/>
  <c r="R1453" i="1"/>
  <c r="S1453" i="1"/>
  <c r="T1453" i="1" s="1"/>
  <c r="T1503" i="1"/>
  <c r="S1502" i="1"/>
  <c r="R1571" i="1"/>
  <c r="R1570" i="1" s="1"/>
  <c r="O924" i="1"/>
  <c r="R923" i="1"/>
  <c r="S923" i="1"/>
  <c r="T923" i="1" s="1"/>
  <c r="S1644" i="1"/>
  <c r="T1644" i="1" s="1"/>
  <c r="R1644" i="1"/>
  <c r="O1645" i="1"/>
  <c r="S1592" i="1"/>
  <c r="R1592" i="1"/>
  <c r="O1505" i="1"/>
  <c r="S1504" i="1"/>
  <c r="T1504" i="1" s="1"/>
  <c r="R1593" i="1"/>
  <c r="S1593" i="1"/>
  <c r="T1593" i="1" s="1"/>
  <c r="O1594" i="1"/>
  <c r="O1595" i="1" s="1"/>
  <c r="R1613" i="1"/>
  <c r="O1468" i="1"/>
  <c r="S6655" i="1"/>
  <c r="T6655" i="1" s="1"/>
  <c r="O6656" i="1"/>
  <c r="R6655" i="1"/>
  <c r="R122" i="1"/>
  <c r="R121" i="1" s="1"/>
  <c r="R120" i="1" s="1"/>
  <c r="R119" i="1" s="1"/>
  <c r="R118" i="1" s="1"/>
  <c r="S122" i="1"/>
  <c r="S121" i="1" s="1"/>
  <c r="S120" i="1" s="1"/>
  <c r="S119" i="1" s="1"/>
  <c r="S118" i="1" s="1"/>
  <c r="O123" i="1"/>
  <c r="S778" i="1"/>
  <c r="R778" i="1"/>
  <c r="O779" i="1"/>
  <c r="T6650" i="1"/>
  <c r="X31" i="1" l="1"/>
  <c r="Y31" i="1" s="1"/>
  <c r="AA31" i="1"/>
  <c r="Z31" i="1" s="1"/>
  <c r="W33" i="1"/>
  <c r="T1049" i="1"/>
  <c r="S1048" i="1"/>
  <c r="T1048" i="1" s="1"/>
  <c r="AI38" i="7"/>
  <c r="AI25" i="7"/>
  <c r="AI24" i="7"/>
  <c r="AH37" i="7"/>
  <c r="AK11" i="7"/>
  <c r="AJ12" i="7"/>
  <c r="AI34" i="7"/>
  <c r="AI35" i="7" s="1"/>
  <c r="AI33" i="7"/>
  <c r="AI16" i="7"/>
  <c r="AI17" i="7" s="1"/>
  <c r="AI19" i="7"/>
  <c r="AK5" i="7"/>
  <c r="AJ6" i="7"/>
  <c r="AJ7" i="7"/>
  <c r="AJ40" i="7"/>
  <c r="AJ8" i="7"/>
  <c r="AJ9" i="7" s="1"/>
  <c r="AI32" i="7"/>
  <c r="AH20" i="7"/>
  <c r="AH21" i="7"/>
  <c r="AI13" i="7"/>
  <c r="AI14" i="7"/>
  <c r="AS3" i="7"/>
  <c r="AR4" i="7"/>
  <c r="AI30" i="7"/>
  <c r="AI41" i="7"/>
  <c r="AI42" i="7" s="1"/>
  <c r="AL27" i="7"/>
  <c r="AK28" i="7"/>
  <c r="AK29" i="7" s="1"/>
  <c r="AH36" i="7"/>
  <c r="R2541" i="1"/>
  <c r="S2541" i="1"/>
  <c r="T2541" i="1" s="1"/>
  <c r="O2542" i="1"/>
  <c r="S1613" i="1"/>
  <c r="T1613" i="1" s="1"/>
  <c r="T1574" i="1"/>
  <c r="S1573" i="1"/>
  <c r="R1569" i="1"/>
  <c r="T1489" i="1"/>
  <c r="S1488" i="1"/>
  <c r="T1444" i="1"/>
  <c r="S1443" i="1"/>
  <c r="R1505" i="1"/>
  <c r="S1505" i="1"/>
  <c r="T1505" i="1" s="1"/>
  <c r="O1506" i="1"/>
  <c r="T1536" i="1"/>
  <c r="S1535" i="1"/>
  <c r="O1562" i="1"/>
  <c r="R1561" i="1"/>
  <c r="S1561" i="1"/>
  <c r="O925" i="1"/>
  <c r="R924" i="1"/>
  <c r="O1596" i="1"/>
  <c r="S1595" i="1"/>
  <c r="T1595" i="1" s="1"/>
  <c r="T1592" i="1"/>
  <c r="S1591" i="1"/>
  <c r="O1540" i="1"/>
  <c r="S1539" i="1"/>
  <c r="T1539" i="1" s="1"/>
  <c r="T1512" i="1"/>
  <c r="S1511" i="1"/>
  <c r="O1646" i="1"/>
  <c r="R1645" i="1"/>
  <c r="S1645" i="1"/>
  <c r="T1645" i="1" s="1"/>
  <c r="T1502" i="1"/>
  <c r="S1501" i="1"/>
  <c r="O1491" i="1"/>
  <c r="R1490" i="1"/>
  <c r="S1490" i="1"/>
  <c r="T1490" i="1" s="1"/>
  <c r="R1615" i="1"/>
  <c r="S1615" i="1"/>
  <c r="T1615" i="1" s="1"/>
  <c r="R942" i="1"/>
  <c r="S942" i="1"/>
  <c r="T942" i="1" s="1"/>
  <c r="O943" i="1"/>
  <c r="R1594" i="1"/>
  <c r="S1594" i="1"/>
  <c r="T1594" i="1" s="1"/>
  <c r="O1469" i="1"/>
  <c r="O1470" i="1" s="1"/>
  <c r="R779" i="1"/>
  <c r="S779" i="1"/>
  <c r="O780" i="1"/>
  <c r="R6656" i="1"/>
  <c r="S6656" i="1"/>
  <c r="T6656" i="1" s="1"/>
  <c r="R123" i="1"/>
  <c r="S123" i="1"/>
  <c r="T6649" i="1"/>
  <c r="W34" i="1" l="1"/>
  <c r="X32" i="1"/>
  <c r="Y32" i="1" s="1"/>
  <c r="AA32" i="1"/>
  <c r="Z32" i="1" s="1"/>
  <c r="AJ38" i="7"/>
  <c r="AJ25" i="7"/>
  <c r="AJ24" i="7"/>
  <c r="AJ34" i="7"/>
  <c r="AJ35" i="7" s="1"/>
  <c r="AI37" i="7"/>
  <c r="AJ32" i="7"/>
  <c r="AJ19" i="7"/>
  <c r="AK7" i="7"/>
  <c r="AL5" i="7"/>
  <c r="AK40" i="7"/>
  <c r="AK6" i="7"/>
  <c r="AK8" i="7"/>
  <c r="AK9" i="7" s="1"/>
  <c r="AJ14" i="7"/>
  <c r="AJ13" i="7"/>
  <c r="AJ16" i="7"/>
  <c r="AJ17" i="7" s="1"/>
  <c r="AJ33" i="7"/>
  <c r="AI20" i="7"/>
  <c r="AI21" i="7"/>
  <c r="AL11" i="7"/>
  <c r="AK12" i="7"/>
  <c r="AT3" i="7"/>
  <c r="AS4" i="7"/>
  <c r="AM27" i="7"/>
  <c r="AL28" i="7"/>
  <c r="AL29" i="7" s="1"/>
  <c r="AI36" i="7"/>
  <c r="AJ30" i="7"/>
  <c r="AJ41" i="7"/>
  <c r="AJ42" i="7" s="1"/>
  <c r="O2543" i="1"/>
  <c r="R2542" i="1"/>
  <c r="S2542" i="1"/>
  <c r="T2542" i="1" s="1"/>
  <c r="T1573" i="1"/>
  <c r="S1572" i="1"/>
  <c r="T1591" i="1"/>
  <c r="S1590" i="1"/>
  <c r="T1501" i="1"/>
  <c r="S1500" i="1"/>
  <c r="O1563" i="1"/>
  <c r="S1562" i="1"/>
  <c r="T1562" i="1" s="1"/>
  <c r="S1442" i="1"/>
  <c r="T1443" i="1"/>
  <c r="O944" i="1"/>
  <c r="R943" i="1"/>
  <c r="S943" i="1"/>
  <c r="T943" i="1" s="1"/>
  <c r="O1647" i="1"/>
  <c r="S1646" i="1"/>
  <c r="T1646" i="1" s="1"/>
  <c r="R1646" i="1"/>
  <c r="O1597" i="1"/>
  <c r="S1596" i="1"/>
  <c r="T1596" i="1" s="1"/>
  <c r="R1596" i="1"/>
  <c r="S1510" i="1"/>
  <c r="T1511" i="1"/>
  <c r="T1535" i="1"/>
  <c r="S1534" i="1"/>
  <c r="T1488" i="1"/>
  <c r="S1487" i="1"/>
  <c r="O1471" i="1"/>
  <c r="O1492" i="1"/>
  <c r="S1491" i="1"/>
  <c r="T1491" i="1" s="1"/>
  <c r="R925" i="1"/>
  <c r="S925" i="1"/>
  <c r="O926" i="1"/>
  <c r="O1507" i="1"/>
  <c r="R1506" i="1"/>
  <c r="S1506" i="1"/>
  <c r="T1506" i="1" s="1"/>
  <c r="O1541" i="1"/>
  <c r="S1540" i="1"/>
  <c r="T1540" i="1" s="1"/>
  <c r="T1561" i="1"/>
  <c r="S1560" i="1"/>
  <c r="O1616" i="1"/>
  <c r="O1617" i="1" s="1"/>
  <c r="S780" i="1"/>
  <c r="R780" i="1"/>
  <c r="O781" i="1"/>
  <c r="T6648" i="1"/>
  <c r="X33" i="1" l="1"/>
  <c r="Y33" i="1" s="1"/>
  <c r="AA33" i="1"/>
  <c r="Z33" i="1" s="1"/>
  <c r="W35" i="1"/>
  <c r="T925" i="1"/>
  <c r="S924" i="1"/>
  <c r="T924" i="1" s="1"/>
  <c r="AK38" i="7"/>
  <c r="AK25" i="7"/>
  <c r="AK24" i="7"/>
  <c r="AJ37" i="7"/>
  <c r="AM5" i="7"/>
  <c r="AL6" i="7"/>
  <c r="AL40" i="7"/>
  <c r="AL7" i="7"/>
  <c r="AL8" i="7"/>
  <c r="AL9" i="7" s="1"/>
  <c r="AJ20" i="7"/>
  <c r="AJ21" i="7"/>
  <c r="AK14" i="7"/>
  <c r="AK13" i="7"/>
  <c r="AM11" i="7"/>
  <c r="AL12" i="7"/>
  <c r="AK34" i="7"/>
  <c r="AK35" i="7" s="1"/>
  <c r="AK16" i="7"/>
  <c r="AK17" i="7" s="1"/>
  <c r="AK33" i="7"/>
  <c r="AK19" i="7"/>
  <c r="AK32" i="7"/>
  <c r="AT4" i="7"/>
  <c r="AU3" i="7"/>
  <c r="AJ36" i="7"/>
  <c r="AM28" i="7"/>
  <c r="AM29" i="7" s="1"/>
  <c r="AN27" i="7"/>
  <c r="AK30" i="7"/>
  <c r="AK41" i="7"/>
  <c r="AK42" i="7" s="1"/>
  <c r="S2543" i="1"/>
  <c r="T2543" i="1" s="1"/>
  <c r="R2543" i="1"/>
  <c r="O2544" i="1"/>
  <c r="T1572" i="1"/>
  <c r="S1571" i="1"/>
  <c r="R1563" i="1"/>
  <c r="S1563" i="1"/>
  <c r="T1563" i="1" s="1"/>
  <c r="O1564" i="1"/>
  <c r="R1617" i="1"/>
  <c r="S1617" i="1"/>
  <c r="T1617" i="1" s="1"/>
  <c r="O1618" i="1"/>
  <c r="O1493" i="1"/>
  <c r="S1492" i="1"/>
  <c r="T1492" i="1" s="1"/>
  <c r="R944" i="1"/>
  <c r="S944" i="1"/>
  <c r="T944" i="1" s="1"/>
  <c r="O945" i="1"/>
  <c r="T1500" i="1"/>
  <c r="S1499" i="1"/>
  <c r="O1542" i="1"/>
  <c r="S1541" i="1"/>
  <c r="T1541" i="1" s="1"/>
  <c r="O1472" i="1"/>
  <c r="S1471" i="1"/>
  <c r="R1471" i="1"/>
  <c r="O1508" i="1"/>
  <c r="R1507" i="1"/>
  <c r="S1507" i="1"/>
  <c r="T1507" i="1" s="1"/>
  <c r="T1487" i="1"/>
  <c r="S1486" i="1"/>
  <c r="O1598" i="1"/>
  <c r="S1597" i="1"/>
  <c r="T1597" i="1" s="1"/>
  <c r="O927" i="1"/>
  <c r="R926" i="1"/>
  <c r="T1560" i="1"/>
  <c r="S1559" i="1"/>
  <c r="T1590" i="1"/>
  <c r="S1589" i="1"/>
  <c r="T1534" i="1"/>
  <c r="S1533" i="1"/>
  <c r="O1648" i="1"/>
  <c r="R1647" i="1"/>
  <c r="S1647" i="1"/>
  <c r="T1647" i="1" s="1"/>
  <c r="S1616" i="1"/>
  <c r="T1616" i="1" s="1"/>
  <c r="R1616" i="1"/>
  <c r="S781" i="1"/>
  <c r="O782" i="1"/>
  <c r="R781" i="1"/>
  <c r="T6647" i="1"/>
  <c r="W36" i="1" l="1"/>
  <c r="X34" i="1"/>
  <c r="Y34" i="1" s="1"/>
  <c r="AA34" i="1"/>
  <c r="Z34" i="1" s="1"/>
  <c r="AL38" i="7"/>
  <c r="AL24" i="7"/>
  <c r="AL25" i="7"/>
  <c r="AK37" i="7"/>
  <c r="AL34" i="7"/>
  <c r="AL35" i="7" s="1"/>
  <c r="AL16" i="7"/>
  <c r="AL17" i="7" s="1"/>
  <c r="AL33" i="7"/>
  <c r="AK20" i="7"/>
  <c r="AK21" i="7"/>
  <c r="AN11" i="7"/>
  <c r="AM12" i="7"/>
  <c r="AL13" i="7"/>
  <c r="AL14" i="7"/>
  <c r="AL19" i="7"/>
  <c r="AL32" i="7"/>
  <c r="AM7" i="7"/>
  <c r="AN5" i="7"/>
  <c r="AM6" i="7"/>
  <c r="AM40" i="7"/>
  <c r="AM8" i="7"/>
  <c r="AM9" i="7" s="1"/>
  <c r="AV3" i="7"/>
  <c r="AU4" i="7"/>
  <c r="AL41" i="7"/>
  <c r="AL42" i="7" s="1"/>
  <c r="AL30" i="7"/>
  <c r="AO27" i="7"/>
  <c r="AN28" i="7"/>
  <c r="AN29" i="7" s="1"/>
  <c r="AK36" i="7"/>
  <c r="R2544" i="1"/>
  <c r="S2544" i="1"/>
  <c r="T2544" i="1" s="1"/>
  <c r="T1571" i="1"/>
  <c r="S1570" i="1"/>
  <c r="S1648" i="1"/>
  <c r="T1648" i="1" s="1"/>
  <c r="R1648" i="1"/>
  <c r="O1649" i="1"/>
  <c r="R1493" i="1"/>
  <c r="O1494" i="1"/>
  <c r="S1493" i="1"/>
  <c r="T1493" i="1" s="1"/>
  <c r="O1543" i="1"/>
  <c r="S1542" i="1"/>
  <c r="T1542" i="1" s="1"/>
  <c r="R1542" i="1"/>
  <c r="O1509" i="1"/>
  <c r="S1508" i="1"/>
  <c r="T1508" i="1" s="1"/>
  <c r="R1508" i="1"/>
  <c r="T1499" i="1"/>
  <c r="S1498" i="1"/>
  <c r="R1618" i="1"/>
  <c r="S1618" i="1"/>
  <c r="T1618" i="1" s="1"/>
  <c r="O1619" i="1"/>
  <c r="O1620" i="1" s="1"/>
  <c r="T1533" i="1"/>
  <c r="S1532" i="1"/>
  <c r="R927" i="1"/>
  <c r="S927" i="1"/>
  <c r="O928" i="1"/>
  <c r="O946" i="1"/>
  <c r="R945" i="1"/>
  <c r="S945" i="1"/>
  <c r="T945" i="1" s="1"/>
  <c r="S1598" i="1"/>
  <c r="T1598" i="1" s="1"/>
  <c r="O1599" i="1"/>
  <c r="R1598" i="1"/>
  <c r="R1595" i="1" s="1"/>
  <c r="R1597" i="1" s="1"/>
  <c r="O1565" i="1"/>
  <c r="R1564" i="1"/>
  <c r="S1564" i="1"/>
  <c r="T1564" i="1" s="1"/>
  <c r="T1486" i="1"/>
  <c r="S1485" i="1"/>
  <c r="T1471" i="1"/>
  <c r="S1470" i="1"/>
  <c r="S1588" i="1"/>
  <c r="T1589" i="1"/>
  <c r="T1559" i="1"/>
  <c r="S1558" i="1"/>
  <c r="R1472" i="1"/>
  <c r="S1472" i="1"/>
  <c r="T1472" i="1" s="1"/>
  <c r="O1473" i="1"/>
  <c r="S782" i="1"/>
  <c r="R782" i="1"/>
  <c r="O783" i="1"/>
  <c r="T6646" i="1"/>
  <c r="T6645" i="1"/>
  <c r="W37" i="1" l="1"/>
  <c r="X35" i="1"/>
  <c r="Y35" i="1" s="1"/>
  <c r="AA35" i="1"/>
  <c r="Z35" i="1" s="1"/>
  <c r="T927" i="1"/>
  <c r="S926" i="1"/>
  <c r="T926" i="1" s="1"/>
  <c r="AM38" i="7"/>
  <c r="AM24" i="7"/>
  <c r="AM25" i="7"/>
  <c r="AL36" i="7"/>
  <c r="AM34" i="7"/>
  <c r="AM35" i="7" s="1"/>
  <c r="AL37" i="7"/>
  <c r="AL20" i="7"/>
  <c r="AL21" i="7"/>
  <c r="AM13" i="7"/>
  <c r="AM14" i="7"/>
  <c r="AM16" i="7"/>
  <c r="AM17" i="7" s="1"/>
  <c r="AM33" i="7"/>
  <c r="AM19" i="7"/>
  <c r="AM32" i="7"/>
  <c r="AO11" i="7"/>
  <c r="AN12" i="7"/>
  <c r="AO5" i="7"/>
  <c r="AN6" i="7"/>
  <c r="AN7" i="7"/>
  <c r="AN40" i="7"/>
  <c r="AN8" i="7"/>
  <c r="AN9" i="7" s="1"/>
  <c r="AV4" i="7"/>
  <c r="AW3" i="7"/>
  <c r="AM30" i="7"/>
  <c r="AM41" i="7"/>
  <c r="AM42" i="7" s="1"/>
  <c r="AP27" i="7"/>
  <c r="AO28" i="7"/>
  <c r="AO29" i="7" s="1"/>
  <c r="S1569" i="1"/>
  <c r="T1569" i="1" s="1"/>
  <c r="T1570" i="1"/>
  <c r="R946" i="1"/>
  <c r="O947" i="1"/>
  <c r="S1543" i="1"/>
  <c r="T1543" i="1" s="1"/>
  <c r="R1543" i="1"/>
  <c r="T1558" i="1"/>
  <c r="S1557" i="1"/>
  <c r="O929" i="1"/>
  <c r="R928" i="1"/>
  <c r="S928" i="1"/>
  <c r="T928" i="1" s="1"/>
  <c r="T1498" i="1"/>
  <c r="S1497" i="1"/>
  <c r="O1566" i="1"/>
  <c r="S1565" i="1"/>
  <c r="T1565" i="1" s="1"/>
  <c r="R1494" i="1"/>
  <c r="S1494" i="1"/>
  <c r="T1494" i="1" s="1"/>
  <c r="O1495" i="1"/>
  <c r="S1587" i="1"/>
  <c r="T1588" i="1"/>
  <c r="T1470" i="1"/>
  <c r="S1469" i="1"/>
  <c r="O1600" i="1"/>
  <c r="R1599" i="1"/>
  <c r="S1599" i="1"/>
  <c r="T1599" i="1" s="1"/>
  <c r="T1532" i="1"/>
  <c r="S1531" i="1"/>
  <c r="O1650" i="1"/>
  <c r="R1649" i="1"/>
  <c r="S1649" i="1"/>
  <c r="T1649" i="1" s="1"/>
  <c r="O1621" i="1"/>
  <c r="S1473" i="1"/>
  <c r="T1473" i="1" s="1"/>
  <c r="R1473" i="1"/>
  <c r="O1474" i="1"/>
  <c r="R1509" i="1"/>
  <c r="S1509" i="1"/>
  <c r="T1509" i="1" s="1"/>
  <c r="T1485" i="1"/>
  <c r="S1484" i="1"/>
  <c r="S1619" i="1"/>
  <c r="T1619" i="1" s="1"/>
  <c r="R1619" i="1"/>
  <c r="R1620" i="1"/>
  <c r="S1620" i="1"/>
  <c r="T1620" i="1" s="1"/>
  <c r="O784" i="1"/>
  <c r="R783" i="1"/>
  <c r="X36" i="1" l="1"/>
  <c r="Y36" i="1" s="1"/>
  <c r="AA36" i="1"/>
  <c r="Z36" i="1" s="1"/>
  <c r="W38" i="1"/>
  <c r="AN38" i="7"/>
  <c r="AN25" i="7"/>
  <c r="AN24" i="7"/>
  <c r="AN34" i="7"/>
  <c r="AN35" i="7" s="1"/>
  <c r="AM37" i="7"/>
  <c r="AN32" i="7"/>
  <c r="AN19" i="7"/>
  <c r="AN20" i="7" s="1"/>
  <c r="AO6" i="7"/>
  <c r="AP5" i="7"/>
  <c r="AO7" i="7"/>
  <c r="AO40" i="7"/>
  <c r="AO8" i="7"/>
  <c r="AO9" i="7" s="1"/>
  <c r="AN14" i="7"/>
  <c r="AN13" i="7"/>
  <c r="AP11" i="7"/>
  <c r="AO12" i="7"/>
  <c r="AN16" i="7"/>
  <c r="AN17" i="7" s="1"/>
  <c r="AN33" i="7"/>
  <c r="AM20" i="7"/>
  <c r="AM21" i="7"/>
  <c r="AW4" i="7"/>
  <c r="AX3" i="7"/>
  <c r="AN30" i="7"/>
  <c r="AN41" i="7"/>
  <c r="AN42" i="7" s="1"/>
  <c r="AM36" i="7"/>
  <c r="AP28" i="7"/>
  <c r="AP29" i="7" s="1"/>
  <c r="AQ27" i="7"/>
  <c r="O1601" i="1"/>
  <c r="S1600" i="1"/>
  <c r="T1600" i="1" s="1"/>
  <c r="R929" i="1"/>
  <c r="S929" i="1"/>
  <c r="T929" i="1" s="1"/>
  <c r="O930" i="1"/>
  <c r="T1484" i="1"/>
  <c r="S1483" i="1"/>
  <c r="T1557" i="1"/>
  <c r="S1556" i="1"/>
  <c r="T1469" i="1"/>
  <c r="S1468" i="1"/>
  <c r="O1651" i="1"/>
  <c r="R1650" i="1"/>
  <c r="S1650" i="1"/>
  <c r="T1650" i="1" s="1"/>
  <c r="O1567" i="1"/>
  <c r="R1566" i="1"/>
  <c r="S1566" i="1"/>
  <c r="T1566" i="1" s="1"/>
  <c r="R1600" i="1"/>
  <c r="R1586" i="1" s="1"/>
  <c r="O948" i="1"/>
  <c r="R947" i="1"/>
  <c r="S947" i="1"/>
  <c r="T1587" i="1"/>
  <c r="S1586" i="1"/>
  <c r="R1474" i="1"/>
  <c r="S1474" i="1"/>
  <c r="T1474" i="1" s="1"/>
  <c r="O1475" i="1"/>
  <c r="O1622" i="1"/>
  <c r="R1621" i="1"/>
  <c r="S1621" i="1"/>
  <c r="T1621" i="1" s="1"/>
  <c r="O1496" i="1"/>
  <c r="R1495" i="1"/>
  <c r="S1495" i="1"/>
  <c r="T1495" i="1" s="1"/>
  <c r="S784" i="1"/>
  <c r="S783" i="1" s="1"/>
  <c r="R784" i="1"/>
  <c r="O785" i="1"/>
  <c r="X37" i="1" l="1"/>
  <c r="Y37" i="1" s="1"/>
  <c r="AA37" i="1"/>
  <c r="Z37" i="1" s="1"/>
  <c r="W39" i="1"/>
  <c r="T947" i="1"/>
  <c r="S946" i="1"/>
  <c r="T946" i="1" s="1"/>
  <c r="AO38" i="7"/>
  <c r="AO24" i="7"/>
  <c r="AO25" i="7"/>
  <c r="AO32" i="7"/>
  <c r="AN21" i="7"/>
  <c r="AN37" i="7"/>
  <c r="AO19" i="7"/>
  <c r="AO13" i="7"/>
  <c r="AO14" i="7"/>
  <c r="AO34" i="7"/>
  <c r="AO35" i="7" s="1"/>
  <c r="AQ5" i="7"/>
  <c r="AP40" i="7"/>
  <c r="AP6" i="7"/>
  <c r="AP7" i="7"/>
  <c r="AP8" i="7"/>
  <c r="AP9" i="7" s="1"/>
  <c r="AQ11" i="7"/>
  <c r="AP12" i="7"/>
  <c r="AO16" i="7"/>
  <c r="AO17" i="7" s="1"/>
  <c r="AO33" i="7"/>
  <c r="AX4" i="7"/>
  <c r="AY3" i="7"/>
  <c r="AO30" i="7"/>
  <c r="AO41" i="7"/>
  <c r="AO42" i="7" s="1"/>
  <c r="AQ28" i="7"/>
  <c r="AQ29" i="7" s="1"/>
  <c r="AR27" i="7"/>
  <c r="AN36" i="7"/>
  <c r="T1586" i="1"/>
  <c r="R1496" i="1"/>
  <c r="S1496" i="1"/>
  <c r="T1496" i="1" s="1"/>
  <c r="S1567" i="1"/>
  <c r="T1567" i="1" s="1"/>
  <c r="R1567" i="1"/>
  <c r="O1568" i="1"/>
  <c r="S1568" i="1" s="1"/>
  <c r="T1568" i="1" s="1"/>
  <c r="R1622" i="1"/>
  <c r="S1622" i="1"/>
  <c r="T1622" i="1" s="1"/>
  <c r="O1623" i="1"/>
  <c r="R948" i="1"/>
  <c r="O949" i="1"/>
  <c r="O931" i="1"/>
  <c r="R930" i="1"/>
  <c r="O1476" i="1"/>
  <c r="S1475" i="1"/>
  <c r="T1475" i="1" s="1"/>
  <c r="R1475" i="1"/>
  <c r="S1651" i="1"/>
  <c r="T1651" i="1" s="1"/>
  <c r="R1651" i="1"/>
  <c r="O1652" i="1"/>
  <c r="T1468" i="1"/>
  <c r="S1467" i="1"/>
  <c r="T1556" i="1"/>
  <c r="S1555" i="1"/>
  <c r="R1601" i="1"/>
  <c r="S1601" i="1"/>
  <c r="T1601" i="1" s="1"/>
  <c r="R785" i="1"/>
  <c r="S785" i="1"/>
  <c r="O786" i="1"/>
  <c r="X38" i="1" l="1"/>
  <c r="Y38" i="1" s="1"/>
  <c r="AA38" i="1"/>
  <c r="Z38" i="1" s="1"/>
  <c r="W40" i="1"/>
  <c r="AP38" i="7"/>
  <c r="AP25" i="7"/>
  <c r="AP24" i="7"/>
  <c r="AO37" i="7"/>
  <c r="AP13" i="7"/>
  <c r="AP14" i="7"/>
  <c r="AP34" i="7"/>
  <c r="AP35" i="7" s="1"/>
  <c r="AP33" i="7"/>
  <c r="AP16" i="7"/>
  <c r="AP17" i="7" s="1"/>
  <c r="AP32" i="7"/>
  <c r="AO20" i="7"/>
  <c r="AO21" i="7"/>
  <c r="AP19" i="7"/>
  <c r="AR11" i="7"/>
  <c r="AQ12" i="7"/>
  <c r="AQ6" i="7"/>
  <c r="AQ7" i="7"/>
  <c r="AR5" i="7"/>
  <c r="AQ40" i="7"/>
  <c r="AQ8" i="7"/>
  <c r="AQ9" i="7" s="1"/>
  <c r="AQ30" i="7"/>
  <c r="AY4" i="7"/>
  <c r="AZ3" i="7"/>
  <c r="AR28" i="7"/>
  <c r="AR29" i="7" s="1"/>
  <c r="AS27" i="7"/>
  <c r="AP30" i="7"/>
  <c r="AP41" i="7"/>
  <c r="AP42" i="7" s="1"/>
  <c r="AO36" i="7"/>
  <c r="O1477" i="1"/>
  <c r="S1476" i="1"/>
  <c r="T1476" i="1" s="1"/>
  <c r="T1467" i="1"/>
  <c r="S1466" i="1"/>
  <c r="R1652" i="1"/>
  <c r="S1652" i="1"/>
  <c r="T1652" i="1" s="1"/>
  <c r="O1653" i="1"/>
  <c r="S931" i="1"/>
  <c r="R931" i="1"/>
  <c r="R949" i="1"/>
  <c r="S949" i="1"/>
  <c r="S1623" i="1"/>
  <c r="T1623" i="1" s="1"/>
  <c r="R1623" i="1"/>
  <c r="O1624" i="1"/>
  <c r="S786" i="1"/>
  <c r="R786" i="1"/>
  <c r="X39" i="1" l="1"/>
  <c r="Y39" i="1" s="1"/>
  <c r="AA39" i="1"/>
  <c r="Z39" i="1" s="1"/>
  <c r="W41" i="1"/>
  <c r="T949" i="1"/>
  <c r="S948" i="1"/>
  <c r="T948" i="1" s="1"/>
  <c r="T931" i="1"/>
  <c r="S930" i="1"/>
  <c r="T930" i="1" s="1"/>
  <c r="AQ38" i="7"/>
  <c r="AQ25" i="7"/>
  <c r="AQ24" i="7"/>
  <c r="AQ34" i="7"/>
  <c r="AQ35" i="7" s="1"/>
  <c r="AP37" i="7"/>
  <c r="AQ19" i="7"/>
  <c r="AS11" i="7"/>
  <c r="AR12" i="7"/>
  <c r="AQ13" i="7"/>
  <c r="AQ14" i="7"/>
  <c r="AQ32" i="7"/>
  <c r="AR40" i="7"/>
  <c r="AR7" i="7"/>
  <c r="AS5" i="7"/>
  <c r="AR6" i="7"/>
  <c r="AR8" i="7"/>
  <c r="AR9" i="7" s="1"/>
  <c r="AP20" i="7"/>
  <c r="AP21" i="7"/>
  <c r="AQ16" i="7"/>
  <c r="AQ17" i="7" s="1"/>
  <c r="AQ33" i="7"/>
  <c r="BA3" i="7"/>
  <c r="AZ4" i="7"/>
  <c r="AQ41" i="7"/>
  <c r="AQ42" i="7" s="1"/>
  <c r="AS28" i="7"/>
  <c r="AS29" i="7" s="1"/>
  <c r="AT27" i="7"/>
  <c r="AP36" i="7"/>
  <c r="O1654" i="1"/>
  <c r="R1653" i="1"/>
  <c r="S1653" i="1"/>
  <c r="T1653" i="1" s="1"/>
  <c r="O1625" i="1"/>
  <c r="R1624" i="1"/>
  <c r="S1624" i="1"/>
  <c r="T1624" i="1" s="1"/>
  <c r="S1465" i="1"/>
  <c r="T1466" i="1"/>
  <c r="R1477" i="1"/>
  <c r="S1477" i="1"/>
  <c r="T1477" i="1" s="1"/>
  <c r="O1478" i="1"/>
  <c r="G2970" i="1"/>
  <c r="G4149" i="1"/>
  <c r="G3719" i="1"/>
  <c r="G2936" i="1"/>
  <c r="U382" i="1"/>
  <c r="U381" i="1"/>
  <c r="U383" i="1"/>
  <c r="U384" i="1"/>
  <c r="U390" i="1"/>
  <c r="U389" i="1"/>
  <c r="U386" i="1"/>
  <c r="U388" i="1"/>
  <c r="U387" i="1"/>
  <c r="U385" i="1"/>
  <c r="U767" i="1"/>
  <c r="U766" i="1"/>
  <c r="U768" i="1"/>
  <c r="U776" i="1"/>
  <c r="U773" i="1"/>
  <c r="U784" i="1"/>
  <c r="U779" i="1"/>
  <c r="U782" i="1"/>
  <c r="U770" i="1"/>
  <c r="U771" i="1"/>
  <c r="U780" i="1"/>
  <c r="U774" i="1"/>
  <c r="U785" i="1"/>
  <c r="U775" i="1"/>
  <c r="U786" i="1"/>
  <c r="U772" i="1"/>
  <c r="U777" i="1"/>
  <c r="U783" i="1"/>
  <c r="U781" i="1"/>
  <c r="U778" i="1"/>
  <c r="U769" i="1"/>
  <c r="U730" i="1"/>
  <c r="U729" i="1"/>
  <c r="U731" i="1"/>
  <c r="U733" i="1"/>
  <c r="U732" i="1"/>
  <c r="U734" i="1"/>
  <c r="U735" i="1"/>
  <c r="U736" i="1"/>
  <c r="U737" i="1"/>
  <c r="U739" i="1"/>
  <c r="U741" i="1"/>
  <c r="U740" i="1"/>
  <c r="U742" i="1"/>
  <c r="U743" i="1"/>
  <c r="U738" i="1"/>
  <c r="U744" i="1"/>
  <c r="U745" i="1"/>
  <c r="U746" i="1"/>
  <c r="U748" i="1"/>
  <c r="U747" i="1"/>
  <c r="U749" i="1"/>
  <c r="U750" i="1"/>
  <c r="U751" i="1"/>
  <c r="U753" i="1"/>
  <c r="U752" i="1"/>
  <c r="U754" i="1"/>
  <c r="U757" i="1"/>
  <c r="U756" i="1"/>
  <c r="U755" i="1"/>
  <c r="U758" i="1"/>
  <c r="U759" i="1"/>
  <c r="U760" i="1"/>
  <c r="U762" i="1"/>
  <c r="U761" i="1"/>
  <c r="U764" i="1"/>
  <c r="U763" i="1"/>
  <c r="U765" i="1"/>
  <c r="U538" i="1"/>
  <c r="U539" i="1"/>
  <c r="U540" i="1"/>
  <c r="U443" i="1"/>
  <c r="U444" i="1"/>
  <c r="U445" i="1"/>
  <c r="U446" i="1"/>
  <c r="U601" i="1"/>
  <c r="U602" i="1"/>
  <c r="U603" i="1"/>
  <c r="U534" i="1"/>
  <c r="U535" i="1"/>
  <c r="U536" i="1"/>
  <c r="U537" i="1"/>
  <c r="U541" i="1"/>
  <c r="U542" i="1"/>
  <c r="U543" i="1"/>
  <c r="U447" i="1"/>
  <c r="U448" i="1"/>
  <c r="U449" i="1"/>
  <c r="U450" i="1"/>
  <c r="U451" i="1"/>
  <c r="U452" i="1"/>
  <c r="U544" i="1"/>
  <c r="U545" i="1"/>
  <c r="U547" i="1"/>
  <c r="U546" i="1"/>
  <c r="U454" i="1"/>
  <c r="U453" i="1"/>
  <c r="U455" i="1"/>
  <c r="U456" i="1"/>
  <c r="U548" i="1"/>
  <c r="U549" i="1"/>
  <c r="U551" i="1"/>
  <c r="U550" i="1"/>
  <c r="U457" i="1"/>
  <c r="U458" i="1"/>
  <c r="U459" i="1"/>
  <c r="U460" i="1"/>
  <c r="U552" i="1"/>
  <c r="U553" i="1"/>
  <c r="U556" i="1"/>
  <c r="U555" i="1"/>
  <c r="U557" i="1"/>
  <c r="U554" i="1"/>
  <c r="U462" i="1"/>
  <c r="U461" i="1"/>
  <c r="U463" i="1"/>
  <c r="U464" i="1"/>
  <c r="U558" i="1"/>
  <c r="U559" i="1"/>
  <c r="U560" i="1"/>
  <c r="U467" i="1"/>
  <c r="U466" i="1"/>
  <c r="U465" i="1"/>
  <c r="U468" i="1"/>
  <c r="U562" i="1"/>
  <c r="U561" i="1"/>
  <c r="U563" i="1"/>
  <c r="U472" i="1"/>
  <c r="U471" i="1"/>
  <c r="U470" i="1"/>
  <c r="U469" i="1"/>
  <c r="U473" i="1"/>
  <c r="U475" i="1"/>
  <c r="U474" i="1"/>
  <c r="U476" i="1"/>
  <c r="U564" i="1"/>
  <c r="U565" i="1"/>
  <c r="U477" i="1"/>
  <c r="U478" i="1"/>
  <c r="U479" i="1"/>
  <c r="U482" i="1"/>
  <c r="U480" i="1"/>
  <c r="U481" i="1"/>
  <c r="U566" i="1"/>
  <c r="U567" i="1"/>
  <c r="U568" i="1"/>
  <c r="U484" i="1"/>
  <c r="U485" i="1"/>
  <c r="U483" i="1"/>
  <c r="U486" i="1"/>
  <c r="U569" i="1"/>
  <c r="U570" i="1"/>
  <c r="U488" i="1"/>
  <c r="U487" i="1"/>
  <c r="U489" i="1"/>
  <c r="U490" i="1"/>
  <c r="U571" i="1"/>
  <c r="U572" i="1"/>
  <c r="U573" i="1"/>
  <c r="U492" i="1"/>
  <c r="U491" i="1"/>
  <c r="U493" i="1"/>
  <c r="U494" i="1"/>
  <c r="U495" i="1"/>
  <c r="U574" i="1"/>
  <c r="U575" i="1"/>
  <c r="U576" i="1"/>
  <c r="U578" i="1"/>
  <c r="U577" i="1"/>
  <c r="U497" i="1"/>
  <c r="U496" i="1"/>
  <c r="U498" i="1"/>
  <c r="U499" i="1"/>
  <c r="U501" i="1"/>
  <c r="U500" i="1"/>
  <c r="U502" i="1"/>
  <c r="U580" i="1"/>
  <c r="U579" i="1"/>
  <c r="U581" i="1"/>
  <c r="U506" i="1"/>
  <c r="U505" i="1"/>
  <c r="U504" i="1"/>
  <c r="U503" i="1"/>
  <c r="U507" i="1"/>
  <c r="U582" i="1"/>
  <c r="U583" i="1"/>
  <c r="U584" i="1"/>
  <c r="U509" i="1"/>
  <c r="U508" i="1"/>
  <c r="U510" i="1"/>
  <c r="U511" i="1"/>
  <c r="U586" i="1"/>
  <c r="U585" i="1"/>
  <c r="U587" i="1"/>
  <c r="U515" i="1"/>
  <c r="U514" i="1"/>
  <c r="U512" i="1"/>
  <c r="U513" i="1"/>
  <c r="U516" i="1"/>
  <c r="U589" i="1"/>
  <c r="U588" i="1"/>
  <c r="U590" i="1"/>
  <c r="U519" i="1"/>
  <c r="U518" i="1"/>
  <c r="U517" i="1"/>
  <c r="U520" i="1"/>
  <c r="U592" i="1"/>
  <c r="U591" i="1"/>
  <c r="U593" i="1"/>
  <c r="U524" i="1"/>
  <c r="U523" i="1"/>
  <c r="U521" i="1"/>
  <c r="U522" i="1"/>
  <c r="U525" i="1"/>
  <c r="U595" i="1"/>
  <c r="U594" i="1"/>
  <c r="U596" i="1"/>
  <c r="U598" i="1"/>
  <c r="U597" i="1"/>
  <c r="U528" i="1"/>
  <c r="U529" i="1"/>
  <c r="U527" i="1"/>
  <c r="U526" i="1"/>
  <c r="U530" i="1"/>
  <c r="U599" i="1"/>
  <c r="U600" i="1"/>
  <c r="U532" i="1"/>
  <c r="U531" i="1"/>
  <c r="U533" i="1"/>
  <c r="U113" i="1"/>
  <c r="U114" i="1"/>
  <c r="U115" i="1"/>
  <c r="U116" i="1"/>
  <c r="U117" i="1"/>
  <c r="U112" i="1"/>
  <c r="U118" i="1"/>
  <c r="U123" i="1"/>
  <c r="U122" i="1"/>
  <c r="U119" i="1"/>
  <c r="U120" i="1"/>
  <c r="U121" i="1"/>
  <c r="U39" i="1"/>
  <c r="U40" i="1"/>
  <c r="U41" i="1"/>
  <c r="U42" i="1"/>
  <c r="U43" i="1"/>
  <c r="U44" i="1"/>
  <c r="U46" i="1"/>
  <c r="U45" i="1"/>
  <c r="U47" i="1"/>
  <c r="U48" i="1"/>
  <c r="U49" i="1"/>
  <c r="U50" i="1"/>
  <c r="U51" i="1"/>
  <c r="U52" i="1"/>
  <c r="U53" i="1"/>
  <c r="U54" i="1"/>
  <c r="U124" i="1"/>
  <c r="U125" i="1"/>
  <c r="U126" i="1"/>
  <c r="U127" i="1"/>
  <c r="U128" i="1"/>
  <c r="U129" i="1"/>
  <c r="U132" i="1"/>
  <c r="U131" i="1"/>
  <c r="U130" i="1"/>
  <c r="U133" i="1"/>
  <c r="U134" i="1"/>
  <c r="U135" i="1"/>
  <c r="U136" i="1"/>
  <c r="U137" i="1"/>
  <c r="U138" i="1"/>
  <c r="U441" i="1"/>
  <c r="U440" i="1"/>
  <c r="U442" i="1"/>
  <c r="U139" i="1"/>
  <c r="U140" i="1"/>
  <c r="U141" i="1"/>
  <c r="U221" i="1"/>
  <c r="U222" i="1"/>
  <c r="U92" i="1"/>
  <c r="U93" i="1"/>
  <c r="U231" i="1"/>
  <c r="U232" i="1"/>
  <c r="U102" i="1"/>
  <c r="U103" i="1"/>
  <c r="U236" i="1"/>
  <c r="U237" i="1"/>
  <c r="U106" i="1"/>
  <c r="U107" i="1"/>
  <c r="U227" i="1"/>
  <c r="U228" i="1"/>
  <c r="U98" i="1"/>
  <c r="U99" i="1"/>
  <c r="U234" i="1"/>
  <c r="U233" i="1"/>
  <c r="U235" i="1"/>
  <c r="U104" i="1"/>
  <c r="U105" i="1"/>
  <c r="U240" i="1"/>
  <c r="U241" i="1"/>
  <c r="U229" i="1"/>
  <c r="U230" i="1"/>
  <c r="U100" i="1"/>
  <c r="U101" i="1"/>
  <c r="U110" i="1"/>
  <c r="U111" i="1"/>
  <c r="U238" i="1"/>
  <c r="U239" i="1"/>
  <c r="U108" i="1"/>
  <c r="U109" i="1"/>
  <c r="U225" i="1"/>
  <c r="U226" i="1"/>
  <c r="U96" i="1"/>
  <c r="U97" i="1"/>
  <c r="U223" i="1"/>
  <c r="U224" i="1"/>
  <c r="U94" i="1"/>
  <c r="U95" i="1"/>
  <c r="U208" i="1"/>
  <c r="U209" i="1"/>
  <c r="U207" i="1"/>
  <c r="U210" i="1"/>
  <c r="U404" i="1"/>
  <c r="U405" i="1"/>
  <c r="U284" i="1"/>
  <c r="U283" i="1"/>
  <c r="U285" i="1"/>
  <c r="U286" i="1"/>
  <c r="U287" i="1"/>
  <c r="U292" i="1"/>
  <c r="U291" i="1"/>
  <c r="U293" i="1"/>
  <c r="U289" i="1"/>
  <c r="U288" i="1"/>
  <c r="U290" i="1"/>
  <c r="U794" i="1"/>
  <c r="U793" i="1"/>
  <c r="U795" i="1"/>
  <c r="U799" i="1"/>
  <c r="U801" i="1"/>
  <c r="U800" i="1"/>
  <c r="U802" i="1"/>
  <c r="U798" i="1"/>
  <c r="U797" i="1"/>
  <c r="U803" i="1"/>
  <c r="U796" i="1"/>
  <c r="U65" i="1"/>
  <c r="U62" i="1"/>
  <c r="U63" i="1"/>
  <c r="U66" i="1"/>
  <c r="U69" i="1"/>
  <c r="U64" i="1"/>
  <c r="U61" i="1"/>
  <c r="U67" i="1"/>
  <c r="U68" i="1"/>
  <c r="U70" i="1"/>
  <c r="U60" i="1"/>
  <c r="U72" i="1"/>
  <c r="U71" i="1"/>
  <c r="U195" i="1"/>
  <c r="U196" i="1"/>
  <c r="U367" i="1"/>
  <c r="U370" i="1"/>
  <c r="U368" i="1"/>
  <c r="U366" i="1"/>
  <c r="U369" i="1"/>
  <c r="U371" i="1"/>
  <c r="U703" i="1"/>
  <c r="U704" i="1"/>
  <c r="U700" i="1"/>
  <c r="U702" i="1"/>
  <c r="U706" i="1"/>
  <c r="U701" i="1"/>
  <c r="U707" i="1"/>
  <c r="U705" i="1"/>
  <c r="U708" i="1"/>
  <c r="U721" i="1"/>
  <c r="U722" i="1"/>
  <c r="U359" i="1"/>
  <c r="U360" i="1"/>
  <c r="U362" i="1"/>
  <c r="U364" i="1"/>
  <c r="U363" i="1"/>
  <c r="U361" i="1"/>
  <c r="U365" i="1"/>
  <c r="U406" i="1"/>
  <c r="U407" i="1"/>
  <c r="U408" i="1"/>
  <c r="U409" i="1"/>
  <c r="U691" i="1"/>
  <c r="U690" i="1"/>
  <c r="U693" i="1"/>
  <c r="U697" i="1"/>
  <c r="U695" i="1"/>
  <c r="U696" i="1"/>
  <c r="U694" i="1"/>
  <c r="U698" i="1"/>
  <c r="U699" i="1"/>
  <c r="U692" i="1"/>
  <c r="U299" i="1"/>
  <c r="U294" i="1"/>
  <c r="U298" i="1"/>
  <c r="U296" i="1"/>
  <c r="U295" i="1"/>
  <c r="U297" i="1"/>
  <c r="U300" i="1"/>
  <c r="U219" i="1"/>
  <c r="U216" i="1"/>
  <c r="U217" i="1"/>
  <c r="U218" i="1"/>
  <c r="U220" i="1"/>
  <c r="U789" i="1"/>
  <c r="U790" i="1"/>
  <c r="U791" i="1"/>
  <c r="U787" i="1"/>
  <c r="U788" i="1"/>
  <c r="U792" i="1"/>
  <c r="U804" i="1"/>
  <c r="U805" i="1"/>
  <c r="U316" i="1"/>
  <c r="U319" i="1"/>
  <c r="U313" i="1"/>
  <c r="U317" i="1"/>
  <c r="U314" i="1"/>
  <c r="U318" i="1"/>
  <c r="U315" i="1"/>
  <c r="U321" i="1"/>
  <c r="U320" i="1"/>
  <c r="U322" i="1"/>
  <c r="U323" i="1"/>
  <c r="U324" i="1"/>
  <c r="U326" i="1"/>
  <c r="U325" i="1"/>
  <c r="U146" i="1"/>
  <c r="U147" i="1"/>
  <c r="U148" i="1"/>
  <c r="U149" i="1"/>
  <c r="U151" i="1"/>
  <c r="U150" i="1"/>
  <c r="U152" i="1"/>
  <c r="U142" i="1"/>
  <c r="U145" i="1"/>
  <c r="U144" i="1"/>
  <c r="U143" i="1"/>
  <c r="U153" i="1"/>
  <c r="U154" i="1"/>
  <c r="U719" i="1"/>
  <c r="U720" i="1"/>
  <c r="U182" i="1"/>
  <c r="U181" i="1"/>
  <c r="U180" i="1"/>
  <c r="U184" i="1"/>
  <c r="U185" i="1"/>
  <c r="U186" i="1"/>
  <c r="U183" i="1"/>
  <c r="U178" i="1"/>
  <c r="U177" i="1"/>
  <c r="U179" i="1"/>
  <c r="U259" i="1"/>
  <c r="U256" i="1"/>
  <c r="U258" i="1"/>
  <c r="U257" i="1"/>
  <c r="U261" i="1"/>
  <c r="U260" i="1"/>
  <c r="U246" i="1"/>
  <c r="U242" i="1"/>
  <c r="U244" i="1"/>
  <c r="U245" i="1"/>
  <c r="U243" i="1"/>
  <c r="U247" i="1"/>
  <c r="U33" i="1"/>
  <c r="U30" i="1"/>
  <c r="U31" i="1"/>
  <c r="U32" i="1"/>
  <c r="U34" i="1"/>
  <c r="U35" i="1"/>
  <c r="U36" i="1"/>
  <c r="U37" i="1"/>
  <c r="U38" i="1"/>
  <c r="U58" i="1"/>
  <c r="U56" i="1"/>
  <c r="U55" i="1"/>
  <c r="U57" i="1"/>
  <c r="U59" i="1"/>
  <c r="U280" i="1"/>
  <c r="U281" i="1"/>
  <c r="U279" i="1"/>
  <c r="U278" i="1"/>
  <c r="U282" i="1"/>
  <c r="U193" i="1"/>
  <c r="U191" i="1"/>
  <c r="U190" i="1"/>
  <c r="U192" i="1"/>
  <c r="U194" i="1"/>
  <c r="U26" i="1"/>
  <c r="U27" i="1"/>
  <c r="U24" i="1"/>
  <c r="U21" i="1"/>
  <c r="U23" i="1"/>
  <c r="U22" i="1"/>
  <c r="U25" i="1"/>
  <c r="U427" i="1"/>
  <c r="U423" i="1"/>
  <c r="U428" i="1"/>
  <c r="U424" i="1"/>
  <c r="U425" i="1"/>
  <c r="U426" i="1"/>
  <c r="U429" i="1"/>
  <c r="U303" i="1"/>
  <c r="U304" i="1"/>
  <c r="U248" i="1"/>
  <c r="U252" i="1"/>
  <c r="U250" i="1"/>
  <c r="U251" i="1"/>
  <c r="U249" i="1"/>
  <c r="U253" i="1"/>
  <c r="U254" i="1"/>
  <c r="U255" i="1"/>
  <c r="U211" i="1"/>
  <c r="U212" i="1"/>
  <c r="U213" i="1"/>
  <c r="U214" i="1"/>
  <c r="U215" i="1"/>
  <c r="U270" i="1"/>
  <c r="U273" i="1"/>
  <c r="U276" i="1"/>
  <c r="U275" i="1"/>
  <c r="U272" i="1"/>
  <c r="U274" i="1"/>
  <c r="U277" i="1"/>
  <c r="U271" i="1"/>
  <c r="U410" i="1"/>
  <c r="U413" i="1"/>
  <c r="U412" i="1"/>
  <c r="U415" i="1"/>
  <c r="U416" i="1"/>
  <c r="U414" i="1"/>
  <c r="U417" i="1"/>
  <c r="U418" i="1"/>
  <c r="U411" i="1"/>
  <c r="U419" i="1"/>
  <c r="U420" i="1"/>
  <c r="U4" i="1"/>
  <c r="U5" i="1"/>
  <c r="U307" i="1"/>
  <c r="U306" i="1"/>
  <c r="U305" i="1"/>
  <c r="U309" i="1"/>
  <c r="U310" i="1"/>
  <c r="U311" i="1"/>
  <c r="U312" i="1"/>
  <c r="U308" i="1"/>
  <c r="U263" i="1"/>
  <c r="U264" i="1"/>
  <c r="U262" i="1"/>
  <c r="U267" i="1"/>
  <c r="U266" i="1"/>
  <c r="U268" i="1"/>
  <c r="U269" i="1"/>
  <c r="U265" i="1"/>
  <c r="U82" i="1"/>
  <c r="U84" i="1"/>
  <c r="U83" i="1"/>
  <c r="U86" i="1"/>
  <c r="U87" i="1"/>
  <c r="U88" i="1"/>
  <c r="U89" i="1"/>
  <c r="U85" i="1"/>
  <c r="U73" i="1"/>
  <c r="U74" i="1"/>
  <c r="U165" i="1"/>
  <c r="U166" i="1"/>
  <c r="U167" i="1"/>
  <c r="U169" i="1"/>
  <c r="U164" i="1"/>
  <c r="U168" i="1"/>
  <c r="U170" i="1"/>
  <c r="U171" i="1"/>
  <c r="U172" i="1"/>
  <c r="U421" i="1"/>
  <c r="U422" i="1"/>
  <c r="U75" i="1"/>
  <c r="U76" i="1"/>
  <c r="U78" i="1"/>
  <c r="U79" i="1"/>
  <c r="U77" i="1"/>
  <c r="U80" i="1"/>
  <c r="U81" i="1"/>
  <c r="U398" i="1"/>
  <c r="U396" i="1"/>
  <c r="U395" i="1"/>
  <c r="U397" i="1"/>
  <c r="U400" i="1"/>
  <c r="U401" i="1"/>
  <c r="U402" i="1"/>
  <c r="U403" i="1"/>
  <c r="U399" i="1"/>
  <c r="U156" i="1"/>
  <c r="U158" i="1"/>
  <c r="U157" i="1"/>
  <c r="U155" i="1"/>
  <c r="U161" i="1"/>
  <c r="U160" i="1"/>
  <c r="U162" i="1"/>
  <c r="U163" i="1"/>
  <c r="U159" i="1"/>
  <c r="U6" i="1"/>
  <c r="U7" i="1"/>
  <c r="U8" i="1"/>
  <c r="U29" i="1"/>
  <c r="U28" i="1"/>
  <c r="U90" i="1"/>
  <c r="U91" i="1"/>
  <c r="U173" i="1"/>
  <c r="U174" i="1"/>
  <c r="U175" i="1"/>
  <c r="U176" i="1"/>
  <c r="U188" i="1"/>
  <c r="U187" i="1"/>
  <c r="U189" i="1"/>
  <c r="U197" i="1"/>
  <c r="U198" i="1"/>
  <c r="U200" i="1"/>
  <c r="U199" i="1"/>
  <c r="U202" i="1"/>
  <c r="U201" i="1"/>
  <c r="U204" i="1"/>
  <c r="U203" i="1"/>
  <c r="U206" i="1"/>
  <c r="U205" i="1"/>
  <c r="U301" i="1"/>
  <c r="U302" i="1"/>
  <c r="U327" i="1"/>
  <c r="U328" i="1"/>
  <c r="U329" i="1"/>
  <c r="U330" i="1"/>
  <c r="U331" i="1"/>
  <c r="U332" i="1"/>
  <c r="U333" i="1"/>
  <c r="U334" i="1"/>
  <c r="U372" i="1"/>
  <c r="U373" i="1"/>
  <c r="U374" i="1"/>
  <c r="U375" i="1"/>
  <c r="U377" i="1"/>
  <c r="U378" i="1"/>
  <c r="U376" i="1"/>
  <c r="U335" i="1"/>
  <c r="U336" i="1"/>
  <c r="U337" i="1"/>
  <c r="U340" i="1"/>
  <c r="U339" i="1"/>
  <c r="U338" i="1"/>
  <c r="U342" i="1"/>
  <c r="U343" i="1"/>
  <c r="U341" i="1"/>
  <c r="U344" i="1"/>
  <c r="U346" i="1"/>
  <c r="U345" i="1"/>
  <c r="U347" i="1"/>
  <c r="U349" i="1"/>
  <c r="U348" i="1"/>
  <c r="U350" i="1"/>
  <c r="U352" i="1"/>
  <c r="U351" i="1"/>
  <c r="U354" i="1"/>
  <c r="U355" i="1"/>
  <c r="U353" i="1"/>
  <c r="U356" i="1"/>
  <c r="U358" i="1"/>
  <c r="U357" i="1"/>
  <c r="U379" i="1"/>
  <c r="U380" i="1"/>
  <c r="U438" i="1"/>
  <c r="U437" i="1"/>
  <c r="U439" i="1"/>
  <c r="U431" i="1"/>
  <c r="U432" i="1"/>
  <c r="U430" i="1"/>
  <c r="U435" i="1"/>
  <c r="U433" i="1"/>
  <c r="U434" i="1"/>
  <c r="U436" i="1"/>
  <c r="U709" i="1"/>
  <c r="U710" i="1"/>
  <c r="U711" i="1"/>
  <c r="U712" i="1"/>
  <c r="U713" i="1"/>
  <c r="U714" i="1"/>
  <c r="U715" i="1"/>
  <c r="U716" i="1"/>
  <c r="U717" i="1"/>
  <c r="U718" i="1"/>
  <c r="U723" i="1"/>
  <c r="U724" i="1"/>
  <c r="U725" i="1"/>
  <c r="U726" i="1"/>
  <c r="U727" i="1"/>
  <c r="U728" i="1"/>
  <c r="U684" i="1"/>
  <c r="U685" i="1"/>
  <c r="U686" i="1"/>
  <c r="U687" i="1"/>
  <c r="U688" i="1"/>
  <c r="U689" i="1"/>
  <c r="U9" i="1"/>
  <c r="U10" i="1"/>
  <c r="U11" i="1"/>
  <c r="U12" i="1"/>
  <c r="U13" i="1"/>
  <c r="U14" i="1"/>
  <c r="U15" i="1"/>
  <c r="U16" i="1"/>
  <c r="U17" i="1"/>
  <c r="U18" i="1"/>
  <c r="U19" i="1"/>
  <c r="U20"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391" i="1"/>
  <c r="U392" i="1"/>
  <c r="U393" i="1"/>
  <c r="U394" i="1"/>
  <c r="A6229" i="1"/>
  <c r="A6230" i="1"/>
  <c r="A6231" i="1"/>
  <c r="A6216" i="1"/>
  <c r="A6217" i="1"/>
  <c r="A6218" i="1"/>
  <c r="P6218" i="1" s="1"/>
  <c r="A6219" i="1"/>
  <c r="A6220" i="1"/>
  <c r="A6221" i="1"/>
  <c r="A6222" i="1"/>
  <c r="A6223" i="1"/>
  <c r="A6224" i="1"/>
  <c r="A6225" i="1"/>
  <c r="A6307" i="1"/>
  <c r="A6308" i="1"/>
  <c r="A6309" i="1"/>
  <c r="A6310" i="1"/>
  <c r="A6311" i="1"/>
  <c r="A6232" i="1"/>
  <c r="A6233" i="1"/>
  <c r="A6234" i="1"/>
  <c r="A6235" i="1"/>
  <c r="A6236" i="1"/>
  <c r="A6237" i="1"/>
  <c r="A6300" i="1"/>
  <c r="A6299" i="1"/>
  <c r="A6301" i="1"/>
  <c r="A6302" i="1"/>
  <c r="A6303" i="1"/>
  <c r="A6304" i="1"/>
  <c r="A6305" i="1"/>
  <c r="A6306" i="1"/>
  <c r="A6238" i="1"/>
  <c r="A6239" i="1"/>
  <c r="A6240" i="1"/>
  <c r="A6241" i="1"/>
  <c r="A6242" i="1"/>
  <c r="A6243" i="1"/>
  <c r="A6244" i="1"/>
  <c r="A6245" i="1"/>
  <c r="A6246" i="1"/>
  <c r="A6247" i="1"/>
  <c r="A6248" i="1"/>
  <c r="A6249" i="1"/>
  <c r="A6250" i="1"/>
  <c r="A6251" i="1"/>
  <c r="A6252" i="1"/>
  <c r="A6253" i="1"/>
  <c r="A6254" i="1"/>
  <c r="A6255" i="1"/>
  <c r="A6256" i="1"/>
  <c r="A6257" i="1"/>
  <c r="A6259" i="1"/>
  <c r="A6258" i="1"/>
  <c r="A6260" i="1"/>
  <c r="A6262" i="1"/>
  <c r="A6261" i="1"/>
  <c r="A6263" i="1"/>
  <c r="A6264" i="1"/>
  <c r="A6265" i="1"/>
  <c r="A6267" i="1"/>
  <c r="A6266" i="1"/>
  <c r="A6268" i="1"/>
  <c r="A6269" i="1"/>
  <c r="A6270" i="1"/>
  <c r="A6271" i="1"/>
  <c r="A6272" i="1"/>
  <c r="A6273" i="1"/>
  <c r="A6274" i="1"/>
  <c r="A6275" i="1"/>
  <c r="A6276" i="1"/>
  <c r="A6277" i="1"/>
  <c r="A6278" i="1"/>
  <c r="A6280" i="1"/>
  <c r="A6279" i="1"/>
  <c r="A6281" i="1"/>
  <c r="A6283" i="1"/>
  <c r="A6282" i="1"/>
  <c r="A6284" i="1"/>
  <c r="A6285" i="1"/>
  <c r="A6286" i="1"/>
  <c r="A6287" i="1"/>
  <c r="A6289" i="1"/>
  <c r="A6288" i="1"/>
  <c r="A6290" i="1"/>
  <c r="A6291" i="1"/>
  <c r="A6292" i="1"/>
  <c r="A6293" i="1"/>
  <c r="A6295" i="1"/>
  <c r="A6294" i="1"/>
  <c r="A6296" i="1"/>
  <c r="A6297" i="1"/>
  <c r="A6298" i="1"/>
  <c r="A6226" i="1"/>
  <c r="A6227" i="1"/>
  <c r="A3173" i="1"/>
  <c r="P3173" i="1" s="1"/>
  <c r="A3172" i="1"/>
  <c r="A3174" i="1"/>
  <c r="A3175" i="1"/>
  <c r="A3176" i="1"/>
  <c r="A3170" i="1"/>
  <c r="A3171" i="1"/>
  <c r="A3159" i="1"/>
  <c r="A3160" i="1"/>
  <c r="A3161" i="1"/>
  <c r="A3162" i="1"/>
  <c r="A3163" i="1"/>
  <c r="A3164" i="1"/>
  <c r="A3167" i="1"/>
  <c r="A3168" i="1"/>
  <c r="A3169" i="1"/>
  <c r="A3165" i="1"/>
  <c r="A3166" i="1"/>
  <c r="A3731" i="1"/>
  <c r="A3732" i="1"/>
  <c r="A3733" i="1"/>
  <c r="A3741" i="1"/>
  <c r="A3740" i="1"/>
  <c r="A3742" i="1"/>
  <c r="A3743" i="1"/>
  <c r="A3744" i="1"/>
  <c r="A3745" i="1"/>
  <c r="A3746" i="1"/>
  <c r="A3747" i="1"/>
  <c r="A3748" i="1"/>
  <c r="A3749" i="1"/>
  <c r="A3750" i="1"/>
  <c r="A3734" i="1"/>
  <c r="A3735" i="1"/>
  <c r="A3736" i="1"/>
  <c r="A3737" i="1"/>
  <c r="A3738" i="1"/>
  <c r="A3739" i="1"/>
  <c r="A3751" i="1"/>
  <c r="A3752" i="1"/>
  <c r="A3152" i="1"/>
  <c r="A3153" i="1"/>
  <c r="A3348" i="1"/>
  <c r="A3349" i="1"/>
  <c r="A3350" i="1"/>
  <c r="A3351" i="1"/>
  <c r="A3352" i="1"/>
  <c r="A3353" i="1"/>
  <c r="A3354" i="1"/>
  <c r="A3355" i="1"/>
  <c r="A3356" i="1"/>
  <c r="A3357" i="1"/>
  <c r="A3358" i="1"/>
  <c r="A3359" i="1"/>
  <c r="A3361" i="1"/>
  <c r="A3362" i="1"/>
  <c r="A3360" i="1"/>
  <c r="P3360" i="1" s="1"/>
  <c r="A3363" i="1"/>
  <c r="A3862" i="1"/>
  <c r="A3863" i="1"/>
  <c r="A3864" i="1"/>
  <c r="A3865" i="1"/>
  <c r="A3866" i="1"/>
  <c r="A3867" i="1"/>
  <c r="A3868" i="1"/>
  <c r="A3869" i="1"/>
  <c r="A3870" i="1"/>
  <c r="A3177" i="1"/>
  <c r="A3178" i="1"/>
  <c r="A3179" i="1"/>
  <c r="A3180" i="1"/>
  <c r="A3181" i="1"/>
  <c r="A3182" i="1"/>
  <c r="A3183" i="1"/>
  <c r="A3184" i="1"/>
  <c r="A3185" i="1"/>
  <c r="A3186" i="1"/>
  <c r="A3187" i="1"/>
  <c r="A3188" i="1"/>
  <c r="A3189" i="1"/>
  <c r="A3788" i="1"/>
  <c r="A3789" i="1"/>
  <c r="A3790" i="1"/>
  <c r="A3791" i="1"/>
  <c r="A3792" i="1"/>
  <c r="A3793" i="1"/>
  <c r="A3794" i="1"/>
  <c r="A3795" i="1"/>
  <c r="A3781" i="1"/>
  <c r="A3783" i="1"/>
  <c r="A3786" i="1"/>
  <c r="A3784" i="1"/>
  <c r="A3782" i="1"/>
  <c r="A3785" i="1"/>
  <c r="A3787" i="1"/>
  <c r="A3796" i="1"/>
  <c r="A3797" i="1"/>
  <c r="A3799" i="1"/>
  <c r="A3800" i="1"/>
  <c r="A3798" i="1"/>
  <c r="A3801" i="1"/>
  <c r="A3802" i="1"/>
  <c r="A3804" i="1"/>
  <c r="A3803" i="1"/>
  <c r="A3805" i="1"/>
  <c r="A3806" i="1"/>
  <c r="A3807" i="1"/>
  <c r="A3808" i="1"/>
  <c r="A3809" i="1"/>
  <c r="A3810" i="1"/>
  <c r="A3811" i="1"/>
  <c r="A3812" i="1"/>
  <c r="A3813" i="1"/>
  <c r="A3814" i="1"/>
  <c r="A3815" i="1"/>
  <c r="A3816" i="1"/>
  <c r="A3817" i="1"/>
  <c r="A3818" i="1"/>
  <c r="A3819" i="1"/>
  <c r="A3820" i="1"/>
  <c r="A3821" i="1"/>
  <c r="A3831" i="1"/>
  <c r="A3832" i="1"/>
  <c r="A3833" i="1"/>
  <c r="A3834" i="1"/>
  <c r="A3835" i="1"/>
  <c r="A3836" i="1"/>
  <c r="A3849" i="1"/>
  <c r="A3850" i="1"/>
  <c r="A3852" i="1"/>
  <c r="A3853" i="1"/>
  <c r="A3851" i="1"/>
  <c r="A3854" i="1"/>
  <c r="A3858" i="1"/>
  <c r="A3856" i="1"/>
  <c r="A3860" i="1"/>
  <c r="A3857" i="1"/>
  <c r="P3857" i="1" s="1"/>
  <c r="A3855" i="1"/>
  <c r="A3859" i="1"/>
  <c r="A3861" i="1"/>
  <c r="A3872" i="1"/>
  <c r="A3873" i="1"/>
  <c r="P3873" i="1" s="1"/>
  <c r="A3874" i="1"/>
  <c r="A3875" i="1"/>
  <c r="A3876" i="1"/>
  <c r="A3877" i="1"/>
  <c r="A3890" i="1"/>
  <c r="A3892" i="1"/>
  <c r="A3893" i="1"/>
  <c r="A3891" i="1"/>
  <c r="A3895" i="1"/>
  <c r="A3894" i="1"/>
  <c r="A3896" i="1"/>
  <c r="A3897" i="1"/>
  <c r="A3898" i="1"/>
  <c r="A3899" i="1"/>
  <c r="A3901" i="1"/>
  <c r="A3900" i="1"/>
  <c r="A3902" i="1"/>
  <c r="A3903" i="1"/>
  <c r="A3916" i="1"/>
  <c r="A3920" i="1"/>
  <c r="A3918" i="1"/>
  <c r="A3919" i="1"/>
  <c r="A3917" i="1"/>
  <c r="P3917" i="1" s="1"/>
  <c r="A3921" i="1"/>
  <c r="A3922" i="1"/>
  <c r="A3926" i="1"/>
  <c r="A3923" i="1"/>
  <c r="A3924" i="1"/>
  <c r="A3925" i="1"/>
  <c r="A3927" i="1"/>
  <c r="A3928" i="1"/>
  <c r="A3947" i="1"/>
  <c r="A3946" i="1"/>
  <c r="A3948" i="1"/>
  <c r="A3945" i="1"/>
  <c r="A3949" i="1"/>
  <c r="A3950" i="1"/>
  <c r="A3958" i="1"/>
  <c r="A3962" i="1"/>
  <c r="A3959" i="1"/>
  <c r="P3959" i="1" s="1"/>
  <c r="A3961" i="1"/>
  <c r="A3960" i="1"/>
  <c r="A3963" i="1"/>
  <c r="A3964" i="1"/>
  <c r="A3965" i="1"/>
  <c r="A3966" i="1"/>
  <c r="A3967" i="1"/>
  <c r="A3968" i="1"/>
  <c r="A3969" i="1"/>
  <c r="A3972" i="1"/>
  <c r="A3974" i="1"/>
  <c r="A3977" i="1"/>
  <c r="A3970" i="1"/>
  <c r="A3971" i="1"/>
  <c r="A3973" i="1"/>
  <c r="A3975" i="1"/>
  <c r="A3976" i="1"/>
  <c r="A3978" i="1"/>
  <c r="A3980" i="1"/>
  <c r="A3983" i="1"/>
  <c r="A3982" i="1"/>
  <c r="A3979" i="1"/>
  <c r="A3981" i="1"/>
  <c r="A3985" i="1"/>
  <c r="A3984" i="1"/>
  <c r="A3987" i="1"/>
  <c r="A3986" i="1"/>
  <c r="A3988" i="1"/>
  <c r="A3989" i="1"/>
  <c r="A3990" i="1"/>
  <c r="A3991" i="1"/>
  <c r="A3993" i="1"/>
  <c r="A3992" i="1"/>
  <c r="A3994" i="1"/>
  <c r="A4007" i="1"/>
  <c r="A4005" i="1"/>
  <c r="A4004" i="1"/>
  <c r="A4003" i="1"/>
  <c r="A4006" i="1"/>
  <c r="A4008" i="1"/>
  <c r="A4009" i="1"/>
  <c r="A4030" i="1"/>
  <c r="A4028" i="1"/>
  <c r="A4027" i="1"/>
  <c r="A4029" i="1"/>
  <c r="P4029" i="1" s="1"/>
  <c r="A4031" i="1"/>
  <c r="A4032" i="1"/>
  <c r="A4033" i="1"/>
  <c r="A4034" i="1"/>
  <c r="A4035" i="1"/>
  <c r="A4036" i="1"/>
  <c r="A4037" i="1"/>
  <c r="A4047" i="1"/>
  <c r="A4048" i="1"/>
  <c r="A4050" i="1"/>
  <c r="A4049" i="1"/>
  <c r="A4051" i="1"/>
  <c r="A4052" i="1"/>
  <c r="A4053" i="1"/>
  <c r="A4054" i="1"/>
  <c r="A4063" i="1"/>
  <c r="A4065" i="1"/>
  <c r="A4064" i="1"/>
  <c r="A4067" i="1"/>
  <c r="A4069" i="1"/>
  <c r="A4066" i="1"/>
  <c r="A4068" i="1"/>
  <c r="A4070" i="1"/>
  <c r="A4073" i="1"/>
  <c r="A4075" i="1"/>
  <c r="P4075" i="1" s="1"/>
  <c r="A4076" i="1"/>
  <c r="A4074" i="1"/>
  <c r="A4077" i="1"/>
  <c r="A4078" i="1"/>
  <c r="A4079" i="1"/>
  <c r="A4082" i="1"/>
  <c r="A4081" i="1"/>
  <c r="A4083" i="1"/>
  <c r="A4080" i="1"/>
  <c r="A4084" i="1"/>
  <c r="A4097" i="1"/>
  <c r="A4098" i="1"/>
  <c r="A4099" i="1"/>
  <c r="A4102" i="1"/>
  <c r="A4100" i="1"/>
  <c r="A4101" i="1"/>
  <c r="A4103" i="1"/>
  <c r="A4104" i="1"/>
  <c r="A4115" i="1"/>
  <c r="A4116" i="1"/>
  <c r="A4118" i="1"/>
  <c r="A4117" i="1"/>
  <c r="A4119" i="1"/>
  <c r="A4120" i="1"/>
  <c r="A4121" i="1"/>
  <c r="A4122" i="1"/>
  <c r="A4123" i="1"/>
  <c r="A4124" i="1"/>
  <c r="A4125" i="1"/>
  <c r="A4126" i="1"/>
  <c r="A4127" i="1"/>
  <c r="A4128" i="1"/>
  <c r="A4130" i="1"/>
  <c r="A4131" i="1"/>
  <c r="A4132" i="1"/>
  <c r="A4129" i="1"/>
  <c r="A4133" i="1"/>
  <c r="A4134" i="1"/>
  <c r="A3996" i="1"/>
  <c r="A4000" i="1"/>
  <c r="A3995" i="1"/>
  <c r="A3997" i="1"/>
  <c r="A3999" i="1"/>
  <c r="A4001" i="1"/>
  <c r="A3998" i="1"/>
  <c r="A4002" i="1"/>
  <c r="A3824" i="1"/>
  <c r="A3825" i="1"/>
  <c r="P3825" i="1" s="1"/>
  <c r="A3827" i="1"/>
  <c r="A3826" i="1"/>
  <c r="A3828" i="1"/>
  <c r="A3829" i="1"/>
  <c r="A3830" i="1"/>
  <c r="A3822" i="1"/>
  <c r="A3823" i="1"/>
  <c r="Q3823" i="1" s="1"/>
  <c r="A3847" i="1"/>
  <c r="A3848" i="1"/>
  <c r="A3871" i="1"/>
  <c r="A3913" i="1"/>
  <c r="A3914" i="1"/>
  <c r="A3915" i="1"/>
  <c r="A4025" i="1"/>
  <c r="A4024" i="1"/>
  <c r="A4026" i="1"/>
  <c r="A4071" i="1"/>
  <c r="A4072" i="1"/>
  <c r="A3904" i="1"/>
  <c r="A3905" i="1"/>
  <c r="P3905" i="1" s="1"/>
  <c r="A3906" i="1"/>
  <c r="A3929" i="1"/>
  <c r="A3930" i="1"/>
  <c r="A3931" i="1"/>
  <c r="A3951" i="1"/>
  <c r="A3952" i="1"/>
  <c r="A3953" i="1"/>
  <c r="A4013" i="1"/>
  <c r="A4014" i="1"/>
  <c r="A4015" i="1"/>
  <c r="A4010" i="1"/>
  <c r="A4011" i="1"/>
  <c r="A4012" i="1"/>
  <c r="A4089" i="1"/>
  <c r="A4090" i="1"/>
  <c r="A4091" i="1"/>
  <c r="A4105" i="1"/>
  <c r="A4106" i="1"/>
  <c r="A4107" i="1"/>
  <c r="A4136" i="1"/>
  <c r="A4135" i="1"/>
  <c r="A4137" i="1"/>
  <c r="A4138" i="1"/>
  <c r="A3837" i="1"/>
  <c r="A3838" i="1"/>
  <c r="A3878" i="1"/>
  <c r="A3879" i="1"/>
  <c r="A3880" i="1"/>
  <c r="A3937" i="1"/>
  <c r="A3938" i="1"/>
  <c r="A4038" i="1"/>
  <c r="A4039" i="1"/>
  <c r="A4055" i="1"/>
  <c r="A4056" i="1"/>
  <c r="A3954" i="1"/>
  <c r="A3955" i="1"/>
  <c r="A3956" i="1"/>
  <c r="A3957" i="1"/>
  <c r="A3908" i="1"/>
  <c r="A3907" i="1"/>
  <c r="A3909" i="1"/>
  <c r="A3910" i="1"/>
  <c r="A3939" i="1"/>
  <c r="A3940" i="1"/>
  <c r="A3941" i="1"/>
  <c r="A4040" i="1"/>
  <c r="A4041" i="1"/>
  <c r="P4041" i="1" s="1"/>
  <c r="A4042" i="1"/>
  <c r="A4043" i="1"/>
  <c r="A4057" i="1"/>
  <c r="A4058" i="1"/>
  <c r="A4059" i="1"/>
  <c r="A4094" i="1"/>
  <c r="A4095" i="1"/>
  <c r="A4096" i="1"/>
  <c r="Q4096" i="1" s="1"/>
  <c r="A4139" i="1"/>
  <c r="A4140" i="1"/>
  <c r="A4141" i="1"/>
  <c r="P4141" i="1" s="1"/>
  <c r="A4142" i="1"/>
  <c r="A3840" i="1"/>
  <c r="A3841" i="1"/>
  <c r="P3841" i="1" s="1"/>
  <c r="A3932" i="1"/>
  <c r="A3933" i="1"/>
  <c r="A4016" i="1"/>
  <c r="A4017" i="1"/>
  <c r="A4109" i="1"/>
  <c r="P4109" i="1" s="1"/>
  <c r="A4110" i="1"/>
  <c r="A4085" i="1"/>
  <c r="A4086" i="1"/>
  <c r="A3839" i="1"/>
  <c r="A3842" i="1"/>
  <c r="A4092" i="1"/>
  <c r="A4093" i="1"/>
  <c r="A4108" i="1"/>
  <c r="A4111" i="1"/>
  <c r="A3934" i="1"/>
  <c r="A3935" i="1"/>
  <c r="A3936" i="1"/>
  <c r="A3942" i="1"/>
  <c r="A3943" i="1"/>
  <c r="A3944" i="1"/>
  <c r="Q3944" i="1" s="1"/>
  <c r="A4022" i="1"/>
  <c r="A4021" i="1"/>
  <c r="A4023" i="1"/>
  <c r="A4045" i="1"/>
  <c r="P4045" i="1" s="1"/>
  <c r="A4044" i="1"/>
  <c r="A4046" i="1"/>
  <c r="A4060" i="1"/>
  <c r="A4061" i="1"/>
  <c r="A4062" i="1"/>
  <c r="A4113" i="1"/>
  <c r="A4112" i="1"/>
  <c r="A4114" i="1"/>
  <c r="A3843" i="1"/>
  <c r="A3844" i="1"/>
  <c r="A3911" i="1"/>
  <c r="A3912" i="1"/>
  <c r="A4144" i="1"/>
  <c r="A4145" i="1"/>
  <c r="A4087" i="1"/>
  <c r="A4088" i="1"/>
  <c r="A4019" i="1"/>
  <c r="A4018" i="1"/>
  <c r="A4020" i="1"/>
  <c r="A4143" i="1"/>
  <c r="A4146" i="1"/>
  <c r="A3845" i="1"/>
  <c r="A3846" i="1"/>
  <c r="Q3846" i="1" s="1"/>
  <c r="A3881" i="1"/>
  <c r="A3882" i="1"/>
  <c r="A3883" i="1"/>
  <c r="A3884" i="1"/>
  <c r="A3885" i="1"/>
  <c r="A3886" i="1"/>
  <c r="A3887" i="1"/>
  <c r="A3888" i="1"/>
  <c r="A3889" i="1"/>
  <c r="A3200" i="1"/>
  <c r="A3201" i="1"/>
  <c r="A3202" i="1"/>
  <c r="A3203" i="1"/>
  <c r="A3204" i="1"/>
  <c r="A3205" i="1"/>
  <c r="A3190" i="1"/>
  <c r="A3191" i="1"/>
  <c r="A3192" i="1"/>
  <c r="A3193" i="1"/>
  <c r="A3194" i="1"/>
  <c r="A3195" i="1"/>
  <c r="A3196" i="1"/>
  <c r="A3197" i="1"/>
  <c r="A3198" i="1"/>
  <c r="A3199" i="1"/>
  <c r="A3155" i="1"/>
  <c r="A3156" i="1"/>
  <c r="A3157" i="1"/>
  <c r="A3158" i="1"/>
  <c r="A3154"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2943" i="1"/>
  <c r="A2939" i="1"/>
  <c r="A2941" i="1"/>
  <c r="A2944" i="1"/>
  <c r="A2945" i="1"/>
  <c r="A2946" i="1"/>
  <c r="A2950" i="1"/>
  <c r="A2951" i="1"/>
  <c r="A2954" i="1"/>
  <c r="A2956" i="1"/>
  <c r="A2958" i="1"/>
  <c r="A2961" i="1"/>
  <c r="A2964" i="1"/>
  <c r="A2966" i="1"/>
  <c r="A2969" i="1"/>
  <c r="A2974" i="1"/>
  <c r="A2971" i="1"/>
  <c r="A2973" i="1"/>
  <c r="A2975" i="1"/>
  <c r="A2976" i="1"/>
  <c r="A2977" i="1"/>
  <c r="A2978" i="1"/>
  <c r="A2979" i="1"/>
  <c r="A2982" i="1"/>
  <c r="A2984" i="1"/>
  <c r="A2937" i="1"/>
  <c r="A2940" i="1"/>
  <c r="A2947" i="1"/>
  <c r="A2952" i="1"/>
  <c r="A2959" i="1"/>
  <c r="A2962" i="1"/>
  <c r="A2965" i="1"/>
  <c r="A2967" i="1"/>
  <c r="A2980" i="1"/>
  <c r="A2936" i="1"/>
  <c r="A2938" i="1"/>
  <c r="A2942" i="1"/>
  <c r="A2948" i="1"/>
  <c r="A2949" i="1"/>
  <c r="A2953" i="1"/>
  <c r="A2955" i="1"/>
  <c r="A2957" i="1"/>
  <c r="A2960" i="1"/>
  <c r="A2963" i="1"/>
  <c r="A2968" i="1"/>
  <c r="A2970" i="1"/>
  <c r="A2972" i="1"/>
  <c r="A2981" i="1"/>
  <c r="A2983" i="1"/>
  <c r="A3004" i="1"/>
  <c r="A3002" i="1"/>
  <c r="A3003" i="1"/>
  <c r="A3005" i="1"/>
  <c r="A3000" i="1"/>
  <c r="A2999" i="1"/>
  <c r="A2998" i="1"/>
  <c r="A2997" i="1"/>
  <c r="A3001" i="1"/>
  <c r="A3014" i="1"/>
  <c r="A3015" i="1"/>
  <c r="A3016" i="1"/>
  <c r="A3006" i="1"/>
  <c r="A3007" i="1"/>
  <c r="A3008" i="1"/>
  <c r="A3009" i="1"/>
  <c r="A3010" i="1"/>
  <c r="A3012" i="1"/>
  <c r="A3011" i="1"/>
  <c r="A3013" i="1"/>
  <c r="A3122" i="1"/>
  <c r="A3123" i="1"/>
  <c r="A3127" i="1"/>
  <c r="A3126" i="1"/>
  <c r="A3124" i="1"/>
  <c r="P3124" i="1" s="1"/>
  <c r="A3128" i="1"/>
  <c r="A3125" i="1"/>
  <c r="A3129" i="1"/>
  <c r="A3017" i="1"/>
  <c r="A3018" i="1"/>
  <c r="A3019" i="1"/>
  <c r="A3052" i="1"/>
  <c r="A3051" i="1"/>
  <c r="A3053" i="1"/>
  <c r="A3054" i="1"/>
  <c r="A3055" i="1"/>
  <c r="A3056" i="1"/>
  <c r="A3135" i="1"/>
  <c r="A3132" i="1"/>
  <c r="A3134" i="1"/>
  <c r="A3133" i="1"/>
  <c r="A3136" i="1"/>
  <c r="A3137" i="1"/>
  <c r="A3138" i="1"/>
  <c r="A3139" i="1"/>
  <c r="A3140" i="1"/>
  <c r="A2995" i="1"/>
  <c r="A2994" i="1"/>
  <c r="A2996" i="1"/>
  <c r="A3021" i="1"/>
  <c r="P3021" i="1" s="1"/>
  <c r="A3020" i="1"/>
  <c r="A3022" i="1"/>
  <c r="A3023" i="1"/>
  <c r="A3045" i="1"/>
  <c r="A3044" i="1"/>
  <c r="A3046" i="1"/>
  <c r="A3082" i="1"/>
  <c r="A3081" i="1"/>
  <c r="A3083" i="1"/>
  <c r="A3131" i="1"/>
  <c r="A2993" i="1"/>
  <c r="A3130" i="1"/>
  <c r="A3047" i="1"/>
  <c r="A3049" i="1"/>
  <c r="A3048" i="1"/>
  <c r="P3048" i="1" s="1"/>
  <c r="A3050" i="1"/>
  <c r="A3024" i="1"/>
  <c r="A3025" i="1"/>
  <c r="A3026" i="1"/>
  <c r="A3027" i="1"/>
  <c r="A3028" i="1"/>
  <c r="A3029" i="1"/>
  <c r="A3030" i="1"/>
  <c r="A3031" i="1"/>
  <c r="A3032" i="1"/>
  <c r="A3033" i="1"/>
  <c r="A3034" i="1"/>
  <c r="A3036" i="1"/>
  <c r="A3035" i="1"/>
  <c r="A3037" i="1"/>
  <c r="A3038" i="1"/>
  <c r="A3039" i="1"/>
  <c r="A3040" i="1"/>
  <c r="A3041" i="1"/>
  <c r="A3042" i="1"/>
  <c r="A3043" i="1"/>
  <c r="A3057" i="1"/>
  <c r="A3058" i="1"/>
  <c r="A3059" i="1"/>
  <c r="A3060" i="1"/>
  <c r="A3061" i="1"/>
  <c r="A3062" i="1"/>
  <c r="A3063" i="1"/>
  <c r="A3064" i="1"/>
  <c r="A3065" i="1"/>
  <c r="A3066" i="1"/>
  <c r="A3067" i="1"/>
  <c r="A3068" i="1"/>
  <c r="A3069" i="1"/>
  <c r="A3070" i="1"/>
  <c r="A3071" i="1"/>
  <c r="A3072" i="1"/>
  <c r="A3075" i="1"/>
  <c r="A3076" i="1"/>
  <c r="A3077" i="1"/>
  <c r="A3078" i="1"/>
  <c r="A3079" i="1"/>
  <c r="A3080" i="1"/>
  <c r="A3084" i="1"/>
  <c r="A3085" i="1"/>
  <c r="A3086" i="1"/>
  <c r="A3087" i="1"/>
  <c r="A3088" i="1"/>
  <c r="A3089" i="1"/>
  <c r="A3090" i="1"/>
  <c r="A3091" i="1"/>
  <c r="A3092" i="1"/>
  <c r="A3093" i="1"/>
  <c r="A3094" i="1"/>
  <c r="A3095" i="1"/>
  <c r="A3096" i="1"/>
  <c r="A3097" i="1"/>
  <c r="A3098" i="1"/>
  <c r="A3099" i="1"/>
  <c r="A3100" i="1"/>
  <c r="A3101" i="1"/>
  <c r="A3103" i="1"/>
  <c r="A3102" i="1"/>
  <c r="A3104" i="1"/>
  <c r="A3105" i="1"/>
  <c r="A3106" i="1"/>
  <c r="A3107" i="1"/>
  <c r="A3108" i="1"/>
  <c r="A3109" i="1"/>
  <c r="A3110" i="1"/>
  <c r="A3111" i="1"/>
  <c r="A3112" i="1"/>
  <c r="A3113" i="1"/>
  <c r="A3116" i="1"/>
  <c r="A3117" i="1"/>
  <c r="A3118" i="1"/>
  <c r="A3119" i="1"/>
  <c r="A3120" i="1"/>
  <c r="A3121" i="1"/>
  <c r="A3141" i="1"/>
  <c r="A3142" i="1"/>
  <c r="A3144" i="1"/>
  <c r="A3143" i="1"/>
  <c r="A3145" i="1"/>
  <c r="A3146" i="1"/>
  <c r="A3147" i="1"/>
  <c r="A3148" i="1"/>
  <c r="A3149" i="1"/>
  <c r="A3073" i="1"/>
  <c r="A3074" i="1"/>
  <c r="A3114" i="1"/>
  <c r="A3115" i="1"/>
  <c r="A3212" i="1"/>
  <c r="A3213" i="1"/>
  <c r="A3214" i="1"/>
  <c r="A3215" i="1"/>
  <c r="A3216" i="1"/>
  <c r="P3216" i="1" s="1"/>
  <c r="A3217" i="1"/>
  <c r="A3218" i="1"/>
  <c r="A3219" i="1"/>
  <c r="A3220" i="1"/>
  <c r="A3251" i="1"/>
  <c r="A3252" i="1"/>
  <c r="A3253" i="1"/>
  <c r="A3254" i="1"/>
  <c r="A3428" i="1"/>
  <c r="A3429" i="1"/>
  <c r="A3430" i="1"/>
  <c r="A3432" i="1"/>
  <c r="A3431" i="1"/>
  <c r="A3433" i="1"/>
  <c r="A3503" i="1"/>
  <c r="A3502" i="1"/>
  <c r="A3499" i="1"/>
  <c r="A3500" i="1"/>
  <c r="A3501" i="1"/>
  <c r="A3504" i="1"/>
  <c r="A3513" i="1"/>
  <c r="A3514" i="1"/>
  <c r="A3515" i="1"/>
  <c r="A3516" i="1"/>
  <c r="A3517" i="1"/>
  <c r="A3518" i="1"/>
  <c r="A3520" i="1"/>
  <c r="A3519" i="1"/>
  <c r="A3521" i="1"/>
  <c r="A3522" i="1"/>
  <c r="A3727" i="1"/>
  <c r="A3726" i="1"/>
  <c r="A3728" i="1"/>
  <c r="A3729" i="1"/>
  <c r="A3730" i="1"/>
  <c r="A3208" i="1"/>
  <c r="A3209" i="1"/>
  <c r="A3210" i="1"/>
  <c r="A3211" i="1"/>
  <c r="A3228" i="1"/>
  <c r="P3228" i="1" s="1"/>
  <c r="A3227" i="1"/>
  <c r="A3229" i="1"/>
  <c r="A3230" i="1"/>
  <c r="A3231" i="1"/>
  <c r="A3233" i="1"/>
  <c r="A3232" i="1"/>
  <c r="A3234" i="1"/>
  <c r="A3235" i="1"/>
  <c r="P3235" i="1" s="1"/>
  <c r="A3236" i="1"/>
  <c r="A3248" i="1"/>
  <c r="A3246" i="1"/>
  <c r="A3247" i="1"/>
  <c r="P3247" i="1" s="1"/>
  <c r="A3249" i="1"/>
  <c r="A3263" i="1"/>
  <c r="A3265" i="1"/>
  <c r="A3264" i="1"/>
  <c r="P3264" i="1" s="1"/>
  <c r="A3266" i="1"/>
  <c r="A3274" i="1"/>
  <c r="A3275" i="1"/>
  <c r="P3275" i="1" s="1"/>
  <c r="A3276" i="1"/>
  <c r="A3277" i="1"/>
  <c r="A3283" i="1"/>
  <c r="A3284" i="1"/>
  <c r="A3285" i="1"/>
  <c r="A3286" i="1"/>
  <c r="A3288" i="1"/>
  <c r="A3287" i="1"/>
  <c r="A3289" i="1"/>
  <c r="A3290" i="1"/>
  <c r="A3291" i="1"/>
  <c r="A3293" i="1"/>
  <c r="A3292" i="1"/>
  <c r="P3292" i="1" s="1"/>
  <c r="A3294" i="1"/>
  <c r="A3295" i="1"/>
  <c r="A3296" i="1"/>
  <c r="A3297" i="1"/>
  <c r="A3303" i="1"/>
  <c r="A3304" i="1"/>
  <c r="A3305" i="1"/>
  <c r="A3306" i="1"/>
  <c r="A3307" i="1"/>
  <c r="A3310" i="1"/>
  <c r="A3311" i="1"/>
  <c r="A3312" i="1"/>
  <c r="A3313" i="1"/>
  <c r="A3316" i="1"/>
  <c r="A3317" i="1"/>
  <c r="A3318" i="1"/>
  <c r="A3319" i="1"/>
  <c r="A3320" i="1"/>
  <c r="A3321" i="1"/>
  <c r="A3322" i="1"/>
  <c r="A3342" i="1"/>
  <c r="A3343" i="1"/>
  <c r="A3344" i="1"/>
  <c r="A3345" i="1"/>
  <c r="A3346" i="1"/>
  <c r="A3347" i="1"/>
  <c r="A3364" i="1"/>
  <c r="A3365" i="1"/>
  <c r="A3366" i="1"/>
  <c r="A3367" i="1"/>
  <c r="A3379" i="1"/>
  <c r="A3378" i="1"/>
  <c r="A3377" i="1"/>
  <c r="A3380" i="1"/>
  <c r="A3382" i="1"/>
  <c r="A3383" i="1"/>
  <c r="A3381" i="1"/>
  <c r="A3384" i="1"/>
  <c r="A3385" i="1"/>
  <c r="A3386" i="1"/>
  <c r="A3387" i="1"/>
  <c r="A3388" i="1"/>
  <c r="A3389" i="1"/>
  <c r="A3394" i="1"/>
  <c r="A3392" i="1"/>
  <c r="A3393" i="1"/>
  <c r="A3395" i="1"/>
  <c r="A3396" i="1"/>
  <c r="A3397" i="1"/>
  <c r="A3405" i="1"/>
  <c r="A3407" i="1"/>
  <c r="A3406" i="1"/>
  <c r="A3408" i="1"/>
  <c r="A3411" i="1"/>
  <c r="A3409" i="1"/>
  <c r="A3414" i="1"/>
  <c r="A3410" i="1"/>
  <c r="A3413" i="1"/>
  <c r="A3412" i="1"/>
  <c r="A3415" i="1"/>
  <c r="A3440" i="1"/>
  <c r="A3441" i="1"/>
  <c r="A3442" i="1"/>
  <c r="A3443" i="1"/>
  <c r="A3444" i="1"/>
  <c r="A3450" i="1"/>
  <c r="A3464" i="1"/>
  <c r="A3462" i="1"/>
  <c r="A3463" i="1"/>
  <c r="A3465" i="1"/>
  <c r="A3466" i="1"/>
  <c r="A3467" i="1"/>
  <c r="A3468" i="1"/>
  <c r="A3469" i="1"/>
  <c r="A3470" i="1"/>
  <c r="A3471" i="1"/>
  <c r="A3472" i="1"/>
  <c r="A3473" i="1"/>
  <c r="A3474" i="1"/>
  <c r="A3476" i="1"/>
  <c r="A3475" i="1"/>
  <c r="A3477" i="1"/>
  <c r="A3481" i="1"/>
  <c r="A3482" i="1"/>
  <c r="A3480" i="1"/>
  <c r="A3485" i="1"/>
  <c r="A3483" i="1"/>
  <c r="A3484" i="1"/>
  <c r="A3486" i="1"/>
  <c r="A3531" i="1"/>
  <c r="A3532" i="1"/>
  <c r="A3533" i="1"/>
  <c r="A3534" i="1"/>
  <c r="A3535" i="1"/>
  <c r="A3536" i="1"/>
  <c r="P3536" i="1" s="1"/>
  <c r="A3537" i="1"/>
  <c r="A3538" i="1"/>
  <c r="A3546" i="1"/>
  <c r="A3547" i="1"/>
  <c r="A3548" i="1"/>
  <c r="A3549" i="1"/>
  <c r="A3554" i="1"/>
  <c r="A3553" i="1"/>
  <c r="A3555" i="1"/>
  <c r="P3555" i="1" s="1"/>
  <c r="A3558" i="1"/>
  <c r="A3556" i="1"/>
  <c r="A3557" i="1"/>
  <c r="A3559" i="1"/>
  <c r="A3436" i="1"/>
  <c r="A3437" i="1"/>
  <c r="A3434" i="1"/>
  <c r="A3435" i="1"/>
  <c r="A3438" i="1"/>
  <c r="A3570" i="1"/>
  <c r="A3569" i="1"/>
  <c r="A3571" i="1"/>
  <c r="A3572" i="1"/>
  <c r="A3573" i="1"/>
  <c r="A3578" i="1"/>
  <c r="P3578" i="1" s="1"/>
  <c r="A3580" i="1"/>
  <c r="A3577" i="1"/>
  <c r="A3579" i="1"/>
  <c r="A3581" i="1"/>
  <c r="A3583" i="1"/>
  <c r="A3584" i="1"/>
  <c r="P3584" i="1" s="1"/>
  <c r="A3582" i="1"/>
  <c r="A3585" i="1"/>
  <c r="A3586" i="1"/>
  <c r="A3587" i="1"/>
  <c r="A3588" i="1"/>
  <c r="A3589" i="1"/>
  <c r="A3590" i="1"/>
  <c r="A3591" i="1"/>
  <c r="A3592" i="1"/>
  <c r="A3605" i="1"/>
  <c r="A3600" i="1"/>
  <c r="P3600" i="1" s="1"/>
  <c r="A3601" i="1"/>
  <c r="A3604" i="1"/>
  <c r="A3607" i="1"/>
  <c r="A3610" i="1"/>
  <c r="A3612" i="1"/>
  <c r="A3611" i="1"/>
  <c r="P3611" i="1" s="1"/>
  <c r="A3613" i="1"/>
  <c r="A3630" i="1"/>
  <c r="A3631" i="1"/>
  <c r="A3632" i="1"/>
  <c r="A3633" i="1"/>
  <c r="A3634" i="1"/>
  <c r="A3636" i="1"/>
  <c r="A3637" i="1"/>
  <c r="A3635" i="1"/>
  <c r="A3638" i="1"/>
  <c r="A3639" i="1"/>
  <c r="A3640" i="1"/>
  <c r="A3641" i="1"/>
  <c r="A3642" i="1"/>
  <c r="A3643" i="1"/>
  <c r="A3653" i="1"/>
  <c r="A3654" i="1"/>
  <c r="A3655" i="1"/>
  <c r="A3656" i="1"/>
  <c r="A3657" i="1"/>
  <c r="A3660" i="1"/>
  <c r="A3658" i="1"/>
  <c r="P3658" i="1" s="1"/>
  <c r="A3659" i="1"/>
  <c r="A3661" i="1"/>
  <c r="A3672" i="1"/>
  <c r="A3670" i="1"/>
  <c r="A3671" i="1"/>
  <c r="A3673" i="1"/>
  <c r="A3674" i="1"/>
  <c r="A3675" i="1"/>
  <c r="A3676" i="1"/>
  <c r="A3678" i="1"/>
  <c r="A3679" i="1"/>
  <c r="A3680" i="1"/>
  <c r="A3682" i="1"/>
  <c r="A3681" i="1"/>
  <c r="A3683" i="1"/>
  <c r="A3685" i="1"/>
  <c r="A3684" i="1"/>
  <c r="A3686" i="1"/>
  <c r="A3687" i="1"/>
  <c r="A3688" i="1"/>
  <c r="A3689" i="1"/>
  <c r="A3690" i="1"/>
  <c r="P3690" i="1" s="1"/>
  <c r="A3691" i="1"/>
  <c r="A3692" i="1"/>
  <c r="A3695" i="1"/>
  <c r="A3694" i="1"/>
  <c r="A3696" i="1"/>
  <c r="A3697" i="1"/>
  <c r="A3709" i="1"/>
  <c r="A3710" i="1"/>
  <c r="A3708" i="1"/>
  <c r="A3712" i="1"/>
  <c r="A3711" i="1"/>
  <c r="A3713" i="1"/>
  <c r="A3704" i="1"/>
  <c r="A3703" i="1"/>
  <c r="A3706" i="1"/>
  <c r="A3702" i="1"/>
  <c r="P3702" i="1" s="1"/>
  <c r="A3705" i="1"/>
  <c r="A3701" i="1"/>
  <c r="A3707" i="1"/>
  <c r="A3563" i="1"/>
  <c r="A3564" i="1"/>
  <c r="A3565" i="1"/>
  <c r="A3566" i="1"/>
  <c r="A3369" i="1"/>
  <c r="A3368" i="1"/>
  <c r="A3370" i="1"/>
  <c r="A3371" i="1"/>
  <c r="A3374" i="1"/>
  <c r="A3373" i="1"/>
  <c r="A3376" i="1"/>
  <c r="A3447" i="1"/>
  <c r="A3448" i="1"/>
  <c r="A3445" i="1"/>
  <c r="A3446" i="1"/>
  <c r="A3449" i="1"/>
  <c r="A3451" i="1"/>
  <c r="A3452" i="1"/>
  <c r="A3453" i="1"/>
  <c r="A3560" i="1"/>
  <c r="A3561" i="1"/>
  <c r="A3562" i="1"/>
  <c r="A3616" i="1"/>
  <c r="A3615" i="1"/>
  <c r="A3617" i="1"/>
  <c r="A3677" i="1"/>
  <c r="A3603" i="1"/>
  <c r="A3599" i="1"/>
  <c r="A3602" i="1"/>
  <c r="A3606" i="1"/>
  <c r="A3273" i="1"/>
  <c r="A3372" i="1"/>
  <c r="A3375" i="1"/>
  <c r="A3206" i="1"/>
  <c r="A3207" i="1"/>
  <c r="A3250" i="1"/>
  <c r="A3308" i="1"/>
  <c r="A3309" i="1"/>
  <c r="A3314" i="1"/>
  <c r="A3315" i="1"/>
  <c r="A3339" i="1"/>
  <c r="A3340" i="1"/>
  <c r="A3341" i="1"/>
  <c r="A3390" i="1"/>
  <c r="A3391" i="1"/>
  <c r="A3439" i="1"/>
  <c r="A3460" i="1"/>
  <c r="A3461" i="1"/>
  <c r="A3478" i="1"/>
  <c r="A3479" i="1"/>
  <c r="A3529" i="1"/>
  <c r="A3530" i="1"/>
  <c r="A3550" i="1"/>
  <c r="A3551" i="1"/>
  <c r="A3552" i="1"/>
  <c r="A3567" i="1"/>
  <c r="A3568" i="1"/>
  <c r="A3575" i="1"/>
  <c r="A3574" i="1"/>
  <c r="A3576" i="1"/>
  <c r="Q3576" i="1" s="1"/>
  <c r="A3608" i="1"/>
  <c r="A3609" i="1"/>
  <c r="A3614" i="1"/>
  <c r="A3628" i="1"/>
  <c r="A3629" i="1"/>
  <c r="A3693" i="1"/>
  <c r="A3699" i="1"/>
  <c r="A3698" i="1"/>
  <c r="A3700" i="1"/>
  <c r="A3509" i="1"/>
  <c r="A3510" i="1"/>
  <c r="A3507" i="1"/>
  <c r="A3508" i="1"/>
  <c r="A3511" i="1"/>
  <c r="A3512" i="1"/>
  <c r="A3221" i="1"/>
  <c r="A3222" i="1"/>
  <c r="A3243" i="1"/>
  <c r="A3244" i="1"/>
  <c r="A3245" i="1"/>
  <c r="A3298" i="1"/>
  <c r="A3299" i="1"/>
  <c r="A3300" i="1"/>
  <c r="A3398" i="1"/>
  <c r="A3399" i="1"/>
  <c r="A3400" i="1"/>
  <c r="A3543" i="1"/>
  <c r="A3544" i="1"/>
  <c r="A3545" i="1"/>
  <c r="A3621" i="1"/>
  <c r="A3622" i="1"/>
  <c r="A3623" i="1"/>
  <c r="A3624" i="1"/>
  <c r="A3663" i="1"/>
  <c r="A3662" i="1"/>
  <c r="A3664" i="1"/>
  <c r="A3665" i="1"/>
  <c r="A3666" i="1"/>
  <c r="A3667" i="1"/>
  <c r="A3716" i="1"/>
  <c r="A3717" i="1"/>
  <c r="A3718" i="1"/>
  <c r="A3223" i="1"/>
  <c r="A3224" i="1"/>
  <c r="A3225" i="1"/>
  <c r="A3237" i="1"/>
  <c r="A3238" i="1"/>
  <c r="A3239" i="1"/>
  <c r="A3240" i="1"/>
  <c r="A3241" i="1"/>
  <c r="A3242" i="1"/>
  <c r="A3255" i="1"/>
  <c r="A3256" i="1"/>
  <c r="A3257" i="1"/>
  <c r="A3258" i="1"/>
  <c r="A3259" i="1"/>
  <c r="A3260" i="1"/>
  <c r="A3261" i="1"/>
  <c r="A3262" i="1"/>
  <c r="A3267" i="1"/>
  <c r="A3268" i="1"/>
  <c r="A3269" i="1"/>
  <c r="A3270" i="1"/>
  <c r="A3271" i="1"/>
  <c r="A3272" i="1"/>
  <c r="A3278" i="1"/>
  <c r="A3279" i="1"/>
  <c r="A3280" i="1"/>
  <c r="A3281" i="1"/>
  <c r="A3282" i="1"/>
  <c r="A3301" i="1"/>
  <c r="A3302" i="1"/>
  <c r="A3323" i="1"/>
  <c r="A3324" i="1"/>
  <c r="A3325" i="1"/>
  <c r="A3326" i="1"/>
  <c r="A3327" i="1"/>
  <c r="A3330" i="1"/>
  <c r="A3331" i="1"/>
  <c r="A3332" i="1"/>
  <c r="A3333" i="1"/>
  <c r="A3335" i="1"/>
  <c r="A3337" i="1"/>
  <c r="A3338" i="1"/>
  <c r="A3401" i="1"/>
  <c r="A3402" i="1"/>
  <c r="A3403" i="1"/>
  <c r="A3404" i="1"/>
  <c r="A3416" i="1"/>
  <c r="A3417" i="1"/>
  <c r="A3418" i="1"/>
  <c r="A3422" i="1"/>
  <c r="A3419" i="1"/>
  <c r="A3423" i="1"/>
  <c r="A3425" i="1"/>
  <c r="A3426" i="1"/>
  <c r="A3427" i="1"/>
  <c r="A3454" i="1"/>
  <c r="A3455" i="1"/>
  <c r="A3456" i="1"/>
  <c r="A3457" i="1"/>
  <c r="A3458" i="1"/>
  <c r="A3459" i="1"/>
  <c r="A3487" i="1"/>
  <c r="A3488" i="1"/>
  <c r="A3489" i="1"/>
  <c r="A3491" i="1"/>
  <c r="A3490" i="1"/>
  <c r="A3492" i="1"/>
  <c r="A3493" i="1"/>
  <c r="A3494" i="1"/>
  <c r="A3495" i="1"/>
  <c r="A3496" i="1"/>
  <c r="A3497" i="1"/>
  <c r="A3498" i="1"/>
  <c r="A3505" i="1"/>
  <c r="A3506" i="1"/>
  <c r="A3523" i="1"/>
  <c r="A3524" i="1"/>
  <c r="A3525" i="1"/>
  <c r="A3526" i="1"/>
  <c r="A3527" i="1"/>
  <c r="A3528" i="1"/>
  <c r="A3539" i="1"/>
  <c r="A3540" i="1"/>
  <c r="A3541" i="1"/>
  <c r="A3542" i="1"/>
  <c r="A3593" i="1"/>
  <c r="A3594" i="1"/>
  <c r="A3595" i="1"/>
  <c r="A3596" i="1"/>
  <c r="A3597" i="1"/>
  <c r="A3598" i="1"/>
  <c r="A3618" i="1"/>
  <c r="A3619" i="1"/>
  <c r="A3620" i="1"/>
  <c r="A3625" i="1"/>
  <c r="A3626" i="1"/>
  <c r="P3626" i="1" s="1"/>
  <c r="A3627" i="1"/>
  <c r="A3644" i="1"/>
  <c r="A3645" i="1"/>
  <c r="A3646" i="1"/>
  <c r="A3647" i="1"/>
  <c r="A3648" i="1"/>
  <c r="A3649" i="1"/>
  <c r="A3652" i="1"/>
  <c r="A3668" i="1"/>
  <c r="A3669" i="1"/>
  <c r="A3722" i="1"/>
  <c r="A3721" i="1"/>
  <c r="A3723" i="1"/>
  <c r="A3724" i="1"/>
  <c r="A3725" i="1"/>
  <c r="A3226" i="1"/>
  <c r="A3328" i="1"/>
  <c r="P3328" i="1" s="1"/>
  <c r="A3329" i="1"/>
  <c r="A3334" i="1"/>
  <c r="A3336" i="1"/>
  <c r="A3420" i="1"/>
  <c r="P3420" i="1" s="1"/>
  <c r="A3421" i="1"/>
  <c r="A3424" i="1"/>
  <c r="A3650" i="1"/>
  <c r="A3651" i="1"/>
  <c r="A3714" i="1"/>
  <c r="A3715" i="1"/>
  <c r="A3719" i="1"/>
  <c r="A3720" i="1"/>
  <c r="A4147" i="1"/>
  <c r="A4148" i="1"/>
  <c r="A4176" i="1"/>
  <c r="A4175" i="1"/>
  <c r="A4177" i="1"/>
  <c r="A4178" i="1"/>
  <c r="A4180" i="1"/>
  <c r="A4179" i="1"/>
  <c r="A4181" i="1"/>
  <c r="A4154" i="1"/>
  <c r="A4150" i="1"/>
  <c r="A4153" i="1"/>
  <c r="A4155" i="1"/>
  <c r="A4156" i="1"/>
  <c r="A4157" i="1"/>
  <c r="A4158" i="1"/>
  <c r="A4159" i="1"/>
  <c r="A4160" i="1"/>
  <c r="A4161" i="1"/>
  <c r="A4162" i="1"/>
  <c r="A4173" i="1"/>
  <c r="A4174" i="1"/>
  <c r="A4182" i="1"/>
  <c r="A4183" i="1"/>
  <c r="A4184" i="1"/>
  <c r="A4185" i="1"/>
  <c r="A4198" i="1"/>
  <c r="A4197" i="1"/>
  <c r="A4199" i="1"/>
  <c r="A4189" i="1"/>
  <c r="A4190" i="1"/>
  <c r="A4191" i="1"/>
  <c r="A4187" i="1"/>
  <c r="P4187" i="1" s="1"/>
  <c r="A4188" i="1"/>
  <c r="A4186" i="1"/>
  <c r="A4192" i="1"/>
  <c r="A4151" i="1"/>
  <c r="A4149" i="1"/>
  <c r="A4152" i="1"/>
  <c r="A4164" i="1"/>
  <c r="A4163" i="1"/>
  <c r="A4165" i="1"/>
  <c r="A4166" i="1"/>
  <c r="A4167" i="1"/>
  <c r="A4168" i="1"/>
  <c r="A4169" i="1"/>
  <c r="A4170" i="1"/>
  <c r="A4171" i="1"/>
  <c r="A4172" i="1"/>
  <c r="A4193" i="1"/>
  <c r="A4194" i="1"/>
  <c r="A4195" i="1"/>
  <c r="A4196" i="1"/>
  <c r="A4200" i="1"/>
  <c r="A4201" i="1"/>
  <c r="A4202" i="1"/>
  <c r="A4203" i="1"/>
  <c r="A3150" i="1"/>
  <c r="A3151" i="1"/>
  <c r="A2989" i="1"/>
  <c r="A2990" i="1"/>
  <c r="A2986" i="1"/>
  <c r="A2985" i="1"/>
  <c r="A2988" i="1"/>
  <c r="A2987" i="1"/>
  <c r="A2991" i="1"/>
  <c r="A2992" i="1"/>
  <c r="A3767" i="1"/>
  <c r="A3768" i="1"/>
  <c r="A3773" i="1"/>
  <c r="A3774" i="1"/>
  <c r="A3755" i="1"/>
  <c r="A3756" i="1"/>
  <c r="A3771" i="1"/>
  <c r="A3772" i="1"/>
  <c r="A3753" i="1"/>
  <c r="A3754" i="1"/>
  <c r="A3757" i="1"/>
  <c r="A3758" i="1"/>
  <c r="A3759" i="1"/>
  <c r="A3760" i="1"/>
  <c r="A3761" i="1"/>
  <c r="A3762" i="1"/>
  <c r="A3763" i="1"/>
  <c r="A3764" i="1"/>
  <c r="A3765" i="1"/>
  <c r="A3766" i="1"/>
  <c r="A3769" i="1"/>
  <c r="A3770" i="1"/>
  <c r="A3775" i="1"/>
  <c r="A3776" i="1"/>
  <c r="A3777" i="1"/>
  <c r="A3778" i="1"/>
  <c r="A3779" i="1"/>
  <c r="A3780" i="1"/>
  <c r="A6228"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P4254" i="1" s="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P4409" i="1" s="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P4452" i="1" s="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P4823" i="1" s="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P5070" i="1" s="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P5102" i="1" s="1"/>
  <c r="A5103" i="1"/>
  <c r="A5104" i="1"/>
  <c r="A5105" i="1"/>
  <c r="A5106" i="1"/>
  <c r="A5107" i="1"/>
  <c r="A5108" i="1"/>
  <c r="A5109" i="1"/>
  <c r="A5110" i="1"/>
  <c r="A5111" i="1"/>
  <c r="P5111" i="1" s="1"/>
  <c r="A5112" i="1"/>
  <c r="A5113" i="1"/>
  <c r="A5114" i="1"/>
  <c r="A5115" i="1"/>
  <c r="A5116" i="1"/>
  <c r="A5117" i="1"/>
  <c r="A5118" i="1"/>
  <c r="P5118" i="1" s="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P5169" i="1" s="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P5207" i="1" s="1"/>
  <c r="A5208" i="1"/>
  <c r="A5209" i="1"/>
  <c r="A5210" i="1"/>
  <c r="A5211" i="1"/>
  <c r="A5212" i="1"/>
  <c r="A5213" i="1"/>
  <c r="A5214" i="1"/>
  <c r="A5215" i="1"/>
  <c r="A5216" i="1"/>
  <c r="A5217" i="1"/>
  <c r="P5217" i="1" s="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P5595" i="1" s="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P5715" i="1" s="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4227" i="1"/>
  <c r="G4562" i="1"/>
  <c r="G4227" i="1"/>
  <c r="G4831" i="1"/>
  <c r="Q3730" i="1" l="1"/>
  <c r="Q3347" i="1"/>
  <c r="Q3889" i="1"/>
  <c r="Q3315" i="1"/>
  <c r="Q3830" i="1"/>
  <c r="Q2656" i="1"/>
  <c r="Q2655" i="1" s="1"/>
  <c r="Q2935" i="1"/>
  <c r="Q2934" i="1" s="1"/>
  <c r="R2935" i="1"/>
  <c r="S2935" i="1"/>
  <c r="Q3427" i="1"/>
  <c r="Q3426" i="1" s="1"/>
  <c r="Q3871" i="1"/>
  <c r="Q3652" i="1"/>
  <c r="Q3651" i="1" s="1"/>
  <c r="Q3650" i="1" s="1"/>
  <c r="Q6215" i="1"/>
  <c r="Q3226" i="1"/>
  <c r="Q3376" i="1"/>
  <c r="Q3375" i="1" s="1"/>
  <c r="Q3374" i="1" s="1"/>
  <c r="Q3373" i="1" s="1"/>
  <c r="Q3772" i="1"/>
  <c r="Q4020" i="1"/>
  <c r="X40" i="1"/>
  <c r="Y40" i="1" s="1"/>
  <c r="AA40" i="1"/>
  <c r="Z40" i="1" s="1"/>
  <c r="W42" i="1"/>
  <c r="Q3552" i="1"/>
  <c r="Q2993" i="1"/>
  <c r="Q3273" i="1"/>
  <c r="Q3562" i="1"/>
  <c r="Q3561" i="1" s="1"/>
  <c r="Q3171" i="1"/>
  <c r="Q2976" i="1"/>
  <c r="Q4222" i="1"/>
  <c r="Q4206" i="1"/>
  <c r="Q3199" i="1"/>
  <c r="Q3191" i="1"/>
  <c r="Q4088" i="1"/>
  <c r="Q3050" i="1"/>
  <c r="Q3049" i="1" s="1"/>
  <c r="Q3048" i="1" s="1"/>
  <c r="Q4023" i="1"/>
  <c r="Q4022" i="1" s="1"/>
  <c r="Q3861" i="1"/>
  <c r="Q3860" i="1" s="1"/>
  <c r="Q3859" i="1" s="1"/>
  <c r="Q3858" i="1" s="1"/>
  <c r="Q3857" i="1" s="1"/>
  <c r="Q3856" i="1" s="1"/>
  <c r="Q3581" i="1"/>
  <c r="Q3580" i="1" s="1"/>
  <c r="Q3579" i="1" s="1"/>
  <c r="Q3578" i="1" s="1"/>
  <c r="Q4046" i="1"/>
  <c r="Q4045" i="1" s="1"/>
  <c r="Q4072" i="1"/>
  <c r="Q3620" i="1"/>
  <c r="Q3619" i="1" s="1"/>
  <c r="Q6201" i="1"/>
  <c r="Q6177" i="1"/>
  <c r="Q6176" i="1" s="1"/>
  <c r="Q6161" i="1"/>
  <c r="Q6153" i="1"/>
  <c r="Q6152" i="1" s="1"/>
  <c r="Q6129" i="1"/>
  <c r="Q6128" i="1" s="1"/>
  <c r="Q6127" i="1" s="1"/>
  <c r="Q6126" i="1" s="1"/>
  <c r="Q6121" i="1"/>
  <c r="Q6120" i="1" s="1"/>
  <c r="Q6119" i="1" s="1"/>
  <c r="Q6118" i="1" s="1"/>
  <c r="Q6117" i="1" s="1"/>
  <c r="Q6116" i="1" s="1"/>
  <c r="Q6115" i="1" s="1"/>
  <c r="Q6114" i="1" s="1"/>
  <c r="Q6105" i="1"/>
  <c r="Q6089" i="1"/>
  <c r="Q6088" i="1" s="1"/>
  <c r="Q6087" i="1" s="1"/>
  <c r="Q6086" i="1" s="1"/>
  <c r="Q6085" i="1" s="1"/>
  <c r="Q6084" i="1" s="1"/>
  <c r="Q6083" i="1" s="1"/>
  <c r="Q6082" i="1" s="1"/>
  <c r="Q6081" i="1" s="1"/>
  <c r="Q6080" i="1" s="1"/>
  <c r="Q5985" i="1"/>
  <c r="Q5984" i="1" s="1"/>
  <c r="Q5983" i="1" s="1"/>
  <c r="Q5982" i="1" s="1"/>
  <c r="Q5981" i="1" s="1"/>
  <c r="Q4062" i="1"/>
  <c r="Q4061" i="1" s="1"/>
  <c r="Q6193" i="1"/>
  <c r="Q3669" i="1"/>
  <c r="Q3700" i="1"/>
  <c r="Q3699" i="1" s="1"/>
  <c r="Q2968" i="1"/>
  <c r="Q4114" i="1"/>
  <c r="Q3848" i="1"/>
  <c r="Q2988" i="1"/>
  <c r="Q3542" i="1"/>
  <c r="Q3459" i="1"/>
  <c r="Q3207" i="1"/>
  <c r="Q4059" i="1"/>
  <c r="Q4058" i="1" s="1"/>
  <c r="Q4026" i="1"/>
  <c r="Q4025" i="1" s="1"/>
  <c r="Q3766" i="1"/>
  <c r="Q3336" i="1"/>
  <c r="Q3335" i="1" s="1"/>
  <c r="Q3334" i="1" s="1"/>
  <c r="Q3282" i="1"/>
  <c r="Q3211" i="1"/>
  <c r="Q3210" i="1" s="1"/>
  <c r="Q3209" i="1" s="1"/>
  <c r="Q3121" i="1"/>
  <c r="Q4196" i="1"/>
  <c r="Q3245" i="1"/>
  <c r="Q3244" i="1" s="1"/>
  <c r="Q3461" i="1"/>
  <c r="Q3158" i="1"/>
  <c r="Q5969" i="1"/>
  <c r="Q5968" i="1" s="1"/>
  <c r="Q5929" i="1"/>
  <c r="Q5928" i="1" s="1"/>
  <c r="Q5927" i="1" s="1"/>
  <c r="Q5926" i="1" s="1"/>
  <c r="Q5905" i="1"/>
  <c r="Q5889" i="1"/>
  <c r="Q5873" i="1"/>
  <c r="Q5841" i="1"/>
  <c r="Q5840" i="1" s="1"/>
  <c r="Q5839" i="1" s="1"/>
  <c r="Q5838" i="1" s="1"/>
  <c r="Q5837" i="1" s="1"/>
  <c r="Q5836" i="1" s="1"/>
  <c r="Q5835" i="1" s="1"/>
  <c r="Q5834" i="1" s="1"/>
  <c r="Q5833" i="1" s="1"/>
  <c r="Q5825" i="1"/>
  <c r="Q5809" i="1"/>
  <c r="Q5801" i="1"/>
  <c r="Q5793" i="1"/>
  <c r="Q5792" i="1" s="1"/>
  <c r="Q5791" i="1" s="1"/>
  <c r="Q5785" i="1"/>
  <c r="Q5761" i="1"/>
  <c r="Q5721" i="1"/>
  <c r="Q5713" i="1"/>
  <c r="Q5705" i="1"/>
  <c r="Q5697" i="1"/>
  <c r="Q5665" i="1"/>
  <c r="Q5657" i="1"/>
  <c r="Q5641" i="1"/>
  <c r="Q5633" i="1"/>
  <c r="Q5632" i="1" s="1"/>
  <c r="Q5631" i="1" s="1"/>
  <c r="Q5625" i="1"/>
  <c r="Q6179" i="1"/>
  <c r="Q6171" i="1"/>
  <c r="Q6211" i="1"/>
  <c r="Q6155" i="1"/>
  <c r="Q6195" i="1"/>
  <c r="Q6147" i="1"/>
  <c r="Q6146" i="1" s="1"/>
  <c r="Q6107" i="1"/>
  <c r="Q6091" i="1"/>
  <c r="Q6059" i="1"/>
  <c r="Q6058" i="1" s="1"/>
  <c r="Q6057" i="1" s="1"/>
  <c r="Q6035" i="1"/>
  <c r="Q6034" i="1" s="1"/>
  <c r="Q6033" i="1" s="1"/>
  <c r="Q6003" i="1"/>
  <c r="Q5979" i="1"/>
  <c r="Q5978" i="1" s="1"/>
  <c r="Q5977" i="1" s="1"/>
  <c r="Q5976" i="1" s="1"/>
  <c r="Q5975" i="1" s="1"/>
  <c r="Q5963" i="1"/>
  <c r="Q5962" i="1" s="1"/>
  <c r="Q5947" i="1"/>
  <c r="Q5946" i="1" s="1"/>
  <c r="Q5945" i="1" s="1"/>
  <c r="Q5944" i="1" s="1"/>
  <c r="Q5943" i="1" s="1"/>
  <c r="Q5942" i="1" s="1"/>
  <c r="Q5907" i="1"/>
  <c r="Q5875" i="1"/>
  <c r="Q5803" i="1"/>
  <c r="Q5795" i="1"/>
  <c r="Q5779" i="1"/>
  <c r="Q5771" i="1"/>
  <c r="Q5755" i="1"/>
  <c r="Q5731" i="1"/>
  <c r="Q5730" i="1" s="1"/>
  <c r="Q5729" i="1" s="1"/>
  <c r="Q5707" i="1"/>
  <c r="Q5699" i="1"/>
  <c r="Q5683" i="1"/>
  <c r="Q5667" i="1"/>
  <c r="Q5659" i="1"/>
  <c r="Q5627" i="1"/>
  <c r="Q5619" i="1"/>
  <c r="Q5611" i="1"/>
  <c r="Q5587" i="1"/>
  <c r="Q5563" i="1"/>
  <c r="Q5562" i="1" s="1"/>
  <c r="Q5555" i="1"/>
  <c r="Q5547" i="1"/>
  <c r="Q5546" i="1" s="1"/>
  <c r="Q5539" i="1"/>
  <c r="Q5507" i="1"/>
  <c r="Q5499" i="1"/>
  <c r="Q5475" i="1"/>
  <c r="Q5459" i="1"/>
  <c r="Q5443" i="1"/>
  <c r="Q5427" i="1"/>
  <c r="Q5426" i="1" s="1"/>
  <c r="Q5419" i="1"/>
  <c r="Q5411" i="1"/>
  <c r="Q5403" i="1"/>
  <c r="Q6203" i="1"/>
  <c r="Q6099" i="1"/>
  <c r="Q6098" i="1" s="1"/>
  <c r="Q6097" i="1" s="1"/>
  <c r="Q6096" i="1" s="1"/>
  <c r="Q6095" i="1" s="1"/>
  <c r="Q6094" i="1" s="1"/>
  <c r="Q6093" i="1" s="1"/>
  <c r="Q6075" i="1"/>
  <c r="Q6074" i="1" s="1"/>
  <c r="Q3449" i="1"/>
  <c r="Q3448" i="1" s="1"/>
  <c r="Q3447" i="1" s="1"/>
  <c r="Q3446" i="1" s="1"/>
  <c r="Q5395" i="1"/>
  <c r="Q5394" i="1" s="1"/>
  <c r="Q5387" i="1"/>
  <c r="Q5371" i="1"/>
  <c r="Q5363" i="1"/>
  <c r="Q5355" i="1"/>
  <c r="Q5347" i="1"/>
  <c r="Q5339" i="1"/>
  <c r="Q5331" i="1"/>
  <c r="Q5315" i="1"/>
  <c r="Q5314" i="1" s="1"/>
  <c r="Q5313" i="1" s="1"/>
  <c r="Q5259" i="1"/>
  <c r="Q5203" i="1"/>
  <c r="Q5147" i="1"/>
  <c r="Q5146" i="1" s="1"/>
  <c r="Q5145" i="1" s="1"/>
  <c r="Q5144" i="1" s="1"/>
  <c r="Q5143" i="1" s="1"/>
  <c r="Q5142" i="1" s="1"/>
  <c r="Q5141" i="1" s="1"/>
  <c r="Q5140" i="1" s="1"/>
  <c r="Q5139" i="1" s="1"/>
  <c r="Q5083" i="1"/>
  <c r="Q5082" i="1" s="1"/>
  <c r="Q5081" i="1" s="1"/>
  <c r="Q5080" i="1" s="1"/>
  <c r="Q5079" i="1" s="1"/>
  <c r="Q5078" i="1" s="1"/>
  <c r="Q5051" i="1"/>
  <c r="Q5050" i="1" s="1"/>
  <c r="Q5049" i="1" s="1"/>
  <c r="Q5048" i="1" s="1"/>
  <c r="Q5047" i="1" s="1"/>
  <c r="Q5046" i="1" s="1"/>
  <c r="Q5019" i="1"/>
  <c r="Q5018" i="1" s="1"/>
  <c r="Q5011" i="1"/>
  <c r="Q5003" i="1"/>
  <c r="Q4995" i="1"/>
  <c r="Q4987" i="1"/>
  <c r="Q4986" i="1" s="1"/>
  <c r="Q4985" i="1" s="1"/>
  <c r="Q4984" i="1" s="1"/>
  <c r="Q4983" i="1" s="1"/>
  <c r="Q4979" i="1"/>
  <c r="Q4978" i="1" s="1"/>
  <c r="Q4977" i="1" s="1"/>
  <c r="Q4976" i="1" s="1"/>
  <c r="Q4975" i="1" s="1"/>
  <c r="Q4923" i="1"/>
  <c r="Q4875" i="1"/>
  <c r="Q4835" i="1"/>
  <c r="Q4834" i="1" s="1"/>
  <c r="Q4833" i="1" s="1"/>
  <c r="Q4832" i="1" s="1"/>
  <c r="Q4811" i="1"/>
  <c r="Q4803" i="1"/>
  <c r="Q4747" i="1"/>
  <c r="Q4746" i="1" s="1"/>
  <c r="Q4745" i="1" s="1"/>
  <c r="Q4739" i="1"/>
  <c r="Q4731" i="1"/>
  <c r="Q4730" i="1" s="1"/>
  <c r="Q4729" i="1" s="1"/>
  <c r="Q4691" i="1"/>
  <c r="Q4675" i="1"/>
  <c r="Q4659" i="1"/>
  <c r="Q4658" i="1" s="1"/>
  <c r="Q4651" i="1"/>
  <c r="Q4650" i="1" s="1"/>
  <c r="Q4649" i="1" s="1"/>
  <c r="Q4643" i="1"/>
  <c r="Q4642" i="1" s="1"/>
  <c r="Q4641" i="1" s="1"/>
  <c r="Q4640" i="1" s="1"/>
  <c r="Q4619" i="1"/>
  <c r="Q4595" i="1"/>
  <c r="Q4547" i="1"/>
  <c r="Q4531" i="1"/>
  <c r="Q4530" i="1" s="1"/>
  <c r="Q4529" i="1" s="1"/>
  <c r="Q4507" i="1"/>
  <c r="Q4475" i="1"/>
  <c r="Q4474" i="1" s="1"/>
  <c r="Q4473" i="1" s="1"/>
  <c r="Q4472" i="1" s="1"/>
  <c r="Q4435" i="1"/>
  <c r="Q4427" i="1"/>
  <c r="Q4426" i="1" s="1"/>
  <c r="Q4425" i="1" s="1"/>
  <c r="Q4419" i="1"/>
  <c r="Q4418" i="1" s="1"/>
  <c r="Q4417" i="1" s="1"/>
  <c r="Q4403" i="1"/>
  <c r="Q4395" i="1"/>
  <c r="Q4371" i="1"/>
  <c r="Q4347" i="1"/>
  <c r="Q4339" i="1"/>
  <c r="Q4331" i="1"/>
  <c r="Q4315" i="1"/>
  <c r="Q4291" i="1"/>
  <c r="Q4283" i="1"/>
  <c r="Q4259" i="1"/>
  <c r="Q4243" i="1"/>
  <c r="Q4242" i="1" s="1"/>
  <c r="Q4183" i="1"/>
  <c r="Q3524" i="1"/>
  <c r="Q3258" i="1"/>
  <c r="Q3667" i="1"/>
  <c r="Q3666" i="1" s="1"/>
  <c r="Q3697" i="1"/>
  <c r="Q3696" i="1" s="1"/>
  <c r="Q3695" i="1" s="1"/>
  <c r="Q3688" i="1"/>
  <c r="Q3687" i="1" s="1"/>
  <c r="Q3686" i="1" s="1"/>
  <c r="Q3685" i="1" s="1"/>
  <c r="Q3638" i="1"/>
  <c r="Q3637" i="1" s="1"/>
  <c r="Q3636" i="1" s="1"/>
  <c r="Q3635" i="1" s="1"/>
  <c r="Q3318" i="1"/>
  <c r="Q3317" i="1" s="1"/>
  <c r="Q3142" i="1"/>
  <c r="Q3113" i="1"/>
  <c r="Q3112" i="1" s="1"/>
  <c r="Q3089" i="1"/>
  <c r="Q3078" i="1"/>
  <c r="Q3068" i="1"/>
  <c r="Q3060" i="1"/>
  <c r="Q3039" i="1"/>
  <c r="Q3136" i="1"/>
  <c r="Q3135" i="1" s="1"/>
  <c r="Q3134" i="1" s="1"/>
  <c r="Q3133" i="1" s="1"/>
  <c r="Q2960" i="1"/>
  <c r="Q2959" i="1" s="1"/>
  <c r="Q2975" i="1"/>
  <c r="Q4213" i="1"/>
  <c r="Q4205" i="1"/>
  <c r="Q3888" i="1"/>
  <c r="Q4120" i="1"/>
  <c r="Q4119" i="1" s="1"/>
  <c r="Q4118" i="1" s="1"/>
  <c r="Q4117" i="1" s="1"/>
  <c r="Q4116" i="1" s="1"/>
  <c r="Q3808" i="1"/>
  <c r="Q3807" i="1" s="1"/>
  <c r="Q3806" i="1" s="1"/>
  <c r="Q3805" i="1" s="1"/>
  <c r="Q3804" i="1" s="1"/>
  <c r="Q3803" i="1" s="1"/>
  <c r="Q3791" i="1"/>
  <c r="Q3790" i="1" s="1"/>
  <c r="Q3789" i="1" s="1"/>
  <c r="Q3185" i="1"/>
  <c r="Q3737" i="1"/>
  <c r="Q6296" i="1"/>
  <c r="Q6295" i="1" s="1"/>
  <c r="Q6272" i="1"/>
  <c r="Q6240" i="1"/>
  <c r="Q6239" i="1" s="1"/>
  <c r="Q6301" i="1"/>
  <c r="Q6300" i="1" s="1"/>
  <c r="Q5616" i="1"/>
  <c r="Q5608" i="1"/>
  <c r="Q5600" i="1"/>
  <c r="Q5592" i="1"/>
  <c r="Q5591" i="1" s="1"/>
  <c r="Q5584" i="1"/>
  <c r="Q5568" i="1"/>
  <c r="Q5560" i="1"/>
  <c r="Q5544" i="1"/>
  <c r="Q5543" i="1" s="1"/>
  <c r="Q5536" i="1"/>
  <c r="Q5528" i="1"/>
  <c r="Q5520" i="1"/>
  <c r="Q5512" i="1"/>
  <c r="Q5504" i="1"/>
  <c r="Q5480" i="1"/>
  <c r="Q5472" i="1"/>
  <c r="Q5464" i="1"/>
  <c r="Q5456" i="1"/>
  <c r="Q5448" i="1"/>
  <c r="Q5447" i="1" s="1"/>
  <c r="Q5446" i="1" s="1"/>
  <c r="Q5445" i="1" s="1"/>
  <c r="Q5440" i="1"/>
  <c r="Q5432" i="1"/>
  <c r="Q5424" i="1"/>
  <c r="Q5416" i="1"/>
  <c r="Q5408" i="1"/>
  <c r="Q5407" i="1" s="1"/>
  <c r="Q5392" i="1"/>
  <c r="Q5376" i="1"/>
  <c r="Q5375" i="1" s="1"/>
  <c r="Q5374" i="1" s="1"/>
  <c r="Q5373" i="1" s="1"/>
  <c r="Q5368" i="1"/>
  <c r="Q5360" i="1"/>
  <c r="Q6213" i="1"/>
  <c r="Q6205" i="1"/>
  <c r="Q6189" i="1"/>
  <c r="Q6188" i="1" s="1"/>
  <c r="Q6187" i="1" s="1"/>
  <c r="Q6186" i="1" s="1"/>
  <c r="Q6185" i="1" s="1"/>
  <c r="Q6184" i="1" s="1"/>
  <c r="Q6183" i="1" s="1"/>
  <c r="Q6181" i="1"/>
  <c r="Q6109" i="1"/>
  <c r="Q6053" i="1"/>
  <c r="Q6052" i="1" s="1"/>
  <c r="Q6051" i="1" s="1"/>
  <c r="Q6050" i="1" s="1"/>
  <c r="Q6049" i="1" s="1"/>
  <c r="Q6048" i="1" s="1"/>
  <c r="Q6047" i="1" s="1"/>
  <c r="Q6046" i="1" s="1"/>
  <c r="Q6045" i="1" s="1"/>
  <c r="Q6044" i="1" s="1"/>
  <c r="Q6043" i="1" s="1"/>
  <c r="Q6042" i="1" s="1"/>
  <c r="Q6029" i="1"/>
  <c r="Q6028" i="1" s="1"/>
  <c r="Q5973" i="1"/>
  <c r="Q5972" i="1" s="1"/>
  <c r="Q5971" i="1" s="1"/>
  <c r="Q5893" i="1"/>
  <c r="Q5797" i="1"/>
  <c r="Q5789" i="1"/>
  <c r="Q5788" i="1" s="1"/>
  <c r="Q5787" i="1" s="1"/>
  <c r="Q5781" i="1"/>
  <c r="Q5773" i="1"/>
  <c r="Q5749" i="1"/>
  <c r="Q5733" i="1"/>
  <c r="Q5717" i="1"/>
  <c r="Q5716" i="1" s="1"/>
  <c r="Q5715" i="1" s="1"/>
  <c r="Q5709" i="1"/>
  <c r="Q5701" i="1"/>
  <c r="Q5693" i="1"/>
  <c r="Q5692" i="1" s="1"/>
  <c r="Q5677" i="1"/>
  <c r="Q5676" i="1" s="1"/>
  <c r="Q5675" i="1" s="1"/>
  <c r="Q5674" i="1" s="1"/>
  <c r="Q5669" i="1"/>
  <c r="Q5629" i="1"/>
  <c r="Q5621" i="1"/>
  <c r="Q5597" i="1"/>
  <c r="Q5596" i="1" s="1"/>
  <c r="Q5595" i="1" s="1"/>
  <c r="Q5589" i="1"/>
  <c r="Q5581" i="1"/>
  <c r="Q5557" i="1"/>
  <c r="Q5541" i="1"/>
  <c r="Q5509" i="1"/>
  <c r="Q5501" i="1"/>
  <c r="Q5493" i="1"/>
  <c r="Q5461" i="1"/>
  <c r="Q5453" i="1"/>
  <c r="Q5429" i="1"/>
  <c r="Q5421" i="1"/>
  <c r="Q5405" i="1"/>
  <c r="Q5357" i="1"/>
  <c r="Q5349" i="1"/>
  <c r="Q5333" i="1"/>
  <c r="Q5344" i="1"/>
  <c r="Q5336" i="1"/>
  <c r="Q5320" i="1"/>
  <c r="Q5288" i="1"/>
  <c r="Q5287" i="1" s="1"/>
  <c r="Q5280" i="1"/>
  <c r="Q5279" i="1" s="1"/>
  <c r="Q5184" i="1"/>
  <c r="Q5183" i="1" s="1"/>
  <c r="Q5128" i="1"/>
  <c r="Q5127" i="1" s="1"/>
  <c r="Q5126" i="1" s="1"/>
  <c r="Q5125" i="1" s="1"/>
  <c r="Q5124" i="1" s="1"/>
  <c r="Q5112" i="1"/>
  <c r="Q5111" i="1" s="1"/>
  <c r="Q5088" i="1"/>
  <c r="Q5040" i="1"/>
  <c r="Q5024" i="1"/>
  <c r="Q5016" i="1"/>
  <c r="Q5015" i="1" s="1"/>
  <c r="Q5014" i="1" s="1"/>
  <c r="Q5013" i="1" s="1"/>
  <c r="Q4944" i="1"/>
  <c r="Q4936" i="1"/>
  <c r="Q4935" i="1" s="1"/>
  <c r="Q4934" i="1" s="1"/>
  <c r="Q4933" i="1" s="1"/>
  <c r="Q4932" i="1" s="1"/>
  <c r="Q4931" i="1" s="1"/>
  <c r="Q4930" i="1" s="1"/>
  <c r="Q4928" i="1"/>
  <c r="Q4912" i="1"/>
  <c r="Q4911" i="1" s="1"/>
  <c r="Q4856" i="1"/>
  <c r="Q4816" i="1"/>
  <c r="Q4815" i="1" s="1"/>
  <c r="Q4814" i="1" s="1"/>
  <c r="Q4813" i="1" s="1"/>
  <c r="Q4808" i="1"/>
  <c r="Q4800" i="1"/>
  <c r="Q4792" i="1"/>
  <c r="Q4791" i="1" s="1"/>
  <c r="Q4790" i="1" s="1"/>
  <c r="Q4720" i="1"/>
  <c r="Q4688" i="1"/>
  <c r="Q4687" i="1" s="1"/>
  <c r="Q4686" i="1" s="1"/>
  <c r="Q4664" i="1"/>
  <c r="Q4663" i="1" s="1"/>
  <c r="Q4656" i="1"/>
  <c r="Q4632" i="1"/>
  <c r="Q4624" i="1"/>
  <c r="Q4600" i="1"/>
  <c r="Q4576" i="1"/>
  <c r="Q4575" i="1" s="1"/>
  <c r="Q4574" i="1" s="1"/>
  <c r="Q4568" i="1"/>
  <c r="Q4552" i="1"/>
  <c r="Q4551" i="1" s="1"/>
  <c r="Q4550" i="1" s="1"/>
  <c r="Q4536" i="1"/>
  <c r="Q4520" i="1"/>
  <c r="Q4519" i="1" s="1"/>
  <c r="Q4496" i="1"/>
  <c r="Q4480" i="1"/>
  <c r="Q4479" i="1" s="1"/>
  <c r="Q4456" i="1"/>
  <c r="Q4455" i="1" s="1"/>
  <c r="Q4432" i="1"/>
  <c r="Q4431" i="1" s="1"/>
  <c r="Q4392" i="1"/>
  <c r="Q4368" i="1"/>
  <c r="Q4367" i="1" s="1"/>
  <c r="Q4360" i="1"/>
  <c r="Q4280" i="1"/>
  <c r="Q4264" i="1"/>
  <c r="Q4240" i="1"/>
  <c r="Q3778" i="1"/>
  <c r="Q3764" i="1"/>
  <c r="Q3754" i="1"/>
  <c r="Q2990" i="1"/>
  <c r="Q4199" i="1"/>
  <c r="Q4198" i="1" s="1"/>
  <c r="Q4177" i="1"/>
  <c r="Q4176" i="1" s="1"/>
  <c r="Q3326" i="1"/>
  <c r="Q3664" i="1"/>
  <c r="Q3663" i="1" s="1"/>
  <c r="Q3707" i="1"/>
  <c r="Q3706" i="1" s="1"/>
  <c r="Q3705" i="1" s="1"/>
  <c r="Q3704" i="1" s="1"/>
  <c r="Q3703" i="1" s="1"/>
  <c r="Q3702" i="1" s="1"/>
  <c r="Q3676" i="1"/>
  <c r="Q3675" i="1" s="1"/>
  <c r="Q3549" i="1"/>
  <c r="Q3548" i="1" s="1"/>
  <c r="Q3547" i="1" s="1"/>
  <c r="Q3534" i="1"/>
  <c r="Q3533" i="1" s="1"/>
  <c r="Q3532" i="1" s="1"/>
  <c r="Q3440" i="1"/>
  <c r="Q3408" i="1"/>
  <c r="Q3407" i="1" s="1"/>
  <c r="Q3406" i="1" s="1"/>
  <c r="Q3313" i="1"/>
  <c r="Q3312" i="1" s="1"/>
  <c r="Q3311" i="1" s="1"/>
  <c r="Q3277" i="1"/>
  <c r="Q3276" i="1" s="1"/>
  <c r="Q3275" i="1" s="1"/>
  <c r="Q3249" i="1"/>
  <c r="Q3248" i="1" s="1"/>
  <c r="Q3247" i="1" s="1"/>
  <c r="Q3147" i="1"/>
  <c r="Q3110" i="1"/>
  <c r="Q3086" i="1"/>
  <c r="Q3085" i="1" s="1"/>
  <c r="Q3019" i="1"/>
  <c r="Q3018" i="1" s="1"/>
  <c r="Q3008" i="1"/>
  <c r="Q3007" i="1" s="1"/>
  <c r="Q2953" i="1"/>
  <c r="Q2952" i="1" s="1"/>
  <c r="Q2965" i="1"/>
  <c r="Q2964" i="1" s="1"/>
  <c r="Q2974" i="1"/>
  <c r="Q2973" i="1" s="1"/>
  <c r="Q2972" i="1" s="1"/>
  <c r="Q2971" i="1" s="1"/>
  <c r="Q4218" i="1"/>
  <c r="Q4210" i="1"/>
  <c r="Q3195" i="1"/>
  <c r="Q3912" i="1"/>
  <c r="Q4017" i="1"/>
  <c r="Q4043" i="1"/>
  <c r="Q4042" i="1" s="1"/>
  <c r="Q4041" i="1" s="1"/>
  <c r="Q3838" i="1"/>
  <c r="Q3906" i="1"/>
  <c r="Q3905" i="1" s="1"/>
  <c r="Q3829" i="1"/>
  <c r="Q3828" i="1" s="1"/>
  <c r="Q3827" i="1" s="1"/>
  <c r="Q3826" i="1" s="1"/>
  <c r="Q3825" i="1" s="1"/>
  <c r="Q3963" i="1"/>
  <c r="Q3962" i="1" s="1"/>
  <c r="Q3961" i="1" s="1"/>
  <c r="Q3960" i="1" s="1"/>
  <c r="Q3959" i="1" s="1"/>
  <c r="Q3896" i="1"/>
  <c r="Q3895" i="1" s="1"/>
  <c r="Q3894" i="1" s="1"/>
  <c r="Q3893" i="1" s="1"/>
  <c r="Q3892" i="1" s="1"/>
  <c r="Q3891" i="1" s="1"/>
  <c r="Q3821" i="1"/>
  <c r="Q3820" i="1" s="1"/>
  <c r="Q3819" i="1" s="1"/>
  <c r="Q3818" i="1" s="1"/>
  <c r="Q3817" i="1" s="1"/>
  <c r="Q3868" i="1"/>
  <c r="Q6293" i="1"/>
  <c r="Q6292" i="1" s="1"/>
  <c r="Q6237" i="1"/>
  <c r="Q6236" i="1" s="1"/>
  <c r="Q6220" i="1"/>
  <c r="Q6219" i="1" s="1"/>
  <c r="Q6218" i="1" s="1"/>
  <c r="Q6217" i="1" s="1"/>
  <c r="Q3242" i="1"/>
  <c r="Q3241" i="1" s="1"/>
  <c r="Q3231" i="1"/>
  <c r="Q3230" i="1" s="1"/>
  <c r="Q3229" i="1" s="1"/>
  <c r="Q3228" i="1" s="1"/>
  <c r="Q3101" i="1"/>
  <c r="Q3100" i="1" s="1"/>
  <c r="Q2969" i="1"/>
  <c r="Q3169" i="1"/>
  <c r="Q3168" i="1" s="1"/>
  <c r="Q6260" i="1"/>
  <c r="Q6259" i="1" s="1"/>
  <c r="Q5325" i="1"/>
  <c r="Q5324" i="1" s="1"/>
  <c r="Q5323" i="1" s="1"/>
  <c r="Q5322" i="1" s="1"/>
  <c r="Q5309" i="1"/>
  <c r="Q5308" i="1" s="1"/>
  <c r="Q5307" i="1" s="1"/>
  <c r="Q5306" i="1" s="1"/>
  <c r="Q5305" i="1" s="1"/>
  <c r="Q5285" i="1"/>
  <c r="Q5284" i="1" s="1"/>
  <c r="Q5283" i="1" s="1"/>
  <c r="Q5282" i="1" s="1"/>
  <c r="Q5277" i="1"/>
  <c r="Q5276" i="1" s="1"/>
  <c r="Q5275" i="1" s="1"/>
  <c r="Q5274" i="1" s="1"/>
  <c r="Q5273" i="1" s="1"/>
  <c r="Q5272" i="1" s="1"/>
  <c r="Q5271" i="1" s="1"/>
  <c r="Q5270" i="1" s="1"/>
  <c r="Q5205" i="1"/>
  <c r="Q5181" i="1"/>
  <c r="Q5180" i="1" s="1"/>
  <c r="Q5109" i="1"/>
  <c r="Q5108" i="1" s="1"/>
  <c r="Q5107" i="1" s="1"/>
  <c r="Q5106" i="1" s="1"/>
  <c r="Q5105" i="1" s="1"/>
  <c r="Q5104" i="1" s="1"/>
  <c r="Q5103" i="1" s="1"/>
  <c r="Q5102" i="1" s="1"/>
  <c r="Q5061" i="1"/>
  <c r="Q5060" i="1" s="1"/>
  <c r="Q5059" i="1" s="1"/>
  <c r="Q4981" i="1"/>
  <c r="Q4973" i="1"/>
  <c r="Q4972" i="1" s="1"/>
  <c r="Q4971" i="1" s="1"/>
  <c r="Q4970" i="1" s="1"/>
  <c r="Q4969" i="1" s="1"/>
  <c r="Q4968" i="1" s="1"/>
  <c r="Q4967" i="1" s="1"/>
  <c r="Q4966" i="1" s="1"/>
  <c r="Q4965" i="1" s="1"/>
  <c r="Q4964" i="1" s="1"/>
  <c r="Q4941" i="1"/>
  <c r="Q4940" i="1" s="1"/>
  <c r="Q4939" i="1" s="1"/>
  <c r="Q4938" i="1" s="1"/>
  <c r="Q4909" i="1"/>
  <c r="Q4908" i="1" s="1"/>
  <c r="Q4907" i="1" s="1"/>
  <c r="Q4906" i="1" s="1"/>
  <c r="Q4905" i="1" s="1"/>
  <c r="Q4904" i="1" s="1"/>
  <c r="Q4893" i="1"/>
  <c r="Q4892" i="1" s="1"/>
  <c r="Q4891" i="1" s="1"/>
  <c r="Q4890" i="1" s="1"/>
  <c r="Q4889" i="1" s="1"/>
  <c r="Q4888" i="1" s="1"/>
  <c r="Q4877" i="1"/>
  <c r="Q4869" i="1"/>
  <c r="Q4868" i="1" s="1"/>
  <c r="Q4867" i="1" s="1"/>
  <c r="Q4866" i="1" s="1"/>
  <c r="Q4865" i="1" s="1"/>
  <c r="Q4773" i="1"/>
  <c r="Q4772" i="1" s="1"/>
  <c r="Q4741" i="1"/>
  <c r="Q4725" i="1"/>
  <c r="Q4724" i="1" s="1"/>
  <c r="Q4661" i="1"/>
  <c r="Q4653" i="1"/>
  <c r="Q4645" i="1"/>
  <c r="Q4637" i="1"/>
  <c r="Q4636" i="1" s="1"/>
  <c r="Q4635" i="1" s="1"/>
  <c r="Q4613" i="1"/>
  <c r="Q4605" i="1"/>
  <c r="Q4604" i="1" s="1"/>
  <c r="Q4603" i="1" s="1"/>
  <c r="Q4602" i="1" s="1"/>
  <c r="Q4557" i="1"/>
  <c r="Q4556" i="1" s="1"/>
  <c r="Q4517" i="1"/>
  <c r="Q4516" i="1" s="1"/>
  <c r="Q4501" i="1"/>
  <c r="Q4500" i="1" s="1"/>
  <c r="Q4499" i="1" s="1"/>
  <c r="Q4493" i="1"/>
  <c r="Q4485" i="1"/>
  <c r="Q4484" i="1" s="1"/>
  <c r="Q4477" i="1"/>
  <c r="Q4469" i="1"/>
  <c r="Q4461" i="1"/>
  <c r="Q4460" i="1" s="1"/>
  <c r="Q4459" i="1" s="1"/>
  <c r="Q4458" i="1" s="1"/>
  <c r="Q4453" i="1"/>
  <c r="Q4452" i="1" s="1"/>
  <c r="Q4445" i="1"/>
  <c r="Q4444" i="1" s="1"/>
  <c r="Q4437" i="1"/>
  <c r="Q4421" i="1"/>
  <c r="Q4397" i="1"/>
  <c r="Q4389" i="1"/>
  <c r="Q4388" i="1" s="1"/>
  <c r="Q4387" i="1" s="1"/>
  <c r="Q4386" i="1" s="1"/>
  <c r="Q4385" i="1" s="1"/>
  <c r="Q4365" i="1"/>
  <c r="Q4364" i="1" s="1"/>
  <c r="Q4269" i="1"/>
  <c r="Q4268" i="1" s="1"/>
  <c r="Q4165" i="1"/>
  <c r="Q4164" i="1" s="1"/>
  <c r="Q4185" i="1"/>
  <c r="Q4160" i="1"/>
  <c r="Q4148" i="1"/>
  <c r="Q3594" i="1"/>
  <c r="Q3526" i="1"/>
  <c r="Q3260" i="1"/>
  <c r="Q3673" i="1"/>
  <c r="Q3672" i="1" s="1"/>
  <c r="Q3671" i="1" s="1"/>
  <c r="Q3588" i="1"/>
  <c r="Q3587" i="1" s="1"/>
  <c r="Q3586" i="1" s="1"/>
  <c r="Q3585" i="1" s="1"/>
  <c r="Q3584" i="1" s="1"/>
  <c r="Q3583" i="1" s="1"/>
  <c r="Q3477" i="1"/>
  <c r="Q3476" i="1" s="1"/>
  <c r="Q3475" i="1" s="1"/>
  <c r="Q3450" i="1"/>
  <c r="Q3117" i="1"/>
  <c r="Q3070" i="1"/>
  <c r="Q3041" i="1"/>
  <c r="Q3025" i="1"/>
  <c r="Q3129" i="1"/>
  <c r="Q3128" i="1" s="1"/>
  <c r="Q3127" i="1" s="1"/>
  <c r="Q3126" i="1" s="1"/>
  <c r="Q3125" i="1" s="1"/>
  <c r="Q3124" i="1" s="1"/>
  <c r="Q3123" i="1" s="1"/>
  <c r="Q3016" i="1"/>
  <c r="Q3015" i="1" s="1"/>
  <c r="Q3005" i="1"/>
  <c r="Q3004" i="1" s="1"/>
  <c r="Q3003" i="1" s="1"/>
  <c r="Q2967" i="1"/>
  <c r="Q2945" i="1"/>
  <c r="Q4223" i="1"/>
  <c r="Q4215" i="1"/>
  <c r="Q3882" i="1"/>
  <c r="Q4019" i="1"/>
  <c r="Q3921" i="1"/>
  <c r="Q3920" i="1" s="1"/>
  <c r="Q3919" i="1" s="1"/>
  <c r="Q3918" i="1" s="1"/>
  <c r="Q3917" i="1" s="1"/>
  <c r="Q3187" i="1"/>
  <c r="Q3351" i="1"/>
  <c r="Q3350" i="1" s="1"/>
  <c r="Q3349" i="1" s="1"/>
  <c r="Q3739" i="1"/>
  <c r="Q3748" i="1"/>
  <c r="Q3747" i="1" s="1"/>
  <c r="Q6303" i="1"/>
  <c r="Q3756" i="1"/>
  <c r="Q3438" i="1"/>
  <c r="Q3437" i="1" s="1"/>
  <c r="Q3436" i="1" s="1"/>
  <c r="Q3435" i="1" s="1"/>
  <c r="Q3444" i="1"/>
  <c r="Q3443" i="1" s="1"/>
  <c r="Q3442" i="1" s="1"/>
  <c r="Q3286" i="1"/>
  <c r="Q3285" i="1" s="1"/>
  <c r="Q3284" i="1" s="1"/>
  <c r="Q3083" i="1"/>
  <c r="Q3082" i="1" s="1"/>
  <c r="Q3941" i="1"/>
  <c r="Q3940" i="1" s="1"/>
  <c r="Q4012" i="1"/>
  <c r="Q4011" i="1" s="1"/>
  <c r="Q3928" i="1"/>
  <c r="Q3927" i="1" s="1"/>
  <c r="Q3926" i="1" s="1"/>
  <c r="Q3925" i="1" s="1"/>
  <c r="Q3924" i="1" s="1"/>
  <c r="Q3923" i="1" s="1"/>
  <c r="Q3854" i="1"/>
  <c r="Q3853" i="1" s="1"/>
  <c r="Q3852" i="1" s="1"/>
  <c r="Q3851" i="1" s="1"/>
  <c r="Q3850" i="1" s="1"/>
  <c r="Q3801" i="1"/>
  <c r="Q3800" i="1" s="1"/>
  <c r="Q3799" i="1" s="1"/>
  <c r="Q3798" i="1" s="1"/>
  <c r="Q3797" i="1" s="1"/>
  <c r="Q3178" i="1"/>
  <c r="Q3864" i="1"/>
  <c r="Q3863" i="1" s="1"/>
  <c r="Q3358" i="1"/>
  <c r="Q6281" i="1"/>
  <c r="Q6280" i="1" s="1"/>
  <c r="Q6265" i="1"/>
  <c r="Q6257" i="1"/>
  <c r="Q3453" i="1"/>
  <c r="Q3452" i="1" s="1"/>
  <c r="Q3088" i="1"/>
  <c r="Q3880" i="1"/>
  <c r="Q3879" i="1" s="1"/>
  <c r="Q3931" i="1"/>
  <c r="Q3930" i="1" s="1"/>
  <c r="Q3693" i="1"/>
  <c r="Q3677" i="1"/>
  <c r="Q2996" i="1"/>
  <c r="Q2995" i="1" s="1"/>
  <c r="Q4107" i="1"/>
  <c r="Q4106" i="1" s="1"/>
  <c r="Q6040" i="1"/>
  <c r="Q5768" i="1"/>
  <c r="Q5664" i="1"/>
  <c r="Q5663" i="1" s="1"/>
  <c r="Q5662" i="1" s="1"/>
  <c r="P3768" i="1"/>
  <c r="Q3768" i="1"/>
  <c r="Q3371" i="1"/>
  <c r="Q3370" i="1" s="1"/>
  <c r="Q3369" i="1" s="1"/>
  <c r="Q4226" i="1"/>
  <c r="P3915" i="1"/>
  <c r="Q3915" i="1"/>
  <c r="Q3914" i="1" s="1"/>
  <c r="P3354" i="1"/>
  <c r="Q3354" i="1"/>
  <c r="Q3353" i="1" s="1"/>
  <c r="P6306" i="1"/>
  <c r="Q6306" i="1"/>
  <c r="Q6305" i="1" s="1"/>
  <c r="Q6144" i="1"/>
  <c r="Q6143" i="1" s="1"/>
  <c r="Q6142" i="1" s="1"/>
  <c r="Q6141" i="1" s="1"/>
  <c r="Q6140" i="1" s="1"/>
  <c r="P4093" i="1"/>
  <c r="Q4093" i="1"/>
  <c r="Q6199" i="1"/>
  <c r="Q6159" i="1"/>
  <c r="Q6111" i="1"/>
  <c r="Q6055" i="1"/>
  <c r="Q6031" i="1"/>
  <c r="Q5959" i="1"/>
  <c r="Q5958" i="1" s="1"/>
  <c r="Q5903" i="1"/>
  <c r="Q5879" i="1"/>
  <c r="Q5831" i="1"/>
  <c r="Q5830" i="1" s="1"/>
  <c r="Q5829" i="1" s="1"/>
  <c r="Q5828" i="1" s="1"/>
  <c r="Q5827" i="1" s="1"/>
  <c r="Q5799" i="1"/>
  <c r="Q5783" i="1"/>
  <c r="Q5775" i="1"/>
  <c r="Q5759" i="1"/>
  <c r="Q5735" i="1"/>
  <c r="Q5727" i="1"/>
  <c r="Q5726" i="1" s="1"/>
  <c r="Q5711" i="1"/>
  <c r="Q5703" i="1"/>
  <c r="Q5695" i="1"/>
  <c r="Q5687" i="1"/>
  <c r="Q5686" i="1" s="1"/>
  <c r="Q5655" i="1"/>
  <c r="Q5639" i="1"/>
  <c r="Q5615" i="1"/>
  <c r="Q5607" i="1"/>
  <c r="Q5606" i="1" s="1"/>
  <c r="Q5599" i="1"/>
  <c r="Q5583" i="1"/>
  <c r="Q5567" i="1"/>
  <c r="Q5551" i="1"/>
  <c r="Q5550" i="1" s="1"/>
  <c r="Q5535" i="1"/>
  <c r="Q5511" i="1"/>
  <c r="Q5503" i="1"/>
  <c r="Q5495" i="1"/>
  <c r="Q5479" i="1"/>
  <c r="Q5455" i="1"/>
  <c r="Q5439" i="1"/>
  <c r="Q5744" i="1"/>
  <c r="Q5680" i="1"/>
  <c r="Q5679" i="1" s="1"/>
  <c r="P3280" i="1"/>
  <c r="Q3280" i="1"/>
  <c r="Q3643" i="1"/>
  <c r="Q3642" i="1" s="1"/>
  <c r="Q3641" i="1" s="1"/>
  <c r="Q3640" i="1" s="1"/>
  <c r="P3290" i="1"/>
  <c r="Q3290" i="1"/>
  <c r="Q3289" i="1" s="1"/>
  <c r="Q3288" i="1" s="1"/>
  <c r="P2998" i="1"/>
  <c r="P2981" i="1"/>
  <c r="Q2981" i="1"/>
  <c r="Q2980" i="1" s="1"/>
  <c r="Q6207" i="1"/>
  <c r="Q6191" i="1"/>
  <c r="Q6023" i="1"/>
  <c r="Q6022" i="1" s="1"/>
  <c r="Q5895" i="1"/>
  <c r="Q5887" i="1"/>
  <c r="Q5886" i="1" s="1"/>
  <c r="Q6214" i="1"/>
  <c r="Q6206" i="1"/>
  <c r="Q6198" i="1"/>
  <c r="Q6174" i="1"/>
  <c r="Q6173" i="1" s="1"/>
  <c r="Q6166" i="1"/>
  <c r="Q6158" i="1"/>
  <c r="Q6157" i="1" s="1"/>
  <c r="Q6150" i="1"/>
  <c r="Q6110" i="1"/>
  <c r="Q6078" i="1"/>
  <c r="Q6077" i="1" s="1"/>
  <c r="Q6070" i="1"/>
  <c r="Q6069" i="1" s="1"/>
  <c r="Q6068" i="1" s="1"/>
  <c r="Q6067" i="1" s="1"/>
  <c r="Q6066" i="1" s="1"/>
  <c r="Q6065" i="1" s="1"/>
  <c r="Q6064" i="1" s="1"/>
  <c r="Q6062" i="1"/>
  <c r="Q6061" i="1" s="1"/>
  <c r="Q6038" i="1"/>
  <c r="Q6037" i="1" s="1"/>
  <c r="Q5966" i="1"/>
  <c r="Q5965" i="1" s="1"/>
  <c r="Q5950" i="1"/>
  <c r="Q5949" i="1" s="1"/>
  <c r="Q5902" i="1"/>
  <c r="Q5894" i="1"/>
  <c r="Q5878" i="1"/>
  <c r="Q5822" i="1"/>
  <c r="Q5821" i="1" s="1"/>
  <c r="Q5820" i="1" s="1"/>
  <c r="Q5806" i="1"/>
  <c r="Q5798" i="1"/>
  <c r="Q5782" i="1"/>
  <c r="Q5774" i="1"/>
  <c r="Q5766" i="1"/>
  <c r="Q5765" i="1" s="1"/>
  <c r="Q5764" i="1" s="1"/>
  <c r="P5758" i="1"/>
  <c r="Q5758" i="1"/>
  <c r="Q5750" i="1"/>
  <c r="Q5742" i="1"/>
  <c r="Q5741" i="1" s="1"/>
  <c r="Q5740" i="1" s="1"/>
  <c r="Q5734" i="1"/>
  <c r="P5726" i="1"/>
  <c r="Q5718" i="1"/>
  <c r="Q5710" i="1"/>
  <c r="Q5702" i="1"/>
  <c r="Q5670" i="1"/>
  <c r="P5662" i="1"/>
  <c r="Q5654" i="1"/>
  <c r="Q5646" i="1"/>
  <c r="Q5645" i="1" s="1"/>
  <c r="Q5644" i="1" s="1"/>
  <c r="Q5638" i="1"/>
  <c r="Q5622" i="1"/>
  <c r="Q6168" i="1"/>
  <c r="Q6112" i="1"/>
  <c r="Q5952" i="1"/>
  <c r="Q5896" i="1"/>
  <c r="Q5752" i="1"/>
  <c r="Q5648" i="1"/>
  <c r="Q6072" i="1"/>
  <c r="Q5960" i="1"/>
  <c r="Q5808" i="1"/>
  <c r="Q5704" i="1"/>
  <c r="P3338" i="1"/>
  <c r="Q3338" i="1"/>
  <c r="P3224" i="1"/>
  <c r="Q3224" i="1"/>
  <c r="Q6212" i="1"/>
  <c r="Q6204" i="1"/>
  <c r="Q6196" i="1"/>
  <c r="Q6164" i="1"/>
  <c r="Q6148" i="1"/>
  <c r="Q6132" i="1"/>
  <c r="Q6131" i="1" s="1"/>
  <c r="Q6124" i="1"/>
  <c r="Q6123" i="1" s="1"/>
  <c r="Q6020" i="1"/>
  <c r="Q6019" i="1" s="1"/>
  <c r="Q6018" i="1" s="1"/>
  <c r="Q6017" i="1" s="1"/>
  <c r="Q6016" i="1" s="1"/>
  <c r="Q6015" i="1" s="1"/>
  <c r="Q6014" i="1" s="1"/>
  <c r="Q6013" i="1" s="1"/>
  <c r="Q6012" i="1" s="1"/>
  <c r="Q5956" i="1"/>
  <c r="Q5955" i="1" s="1"/>
  <c r="Q5954" i="1" s="1"/>
  <c r="Q5940" i="1"/>
  <c r="Q5939" i="1" s="1"/>
  <c r="Q5938" i="1" s="1"/>
  <c r="Q5937" i="1" s="1"/>
  <c r="Q5936" i="1" s="1"/>
  <c r="Q5935" i="1" s="1"/>
  <c r="Q5934" i="1" s="1"/>
  <c r="Q5932" i="1"/>
  <c r="Q5931" i="1" s="1"/>
  <c r="Q5924" i="1"/>
  <c r="Q5923" i="1" s="1"/>
  <c r="Q5922" i="1" s="1"/>
  <c r="Q5900" i="1"/>
  <c r="Q5892" i="1"/>
  <c r="Q5891" i="1" s="1"/>
  <c r="Q5884" i="1"/>
  <c r="Q5883" i="1" s="1"/>
  <c r="Q5882" i="1" s="1"/>
  <c r="Q5881" i="1" s="1"/>
  <c r="Q5876" i="1"/>
  <c r="Q5860" i="1"/>
  <c r="Q5852" i="1"/>
  <c r="Q5851" i="1" s="1"/>
  <c r="Q5850" i="1" s="1"/>
  <c r="Q5849" i="1" s="1"/>
  <c r="Q5848" i="1" s="1"/>
  <c r="Q5847" i="1" s="1"/>
  <c r="Q5846" i="1" s="1"/>
  <c r="Q5845" i="1" s="1"/>
  <c r="Q5844" i="1" s="1"/>
  <c r="Q5843" i="1" s="1"/>
  <c r="Q5804" i="1"/>
  <c r="Q5780" i="1"/>
  <c r="Q5772" i="1"/>
  <c r="Q5756" i="1"/>
  <c r="Q5748" i="1"/>
  <c r="Q5747" i="1" s="1"/>
  <c r="Q5746" i="1" s="1"/>
  <c r="Q5732" i="1"/>
  <c r="Q5724" i="1"/>
  <c r="Q5708" i="1"/>
  <c r="Q5700" i="1"/>
  <c r="Q5684" i="1"/>
  <c r="Q5668" i="1"/>
  <c r="Q5660" i="1"/>
  <c r="Q5652" i="1"/>
  <c r="Q5651" i="1" s="1"/>
  <c r="Q5650" i="1" s="1"/>
  <c r="Q5636" i="1"/>
  <c r="Q5620" i="1"/>
  <c r="Q5612" i="1"/>
  <c r="Q5604" i="1"/>
  <c r="Q5588" i="1"/>
  <c r="Q5580" i="1"/>
  <c r="Q5572" i="1"/>
  <c r="Q5571" i="1" s="1"/>
  <c r="Q5564" i="1"/>
  <c r="Q5548" i="1"/>
  <c r="Q5540" i="1"/>
  <c r="Q5532" i="1"/>
  <c r="Q5492" i="1"/>
  <c r="Q5491" i="1" s="1"/>
  <c r="Q5484" i="1"/>
  <c r="Q5476" i="1"/>
  <c r="Q5468" i="1"/>
  <c r="Q5460" i="1"/>
  <c r="Q5452" i="1"/>
  <c r="Q5436" i="1"/>
  <c r="Q6200" i="1"/>
  <c r="Q5824" i="1"/>
  <c r="Q5776" i="1"/>
  <c r="Q5640" i="1"/>
  <c r="P4235" i="1"/>
  <c r="Q4235" i="1"/>
  <c r="P4171" i="1"/>
  <c r="P4158" i="1"/>
  <c r="Q4158" i="1"/>
  <c r="P4179" i="1"/>
  <c r="Q6208" i="1"/>
  <c r="Q6160" i="1"/>
  <c r="Q6104" i="1"/>
  <c r="Q6103" i="1" s="1"/>
  <c r="Q6102" i="1" s="1"/>
  <c r="Q6101" i="1" s="1"/>
  <c r="Q5920" i="1"/>
  <c r="Q5919" i="1" s="1"/>
  <c r="Q5918" i="1" s="1"/>
  <c r="Q5917" i="1" s="1"/>
  <c r="Q5916" i="1" s="1"/>
  <c r="Q5872" i="1"/>
  <c r="Q5871" i="1" s="1"/>
  <c r="Q5870" i="1" s="1"/>
  <c r="Q5869" i="1" s="1"/>
  <c r="Q5868" i="1" s="1"/>
  <c r="Q5720" i="1"/>
  <c r="Q5672" i="1"/>
  <c r="Q5624" i="1"/>
  <c r="P6210" i="1"/>
  <c r="Q6210" i="1"/>
  <c r="Q6170" i="1"/>
  <c r="Q6162" i="1"/>
  <c r="Q6138" i="1"/>
  <c r="Q6137" i="1" s="1"/>
  <c r="Q6136" i="1" s="1"/>
  <c r="Q6135" i="1" s="1"/>
  <c r="Q6134" i="1" s="1"/>
  <c r="Q6026" i="1"/>
  <c r="Q6025" i="1" s="1"/>
  <c r="Q6010" i="1"/>
  <c r="Q6009" i="1" s="1"/>
  <c r="Q6008" i="1" s="1"/>
  <c r="Q6007" i="1" s="1"/>
  <c r="Q6006" i="1" s="1"/>
  <c r="Q6005" i="1" s="1"/>
  <c r="Q6002" i="1"/>
  <c r="Q6001" i="1" s="1"/>
  <c r="Q6000" i="1" s="1"/>
  <c r="Q5999" i="1" s="1"/>
  <c r="Q5998" i="1" s="1"/>
  <c r="Q5997" i="1" s="1"/>
  <c r="Q5996" i="1" s="1"/>
  <c r="Q5994" i="1"/>
  <c r="Q5993" i="1" s="1"/>
  <c r="Q5992" i="1" s="1"/>
  <c r="Q5991" i="1" s="1"/>
  <c r="Q5990" i="1" s="1"/>
  <c r="Q5989" i="1" s="1"/>
  <c r="Q5988" i="1" s="1"/>
  <c r="Q5987" i="1" s="1"/>
  <c r="Q5914" i="1"/>
  <c r="Q5913" i="1" s="1"/>
  <c r="Q5912" i="1" s="1"/>
  <c r="Q5911" i="1" s="1"/>
  <c r="Q5910" i="1" s="1"/>
  <c r="Q5909" i="1" s="1"/>
  <c r="Q5898" i="1"/>
  <c r="Q5866" i="1"/>
  <c r="Q5865" i="1" s="1"/>
  <c r="Q5864" i="1" s="1"/>
  <c r="Q5863" i="1" s="1"/>
  <c r="Q5862" i="1" s="1"/>
  <c r="Q5858" i="1"/>
  <c r="Q5857" i="1" s="1"/>
  <c r="Q5856" i="1" s="1"/>
  <c r="Q5855" i="1" s="1"/>
  <c r="Q5854" i="1" s="1"/>
  <c r="Q5818" i="1"/>
  <c r="Q5817" i="1" s="1"/>
  <c r="Q5816" i="1" s="1"/>
  <c r="Q5815" i="1" s="1"/>
  <c r="Q5814" i="1" s="1"/>
  <c r="Q5813" i="1" s="1"/>
  <c r="Q5812" i="1" s="1"/>
  <c r="Q5810" i="1"/>
  <c r="Q5802" i="1"/>
  <c r="Q5794" i="1"/>
  <c r="Q5778" i="1"/>
  <c r="Q5770" i="1"/>
  <c r="Q5762" i="1"/>
  <c r="Q5754" i="1"/>
  <c r="Q5738" i="1"/>
  <c r="Q5737" i="1" s="1"/>
  <c r="Q5722" i="1"/>
  <c r="Q5706" i="1"/>
  <c r="Q5698" i="1"/>
  <c r="Q5690" i="1"/>
  <c r="Q5689" i="1" s="1"/>
  <c r="Q5682" i="1"/>
  <c r="Q5666" i="1"/>
  <c r="Q5658" i="1"/>
  <c r="Q5642" i="1"/>
  <c r="Q5634" i="1"/>
  <c r="Q5626" i="1"/>
  <c r="Q5618" i="1"/>
  <c r="Q5610" i="1"/>
  <c r="Q5602" i="1"/>
  <c r="Q5586" i="1"/>
  <c r="Q5578" i="1"/>
  <c r="P5562" i="1"/>
  <c r="Q5554" i="1"/>
  <c r="Q5553" i="1" s="1"/>
  <c r="Q5538" i="1"/>
  <c r="Q5530" i="1"/>
  <c r="Q5522" i="1"/>
  <c r="Q5514" i="1"/>
  <c r="Q5506" i="1"/>
  <c r="Q5482" i="1"/>
  <c r="Q5466" i="1"/>
  <c r="Q5458" i="1"/>
  <c r="Q5450" i="1"/>
  <c r="Q5442" i="1"/>
  <c r="P5434" i="1"/>
  <c r="Q5434" i="1"/>
  <c r="P5426" i="1"/>
  <c r="Q5418" i="1"/>
  <c r="Q5410" i="1"/>
  <c r="Q5402" i="1"/>
  <c r="Q5401" i="1" s="1"/>
  <c r="Q5370" i="1"/>
  <c r="Q5362" i="1"/>
  <c r="Q5354" i="1"/>
  <c r="Q5338" i="1"/>
  <c r="Q5617" i="1"/>
  <c r="Q5609" i="1"/>
  <c r="Q5601" i="1"/>
  <c r="Q5593" i="1"/>
  <c r="Q5585" i="1"/>
  <c r="Q5577" i="1"/>
  <c r="Q5576" i="1" s="1"/>
  <c r="Q5569" i="1"/>
  <c r="Q5497" i="1"/>
  <c r="Q5489" i="1"/>
  <c r="Q5488" i="1" s="1"/>
  <c r="Q5473" i="1"/>
  <c r="Q5457" i="1"/>
  <c r="Q5449" i="1"/>
  <c r="Q5441" i="1"/>
  <c r="Q5385" i="1"/>
  <c r="Q5384" i="1" s="1"/>
  <c r="Q5377" i="1"/>
  <c r="Q5369" i="1"/>
  <c r="Q5353" i="1"/>
  <c r="Q5345" i="1"/>
  <c r="Q5337" i="1"/>
  <c r="Q5329" i="1"/>
  <c r="Q5265" i="1"/>
  <c r="Q5264" i="1" s="1"/>
  <c r="Q5257" i="1"/>
  <c r="Q5249" i="1"/>
  <c r="Q5248" i="1" s="1"/>
  <c r="Q5247" i="1" s="1"/>
  <c r="Q5246" i="1" s="1"/>
  <c r="Q5245" i="1" s="1"/>
  <c r="Q5244" i="1" s="1"/>
  <c r="Q5243" i="1" s="1"/>
  <c r="Q5241" i="1"/>
  <c r="Q5225" i="1"/>
  <c r="Q5224" i="1" s="1"/>
  <c r="Q5209" i="1"/>
  <c r="Q5208" i="1" s="1"/>
  <c r="Q5207" i="1" s="1"/>
  <c r="Q5137" i="1"/>
  <c r="Q5136" i="1" s="1"/>
  <c r="Q5135" i="1" s="1"/>
  <c r="Q5134" i="1" s="1"/>
  <c r="Q5133" i="1" s="1"/>
  <c r="Q5132" i="1" s="1"/>
  <c r="Q5131" i="1" s="1"/>
  <c r="Q5130" i="1" s="1"/>
  <c r="Q5097" i="1"/>
  <c r="Q5065" i="1"/>
  <c r="Q5064" i="1" s="1"/>
  <c r="Q5063" i="1" s="1"/>
  <c r="Q5057" i="1"/>
  <c r="Q5056" i="1" s="1"/>
  <c r="Q5055" i="1" s="1"/>
  <c r="Q5054" i="1" s="1"/>
  <c r="Q5053" i="1" s="1"/>
  <c r="Q5025" i="1"/>
  <c r="Q5009" i="1"/>
  <c r="Q5008" i="1" s="1"/>
  <c r="Q5007" i="1" s="1"/>
  <c r="Q5006" i="1" s="1"/>
  <c r="Q5001" i="1"/>
  <c r="Q4993" i="1"/>
  <c r="Q4992" i="1" s="1"/>
  <c r="Q4991" i="1" s="1"/>
  <c r="Q4990" i="1" s="1"/>
  <c r="Q4989" i="1" s="1"/>
  <c r="Q4921" i="1"/>
  <c r="Q4881" i="1"/>
  <c r="Q4880" i="1" s="1"/>
  <c r="Q4879" i="1" s="1"/>
  <c r="Q4873" i="1"/>
  <c r="Q4872" i="1" s="1"/>
  <c r="Q4871" i="1" s="1"/>
  <c r="Q4857" i="1"/>
  <c r="Q4841" i="1"/>
  <c r="Q4840" i="1" s="1"/>
  <c r="Q4809" i="1"/>
  <c r="Q4801" i="1"/>
  <c r="Q4785" i="1"/>
  <c r="Q4784" i="1" s="1"/>
  <c r="Q4753" i="1"/>
  <c r="Q4713" i="1"/>
  <c r="Q4712" i="1" s="1"/>
  <c r="Q4711" i="1" s="1"/>
  <c r="Q4710" i="1" s="1"/>
  <c r="Q4709" i="1" s="1"/>
  <c r="Q4708" i="1" s="1"/>
  <c r="Q4689" i="1"/>
  <c r="Q4673" i="1"/>
  <c r="Q4672" i="1" s="1"/>
  <c r="Q4671" i="1" s="1"/>
  <c r="Q4670" i="1" s="1"/>
  <c r="Q4633" i="1"/>
  <c r="Q4617" i="1"/>
  <c r="Q4609" i="1"/>
  <c r="Q4608" i="1" s="1"/>
  <c r="Q4607" i="1" s="1"/>
  <c r="Q4585" i="1"/>
  <c r="Q4584" i="1" s="1"/>
  <c r="Q4561" i="1"/>
  <c r="Q4513" i="1"/>
  <c r="Q4512" i="1" s="1"/>
  <c r="Q4511" i="1" s="1"/>
  <c r="Q4510" i="1" s="1"/>
  <c r="Q4505" i="1"/>
  <c r="Q4497" i="1"/>
  <c r="Q4489" i="1"/>
  <c r="Q4488" i="1" s="1"/>
  <c r="Q4487" i="1" s="1"/>
  <c r="Q4441" i="1"/>
  <c r="Q4440" i="1" s="1"/>
  <c r="Q4439" i="1" s="1"/>
  <c r="Q4401" i="1"/>
  <c r="Q4393" i="1"/>
  <c r="Q4377" i="1"/>
  <c r="Q4376" i="1" s="1"/>
  <c r="Q4375" i="1" s="1"/>
  <c r="Q4374" i="1" s="1"/>
  <c r="Q4369" i="1"/>
  <c r="Q4353" i="1"/>
  <c r="Q4345" i="1"/>
  <c r="Q4344" i="1" s="1"/>
  <c r="Q4337" i="1"/>
  <c r="Q4329" i="1"/>
  <c r="Q4328" i="1" s="1"/>
  <c r="Q4321" i="1"/>
  <c r="Q4313" i="1"/>
  <c r="Q4312" i="1" s="1"/>
  <c r="Q4297" i="1"/>
  <c r="Q4273" i="1"/>
  <c r="Q4233" i="1"/>
  <c r="Q4232" i="1" s="1"/>
  <c r="Q4231" i="1" s="1"/>
  <c r="Q4230" i="1" s="1"/>
  <c r="Q4229" i="1" s="1"/>
  <c r="Q4228" i="1" s="1"/>
  <c r="Q2986" i="1"/>
  <c r="Q4169" i="1"/>
  <c r="P4174" i="1"/>
  <c r="Q4174" i="1"/>
  <c r="Q4156" i="1"/>
  <c r="Q3715" i="1"/>
  <c r="Q3722" i="1"/>
  <c r="Q3721" i="1" s="1"/>
  <c r="Q3720" i="1" s="1"/>
  <c r="Q3598" i="1"/>
  <c r="Q3540" i="1"/>
  <c r="Q3506" i="1"/>
  <c r="Q3492" i="1"/>
  <c r="Q3491" i="1" s="1"/>
  <c r="Q3457" i="1"/>
  <c r="Q3268" i="1"/>
  <c r="P3256" i="1"/>
  <c r="Q3256" i="1"/>
  <c r="Q3545" i="1"/>
  <c r="Q3544" i="1" s="1"/>
  <c r="Q3629" i="1"/>
  <c r="P3568" i="1"/>
  <c r="Q3568" i="1"/>
  <c r="Q3617" i="1"/>
  <c r="Q3616" i="1" s="1"/>
  <c r="Q3713" i="1"/>
  <c r="Q3712" i="1" s="1"/>
  <c r="Q3711" i="1" s="1"/>
  <c r="Q3710" i="1" s="1"/>
  <c r="Q3709" i="1" s="1"/>
  <c r="Q3661" i="1"/>
  <c r="Q3660" i="1" s="1"/>
  <c r="Q3659" i="1" s="1"/>
  <c r="Q3658" i="1" s="1"/>
  <c r="Q3592" i="1"/>
  <c r="Q3591" i="1" s="1"/>
  <c r="Q3590" i="1" s="1"/>
  <c r="Q3573" i="1"/>
  <c r="Q3572" i="1" s="1"/>
  <c r="Q3571" i="1" s="1"/>
  <c r="Q3570" i="1" s="1"/>
  <c r="Q3473" i="1"/>
  <c r="Q3472" i="1" s="1"/>
  <c r="Q3471" i="1" s="1"/>
  <c r="Q3470" i="1" s="1"/>
  <c r="Q3469" i="1" s="1"/>
  <c r="Q3468" i="1" s="1"/>
  <c r="Q3367" i="1"/>
  <c r="Q3366" i="1" s="1"/>
  <c r="Q3365" i="1" s="1"/>
  <c r="P3210" i="1"/>
  <c r="Q3522" i="1"/>
  <c r="Q3521" i="1" s="1"/>
  <c r="Q3520" i="1" s="1"/>
  <c r="Q3519" i="1" s="1"/>
  <c r="Q3433" i="1"/>
  <c r="Q3432" i="1" s="1"/>
  <c r="Q3431" i="1" s="1"/>
  <c r="Q3430" i="1" s="1"/>
  <c r="Q3429" i="1" s="1"/>
  <c r="P3214" i="1"/>
  <c r="Q3214" i="1"/>
  <c r="Q3213" i="1" s="1"/>
  <c r="Q3095" i="1"/>
  <c r="Q3094" i="1" s="1"/>
  <c r="Q3076" i="1"/>
  <c r="Q3066" i="1"/>
  <c r="Q3058" i="1"/>
  <c r="Q3037" i="1"/>
  <c r="Q3036" i="1" s="1"/>
  <c r="Q3046" i="1"/>
  <c r="Q3045" i="1" s="1"/>
  <c r="Q2984" i="1"/>
  <c r="Q2983" i="1" s="1"/>
  <c r="Q2943" i="1"/>
  <c r="Q2942" i="1" s="1"/>
  <c r="Q2941" i="1" s="1"/>
  <c r="Q2940" i="1" s="1"/>
  <c r="Q2939" i="1" s="1"/>
  <c r="Q2938" i="1" s="1"/>
  <c r="Q2937" i="1" s="1"/>
  <c r="Q3154" i="1"/>
  <c r="P3204" i="1"/>
  <c r="Q3886" i="1"/>
  <c r="Q4146" i="1"/>
  <c r="Q4145" i="1" s="1"/>
  <c r="Q4144" i="1" s="1"/>
  <c r="Q3910" i="1"/>
  <c r="Q3909" i="1" s="1"/>
  <c r="Q3908" i="1" s="1"/>
  <c r="P4056" i="1"/>
  <c r="Q4056" i="1"/>
  <c r="Q4015" i="1"/>
  <c r="Q4014" i="1" s="1"/>
  <c r="Q4002" i="1"/>
  <c r="Q4001" i="1" s="1"/>
  <c r="Q4000" i="1" s="1"/>
  <c r="Q3999" i="1" s="1"/>
  <c r="Q3998" i="1" s="1"/>
  <c r="Q3997" i="1" s="1"/>
  <c r="Q3996" i="1" s="1"/>
  <c r="Q4134" i="1"/>
  <c r="Q4133" i="1" s="1"/>
  <c r="Q4132" i="1" s="1"/>
  <c r="Q4131" i="1" s="1"/>
  <c r="Q4130" i="1" s="1"/>
  <c r="Q4129" i="1" s="1"/>
  <c r="Q4070" i="1"/>
  <c r="Q4069" i="1" s="1"/>
  <c r="Q4068" i="1" s="1"/>
  <c r="Q4067" i="1" s="1"/>
  <c r="Q4066" i="1" s="1"/>
  <c r="Q4065" i="1" s="1"/>
  <c r="Q4064" i="1" s="1"/>
  <c r="Q4054" i="1"/>
  <c r="Q4053" i="1" s="1"/>
  <c r="Q4052" i="1" s="1"/>
  <c r="Q4051" i="1" s="1"/>
  <c r="Q4050" i="1" s="1"/>
  <c r="Q4049" i="1" s="1"/>
  <c r="Q4048" i="1" s="1"/>
  <c r="Q4037" i="1"/>
  <c r="Q4036" i="1" s="1"/>
  <c r="Q4035" i="1" s="1"/>
  <c r="Q4034" i="1" s="1"/>
  <c r="Q4033" i="1" s="1"/>
  <c r="Q4032" i="1" s="1"/>
  <c r="Q4031" i="1" s="1"/>
  <c r="Q4030" i="1" s="1"/>
  <c r="Q4029" i="1" s="1"/>
  <c r="Q4028" i="1" s="1"/>
  <c r="Q3988" i="1"/>
  <c r="Q3987" i="1" s="1"/>
  <c r="Q3986" i="1" s="1"/>
  <c r="Q3985" i="1" s="1"/>
  <c r="Q3984" i="1" s="1"/>
  <c r="Q3983" i="1" s="1"/>
  <c r="Q3982" i="1" s="1"/>
  <c r="Q3981" i="1" s="1"/>
  <c r="Q3980" i="1" s="1"/>
  <c r="Q3877" i="1"/>
  <c r="Q3876" i="1" s="1"/>
  <c r="Q3875" i="1" s="1"/>
  <c r="Q3874" i="1" s="1"/>
  <c r="Q3873" i="1" s="1"/>
  <c r="Q3183" i="1"/>
  <c r="Q3182" i="1" s="1"/>
  <c r="Q3363" i="1"/>
  <c r="Q3362" i="1" s="1"/>
  <c r="Q3361" i="1" s="1"/>
  <c r="Q3360" i="1" s="1"/>
  <c r="Q3153" i="1"/>
  <c r="Q3735" i="1"/>
  <c r="Q3166" i="1"/>
  <c r="Q3161" i="1"/>
  <c r="Q3160" i="1" s="1"/>
  <c r="Q6278" i="1"/>
  <c r="Q6277" i="1" s="1"/>
  <c r="Q6270" i="1"/>
  <c r="Q5415" i="1"/>
  <c r="Q5414" i="1" s="1"/>
  <c r="Q5413" i="1" s="1"/>
  <c r="Q5399" i="1"/>
  <c r="Q5367" i="1"/>
  <c r="Q5359" i="1"/>
  <c r="P5351" i="1"/>
  <c r="Q5351" i="1"/>
  <c r="Q5343" i="1"/>
  <c r="Q5342" i="1" s="1"/>
  <c r="P5335" i="1"/>
  <c r="Q5335" i="1"/>
  <c r="Q5327" i="1"/>
  <c r="Q5319" i="1"/>
  <c r="Q5318" i="1" s="1"/>
  <c r="Q5317" i="1" s="1"/>
  <c r="Q5311" i="1"/>
  <c r="Q5303" i="1"/>
  <c r="Q5302" i="1" s="1"/>
  <c r="Q5301" i="1" s="1"/>
  <c r="Q5300" i="1" s="1"/>
  <c r="Q5299" i="1" s="1"/>
  <c r="Q5298" i="1" s="1"/>
  <c r="Q5297" i="1" s="1"/>
  <c r="Q5296" i="1" s="1"/>
  <c r="P5287" i="1"/>
  <c r="Q5255" i="1"/>
  <c r="Q5254" i="1" s="1"/>
  <c r="Q5253" i="1" s="1"/>
  <c r="Q5252" i="1" s="1"/>
  <c r="Q5251" i="1" s="1"/>
  <c r="Q5239" i="1"/>
  <c r="Q5238" i="1" s="1"/>
  <c r="Q5237" i="1" s="1"/>
  <c r="Q5236" i="1" s="1"/>
  <c r="Q5235" i="1" s="1"/>
  <c r="Q5234" i="1" s="1"/>
  <c r="Q5233" i="1" s="1"/>
  <c r="Q5232" i="1" s="1"/>
  <c r="Q5231" i="1" s="1"/>
  <c r="Q5230" i="1" s="1"/>
  <c r="Q5167" i="1"/>
  <c r="Q5166" i="1" s="1"/>
  <c r="Q5095" i="1"/>
  <c r="Q5094" i="1" s="1"/>
  <c r="Q5031" i="1"/>
  <c r="Q5030" i="1" s="1"/>
  <c r="Q5029" i="1" s="1"/>
  <c r="Q5028" i="1" s="1"/>
  <c r="Q5027" i="1" s="1"/>
  <c r="Q4999" i="1"/>
  <c r="Q4998" i="1" s="1"/>
  <c r="Q4997" i="1" s="1"/>
  <c r="Q4943" i="1"/>
  <c r="Q4919" i="1"/>
  <c r="Q4918" i="1" s="1"/>
  <c r="P4863" i="1"/>
  <c r="Q4863" i="1"/>
  <c r="Q4862" i="1" s="1"/>
  <c r="Q4861" i="1" s="1"/>
  <c r="Q4860" i="1" s="1"/>
  <c r="Q4859" i="1" s="1"/>
  <c r="Q4855" i="1"/>
  <c r="Q4854" i="1" s="1"/>
  <c r="P4791" i="1"/>
  <c r="Q4767" i="1"/>
  <c r="Q4766" i="1" s="1"/>
  <c r="Q4765" i="1" s="1"/>
  <c r="Q4764" i="1" s="1"/>
  <c r="Q4763" i="1" s="1"/>
  <c r="Q4762" i="1" s="1"/>
  <c r="Q4761" i="1" s="1"/>
  <c r="P4759" i="1"/>
  <c r="Q4759" i="1"/>
  <c r="Q4758" i="1" s="1"/>
  <c r="Q4757" i="1" s="1"/>
  <c r="Q4756" i="1" s="1"/>
  <c r="Q4755" i="1" s="1"/>
  <c r="Q4751" i="1"/>
  <c r="Q4750" i="1" s="1"/>
  <c r="Q4749" i="1" s="1"/>
  <c r="Q4743" i="1"/>
  <c r="Q4727" i="1"/>
  <c r="Q4647" i="1"/>
  <c r="Q4631" i="1"/>
  <c r="Q4630" i="1" s="1"/>
  <c r="Q4629" i="1" s="1"/>
  <c r="Q4628" i="1" s="1"/>
  <c r="Q4615" i="1"/>
  <c r="Q4591" i="1"/>
  <c r="Q4590" i="1" s="1"/>
  <c r="Q4589" i="1" s="1"/>
  <c r="Q4588" i="1" s="1"/>
  <c r="Q4587" i="1" s="1"/>
  <c r="Q4559" i="1"/>
  <c r="Q4527" i="1"/>
  <c r="Q4526" i="1" s="1"/>
  <c r="Q4525" i="1" s="1"/>
  <c r="Q4524" i="1" s="1"/>
  <c r="Q4503" i="1"/>
  <c r="Q4447" i="1"/>
  <c r="Q4423" i="1"/>
  <c r="Q4415" i="1"/>
  <c r="Q4414" i="1" s="1"/>
  <c r="Q4413" i="1" s="1"/>
  <c r="Q4412" i="1" s="1"/>
  <c r="Q4407" i="1"/>
  <c r="Q4399" i="1"/>
  <c r="Q4383" i="1"/>
  <c r="Q4382" i="1" s="1"/>
  <c r="Q4381" i="1" s="1"/>
  <c r="Q4380" i="1" s="1"/>
  <c r="Q4351" i="1"/>
  <c r="Q4335" i="1"/>
  <c r="Q4319" i="1"/>
  <c r="Q4303" i="1"/>
  <c r="Q4302" i="1" s="1"/>
  <c r="Q4295" i="1"/>
  <c r="Q4287" i="1"/>
  <c r="Q4271" i="1"/>
  <c r="Q4263" i="1"/>
  <c r="Q4255" i="1"/>
  <c r="Q4254" i="1" s="1"/>
  <c r="Q4247" i="1"/>
  <c r="Q4246" i="1" s="1"/>
  <c r="Q4245" i="1" s="1"/>
  <c r="Q4167" i="1"/>
  <c r="Q4192" i="1"/>
  <c r="Q4191" i="1" s="1"/>
  <c r="Q4190" i="1" s="1"/>
  <c r="Q4189" i="1" s="1"/>
  <c r="Q4188" i="1" s="1"/>
  <c r="Q4187" i="1" s="1"/>
  <c r="Q4162" i="1"/>
  <c r="Q3627" i="1"/>
  <c r="Q3626" i="1" s="1"/>
  <c r="Q3596" i="1"/>
  <c r="Q3528" i="1"/>
  <c r="P3498" i="1"/>
  <c r="Q3498" i="1"/>
  <c r="Q3497" i="1" s="1"/>
  <c r="Q3455" i="1"/>
  <c r="P3418" i="1"/>
  <c r="Q3418" i="1"/>
  <c r="Q3417" i="1" s="1"/>
  <c r="P3262" i="1"/>
  <c r="Q3262" i="1"/>
  <c r="Q3614" i="1"/>
  <c r="Q3551" i="1"/>
  <c r="P3616" i="1"/>
  <c r="P3370" i="1"/>
  <c r="P3692" i="1"/>
  <c r="Q3692" i="1"/>
  <c r="Q3691" i="1" s="1"/>
  <c r="Q3690" i="1" s="1"/>
  <c r="Q3559" i="1"/>
  <c r="Q3558" i="1" s="1"/>
  <c r="Q3557" i="1" s="1"/>
  <c r="Q3556" i="1" s="1"/>
  <c r="Q3555" i="1" s="1"/>
  <c r="Q3554" i="1" s="1"/>
  <c r="Q3482" i="1"/>
  <c r="Q3481" i="1" s="1"/>
  <c r="Q3415" i="1"/>
  <c r="Q3394" i="1"/>
  <c r="Q3393" i="1" s="1"/>
  <c r="P3322" i="1"/>
  <c r="Q3322" i="1"/>
  <c r="Q3321" i="1" s="1"/>
  <c r="Q3320" i="1" s="1"/>
  <c r="Q3297" i="1"/>
  <c r="Q3296" i="1" s="1"/>
  <c r="Q3295" i="1" s="1"/>
  <c r="Q3294" i="1" s="1"/>
  <c r="Q3293" i="1" s="1"/>
  <c r="Q3292" i="1" s="1"/>
  <c r="Q3504" i="1"/>
  <c r="Q3503" i="1" s="1"/>
  <c r="Q3502" i="1" s="1"/>
  <c r="Q3501" i="1" s="1"/>
  <c r="Q3500" i="1" s="1"/>
  <c r="P3220" i="1"/>
  <c r="Q3220" i="1"/>
  <c r="Q3219" i="1" s="1"/>
  <c r="Q3119" i="1"/>
  <c r="Q3072" i="1"/>
  <c r="Q3064" i="1"/>
  <c r="Q3043" i="1"/>
  <c r="Q3027" i="1"/>
  <c r="Q3130" i="1"/>
  <c r="Q3140" i="1"/>
  <c r="Q3139" i="1" s="1"/>
  <c r="Q3138" i="1" s="1"/>
  <c r="P2962" i="1"/>
  <c r="Q2962" i="1"/>
  <c r="Q2950" i="1"/>
  <c r="Q4225" i="1"/>
  <c r="Q4209" i="1"/>
  <c r="Q3202" i="1"/>
  <c r="Q3201" i="1" s="1"/>
  <c r="Q3884" i="1"/>
  <c r="P3943" i="1"/>
  <c r="Q3943" i="1"/>
  <c r="P4039" i="1"/>
  <c r="Q4039" i="1"/>
  <c r="P4091" i="1"/>
  <c r="Q4091" i="1"/>
  <c r="Q4090" i="1" s="1"/>
  <c r="Q4078" i="1"/>
  <c r="Q4077" i="1" s="1"/>
  <c r="Q4076" i="1" s="1"/>
  <c r="Q4075" i="1" s="1"/>
  <c r="Q4074" i="1" s="1"/>
  <c r="Q3994" i="1"/>
  <c r="Q3993" i="1" s="1"/>
  <c r="Q3992" i="1" s="1"/>
  <c r="Q3991" i="1" s="1"/>
  <c r="Q3990" i="1" s="1"/>
  <c r="Q3978" i="1"/>
  <c r="Q3977" i="1" s="1"/>
  <c r="Q3976" i="1" s="1"/>
  <c r="Q3975" i="1" s="1"/>
  <c r="Q3974" i="1" s="1"/>
  <c r="Q3973" i="1" s="1"/>
  <c r="Q3972" i="1" s="1"/>
  <c r="Q3971" i="1" s="1"/>
  <c r="Q3903" i="1"/>
  <c r="Q3902" i="1" s="1"/>
  <c r="Q3901" i="1" s="1"/>
  <c r="Q3900" i="1" s="1"/>
  <c r="Q3899" i="1" s="1"/>
  <c r="Q3898" i="1" s="1"/>
  <c r="Q3795" i="1"/>
  <c r="P3189" i="1"/>
  <c r="Q3189" i="1"/>
  <c r="Q3752" i="1"/>
  <c r="P3750" i="1"/>
  <c r="Q3750" i="1"/>
  <c r="Q3742" i="1"/>
  <c r="Q3741" i="1" s="1"/>
  <c r="Q6227" i="1"/>
  <c r="Q6284" i="1"/>
  <c r="Q6283" i="1" s="1"/>
  <c r="Q6268" i="1"/>
  <c r="Q6267" i="1" s="1"/>
  <c r="Q6252" i="1"/>
  <c r="Q6244" i="1"/>
  <c r="P5614" i="1"/>
  <c r="Q5614" i="1"/>
  <c r="Q5598" i="1"/>
  <c r="Q5582" i="1"/>
  <c r="Q5574" i="1"/>
  <c r="P5566" i="1"/>
  <c r="Q5566" i="1"/>
  <c r="Q5558" i="1"/>
  <c r="Q5534" i="1"/>
  <c r="P5526" i="1"/>
  <c r="Q5526" i="1"/>
  <c r="Q5525" i="1" s="1"/>
  <c r="Q5524" i="1" s="1"/>
  <c r="Q5518" i="1"/>
  <c r="Q5517" i="1" s="1"/>
  <c r="Q5516" i="1" s="1"/>
  <c r="Q5510" i="1"/>
  <c r="Q5502" i="1"/>
  <c r="Q5494" i="1"/>
  <c r="Q5486" i="1"/>
  <c r="P5478" i="1"/>
  <c r="Q5478" i="1"/>
  <c r="Q5470" i="1"/>
  <c r="Q5462" i="1"/>
  <c r="Q5454" i="1"/>
  <c r="Q5438" i="1"/>
  <c r="Q5430" i="1"/>
  <c r="Q5422" i="1"/>
  <c r="Q5398" i="1"/>
  <c r="Q5397" i="1" s="1"/>
  <c r="Q5390" i="1"/>
  <c r="Q5389" i="1" s="1"/>
  <c r="Q5382" i="1"/>
  <c r="Q5366" i="1"/>
  <c r="Q5358" i="1"/>
  <c r="Q5294" i="1"/>
  <c r="Q5293" i="1" s="1"/>
  <c r="Q5292" i="1" s="1"/>
  <c r="Q5291" i="1" s="1"/>
  <c r="Q5290" i="1" s="1"/>
  <c r="Q5262" i="1"/>
  <c r="Q5261" i="1" s="1"/>
  <c r="Q5222" i="1"/>
  <c r="Q5174" i="1"/>
  <c r="P5166" i="1"/>
  <c r="Q5086" i="1"/>
  <c r="Q5085" i="1" s="1"/>
  <c r="Q5038" i="1"/>
  <c r="Q5022" i="1"/>
  <c r="Q5021" i="1" s="1"/>
  <c r="Q4950" i="1"/>
  <c r="Q4949" i="1" s="1"/>
  <c r="Q4948" i="1" s="1"/>
  <c r="Q4947" i="1" s="1"/>
  <c r="Q4946" i="1" s="1"/>
  <c r="Q4926" i="1"/>
  <c r="Q4925" i="1" s="1"/>
  <c r="Q4902" i="1"/>
  <c r="Q4901" i="1" s="1"/>
  <c r="Q4900" i="1" s="1"/>
  <c r="Q4886" i="1"/>
  <c r="Q4846" i="1"/>
  <c r="Q4838" i="1"/>
  <c r="Q4830" i="1"/>
  <c r="Q4806" i="1"/>
  <c r="Q4798" i="1"/>
  <c r="Q4782" i="1"/>
  <c r="Q4718" i="1"/>
  <c r="Q4717" i="1" s="1"/>
  <c r="Q4716" i="1" s="1"/>
  <c r="Q4715" i="1" s="1"/>
  <c r="Q4694" i="1"/>
  <c r="Q4678" i="1"/>
  <c r="Q4677" i="1" s="1"/>
  <c r="Q4654" i="1"/>
  <c r="Q4646" i="1"/>
  <c r="Q4638" i="1"/>
  <c r="Q4622" i="1"/>
  <c r="Q4621" i="1" s="1"/>
  <c r="Q4598" i="1"/>
  <c r="Q4597" i="1" s="1"/>
  <c r="Q4582" i="1"/>
  <c r="Q4566" i="1"/>
  <c r="Q4565" i="1" s="1"/>
  <c r="Q4564" i="1" s="1"/>
  <c r="Q4563" i="1" s="1"/>
  <c r="Q4542" i="1"/>
  <c r="Q4534" i="1"/>
  <c r="Q4533" i="1" s="1"/>
  <c r="Q4494" i="1"/>
  <c r="Q4470" i="1"/>
  <c r="Q4462" i="1"/>
  <c r="Q4398" i="1"/>
  <c r="Q4390" i="1"/>
  <c r="Q4358" i="1"/>
  <c r="Q4342" i="1"/>
  <c r="Q4341" i="1" s="1"/>
  <c r="Q4326" i="1"/>
  <c r="Q4310" i="1"/>
  <c r="Q4286" i="1"/>
  <c r="Q4285" i="1" s="1"/>
  <c r="Q4278" i="1"/>
  <c r="Q4277" i="1" s="1"/>
  <c r="Q4276" i="1" s="1"/>
  <c r="P4262" i="1"/>
  <c r="Q4262" i="1"/>
  <c r="Q4261" i="1" s="1"/>
  <c r="P4246" i="1"/>
  <c r="Q4238" i="1"/>
  <c r="Q4237" i="1" s="1"/>
  <c r="Q3776" i="1"/>
  <c r="Q3762" i="1"/>
  <c r="P2992" i="1"/>
  <c r="Q2992" i="1"/>
  <c r="Q3151" i="1"/>
  <c r="Q4194" i="1"/>
  <c r="Q3489" i="1"/>
  <c r="Q3488" i="1" s="1"/>
  <c r="P3324" i="1"/>
  <c r="Q3324" i="1"/>
  <c r="Q3278" i="1"/>
  <c r="P3718" i="1"/>
  <c r="Q3718" i="1"/>
  <c r="Q3717" i="1" s="1"/>
  <c r="Q3400" i="1"/>
  <c r="Q3399" i="1" s="1"/>
  <c r="Q3609" i="1"/>
  <c r="Q3439" i="1"/>
  <c r="Q3309" i="1"/>
  <c r="Q3683" i="1"/>
  <c r="Q3682" i="1" s="1"/>
  <c r="Q3681" i="1" s="1"/>
  <c r="Q3633" i="1"/>
  <c r="Q3632" i="1" s="1"/>
  <c r="Q3631" i="1" s="1"/>
  <c r="Q3607" i="1"/>
  <c r="Q3606" i="1" s="1"/>
  <c r="Q3605" i="1" s="1"/>
  <c r="Q3604" i="1" s="1"/>
  <c r="Q3603" i="1" s="1"/>
  <c r="Q3602" i="1" s="1"/>
  <c r="Q3601" i="1" s="1"/>
  <c r="Q3600" i="1" s="1"/>
  <c r="Q3389" i="1"/>
  <c r="Q3388" i="1" s="1"/>
  <c r="Q3387" i="1" s="1"/>
  <c r="Q3729" i="1"/>
  <c r="Q3728" i="1" s="1"/>
  <c r="Q3727" i="1" s="1"/>
  <c r="Q3115" i="1"/>
  <c r="Q3145" i="1"/>
  <c r="Q3144" i="1" s="1"/>
  <c r="P3108" i="1"/>
  <c r="Q3108" i="1"/>
  <c r="P3092" i="1"/>
  <c r="Q3092" i="1"/>
  <c r="Q3091" i="1" s="1"/>
  <c r="Q3063" i="1"/>
  <c r="Q3062" i="1" s="1"/>
  <c r="Q3034" i="1"/>
  <c r="Q3023" i="1"/>
  <c r="Q3022" i="1" s="1"/>
  <c r="Q3021" i="1" s="1"/>
  <c r="Q3056" i="1"/>
  <c r="Q3055" i="1" s="1"/>
  <c r="Q3054" i="1" s="1"/>
  <c r="Q3053" i="1" s="1"/>
  <c r="Q3052" i="1" s="1"/>
  <c r="Q2948" i="1"/>
  <c r="Q2947" i="1" s="1"/>
  <c r="P2978" i="1"/>
  <c r="Q2978" i="1"/>
  <c r="Q4224" i="1"/>
  <c r="Q4216" i="1"/>
  <c r="Q4208" i="1"/>
  <c r="P3156" i="1"/>
  <c r="Q3156" i="1"/>
  <c r="P3193" i="1"/>
  <c r="Q3193" i="1"/>
  <c r="Q3844" i="1"/>
  <c r="Q3842" i="1"/>
  <c r="Q3841" i="1" s="1"/>
  <c r="Q3840" i="1" s="1"/>
  <c r="Q3933" i="1"/>
  <c r="Q4138" i="1"/>
  <c r="Q4137" i="1" s="1"/>
  <c r="Q4136" i="1" s="1"/>
  <c r="Q3953" i="1"/>
  <c r="Q3952" i="1" s="1"/>
  <c r="Q4009" i="1"/>
  <c r="Q4008" i="1" s="1"/>
  <c r="Q4007" i="1" s="1"/>
  <c r="Q4006" i="1" s="1"/>
  <c r="Q4005" i="1" s="1"/>
  <c r="Q4004" i="1" s="1"/>
  <c r="Q3969" i="1"/>
  <c r="Q3968" i="1" s="1"/>
  <c r="Q3967" i="1" s="1"/>
  <c r="Q3966" i="1" s="1"/>
  <c r="Q3965" i="1" s="1"/>
  <c r="Q3836" i="1"/>
  <c r="Q3835" i="1" s="1"/>
  <c r="Q3834" i="1" s="1"/>
  <c r="Q3833" i="1" s="1"/>
  <c r="Q3832" i="1" s="1"/>
  <c r="Q3787" i="1"/>
  <c r="Q3786" i="1" s="1"/>
  <c r="Q3785" i="1" s="1"/>
  <c r="Q3784" i="1" s="1"/>
  <c r="Q3783" i="1" s="1"/>
  <c r="Q3782" i="1" s="1"/>
  <c r="Q3180" i="1"/>
  <c r="Q3866" i="1"/>
  <c r="Q6275" i="1"/>
  <c r="Q6274" i="1" s="1"/>
  <c r="P4429" i="1"/>
  <c r="Q4429" i="1"/>
  <c r="P4405" i="1"/>
  <c r="Q4405" i="1"/>
  <c r="P4349" i="1"/>
  <c r="Q4349" i="1"/>
  <c r="P4341" i="1"/>
  <c r="P4333" i="1"/>
  <c r="Q4333" i="1"/>
  <c r="P4317" i="1"/>
  <c r="Q4317" i="1"/>
  <c r="P4293" i="1"/>
  <c r="Q4293" i="1"/>
  <c r="P4285" i="1"/>
  <c r="P4277" i="1"/>
  <c r="P4237" i="1"/>
  <c r="Q4154" i="1"/>
  <c r="Q4153" i="1" s="1"/>
  <c r="Q4152" i="1" s="1"/>
  <c r="Q4151" i="1" s="1"/>
  <c r="Q4150" i="1" s="1"/>
  <c r="Q3424" i="1"/>
  <c r="Q3423" i="1" s="1"/>
  <c r="Q3422" i="1" s="1"/>
  <c r="Q3421" i="1" s="1"/>
  <c r="Q3420" i="1" s="1"/>
  <c r="Q3725" i="1"/>
  <c r="Q3724" i="1" s="1"/>
  <c r="P3488" i="1"/>
  <c r="P3272" i="1"/>
  <c r="Q3272" i="1"/>
  <c r="Q3624" i="1"/>
  <c r="Q3623" i="1" s="1"/>
  <c r="Q3622" i="1" s="1"/>
  <c r="P3222" i="1"/>
  <c r="Q3222" i="1"/>
  <c r="Q3391" i="1"/>
  <c r="P3388" i="1"/>
  <c r="Q3380" i="1"/>
  <c r="Q3379" i="1" s="1"/>
  <c r="Q3378" i="1" s="1"/>
  <c r="Q3080" i="1"/>
  <c r="Q3131" i="1"/>
  <c r="P3013" i="1"/>
  <c r="Q3013" i="1"/>
  <c r="Q3012" i="1" s="1"/>
  <c r="Q3936" i="1"/>
  <c r="Q3935" i="1" s="1"/>
  <c r="Q4095" i="1"/>
  <c r="Q3957" i="1"/>
  <c r="Q3956" i="1" s="1"/>
  <c r="Q3955" i="1" s="1"/>
  <c r="Q3938" i="1"/>
  <c r="Q4104" i="1"/>
  <c r="Q4103" i="1" s="1"/>
  <c r="Q4102" i="1" s="1"/>
  <c r="Q4101" i="1" s="1"/>
  <c r="Q4100" i="1" s="1"/>
  <c r="Q4099" i="1" s="1"/>
  <c r="Q4098" i="1" s="1"/>
  <c r="Q4084" i="1"/>
  <c r="Q4083" i="1" s="1"/>
  <c r="Q4082" i="1" s="1"/>
  <c r="Q4081" i="1" s="1"/>
  <c r="Q4080" i="1" s="1"/>
  <c r="P3947" i="1"/>
  <c r="P3793" i="1"/>
  <c r="Q3793" i="1"/>
  <c r="P6298" i="1"/>
  <c r="Q6298" i="1"/>
  <c r="P6290" i="1"/>
  <c r="Q6290" i="1"/>
  <c r="Q6289" i="1" s="1"/>
  <c r="P6274" i="1"/>
  <c r="P6250" i="1"/>
  <c r="Q6250" i="1"/>
  <c r="Q6249" i="1" s="1"/>
  <c r="P6242" i="1"/>
  <c r="Q6242" i="1"/>
  <c r="P6234" i="1"/>
  <c r="Q6234" i="1"/>
  <c r="Q6233" i="1" s="1"/>
  <c r="Q6225" i="1"/>
  <c r="Q6224" i="1" s="1"/>
  <c r="Q6223" i="1" s="1"/>
  <c r="Q6222" i="1" s="1"/>
  <c r="Q5404" i="1"/>
  <c r="Q5380" i="1"/>
  <c r="Q5379" i="1" s="1"/>
  <c r="Q5364" i="1"/>
  <c r="Q5356" i="1"/>
  <c r="Q5348" i="1"/>
  <c r="Q5340" i="1"/>
  <c r="Q5268" i="1"/>
  <c r="Q5267" i="1" s="1"/>
  <c r="Q5228" i="1"/>
  <c r="Q5227" i="1" s="1"/>
  <c r="Q5220" i="1"/>
  <c r="Q5219" i="1" s="1"/>
  <c r="Q5218" i="1" s="1"/>
  <c r="Q5217" i="1" s="1"/>
  <c r="Q5216" i="1" s="1"/>
  <c r="Q5215" i="1" s="1"/>
  <c r="Q5214" i="1" s="1"/>
  <c r="Q5212" i="1"/>
  <c r="Q5211" i="1" s="1"/>
  <c r="Q5172" i="1"/>
  <c r="Q5164" i="1"/>
  <c r="Q5163" i="1" s="1"/>
  <c r="Q5162" i="1" s="1"/>
  <c r="Q5161" i="1" s="1"/>
  <c r="Q5160" i="1" s="1"/>
  <c r="Q5159" i="1" s="1"/>
  <c r="Q5158" i="1" s="1"/>
  <c r="Q5157" i="1" s="1"/>
  <c r="Q5156" i="1" s="1"/>
  <c r="Q5116" i="1"/>
  <c r="Q5115" i="1" s="1"/>
  <c r="Q5114" i="1" s="1"/>
  <c r="Q5100" i="1"/>
  <c r="Q5099" i="1" s="1"/>
  <c r="Q5092" i="1"/>
  <c r="Q5091" i="1" s="1"/>
  <c r="Q5090" i="1" s="1"/>
  <c r="Q5076" i="1"/>
  <c r="Q5075" i="1" s="1"/>
  <c r="Q5074" i="1" s="1"/>
  <c r="Q5073" i="1" s="1"/>
  <c r="Q5072" i="1" s="1"/>
  <c r="Q5071" i="1" s="1"/>
  <c r="Q5070" i="1" s="1"/>
  <c r="Q5068" i="1"/>
  <c r="Q5067" i="1" s="1"/>
  <c r="Q5044" i="1"/>
  <c r="Q5036" i="1"/>
  <c r="Q5004" i="1"/>
  <c r="Q4916" i="1"/>
  <c r="Q4884" i="1"/>
  <c r="Q4883" i="1" s="1"/>
  <c r="Q4852" i="1"/>
  <c r="Q4851" i="1" s="1"/>
  <c r="Q4850" i="1" s="1"/>
  <c r="Q4849" i="1" s="1"/>
  <c r="Q4848" i="1" s="1"/>
  <c r="Q4844" i="1"/>
  <c r="Q4843" i="1" s="1"/>
  <c r="Q4836" i="1"/>
  <c r="Q4828" i="1"/>
  <c r="Q4820" i="1"/>
  <c r="Q4819" i="1" s="1"/>
  <c r="Q4818" i="1" s="1"/>
  <c r="Q4804" i="1"/>
  <c r="Q4796" i="1"/>
  <c r="Q4788" i="1"/>
  <c r="Q4787" i="1" s="1"/>
  <c r="Q4780" i="1"/>
  <c r="Q4779" i="1" s="1"/>
  <c r="Q4778" i="1" s="1"/>
  <c r="Q4777" i="1" s="1"/>
  <c r="Q4776" i="1" s="1"/>
  <c r="Q4775" i="1" s="1"/>
  <c r="Q4700" i="1"/>
  <c r="Q4692" i="1"/>
  <c r="Q4684" i="1"/>
  <c r="Q4683" i="1" s="1"/>
  <c r="Q4682" i="1" s="1"/>
  <c r="Q4681" i="1" s="1"/>
  <c r="Q4680" i="1" s="1"/>
  <c r="Q4668" i="1"/>
  <c r="Q4612" i="1"/>
  <c r="Q4611" i="1" s="1"/>
  <c r="Q4580" i="1"/>
  <c r="Q4579" i="1" s="1"/>
  <c r="Q4578" i="1" s="1"/>
  <c r="Q4572" i="1"/>
  <c r="Q4571" i="1" s="1"/>
  <c r="Q4570" i="1" s="1"/>
  <c r="Q4548" i="1"/>
  <c r="Q4540" i="1"/>
  <c r="Q4539" i="1" s="1"/>
  <c r="Q4538" i="1" s="1"/>
  <c r="Q4508" i="1"/>
  <c r="Q4492" i="1"/>
  <c r="P4468" i="1"/>
  <c r="Q4468" i="1"/>
  <c r="Q4372" i="1"/>
  <c r="Q4356" i="1"/>
  <c r="Q4355" i="1" s="1"/>
  <c r="Q4324" i="1"/>
  <c r="Q4308" i="1"/>
  <c r="Q4300" i="1"/>
  <c r="Q4252" i="1"/>
  <c r="Q3770" i="1"/>
  <c r="Q3760" i="1"/>
  <c r="P4203" i="1"/>
  <c r="Q4203" i="1"/>
  <c r="Q4172" i="1"/>
  <c r="Q4171" i="1" s="1"/>
  <c r="Q4181" i="1"/>
  <c r="Q4180" i="1" s="1"/>
  <c r="Q4179" i="1" s="1"/>
  <c r="Q3648" i="1"/>
  <c r="Q3495" i="1"/>
  <c r="Q3494" i="1" s="1"/>
  <c r="P3404" i="1"/>
  <c r="Q3404" i="1"/>
  <c r="Q3332" i="1"/>
  <c r="Q3302" i="1"/>
  <c r="Q3239" i="1"/>
  <c r="Q3238" i="1" s="1"/>
  <c r="Q3575" i="1"/>
  <c r="P3530" i="1"/>
  <c r="Q3530" i="1"/>
  <c r="Q3250" i="1"/>
  <c r="Q3566" i="1"/>
  <c r="Q3565" i="1" s="1"/>
  <c r="Q3564" i="1" s="1"/>
  <c r="Q3656" i="1"/>
  <c r="Q3655" i="1" s="1"/>
  <c r="Q3654" i="1" s="1"/>
  <c r="P3601" i="1"/>
  <c r="Q3538" i="1"/>
  <c r="Q3537" i="1" s="1"/>
  <c r="Q3536" i="1" s="1"/>
  <c r="Q3486" i="1"/>
  <c r="Q3485" i="1" s="1"/>
  <c r="Q3484" i="1" s="1"/>
  <c r="Q3397" i="1"/>
  <c r="Q3396" i="1" s="1"/>
  <c r="Q3346" i="1"/>
  <c r="Q3345" i="1" s="1"/>
  <c r="Q3344" i="1" s="1"/>
  <c r="Q3343" i="1" s="1"/>
  <c r="Q3307" i="1"/>
  <c r="Q3306" i="1" s="1"/>
  <c r="Q3305" i="1" s="1"/>
  <c r="Q3304" i="1" s="1"/>
  <c r="Q3266" i="1"/>
  <c r="Q3265" i="1" s="1"/>
  <c r="Q3264" i="1" s="1"/>
  <c r="Q3236" i="1"/>
  <c r="Q3235" i="1" s="1"/>
  <c r="Q3234" i="1" s="1"/>
  <c r="Q3233" i="1" s="1"/>
  <c r="Q3517" i="1"/>
  <c r="Q3516" i="1" s="1"/>
  <c r="Q3515" i="1" s="1"/>
  <c r="Q3514" i="1" s="1"/>
  <c r="Q3217" i="1"/>
  <c r="Q3216" i="1" s="1"/>
  <c r="Q3074" i="1"/>
  <c r="Q3106" i="1"/>
  <c r="Q3098" i="1"/>
  <c r="Q3097" i="1" s="1"/>
  <c r="P3032" i="1"/>
  <c r="Q3032" i="1"/>
  <c r="Q4086" i="1"/>
  <c r="P3747" i="1"/>
  <c r="Q3733" i="1"/>
  <c r="Q3732" i="1" s="1"/>
  <c r="Q3164" i="1"/>
  <c r="Q3163" i="1" s="1"/>
  <c r="Q3176" i="1"/>
  <c r="Q3175" i="1" s="1"/>
  <c r="Q3174" i="1" s="1"/>
  <c r="Q3173" i="1" s="1"/>
  <c r="P3270" i="1"/>
  <c r="Q3270" i="1"/>
  <c r="P3238" i="1"/>
  <c r="Q3300" i="1"/>
  <c r="Q3299" i="1" s="1"/>
  <c r="Q3512" i="1"/>
  <c r="Q3511" i="1" s="1"/>
  <c r="Q3510" i="1" s="1"/>
  <c r="Q3509" i="1" s="1"/>
  <c r="Q3508" i="1" s="1"/>
  <c r="Q3341" i="1"/>
  <c r="Q3340" i="1" s="1"/>
  <c r="Q3414" i="1"/>
  <c r="Q3413" i="1" s="1"/>
  <c r="Q3412" i="1" s="1"/>
  <c r="Q3411" i="1" s="1"/>
  <c r="Q3410" i="1" s="1"/>
  <c r="P3306" i="1"/>
  <c r="Q3254" i="1"/>
  <c r="Q3253" i="1" s="1"/>
  <c r="Q3252" i="1" s="1"/>
  <c r="P4221" i="1"/>
  <c r="Q4221" i="1"/>
  <c r="Q4220" i="1" s="1"/>
  <c r="P3863" i="1"/>
  <c r="Q6231" i="1"/>
  <c r="Q6230" i="1" s="1"/>
  <c r="Q6229" i="1" s="1"/>
  <c r="Q5202" i="1"/>
  <c r="Q5201" i="1" s="1"/>
  <c r="Q5200" i="1" s="1"/>
  <c r="Q5199" i="1" s="1"/>
  <c r="Q5198" i="1" s="1"/>
  <c r="Q5197" i="1" s="1"/>
  <c r="Q5196" i="1" s="1"/>
  <c r="Q5195" i="1" s="1"/>
  <c r="Q5194" i="1" s="1"/>
  <c r="Q5193" i="1" s="1"/>
  <c r="Q5192" i="1" s="1"/>
  <c r="Q5191" i="1" s="1"/>
  <c r="Q5190" i="1" s="1"/>
  <c r="Q5189" i="1" s="1"/>
  <c r="Q5188" i="1" s="1"/>
  <c r="Q5187" i="1" s="1"/>
  <c r="Q5186" i="1" s="1"/>
  <c r="Q5178" i="1"/>
  <c r="Q5177" i="1" s="1"/>
  <c r="Q5176" i="1" s="1"/>
  <c r="Q5170" i="1"/>
  <c r="Q5169" i="1" s="1"/>
  <c r="Q5154" i="1"/>
  <c r="Q5153" i="1" s="1"/>
  <c r="Q5152" i="1" s="1"/>
  <c r="Q5151" i="1" s="1"/>
  <c r="Q5150" i="1" s="1"/>
  <c r="Q5149" i="1" s="1"/>
  <c r="Q5122" i="1"/>
  <c r="Q5121" i="1" s="1"/>
  <c r="Q5120" i="1" s="1"/>
  <c r="Q5119" i="1" s="1"/>
  <c r="Q5118" i="1" s="1"/>
  <c r="Q5042" i="1"/>
  <c r="Q5034" i="1"/>
  <c r="Q5033" i="1" s="1"/>
  <c r="Q4962" i="1"/>
  <c r="Q4961" i="1" s="1"/>
  <c r="Q4960" i="1" s="1"/>
  <c r="Q4959" i="1" s="1"/>
  <c r="Q4958" i="1" s="1"/>
  <c r="Q4957" i="1" s="1"/>
  <c r="Q4956" i="1" s="1"/>
  <c r="Q4955" i="1" s="1"/>
  <c r="Q4954" i="1" s="1"/>
  <c r="Q4953" i="1" s="1"/>
  <c r="Q4952" i="1" s="1"/>
  <c r="Q4914" i="1"/>
  <c r="Q4898" i="1"/>
  <c r="Q4897" i="1" s="1"/>
  <c r="Q4896" i="1" s="1"/>
  <c r="Q4895" i="1" s="1"/>
  <c r="Q4874" i="1"/>
  <c r="Q4826" i="1"/>
  <c r="Q4825" i="1" s="1"/>
  <c r="Q4824" i="1" s="1"/>
  <c r="Q4823" i="1" s="1"/>
  <c r="Q4822" i="1" s="1"/>
  <c r="Q4802" i="1"/>
  <c r="Q4794" i="1"/>
  <c r="Q4770" i="1"/>
  <c r="Q4769" i="1" s="1"/>
  <c r="Q4738" i="1"/>
  <c r="Q4737" i="1" s="1"/>
  <c r="Q4736" i="1" s="1"/>
  <c r="Q4735" i="1" s="1"/>
  <c r="Q4734" i="1" s="1"/>
  <c r="Q4733" i="1" s="1"/>
  <c r="Q4722" i="1"/>
  <c r="Q4706" i="1"/>
  <c r="Q4705" i="1" s="1"/>
  <c r="Q4704" i="1" s="1"/>
  <c r="Q4703" i="1" s="1"/>
  <c r="Q4702" i="1" s="1"/>
  <c r="Q4698" i="1"/>
  <c r="Q4697" i="1" s="1"/>
  <c r="Q4696" i="1" s="1"/>
  <c r="Q4666" i="1"/>
  <c r="Q4626" i="1"/>
  <c r="Q4594" i="1"/>
  <c r="Q4593" i="1" s="1"/>
  <c r="Q4554" i="1"/>
  <c r="Q4546" i="1"/>
  <c r="Q4545" i="1" s="1"/>
  <c r="Q4544" i="1" s="1"/>
  <c r="Q4522" i="1"/>
  <c r="Q4514" i="1"/>
  <c r="Q4490" i="1"/>
  <c r="Q4482" i="1"/>
  <c r="Q4466" i="1"/>
  <c r="Q4465" i="1" s="1"/>
  <c r="Q4464" i="1" s="1"/>
  <c r="P4450" i="1"/>
  <c r="Q4450" i="1"/>
  <c r="Q4449" i="1" s="1"/>
  <c r="Q4442" i="1"/>
  <c r="Q4434" i="1"/>
  <c r="Q4410" i="1"/>
  <c r="Q4409" i="1" s="1"/>
  <c r="Q4378" i="1"/>
  <c r="Q4370" i="1"/>
  <c r="Q4362" i="1"/>
  <c r="Q4322" i="1"/>
  <c r="Q4306" i="1"/>
  <c r="Q4305" i="1" s="1"/>
  <c r="Q4298" i="1"/>
  <c r="Q4290" i="1"/>
  <c r="Q4289" i="1" s="1"/>
  <c r="Q4282" i="1"/>
  <c r="Q4274" i="1"/>
  <c r="Q4266" i="1"/>
  <c r="Q4258" i="1"/>
  <c r="Q4257" i="1" s="1"/>
  <c r="Q4250" i="1"/>
  <c r="Q4249" i="1" s="1"/>
  <c r="Q3780" i="1"/>
  <c r="Q3758" i="1"/>
  <c r="Q3774" i="1"/>
  <c r="Q4201" i="1"/>
  <c r="Q3646" i="1"/>
  <c r="Q3645" i="1" s="1"/>
  <c r="P3402" i="1"/>
  <c r="Q3402" i="1"/>
  <c r="Q3330" i="1"/>
  <c r="Q3329" i="1" s="1"/>
  <c r="Q3328" i="1" s="1"/>
  <c r="Q3479" i="1"/>
  <c r="P3340" i="1"/>
  <c r="Q3679" i="1"/>
  <c r="Q3613" i="1"/>
  <c r="Q3612" i="1" s="1"/>
  <c r="Q3611" i="1" s="1"/>
  <c r="Q3466" i="1"/>
  <c r="Q3465" i="1" s="1"/>
  <c r="Q3464" i="1" s="1"/>
  <c r="Q3463" i="1" s="1"/>
  <c r="Q3385" i="1"/>
  <c r="Q3384" i="1" s="1"/>
  <c r="Q3383" i="1" s="1"/>
  <c r="Q3382" i="1" s="1"/>
  <c r="Q3149" i="1"/>
  <c r="Q3104" i="1"/>
  <c r="Q3103" i="1" s="1"/>
  <c r="Q3030" i="1"/>
  <c r="Q3029" i="1" s="1"/>
  <c r="P3010" i="1"/>
  <c r="Q3010" i="1"/>
  <c r="Q3001" i="1"/>
  <c r="Q3000" i="1" s="1"/>
  <c r="Q2999" i="1" s="1"/>
  <c r="Q2998" i="1" s="1"/>
  <c r="Q2957" i="1"/>
  <c r="Q2956" i="1" s="1"/>
  <c r="Q2955" i="1" s="1"/>
  <c r="Q4212" i="1"/>
  <c r="Q4204" i="1"/>
  <c r="Q3197" i="1"/>
  <c r="Q3205" i="1"/>
  <c r="Q3204" i="1" s="1"/>
  <c r="Q4113" i="1"/>
  <c r="Q4111" i="1"/>
  <c r="Q4110" i="1" s="1"/>
  <c r="Q4109" i="1" s="1"/>
  <c r="Q4142" i="1"/>
  <c r="Q4141" i="1" s="1"/>
  <c r="Q4140" i="1" s="1"/>
  <c r="P3879" i="1"/>
  <c r="Q4127" i="1"/>
  <c r="Q4126" i="1" s="1"/>
  <c r="Q4125" i="1" s="1"/>
  <c r="Q4124" i="1" s="1"/>
  <c r="Q4123" i="1" s="1"/>
  <c r="Q4122" i="1" s="1"/>
  <c r="Q3950" i="1"/>
  <c r="Q3949" i="1" s="1"/>
  <c r="Q3948" i="1" s="1"/>
  <c r="Q3947" i="1" s="1"/>
  <c r="Q3946" i="1" s="1"/>
  <c r="Q3815" i="1"/>
  <c r="Q3814" i="1" s="1"/>
  <c r="Q3813" i="1" s="1"/>
  <c r="Q3812" i="1" s="1"/>
  <c r="Q3811" i="1" s="1"/>
  <c r="Q3810" i="1" s="1"/>
  <c r="Q3870" i="1"/>
  <c r="P3356" i="1"/>
  <c r="Q3356" i="1"/>
  <c r="Q3745" i="1"/>
  <c r="Q3744" i="1" s="1"/>
  <c r="Q6287" i="1"/>
  <c r="Q6286" i="1" s="1"/>
  <c r="Q6263" i="1"/>
  <c r="Q6262" i="1" s="1"/>
  <c r="Q6255" i="1"/>
  <c r="Q6254" i="1" s="1"/>
  <c r="Q6247" i="1"/>
  <c r="Q6246" i="1" s="1"/>
  <c r="Q6311" i="1"/>
  <c r="Q6310" i="1" s="1"/>
  <c r="Q6309" i="1" s="1"/>
  <c r="Q6308" i="1" s="1"/>
  <c r="Q6312" i="1"/>
  <c r="AR38" i="7"/>
  <c r="AR25" i="7"/>
  <c r="AR24" i="7"/>
  <c r="AQ37" i="7"/>
  <c r="AR34" i="7"/>
  <c r="AR35" i="7" s="1"/>
  <c r="AR16" i="7"/>
  <c r="AR17" i="7" s="1"/>
  <c r="AR33" i="7"/>
  <c r="AR19" i="7"/>
  <c r="AR13" i="7"/>
  <c r="AR14" i="7"/>
  <c r="AS6" i="7"/>
  <c r="AS7" i="7"/>
  <c r="AT5" i="7"/>
  <c r="AS40" i="7"/>
  <c r="AS8" i="7"/>
  <c r="AS9" i="7" s="1"/>
  <c r="AT11" i="7"/>
  <c r="AS12" i="7"/>
  <c r="AQ36" i="7"/>
  <c r="AR32" i="7"/>
  <c r="AQ20" i="7"/>
  <c r="AQ21" i="7"/>
  <c r="BB3" i="7"/>
  <c r="BA4" i="7"/>
  <c r="AR30" i="7"/>
  <c r="AR41" i="7"/>
  <c r="AR42" i="7" s="1"/>
  <c r="AT28" i="7"/>
  <c r="AT29" i="7" s="1"/>
  <c r="AU27" i="7"/>
  <c r="P5411" i="1"/>
  <c r="U5411" i="1"/>
  <c r="O5411" i="1"/>
  <c r="O5403" i="1"/>
  <c r="P5403" i="1"/>
  <c r="U5403" i="1"/>
  <c r="O5412" i="1"/>
  <c r="P5412" i="1"/>
  <c r="U5412" i="1"/>
  <c r="U5402" i="1"/>
  <c r="P5402" i="1"/>
  <c r="O5409" i="1"/>
  <c r="O5410" i="1" s="1"/>
  <c r="P5409" i="1"/>
  <c r="U5409" i="1"/>
  <c r="P5401" i="1"/>
  <c r="U5401" i="1"/>
  <c r="O5404" i="1"/>
  <c r="P5404" i="1"/>
  <c r="U5404" i="1"/>
  <c r="U5408" i="1"/>
  <c r="P5408" i="1"/>
  <c r="P5410" i="1"/>
  <c r="U5410" i="1"/>
  <c r="P5415" i="1"/>
  <c r="U5415" i="1"/>
  <c r="P5407" i="1"/>
  <c r="U5407" i="1"/>
  <c r="P5414" i="1"/>
  <c r="U5414" i="1"/>
  <c r="O5406" i="1"/>
  <c r="P5406" i="1"/>
  <c r="U5406" i="1"/>
  <c r="P5413" i="1"/>
  <c r="U5413" i="1"/>
  <c r="P5405" i="1"/>
  <c r="U5405" i="1"/>
  <c r="O5405" i="1"/>
  <c r="P2938" i="1"/>
  <c r="U2938" i="1"/>
  <c r="O2944" i="1"/>
  <c r="O2945" i="1" s="1"/>
  <c r="P2944" i="1"/>
  <c r="U2944" i="1"/>
  <c r="O2936" i="1"/>
  <c r="P2936" i="1"/>
  <c r="U2936" i="1"/>
  <c r="P2940" i="1"/>
  <c r="U2940" i="1"/>
  <c r="P2941" i="1"/>
  <c r="U2941" i="1"/>
  <c r="P2937" i="1"/>
  <c r="U2937" i="1"/>
  <c r="P2939" i="1"/>
  <c r="U2939" i="1"/>
  <c r="P2943" i="1"/>
  <c r="U2943" i="1"/>
  <c r="O2946" i="1"/>
  <c r="O2947" i="1" s="1"/>
  <c r="O2948" i="1" s="1"/>
  <c r="P2946" i="1"/>
  <c r="U2946" i="1"/>
  <c r="P2942" i="1"/>
  <c r="U2942" i="1"/>
  <c r="U2945" i="1"/>
  <c r="P2945" i="1"/>
  <c r="O4275" i="1"/>
  <c r="P4275" i="1"/>
  <c r="U4275" i="1"/>
  <c r="O4274" i="1"/>
  <c r="P4274" i="1"/>
  <c r="U4274" i="1"/>
  <c r="P4273" i="1"/>
  <c r="U4273" i="1"/>
  <c r="P4272" i="1"/>
  <c r="U4272" i="1"/>
  <c r="O4272" i="1"/>
  <c r="O4273" i="1" s="1"/>
  <c r="U4271" i="1"/>
  <c r="P4271" i="1"/>
  <c r="U4270" i="1"/>
  <c r="O4270" i="1"/>
  <c r="O4271" i="1" s="1"/>
  <c r="P4270" i="1"/>
  <c r="U4269" i="1"/>
  <c r="P4269" i="1"/>
  <c r="U4268" i="1"/>
  <c r="P4268" i="1"/>
  <c r="R1625" i="1"/>
  <c r="S1625" i="1"/>
  <c r="T1625" i="1" s="1"/>
  <c r="O1626" i="1"/>
  <c r="O1479" i="1"/>
  <c r="S1478" i="1"/>
  <c r="T1478" i="1" s="1"/>
  <c r="R1478" i="1"/>
  <c r="S1654" i="1"/>
  <c r="T1654" i="1" s="1"/>
  <c r="R1654" i="1"/>
  <c r="O1655" i="1"/>
  <c r="P6184" i="1"/>
  <c r="P6128" i="1"/>
  <c r="P6072" i="1"/>
  <c r="P6016" i="1"/>
  <c r="P5968" i="1"/>
  <c r="P5920" i="1"/>
  <c r="P5864" i="1"/>
  <c r="P5824" i="1"/>
  <c r="O5760" i="1"/>
  <c r="O5761" i="1" s="1"/>
  <c r="P5760" i="1"/>
  <c r="O5704" i="1"/>
  <c r="P5704" i="1"/>
  <c r="O5656" i="1"/>
  <c r="O5657" i="1" s="1"/>
  <c r="P5656" i="1"/>
  <c r="P5592" i="1"/>
  <c r="P5528" i="1"/>
  <c r="O5480" i="1"/>
  <c r="P5480" i="1"/>
  <c r="P5424" i="1"/>
  <c r="O5377" i="1"/>
  <c r="P5377" i="1"/>
  <c r="P5313" i="1"/>
  <c r="P5265" i="1"/>
  <c r="P5233" i="1"/>
  <c r="P5177" i="1"/>
  <c r="P5129" i="1"/>
  <c r="O5129" i="1"/>
  <c r="O5130" i="1" s="1"/>
  <c r="O5131" i="1" s="1"/>
  <c r="O5132" i="1" s="1"/>
  <c r="O5133" i="1" s="1"/>
  <c r="P5073" i="1"/>
  <c r="P5025" i="1"/>
  <c r="O5025" i="1"/>
  <c r="P4969" i="1"/>
  <c r="P4921" i="1"/>
  <c r="P4865" i="1"/>
  <c r="O4817" i="1"/>
  <c r="O4818" i="1" s="1"/>
  <c r="O4819" i="1" s="1"/>
  <c r="P4817" i="1"/>
  <c r="P4745" i="1"/>
  <c r="P4697" i="1"/>
  <c r="P4649" i="1"/>
  <c r="P4593" i="1"/>
  <c r="O4537" i="1"/>
  <c r="O4538" i="1" s="1"/>
  <c r="O4539" i="1" s="1"/>
  <c r="P4537" i="1"/>
  <c r="O4481" i="1"/>
  <c r="O4482" i="1" s="1"/>
  <c r="P4481" i="1"/>
  <c r="P4449" i="1"/>
  <c r="P4401" i="1"/>
  <c r="P4353" i="1"/>
  <c r="P4297" i="1"/>
  <c r="P4258" i="1"/>
  <c r="P3758" i="1"/>
  <c r="P4190" i="1"/>
  <c r="O3719" i="1"/>
  <c r="O3720" i="1" s="1"/>
  <c r="O3721" i="1" s="1"/>
  <c r="O3722" i="1" s="1"/>
  <c r="P3719" i="1"/>
  <c r="P3523" i="1"/>
  <c r="O3523" i="1"/>
  <c r="O3524" i="1" s="1"/>
  <c r="P3282" i="1"/>
  <c r="P3666" i="1"/>
  <c r="P3479" i="1"/>
  <c r="P3704" i="1"/>
  <c r="O3474" i="1"/>
  <c r="O3475" i="1" s="1"/>
  <c r="O3476" i="1" s="1"/>
  <c r="P3474" i="1"/>
  <c r="P3344" i="1"/>
  <c r="P3234" i="1"/>
  <c r="P3149" i="1"/>
  <c r="P3077" i="1"/>
  <c r="O3077" i="1"/>
  <c r="O3078" i="1" s="1"/>
  <c r="P4220" i="1"/>
  <c r="O3845" i="1"/>
  <c r="O3846" i="1" s="1"/>
  <c r="P3845" i="1"/>
  <c r="Q3845" i="1" s="1"/>
  <c r="P4142" i="1"/>
  <c r="P3930" i="1"/>
  <c r="P4119" i="1"/>
  <c r="P4004" i="1"/>
  <c r="P3918" i="1"/>
  <c r="P3815" i="1"/>
  <c r="P3862" i="1"/>
  <c r="O3862" i="1"/>
  <c r="O6294" i="1"/>
  <c r="O6295" i="1" s="1"/>
  <c r="O6296" i="1" s="1"/>
  <c r="P6294" i="1"/>
  <c r="O6299" i="1"/>
  <c r="O6300" i="1" s="1"/>
  <c r="O6301" i="1" s="1"/>
  <c r="P6299" i="1"/>
  <c r="P6167" i="1"/>
  <c r="O6167" i="1"/>
  <c r="O6168" i="1" s="1"/>
  <c r="P6119" i="1"/>
  <c r="P6055" i="1"/>
  <c r="P5991" i="1"/>
  <c r="P5935" i="1"/>
  <c r="P5887" i="1"/>
  <c r="P5839" i="1"/>
  <c r="O5783" i="1"/>
  <c r="P5783" i="1"/>
  <c r="P5727" i="1"/>
  <c r="P5679" i="1"/>
  <c r="O5623" i="1"/>
  <c r="O5624" i="1" s="1"/>
  <c r="P5623" i="1"/>
  <c r="O5567" i="1"/>
  <c r="P5567" i="1"/>
  <c r="O5511" i="1"/>
  <c r="P5511" i="1"/>
  <c r="O5463" i="1"/>
  <c r="O5464" i="1" s="1"/>
  <c r="P5463" i="1"/>
  <c r="P5392" i="1"/>
  <c r="O5336" i="1"/>
  <c r="P5336" i="1"/>
  <c r="P5272" i="1"/>
  <c r="P5224" i="1"/>
  <c r="P5160" i="1"/>
  <c r="P5104" i="1"/>
  <c r="P5048" i="1"/>
  <c r="P4984" i="1"/>
  <c r="P4928" i="1"/>
  <c r="P4880" i="1"/>
  <c r="P4824" i="1"/>
  <c r="O4768" i="1"/>
  <c r="O4769" i="1" s="1"/>
  <c r="O4770" i="1" s="1"/>
  <c r="P4768" i="1"/>
  <c r="P4704" i="1"/>
  <c r="P4608" i="1"/>
  <c r="O4416" i="1"/>
  <c r="O4417" i="1" s="1"/>
  <c r="O4418" i="1" s="1"/>
  <c r="O4419" i="1" s="1"/>
  <c r="P4416" i="1"/>
  <c r="P3661" i="1"/>
  <c r="P6152" i="1"/>
  <c r="P6064" i="1"/>
  <c r="P5976" i="1"/>
  <c r="O5888" i="1"/>
  <c r="O5889" i="1" s="1"/>
  <c r="P5888" i="1"/>
  <c r="P5792" i="1"/>
  <c r="O5712" i="1"/>
  <c r="O5713" i="1" s="1"/>
  <c r="P5712" i="1"/>
  <c r="P5624" i="1"/>
  <c r="P5544" i="1"/>
  <c r="P5448" i="1"/>
  <c r="O5361" i="1"/>
  <c r="O5362" i="1" s="1"/>
  <c r="P5361" i="1"/>
  <c r="O5281" i="1"/>
  <c r="O5282" i="1" s="1"/>
  <c r="P5281" i="1"/>
  <c r="P5201" i="1"/>
  <c r="P5097" i="1"/>
  <c r="P4993" i="1"/>
  <c r="P4905" i="1"/>
  <c r="P4801" i="1"/>
  <c r="O4801" i="1"/>
  <c r="P4705" i="1"/>
  <c r="P4609" i="1"/>
  <c r="P4513" i="1"/>
  <c r="P4417" i="1"/>
  <c r="P4321" i="1"/>
  <c r="P3766" i="1"/>
  <c r="O3541" i="1"/>
  <c r="O3542" i="1" s="1"/>
  <c r="P3541" i="1"/>
  <c r="P3654" i="1"/>
  <c r="P3442" i="1"/>
  <c r="P3211" i="1"/>
  <c r="O3059" i="1"/>
  <c r="O3060" i="1" s="1"/>
  <c r="P3059" i="1"/>
  <c r="P2973" i="1"/>
  <c r="O4073" i="1"/>
  <c r="O4074" i="1" s="1"/>
  <c r="O4075" i="1" s="1"/>
  <c r="O4076" i="1" s="1"/>
  <c r="O4077" i="1" s="1"/>
  <c r="P4073" i="1"/>
  <c r="P3925" i="1"/>
  <c r="P3800" i="1"/>
  <c r="P3162" i="1"/>
  <c r="O3162" i="1"/>
  <c r="P6311" i="1"/>
  <c r="O6312" i="1"/>
  <c r="U6311" i="1"/>
  <c r="U6312" i="1"/>
  <c r="P6191" i="1"/>
  <c r="O6111" i="1"/>
  <c r="P6111" i="1"/>
  <c r="O6039" i="1"/>
  <c r="P6039" i="1"/>
  <c r="P5959" i="1"/>
  <c r="P5879" i="1"/>
  <c r="O5879" i="1"/>
  <c r="P5815" i="1"/>
  <c r="O5735" i="1"/>
  <c r="P5735" i="1"/>
  <c r="P5663" i="1"/>
  <c r="P5591" i="1"/>
  <c r="O5519" i="1"/>
  <c r="P5519" i="1"/>
  <c r="O5431" i="1"/>
  <c r="P5431" i="1"/>
  <c r="O5360" i="1"/>
  <c r="P5360" i="1"/>
  <c r="P5280" i="1"/>
  <c r="P5208" i="1"/>
  <c r="P5136" i="1"/>
  <c r="P5064" i="1"/>
  <c r="P4976" i="1"/>
  <c r="P4912" i="1"/>
  <c r="P4832" i="1"/>
  <c r="P4752" i="1"/>
  <c r="O4752" i="1"/>
  <c r="O4753" i="1" s="1"/>
  <c r="P4696" i="1"/>
  <c r="O4632" i="1"/>
  <c r="P4632" i="1"/>
  <c r="P4568" i="1"/>
  <c r="P4496" i="1"/>
  <c r="P4456" i="1"/>
  <c r="O4384" i="1"/>
  <c r="O4385" i="1" s="1"/>
  <c r="O4386" i="1" s="1"/>
  <c r="O4387" i="1" s="1"/>
  <c r="P4384" i="1"/>
  <c r="P4328" i="1"/>
  <c r="O3779" i="1"/>
  <c r="P3779" i="1"/>
  <c r="O4149" i="1"/>
  <c r="P4149" i="1"/>
  <c r="P3506" i="1"/>
  <c r="P3374" i="1"/>
  <c r="P3637" i="1"/>
  <c r="P3343" i="1"/>
  <c r="O6192" i="1"/>
  <c r="O6193" i="1" s="1"/>
  <c r="P6192" i="1"/>
  <c r="P6144" i="1"/>
  <c r="P6096" i="1"/>
  <c r="O6032" i="1"/>
  <c r="O6033" i="1" s="1"/>
  <c r="P6032" i="1"/>
  <c r="P5984" i="1"/>
  <c r="P5936" i="1"/>
  <c r="O5880" i="1"/>
  <c r="O5881" i="1" s="1"/>
  <c r="O5882" i="1" s="1"/>
  <c r="O5883" i="1" s="1"/>
  <c r="O5884" i="1" s="1"/>
  <c r="P5880" i="1"/>
  <c r="P5816" i="1"/>
  <c r="P5768" i="1"/>
  <c r="O5728" i="1"/>
  <c r="O5729" i="1" s="1"/>
  <c r="O5730" i="1" s="1"/>
  <c r="P5728" i="1"/>
  <c r="P5672" i="1"/>
  <c r="O5616" i="1"/>
  <c r="P5616" i="1"/>
  <c r="O5568" i="1"/>
  <c r="P5568" i="1"/>
  <c r="O5504" i="1"/>
  <c r="P5504" i="1"/>
  <c r="P5464" i="1"/>
  <c r="O5337" i="1"/>
  <c r="P5337" i="1"/>
  <c r="P5257" i="1"/>
  <c r="O5113" i="1"/>
  <c r="O5114" i="1" s="1"/>
  <c r="O5115" i="1" s="1"/>
  <c r="P5113" i="1"/>
  <c r="P5049" i="1"/>
  <c r="P5009" i="1"/>
  <c r="P4953" i="1"/>
  <c r="P4889" i="1"/>
  <c r="P4833" i="1"/>
  <c r="P4777" i="1"/>
  <c r="P4729" i="1"/>
  <c r="P4681" i="1"/>
  <c r="P4641" i="1"/>
  <c r="P4585" i="1"/>
  <c r="P4545" i="1"/>
  <c r="P4489" i="1"/>
  <c r="O4433" i="1"/>
  <c r="O4434" i="1" s="1"/>
  <c r="P4433" i="1"/>
  <c r="P4377" i="1"/>
  <c r="P4329" i="1"/>
  <c r="P3780" i="1"/>
  <c r="P4152" i="1"/>
  <c r="P3336" i="1"/>
  <c r="P3423" i="1"/>
  <c r="P3237" i="1"/>
  <c r="O3237" i="1"/>
  <c r="O3693" i="1"/>
  <c r="P3693" i="1"/>
  <c r="P3373" i="1"/>
  <c r="P3687" i="1"/>
  <c r="P3605" i="1"/>
  <c r="P3483" i="1"/>
  <c r="O3483" i="1"/>
  <c r="O3484" i="1" s="1"/>
  <c r="O3485" i="1" s="1"/>
  <c r="P3379" i="1"/>
  <c r="P3265" i="1"/>
  <c r="P3215" i="1"/>
  <c r="O3215" i="1"/>
  <c r="O3096" i="1"/>
  <c r="P3096" i="1"/>
  <c r="P3030" i="1"/>
  <c r="P2996" i="1"/>
  <c r="P3004" i="1"/>
  <c r="P2956" i="1"/>
  <c r="P3205" i="1"/>
  <c r="P4111" i="1"/>
  <c r="P4107" i="1"/>
  <c r="P4127" i="1"/>
  <c r="O4047" i="1"/>
  <c r="O4048" i="1" s="1"/>
  <c r="O4049" i="1" s="1"/>
  <c r="O4050" i="1" s="1"/>
  <c r="O4051" i="1" s="1"/>
  <c r="P4047" i="1"/>
  <c r="P3965" i="1"/>
  <c r="P3859" i="1"/>
  <c r="P3786" i="1"/>
  <c r="O3736" i="1"/>
  <c r="O3737" i="1" s="1"/>
  <c r="P3736" i="1"/>
  <c r="P6280" i="1"/>
  <c r="P6247" i="1"/>
  <c r="P6183" i="1"/>
  <c r="P6135" i="1"/>
  <c r="P6087" i="1"/>
  <c r="P6031" i="1"/>
  <c r="P5983" i="1"/>
  <c r="P5927" i="1"/>
  <c r="P5871" i="1"/>
  <c r="O5823" i="1"/>
  <c r="O5824" i="1" s="1"/>
  <c r="P5823" i="1"/>
  <c r="O5751" i="1"/>
  <c r="O5752" i="1" s="1"/>
  <c r="P5751" i="1"/>
  <c r="P5695" i="1"/>
  <c r="O5639" i="1"/>
  <c r="P5639" i="1"/>
  <c r="O5575" i="1"/>
  <c r="O5576" i="1" s="1"/>
  <c r="O5577" i="1" s="1"/>
  <c r="P5575" i="1"/>
  <c r="O5527" i="1"/>
  <c r="P5527" i="1"/>
  <c r="O5471" i="1"/>
  <c r="O5472" i="1" s="1"/>
  <c r="P5471" i="1"/>
  <c r="P5368" i="1"/>
  <c r="O5368" i="1"/>
  <c r="O5312" i="1"/>
  <c r="O5313" i="1" s="1"/>
  <c r="O5314" i="1" s="1"/>
  <c r="P5312" i="1"/>
  <c r="O5256" i="1"/>
  <c r="P5256" i="1"/>
  <c r="P5184" i="1"/>
  <c r="P5128" i="1"/>
  <c r="P5080" i="1"/>
  <c r="P5024" i="1"/>
  <c r="P4952" i="1"/>
  <c r="P4888" i="1"/>
  <c r="P4848" i="1"/>
  <c r="P4792" i="1"/>
  <c r="P4744" i="1"/>
  <c r="O4744" i="1"/>
  <c r="P4688" i="1"/>
  <c r="P4656" i="1"/>
  <c r="P4600" i="1"/>
  <c r="P4544" i="1"/>
  <c r="O4504" i="1"/>
  <c r="O4505" i="1" s="1"/>
  <c r="P4504" i="1"/>
  <c r="P4464" i="1"/>
  <c r="P4424" i="1"/>
  <c r="O4424" i="1"/>
  <c r="O4425" i="1" s="1"/>
  <c r="O4426" i="1" s="1"/>
  <c r="O4427" i="1" s="1"/>
  <c r="P4368" i="1"/>
  <c r="O4336" i="1"/>
  <c r="O4337" i="1" s="1"/>
  <c r="P4336" i="1"/>
  <c r="P4304" i="1"/>
  <c r="O4304" i="1"/>
  <c r="O4305" i="1" s="1"/>
  <c r="O4306" i="1" s="1"/>
  <c r="O4265" i="1"/>
  <c r="O4266" i="1" s="1"/>
  <c r="P4265" i="1"/>
  <c r="P4233" i="1"/>
  <c r="P2986" i="1"/>
  <c r="P4189" i="1"/>
  <c r="P3715" i="1"/>
  <c r="P3540" i="1"/>
  <c r="P3457" i="1"/>
  <c r="O3327" i="1"/>
  <c r="P3327" i="1"/>
  <c r="O3225" i="1"/>
  <c r="O3226" i="1" s="1"/>
  <c r="P3225" i="1"/>
  <c r="P3508" i="1"/>
  <c r="P3375" i="1"/>
  <c r="O3451" i="1"/>
  <c r="O3452" i="1" s="1"/>
  <c r="P3451" i="1"/>
  <c r="P3713" i="1"/>
  <c r="O3678" i="1"/>
  <c r="O3679" i="1" s="1"/>
  <c r="P3678" i="1"/>
  <c r="O3653" i="1"/>
  <c r="O3654" i="1" s="1"/>
  <c r="O3655" i="1" s="1"/>
  <c r="P3653" i="1"/>
  <c r="P3592" i="1"/>
  <c r="P3437" i="1"/>
  <c r="O3535" i="1"/>
  <c r="O3536" i="1" s="1"/>
  <c r="O3537" i="1" s="1"/>
  <c r="P3535" i="1"/>
  <c r="P3473" i="1"/>
  <c r="O3441" i="1"/>
  <c r="P3441" i="1"/>
  <c r="P3411" i="1"/>
  <c r="P3384" i="1"/>
  <c r="P6176" i="1"/>
  <c r="P6120" i="1"/>
  <c r="P6080" i="1"/>
  <c r="P6024" i="1"/>
  <c r="O6024" i="1"/>
  <c r="O6025" i="1" s="1"/>
  <c r="O5960" i="1"/>
  <c r="P5960" i="1"/>
  <c r="P5912" i="1"/>
  <c r="P5856" i="1"/>
  <c r="P5800" i="1"/>
  <c r="O5800" i="1"/>
  <c r="O5801" i="1" s="1"/>
  <c r="P5744" i="1"/>
  <c r="P5688" i="1"/>
  <c r="O5688" i="1"/>
  <c r="O5689" i="1" s="1"/>
  <c r="O5690" i="1" s="1"/>
  <c r="O5640" i="1"/>
  <c r="P5640" i="1"/>
  <c r="P5584" i="1"/>
  <c r="O5584" i="1"/>
  <c r="P5520" i="1"/>
  <c r="P5472" i="1"/>
  <c r="P5416" i="1"/>
  <c r="O5416" i="1"/>
  <c r="O5369" i="1"/>
  <c r="P5369" i="1"/>
  <c r="O5321" i="1"/>
  <c r="O5322" i="1" s="1"/>
  <c r="O5323" i="1" s="1"/>
  <c r="O5324" i="1" s="1"/>
  <c r="O5325" i="1" s="1"/>
  <c r="P5321" i="1"/>
  <c r="P5273" i="1"/>
  <c r="P5225" i="1"/>
  <c r="O5185" i="1"/>
  <c r="O5186" i="1" s="1"/>
  <c r="O5187" i="1" s="1"/>
  <c r="O5188" i="1" s="1"/>
  <c r="O5189" i="1" s="1"/>
  <c r="P5185" i="1"/>
  <c r="P5137" i="1"/>
  <c r="P5081" i="1"/>
  <c r="P5033" i="1"/>
  <c r="P4977" i="1"/>
  <c r="O4913" i="1"/>
  <c r="O4914" i="1" s="1"/>
  <c r="P4913" i="1"/>
  <c r="O4857" i="1"/>
  <c r="P4857" i="1"/>
  <c r="P4809" i="1"/>
  <c r="O4809" i="1"/>
  <c r="P4761" i="1"/>
  <c r="P4713" i="1"/>
  <c r="P4657" i="1"/>
  <c r="O4657" i="1"/>
  <c r="O4658" i="1" s="1"/>
  <c r="P4601" i="1"/>
  <c r="O4601" i="1"/>
  <c r="O4602" i="1" s="1"/>
  <c r="O4553" i="1"/>
  <c r="O4554" i="1" s="1"/>
  <c r="P4553" i="1"/>
  <c r="O4497" i="1"/>
  <c r="P4497" i="1"/>
  <c r="P4457" i="1"/>
  <c r="O4457" i="1"/>
  <c r="O4458" i="1" s="1"/>
  <c r="O4393" i="1"/>
  <c r="P4393" i="1"/>
  <c r="P4345" i="1"/>
  <c r="P4289" i="1"/>
  <c r="P4242" i="1"/>
  <c r="P4201" i="1"/>
  <c r="P4180" i="1"/>
  <c r="P3646" i="1"/>
  <c r="O3493" i="1"/>
  <c r="O3494" i="1" s="1"/>
  <c r="P3493" i="1"/>
  <c r="P3269" i="1"/>
  <c r="O3269" i="1"/>
  <c r="P3511" i="1"/>
  <c r="P3452" i="1"/>
  <c r="P3679" i="1"/>
  <c r="P3585" i="1"/>
  <c r="P3466" i="1"/>
  <c r="P3317" i="1"/>
  <c r="P3727" i="1"/>
  <c r="O3141" i="1"/>
  <c r="O3142" i="1" s="1"/>
  <c r="P3141" i="1"/>
  <c r="O3067" i="1"/>
  <c r="O3068" i="1" s="1"/>
  <c r="P3067" i="1"/>
  <c r="P3082" i="1"/>
  <c r="P3001" i="1"/>
  <c r="P3887" i="1"/>
  <c r="O3887" i="1"/>
  <c r="O3888" i="1" s="1"/>
  <c r="P4110" i="1"/>
  <c r="P4010" i="1"/>
  <c r="O4010" i="1"/>
  <c r="O4011" i="1" s="1"/>
  <c r="O4012" i="1" s="1"/>
  <c r="P3996" i="1"/>
  <c r="O4063" i="1"/>
  <c r="O4064" i="1" s="1"/>
  <c r="O4065" i="1" s="1"/>
  <c r="O4066" i="1" s="1"/>
  <c r="O4067" i="1" s="1"/>
  <c r="P4063" i="1"/>
  <c r="O3970" i="1"/>
  <c r="O3971" i="1" s="1"/>
  <c r="O3972" i="1" s="1"/>
  <c r="O3973" i="1" s="1"/>
  <c r="O3974" i="1" s="1"/>
  <c r="P3970" i="1"/>
  <c r="P3174" i="1"/>
  <c r="P6239" i="1"/>
  <c r="P6199" i="1"/>
  <c r="O6199" i="1"/>
  <c r="P6143" i="1"/>
  <c r="P6071" i="1"/>
  <c r="O6071" i="1"/>
  <c r="P6007" i="1"/>
  <c r="P5943" i="1"/>
  <c r="O5895" i="1"/>
  <c r="P5895" i="1"/>
  <c r="P5831" i="1"/>
  <c r="P5775" i="1"/>
  <c r="O5775" i="1"/>
  <c r="O5719" i="1"/>
  <c r="O5720" i="1" s="1"/>
  <c r="P5719" i="1"/>
  <c r="O5671" i="1"/>
  <c r="O5672" i="1" s="1"/>
  <c r="P5671" i="1"/>
  <c r="O5615" i="1"/>
  <c r="P5615" i="1"/>
  <c r="O5559" i="1"/>
  <c r="O5560" i="1" s="1"/>
  <c r="P5559" i="1"/>
  <c r="O5503" i="1"/>
  <c r="P5503" i="1"/>
  <c r="O5439" i="1"/>
  <c r="P5439" i="1"/>
  <c r="P5384" i="1"/>
  <c r="O5320" i="1"/>
  <c r="P5320" i="1"/>
  <c r="P5264" i="1"/>
  <c r="P5216" i="1"/>
  <c r="O5168" i="1"/>
  <c r="O5169" i="1" s="1"/>
  <c r="R5169" i="1" s="1"/>
  <c r="P5168" i="1"/>
  <c r="P5112" i="1"/>
  <c r="P5056" i="1"/>
  <c r="P4992" i="1"/>
  <c r="P4936" i="1"/>
  <c r="P4872" i="1"/>
  <c r="P4816" i="1"/>
  <c r="P4760" i="1"/>
  <c r="O4760" i="1"/>
  <c r="O4761" i="1" s="1"/>
  <c r="O4762" i="1" s="1"/>
  <c r="P4712" i="1"/>
  <c r="P4616" i="1"/>
  <c r="O4616" i="1"/>
  <c r="O4408" i="1"/>
  <c r="P4408" i="1"/>
  <c r="O3582" i="1"/>
  <c r="O3583" i="1" s="1"/>
  <c r="O3584" i="1" s="1"/>
  <c r="R3584" i="1" s="1"/>
  <c r="P3582" i="1"/>
  <c r="O4227" i="1"/>
  <c r="O4228" i="1" s="1"/>
  <c r="O4229" i="1" s="1"/>
  <c r="O4230" i="1" s="1"/>
  <c r="O4231" i="1" s="1"/>
  <c r="O4232" i="1" s="1"/>
  <c r="P4227" i="1"/>
  <c r="O6160" i="1"/>
  <c r="P6160" i="1"/>
  <c r="P6104" i="1"/>
  <c r="P6048" i="1"/>
  <c r="P6000" i="1"/>
  <c r="P5944" i="1"/>
  <c r="O5896" i="1"/>
  <c r="P5896" i="1"/>
  <c r="P5848" i="1"/>
  <c r="P5808" i="1"/>
  <c r="P5752" i="1"/>
  <c r="P5696" i="1"/>
  <c r="Q5696" i="1" s="1"/>
  <c r="O5696" i="1"/>
  <c r="P5648" i="1"/>
  <c r="P5600" i="1"/>
  <c r="O5600" i="1"/>
  <c r="P5552" i="1"/>
  <c r="O5552" i="1"/>
  <c r="O5553" i="1" s="1"/>
  <c r="O5554" i="1" s="1"/>
  <c r="O5496" i="1"/>
  <c r="O5497" i="1" s="1"/>
  <c r="P5496" i="1"/>
  <c r="P5432" i="1"/>
  <c r="P5385" i="1"/>
  <c r="P5329" i="1"/>
  <c r="O5289" i="1"/>
  <c r="O5290" i="1" s="1"/>
  <c r="O5291" i="1" s="1"/>
  <c r="O5292" i="1" s="1"/>
  <c r="O5293" i="1" s="1"/>
  <c r="P5289" i="1"/>
  <c r="P5241" i="1"/>
  <c r="P5193" i="1"/>
  <c r="P5145" i="1"/>
  <c r="P5089" i="1"/>
  <c r="O5089" i="1"/>
  <c r="O5090" i="1" s="1"/>
  <c r="O5091" i="1" s="1"/>
  <c r="P5041" i="1"/>
  <c r="O5041" i="1"/>
  <c r="O5042" i="1" s="1"/>
  <c r="P4985" i="1"/>
  <c r="O4937" i="1"/>
  <c r="O4938" i="1" s="1"/>
  <c r="O4939" i="1" s="1"/>
  <c r="P4937" i="1"/>
  <c r="P4897" i="1"/>
  <c r="P4849" i="1"/>
  <c r="O4793" i="1"/>
  <c r="O4794" i="1" s="1"/>
  <c r="P4793" i="1"/>
  <c r="P4753" i="1"/>
  <c r="O4689" i="1"/>
  <c r="P4689" i="1"/>
  <c r="O4625" i="1"/>
  <c r="O4626" i="1" s="1"/>
  <c r="P4625" i="1"/>
  <c r="O4569" i="1"/>
  <c r="P4569" i="1"/>
  <c r="O4521" i="1"/>
  <c r="O4522" i="1" s="1"/>
  <c r="P4521" i="1"/>
  <c r="P4465" i="1"/>
  <c r="P4425" i="1"/>
  <c r="O4369" i="1"/>
  <c r="P4369" i="1"/>
  <c r="P4313" i="1"/>
  <c r="P4266" i="1"/>
  <c r="O2985" i="1"/>
  <c r="O2986" i="1" s="1"/>
  <c r="P2985" i="1"/>
  <c r="O4157" i="1"/>
  <c r="P4157" i="1"/>
  <c r="O3618" i="1"/>
  <c r="O3619" i="1" s="1"/>
  <c r="P3618" i="1"/>
  <c r="P3330" i="1"/>
  <c r="P3299" i="1"/>
  <c r="O3677" i="1"/>
  <c r="P3677" i="1"/>
  <c r="P3696" i="1"/>
  <c r="P3613" i="1"/>
  <c r="O3553" i="1"/>
  <c r="O3554" i="1" s="1"/>
  <c r="O3555" i="1" s="1"/>
  <c r="P3553" i="1"/>
  <c r="P3385" i="1"/>
  <c r="P3284" i="1"/>
  <c r="P3253" i="1"/>
  <c r="P3088" i="1"/>
  <c r="O4204" i="1"/>
  <c r="P4204" i="1"/>
  <c r="P4113" i="1"/>
  <c r="P3939" i="1"/>
  <c r="O3939" i="1"/>
  <c r="O3940" i="1" s="1"/>
  <c r="P3823" i="1"/>
  <c r="P4100" i="1"/>
  <c r="O3989" i="1"/>
  <c r="O3990" i="1" s="1"/>
  <c r="O3991" i="1" s="1"/>
  <c r="O3992" i="1" s="1"/>
  <c r="O3993" i="1" s="1"/>
  <c r="P3989" i="1"/>
  <c r="P3898" i="1"/>
  <c r="P3832" i="1"/>
  <c r="O3184" i="1"/>
  <c r="O3185" i="1" s="1"/>
  <c r="P3184" i="1"/>
  <c r="O3348" i="1"/>
  <c r="O3349" i="1" s="1"/>
  <c r="O3350" i="1" s="1"/>
  <c r="P3348" i="1"/>
  <c r="P6287" i="1"/>
  <c r="P6255" i="1"/>
  <c r="O6215" i="1"/>
  <c r="P6215" i="1"/>
  <c r="P6151" i="1"/>
  <c r="O6151" i="1"/>
  <c r="P6095" i="1"/>
  <c r="P6047" i="1"/>
  <c r="P5999" i="1"/>
  <c r="O5951" i="1"/>
  <c r="O5952" i="1" s="1"/>
  <c r="P5951" i="1"/>
  <c r="P5911" i="1"/>
  <c r="P5847" i="1"/>
  <c r="O5799" i="1"/>
  <c r="P5799" i="1"/>
  <c r="P5767" i="1"/>
  <c r="O5767" i="1"/>
  <c r="O5768" i="1" s="1"/>
  <c r="O5711" i="1"/>
  <c r="P5711" i="1"/>
  <c r="O5647" i="1"/>
  <c r="P5647" i="1"/>
  <c r="O5599" i="1"/>
  <c r="P5599" i="1"/>
  <c r="P5543" i="1"/>
  <c r="O5487" i="1"/>
  <c r="O5488" i="1" s="1"/>
  <c r="O5489" i="1" s="1"/>
  <c r="P5487" i="1"/>
  <c r="P5447" i="1"/>
  <c r="P5400" i="1"/>
  <c r="O5400" i="1"/>
  <c r="O5401" i="1" s="1"/>
  <c r="O5344" i="1"/>
  <c r="P5344" i="1"/>
  <c r="P5296" i="1"/>
  <c r="O5240" i="1"/>
  <c r="P5240" i="1"/>
  <c r="P5192" i="1"/>
  <c r="P5144" i="1"/>
  <c r="P5088" i="1"/>
  <c r="P5032" i="1"/>
  <c r="O5032" i="1"/>
  <c r="P5008" i="1"/>
  <c r="P4968" i="1"/>
  <c r="P4920" i="1"/>
  <c r="O4920" i="1"/>
  <c r="P4856" i="1"/>
  <c r="O4856" i="1"/>
  <c r="P4800" i="1"/>
  <c r="P4720" i="1"/>
  <c r="P4664" i="1"/>
  <c r="P4624" i="1"/>
  <c r="P4576" i="1"/>
  <c r="P4552" i="1"/>
  <c r="P4520" i="1"/>
  <c r="P4480" i="1"/>
  <c r="O4448" i="1"/>
  <c r="P4448" i="1"/>
  <c r="O4400" i="1"/>
  <c r="P4400" i="1"/>
  <c r="P4360" i="1"/>
  <c r="O4320" i="1"/>
  <c r="P4320" i="1"/>
  <c r="P4280" i="1"/>
  <c r="O4241" i="1"/>
  <c r="O4242" i="1" s="1"/>
  <c r="O4243" i="1" s="1"/>
  <c r="P4241" i="1"/>
  <c r="O3773" i="1"/>
  <c r="O3774" i="1" s="1"/>
  <c r="P3773" i="1"/>
  <c r="P4169" i="1"/>
  <c r="P4178" i="1"/>
  <c r="O4178" i="1"/>
  <c r="P3645" i="1"/>
  <c r="O3298" i="1"/>
  <c r="P3298" i="1"/>
  <c r="P3339" i="1"/>
  <c r="O3339" i="1"/>
  <c r="P3686" i="1"/>
  <c r="P3367" i="1"/>
  <c r="O6208" i="1"/>
  <c r="P6208" i="1"/>
  <c r="P6168" i="1"/>
  <c r="O6112" i="1"/>
  <c r="P6112" i="1"/>
  <c r="O6056" i="1"/>
  <c r="O6057" i="1" s="1"/>
  <c r="P6056" i="1"/>
  <c r="P6008" i="1"/>
  <c r="P5952" i="1"/>
  <c r="O5904" i="1"/>
  <c r="O5905" i="1" s="1"/>
  <c r="P5904" i="1"/>
  <c r="P5840" i="1"/>
  <c r="O5784" i="1"/>
  <c r="O5785" i="1" s="1"/>
  <c r="P5784" i="1"/>
  <c r="Q5784" i="1" s="1"/>
  <c r="O5736" i="1"/>
  <c r="O5737" i="1" s="1"/>
  <c r="P5736" i="1"/>
  <c r="P5680" i="1"/>
  <c r="P5632" i="1"/>
  <c r="P5576" i="1"/>
  <c r="O5536" i="1"/>
  <c r="P5536" i="1"/>
  <c r="P5488" i="1"/>
  <c r="P5440" i="1"/>
  <c r="O5440" i="1"/>
  <c r="O5393" i="1"/>
  <c r="O5394" i="1" s="1"/>
  <c r="P5393" i="1"/>
  <c r="O5345" i="1"/>
  <c r="P5345" i="1"/>
  <c r="P5297" i="1"/>
  <c r="P5249" i="1"/>
  <c r="P5209" i="1"/>
  <c r="P5153" i="1"/>
  <c r="P5121" i="1"/>
  <c r="P5065" i="1"/>
  <c r="O5017" i="1"/>
  <c r="O5018" i="1" s="1"/>
  <c r="P5017" i="1"/>
  <c r="P4961" i="1"/>
  <c r="O4929" i="1"/>
  <c r="O4930" i="1" s="1"/>
  <c r="O4931" i="1" s="1"/>
  <c r="O4932" i="1" s="1"/>
  <c r="O4933" i="1" s="1"/>
  <c r="P4929" i="1"/>
  <c r="P4873" i="1"/>
  <c r="P4825" i="1"/>
  <c r="P4769" i="1"/>
  <c r="O4721" i="1"/>
  <c r="O4722" i="1" s="1"/>
  <c r="P4721" i="1"/>
  <c r="O4665" i="1"/>
  <c r="O4666" i="1" s="1"/>
  <c r="P4665" i="1"/>
  <c r="P4617" i="1"/>
  <c r="P4561" i="1"/>
  <c r="P4505" i="1"/>
  <c r="O4361" i="1"/>
  <c r="O4362" i="1" s="1"/>
  <c r="P4361" i="1"/>
  <c r="P4305" i="1"/>
  <c r="P4250" i="1"/>
  <c r="P3774" i="1"/>
  <c r="O4182" i="1"/>
  <c r="O4183" i="1" s="1"/>
  <c r="P4182" i="1"/>
  <c r="O3621" i="1"/>
  <c r="O3622" i="1" s="1"/>
  <c r="P3621" i="1"/>
  <c r="O3206" i="1"/>
  <c r="O3207" i="1" s="1"/>
  <c r="P3206" i="1"/>
  <c r="Q3206" i="1" s="1"/>
  <c r="P3635" i="1"/>
  <c r="P3434" i="1"/>
  <c r="O3434" i="1"/>
  <c r="O3435" i="1" s="1"/>
  <c r="O3436" i="1" s="1"/>
  <c r="O3409" i="1"/>
  <c r="O3410" i="1" s="1"/>
  <c r="P3409" i="1"/>
  <c r="P3293" i="1"/>
  <c r="P3503" i="1"/>
  <c r="P3104" i="1"/>
  <c r="P3038" i="1"/>
  <c r="O3038" i="1"/>
  <c r="P3133" i="1"/>
  <c r="P2980" i="1"/>
  <c r="P3197" i="1"/>
  <c r="O4021" i="1"/>
  <c r="O4022" i="1" s="1"/>
  <c r="O4023" i="1" s="1"/>
  <c r="P4021" i="1"/>
  <c r="O3954" i="1"/>
  <c r="O3955" i="1" s="1"/>
  <c r="O3956" i="1" s="1"/>
  <c r="P3954" i="1"/>
  <c r="O3824" i="1"/>
  <c r="O3825" i="1" s="1"/>
  <c r="O3826" i="1" s="1"/>
  <c r="O3827" i="1" s="1"/>
  <c r="O3828" i="1" s="1"/>
  <c r="P3824" i="1"/>
  <c r="P4081" i="1"/>
  <c r="P3982" i="1"/>
  <c r="P3890" i="1"/>
  <c r="O3890" i="1"/>
  <c r="O3891" i="1" s="1"/>
  <c r="O3892" i="1" s="1"/>
  <c r="O3893" i="1" s="1"/>
  <c r="O3894" i="1" s="1"/>
  <c r="P3807" i="1"/>
  <c r="P3870" i="1"/>
  <c r="O3731" i="1"/>
  <c r="O3732" i="1" s="1"/>
  <c r="P3731" i="1"/>
  <c r="P6263" i="1"/>
  <c r="P6230" i="1"/>
  <c r="O6207" i="1"/>
  <c r="P6207" i="1"/>
  <c r="O6159" i="1"/>
  <c r="P6159" i="1"/>
  <c r="P6103" i="1"/>
  <c r="O6063" i="1"/>
  <c r="O6064" i="1" s="1"/>
  <c r="O6065" i="1" s="1"/>
  <c r="O6066" i="1" s="1"/>
  <c r="O6067" i="1" s="1"/>
  <c r="P6063" i="1"/>
  <c r="P6015" i="1"/>
  <c r="O5967" i="1"/>
  <c r="O5968" i="1" s="1"/>
  <c r="P5967" i="1"/>
  <c r="O5903" i="1"/>
  <c r="P5903" i="1"/>
  <c r="P5855" i="1"/>
  <c r="O5807" i="1"/>
  <c r="P5807" i="1"/>
  <c r="O5759" i="1"/>
  <c r="P5759" i="1"/>
  <c r="O5703" i="1"/>
  <c r="P5703" i="1"/>
  <c r="O5655" i="1"/>
  <c r="P5655" i="1"/>
  <c r="P5607" i="1"/>
  <c r="P5551" i="1"/>
  <c r="O5495" i="1"/>
  <c r="P5495" i="1"/>
  <c r="O5455" i="1"/>
  <c r="P5455" i="1"/>
  <c r="O5352" i="1"/>
  <c r="O5353" i="1" s="1"/>
  <c r="P5352" i="1"/>
  <c r="O5304" i="1"/>
  <c r="O5305" i="1" s="1"/>
  <c r="O5306" i="1" s="1"/>
  <c r="O5307" i="1" s="1"/>
  <c r="O5308" i="1" s="1"/>
  <c r="P5304" i="1"/>
  <c r="P5248" i="1"/>
  <c r="P5200" i="1"/>
  <c r="P5152" i="1"/>
  <c r="O5096" i="1"/>
  <c r="P5096" i="1"/>
  <c r="P5040" i="1"/>
  <c r="O5000" i="1"/>
  <c r="O5001" i="1" s="1"/>
  <c r="P5000" i="1"/>
  <c r="P4944" i="1"/>
  <c r="O4944" i="1"/>
  <c r="P4904" i="1"/>
  <c r="O4864" i="1"/>
  <c r="O4865" i="1" s="1"/>
  <c r="O4866" i="1" s="1"/>
  <c r="P4864" i="1"/>
  <c r="P4808" i="1"/>
  <c r="P4776" i="1"/>
  <c r="P4728" i="1"/>
  <c r="O4728" i="1"/>
  <c r="O4729" i="1" s="1"/>
  <c r="O4730" i="1" s="1"/>
  <c r="P4672" i="1"/>
  <c r="P4640" i="1"/>
  <c r="P4584" i="1"/>
  <c r="O4560" i="1"/>
  <c r="O4561" i="1" s="1"/>
  <c r="P4560" i="1"/>
  <c r="P4528" i="1"/>
  <c r="O4528" i="1"/>
  <c r="O4529" i="1" s="1"/>
  <c r="O4530" i="1" s="1"/>
  <c r="P4488" i="1"/>
  <c r="P4440" i="1"/>
  <c r="P4392" i="1"/>
  <c r="O4352" i="1"/>
  <c r="O4353" i="1" s="1"/>
  <c r="P4352" i="1"/>
  <c r="P4312" i="1"/>
  <c r="O4288" i="1"/>
  <c r="O4289" i="1" s="1"/>
  <c r="O4290" i="1" s="1"/>
  <c r="P4288" i="1"/>
  <c r="P4249" i="1"/>
  <c r="O3765" i="1"/>
  <c r="P3765" i="1"/>
  <c r="O4200" i="1"/>
  <c r="P4200" i="1"/>
  <c r="P4156" i="1"/>
  <c r="P3722" i="1"/>
  <c r="P3492" i="1"/>
  <c r="O3401" i="1"/>
  <c r="P3401" i="1"/>
  <c r="P3268" i="1"/>
  <c r="P3545" i="1"/>
  <c r="O3478" i="1"/>
  <c r="P3478" i="1"/>
  <c r="O3694" i="1"/>
  <c r="O3695" i="1" s="1"/>
  <c r="O3696" i="1" s="1"/>
  <c r="O3697" i="1" s="1"/>
  <c r="P3694" i="1"/>
  <c r="O3316" i="1"/>
  <c r="O3317" i="1" s="1"/>
  <c r="O3318" i="1" s="1"/>
  <c r="P3316" i="1"/>
  <c r="O6200" i="1"/>
  <c r="P6200" i="1"/>
  <c r="P6136" i="1"/>
  <c r="P6088" i="1"/>
  <c r="P6040" i="1"/>
  <c r="P5992" i="1"/>
  <c r="P5928" i="1"/>
  <c r="P5872" i="1"/>
  <c r="P5832" i="1"/>
  <c r="O5832" i="1"/>
  <c r="O5833" i="1" s="1"/>
  <c r="O5834" i="1" s="1"/>
  <c r="O5835" i="1" s="1"/>
  <c r="O5836" i="1" s="1"/>
  <c r="O5837" i="1" s="1"/>
  <c r="O5776" i="1"/>
  <c r="P5776" i="1"/>
  <c r="P5720" i="1"/>
  <c r="P5664" i="1"/>
  <c r="O5608" i="1"/>
  <c r="P5608" i="1"/>
  <c r="P5560" i="1"/>
  <c r="O5512" i="1"/>
  <c r="P5512" i="1"/>
  <c r="P5456" i="1"/>
  <c r="O5456" i="1"/>
  <c r="P5353" i="1"/>
  <c r="P5305" i="1"/>
  <c r="P5161" i="1"/>
  <c r="P5105" i="1"/>
  <c r="P5057" i="1"/>
  <c r="P5001" i="1"/>
  <c r="O4945" i="1"/>
  <c r="O4946" i="1" s="1"/>
  <c r="O4947" i="1" s="1"/>
  <c r="O4948" i="1" s="1"/>
  <c r="O4949" i="1" s="1"/>
  <c r="P4945" i="1"/>
  <c r="P4881" i="1"/>
  <c r="P4841" i="1"/>
  <c r="P4785" i="1"/>
  <c r="P4737" i="1"/>
  <c r="P4673" i="1"/>
  <c r="O4633" i="1"/>
  <c r="P4633" i="1"/>
  <c r="O4577" i="1"/>
  <c r="O4578" i="1" s="1"/>
  <c r="O4579" i="1" s="1"/>
  <c r="P4577" i="1"/>
  <c r="P4529" i="1"/>
  <c r="P4473" i="1"/>
  <c r="P4441" i="1"/>
  <c r="P4385" i="1"/>
  <c r="P4337" i="1"/>
  <c r="O4281" i="1"/>
  <c r="O4282" i="1" s="1"/>
  <c r="P4281" i="1"/>
  <c r="P4234" i="1"/>
  <c r="O4234" i="1"/>
  <c r="O4170" i="1"/>
  <c r="P4170" i="1"/>
  <c r="P3721" i="1"/>
  <c r="O3458" i="1"/>
  <c r="O3459" i="1" s="1"/>
  <c r="P3458" i="1"/>
  <c r="O3257" i="1"/>
  <c r="O3258" i="1" s="1"/>
  <c r="P3257" i="1"/>
  <c r="P3575" i="1"/>
  <c r="P3564" i="1"/>
  <c r="P3672" i="1"/>
  <c r="O3395" i="1"/>
  <c r="O3396" i="1" s="1"/>
  <c r="O3397" i="1" s="1"/>
  <c r="P3395" i="1"/>
  <c r="P3305" i="1"/>
  <c r="P3515" i="1"/>
  <c r="P3112" i="1"/>
  <c r="P3051" i="1"/>
  <c r="O3051" i="1"/>
  <c r="O3052" i="1" s="1"/>
  <c r="O3053" i="1" s="1"/>
  <c r="P2957" i="1"/>
  <c r="P4212" i="1"/>
  <c r="P4145" i="1"/>
  <c r="P4058" i="1"/>
  <c r="O4024" i="1"/>
  <c r="O4025" i="1" s="1"/>
  <c r="O4026" i="1" s="1"/>
  <c r="P4024" i="1"/>
  <c r="P3950" i="1"/>
  <c r="P3853" i="1"/>
  <c r="P3790" i="1"/>
  <c r="P3745" i="1"/>
  <c r="O6271" i="1"/>
  <c r="O6272" i="1" s="1"/>
  <c r="P6271" i="1"/>
  <c r="P6222" i="1"/>
  <c r="O6175" i="1"/>
  <c r="O6176" i="1" s="1"/>
  <c r="P6175" i="1"/>
  <c r="P6127" i="1"/>
  <c r="O6079" i="1"/>
  <c r="O6080" i="1" s="1"/>
  <c r="O6081" i="1" s="1"/>
  <c r="O6082" i="1" s="1"/>
  <c r="O6083" i="1" s="1"/>
  <c r="P6079" i="1"/>
  <c r="P6023" i="1"/>
  <c r="P5975" i="1"/>
  <c r="P5919" i="1"/>
  <c r="P5863" i="1"/>
  <c r="P5791" i="1"/>
  <c r="O5743" i="1"/>
  <c r="P5743" i="1"/>
  <c r="P5687" i="1"/>
  <c r="P5631" i="1"/>
  <c r="O5583" i="1"/>
  <c r="P5583" i="1"/>
  <c r="O5535" i="1"/>
  <c r="P5535" i="1"/>
  <c r="O5479" i="1"/>
  <c r="P5479" i="1"/>
  <c r="P5423" i="1"/>
  <c r="O5423" i="1"/>
  <c r="O5424" i="1" s="1"/>
  <c r="P5376" i="1"/>
  <c r="O5328" i="1"/>
  <c r="O5329" i="1" s="1"/>
  <c r="P5328" i="1"/>
  <c r="P5288" i="1"/>
  <c r="P5232" i="1"/>
  <c r="P5176" i="1"/>
  <c r="P5120" i="1"/>
  <c r="P5072" i="1"/>
  <c r="P5016" i="1"/>
  <c r="P4960" i="1"/>
  <c r="P4896" i="1"/>
  <c r="P4840" i="1"/>
  <c r="P4784" i="1"/>
  <c r="P4736" i="1"/>
  <c r="P4680" i="1"/>
  <c r="O4648" i="1"/>
  <c r="O4649" i="1" s="1"/>
  <c r="O4650" i="1" s="1"/>
  <c r="P4648" i="1"/>
  <c r="O4592" i="1"/>
  <c r="O4593" i="1" s="1"/>
  <c r="O4594" i="1" s="1"/>
  <c r="P4592" i="1"/>
  <c r="P4536" i="1"/>
  <c r="P4512" i="1"/>
  <c r="P4472" i="1"/>
  <c r="P4432" i="1"/>
  <c r="P4376" i="1"/>
  <c r="P4344" i="1"/>
  <c r="P4296" i="1"/>
  <c r="O4296" i="1"/>
  <c r="O4297" i="1" s="1"/>
  <c r="P4257" i="1"/>
  <c r="O3757" i="1"/>
  <c r="O3758" i="1" s="1"/>
  <c r="P3757" i="1"/>
  <c r="P3334" i="1"/>
  <c r="P3598" i="1"/>
  <c r="O3419" i="1"/>
  <c r="P3419" i="1"/>
  <c r="O3281" i="1"/>
  <c r="O3282" i="1" s="1"/>
  <c r="P3281" i="1"/>
  <c r="O3665" i="1"/>
  <c r="O3666" i="1" s="1"/>
  <c r="O3667" i="1" s="1"/>
  <c r="P3665" i="1"/>
  <c r="P3629" i="1"/>
  <c r="P3617" i="1"/>
  <c r="O3563" i="1"/>
  <c r="O3564" i="1" s="1"/>
  <c r="O3565" i="1" s="1"/>
  <c r="P3563" i="1"/>
  <c r="P3573" i="1"/>
  <c r="P3554" i="1"/>
  <c r="P3485" i="1"/>
  <c r="P3465" i="1"/>
  <c r="P3393" i="1"/>
  <c r="O3087" i="1"/>
  <c r="P3087" i="1"/>
  <c r="O3291" i="1"/>
  <c r="O3292" i="1" s="1"/>
  <c r="O3293" i="1" s="1"/>
  <c r="O3294" i="1" s="1"/>
  <c r="O3295" i="1" s="1"/>
  <c r="P3291" i="1"/>
  <c r="O3232" i="1"/>
  <c r="O3233" i="1" s="1"/>
  <c r="O3234" i="1" s="1"/>
  <c r="P3232" i="1"/>
  <c r="O3102" i="1"/>
  <c r="O3103" i="1" s="1"/>
  <c r="O3104" i="1" s="1"/>
  <c r="P3102" i="1"/>
  <c r="P3058" i="1"/>
  <c r="P3046" i="1"/>
  <c r="P3134" i="1"/>
  <c r="O2997" i="1"/>
  <c r="P2997" i="1"/>
  <c r="P2967" i="1"/>
  <c r="P3154" i="1"/>
  <c r="O3154" i="1"/>
  <c r="P4146" i="1"/>
  <c r="O4057" i="1"/>
  <c r="P4057" i="1"/>
  <c r="P4106" i="1"/>
  <c r="P4025" i="1"/>
  <c r="P4126" i="1"/>
  <c r="P4082" i="1"/>
  <c r="O4027" i="1"/>
  <c r="O4028" i="1" s="1"/>
  <c r="O4029" i="1" s="1"/>
  <c r="O4030" i="1" s="1"/>
  <c r="O4031" i="1" s="1"/>
  <c r="P4027" i="1"/>
  <c r="O3964" i="1"/>
  <c r="O3965" i="1" s="1"/>
  <c r="O3966" i="1" s="1"/>
  <c r="O3967" i="1" s="1"/>
  <c r="O3968" i="1" s="1"/>
  <c r="P3964" i="1"/>
  <c r="P3897" i="1"/>
  <c r="O3897" i="1"/>
  <c r="O3898" i="1" s="1"/>
  <c r="O3899" i="1" s="1"/>
  <c r="O3900" i="1" s="1"/>
  <c r="O3901" i="1" s="1"/>
  <c r="O3831" i="1"/>
  <c r="O3832" i="1" s="1"/>
  <c r="O3833" i="1" s="1"/>
  <c r="O3834" i="1" s="1"/>
  <c r="O3835" i="1" s="1"/>
  <c r="P3831" i="1"/>
  <c r="P3783" i="1"/>
  <c r="P3869" i="1"/>
  <c r="O3869" i="1"/>
  <c r="P3735" i="1"/>
  <c r="O3172" i="1"/>
  <c r="P3172" i="1"/>
  <c r="P6278" i="1"/>
  <c r="P6246" i="1"/>
  <c r="O6221" i="1"/>
  <c r="O6222" i="1" s="1"/>
  <c r="O6223" i="1" s="1"/>
  <c r="P6221" i="1"/>
  <c r="P6214" i="1"/>
  <c r="O6214" i="1"/>
  <c r="O6206" i="1"/>
  <c r="P6206" i="1"/>
  <c r="P6198" i="1"/>
  <c r="O6190" i="1"/>
  <c r="O6191" i="1" s="1"/>
  <c r="P6190" i="1"/>
  <c r="O6182" i="1"/>
  <c r="O6183" i="1" s="1"/>
  <c r="O6184" i="1" s="1"/>
  <c r="P6182" i="1"/>
  <c r="P6174" i="1"/>
  <c r="P6166" i="1"/>
  <c r="P6158" i="1"/>
  <c r="P6150" i="1"/>
  <c r="P6142" i="1"/>
  <c r="P6134" i="1"/>
  <c r="P6126" i="1"/>
  <c r="P6118" i="1"/>
  <c r="O6110" i="1"/>
  <c r="P6110" i="1"/>
  <c r="P6102" i="1"/>
  <c r="P6094" i="1"/>
  <c r="P6086" i="1"/>
  <c r="P6078" i="1"/>
  <c r="P6070" i="1"/>
  <c r="P6062" i="1"/>
  <c r="O6054" i="1"/>
  <c r="P6054" i="1"/>
  <c r="P6046" i="1"/>
  <c r="P6038" i="1"/>
  <c r="O6030" i="1"/>
  <c r="P6030" i="1"/>
  <c r="P6022" i="1"/>
  <c r="P6014" i="1"/>
  <c r="P6006" i="1"/>
  <c r="P5998" i="1"/>
  <c r="P5990" i="1"/>
  <c r="P5982" i="1"/>
  <c r="O5974" i="1"/>
  <c r="O5975" i="1" s="1"/>
  <c r="O5976" i="1" s="1"/>
  <c r="O5977" i="1" s="1"/>
  <c r="O5978" i="1" s="1"/>
  <c r="P5974" i="1"/>
  <c r="P5966" i="1"/>
  <c r="P5958" i="1"/>
  <c r="P5950" i="1"/>
  <c r="P5942" i="1"/>
  <c r="P5934" i="1"/>
  <c r="P5926" i="1"/>
  <c r="P5918" i="1"/>
  <c r="P5910" i="1"/>
  <c r="P5902" i="1"/>
  <c r="O5894" i="1"/>
  <c r="P5894" i="1"/>
  <c r="P5886" i="1"/>
  <c r="P5878" i="1"/>
  <c r="P5870" i="1"/>
  <c r="P5862" i="1"/>
  <c r="P5854" i="1"/>
  <c r="P5846" i="1"/>
  <c r="P5838" i="1"/>
  <c r="P5830" i="1"/>
  <c r="P5822" i="1"/>
  <c r="P5814" i="1"/>
  <c r="P5806" i="1"/>
  <c r="P5798" i="1"/>
  <c r="O5798" i="1"/>
  <c r="O5790" i="1"/>
  <c r="O5791" i="1" s="1"/>
  <c r="O5792" i="1" s="1"/>
  <c r="P5790" i="1"/>
  <c r="P5782" i="1"/>
  <c r="O5782" i="1"/>
  <c r="O5774" i="1"/>
  <c r="P5774" i="1"/>
  <c r="P5766" i="1"/>
  <c r="O5750" i="1"/>
  <c r="P5750" i="1"/>
  <c r="P5742" i="1"/>
  <c r="O5734" i="1"/>
  <c r="P5734" i="1"/>
  <c r="O5718" i="1"/>
  <c r="P5718" i="1"/>
  <c r="O5710" i="1"/>
  <c r="P5710" i="1"/>
  <c r="O5702" i="1"/>
  <c r="P5702" i="1"/>
  <c r="O5694" i="1"/>
  <c r="O5695" i="1" s="1"/>
  <c r="P5694" i="1"/>
  <c r="P5686" i="1"/>
  <c r="O5678" i="1"/>
  <c r="P5678" i="1"/>
  <c r="O5670" i="1"/>
  <c r="P5670" i="1"/>
  <c r="P5654" i="1"/>
  <c r="P5646" i="1"/>
  <c r="P5638" i="1"/>
  <c r="P5630" i="1"/>
  <c r="O5630" i="1"/>
  <c r="O5631" i="1" s="1"/>
  <c r="O5622" i="1"/>
  <c r="P5622" i="1"/>
  <c r="P5606" i="1"/>
  <c r="O5598" i="1"/>
  <c r="P5598" i="1"/>
  <c r="O5590" i="1"/>
  <c r="O5591" i="1" s="1"/>
  <c r="O5592" i="1" s="1"/>
  <c r="P5590" i="1"/>
  <c r="O5582" i="1"/>
  <c r="P5582" i="1"/>
  <c r="P5574" i="1"/>
  <c r="O5558" i="1"/>
  <c r="P5558" i="1"/>
  <c r="P5550" i="1"/>
  <c r="O5542" i="1"/>
  <c r="O5543" i="1" s="1"/>
  <c r="O5544" i="1" s="1"/>
  <c r="P5542" i="1"/>
  <c r="P5534" i="1"/>
  <c r="P5518" i="1"/>
  <c r="O5510" i="1"/>
  <c r="P5510" i="1"/>
  <c r="P5502" i="1"/>
  <c r="O5502" i="1"/>
  <c r="O5494" i="1"/>
  <c r="P5494" i="1"/>
  <c r="P5486" i="1"/>
  <c r="P5470" i="1"/>
  <c r="O5462" i="1"/>
  <c r="P5462" i="1"/>
  <c r="O5454" i="1"/>
  <c r="P5454" i="1"/>
  <c r="P5446" i="1"/>
  <c r="P5438" i="1"/>
  <c r="O5430" i="1"/>
  <c r="P5430" i="1"/>
  <c r="O5422" i="1"/>
  <c r="P5422" i="1"/>
  <c r="O5399" i="1"/>
  <c r="P5399" i="1"/>
  <c r="O5391" i="1"/>
  <c r="P5391" i="1"/>
  <c r="O5383" i="1"/>
  <c r="P5383" i="1"/>
  <c r="P5375" i="1"/>
  <c r="O5367" i="1"/>
  <c r="P5367" i="1"/>
  <c r="O5359" i="1"/>
  <c r="P5359" i="1"/>
  <c r="P5343" i="1"/>
  <c r="P5327" i="1"/>
  <c r="P5319" i="1"/>
  <c r="P5311" i="1"/>
  <c r="P5303" i="1"/>
  <c r="O5295" i="1"/>
  <c r="O5296" i="1" s="1"/>
  <c r="O5297" i="1" s="1"/>
  <c r="O5298" i="1" s="1"/>
  <c r="O5299" i="1" s="1"/>
  <c r="P5295" i="1"/>
  <c r="P5279" i="1"/>
  <c r="P5271" i="1"/>
  <c r="O5263" i="1"/>
  <c r="P5263" i="1"/>
  <c r="P5255" i="1"/>
  <c r="P5247" i="1"/>
  <c r="P5239" i="1"/>
  <c r="P5231" i="1"/>
  <c r="O5223" i="1"/>
  <c r="O5224" i="1" s="1"/>
  <c r="P5223" i="1"/>
  <c r="P5215" i="1"/>
  <c r="P5199" i="1"/>
  <c r="P5191" i="1"/>
  <c r="P5183" i="1"/>
  <c r="P5175" i="1"/>
  <c r="O5175" i="1"/>
  <c r="P5167" i="1"/>
  <c r="P5159" i="1"/>
  <c r="P5151" i="1"/>
  <c r="P5143" i="1"/>
  <c r="P5135" i="1"/>
  <c r="P5127" i="1"/>
  <c r="P5119" i="1"/>
  <c r="P5103" i="1"/>
  <c r="P5095" i="1"/>
  <c r="O5087" i="1"/>
  <c r="P5087" i="1"/>
  <c r="P5079" i="1"/>
  <c r="P5071" i="1"/>
  <c r="P5063" i="1"/>
  <c r="P5055" i="1"/>
  <c r="P5047" i="1"/>
  <c r="O5039" i="1"/>
  <c r="O5040" i="1" s="1"/>
  <c r="P5039" i="1"/>
  <c r="P5031" i="1"/>
  <c r="O5023" i="1"/>
  <c r="P5023" i="1"/>
  <c r="P5015" i="1"/>
  <c r="P5007" i="1"/>
  <c r="P4999" i="1"/>
  <c r="P4991" i="1"/>
  <c r="P4983" i="1"/>
  <c r="P4975" i="1"/>
  <c r="P4967" i="1"/>
  <c r="P4959" i="1"/>
  <c r="P4951" i="1"/>
  <c r="O4951" i="1"/>
  <c r="O4952" i="1" s="1"/>
  <c r="O4953" i="1" s="1"/>
  <c r="O4954" i="1" s="1"/>
  <c r="O4955" i="1" s="1"/>
  <c r="P4943" i="1"/>
  <c r="P4935" i="1"/>
  <c r="P4927" i="1"/>
  <c r="Q4927" i="1" s="1"/>
  <c r="O4927" i="1"/>
  <c r="P4919" i="1"/>
  <c r="P4911" i="1"/>
  <c r="O4903" i="1"/>
  <c r="O4904" i="1" s="1"/>
  <c r="O4905" i="1" s="1"/>
  <c r="O4906" i="1" s="1"/>
  <c r="P4903" i="1"/>
  <c r="P4895" i="1"/>
  <c r="O4887" i="1"/>
  <c r="O4888" i="1" s="1"/>
  <c r="P4887" i="1"/>
  <c r="P4879" i="1"/>
  <c r="P4871" i="1"/>
  <c r="P4855" i="1"/>
  <c r="P4847" i="1"/>
  <c r="O4847" i="1"/>
  <c r="O4848" i="1" s="1"/>
  <c r="O4849" i="1" s="1"/>
  <c r="P4839" i="1"/>
  <c r="O4839" i="1"/>
  <c r="O4840" i="1" s="1"/>
  <c r="O4831" i="1"/>
  <c r="P4831" i="1"/>
  <c r="P4815" i="1"/>
  <c r="P4807" i="1"/>
  <c r="O4807" i="1"/>
  <c r="P4799" i="1"/>
  <c r="O4799" i="1"/>
  <c r="O4800" i="1" s="1"/>
  <c r="O4783" i="1"/>
  <c r="O4784" i="1" s="1"/>
  <c r="O4785" i="1" s="1"/>
  <c r="P4783" i="1"/>
  <c r="P4775" i="1"/>
  <c r="P4767" i="1"/>
  <c r="P4751" i="1"/>
  <c r="P4743" i="1"/>
  <c r="P4735" i="1"/>
  <c r="P4727" i="1"/>
  <c r="P4719" i="1"/>
  <c r="Q4719" i="1" s="1"/>
  <c r="O4719" i="1"/>
  <c r="P4711" i="1"/>
  <c r="P4703" i="1"/>
  <c r="O4695" i="1"/>
  <c r="O4696" i="1" s="1"/>
  <c r="O4697" i="1" s="1"/>
  <c r="O4698" i="1" s="1"/>
  <c r="P4695" i="1"/>
  <c r="P4687" i="1"/>
  <c r="O4679" i="1"/>
  <c r="O4680" i="1" s="1"/>
  <c r="O4681" i="1" s="1"/>
  <c r="P4679" i="1"/>
  <c r="P4671" i="1"/>
  <c r="P4663" i="1"/>
  <c r="O4655" i="1"/>
  <c r="O4656" i="1" s="1"/>
  <c r="P4655" i="1"/>
  <c r="O4647" i="1"/>
  <c r="P4647" i="1"/>
  <c r="O4639" i="1"/>
  <c r="O4640" i="1" s="1"/>
  <c r="O4641" i="1" s="1"/>
  <c r="O4642" i="1" s="1"/>
  <c r="P4639" i="1"/>
  <c r="P4631" i="1"/>
  <c r="O4623" i="1"/>
  <c r="O4624" i="1" s="1"/>
  <c r="P4623" i="1"/>
  <c r="P4615" i="1"/>
  <c r="P4607" i="1"/>
  <c r="O4599" i="1"/>
  <c r="O4600" i="1" s="1"/>
  <c r="P4599" i="1"/>
  <c r="P4591" i="1"/>
  <c r="P4583" i="1"/>
  <c r="O4583" i="1"/>
  <c r="P4575" i="1"/>
  <c r="P4567" i="1"/>
  <c r="O4567" i="1"/>
  <c r="P4559" i="1"/>
  <c r="P4551" i="1"/>
  <c r="P4543" i="1"/>
  <c r="O4543" i="1"/>
  <c r="O4544" i="1" s="1"/>
  <c r="O4545" i="1" s="1"/>
  <c r="O4535" i="1"/>
  <c r="O4536" i="1" s="1"/>
  <c r="P4535" i="1"/>
  <c r="P4527" i="1"/>
  <c r="P4519" i="1"/>
  <c r="P4511" i="1"/>
  <c r="P4503" i="1"/>
  <c r="P4495" i="1"/>
  <c r="O4495" i="1"/>
  <c r="P4487" i="1"/>
  <c r="P4479" i="1"/>
  <c r="P4471" i="1"/>
  <c r="O4471" i="1"/>
  <c r="O4472" i="1" s="1"/>
  <c r="O4473" i="1" s="1"/>
  <c r="O4474" i="1" s="1"/>
  <c r="O4463" i="1"/>
  <c r="O4464" i="1" s="1"/>
  <c r="P4463" i="1"/>
  <c r="P4455" i="1"/>
  <c r="P4447" i="1"/>
  <c r="P4439" i="1"/>
  <c r="P4431" i="1"/>
  <c r="P4423" i="1"/>
  <c r="P4415" i="1"/>
  <c r="P4407" i="1"/>
  <c r="O4399" i="1"/>
  <c r="P4399" i="1"/>
  <c r="P4391" i="1"/>
  <c r="O4391" i="1"/>
  <c r="P4383" i="1"/>
  <c r="P4375" i="1"/>
  <c r="P4367" i="1"/>
  <c r="O4359" i="1"/>
  <c r="P4359" i="1"/>
  <c r="P4351" i="1"/>
  <c r="O4343" i="1"/>
  <c r="O4344" i="1" s="1"/>
  <c r="O4345" i="1" s="1"/>
  <c r="P4343" i="1"/>
  <c r="P4335" i="1"/>
  <c r="P4327" i="1"/>
  <c r="Q4327" i="1" s="1"/>
  <c r="O4327" i="1"/>
  <c r="P4319" i="1"/>
  <c r="O4311" i="1"/>
  <c r="O4312" i="1" s="1"/>
  <c r="P4311" i="1"/>
  <c r="P4303" i="1"/>
  <c r="P4295" i="1"/>
  <c r="O4287" i="1"/>
  <c r="P4287" i="1"/>
  <c r="O4279" i="1"/>
  <c r="O4280" i="1" s="1"/>
  <c r="P4279" i="1"/>
  <c r="Q4279" i="1" s="1"/>
  <c r="P4264" i="1"/>
  <c r="O4264" i="1"/>
  <c r="O4256" i="1"/>
  <c r="O4257" i="1" s="1"/>
  <c r="O4258" i="1" s="1"/>
  <c r="P4256" i="1"/>
  <c r="O4248" i="1"/>
  <c r="O4249" i="1" s="1"/>
  <c r="O4250" i="1" s="1"/>
  <c r="P4248" i="1"/>
  <c r="P4240" i="1"/>
  <c r="P4232" i="1"/>
  <c r="P3778" i="1"/>
  <c r="P3764" i="1"/>
  <c r="P3754" i="1"/>
  <c r="P2990" i="1"/>
  <c r="P4196" i="1"/>
  <c r="O4168" i="1"/>
  <c r="O4169" i="1" s="1"/>
  <c r="P4168" i="1"/>
  <c r="P4151" i="1"/>
  <c r="P4199" i="1"/>
  <c r="O4173" i="1"/>
  <c r="P4173" i="1"/>
  <c r="O4155" i="1"/>
  <c r="O4156" i="1" s="1"/>
  <c r="P4155" i="1"/>
  <c r="P4177" i="1"/>
  <c r="O3714" i="1"/>
  <c r="O3715" i="1" s="1"/>
  <c r="P3714" i="1"/>
  <c r="P3329" i="1"/>
  <c r="P3669" i="1"/>
  <c r="O3644" i="1"/>
  <c r="O3645" i="1" s="1"/>
  <c r="P3644" i="1"/>
  <c r="O3597" i="1"/>
  <c r="O3598" i="1" s="1"/>
  <c r="P3597" i="1"/>
  <c r="P3539" i="1"/>
  <c r="O3539" i="1"/>
  <c r="O3505" i="1"/>
  <c r="O3506" i="1" s="1"/>
  <c r="P3505" i="1"/>
  <c r="O3490" i="1"/>
  <c r="O3491" i="1" s="1"/>
  <c r="P3490" i="1"/>
  <c r="O3456" i="1"/>
  <c r="P3456" i="1"/>
  <c r="P3422" i="1"/>
  <c r="P3326" i="1"/>
  <c r="O3267" i="1"/>
  <c r="P3267" i="1"/>
  <c r="P3255" i="1"/>
  <c r="O3255" i="1"/>
  <c r="P3664" i="1"/>
  <c r="P3544" i="1"/>
  <c r="P3245" i="1"/>
  <c r="O3507" i="1"/>
  <c r="O3508" i="1" s="1"/>
  <c r="O3509" i="1" s="1"/>
  <c r="P3507" i="1"/>
  <c r="O3628" i="1"/>
  <c r="O3629" i="1" s="1"/>
  <c r="P3628" i="1"/>
  <c r="O3567" i="1"/>
  <c r="P3567" i="1"/>
  <c r="P3461" i="1"/>
  <c r="P3315" i="1"/>
  <c r="O3372" i="1"/>
  <c r="O3373" i="1" s="1"/>
  <c r="P3372" i="1"/>
  <c r="O3615" i="1"/>
  <c r="O3616" i="1" s="1"/>
  <c r="O3617" i="1" s="1"/>
  <c r="P3615" i="1"/>
  <c r="P3449" i="1"/>
  <c r="P3371" i="1"/>
  <c r="P3707" i="1"/>
  <c r="P3711" i="1"/>
  <c r="P3695" i="1"/>
  <c r="O3684" i="1"/>
  <c r="O3685" i="1" s="1"/>
  <c r="P3684" i="1"/>
  <c r="P3676" i="1"/>
  <c r="P3659" i="1"/>
  <c r="P3643" i="1"/>
  <c r="P3636" i="1"/>
  <c r="P3612" i="1"/>
  <c r="P3591" i="1"/>
  <c r="P3572" i="1"/>
  <c r="P3436" i="1"/>
  <c r="P3549" i="1"/>
  <c r="P3534" i="1"/>
  <c r="O3480" i="1"/>
  <c r="O3481" i="1" s="1"/>
  <c r="O3482" i="1" s="1"/>
  <c r="P3480" i="1"/>
  <c r="P3472" i="1"/>
  <c r="P3463" i="1"/>
  <c r="P3440" i="1"/>
  <c r="O3440" i="1"/>
  <c r="P3408" i="1"/>
  <c r="O3392" i="1"/>
  <c r="P3392" i="1"/>
  <c r="P3381" i="1"/>
  <c r="O3381" i="1"/>
  <c r="O3382" i="1" s="1"/>
  <c r="O3383" i="1" s="1"/>
  <c r="P3366" i="1"/>
  <c r="P3342" i="1"/>
  <c r="O3342" i="1"/>
  <c r="O3343" i="1" s="1"/>
  <c r="O3344" i="1" s="1"/>
  <c r="P3313" i="1"/>
  <c r="O3303" i="1"/>
  <c r="O3304" i="1" s="1"/>
  <c r="O3305" i="1" s="1"/>
  <c r="P3303" i="1"/>
  <c r="P3277" i="1"/>
  <c r="P3249" i="1"/>
  <c r="P3233" i="1"/>
  <c r="P3209" i="1"/>
  <c r="P3521" i="1"/>
  <c r="O3513" i="1"/>
  <c r="O3514" i="1" s="1"/>
  <c r="O3515" i="1" s="1"/>
  <c r="O3516" i="1" s="1"/>
  <c r="P3513" i="1"/>
  <c r="P3431" i="1"/>
  <c r="P3251" i="1"/>
  <c r="O3251" i="1"/>
  <c r="O3252" i="1" s="1"/>
  <c r="O3253" i="1" s="1"/>
  <c r="O3254" i="1" s="1"/>
  <c r="P3213" i="1"/>
  <c r="P3147" i="1"/>
  <c r="O3120" i="1"/>
  <c r="O3121" i="1" s="1"/>
  <c r="P3120" i="1"/>
  <c r="Q3120" i="1" s="1"/>
  <c r="P3110" i="1"/>
  <c r="P3103" i="1"/>
  <c r="P3094" i="1"/>
  <c r="P3086" i="1"/>
  <c r="P3075" i="1"/>
  <c r="O3075" i="1"/>
  <c r="O3065" i="1"/>
  <c r="O3066" i="1" s="1"/>
  <c r="P3065" i="1"/>
  <c r="O3057" i="1"/>
  <c r="O3058" i="1" s="1"/>
  <c r="P3057" i="1"/>
  <c r="O3035" i="1"/>
  <c r="O3036" i="1" s="1"/>
  <c r="O3037" i="1" s="1"/>
  <c r="P3035" i="1"/>
  <c r="P3028" i="1"/>
  <c r="O3028" i="1"/>
  <c r="O3047" i="1"/>
  <c r="O3048" i="1" s="1"/>
  <c r="O3049" i="1" s="1"/>
  <c r="O3050" i="1" s="1"/>
  <c r="P3047" i="1"/>
  <c r="O3044" i="1"/>
  <c r="O3045" i="1" s="1"/>
  <c r="O3046" i="1" s="1"/>
  <c r="P3044" i="1"/>
  <c r="P2995" i="1"/>
  <c r="P3132" i="1"/>
  <c r="O3132" i="1"/>
  <c r="O3133" i="1" s="1"/>
  <c r="O3134" i="1" s="1"/>
  <c r="P3019" i="1"/>
  <c r="P3127" i="1"/>
  <c r="P3008" i="1"/>
  <c r="P2953" i="1"/>
  <c r="P2965" i="1"/>
  <c r="P2982" i="1"/>
  <c r="O2982" i="1"/>
  <c r="P2974" i="1"/>
  <c r="O2951" i="1"/>
  <c r="O2952" i="1" s="1"/>
  <c r="P2951" i="1"/>
  <c r="Q2951" i="1" s="1"/>
  <c r="O4226" i="1"/>
  <c r="P4226" i="1"/>
  <c r="P4218" i="1"/>
  <c r="O4210" i="1"/>
  <c r="P4210" i="1"/>
  <c r="P3158" i="1"/>
  <c r="P3195" i="1"/>
  <c r="O3203" i="1"/>
  <c r="P3203" i="1"/>
  <c r="O3885" i="1"/>
  <c r="O3886" i="1" s="1"/>
  <c r="P3885" i="1"/>
  <c r="P4143" i="1"/>
  <c r="O4143" i="1"/>
  <c r="O4144" i="1" s="1"/>
  <c r="P3912" i="1"/>
  <c r="P4061" i="1"/>
  <c r="P3944" i="1"/>
  <c r="P4017" i="1"/>
  <c r="P4140" i="1"/>
  <c r="P4043" i="1"/>
  <c r="P3909" i="1"/>
  <c r="P4055" i="1"/>
  <c r="O4055" i="1"/>
  <c r="P3838" i="1"/>
  <c r="O4105" i="1"/>
  <c r="O4106" i="1" s="1"/>
  <c r="P4105" i="1"/>
  <c r="P4014" i="1"/>
  <c r="P3906" i="1"/>
  <c r="P3830" i="1"/>
  <c r="P3998" i="1"/>
  <c r="P4133" i="1"/>
  <c r="P4125" i="1"/>
  <c r="P4118" i="1"/>
  <c r="P4099" i="1"/>
  <c r="O4079" i="1"/>
  <c r="O4080" i="1" s="1"/>
  <c r="O4081" i="1" s="1"/>
  <c r="O4082" i="1" s="1"/>
  <c r="O4083" i="1" s="1"/>
  <c r="P4079" i="1"/>
  <c r="P4068" i="1"/>
  <c r="P4053" i="1"/>
  <c r="P4036" i="1"/>
  <c r="P4028" i="1"/>
  <c r="P4007" i="1"/>
  <c r="P3986" i="1"/>
  <c r="P3980" i="1"/>
  <c r="P3974" i="1"/>
  <c r="P3963" i="1"/>
  <c r="P3945" i="1"/>
  <c r="O3945" i="1"/>
  <c r="O3946" i="1" s="1"/>
  <c r="O3947" i="1" s="1"/>
  <c r="O3948" i="1" s="1"/>
  <c r="O3949" i="1" s="1"/>
  <c r="P3923" i="1"/>
  <c r="O3916" i="1"/>
  <c r="O3917" i="1" s="1"/>
  <c r="O3918" i="1" s="1"/>
  <c r="O3919" i="1" s="1"/>
  <c r="O3920" i="1" s="1"/>
  <c r="P3916" i="1"/>
  <c r="P3896" i="1"/>
  <c r="P3876" i="1"/>
  <c r="P3850" i="1"/>
  <c r="P3821" i="1"/>
  <c r="P3813" i="1"/>
  <c r="P3805" i="1"/>
  <c r="P3797" i="1"/>
  <c r="P3781" i="1"/>
  <c r="O3781" i="1"/>
  <c r="O3782" i="1" s="1"/>
  <c r="O3783" i="1" s="1"/>
  <c r="O3784" i="1" s="1"/>
  <c r="O3785" i="1" s="1"/>
  <c r="P3788" i="1"/>
  <c r="O3788" i="1"/>
  <c r="O3789" i="1" s="1"/>
  <c r="O3790" i="1" s="1"/>
  <c r="P3182" i="1"/>
  <c r="P3868" i="1"/>
  <c r="P3152" i="1"/>
  <c r="O3152" i="1"/>
  <c r="O3734" i="1"/>
  <c r="P3734" i="1"/>
  <c r="P3743" i="1"/>
  <c r="O3743" i="1"/>
  <c r="P3165" i="1"/>
  <c r="O3165" i="1"/>
  <c r="O3166" i="1" s="1"/>
  <c r="P3160" i="1"/>
  <c r="P6293" i="1"/>
  <c r="O6285" i="1"/>
  <c r="O6286" i="1" s="1"/>
  <c r="P6285" i="1"/>
  <c r="P6277" i="1"/>
  <c r="O6269" i="1"/>
  <c r="O6270" i="1" s="1"/>
  <c r="P6269" i="1"/>
  <c r="P6262" i="1"/>
  <c r="O6253" i="1"/>
  <c r="O6254" i="1" s="1"/>
  <c r="P6253" i="1"/>
  <c r="O6245" i="1"/>
  <c r="P6245" i="1"/>
  <c r="P6237" i="1"/>
  <c r="P6309" i="1"/>
  <c r="P6220" i="1"/>
  <c r="P3283" i="1"/>
  <c r="O3283" i="1"/>
  <c r="O3284" i="1" s="1"/>
  <c r="O3285" i="1" s="1"/>
  <c r="P3514" i="1"/>
  <c r="O3111" i="1"/>
  <c r="P3111" i="1"/>
  <c r="P3029" i="1"/>
  <c r="O3009" i="1"/>
  <c r="P3009" i="1"/>
  <c r="P2984" i="1"/>
  <c r="O4219" i="1"/>
  <c r="O4220" i="1" s="1"/>
  <c r="P4219" i="1"/>
  <c r="P3886" i="1"/>
  <c r="O4108" i="1"/>
  <c r="P4108" i="1"/>
  <c r="P3878" i="1"/>
  <c r="O3878" i="1"/>
  <c r="P4002" i="1"/>
  <c r="P4070" i="1"/>
  <c r="P3983" i="1"/>
  <c r="P3877" i="1"/>
  <c r="P3806" i="1"/>
  <c r="P3363" i="1"/>
  <c r="P3161" i="1"/>
  <c r="O6261" i="1"/>
  <c r="O6262" i="1" s="1"/>
  <c r="P6261" i="1"/>
  <c r="P6310" i="1"/>
  <c r="P6181" i="1"/>
  <c r="O6149" i="1"/>
  <c r="O6150" i="1" s="1"/>
  <c r="P6149" i="1"/>
  <c r="P6141" i="1"/>
  <c r="O6133" i="1"/>
  <c r="O6134" i="1" s="1"/>
  <c r="O6135" i="1" s="1"/>
  <c r="O6136" i="1" s="1"/>
  <c r="O6137" i="1" s="1"/>
  <c r="O6138" i="1" s="1"/>
  <c r="P6133" i="1"/>
  <c r="O6125" i="1"/>
  <c r="O6126" i="1" s="1"/>
  <c r="P6125" i="1"/>
  <c r="P6117" i="1"/>
  <c r="P6109" i="1"/>
  <c r="P6101" i="1"/>
  <c r="P6093" i="1"/>
  <c r="P6085" i="1"/>
  <c r="P6077" i="1"/>
  <c r="P6069" i="1"/>
  <c r="P6061" i="1"/>
  <c r="P6053" i="1"/>
  <c r="P6045" i="1"/>
  <c r="P6037" i="1"/>
  <c r="P6029" i="1"/>
  <c r="O6021" i="1"/>
  <c r="O6022" i="1" s="1"/>
  <c r="O6023" i="1" s="1"/>
  <c r="P6021" i="1"/>
  <c r="P6013" i="1"/>
  <c r="P6005" i="1"/>
  <c r="P5997" i="1"/>
  <c r="P5989" i="1"/>
  <c r="P5981" i="1"/>
  <c r="P5973" i="1"/>
  <c r="P5965" i="1"/>
  <c r="O5957" i="1"/>
  <c r="O5958" i="1" s="1"/>
  <c r="P5957" i="1"/>
  <c r="P5949" i="1"/>
  <c r="O5941" i="1"/>
  <c r="O5942" i="1" s="1"/>
  <c r="O5943" i="1" s="1"/>
  <c r="O5944" i="1" s="1"/>
  <c r="O5945" i="1" s="1"/>
  <c r="P5941" i="1"/>
  <c r="O5933" i="1"/>
  <c r="O5934" i="1" s="1"/>
  <c r="O5935" i="1" s="1"/>
  <c r="O5936" i="1" s="1"/>
  <c r="O5937" i="1" s="1"/>
  <c r="P5933" i="1"/>
  <c r="O5925" i="1"/>
  <c r="O5926" i="1" s="1"/>
  <c r="P5925" i="1"/>
  <c r="P5917" i="1"/>
  <c r="P5909" i="1"/>
  <c r="O5901" i="1"/>
  <c r="O5902" i="1" s="1"/>
  <c r="P5901" i="1"/>
  <c r="P5893" i="1"/>
  <c r="O5893" i="1"/>
  <c r="O5885" i="1"/>
  <c r="O5886" i="1" s="1"/>
  <c r="O5887" i="1" s="1"/>
  <c r="P5885" i="1"/>
  <c r="P5877" i="1"/>
  <c r="O5877" i="1"/>
  <c r="P5869" i="1"/>
  <c r="O5861" i="1"/>
  <c r="O5862" i="1" s="1"/>
  <c r="O5863" i="1" s="1"/>
  <c r="O5864" i="1" s="1"/>
  <c r="O5865" i="1" s="1"/>
  <c r="P5861" i="1"/>
  <c r="O5853" i="1"/>
  <c r="O5854" i="1" s="1"/>
  <c r="O5855" i="1" s="1"/>
  <c r="O5856" i="1" s="1"/>
  <c r="O5857" i="1" s="1"/>
  <c r="O5858" i="1" s="1"/>
  <c r="P5853" i="1"/>
  <c r="P5845" i="1"/>
  <c r="P5837" i="1"/>
  <c r="P5829" i="1"/>
  <c r="P5821" i="1"/>
  <c r="P5813" i="1"/>
  <c r="O5805" i="1"/>
  <c r="O5806" i="1" s="1"/>
  <c r="P5805" i="1"/>
  <c r="P5797" i="1"/>
  <c r="P5789" i="1"/>
  <c r="O5781" i="1"/>
  <c r="P5781" i="1"/>
  <c r="O5773" i="1"/>
  <c r="P5773" i="1"/>
  <c r="P5765" i="1"/>
  <c r="P5757" i="1"/>
  <c r="O5757" i="1"/>
  <c r="O5758" i="1" s="1"/>
  <c r="P5749" i="1"/>
  <c r="O5749" i="1"/>
  <c r="P5741" i="1"/>
  <c r="O5733" i="1"/>
  <c r="P5733" i="1"/>
  <c r="O5725" i="1"/>
  <c r="O5726" i="1" s="1"/>
  <c r="O5727" i="1" s="1"/>
  <c r="P5725" i="1"/>
  <c r="P5717" i="1"/>
  <c r="O5709" i="1"/>
  <c r="P5709" i="1"/>
  <c r="O5701" i="1"/>
  <c r="P5701" i="1"/>
  <c r="P5693" i="1"/>
  <c r="P5685" i="1"/>
  <c r="O5685" i="1"/>
  <c r="P5677" i="1"/>
  <c r="O5669" i="1"/>
  <c r="P5669" i="1"/>
  <c r="O5661" i="1"/>
  <c r="O5662" i="1" s="1"/>
  <c r="R5662" i="1" s="1"/>
  <c r="P5661" i="1"/>
  <c r="O5653" i="1"/>
  <c r="P5653" i="1"/>
  <c r="P5645" i="1"/>
  <c r="O5637" i="1"/>
  <c r="O5638" i="1" s="1"/>
  <c r="P5637" i="1"/>
  <c r="P5629" i="1"/>
  <c r="O5621" i="1"/>
  <c r="P5621" i="1"/>
  <c r="O5613" i="1"/>
  <c r="O5614" i="1" s="1"/>
  <c r="P5613" i="1"/>
  <c r="O5605" i="1"/>
  <c r="O5606" i="1" s="1"/>
  <c r="P5605" i="1"/>
  <c r="P5597" i="1"/>
  <c r="O5589" i="1"/>
  <c r="P5589" i="1"/>
  <c r="O5581" i="1"/>
  <c r="P5581" i="1"/>
  <c r="O5573" i="1"/>
  <c r="O5574" i="1" s="1"/>
  <c r="P5573" i="1"/>
  <c r="O5565" i="1"/>
  <c r="P5565" i="1"/>
  <c r="P5557" i="1"/>
  <c r="O5549" i="1"/>
  <c r="O5550" i="1" s="1"/>
  <c r="P5549" i="1"/>
  <c r="O5541" i="1"/>
  <c r="P5541" i="1"/>
  <c r="O5533" i="1"/>
  <c r="O5534" i="1" s="1"/>
  <c r="P5533" i="1"/>
  <c r="P5525" i="1"/>
  <c r="P5517" i="1"/>
  <c r="P5509" i="1"/>
  <c r="P5501" i="1"/>
  <c r="O5493" i="1"/>
  <c r="P5493" i="1"/>
  <c r="O5485" i="1"/>
  <c r="O5486" i="1" s="1"/>
  <c r="P5485" i="1"/>
  <c r="O5477" i="1"/>
  <c r="O5478" i="1" s="1"/>
  <c r="P5477" i="1"/>
  <c r="O5469" i="1"/>
  <c r="P5469" i="1"/>
  <c r="O5461" i="1"/>
  <c r="P5461" i="1"/>
  <c r="O5453" i="1"/>
  <c r="P5453" i="1"/>
  <c r="P5445" i="1"/>
  <c r="O5437" i="1"/>
  <c r="P5437" i="1"/>
  <c r="P5429" i="1"/>
  <c r="P5421" i="1"/>
  <c r="P5398" i="1"/>
  <c r="P5390" i="1"/>
  <c r="P5382" i="1"/>
  <c r="P5374" i="1"/>
  <c r="P5366" i="1"/>
  <c r="P5358" i="1"/>
  <c r="O5358" i="1"/>
  <c r="O5350" i="1"/>
  <c r="P5350" i="1"/>
  <c r="P5342" i="1"/>
  <c r="O5334" i="1"/>
  <c r="P5334" i="1"/>
  <c r="O5326" i="1"/>
  <c r="P5326" i="1"/>
  <c r="Q5326" i="1" s="1"/>
  <c r="P5318" i="1"/>
  <c r="O5310" i="1"/>
  <c r="O5311" i="1" s="1"/>
  <c r="P5310" i="1"/>
  <c r="Q5310" i="1" s="1"/>
  <c r="P5302" i="1"/>
  <c r="P5294" i="1"/>
  <c r="O5286" i="1"/>
  <c r="O5287" i="1" s="1"/>
  <c r="P5286" i="1"/>
  <c r="O5278" i="1"/>
  <c r="P5278" i="1"/>
  <c r="P5270" i="1"/>
  <c r="P5262" i="1"/>
  <c r="P5254" i="1"/>
  <c r="P5246" i="1"/>
  <c r="P5238" i="1"/>
  <c r="P5230" i="1"/>
  <c r="P5222" i="1"/>
  <c r="P5214" i="1"/>
  <c r="O5206" i="1"/>
  <c r="O5207" i="1" s="1"/>
  <c r="R5207" i="1" s="1"/>
  <c r="P5206" i="1"/>
  <c r="P5198" i="1"/>
  <c r="P5190" i="1"/>
  <c r="P5182" i="1"/>
  <c r="Q5182" i="1" s="1"/>
  <c r="O5182" i="1"/>
  <c r="P5174" i="1"/>
  <c r="P5158" i="1"/>
  <c r="P5150" i="1"/>
  <c r="P5142" i="1"/>
  <c r="P5134" i="1"/>
  <c r="P5126" i="1"/>
  <c r="P5110" i="1"/>
  <c r="O5110" i="1"/>
  <c r="O5111" i="1" s="1"/>
  <c r="R5111" i="1" s="1"/>
  <c r="P5094" i="1"/>
  <c r="P5086" i="1"/>
  <c r="P5078" i="1"/>
  <c r="O5062" i="1"/>
  <c r="O5063" i="1" s="1"/>
  <c r="P5062" i="1"/>
  <c r="P5054" i="1"/>
  <c r="P5046" i="1"/>
  <c r="P5038" i="1"/>
  <c r="P5030" i="1"/>
  <c r="P5022" i="1"/>
  <c r="P5014" i="1"/>
  <c r="P5006" i="1"/>
  <c r="P4998" i="1"/>
  <c r="P4990" i="1"/>
  <c r="P4982" i="1"/>
  <c r="O4982" i="1"/>
  <c r="O4983" i="1" s="1"/>
  <c r="O4984" i="1" s="1"/>
  <c r="O4985" i="1" s="1"/>
  <c r="O4986" i="1" s="1"/>
  <c r="O4974" i="1"/>
  <c r="O4975" i="1" s="1"/>
  <c r="O4976" i="1" s="1"/>
  <c r="O4977" i="1" s="1"/>
  <c r="O4978" i="1" s="1"/>
  <c r="P4974" i="1"/>
  <c r="P4966" i="1"/>
  <c r="P4958" i="1"/>
  <c r="P4950" i="1"/>
  <c r="O4942" i="1"/>
  <c r="O4943" i="1" s="1"/>
  <c r="P4942" i="1"/>
  <c r="P4934" i="1"/>
  <c r="P4926" i="1"/>
  <c r="P4918" i="1"/>
  <c r="P4910" i="1"/>
  <c r="O4910" i="1"/>
  <c r="O4911" i="1" s="1"/>
  <c r="P4902" i="1"/>
  <c r="O4894" i="1"/>
  <c r="O4895" i="1" s="1"/>
  <c r="O4896" i="1" s="1"/>
  <c r="P4894" i="1"/>
  <c r="P4886" i="1"/>
  <c r="P4878" i="1"/>
  <c r="O4878" i="1"/>
  <c r="O4879" i="1" s="1"/>
  <c r="O4880" i="1" s="1"/>
  <c r="O4870" i="1"/>
  <c r="O4871" i="1" s="1"/>
  <c r="O4872" i="1" s="1"/>
  <c r="P4870" i="1"/>
  <c r="P4862" i="1"/>
  <c r="P4854" i="1"/>
  <c r="P4846" i="1"/>
  <c r="P4838" i="1"/>
  <c r="P4830" i="1"/>
  <c r="P4822" i="1"/>
  <c r="P4814" i="1"/>
  <c r="P4806" i="1"/>
  <c r="P4798" i="1"/>
  <c r="P4790" i="1"/>
  <c r="P4782" i="1"/>
  <c r="O4774" i="1"/>
  <c r="O4775" i="1" s="1"/>
  <c r="O4776" i="1" s="1"/>
  <c r="P4774" i="1"/>
  <c r="P4766" i="1"/>
  <c r="P4758" i="1"/>
  <c r="P4750" i="1"/>
  <c r="O4742" i="1"/>
  <c r="O4743" i="1" s="1"/>
  <c r="P4742" i="1"/>
  <c r="P4734" i="1"/>
  <c r="O4726" i="1"/>
  <c r="P4726" i="1"/>
  <c r="P4718" i="1"/>
  <c r="P4710" i="1"/>
  <c r="P4702" i="1"/>
  <c r="P4694" i="1"/>
  <c r="P4686" i="1"/>
  <c r="P4678" i="1"/>
  <c r="P4670" i="1"/>
  <c r="P4662" i="1"/>
  <c r="O4662" i="1"/>
  <c r="O4654" i="1"/>
  <c r="P4654" i="1"/>
  <c r="O4646" i="1"/>
  <c r="P4646" i="1"/>
  <c r="O4638" i="1"/>
  <c r="P4638" i="1"/>
  <c r="P4630" i="1"/>
  <c r="P4622" i="1"/>
  <c r="P4614" i="1"/>
  <c r="O4614" i="1"/>
  <c r="O4615" i="1" s="1"/>
  <c r="O4606" i="1"/>
  <c r="O4607" i="1" s="1"/>
  <c r="O4608" i="1" s="1"/>
  <c r="P4606" i="1"/>
  <c r="P4598" i="1"/>
  <c r="P4590" i="1"/>
  <c r="P4582" i="1"/>
  <c r="P4574" i="1"/>
  <c r="P4566" i="1"/>
  <c r="O4558" i="1"/>
  <c r="O4559" i="1" s="1"/>
  <c r="P4558" i="1"/>
  <c r="P4550" i="1"/>
  <c r="P4542" i="1"/>
  <c r="P4534" i="1"/>
  <c r="P4526" i="1"/>
  <c r="P4518" i="1"/>
  <c r="O4518" i="1"/>
  <c r="O4519" i="1" s="1"/>
  <c r="P4510" i="1"/>
  <c r="O4502" i="1"/>
  <c r="P4502" i="1"/>
  <c r="O4494" i="1"/>
  <c r="P4494" i="1"/>
  <c r="P4486" i="1"/>
  <c r="O4486" i="1"/>
  <c r="O4487" i="1" s="1"/>
  <c r="O4488" i="1" s="1"/>
  <c r="O4478" i="1"/>
  <c r="O4479" i="1" s="1"/>
  <c r="P4478" i="1"/>
  <c r="O4470" i="1"/>
  <c r="P4470" i="1"/>
  <c r="P4462" i="1"/>
  <c r="O4462" i="1"/>
  <c r="O4454" i="1"/>
  <c r="O4455" i="1" s="1"/>
  <c r="O4456" i="1" s="1"/>
  <c r="P4454" i="1"/>
  <c r="O4446" i="1"/>
  <c r="O4447" i="1" s="1"/>
  <c r="P4446" i="1"/>
  <c r="O4438" i="1"/>
  <c r="P4438" i="1"/>
  <c r="O4430" i="1"/>
  <c r="O4431" i="1" s="1"/>
  <c r="P4430" i="1"/>
  <c r="O4422" i="1"/>
  <c r="O4423" i="1" s="1"/>
  <c r="P4422" i="1"/>
  <c r="P4414" i="1"/>
  <c r="O4406" i="1"/>
  <c r="P4406" i="1"/>
  <c r="P4398" i="1"/>
  <c r="O4398" i="1"/>
  <c r="O4390" i="1"/>
  <c r="P4390" i="1"/>
  <c r="P4382" i="1"/>
  <c r="P4374" i="1"/>
  <c r="O4366" i="1"/>
  <c r="O4367" i="1" s="1"/>
  <c r="O4368" i="1" s="1"/>
  <c r="P4366" i="1"/>
  <c r="P4358" i="1"/>
  <c r="O4350" i="1"/>
  <c r="O4351" i="1" s="1"/>
  <c r="P4350" i="1"/>
  <c r="P4342" i="1"/>
  <c r="O4334" i="1"/>
  <c r="O4335" i="1" s="1"/>
  <c r="P4334" i="1"/>
  <c r="P4326" i="1"/>
  <c r="O4318" i="1"/>
  <c r="O4319" i="1" s="1"/>
  <c r="P4318" i="1"/>
  <c r="P4310" i="1"/>
  <c r="P4302" i="1"/>
  <c r="O4294" i="1"/>
  <c r="O4295" i="1" s="1"/>
  <c r="P4294" i="1"/>
  <c r="P4286" i="1"/>
  <c r="P4278" i="1"/>
  <c r="P4263" i="1"/>
  <c r="O4263" i="1"/>
  <c r="P4255" i="1"/>
  <c r="P4247" i="1"/>
  <c r="O4239" i="1"/>
  <c r="O4240" i="1" s="1"/>
  <c r="P4239" i="1"/>
  <c r="Q4239" i="1" s="1"/>
  <c r="P4231" i="1"/>
  <c r="O3777" i="1"/>
  <c r="O3778" i="1" s="1"/>
  <c r="P3777" i="1"/>
  <c r="O3763" i="1"/>
  <c r="P3763" i="1"/>
  <c r="O3753" i="1"/>
  <c r="O3754" i="1" s="1"/>
  <c r="P3753" i="1"/>
  <c r="Q3753" i="1" s="1"/>
  <c r="P3767" i="1"/>
  <c r="Q3767" i="1" s="1"/>
  <c r="O3767" i="1"/>
  <c r="O2989" i="1"/>
  <c r="O2990" i="1" s="1"/>
  <c r="P2989" i="1"/>
  <c r="Q2989" i="1" s="1"/>
  <c r="P4195" i="1"/>
  <c r="Q4195" i="1" s="1"/>
  <c r="O4195" i="1"/>
  <c r="P4167" i="1"/>
  <c r="P4192" i="1"/>
  <c r="O4197" i="1"/>
  <c r="O4198" i="1" s="1"/>
  <c r="O4199" i="1" s="1"/>
  <c r="P4197" i="1"/>
  <c r="P4162" i="1"/>
  <c r="P4153" i="1"/>
  <c r="O4175" i="1"/>
  <c r="O4176" i="1" s="1"/>
  <c r="P4175" i="1"/>
  <c r="P3651" i="1"/>
  <c r="P3668" i="1"/>
  <c r="Q3668" i="1" s="1"/>
  <c r="O3668" i="1"/>
  <c r="P3627" i="1"/>
  <c r="P3596" i="1"/>
  <c r="P3528" i="1"/>
  <c r="P3491" i="1"/>
  <c r="P3455" i="1"/>
  <c r="P3337" i="1"/>
  <c r="O3337" i="1"/>
  <c r="O3325" i="1"/>
  <c r="P3325" i="1"/>
  <c r="P3279" i="1"/>
  <c r="O3279" i="1"/>
  <c r="P3242" i="1"/>
  <c r="O3223" i="1"/>
  <c r="O3224" i="1" s="1"/>
  <c r="P3223" i="1"/>
  <c r="P3662" i="1"/>
  <c r="O3662" i="1"/>
  <c r="O3663" i="1" s="1"/>
  <c r="O3664" i="1" s="1"/>
  <c r="O3543" i="1"/>
  <c r="P3543" i="1"/>
  <c r="P3244" i="1"/>
  <c r="P3510" i="1"/>
  <c r="O3614" i="1"/>
  <c r="P3614" i="1"/>
  <c r="P3552" i="1"/>
  <c r="O3460" i="1"/>
  <c r="O3461" i="1" s="1"/>
  <c r="P3460" i="1"/>
  <c r="P3314" i="1"/>
  <c r="Q3314" i="1" s="1"/>
  <c r="O3314" i="1"/>
  <c r="O3315" i="1" s="1"/>
  <c r="O3273" i="1"/>
  <c r="P3273" i="1"/>
  <c r="P3446" i="1"/>
  <c r="O3701" i="1"/>
  <c r="O3702" i="1" s="1"/>
  <c r="O3703" i="1" s="1"/>
  <c r="P3701" i="1"/>
  <c r="P3712" i="1"/>
  <c r="P3685" i="1"/>
  <c r="P3675" i="1"/>
  <c r="P3642" i="1"/>
  <c r="P3634" i="1"/>
  <c r="O3634" i="1"/>
  <c r="O3635" i="1" s="1"/>
  <c r="O3636" i="1" s="1"/>
  <c r="O3610" i="1"/>
  <c r="O3611" i="1" s="1"/>
  <c r="O3612" i="1" s="1"/>
  <c r="P3610" i="1"/>
  <c r="P3590" i="1"/>
  <c r="P3583" i="1"/>
  <c r="P3571" i="1"/>
  <c r="P3559" i="1"/>
  <c r="P3548" i="1"/>
  <c r="P3533" i="1"/>
  <c r="P3482" i="1"/>
  <c r="P3471" i="1"/>
  <c r="O3462" i="1"/>
  <c r="P3462" i="1"/>
  <c r="P3415" i="1"/>
  <c r="P3406" i="1"/>
  <c r="P3394" i="1"/>
  <c r="P3383" i="1"/>
  <c r="P3365" i="1"/>
  <c r="P3312" i="1"/>
  <c r="P3297" i="1"/>
  <c r="P3289" i="1"/>
  <c r="P3276" i="1"/>
  <c r="P3231" i="1"/>
  <c r="O3208" i="1"/>
  <c r="O3209" i="1" s="1"/>
  <c r="O3210" i="1" s="1"/>
  <c r="P3208" i="1"/>
  <c r="P3519" i="1"/>
  <c r="P3504" i="1"/>
  <c r="P3432" i="1"/>
  <c r="O3212" i="1"/>
  <c r="O3213" i="1" s="1"/>
  <c r="P3212" i="1"/>
  <c r="O3146" i="1"/>
  <c r="P3146" i="1"/>
  <c r="P3119" i="1"/>
  <c r="O3109" i="1"/>
  <c r="O3110" i="1" s="1"/>
  <c r="P3109" i="1"/>
  <c r="Q3109" i="1" s="1"/>
  <c r="P3101" i="1"/>
  <c r="P3093" i="1"/>
  <c r="O3093" i="1"/>
  <c r="O3094" i="1" s="1"/>
  <c r="O3095" i="1" s="1"/>
  <c r="P3085" i="1"/>
  <c r="P3072" i="1"/>
  <c r="P3064" i="1"/>
  <c r="O3064" i="1"/>
  <c r="P3043" i="1"/>
  <c r="P3036" i="1"/>
  <c r="P3027" i="1"/>
  <c r="P3130" i="1"/>
  <c r="O3130" i="1"/>
  <c r="P3045" i="1"/>
  <c r="P3140" i="1"/>
  <c r="P3135" i="1"/>
  <c r="P3018" i="1"/>
  <c r="P3123" i="1"/>
  <c r="P3007" i="1"/>
  <c r="P2999" i="1"/>
  <c r="P2972" i="1"/>
  <c r="O2949" i="1"/>
  <c r="O2950" i="1" s="1"/>
  <c r="P2949" i="1"/>
  <c r="O2979" i="1"/>
  <c r="O2980" i="1" s="1"/>
  <c r="P2979" i="1"/>
  <c r="O2969" i="1"/>
  <c r="P2969" i="1"/>
  <c r="P2950" i="1"/>
  <c r="P4225" i="1"/>
  <c r="O4225" i="1"/>
  <c r="O4217" i="1"/>
  <c r="O4218" i="1" s="1"/>
  <c r="P4217" i="1"/>
  <c r="O4209" i="1"/>
  <c r="P4209" i="1"/>
  <c r="O3157" i="1"/>
  <c r="O3158" i="1" s="1"/>
  <c r="P3157" i="1"/>
  <c r="P3194" i="1"/>
  <c r="Q3194" i="1" s="1"/>
  <c r="O3194" i="1"/>
  <c r="P3202" i="1"/>
  <c r="P3884" i="1"/>
  <c r="P4020" i="1"/>
  <c r="P3911" i="1"/>
  <c r="O3911" i="1"/>
  <c r="O4060" i="1"/>
  <c r="O4061" i="1" s="1"/>
  <c r="O4062" i="1" s="1"/>
  <c r="P4060" i="1"/>
  <c r="O4092" i="1"/>
  <c r="P4092" i="1"/>
  <c r="O4016" i="1"/>
  <c r="O4017" i="1" s="1"/>
  <c r="P4016" i="1"/>
  <c r="O4139" i="1"/>
  <c r="O4140" i="1" s="1"/>
  <c r="P4139" i="1"/>
  <c r="P4042" i="1"/>
  <c r="O3907" i="1"/>
  <c r="O3908" i="1" s="1"/>
  <c r="P3907" i="1"/>
  <c r="O3837" i="1"/>
  <c r="P3837" i="1"/>
  <c r="Q3837" i="1" s="1"/>
  <c r="O4013" i="1"/>
  <c r="P4013" i="1"/>
  <c r="P3914" i="1"/>
  <c r="P3829" i="1"/>
  <c r="P4001" i="1"/>
  <c r="P4129" i="1"/>
  <c r="P4124" i="1"/>
  <c r="P4116" i="1"/>
  <c r="P4098" i="1"/>
  <c r="P4078" i="1"/>
  <c r="P4066" i="1"/>
  <c r="P4052" i="1"/>
  <c r="P4035" i="1"/>
  <c r="P4030" i="1"/>
  <c r="P3994" i="1"/>
  <c r="P3987" i="1"/>
  <c r="P3978" i="1"/>
  <c r="P3972" i="1"/>
  <c r="P3960" i="1"/>
  <c r="P3948" i="1"/>
  <c r="P3926" i="1"/>
  <c r="P3903" i="1"/>
  <c r="P3894" i="1"/>
  <c r="P3875" i="1"/>
  <c r="P3860" i="1"/>
  <c r="O3849" i="1"/>
  <c r="O3850" i="1" s="1"/>
  <c r="O3851" i="1" s="1"/>
  <c r="O3852" i="1" s="1"/>
  <c r="O3853" i="1" s="1"/>
  <c r="P3849" i="1"/>
  <c r="P3820" i="1"/>
  <c r="P3812" i="1"/>
  <c r="P3803" i="1"/>
  <c r="P3796" i="1"/>
  <c r="O3796" i="1"/>
  <c r="O3797" i="1" s="1"/>
  <c r="O3798" i="1" s="1"/>
  <c r="O3799" i="1" s="1"/>
  <c r="O3800" i="1" s="1"/>
  <c r="P3795" i="1"/>
  <c r="O3181" i="1"/>
  <c r="P3181" i="1"/>
  <c r="O3867" i="1"/>
  <c r="P3867" i="1"/>
  <c r="P3362" i="1"/>
  <c r="P3353" i="1"/>
  <c r="P3752" i="1"/>
  <c r="P3742" i="1"/>
  <c r="P3169" i="1"/>
  <c r="O3159" i="1"/>
  <c r="P3159" i="1"/>
  <c r="P6227" i="1"/>
  <c r="P6292" i="1"/>
  <c r="P6284" i="1"/>
  <c r="O6276" i="1"/>
  <c r="P6276" i="1"/>
  <c r="P6268" i="1"/>
  <c r="P6260" i="1"/>
  <c r="P6252" i="1"/>
  <c r="P6244" i="1"/>
  <c r="P6305" i="1"/>
  <c r="P6236" i="1"/>
  <c r="P6308" i="1"/>
  <c r="P6219" i="1"/>
  <c r="P5692" i="1"/>
  <c r="P5652" i="1"/>
  <c r="O5612" i="1"/>
  <c r="P5612" i="1"/>
  <c r="O5588" i="1"/>
  <c r="P5588" i="1"/>
  <c r="O5556" i="1"/>
  <c r="O5557" i="1" s="1"/>
  <c r="P5556" i="1"/>
  <c r="P5516" i="1"/>
  <c r="O5476" i="1"/>
  <c r="P5476" i="1"/>
  <c r="P5444" i="1"/>
  <c r="O5444" i="1"/>
  <c r="O5445" i="1" s="1"/>
  <c r="O5446" i="1" s="1"/>
  <c r="P5373" i="1"/>
  <c r="P5333" i="1"/>
  <c r="P5301" i="1"/>
  <c r="O5269" i="1"/>
  <c r="O5270" i="1" s="1"/>
  <c r="O5271" i="1" s="1"/>
  <c r="O5272" i="1" s="1"/>
  <c r="O5273" i="1" s="1"/>
  <c r="P5269" i="1"/>
  <c r="P5237" i="1"/>
  <c r="P5197" i="1"/>
  <c r="P5173" i="1"/>
  <c r="O5173" i="1"/>
  <c r="O5174" i="1" s="1"/>
  <c r="P5149" i="1"/>
  <c r="P5125" i="1"/>
  <c r="O5117" i="1"/>
  <c r="O5118" i="1" s="1"/>
  <c r="O5119" i="1" s="1"/>
  <c r="O5120" i="1" s="1"/>
  <c r="O5121" i="1" s="1"/>
  <c r="P5117" i="1"/>
  <c r="P5109" i="1"/>
  <c r="O5101" i="1"/>
  <c r="O5102" i="1" s="1"/>
  <c r="O5103" i="1" s="1"/>
  <c r="O5104" i="1" s="1"/>
  <c r="O5105" i="1" s="1"/>
  <c r="P5101" i="1"/>
  <c r="O5093" i="1"/>
  <c r="P5093" i="1"/>
  <c r="P5085" i="1"/>
  <c r="O5077" i="1"/>
  <c r="O5078" i="1" s="1"/>
  <c r="O5079" i="1" s="1"/>
  <c r="O5080" i="1" s="1"/>
  <c r="O5081" i="1" s="1"/>
  <c r="O5082" i="1" s="1"/>
  <c r="P5077" i="1"/>
  <c r="O5069" i="1"/>
  <c r="O5070" i="1" s="1"/>
  <c r="O5071" i="1" s="1"/>
  <c r="O5072" i="1" s="1"/>
  <c r="O5073" i="1" s="1"/>
  <c r="P5069" i="1"/>
  <c r="P5053" i="1"/>
  <c r="O5037" i="1"/>
  <c r="P5037" i="1"/>
  <c r="P5029" i="1"/>
  <c r="P5021" i="1"/>
  <c r="P5013" i="1"/>
  <c r="O5005" i="1"/>
  <c r="O5006" i="1" s="1"/>
  <c r="O5007" i="1" s="1"/>
  <c r="O5008" i="1" s="1"/>
  <c r="O5009" i="1" s="1"/>
  <c r="P5005" i="1"/>
  <c r="P4997" i="1"/>
  <c r="P4989" i="1"/>
  <c r="P4981" i="1"/>
  <c r="P4973" i="1"/>
  <c r="P4965" i="1"/>
  <c r="P4957" i="1"/>
  <c r="P4949" i="1"/>
  <c r="P4941" i="1"/>
  <c r="P4933" i="1"/>
  <c r="P4925" i="1"/>
  <c r="O4917" i="1"/>
  <c r="P4917" i="1"/>
  <c r="P4909" i="1"/>
  <c r="P4901" i="1"/>
  <c r="P4893" i="1"/>
  <c r="O4885" i="1"/>
  <c r="P4885" i="1"/>
  <c r="P4877" i="1"/>
  <c r="P4869" i="1"/>
  <c r="P4861" i="1"/>
  <c r="O4853" i="1"/>
  <c r="O4854" i="1" s="1"/>
  <c r="O4855" i="1" s="1"/>
  <c r="P4853" i="1"/>
  <c r="P4845" i="1"/>
  <c r="O4845" i="1"/>
  <c r="O4837" i="1"/>
  <c r="P4837" i="1"/>
  <c r="P4829" i="1"/>
  <c r="O4829" i="1"/>
  <c r="O4830" i="1" s="1"/>
  <c r="O4821" i="1"/>
  <c r="O4822" i="1" s="1"/>
  <c r="O4823" i="1" s="1"/>
  <c r="P4821" i="1"/>
  <c r="P4813" i="1"/>
  <c r="P4805" i="1"/>
  <c r="Q4805" i="1" s="1"/>
  <c r="O4805" i="1"/>
  <c r="P4797" i="1"/>
  <c r="O4797" i="1"/>
  <c r="O4789" i="1"/>
  <c r="P4789" i="1"/>
  <c r="O4781" i="1"/>
  <c r="P4781" i="1"/>
  <c r="P4773" i="1"/>
  <c r="P4765" i="1"/>
  <c r="P4757" i="1"/>
  <c r="P4749" i="1"/>
  <c r="P4741" i="1"/>
  <c r="P4733" i="1"/>
  <c r="P4725" i="1"/>
  <c r="P4717" i="1"/>
  <c r="P4709" i="1"/>
  <c r="P4701" i="1"/>
  <c r="O4701" i="1"/>
  <c r="O4702" i="1" s="1"/>
  <c r="O4703" i="1" s="1"/>
  <c r="O4704" i="1" s="1"/>
  <c r="O4693" i="1"/>
  <c r="P4693" i="1"/>
  <c r="O4685" i="1"/>
  <c r="O4686" i="1" s="1"/>
  <c r="O4687" i="1" s="1"/>
  <c r="P4685" i="1"/>
  <c r="P4677" i="1"/>
  <c r="O4669" i="1"/>
  <c r="O4670" i="1" s="1"/>
  <c r="O4671" i="1" s="1"/>
  <c r="P4669" i="1"/>
  <c r="P4661" i="1"/>
  <c r="P4653" i="1"/>
  <c r="P4645" i="1"/>
  <c r="P4637" i="1"/>
  <c r="P4629" i="1"/>
  <c r="P4621" i="1"/>
  <c r="O4613" i="1"/>
  <c r="P4613" i="1"/>
  <c r="P4605" i="1"/>
  <c r="P4597" i="1"/>
  <c r="P4589" i="1"/>
  <c r="O4581" i="1"/>
  <c r="P4581" i="1"/>
  <c r="Q4581" i="1" s="1"/>
  <c r="P4573" i="1"/>
  <c r="O4573" i="1"/>
  <c r="O4574" i="1" s="1"/>
  <c r="P4565" i="1"/>
  <c r="P4557" i="1"/>
  <c r="P4549" i="1"/>
  <c r="O4549" i="1"/>
  <c r="O4541" i="1"/>
  <c r="O4542" i="1" s="1"/>
  <c r="P4541" i="1"/>
  <c r="P4533" i="1"/>
  <c r="P4525" i="1"/>
  <c r="P4517" i="1"/>
  <c r="O4509" i="1"/>
  <c r="O4510" i="1" s="1"/>
  <c r="O4511" i="1" s="1"/>
  <c r="P4509" i="1"/>
  <c r="P4501" i="1"/>
  <c r="O4493" i="1"/>
  <c r="P4493" i="1"/>
  <c r="P4485" i="1"/>
  <c r="P4477" i="1"/>
  <c r="O4469" i="1"/>
  <c r="P4469" i="1"/>
  <c r="P4461" i="1"/>
  <c r="P4453" i="1"/>
  <c r="P4445" i="1"/>
  <c r="P4437" i="1"/>
  <c r="P4421" i="1"/>
  <c r="P4413" i="1"/>
  <c r="P4397" i="1"/>
  <c r="P4389" i="1"/>
  <c r="P4381" i="1"/>
  <c r="O4373" i="1"/>
  <c r="O4374" i="1" s="1"/>
  <c r="O4375" i="1" s="1"/>
  <c r="O4376" i="1" s="1"/>
  <c r="P4373" i="1"/>
  <c r="P4365" i="1"/>
  <c r="O4357" i="1"/>
  <c r="P4357" i="1"/>
  <c r="O4325" i="1"/>
  <c r="P4325" i="1"/>
  <c r="O4309" i="1"/>
  <c r="P4309" i="1"/>
  <c r="O4301" i="1"/>
  <c r="P4301" i="1"/>
  <c r="P4238" i="1"/>
  <c r="P4230" i="1"/>
  <c r="P3776" i="1"/>
  <c r="P3762" i="1"/>
  <c r="P3772" i="1"/>
  <c r="P3151" i="1"/>
  <c r="P4194" i="1"/>
  <c r="O4166" i="1"/>
  <c r="P4166" i="1"/>
  <c r="O4186" i="1"/>
  <c r="O4187" i="1" s="1"/>
  <c r="O4188" i="1" s="1"/>
  <c r="P4186" i="1"/>
  <c r="P4198" i="1"/>
  <c r="O4161" i="1"/>
  <c r="P4161" i="1"/>
  <c r="P4150" i="1"/>
  <c r="P4176" i="1"/>
  <c r="P3650" i="1"/>
  <c r="P3226" i="1"/>
  <c r="P3652" i="1"/>
  <c r="O3595" i="1"/>
  <c r="P3595" i="1"/>
  <c r="O3527" i="1"/>
  <c r="P3527" i="1"/>
  <c r="P3497" i="1"/>
  <c r="P3489" i="1"/>
  <c r="O3454" i="1"/>
  <c r="P3454" i="1"/>
  <c r="P3417" i="1"/>
  <c r="P3335" i="1"/>
  <c r="P3278" i="1"/>
  <c r="O3278" i="1"/>
  <c r="O3261" i="1"/>
  <c r="P3261" i="1"/>
  <c r="P3241" i="1"/>
  <c r="P3663" i="1"/>
  <c r="P3400" i="1"/>
  <c r="P3243" i="1"/>
  <c r="O3243" i="1"/>
  <c r="O3244" i="1" s="1"/>
  <c r="P3509" i="1"/>
  <c r="P3609" i="1"/>
  <c r="P3551" i="1"/>
  <c r="O3439" i="1"/>
  <c r="P3439" i="1"/>
  <c r="P3309" i="1"/>
  <c r="P3606" i="1"/>
  <c r="P3562" i="1"/>
  <c r="O3445" i="1"/>
  <c r="O3446" i="1" s="1"/>
  <c r="P3445" i="1"/>
  <c r="O3368" i="1"/>
  <c r="O3369" i="1" s="1"/>
  <c r="P3368" i="1"/>
  <c r="P3705" i="1"/>
  <c r="O3708" i="1"/>
  <c r="O3709" i="1" s="1"/>
  <c r="O3710" i="1" s="1"/>
  <c r="P3708" i="1"/>
  <c r="P3691" i="1"/>
  <c r="P3683" i="1"/>
  <c r="O3674" i="1"/>
  <c r="O3675" i="1" s="1"/>
  <c r="O3676" i="1" s="1"/>
  <c r="P3674" i="1"/>
  <c r="P3660" i="1"/>
  <c r="P3641" i="1"/>
  <c r="P3633" i="1"/>
  <c r="P3607" i="1"/>
  <c r="O3589" i="1"/>
  <c r="O3590" i="1" s="1"/>
  <c r="O3591" i="1" s="1"/>
  <c r="P3589" i="1"/>
  <c r="P3581" i="1"/>
  <c r="O3569" i="1"/>
  <c r="O3570" i="1" s="1"/>
  <c r="P3569" i="1"/>
  <c r="P3557" i="1"/>
  <c r="P3547" i="1"/>
  <c r="P3532" i="1"/>
  <c r="P3481" i="1"/>
  <c r="P3470" i="1"/>
  <c r="P3464" i="1"/>
  <c r="P3412" i="1"/>
  <c r="P3407" i="1"/>
  <c r="P3389" i="1"/>
  <c r="P3382" i="1"/>
  <c r="P3364" i="1"/>
  <c r="O3364" i="1"/>
  <c r="O3365" i="1" s="1"/>
  <c r="O3366" i="1" s="1"/>
  <c r="P3321" i="1"/>
  <c r="P3311" i="1"/>
  <c r="P3296" i="1"/>
  <c r="O3287" i="1"/>
  <c r="O3288" i="1" s="1"/>
  <c r="P3287" i="1"/>
  <c r="O3246" i="1"/>
  <c r="O3247" i="1" s="1"/>
  <c r="O3248" i="1" s="1"/>
  <c r="P3246" i="1"/>
  <c r="P3230" i="1"/>
  <c r="P3730" i="1"/>
  <c r="P3520" i="1"/>
  <c r="P3501" i="1"/>
  <c r="P3430" i="1"/>
  <c r="P3219" i="1"/>
  <c r="P3115" i="1"/>
  <c r="P3145" i="1"/>
  <c r="P3118" i="1"/>
  <c r="O3118" i="1"/>
  <c r="P3100" i="1"/>
  <c r="O3084" i="1"/>
  <c r="P3084" i="1"/>
  <c r="Q3084" i="1" s="1"/>
  <c r="O3071" i="1"/>
  <c r="P3071" i="1"/>
  <c r="P3063" i="1"/>
  <c r="O3042" i="1"/>
  <c r="P3042" i="1"/>
  <c r="P3034" i="1"/>
  <c r="P3026" i="1"/>
  <c r="O3026" i="1"/>
  <c r="P2993" i="1"/>
  <c r="O2993" i="1"/>
  <c r="P3023" i="1"/>
  <c r="P3139" i="1"/>
  <c r="P3056" i="1"/>
  <c r="O3017" i="1"/>
  <c r="O3018" i="1" s="1"/>
  <c r="P3017" i="1"/>
  <c r="P3122" i="1"/>
  <c r="O3122" i="1"/>
  <c r="O3123" i="1" s="1"/>
  <c r="O3124" i="1" s="1"/>
  <c r="O3125" i="1" s="1"/>
  <c r="O3006" i="1"/>
  <c r="P3006" i="1"/>
  <c r="P3000" i="1"/>
  <c r="O2970" i="1"/>
  <c r="O2971" i="1" s="1"/>
  <c r="P2970" i="1"/>
  <c r="P2948" i="1"/>
  <c r="P2959" i="1"/>
  <c r="O2966" i="1"/>
  <c r="O2967" i="1" s="1"/>
  <c r="O2968" i="1" s="1"/>
  <c r="P2966" i="1"/>
  <c r="Q2966" i="1" s="1"/>
  <c r="P4224" i="1"/>
  <c r="O4224" i="1"/>
  <c r="P4216" i="1"/>
  <c r="O4216" i="1"/>
  <c r="P4208" i="1"/>
  <c r="P3201" i="1"/>
  <c r="O3883" i="1"/>
  <c r="P3883" i="1"/>
  <c r="O4018" i="1"/>
  <c r="O4019" i="1" s="1"/>
  <c r="P4018" i="1"/>
  <c r="Q4018" i="1" s="1"/>
  <c r="P3844" i="1"/>
  <c r="P4046" i="1"/>
  <c r="O3942" i="1"/>
  <c r="O3943" i="1" s="1"/>
  <c r="P3942" i="1"/>
  <c r="P3842" i="1"/>
  <c r="P3933" i="1"/>
  <c r="P4096" i="1"/>
  <c r="P3908" i="1"/>
  <c r="P4038" i="1"/>
  <c r="O4038" i="1"/>
  <c r="P4138" i="1"/>
  <c r="P4090" i="1"/>
  <c r="P3953" i="1"/>
  <c r="O3904" i="1"/>
  <c r="P3904" i="1"/>
  <c r="O3913" i="1"/>
  <c r="P3913" i="1"/>
  <c r="P3828" i="1"/>
  <c r="P3999" i="1"/>
  <c r="P4132" i="1"/>
  <c r="P4123" i="1"/>
  <c r="O4115" i="1"/>
  <c r="O4116" i="1" s="1"/>
  <c r="O4117" i="1" s="1"/>
  <c r="O4118" i="1" s="1"/>
  <c r="O4119" i="1" s="1"/>
  <c r="P4115" i="1"/>
  <c r="O4097" i="1"/>
  <c r="O4098" i="1" s="1"/>
  <c r="O4099" i="1" s="1"/>
  <c r="O4100" i="1" s="1"/>
  <c r="O4101" i="1" s="1"/>
  <c r="P4097" i="1"/>
  <c r="P4077" i="1"/>
  <c r="P4069" i="1"/>
  <c r="P4051" i="1"/>
  <c r="P4034" i="1"/>
  <c r="P4009" i="1"/>
  <c r="P3992" i="1"/>
  <c r="P3984" i="1"/>
  <c r="P3976" i="1"/>
  <c r="P3969" i="1"/>
  <c r="P3961" i="1"/>
  <c r="P3946" i="1"/>
  <c r="O3922" i="1"/>
  <c r="O3923" i="1" s="1"/>
  <c r="O3924" i="1" s="1"/>
  <c r="O3925" i="1" s="1"/>
  <c r="O3926" i="1" s="1"/>
  <c r="P3922" i="1"/>
  <c r="P3902" i="1"/>
  <c r="P3895" i="1"/>
  <c r="P3874" i="1"/>
  <c r="P3856" i="1"/>
  <c r="P3836" i="1"/>
  <c r="P3819" i="1"/>
  <c r="P3811" i="1"/>
  <c r="P3804" i="1"/>
  <c r="P3787" i="1"/>
  <c r="P3794" i="1"/>
  <c r="O3794" i="1"/>
  <c r="P3188" i="1"/>
  <c r="Q3188" i="1" s="1"/>
  <c r="O3188" i="1"/>
  <c r="P3180" i="1"/>
  <c r="P3866" i="1"/>
  <c r="P3361" i="1"/>
  <c r="O3352" i="1"/>
  <c r="P3352" i="1"/>
  <c r="O3751" i="1"/>
  <c r="P3751" i="1"/>
  <c r="P3749" i="1"/>
  <c r="O3749" i="1"/>
  <c r="O3740" i="1"/>
  <c r="O3741" i="1" s="1"/>
  <c r="P3740" i="1"/>
  <c r="P3168" i="1"/>
  <c r="P3171" i="1"/>
  <c r="O6226" i="1"/>
  <c r="O6227" i="1" s="1"/>
  <c r="P6226" i="1"/>
  <c r="O6291" i="1"/>
  <c r="O6292" i="1" s="1"/>
  <c r="P6291" i="1"/>
  <c r="O6282" i="1"/>
  <c r="O6283" i="1" s="1"/>
  <c r="P6282" i="1"/>
  <c r="P6275" i="1"/>
  <c r="O6266" i="1"/>
  <c r="O6267" i="1" s="1"/>
  <c r="P6266" i="1"/>
  <c r="O6258" i="1"/>
  <c r="O6259" i="1" s="1"/>
  <c r="P6258" i="1"/>
  <c r="O6251" i="1"/>
  <c r="P6251" i="1"/>
  <c r="O6243" i="1"/>
  <c r="P6243" i="1"/>
  <c r="O6304" i="1"/>
  <c r="P6304" i="1"/>
  <c r="O6235" i="1"/>
  <c r="P6235" i="1"/>
  <c r="Q6235" i="1" s="1"/>
  <c r="O6307" i="1"/>
  <c r="P6307" i="1"/>
  <c r="P3304" i="1"/>
  <c r="P3433" i="1"/>
  <c r="P3148" i="1"/>
  <c r="O3148" i="1"/>
  <c r="P3095" i="1"/>
  <c r="P3066" i="1"/>
  <c r="P3049" i="1"/>
  <c r="P3052" i="1"/>
  <c r="P2983" i="1"/>
  <c r="O2954" i="1"/>
  <c r="O2955" i="1" s="1"/>
  <c r="P2954" i="1"/>
  <c r="P4144" i="1"/>
  <c r="P4022" i="1"/>
  <c r="O3929" i="1"/>
  <c r="O3930" i="1" s="1"/>
  <c r="P3929" i="1"/>
  <c r="P4134" i="1"/>
  <c r="P4102" i="1"/>
  <c r="P4037" i="1"/>
  <c r="P3988" i="1"/>
  <c r="P3949" i="1"/>
  <c r="P3920" i="1"/>
  <c r="O3855" i="1"/>
  <c r="O3856" i="1" s="1"/>
  <c r="O3857" i="1" s="1"/>
  <c r="O3858" i="1" s="1"/>
  <c r="O3859" i="1" s="1"/>
  <c r="P3855" i="1"/>
  <c r="P3814" i="1"/>
  <c r="P3789" i="1"/>
  <c r="O3355" i="1"/>
  <c r="P3355" i="1"/>
  <c r="P3744" i="1"/>
  <c r="P6295" i="1"/>
  <c r="P6254" i="1"/>
  <c r="P6300" i="1"/>
  <c r="O6205" i="1"/>
  <c r="P6205" i="1"/>
  <c r="P6189" i="1"/>
  <c r="O6165" i="1"/>
  <c r="P6165" i="1"/>
  <c r="O6212" i="1"/>
  <c r="P6212" i="1"/>
  <c r="O6196" i="1"/>
  <c r="P6196" i="1"/>
  <c r="O6180" i="1"/>
  <c r="P6180" i="1"/>
  <c r="P6164" i="1"/>
  <c r="O6148" i="1"/>
  <c r="P6148" i="1"/>
  <c r="P6140" i="1"/>
  <c r="P6124" i="1"/>
  <c r="O6108" i="1"/>
  <c r="P6108" i="1"/>
  <c r="Q6108" i="1" s="1"/>
  <c r="O6092" i="1"/>
  <c r="O6093" i="1" s="1"/>
  <c r="O6094" i="1" s="1"/>
  <c r="O6095" i="1" s="1"/>
  <c r="O6096" i="1" s="1"/>
  <c r="P6092" i="1"/>
  <c r="P6076" i="1"/>
  <c r="O6076" i="1"/>
  <c r="O6060" i="1"/>
  <c r="P6060" i="1"/>
  <c r="P6044" i="1"/>
  <c r="P6028" i="1"/>
  <c r="P6012" i="1"/>
  <c r="P5996" i="1"/>
  <c r="O5980" i="1"/>
  <c r="O5981" i="1" s="1"/>
  <c r="O5982" i="1" s="1"/>
  <c r="O5983" i="1" s="1"/>
  <c r="O5984" i="1" s="1"/>
  <c r="P5980" i="1"/>
  <c r="O5964" i="1"/>
  <c r="O5965" i="1" s="1"/>
  <c r="O5966" i="1" s="1"/>
  <c r="P5964" i="1"/>
  <c r="O5948" i="1"/>
  <c r="P5948" i="1"/>
  <c r="P5932" i="1"/>
  <c r="P5916" i="1"/>
  <c r="P5900" i="1"/>
  <c r="P5884" i="1"/>
  <c r="P5868" i="1"/>
  <c r="P5860" i="1"/>
  <c r="P5844" i="1"/>
  <c r="P5828" i="1"/>
  <c r="P5812" i="1"/>
  <c r="O5796" i="1"/>
  <c r="P5796" i="1"/>
  <c r="O5780" i="1"/>
  <c r="P5780" i="1"/>
  <c r="O5756" i="1"/>
  <c r="P5756" i="1"/>
  <c r="P5740" i="1"/>
  <c r="P5724" i="1"/>
  <c r="O5708" i="1"/>
  <c r="P5708" i="1"/>
  <c r="O5684" i="1"/>
  <c r="P5684" i="1"/>
  <c r="O5668" i="1"/>
  <c r="P5668" i="1"/>
  <c r="P5644" i="1"/>
  <c r="O5628" i="1"/>
  <c r="O5629" i="1" s="1"/>
  <c r="P5628" i="1"/>
  <c r="Q5628" i="1" s="1"/>
  <c r="P5604" i="1"/>
  <c r="P5580" i="1"/>
  <c r="O5564" i="1"/>
  <c r="P5564" i="1"/>
  <c r="O5540" i="1"/>
  <c r="P5540" i="1"/>
  <c r="P5524" i="1"/>
  <c r="O5500" i="1"/>
  <c r="P5500" i="1"/>
  <c r="Q5500" i="1" s="1"/>
  <c r="P5484" i="1"/>
  <c r="P5460" i="1"/>
  <c r="O5460" i="1"/>
  <c r="P5436" i="1"/>
  <c r="O5420" i="1"/>
  <c r="P5420" i="1"/>
  <c r="P5397" i="1"/>
  <c r="O5381" i="1"/>
  <c r="O5382" i="1" s="1"/>
  <c r="P5381" i="1"/>
  <c r="O5357" i="1"/>
  <c r="P5357" i="1"/>
  <c r="O5341" i="1"/>
  <c r="P5341" i="1"/>
  <c r="P5317" i="1"/>
  <c r="P5285" i="1"/>
  <c r="P5261" i="1"/>
  <c r="P5245" i="1"/>
  <c r="O5229" i="1"/>
  <c r="O5230" i="1" s="1"/>
  <c r="O5231" i="1" s="1"/>
  <c r="O5232" i="1" s="1"/>
  <c r="O5233" i="1" s="1"/>
  <c r="O5234" i="1" s="1"/>
  <c r="P5229" i="1"/>
  <c r="P5205" i="1"/>
  <c r="P5181" i="1"/>
  <c r="P5157" i="1"/>
  <c r="P5133" i="1"/>
  <c r="P5061" i="1"/>
  <c r="P6203" i="1"/>
  <c r="P6187" i="1"/>
  <c r="O6171" i="1"/>
  <c r="P6171" i="1"/>
  <c r="P6155" i="1"/>
  <c r="O6139" i="1"/>
  <c r="O6140" i="1" s="1"/>
  <c r="O6141" i="1" s="1"/>
  <c r="O6142" i="1" s="1"/>
  <c r="O6143" i="1" s="1"/>
  <c r="P6139" i="1"/>
  <c r="P6123" i="1"/>
  <c r="P6107" i="1"/>
  <c r="P6099" i="1"/>
  <c r="P6091" i="1"/>
  <c r="P6083" i="1"/>
  <c r="P6075" i="1"/>
  <c r="P6067" i="1"/>
  <c r="P6059" i="1"/>
  <c r="P6051" i="1"/>
  <c r="P6043" i="1"/>
  <c r="P6035" i="1"/>
  <c r="O6027" i="1"/>
  <c r="O6028" i="1" s="1"/>
  <c r="P6027" i="1"/>
  <c r="P6019" i="1"/>
  <c r="O6011" i="1"/>
  <c r="O6012" i="1" s="1"/>
  <c r="O6013" i="1" s="1"/>
  <c r="O6014" i="1" s="1"/>
  <c r="O6015" i="1" s="1"/>
  <c r="P6011" i="1"/>
  <c r="P6003" i="1"/>
  <c r="O5995" i="1"/>
  <c r="O5996" i="1" s="1"/>
  <c r="O5997" i="1" s="1"/>
  <c r="O5998" i="1" s="1"/>
  <c r="O5999" i="1" s="1"/>
  <c r="P5995" i="1"/>
  <c r="P5987" i="1"/>
  <c r="P5979" i="1"/>
  <c r="P5971" i="1"/>
  <c r="P5963" i="1"/>
  <c r="P5955" i="1"/>
  <c r="P5947" i="1"/>
  <c r="P5939" i="1"/>
  <c r="P5931" i="1"/>
  <c r="P5923" i="1"/>
  <c r="P5915" i="1"/>
  <c r="O5915" i="1"/>
  <c r="O5916" i="1" s="1"/>
  <c r="O5917" i="1" s="1"/>
  <c r="O5918" i="1" s="1"/>
  <c r="O5919" i="1" s="1"/>
  <c r="P5907" i="1"/>
  <c r="O5899" i="1"/>
  <c r="P5899" i="1"/>
  <c r="P5891" i="1"/>
  <c r="P5883" i="1"/>
  <c r="P5875" i="1"/>
  <c r="P5867" i="1"/>
  <c r="O5867" i="1"/>
  <c r="O5868" i="1" s="1"/>
  <c r="O5869" i="1" s="1"/>
  <c r="O5870" i="1" s="1"/>
  <c r="O5871" i="1" s="1"/>
  <c r="P5859" i="1"/>
  <c r="O5859" i="1"/>
  <c r="P5851" i="1"/>
  <c r="P5843" i="1"/>
  <c r="P5835" i="1"/>
  <c r="P5827" i="1"/>
  <c r="O5819" i="1"/>
  <c r="O5820" i="1" s="1"/>
  <c r="O5821" i="1" s="1"/>
  <c r="P5819" i="1"/>
  <c r="O5811" i="1"/>
  <c r="O5812" i="1" s="1"/>
  <c r="O5813" i="1" s="1"/>
  <c r="O5814" i="1" s="1"/>
  <c r="O5815" i="1" s="1"/>
  <c r="P5811" i="1"/>
  <c r="O5803" i="1"/>
  <c r="P5803" i="1"/>
  <c r="P5795" i="1"/>
  <c r="O5795" i="1"/>
  <c r="P5787" i="1"/>
  <c r="O5779" i="1"/>
  <c r="P5779" i="1"/>
  <c r="O5771" i="1"/>
  <c r="P5771" i="1"/>
  <c r="O5763" i="1"/>
  <c r="O5764" i="1" s="1"/>
  <c r="O5765" i="1" s="1"/>
  <c r="P5763" i="1"/>
  <c r="O5755" i="1"/>
  <c r="P5755" i="1"/>
  <c r="P5747" i="1"/>
  <c r="O5739" i="1"/>
  <c r="O5740" i="1" s="1"/>
  <c r="O5741" i="1" s="1"/>
  <c r="P5739" i="1"/>
  <c r="P5731" i="1"/>
  <c r="O5723" i="1"/>
  <c r="P5723" i="1"/>
  <c r="O5707" i="1"/>
  <c r="P5707" i="1"/>
  <c r="O5699" i="1"/>
  <c r="P5699" i="1"/>
  <c r="O5691" i="1"/>
  <c r="P5691" i="1"/>
  <c r="O5683" i="1"/>
  <c r="P5683" i="1"/>
  <c r="P5675" i="1"/>
  <c r="O5667" i="1"/>
  <c r="P5667" i="1"/>
  <c r="O5659" i="1"/>
  <c r="P5659" i="1"/>
  <c r="P5651" i="1"/>
  <c r="O5643" i="1"/>
  <c r="O5644" i="1" s="1"/>
  <c r="O5645" i="1" s="1"/>
  <c r="P5643" i="1"/>
  <c r="O5635" i="1"/>
  <c r="O5636" i="1" s="1"/>
  <c r="P5635" i="1"/>
  <c r="O5627" i="1"/>
  <c r="P5627" i="1"/>
  <c r="O5619" i="1"/>
  <c r="P5619" i="1"/>
  <c r="P5611" i="1"/>
  <c r="O5611" i="1"/>
  <c r="O5603" i="1"/>
  <c r="P5603" i="1"/>
  <c r="O5587" i="1"/>
  <c r="P5587" i="1"/>
  <c r="O5579" i="1"/>
  <c r="P5579" i="1"/>
  <c r="P5571" i="1"/>
  <c r="P5563" i="1"/>
  <c r="O5555" i="1"/>
  <c r="P5555" i="1"/>
  <c r="P5547" i="1"/>
  <c r="O5539" i="1"/>
  <c r="P5539" i="1"/>
  <c r="O5531" i="1"/>
  <c r="O5532" i="1" s="1"/>
  <c r="P5531" i="1"/>
  <c r="O5523" i="1"/>
  <c r="P5523" i="1"/>
  <c r="O5515" i="1"/>
  <c r="O5516" i="1" s="1"/>
  <c r="P5515" i="1"/>
  <c r="O5507" i="1"/>
  <c r="P5507" i="1"/>
  <c r="P5499" i="1"/>
  <c r="P5491" i="1"/>
  <c r="O5483" i="1"/>
  <c r="O5484" i="1" s="1"/>
  <c r="P5483" i="1"/>
  <c r="P5475" i="1"/>
  <c r="O5467" i="1"/>
  <c r="P5467" i="1"/>
  <c r="O5459" i="1"/>
  <c r="P5459" i="1"/>
  <c r="O5451" i="1"/>
  <c r="O5452" i="1" s="1"/>
  <c r="P5451" i="1"/>
  <c r="O5443" i="1"/>
  <c r="P5443" i="1"/>
  <c r="O5435" i="1"/>
  <c r="O5436" i="1" s="1"/>
  <c r="P5435" i="1"/>
  <c r="P5427" i="1"/>
  <c r="O5419" i="1"/>
  <c r="P5419" i="1"/>
  <c r="P5396" i="1"/>
  <c r="O5396" i="1"/>
  <c r="O5397" i="1" s="1"/>
  <c r="O5398" i="1" s="1"/>
  <c r="O5388" i="1"/>
  <c r="O5389" i="1" s="1"/>
  <c r="O5390" i="1" s="1"/>
  <c r="P5388" i="1"/>
  <c r="P5380" i="1"/>
  <c r="O5372" i="1"/>
  <c r="O5373" i="1" s="1"/>
  <c r="O5374" i="1" s="1"/>
  <c r="O5375" i="1" s="1"/>
  <c r="O5376" i="1" s="1"/>
  <c r="P5372" i="1"/>
  <c r="O5364" i="1"/>
  <c r="P5364" i="1"/>
  <c r="O5356" i="1"/>
  <c r="P5356" i="1"/>
  <c r="O5348" i="1"/>
  <c r="P5348" i="1"/>
  <c r="P5340" i="1"/>
  <c r="O5340" i="1"/>
  <c r="O5332" i="1"/>
  <c r="O5333" i="1" s="1"/>
  <c r="P5332" i="1"/>
  <c r="P5324" i="1"/>
  <c r="P5316" i="1"/>
  <c r="O5316" i="1"/>
  <c r="O5317" i="1" s="1"/>
  <c r="P5308" i="1"/>
  <c r="P5300" i="1"/>
  <c r="P5292" i="1"/>
  <c r="P5284" i="1"/>
  <c r="P5276" i="1"/>
  <c r="P5268" i="1"/>
  <c r="O5260" i="1"/>
  <c r="O5261" i="1" s="1"/>
  <c r="P5260" i="1"/>
  <c r="P5252" i="1"/>
  <c r="P5244" i="1"/>
  <c r="P5236" i="1"/>
  <c r="P5228" i="1"/>
  <c r="P5220" i="1"/>
  <c r="P5212" i="1"/>
  <c r="O5204" i="1"/>
  <c r="O5205" i="1" s="1"/>
  <c r="P5204" i="1"/>
  <c r="Q5204" i="1" s="1"/>
  <c r="P5196" i="1"/>
  <c r="P5188" i="1"/>
  <c r="P5180" i="1"/>
  <c r="P5172" i="1"/>
  <c r="P5164" i="1"/>
  <c r="P5156" i="1"/>
  <c r="O5148" i="1"/>
  <c r="O5149" i="1" s="1"/>
  <c r="O5150" i="1" s="1"/>
  <c r="O5151" i="1" s="1"/>
  <c r="O5152" i="1" s="1"/>
  <c r="P5148" i="1"/>
  <c r="P5140" i="1"/>
  <c r="P5132" i="1"/>
  <c r="P5124" i="1"/>
  <c r="P5116" i="1"/>
  <c r="P5108" i="1"/>
  <c r="P5100" i="1"/>
  <c r="P5092" i="1"/>
  <c r="O5084" i="1"/>
  <c r="O5085" i="1" s="1"/>
  <c r="P5084" i="1"/>
  <c r="P5076" i="1"/>
  <c r="P5068" i="1"/>
  <c r="P5060" i="1"/>
  <c r="P5052" i="1"/>
  <c r="O5052" i="1"/>
  <c r="O5053" i="1" s="1"/>
  <c r="O5054" i="1" s="1"/>
  <c r="O5055" i="1" s="1"/>
  <c r="O5056" i="1" s="1"/>
  <c r="P5044" i="1"/>
  <c r="P5036" i="1"/>
  <c r="P5028" i="1"/>
  <c r="O5020" i="1"/>
  <c r="P5020" i="1"/>
  <c r="O5012" i="1"/>
  <c r="P5012" i="1"/>
  <c r="O5004" i="1"/>
  <c r="P5004" i="1"/>
  <c r="P4996" i="1"/>
  <c r="O4996" i="1"/>
  <c r="O4997" i="1" s="1"/>
  <c r="P4988" i="1"/>
  <c r="O4988" i="1"/>
  <c r="O4989" i="1" s="1"/>
  <c r="O4990" i="1" s="1"/>
  <c r="O4991" i="1" s="1"/>
  <c r="O4992" i="1" s="1"/>
  <c r="O4980" i="1"/>
  <c r="P4980" i="1"/>
  <c r="Q4980" i="1" s="1"/>
  <c r="P4972" i="1"/>
  <c r="P4964" i="1"/>
  <c r="P4956" i="1"/>
  <c r="P4948" i="1"/>
  <c r="P4940" i="1"/>
  <c r="P4932" i="1"/>
  <c r="O4924" i="1"/>
  <c r="P4924" i="1"/>
  <c r="P4916" i="1"/>
  <c r="P4908" i="1"/>
  <c r="P4900" i="1"/>
  <c r="P4892" i="1"/>
  <c r="P4884" i="1"/>
  <c r="O4876" i="1"/>
  <c r="P4876" i="1"/>
  <c r="P4868" i="1"/>
  <c r="P4860" i="1"/>
  <c r="P4852" i="1"/>
  <c r="P4844" i="1"/>
  <c r="P4836" i="1"/>
  <c r="O4836" i="1"/>
  <c r="P4828" i="1"/>
  <c r="P4820" i="1"/>
  <c r="O4812" i="1"/>
  <c r="O4813" i="1" s="1"/>
  <c r="O4814" i="1" s="1"/>
  <c r="O4815" i="1" s="1"/>
  <c r="O4816" i="1" s="1"/>
  <c r="P4812" i="1"/>
  <c r="O4804" i="1"/>
  <c r="P4804" i="1"/>
  <c r="P4796" i="1"/>
  <c r="P4788" i="1"/>
  <c r="P4780" i="1"/>
  <c r="P4772" i="1"/>
  <c r="P4764" i="1"/>
  <c r="P4756" i="1"/>
  <c r="P4748" i="1"/>
  <c r="O4748" i="1"/>
  <c r="O4749" i="1" s="1"/>
  <c r="O4750" i="1" s="1"/>
  <c r="O4740" i="1"/>
  <c r="P4740" i="1"/>
  <c r="Q4740" i="1" s="1"/>
  <c r="O4732" i="1"/>
  <c r="O4733" i="1" s="1"/>
  <c r="P4732" i="1"/>
  <c r="P4724" i="1"/>
  <c r="P4716" i="1"/>
  <c r="P4708" i="1"/>
  <c r="P4700" i="1"/>
  <c r="O4692" i="1"/>
  <c r="P4692" i="1"/>
  <c r="P4684" i="1"/>
  <c r="P4676" i="1"/>
  <c r="O4676" i="1"/>
  <c r="P4668" i="1"/>
  <c r="O4660" i="1"/>
  <c r="O4661" i="1" s="1"/>
  <c r="P4660" i="1"/>
  <c r="Q4660" i="1" s="1"/>
  <c r="O4652" i="1"/>
  <c r="O4653" i="1" s="1"/>
  <c r="P4652" i="1"/>
  <c r="Q4652" i="1" s="1"/>
  <c r="O4644" i="1"/>
  <c r="O4645" i="1" s="1"/>
  <c r="P4644" i="1"/>
  <c r="Q4644" i="1" s="1"/>
  <c r="P4636" i="1"/>
  <c r="P4628" i="1"/>
  <c r="O4620" i="1"/>
  <c r="O4621" i="1" s="1"/>
  <c r="P4620" i="1"/>
  <c r="P4612" i="1"/>
  <c r="P4604" i="1"/>
  <c r="O4596" i="1"/>
  <c r="P4596" i="1"/>
  <c r="P4588" i="1"/>
  <c r="P4580" i="1"/>
  <c r="P4572" i="1"/>
  <c r="P4564" i="1"/>
  <c r="P4556" i="1"/>
  <c r="P4548" i="1"/>
  <c r="O4548" i="1"/>
  <c r="P4540" i="1"/>
  <c r="P4532" i="1"/>
  <c r="O4532" i="1"/>
  <c r="P4524" i="1"/>
  <c r="P4516" i="1"/>
  <c r="O4508" i="1"/>
  <c r="P4508" i="1"/>
  <c r="P4500" i="1"/>
  <c r="P4492" i="1"/>
  <c r="P4484" i="1"/>
  <c r="O4476" i="1"/>
  <c r="P4476" i="1"/>
  <c r="P4460" i="1"/>
  <c r="P4444" i="1"/>
  <c r="O4436" i="1"/>
  <c r="O4437" i="1" s="1"/>
  <c r="P4436" i="1"/>
  <c r="Q4436" i="1" s="1"/>
  <c r="O4428" i="1"/>
  <c r="P4428" i="1"/>
  <c r="O4420" i="1"/>
  <c r="P4420" i="1"/>
  <c r="Q4420" i="1" s="1"/>
  <c r="P4412" i="1"/>
  <c r="O4404" i="1"/>
  <c r="O4405" i="1" s="1"/>
  <c r="P4404" i="1"/>
  <c r="O4396" i="1"/>
  <c r="P4396" i="1"/>
  <c r="Q4396" i="1" s="1"/>
  <c r="P4388" i="1"/>
  <c r="P4380" i="1"/>
  <c r="O4372" i="1"/>
  <c r="P4372" i="1"/>
  <c r="P4364" i="1"/>
  <c r="P4356" i="1"/>
  <c r="O4348" i="1"/>
  <c r="P4348" i="1"/>
  <c r="O4340" i="1"/>
  <c r="O4341" i="1" s="1"/>
  <c r="P4340" i="1"/>
  <c r="P4332" i="1"/>
  <c r="O4332" i="1"/>
  <c r="P4324" i="1"/>
  <c r="O4316" i="1"/>
  <c r="P4316" i="1"/>
  <c r="P4308" i="1"/>
  <c r="P4300" i="1"/>
  <c r="O4292" i="1"/>
  <c r="P4292" i="1"/>
  <c r="O4284" i="1"/>
  <c r="O4285" i="1" s="1"/>
  <c r="P4284" i="1"/>
  <c r="P4276" i="1"/>
  <c r="P4261" i="1"/>
  <c r="O4253" i="1"/>
  <c r="O4254" i="1" s="1"/>
  <c r="O4255" i="1" s="1"/>
  <c r="P4253" i="1"/>
  <c r="P4245" i="1"/>
  <c r="P4229" i="1"/>
  <c r="O3775" i="1"/>
  <c r="P3775" i="1"/>
  <c r="O3761" i="1"/>
  <c r="P3761" i="1"/>
  <c r="O3771" i="1"/>
  <c r="P3771" i="1"/>
  <c r="Q3771" i="1" s="1"/>
  <c r="O2991" i="1"/>
  <c r="P2991" i="1"/>
  <c r="P3150" i="1"/>
  <c r="O3150" i="1"/>
  <c r="O4193" i="1"/>
  <c r="P4193" i="1"/>
  <c r="P4165" i="1"/>
  <c r="P4188" i="1"/>
  <c r="P4185" i="1"/>
  <c r="P4160" i="1"/>
  <c r="P4154" i="1"/>
  <c r="P4148" i="1"/>
  <c r="P3424" i="1"/>
  <c r="P3725" i="1"/>
  <c r="O3649" i="1"/>
  <c r="P3649" i="1"/>
  <c r="O3625" i="1"/>
  <c r="P3625" i="1"/>
  <c r="P3594" i="1"/>
  <c r="P3526" i="1"/>
  <c r="P3496" i="1"/>
  <c r="O3496" i="1"/>
  <c r="P3427" i="1"/>
  <c r="O3416" i="1"/>
  <c r="O3417" i="1" s="1"/>
  <c r="P3416" i="1"/>
  <c r="O3333" i="1"/>
  <c r="P3333" i="1"/>
  <c r="O3323" i="1"/>
  <c r="P3323" i="1"/>
  <c r="P3260" i="1"/>
  <c r="O3240" i="1"/>
  <c r="O3241" i="1" s="1"/>
  <c r="P3240" i="1"/>
  <c r="P3717" i="1"/>
  <c r="P3624" i="1"/>
  <c r="P3399" i="1"/>
  <c r="P3700" i="1"/>
  <c r="P3608" i="1"/>
  <c r="O3608" i="1"/>
  <c r="O3609" i="1" s="1"/>
  <c r="O3550" i="1"/>
  <c r="P3550" i="1"/>
  <c r="P3391" i="1"/>
  <c r="P3308" i="1"/>
  <c r="O3308" i="1"/>
  <c r="P3602" i="1"/>
  <c r="P3561" i="1"/>
  <c r="P3448" i="1"/>
  <c r="P3369" i="1"/>
  <c r="P3710" i="1"/>
  <c r="P3681" i="1"/>
  <c r="P3673" i="1"/>
  <c r="O3657" i="1"/>
  <c r="P3657" i="1"/>
  <c r="P3640" i="1"/>
  <c r="P3632" i="1"/>
  <c r="P3604" i="1"/>
  <c r="P3588" i="1"/>
  <c r="P3579" i="1"/>
  <c r="P3570" i="1"/>
  <c r="P3556" i="1"/>
  <c r="O3546" i="1"/>
  <c r="O3547" i="1" s="1"/>
  <c r="O3548" i="1" s="1"/>
  <c r="P3546" i="1"/>
  <c r="O3531" i="1"/>
  <c r="O3532" i="1" s="1"/>
  <c r="O3533" i="1" s="1"/>
  <c r="P3531" i="1"/>
  <c r="Q3531" i="1" s="1"/>
  <c r="P3477" i="1"/>
  <c r="P3469" i="1"/>
  <c r="O3450" i="1"/>
  <c r="P3450" i="1"/>
  <c r="P3413" i="1"/>
  <c r="P3405" i="1"/>
  <c r="O3405" i="1"/>
  <c r="O3406" i="1" s="1"/>
  <c r="O3407" i="1" s="1"/>
  <c r="P3380" i="1"/>
  <c r="P3347" i="1"/>
  <c r="P3320" i="1"/>
  <c r="P3310" i="1"/>
  <c r="O3310" i="1"/>
  <c r="O3311" i="1" s="1"/>
  <c r="O3312" i="1" s="1"/>
  <c r="P3295" i="1"/>
  <c r="P3288" i="1"/>
  <c r="O3274" i="1"/>
  <c r="O3275" i="1" s="1"/>
  <c r="O3276" i="1" s="1"/>
  <c r="P3274" i="1"/>
  <c r="P3248" i="1"/>
  <c r="P3229" i="1"/>
  <c r="P3729" i="1"/>
  <c r="O3518" i="1"/>
  <c r="O3519" i="1" s="1"/>
  <c r="O3520" i="1" s="1"/>
  <c r="O3521" i="1" s="1"/>
  <c r="P3518" i="1"/>
  <c r="P3500" i="1"/>
  <c r="P3429" i="1"/>
  <c r="O3218" i="1"/>
  <c r="O3219" i="1" s="1"/>
  <c r="P3218" i="1"/>
  <c r="O3114" i="1"/>
  <c r="P3114" i="1"/>
  <c r="O3143" i="1"/>
  <c r="O3144" i="1" s="1"/>
  <c r="P3143" i="1"/>
  <c r="P3117" i="1"/>
  <c r="O3107" i="1"/>
  <c r="P3107" i="1"/>
  <c r="P3099" i="1"/>
  <c r="O3099" i="1"/>
  <c r="O3100" i="1" s="1"/>
  <c r="P3091" i="1"/>
  <c r="P3080" i="1"/>
  <c r="P3070" i="1"/>
  <c r="P3062" i="1"/>
  <c r="P3041" i="1"/>
  <c r="O3033" i="1"/>
  <c r="P3033" i="1"/>
  <c r="P3025" i="1"/>
  <c r="O3131" i="1"/>
  <c r="P3131" i="1"/>
  <c r="P3022" i="1"/>
  <c r="P3138" i="1"/>
  <c r="P3055" i="1"/>
  <c r="P3129" i="1"/>
  <c r="P3016" i="1"/>
  <c r="P3005" i="1"/>
  <c r="P2968" i="1"/>
  <c r="P2952" i="1"/>
  <c r="O2977" i="1"/>
  <c r="P2977" i="1"/>
  <c r="Q2977" i="1" s="1"/>
  <c r="P2964" i="1"/>
  <c r="P4223" i="1"/>
  <c r="O4223" i="1"/>
  <c r="P4215" i="1"/>
  <c r="P4207" i="1"/>
  <c r="O4207" i="1"/>
  <c r="O3155" i="1"/>
  <c r="P3155" i="1"/>
  <c r="O3192" i="1"/>
  <c r="P3192" i="1"/>
  <c r="P3200" i="1"/>
  <c r="O3200" i="1"/>
  <c r="O3201" i="1" s="1"/>
  <c r="P3882" i="1"/>
  <c r="P4019" i="1"/>
  <c r="P3843" i="1"/>
  <c r="Q3843" i="1" s="1"/>
  <c r="O3843" i="1"/>
  <c r="O3844" i="1" s="1"/>
  <c r="O4044" i="1"/>
  <c r="O4045" i="1" s="1"/>
  <c r="R4045" i="1" s="1"/>
  <c r="P4044" i="1"/>
  <c r="P3936" i="1"/>
  <c r="O3839" i="1"/>
  <c r="O3840" i="1" s="1"/>
  <c r="P3839" i="1"/>
  <c r="P3932" i="1"/>
  <c r="O3932" i="1"/>
  <c r="O3933" i="1" s="1"/>
  <c r="P4095" i="1"/>
  <c r="O4040" i="1"/>
  <c r="O4041" i="1" s="1"/>
  <c r="P4040" i="1"/>
  <c r="P3957" i="1"/>
  <c r="P3938" i="1"/>
  <c r="P4137" i="1"/>
  <c r="O4089" i="1"/>
  <c r="P4089" i="1"/>
  <c r="P3952" i="1"/>
  <c r="P4072" i="1"/>
  <c r="O3871" i="1"/>
  <c r="P3871" i="1"/>
  <c r="P3826" i="1"/>
  <c r="P3997" i="1"/>
  <c r="P4131" i="1"/>
  <c r="P4122" i="1"/>
  <c r="P4104" i="1"/>
  <c r="P4084" i="1"/>
  <c r="P4074" i="1"/>
  <c r="P4067" i="1"/>
  <c r="P4049" i="1"/>
  <c r="P4033" i="1"/>
  <c r="P4008" i="1"/>
  <c r="P3993" i="1"/>
  <c r="P3985" i="1"/>
  <c r="P3975" i="1"/>
  <c r="P3968" i="1"/>
  <c r="P3921" i="1"/>
  <c r="P3900" i="1"/>
  <c r="P3891" i="1"/>
  <c r="P3858" i="1"/>
  <c r="P3835" i="1"/>
  <c r="P3818" i="1"/>
  <c r="P3810" i="1"/>
  <c r="P3802" i="1"/>
  <c r="O3802" i="1"/>
  <c r="O3803" i="1" s="1"/>
  <c r="O3804" i="1" s="1"/>
  <c r="O3805" i="1" s="1"/>
  <c r="O3806" i="1" s="1"/>
  <c r="P3785" i="1"/>
  <c r="P3187" i="1"/>
  <c r="O3179" i="1"/>
  <c r="O3180" i="1" s="1"/>
  <c r="P3179" i="1"/>
  <c r="O3865" i="1"/>
  <c r="P3865" i="1"/>
  <c r="P3359" i="1"/>
  <c r="O3359" i="1"/>
  <c r="P3351" i="1"/>
  <c r="P3739" i="1"/>
  <c r="P3748" i="1"/>
  <c r="P3741" i="1"/>
  <c r="O3167" i="1"/>
  <c r="O3168" i="1" s="1"/>
  <c r="P3167" i="1"/>
  <c r="O3170" i="1"/>
  <c r="P3170" i="1"/>
  <c r="Q3170" i="1" s="1"/>
  <c r="P6283" i="1"/>
  <c r="P6267" i="1"/>
  <c r="P6259" i="1"/>
  <c r="P6303" i="1"/>
  <c r="P6225" i="1"/>
  <c r="P6217" i="1"/>
  <c r="O3263" i="1"/>
  <c r="O3264" i="1" s="1"/>
  <c r="O3265" i="1" s="1"/>
  <c r="P3263" i="1"/>
  <c r="P3522" i="1"/>
  <c r="P3252" i="1"/>
  <c r="P3121" i="1"/>
  <c r="P3076" i="1"/>
  <c r="P3037" i="1"/>
  <c r="O2994" i="1"/>
  <c r="P2994" i="1"/>
  <c r="P3126" i="1"/>
  <c r="P2955" i="1"/>
  <c r="P2971" i="1"/>
  <c r="O4211" i="1"/>
  <c r="O4212" i="1" s="1"/>
  <c r="P4211" i="1"/>
  <c r="O3196" i="1"/>
  <c r="P3196" i="1"/>
  <c r="P4062" i="1"/>
  <c r="P3910" i="1"/>
  <c r="P4015" i="1"/>
  <c r="O3822" i="1"/>
  <c r="P3822" i="1"/>
  <c r="Q3822" i="1" s="1"/>
  <c r="P4117" i="1"/>
  <c r="P4054" i="1"/>
  <c r="P4005" i="1"/>
  <c r="P3977" i="1"/>
  <c r="P3924" i="1"/>
  <c r="P3852" i="1"/>
  <c r="P3799" i="1"/>
  <c r="P3183" i="1"/>
  <c r="P3153" i="1"/>
  <c r="P3166" i="1"/>
  <c r="P6286" i="1"/>
  <c r="P6270" i="1"/>
  <c r="P6238" i="1"/>
  <c r="O6238" i="1"/>
  <c r="P6229" i="1"/>
  <c r="O6213" i="1"/>
  <c r="P6213" i="1"/>
  <c r="O6197" i="1"/>
  <c r="P6197" i="1"/>
  <c r="Q6197" i="1" s="1"/>
  <c r="P6173" i="1"/>
  <c r="P6157" i="1"/>
  <c r="O6204" i="1"/>
  <c r="P6204" i="1"/>
  <c r="P6188" i="1"/>
  <c r="O6172" i="1"/>
  <c r="P6172" i="1"/>
  <c r="O6156" i="1"/>
  <c r="P6156" i="1"/>
  <c r="P6132" i="1"/>
  <c r="P6116" i="1"/>
  <c r="P6100" i="1"/>
  <c r="O6100" i="1"/>
  <c r="O6101" i="1" s="1"/>
  <c r="O6102" i="1" s="1"/>
  <c r="O6103" i="1" s="1"/>
  <c r="O6104" i="1" s="1"/>
  <c r="P6084" i="1"/>
  <c r="P6068" i="1"/>
  <c r="P6052" i="1"/>
  <c r="O6036" i="1"/>
  <c r="P6036" i="1"/>
  <c r="P6020" i="1"/>
  <c r="O6004" i="1"/>
  <c r="O6005" i="1" s="1"/>
  <c r="O6006" i="1" s="1"/>
  <c r="O6007" i="1" s="1"/>
  <c r="O6008" i="1" s="1"/>
  <c r="P6004" i="1"/>
  <c r="P5988" i="1"/>
  <c r="P5972" i="1"/>
  <c r="P5956" i="1"/>
  <c r="P5940" i="1"/>
  <c r="P5924" i="1"/>
  <c r="O5908" i="1"/>
  <c r="O5909" i="1" s="1"/>
  <c r="O5910" i="1" s="1"/>
  <c r="O5911" i="1" s="1"/>
  <c r="O5912" i="1" s="1"/>
  <c r="O5913" i="1" s="1"/>
  <c r="O5914" i="1" s="1"/>
  <c r="P5908" i="1"/>
  <c r="P5892" i="1"/>
  <c r="O5876" i="1"/>
  <c r="P5876" i="1"/>
  <c r="P5852" i="1"/>
  <c r="P5836" i="1"/>
  <c r="P5820" i="1"/>
  <c r="P5804" i="1"/>
  <c r="O5804" i="1"/>
  <c r="P5788" i="1"/>
  <c r="P5772" i="1"/>
  <c r="O5772" i="1"/>
  <c r="P5764" i="1"/>
  <c r="P5748" i="1"/>
  <c r="O5732" i="1"/>
  <c r="P5732" i="1"/>
  <c r="P5716" i="1"/>
  <c r="O5700" i="1"/>
  <c r="P5700" i="1"/>
  <c r="P5676" i="1"/>
  <c r="O5660" i="1"/>
  <c r="P5660" i="1"/>
  <c r="P5636" i="1"/>
  <c r="O5620" i="1"/>
  <c r="P5620" i="1"/>
  <c r="P5596" i="1"/>
  <c r="P5572" i="1"/>
  <c r="O5548" i="1"/>
  <c r="P5548" i="1"/>
  <c r="P5532" i="1"/>
  <c r="O5508" i="1"/>
  <c r="P5508" i="1"/>
  <c r="Q5508" i="1" s="1"/>
  <c r="P5492" i="1"/>
  <c r="P5468" i="1"/>
  <c r="P5452" i="1"/>
  <c r="O5428" i="1"/>
  <c r="P5428" i="1"/>
  <c r="P5389" i="1"/>
  <c r="O5365" i="1"/>
  <c r="P5365" i="1"/>
  <c r="O5349" i="1"/>
  <c r="P5349" i="1"/>
  <c r="P5325" i="1"/>
  <c r="P5309" i="1"/>
  <c r="P5293" i="1"/>
  <c r="P5277" i="1"/>
  <c r="P5253" i="1"/>
  <c r="O5221" i="1"/>
  <c r="P5221" i="1"/>
  <c r="O5213" i="1"/>
  <c r="O5214" i="1" s="1"/>
  <c r="O5215" i="1" s="1"/>
  <c r="O5216" i="1" s="1"/>
  <c r="P5213" i="1"/>
  <c r="P5189" i="1"/>
  <c r="O5165" i="1"/>
  <c r="O5166" i="1" s="1"/>
  <c r="O5167" i="1" s="1"/>
  <c r="P5165" i="1"/>
  <c r="P5141" i="1"/>
  <c r="P5045" i="1"/>
  <c r="O5045" i="1"/>
  <c r="O5046" i="1" s="1"/>
  <c r="O5047" i="1" s="1"/>
  <c r="O5048" i="1" s="1"/>
  <c r="O5049" i="1" s="1"/>
  <c r="O6211" i="1"/>
  <c r="P6211" i="1"/>
  <c r="P6195" i="1"/>
  <c r="P6179" i="1"/>
  <c r="P6163" i="1"/>
  <c r="O6163" i="1"/>
  <c r="P6147" i="1"/>
  <c r="P6131" i="1"/>
  <c r="P6115" i="1"/>
  <c r="O6202" i="1"/>
  <c r="P6202" i="1"/>
  <c r="O6194" i="1"/>
  <c r="O6195" i="1" s="1"/>
  <c r="P6194" i="1"/>
  <c r="P6186" i="1"/>
  <c r="O6178" i="1"/>
  <c r="P6178" i="1"/>
  <c r="P6170" i="1"/>
  <c r="O6162" i="1"/>
  <c r="P6162" i="1"/>
  <c r="O6154" i="1"/>
  <c r="P6154" i="1"/>
  <c r="P6146" i="1"/>
  <c r="P6138" i="1"/>
  <c r="P6130" i="1"/>
  <c r="O6130" i="1"/>
  <c r="O6131" i="1" s="1"/>
  <c r="O6122" i="1"/>
  <c r="O6123" i="1" s="1"/>
  <c r="P6122" i="1"/>
  <c r="P6114" i="1"/>
  <c r="P6106" i="1"/>
  <c r="Q6106" i="1" s="1"/>
  <c r="O6106" i="1"/>
  <c r="O6107" i="1" s="1"/>
  <c r="P6098" i="1"/>
  <c r="O6090" i="1"/>
  <c r="P6090" i="1"/>
  <c r="P6082" i="1"/>
  <c r="P6074" i="1"/>
  <c r="P6066" i="1"/>
  <c r="P6058" i="1"/>
  <c r="P6050" i="1"/>
  <c r="P6042" i="1"/>
  <c r="P6034" i="1"/>
  <c r="P6026" i="1"/>
  <c r="P6018" i="1"/>
  <c r="P6010" i="1"/>
  <c r="P6002" i="1"/>
  <c r="P5994" i="1"/>
  <c r="O5986" i="1"/>
  <c r="O5987" i="1" s="1"/>
  <c r="O5988" i="1" s="1"/>
  <c r="O5989" i="1" s="1"/>
  <c r="O5990" i="1" s="1"/>
  <c r="P5986" i="1"/>
  <c r="P5978" i="1"/>
  <c r="O5970" i="1"/>
  <c r="P5970" i="1"/>
  <c r="P5962" i="1"/>
  <c r="P5954" i="1"/>
  <c r="P5946" i="1"/>
  <c r="P5938" i="1"/>
  <c r="O5930" i="1"/>
  <c r="P5930" i="1"/>
  <c r="P5922" i="1"/>
  <c r="P5914" i="1"/>
  <c r="O5906" i="1"/>
  <c r="P5906" i="1"/>
  <c r="Q5906" i="1" s="1"/>
  <c r="P5898" i="1"/>
  <c r="O5890" i="1"/>
  <c r="P5890" i="1"/>
  <c r="P5882" i="1"/>
  <c r="O5874" i="1"/>
  <c r="P5874" i="1"/>
  <c r="P5866" i="1"/>
  <c r="P5858" i="1"/>
  <c r="P5850" i="1"/>
  <c r="O5842" i="1"/>
  <c r="O5843" i="1" s="1"/>
  <c r="O5844" i="1" s="1"/>
  <c r="O5845" i="1" s="1"/>
  <c r="O5846" i="1" s="1"/>
  <c r="P5842" i="1"/>
  <c r="P5834" i="1"/>
  <c r="P5826" i="1"/>
  <c r="O5826" i="1"/>
  <c r="O5827" i="1" s="1"/>
  <c r="O5828" i="1" s="1"/>
  <c r="O5829" i="1" s="1"/>
  <c r="O5830" i="1" s="1"/>
  <c r="P5818" i="1"/>
  <c r="P5810" i="1"/>
  <c r="O5810" i="1"/>
  <c r="O5802" i="1"/>
  <c r="P5802" i="1"/>
  <c r="O5794" i="1"/>
  <c r="P5794" i="1"/>
  <c r="O5786" i="1"/>
  <c r="O5787" i="1" s="1"/>
  <c r="O5788" i="1" s="1"/>
  <c r="P5786" i="1"/>
  <c r="P5778" i="1"/>
  <c r="P5770" i="1"/>
  <c r="O5762" i="1"/>
  <c r="P5762" i="1"/>
  <c r="P5754" i="1"/>
  <c r="P5746" i="1"/>
  <c r="P5738" i="1"/>
  <c r="P5730" i="1"/>
  <c r="O5722" i="1"/>
  <c r="P5722" i="1"/>
  <c r="O5714" i="1"/>
  <c r="O5715" i="1" s="1"/>
  <c r="O5716" i="1" s="1"/>
  <c r="P5714" i="1"/>
  <c r="O5706" i="1"/>
  <c r="P5706" i="1"/>
  <c r="O5698" i="1"/>
  <c r="P5698" i="1"/>
  <c r="P5690" i="1"/>
  <c r="P5682" i="1"/>
  <c r="P5674" i="1"/>
  <c r="O5666" i="1"/>
  <c r="P5666" i="1"/>
  <c r="O5658" i="1"/>
  <c r="P5658" i="1"/>
  <c r="P5650" i="1"/>
  <c r="O5642" i="1"/>
  <c r="P5642" i="1"/>
  <c r="O5634" i="1"/>
  <c r="P5634" i="1"/>
  <c r="P5626" i="1"/>
  <c r="O5626" i="1"/>
  <c r="O5618" i="1"/>
  <c r="P5618" i="1"/>
  <c r="O5610" i="1"/>
  <c r="P5610" i="1"/>
  <c r="O5602" i="1"/>
  <c r="P5602" i="1"/>
  <c r="O5594" i="1"/>
  <c r="O5595" i="1" s="1"/>
  <c r="P5594" i="1"/>
  <c r="O5586" i="1"/>
  <c r="P5586" i="1"/>
  <c r="O5578" i="1"/>
  <c r="P5578" i="1"/>
  <c r="O5570" i="1"/>
  <c r="O5571" i="1" s="1"/>
  <c r="O5572" i="1" s="1"/>
  <c r="P5570" i="1"/>
  <c r="P5554" i="1"/>
  <c r="P5546" i="1"/>
  <c r="P5538" i="1"/>
  <c r="P5530" i="1"/>
  <c r="P5522" i="1"/>
  <c r="P5514" i="1"/>
  <c r="P5506" i="1"/>
  <c r="O5498" i="1"/>
  <c r="P5498" i="1"/>
  <c r="O5490" i="1"/>
  <c r="O5491" i="1" s="1"/>
  <c r="O5492" i="1" s="1"/>
  <c r="P5490" i="1"/>
  <c r="P5482" i="1"/>
  <c r="O5474" i="1"/>
  <c r="P5474" i="1"/>
  <c r="Q5474" i="1" s="1"/>
  <c r="P5466" i="1"/>
  <c r="O5458" i="1"/>
  <c r="P5458" i="1"/>
  <c r="P5450" i="1"/>
  <c r="O5450" i="1"/>
  <c r="O5442" i="1"/>
  <c r="P5442" i="1"/>
  <c r="P5418" i="1"/>
  <c r="P5395" i="1"/>
  <c r="P5387" i="1"/>
  <c r="P5379" i="1"/>
  <c r="O5371" i="1"/>
  <c r="P5371" i="1"/>
  <c r="O5363" i="1"/>
  <c r="P5363" i="1"/>
  <c r="O5355" i="1"/>
  <c r="P5355" i="1"/>
  <c r="P5347" i="1"/>
  <c r="O5339" i="1"/>
  <c r="P5339" i="1"/>
  <c r="P5331" i="1"/>
  <c r="P5323" i="1"/>
  <c r="P5315" i="1"/>
  <c r="P5307" i="1"/>
  <c r="P5299" i="1"/>
  <c r="P5291" i="1"/>
  <c r="P5283" i="1"/>
  <c r="P5275" i="1"/>
  <c r="P5267" i="1"/>
  <c r="P5259" i="1"/>
  <c r="P5251" i="1"/>
  <c r="P5243" i="1"/>
  <c r="P5235" i="1"/>
  <c r="P5227" i="1"/>
  <c r="P5219" i="1"/>
  <c r="P5211" i="1"/>
  <c r="P5203" i="1"/>
  <c r="P5195" i="1"/>
  <c r="P5187" i="1"/>
  <c r="P5179" i="1"/>
  <c r="O5179" i="1"/>
  <c r="O5180" i="1" s="1"/>
  <c r="O5171" i="1"/>
  <c r="O5172" i="1" s="1"/>
  <c r="P5171" i="1"/>
  <c r="P5163" i="1"/>
  <c r="O5155" i="1"/>
  <c r="O5156" i="1" s="1"/>
  <c r="O5157" i="1" s="1"/>
  <c r="O5158" i="1" s="1"/>
  <c r="O5159" i="1" s="1"/>
  <c r="P5155" i="1"/>
  <c r="P5147" i="1"/>
  <c r="P5139" i="1"/>
  <c r="P5131" i="1"/>
  <c r="O5123" i="1"/>
  <c r="O5124" i="1" s="1"/>
  <c r="O5125" i="1" s="1"/>
  <c r="O5126" i="1" s="1"/>
  <c r="O5127" i="1" s="1"/>
  <c r="P5123" i="1"/>
  <c r="Q5123" i="1" s="1"/>
  <c r="P5115" i="1"/>
  <c r="P5107" i="1"/>
  <c r="P5099" i="1"/>
  <c r="P5091" i="1"/>
  <c r="P5083" i="1"/>
  <c r="P5075" i="1"/>
  <c r="P5067" i="1"/>
  <c r="P5059" i="1"/>
  <c r="P5051" i="1"/>
  <c r="O5043" i="1"/>
  <c r="P5043" i="1"/>
  <c r="O5035" i="1"/>
  <c r="O5036" i="1" s="1"/>
  <c r="P5035" i="1"/>
  <c r="P5027" i="1"/>
  <c r="P5019" i="1"/>
  <c r="P5011" i="1"/>
  <c r="P5003" i="1"/>
  <c r="P4995" i="1"/>
  <c r="P4987" i="1"/>
  <c r="P4979" i="1"/>
  <c r="P4971" i="1"/>
  <c r="O4963" i="1"/>
  <c r="O4964" i="1" s="1"/>
  <c r="O4965" i="1" s="1"/>
  <c r="O4966" i="1" s="1"/>
  <c r="O4967" i="1" s="1"/>
  <c r="P4963" i="1"/>
  <c r="P4955" i="1"/>
  <c r="P4947" i="1"/>
  <c r="P4939" i="1"/>
  <c r="P4931" i="1"/>
  <c r="P4923" i="1"/>
  <c r="P4915" i="1"/>
  <c r="O4915" i="1"/>
  <c r="O4916" i="1" s="1"/>
  <c r="P4907" i="1"/>
  <c r="P4899" i="1"/>
  <c r="O4899" i="1"/>
  <c r="P4891" i="1"/>
  <c r="P4883" i="1"/>
  <c r="P4875" i="1"/>
  <c r="O4875" i="1"/>
  <c r="P4867" i="1"/>
  <c r="P4859" i="1"/>
  <c r="P4851" i="1"/>
  <c r="P4843" i="1"/>
  <c r="P4835" i="1"/>
  <c r="O4827" i="1"/>
  <c r="P4827" i="1"/>
  <c r="P4819" i="1"/>
  <c r="P4811" i="1"/>
  <c r="P4803" i="1"/>
  <c r="O4803" i="1"/>
  <c r="P4795" i="1"/>
  <c r="O4795" i="1"/>
  <c r="O4796" i="1" s="1"/>
  <c r="P4787" i="1"/>
  <c r="P4779" i="1"/>
  <c r="P4771" i="1"/>
  <c r="O4771" i="1"/>
  <c r="P4763" i="1"/>
  <c r="P4755" i="1"/>
  <c r="P4747" i="1"/>
  <c r="P4739" i="1"/>
  <c r="P4731" i="1"/>
  <c r="O4723" i="1"/>
  <c r="P4723" i="1"/>
  <c r="P4715" i="1"/>
  <c r="O4707" i="1"/>
  <c r="O4708" i="1" s="1"/>
  <c r="P4707" i="1"/>
  <c r="O4699" i="1"/>
  <c r="P4699" i="1"/>
  <c r="P4691" i="1"/>
  <c r="P4683" i="1"/>
  <c r="P4675" i="1"/>
  <c r="P4667" i="1"/>
  <c r="O4667" i="1"/>
  <c r="O4668" i="1" s="1"/>
  <c r="P4659" i="1"/>
  <c r="P4651" i="1"/>
  <c r="P4643" i="1"/>
  <c r="P4635" i="1"/>
  <c r="O4627" i="1"/>
  <c r="O4628" i="1" s="1"/>
  <c r="P4627" i="1"/>
  <c r="P4619" i="1"/>
  <c r="P4611" i="1"/>
  <c r="P4603" i="1"/>
  <c r="P4595" i="1"/>
  <c r="P4587" i="1"/>
  <c r="P4579" i="1"/>
  <c r="P4571" i="1"/>
  <c r="P4563" i="1"/>
  <c r="O4555" i="1"/>
  <c r="O4556" i="1" s="1"/>
  <c r="P4555" i="1"/>
  <c r="P4547" i="1"/>
  <c r="O4547" i="1"/>
  <c r="P4539" i="1"/>
  <c r="P4531" i="1"/>
  <c r="P4523" i="1"/>
  <c r="O4523" i="1"/>
  <c r="O4524" i="1" s="1"/>
  <c r="O4515" i="1"/>
  <c r="P4515" i="1"/>
  <c r="P4507" i="1"/>
  <c r="P4499" i="1"/>
  <c r="P4491" i="1"/>
  <c r="O4491" i="1"/>
  <c r="O4492" i="1" s="1"/>
  <c r="O4483" i="1"/>
  <c r="O4484" i="1" s="1"/>
  <c r="P4483" i="1"/>
  <c r="P4475" i="1"/>
  <c r="O4467" i="1"/>
  <c r="P4467" i="1"/>
  <c r="P4459" i="1"/>
  <c r="O4451" i="1"/>
  <c r="P4451" i="1"/>
  <c r="O4443" i="1"/>
  <c r="P4443" i="1"/>
  <c r="O4435" i="1"/>
  <c r="P4435" i="1"/>
  <c r="P4427" i="1"/>
  <c r="P4419" i="1"/>
  <c r="P4411" i="1"/>
  <c r="O4411" i="1"/>
  <c r="O4412" i="1" s="1"/>
  <c r="P4403" i="1"/>
  <c r="P4395" i="1"/>
  <c r="P4387" i="1"/>
  <c r="O4379" i="1"/>
  <c r="O4380" i="1" s="1"/>
  <c r="O4381" i="1" s="1"/>
  <c r="P4379" i="1"/>
  <c r="O4371" i="1"/>
  <c r="P4371" i="1"/>
  <c r="O4363" i="1"/>
  <c r="P4363" i="1"/>
  <c r="P4355" i="1"/>
  <c r="P4347" i="1"/>
  <c r="P4339" i="1"/>
  <c r="P4331" i="1"/>
  <c r="O4323" i="1"/>
  <c r="O4324" i="1" s="1"/>
  <c r="P4323" i="1"/>
  <c r="P4315" i="1"/>
  <c r="O4307" i="1"/>
  <c r="P4307" i="1"/>
  <c r="O4299" i="1"/>
  <c r="P4299" i="1"/>
  <c r="O4291" i="1"/>
  <c r="P4291" i="1"/>
  <c r="O4283" i="1"/>
  <c r="P4283" i="1"/>
  <c r="O4260" i="1"/>
  <c r="P4260" i="1"/>
  <c r="P4252" i="1"/>
  <c r="P4244" i="1"/>
  <c r="O4244" i="1"/>
  <c r="O4236" i="1"/>
  <c r="O4237" i="1" s="1"/>
  <c r="O4238" i="1" s="1"/>
  <c r="P4236" i="1"/>
  <c r="P4228" i="1"/>
  <c r="P3770" i="1"/>
  <c r="P3760" i="1"/>
  <c r="P3756" i="1"/>
  <c r="O2987" i="1"/>
  <c r="O2988" i="1" s="1"/>
  <c r="P2987" i="1"/>
  <c r="P4172" i="1"/>
  <c r="O4163" i="1"/>
  <c r="O4164" i="1" s="1"/>
  <c r="P4163" i="1"/>
  <c r="O4184" i="1"/>
  <c r="O4185" i="1" s="1"/>
  <c r="P4184" i="1"/>
  <c r="O4159" i="1"/>
  <c r="P4159" i="1"/>
  <c r="Q4159" i="1" s="1"/>
  <c r="P4181" i="1"/>
  <c r="O4147" i="1"/>
  <c r="P4147" i="1"/>
  <c r="Q4147" i="1" s="1"/>
  <c r="P3421" i="1"/>
  <c r="P3724" i="1"/>
  <c r="P3648" i="1"/>
  <c r="P3620" i="1"/>
  <c r="O3593" i="1"/>
  <c r="O3594" i="1" s="1"/>
  <c r="P3593" i="1"/>
  <c r="Q3593" i="1" s="1"/>
  <c r="P3525" i="1"/>
  <c r="O3525" i="1"/>
  <c r="P3495" i="1"/>
  <c r="P3487" i="1"/>
  <c r="O3487" i="1"/>
  <c r="P3426" i="1"/>
  <c r="P3332" i="1"/>
  <c r="P3302" i="1"/>
  <c r="P3271" i="1"/>
  <c r="O3271" i="1"/>
  <c r="P3259" i="1"/>
  <c r="O3259" i="1"/>
  <c r="O3260" i="1" s="1"/>
  <c r="P3239" i="1"/>
  <c r="O3716" i="1"/>
  <c r="O3717" i="1" s="1"/>
  <c r="P3716" i="1"/>
  <c r="P3623" i="1"/>
  <c r="P3398" i="1"/>
  <c r="Q3398" i="1" s="1"/>
  <c r="O3398" i="1"/>
  <c r="O3221" i="1"/>
  <c r="O3222" i="1" s="1"/>
  <c r="P3221" i="1"/>
  <c r="O3698" i="1"/>
  <c r="O3699" i="1" s="1"/>
  <c r="P3698" i="1"/>
  <c r="P3576" i="1"/>
  <c r="O3390" i="1"/>
  <c r="P3390" i="1"/>
  <c r="Q3390" i="1" s="1"/>
  <c r="O3250" i="1"/>
  <c r="P3250" i="1"/>
  <c r="O3599" i="1"/>
  <c r="O3600" i="1" s="1"/>
  <c r="O3601" i="1" s="1"/>
  <c r="R3601" i="1" s="1"/>
  <c r="R3600" i="1" s="1"/>
  <c r="P3599" i="1"/>
  <c r="P3560" i="1"/>
  <c r="O3560" i="1"/>
  <c r="O3561" i="1" s="1"/>
  <c r="P3447" i="1"/>
  <c r="P3566" i="1"/>
  <c r="P3706" i="1"/>
  <c r="P3709" i="1"/>
  <c r="O3689" i="1"/>
  <c r="P3689" i="1"/>
  <c r="P3682" i="1"/>
  <c r="P3671" i="1"/>
  <c r="P3656" i="1"/>
  <c r="P3639" i="1"/>
  <c r="O3639" i="1"/>
  <c r="O3640" i="1" s="1"/>
  <c r="O3641" i="1" s="1"/>
  <c r="P3631" i="1"/>
  <c r="P3587" i="1"/>
  <c r="O3577" i="1"/>
  <c r="O3578" i="1" s="1"/>
  <c r="O3579" i="1" s="1"/>
  <c r="P3577" i="1"/>
  <c r="P3438" i="1"/>
  <c r="P3558" i="1"/>
  <c r="P3538" i="1"/>
  <c r="P3486" i="1"/>
  <c r="P3475" i="1"/>
  <c r="P3468" i="1"/>
  <c r="P3444" i="1"/>
  <c r="P3410" i="1"/>
  <c r="P3397" i="1"/>
  <c r="P3387" i="1"/>
  <c r="O3377" i="1"/>
  <c r="O3378" i="1" s="1"/>
  <c r="P3377" i="1"/>
  <c r="P3346" i="1"/>
  <c r="O3319" i="1"/>
  <c r="O3320" i="1" s="1"/>
  <c r="P3319" i="1"/>
  <c r="P3307" i="1"/>
  <c r="P3294" i="1"/>
  <c r="P3286" i="1"/>
  <c r="P3266" i="1"/>
  <c r="P3236" i="1"/>
  <c r="P3227" i="1"/>
  <c r="O3227" i="1"/>
  <c r="O3228" i="1" s="1"/>
  <c r="O3229" i="1" s="1"/>
  <c r="P3728" i="1"/>
  <c r="P3517" i="1"/>
  <c r="O3499" i="1"/>
  <c r="O3500" i="1" s="1"/>
  <c r="O3501" i="1" s="1"/>
  <c r="O3502" i="1" s="1"/>
  <c r="P3499" i="1"/>
  <c r="P3428" i="1"/>
  <c r="O3428" i="1"/>
  <c r="O3429" i="1" s="1"/>
  <c r="O3430" i="1" s="1"/>
  <c r="O3431" i="1" s="1"/>
  <c r="P3217" i="1"/>
  <c r="P3074" i="1"/>
  <c r="P3144" i="1"/>
  <c r="O3116" i="1"/>
  <c r="P3116" i="1"/>
  <c r="Q3116" i="1" s="1"/>
  <c r="P3106" i="1"/>
  <c r="P3098" i="1"/>
  <c r="O3090" i="1"/>
  <c r="P3090" i="1"/>
  <c r="O3079" i="1"/>
  <c r="P3079" i="1"/>
  <c r="O3069" i="1"/>
  <c r="P3069" i="1"/>
  <c r="Q3069" i="1" s="1"/>
  <c r="P3061" i="1"/>
  <c r="O3061" i="1"/>
  <c r="O3040" i="1"/>
  <c r="O3041" i="1" s="1"/>
  <c r="P3040" i="1"/>
  <c r="O3024" i="1"/>
  <c r="O3025" i="1" s="1"/>
  <c r="P3024" i="1"/>
  <c r="P3083" i="1"/>
  <c r="O3020" i="1"/>
  <c r="P3020" i="1"/>
  <c r="O3137" i="1"/>
  <c r="O3138" i="1" s="1"/>
  <c r="O3139" i="1" s="1"/>
  <c r="P3137" i="1"/>
  <c r="Q3137" i="1" s="1"/>
  <c r="P3054" i="1"/>
  <c r="P3125" i="1"/>
  <c r="O3011" i="1"/>
  <c r="O3012" i="1" s="1"/>
  <c r="P3011" i="1"/>
  <c r="P3015" i="1"/>
  <c r="P3003" i="1"/>
  <c r="O2963" i="1"/>
  <c r="O2964" i="1" s="1"/>
  <c r="O2965" i="1" s="1"/>
  <c r="P2963" i="1"/>
  <c r="P2947" i="1"/>
  <c r="O2976" i="1"/>
  <c r="P2976" i="1"/>
  <c r="O2961" i="1"/>
  <c r="O2962" i="1" s="1"/>
  <c r="P2961" i="1"/>
  <c r="Q2961" i="1" s="1"/>
  <c r="P4222" i="1"/>
  <c r="O4222" i="1"/>
  <c r="P4214" i="1"/>
  <c r="O4214" i="1"/>
  <c r="O4215" i="1" s="1"/>
  <c r="O4206" i="1"/>
  <c r="P4206" i="1"/>
  <c r="P3199" i="1"/>
  <c r="P3191" i="1"/>
  <c r="O3889" i="1"/>
  <c r="P3889" i="1"/>
  <c r="O3881" i="1"/>
  <c r="O3882" i="1" s="1"/>
  <c r="P3881" i="1"/>
  <c r="P4088" i="1"/>
  <c r="P4114" i="1"/>
  <c r="P3935" i="1"/>
  <c r="P4086" i="1"/>
  <c r="O4094" i="1"/>
  <c r="P4094" i="1"/>
  <c r="Q4094" i="1" s="1"/>
  <c r="P3941" i="1"/>
  <c r="P3956" i="1"/>
  <c r="O3937" i="1"/>
  <c r="P3937" i="1"/>
  <c r="O4135" i="1"/>
  <c r="O4136" i="1" s="1"/>
  <c r="O4137" i="1" s="1"/>
  <c r="P4135" i="1"/>
  <c r="P4012" i="1"/>
  <c r="P3951" i="1"/>
  <c r="O3951" i="1"/>
  <c r="O3952" i="1" s="1"/>
  <c r="P4071" i="1"/>
  <c r="Q4071" i="1" s="1"/>
  <c r="O4071" i="1"/>
  <c r="P3848" i="1"/>
  <c r="P3827" i="1"/>
  <c r="O3995" i="1"/>
  <c r="O3996" i="1" s="1"/>
  <c r="O3997" i="1" s="1"/>
  <c r="O3998" i="1" s="1"/>
  <c r="O3999" i="1" s="1"/>
  <c r="P3995" i="1"/>
  <c r="P4130" i="1"/>
  <c r="O4121" i="1"/>
  <c r="O4122" i="1" s="1"/>
  <c r="O4123" i="1" s="1"/>
  <c r="O4124" i="1" s="1"/>
  <c r="O4125" i="1" s="1"/>
  <c r="P4121" i="1"/>
  <c r="P4103" i="1"/>
  <c r="P4080" i="1"/>
  <c r="P4076" i="1"/>
  <c r="P4064" i="1"/>
  <c r="P4050" i="1"/>
  <c r="P4032" i="1"/>
  <c r="P4006" i="1"/>
  <c r="P3991" i="1"/>
  <c r="P3981" i="1"/>
  <c r="P3973" i="1"/>
  <c r="P3967" i="1"/>
  <c r="P3962" i="1"/>
  <c r="P3928" i="1"/>
  <c r="P3901" i="1"/>
  <c r="P3893" i="1"/>
  <c r="O3872" i="1"/>
  <c r="O3873" i="1" s="1"/>
  <c r="O3874" i="1" s="1"/>
  <c r="O3875" i="1" s="1"/>
  <c r="O3876" i="1" s="1"/>
  <c r="P3872" i="1"/>
  <c r="P3854" i="1"/>
  <c r="P3834" i="1"/>
  <c r="P3817" i="1"/>
  <c r="P3809" i="1"/>
  <c r="O3809" i="1"/>
  <c r="O3810" i="1" s="1"/>
  <c r="O3811" i="1" s="1"/>
  <c r="O3812" i="1" s="1"/>
  <c r="O3813" i="1" s="1"/>
  <c r="P3801" i="1"/>
  <c r="P3782" i="1"/>
  <c r="O3792" i="1"/>
  <c r="P3792" i="1"/>
  <c r="O3186" i="1"/>
  <c r="P3186" i="1"/>
  <c r="P3178" i="1"/>
  <c r="P3864" i="1"/>
  <c r="P3358" i="1"/>
  <c r="P3350" i="1"/>
  <c r="O3738" i="1"/>
  <c r="O3739" i="1" s="1"/>
  <c r="P3738" i="1"/>
  <c r="Q3738" i="1" s="1"/>
  <c r="P3733" i="1"/>
  <c r="P3164" i="1"/>
  <c r="P3176" i="1"/>
  <c r="P6297" i="1"/>
  <c r="O6297" i="1"/>
  <c r="O6298" i="1" s="1"/>
  <c r="O6288" i="1"/>
  <c r="O6289" i="1" s="1"/>
  <c r="P6288" i="1"/>
  <c r="P6281" i="1"/>
  <c r="O6273" i="1"/>
  <c r="P6273" i="1"/>
  <c r="P6265" i="1"/>
  <c r="P6257" i="1"/>
  <c r="P6249" i="1"/>
  <c r="O6241" i="1"/>
  <c r="P6241" i="1"/>
  <c r="O6302" i="1"/>
  <c r="P6302" i="1"/>
  <c r="P6233" i="1"/>
  <c r="P6224" i="1"/>
  <c r="O6216" i="1"/>
  <c r="P6216" i="1"/>
  <c r="O6209" i="1"/>
  <c r="P6209" i="1"/>
  <c r="O6201" i="1"/>
  <c r="P6201" i="1"/>
  <c r="P6193" i="1"/>
  <c r="P6185" i="1"/>
  <c r="P6177" i="1"/>
  <c r="O6169" i="1"/>
  <c r="O6170" i="1" s="1"/>
  <c r="P6169" i="1"/>
  <c r="O6161" i="1"/>
  <c r="P6161" i="1"/>
  <c r="P6153" i="1"/>
  <c r="O6145" i="1"/>
  <c r="O6146" i="1" s="1"/>
  <c r="O6147" i="1" s="1"/>
  <c r="P6145" i="1"/>
  <c r="P6137" i="1"/>
  <c r="P6129" i="1"/>
  <c r="P6121" i="1"/>
  <c r="O6113" i="1"/>
  <c r="O6114" i="1" s="1"/>
  <c r="O6115" i="1" s="1"/>
  <c r="O6116" i="1" s="1"/>
  <c r="O6117" i="1" s="1"/>
  <c r="P6113" i="1"/>
  <c r="P6105" i="1"/>
  <c r="P6097" i="1"/>
  <c r="P6089" i="1"/>
  <c r="P6081" i="1"/>
  <c r="O6073" i="1"/>
  <c r="O6074" i="1" s="1"/>
  <c r="P6073" i="1"/>
  <c r="P6065" i="1"/>
  <c r="P6057" i="1"/>
  <c r="P6049" i="1"/>
  <c r="P6041" i="1"/>
  <c r="O6041" i="1"/>
  <c r="O6042" i="1" s="1"/>
  <c r="O6043" i="1" s="1"/>
  <c r="O6044" i="1" s="1"/>
  <c r="O6045" i="1" s="1"/>
  <c r="P6033" i="1"/>
  <c r="P6025" i="1"/>
  <c r="P6017" i="1"/>
  <c r="P6009" i="1"/>
  <c r="P6001" i="1"/>
  <c r="P5993" i="1"/>
  <c r="P5985" i="1"/>
  <c r="P5977" i="1"/>
  <c r="P5969" i="1"/>
  <c r="P5961" i="1"/>
  <c r="O5961" i="1"/>
  <c r="O5962" i="1" s="1"/>
  <c r="O5953" i="1"/>
  <c r="O5954" i="1" s="1"/>
  <c r="P5953" i="1"/>
  <c r="P5945" i="1"/>
  <c r="P5937" i="1"/>
  <c r="P5929" i="1"/>
  <c r="O5921" i="1"/>
  <c r="O5922" i="1" s="1"/>
  <c r="P5921" i="1"/>
  <c r="P5913" i="1"/>
  <c r="P5905" i="1"/>
  <c r="O5897" i="1"/>
  <c r="P5897" i="1"/>
  <c r="P5889" i="1"/>
  <c r="P5881" i="1"/>
  <c r="O5873" i="1"/>
  <c r="P5873" i="1"/>
  <c r="P5865" i="1"/>
  <c r="P5857" i="1"/>
  <c r="P5849" i="1"/>
  <c r="P5841" i="1"/>
  <c r="P5833" i="1"/>
  <c r="O5825" i="1"/>
  <c r="P5825" i="1"/>
  <c r="P5817" i="1"/>
  <c r="O5809" i="1"/>
  <c r="P5809" i="1"/>
  <c r="P5801" i="1"/>
  <c r="P5793" i="1"/>
  <c r="P5785" i="1"/>
  <c r="O5777" i="1"/>
  <c r="O5778" i="1" s="1"/>
  <c r="P5777" i="1"/>
  <c r="O5769" i="1"/>
  <c r="O5770" i="1" s="1"/>
  <c r="P5769" i="1"/>
  <c r="P5761" i="1"/>
  <c r="O5753" i="1"/>
  <c r="O5754" i="1" s="1"/>
  <c r="P5753" i="1"/>
  <c r="O5745" i="1"/>
  <c r="O5746" i="1" s="1"/>
  <c r="P5745" i="1"/>
  <c r="P5737" i="1"/>
  <c r="P5729" i="1"/>
  <c r="O5721" i="1"/>
  <c r="P5721" i="1"/>
  <c r="P5713" i="1"/>
  <c r="O5705" i="1"/>
  <c r="P5705" i="1"/>
  <c r="P5697" i="1"/>
  <c r="O5697" i="1"/>
  <c r="P5689" i="1"/>
  <c r="O5681" i="1"/>
  <c r="P5681" i="1"/>
  <c r="O5673" i="1"/>
  <c r="O5674" i="1" s="1"/>
  <c r="O5675" i="1" s="1"/>
  <c r="P5673" i="1"/>
  <c r="P5665" i="1"/>
  <c r="O5665" i="1"/>
  <c r="P5657" i="1"/>
  <c r="O5649" i="1"/>
  <c r="P5649" i="1"/>
  <c r="O5641" i="1"/>
  <c r="P5641" i="1"/>
  <c r="P5633" i="1"/>
  <c r="O5625" i="1"/>
  <c r="P5625" i="1"/>
  <c r="O5617" i="1"/>
  <c r="P5617" i="1"/>
  <c r="O5609" i="1"/>
  <c r="P5609" i="1"/>
  <c r="O5601" i="1"/>
  <c r="P5601" i="1"/>
  <c r="O5593" i="1"/>
  <c r="P5593" i="1"/>
  <c r="O5585" i="1"/>
  <c r="P5585" i="1"/>
  <c r="P5577" i="1"/>
  <c r="P5569" i="1"/>
  <c r="O5569" i="1"/>
  <c r="P5561" i="1"/>
  <c r="O5561" i="1"/>
  <c r="O5562" i="1" s="1"/>
  <c r="O5563" i="1" s="1"/>
  <c r="P5553" i="1"/>
  <c r="O5545" i="1"/>
  <c r="O5546" i="1" s="1"/>
  <c r="O5547" i="1" s="1"/>
  <c r="P5545" i="1"/>
  <c r="O5537" i="1"/>
  <c r="P5537" i="1"/>
  <c r="O5529" i="1"/>
  <c r="O5530" i="1" s="1"/>
  <c r="P5529" i="1"/>
  <c r="O5521" i="1"/>
  <c r="O5522" i="1" s="1"/>
  <c r="P5521" i="1"/>
  <c r="O5513" i="1"/>
  <c r="P5513" i="1"/>
  <c r="P5505" i="1"/>
  <c r="O5505" i="1"/>
  <c r="O5506" i="1" s="1"/>
  <c r="P5497" i="1"/>
  <c r="P5489" i="1"/>
  <c r="O5481" i="1"/>
  <c r="P5481" i="1"/>
  <c r="O5473" i="1"/>
  <c r="P5473" i="1"/>
  <c r="O5465" i="1"/>
  <c r="P5465" i="1"/>
  <c r="O5457" i="1"/>
  <c r="P5457" i="1"/>
  <c r="O5449" i="1"/>
  <c r="P5449" i="1"/>
  <c r="O5441" i="1"/>
  <c r="P5441" i="1"/>
  <c r="O5433" i="1"/>
  <c r="P5433" i="1"/>
  <c r="O5425" i="1"/>
  <c r="O5426" i="1" s="1"/>
  <c r="O5427" i="1" s="1"/>
  <c r="P5425" i="1"/>
  <c r="O5417" i="1"/>
  <c r="O5418" i="1" s="1"/>
  <c r="P5417" i="1"/>
  <c r="P5394" i="1"/>
  <c r="O5386" i="1"/>
  <c r="O5387" i="1" s="1"/>
  <c r="P5386" i="1"/>
  <c r="Q5386" i="1" s="1"/>
  <c r="O5378" i="1"/>
  <c r="O5379" i="1" s="1"/>
  <c r="O5380" i="1" s="1"/>
  <c r="P5378" i="1"/>
  <c r="O5370" i="1"/>
  <c r="P5370" i="1"/>
  <c r="P5362" i="1"/>
  <c r="O5354" i="1"/>
  <c r="P5354" i="1"/>
  <c r="O5346" i="1"/>
  <c r="O5347" i="1" s="1"/>
  <c r="P5346" i="1"/>
  <c r="Q5346" i="1" s="1"/>
  <c r="O5338" i="1"/>
  <c r="P5338" i="1"/>
  <c r="O5330" i="1"/>
  <c r="P5330" i="1"/>
  <c r="P5322" i="1"/>
  <c r="P5314" i="1"/>
  <c r="P5306" i="1"/>
  <c r="P5298" i="1"/>
  <c r="P5290" i="1"/>
  <c r="P5282" i="1"/>
  <c r="P5274" i="1"/>
  <c r="O5266" i="1"/>
  <c r="P5266" i="1"/>
  <c r="O5258" i="1"/>
  <c r="O5259" i="1" s="1"/>
  <c r="P5258" i="1"/>
  <c r="Q5258" i="1" s="1"/>
  <c r="O5250" i="1"/>
  <c r="O5251" i="1" s="1"/>
  <c r="O5252" i="1" s="1"/>
  <c r="O5253" i="1" s="1"/>
  <c r="O5254" i="1" s="1"/>
  <c r="P5250" i="1"/>
  <c r="O5242" i="1"/>
  <c r="O5243" i="1" s="1"/>
  <c r="O5244" i="1" s="1"/>
  <c r="O5245" i="1" s="1"/>
  <c r="O5246" i="1" s="1"/>
  <c r="P5242" i="1"/>
  <c r="P5234" i="1"/>
  <c r="O5226" i="1"/>
  <c r="O5227" i="1" s="1"/>
  <c r="P5226" i="1"/>
  <c r="P5218" i="1"/>
  <c r="O5210" i="1"/>
  <c r="O5211" i="1" s="1"/>
  <c r="P5210" i="1"/>
  <c r="P5202" i="1"/>
  <c r="P5194" i="1"/>
  <c r="P5186" i="1"/>
  <c r="P5178" i="1"/>
  <c r="P5170" i="1"/>
  <c r="P5162" i="1"/>
  <c r="P5154" i="1"/>
  <c r="P5146" i="1"/>
  <c r="P5138" i="1"/>
  <c r="O5138" i="1"/>
  <c r="O5139" i="1" s="1"/>
  <c r="O5140" i="1" s="1"/>
  <c r="O5141" i="1" s="1"/>
  <c r="O5142" i="1" s="1"/>
  <c r="P5130" i="1"/>
  <c r="P5122" i="1"/>
  <c r="P5114" i="1"/>
  <c r="P5106" i="1"/>
  <c r="O5098" i="1"/>
  <c r="O5099" i="1" s="1"/>
  <c r="P5098" i="1"/>
  <c r="P5090" i="1"/>
  <c r="P5082" i="1"/>
  <c r="P5074" i="1"/>
  <c r="P5066" i="1"/>
  <c r="O5066" i="1"/>
  <c r="O5058" i="1"/>
  <c r="O5059" i="1" s="1"/>
  <c r="P5058" i="1"/>
  <c r="P5050" i="1"/>
  <c r="P5042" i="1"/>
  <c r="P5034" i="1"/>
  <c r="P5026" i="1"/>
  <c r="O5026" i="1"/>
  <c r="O5027" i="1" s="1"/>
  <c r="O5028" i="1" s="1"/>
  <c r="O5029" i="1" s="1"/>
  <c r="O5030" i="1" s="1"/>
  <c r="P5018" i="1"/>
  <c r="O5010" i="1"/>
  <c r="O5011" i="1" s="1"/>
  <c r="P5010" i="1"/>
  <c r="O5002" i="1"/>
  <c r="O5003" i="1" s="1"/>
  <c r="P5002" i="1"/>
  <c r="P4994" i="1"/>
  <c r="Q4994" i="1" s="1"/>
  <c r="O4994" i="1"/>
  <c r="P4986" i="1"/>
  <c r="P4978" i="1"/>
  <c r="P4970" i="1"/>
  <c r="P4962" i="1"/>
  <c r="P4954" i="1"/>
  <c r="P4946" i="1"/>
  <c r="P4938" i="1"/>
  <c r="P4930" i="1"/>
  <c r="P4922" i="1"/>
  <c r="O4922" i="1"/>
  <c r="P4914" i="1"/>
  <c r="P4906" i="1"/>
  <c r="P4898" i="1"/>
  <c r="P4890" i="1"/>
  <c r="O4882" i="1"/>
  <c r="O4883" i="1" s="1"/>
  <c r="O4884" i="1" s="1"/>
  <c r="P4882" i="1"/>
  <c r="P4874" i="1"/>
  <c r="O4874" i="1"/>
  <c r="P4866" i="1"/>
  <c r="P4858" i="1"/>
  <c r="O4858" i="1"/>
  <c r="O4859" i="1" s="1"/>
  <c r="O4860" i="1" s="1"/>
  <c r="P4850" i="1"/>
  <c r="O4842" i="1"/>
  <c r="O4843" i="1" s="1"/>
  <c r="P4842" i="1"/>
  <c r="P4834" i="1"/>
  <c r="P4826" i="1"/>
  <c r="P4818" i="1"/>
  <c r="O4810" i="1"/>
  <c r="O4811" i="1" s="1"/>
  <c r="P4810" i="1"/>
  <c r="O4802" i="1"/>
  <c r="P4802" i="1"/>
  <c r="P4794" i="1"/>
  <c r="O4786" i="1"/>
  <c r="O4787" i="1" s="1"/>
  <c r="O4788" i="1" s="1"/>
  <c r="P4786" i="1"/>
  <c r="P4778" i="1"/>
  <c r="P4770" i="1"/>
  <c r="P4762" i="1"/>
  <c r="O4754" i="1"/>
  <c r="O4755" i="1" s="1"/>
  <c r="P4754" i="1"/>
  <c r="P4746" i="1"/>
  <c r="P4738" i="1"/>
  <c r="P4730" i="1"/>
  <c r="P4722" i="1"/>
  <c r="O4714" i="1"/>
  <c r="O4715" i="1" s="1"/>
  <c r="P4714" i="1"/>
  <c r="P4706" i="1"/>
  <c r="P4698" i="1"/>
  <c r="O4690" i="1"/>
  <c r="P4690" i="1"/>
  <c r="P4682" i="1"/>
  <c r="O4674" i="1"/>
  <c r="P4674" i="1"/>
  <c r="Q4674" i="1" s="1"/>
  <c r="P4666" i="1"/>
  <c r="P4658" i="1"/>
  <c r="P4650" i="1"/>
  <c r="P4642" i="1"/>
  <c r="O4634" i="1"/>
  <c r="P4634" i="1"/>
  <c r="P4626" i="1"/>
  <c r="O4618" i="1"/>
  <c r="P4618" i="1"/>
  <c r="O4610" i="1"/>
  <c r="O4611" i="1" s="1"/>
  <c r="O4612" i="1" s="1"/>
  <c r="P4610" i="1"/>
  <c r="P4602" i="1"/>
  <c r="P4594" i="1"/>
  <c r="O4586" i="1"/>
  <c r="O4587" i="1" s="1"/>
  <c r="O4588" i="1" s="1"/>
  <c r="P4586" i="1"/>
  <c r="P4578" i="1"/>
  <c r="P4570" i="1"/>
  <c r="O4570" i="1"/>
  <c r="O4571" i="1" s="1"/>
  <c r="P4562" i="1"/>
  <c r="O4562" i="1"/>
  <c r="P4554" i="1"/>
  <c r="P4546" i="1"/>
  <c r="P4538" i="1"/>
  <c r="P4530" i="1"/>
  <c r="P4522" i="1"/>
  <c r="O4514" i="1"/>
  <c r="P4514" i="1"/>
  <c r="P4506" i="1"/>
  <c r="Q4506" i="1" s="1"/>
  <c r="O4506" i="1"/>
  <c r="O4498" i="1"/>
  <c r="O4499" i="1" s="1"/>
  <c r="O4500" i="1" s="1"/>
  <c r="P4498" i="1"/>
  <c r="O4490" i="1"/>
  <c r="P4490" i="1"/>
  <c r="P4482" i="1"/>
  <c r="P4474" i="1"/>
  <c r="P4466" i="1"/>
  <c r="P4458" i="1"/>
  <c r="O4442" i="1"/>
  <c r="P4442" i="1"/>
  <c r="P4434" i="1"/>
  <c r="P4426" i="1"/>
  <c r="P4418" i="1"/>
  <c r="P4410" i="1"/>
  <c r="O4402" i="1"/>
  <c r="O4403" i="1" s="1"/>
  <c r="P4402" i="1"/>
  <c r="Q4402" i="1" s="1"/>
  <c r="O4394" i="1"/>
  <c r="O4395" i="1" s="1"/>
  <c r="P4394" i="1"/>
  <c r="P4386" i="1"/>
  <c r="O4378" i="1"/>
  <c r="P4378" i="1"/>
  <c r="O4370" i="1"/>
  <c r="P4370" i="1"/>
  <c r="P4362" i="1"/>
  <c r="P4354" i="1"/>
  <c r="O4354" i="1"/>
  <c r="O4355" i="1" s="1"/>
  <c r="O4346" i="1"/>
  <c r="P4346" i="1"/>
  <c r="Q4346" i="1" s="1"/>
  <c r="O4338" i="1"/>
  <c r="O4339" i="1" s="1"/>
  <c r="P4338" i="1"/>
  <c r="Q4338" i="1" s="1"/>
  <c r="O4330" i="1"/>
  <c r="O4331" i="1" s="1"/>
  <c r="P4330" i="1"/>
  <c r="O4322" i="1"/>
  <c r="P4322" i="1"/>
  <c r="O4314" i="1"/>
  <c r="O4315" i="1" s="1"/>
  <c r="P4314" i="1"/>
  <c r="P4306" i="1"/>
  <c r="O4298" i="1"/>
  <c r="P4298" i="1"/>
  <c r="P4290" i="1"/>
  <c r="P4282" i="1"/>
  <c r="O4267" i="1"/>
  <c r="O4268" i="1" s="1"/>
  <c r="O4269" i="1" s="1"/>
  <c r="P4267" i="1"/>
  <c r="P4259" i="1"/>
  <c r="O4259" i="1"/>
  <c r="O4251" i="1"/>
  <c r="O4252" i="1" s="1"/>
  <c r="P4251" i="1"/>
  <c r="P4243" i="1"/>
  <c r="O6228" i="1"/>
  <c r="O6229" i="1" s="1"/>
  <c r="P6228" i="1"/>
  <c r="O3769" i="1"/>
  <c r="P3769" i="1"/>
  <c r="P3759" i="1"/>
  <c r="O3759" i="1"/>
  <c r="O3755" i="1"/>
  <c r="O3756" i="1" s="1"/>
  <c r="P3755" i="1"/>
  <c r="P2988" i="1"/>
  <c r="O4202" i="1"/>
  <c r="P4202" i="1"/>
  <c r="P4164" i="1"/>
  <c r="P4191" i="1"/>
  <c r="P4183" i="1"/>
  <c r="P3720" i="1"/>
  <c r="O3723" i="1"/>
  <c r="P3723" i="1"/>
  <c r="P3647" i="1"/>
  <c r="O3647" i="1"/>
  <c r="P3619" i="1"/>
  <c r="P3542" i="1"/>
  <c r="P3524" i="1"/>
  <c r="P3494" i="1"/>
  <c r="P3459" i="1"/>
  <c r="P3425" i="1"/>
  <c r="O3425" i="1"/>
  <c r="P3403" i="1"/>
  <c r="O3403" i="1"/>
  <c r="O3331" i="1"/>
  <c r="O3332" i="1" s="1"/>
  <c r="P3331" i="1"/>
  <c r="P3301" i="1"/>
  <c r="O3301" i="1"/>
  <c r="P3258" i="1"/>
  <c r="P3667" i="1"/>
  <c r="P3622" i="1"/>
  <c r="P3300" i="1"/>
  <c r="P3512" i="1"/>
  <c r="P3699" i="1"/>
  <c r="O3574" i="1"/>
  <c r="P3574" i="1"/>
  <c r="O3529" i="1"/>
  <c r="P3529" i="1"/>
  <c r="P3341" i="1"/>
  <c r="P3207" i="1"/>
  <c r="P3603" i="1"/>
  <c r="P3453" i="1"/>
  <c r="P3376" i="1"/>
  <c r="P3565" i="1"/>
  <c r="P3703" i="1"/>
  <c r="P3697" i="1"/>
  <c r="P3688" i="1"/>
  <c r="P3680" i="1"/>
  <c r="O3680" i="1"/>
  <c r="O3681" i="1" s="1"/>
  <c r="O3682" i="1" s="1"/>
  <c r="O3670" i="1"/>
  <c r="O3671" i="1" s="1"/>
  <c r="O3672" i="1" s="1"/>
  <c r="P3670" i="1"/>
  <c r="P3655" i="1"/>
  <c r="P3638" i="1"/>
  <c r="O3630" i="1"/>
  <c r="O3631" i="1" s="1"/>
  <c r="O3632" i="1" s="1"/>
  <c r="P3630" i="1"/>
  <c r="P3586" i="1"/>
  <c r="P3580" i="1"/>
  <c r="P3435" i="1"/>
  <c r="P3537" i="1"/>
  <c r="P3484" i="1"/>
  <c r="P3476" i="1"/>
  <c r="O3467" i="1"/>
  <c r="O3468" i="1" s="1"/>
  <c r="O3469" i="1" s="1"/>
  <c r="P3467" i="1"/>
  <c r="P3443" i="1"/>
  <c r="P3414" i="1"/>
  <c r="P3396" i="1"/>
  <c r="O3386" i="1"/>
  <c r="O3387" i="1" s="1"/>
  <c r="P3386" i="1"/>
  <c r="P3378" i="1"/>
  <c r="P3345" i="1"/>
  <c r="P3318" i="1"/>
  <c r="P3285" i="1"/>
  <c r="P3726" i="1"/>
  <c r="O3726" i="1"/>
  <c r="O3727" i="1" s="1"/>
  <c r="O3728" i="1" s="1"/>
  <c r="O3729" i="1" s="1"/>
  <c r="P3516" i="1"/>
  <c r="P3502" i="1"/>
  <c r="P3254" i="1"/>
  <c r="P3073" i="1"/>
  <c r="O3073" i="1"/>
  <c r="P3142" i="1"/>
  <c r="P3113" i="1"/>
  <c r="O3105" i="1"/>
  <c r="P3105" i="1"/>
  <c r="P3097" i="1"/>
  <c r="O3097" i="1"/>
  <c r="O3098" i="1" s="1"/>
  <c r="P3089" i="1"/>
  <c r="P3078" i="1"/>
  <c r="P3068" i="1"/>
  <c r="P3060" i="1"/>
  <c r="P3039" i="1"/>
  <c r="O3031" i="1"/>
  <c r="P3031" i="1"/>
  <c r="P3050" i="1"/>
  <c r="P3081" i="1"/>
  <c r="O3081" i="1"/>
  <c r="P3136" i="1"/>
  <c r="P3053" i="1"/>
  <c r="P3128" i="1"/>
  <c r="P3012" i="1"/>
  <c r="O3014" i="1"/>
  <c r="O3015" i="1" s="1"/>
  <c r="P3014" i="1"/>
  <c r="O3002" i="1"/>
  <c r="O3003" i="1" s="1"/>
  <c r="O3004" i="1" s="1"/>
  <c r="P3002" i="1"/>
  <c r="P2960" i="1"/>
  <c r="O2975" i="1"/>
  <c r="P2975" i="1"/>
  <c r="O2958" i="1"/>
  <c r="O2959" i="1" s="1"/>
  <c r="O2960" i="1" s="1"/>
  <c r="P2958" i="1"/>
  <c r="O4213" i="1"/>
  <c r="P4213" i="1"/>
  <c r="O4205" i="1"/>
  <c r="P4205" i="1"/>
  <c r="O3198" i="1"/>
  <c r="P3198" i="1"/>
  <c r="Q3198" i="1" s="1"/>
  <c r="O3190" i="1"/>
  <c r="O3191" i="1" s="1"/>
  <c r="P3190" i="1"/>
  <c r="Q3190" i="1" s="1"/>
  <c r="P3888" i="1"/>
  <c r="P3846" i="1"/>
  <c r="P4087" i="1"/>
  <c r="O4087" i="1"/>
  <c r="O4112" i="1"/>
  <c r="P4112" i="1"/>
  <c r="P4023" i="1"/>
  <c r="O3934" i="1"/>
  <c r="P3934" i="1"/>
  <c r="O4085" i="1"/>
  <c r="P4085" i="1"/>
  <c r="P3840" i="1"/>
  <c r="P4059" i="1"/>
  <c r="P3940" i="1"/>
  <c r="P3955" i="1"/>
  <c r="P3880" i="1"/>
  <c r="P4136" i="1"/>
  <c r="P4011" i="1"/>
  <c r="P3931" i="1"/>
  <c r="P4026" i="1"/>
  <c r="O3847" i="1"/>
  <c r="O3848" i="1" s="1"/>
  <c r="P3847" i="1"/>
  <c r="Q3847" i="1" s="1"/>
  <c r="P4000" i="1"/>
  <c r="O4128" i="1"/>
  <c r="O4129" i="1" s="1"/>
  <c r="O4130" i="1" s="1"/>
  <c r="O4131" i="1" s="1"/>
  <c r="O4132" i="1" s="1"/>
  <c r="P4128" i="1"/>
  <c r="P4120" i="1"/>
  <c r="P4101" i="1"/>
  <c r="P4083" i="1"/>
  <c r="P4065" i="1"/>
  <c r="P4048" i="1"/>
  <c r="P4031" i="1"/>
  <c r="P4003" i="1"/>
  <c r="O4003" i="1"/>
  <c r="O4004" i="1" s="1"/>
  <c r="O4005" i="1" s="1"/>
  <c r="O4006" i="1" s="1"/>
  <c r="O4007" i="1" s="1"/>
  <c r="P3990" i="1"/>
  <c r="O3979" i="1"/>
  <c r="O3980" i="1" s="1"/>
  <c r="O3981" i="1" s="1"/>
  <c r="O3982" i="1" s="1"/>
  <c r="O3983" i="1" s="1"/>
  <c r="P3979" i="1"/>
  <c r="P3971" i="1"/>
  <c r="P3966" i="1"/>
  <c r="O3958" i="1"/>
  <c r="O3959" i="1" s="1"/>
  <c r="O3960" i="1" s="1"/>
  <c r="O3961" i="1" s="1"/>
  <c r="O3962" i="1" s="1"/>
  <c r="P3958" i="1"/>
  <c r="P3927" i="1"/>
  <c r="P3919" i="1"/>
  <c r="P3899" i="1"/>
  <c r="P3892" i="1"/>
  <c r="P3861" i="1"/>
  <c r="P3851" i="1"/>
  <c r="P3833" i="1"/>
  <c r="P3816" i="1"/>
  <c r="O3816" i="1"/>
  <c r="O3817" i="1" s="1"/>
  <c r="O3818" i="1" s="1"/>
  <c r="O3819" i="1" s="1"/>
  <c r="O3820" i="1" s="1"/>
  <c r="P3808" i="1"/>
  <c r="P3798" i="1"/>
  <c r="P3784" i="1"/>
  <c r="P3791" i="1"/>
  <c r="P3185" i="1"/>
  <c r="O3177" i="1"/>
  <c r="O3178" i="1" s="1"/>
  <c r="P3177" i="1"/>
  <c r="Q3177" i="1" s="1"/>
  <c r="P3357" i="1"/>
  <c r="Q3357" i="1" s="1"/>
  <c r="O3357" i="1"/>
  <c r="P3349" i="1"/>
  <c r="P3737" i="1"/>
  <c r="O3746" i="1"/>
  <c r="P3746" i="1"/>
  <c r="P3732" i="1"/>
  <c r="P3163" i="1"/>
  <c r="P3175" i="1"/>
  <c r="P6296" i="1"/>
  <c r="P6289" i="1"/>
  <c r="O6279" i="1"/>
  <c r="P6279" i="1"/>
  <c r="P6272" i="1"/>
  <c r="O6264" i="1"/>
  <c r="O6265" i="1" s="1"/>
  <c r="P6264" i="1"/>
  <c r="Q6264" i="1" s="1"/>
  <c r="O6256" i="1"/>
  <c r="P6256" i="1"/>
  <c r="O6248" i="1"/>
  <c r="P6248" i="1"/>
  <c r="P6240" i="1"/>
  <c r="P6301" i="1"/>
  <c r="O6232" i="1"/>
  <c r="P6232" i="1"/>
  <c r="P6223" i="1"/>
  <c r="P6231" i="1"/>
  <c r="U3758" i="1"/>
  <c r="U3779" i="1"/>
  <c r="U3765" i="1"/>
  <c r="U6194" i="1"/>
  <c r="U6170" i="1"/>
  <c r="U6146" i="1"/>
  <c r="U6138" i="1"/>
  <c r="U6130" i="1"/>
  <c r="U6114" i="1"/>
  <c r="U6090" i="1"/>
  <c r="U6082" i="1"/>
  <c r="U6074" i="1"/>
  <c r="U6066" i="1"/>
  <c r="U6058" i="1"/>
  <c r="U6202" i="1"/>
  <c r="U6122" i="1"/>
  <c r="U6210" i="1"/>
  <c r="U6178" i="1"/>
  <c r="U6154" i="1"/>
  <c r="U6098" i="1"/>
  <c r="U6186" i="1"/>
  <c r="U6162" i="1"/>
  <c r="U6106" i="1"/>
  <c r="U6214" i="1"/>
  <c r="U6182" i="1"/>
  <c r="U6142" i="1"/>
  <c r="U6110" i="1"/>
  <c r="U6078" i="1"/>
  <c r="U6070" i="1"/>
  <c r="U6062" i="1"/>
  <c r="U6054" i="1"/>
  <c r="U6046" i="1"/>
  <c r="U6038" i="1"/>
  <c r="U6030" i="1"/>
  <c r="U6022" i="1"/>
  <c r="U6014" i="1"/>
  <c r="U6006" i="1"/>
  <c r="U5998" i="1"/>
  <c r="U5990" i="1"/>
  <c r="U5982" i="1"/>
  <c r="U5974" i="1"/>
  <c r="U5966" i="1"/>
  <c r="U5958" i="1"/>
  <c r="U5950" i="1"/>
  <c r="U5942" i="1"/>
  <c r="U5934" i="1"/>
  <c r="U5926" i="1"/>
  <c r="U5918" i="1"/>
  <c r="U5910" i="1"/>
  <c r="U5902" i="1"/>
  <c r="U5894" i="1"/>
  <c r="U5886" i="1"/>
  <c r="U5878" i="1"/>
  <c r="U5870" i="1"/>
  <c r="U5862" i="1"/>
  <c r="U5854" i="1"/>
  <c r="U5846" i="1"/>
  <c r="U5838" i="1"/>
  <c r="U5830" i="1"/>
  <c r="U5822" i="1"/>
  <c r="U5814" i="1"/>
  <c r="U5806" i="1"/>
  <c r="U5798" i="1"/>
  <c r="U5790" i="1"/>
  <c r="U5782" i="1"/>
  <c r="U5774" i="1"/>
  <c r="U5766" i="1"/>
  <c r="U5758" i="1"/>
  <c r="U5750" i="1"/>
  <c r="U5742" i="1"/>
  <c r="U5734" i="1"/>
  <c r="U5726" i="1"/>
  <c r="U5718" i="1"/>
  <c r="U5710" i="1"/>
  <c r="U5702" i="1"/>
  <c r="U5694" i="1"/>
  <c r="U5686" i="1"/>
  <c r="U5678" i="1"/>
  <c r="U5670" i="1"/>
  <c r="U5662" i="1"/>
  <c r="U5654" i="1"/>
  <c r="U5646" i="1"/>
  <c r="U5638" i="1"/>
  <c r="U5630" i="1"/>
  <c r="U5622" i="1"/>
  <c r="U5614" i="1"/>
  <c r="U5606" i="1"/>
  <c r="U5598" i="1"/>
  <c r="U5590" i="1"/>
  <c r="U5582" i="1"/>
  <c r="U5574" i="1"/>
  <c r="U5566" i="1"/>
  <c r="U5558" i="1"/>
  <c r="U5550" i="1"/>
  <c r="U5542" i="1"/>
  <c r="U5534" i="1"/>
  <c r="U5526" i="1"/>
  <c r="U5518" i="1"/>
  <c r="U5510" i="1"/>
  <c r="U5502" i="1"/>
  <c r="U5494" i="1"/>
  <c r="U5486" i="1"/>
  <c r="U5478" i="1"/>
  <c r="U5470" i="1"/>
  <c r="U5462" i="1"/>
  <c r="U5454" i="1"/>
  <c r="U5446" i="1"/>
  <c r="U5438" i="1"/>
  <c r="U5430" i="1"/>
  <c r="U5422" i="1"/>
  <c r="U5399" i="1"/>
  <c r="U5391" i="1"/>
  <c r="U5383" i="1"/>
  <c r="U5375" i="1"/>
  <c r="U5367" i="1"/>
  <c r="U5359" i="1"/>
  <c r="U5351" i="1"/>
  <c r="U5343" i="1"/>
  <c r="U5335" i="1"/>
  <c r="U5327" i="1"/>
  <c r="U5319" i="1"/>
  <c r="U5311" i="1"/>
  <c r="U5303" i="1"/>
  <c r="U5295" i="1"/>
  <c r="U5287" i="1"/>
  <c r="U5279" i="1"/>
  <c r="U5271" i="1"/>
  <c r="U5263" i="1"/>
  <c r="U5255" i="1"/>
  <c r="U5247" i="1"/>
  <c r="U5239" i="1"/>
  <c r="U5231" i="1"/>
  <c r="U5223" i="1"/>
  <c r="U5215" i="1"/>
  <c r="U5207" i="1"/>
  <c r="U5199" i="1"/>
  <c r="U5191" i="1"/>
  <c r="U5183" i="1"/>
  <c r="U5175" i="1"/>
  <c r="U5167" i="1"/>
  <c r="U5159" i="1"/>
  <c r="U5151" i="1"/>
  <c r="U5143" i="1"/>
  <c r="U5135" i="1"/>
  <c r="U5127" i="1"/>
  <c r="U5119" i="1"/>
  <c r="U5111" i="1"/>
  <c r="U5103" i="1"/>
  <c r="U5095" i="1"/>
  <c r="U5087" i="1"/>
  <c r="U5079" i="1"/>
  <c r="U5071" i="1"/>
  <c r="U5063" i="1"/>
  <c r="U5055" i="1"/>
  <c r="U5047" i="1"/>
  <c r="U5039" i="1"/>
  <c r="U5031" i="1"/>
  <c r="U5023" i="1"/>
  <c r="U5015" i="1"/>
  <c r="U5007" i="1"/>
  <c r="U4999" i="1"/>
  <c r="U4991" i="1"/>
  <c r="U4983" i="1"/>
  <c r="U4975" i="1"/>
  <c r="U4967" i="1"/>
  <c r="U4959" i="1"/>
  <c r="U4951" i="1"/>
  <c r="U4943" i="1"/>
  <c r="U4935" i="1"/>
  <c r="U4927" i="1"/>
  <c r="U4919" i="1"/>
  <c r="U4911" i="1"/>
  <c r="U4903" i="1"/>
  <c r="U4895" i="1"/>
  <c r="U4887" i="1"/>
  <c r="U4879" i="1"/>
  <c r="U4871" i="1"/>
  <c r="U4863" i="1"/>
  <c r="U4855" i="1"/>
  <c r="U4847" i="1"/>
  <c r="U4839" i="1"/>
  <c r="U4831" i="1"/>
  <c r="U4823" i="1"/>
  <c r="U4815" i="1"/>
  <c r="U4807" i="1"/>
  <c r="U4799" i="1"/>
  <c r="U4791" i="1"/>
  <c r="U4783" i="1"/>
  <c r="U4775" i="1"/>
  <c r="U4767" i="1"/>
  <c r="U4759" i="1"/>
  <c r="U4751" i="1"/>
  <c r="U4743" i="1"/>
  <c r="U4735" i="1"/>
  <c r="U4727" i="1"/>
  <c r="U4719" i="1"/>
  <c r="U4711" i="1"/>
  <c r="U4703" i="1"/>
  <c r="U4695" i="1"/>
  <c r="U4687" i="1"/>
  <c r="U4679" i="1"/>
  <c r="U4671" i="1"/>
  <c r="U4663" i="1"/>
  <c r="U4655" i="1"/>
  <c r="U4647" i="1"/>
  <c r="U4639" i="1"/>
  <c r="U4631" i="1"/>
  <c r="U4623" i="1"/>
  <c r="U4615" i="1"/>
  <c r="U4607" i="1"/>
  <c r="U4599" i="1"/>
  <c r="U4591" i="1"/>
  <c r="U4583" i="1"/>
  <c r="U4575" i="1"/>
  <c r="U4567" i="1"/>
  <c r="U4559" i="1"/>
  <c r="U4551" i="1"/>
  <c r="U4543" i="1"/>
  <c r="U4535" i="1"/>
  <c r="U4527" i="1"/>
  <c r="U4519" i="1"/>
  <c r="U4511" i="1"/>
  <c r="U4503" i="1"/>
  <c r="U4495" i="1"/>
  <c r="U4487" i="1"/>
  <c r="U4479" i="1"/>
  <c r="U4471" i="1"/>
  <c r="U4463" i="1"/>
  <c r="U4455" i="1"/>
  <c r="U4447" i="1"/>
  <c r="U4439" i="1"/>
  <c r="U4431" i="1"/>
  <c r="U4423" i="1"/>
  <c r="U4415" i="1"/>
  <c r="U4407" i="1"/>
  <c r="U4399" i="1"/>
  <c r="U4391" i="1"/>
  <c r="U4383" i="1"/>
  <c r="U4375" i="1"/>
  <c r="U4367" i="1"/>
  <c r="U4359" i="1"/>
  <c r="U4351" i="1"/>
  <c r="U4343" i="1"/>
  <c r="U4335" i="1"/>
  <c r="U4327" i="1"/>
  <c r="U4319" i="1"/>
  <c r="U4311" i="1"/>
  <c r="U4303" i="1"/>
  <c r="U4295" i="1"/>
  <c r="U4287" i="1"/>
  <c r="U4279" i="1"/>
  <c r="U4264" i="1"/>
  <c r="U4256" i="1"/>
  <c r="U4248" i="1"/>
  <c r="U4240" i="1"/>
  <c r="U4232" i="1"/>
  <c r="U3768" i="1"/>
  <c r="U2990" i="1"/>
  <c r="U4196" i="1"/>
  <c r="U4168" i="1"/>
  <c r="U4151" i="1"/>
  <c r="U4199" i="1"/>
  <c r="U4173" i="1"/>
  <c r="U4155" i="1"/>
  <c r="U4177" i="1"/>
  <c r="U3714" i="1"/>
  <c r="U3329" i="1"/>
  <c r="U3669" i="1"/>
  <c r="U3644" i="1"/>
  <c r="U3597" i="1"/>
  <c r="U3539" i="1"/>
  <c r="U3505" i="1"/>
  <c r="U3490" i="1"/>
  <c r="U3456" i="1"/>
  <c r="U3422" i="1"/>
  <c r="U3338" i="1"/>
  <c r="U3326" i="1"/>
  <c r="U3280" i="1"/>
  <c r="U3267" i="1"/>
  <c r="U3255" i="1"/>
  <c r="U3224" i="1"/>
  <c r="U3664" i="1"/>
  <c r="U3544" i="1"/>
  <c r="U3245" i="1"/>
  <c r="U3507" i="1"/>
  <c r="U3628" i="1"/>
  <c r="U3567" i="1"/>
  <c r="U3461" i="1"/>
  <c r="U3315" i="1"/>
  <c r="U3372" i="1"/>
  <c r="U3615" i="1"/>
  <c r="U3449" i="1"/>
  <c r="U3371" i="1"/>
  <c r="U3707" i="1"/>
  <c r="U3711" i="1"/>
  <c r="U3695" i="1"/>
  <c r="U3684" i="1"/>
  <c r="U3676" i="1"/>
  <c r="U3659" i="1"/>
  <c r="U3643" i="1"/>
  <c r="U3636" i="1"/>
  <c r="U3612" i="1"/>
  <c r="U3591" i="1"/>
  <c r="U3584" i="1"/>
  <c r="U3572" i="1"/>
  <c r="U3436" i="1"/>
  <c r="U3549" i="1"/>
  <c r="U3534" i="1"/>
  <c r="U3480" i="1"/>
  <c r="U3472" i="1"/>
  <c r="U3463" i="1"/>
  <c r="U3440" i="1"/>
  <c r="U3408" i="1"/>
  <c r="U3392" i="1"/>
  <c r="U3381" i="1"/>
  <c r="U3366" i="1"/>
  <c r="U3342" i="1"/>
  <c r="U3313" i="1"/>
  <c r="U3303" i="1"/>
  <c r="U3290" i="1"/>
  <c r="U3277" i="1"/>
  <c r="U3249" i="1"/>
  <c r="U3233" i="1"/>
  <c r="U3209" i="1"/>
  <c r="U3521" i="1"/>
  <c r="U3513" i="1"/>
  <c r="U3431" i="1"/>
  <c r="U3251" i="1"/>
  <c r="U3213" i="1"/>
  <c r="U3147" i="1"/>
  <c r="U3120" i="1"/>
  <c r="U3110" i="1"/>
  <c r="U3103" i="1"/>
  <c r="U3094" i="1"/>
  <c r="U3086" i="1"/>
  <c r="U3075" i="1"/>
  <c r="U3065" i="1"/>
  <c r="U3057" i="1"/>
  <c r="U3035" i="1"/>
  <c r="U3028" i="1"/>
  <c r="U3047" i="1"/>
  <c r="U3044" i="1"/>
  <c r="U2995" i="1"/>
  <c r="U3132" i="1"/>
  <c r="U3019" i="1"/>
  <c r="U3127" i="1"/>
  <c r="U3008" i="1"/>
  <c r="U2998" i="1"/>
  <c r="U2981" i="1"/>
  <c r="U2953" i="1"/>
  <c r="U2965" i="1"/>
  <c r="U2982" i="1"/>
  <c r="U2974" i="1"/>
  <c r="U2951" i="1"/>
  <c r="U4226" i="1"/>
  <c r="U4218" i="1"/>
  <c r="U4210" i="1"/>
  <c r="U3158" i="1"/>
  <c r="U3195" i="1"/>
  <c r="U3203" i="1"/>
  <c r="U3885" i="1"/>
  <c r="U4143" i="1"/>
  <c r="U3912" i="1"/>
  <c r="U4061" i="1"/>
  <c r="U3944" i="1"/>
  <c r="U4093" i="1"/>
  <c r="U4017" i="1"/>
  <c r="U4140" i="1"/>
  <c r="U4043" i="1"/>
  <c r="U3909" i="1"/>
  <c r="U4055" i="1"/>
  <c r="U3838" i="1"/>
  <c r="U4105" i="1"/>
  <c r="U4014" i="1"/>
  <c r="U3906" i="1"/>
  <c r="U3915" i="1"/>
  <c r="U3830" i="1"/>
  <c r="U3998" i="1"/>
  <c r="U4133" i="1"/>
  <c r="U4125" i="1"/>
  <c r="U4118" i="1"/>
  <c r="U4099" i="1"/>
  <c r="U4079" i="1"/>
  <c r="U4068" i="1"/>
  <c r="U4053" i="1"/>
  <c r="U4036" i="1"/>
  <c r="U4028" i="1"/>
  <c r="U4007" i="1"/>
  <c r="U3986" i="1"/>
  <c r="U3980" i="1"/>
  <c r="U3974" i="1"/>
  <c r="U3963" i="1"/>
  <c r="U3945" i="1"/>
  <c r="U3923" i="1"/>
  <c r="U3916" i="1"/>
  <c r="U3896" i="1"/>
  <c r="U3876" i="1"/>
  <c r="U3857" i="1"/>
  <c r="U3850" i="1"/>
  <c r="U3821" i="1"/>
  <c r="U3813" i="1"/>
  <c r="U3805" i="1"/>
  <c r="U3797" i="1"/>
  <c r="U3781" i="1"/>
  <c r="U3788" i="1"/>
  <c r="U3182" i="1"/>
  <c r="U3868" i="1"/>
  <c r="U3360" i="1"/>
  <c r="U3354" i="1"/>
  <c r="U3152" i="1"/>
  <c r="U3734" i="1"/>
  <c r="U3743" i="1"/>
  <c r="U3165" i="1"/>
  <c r="U3160" i="1"/>
  <c r="U3173" i="1"/>
  <c r="U6293" i="1"/>
  <c r="U6285" i="1"/>
  <c r="U6277" i="1"/>
  <c r="U6269" i="1"/>
  <c r="U6262" i="1"/>
  <c r="U6253" i="1"/>
  <c r="U6245" i="1"/>
  <c r="U6306" i="1"/>
  <c r="U6237" i="1"/>
  <c r="U6309" i="1"/>
  <c r="U6220" i="1"/>
  <c r="U3775" i="1"/>
  <c r="U3757" i="1"/>
  <c r="U6206" i="1"/>
  <c r="U6174" i="1"/>
  <c r="U6158" i="1"/>
  <c r="U6126" i="1"/>
  <c r="U6094" i="1"/>
  <c r="U6197" i="1"/>
  <c r="U6173" i="1"/>
  <c r="U6149" i="1"/>
  <c r="U6125" i="1"/>
  <c r="U6101" i="1"/>
  <c r="U6077" i="1"/>
  <c r="U6053" i="1"/>
  <c r="U6029" i="1"/>
  <c r="U6005" i="1"/>
  <c r="U5981" i="1"/>
  <c r="U5949" i="1"/>
  <c r="U5925" i="1"/>
  <c r="U5901" i="1"/>
  <c r="U5877" i="1"/>
  <c r="U5853" i="1"/>
  <c r="U5829" i="1"/>
  <c r="U5805" i="1"/>
  <c r="U5781" i="1"/>
  <c r="U5757" i="1"/>
  <c r="U5733" i="1"/>
  <c r="U5709" i="1"/>
  <c r="U5685" i="1"/>
  <c r="U5661" i="1"/>
  <c r="U5629" i="1"/>
  <c r="U5605" i="1"/>
  <c r="U5573" i="1"/>
  <c r="U5549" i="1"/>
  <c r="U5525" i="1"/>
  <c r="U5517" i="1"/>
  <c r="U5509" i="1"/>
  <c r="U5501" i="1"/>
  <c r="U5493" i="1"/>
  <c r="U5485" i="1"/>
  <c r="U5477" i="1"/>
  <c r="U5469" i="1"/>
  <c r="U5453" i="1"/>
  <c r="U5437" i="1"/>
  <c r="U5429" i="1"/>
  <c r="U5421" i="1"/>
  <c r="U5398" i="1"/>
  <c r="U5390" i="1"/>
  <c r="U5382" i="1"/>
  <c r="U5374" i="1"/>
  <c r="U5366" i="1"/>
  <c r="U5358" i="1"/>
  <c r="U5350" i="1"/>
  <c r="U5342" i="1"/>
  <c r="U5334" i="1"/>
  <c r="U5326" i="1"/>
  <c r="U5318" i="1"/>
  <c r="U5310" i="1"/>
  <c r="U5302" i="1"/>
  <c r="U5294" i="1"/>
  <c r="U5286" i="1"/>
  <c r="U5278" i="1"/>
  <c r="U5270" i="1"/>
  <c r="U5262" i="1"/>
  <c r="U5254" i="1"/>
  <c r="U5246" i="1"/>
  <c r="U5238" i="1"/>
  <c r="U5230" i="1"/>
  <c r="U5222" i="1"/>
  <c r="U5214" i="1"/>
  <c r="U5206" i="1"/>
  <c r="U5198" i="1"/>
  <c r="U5190" i="1"/>
  <c r="U5182" i="1"/>
  <c r="U5174" i="1"/>
  <c r="U5166" i="1"/>
  <c r="U5158" i="1"/>
  <c r="U5150" i="1"/>
  <c r="U5142" i="1"/>
  <c r="U5134" i="1"/>
  <c r="U5126" i="1"/>
  <c r="U5118" i="1"/>
  <c r="U5110" i="1"/>
  <c r="U5102" i="1"/>
  <c r="U5094" i="1"/>
  <c r="U5086" i="1"/>
  <c r="U5078" i="1"/>
  <c r="U5070" i="1"/>
  <c r="U5062" i="1"/>
  <c r="U5054" i="1"/>
  <c r="U5046" i="1"/>
  <c r="U5038" i="1"/>
  <c r="U5030" i="1"/>
  <c r="U5022" i="1"/>
  <c r="U5014" i="1"/>
  <c r="U5006" i="1"/>
  <c r="U4998" i="1"/>
  <c r="U4990" i="1"/>
  <c r="U4982" i="1"/>
  <c r="U4974" i="1"/>
  <c r="U4966" i="1"/>
  <c r="U4958" i="1"/>
  <c r="U4950" i="1"/>
  <c r="U4942" i="1"/>
  <c r="U4934" i="1"/>
  <c r="U4926" i="1"/>
  <c r="U4918" i="1"/>
  <c r="U4910" i="1"/>
  <c r="U4902" i="1"/>
  <c r="U4894" i="1"/>
  <c r="U4886" i="1"/>
  <c r="U4878" i="1"/>
  <c r="U4870" i="1"/>
  <c r="U4862" i="1"/>
  <c r="U4854" i="1"/>
  <c r="U4846" i="1"/>
  <c r="U4838" i="1"/>
  <c r="U4830" i="1"/>
  <c r="U4822" i="1"/>
  <c r="U4814" i="1"/>
  <c r="U4806" i="1"/>
  <c r="U4798" i="1"/>
  <c r="U4790" i="1"/>
  <c r="U4782" i="1"/>
  <c r="U4774" i="1"/>
  <c r="U4766" i="1"/>
  <c r="U4758" i="1"/>
  <c r="U4750" i="1"/>
  <c r="U4742" i="1"/>
  <c r="U4734" i="1"/>
  <c r="U4726" i="1"/>
  <c r="U4718" i="1"/>
  <c r="U4710" i="1"/>
  <c r="U4702" i="1"/>
  <c r="U4694" i="1"/>
  <c r="U4686" i="1"/>
  <c r="U4678" i="1"/>
  <c r="U4670" i="1"/>
  <c r="U4662" i="1"/>
  <c r="U4654" i="1"/>
  <c r="U4646" i="1"/>
  <c r="U4638" i="1"/>
  <c r="U4630" i="1"/>
  <c r="U4622" i="1"/>
  <c r="U4614" i="1"/>
  <c r="U4606" i="1"/>
  <c r="U4598" i="1"/>
  <c r="U4590" i="1"/>
  <c r="U4582" i="1"/>
  <c r="U4574" i="1"/>
  <c r="U4566" i="1"/>
  <c r="U4558" i="1"/>
  <c r="U4550" i="1"/>
  <c r="U4542" i="1"/>
  <c r="U4534" i="1"/>
  <c r="U4526" i="1"/>
  <c r="U4518" i="1"/>
  <c r="U4510" i="1"/>
  <c r="U4502" i="1"/>
  <c r="U4494" i="1"/>
  <c r="U4486" i="1"/>
  <c r="U4478" i="1"/>
  <c r="U4470" i="1"/>
  <c r="U4462" i="1"/>
  <c r="U4454" i="1"/>
  <c r="U4446" i="1"/>
  <c r="U4438" i="1"/>
  <c r="U4430" i="1"/>
  <c r="U4422" i="1"/>
  <c r="U4414" i="1"/>
  <c r="U4406" i="1"/>
  <c r="U4398" i="1"/>
  <c r="U4390" i="1"/>
  <c r="U4382" i="1"/>
  <c r="U4374" i="1"/>
  <c r="U4366" i="1"/>
  <c r="U4358" i="1"/>
  <c r="U4350" i="1"/>
  <c r="U4342" i="1"/>
  <c r="U4334" i="1"/>
  <c r="U4326" i="1"/>
  <c r="U4318" i="1"/>
  <c r="U4310" i="1"/>
  <c r="U4302" i="1"/>
  <c r="U4294" i="1"/>
  <c r="U4286" i="1"/>
  <c r="U4278" i="1"/>
  <c r="U4263" i="1"/>
  <c r="U4255" i="1"/>
  <c r="U4247" i="1"/>
  <c r="U4239" i="1"/>
  <c r="U4231" i="1"/>
  <c r="U3753" i="1"/>
  <c r="U3767" i="1"/>
  <c r="U2989" i="1"/>
  <c r="U4195" i="1"/>
  <c r="U4167" i="1"/>
  <c r="U4192" i="1"/>
  <c r="U4197" i="1"/>
  <c r="U4162" i="1"/>
  <c r="U4153" i="1"/>
  <c r="U4175" i="1"/>
  <c r="U3651" i="1"/>
  <c r="U3328" i="1"/>
  <c r="U3668" i="1"/>
  <c r="U3627" i="1"/>
  <c r="U3596" i="1"/>
  <c r="U3528" i="1"/>
  <c r="U3498" i="1"/>
  <c r="U3491" i="1"/>
  <c r="U3455" i="1"/>
  <c r="U3418" i="1"/>
  <c r="U3337" i="1"/>
  <c r="U3325" i="1"/>
  <c r="U3279" i="1"/>
  <c r="U3262" i="1"/>
  <c r="U3242" i="1"/>
  <c r="U3223" i="1"/>
  <c r="U3662" i="1"/>
  <c r="U3543" i="1"/>
  <c r="U3244" i="1"/>
  <c r="U3510" i="1"/>
  <c r="U3614" i="1"/>
  <c r="U3552" i="1"/>
  <c r="U3460" i="1"/>
  <c r="U3314" i="1"/>
  <c r="U3273" i="1"/>
  <c r="U3616" i="1"/>
  <c r="U3446" i="1"/>
  <c r="U3370" i="1"/>
  <c r="U3701" i="1"/>
  <c r="U3712" i="1"/>
  <c r="U3692" i="1"/>
  <c r="U3685" i="1"/>
  <c r="U3675" i="1"/>
  <c r="U3658" i="1"/>
  <c r="U3642" i="1"/>
  <c r="U3634" i="1"/>
  <c r="U3610" i="1"/>
  <c r="U3590" i="1"/>
  <c r="U3583" i="1"/>
  <c r="U3571" i="1"/>
  <c r="U3559" i="1"/>
  <c r="U3548" i="1"/>
  <c r="U3533" i="1"/>
  <c r="U3482" i="1"/>
  <c r="U3471" i="1"/>
  <c r="U3462" i="1"/>
  <c r="U3415" i="1"/>
  <c r="U3406" i="1"/>
  <c r="U3394" i="1"/>
  <c r="U3383" i="1"/>
  <c r="U3365" i="1"/>
  <c r="U3322" i="1"/>
  <c r="U3312" i="1"/>
  <c r="U3297" i="1"/>
  <c r="U3289" i="1"/>
  <c r="U3276" i="1"/>
  <c r="U3247" i="1"/>
  <c r="U3231" i="1"/>
  <c r="U3208" i="1"/>
  <c r="U3519" i="1"/>
  <c r="U3504" i="1"/>
  <c r="U3432" i="1"/>
  <c r="U3220" i="1"/>
  <c r="U3212" i="1"/>
  <c r="U3146" i="1"/>
  <c r="U3119" i="1"/>
  <c r="U3109" i="1"/>
  <c r="U3101" i="1"/>
  <c r="U3093" i="1"/>
  <c r="U3085" i="1"/>
  <c r="U3072" i="1"/>
  <c r="U3064" i="1"/>
  <c r="U3043" i="1"/>
  <c r="U3036" i="1"/>
  <c r="U3027" i="1"/>
  <c r="U3130" i="1"/>
  <c r="U3045" i="1"/>
  <c r="U3140" i="1"/>
  <c r="U3135" i="1"/>
  <c r="U3018" i="1"/>
  <c r="U3123" i="1"/>
  <c r="U3007" i="1"/>
  <c r="U2999" i="1"/>
  <c r="U2972" i="1"/>
  <c r="U2949" i="1"/>
  <c r="U2962" i="1"/>
  <c r="U2979" i="1"/>
  <c r="U2969" i="1"/>
  <c r="U2950" i="1"/>
  <c r="U4225" i="1"/>
  <c r="U4217" i="1"/>
  <c r="U4209" i="1"/>
  <c r="U3157" i="1"/>
  <c r="U3194" i="1"/>
  <c r="U3202" i="1"/>
  <c r="U3884" i="1"/>
  <c r="U4020" i="1"/>
  <c r="U3911" i="1"/>
  <c r="U4060" i="1"/>
  <c r="U3943" i="1"/>
  <c r="U4092" i="1"/>
  <c r="U4016" i="1"/>
  <c r="U4139" i="1"/>
  <c r="U4042" i="1"/>
  <c r="U3907" i="1"/>
  <c r="U4039" i="1"/>
  <c r="U3837" i="1"/>
  <c r="U4091" i="1"/>
  <c r="U4013" i="1"/>
  <c r="U3905" i="1"/>
  <c r="U3914" i="1"/>
  <c r="U3829" i="1"/>
  <c r="U4001" i="1"/>
  <c r="U4129" i="1"/>
  <c r="U4124" i="1"/>
  <c r="U4116" i="1"/>
  <c r="U4098" i="1"/>
  <c r="U4078" i="1"/>
  <c r="U4066" i="1"/>
  <c r="U4052" i="1"/>
  <c r="U4035" i="1"/>
  <c r="U4030" i="1"/>
  <c r="U3994" i="1"/>
  <c r="U3987" i="1"/>
  <c r="U3978" i="1"/>
  <c r="U3972" i="1"/>
  <c r="U3960" i="1"/>
  <c r="U3948" i="1"/>
  <c r="U3926" i="1"/>
  <c r="U3903" i="1"/>
  <c r="U3894" i="1"/>
  <c r="U3875" i="1"/>
  <c r="U3860" i="1"/>
  <c r="U3849" i="1"/>
  <c r="U3820" i="1"/>
  <c r="U3812" i="1"/>
  <c r="U3803" i="1"/>
  <c r="U3796" i="1"/>
  <c r="U3795" i="1"/>
  <c r="U3189" i="1"/>
  <c r="U3181" i="1"/>
  <c r="U3867" i="1"/>
  <c r="U3362" i="1"/>
  <c r="U3353" i="1"/>
  <c r="U3752" i="1"/>
  <c r="U3750" i="1"/>
  <c r="U3742" i="1"/>
  <c r="U3169" i="1"/>
  <c r="U3159" i="1"/>
  <c r="U6227" i="1"/>
  <c r="U6292" i="1"/>
  <c r="U6284" i="1"/>
  <c r="U6276" i="1"/>
  <c r="U6268" i="1"/>
  <c r="U6260" i="1"/>
  <c r="U6252" i="1"/>
  <c r="U6244" i="1"/>
  <c r="U6305" i="1"/>
  <c r="U6236" i="1"/>
  <c r="U6308" i="1"/>
  <c r="U6219" i="1"/>
  <c r="U3762" i="1"/>
  <c r="U6198" i="1"/>
  <c r="U6166" i="1"/>
  <c r="U6134" i="1"/>
  <c r="U6102" i="1"/>
  <c r="U6205" i="1"/>
  <c r="U6181" i="1"/>
  <c r="U6157" i="1"/>
  <c r="U6133" i="1"/>
  <c r="U6109" i="1"/>
  <c r="U6085" i="1"/>
  <c r="U6061" i="1"/>
  <c r="U6037" i="1"/>
  <c r="U6013" i="1"/>
  <c r="U5989" i="1"/>
  <c r="U5957" i="1"/>
  <c r="U5933" i="1"/>
  <c r="U5909" i="1"/>
  <c r="U5885" i="1"/>
  <c r="U5861" i="1"/>
  <c r="U5837" i="1"/>
  <c r="U5813" i="1"/>
  <c r="U5789" i="1"/>
  <c r="U5765" i="1"/>
  <c r="U5741" i="1"/>
  <c r="U5717" i="1"/>
  <c r="U5693" i="1"/>
  <c r="U5669" i="1"/>
  <c r="U5645" i="1"/>
  <c r="U5621" i="1"/>
  <c r="U5597" i="1"/>
  <c r="U5581" i="1"/>
  <c r="U5557" i="1"/>
  <c r="U5533" i="1"/>
  <c r="U5461" i="1"/>
  <c r="U6204" i="1"/>
  <c r="U6180" i="1"/>
  <c r="U6164" i="1"/>
  <c r="U6148" i="1"/>
  <c r="U6132" i="1"/>
  <c r="U6116" i="1"/>
  <c r="U6100" i="1"/>
  <c r="U6084" i="1"/>
  <c r="U6068" i="1"/>
  <c r="U6044" i="1"/>
  <c r="U6028" i="1"/>
  <c r="U6012" i="1"/>
  <c r="U5996" i="1"/>
  <c r="U5980" i="1"/>
  <c r="U5964" i="1"/>
  <c r="U5948" i="1"/>
  <c r="U5932" i="1"/>
  <c r="U5924" i="1"/>
  <c r="U5908" i="1"/>
  <c r="U5900" i="1"/>
  <c r="U5892" i="1"/>
  <c r="U5884" i="1"/>
  <c r="U5876" i="1"/>
  <c r="U5868" i="1"/>
  <c r="U5860" i="1"/>
  <c r="U5852" i="1"/>
  <c r="U5844" i="1"/>
  <c r="U5836" i="1"/>
  <c r="U5828" i="1"/>
  <c r="U5820" i="1"/>
  <c r="U5812" i="1"/>
  <c r="U5804" i="1"/>
  <c r="U5796" i="1"/>
  <c r="U5788" i="1"/>
  <c r="U5780" i="1"/>
  <c r="U5772" i="1"/>
  <c r="U5764" i="1"/>
  <c r="U5756" i="1"/>
  <c r="U5748" i="1"/>
  <c r="U5740" i="1"/>
  <c r="U5732" i="1"/>
  <c r="U5724" i="1"/>
  <c r="U5716" i="1"/>
  <c r="U5708" i="1"/>
  <c r="U5700" i="1"/>
  <c r="U5692" i="1"/>
  <c r="U5684" i="1"/>
  <c r="U5676" i="1"/>
  <c r="U5668" i="1"/>
  <c r="U5660" i="1"/>
  <c r="U5652" i="1"/>
  <c r="U5644" i="1"/>
  <c r="U5636" i="1"/>
  <c r="U5628" i="1"/>
  <c r="U5620" i="1"/>
  <c r="U5612" i="1"/>
  <c r="U5604" i="1"/>
  <c r="U5596" i="1"/>
  <c r="U5588" i="1"/>
  <c r="U5580" i="1"/>
  <c r="U5572" i="1"/>
  <c r="U5564" i="1"/>
  <c r="U5556" i="1"/>
  <c r="U5548" i="1"/>
  <c r="U5540" i="1"/>
  <c r="U5532" i="1"/>
  <c r="U5524" i="1"/>
  <c r="U5516" i="1"/>
  <c r="U5508" i="1"/>
  <c r="U5500" i="1"/>
  <c r="U5492" i="1"/>
  <c r="U5484" i="1"/>
  <c r="U5476" i="1"/>
  <c r="U5468" i="1"/>
  <c r="U5460" i="1"/>
  <c r="U5452" i="1"/>
  <c r="U5444" i="1"/>
  <c r="U5436" i="1"/>
  <c r="U5428" i="1"/>
  <c r="U5420" i="1"/>
  <c r="U5397" i="1"/>
  <c r="U5389" i="1"/>
  <c r="U5381" i="1"/>
  <c r="U5373" i="1"/>
  <c r="U5365" i="1"/>
  <c r="U5357" i="1"/>
  <c r="U5349" i="1"/>
  <c r="U5341" i="1"/>
  <c r="U5333" i="1"/>
  <c r="U5325" i="1"/>
  <c r="U5317" i="1"/>
  <c r="U5309" i="1"/>
  <c r="U5301" i="1"/>
  <c r="U5293" i="1"/>
  <c r="U5285" i="1"/>
  <c r="U5277" i="1"/>
  <c r="U5269" i="1"/>
  <c r="U5261" i="1"/>
  <c r="U5253" i="1"/>
  <c r="U5245" i="1"/>
  <c r="U5237" i="1"/>
  <c r="U5229" i="1"/>
  <c r="U5221" i="1"/>
  <c r="U5213" i="1"/>
  <c r="U5205" i="1"/>
  <c r="U5197" i="1"/>
  <c r="U5189" i="1"/>
  <c r="U5181" i="1"/>
  <c r="U5173" i="1"/>
  <c r="U5165" i="1"/>
  <c r="U5157" i="1"/>
  <c r="U5149" i="1"/>
  <c r="U5141" i="1"/>
  <c r="U5133" i="1"/>
  <c r="U5125" i="1"/>
  <c r="U5117" i="1"/>
  <c r="U5109" i="1"/>
  <c r="U5101" i="1"/>
  <c r="U5093" i="1"/>
  <c r="U5085" i="1"/>
  <c r="U5077" i="1"/>
  <c r="U5069" i="1"/>
  <c r="U5061" i="1"/>
  <c r="U5053" i="1"/>
  <c r="U5045" i="1"/>
  <c r="U5037" i="1"/>
  <c r="U5029" i="1"/>
  <c r="U5021" i="1"/>
  <c r="U5013" i="1"/>
  <c r="U5005" i="1"/>
  <c r="U4997" i="1"/>
  <c r="U4989" i="1"/>
  <c r="U4981" i="1"/>
  <c r="U4973" i="1"/>
  <c r="U4965" i="1"/>
  <c r="U4957" i="1"/>
  <c r="U4949" i="1"/>
  <c r="U4941" i="1"/>
  <c r="U4933" i="1"/>
  <c r="U4925" i="1"/>
  <c r="U4917" i="1"/>
  <c r="U4909" i="1"/>
  <c r="U4901" i="1"/>
  <c r="U4893" i="1"/>
  <c r="U4885" i="1"/>
  <c r="U4877" i="1"/>
  <c r="U4869" i="1"/>
  <c r="U4861" i="1"/>
  <c r="U4853" i="1"/>
  <c r="U4845" i="1"/>
  <c r="U4837" i="1"/>
  <c r="U4829" i="1"/>
  <c r="U4821" i="1"/>
  <c r="U4813" i="1"/>
  <c r="U4805" i="1"/>
  <c r="U4797" i="1"/>
  <c r="U4789" i="1"/>
  <c r="U4781" i="1"/>
  <c r="U4773" i="1"/>
  <c r="U4765" i="1"/>
  <c r="U4757" i="1"/>
  <c r="U4749" i="1"/>
  <c r="U4741" i="1"/>
  <c r="U4733" i="1"/>
  <c r="U4725" i="1"/>
  <c r="U4717" i="1"/>
  <c r="U4709" i="1"/>
  <c r="U4701" i="1"/>
  <c r="U4693" i="1"/>
  <c r="U4685" i="1"/>
  <c r="U4677" i="1"/>
  <c r="U4669" i="1"/>
  <c r="U4661" i="1"/>
  <c r="U4653" i="1"/>
  <c r="U4645" i="1"/>
  <c r="U4637" i="1"/>
  <c r="U4629" i="1"/>
  <c r="U4621" i="1"/>
  <c r="U4613" i="1"/>
  <c r="U4605" i="1"/>
  <c r="U4597" i="1"/>
  <c r="U4589" i="1"/>
  <c r="U4581" i="1"/>
  <c r="U4573" i="1"/>
  <c r="U4565" i="1"/>
  <c r="U4557" i="1"/>
  <c r="U4549" i="1"/>
  <c r="U4541" i="1"/>
  <c r="U4533" i="1"/>
  <c r="U4525" i="1"/>
  <c r="U4517" i="1"/>
  <c r="U4509" i="1"/>
  <c r="U4501" i="1"/>
  <c r="U4493" i="1"/>
  <c r="U4485" i="1"/>
  <c r="U4477" i="1"/>
  <c r="U4469" i="1"/>
  <c r="U4461" i="1"/>
  <c r="U4453" i="1"/>
  <c r="U4445" i="1"/>
  <c r="U4437" i="1"/>
  <c r="U4429" i="1"/>
  <c r="U4421" i="1"/>
  <c r="U4413" i="1"/>
  <c r="U4405" i="1"/>
  <c r="U4397" i="1"/>
  <c r="U4389" i="1"/>
  <c r="U4381" i="1"/>
  <c r="U4373" i="1"/>
  <c r="U4365" i="1"/>
  <c r="U4357" i="1"/>
  <c r="U4349" i="1"/>
  <c r="U4341" i="1"/>
  <c r="U4333" i="1"/>
  <c r="U4325" i="1"/>
  <c r="U4317" i="1"/>
  <c r="U4309" i="1"/>
  <c r="U4301" i="1"/>
  <c r="U4293" i="1"/>
  <c r="U4285" i="1"/>
  <c r="U4277" i="1"/>
  <c r="U4262" i="1"/>
  <c r="U4254" i="1"/>
  <c r="U4246" i="1"/>
  <c r="U4238" i="1"/>
  <c r="U4230" i="1"/>
  <c r="U3772" i="1"/>
  <c r="U2992" i="1"/>
  <c r="U3151" i="1"/>
  <c r="U4194" i="1"/>
  <c r="U4166" i="1"/>
  <c r="U4186" i="1"/>
  <c r="U4198" i="1"/>
  <c r="U4161" i="1"/>
  <c r="U4150" i="1"/>
  <c r="U4176" i="1"/>
  <c r="U3650" i="1"/>
  <c r="U3226" i="1"/>
  <c r="U3652" i="1"/>
  <c r="U3626" i="1"/>
  <c r="U3595" i="1"/>
  <c r="U3527" i="1"/>
  <c r="U3497" i="1"/>
  <c r="U3489" i="1"/>
  <c r="U3454" i="1"/>
  <c r="U3417" i="1"/>
  <c r="U3335" i="1"/>
  <c r="U3324" i="1"/>
  <c r="U3278" i="1"/>
  <c r="U3261" i="1"/>
  <c r="U3241" i="1"/>
  <c r="U3718" i="1"/>
  <c r="U3663" i="1"/>
  <c r="U3400" i="1"/>
  <c r="U3243" i="1"/>
  <c r="U3509" i="1"/>
  <c r="U3609" i="1"/>
  <c r="U3551" i="1"/>
  <c r="U3439" i="1"/>
  <c r="U3309" i="1"/>
  <c r="U3606" i="1"/>
  <c r="U3562" i="1"/>
  <c r="U3445" i="1"/>
  <c r="U3368" i="1"/>
  <c r="U3705" i="1"/>
  <c r="U3708" i="1"/>
  <c r="U3691" i="1"/>
  <c r="U3683" i="1"/>
  <c r="U3674" i="1"/>
  <c r="U3660" i="1"/>
  <c r="U3641" i="1"/>
  <c r="U3633" i="1"/>
  <c r="U3607" i="1"/>
  <c r="U3589" i="1"/>
  <c r="U3581" i="1"/>
  <c r="U3569" i="1"/>
  <c r="U3557" i="1"/>
  <c r="U3547" i="1"/>
  <c r="U3532" i="1"/>
  <c r="U3481" i="1"/>
  <c r="U3470" i="1"/>
  <c r="U3464" i="1"/>
  <c r="U3412" i="1"/>
  <c r="U3407" i="1"/>
  <c r="U3389" i="1"/>
  <c r="U3382" i="1"/>
  <c r="U3364" i="1"/>
  <c r="U3321" i="1"/>
  <c r="U3311" i="1"/>
  <c r="U3296" i="1"/>
  <c r="U3287" i="1"/>
  <c r="U3275" i="1"/>
  <c r="U3246" i="1"/>
  <c r="U3230" i="1"/>
  <c r="U3730" i="1"/>
  <c r="U3520" i="1"/>
  <c r="U3501" i="1"/>
  <c r="U3430" i="1"/>
  <c r="U3219" i="1"/>
  <c r="U3115" i="1"/>
  <c r="U3145" i="1"/>
  <c r="U3118" i="1"/>
  <c r="U3108" i="1"/>
  <c r="U3100" i="1"/>
  <c r="U3092" i="1"/>
  <c r="U3084" i="1"/>
  <c r="U3071" i="1"/>
  <c r="U3063" i="1"/>
  <c r="U3042" i="1"/>
  <c r="U3034" i="1"/>
  <c r="U3026" i="1"/>
  <c r="U2993" i="1"/>
  <c r="U3023" i="1"/>
  <c r="U3139" i="1"/>
  <c r="U3056" i="1"/>
  <c r="U3017" i="1"/>
  <c r="U3122" i="1"/>
  <c r="U3006" i="1"/>
  <c r="U3000" i="1"/>
  <c r="U2970" i="1"/>
  <c r="U2948" i="1"/>
  <c r="U2959" i="1"/>
  <c r="U2978" i="1"/>
  <c r="U2966" i="1"/>
  <c r="U4224" i="1"/>
  <c r="U4216" i="1"/>
  <c r="U4208" i="1"/>
  <c r="U3156" i="1"/>
  <c r="U3193" i="1"/>
  <c r="U3201" i="1"/>
  <c r="U3883" i="1"/>
  <c r="U4018" i="1"/>
  <c r="U3844" i="1"/>
  <c r="U4046" i="1"/>
  <c r="U3942" i="1"/>
  <c r="U3842" i="1"/>
  <c r="U3933" i="1"/>
  <c r="U4096" i="1"/>
  <c r="U4041" i="1"/>
  <c r="U3908" i="1"/>
  <c r="U4038" i="1"/>
  <c r="U4138" i="1"/>
  <c r="U4090" i="1"/>
  <c r="U3953" i="1"/>
  <c r="U3904" i="1"/>
  <c r="U3913" i="1"/>
  <c r="U3828" i="1"/>
  <c r="U3999" i="1"/>
  <c r="U4132" i="1"/>
  <c r="U4123" i="1"/>
  <c r="U4115" i="1"/>
  <c r="U4097" i="1"/>
  <c r="U4077" i="1"/>
  <c r="U4069" i="1"/>
  <c r="U4051" i="1"/>
  <c r="U4034" i="1"/>
  <c r="U4009" i="1"/>
  <c r="U3992" i="1"/>
  <c r="U3984" i="1"/>
  <c r="U3976" i="1"/>
  <c r="U3969" i="1"/>
  <c r="U3961" i="1"/>
  <c r="U3946" i="1"/>
  <c r="U3922" i="1"/>
  <c r="U3902" i="1"/>
  <c r="U3895" i="1"/>
  <c r="U3874" i="1"/>
  <c r="U3856" i="1"/>
  <c r="U3836" i="1"/>
  <c r="U3819" i="1"/>
  <c r="U3811" i="1"/>
  <c r="U3804" i="1"/>
  <c r="U3787" i="1"/>
  <c r="U3794" i="1"/>
  <c r="U3188" i="1"/>
  <c r="U3180" i="1"/>
  <c r="U3866" i="1"/>
  <c r="U3361" i="1"/>
  <c r="U3352" i="1"/>
  <c r="U3751" i="1"/>
  <c r="U3749" i="1"/>
  <c r="U3740" i="1"/>
  <c r="U3168" i="1"/>
  <c r="U3171" i="1"/>
  <c r="U6226" i="1"/>
  <c r="U6291" i="1"/>
  <c r="U6282" i="1"/>
  <c r="U6275" i="1"/>
  <c r="U6266" i="1"/>
  <c r="U6258" i="1"/>
  <c r="U6251" i="1"/>
  <c r="U6243" i="1"/>
  <c r="U6304" i="1"/>
  <c r="U6235" i="1"/>
  <c r="U6307" i="1"/>
  <c r="U6218" i="1"/>
  <c r="T623" i="1"/>
  <c r="U3777" i="1"/>
  <c r="U3759" i="1"/>
  <c r="U3754" i="1"/>
  <c r="U6190" i="1"/>
  <c r="U6150" i="1"/>
  <c r="U6118" i="1"/>
  <c r="U6086" i="1"/>
  <c r="U6213" i="1"/>
  <c r="U6189" i="1"/>
  <c r="U6165" i="1"/>
  <c r="U6141" i="1"/>
  <c r="U6117" i="1"/>
  <c r="U6093" i="1"/>
  <c r="U6069" i="1"/>
  <c r="U6045" i="1"/>
  <c r="U6021" i="1"/>
  <c r="U5997" i="1"/>
  <c r="U5973" i="1"/>
  <c r="U5965" i="1"/>
  <c r="U5941" i="1"/>
  <c r="U5917" i="1"/>
  <c r="U5893" i="1"/>
  <c r="U5869" i="1"/>
  <c r="U5845" i="1"/>
  <c r="U5821" i="1"/>
  <c r="U5797" i="1"/>
  <c r="U5773" i="1"/>
  <c r="U5749" i="1"/>
  <c r="U5725" i="1"/>
  <c r="U5701" i="1"/>
  <c r="U5677" i="1"/>
  <c r="U5653" i="1"/>
  <c r="U5637" i="1"/>
  <c r="U5613" i="1"/>
  <c r="U5589" i="1"/>
  <c r="U5565" i="1"/>
  <c r="U5541" i="1"/>
  <c r="U5445" i="1"/>
  <c r="U6212" i="1"/>
  <c r="U6196" i="1"/>
  <c r="U6188" i="1"/>
  <c r="U6172" i="1"/>
  <c r="U6156" i="1"/>
  <c r="U6140" i="1"/>
  <c r="U6124" i="1"/>
  <c r="U6108" i="1"/>
  <c r="U6092" i="1"/>
  <c r="U6076" i="1"/>
  <c r="U6060" i="1"/>
  <c r="U6052" i="1"/>
  <c r="U6036" i="1"/>
  <c r="U6020" i="1"/>
  <c r="U6004" i="1"/>
  <c r="U5988" i="1"/>
  <c r="U5972" i="1"/>
  <c r="U5956" i="1"/>
  <c r="U5940" i="1"/>
  <c r="U5916" i="1"/>
  <c r="U6211" i="1"/>
  <c r="U6203" i="1"/>
  <c r="U6195" i="1"/>
  <c r="U6187" i="1"/>
  <c r="U6179" i="1"/>
  <c r="U6171" i="1"/>
  <c r="U6163" i="1"/>
  <c r="U6155" i="1"/>
  <c r="U6147" i="1"/>
  <c r="U6139" i="1"/>
  <c r="U6131" i="1"/>
  <c r="U6123" i="1"/>
  <c r="U6115" i="1"/>
  <c r="U6107" i="1"/>
  <c r="U6099" i="1"/>
  <c r="U6091" i="1"/>
  <c r="U6083" i="1"/>
  <c r="U6075" i="1"/>
  <c r="U6067" i="1"/>
  <c r="U6059" i="1"/>
  <c r="U6051" i="1"/>
  <c r="U6043" i="1"/>
  <c r="U6035" i="1"/>
  <c r="U6027" i="1"/>
  <c r="U6019" i="1"/>
  <c r="U6011" i="1"/>
  <c r="U6003" i="1"/>
  <c r="U5995" i="1"/>
  <c r="U5987" i="1"/>
  <c r="U5979" i="1"/>
  <c r="U5971" i="1"/>
  <c r="U5963" i="1"/>
  <c r="U5955" i="1"/>
  <c r="U5947" i="1"/>
  <c r="U5939" i="1"/>
  <c r="U5931" i="1"/>
  <c r="U5923" i="1"/>
  <c r="U5915" i="1"/>
  <c r="U5907" i="1"/>
  <c r="U5899" i="1"/>
  <c r="U5891" i="1"/>
  <c r="U5883" i="1"/>
  <c r="U5875" i="1"/>
  <c r="U5867" i="1"/>
  <c r="U5859" i="1"/>
  <c r="U5851" i="1"/>
  <c r="U5843" i="1"/>
  <c r="U5835" i="1"/>
  <c r="U5827" i="1"/>
  <c r="U5819" i="1"/>
  <c r="U5811" i="1"/>
  <c r="U5803" i="1"/>
  <c r="U5795" i="1"/>
  <c r="U5787" i="1"/>
  <c r="U5779" i="1"/>
  <c r="U5771" i="1"/>
  <c r="U5763" i="1"/>
  <c r="U5755" i="1"/>
  <c r="U5747" i="1"/>
  <c r="U5739" i="1"/>
  <c r="U5731" i="1"/>
  <c r="U5723" i="1"/>
  <c r="U5715" i="1"/>
  <c r="U5707" i="1"/>
  <c r="U5699" i="1"/>
  <c r="U5691" i="1"/>
  <c r="U5683" i="1"/>
  <c r="U5675" i="1"/>
  <c r="U5667" i="1"/>
  <c r="U5659" i="1"/>
  <c r="U5651" i="1"/>
  <c r="U5643" i="1"/>
  <c r="U5635" i="1"/>
  <c r="U5627" i="1"/>
  <c r="U5619" i="1"/>
  <c r="U5611" i="1"/>
  <c r="U5603" i="1"/>
  <c r="U5595" i="1"/>
  <c r="U5587" i="1"/>
  <c r="U5579" i="1"/>
  <c r="U5571" i="1"/>
  <c r="U5563" i="1"/>
  <c r="U5555" i="1"/>
  <c r="U5547" i="1"/>
  <c r="U5539" i="1"/>
  <c r="U5531" i="1"/>
  <c r="U5523" i="1"/>
  <c r="U5515" i="1"/>
  <c r="U5507" i="1"/>
  <c r="U5499" i="1"/>
  <c r="U5491" i="1"/>
  <c r="U5483" i="1"/>
  <c r="U5475" i="1"/>
  <c r="U5467" i="1"/>
  <c r="U5459" i="1"/>
  <c r="U5451" i="1"/>
  <c r="U5443" i="1"/>
  <c r="U5435" i="1"/>
  <c r="U5427" i="1"/>
  <c r="U5419" i="1"/>
  <c r="U5396" i="1"/>
  <c r="U5388" i="1"/>
  <c r="U5380" i="1"/>
  <c r="U5372" i="1"/>
  <c r="U5364" i="1"/>
  <c r="U5356" i="1"/>
  <c r="U5348" i="1"/>
  <c r="U5340" i="1"/>
  <c r="U5332" i="1"/>
  <c r="U5324" i="1"/>
  <c r="U5316" i="1"/>
  <c r="U5308" i="1"/>
  <c r="U5300" i="1"/>
  <c r="U5292" i="1"/>
  <c r="U5284" i="1"/>
  <c r="U5276" i="1"/>
  <c r="U5268" i="1"/>
  <c r="U5260" i="1"/>
  <c r="U5252" i="1"/>
  <c r="U5244" i="1"/>
  <c r="U5236" i="1"/>
  <c r="U5228" i="1"/>
  <c r="U5220" i="1"/>
  <c r="U5212" i="1"/>
  <c r="U5204" i="1"/>
  <c r="U5196" i="1"/>
  <c r="U5188" i="1"/>
  <c r="U5180" i="1"/>
  <c r="U5172" i="1"/>
  <c r="U5164" i="1"/>
  <c r="U5156" i="1"/>
  <c r="U5148" i="1"/>
  <c r="U5140" i="1"/>
  <c r="U5132" i="1"/>
  <c r="U5124" i="1"/>
  <c r="U5116" i="1"/>
  <c r="U5108" i="1"/>
  <c r="U5100" i="1"/>
  <c r="U5092" i="1"/>
  <c r="U5084" i="1"/>
  <c r="U5076" i="1"/>
  <c r="U5068" i="1"/>
  <c r="U5060" i="1"/>
  <c r="U5052" i="1"/>
  <c r="U5044" i="1"/>
  <c r="U5036" i="1"/>
  <c r="U5028" i="1"/>
  <c r="U5020" i="1"/>
  <c r="U5012" i="1"/>
  <c r="U5004" i="1"/>
  <c r="U4996" i="1"/>
  <c r="U4988" i="1"/>
  <c r="U4980" i="1"/>
  <c r="U4972" i="1"/>
  <c r="U4964" i="1"/>
  <c r="U4956" i="1"/>
  <c r="U4948" i="1"/>
  <c r="U4940" i="1"/>
  <c r="U4932" i="1"/>
  <c r="U4924" i="1"/>
  <c r="U4916" i="1"/>
  <c r="U4908" i="1"/>
  <c r="U4900" i="1"/>
  <c r="U4892" i="1"/>
  <c r="U4884" i="1"/>
  <c r="U4876" i="1"/>
  <c r="U4868" i="1"/>
  <c r="U4860" i="1"/>
  <c r="U4852" i="1"/>
  <c r="U4844" i="1"/>
  <c r="U4836" i="1"/>
  <c r="U4828" i="1"/>
  <c r="U4820" i="1"/>
  <c r="U4812" i="1"/>
  <c r="U4804" i="1"/>
  <c r="U4796" i="1"/>
  <c r="U4788" i="1"/>
  <c r="U4780" i="1"/>
  <c r="U4772" i="1"/>
  <c r="U4764" i="1"/>
  <c r="U4756" i="1"/>
  <c r="U4748" i="1"/>
  <c r="U4740" i="1"/>
  <c r="U4732" i="1"/>
  <c r="U4724" i="1"/>
  <c r="U4716" i="1"/>
  <c r="U4708" i="1"/>
  <c r="U4700" i="1"/>
  <c r="U4692" i="1"/>
  <c r="U4684" i="1"/>
  <c r="U4676" i="1"/>
  <c r="U4668" i="1"/>
  <c r="U4660" i="1"/>
  <c r="U4652" i="1"/>
  <c r="U4644" i="1"/>
  <c r="U4636" i="1"/>
  <c r="U4628" i="1"/>
  <c r="U4620" i="1"/>
  <c r="U4612" i="1"/>
  <c r="U4604" i="1"/>
  <c r="U4596" i="1"/>
  <c r="U4588" i="1"/>
  <c r="U4580" i="1"/>
  <c r="U4572" i="1"/>
  <c r="U4564" i="1"/>
  <c r="U4556" i="1"/>
  <c r="U4548" i="1"/>
  <c r="U4540" i="1"/>
  <c r="U4532" i="1"/>
  <c r="U4524" i="1"/>
  <c r="U4516" i="1"/>
  <c r="U4508" i="1"/>
  <c r="U4500" i="1"/>
  <c r="U4492" i="1"/>
  <c r="U4484" i="1"/>
  <c r="U4476" i="1"/>
  <c r="U4468" i="1"/>
  <c r="U4460" i="1"/>
  <c r="U4452" i="1"/>
  <c r="U4444" i="1"/>
  <c r="U4436" i="1"/>
  <c r="U4428" i="1"/>
  <c r="U4420" i="1"/>
  <c r="U4412" i="1"/>
  <c r="U4404" i="1"/>
  <c r="U4396" i="1"/>
  <c r="U4388" i="1"/>
  <c r="U4380" i="1"/>
  <c r="U4372" i="1"/>
  <c r="U4364" i="1"/>
  <c r="U4356" i="1"/>
  <c r="U4348" i="1"/>
  <c r="U4340" i="1"/>
  <c r="U4332" i="1"/>
  <c r="U4324" i="1"/>
  <c r="U4316" i="1"/>
  <c r="U4308" i="1"/>
  <c r="U4300" i="1"/>
  <c r="U4292" i="1"/>
  <c r="U4284" i="1"/>
  <c r="U4276" i="1"/>
  <c r="U4261" i="1"/>
  <c r="U4253" i="1"/>
  <c r="U4245" i="1"/>
  <c r="U4237" i="1"/>
  <c r="U4229" i="1"/>
  <c r="U3771" i="1"/>
  <c r="U2991" i="1"/>
  <c r="U3150" i="1"/>
  <c r="U4193" i="1"/>
  <c r="U4165" i="1"/>
  <c r="U4188" i="1"/>
  <c r="U4185" i="1"/>
  <c r="U4160" i="1"/>
  <c r="U4154" i="1"/>
  <c r="U4148" i="1"/>
  <c r="U3424" i="1"/>
  <c r="U3725" i="1"/>
  <c r="U3649" i="1"/>
  <c r="U3625" i="1"/>
  <c r="U3594" i="1"/>
  <c r="U3526" i="1"/>
  <c r="U3496" i="1"/>
  <c r="U3488" i="1"/>
  <c r="U3427" i="1"/>
  <c r="U3416" i="1"/>
  <c r="U3333" i="1"/>
  <c r="U3323" i="1"/>
  <c r="U3272" i="1"/>
  <c r="U3260" i="1"/>
  <c r="U3240" i="1"/>
  <c r="U3717" i="1"/>
  <c r="U3624" i="1"/>
  <c r="U3399" i="1"/>
  <c r="U3222" i="1"/>
  <c r="U3700" i="1"/>
  <c r="U3608" i="1"/>
  <c r="U3550" i="1"/>
  <c r="U3391" i="1"/>
  <c r="U3308" i="1"/>
  <c r="U3602" i="1"/>
  <c r="U3561" i="1"/>
  <c r="U3448" i="1"/>
  <c r="U3369" i="1"/>
  <c r="U3702" i="1"/>
  <c r="U3710" i="1"/>
  <c r="U3690" i="1"/>
  <c r="U3681" i="1"/>
  <c r="U3673" i="1"/>
  <c r="U3657" i="1"/>
  <c r="U3640" i="1"/>
  <c r="U3632" i="1"/>
  <c r="U3604" i="1"/>
  <c r="U3588" i="1"/>
  <c r="U3579" i="1"/>
  <c r="U3570" i="1"/>
  <c r="U3556" i="1"/>
  <c r="U3546" i="1"/>
  <c r="U3531" i="1"/>
  <c r="U3477" i="1"/>
  <c r="U3469" i="1"/>
  <c r="U3450" i="1"/>
  <c r="U3413" i="1"/>
  <c r="U3405" i="1"/>
  <c r="U3388" i="1"/>
  <c r="U3380" i="1"/>
  <c r="U3347" i="1"/>
  <c r="U3320" i="1"/>
  <c r="U3310" i="1"/>
  <c r="U3295" i="1"/>
  <c r="U3288" i="1"/>
  <c r="U3274" i="1"/>
  <c r="U3248" i="1"/>
  <c r="U3229" i="1"/>
  <c r="U3729" i="1"/>
  <c r="U3518" i="1"/>
  <c r="U3500" i="1"/>
  <c r="U3429" i="1"/>
  <c r="U3218" i="1"/>
  <c r="U3114" i="1"/>
  <c r="U3143" i="1"/>
  <c r="U3117" i="1"/>
  <c r="U3107" i="1"/>
  <c r="U3099" i="1"/>
  <c r="U3091" i="1"/>
  <c r="U3080" i="1"/>
  <c r="U3070" i="1"/>
  <c r="U3062" i="1"/>
  <c r="U3041" i="1"/>
  <c r="U3033" i="1"/>
  <c r="U3025" i="1"/>
  <c r="U3131" i="1"/>
  <c r="U3022" i="1"/>
  <c r="U3138" i="1"/>
  <c r="U3055" i="1"/>
  <c r="U3129" i="1"/>
  <c r="U3013" i="1"/>
  <c r="U3016" i="1"/>
  <c r="U3005" i="1"/>
  <c r="U2968" i="1"/>
  <c r="U2952" i="1"/>
  <c r="U2977" i="1"/>
  <c r="U2964" i="1"/>
  <c r="U4223" i="1"/>
  <c r="U4215" i="1"/>
  <c r="U4207" i="1"/>
  <c r="U3155" i="1"/>
  <c r="U3192" i="1"/>
  <c r="U3200" i="1"/>
  <c r="U3882" i="1"/>
  <c r="U4019" i="1"/>
  <c r="U3843" i="1"/>
  <c r="U4044" i="1"/>
  <c r="U3936" i="1"/>
  <c r="U3839" i="1"/>
  <c r="U3932" i="1"/>
  <c r="U4095" i="1"/>
  <c r="U4040" i="1"/>
  <c r="U3957" i="1"/>
  <c r="U3938" i="1"/>
  <c r="U4137" i="1"/>
  <c r="U4089" i="1"/>
  <c r="U3952" i="1"/>
  <c r="U4072" i="1"/>
  <c r="U3871" i="1"/>
  <c r="U3826" i="1"/>
  <c r="U3997" i="1"/>
  <c r="U4131" i="1"/>
  <c r="U4122" i="1"/>
  <c r="U4104" i="1"/>
  <c r="U4084" i="1"/>
  <c r="U4074" i="1"/>
  <c r="U4067" i="1"/>
  <c r="U4049" i="1"/>
  <c r="U4033" i="1"/>
  <c r="U4008" i="1"/>
  <c r="U3993" i="1"/>
  <c r="U3985" i="1"/>
  <c r="U3975" i="1"/>
  <c r="U3968" i="1"/>
  <c r="U3959" i="1"/>
  <c r="U3947" i="1"/>
  <c r="U3921" i="1"/>
  <c r="U3900" i="1"/>
  <c r="U3891" i="1"/>
  <c r="U3873" i="1"/>
  <c r="U3858" i="1"/>
  <c r="U3835" i="1"/>
  <c r="U3818" i="1"/>
  <c r="U3810" i="1"/>
  <c r="U3802" i="1"/>
  <c r="U3785" i="1"/>
  <c r="U3793" i="1"/>
  <c r="U3187" i="1"/>
  <c r="U3179" i="1"/>
  <c r="U3865" i="1"/>
  <c r="U3359" i="1"/>
  <c r="U3351" i="1"/>
  <c r="U3739" i="1"/>
  <c r="U3748" i="1"/>
  <c r="U3741" i="1"/>
  <c r="U3167" i="1"/>
  <c r="U3170" i="1"/>
  <c r="U6298" i="1"/>
  <c r="U6290" i="1"/>
  <c r="U6283" i="1"/>
  <c r="U6274" i="1"/>
  <c r="U6267" i="1"/>
  <c r="U6259" i="1"/>
  <c r="U6250" i="1"/>
  <c r="U6242" i="1"/>
  <c r="U6303" i="1"/>
  <c r="U6234" i="1"/>
  <c r="U6225" i="1"/>
  <c r="U6217" i="1"/>
  <c r="T239" i="1"/>
  <c r="U3770" i="1"/>
  <c r="U6026" i="1"/>
  <c r="U5994" i="1"/>
  <c r="U5970" i="1"/>
  <c r="U5954" i="1"/>
  <c r="U5930" i="1"/>
  <c r="U5922" i="1"/>
  <c r="U5914" i="1"/>
  <c r="U5906" i="1"/>
  <c r="U5898" i="1"/>
  <c r="U5890" i="1"/>
  <c r="U5882" i="1"/>
  <c r="U5874" i="1"/>
  <c r="U5866" i="1"/>
  <c r="U5858" i="1"/>
  <c r="U5850" i="1"/>
  <c r="U5842" i="1"/>
  <c r="U5834" i="1"/>
  <c r="U5826" i="1"/>
  <c r="U5818" i="1"/>
  <c r="U5810" i="1"/>
  <c r="U5802" i="1"/>
  <c r="U5794" i="1"/>
  <c r="U5786" i="1"/>
  <c r="U5778" i="1"/>
  <c r="U5770" i="1"/>
  <c r="U5762" i="1"/>
  <c r="U5754" i="1"/>
  <c r="U5746" i="1"/>
  <c r="U5738" i="1"/>
  <c r="U5730" i="1"/>
  <c r="U5722" i="1"/>
  <c r="U5714" i="1"/>
  <c r="U5706" i="1"/>
  <c r="U5698" i="1"/>
  <c r="U5690" i="1"/>
  <c r="U5682" i="1"/>
  <c r="U5674" i="1"/>
  <c r="U5666" i="1"/>
  <c r="U5658" i="1"/>
  <c r="U5650" i="1"/>
  <c r="U5642" i="1"/>
  <c r="U5634" i="1"/>
  <c r="U5626" i="1"/>
  <c r="U5618" i="1"/>
  <c r="U5610" i="1"/>
  <c r="U5602" i="1"/>
  <c r="U5594" i="1"/>
  <c r="U5586" i="1"/>
  <c r="U5578" i="1"/>
  <c r="U5570" i="1"/>
  <c r="U5562" i="1"/>
  <c r="U5554" i="1"/>
  <c r="U5546" i="1"/>
  <c r="U5538" i="1"/>
  <c r="U5530" i="1"/>
  <c r="U5522" i="1"/>
  <c r="U5514" i="1"/>
  <c r="U5506" i="1"/>
  <c r="U5498" i="1"/>
  <c r="U5490" i="1"/>
  <c r="U5482" i="1"/>
  <c r="U5474" i="1"/>
  <c r="U5466" i="1"/>
  <c r="U5458" i="1"/>
  <c r="U5450" i="1"/>
  <c r="U5442" i="1"/>
  <c r="U5434" i="1"/>
  <c r="U5426" i="1"/>
  <c r="U5418" i="1"/>
  <c r="U5395" i="1"/>
  <c r="U5387" i="1"/>
  <c r="U5379" i="1"/>
  <c r="U5371" i="1"/>
  <c r="U5363" i="1"/>
  <c r="U5355" i="1"/>
  <c r="U5347" i="1"/>
  <c r="U5339" i="1"/>
  <c r="U5331" i="1"/>
  <c r="U5323" i="1"/>
  <c r="U5315" i="1"/>
  <c r="U5307" i="1"/>
  <c r="U5299" i="1"/>
  <c r="U5291" i="1"/>
  <c r="U5283" i="1"/>
  <c r="U5275" i="1"/>
  <c r="U5267" i="1"/>
  <c r="U5259" i="1"/>
  <c r="U5251" i="1"/>
  <c r="U5243" i="1"/>
  <c r="U5235" i="1"/>
  <c r="U5227" i="1"/>
  <c r="U5219" i="1"/>
  <c r="U5211" i="1"/>
  <c r="U5203" i="1"/>
  <c r="U5195" i="1"/>
  <c r="U5187" i="1"/>
  <c r="U5179" i="1"/>
  <c r="U5171" i="1"/>
  <c r="U5163" i="1"/>
  <c r="U5155" i="1"/>
  <c r="U5147" i="1"/>
  <c r="U5139" i="1"/>
  <c r="U5131" i="1"/>
  <c r="U5123" i="1"/>
  <c r="U5115" i="1"/>
  <c r="U5107" i="1"/>
  <c r="U5099" i="1"/>
  <c r="U5091" i="1"/>
  <c r="U5083" i="1"/>
  <c r="U5075" i="1"/>
  <c r="U5067" i="1"/>
  <c r="U5059" i="1"/>
  <c r="U5051" i="1"/>
  <c r="U5043" i="1"/>
  <c r="U5035" i="1"/>
  <c r="U5027" i="1"/>
  <c r="U5019" i="1"/>
  <c r="U5011" i="1"/>
  <c r="U5003" i="1"/>
  <c r="U4995" i="1"/>
  <c r="U4987" i="1"/>
  <c r="U4979" i="1"/>
  <c r="U4971" i="1"/>
  <c r="U4963" i="1"/>
  <c r="U4955" i="1"/>
  <c r="U4947" i="1"/>
  <c r="U4939" i="1"/>
  <c r="U4931" i="1"/>
  <c r="U4923" i="1"/>
  <c r="U4915" i="1"/>
  <c r="U4907" i="1"/>
  <c r="U4899" i="1"/>
  <c r="U4891" i="1"/>
  <c r="U4883" i="1"/>
  <c r="U4875" i="1"/>
  <c r="U4867" i="1"/>
  <c r="U4859" i="1"/>
  <c r="U4851" i="1"/>
  <c r="U4843" i="1"/>
  <c r="U4835" i="1"/>
  <c r="U4827" i="1"/>
  <c r="U4819" i="1"/>
  <c r="U4811" i="1"/>
  <c r="U4803" i="1"/>
  <c r="U4795" i="1"/>
  <c r="U4787" i="1"/>
  <c r="U4779" i="1"/>
  <c r="U4771" i="1"/>
  <c r="U4763" i="1"/>
  <c r="U4755" i="1"/>
  <c r="U4747" i="1"/>
  <c r="U4739" i="1"/>
  <c r="U4731" i="1"/>
  <c r="U4723" i="1"/>
  <c r="U4715" i="1"/>
  <c r="U4707" i="1"/>
  <c r="U4699" i="1"/>
  <c r="U4691" i="1"/>
  <c r="U4683" i="1"/>
  <c r="U4675" i="1"/>
  <c r="U4667" i="1"/>
  <c r="U4659" i="1"/>
  <c r="U4651" i="1"/>
  <c r="U4643" i="1"/>
  <c r="U4635" i="1"/>
  <c r="U4627" i="1"/>
  <c r="U4619" i="1"/>
  <c r="U4611" i="1"/>
  <c r="U4603" i="1"/>
  <c r="U4595" i="1"/>
  <c r="U4587" i="1"/>
  <c r="U4579" i="1"/>
  <c r="U4571" i="1"/>
  <c r="U4563" i="1"/>
  <c r="U4555" i="1"/>
  <c r="U4547" i="1"/>
  <c r="U4539" i="1"/>
  <c r="U4531" i="1"/>
  <c r="U4523" i="1"/>
  <c r="U4515" i="1"/>
  <c r="U4507" i="1"/>
  <c r="U4499" i="1"/>
  <c r="U4491" i="1"/>
  <c r="U4483" i="1"/>
  <c r="U4475" i="1"/>
  <c r="U4467" i="1"/>
  <c r="U4459" i="1"/>
  <c r="U4451" i="1"/>
  <c r="U4443" i="1"/>
  <c r="U4435" i="1"/>
  <c r="U4427" i="1"/>
  <c r="U4419" i="1"/>
  <c r="U4411" i="1"/>
  <c r="U4403" i="1"/>
  <c r="U4395" i="1"/>
  <c r="U4387" i="1"/>
  <c r="U4379" i="1"/>
  <c r="U4371" i="1"/>
  <c r="U4363" i="1"/>
  <c r="U4355" i="1"/>
  <c r="U4347" i="1"/>
  <c r="U4339" i="1"/>
  <c r="U4331" i="1"/>
  <c r="U4323" i="1"/>
  <c r="U4315" i="1"/>
  <c r="U4307" i="1"/>
  <c r="U4299" i="1"/>
  <c r="U4291" i="1"/>
  <c r="U4283" i="1"/>
  <c r="U4260" i="1"/>
  <c r="U4252" i="1"/>
  <c r="U4244" i="1"/>
  <c r="U4236" i="1"/>
  <c r="U4228" i="1"/>
  <c r="U3756" i="1"/>
  <c r="U2987" i="1"/>
  <c r="U4203" i="1"/>
  <c r="U4172" i="1"/>
  <c r="U4163" i="1"/>
  <c r="U4187" i="1"/>
  <c r="U4184" i="1"/>
  <c r="U4159" i="1"/>
  <c r="U4181" i="1"/>
  <c r="U4147" i="1"/>
  <c r="U3421" i="1"/>
  <c r="U3724" i="1"/>
  <c r="U3648" i="1"/>
  <c r="U3620" i="1"/>
  <c r="U3593" i="1"/>
  <c r="U3525" i="1"/>
  <c r="U3495" i="1"/>
  <c r="U3487" i="1"/>
  <c r="U3426" i="1"/>
  <c r="U3404" i="1"/>
  <c r="U3332" i="1"/>
  <c r="U3302" i="1"/>
  <c r="U3271" i="1"/>
  <c r="U3259" i="1"/>
  <c r="U3239" i="1"/>
  <c r="U3716" i="1"/>
  <c r="U3623" i="1"/>
  <c r="U3398" i="1"/>
  <c r="U3221" i="1"/>
  <c r="U3698" i="1"/>
  <c r="U3576" i="1"/>
  <c r="U3530" i="1"/>
  <c r="U3390" i="1"/>
  <c r="U3250" i="1"/>
  <c r="U3599" i="1"/>
  <c r="U3560" i="1"/>
  <c r="U3447" i="1"/>
  <c r="U3566" i="1"/>
  <c r="U3706" i="1"/>
  <c r="U3709" i="1"/>
  <c r="U3689" i="1"/>
  <c r="U3682" i="1"/>
  <c r="U3671" i="1"/>
  <c r="U3656" i="1"/>
  <c r="U3639" i="1"/>
  <c r="U3631" i="1"/>
  <c r="U3601" i="1"/>
  <c r="U3587" i="1"/>
  <c r="U3577" i="1"/>
  <c r="U3438" i="1"/>
  <c r="U3558" i="1"/>
  <c r="U3538" i="1"/>
  <c r="U3486" i="1"/>
  <c r="U3475" i="1"/>
  <c r="U3468" i="1"/>
  <c r="U3444" i="1"/>
  <c r="U3410" i="1"/>
  <c r="U3397" i="1"/>
  <c r="U3387" i="1"/>
  <c r="U3377" i="1"/>
  <c r="U3346" i="1"/>
  <c r="U3319" i="1"/>
  <c r="U3307" i="1"/>
  <c r="U3294" i="1"/>
  <c r="U3286" i="1"/>
  <c r="U3266" i="1"/>
  <c r="U3236" i="1"/>
  <c r="U3227" i="1"/>
  <c r="U3728" i="1"/>
  <c r="U3517" i="1"/>
  <c r="U3499" i="1"/>
  <c r="U3428" i="1"/>
  <c r="U3217" i="1"/>
  <c r="U3074" i="1"/>
  <c r="U3144" i="1"/>
  <c r="U3116" i="1"/>
  <c r="U3106" i="1"/>
  <c r="U3098" i="1"/>
  <c r="U3090" i="1"/>
  <c r="U3079" i="1"/>
  <c r="U3069" i="1"/>
  <c r="U3061" i="1"/>
  <c r="U3040" i="1"/>
  <c r="U3032" i="1"/>
  <c r="U3024" i="1"/>
  <c r="U3083" i="1"/>
  <c r="U3020" i="1"/>
  <c r="U3137" i="1"/>
  <c r="U3054" i="1"/>
  <c r="U3125" i="1"/>
  <c r="U3011" i="1"/>
  <c r="U3015" i="1"/>
  <c r="U3003" i="1"/>
  <c r="U2963" i="1"/>
  <c r="U2947" i="1"/>
  <c r="U2976" i="1"/>
  <c r="U2961" i="1"/>
  <c r="U4222" i="1"/>
  <c r="U4214" i="1"/>
  <c r="U4206" i="1"/>
  <c r="U3199" i="1"/>
  <c r="U3191" i="1"/>
  <c r="U3889" i="1"/>
  <c r="U3881" i="1"/>
  <c r="U4088" i="1"/>
  <c r="U4114" i="1"/>
  <c r="U4045" i="1"/>
  <c r="U3935" i="1"/>
  <c r="U4086" i="1"/>
  <c r="U3841" i="1"/>
  <c r="U4094" i="1"/>
  <c r="U3941" i="1"/>
  <c r="U3956" i="1"/>
  <c r="U3937" i="1"/>
  <c r="U4135" i="1"/>
  <c r="U4012" i="1"/>
  <c r="U3951" i="1"/>
  <c r="U4071" i="1"/>
  <c r="U3848" i="1"/>
  <c r="U3827" i="1"/>
  <c r="U3995" i="1"/>
  <c r="U4130" i="1"/>
  <c r="U4121" i="1"/>
  <c r="U4103" i="1"/>
  <c r="U4080" i="1"/>
  <c r="U4076" i="1"/>
  <c r="U4064" i="1"/>
  <c r="U4050" i="1"/>
  <c r="U4032" i="1"/>
  <c r="U4006" i="1"/>
  <c r="U3991" i="1"/>
  <c r="U3981" i="1"/>
  <c r="U3973" i="1"/>
  <c r="U3967" i="1"/>
  <c r="U3962" i="1"/>
  <c r="U3928" i="1"/>
  <c r="U3917" i="1"/>
  <c r="U3901" i="1"/>
  <c r="U3893" i="1"/>
  <c r="U3872" i="1"/>
  <c r="U3854" i="1"/>
  <c r="U3834" i="1"/>
  <c r="U3817" i="1"/>
  <c r="U3809" i="1"/>
  <c r="U3801" i="1"/>
  <c r="U3782" i="1"/>
  <c r="U3792" i="1"/>
  <c r="U3186" i="1"/>
  <c r="U3178" i="1"/>
  <c r="U3864" i="1"/>
  <c r="U3358" i="1"/>
  <c r="U3350" i="1"/>
  <c r="U3738" i="1"/>
  <c r="U3747" i="1"/>
  <c r="U3733" i="1"/>
  <c r="U3164" i="1"/>
  <c r="U3176" i="1"/>
  <c r="U6297" i="1"/>
  <c r="U6288" i="1"/>
  <c r="U6281" i="1"/>
  <c r="U6273" i="1"/>
  <c r="U6265" i="1"/>
  <c r="U6257" i="1"/>
  <c r="U6249" i="1"/>
  <c r="U6241" i="1"/>
  <c r="U6302" i="1"/>
  <c r="U6233" i="1"/>
  <c r="U6224" i="1"/>
  <c r="U6216" i="1"/>
  <c r="U3776" i="1"/>
  <c r="U3764" i="1"/>
  <c r="U3761" i="1"/>
  <c r="U6050" i="1"/>
  <c r="U6018" i="1"/>
  <c r="U5986" i="1"/>
  <c r="U5946" i="1"/>
  <c r="U6201" i="1"/>
  <c r="U6177" i="1"/>
  <c r="U6153" i="1"/>
  <c r="U6129" i="1"/>
  <c r="U6105" i="1"/>
  <c r="U6081" i="1"/>
  <c r="U6041" i="1"/>
  <c r="U6017" i="1"/>
  <c r="U5993" i="1"/>
  <c r="U5969" i="1"/>
  <c r="U5945" i="1"/>
  <c r="U5921" i="1"/>
  <c r="U5897" i="1"/>
  <c r="U5873" i="1"/>
  <c r="U5849" i="1"/>
  <c r="U5825" i="1"/>
  <c r="U5801" i="1"/>
  <c r="U5777" i="1"/>
  <c r="U5737" i="1"/>
  <c r="U5713" i="1"/>
  <c r="U5689" i="1"/>
  <c r="U5665" i="1"/>
  <c r="U5641" i="1"/>
  <c r="U5609" i="1"/>
  <c r="U5585" i="1"/>
  <c r="U5569" i="1"/>
  <c r="U5561" i="1"/>
  <c r="U5553" i="1"/>
  <c r="U5545" i="1"/>
  <c r="U5537" i="1"/>
  <c r="U5521" i="1"/>
  <c r="U5505" i="1"/>
  <c r="U5497" i="1"/>
  <c r="U5489" i="1"/>
  <c r="U5481" i="1"/>
  <c r="U5473" i="1"/>
  <c r="U5465" i="1"/>
  <c r="U5457" i="1"/>
  <c r="U5449" i="1"/>
  <c r="U5441" i="1"/>
  <c r="U5433" i="1"/>
  <c r="U5425" i="1"/>
  <c r="U5417" i="1"/>
  <c r="U5394" i="1"/>
  <c r="U5386" i="1"/>
  <c r="U5378" i="1"/>
  <c r="U5370" i="1"/>
  <c r="U5362" i="1"/>
  <c r="U5354" i="1"/>
  <c r="U5346" i="1"/>
  <c r="U5338" i="1"/>
  <c r="U5330" i="1"/>
  <c r="U5322" i="1"/>
  <c r="U5314" i="1"/>
  <c r="U5306" i="1"/>
  <c r="U5298" i="1"/>
  <c r="U5290" i="1"/>
  <c r="U5282" i="1"/>
  <c r="U5274" i="1"/>
  <c r="U5266" i="1"/>
  <c r="U5258" i="1"/>
  <c r="U5250" i="1"/>
  <c r="U5242" i="1"/>
  <c r="U5234" i="1"/>
  <c r="U5226" i="1"/>
  <c r="U5218" i="1"/>
  <c r="U5210" i="1"/>
  <c r="U5202" i="1"/>
  <c r="U5194" i="1"/>
  <c r="U5186" i="1"/>
  <c r="U5178" i="1"/>
  <c r="U5170" i="1"/>
  <c r="U5162" i="1"/>
  <c r="U5154" i="1"/>
  <c r="U5146" i="1"/>
  <c r="U5138" i="1"/>
  <c r="U5130" i="1"/>
  <c r="U5122" i="1"/>
  <c r="U5114" i="1"/>
  <c r="U5106" i="1"/>
  <c r="U5098" i="1"/>
  <c r="U5090" i="1"/>
  <c r="U5082" i="1"/>
  <c r="U5074" i="1"/>
  <c r="U5066" i="1"/>
  <c r="U5058" i="1"/>
  <c r="U5050" i="1"/>
  <c r="U5042" i="1"/>
  <c r="U5034" i="1"/>
  <c r="U5026" i="1"/>
  <c r="U5018" i="1"/>
  <c r="U5010" i="1"/>
  <c r="U5002" i="1"/>
  <c r="U4994" i="1"/>
  <c r="U4986" i="1"/>
  <c r="U4978" i="1"/>
  <c r="U4970" i="1"/>
  <c r="U4962" i="1"/>
  <c r="U4954" i="1"/>
  <c r="U4946" i="1"/>
  <c r="U4938" i="1"/>
  <c r="U4930" i="1"/>
  <c r="U4922" i="1"/>
  <c r="U4914" i="1"/>
  <c r="U4906" i="1"/>
  <c r="U4898" i="1"/>
  <c r="U4890" i="1"/>
  <c r="U4882" i="1"/>
  <c r="U4874" i="1"/>
  <c r="U4866" i="1"/>
  <c r="U4858" i="1"/>
  <c r="U4850" i="1"/>
  <c r="U4842" i="1"/>
  <c r="U4834" i="1"/>
  <c r="U4826" i="1"/>
  <c r="U4818" i="1"/>
  <c r="U4810" i="1"/>
  <c r="U4802" i="1"/>
  <c r="U4794" i="1"/>
  <c r="U4786" i="1"/>
  <c r="U4778" i="1"/>
  <c r="U4770" i="1"/>
  <c r="U4762" i="1"/>
  <c r="U4754" i="1"/>
  <c r="U4746" i="1"/>
  <c r="U4738" i="1"/>
  <c r="U4730" i="1"/>
  <c r="U4722" i="1"/>
  <c r="U4714" i="1"/>
  <c r="U4706" i="1"/>
  <c r="U4698" i="1"/>
  <c r="U4690" i="1"/>
  <c r="U4682" i="1"/>
  <c r="U4674" i="1"/>
  <c r="U4666" i="1"/>
  <c r="U4658" i="1"/>
  <c r="U4650" i="1"/>
  <c r="U4642" i="1"/>
  <c r="U4634" i="1"/>
  <c r="U4626" i="1"/>
  <c r="U4618" i="1"/>
  <c r="U4610" i="1"/>
  <c r="U4602" i="1"/>
  <c r="U4594" i="1"/>
  <c r="U4586" i="1"/>
  <c r="U4578" i="1"/>
  <c r="U4570" i="1"/>
  <c r="U4562" i="1"/>
  <c r="U4554" i="1"/>
  <c r="U4546" i="1"/>
  <c r="U4538" i="1"/>
  <c r="U4530" i="1"/>
  <c r="U4522" i="1"/>
  <c r="U4514" i="1"/>
  <c r="U4506" i="1"/>
  <c r="U4498" i="1"/>
  <c r="U4490" i="1"/>
  <c r="U4482" i="1"/>
  <c r="U4474" i="1"/>
  <c r="U4466" i="1"/>
  <c r="U4458" i="1"/>
  <c r="U4450" i="1"/>
  <c r="U4442" i="1"/>
  <c r="U4434" i="1"/>
  <c r="U4426" i="1"/>
  <c r="U4418" i="1"/>
  <c r="U4410" i="1"/>
  <c r="U4402" i="1"/>
  <c r="U4394" i="1"/>
  <c r="U4386" i="1"/>
  <c r="U4378" i="1"/>
  <c r="U4370" i="1"/>
  <c r="U4362" i="1"/>
  <c r="U4354" i="1"/>
  <c r="U4346" i="1"/>
  <c r="U4338" i="1"/>
  <c r="U4330" i="1"/>
  <c r="U4322" i="1"/>
  <c r="U4314" i="1"/>
  <c r="U4306" i="1"/>
  <c r="U4298" i="1"/>
  <c r="U4290" i="1"/>
  <c r="U4282" i="1"/>
  <c r="U4267" i="1"/>
  <c r="U4259" i="1"/>
  <c r="U4251" i="1"/>
  <c r="U4243" i="1"/>
  <c r="U4235" i="1"/>
  <c r="U6228" i="1"/>
  <c r="U3755" i="1"/>
  <c r="U2988" i="1"/>
  <c r="U4202" i="1"/>
  <c r="U4171" i="1"/>
  <c r="U4164" i="1"/>
  <c r="U4191" i="1"/>
  <c r="U4183" i="1"/>
  <c r="U4158" i="1"/>
  <c r="U4179" i="1"/>
  <c r="U3720" i="1"/>
  <c r="U3420" i="1"/>
  <c r="U3723" i="1"/>
  <c r="U3647" i="1"/>
  <c r="U3619" i="1"/>
  <c r="U3542" i="1"/>
  <c r="U3524" i="1"/>
  <c r="U3494" i="1"/>
  <c r="U3459" i="1"/>
  <c r="U3425" i="1"/>
  <c r="U3403" i="1"/>
  <c r="U3331" i="1"/>
  <c r="U3301" i="1"/>
  <c r="U3270" i="1"/>
  <c r="U3258" i="1"/>
  <c r="U3238" i="1"/>
  <c r="U3667" i="1"/>
  <c r="U3622" i="1"/>
  <c r="U3300" i="1"/>
  <c r="U3512" i="1"/>
  <c r="U3699" i="1"/>
  <c r="U3574" i="1"/>
  <c r="U3529" i="1"/>
  <c r="U3341" i="1"/>
  <c r="U3207" i="1"/>
  <c r="U3603" i="1"/>
  <c r="U3453" i="1"/>
  <c r="U3376" i="1"/>
  <c r="U3565" i="1"/>
  <c r="U3703" i="1"/>
  <c r="U3697" i="1"/>
  <c r="U3688" i="1"/>
  <c r="U3680" i="1"/>
  <c r="U3670" i="1"/>
  <c r="U3655" i="1"/>
  <c r="U3638" i="1"/>
  <c r="U3630" i="1"/>
  <c r="U3600" i="1"/>
  <c r="U3586" i="1"/>
  <c r="U3580" i="1"/>
  <c r="U3435" i="1"/>
  <c r="U3555" i="1"/>
  <c r="U3537" i="1"/>
  <c r="U3484" i="1"/>
  <c r="U3476" i="1"/>
  <c r="U3467" i="1"/>
  <c r="U3443" i="1"/>
  <c r="U3414" i="1"/>
  <c r="U3396" i="1"/>
  <c r="U3386" i="1"/>
  <c r="U3378" i="1"/>
  <c r="U3345" i="1"/>
  <c r="U3318" i="1"/>
  <c r="U3306" i="1"/>
  <c r="U3292" i="1"/>
  <c r="U3285" i="1"/>
  <c r="U3264" i="1"/>
  <c r="U3235" i="1"/>
  <c r="U3228" i="1"/>
  <c r="U3726" i="1"/>
  <c r="U3516" i="1"/>
  <c r="U3502" i="1"/>
  <c r="U3254" i="1"/>
  <c r="U3216" i="1"/>
  <c r="U3073" i="1"/>
  <c r="U3142" i="1"/>
  <c r="U3113" i="1"/>
  <c r="U3105" i="1"/>
  <c r="U3097" i="1"/>
  <c r="U3089" i="1"/>
  <c r="U3078" i="1"/>
  <c r="U3068" i="1"/>
  <c r="U3060" i="1"/>
  <c r="U3039" i="1"/>
  <c r="U3031" i="1"/>
  <c r="U3050" i="1"/>
  <c r="U3081" i="1"/>
  <c r="U3021" i="1"/>
  <c r="U3136" i="1"/>
  <c r="U3053" i="1"/>
  <c r="U3128" i="1"/>
  <c r="U3012" i="1"/>
  <c r="U3014" i="1"/>
  <c r="U3002" i="1"/>
  <c r="U2960" i="1"/>
  <c r="U2975" i="1"/>
  <c r="U2958" i="1"/>
  <c r="U4221" i="1"/>
  <c r="U4213" i="1"/>
  <c r="U4205" i="1"/>
  <c r="U3198" i="1"/>
  <c r="U3190" i="1"/>
  <c r="U3888" i="1"/>
  <c r="U3846" i="1"/>
  <c r="U4087" i="1"/>
  <c r="U4112" i="1"/>
  <c r="U4023" i="1"/>
  <c r="U3934" i="1"/>
  <c r="U4085" i="1"/>
  <c r="U3840" i="1"/>
  <c r="U4059" i="1"/>
  <c r="U3940" i="1"/>
  <c r="U3955" i="1"/>
  <c r="U3880" i="1"/>
  <c r="U4136" i="1"/>
  <c r="U4011" i="1"/>
  <c r="U3931" i="1"/>
  <c r="U4026" i="1"/>
  <c r="U3847" i="1"/>
  <c r="U3825" i="1"/>
  <c r="U4000" i="1"/>
  <c r="U4128" i="1"/>
  <c r="U4120" i="1"/>
  <c r="U4101" i="1"/>
  <c r="U4083" i="1"/>
  <c r="U4075" i="1"/>
  <c r="U4065" i="1"/>
  <c r="U4048" i="1"/>
  <c r="U4031" i="1"/>
  <c r="U4003" i="1"/>
  <c r="U3990" i="1"/>
  <c r="U3979" i="1"/>
  <c r="U3971" i="1"/>
  <c r="U3966" i="1"/>
  <c r="U3958" i="1"/>
  <c r="U3927" i="1"/>
  <c r="U3919" i="1"/>
  <c r="U3899" i="1"/>
  <c r="U3892" i="1"/>
  <c r="U3861" i="1"/>
  <c r="U3851" i="1"/>
  <c r="U3833" i="1"/>
  <c r="U3816" i="1"/>
  <c r="U3808" i="1"/>
  <c r="U3798" i="1"/>
  <c r="U3784" i="1"/>
  <c r="U3791" i="1"/>
  <c r="U3185" i="1"/>
  <c r="U3177" i="1"/>
  <c r="U3863" i="1"/>
  <c r="U3357" i="1"/>
  <c r="U3349" i="1"/>
  <c r="U3737" i="1"/>
  <c r="U3746" i="1"/>
  <c r="U3732" i="1"/>
  <c r="U3163" i="1"/>
  <c r="U3175" i="1"/>
  <c r="U6296" i="1"/>
  <c r="U6289" i="1"/>
  <c r="U6279" i="1"/>
  <c r="U6272" i="1"/>
  <c r="U6264" i="1"/>
  <c r="U6256" i="1"/>
  <c r="U6248" i="1"/>
  <c r="U6240" i="1"/>
  <c r="U6301" i="1"/>
  <c r="U6232" i="1"/>
  <c r="U6223" i="1"/>
  <c r="U6231" i="1"/>
  <c r="U3769" i="1"/>
  <c r="U6034" i="1"/>
  <c r="U6002" i="1"/>
  <c r="U5962" i="1"/>
  <c r="U6193" i="1"/>
  <c r="U6161" i="1"/>
  <c r="U6137" i="1"/>
  <c r="U6113" i="1"/>
  <c r="U6089" i="1"/>
  <c r="U6065" i="1"/>
  <c r="U6049" i="1"/>
  <c r="U6025" i="1"/>
  <c r="U6001" i="1"/>
  <c r="U5985" i="1"/>
  <c r="U5961" i="1"/>
  <c r="U5937" i="1"/>
  <c r="U5905" i="1"/>
  <c r="U5881" i="1"/>
  <c r="U5857" i="1"/>
  <c r="U5833" i="1"/>
  <c r="U5809" i="1"/>
  <c r="U5785" i="1"/>
  <c r="U5769" i="1"/>
  <c r="U5753" i="1"/>
  <c r="U5729" i="1"/>
  <c r="U5705" i="1"/>
  <c r="U5681" i="1"/>
  <c r="U5649" i="1"/>
  <c r="U5625" i="1"/>
  <c r="U5601" i="1"/>
  <c r="U5577" i="1"/>
  <c r="U5529" i="1"/>
  <c r="U6208" i="1"/>
  <c r="U6184" i="1"/>
  <c r="U6168" i="1"/>
  <c r="U6152" i="1"/>
  <c r="U6136" i="1"/>
  <c r="U6120" i="1"/>
  <c r="U6104" i="1"/>
  <c r="U6088" i="1"/>
  <c r="U6072" i="1"/>
  <c r="U6056" i="1"/>
  <c r="U6032" i="1"/>
  <c r="U6016" i="1"/>
  <c r="U6000" i="1"/>
  <c r="U5984" i="1"/>
  <c r="U5968" i="1"/>
  <c r="U5952" i="1"/>
  <c r="U5936" i="1"/>
  <c r="U5928" i="1"/>
  <c r="U5912" i="1"/>
  <c r="U5904" i="1"/>
  <c r="U5896" i="1"/>
  <c r="U5888" i="1"/>
  <c r="U5880" i="1"/>
  <c r="U5872" i="1"/>
  <c r="U5864" i="1"/>
  <c r="U5856" i="1"/>
  <c r="U5848" i="1"/>
  <c r="U5840" i="1"/>
  <c r="U5832" i="1"/>
  <c r="U5824" i="1"/>
  <c r="U5816" i="1"/>
  <c r="U5808" i="1"/>
  <c r="U5800" i="1"/>
  <c r="U5792" i="1"/>
  <c r="U5784" i="1"/>
  <c r="U5776" i="1"/>
  <c r="U5768" i="1"/>
  <c r="U5760" i="1"/>
  <c r="U5752" i="1"/>
  <c r="U5744" i="1"/>
  <c r="U5736" i="1"/>
  <c r="U5728" i="1"/>
  <c r="U5720" i="1"/>
  <c r="U5712" i="1"/>
  <c r="U5704" i="1"/>
  <c r="U5696" i="1"/>
  <c r="U5688" i="1"/>
  <c r="U5680" i="1"/>
  <c r="U5672" i="1"/>
  <c r="U5664" i="1"/>
  <c r="U5656" i="1"/>
  <c r="U5648" i="1"/>
  <c r="U5640" i="1"/>
  <c r="U5632" i="1"/>
  <c r="U5624" i="1"/>
  <c r="U5616" i="1"/>
  <c r="U5608" i="1"/>
  <c r="U5600" i="1"/>
  <c r="U5592" i="1"/>
  <c r="U5584" i="1"/>
  <c r="U5576" i="1"/>
  <c r="U5568" i="1"/>
  <c r="U5560" i="1"/>
  <c r="U5552" i="1"/>
  <c r="U5544" i="1"/>
  <c r="U5536" i="1"/>
  <c r="U5528" i="1"/>
  <c r="U5520" i="1"/>
  <c r="U5512" i="1"/>
  <c r="U5504" i="1"/>
  <c r="U5496" i="1"/>
  <c r="U5488" i="1"/>
  <c r="U5480" i="1"/>
  <c r="U5472" i="1"/>
  <c r="U5464" i="1"/>
  <c r="U5456" i="1"/>
  <c r="U5448" i="1"/>
  <c r="U5440" i="1"/>
  <c r="U5432" i="1"/>
  <c r="U5424" i="1"/>
  <c r="U5416" i="1"/>
  <c r="U5393" i="1"/>
  <c r="U5385" i="1"/>
  <c r="U5377" i="1"/>
  <c r="U5369" i="1"/>
  <c r="U5361" i="1"/>
  <c r="U5353" i="1"/>
  <c r="U5345" i="1"/>
  <c r="U5337" i="1"/>
  <c r="U5329" i="1"/>
  <c r="U5321" i="1"/>
  <c r="U5313" i="1"/>
  <c r="U5305" i="1"/>
  <c r="U5297" i="1"/>
  <c r="U5289" i="1"/>
  <c r="U5281" i="1"/>
  <c r="U5273" i="1"/>
  <c r="U5265" i="1"/>
  <c r="U5257" i="1"/>
  <c r="U5249" i="1"/>
  <c r="U5241" i="1"/>
  <c r="U5233" i="1"/>
  <c r="U5225" i="1"/>
  <c r="U5217" i="1"/>
  <c r="U5209" i="1"/>
  <c r="U5201" i="1"/>
  <c r="U5193" i="1"/>
  <c r="U5185" i="1"/>
  <c r="U5177" i="1"/>
  <c r="U5169" i="1"/>
  <c r="U5161" i="1"/>
  <c r="U5153" i="1"/>
  <c r="U5145" i="1"/>
  <c r="U5137" i="1"/>
  <c r="U5129" i="1"/>
  <c r="U5121" i="1"/>
  <c r="U5113" i="1"/>
  <c r="U5105" i="1"/>
  <c r="U5097" i="1"/>
  <c r="U5089" i="1"/>
  <c r="U5081" i="1"/>
  <c r="U5073" i="1"/>
  <c r="U5065" i="1"/>
  <c r="U5057" i="1"/>
  <c r="U5049" i="1"/>
  <c r="U5041" i="1"/>
  <c r="U5033" i="1"/>
  <c r="U5025" i="1"/>
  <c r="U5017" i="1"/>
  <c r="U5009" i="1"/>
  <c r="U5001" i="1"/>
  <c r="U4993" i="1"/>
  <c r="U4985" i="1"/>
  <c r="U4977" i="1"/>
  <c r="U4969" i="1"/>
  <c r="U4961" i="1"/>
  <c r="U4953" i="1"/>
  <c r="U4945" i="1"/>
  <c r="U4937" i="1"/>
  <c r="U4929" i="1"/>
  <c r="U4921" i="1"/>
  <c r="U4913" i="1"/>
  <c r="U4905" i="1"/>
  <c r="U4897" i="1"/>
  <c r="U4889" i="1"/>
  <c r="U4881" i="1"/>
  <c r="U4873" i="1"/>
  <c r="U4865" i="1"/>
  <c r="U4857" i="1"/>
  <c r="U4849" i="1"/>
  <c r="U4841" i="1"/>
  <c r="U4833" i="1"/>
  <c r="U4825" i="1"/>
  <c r="U4817" i="1"/>
  <c r="U4809" i="1"/>
  <c r="U4801" i="1"/>
  <c r="U4793" i="1"/>
  <c r="U4785" i="1"/>
  <c r="U4777" i="1"/>
  <c r="U4769" i="1"/>
  <c r="U4761" i="1"/>
  <c r="U4753" i="1"/>
  <c r="U4745" i="1"/>
  <c r="U4737" i="1"/>
  <c r="U4729" i="1"/>
  <c r="U4721" i="1"/>
  <c r="U4713" i="1"/>
  <c r="U4705" i="1"/>
  <c r="U4697" i="1"/>
  <c r="U4689" i="1"/>
  <c r="U4681" i="1"/>
  <c r="U4673" i="1"/>
  <c r="U4665" i="1"/>
  <c r="U4657" i="1"/>
  <c r="U4649" i="1"/>
  <c r="U4641" i="1"/>
  <c r="U4633" i="1"/>
  <c r="U4625" i="1"/>
  <c r="U4617" i="1"/>
  <c r="U4609" i="1"/>
  <c r="U4601" i="1"/>
  <c r="U4593" i="1"/>
  <c r="U4585" i="1"/>
  <c r="U4577" i="1"/>
  <c r="U4569" i="1"/>
  <c r="U4561" i="1"/>
  <c r="U4553" i="1"/>
  <c r="U4545" i="1"/>
  <c r="U4537" i="1"/>
  <c r="U4529" i="1"/>
  <c r="U4521" i="1"/>
  <c r="U4513" i="1"/>
  <c r="U4505" i="1"/>
  <c r="U4497" i="1"/>
  <c r="U4489" i="1"/>
  <c r="U4481" i="1"/>
  <c r="U4473" i="1"/>
  <c r="U4465" i="1"/>
  <c r="U4457" i="1"/>
  <c r="U4449" i="1"/>
  <c r="U4441" i="1"/>
  <c r="U4433" i="1"/>
  <c r="U4425" i="1"/>
  <c r="U4417" i="1"/>
  <c r="U4409" i="1"/>
  <c r="U4401" i="1"/>
  <c r="U4393" i="1"/>
  <c r="U4385" i="1"/>
  <c r="U4377" i="1"/>
  <c r="U4369" i="1"/>
  <c r="U4361" i="1"/>
  <c r="U4353" i="1"/>
  <c r="U4345" i="1"/>
  <c r="U4337" i="1"/>
  <c r="U4329" i="1"/>
  <c r="U4321" i="1"/>
  <c r="U4313" i="1"/>
  <c r="U4305" i="1"/>
  <c r="U4297" i="1"/>
  <c r="U4289" i="1"/>
  <c r="U4281" i="1"/>
  <c r="U4266" i="1"/>
  <c r="U4258" i="1"/>
  <c r="U4250" i="1"/>
  <c r="U4242" i="1"/>
  <c r="U4234" i="1"/>
  <c r="U3774" i="1"/>
  <c r="U2985" i="1"/>
  <c r="U4201" i="1"/>
  <c r="U4170" i="1"/>
  <c r="U4152" i="1"/>
  <c r="U4190" i="1"/>
  <c r="U4182" i="1"/>
  <c r="U4157" i="1"/>
  <c r="U4180" i="1"/>
  <c r="U3719" i="1"/>
  <c r="U3336" i="1"/>
  <c r="U3721" i="1"/>
  <c r="U3646" i="1"/>
  <c r="U3618" i="1"/>
  <c r="U3541" i="1"/>
  <c r="U3523" i="1"/>
  <c r="U3493" i="1"/>
  <c r="U3458" i="1"/>
  <c r="U3423" i="1"/>
  <c r="U3402" i="1"/>
  <c r="U3330" i="1"/>
  <c r="U3282" i="1"/>
  <c r="U3269" i="1"/>
  <c r="U3257" i="1"/>
  <c r="U3237" i="1"/>
  <c r="U3666" i="1"/>
  <c r="U3621" i="1"/>
  <c r="U3299" i="1"/>
  <c r="U3511" i="1"/>
  <c r="U3693" i="1"/>
  <c r="U3575" i="1"/>
  <c r="U3479" i="1"/>
  <c r="U3340" i="1"/>
  <c r="U3206" i="1"/>
  <c r="U3677" i="1"/>
  <c r="U3452" i="1"/>
  <c r="U3373" i="1"/>
  <c r="U3564" i="1"/>
  <c r="U3704" i="1"/>
  <c r="U3696" i="1"/>
  <c r="U3687" i="1"/>
  <c r="U3679" i="1"/>
  <c r="U3672" i="1"/>
  <c r="U3654" i="1"/>
  <c r="U3635" i="1"/>
  <c r="U3613" i="1"/>
  <c r="U3605" i="1"/>
  <c r="U3585" i="1"/>
  <c r="U3578" i="1"/>
  <c r="U3434" i="1"/>
  <c r="U3553" i="1"/>
  <c r="U3536" i="1"/>
  <c r="U3483" i="1"/>
  <c r="U3474" i="1"/>
  <c r="U3466" i="1"/>
  <c r="U3442" i="1"/>
  <c r="U3409" i="1"/>
  <c r="U3395" i="1"/>
  <c r="U3385" i="1"/>
  <c r="U3379" i="1"/>
  <c r="U3344" i="1"/>
  <c r="U3317" i="1"/>
  <c r="U3305" i="1"/>
  <c r="U3293" i="1"/>
  <c r="U3284" i="1"/>
  <c r="U3265" i="1"/>
  <c r="U3234" i="1"/>
  <c r="U3211" i="1"/>
  <c r="U3727" i="1"/>
  <c r="U3515" i="1"/>
  <c r="U3503" i="1"/>
  <c r="U3253" i="1"/>
  <c r="U3215" i="1"/>
  <c r="U3149" i="1"/>
  <c r="U3141" i="1"/>
  <c r="U3112" i="1"/>
  <c r="U3104" i="1"/>
  <c r="U3096" i="1"/>
  <c r="U3088" i="1"/>
  <c r="U3077" i="1"/>
  <c r="U3067" i="1"/>
  <c r="U3059" i="1"/>
  <c r="U3038" i="1"/>
  <c r="U3030" i="1"/>
  <c r="U3048" i="1"/>
  <c r="U3082" i="1"/>
  <c r="U2996" i="1"/>
  <c r="U3133" i="1"/>
  <c r="U3051" i="1"/>
  <c r="U3124" i="1"/>
  <c r="U3010" i="1"/>
  <c r="U3001" i="1"/>
  <c r="U3004" i="1"/>
  <c r="U2957" i="1"/>
  <c r="U2980" i="1"/>
  <c r="U2973" i="1"/>
  <c r="U2956" i="1"/>
  <c r="U4220" i="1"/>
  <c r="U4212" i="1"/>
  <c r="U4204" i="1"/>
  <c r="U3197" i="1"/>
  <c r="U3205" i="1"/>
  <c r="U3887" i="1"/>
  <c r="U3845" i="1"/>
  <c r="U4145" i="1"/>
  <c r="U4113" i="1"/>
  <c r="U4021" i="1"/>
  <c r="U4111" i="1"/>
  <c r="U4110" i="1"/>
  <c r="U4142" i="1"/>
  <c r="U4058" i="1"/>
  <c r="U3939" i="1"/>
  <c r="U3954" i="1"/>
  <c r="U3879" i="1"/>
  <c r="U4107" i="1"/>
  <c r="U4010" i="1"/>
  <c r="U3930" i="1"/>
  <c r="U4024" i="1"/>
  <c r="U3823" i="1"/>
  <c r="U3824" i="1"/>
  <c r="U3996" i="1"/>
  <c r="U4127" i="1"/>
  <c r="U4119" i="1"/>
  <c r="U4100" i="1"/>
  <c r="U4081" i="1"/>
  <c r="U4073" i="1"/>
  <c r="U4063" i="1"/>
  <c r="U4047" i="1"/>
  <c r="U4029" i="1"/>
  <c r="U4004" i="1"/>
  <c r="U3989" i="1"/>
  <c r="U3982" i="1"/>
  <c r="U3970" i="1"/>
  <c r="U3965" i="1"/>
  <c r="U3950" i="1"/>
  <c r="U3925" i="1"/>
  <c r="U3918" i="1"/>
  <c r="U3898" i="1"/>
  <c r="U3890" i="1"/>
  <c r="U3859" i="1"/>
  <c r="U3853" i="1"/>
  <c r="U3832" i="1"/>
  <c r="U3815" i="1"/>
  <c r="U3807" i="1"/>
  <c r="U3800" i="1"/>
  <c r="U3786" i="1"/>
  <c r="U3790" i="1"/>
  <c r="U3184" i="1"/>
  <c r="U3870" i="1"/>
  <c r="U3862" i="1"/>
  <c r="U3356" i="1"/>
  <c r="U3348" i="1"/>
  <c r="U3736" i="1"/>
  <c r="U3745" i="1"/>
  <c r="U3731" i="1"/>
  <c r="U3162" i="1"/>
  <c r="U3174" i="1"/>
  <c r="U6294" i="1"/>
  <c r="U6287" i="1"/>
  <c r="U6280" i="1"/>
  <c r="U6271" i="1"/>
  <c r="U6263" i="1"/>
  <c r="U6255" i="1"/>
  <c r="U6247" i="1"/>
  <c r="U6239" i="1"/>
  <c r="U6299" i="1"/>
  <c r="U6222" i="1"/>
  <c r="U6230" i="1"/>
  <c r="U6042" i="1"/>
  <c r="U6010" i="1"/>
  <c r="U5978" i="1"/>
  <c r="U5938" i="1"/>
  <c r="U6209" i="1"/>
  <c r="U6185" i="1"/>
  <c r="U6169" i="1"/>
  <c r="U6145" i="1"/>
  <c r="U6121" i="1"/>
  <c r="U6097" i="1"/>
  <c r="U6073" i="1"/>
  <c r="U6057" i="1"/>
  <c r="U6033" i="1"/>
  <c r="U6009" i="1"/>
  <c r="U5977" i="1"/>
  <c r="U5953" i="1"/>
  <c r="U5929" i="1"/>
  <c r="U5913" i="1"/>
  <c r="U5889" i="1"/>
  <c r="U5865" i="1"/>
  <c r="U5841" i="1"/>
  <c r="U5817" i="1"/>
  <c r="U5793" i="1"/>
  <c r="U5761" i="1"/>
  <c r="U5745" i="1"/>
  <c r="U5721" i="1"/>
  <c r="U5697" i="1"/>
  <c r="U5673" i="1"/>
  <c r="U5657" i="1"/>
  <c r="U5633" i="1"/>
  <c r="U5617" i="1"/>
  <c r="U5593" i="1"/>
  <c r="U5513" i="1"/>
  <c r="U4227" i="1"/>
  <c r="U6200" i="1"/>
  <c r="U6192" i="1"/>
  <c r="U6176" i="1"/>
  <c r="U6160" i="1"/>
  <c r="U6144" i="1"/>
  <c r="U6128" i="1"/>
  <c r="U6112" i="1"/>
  <c r="U6096" i="1"/>
  <c r="U6080" i="1"/>
  <c r="U6064" i="1"/>
  <c r="U6048" i="1"/>
  <c r="U6040" i="1"/>
  <c r="U6024" i="1"/>
  <c r="U6008" i="1"/>
  <c r="U5992" i="1"/>
  <c r="U5976" i="1"/>
  <c r="U5960" i="1"/>
  <c r="U5944" i="1"/>
  <c r="U5920" i="1"/>
  <c r="U6215" i="1"/>
  <c r="U6207" i="1"/>
  <c r="U6199" i="1"/>
  <c r="U6191" i="1"/>
  <c r="U6183" i="1"/>
  <c r="U6175" i="1"/>
  <c r="U6167" i="1"/>
  <c r="U6159" i="1"/>
  <c r="U6151" i="1"/>
  <c r="U6143" i="1"/>
  <c r="U6135" i="1"/>
  <c r="U6127" i="1"/>
  <c r="U6119" i="1"/>
  <c r="U6111" i="1"/>
  <c r="U6103" i="1"/>
  <c r="U6095" i="1"/>
  <c r="U6087" i="1"/>
  <c r="U6079" i="1"/>
  <c r="U6071" i="1"/>
  <c r="U6063" i="1"/>
  <c r="U6055" i="1"/>
  <c r="U6047" i="1"/>
  <c r="U6039" i="1"/>
  <c r="U6031" i="1"/>
  <c r="U6023" i="1"/>
  <c r="U6015" i="1"/>
  <c r="U6007" i="1"/>
  <c r="U5999" i="1"/>
  <c r="U5991" i="1"/>
  <c r="U5983" i="1"/>
  <c r="U5975" i="1"/>
  <c r="U5967" i="1"/>
  <c r="U5959" i="1"/>
  <c r="U5951" i="1"/>
  <c r="U5943" i="1"/>
  <c r="U5935" i="1"/>
  <c r="U5927" i="1"/>
  <c r="U5919" i="1"/>
  <c r="U5911" i="1"/>
  <c r="U5903" i="1"/>
  <c r="U5895" i="1"/>
  <c r="U5887" i="1"/>
  <c r="U5879" i="1"/>
  <c r="U5871" i="1"/>
  <c r="U5863" i="1"/>
  <c r="U5855" i="1"/>
  <c r="U5847" i="1"/>
  <c r="U5839" i="1"/>
  <c r="U5831" i="1"/>
  <c r="U5823" i="1"/>
  <c r="U5815" i="1"/>
  <c r="U5807" i="1"/>
  <c r="U5799" i="1"/>
  <c r="U5791" i="1"/>
  <c r="U5783" i="1"/>
  <c r="U5775" i="1"/>
  <c r="U5767" i="1"/>
  <c r="U5759" i="1"/>
  <c r="U5751" i="1"/>
  <c r="U5743" i="1"/>
  <c r="U5735" i="1"/>
  <c r="U5727" i="1"/>
  <c r="U5719" i="1"/>
  <c r="U5711" i="1"/>
  <c r="U5703" i="1"/>
  <c r="U5695" i="1"/>
  <c r="U5687" i="1"/>
  <c r="U5679" i="1"/>
  <c r="U5671" i="1"/>
  <c r="U5663" i="1"/>
  <c r="U5655" i="1"/>
  <c r="U5647" i="1"/>
  <c r="U5639" i="1"/>
  <c r="U5631" i="1"/>
  <c r="U5623" i="1"/>
  <c r="U5615" i="1"/>
  <c r="U5607" i="1"/>
  <c r="U5599" i="1"/>
  <c r="U5591" i="1"/>
  <c r="U5583" i="1"/>
  <c r="U5575" i="1"/>
  <c r="U5567" i="1"/>
  <c r="U5559" i="1"/>
  <c r="U5551" i="1"/>
  <c r="U5543" i="1"/>
  <c r="U5535" i="1"/>
  <c r="U5527" i="1"/>
  <c r="U5519" i="1"/>
  <c r="U5511" i="1"/>
  <c r="U5503" i="1"/>
  <c r="U5495" i="1"/>
  <c r="U5487" i="1"/>
  <c r="U5479" i="1"/>
  <c r="U5471" i="1"/>
  <c r="U5463" i="1"/>
  <c r="U5455" i="1"/>
  <c r="U5447" i="1"/>
  <c r="U5439" i="1"/>
  <c r="U5431" i="1"/>
  <c r="U5423" i="1"/>
  <c r="U5400" i="1"/>
  <c r="U5392" i="1"/>
  <c r="U5384" i="1"/>
  <c r="U5376" i="1"/>
  <c r="U5368" i="1"/>
  <c r="U5360" i="1"/>
  <c r="U5352" i="1"/>
  <c r="U5344" i="1"/>
  <c r="U5336" i="1"/>
  <c r="U5328" i="1"/>
  <c r="U5320" i="1"/>
  <c r="U5312" i="1"/>
  <c r="U5304" i="1"/>
  <c r="U5296" i="1"/>
  <c r="U5288" i="1"/>
  <c r="U5280" i="1"/>
  <c r="U5272" i="1"/>
  <c r="U5264" i="1"/>
  <c r="U5256" i="1"/>
  <c r="U5248" i="1"/>
  <c r="U5240" i="1"/>
  <c r="U5232" i="1"/>
  <c r="U5224" i="1"/>
  <c r="U5216" i="1"/>
  <c r="U5208" i="1"/>
  <c r="U5200" i="1"/>
  <c r="U5192" i="1"/>
  <c r="U5184" i="1"/>
  <c r="U5176" i="1"/>
  <c r="U5168" i="1"/>
  <c r="U5160" i="1"/>
  <c r="U5152" i="1"/>
  <c r="U5144" i="1"/>
  <c r="U5136" i="1"/>
  <c r="U5128" i="1"/>
  <c r="U5120" i="1"/>
  <c r="U5112" i="1"/>
  <c r="U5104" i="1"/>
  <c r="U5096" i="1"/>
  <c r="U5088" i="1"/>
  <c r="U5080" i="1"/>
  <c r="U5072" i="1"/>
  <c r="U5064" i="1"/>
  <c r="U5056" i="1"/>
  <c r="U5048" i="1"/>
  <c r="U5040" i="1"/>
  <c r="U5032" i="1"/>
  <c r="U5024" i="1"/>
  <c r="U5016" i="1"/>
  <c r="U5008" i="1"/>
  <c r="U5000" i="1"/>
  <c r="U4992" i="1"/>
  <c r="U4984" i="1"/>
  <c r="U4976" i="1"/>
  <c r="U4968" i="1"/>
  <c r="U4960" i="1"/>
  <c r="U4952" i="1"/>
  <c r="U4944" i="1"/>
  <c r="U4936" i="1"/>
  <c r="U4928" i="1"/>
  <c r="U4920" i="1"/>
  <c r="U4912" i="1"/>
  <c r="U4904" i="1"/>
  <c r="U4896" i="1"/>
  <c r="U4888" i="1"/>
  <c r="U4880" i="1"/>
  <c r="U4872" i="1"/>
  <c r="U4864" i="1"/>
  <c r="U4856" i="1"/>
  <c r="U4848" i="1"/>
  <c r="U4840" i="1"/>
  <c r="U4832" i="1"/>
  <c r="U4824" i="1"/>
  <c r="U4816" i="1"/>
  <c r="U4808" i="1"/>
  <c r="U4800" i="1"/>
  <c r="U4792" i="1"/>
  <c r="U4784" i="1"/>
  <c r="U4776" i="1"/>
  <c r="U4768" i="1"/>
  <c r="U4760" i="1"/>
  <c r="U4752" i="1"/>
  <c r="U4744" i="1"/>
  <c r="U4736" i="1"/>
  <c r="U4728" i="1"/>
  <c r="U4720" i="1"/>
  <c r="U4712" i="1"/>
  <c r="U4704" i="1"/>
  <c r="U4696" i="1"/>
  <c r="U4688" i="1"/>
  <c r="U4680" i="1"/>
  <c r="U4672" i="1"/>
  <c r="U4664" i="1"/>
  <c r="U4656" i="1"/>
  <c r="U4648" i="1"/>
  <c r="U4640" i="1"/>
  <c r="U4632" i="1"/>
  <c r="U4624" i="1"/>
  <c r="U4616" i="1"/>
  <c r="U4608" i="1"/>
  <c r="U4600" i="1"/>
  <c r="U4592" i="1"/>
  <c r="U4584" i="1"/>
  <c r="U4576" i="1"/>
  <c r="U4568" i="1"/>
  <c r="U4560" i="1"/>
  <c r="U4552" i="1"/>
  <c r="U4544" i="1"/>
  <c r="U4536" i="1"/>
  <c r="U4528" i="1"/>
  <c r="U4520" i="1"/>
  <c r="U4512" i="1"/>
  <c r="U4504" i="1"/>
  <c r="U4496" i="1"/>
  <c r="U4488" i="1"/>
  <c r="U4480" i="1"/>
  <c r="U4472" i="1"/>
  <c r="U4464" i="1"/>
  <c r="U4456" i="1"/>
  <c r="U4448" i="1"/>
  <c r="U4440" i="1"/>
  <c r="U4432" i="1"/>
  <c r="U4424" i="1"/>
  <c r="U4416" i="1"/>
  <c r="U4408" i="1"/>
  <c r="U4400" i="1"/>
  <c r="U4392" i="1"/>
  <c r="U4384" i="1"/>
  <c r="U4376" i="1"/>
  <c r="U4368" i="1"/>
  <c r="U4360" i="1"/>
  <c r="U4352" i="1"/>
  <c r="U4344" i="1"/>
  <c r="U4336" i="1"/>
  <c r="U4328" i="1"/>
  <c r="U4320" i="1"/>
  <c r="U4312" i="1"/>
  <c r="U4304" i="1"/>
  <c r="U4296" i="1"/>
  <c r="U4288" i="1"/>
  <c r="U4280" i="1"/>
  <c r="U4265" i="1"/>
  <c r="U4257" i="1"/>
  <c r="U4249" i="1"/>
  <c r="U4241" i="1"/>
  <c r="U4233" i="1"/>
  <c r="U3773" i="1"/>
  <c r="U2986" i="1"/>
  <c r="U4200" i="1"/>
  <c r="U4169" i="1"/>
  <c r="U4149" i="1"/>
  <c r="U4189" i="1"/>
  <c r="U4174" i="1"/>
  <c r="U4156" i="1"/>
  <c r="U4178" i="1"/>
  <c r="U3715" i="1"/>
  <c r="U3334" i="1"/>
  <c r="U3722" i="1"/>
  <c r="U3645" i="1"/>
  <c r="U3598" i="1"/>
  <c r="U3540" i="1"/>
  <c r="U3506" i="1"/>
  <c r="U3492" i="1"/>
  <c r="U3457" i="1"/>
  <c r="U3419" i="1"/>
  <c r="U3401" i="1"/>
  <c r="U3327" i="1"/>
  <c r="U3281" i="1"/>
  <c r="U3268" i="1"/>
  <c r="U3256" i="1"/>
  <c r="U3225" i="1"/>
  <c r="U3665" i="1"/>
  <c r="U3545" i="1"/>
  <c r="U3298" i="1"/>
  <c r="U3508" i="1"/>
  <c r="U3629" i="1"/>
  <c r="U3568" i="1"/>
  <c r="U3478" i="1"/>
  <c r="U3339" i="1"/>
  <c r="U3375" i="1"/>
  <c r="U3617" i="1"/>
  <c r="U3451" i="1"/>
  <c r="U3374" i="1"/>
  <c r="U3563" i="1"/>
  <c r="U3713" i="1"/>
  <c r="U3694" i="1"/>
  <c r="U3686" i="1"/>
  <c r="U3678" i="1"/>
  <c r="U3661" i="1"/>
  <c r="U3653" i="1"/>
  <c r="U3637" i="1"/>
  <c r="U3611" i="1"/>
  <c r="U3592" i="1"/>
  <c r="U3582" i="1"/>
  <c r="U3573" i="1"/>
  <c r="U3437" i="1"/>
  <c r="U3554" i="1"/>
  <c r="U3535" i="1"/>
  <c r="U3485" i="1"/>
  <c r="U3473" i="1"/>
  <c r="U3465" i="1"/>
  <c r="U3441" i="1"/>
  <c r="U3411" i="1"/>
  <c r="U3393" i="1"/>
  <c r="U3384" i="1"/>
  <c r="U3367" i="1"/>
  <c r="U3343" i="1"/>
  <c r="U3316" i="1"/>
  <c r="U3304" i="1"/>
  <c r="U3291" i="1"/>
  <c r="U3283" i="1"/>
  <c r="U3263" i="1"/>
  <c r="U3232" i="1"/>
  <c r="U3210" i="1"/>
  <c r="U3522" i="1"/>
  <c r="U3514" i="1"/>
  <c r="U3433" i="1"/>
  <c r="U3252" i="1"/>
  <c r="U3214" i="1"/>
  <c r="U3148" i="1"/>
  <c r="U3121" i="1"/>
  <c r="U3111" i="1"/>
  <c r="U3102" i="1"/>
  <c r="U3095" i="1"/>
  <c r="U3087" i="1"/>
  <c r="U3076" i="1"/>
  <c r="U3066" i="1"/>
  <c r="U3058" i="1"/>
  <c r="U3037" i="1"/>
  <c r="U3029" i="1"/>
  <c r="U3049" i="1"/>
  <c r="U3046" i="1"/>
  <c r="U2994" i="1"/>
  <c r="U3134" i="1"/>
  <c r="U3052" i="1"/>
  <c r="U3126" i="1"/>
  <c r="U3009" i="1"/>
  <c r="U2997" i="1"/>
  <c r="U2983" i="1"/>
  <c r="U2955" i="1"/>
  <c r="U2967" i="1"/>
  <c r="U2984" i="1"/>
  <c r="U2971" i="1"/>
  <c r="U2954" i="1"/>
  <c r="U4219" i="1"/>
  <c r="U4211" i="1"/>
  <c r="U3154" i="1"/>
  <c r="U3196" i="1"/>
  <c r="U3204" i="1"/>
  <c r="U3886" i="1"/>
  <c r="U4146" i="1"/>
  <c r="U4144" i="1"/>
  <c r="U4062" i="1"/>
  <c r="U4022" i="1"/>
  <c r="U4108" i="1"/>
  <c r="U4109" i="1"/>
  <c r="U4141" i="1"/>
  <c r="U4057" i="1"/>
  <c r="U3910" i="1"/>
  <c r="U4056" i="1"/>
  <c r="U3878" i="1"/>
  <c r="U4106" i="1"/>
  <c r="U4015" i="1"/>
  <c r="U3929" i="1"/>
  <c r="U4025" i="1"/>
  <c r="U3822" i="1"/>
  <c r="U4002" i="1"/>
  <c r="U4134" i="1"/>
  <c r="U4126" i="1"/>
  <c r="U4117" i="1"/>
  <c r="U4102" i="1"/>
  <c r="U4082" i="1"/>
  <c r="U4070" i="1"/>
  <c r="U4054" i="1"/>
  <c r="U4037" i="1"/>
  <c r="U4027" i="1"/>
  <c r="U4005" i="1"/>
  <c r="U3988" i="1"/>
  <c r="U3983" i="1"/>
  <c r="U3977" i="1"/>
  <c r="U3964" i="1"/>
  <c r="U3949" i="1"/>
  <c r="U3924" i="1"/>
  <c r="U3920" i="1"/>
  <c r="U3897" i="1"/>
  <c r="U3877" i="1"/>
  <c r="U3855" i="1"/>
  <c r="U3852" i="1"/>
  <c r="U3831" i="1"/>
  <c r="U3814" i="1"/>
  <c r="U3806" i="1"/>
  <c r="U3799" i="1"/>
  <c r="U3783" i="1"/>
  <c r="U3789" i="1"/>
  <c r="U3183" i="1"/>
  <c r="U3869" i="1"/>
  <c r="U3363" i="1"/>
  <c r="U3355" i="1"/>
  <c r="U3153" i="1"/>
  <c r="U3735" i="1"/>
  <c r="U3744" i="1"/>
  <c r="U3166" i="1"/>
  <c r="U3161" i="1"/>
  <c r="U3172" i="1"/>
  <c r="U6295" i="1"/>
  <c r="U6286" i="1"/>
  <c r="U6278" i="1"/>
  <c r="U6270" i="1"/>
  <c r="U6261" i="1"/>
  <c r="U6254" i="1"/>
  <c r="U6246" i="1"/>
  <c r="U6238" i="1"/>
  <c r="U6300" i="1"/>
  <c r="U6310" i="1"/>
  <c r="U6221" i="1"/>
  <c r="U6229" i="1"/>
  <c r="U3780" i="1"/>
  <c r="U3778" i="1"/>
  <c r="U3766" i="1"/>
  <c r="U3763" i="1"/>
  <c r="U3760" i="1"/>
  <c r="Q4175" i="1" l="1"/>
  <c r="Q4655" i="1"/>
  <c r="Q5904" i="1"/>
  <c r="Q3184" i="1"/>
  <c r="Q4166" i="1"/>
  <c r="Q3042" i="1"/>
  <c r="R4285" i="1"/>
  <c r="R4284" i="1" s="1"/>
  <c r="Q3454" i="1"/>
  <c r="Q3225" i="1"/>
  <c r="Q4214" i="1"/>
  <c r="Q4359" i="1"/>
  <c r="R5287" i="1"/>
  <c r="R5286" i="1" s="1"/>
  <c r="Q3038" i="1"/>
  <c r="Q6256" i="1"/>
  <c r="Q3040" i="1"/>
  <c r="Q6202" i="1"/>
  <c r="Q4917" i="1"/>
  <c r="Q3816" i="1"/>
  <c r="Q4690" i="1"/>
  <c r="Q4922" i="1"/>
  <c r="Q3525" i="1"/>
  <c r="Q2987" i="1"/>
  <c r="Q5498" i="1"/>
  <c r="Q4476" i="1"/>
  <c r="Q5110" i="1"/>
  <c r="Q5637" i="1"/>
  <c r="Q6302" i="1"/>
  <c r="Q5332" i="1"/>
  <c r="Q4535" i="1"/>
  <c r="Q5656" i="1"/>
  <c r="Q6194" i="1"/>
  <c r="Q4876" i="1"/>
  <c r="Q4087" i="1"/>
  <c r="Q3911" i="1"/>
  <c r="Q5087" i="1"/>
  <c r="Q3541" i="1"/>
  <c r="Q4182" i="1"/>
  <c r="Q5519" i="1"/>
  <c r="Q3141" i="1"/>
  <c r="Q3942" i="1"/>
  <c r="Q4829" i="1"/>
  <c r="Q4786" i="1"/>
  <c r="Q3033" i="1"/>
  <c r="Q3218" i="1"/>
  <c r="Q4314" i="1"/>
  <c r="Q6149" i="1"/>
  <c r="Q5901" i="1"/>
  <c r="Q3775" i="1"/>
  <c r="Q5420" i="1"/>
  <c r="Q4599" i="1"/>
  <c r="Q2958" i="1"/>
  <c r="Q3883" i="1"/>
  <c r="Q6178" i="1"/>
  <c r="Q4885" i="1"/>
  <c r="Q4217" i="1"/>
  <c r="Q3146" i="1"/>
  <c r="Q3763" i="1"/>
  <c r="Q3887" i="1"/>
  <c r="Q4541" i="1"/>
  <c r="Q3460" i="1"/>
  <c r="Q3081" i="1"/>
  <c r="Q3067" i="1"/>
  <c r="T2935" i="1"/>
  <c r="S2934" i="1"/>
  <c r="T2934" i="1" s="1"/>
  <c r="Q4845" i="1"/>
  <c r="Q3736" i="1"/>
  <c r="Q3523" i="1"/>
  <c r="Q5888" i="1"/>
  <c r="Q6192" i="1"/>
  <c r="Q5760" i="1"/>
  <c r="Q4024" i="1"/>
  <c r="Q3731" i="1"/>
  <c r="Q5767" i="1"/>
  <c r="Q2944" i="1"/>
  <c r="Q4391" i="1"/>
  <c r="Q5391" i="1"/>
  <c r="Q5463" i="1"/>
  <c r="Q3546" i="1"/>
  <c r="Q5240" i="1"/>
  <c r="Q6039" i="1"/>
  <c r="Q6299" i="1"/>
  <c r="Q5556" i="1"/>
  <c r="Q5751" i="1"/>
  <c r="Q4325" i="1"/>
  <c r="Q5805" i="1"/>
  <c r="Q5286" i="1"/>
  <c r="Q4799" i="1"/>
  <c r="Q3087" i="1"/>
  <c r="Q6271" i="1"/>
  <c r="Q5712" i="1"/>
  <c r="Q5002" i="1"/>
  <c r="R4341" i="1"/>
  <c r="Q3777" i="1"/>
  <c r="Q3665" i="1"/>
  <c r="Q4170" i="1"/>
  <c r="Q6151" i="1"/>
  <c r="Q3316" i="1"/>
  <c r="Q3281" i="1"/>
  <c r="Q5527" i="1"/>
  <c r="Q6030" i="1"/>
  <c r="X41" i="1"/>
  <c r="Y41" i="1" s="1"/>
  <c r="AA41" i="1"/>
  <c r="Z41" i="1" s="1"/>
  <c r="W43" i="1"/>
  <c r="Q3867" i="1"/>
  <c r="Q4810" i="1"/>
  <c r="Q3024" i="1"/>
  <c r="Q6226" i="1"/>
  <c r="Q3445" i="1"/>
  <c r="Q5350" i="1"/>
  <c r="Q3111" i="1"/>
  <c r="Q5431" i="1"/>
  <c r="Q3698" i="1"/>
  <c r="Q5010" i="1"/>
  <c r="Q4038" i="1"/>
  <c r="Q3325" i="1"/>
  <c r="Q5039" i="1"/>
  <c r="Q5590" i="1"/>
  <c r="Q3577" i="1"/>
  <c r="Q3881" i="1"/>
  <c r="Q3259" i="1"/>
  <c r="Q4163" i="1"/>
  <c r="Q3405" i="1"/>
  <c r="Q3352" i="1"/>
  <c r="Q4016" i="1"/>
  <c r="Q4495" i="1"/>
  <c r="Q5694" i="1"/>
  <c r="Q3257" i="1"/>
  <c r="Q5874" i="1"/>
  <c r="Q3006" i="1"/>
  <c r="Q3755" i="1"/>
  <c r="Q4330" i="1"/>
  <c r="Q6090" i="1"/>
  <c r="Q2985" i="1"/>
  <c r="Q5330" i="1"/>
  <c r="Q4207" i="1"/>
  <c r="Q3114" i="1"/>
  <c r="Q5428" i="1"/>
  <c r="Q5796" i="1"/>
  <c r="Q3150" i="1"/>
  <c r="Q3105" i="1"/>
  <c r="R6008" i="1"/>
  <c r="R6007" i="1" s="1"/>
  <c r="R6006" i="1" s="1"/>
  <c r="R6005" i="1" s="1"/>
  <c r="R6004" i="1" s="1"/>
  <c r="Q5334" i="1"/>
  <c r="Q3077" i="1"/>
  <c r="Q6291" i="1"/>
  <c r="Q4807" i="1"/>
  <c r="Q5023" i="1"/>
  <c r="Q5423" i="1"/>
  <c r="Q6258" i="1"/>
  <c r="Q3026" i="1"/>
  <c r="Q3157" i="1"/>
  <c r="Q5757" i="1"/>
  <c r="Q4623" i="1"/>
  <c r="Q3765" i="1"/>
  <c r="Q4618" i="1"/>
  <c r="Q5098" i="1"/>
  <c r="Q3274" i="1"/>
  <c r="Q4010" i="1"/>
  <c r="Q3096" i="1"/>
  <c r="Q3337" i="1"/>
  <c r="Q5877" i="1"/>
  <c r="Q3458" i="1"/>
  <c r="Q3059" i="1"/>
  <c r="Q3186" i="1"/>
  <c r="Q3017" i="1"/>
  <c r="Q5885" i="1"/>
  <c r="Q4184" i="1"/>
  <c r="Q6154" i="1"/>
  <c r="Q3751" i="1"/>
  <c r="Q2970" i="1"/>
  <c r="Q5559" i="1"/>
  <c r="Q4193" i="1"/>
  <c r="Q5471" i="1"/>
  <c r="Q5406" i="1"/>
  <c r="Q4394" i="1"/>
  <c r="Q3118" i="1"/>
  <c r="Q4693" i="1"/>
  <c r="Q3701" i="1"/>
  <c r="Q5278" i="1"/>
  <c r="Q4311" i="1"/>
  <c r="Q4234" i="1"/>
  <c r="Q3862" i="1"/>
  <c r="Q6216" i="1"/>
  <c r="Q6180" i="1"/>
  <c r="Q3904" i="1"/>
  <c r="Q5800" i="1"/>
  <c r="Q4079" i="1"/>
  <c r="Q5661" i="1"/>
  <c r="Q4457" i="1"/>
  <c r="Q3392" i="1"/>
  <c r="Q5790" i="1"/>
  <c r="Q3395" i="1"/>
  <c r="Q3890" i="1"/>
  <c r="Q3339" i="1"/>
  <c r="Q3172" i="1"/>
  <c r="Q4334" i="1"/>
  <c r="Q6076" i="1"/>
  <c r="Q3934" i="1"/>
  <c r="Q4797" i="1"/>
  <c r="Q5542" i="1"/>
  <c r="Q3474" i="1"/>
  <c r="Q6253" i="1"/>
  <c r="Q3196" i="1"/>
  <c r="Q3009" i="1"/>
  <c r="Q3849" i="1"/>
  <c r="Q3425" i="1"/>
  <c r="Q4610" i="1"/>
  <c r="Q3093" i="1"/>
  <c r="Q4157" i="1"/>
  <c r="Q3878" i="1"/>
  <c r="Q3462" i="1"/>
  <c r="Q3327" i="1"/>
  <c r="Q3507" i="1"/>
  <c r="Q3897" i="1"/>
  <c r="Q4057" i="1"/>
  <c r="Q3824" i="1"/>
  <c r="Q6228" i="1"/>
  <c r="Q6279" i="1"/>
  <c r="Q3802" i="1"/>
  <c r="Q3610" i="1"/>
  <c r="Q4728" i="1"/>
  <c r="Q3409" i="1"/>
  <c r="Q5321" i="1"/>
  <c r="Q4781" i="1"/>
  <c r="Q6190" i="1"/>
  <c r="Q3855" i="1"/>
  <c r="Q3073" i="1"/>
  <c r="Q3342" i="1"/>
  <c r="Q5066" i="1"/>
  <c r="Q3246" i="1"/>
  <c r="Q3487" i="1"/>
  <c r="Q4422" i="1"/>
  <c r="Q3734" i="1"/>
  <c r="Q3310" i="1"/>
  <c r="Q3945" i="1"/>
  <c r="Q3678" i="1"/>
  <c r="Q4657" i="1"/>
  <c r="Q4842" i="1"/>
  <c r="Q3416" i="1"/>
  <c r="Q4567" i="1"/>
  <c r="Q3102" i="1"/>
  <c r="Q4521" i="1"/>
  <c r="Q3653" i="1"/>
  <c r="Q3269" i="1"/>
  <c r="Q5573" i="1"/>
  <c r="Q5412" i="1"/>
  <c r="Q3368" i="1"/>
  <c r="Q5967" i="1"/>
  <c r="Q6294" i="1"/>
  <c r="Q3148" i="1"/>
  <c r="Q4361" i="1"/>
  <c r="Q4448" i="1"/>
  <c r="Q4894" i="1"/>
  <c r="Q4882" i="1"/>
  <c r="Q4197" i="1"/>
  <c r="Q4532" i="1"/>
  <c r="Q4837" i="1"/>
  <c r="Q4858" i="1"/>
  <c r="Q5005" i="1"/>
  <c r="Q5496" i="1"/>
  <c r="Q3381" i="1"/>
  <c r="Q4363" i="1"/>
  <c r="Q3480" i="1"/>
  <c r="Q3308" i="1"/>
  <c r="Q3505" i="1"/>
  <c r="Q4168" i="1"/>
  <c r="Q6238" i="1"/>
  <c r="Q4186" i="1"/>
  <c r="Q5032" i="1"/>
  <c r="Q5138" i="1"/>
  <c r="Q3529" i="1"/>
  <c r="Q4299" i="1"/>
  <c r="Q3792" i="1"/>
  <c r="Q3937" i="1"/>
  <c r="Q3020" i="1"/>
  <c r="Q3221" i="1"/>
  <c r="Q4284" i="1"/>
  <c r="Q4404" i="1"/>
  <c r="Q4562" i="1"/>
  <c r="Q3839" i="1"/>
  <c r="Q3090" i="1"/>
  <c r="Q3428" i="1"/>
  <c r="Q5084" i="1"/>
  <c r="Q5365" i="1"/>
  <c r="Q4627" i="1"/>
  <c r="Q3364" i="1"/>
  <c r="Q5867" i="1"/>
  <c r="Q5435" i="1"/>
  <c r="Q5859" i="1"/>
  <c r="Q6036" i="1"/>
  <c r="Q5925" i="1"/>
  <c r="Q6245" i="1"/>
  <c r="Q3809" i="1"/>
  <c r="Q3684" i="1"/>
  <c r="Q3401" i="1"/>
  <c r="Q4241" i="1"/>
  <c r="Q4304" i="1"/>
  <c r="Q4543" i="1"/>
  <c r="Q4665" i="1"/>
  <c r="Q4732" i="1"/>
  <c r="Q4817" i="1"/>
  <c r="Q4913" i="1"/>
  <c r="Q5041" i="1"/>
  <c r="Q5148" i="1"/>
  <c r="Q3958" i="1"/>
  <c r="Q3215" i="1"/>
  <c r="Q3599" i="1"/>
  <c r="Q4307" i="1"/>
  <c r="Q4537" i="1"/>
  <c r="Q4699" i="1"/>
  <c r="Q5069" i="1"/>
  <c r="Q5210" i="1"/>
  <c r="Q6273" i="1"/>
  <c r="Q3954" i="1"/>
  <c r="Q2963" i="1"/>
  <c r="Q3569" i="1"/>
  <c r="Q4340" i="1"/>
  <c r="Q4676" i="1"/>
  <c r="Q4887" i="1"/>
  <c r="Q3964" i="1"/>
  <c r="Q3518" i="1"/>
  <c r="Q4260" i="1"/>
  <c r="Q5165" i="1"/>
  <c r="Q5565" i="1"/>
  <c r="Q6243" i="1"/>
  <c r="Q3319" i="1"/>
  <c r="Q4549" i="1"/>
  <c r="Q5026" i="1"/>
  <c r="Q3467" i="1"/>
  <c r="Q3628" i="1"/>
  <c r="Q5915" i="1"/>
  <c r="Q5807" i="1"/>
  <c r="Q5951" i="1"/>
  <c r="Q5948" i="1"/>
  <c r="Q6139" i="1"/>
  <c r="Q3743" i="1"/>
  <c r="Q4139" i="1"/>
  <c r="Q4211" i="1"/>
  <c r="Q2994" i="1"/>
  <c r="Q3451" i="1"/>
  <c r="Q4200" i="1"/>
  <c r="Q4248" i="1"/>
  <c r="Q4463" i="1"/>
  <c r="Q4553" i="1"/>
  <c r="Q4744" i="1"/>
  <c r="Q4821" i="1"/>
  <c r="Q4937" i="1"/>
  <c r="Q5045" i="1"/>
  <c r="Q5168" i="1"/>
  <c r="Q3251" i="1"/>
  <c r="Q3348" i="1"/>
  <c r="Q4003" i="1"/>
  <c r="Q3574" i="1"/>
  <c r="Q3493" i="1"/>
  <c r="Q4323" i="1"/>
  <c r="Q5213" i="1"/>
  <c r="Q3621" i="1"/>
  <c r="Q3723" i="1"/>
  <c r="Q4292" i="1"/>
  <c r="Q4483" i="1"/>
  <c r="Q4596" i="1"/>
  <c r="Q4899" i="1"/>
  <c r="Q3865" i="1"/>
  <c r="Q4044" i="1"/>
  <c r="Q4357" i="1"/>
  <c r="Q5295" i="1"/>
  <c r="Q5388" i="1"/>
  <c r="Q5515" i="1"/>
  <c r="Q6251" i="1"/>
  <c r="Q5052" i="1"/>
  <c r="Q5256" i="1"/>
  <c r="Q5575" i="1"/>
  <c r="Q6092" i="1"/>
  <c r="Q6100" i="1"/>
  <c r="Q6182" i="1"/>
  <c r="Q5826" i="1"/>
  <c r="Q6175" i="1"/>
  <c r="Q6261" i="1"/>
  <c r="Q3355" i="1"/>
  <c r="Q4108" i="1"/>
  <c r="Q2954" i="1"/>
  <c r="Q3441" i="1"/>
  <c r="Q4256" i="1"/>
  <c r="Q4408" i="1"/>
  <c r="Q4471" i="1"/>
  <c r="Q4592" i="1"/>
  <c r="Q4679" i="1"/>
  <c r="Q4768" i="1"/>
  <c r="Q4831" i="1"/>
  <c r="Q4951" i="1"/>
  <c r="Q5175" i="1"/>
  <c r="Q4219" i="1"/>
  <c r="Q3499" i="1"/>
  <c r="Q3582" i="1"/>
  <c r="Q3298" i="1"/>
  <c r="Q4097" i="1"/>
  <c r="Q3031" i="1"/>
  <c r="Q3232" i="1"/>
  <c r="Q3630" i="1"/>
  <c r="Q4202" i="1"/>
  <c r="Q4354" i="1"/>
  <c r="Q4569" i="1"/>
  <c r="Q5226" i="1"/>
  <c r="Q6232" i="1"/>
  <c r="Q6288" i="1"/>
  <c r="Q3916" i="1"/>
  <c r="Q2936" i="1"/>
  <c r="Q3419" i="1"/>
  <c r="Q4236" i="1"/>
  <c r="Q4348" i="1"/>
  <c r="Q4428" i="1"/>
  <c r="Q4498" i="1"/>
  <c r="Q4601" i="1"/>
  <c r="Q4714" i="1"/>
  <c r="Q4903" i="1"/>
  <c r="Q3179" i="1"/>
  <c r="Q3951" i="1"/>
  <c r="Q3657" i="1"/>
  <c r="Q2991" i="1"/>
  <c r="Q5396" i="1"/>
  <c r="Q5469" i="1"/>
  <c r="Q5523" i="1"/>
  <c r="Q3970" i="1"/>
  <c r="Q3496" i="1"/>
  <c r="Q4454" i="1"/>
  <c r="Q6269" i="1"/>
  <c r="Q3181" i="1"/>
  <c r="Q3885" i="1"/>
  <c r="Q4504" i="1"/>
  <c r="Q4870" i="1"/>
  <c r="Q5062" i="1"/>
  <c r="Q5263" i="1"/>
  <c r="Q5986" i="1"/>
  <c r="Q4982" i="1"/>
  <c r="Q5823" i="1"/>
  <c r="Q6071" i="1"/>
  <c r="Q6167" i="1"/>
  <c r="Q5832" i="1"/>
  <c r="Q5630" i="1"/>
  <c r="Q5725" i="1"/>
  <c r="Q5383" i="1"/>
  <c r="Q4115" i="1"/>
  <c r="Q4112" i="1"/>
  <c r="Q2979" i="1"/>
  <c r="Q3028" i="1"/>
  <c r="Q3644" i="1"/>
  <c r="Q3773" i="1"/>
  <c r="Q4265" i="1"/>
  <c r="Q4416" i="1"/>
  <c r="Q4481" i="1"/>
  <c r="Q4774" i="1"/>
  <c r="Q4974" i="1"/>
  <c r="Q5077" i="1"/>
  <c r="Q5185" i="1"/>
  <c r="Q3513" i="1"/>
  <c r="Q3263" i="1"/>
  <c r="Q3483" i="1"/>
  <c r="Q3618" i="1"/>
  <c r="Q4577" i="1"/>
  <c r="Q4795" i="1"/>
  <c r="Q4915" i="1"/>
  <c r="Q5113" i="1"/>
  <c r="Q5266" i="1"/>
  <c r="Q3014" i="1"/>
  <c r="Q3670" i="1"/>
  <c r="Q3271" i="1"/>
  <c r="Q4149" i="1"/>
  <c r="Q4316" i="1"/>
  <c r="Q4515" i="1"/>
  <c r="Q4620" i="1"/>
  <c r="Q4723" i="1"/>
  <c r="Q4089" i="1"/>
  <c r="Q3200" i="1"/>
  <c r="Q3680" i="1"/>
  <c r="Q3662" i="1"/>
  <c r="Q4924" i="1"/>
  <c r="Q5221" i="1"/>
  <c r="Q6282" i="1"/>
  <c r="Q3035" i="1"/>
  <c r="Q4379" i="1"/>
  <c r="Q6276" i="1"/>
  <c r="Q4013" i="1"/>
  <c r="Q4296" i="1"/>
  <c r="Q4509" i="1"/>
  <c r="Q5328" i="1"/>
  <c r="Q5980" i="1"/>
  <c r="Q6079" i="1"/>
  <c r="Q6125" i="1"/>
  <c r="Q5763" i="1"/>
  <c r="Q6060" i="1"/>
  <c r="Q6165" i="1"/>
  <c r="Q6021" i="1"/>
  <c r="Q5678" i="1"/>
  <c r="Q6221" i="1"/>
  <c r="Q4121" i="1"/>
  <c r="Q4143" i="1"/>
  <c r="Q3333" i="1"/>
  <c r="Q3757" i="1"/>
  <c r="Q4424" i="1"/>
  <c r="Q4625" i="1"/>
  <c r="Q4695" i="1"/>
  <c r="Q4847" i="1"/>
  <c r="Q5089" i="1"/>
  <c r="Q3303" i="1"/>
  <c r="Q3237" i="1"/>
  <c r="Q3162" i="1"/>
  <c r="Q3939" i="1"/>
  <c r="Q3283" i="1"/>
  <c r="Q3535" i="1"/>
  <c r="Q3563" i="1"/>
  <c r="Q3301" i="1"/>
  <c r="Q3647" i="1"/>
  <c r="Q3759" i="1"/>
  <c r="Q4467" i="1"/>
  <c r="Q5155" i="1"/>
  <c r="Q5269" i="1"/>
  <c r="Q6241" i="1"/>
  <c r="Q6297" i="1"/>
  <c r="Q3061" i="1"/>
  <c r="Q3377" i="1"/>
  <c r="Q4267" i="1"/>
  <c r="Q4634" i="1"/>
  <c r="Q3781" i="1"/>
  <c r="Q3192" i="1"/>
  <c r="Q3689" i="1"/>
  <c r="Q3716" i="1"/>
  <c r="Q4945" i="1"/>
  <c r="Q5533" i="1"/>
  <c r="Q4027" i="1"/>
  <c r="Q2949" i="1"/>
  <c r="Q3243" i="1"/>
  <c r="Q4244" i="1"/>
  <c r="Q4318" i="1"/>
  <c r="Q5242" i="1"/>
  <c r="Q5372" i="1"/>
  <c r="Q3979" i="1"/>
  <c r="Q4055" i="1"/>
  <c r="Q3057" i="1"/>
  <c r="Q4155" i="1"/>
  <c r="Q5529" i="1"/>
  <c r="Q5681" i="1"/>
  <c r="Q5861" i="1"/>
  <c r="Q5623" i="1"/>
  <c r="Q5649" i="1"/>
  <c r="Q5714" i="1"/>
  <c r="Q5743" i="1"/>
  <c r="Q5957" i="1"/>
  <c r="Q6285" i="1"/>
  <c r="Q3869" i="1"/>
  <c r="Q3929" i="1"/>
  <c r="Q3002" i="1"/>
  <c r="Q3634" i="1"/>
  <c r="Q3478" i="1"/>
  <c r="Q4281" i="1"/>
  <c r="Q4433" i="1"/>
  <c r="Q4639" i="1"/>
  <c r="Q4701" i="1"/>
  <c r="Q4793" i="1"/>
  <c r="Q3011" i="1"/>
  <c r="Q3694" i="1"/>
  <c r="Q3796" i="1"/>
  <c r="Q3291" i="1"/>
  <c r="Q3553" i="1"/>
  <c r="Q3331" i="1"/>
  <c r="Q3769" i="1"/>
  <c r="Q4667" i="1"/>
  <c r="Q5035" i="1"/>
  <c r="Q5171" i="1"/>
  <c r="Q5281" i="1"/>
  <c r="Q5378" i="1"/>
  <c r="Q3386" i="1"/>
  <c r="Q4275" i="1"/>
  <c r="Q4384" i="1"/>
  <c r="Q4443" i="1"/>
  <c r="Q4771" i="1"/>
  <c r="Q4864" i="1"/>
  <c r="Q3143" i="1"/>
  <c r="Q4309" i="1"/>
  <c r="Q5250" i="1"/>
  <c r="Q5341" i="1"/>
  <c r="Q5485" i="1"/>
  <c r="Q5605" i="1"/>
  <c r="Q3794" i="1"/>
  <c r="Q4073" i="1"/>
  <c r="Q3595" i="1"/>
  <c r="Q3159" i="1"/>
  <c r="Q3065" i="1"/>
  <c r="Q3208" i="1"/>
  <c r="Q4173" i="1"/>
  <c r="Q5206" i="1"/>
  <c r="Q5671" i="1"/>
  <c r="Q5930" i="1"/>
  <c r="Q5819" i="1"/>
  <c r="Q5647" i="1"/>
  <c r="Q6307" i="1"/>
  <c r="Q3788" i="1"/>
  <c r="Q4105" i="1"/>
  <c r="Q3203" i="1"/>
  <c r="Q2997" i="1"/>
  <c r="Q3779" i="1"/>
  <c r="Q4288" i="1"/>
  <c r="Q4648" i="1"/>
  <c r="Q4721" i="1"/>
  <c r="Q5017" i="1"/>
  <c r="Q5117" i="1"/>
  <c r="Q3132" i="1"/>
  <c r="Q3372" i="1"/>
  <c r="Q3746" i="1"/>
  <c r="Q3831" i="1"/>
  <c r="Q4085" i="1"/>
  <c r="Q3434" i="1"/>
  <c r="Q3403" i="1"/>
  <c r="Q4178" i="1"/>
  <c r="Q4251" i="1"/>
  <c r="Q4491" i="1"/>
  <c r="Q4827" i="1"/>
  <c r="Q5043" i="1"/>
  <c r="Q5179" i="1"/>
  <c r="Q5304" i="1"/>
  <c r="Q6248" i="1"/>
  <c r="Q3122" i="1"/>
  <c r="Q3079" i="1"/>
  <c r="Q4332" i="1"/>
  <c r="Q4451" i="1"/>
  <c r="Q4555" i="1"/>
  <c r="Q3167" i="1"/>
  <c r="Q3932" i="1"/>
  <c r="Q5037" i="1"/>
  <c r="Q5260" i="1"/>
  <c r="Q5613" i="1"/>
  <c r="Q3749" i="1"/>
  <c r="Q3913" i="1"/>
  <c r="Q4518" i="1"/>
  <c r="Q5223" i="1"/>
  <c r="Q5352" i="1"/>
  <c r="Q5487" i="1"/>
  <c r="Q5409" i="1"/>
  <c r="Q5719" i="1"/>
  <c r="Q5129" i="1"/>
  <c r="Q5020" i="1"/>
  <c r="Q6027" i="1"/>
  <c r="Q5653" i="1"/>
  <c r="Q5685" i="1"/>
  <c r="Q6054" i="1"/>
  <c r="Q3155" i="1"/>
  <c r="Q2946" i="1"/>
  <c r="Q3560" i="1"/>
  <c r="Q3761" i="1"/>
  <c r="Q5477" i="1"/>
  <c r="Q3071" i="1"/>
  <c r="Q3615" i="1"/>
  <c r="Q4270" i="1"/>
  <c r="Q4406" i="1"/>
  <c r="Q4502" i="1"/>
  <c r="Q4573" i="1"/>
  <c r="Q4662" i="1"/>
  <c r="Q4760" i="1"/>
  <c r="Q5012" i="1"/>
  <c r="Q3152" i="1"/>
  <c r="Q4047" i="1"/>
  <c r="Q3044" i="1"/>
  <c r="Q3543" i="1"/>
  <c r="Q3539" i="1"/>
  <c r="Q4707" i="1"/>
  <c r="Q4878" i="1"/>
  <c r="Q5096" i="1"/>
  <c r="Q5417" i="1"/>
  <c r="Q5465" i="1"/>
  <c r="Q5537" i="1"/>
  <c r="Q5688" i="1"/>
  <c r="Q5769" i="1"/>
  <c r="Q5995" i="1"/>
  <c r="Q5451" i="1"/>
  <c r="Q5531" i="1"/>
  <c r="Q5594" i="1"/>
  <c r="Q5723" i="1"/>
  <c r="Q5786" i="1"/>
  <c r="Q5933" i="1"/>
  <c r="Q3240" i="1"/>
  <c r="Q3649" i="1"/>
  <c r="Q4301" i="1"/>
  <c r="Q5173" i="1"/>
  <c r="Q5289" i="1"/>
  <c r="Q6266" i="1"/>
  <c r="Q3359" i="1"/>
  <c r="Q3922" i="1"/>
  <c r="Q3261" i="1"/>
  <c r="Q3527" i="1"/>
  <c r="Q4350" i="1"/>
  <c r="Q4411" i="1"/>
  <c r="Q4586" i="1"/>
  <c r="Q4685" i="1"/>
  <c r="Q4789" i="1"/>
  <c r="Q4910" i="1"/>
  <c r="Q4063" i="1"/>
  <c r="Q3047" i="1"/>
  <c r="Q3597" i="1"/>
  <c r="Q4560" i="1"/>
  <c r="Q4752" i="1"/>
  <c r="Q4920" i="1"/>
  <c r="Q5425" i="1"/>
  <c r="Q5545" i="1"/>
  <c r="Q5777" i="1"/>
  <c r="Q5897" i="1"/>
  <c r="Q6004" i="1"/>
  <c r="Q6133" i="1"/>
  <c r="Q6209" i="1"/>
  <c r="Q5603" i="1"/>
  <c r="Q5953" i="1"/>
  <c r="Q3223" i="1"/>
  <c r="Q3639" i="1"/>
  <c r="Q3212" i="1"/>
  <c r="Q3708" i="1"/>
  <c r="Q3255" i="1"/>
  <c r="Q3719" i="1"/>
  <c r="Q4227" i="1"/>
  <c r="Q4320" i="1"/>
  <c r="Q4583" i="1"/>
  <c r="Q4783" i="1"/>
  <c r="Q4988" i="1"/>
  <c r="Q5361" i="1"/>
  <c r="Q5481" i="1"/>
  <c r="Q5552" i="1"/>
  <c r="Q6024" i="1"/>
  <c r="Q6145" i="1"/>
  <c r="Q4963" i="1"/>
  <c r="Q5467" i="1"/>
  <c r="Q5673" i="1"/>
  <c r="Q5739" i="1"/>
  <c r="Q5880" i="1"/>
  <c r="Q6011" i="1"/>
  <c r="Q6113" i="1"/>
  <c r="Q5058" i="1"/>
  <c r="Q3051" i="1"/>
  <c r="Q3099" i="1"/>
  <c r="Q3726" i="1"/>
  <c r="Q3323" i="1"/>
  <c r="Q5229" i="1"/>
  <c r="Q5437" i="1"/>
  <c r="Q5549" i="1"/>
  <c r="Q3674" i="1"/>
  <c r="Q3625" i="1"/>
  <c r="Q4294" i="1"/>
  <c r="Q4366" i="1"/>
  <c r="Q4430" i="1"/>
  <c r="Q4523" i="1"/>
  <c r="Q4614" i="1"/>
  <c r="Q4726" i="1"/>
  <c r="Q3907" i="1"/>
  <c r="Q3714" i="1"/>
  <c r="Q4400" i="1"/>
  <c r="Q4606" i="1"/>
  <c r="Q5000" i="1"/>
  <c r="Q5433" i="1"/>
  <c r="Q5561" i="1"/>
  <c r="Q5908" i="1"/>
  <c r="Q6032" i="1"/>
  <c r="Q4528" i="1"/>
  <c r="Q5745" i="1"/>
  <c r="Q5890" i="1"/>
  <c r="Q6041" i="1"/>
  <c r="Q6122" i="1"/>
  <c r="Q3279" i="1"/>
  <c r="Q4135" i="1"/>
  <c r="Q3107" i="1"/>
  <c r="Q3227" i="1"/>
  <c r="Q3608" i="1"/>
  <c r="Q5316" i="1"/>
  <c r="Q5381" i="1"/>
  <c r="Q5444" i="1"/>
  <c r="Q3740" i="1"/>
  <c r="Q3989" i="1"/>
  <c r="Q4040" i="1"/>
  <c r="Q3550" i="1"/>
  <c r="Q4373" i="1"/>
  <c r="Q4446" i="1"/>
  <c r="Q4742" i="1"/>
  <c r="Q4929" i="1"/>
  <c r="Q4128" i="1"/>
  <c r="Q4021" i="1"/>
  <c r="Q3267" i="1"/>
  <c r="Q4336" i="1"/>
  <c r="Q4438" i="1"/>
  <c r="Q4616" i="1"/>
  <c r="Q5505" i="1"/>
  <c r="Q5728" i="1"/>
  <c r="Q5941" i="1"/>
  <c r="Q6056" i="1"/>
  <c r="Q5101" i="1"/>
  <c r="Q5483" i="1"/>
  <c r="Q5691" i="1"/>
  <c r="Q5899" i="1"/>
  <c r="Q6130" i="1"/>
  <c r="Q5964" i="1"/>
  <c r="Q6304" i="1"/>
  <c r="Q4748" i="1"/>
  <c r="Q4812" i="1"/>
  <c r="Q4942" i="1"/>
  <c r="Q3872" i="1"/>
  <c r="Q3995" i="1"/>
  <c r="Q4060" i="1"/>
  <c r="Q3075" i="1"/>
  <c r="Q3567" i="1"/>
  <c r="Q3456" i="1"/>
  <c r="Q4272" i="1"/>
  <c r="Q4343" i="1"/>
  <c r="Q4486" i="1"/>
  <c r="Q4839" i="1"/>
  <c r="Q5312" i="1"/>
  <c r="Q5393" i="1"/>
  <c r="Q5513" i="1"/>
  <c r="Q5736" i="1"/>
  <c r="Q5811" i="1"/>
  <c r="Q5961" i="1"/>
  <c r="Q6073" i="1"/>
  <c r="Q6169" i="1"/>
  <c r="Q5490" i="1"/>
  <c r="Q5570" i="1"/>
  <c r="Q5635" i="1"/>
  <c r="Q6063" i="1"/>
  <c r="Q6156" i="1"/>
  <c r="Q4161" i="1"/>
  <c r="Q4253" i="1"/>
  <c r="Q4478" i="1"/>
  <c r="Q4558" i="1"/>
  <c r="Q4754" i="1"/>
  <c r="Q4853" i="1"/>
  <c r="Q4996" i="1"/>
  <c r="Q5093" i="1"/>
  <c r="Q3165" i="1"/>
  <c r="Q2982" i="1"/>
  <c r="Q3589" i="1"/>
  <c r="Q3490" i="1"/>
  <c r="Q4352" i="1"/>
  <c r="Q4669" i="1"/>
  <c r="Q5400" i="1"/>
  <c r="Q5521" i="1"/>
  <c r="Q5753" i="1"/>
  <c r="Q5853" i="1"/>
  <c r="Q5974" i="1"/>
  <c r="Q5579" i="1"/>
  <c r="Q5643" i="1"/>
  <c r="Q5842" i="1"/>
  <c r="Q5921" i="1"/>
  <c r="Q6163" i="1"/>
  <c r="Q5970" i="1"/>
  <c r="Q6172" i="1"/>
  <c r="Q3287" i="1"/>
  <c r="Q4092" i="1"/>
  <c r="AS38" i="7"/>
  <c r="AS24" i="7"/>
  <c r="AS25" i="7"/>
  <c r="AR37" i="7"/>
  <c r="AS34" i="7"/>
  <c r="AU11" i="7"/>
  <c r="AT12" i="7"/>
  <c r="AR20" i="7"/>
  <c r="AR21" i="7"/>
  <c r="AS33" i="7"/>
  <c r="AS16" i="7"/>
  <c r="AS17" i="7" s="1"/>
  <c r="AT6" i="7"/>
  <c r="AU5" i="7"/>
  <c r="AT40" i="7"/>
  <c r="AT7" i="7"/>
  <c r="AT8" i="7"/>
  <c r="AT9" i="7" s="1"/>
  <c r="AS32" i="7"/>
  <c r="AS19" i="7"/>
  <c r="AS13" i="7"/>
  <c r="AS14" i="7"/>
  <c r="BC3" i="7"/>
  <c r="BB4" i="7"/>
  <c r="AS41" i="7"/>
  <c r="AS42" i="7" s="1"/>
  <c r="AS30" i="7"/>
  <c r="AS35" i="7"/>
  <c r="AV27" i="7"/>
  <c r="AU28" i="7"/>
  <c r="AU29" i="7" s="1"/>
  <c r="AR36" i="7"/>
  <c r="R5410" i="1"/>
  <c r="R5409" i="1" s="1"/>
  <c r="S5410" i="1"/>
  <c r="T5410" i="1" s="1"/>
  <c r="O5413" i="1"/>
  <c r="R5405" i="1"/>
  <c r="S5405" i="1"/>
  <c r="T5405" i="1" s="1"/>
  <c r="R5403" i="1"/>
  <c r="S5403" i="1"/>
  <c r="T5403" i="1" s="1"/>
  <c r="S5411" i="1"/>
  <c r="T5411" i="1" s="1"/>
  <c r="R5411" i="1"/>
  <c r="O5407" i="1"/>
  <c r="S5404" i="1"/>
  <c r="T5404" i="1" s="1"/>
  <c r="R5404" i="1"/>
  <c r="O5402" i="1"/>
  <c r="R6184" i="1"/>
  <c r="R6183" i="1" s="1"/>
  <c r="R6182" i="1" s="1"/>
  <c r="R2936" i="1"/>
  <c r="R2945" i="1"/>
  <c r="S2945" i="1"/>
  <c r="T2945" i="1" s="1"/>
  <c r="R2944" i="1"/>
  <c r="O2937" i="1"/>
  <c r="S4269" i="1"/>
  <c r="T4269" i="1" s="1"/>
  <c r="R4269" i="1"/>
  <c r="R4268" i="1" s="1"/>
  <c r="R4267" i="1" s="1"/>
  <c r="R4273" i="1"/>
  <c r="R4272" i="1" s="1"/>
  <c r="S4273" i="1"/>
  <c r="T4273" i="1" s="1"/>
  <c r="S4271" i="1"/>
  <c r="T4271" i="1" s="1"/>
  <c r="R4271" i="1"/>
  <c r="R4270" i="1" s="1"/>
  <c r="R4274" i="1"/>
  <c r="S4274" i="1"/>
  <c r="T4274" i="1" s="1"/>
  <c r="R5105" i="1"/>
  <c r="R5104" i="1" s="1"/>
  <c r="R5103" i="1" s="1"/>
  <c r="R5102" i="1" s="1"/>
  <c r="R5101" i="1" s="1"/>
  <c r="R5073" i="1"/>
  <c r="R5072" i="1" s="1"/>
  <c r="R5071" i="1" s="1"/>
  <c r="R5070" i="1" s="1"/>
  <c r="R5069" i="1" s="1"/>
  <c r="R3930" i="1"/>
  <c r="R3929" i="1" s="1"/>
  <c r="R5926" i="1"/>
  <c r="R5925" i="1" s="1"/>
  <c r="R3790" i="1"/>
  <c r="R3789" i="1" s="1"/>
  <c r="R3788" i="1" s="1"/>
  <c r="R5557" i="1"/>
  <c r="R3079" i="1"/>
  <c r="O6185" i="1"/>
  <c r="O6186" i="1" s="1"/>
  <c r="S6186" i="1" s="1"/>
  <c r="O5170" i="1"/>
  <c r="R5170" i="1" s="1"/>
  <c r="O1480" i="1"/>
  <c r="R1479" i="1"/>
  <c r="S1479" i="1"/>
  <c r="T1479" i="1" s="1"/>
  <c r="S1626" i="1"/>
  <c r="T1626" i="1" s="1"/>
  <c r="O1627" i="1"/>
  <c r="R1626" i="1"/>
  <c r="R1655" i="1"/>
  <c r="O1656" i="1"/>
  <c r="S1655" i="1"/>
  <c r="T1655" i="1" s="1"/>
  <c r="O5074" i="1"/>
  <c r="R5074" i="1" s="1"/>
  <c r="R3178" i="1"/>
  <c r="R4843" i="1"/>
  <c r="R4842" i="1" s="1"/>
  <c r="R5792" i="1"/>
  <c r="R5791" i="1" s="1"/>
  <c r="R5790" i="1" s="1"/>
  <c r="R5968" i="1"/>
  <c r="R5967" i="1" s="1"/>
  <c r="R5099" i="1"/>
  <c r="R5098" i="1" s="1"/>
  <c r="R3612" i="1"/>
  <c r="R3611" i="1" s="1"/>
  <c r="R3610" i="1" s="1"/>
  <c r="R4872" i="1"/>
  <c r="R4871" i="1" s="1"/>
  <c r="R4870" i="1" s="1"/>
  <c r="R4840" i="1"/>
  <c r="R4839" i="1" s="1"/>
  <c r="O5106" i="1"/>
  <c r="R5106" i="1" s="1"/>
  <c r="O3931" i="1"/>
  <c r="S3931" i="1" s="1"/>
  <c r="S3930" i="1" s="1"/>
  <c r="S3929" i="1" s="1"/>
  <c r="R5716" i="1"/>
  <c r="R5715" i="1" s="1"/>
  <c r="R5714" i="1" s="1"/>
  <c r="R3579" i="1"/>
  <c r="R3578" i="1" s="1"/>
  <c r="R3577" i="1" s="1"/>
  <c r="R5588" i="1"/>
  <c r="S5621" i="1"/>
  <c r="T5621" i="1" s="1"/>
  <c r="R3152" i="1"/>
  <c r="R5085" i="1"/>
  <c r="R5084" i="1" s="1"/>
  <c r="R3069" i="1"/>
  <c r="R3116" i="1"/>
  <c r="R6074" i="1"/>
  <c r="R6073" i="1" s="1"/>
  <c r="R5063" i="1"/>
  <c r="R5062" i="1" s="1"/>
  <c r="R5333" i="1"/>
  <c r="R3983" i="1"/>
  <c r="R3982" i="1" s="1"/>
  <c r="R3981" i="1" s="1"/>
  <c r="R3980" i="1" s="1"/>
  <c r="R3979" i="1" s="1"/>
  <c r="R3599" i="1"/>
  <c r="R3743" i="1"/>
  <c r="R4381" i="1"/>
  <c r="R4380" i="1" s="1"/>
  <c r="R4379" i="1" s="1"/>
  <c r="O3153" i="1"/>
  <c r="R3153" i="1" s="1"/>
  <c r="R5684" i="1"/>
  <c r="R5659" i="1"/>
  <c r="R5859" i="1"/>
  <c r="R5467" i="1"/>
  <c r="R6039" i="1"/>
  <c r="R3162" i="1"/>
  <c r="S5960" i="1"/>
  <c r="T5960" i="1" s="1"/>
  <c r="R4875" i="1"/>
  <c r="R4740" i="1"/>
  <c r="S3064" i="1"/>
  <c r="T3064" i="1" s="1"/>
  <c r="R2982" i="1"/>
  <c r="R4495" i="1"/>
  <c r="S3693" i="1"/>
  <c r="R5041" i="1"/>
  <c r="R3555" i="1"/>
  <c r="R3554" i="1" s="1"/>
  <c r="R3553" i="1" s="1"/>
  <c r="O3556" i="1"/>
  <c r="R3556" i="1" s="1"/>
  <c r="R5978" i="1"/>
  <c r="R5977" i="1" s="1"/>
  <c r="R5976" i="1" s="1"/>
  <c r="R5975" i="1" s="1"/>
  <c r="R5974" i="1" s="1"/>
  <c r="R4650" i="1"/>
  <c r="R4649" i="1" s="1"/>
  <c r="R4648" i="1" s="1"/>
  <c r="R5730" i="1"/>
  <c r="R5729" i="1" s="1"/>
  <c r="R5728" i="1" s="1"/>
  <c r="R5922" i="1"/>
  <c r="R5921" i="1" s="1"/>
  <c r="R4699" i="1"/>
  <c r="R3131" i="1"/>
  <c r="R5465" i="1"/>
  <c r="R4642" i="1"/>
  <c r="R4641" i="1" s="1"/>
  <c r="R4640" i="1" s="1"/>
  <c r="R4639" i="1" s="1"/>
  <c r="R4849" i="1"/>
  <c r="R4848" i="1" s="1"/>
  <c r="R4847" i="1" s="1"/>
  <c r="S5700" i="1"/>
  <c r="T5700" i="1" s="1"/>
  <c r="R3366" i="1"/>
  <c r="R3365" i="1" s="1"/>
  <c r="R3364" i="1" s="1"/>
  <c r="R5865" i="1"/>
  <c r="R5864" i="1" s="1"/>
  <c r="R5863" i="1" s="1"/>
  <c r="R5862" i="1" s="1"/>
  <c r="R5861" i="1" s="1"/>
  <c r="R4155" i="1"/>
  <c r="R4327" i="1"/>
  <c r="R4807" i="1"/>
  <c r="R3038" i="1"/>
  <c r="R5032" i="1"/>
  <c r="S6160" i="1"/>
  <c r="T6160" i="1" s="1"/>
  <c r="R3293" i="1"/>
  <c r="R3292" i="1" s="1"/>
  <c r="R3291" i="1" s="1"/>
  <c r="R6176" i="1"/>
  <c r="R6175" i="1" s="1"/>
  <c r="R4458" i="1"/>
  <c r="R4457" i="1" s="1"/>
  <c r="R4594" i="1"/>
  <c r="R4593" i="1" s="1"/>
  <c r="R4592" i="1" s="1"/>
  <c r="R3040" i="1"/>
  <c r="R4307" i="1"/>
  <c r="R4443" i="1"/>
  <c r="S6208" i="1"/>
  <c r="T6208" i="1" s="1"/>
  <c r="R5400" i="1"/>
  <c r="R3301" i="1"/>
  <c r="O2983" i="1"/>
  <c r="O2984" i="1" s="1"/>
  <c r="S2984" i="1" s="1"/>
  <c r="S2983" i="1" s="1"/>
  <c r="S2982" i="1" s="1"/>
  <c r="R3141" i="1"/>
  <c r="R5760" i="1"/>
  <c r="R6241" i="1"/>
  <c r="R5348" i="1"/>
  <c r="R5419" i="1"/>
  <c r="R5611" i="1"/>
  <c r="R5233" i="1"/>
  <c r="R5232" i="1" s="1"/>
  <c r="R5231" i="1" s="1"/>
  <c r="R5230" i="1" s="1"/>
  <c r="R5229" i="1" s="1"/>
  <c r="R3456" i="1"/>
  <c r="S6265" i="1"/>
  <c r="S6264" i="1" s="1"/>
  <c r="O3039" i="1"/>
  <c r="R3039" i="1" s="1"/>
  <c r="R3073" i="1"/>
  <c r="R4730" i="1"/>
  <c r="R4729" i="1" s="1"/>
  <c r="R4728" i="1" s="1"/>
  <c r="R5937" i="1"/>
  <c r="R5936" i="1" s="1"/>
  <c r="R5935" i="1" s="1"/>
  <c r="R5934" i="1" s="1"/>
  <c r="R5933" i="1" s="1"/>
  <c r="R3525" i="1"/>
  <c r="S5620" i="1"/>
  <c r="T5620" i="1" s="1"/>
  <c r="R5121" i="1"/>
  <c r="R5120" i="1" s="1"/>
  <c r="R5119" i="1" s="1"/>
  <c r="R5118" i="1" s="1"/>
  <c r="R5117" i="1" s="1"/>
  <c r="R3157" i="1"/>
  <c r="R3130" i="1"/>
  <c r="R3636" i="1"/>
  <c r="R3635" i="1" s="1"/>
  <c r="R3634" i="1" s="1"/>
  <c r="S5589" i="1"/>
  <c r="T5589" i="1" s="1"/>
  <c r="R4219" i="1"/>
  <c r="R5552" i="1"/>
  <c r="R3666" i="1"/>
  <c r="R3665" i="1" s="1"/>
  <c r="O6040" i="1"/>
  <c r="R6040" i="1" s="1"/>
  <c r="R4424" i="1"/>
  <c r="R4811" i="1"/>
  <c r="R4803" i="1"/>
  <c r="R4899" i="1"/>
  <c r="R5349" i="1"/>
  <c r="R5428" i="1"/>
  <c r="R5732" i="1"/>
  <c r="R4207" i="1"/>
  <c r="R3075" i="1"/>
  <c r="S3440" i="1"/>
  <c r="T3440" i="1" s="1"/>
  <c r="R3267" i="1"/>
  <c r="R4391" i="1"/>
  <c r="R4583" i="1"/>
  <c r="S5710" i="1"/>
  <c r="T5710" i="1" s="1"/>
  <c r="R3478" i="1"/>
  <c r="R3622" i="1"/>
  <c r="R3621" i="1" s="1"/>
  <c r="R3845" i="1"/>
  <c r="R3719" i="1"/>
  <c r="R3015" i="1"/>
  <c r="R3014" i="1" s="1"/>
  <c r="R5954" i="1"/>
  <c r="R5953" i="1" s="1"/>
  <c r="R3865" i="1"/>
  <c r="R4396" i="1"/>
  <c r="R6167" i="1"/>
  <c r="R4481" i="1"/>
  <c r="R3940" i="1"/>
  <c r="R3939" i="1" s="1"/>
  <c r="O5466" i="1"/>
  <c r="R5466" i="1" s="1"/>
  <c r="O5468" i="1"/>
  <c r="S5468" i="1" s="1"/>
  <c r="S5467" i="1" s="1"/>
  <c r="R5483" i="1"/>
  <c r="S5668" i="1"/>
  <c r="T5668" i="1" s="1"/>
  <c r="R3109" i="1"/>
  <c r="R3696" i="1"/>
  <c r="R3695" i="1" s="1"/>
  <c r="R3694" i="1" s="1"/>
  <c r="R4888" i="1"/>
  <c r="R4887" i="1" s="1"/>
  <c r="R4031" i="1"/>
  <c r="R4030" i="1" s="1"/>
  <c r="R4029" i="1" s="1"/>
  <c r="R4028" i="1" s="1"/>
  <c r="R4027" i="1" s="1"/>
  <c r="R3565" i="1"/>
  <c r="R3564" i="1" s="1"/>
  <c r="R3563" i="1" s="1"/>
  <c r="S6200" i="1"/>
  <c r="T6200" i="1" s="1"/>
  <c r="R3887" i="1"/>
  <c r="R3077" i="1"/>
  <c r="R3853" i="1"/>
  <c r="R3852" i="1" s="1"/>
  <c r="R3851" i="1" s="1"/>
  <c r="R3850" i="1" s="1"/>
  <c r="R3849" i="1" s="1"/>
  <c r="O3854" i="1"/>
  <c r="R3854" i="1" s="1"/>
  <c r="R5227" i="1"/>
  <c r="R5226" i="1" s="1"/>
  <c r="O5228" i="1"/>
  <c r="S5228" i="1" s="1"/>
  <c r="S5227" i="1" s="1"/>
  <c r="S5226" i="1" s="1"/>
  <c r="R3452" i="1"/>
  <c r="R3451" i="1" s="1"/>
  <c r="O3453" i="1"/>
  <c r="R3453" i="1" s="1"/>
  <c r="S5601" i="1"/>
  <c r="T5601" i="1" s="1"/>
  <c r="R5043" i="1"/>
  <c r="S3121" i="1"/>
  <c r="S3120" i="1" s="1"/>
  <c r="T3120" i="1" s="1"/>
  <c r="R4044" i="1"/>
  <c r="R3649" i="1"/>
  <c r="O5100" i="1"/>
  <c r="R5100" i="1" s="1"/>
  <c r="R5340" i="1"/>
  <c r="R5443" i="1"/>
  <c r="R5603" i="1"/>
  <c r="R6192" i="1"/>
  <c r="R3779" i="1"/>
  <c r="R5431" i="1"/>
  <c r="R5712" i="1"/>
  <c r="R4866" i="1"/>
  <c r="R4865" i="1" s="1"/>
  <c r="R4864" i="1" s="1"/>
  <c r="R4906" i="1"/>
  <c r="R4905" i="1" s="1"/>
  <c r="R4904" i="1" s="1"/>
  <c r="R4903" i="1" s="1"/>
  <c r="O5122" i="1"/>
  <c r="R5122" i="1" s="1"/>
  <c r="R6169" i="1"/>
  <c r="R6273" i="1"/>
  <c r="O3941" i="1"/>
  <c r="R3941" i="1" s="1"/>
  <c r="R3061" i="1"/>
  <c r="R4771" i="1"/>
  <c r="R3143" i="1"/>
  <c r="O3602" i="1"/>
  <c r="O3603" i="1" s="1"/>
  <c r="S4372" i="1"/>
  <c r="T4372" i="1" s="1"/>
  <c r="O4444" i="1"/>
  <c r="R4444" i="1" s="1"/>
  <c r="R4924" i="1"/>
  <c r="R5569" i="1"/>
  <c r="R4435" i="1"/>
  <c r="R3647" i="1"/>
  <c r="R4442" i="1"/>
  <c r="O6177" i="1"/>
  <c r="S6177" i="1" s="1"/>
  <c r="S6176" i="1" s="1"/>
  <c r="S6175" i="1" s="1"/>
  <c r="R3740" i="1"/>
  <c r="R5476" i="1"/>
  <c r="R4061" i="1"/>
  <c r="R4060" i="1" s="1"/>
  <c r="R4719" i="1"/>
  <c r="R5175" i="1"/>
  <c r="S3774" i="1"/>
  <c r="S3773" i="1" s="1"/>
  <c r="R5537" i="1"/>
  <c r="R3759" i="1"/>
  <c r="R4994" i="1"/>
  <c r="R5066" i="1"/>
  <c r="R5585" i="1"/>
  <c r="R5617" i="1"/>
  <c r="S2976" i="1"/>
  <c r="T2976" i="1" s="1"/>
  <c r="R4723" i="1"/>
  <c r="R5474" i="1"/>
  <c r="R3932" i="1"/>
  <c r="R4340" i="1"/>
  <c r="R4420" i="1"/>
  <c r="O4844" i="1"/>
  <c r="R4844" i="1" s="1"/>
  <c r="R5356" i="1"/>
  <c r="S5459" i="1"/>
  <c r="T5459" i="1" s="1"/>
  <c r="R5531" i="1"/>
  <c r="R5579" i="1"/>
  <c r="R4161" i="1"/>
  <c r="R5093" i="1"/>
  <c r="R3325" i="1"/>
  <c r="O4162" i="1"/>
  <c r="R4162" i="1" s="1"/>
  <c r="S5774" i="1"/>
  <c r="T5774" i="1" s="1"/>
  <c r="S6112" i="1"/>
  <c r="T6112" i="1" s="1"/>
  <c r="R4657" i="1"/>
  <c r="R5313" i="1"/>
  <c r="R5312" i="1" s="1"/>
  <c r="O5860" i="1"/>
  <c r="S5860" i="1" s="1"/>
  <c r="S5859" i="1" s="1"/>
  <c r="O3744" i="1"/>
  <c r="S3744" i="1" s="1"/>
  <c r="S3743" i="1" s="1"/>
  <c r="R3206" i="1"/>
  <c r="R3537" i="1"/>
  <c r="R3536" i="1" s="1"/>
  <c r="R3535" i="1" s="1"/>
  <c r="R4354" i="1"/>
  <c r="R4530" i="1"/>
  <c r="R4529" i="1" s="1"/>
  <c r="R4528" i="1" s="1"/>
  <c r="O4850" i="1"/>
  <c r="S4850" i="1" s="1"/>
  <c r="S4849" i="1" s="1"/>
  <c r="S4848" i="1" s="1"/>
  <c r="S4847" i="1" s="1"/>
  <c r="R6288" i="1"/>
  <c r="R3698" i="1"/>
  <c r="R4827" i="1"/>
  <c r="R5578" i="1"/>
  <c r="R5610" i="1"/>
  <c r="R5912" i="1"/>
  <c r="R5911" i="1" s="1"/>
  <c r="R5910" i="1" s="1"/>
  <c r="R5909" i="1" s="1"/>
  <c r="R5908" i="1" s="1"/>
  <c r="O3076" i="1"/>
  <c r="R3076" i="1" s="1"/>
  <c r="R3179" i="1"/>
  <c r="S5364" i="1"/>
  <c r="T5364" i="1" s="1"/>
  <c r="R5507" i="1"/>
  <c r="S5539" i="1"/>
  <c r="T5539" i="1" s="1"/>
  <c r="R5627" i="1"/>
  <c r="R5780" i="1"/>
  <c r="R5556" i="1"/>
  <c r="R5110" i="1"/>
  <c r="R4473" i="1"/>
  <c r="R4472" i="1" s="1"/>
  <c r="R4471" i="1" s="1"/>
  <c r="R4567" i="1"/>
  <c r="O5432" i="1"/>
  <c r="S5432" i="1" s="1"/>
  <c r="S5431" i="1" s="1"/>
  <c r="T5431" i="1" s="1"/>
  <c r="R3736" i="1"/>
  <c r="S2975" i="1"/>
  <c r="T2975" i="1" s="1"/>
  <c r="R3655" i="1"/>
  <c r="R3654" i="1" s="1"/>
  <c r="R3653" i="1" s="1"/>
  <c r="R4602" i="1"/>
  <c r="R4601" i="1" s="1"/>
  <c r="O3062" i="1"/>
  <c r="O3063" i="1" s="1"/>
  <c r="S3063" i="1" s="1"/>
  <c r="R4814" i="1"/>
  <c r="R4813" i="1" s="1"/>
  <c r="R4812" i="1" s="1"/>
  <c r="R3223" i="1"/>
  <c r="O4286" i="1"/>
  <c r="S4286" i="1" s="1"/>
  <c r="S4285" i="1" s="1"/>
  <c r="S4284" i="1" s="1"/>
  <c r="R3165" i="1"/>
  <c r="R3539" i="1"/>
  <c r="R3869" i="1"/>
  <c r="O4808" i="1"/>
  <c r="R4808" i="1" s="1"/>
  <c r="O4720" i="1"/>
  <c r="R4720" i="1" s="1"/>
  <c r="S3677" i="1"/>
  <c r="T3677" i="1" s="1"/>
  <c r="R6071" i="1"/>
  <c r="R4304" i="1"/>
  <c r="O4889" i="1"/>
  <c r="R4889" i="1" s="1"/>
  <c r="R3785" i="1"/>
  <c r="R3784" i="1" s="1"/>
  <c r="R3783" i="1" s="1"/>
  <c r="R3782" i="1" s="1"/>
  <c r="R3781" i="1" s="1"/>
  <c r="O3786" i="1"/>
  <c r="S6107" i="1"/>
  <c r="S6106" i="1" s="1"/>
  <c r="R6107" i="1"/>
  <c r="R5629" i="1"/>
  <c r="R5628" i="1" s="1"/>
  <c r="S5629" i="1"/>
  <c r="S5628" i="1" s="1"/>
  <c r="R3835" i="1"/>
  <c r="R3834" i="1" s="1"/>
  <c r="R3833" i="1" s="1"/>
  <c r="R3832" i="1" s="1"/>
  <c r="R3831" i="1" s="1"/>
  <c r="O3836" i="1"/>
  <c r="R3920" i="1"/>
  <c r="R3919" i="1" s="1"/>
  <c r="R3918" i="1" s="1"/>
  <c r="R3917" i="1" s="1"/>
  <c r="R3916" i="1" s="1"/>
  <c r="O3921" i="1"/>
  <c r="R3974" i="1"/>
  <c r="R3973" i="1" s="1"/>
  <c r="R3972" i="1" s="1"/>
  <c r="R3971" i="1" s="1"/>
  <c r="R3970" i="1" s="1"/>
  <c r="O3975" i="1"/>
  <c r="S6229" i="1"/>
  <c r="S6228" i="1" s="1"/>
  <c r="R6229" i="1"/>
  <c r="O6230" i="1"/>
  <c r="S4579" i="1"/>
  <c r="R4579" i="1"/>
  <c r="O4580" i="1"/>
  <c r="R4788" i="1"/>
  <c r="R4787" i="1" s="1"/>
  <c r="R4786" i="1" s="1"/>
  <c r="S4788" i="1"/>
  <c r="S4787" i="1" s="1"/>
  <c r="S4786" i="1" s="1"/>
  <c r="R5011" i="1"/>
  <c r="R5010" i="1" s="1"/>
  <c r="S5011" i="1"/>
  <c r="S5010" i="1" s="1"/>
  <c r="R5115" i="1"/>
  <c r="R5114" i="1" s="1"/>
  <c r="R5113" i="1" s="1"/>
  <c r="O5116" i="1"/>
  <c r="R4077" i="1"/>
  <c r="R4076" i="1" s="1"/>
  <c r="R4075" i="1" s="1"/>
  <c r="R4074" i="1" s="1"/>
  <c r="R4073" i="1" s="1"/>
  <c r="O4078" i="1"/>
  <c r="R3952" i="1"/>
  <c r="R3951" i="1" s="1"/>
  <c r="O3953" i="1"/>
  <c r="R2965" i="1"/>
  <c r="R2964" i="1" s="1"/>
  <c r="R2963" i="1" s="1"/>
  <c r="S2965" i="1"/>
  <c r="S2964" i="1" s="1"/>
  <c r="S2963" i="1" s="1"/>
  <c r="R3041" i="1"/>
  <c r="S3041" i="1"/>
  <c r="S3040" i="1" s="1"/>
  <c r="R4232" i="1"/>
  <c r="R4231" i="1" s="1"/>
  <c r="R4230" i="1" s="1"/>
  <c r="R4229" i="1" s="1"/>
  <c r="S4232" i="1"/>
  <c r="S4231" i="1" s="1"/>
  <c r="S4230" i="1" s="1"/>
  <c r="S4229" i="1" s="1"/>
  <c r="O4233" i="1"/>
  <c r="S4556" i="1"/>
  <c r="S4555" i="1" s="1"/>
  <c r="R4556" i="1"/>
  <c r="O4557" i="1"/>
  <c r="R4668" i="1"/>
  <c r="R4667" i="1" s="1"/>
  <c r="S4668" i="1"/>
  <c r="S4667" i="1" s="1"/>
  <c r="O4709" i="1"/>
  <c r="S3609" i="1"/>
  <c r="S3608" i="1" s="1"/>
  <c r="T3608" i="1" s="1"/>
  <c r="R3609" i="1"/>
  <c r="R4645" i="1"/>
  <c r="R4644" i="1" s="1"/>
  <c r="S4645" i="1"/>
  <c r="S4644" i="1" s="1"/>
  <c r="R5376" i="1"/>
  <c r="R5375" i="1" s="1"/>
  <c r="R5374" i="1" s="1"/>
  <c r="S5376" i="1"/>
  <c r="S5375" i="1" s="1"/>
  <c r="S5374" i="1" s="1"/>
  <c r="R6028" i="1"/>
  <c r="R6027" i="1" s="1"/>
  <c r="O6029" i="1"/>
  <c r="R5815" i="1"/>
  <c r="R5814" i="1" s="1"/>
  <c r="R5813" i="1" s="1"/>
  <c r="R5812" i="1" s="1"/>
  <c r="R5811" i="1" s="1"/>
  <c r="O5816" i="1"/>
  <c r="R5273" i="1"/>
  <c r="R5272" i="1" s="1"/>
  <c r="R5271" i="1" s="1"/>
  <c r="R5270" i="1" s="1"/>
  <c r="R5269" i="1" s="1"/>
  <c r="O5274" i="1"/>
  <c r="R4488" i="1"/>
  <c r="R4487" i="1" s="1"/>
  <c r="R4486" i="1" s="1"/>
  <c r="O4489" i="1"/>
  <c r="R5945" i="1"/>
  <c r="R5944" i="1" s="1"/>
  <c r="R5943" i="1" s="1"/>
  <c r="R5942" i="1" s="1"/>
  <c r="R5941" i="1" s="1"/>
  <c r="O5946" i="1"/>
  <c r="R4345" i="1"/>
  <c r="S4345" i="1"/>
  <c r="R4051" i="1"/>
  <c r="R4050" i="1" s="1"/>
  <c r="R4049" i="1" s="1"/>
  <c r="R4048" i="1" s="1"/>
  <c r="R4047" i="1" s="1"/>
  <c r="O4052" i="1"/>
  <c r="R4132" i="1"/>
  <c r="R4131" i="1" s="1"/>
  <c r="R4130" i="1" s="1"/>
  <c r="R4129" i="1" s="1"/>
  <c r="R4128" i="1" s="1"/>
  <c r="O4133" i="1"/>
  <c r="R3729" i="1"/>
  <c r="R3728" i="1" s="1"/>
  <c r="R3727" i="1" s="1"/>
  <c r="R3726" i="1" s="1"/>
  <c r="O3730" i="1"/>
  <c r="R3672" i="1"/>
  <c r="R3671" i="1" s="1"/>
  <c r="R3670" i="1" s="1"/>
  <c r="O3673" i="1"/>
  <c r="S4612" i="1"/>
  <c r="S4611" i="1" s="1"/>
  <c r="S4610" i="1" s="1"/>
  <c r="R4612" i="1"/>
  <c r="R4611" i="1" s="1"/>
  <c r="R4610" i="1" s="1"/>
  <c r="O4716" i="1"/>
  <c r="O4756" i="1"/>
  <c r="R4939" i="1"/>
  <c r="R4938" i="1" s="1"/>
  <c r="R4937" i="1" s="1"/>
  <c r="O4940" i="1"/>
  <c r="S5091" i="1"/>
  <c r="S5090" i="1" s="1"/>
  <c r="S5089" i="1" s="1"/>
  <c r="R5091" i="1"/>
  <c r="O5092" i="1"/>
  <c r="R5246" i="1"/>
  <c r="R5245" i="1" s="1"/>
  <c r="R5244" i="1" s="1"/>
  <c r="R5243" i="1" s="1"/>
  <c r="R5242" i="1" s="1"/>
  <c r="O5247" i="1"/>
  <c r="R5675" i="1"/>
  <c r="R5674" i="1" s="1"/>
  <c r="R5673" i="1" s="1"/>
  <c r="O5676" i="1"/>
  <c r="R5770" i="1"/>
  <c r="R5769" i="1" s="1"/>
  <c r="S5770" i="1"/>
  <c r="S5769" i="1" s="1"/>
  <c r="R5962" i="1"/>
  <c r="R5961" i="1" s="1"/>
  <c r="O5963" i="1"/>
  <c r="R3876" i="1"/>
  <c r="R3875" i="1" s="1"/>
  <c r="R3874" i="1" s="1"/>
  <c r="R3873" i="1" s="1"/>
  <c r="R3872" i="1" s="1"/>
  <c r="O3877" i="1"/>
  <c r="R3139" i="1"/>
  <c r="R3138" i="1" s="1"/>
  <c r="R3137" i="1" s="1"/>
  <c r="O3140" i="1"/>
  <c r="R3431" i="1"/>
  <c r="R3430" i="1" s="1"/>
  <c r="R3429" i="1" s="1"/>
  <c r="R3428" i="1" s="1"/>
  <c r="O3432" i="1"/>
  <c r="O4525" i="1"/>
  <c r="R6117" i="1"/>
  <c r="R6116" i="1" s="1"/>
  <c r="R6115" i="1" s="1"/>
  <c r="R6114" i="1" s="1"/>
  <c r="R6113" i="1" s="1"/>
  <c r="O6118" i="1"/>
  <c r="S6147" i="1"/>
  <c r="S6146" i="1" s="1"/>
  <c r="S6145" i="1" s="1"/>
  <c r="R6147" i="1"/>
  <c r="R6146" i="1" s="1"/>
  <c r="R6145" i="1" s="1"/>
  <c r="O5217" i="1"/>
  <c r="R4119" i="1"/>
  <c r="R4118" i="1" s="1"/>
  <c r="R4117" i="1" s="1"/>
  <c r="R4116" i="1" s="1"/>
  <c r="R4115" i="1" s="1"/>
  <c r="O4120" i="1"/>
  <c r="R3254" i="1"/>
  <c r="R3253" i="1" s="1"/>
  <c r="R3252" i="1" s="1"/>
  <c r="R3251" i="1" s="1"/>
  <c r="S3254" i="1"/>
  <c r="S3253" i="1" s="1"/>
  <c r="S3252" i="1" s="1"/>
  <c r="S3251" i="1" s="1"/>
  <c r="R3806" i="1"/>
  <c r="R3805" i="1" s="1"/>
  <c r="R3804" i="1" s="1"/>
  <c r="R3803" i="1" s="1"/>
  <c r="R3802" i="1" s="1"/>
  <c r="O3807" i="1"/>
  <c r="R3844" i="1"/>
  <c r="S3844" i="1"/>
  <c r="S3843" i="1" s="1"/>
  <c r="R3407" i="1"/>
  <c r="R3406" i="1" s="1"/>
  <c r="R3405" i="1" s="1"/>
  <c r="O3408" i="1"/>
  <c r="R3533" i="1"/>
  <c r="R3532" i="1" s="1"/>
  <c r="R3531" i="1" s="1"/>
  <c r="O3534" i="1"/>
  <c r="R5317" i="1"/>
  <c r="O5318" i="1"/>
  <c r="O5319" i="1" s="1"/>
  <c r="R5984" i="1"/>
  <c r="R5983" i="1" s="1"/>
  <c r="R5982" i="1" s="1"/>
  <c r="R5981" i="1" s="1"/>
  <c r="R5980" i="1" s="1"/>
  <c r="O5985" i="1"/>
  <c r="R4101" i="1"/>
  <c r="R4100" i="1" s="1"/>
  <c r="R4099" i="1" s="1"/>
  <c r="R4098" i="1" s="1"/>
  <c r="R4097" i="1" s="1"/>
  <c r="O4102" i="1"/>
  <c r="R3548" i="1"/>
  <c r="R3547" i="1" s="1"/>
  <c r="R3546" i="1" s="1"/>
  <c r="O3549" i="1"/>
  <c r="R3344" i="1"/>
  <c r="R3343" i="1" s="1"/>
  <c r="R3342" i="1" s="1"/>
  <c r="O3345" i="1"/>
  <c r="R4545" i="1"/>
  <c r="R4544" i="1" s="1"/>
  <c r="R4543" i="1" s="1"/>
  <c r="O4546" i="1"/>
  <c r="R4860" i="1"/>
  <c r="R4859" i="1" s="1"/>
  <c r="R4858" i="1" s="1"/>
  <c r="O4861" i="1"/>
  <c r="R3125" i="1"/>
  <c r="R3124" i="1" s="1"/>
  <c r="R3123" i="1" s="1"/>
  <c r="R3122" i="1" s="1"/>
  <c r="O3126" i="1"/>
  <c r="R3800" i="1"/>
  <c r="R3799" i="1" s="1"/>
  <c r="R3798" i="1" s="1"/>
  <c r="R3797" i="1" s="1"/>
  <c r="R3796" i="1" s="1"/>
  <c r="O3801" i="1"/>
  <c r="R3682" i="1"/>
  <c r="R3681" i="1" s="1"/>
  <c r="R3680" i="1" s="1"/>
  <c r="O3683" i="1"/>
  <c r="R4339" i="1"/>
  <c r="S4339" i="1"/>
  <c r="S4338" i="1" s="1"/>
  <c r="T4338" i="1" s="1"/>
  <c r="R4403" i="1"/>
  <c r="S4403" i="1"/>
  <c r="S4402" i="1" s="1"/>
  <c r="R5059" i="1"/>
  <c r="R5058" i="1" s="1"/>
  <c r="O5060" i="1"/>
  <c r="R5211" i="1"/>
  <c r="R5210" i="1" s="1"/>
  <c r="O5212" i="1"/>
  <c r="S5380" i="1"/>
  <c r="S5379" i="1" s="1"/>
  <c r="S5378" i="1" s="1"/>
  <c r="R5380" i="1"/>
  <c r="R5379" i="1" s="1"/>
  <c r="R5378" i="1" s="1"/>
  <c r="S5547" i="1"/>
  <c r="S5546" i="1" s="1"/>
  <c r="S5545" i="1" s="1"/>
  <c r="R5547" i="1"/>
  <c r="R5546" i="1" s="1"/>
  <c r="R5545" i="1" s="1"/>
  <c r="R3828" i="1"/>
  <c r="R3827" i="1" s="1"/>
  <c r="R3826" i="1" s="1"/>
  <c r="R3825" i="1" s="1"/>
  <c r="R3824" i="1" s="1"/>
  <c r="O3829" i="1"/>
  <c r="R3882" i="1"/>
  <c r="S3882" i="1"/>
  <c r="S3881" i="1" s="1"/>
  <c r="T3881" i="1" s="1"/>
  <c r="R4215" i="1"/>
  <c r="S4215" i="1"/>
  <c r="S4214" i="1" s="1"/>
  <c r="R4484" i="1"/>
  <c r="R4483" i="1" s="1"/>
  <c r="O4485" i="1"/>
  <c r="R5159" i="1"/>
  <c r="R5158" i="1" s="1"/>
  <c r="R5157" i="1" s="1"/>
  <c r="R5156" i="1" s="1"/>
  <c r="R5155" i="1" s="1"/>
  <c r="O5160" i="1"/>
  <c r="R5788" i="1"/>
  <c r="R5787" i="1" s="1"/>
  <c r="R5786" i="1" s="1"/>
  <c r="O5789" i="1"/>
  <c r="R5830" i="1"/>
  <c r="R5829" i="1" s="1"/>
  <c r="R5828" i="1" s="1"/>
  <c r="R5827" i="1" s="1"/>
  <c r="R5826" i="1" s="1"/>
  <c r="O5831" i="1"/>
  <c r="R6083" i="1"/>
  <c r="R6082" i="1" s="1"/>
  <c r="R6081" i="1" s="1"/>
  <c r="R6080" i="1" s="1"/>
  <c r="R6079" i="1" s="1"/>
  <c r="O6084" i="1"/>
  <c r="R5049" i="1"/>
  <c r="R5048" i="1" s="1"/>
  <c r="R5047" i="1" s="1"/>
  <c r="R5046" i="1" s="1"/>
  <c r="R5045" i="1" s="1"/>
  <c r="O5050" i="1"/>
  <c r="S3168" i="1"/>
  <c r="S3167" i="1" s="1"/>
  <c r="R3168" i="1"/>
  <c r="O3169" i="1"/>
  <c r="R3999" i="1"/>
  <c r="R3998" i="1" s="1"/>
  <c r="R3997" i="1" s="1"/>
  <c r="R3996" i="1" s="1"/>
  <c r="R3995" i="1" s="1"/>
  <c r="O4000" i="1"/>
  <c r="R3933" i="1"/>
  <c r="S3933" i="1"/>
  <c r="S3932" i="1" s="1"/>
  <c r="S4255" i="1"/>
  <c r="S4254" i="1" s="1"/>
  <c r="S4253" i="1" s="1"/>
  <c r="R4255" i="1"/>
  <c r="R4254" i="1" s="1"/>
  <c r="R4253" i="1" s="1"/>
  <c r="R4992" i="1"/>
  <c r="R4991" i="1" s="1"/>
  <c r="R4990" i="1" s="1"/>
  <c r="R4989" i="1" s="1"/>
  <c r="R4988" i="1" s="1"/>
  <c r="O4993" i="1"/>
  <c r="R5261" i="1"/>
  <c r="R5260" i="1" s="1"/>
  <c r="O5262" i="1"/>
  <c r="R5645" i="1"/>
  <c r="R5644" i="1" s="1"/>
  <c r="R5643" i="1" s="1"/>
  <c r="O5646" i="1"/>
  <c r="R5999" i="1"/>
  <c r="R5998" i="1" s="1"/>
  <c r="R5997" i="1" s="1"/>
  <c r="R5996" i="1" s="1"/>
  <c r="R5995" i="1" s="1"/>
  <c r="O6000" i="1"/>
  <c r="R3521" i="1"/>
  <c r="R3520" i="1" s="1"/>
  <c r="R3519" i="1" s="1"/>
  <c r="R3518" i="1" s="1"/>
  <c r="O3522" i="1"/>
  <c r="R3516" i="1"/>
  <c r="R3515" i="1" s="1"/>
  <c r="R3514" i="1" s="1"/>
  <c r="R3513" i="1" s="1"/>
  <c r="O3517" i="1"/>
  <c r="S4816" i="1"/>
  <c r="R4816" i="1"/>
  <c r="R4539" i="1"/>
  <c r="R4538" i="1" s="1"/>
  <c r="R4537" i="1" s="1"/>
  <c r="O4540" i="1"/>
  <c r="R5506" i="1"/>
  <c r="S5506" i="1"/>
  <c r="S5505" i="1" s="1"/>
  <c r="R3591" i="1"/>
  <c r="R3590" i="1" s="1"/>
  <c r="R3589" i="1" s="1"/>
  <c r="O3592" i="1"/>
  <c r="R3993" i="1"/>
  <c r="R3992" i="1" s="1"/>
  <c r="R3991" i="1" s="1"/>
  <c r="R3990" i="1" s="1"/>
  <c r="R3989" i="1" s="1"/>
  <c r="O3994" i="1"/>
  <c r="R4067" i="1"/>
  <c r="R4066" i="1" s="1"/>
  <c r="R4065" i="1" s="1"/>
  <c r="R4064" i="1" s="1"/>
  <c r="R4063" i="1" s="1"/>
  <c r="O4068" i="1"/>
  <c r="R3485" i="1"/>
  <c r="R3484" i="1" s="1"/>
  <c r="R3483" i="1" s="1"/>
  <c r="O3486" i="1"/>
  <c r="S3332" i="1"/>
  <c r="S3331" i="1" s="1"/>
  <c r="R3332" i="1"/>
  <c r="R4949" i="1"/>
  <c r="R4948" i="1" s="1"/>
  <c r="R4947" i="1" s="1"/>
  <c r="R4946" i="1" s="1"/>
  <c r="R4945" i="1" s="1"/>
  <c r="O4950" i="1"/>
  <c r="R5030" i="1"/>
  <c r="R5029" i="1" s="1"/>
  <c r="R5028" i="1" s="1"/>
  <c r="R5027" i="1" s="1"/>
  <c r="R5026" i="1" s="1"/>
  <c r="O5031" i="1"/>
  <c r="R5254" i="1"/>
  <c r="R5253" i="1" s="1"/>
  <c r="R5252" i="1" s="1"/>
  <c r="R5251" i="1" s="1"/>
  <c r="R5250" i="1" s="1"/>
  <c r="O5255" i="1"/>
  <c r="R5293" i="1"/>
  <c r="R5292" i="1" s="1"/>
  <c r="R5291" i="1" s="1"/>
  <c r="R5290" i="1" s="1"/>
  <c r="R5289" i="1" s="1"/>
  <c r="O5294" i="1"/>
  <c r="O5747" i="1"/>
  <c r="R5778" i="1"/>
  <c r="R5777" i="1" s="1"/>
  <c r="S5778" i="1"/>
  <c r="S5777" i="1" s="1"/>
  <c r="R4083" i="1"/>
  <c r="R4082" i="1" s="1"/>
  <c r="R4081" i="1" s="1"/>
  <c r="R4080" i="1" s="1"/>
  <c r="R4079" i="1" s="1"/>
  <c r="O4084" i="1"/>
  <c r="R3469" i="1"/>
  <c r="R3468" i="1" s="1"/>
  <c r="R3467" i="1" s="1"/>
  <c r="O3470" i="1"/>
  <c r="R3561" i="1"/>
  <c r="R3560" i="1" s="1"/>
  <c r="O3562" i="1"/>
  <c r="S4492" i="1"/>
  <c r="T4492" i="1" s="1"/>
  <c r="R4492" i="1"/>
  <c r="R4491" i="1" s="1"/>
  <c r="O4629" i="1"/>
  <c r="R4967" i="1"/>
  <c r="R4966" i="1" s="1"/>
  <c r="R4965" i="1" s="1"/>
  <c r="R4964" i="1" s="1"/>
  <c r="R4963" i="1" s="1"/>
  <c r="O4968" i="1"/>
  <c r="R5572" i="1"/>
  <c r="R5571" i="1" s="1"/>
  <c r="R5570" i="1" s="1"/>
  <c r="S5572" i="1"/>
  <c r="S5571" i="1" s="1"/>
  <c r="S5570" i="1" s="1"/>
  <c r="T5570" i="1" s="1"/>
  <c r="R6045" i="1"/>
  <c r="R6044" i="1" s="1"/>
  <c r="R6043" i="1" s="1"/>
  <c r="R6042" i="1" s="1"/>
  <c r="R6041" i="1" s="1"/>
  <c r="O6046" i="1"/>
  <c r="R6104" i="1"/>
  <c r="R6103" i="1" s="1"/>
  <c r="R6102" i="1" s="1"/>
  <c r="R6101" i="1" s="1"/>
  <c r="R6100" i="1" s="1"/>
  <c r="O6105" i="1"/>
  <c r="R3926" i="1"/>
  <c r="R3925" i="1" s="1"/>
  <c r="R3924" i="1" s="1"/>
  <c r="R3923" i="1" s="1"/>
  <c r="R3922" i="1" s="1"/>
  <c r="O3927" i="1"/>
  <c r="R4212" i="1"/>
  <c r="S4212" i="1"/>
  <c r="S4211" i="1" s="1"/>
  <c r="R3813" i="1"/>
  <c r="R3812" i="1" s="1"/>
  <c r="R3811" i="1" s="1"/>
  <c r="R3810" i="1" s="1"/>
  <c r="R3809" i="1" s="1"/>
  <c r="O3814" i="1"/>
  <c r="R3100" i="1"/>
  <c r="S3100" i="1"/>
  <c r="S3099" i="1" s="1"/>
  <c r="O3101" i="1"/>
  <c r="R4750" i="1"/>
  <c r="R4749" i="1" s="1"/>
  <c r="R4748" i="1" s="1"/>
  <c r="O4751" i="1"/>
  <c r="S5325" i="1"/>
  <c r="S5324" i="1" s="1"/>
  <c r="R5325" i="1"/>
  <c r="R5324" i="1" s="1"/>
  <c r="R6096" i="1"/>
  <c r="R6095" i="1" s="1"/>
  <c r="R6094" i="1" s="1"/>
  <c r="R6093" i="1" s="1"/>
  <c r="R6092" i="1" s="1"/>
  <c r="O6097" i="1"/>
  <c r="R4978" i="1"/>
  <c r="R4977" i="1" s="1"/>
  <c r="R4976" i="1" s="1"/>
  <c r="R4975" i="1" s="1"/>
  <c r="R4974" i="1" s="1"/>
  <c r="O4979" i="1"/>
  <c r="R3956" i="1"/>
  <c r="R3955" i="1" s="1"/>
  <c r="R3954" i="1" s="1"/>
  <c r="O3957" i="1"/>
  <c r="R5308" i="1"/>
  <c r="R5307" i="1" s="1"/>
  <c r="R5306" i="1" s="1"/>
  <c r="R5305" i="1" s="1"/>
  <c r="R5304" i="1" s="1"/>
  <c r="O5309" i="1"/>
  <c r="R3241" i="1"/>
  <c r="S3241" i="1"/>
  <c r="S3240" i="1" s="1"/>
  <c r="O3242" i="1"/>
  <c r="S5887" i="1"/>
  <c r="S5886" i="1" s="1"/>
  <c r="S5885" i="1" s="1"/>
  <c r="R5887" i="1"/>
  <c r="R5886" i="1" s="1"/>
  <c r="R5885" i="1" s="1"/>
  <c r="R3894" i="1"/>
  <c r="R3893" i="1" s="1"/>
  <c r="R3892" i="1" s="1"/>
  <c r="R3891" i="1" s="1"/>
  <c r="R3890" i="1" s="1"/>
  <c r="O3895" i="1"/>
  <c r="R3962" i="1"/>
  <c r="R3961" i="1" s="1"/>
  <c r="R3960" i="1" s="1"/>
  <c r="R3959" i="1" s="1"/>
  <c r="R3958" i="1" s="1"/>
  <c r="O3963" i="1"/>
  <c r="S4137" i="1"/>
  <c r="S4136" i="1" s="1"/>
  <c r="S4135" i="1" s="1"/>
  <c r="R4137" i="1"/>
  <c r="O4138" i="1"/>
  <c r="R3632" i="1"/>
  <c r="R3631" i="1" s="1"/>
  <c r="R3630" i="1" s="1"/>
  <c r="O3633" i="1"/>
  <c r="R4252" i="1"/>
  <c r="R4251" i="1" s="1"/>
  <c r="S4252" i="1"/>
  <c r="S4251" i="1" s="1"/>
  <c r="R4315" i="1"/>
  <c r="R4314" i="1" s="1"/>
  <c r="S4315" i="1"/>
  <c r="S4314" i="1" s="1"/>
  <c r="R5427" i="1"/>
  <c r="R5426" i="1" s="1"/>
  <c r="R5425" i="1" s="1"/>
  <c r="S5427" i="1"/>
  <c r="S5426" i="1" s="1"/>
  <c r="S5425" i="1" s="1"/>
  <c r="R6067" i="1"/>
  <c r="R6066" i="1" s="1"/>
  <c r="R6065" i="1" s="1"/>
  <c r="R6064" i="1" s="1"/>
  <c r="R6063" i="1" s="1"/>
  <c r="O6068" i="1"/>
  <c r="S2948" i="1"/>
  <c r="S2947" i="1" s="1"/>
  <c r="S2946" i="1" s="1"/>
  <c r="T2946" i="1" s="1"/>
  <c r="R2948" i="1"/>
  <c r="R2947" i="1" s="1"/>
  <c r="R2946" i="1" s="1"/>
  <c r="R3502" i="1"/>
  <c r="R3501" i="1" s="1"/>
  <c r="R3500" i="1" s="1"/>
  <c r="R3499" i="1" s="1"/>
  <c r="O3503" i="1"/>
  <c r="S3295" i="1"/>
  <c r="R3295" i="1"/>
  <c r="O3296" i="1"/>
  <c r="O3718" i="1"/>
  <c r="R3717" i="1"/>
  <c r="R3716" i="1" s="1"/>
  <c r="S4588" i="1"/>
  <c r="R4588" i="1"/>
  <c r="O4589" i="1"/>
  <c r="R5127" i="1"/>
  <c r="R5126" i="1" s="1"/>
  <c r="R5125" i="1" s="1"/>
  <c r="R5124" i="1" s="1"/>
  <c r="R5123" i="1" s="1"/>
  <c r="O5128" i="1"/>
  <c r="R5990" i="1"/>
  <c r="R5989" i="1" s="1"/>
  <c r="R5988" i="1" s="1"/>
  <c r="R5987" i="1" s="1"/>
  <c r="R5986" i="1" s="1"/>
  <c r="O5991" i="1"/>
  <c r="R6123" i="1"/>
  <c r="R6122" i="1" s="1"/>
  <c r="O6124" i="1"/>
  <c r="R4661" i="1"/>
  <c r="S4661" i="1"/>
  <c r="S4660" i="1" s="1"/>
  <c r="S5398" i="1"/>
  <c r="S5397" i="1" s="1"/>
  <c r="S5396" i="1" s="1"/>
  <c r="R5398" i="1"/>
  <c r="R5397" i="1" s="1"/>
  <c r="R5396" i="1" s="1"/>
  <c r="R3859" i="1"/>
  <c r="R3858" i="1" s="1"/>
  <c r="R3857" i="1" s="1"/>
  <c r="R3856" i="1" s="1"/>
  <c r="R3855" i="1" s="1"/>
  <c r="O3860" i="1"/>
  <c r="R6292" i="1"/>
  <c r="S6292" i="1"/>
  <c r="S6291" i="1" s="1"/>
  <c r="O6293" i="1"/>
  <c r="R4671" i="1"/>
  <c r="R4670" i="1" s="1"/>
  <c r="R4669" i="1" s="1"/>
  <c r="O4672" i="1"/>
  <c r="R3664" i="1"/>
  <c r="S3664" i="1"/>
  <c r="S3663" i="1" s="1"/>
  <c r="S3662" i="1" s="1"/>
  <c r="R4986" i="1"/>
  <c r="R4985" i="1" s="1"/>
  <c r="R4984" i="1" s="1"/>
  <c r="R4983" i="1" s="1"/>
  <c r="R4982" i="1" s="1"/>
  <c r="O4987" i="1"/>
  <c r="R3383" i="1"/>
  <c r="R3382" i="1" s="1"/>
  <c r="R3381" i="1" s="1"/>
  <c r="O3384" i="1"/>
  <c r="R4681" i="1"/>
  <c r="R4680" i="1" s="1"/>
  <c r="R4679" i="1" s="1"/>
  <c r="O4682" i="1"/>
  <c r="R4933" i="1"/>
  <c r="R4932" i="1" s="1"/>
  <c r="R4931" i="1" s="1"/>
  <c r="R4930" i="1" s="1"/>
  <c r="R4929" i="1" s="1"/>
  <c r="O4934" i="1"/>
  <c r="R5446" i="1"/>
  <c r="R5445" i="1" s="1"/>
  <c r="R5444" i="1" s="1"/>
  <c r="O5447" i="1"/>
  <c r="R3820" i="1"/>
  <c r="R3819" i="1" s="1"/>
  <c r="R3818" i="1" s="1"/>
  <c r="R3817" i="1" s="1"/>
  <c r="R3816" i="1" s="1"/>
  <c r="O3821" i="1"/>
  <c r="R3968" i="1"/>
  <c r="R3967" i="1" s="1"/>
  <c r="R3966" i="1" s="1"/>
  <c r="R3965" i="1" s="1"/>
  <c r="R3964" i="1" s="1"/>
  <c r="O3969" i="1"/>
  <c r="R4007" i="1"/>
  <c r="R4006" i="1" s="1"/>
  <c r="R4005" i="1" s="1"/>
  <c r="R4004" i="1" s="1"/>
  <c r="R4003" i="1" s="1"/>
  <c r="O4008" i="1"/>
  <c r="S2960" i="1"/>
  <c r="S2959" i="1" s="1"/>
  <c r="S2958" i="1" s="1"/>
  <c r="R2960" i="1"/>
  <c r="R2959" i="1" s="1"/>
  <c r="R2958" i="1" s="1"/>
  <c r="R3004" i="1"/>
  <c r="R3003" i="1" s="1"/>
  <c r="R3002" i="1" s="1"/>
  <c r="O3005" i="1"/>
  <c r="R3098" i="1"/>
  <c r="S3098" i="1"/>
  <c r="R4955" i="1"/>
  <c r="R4954" i="1" s="1"/>
  <c r="R4953" i="1" s="1"/>
  <c r="R4952" i="1" s="1"/>
  <c r="R4951" i="1" s="1"/>
  <c r="O4956" i="1"/>
  <c r="R5142" i="1"/>
  <c r="R5141" i="1" s="1"/>
  <c r="R5140" i="1" s="1"/>
  <c r="R5139" i="1" s="1"/>
  <c r="R5138" i="1" s="1"/>
  <c r="O5143" i="1"/>
  <c r="R5189" i="1"/>
  <c r="R5188" i="1" s="1"/>
  <c r="R5187" i="1" s="1"/>
  <c r="R5186" i="1" s="1"/>
  <c r="R5185" i="1" s="1"/>
  <c r="O5190" i="1"/>
  <c r="R5299" i="1"/>
  <c r="R5298" i="1" s="1"/>
  <c r="R5297" i="1" s="1"/>
  <c r="R5296" i="1" s="1"/>
  <c r="R5295" i="1" s="1"/>
  <c r="O5300" i="1"/>
  <c r="S5563" i="1"/>
  <c r="S5562" i="1" s="1"/>
  <c r="S5561" i="1" s="1"/>
  <c r="R5563" i="1"/>
  <c r="R5562" i="1" s="1"/>
  <c r="R5561" i="1" s="1"/>
  <c r="R5837" i="1"/>
  <c r="R5836" i="1" s="1"/>
  <c r="R5835" i="1" s="1"/>
  <c r="R5834" i="1" s="1"/>
  <c r="R5833" i="1" s="1"/>
  <c r="R5832" i="1" s="1"/>
  <c r="O5838" i="1"/>
  <c r="R3476" i="1"/>
  <c r="R3475" i="1" s="1"/>
  <c r="R3474" i="1" s="1"/>
  <c r="O3477" i="1"/>
  <c r="S4796" i="1"/>
  <c r="S4795" i="1" s="1"/>
  <c r="R4796" i="1"/>
  <c r="R5172" i="1"/>
  <c r="R5171" i="1" s="1"/>
  <c r="S5172" i="1"/>
  <c r="S5171" i="1" s="1"/>
  <c r="S5884" i="1"/>
  <c r="S5883" i="1" s="1"/>
  <c r="S5882" i="1" s="1"/>
  <c r="S5881" i="1" s="1"/>
  <c r="S5880" i="1" s="1"/>
  <c r="R5884" i="1"/>
  <c r="R5883" i="1" s="1"/>
  <c r="R5882" i="1" s="1"/>
  <c r="R5881" i="1" s="1"/>
  <c r="R5880" i="1" s="1"/>
  <c r="S6195" i="1"/>
  <c r="T6195" i="1" s="1"/>
  <c r="R6195" i="1"/>
  <c r="R5821" i="1"/>
  <c r="R5820" i="1" s="1"/>
  <c r="R5819" i="1" s="1"/>
  <c r="O5822" i="1"/>
  <c r="R3265" i="1"/>
  <c r="R3264" i="1" s="1"/>
  <c r="R3263" i="1" s="1"/>
  <c r="O3266" i="1"/>
  <c r="R3641" i="1"/>
  <c r="R3640" i="1" s="1"/>
  <c r="R3639" i="1" s="1"/>
  <c r="O3642" i="1"/>
  <c r="R5133" i="1"/>
  <c r="R5132" i="1" s="1"/>
  <c r="R5131" i="1" s="1"/>
  <c r="R5130" i="1" s="1"/>
  <c r="R5129" i="1" s="1"/>
  <c r="O5134" i="1"/>
  <c r="R6015" i="1"/>
  <c r="R6014" i="1" s="1"/>
  <c r="R6013" i="1" s="1"/>
  <c r="R6012" i="1" s="1"/>
  <c r="R6011" i="1" s="1"/>
  <c r="O6016" i="1"/>
  <c r="R6143" i="1"/>
  <c r="R6142" i="1" s="1"/>
  <c r="R6141" i="1" s="1"/>
  <c r="R6140" i="1" s="1"/>
  <c r="R6139" i="1" s="1"/>
  <c r="O6144" i="1"/>
  <c r="R3949" i="1"/>
  <c r="R3948" i="1" s="1"/>
  <c r="R3947" i="1" s="1"/>
  <c r="R3946" i="1" s="1"/>
  <c r="R3945" i="1" s="1"/>
  <c r="O3950" i="1"/>
  <c r="S4542" i="1"/>
  <c r="S4541" i="1" s="1"/>
  <c r="R4542" i="1"/>
  <c r="S5544" i="1"/>
  <c r="R5544" i="1"/>
  <c r="R5592" i="1"/>
  <c r="R5591" i="1" s="1"/>
  <c r="R5590" i="1" s="1"/>
  <c r="S5592" i="1"/>
  <c r="S5591" i="1" s="1"/>
  <c r="S5590" i="1" s="1"/>
  <c r="S5801" i="1"/>
  <c r="S5800" i="1" s="1"/>
  <c r="R5801" i="1"/>
  <c r="R4819" i="1"/>
  <c r="R4818" i="1" s="1"/>
  <c r="R4817" i="1" s="1"/>
  <c r="O4820" i="1"/>
  <c r="R3229" i="1"/>
  <c r="R3228" i="1" s="1"/>
  <c r="R3227" i="1" s="1"/>
  <c r="O3230" i="1"/>
  <c r="R3901" i="1"/>
  <c r="R3900" i="1" s="1"/>
  <c r="R3899" i="1" s="1"/>
  <c r="R3898" i="1" s="1"/>
  <c r="R3897" i="1" s="1"/>
  <c r="O3902" i="1"/>
  <c r="S3722" i="1"/>
  <c r="S3721" i="1" s="1"/>
  <c r="S3720" i="1" s="1"/>
  <c r="S3719" i="1" s="1"/>
  <c r="R3722" i="1"/>
  <c r="R3721" i="1" s="1"/>
  <c r="R3720" i="1" s="1"/>
  <c r="R4500" i="1"/>
  <c r="R4499" i="1" s="1"/>
  <c r="R4498" i="1" s="1"/>
  <c r="O4501" i="1"/>
  <c r="R4571" i="1"/>
  <c r="R4570" i="1" s="1"/>
  <c r="R4569" i="1" s="1"/>
  <c r="O4572" i="1"/>
  <c r="S4884" i="1"/>
  <c r="S4883" i="1" s="1"/>
  <c r="S4882" i="1" s="1"/>
  <c r="R4884" i="1"/>
  <c r="R4883" i="1" s="1"/>
  <c r="R4882" i="1" s="1"/>
  <c r="R5530" i="1"/>
  <c r="S5530" i="1"/>
  <c r="S5529" i="1" s="1"/>
  <c r="R4125" i="1"/>
  <c r="R4124" i="1" s="1"/>
  <c r="R4123" i="1" s="1"/>
  <c r="R4122" i="1" s="1"/>
  <c r="R4121" i="1" s="1"/>
  <c r="O4126" i="1"/>
  <c r="R3025" i="1"/>
  <c r="S3025" i="1"/>
  <c r="S3024" i="1" s="1"/>
  <c r="R3260" i="1"/>
  <c r="S3260" i="1"/>
  <c r="S3259" i="1" s="1"/>
  <c r="R5180" i="1"/>
  <c r="R5179" i="1" s="1"/>
  <c r="O5181" i="1"/>
  <c r="R5492" i="1"/>
  <c r="R5491" i="1" s="1"/>
  <c r="R5490" i="1" s="1"/>
  <c r="S5492" i="1"/>
  <c r="S5491" i="1" s="1"/>
  <c r="S5490" i="1" s="1"/>
  <c r="R5846" i="1"/>
  <c r="R5845" i="1" s="1"/>
  <c r="R5844" i="1" s="1"/>
  <c r="R5843" i="1" s="1"/>
  <c r="R5842" i="1" s="1"/>
  <c r="O5847" i="1"/>
  <c r="S3201" i="1"/>
  <c r="S3200" i="1" s="1"/>
  <c r="R3201" i="1"/>
  <c r="O3202" i="1"/>
  <c r="O3418" i="1"/>
  <c r="S3417" i="1"/>
  <c r="S3416" i="1" s="1"/>
  <c r="R3417" i="1"/>
  <c r="R5436" i="1"/>
  <c r="S5436" i="1"/>
  <c r="S5435" i="1" s="1"/>
  <c r="R5919" i="1"/>
  <c r="R5918" i="1" s="1"/>
  <c r="R5917" i="1" s="1"/>
  <c r="R5916" i="1" s="1"/>
  <c r="R5915" i="1" s="1"/>
  <c r="O5920" i="1"/>
  <c r="R5871" i="1"/>
  <c r="R5870" i="1" s="1"/>
  <c r="R5869" i="1" s="1"/>
  <c r="R5868" i="1" s="1"/>
  <c r="R5867" i="1" s="1"/>
  <c r="O5872" i="1"/>
  <c r="S6227" i="1"/>
  <c r="S6226" i="1" s="1"/>
  <c r="R6227" i="1"/>
  <c r="R3446" i="1"/>
  <c r="R3445" i="1" s="1"/>
  <c r="O3447" i="1"/>
  <c r="R5056" i="1"/>
  <c r="R5055" i="1" s="1"/>
  <c r="R5054" i="1" s="1"/>
  <c r="R5053" i="1" s="1"/>
  <c r="R5052" i="1" s="1"/>
  <c r="O5057" i="1"/>
  <c r="R3699" i="1"/>
  <c r="S3699" i="1"/>
  <c r="S3698" i="1" s="1"/>
  <c r="R6298" i="1"/>
  <c r="S6298" i="1"/>
  <c r="S6297" i="1" s="1"/>
  <c r="T6297" i="1" s="1"/>
  <c r="S4355" i="1"/>
  <c r="S4354" i="1" s="1"/>
  <c r="R4355" i="1"/>
  <c r="O4643" i="1"/>
  <c r="O4867" i="1"/>
  <c r="S5347" i="1"/>
  <c r="S5346" i="1" s="1"/>
  <c r="T5346" i="1" s="1"/>
  <c r="R5347" i="1"/>
  <c r="R5346" i="1" s="1"/>
  <c r="R6163" i="1"/>
  <c r="O3526" i="1"/>
  <c r="R5036" i="1"/>
  <c r="S5036" i="1"/>
  <c r="S5035" i="1" s="1"/>
  <c r="S5317" i="1"/>
  <c r="S5316" i="1" s="1"/>
  <c r="R3042" i="1"/>
  <c r="R4176" i="1"/>
  <c r="R4175" i="1" s="1"/>
  <c r="O4177" i="1"/>
  <c r="R4195" i="1"/>
  <c r="O4196" i="1"/>
  <c r="R4368" i="1"/>
  <c r="S4368" i="1"/>
  <c r="S3737" i="1"/>
  <c r="S3736" i="1" s="1"/>
  <c r="R3737" i="1"/>
  <c r="S4026" i="1"/>
  <c r="R4026" i="1"/>
  <c r="O3841" i="1"/>
  <c r="O3842" i="1" s="1"/>
  <c r="S3840" i="1"/>
  <c r="S3839" i="1" s="1"/>
  <c r="R3840" i="1"/>
  <c r="O4113" i="1"/>
  <c r="R3190" i="1"/>
  <c r="O3013" i="1"/>
  <c r="R3012" i="1"/>
  <c r="S3012" i="1"/>
  <c r="S3011" i="1" s="1"/>
  <c r="O3379" i="1"/>
  <c r="R3207" i="1"/>
  <c r="S3207" i="1"/>
  <c r="S3206" i="1" s="1"/>
  <c r="R3723" i="1"/>
  <c r="R4164" i="1"/>
  <c r="S4164" i="1"/>
  <c r="S4163" i="1" s="1"/>
  <c r="R4346" i="1"/>
  <c r="S4378" i="1"/>
  <c r="T4378" i="1" s="1"/>
  <c r="R4378" i="1"/>
  <c r="S4442" i="1"/>
  <c r="T4442" i="1" s="1"/>
  <c r="S4514" i="1"/>
  <c r="T4514" i="1" s="1"/>
  <c r="R4514" i="1"/>
  <c r="R4802" i="1"/>
  <c r="S4802" i="1"/>
  <c r="T4802" i="1" s="1"/>
  <c r="R5282" i="1"/>
  <c r="S5282" i="1"/>
  <c r="S5281" i="1" s="1"/>
  <c r="R5417" i="1"/>
  <c r="R5449" i="1"/>
  <c r="S5449" i="1"/>
  <c r="T5449" i="1" s="1"/>
  <c r="R5481" i="1"/>
  <c r="R5513" i="1"/>
  <c r="R5609" i="1"/>
  <c r="S5609" i="1"/>
  <c r="T5609" i="1" s="1"/>
  <c r="R5641" i="1"/>
  <c r="S5641" i="1"/>
  <c r="T5641" i="1" s="1"/>
  <c r="R5705" i="1"/>
  <c r="S5705" i="1"/>
  <c r="T5705" i="1" s="1"/>
  <c r="R5737" i="1"/>
  <c r="R5736" i="1" s="1"/>
  <c r="R5897" i="1"/>
  <c r="R6025" i="1"/>
  <c r="R6024" i="1" s="1"/>
  <c r="R6057" i="1"/>
  <c r="R6056" i="1" s="1"/>
  <c r="R6302" i="1"/>
  <c r="R6297" i="1"/>
  <c r="R3738" i="1"/>
  <c r="S3178" i="1"/>
  <c r="S3177" i="1" s="1"/>
  <c r="R3090" i="1"/>
  <c r="R3144" i="1"/>
  <c r="S3144" i="1"/>
  <c r="S3143" i="1" s="1"/>
  <c r="R3250" i="1"/>
  <c r="S3250" i="1"/>
  <c r="T3250" i="1" s="1"/>
  <c r="R3222" i="1"/>
  <c r="R3221" i="1" s="1"/>
  <c r="S3222" i="1"/>
  <c r="S3221" i="1" s="1"/>
  <c r="O3724" i="1"/>
  <c r="R4159" i="1"/>
  <c r="R2987" i="1"/>
  <c r="R4260" i="1"/>
  <c r="S4291" i="1"/>
  <c r="T4291" i="1" s="1"/>
  <c r="R4291" i="1"/>
  <c r="R4323" i="1"/>
  <c r="O4452" i="1"/>
  <c r="R4451" i="1"/>
  <c r="R4515" i="1"/>
  <c r="O4675" i="1"/>
  <c r="R4675" i="1" s="1"/>
  <c r="R4674" i="1" s="1"/>
  <c r="S4803" i="1"/>
  <c r="T4803" i="1" s="1"/>
  <c r="O4995" i="1"/>
  <c r="O5283" i="1"/>
  <c r="R5458" i="1"/>
  <c r="S5458" i="1"/>
  <c r="T5458" i="1" s="1"/>
  <c r="S5658" i="1"/>
  <c r="T5658" i="1" s="1"/>
  <c r="R5658" i="1"/>
  <c r="R5722" i="1"/>
  <c r="S5722" i="1"/>
  <c r="T5722" i="1" s="1"/>
  <c r="R6202" i="1"/>
  <c r="R5365" i="1"/>
  <c r="R5620" i="1"/>
  <c r="R5700" i="1"/>
  <c r="R6156" i="1"/>
  <c r="O6157" i="1"/>
  <c r="O6158" i="1" s="1"/>
  <c r="R2971" i="1"/>
  <c r="S2971" i="1"/>
  <c r="S2970" i="1" s="1"/>
  <c r="O6303" i="1"/>
  <c r="R3170" i="1"/>
  <c r="R3839" i="1"/>
  <c r="S4019" i="1"/>
  <c r="S4018" i="1" s="1"/>
  <c r="R4019" i="1"/>
  <c r="O3156" i="1"/>
  <c r="R3155" i="1"/>
  <c r="S3131" i="1"/>
  <c r="T3131" i="1" s="1"/>
  <c r="R3099" i="1"/>
  <c r="R3114" i="1"/>
  <c r="R3276" i="1"/>
  <c r="R3275" i="1" s="1"/>
  <c r="R3274" i="1" s="1"/>
  <c r="O3277" i="1"/>
  <c r="R3333" i="1"/>
  <c r="O3334" i="1"/>
  <c r="O4160" i="1"/>
  <c r="R4193" i="1"/>
  <c r="O4194" i="1"/>
  <c r="R3761" i="1"/>
  <c r="O4317" i="1"/>
  <c r="R4316" i="1"/>
  <c r="O4349" i="1"/>
  <c r="R4348" i="1"/>
  <c r="R4876" i="1"/>
  <c r="R5004" i="1"/>
  <c r="S5004" i="1"/>
  <c r="T5004" i="1" s="1"/>
  <c r="S5356" i="1"/>
  <c r="T5356" i="1" s="1"/>
  <c r="S5419" i="1"/>
  <c r="T5419" i="1" s="1"/>
  <c r="R5451" i="1"/>
  <c r="R5516" i="1"/>
  <c r="R5515" i="1" s="1"/>
  <c r="O5517" i="1"/>
  <c r="R5619" i="1"/>
  <c r="S5619" i="1"/>
  <c r="T5619" i="1" s="1"/>
  <c r="R5683" i="1"/>
  <c r="S5683" i="1"/>
  <c r="T5683" i="1" s="1"/>
  <c r="R5723" i="1"/>
  <c r="S5755" i="1"/>
  <c r="T5755" i="1" s="1"/>
  <c r="R5755" i="1"/>
  <c r="S6171" i="1"/>
  <c r="T6171" i="1" s="1"/>
  <c r="R6171" i="1"/>
  <c r="R5564" i="1"/>
  <c r="S5564" i="1"/>
  <c r="T5564" i="1" s="1"/>
  <c r="O5724" i="1"/>
  <c r="O5797" i="1"/>
  <c r="R6108" i="1"/>
  <c r="O6109" i="1"/>
  <c r="O6164" i="1"/>
  <c r="R6165" i="1"/>
  <c r="O6166" i="1"/>
  <c r="R2954" i="1"/>
  <c r="S3066" i="1"/>
  <c r="S3065" i="1" s="1"/>
  <c r="R3066" i="1"/>
  <c r="O3306" i="1"/>
  <c r="R3305" i="1"/>
  <c r="R3304" i="1" s="1"/>
  <c r="R3303" i="1" s="1"/>
  <c r="R6243" i="1"/>
  <c r="O3171" i="1"/>
  <c r="R3751" i="1"/>
  <c r="O3752" i="1"/>
  <c r="R3943" i="1"/>
  <c r="R3942" i="1" s="1"/>
  <c r="O3944" i="1"/>
  <c r="R3883" i="1"/>
  <c r="O3884" i="1"/>
  <c r="S2993" i="1"/>
  <c r="T2993" i="1" s="1"/>
  <c r="R2993" i="1"/>
  <c r="R3118" i="1"/>
  <c r="O3119" i="1"/>
  <c r="R3595" i="1"/>
  <c r="O3596" i="1"/>
  <c r="R4166" i="1"/>
  <c r="O4167" i="1"/>
  <c r="R4693" i="1"/>
  <c r="O4694" i="1"/>
  <c r="O6244" i="1"/>
  <c r="R6276" i="1"/>
  <c r="O6277" i="1"/>
  <c r="R3181" i="1"/>
  <c r="O3182" i="1"/>
  <c r="S3461" i="1"/>
  <c r="S3460" i="1" s="1"/>
  <c r="R3461" i="1"/>
  <c r="S4367" i="1"/>
  <c r="S4366" i="1" s="1"/>
  <c r="R4367" i="1"/>
  <c r="R4896" i="1"/>
  <c r="R4895" i="1" s="1"/>
  <c r="S4896" i="1"/>
  <c r="S4895" i="1" s="1"/>
  <c r="S4894" i="1" s="1"/>
  <c r="O5366" i="1"/>
  <c r="R5727" i="1"/>
  <c r="R5726" i="1" s="1"/>
  <c r="R5725" i="1" s="1"/>
  <c r="S5727" i="1"/>
  <c r="S5726" i="1" s="1"/>
  <c r="S5725" i="1" s="1"/>
  <c r="O3879" i="1"/>
  <c r="R3878" i="1"/>
  <c r="R4464" i="1"/>
  <c r="S4464" i="1"/>
  <c r="S4463" i="1" s="1"/>
  <c r="S4600" i="1"/>
  <c r="S4599" i="1" s="1"/>
  <c r="T4599" i="1" s="1"/>
  <c r="R4600" i="1"/>
  <c r="S3617" i="1"/>
  <c r="S3616" i="1" s="1"/>
  <c r="S3615" i="1" s="1"/>
  <c r="R3617" i="1"/>
  <c r="R4297" i="1"/>
  <c r="R4296" i="1" s="1"/>
  <c r="S4297" i="1"/>
  <c r="S4296" i="1" s="1"/>
  <c r="R3645" i="1"/>
  <c r="S3645" i="1"/>
  <c r="S3644" i="1" s="1"/>
  <c r="O3646" i="1"/>
  <c r="R5584" i="1"/>
  <c r="S5584" i="1"/>
  <c r="T5584" i="1" s="1"/>
  <c r="R4417" i="1"/>
  <c r="R4416" i="1" s="1"/>
  <c r="R6272" i="1"/>
  <c r="S6272" i="1"/>
  <c r="S6271" i="1" s="1"/>
  <c r="R3667" i="1"/>
  <c r="S3667" i="1"/>
  <c r="S3666" i="1" s="1"/>
  <c r="S3665" i="1" s="1"/>
  <c r="S4770" i="1"/>
  <c r="S4769" i="1" s="1"/>
  <c r="S4768" i="1" s="1"/>
  <c r="R4770" i="1"/>
  <c r="R4769" i="1" s="1"/>
  <c r="R4768" i="1" s="1"/>
  <c r="R6265" i="1"/>
  <c r="R4387" i="1"/>
  <c r="S4387" i="1"/>
  <c r="S4386" i="1" s="1"/>
  <c r="S4385" i="1" s="1"/>
  <c r="S4384" i="1" s="1"/>
  <c r="S5626" i="1"/>
  <c r="T5626" i="1" s="1"/>
  <c r="R5626" i="1"/>
  <c r="R6138" i="1"/>
  <c r="S6138" i="1"/>
  <c r="S6137" i="1" s="1"/>
  <c r="S6136" i="1" s="1"/>
  <c r="S6135" i="1" s="1"/>
  <c r="S6134" i="1" s="1"/>
  <c r="S6133" i="1" s="1"/>
  <c r="R5765" i="1"/>
  <c r="R5764" i="1" s="1"/>
  <c r="R5763" i="1" s="1"/>
  <c r="O5766" i="1"/>
  <c r="S5484" i="1"/>
  <c r="S5483" i="1" s="1"/>
  <c r="R5484" i="1"/>
  <c r="R4309" i="1"/>
  <c r="O4310" i="1"/>
  <c r="S4431" i="1"/>
  <c r="S4430" i="1" s="1"/>
  <c r="R4431" i="1"/>
  <c r="R5877" i="1"/>
  <c r="O5878" i="1"/>
  <c r="S3282" i="1"/>
  <c r="S3281" i="1" s="1"/>
  <c r="T3281" i="1" s="1"/>
  <c r="R3282" i="1"/>
  <c r="S6223" i="1"/>
  <c r="R6223" i="1"/>
  <c r="O3163" i="1"/>
  <c r="O3791" i="1"/>
  <c r="R4087" i="1"/>
  <c r="R3068" i="1"/>
  <c r="S3068" i="1"/>
  <c r="S3067" i="1" s="1"/>
  <c r="R3425" i="1"/>
  <c r="S3542" i="1"/>
  <c r="S3541" i="1" s="1"/>
  <c r="R3542" i="1"/>
  <c r="S4259" i="1"/>
  <c r="T4259" i="1" s="1"/>
  <c r="R4259" i="1"/>
  <c r="S4290" i="1"/>
  <c r="S4289" i="1" s="1"/>
  <c r="S4288" i="1" s="1"/>
  <c r="R4290" i="1"/>
  <c r="R4289" i="1" s="1"/>
  <c r="R4288" i="1" s="1"/>
  <c r="S4522" i="1"/>
  <c r="S4521" i="1" s="1"/>
  <c r="R4522" i="1"/>
  <c r="R4521" i="1" s="1"/>
  <c r="S4554" i="1"/>
  <c r="S4553" i="1" s="1"/>
  <c r="R4554" i="1"/>
  <c r="R4874" i="1"/>
  <c r="S4874" i="1"/>
  <c r="T4874" i="1" s="1"/>
  <c r="R5489" i="1"/>
  <c r="S5489" i="1"/>
  <c r="T5489" i="1" s="1"/>
  <c r="R5713" i="1"/>
  <c r="S5713" i="1"/>
  <c r="S5712" i="1" s="1"/>
  <c r="T5712" i="1" s="1"/>
  <c r="S5905" i="1"/>
  <c r="S5904" i="1" s="1"/>
  <c r="R5905" i="1"/>
  <c r="O5969" i="1"/>
  <c r="S3350" i="1"/>
  <c r="R3350" i="1"/>
  <c r="R3848" i="1"/>
  <c r="S3848" i="1"/>
  <c r="S3847" i="1" s="1"/>
  <c r="O3074" i="1"/>
  <c r="R3397" i="1"/>
  <c r="R3396" i="1" s="1"/>
  <c r="R3395" i="1" s="1"/>
  <c r="S3397" i="1"/>
  <c r="S3396" i="1" s="1"/>
  <c r="S3395" i="1" s="1"/>
  <c r="O3426" i="1"/>
  <c r="R3756" i="1"/>
  <c r="S3756" i="1"/>
  <c r="S3755" i="1" s="1"/>
  <c r="R4331" i="1"/>
  <c r="S4331" i="1"/>
  <c r="S4330" i="1" s="1"/>
  <c r="T4330" i="1" s="1"/>
  <c r="R4395" i="1"/>
  <c r="S4395" i="1"/>
  <c r="S4394" i="1" s="1"/>
  <c r="S4427" i="1"/>
  <c r="R4427" i="1"/>
  <c r="R4587" i="1"/>
  <c r="S4587" i="1"/>
  <c r="S4586" i="1" s="1"/>
  <c r="O4651" i="1"/>
  <c r="O4907" i="1"/>
  <c r="O4908" i="1" s="1"/>
  <c r="R5003" i="1"/>
  <c r="S5003" i="1"/>
  <c r="S5002" i="1" s="1"/>
  <c r="O5067" i="1"/>
  <c r="S5259" i="1"/>
  <c r="S5258" i="1" s="1"/>
  <c r="T5258" i="1" s="1"/>
  <c r="R5259" i="1"/>
  <c r="R5323" i="1"/>
  <c r="S5323" i="1"/>
  <c r="S5387" i="1"/>
  <c r="S5386" i="1" s="1"/>
  <c r="R5387" i="1"/>
  <c r="R5386" i="1" s="1"/>
  <c r="R5418" i="1"/>
  <c r="S5418" i="1"/>
  <c r="S5417" i="1" s="1"/>
  <c r="R5858" i="1"/>
  <c r="S5858" i="1"/>
  <c r="S5857" i="1" s="1"/>
  <c r="S5856" i="1" s="1"/>
  <c r="S5855" i="1" s="1"/>
  <c r="S5854" i="1" s="1"/>
  <c r="S5853" i="1" s="1"/>
  <c r="S5390" i="1"/>
  <c r="S5389" i="1" s="1"/>
  <c r="S5388" i="1" s="1"/>
  <c r="R5390" i="1"/>
  <c r="R5389" i="1" s="1"/>
  <c r="R5388" i="1" s="1"/>
  <c r="R5636" i="1"/>
  <c r="R5635" i="1" s="1"/>
  <c r="S5636" i="1"/>
  <c r="S5635" i="1" s="1"/>
  <c r="T5635" i="1" s="1"/>
  <c r="R5772" i="1"/>
  <c r="S5772" i="1"/>
  <c r="T5772" i="1" s="1"/>
  <c r="R6238" i="1"/>
  <c r="O6239" i="1"/>
  <c r="R4062" i="1"/>
  <c r="S4062" i="1"/>
  <c r="S4061" i="1" s="1"/>
  <c r="S4060" i="1" s="1"/>
  <c r="O3351" i="1"/>
  <c r="S2968" i="1"/>
  <c r="S2967" i="1" s="1"/>
  <c r="S2966" i="1" s="1"/>
  <c r="R2968" i="1"/>
  <c r="R2967" i="1" s="1"/>
  <c r="R2966" i="1" s="1"/>
  <c r="O3070" i="1"/>
  <c r="O3289" i="1"/>
  <c r="R3308" i="1"/>
  <c r="O3309" i="1"/>
  <c r="O3700" i="1"/>
  <c r="R3594" i="1"/>
  <c r="S3594" i="1"/>
  <c r="S3593" i="1" s="1"/>
  <c r="R4185" i="1"/>
  <c r="S4185" i="1"/>
  <c r="S4184" i="1" s="1"/>
  <c r="R3150" i="1"/>
  <c r="S4324" i="1"/>
  <c r="S4323" i="1" s="1"/>
  <c r="R4324" i="1"/>
  <c r="O4356" i="1"/>
  <c r="O4388" i="1"/>
  <c r="O4533" i="1"/>
  <c r="O4724" i="1"/>
  <c r="R4916" i="1"/>
  <c r="S4916" i="1"/>
  <c r="S4915" i="1" s="1"/>
  <c r="O5044" i="1"/>
  <c r="O5731" i="1"/>
  <c r="S5795" i="1"/>
  <c r="T5795" i="1" s="1"/>
  <c r="R5795" i="1"/>
  <c r="O5923" i="1"/>
  <c r="O5955" i="1"/>
  <c r="R5741" i="1"/>
  <c r="R5740" i="1" s="1"/>
  <c r="R5739" i="1" s="1"/>
  <c r="O5742" i="1"/>
  <c r="S3095" i="1"/>
  <c r="R3095" i="1"/>
  <c r="O3189" i="1"/>
  <c r="R3188" i="1"/>
  <c r="O3984" i="1"/>
  <c r="O4046" i="1"/>
  <c r="R4325" i="1"/>
  <c r="O4326" i="1"/>
  <c r="R4704" i="1"/>
  <c r="R4703" i="1" s="1"/>
  <c r="R4702" i="1" s="1"/>
  <c r="R4701" i="1" s="1"/>
  <c r="O4705" i="1"/>
  <c r="O4838" i="1"/>
  <c r="O4877" i="1"/>
  <c r="R4917" i="1"/>
  <c r="O4918" i="1"/>
  <c r="R5009" i="1"/>
  <c r="R5008" i="1" s="1"/>
  <c r="R5007" i="1" s="1"/>
  <c r="R5006" i="1" s="1"/>
  <c r="R5005" i="1" s="1"/>
  <c r="S5009" i="1"/>
  <c r="S5008" i="1" s="1"/>
  <c r="S5007" i="1" s="1"/>
  <c r="S5006" i="1" s="1"/>
  <c r="S5005" i="1" s="1"/>
  <c r="S4218" i="1"/>
  <c r="S4217" i="1" s="1"/>
  <c r="R4218" i="1"/>
  <c r="O2981" i="1"/>
  <c r="O3019" i="1"/>
  <c r="R3663" i="1"/>
  <c r="R3662" i="1" s="1"/>
  <c r="S4335" i="1"/>
  <c r="S4334" i="1" s="1"/>
  <c r="R4335" i="1"/>
  <c r="R4662" i="1"/>
  <c r="O4663" i="1"/>
  <c r="R4943" i="1"/>
  <c r="S4943" i="1"/>
  <c r="S4942" i="1" s="1"/>
  <c r="R5174" i="1"/>
  <c r="S5174" i="1"/>
  <c r="S5173" i="1" s="1"/>
  <c r="T5173" i="1" s="1"/>
  <c r="R5806" i="1"/>
  <c r="S5806" i="1"/>
  <c r="S5805" i="1" s="1"/>
  <c r="R4017" i="1"/>
  <c r="S4017" i="1"/>
  <c r="S4016" i="1" s="1"/>
  <c r="S3715" i="1"/>
  <c r="S3714" i="1" s="1"/>
  <c r="R3715" i="1"/>
  <c r="R4608" i="1"/>
  <c r="R4607" i="1" s="1"/>
  <c r="R4606" i="1" s="1"/>
  <c r="O4609" i="1"/>
  <c r="S6023" i="1"/>
  <c r="S6022" i="1" s="1"/>
  <c r="S6021" i="1" s="1"/>
  <c r="R6023" i="1"/>
  <c r="R6022" i="1" s="1"/>
  <c r="R6021" i="1" s="1"/>
  <c r="S6191" i="1"/>
  <c r="S6190" i="1" s="1"/>
  <c r="T6190" i="1" s="1"/>
  <c r="R6191" i="1"/>
  <c r="O4873" i="1"/>
  <c r="O3367" i="1"/>
  <c r="R5768" i="1"/>
  <c r="R5767" i="1" s="1"/>
  <c r="S5768" i="1"/>
  <c r="S5767" i="1" s="1"/>
  <c r="O3613" i="1"/>
  <c r="R4149" i="1"/>
  <c r="O4150" i="1"/>
  <c r="S6111" i="1"/>
  <c r="T6111" i="1" s="1"/>
  <c r="R6111" i="1"/>
  <c r="O3082" i="1"/>
  <c r="S4282" i="1"/>
  <c r="S4281" i="1" s="1"/>
  <c r="R4282" i="1"/>
  <c r="S4482" i="1"/>
  <c r="S4481" i="1" s="1"/>
  <c r="R4482" i="1"/>
  <c r="S4222" i="1"/>
  <c r="T4222" i="1" s="1"/>
  <c r="R4222" i="1"/>
  <c r="R6170" i="1"/>
  <c r="S6170" i="1"/>
  <c r="S6169" i="1" s="1"/>
  <c r="S3037" i="1"/>
  <c r="T3037" i="1" s="1"/>
  <c r="R3037" i="1"/>
  <c r="R3710" i="1"/>
  <c r="R3709" i="1" s="1"/>
  <c r="R3708" i="1" s="1"/>
  <c r="O3711" i="1"/>
  <c r="R4621" i="1"/>
  <c r="R4620" i="1" s="1"/>
  <c r="O4622" i="1"/>
  <c r="S3676" i="1"/>
  <c r="S3675" i="1" s="1"/>
  <c r="S3674" i="1" s="1"/>
  <c r="R3676" i="1"/>
  <c r="R3675" i="1" s="1"/>
  <c r="R3674" i="1" s="1"/>
  <c r="R4855" i="1"/>
  <c r="R4854" i="1" s="1"/>
  <c r="R4853" i="1" s="1"/>
  <c r="S4855" i="1"/>
  <c r="S4854" i="1" s="1"/>
  <c r="S4853" i="1" s="1"/>
  <c r="R4785" i="1"/>
  <c r="R4784" i="1" s="1"/>
  <c r="R4783" i="1" s="1"/>
  <c r="S4785" i="1"/>
  <c r="S4784" i="1" s="1"/>
  <c r="S4783" i="1" s="1"/>
  <c r="R3104" i="1"/>
  <c r="S3104" i="1"/>
  <c r="R6248" i="1"/>
  <c r="R6279" i="1"/>
  <c r="R3349" i="1"/>
  <c r="S3349" i="1"/>
  <c r="S3348" i="1" s="1"/>
  <c r="R4085" i="1"/>
  <c r="R3198" i="1"/>
  <c r="S3050" i="1"/>
  <c r="S3049" i="1" s="1"/>
  <c r="S3048" i="1" s="1"/>
  <c r="S3047" i="1" s="1"/>
  <c r="R3050" i="1"/>
  <c r="R3105" i="1"/>
  <c r="R3285" i="1"/>
  <c r="R3284" i="1" s="1"/>
  <c r="R3283" i="1" s="1"/>
  <c r="R3436" i="1"/>
  <c r="R3435" i="1" s="1"/>
  <c r="R3434" i="1" s="1"/>
  <c r="O3437" i="1"/>
  <c r="S3258" i="1"/>
  <c r="S3257" i="1" s="1"/>
  <c r="R3258" i="1"/>
  <c r="O4203" i="1"/>
  <c r="R4202" i="1"/>
  <c r="R3769" i="1"/>
  <c r="S4322" i="1"/>
  <c r="T4322" i="1" s="1"/>
  <c r="R4322" i="1"/>
  <c r="R4386" i="1"/>
  <c r="R4385" i="1" s="1"/>
  <c r="R4384" i="1" s="1"/>
  <c r="R4418" i="1"/>
  <c r="S4418" i="1"/>
  <c r="S4417" i="1" s="1"/>
  <c r="S4416" i="1" s="1"/>
  <c r="S4490" i="1"/>
  <c r="T4490" i="1" s="1"/>
  <c r="R4490" i="1"/>
  <c r="R4586" i="1"/>
  <c r="R4810" i="1"/>
  <c r="R5002" i="1"/>
  <c r="R5258" i="1"/>
  <c r="R5322" i="1"/>
  <c r="S5322" i="1"/>
  <c r="S5321" i="1" s="1"/>
  <c r="R5354" i="1"/>
  <c r="S5354" i="1"/>
  <c r="T5354" i="1" s="1"/>
  <c r="R5457" i="1"/>
  <c r="S5457" i="1"/>
  <c r="T5457" i="1" s="1"/>
  <c r="R5521" i="1"/>
  <c r="S5585" i="1"/>
  <c r="T5585" i="1" s="1"/>
  <c r="S5617" i="1"/>
  <c r="T5617" i="1" s="1"/>
  <c r="R5649" i="1"/>
  <c r="R5681" i="1"/>
  <c r="S5809" i="1"/>
  <c r="T5809" i="1" s="1"/>
  <c r="R5809" i="1"/>
  <c r="S5873" i="1"/>
  <c r="T5873" i="1" s="1"/>
  <c r="R5873" i="1"/>
  <c r="R6033" i="1"/>
  <c r="S6033" i="1"/>
  <c r="S6032" i="1" s="1"/>
  <c r="R6161" i="1"/>
  <c r="S6161" i="1"/>
  <c r="T6161" i="1" s="1"/>
  <c r="R6193" i="1"/>
  <c r="S6193" i="1"/>
  <c r="S6192" i="1" s="1"/>
  <c r="R6216" i="1"/>
  <c r="O6242" i="1"/>
  <c r="O6274" i="1"/>
  <c r="R3186" i="1"/>
  <c r="O4088" i="1"/>
  <c r="O3199" i="1"/>
  <c r="R3011" i="1"/>
  <c r="O3021" i="1"/>
  <c r="O3690" i="1"/>
  <c r="O3691" i="1" s="1"/>
  <c r="R3390" i="1"/>
  <c r="R3259" i="1"/>
  <c r="R3593" i="1"/>
  <c r="R4184" i="1"/>
  <c r="R4238" i="1"/>
  <c r="R4237" i="1" s="1"/>
  <c r="R4236" i="1" s="1"/>
  <c r="S4238" i="1"/>
  <c r="S4237" i="1" s="1"/>
  <c r="S4236" i="1" s="1"/>
  <c r="R4299" i="1"/>
  <c r="R4363" i="1"/>
  <c r="O4459" i="1"/>
  <c r="R4555" i="1"/>
  <c r="O4619" i="1"/>
  <c r="R4619" i="1" s="1"/>
  <c r="R4618" i="1" s="1"/>
  <c r="S4811" i="1"/>
  <c r="S4810" i="1" s="1"/>
  <c r="S4875" i="1"/>
  <c r="T4875" i="1" s="1"/>
  <c r="R5035" i="1"/>
  <c r="S5355" i="1"/>
  <c r="T5355" i="1" s="1"/>
  <c r="R5355" i="1"/>
  <c r="R5498" i="1"/>
  <c r="R5602" i="1"/>
  <c r="S5602" i="1"/>
  <c r="T5602" i="1" s="1"/>
  <c r="R5634" i="1"/>
  <c r="S5634" i="1"/>
  <c r="T5634" i="1" s="1"/>
  <c r="R5666" i="1"/>
  <c r="S5666" i="1"/>
  <c r="T5666" i="1" s="1"/>
  <c r="R5698" i="1"/>
  <c r="S5698" i="1"/>
  <c r="T5698" i="1" s="1"/>
  <c r="R5762" i="1"/>
  <c r="S5762" i="1"/>
  <c r="T5762" i="1" s="1"/>
  <c r="R5794" i="1"/>
  <c r="S5794" i="1"/>
  <c r="T5794" i="1" s="1"/>
  <c r="R5890" i="1"/>
  <c r="R6178" i="1"/>
  <c r="O6179" i="1"/>
  <c r="R5221" i="1"/>
  <c r="O5222" i="1"/>
  <c r="R5548" i="1"/>
  <c r="S5548" i="1"/>
  <c r="T5548" i="1" s="1"/>
  <c r="O6037" i="1"/>
  <c r="O6173" i="1"/>
  <c r="R2955" i="1"/>
  <c r="S2955" i="1"/>
  <c r="S2954" i="1" s="1"/>
  <c r="O2956" i="1"/>
  <c r="O2957" i="1" s="1"/>
  <c r="S6259" i="1"/>
  <c r="S6258" i="1" s="1"/>
  <c r="R6259" i="1"/>
  <c r="R3167" i="1"/>
  <c r="O3187" i="1"/>
  <c r="R4041" i="1"/>
  <c r="R4040" i="1" s="1"/>
  <c r="O4042" i="1"/>
  <c r="O3108" i="1"/>
  <c r="R3107" i="1"/>
  <c r="R3218" i="1"/>
  <c r="R3450" i="1"/>
  <c r="S3450" i="1"/>
  <c r="T3450" i="1" s="1"/>
  <c r="O3658" i="1"/>
  <c r="O3659" i="1" s="1"/>
  <c r="O3370" i="1"/>
  <c r="R3369" i="1"/>
  <c r="R3368" i="1" s="1"/>
  <c r="R3240" i="1"/>
  <c r="R3416" i="1"/>
  <c r="R3775" i="1"/>
  <c r="O3776" i="1"/>
  <c r="O4261" i="1"/>
  <c r="O4293" i="1"/>
  <c r="R4292" i="1"/>
  <c r="R4660" i="1"/>
  <c r="S4692" i="1"/>
  <c r="T4692" i="1" s="1"/>
  <c r="R4692" i="1"/>
  <c r="R4980" i="1"/>
  <c r="R5012" i="1"/>
  <c r="R5204" i="1"/>
  <c r="R5332" i="1"/>
  <c r="R5364" i="1"/>
  <c r="R5459" i="1"/>
  <c r="R5523" i="1"/>
  <c r="R5555" i="1"/>
  <c r="S5555" i="1"/>
  <c r="T5555" i="1" s="1"/>
  <c r="R5587" i="1"/>
  <c r="S5587" i="1"/>
  <c r="T5587" i="1" s="1"/>
  <c r="S5627" i="1"/>
  <c r="T5627" i="1" s="1"/>
  <c r="S5659" i="1"/>
  <c r="T5659" i="1" s="1"/>
  <c r="R5691" i="1"/>
  <c r="O5692" i="1"/>
  <c r="O5891" i="1"/>
  <c r="O5342" i="1"/>
  <c r="R5420" i="1"/>
  <c r="O5421" i="1"/>
  <c r="R5500" i="1"/>
  <c r="O5501" i="1"/>
  <c r="O5580" i="1"/>
  <c r="R5668" i="1"/>
  <c r="O6061" i="1"/>
  <c r="R6180" i="1"/>
  <c r="O6181" i="1"/>
  <c r="S6295" i="1"/>
  <c r="S6294" i="1" s="1"/>
  <c r="R6295" i="1"/>
  <c r="R6307" i="1"/>
  <c r="R6251" i="1"/>
  <c r="R6282" i="1"/>
  <c r="R3352" i="1"/>
  <c r="O3353" i="1"/>
  <c r="O4090" i="1"/>
  <c r="R2970" i="1"/>
  <c r="R3026" i="1"/>
  <c r="O3027" i="1"/>
  <c r="O3145" i="1"/>
  <c r="S3482" i="1"/>
  <c r="S3481" i="1" s="1"/>
  <c r="S3480" i="1" s="1"/>
  <c r="R3482" i="1"/>
  <c r="R3481" i="1" s="1"/>
  <c r="R3480" i="1" s="1"/>
  <c r="R3509" i="1"/>
  <c r="R3508" i="1" s="1"/>
  <c r="R3507" i="1" s="1"/>
  <c r="O3510" i="1"/>
  <c r="R3454" i="1"/>
  <c r="O3455" i="1"/>
  <c r="O4397" i="1"/>
  <c r="R4397" i="1" s="1"/>
  <c r="R4493" i="1"/>
  <c r="S4493" i="1"/>
  <c r="T4493" i="1" s="1"/>
  <c r="O4597" i="1"/>
  <c r="O6308" i="1"/>
  <c r="O6252" i="1"/>
  <c r="R3194" i="1"/>
  <c r="O3195" i="1"/>
  <c r="S4225" i="1"/>
  <c r="T4225" i="1" s="1"/>
  <c r="R4225" i="1"/>
  <c r="S3094" i="1"/>
  <c r="S3093" i="1" s="1"/>
  <c r="R3094" i="1"/>
  <c r="R3210" i="1"/>
  <c r="R3209" i="1" s="1"/>
  <c r="R3208" i="1" s="1"/>
  <c r="O3211" i="1"/>
  <c r="S3211" i="1" s="1"/>
  <c r="S3210" i="1" s="1"/>
  <c r="S3209" i="1" s="1"/>
  <c r="S3208" i="1" s="1"/>
  <c r="R3668" i="1"/>
  <c r="O3669" i="1"/>
  <c r="R3778" i="1"/>
  <c r="S3778" i="1"/>
  <c r="S3777" i="1" s="1"/>
  <c r="O4342" i="1"/>
  <c r="O4382" i="1"/>
  <c r="R4911" i="1"/>
  <c r="S4911" i="1"/>
  <c r="S4910" i="1" s="1"/>
  <c r="O4912" i="1"/>
  <c r="R5486" i="1"/>
  <c r="S5486" i="1"/>
  <c r="S5485" i="1" s="1"/>
  <c r="S3058" i="1"/>
  <c r="S3057" i="1" s="1"/>
  <c r="R3058" i="1"/>
  <c r="S4169" i="1"/>
  <c r="S4168" i="1" s="1"/>
  <c r="R4169" i="1"/>
  <c r="S4344" i="1"/>
  <c r="S4343" i="1" s="1"/>
  <c r="R4344" i="1"/>
  <c r="O5632" i="1"/>
  <c r="O3540" i="1"/>
  <c r="R5672" i="1"/>
  <c r="R5671" i="1" s="1"/>
  <c r="S5672" i="1"/>
  <c r="S5671" i="1" s="1"/>
  <c r="S3185" i="1"/>
  <c r="S3184" i="1" s="1"/>
  <c r="R3185" i="1"/>
  <c r="O3404" i="1"/>
  <c r="R3403" i="1"/>
  <c r="R5314" i="1"/>
  <c r="S5314" i="1"/>
  <c r="S5313" i="1" s="1"/>
  <c r="S5312" i="1" s="1"/>
  <c r="O3566" i="1"/>
  <c r="R4419" i="1"/>
  <c r="S4419" i="1"/>
  <c r="T4419" i="1" s="1"/>
  <c r="S5522" i="1"/>
  <c r="S5521" i="1" s="1"/>
  <c r="R5522" i="1"/>
  <c r="R5754" i="1"/>
  <c r="R5753" i="1" s="1"/>
  <c r="S5754" i="1"/>
  <c r="S5753" i="1" s="1"/>
  <c r="R5914" i="1"/>
  <c r="S5914" i="1"/>
  <c r="R6106" i="1"/>
  <c r="R5452" i="1"/>
  <c r="S5452" i="1"/>
  <c r="S5451" i="1" s="1"/>
  <c r="R4776" i="1"/>
  <c r="R4775" i="1" s="1"/>
  <c r="R4774" i="1" s="1"/>
  <c r="O4777" i="1"/>
  <c r="R4106" i="1"/>
  <c r="R4105" i="1" s="1"/>
  <c r="O4107" i="1"/>
  <c r="R4266" i="1"/>
  <c r="S4266" i="1"/>
  <c r="S4265" i="1" s="1"/>
  <c r="O6290" i="1"/>
  <c r="S6289" i="1"/>
  <c r="S6288" i="1" s="1"/>
  <c r="R3078" i="1"/>
  <c r="S3078" i="1"/>
  <c r="S3077" i="1" s="1"/>
  <c r="R3318" i="1"/>
  <c r="R3317" i="1" s="1"/>
  <c r="R3316" i="1" s="1"/>
  <c r="S3318" i="1"/>
  <c r="S3317" i="1" s="1"/>
  <c r="S3316" i="1" s="1"/>
  <c r="O3580" i="1"/>
  <c r="S3697" i="1"/>
  <c r="S3696" i="1" s="1"/>
  <c r="S3695" i="1" s="1"/>
  <c r="S3694" i="1" s="1"/>
  <c r="R3697" i="1"/>
  <c r="S3459" i="1"/>
  <c r="S3458" i="1" s="1"/>
  <c r="R3459" i="1"/>
  <c r="R3619" i="1"/>
  <c r="S3619" i="1"/>
  <c r="S3618" i="1" s="1"/>
  <c r="S2988" i="1"/>
  <c r="S2987" i="1" s="1"/>
  <c r="R2988" i="1"/>
  <c r="R4426" i="1"/>
  <c r="S4426" i="1"/>
  <c r="R4562" i="1"/>
  <c r="S4626" i="1"/>
  <c r="S4625" i="1" s="1"/>
  <c r="R4626" i="1"/>
  <c r="S4658" i="1"/>
  <c r="S4657" i="1" s="1"/>
  <c r="R4658" i="1"/>
  <c r="R4722" i="1"/>
  <c r="S4722" i="1"/>
  <c r="S4721" i="1" s="1"/>
  <c r="S4914" i="1"/>
  <c r="S4913" i="1" s="1"/>
  <c r="R4914" i="1"/>
  <c r="R5042" i="1"/>
  <c r="S5042" i="1"/>
  <c r="S5041" i="1" s="1"/>
  <c r="T5041" i="1" s="1"/>
  <c r="R5234" i="1"/>
  <c r="S5234" i="1"/>
  <c r="S5233" i="1" s="1"/>
  <c r="S5232" i="1" s="1"/>
  <c r="S5231" i="1" s="1"/>
  <c r="S5230" i="1" s="1"/>
  <c r="S5229" i="1" s="1"/>
  <c r="R5497" i="1"/>
  <c r="S5497" i="1"/>
  <c r="S5496" i="1" s="1"/>
  <c r="S5785" i="1"/>
  <c r="S5784" i="1" s="1"/>
  <c r="T5784" i="1" s="1"/>
  <c r="R5785" i="1"/>
  <c r="S5913" i="1"/>
  <c r="S5912" i="1" s="1"/>
  <c r="S5911" i="1" s="1"/>
  <c r="S5910" i="1" s="1"/>
  <c r="S5909" i="1" s="1"/>
  <c r="S5908" i="1" s="1"/>
  <c r="R5913" i="1"/>
  <c r="O6009" i="1"/>
  <c r="R6137" i="1"/>
  <c r="R6136" i="1" s="1"/>
  <c r="R6135" i="1" s="1"/>
  <c r="R6134" i="1" s="1"/>
  <c r="R6133" i="1" s="1"/>
  <c r="O6224" i="1"/>
  <c r="R4071" i="1"/>
  <c r="O4086" i="1"/>
  <c r="O3106" i="1"/>
  <c r="O3286" i="1"/>
  <c r="O3411" i="1"/>
  <c r="O3656" i="1"/>
  <c r="O3623" i="1"/>
  <c r="O3272" i="1"/>
  <c r="R3271" i="1"/>
  <c r="O3488" i="1"/>
  <c r="R3487" i="1"/>
  <c r="O3620" i="1"/>
  <c r="O3760" i="1"/>
  <c r="R4244" i="1"/>
  <c r="S4435" i="1"/>
  <c r="T4435" i="1" s="1"/>
  <c r="O4531" i="1"/>
  <c r="O4595" i="1"/>
  <c r="O4659" i="1"/>
  <c r="R4915" i="1"/>
  <c r="O5235" i="1"/>
  <c r="S5578" i="1"/>
  <c r="T5578" i="1" s="1"/>
  <c r="S5610" i="1"/>
  <c r="T5610" i="1" s="1"/>
  <c r="O5738" i="1"/>
  <c r="O5866" i="1"/>
  <c r="O5898" i="1"/>
  <c r="O6026" i="1"/>
  <c r="O6058" i="1"/>
  <c r="S5732" i="1"/>
  <c r="T5732" i="1" s="1"/>
  <c r="S6270" i="1"/>
  <c r="S6269" i="1" s="1"/>
  <c r="T6269" i="1" s="1"/>
  <c r="R6270" i="1"/>
  <c r="R3121" i="1"/>
  <c r="O6217" i="1"/>
  <c r="R6217" i="1" s="1"/>
  <c r="S3741" i="1"/>
  <c r="S3740" i="1" s="1"/>
  <c r="R3741" i="1"/>
  <c r="O3742" i="1"/>
  <c r="O3360" i="1"/>
  <c r="R3359" i="1"/>
  <c r="R3200" i="1"/>
  <c r="O3391" i="1"/>
  <c r="R4188" i="1"/>
  <c r="R4187" i="1" s="1"/>
  <c r="R4186" i="1" s="1"/>
  <c r="O4189" i="1"/>
  <c r="O4300" i="1"/>
  <c r="O4333" i="1"/>
  <c r="R4332" i="1"/>
  <c r="O4364" i="1"/>
  <c r="O4700" i="1"/>
  <c r="S5340" i="1"/>
  <c r="T5340" i="1" s="1"/>
  <c r="R5372" i="1"/>
  <c r="R5435" i="1"/>
  <c r="O5499" i="1"/>
  <c r="O5604" i="1"/>
  <c r="S5684" i="1"/>
  <c r="T5684" i="1" s="1"/>
  <c r="O6077" i="1"/>
  <c r="R4022" i="1"/>
  <c r="R4021" i="1" s="1"/>
  <c r="R3148" i="1"/>
  <c r="O3149" i="1"/>
  <c r="R3794" i="1"/>
  <c r="O3795" i="1"/>
  <c r="O4208" i="1"/>
  <c r="R3071" i="1"/>
  <c r="O3072" i="1"/>
  <c r="R3244" i="1"/>
  <c r="R3243" i="1" s="1"/>
  <c r="O3245" i="1"/>
  <c r="O3262" i="1"/>
  <c r="R3261" i="1"/>
  <c r="S4199" i="1"/>
  <c r="R4199" i="1"/>
  <c r="O3151" i="1"/>
  <c r="R4357" i="1"/>
  <c r="O4358" i="1"/>
  <c r="O4741" i="1"/>
  <c r="R4885" i="1"/>
  <c r="O4886" i="1"/>
  <c r="O4925" i="1"/>
  <c r="O4981" i="1"/>
  <c r="O5013" i="1"/>
  <c r="R4447" i="1"/>
  <c r="S4447" i="1"/>
  <c r="S4446" i="1" s="1"/>
  <c r="R4479" i="1"/>
  <c r="S4479" i="1"/>
  <c r="S4478" i="1" s="1"/>
  <c r="O4480" i="1"/>
  <c r="R4519" i="1"/>
  <c r="S4519" i="1"/>
  <c r="S4518" i="1" s="1"/>
  <c r="O4520" i="1"/>
  <c r="R4830" i="1"/>
  <c r="S4830" i="1"/>
  <c r="S4829" i="1" s="1"/>
  <c r="R5182" i="1"/>
  <c r="O5183" i="1"/>
  <c r="S6126" i="1"/>
  <c r="S6125" i="1" s="1"/>
  <c r="R6126" i="1"/>
  <c r="O6127" i="1"/>
  <c r="R6262" i="1"/>
  <c r="S6262" i="1"/>
  <c r="S6261" i="1" s="1"/>
  <c r="O6263" i="1"/>
  <c r="R4312" i="1"/>
  <c r="R4311" i="1" s="1"/>
  <c r="O4313" i="1"/>
  <c r="R4800" i="1"/>
  <c r="R4799" i="1" s="1"/>
  <c r="S4800" i="1"/>
  <c r="S4799" i="1" s="1"/>
  <c r="R4927" i="1"/>
  <c r="O4928" i="1"/>
  <c r="O4745" i="1"/>
  <c r="S4578" i="1"/>
  <c r="S4577" i="1" s="1"/>
  <c r="R4578" i="1"/>
  <c r="R4228" i="1"/>
  <c r="S4228" i="1"/>
  <c r="S4227" i="1" s="1"/>
  <c r="R5532" i="1"/>
  <c r="S5532" i="1"/>
  <c r="S5531" i="1" s="1"/>
  <c r="R3166" i="1"/>
  <c r="S3166" i="1"/>
  <c r="S3165" i="1" s="1"/>
  <c r="T3165" i="1" s="1"/>
  <c r="O6075" i="1"/>
  <c r="R3159" i="1"/>
  <c r="O3160" i="1"/>
  <c r="R4615" i="1"/>
  <c r="S4615" i="1"/>
  <c r="S4614" i="1" s="1"/>
  <c r="T4614" i="1" s="1"/>
  <c r="O4221" i="1"/>
  <c r="R4220" i="1"/>
  <c r="S4220" i="1"/>
  <c r="S4219" i="1" s="1"/>
  <c r="R6232" i="1"/>
  <c r="R6256" i="1"/>
  <c r="R6289" i="1"/>
  <c r="S3732" i="1"/>
  <c r="S3731" i="1" s="1"/>
  <c r="R3732" i="1"/>
  <c r="R3357" i="1"/>
  <c r="R4011" i="1"/>
  <c r="R4010" i="1" s="1"/>
  <c r="R3846" i="1"/>
  <c r="S3846" i="1"/>
  <c r="T3846" i="1" s="1"/>
  <c r="R4205" i="1"/>
  <c r="S4205" i="1"/>
  <c r="T4205" i="1" s="1"/>
  <c r="R2975" i="1"/>
  <c r="R3053" i="1"/>
  <c r="R3052" i="1" s="1"/>
  <c r="R3051" i="1" s="1"/>
  <c r="O3032" i="1"/>
  <c r="R3031" i="1"/>
  <c r="O3530" i="1"/>
  <c r="R3529" i="1"/>
  <c r="R4183" i="1"/>
  <c r="S4183" i="1"/>
  <c r="S4182" i="1" s="1"/>
  <c r="R6228" i="1"/>
  <c r="S4298" i="1"/>
  <c r="T4298" i="1" s="1"/>
  <c r="R4298" i="1"/>
  <c r="R4330" i="1"/>
  <c r="S4362" i="1"/>
  <c r="S4361" i="1" s="1"/>
  <c r="R4362" i="1"/>
  <c r="R4394" i="1"/>
  <c r="R4690" i="1"/>
  <c r="R5330" i="1"/>
  <c r="R5362" i="1"/>
  <c r="S5362" i="1"/>
  <c r="S5361" i="1" s="1"/>
  <c r="O5434" i="1"/>
  <c r="R5433" i="1"/>
  <c r="R5529" i="1"/>
  <c r="R5593" i="1"/>
  <c r="S5593" i="1"/>
  <c r="T5593" i="1" s="1"/>
  <c r="R5625" i="1"/>
  <c r="S5625" i="1"/>
  <c r="T5625" i="1" s="1"/>
  <c r="R5657" i="1"/>
  <c r="R5656" i="1" s="1"/>
  <c r="S5657" i="1"/>
  <c r="S5656" i="1" s="1"/>
  <c r="S5689" i="1"/>
  <c r="S5688" i="1" s="1"/>
  <c r="R5689" i="1"/>
  <c r="R5721" i="1"/>
  <c r="S5721" i="1"/>
  <c r="T5721" i="1" s="1"/>
  <c r="R6201" i="1"/>
  <c r="S6201" i="1"/>
  <c r="T6201" i="1" s="1"/>
  <c r="O6249" i="1"/>
  <c r="R6249" i="1" s="1"/>
  <c r="O3358" i="1"/>
  <c r="O3793" i="1"/>
  <c r="R3792" i="1"/>
  <c r="R3937" i="1"/>
  <c r="R3881" i="1"/>
  <c r="S4206" i="1"/>
  <c r="T4206" i="1" s="1"/>
  <c r="R4206" i="1"/>
  <c r="S2962" i="1"/>
  <c r="S2961" i="1" s="1"/>
  <c r="R2962" i="1"/>
  <c r="R2961" i="1" s="1"/>
  <c r="R4147" i="1"/>
  <c r="R4163" i="1"/>
  <c r="S4371" i="1"/>
  <c r="T4371" i="1" s="1"/>
  <c r="R4371" i="1"/>
  <c r="O4468" i="1"/>
  <c r="O4563" i="1"/>
  <c r="O4691" i="1"/>
  <c r="R4691" i="1" s="1"/>
  <c r="O5267" i="1"/>
  <c r="O5331" i="1"/>
  <c r="R5363" i="1"/>
  <c r="S5363" i="1"/>
  <c r="T5363" i="1" s="1"/>
  <c r="O5395" i="1"/>
  <c r="S5442" i="1"/>
  <c r="T5442" i="1" s="1"/>
  <c r="R5442" i="1"/>
  <c r="O5538" i="1"/>
  <c r="S5642" i="1"/>
  <c r="T5642" i="1" s="1"/>
  <c r="R5642" i="1"/>
  <c r="R5706" i="1"/>
  <c r="S5706" i="1"/>
  <c r="T5706" i="1" s="1"/>
  <c r="R5802" i="1"/>
  <c r="S5802" i="1"/>
  <c r="T5802" i="1" s="1"/>
  <c r="R5930" i="1"/>
  <c r="R6090" i="1"/>
  <c r="R6154" i="1"/>
  <c r="R6131" i="1"/>
  <c r="R6130" i="1" s="1"/>
  <c r="R5167" i="1"/>
  <c r="R5166" i="1" s="1"/>
  <c r="R5165" i="1" s="1"/>
  <c r="S5167" i="1"/>
  <c r="S5166" i="1" s="1"/>
  <c r="S5165" i="1" s="1"/>
  <c r="R5660" i="1"/>
  <c r="S5660" i="1"/>
  <c r="T5660" i="1" s="1"/>
  <c r="R6197" i="1"/>
  <c r="O6198" i="1"/>
  <c r="R3822" i="1"/>
  <c r="O3823" i="1"/>
  <c r="R3196" i="1"/>
  <c r="O3197" i="1"/>
  <c r="S6267" i="1"/>
  <c r="S6266" i="1" s="1"/>
  <c r="R6267" i="1"/>
  <c r="R3871" i="1"/>
  <c r="S3871" i="1"/>
  <c r="T3871" i="1" s="1"/>
  <c r="O4095" i="1"/>
  <c r="O2978" i="1"/>
  <c r="R2977" i="1"/>
  <c r="R3033" i="1"/>
  <c r="O3080" i="1"/>
  <c r="O3117" i="1"/>
  <c r="O3399" i="1"/>
  <c r="O3626" i="1"/>
  <c r="R3625" i="1"/>
  <c r="O4148" i="1"/>
  <c r="O2992" i="1"/>
  <c r="R2991" i="1"/>
  <c r="O4429" i="1"/>
  <c r="R4428" i="1"/>
  <c r="S4508" i="1"/>
  <c r="T4508" i="1" s="1"/>
  <c r="R4508" i="1"/>
  <c r="O4734" i="1"/>
  <c r="O4828" i="1"/>
  <c r="R5020" i="1"/>
  <c r="O5021" i="1"/>
  <c r="R5152" i="1"/>
  <c r="R5151" i="1" s="1"/>
  <c r="R5150" i="1" s="1"/>
  <c r="R5149" i="1" s="1"/>
  <c r="R5148" i="1" s="1"/>
  <c r="O5153" i="1"/>
  <c r="R5373" i="1"/>
  <c r="S5373" i="1"/>
  <c r="S5372" i="1" s="1"/>
  <c r="R5667" i="1"/>
  <c r="S5667" i="1"/>
  <c r="T5667" i="1" s="1"/>
  <c r="R5699" i="1"/>
  <c r="S5699" i="1"/>
  <c r="T5699" i="1" s="1"/>
  <c r="R5771" i="1"/>
  <c r="S5771" i="1"/>
  <c r="T5771" i="1" s="1"/>
  <c r="S5803" i="1"/>
  <c r="T5803" i="1" s="1"/>
  <c r="R5803" i="1"/>
  <c r="R5899" i="1"/>
  <c r="O5931" i="1"/>
  <c r="O6091" i="1"/>
  <c r="O6203" i="1"/>
  <c r="S5357" i="1"/>
  <c r="T5357" i="1" s="1"/>
  <c r="R5357" i="1"/>
  <c r="O5524" i="1"/>
  <c r="R5756" i="1"/>
  <c r="S5756" i="1"/>
  <c r="T5756" i="1" s="1"/>
  <c r="O5949" i="1"/>
  <c r="R6196" i="1"/>
  <c r="S6196" i="1"/>
  <c r="T6196" i="1" s="1"/>
  <c r="R6205" i="1"/>
  <c r="S6205" i="1"/>
  <c r="T6205" i="1" s="1"/>
  <c r="R6235" i="1"/>
  <c r="R6258" i="1"/>
  <c r="R6291" i="1"/>
  <c r="R3913" i="1"/>
  <c r="O3914" i="1"/>
  <c r="O3115" i="1"/>
  <c r="R3439" i="1"/>
  <c r="S3439" i="1"/>
  <c r="T3439" i="1" s="1"/>
  <c r="S4469" i="1"/>
  <c r="T4469" i="1" s="1"/>
  <c r="R4469" i="1"/>
  <c r="R4541" i="1"/>
  <c r="R4781" i="1"/>
  <c r="O4782" i="1"/>
  <c r="O6236" i="1"/>
  <c r="O6260" i="1"/>
  <c r="R3911" i="1"/>
  <c r="O3912" i="1"/>
  <c r="O2972" i="1"/>
  <c r="O2973" i="1" s="1"/>
  <c r="O2974" i="1" s="1"/>
  <c r="O3043" i="1"/>
  <c r="O3214" i="1"/>
  <c r="R3213" i="1"/>
  <c r="R3212" i="1" s="1"/>
  <c r="R4559" i="1"/>
  <c r="S4559" i="1"/>
  <c r="S4558" i="1" s="1"/>
  <c r="R4880" i="1"/>
  <c r="R4879" i="1" s="1"/>
  <c r="R4878" i="1" s="1"/>
  <c r="O4881" i="1"/>
  <c r="O5086" i="1"/>
  <c r="O5429" i="1"/>
  <c r="R5574" i="1"/>
  <c r="S5574" i="1"/>
  <c r="S5573" i="1" s="1"/>
  <c r="O5607" i="1"/>
  <c r="R5638" i="1"/>
  <c r="R5637" i="1" s="1"/>
  <c r="S5638" i="1"/>
  <c r="S5637" i="1" s="1"/>
  <c r="R5749" i="1"/>
  <c r="S5749" i="1"/>
  <c r="T5749" i="1" s="1"/>
  <c r="O4056" i="1"/>
  <c r="R4055" i="1"/>
  <c r="R4156" i="1"/>
  <c r="S4156" i="1"/>
  <c r="S4155" i="1" s="1"/>
  <c r="S4250" i="1"/>
  <c r="S4249" i="1" s="1"/>
  <c r="S4248" i="1" s="1"/>
  <c r="R4250" i="1"/>
  <c r="R4249" i="1" s="1"/>
  <c r="R4248" i="1" s="1"/>
  <c r="S4280" i="1"/>
  <c r="S4279" i="1" s="1"/>
  <c r="R4280" i="1"/>
  <c r="R4319" i="1"/>
  <c r="S4319" i="1"/>
  <c r="S4318" i="1" s="1"/>
  <c r="S4536" i="1"/>
  <c r="S4535" i="1" s="1"/>
  <c r="T4535" i="1" s="1"/>
  <c r="R4536" i="1"/>
  <c r="S4656" i="1"/>
  <c r="S4655" i="1" s="1"/>
  <c r="T4655" i="1" s="1"/>
  <c r="R4656" i="1"/>
  <c r="R4655" i="1" s="1"/>
  <c r="R5224" i="1"/>
  <c r="R5223" i="1" s="1"/>
  <c r="O5225" i="1"/>
  <c r="R5543" i="1"/>
  <c r="S5543" i="1"/>
  <c r="S5542" i="1" s="1"/>
  <c r="S3046" i="1"/>
  <c r="S3045" i="1" s="1"/>
  <c r="S3044" i="1" s="1"/>
  <c r="R3046" i="1"/>
  <c r="O4432" i="1"/>
  <c r="S5440" i="1"/>
  <c r="T5440" i="1" s="1"/>
  <c r="R5440" i="1"/>
  <c r="R6151" i="1"/>
  <c r="O6152" i="1"/>
  <c r="O6153" i="1" s="1"/>
  <c r="O3637" i="1"/>
  <c r="O3863" i="1"/>
  <c r="R3862" i="1"/>
  <c r="R3097" i="1"/>
  <c r="S3097" i="1"/>
  <c r="S3096" i="1" s="1"/>
  <c r="S3524" i="1"/>
  <c r="S3523" i="1" s="1"/>
  <c r="R3524" i="1"/>
  <c r="R5090" i="1"/>
  <c r="R5089" i="1" s="1"/>
  <c r="R5577" i="1"/>
  <c r="S5577" i="1"/>
  <c r="S4012" i="1"/>
  <c r="S4011" i="1" s="1"/>
  <c r="S4010" i="1" s="1"/>
  <c r="R4012" i="1"/>
  <c r="O3388" i="1"/>
  <c r="R4547" i="1"/>
  <c r="S4547" i="1"/>
  <c r="T4547" i="1" s="1"/>
  <c r="O5315" i="1"/>
  <c r="S5554" i="1"/>
  <c r="S5553" i="1" s="1"/>
  <c r="S5552" i="1" s="1"/>
  <c r="R5554" i="1"/>
  <c r="R5553" i="1" s="1"/>
  <c r="R3608" i="1"/>
  <c r="R4412" i="1"/>
  <c r="S4412" i="1"/>
  <c r="S4411" i="1" s="1"/>
  <c r="O4413" i="1"/>
  <c r="O5979" i="1"/>
  <c r="R6254" i="1"/>
  <c r="S6254" i="1"/>
  <c r="S6253" i="1" s="1"/>
  <c r="O6255" i="1"/>
  <c r="O3220" i="1"/>
  <c r="S3219" i="1"/>
  <c r="S3218" i="1" s="1"/>
  <c r="R3219" i="1"/>
  <c r="S4437" i="1"/>
  <c r="S4436" i="1" s="1"/>
  <c r="R4437" i="1"/>
  <c r="R4997" i="1"/>
  <c r="S4997" i="1"/>
  <c r="S4996" i="1" s="1"/>
  <c r="O4998" i="1"/>
  <c r="O4999" i="1" s="1"/>
  <c r="R4815" i="1"/>
  <c r="S4815" i="1"/>
  <c r="S4814" i="1" s="1"/>
  <c r="S4813" i="1" s="1"/>
  <c r="S4812" i="1" s="1"/>
  <c r="R5424" i="1"/>
  <c r="R5423" i="1" s="1"/>
  <c r="S5424" i="1"/>
  <c r="S5423" i="1" s="1"/>
  <c r="S6296" i="1"/>
  <c r="R6296" i="1"/>
  <c r="R4023" i="1"/>
  <c r="S4023" i="1"/>
  <c r="S4022" i="1" s="1"/>
  <c r="S4021" i="1" s="1"/>
  <c r="R3703" i="1"/>
  <c r="R3702" i="1" s="1"/>
  <c r="R3701" i="1" s="1"/>
  <c r="O3704" i="1"/>
  <c r="S3494" i="1"/>
  <c r="S3493" i="1" s="1"/>
  <c r="R3494" i="1"/>
  <c r="S4243" i="1"/>
  <c r="S4242" i="1" s="1"/>
  <c r="S4241" i="1" s="1"/>
  <c r="R4243" i="1"/>
  <c r="R4242" i="1" s="1"/>
  <c r="R4241" i="1" s="1"/>
  <c r="S4306" i="1"/>
  <c r="R4306" i="1"/>
  <c r="R4434" i="1"/>
  <c r="S4434" i="1"/>
  <c r="S4433" i="1" s="1"/>
  <c r="S4474" i="1"/>
  <c r="S4473" i="1" s="1"/>
  <c r="S4472" i="1" s="1"/>
  <c r="S4471" i="1" s="1"/>
  <c r="R4474" i="1"/>
  <c r="R4506" i="1"/>
  <c r="S4666" i="1"/>
  <c r="S4665" i="1" s="1"/>
  <c r="R4666" i="1"/>
  <c r="S4698" i="1"/>
  <c r="S4697" i="1" s="1"/>
  <c r="S4696" i="1" s="1"/>
  <c r="S4695" i="1" s="1"/>
  <c r="R4698" i="1"/>
  <c r="R4697" i="1" s="1"/>
  <c r="R4696" i="1" s="1"/>
  <c r="R4695" i="1" s="1"/>
  <c r="S4762" i="1"/>
  <c r="S4761" i="1" s="1"/>
  <c r="S4760" i="1" s="1"/>
  <c r="R4762" i="1"/>
  <c r="S4794" i="1"/>
  <c r="S4793" i="1" s="1"/>
  <c r="R4794" i="1"/>
  <c r="R4922" i="1"/>
  <c r="R5018" i="1"/>
  <c r="S5018" i="1"/>
  <c r="S5017" i="1" s="1"/>
  <c r="R5082" i="1"/>
  <c r="R5081" i="1" s="1"/>
  <c r="R5080" i="1" s="1"/>
  <c r="R5079" i="1" s="1"/>
  <c r="R5078" i="1" s="1"/>
  <c r="R5077" i="1" s="1"/>
  <c r="R5505" i="1"/>
  <c r="S5569" i="1"/>
  <c r="T5569" i="1" s="1"/>
  <c r="R5601" i="1"/>
  <c r="S5665" i="1"/>
  <c r="T5665" i="1" s="1"/>
  <c r="R5665" i="1"/>
  <c r="R5697" i="1"/>
  <c r="R5696" i="1" s="1"/>
  <c r="S5697" i="1"/>
  <c r="S5696" i="1" s="1"/>
  <c r="R5761" i="1"/>
  <c r="S5761" i="1"/>
  <c r="S5760" i="1" s="1"/>
  <c r="O5793" i="1"/>
  <c r="R5857" i="1"/>
  <c r="R5856" i="1" s="1"/>
  <c r="R5855" i="1" s="1"/>
  <c r="R5854" i="1" s="1"/>
  <c r="R5853" i="1" s="1"/>
  <c r="S5889" i="1"/>
  <c r="S5888" i="1" s="1"/>
  <c r="R5889" i="1"/>
  <c r="R6209" i="1"/>
  <c r="O4032" i="1"/>
  <c r="R4214" i="1"/>
  <c r="R2976" i="1"/>
  <c r="O3054" i="1"/>
  <c r="S3294" i="1"/>
  <c r="S3293" i="1" s="1"/>
  <c r="S3292" i="1" s="1"/>
  <c r="S3291" i="1" s="1"/>
  <c r="R3294" i="1"/>
  <c r="O3538" i="1"/>
  <c r="O3302" i="1"/>
  <c r="O3495" i="1"/>
  <c r="O3648" i="1"/>
  <c r="O3770" i="1"/>
  <c r="O4347" i="1"/>
  <c r="R4411" i="1"/>
  <c r="O4475" i="1"/>
  <c r="O4603" i="1"/>
  <c r="O4731" i="1"/>
  <c r="O4763" i="1"/>
  <c r="R4795" i="1"/>
  <c r="O4923" i="1"/>
  <c r="R4923" i="1" s="1"/>
  <c r="O5019" i="1"/>
  <c r="O5083" i="1"/>
  <c r="R5450" i="1"/>
  <c r="S5450" i="1"/>
  <c r="T5450" i="1" s="1"/>
  <c r="O5482" i="1"/>
  <c r="R5810" i="1"/>
  <c r="S5810" i="1"/>
  <c r="T5810" i="1" s="1"/>
  <c r="O5938" i="1"/>
  <c r="O6034" i="1"/>
  <c r="S5349" i="1"/>
  <c r="T5349" i="1" s="1"/>
  <c r="O5596" i="1"/>
  <c r="R5804" i="1"/>
  <c r="S5804" i="1"/>
  <c r="T5804" i="1" s="1"/>
  <c r="R6286" i="1"/>
  <c r="S6286" i="1"/>
  <c r="S6285" i="1" s="1"/>
  <c r="O6287" i="1"/>
  <c r="R3843" i="1"/>
  <c r="R4223" i="1"/>
  <c r="S4223" i="1"/>
  <c r="T4223" i="1" s="1"/>
  <c r="O3016" i="1"/>
  <c r="R3248" i="1"/>
  <c r="R3247" i="1" s="1"/>
  <c r="R3246" i="1" s="1"/>
  <c r="O3249" i="1"/>
  <c r="R3312" i="1"/>
  <c r="R3311" i="1" s="1"/>
  <c r="R3310" i="1" s="1"/>
  <c r="O3313" i="1"/>
  <c r="O3571" i="1"/>
  <c r="R3496" i="1"/>
  <c r="O3497" i="1"/>
  <c r="O4165" i="1"/>
  <c r="O4245" i="1"/>
  <c r="R4372" i="1"/>
  <c r="R4404" i="1"/>
  <c r="R4436" i="1"/>
  <c r="O4516" i="1"/>
  <c r="S4548" i="1"/>
  <c r="T4548" i="1" s="1"/>
  <c r="R4548" i="1"/>
  <c r="R4676" i="1"/>
  <c r="O4677" i="1"/>
  <c r="R4836" i="1"/>
  <c r="S4836" i="1"/>
  <c r="T4836" i="1" s="1"/>
  <c r="O4900" i="1"/>
  <c r="R4996" i="1"/>
  <c r="R5316" i="1"/>
  <c r="S5348" i="1"/>
  <c r="T5348" i="1" s="1"/>
  <c r="S5443" i="1"/>
  <c r="T5443" i="1" s="1"/>
  <c r="O5475" i="1"/>
  <c r="S5507" i="1"/>
  <c r="T5507" i="1" s="1"/>
  <c r="R5539" i="1"/>
  <c r="S5611" i="1"/>
  <c r="T5611" i="1" s="1"/>
  <c r="S5460" i="1"/>
  <c r="T5460" i="1" s="1"/>
  <c r="R5460" i="1"/>
  <c r="S5780" i="1"/>
  <c r="T5780" i="1" s="1"/>
  <c r="O3750" i="1"/>
  <c r="R3749" i="1"/>
  <c r="O4039" i="1"/>
  <c r="R4038" i="1"/>
  <c r="S4216" i="1"/>
  <c r="T4216" i="1" s="1"/>
  <c r="R4216" i="1"/>
  <c r="O3034" i="1"/>
  <c r="R3084" i="1"/>
  <c r="O3085" i="1"/>
  <c r="O3650" i="1"/>
  <c r="R4301" i="1"/>
  <c r="O4302" i="1"/>
  <c r="O4421" i="1"/>
  <c r="R4613" i="1"/>
  <c r="S4613" i="1"/>
  <c r="T4613" i="1" s="1"/>
  <c r="R4823" i="1"/>
  <c r="R4822" i="1" s="1"/>
  <c r="R4821" i="1" s="1"/>
  <c r="O4824" i="1"/>
  <c r="R5612" i="1"/>
  <c r="S5612" i="1"/>
  <c r="T5612" i="1" s="1"/>
  <c r="O4141" i="1"/>
  <c r="R4140" i="1"/>
  <c r="R4139" i="1" s="1"/>
  <c r="R3315" i="1"/>
  <c r="S3315" i="1"/>
  <c r="S3314" i="1" s="1"/>
  <c r="S3491" i="1"/>
  <c r="S3490" i="1" s="1"/>
  <c r="R3491" i="1"/>
  <c r="O3492" i="1"/>
  <c r="R4240" i="1"/>
  <c r="R4239" i="1" s="1"/>
  <c r="S4240" i="1"/>
  <c r="S4239" i="1" s="1"/>
  <c r="R4351" i="1"/>
  <c r="S4351" i="1"/>
  <c r="S4350" i="1" s="1"/>
  <c r="R4456" i="1"/>
  <c r="R4455" i="1" s="1"/>
  <c r="R4454" i="1" s="1"/>
  <c r="S4456" i="1"/>
  <c r="S4455" i="1" s="1"/>
  <c r="S4454" i="1" s="1"/>
  <c r="R5685" i="1"/>
  <c r="O5686" i="1"/>
  <c r="O5717" i="1"/>
  <c r="R3158" i="1"/>
  <c r="S3158" i="1"/>
  <c r="S3157" i="1" s="1"/>
  <c r="R3028" i="1"/>
  <c r="O3029" i="1"/>
  <c r="R3373" i="1"/>
  <c r="R3372" i="1" s="1"/>
  <c r="O3374" i="1"/>
  <c r="S4624" i="1"/>
  <c r="S4623" i="1" s="1"/>
  <c r="T4623" i="1" s="1"/>
  <c r="R4624" i="1"/>
  <c r="R5695" i="1"/>
  <c r="S5695" i="1"/>
  <c r="S5694" i="1" s="1"/>
  <c r="R5329" i="1"/>
  <c r="S5329" i="1"/>
  <c r="S5328" i="1" s="1"/>
  <c r="R5456" i="1"/>
  <c r="S5456" i="1"/>
  <c r="T5456" i="1" s="1"/>
  <c r="O4897" i="1"/>
  <c r="R4632" i="1"/>
  <c r="S4632" i="1"/>
  <c r="T4632" i="1" s="1"/>
  <c r="R5519" i="1"/>
  <c r="O5520" i="1"/>
  <c r="R4801" i="1"/>
  <c r="S4801" i="1"/>
  <c r="T4801" i="1" s="1"/>
  <c r="R5824" i="1"/>
  <c r="S5824" i="1"/>
  <c r="S5823" i="1" s="1"/>
  <c r="S3060" i="1"/>
  <c r="S3059" i="1" s="1"/>
  <c r="R3060" i="1"/>
  <c r="R3191" i="1"/>
  <c r="S3191" i="1"/>
  <c r="S3190" i="1" s="1"/>
  <c r="R5690" i="1"/>
  <c r="S5690" i="1"/>
  <c r="R3739" i="1"/>
  <c r="S3739" i="1"/>
  <c r="S3738" i="1" s="1"/>
  <c r="T3738" i="1" s="1"/>
  <c r="R3180" i="1"/>
  <c r="S3180" i="1"/>
  <c r="S3179" i="1" s="1"/>
  <c r="T3179" i="1" s="1"/>
  <c r="R3908" i="1"/>
  <c r="R3907" i="1" s="1"/>
  <c r="O3909" i="1"/>
  <c r="R4653" i="1"/>
  <c r="R4652" i="1" s="1"/>
  <c r="S4653" i="1"/>
  <c r="S4652" i="1" s="1"/>
  <c r="T4652" i="1" s="1"/>
  <c r="R5037" i="1"/>
  <c r="O5038" i="1"/>
  <c r="R3110" i="1"/>
  <c r="S3110" i="1"/>
  <c r="S3109" i="1" s="1"/>
  <c r="T3109" i="1" s="1"/>
  <c r="S4574" i="1"/>
  <c r="S4573" i="1" s="1"/>
  <c r="R4574" i="1"/>
  <c r="O4575" i="1"/>
  <c r="O3235" i="1"/>
  <c r="R3234" i="1"/>
  <c r="R3233" i="1" s="1"/>
  <c r="R3232" i="1" s="1"/>
  <c r="R5800" i="1"/>
  <c r="R6301" i="1"/>
  <c r="S6301" i="1"/>
  <c r="T6301" i="1" s="1"/>
  <c r="R6264" i="1"/>
  <c r="O3747" i="1"/>
  <c r="R3746" i="1"/>
  <c r="R3177" i="1"/>
  <c r="R3847" i="1"/>
  <c r="R4136" i="1"/>
  <c r="R4135" i="1" s="1"/>
  <c r="R3888" i="1"/>
  <c r="S3888" i="1"/>
  <c r="S3887" i="1" s="1"/>
  <c r="S4213" i="1"/>
  <c r="T4213" i="1" s="1"/>
  <c r="R4213" i="1"/>
  <c r="S3142" i="1"/>
  <c r="S3141" i="1" s="1"/>
  <c r="R3142" i="1"/>
  <c r="R3574" i="1"/>
  <c r="O3575" i="1"/>
  <c r="R3331" i="1"/>
  <c r="R3755" i="1"/>
  <c r="R4338" i="1"/>
  <c r="S4370" i="1"/>
  <c r="T4370" i="1" s="1"/>
  <c r="R4370" i="1"/>
  <c r="R4402" i="1"/>
  <c r="R4634" i="1"/>
  <c r="R5338" i="1"/>
  <c r="S5338" i="1"/>
  <c r="T5338" i="1" s="1"/>
  <c r="R5370" i="1"/>
  <c r="S5370" i="1"/>
  <c r="T5370" i="1" s="1"/>
  <c r="R5441" i="1"/>
  <c r="S5441" i="1"/>
  <c r="T5441" i="1" s="1"/>
  <c r="R5473" i="1"/>
  <c r="S5473" i="1"/>
  <c r="T5473" i="1" s="1"/>
  <c r="S5825" i="1"/>
  <c r="T5825" i="1" s="1"/>
  <c r="R5825" i="1"/>
  <c r="O6210" i="1"/>
  <c r="O6233" i="1"/>
  <c r="R6233" i="1" s="1"/>
  <c r="O6257" i="1"/>
  <c r="S6257" i="1" s="1"/>
  <c r="S6256" i="1" s="1"/>
  <c r="O3733" i="1"/>
  <c r="O3935" i="1"/>
  <c r="R3889" i="1"/>
  <c r="S3889" i="1"/>
  <c r="T3889" i="1" s="1"/>
  <c r="R3024" i="1"/>
  <c r="S4283" i="1"/>
  <c r="T4283" i="1" s="1"/>
  <c r="R4283" i="1"/>
  <c r="O4507" i="1"/>
  <c r="O4635" i="1"/>
  <c r="S4635" i="1" s="1"/>
  <c r="S4634" i="1" s="1"/>
  <c r="R5339" i="1"/>
  <c r="S5339" i="1"/>
  <c r="T5339" i="1" s="1"/>
  <c r="S5371" i="1"/>
  <c r="T5371" i="1" s="1"/>
  <c r="R5371" i="1"/>
  <c r="O5514" i="1"/>
  <c r="R5586" i="1"/>
  <c r="S5586" i="1"/>
  <c r="T5586" i="1" s="1"/>
  <c r="R5618" i="1"/>
  <c r="S5618" i="1"/>
  <c r="T5618" i="1" s="1"/>
  <c r="O5650" i="1"/>
  <c r="O5682" i="1"/>
  <c r="R5906" i="1"/>
  <c r="R6162" i="1"/>
  <c r="S6162" i="1"/>
  <c r="T6162" i="1" s="1"/>
  <c r="R6194" i="1"/>
  <c r="S6211" i="1"/>
  <c r="T6211" i="1" s="1"/>
  <c r="R6211" i="1"/>
  <c r="R5508" i="1"/>
  <c r="O5509" i="1"/>
  <c r="R5876" i="1"/>
  <c r="S5876" i="1"/>
  <c r="T5876" i="1" s="1"/>
  <c r="O6132" i="1"/>
  <c r="R6204" i="1"/>
  <c r="S6204" i="1"/>
  <c r="T6204" i="1" s="1"/>
  <c r="R6213" i="1"/>
  <c r="S6213" i="1"/>
  <c r="T6213" i="1" s="1"/>
  <c r="R4211" i="1"/>
  <c r="O2995" i="1"/>
  <c r="S6283" i="1"/>
  <c r="S6282" i="1" s="1"/>
  <c r="R6283" i="1"/>
  <c r="O6284" i="1"/>
  <c r="O4072" i="1"/>
  <c r="O3938" i="1"/>
  <c r="O3193" i="1"/>
  <c r="R3192" i="1"/>
  <c r="O2953" i="1"/>
  <c r="O3091" i="1"/>
  <c r="R3550" i="1"/>
  <c r="O3324" i="1"/>
  <c r="R3323" i="1"/>
  <c r="R3771" i="1"/>
  <c r="O3772" i="1"/>
  <c r="O4276" i="1"/>
  <c r="O4277" i="1" s="1"/>
  <c r="O4308" i="1"/>
  <c r="S4405" i="1"/>
  <c r="S4404" i="1" s="1"/>
  <c r="R4405" i="1"/>
  <c r="O4772" i="1"/>
  <c r="S4804" i="1"/>
  <c r="T4804" i="1" s="1"/>
  <c r="R4804" i="1"/>
  <c r="R5707" i="1"/>
  <c r="S5707" i="1"/>
  <c r="T5707" i="1" s="1"/>
  <c r="R5779" i="1"/>
  <c r="S5779" i="1"/>
  <c r="T5779" i="1" s="1"/>
  <c r="O5875" i="1"/>
  <c r="O5907" i="1"/>
  <c r="O5971" i="1"/>
  <c r="O6155" i="1"/>
  <c r="R5205" i="1"/>
  <c r="S5205" i="1"/>
  <c r="S5204" i="1" s="1"/>
  <c r="R5382" i="1"/>
  <c r="R5381" i="1" s="1"/>
  <c r="S5382" i="1"/>
  <c r="S5381" i="1" s="1"/>
  <c r="T5381" i="1" s="1"/>
  <c r="R5540" i="1"/>
  <c r="S5540" i="1"/>
  <c r="T5540" i="1" s="1"/>
  <c r="R5708" i="1"/>
  <c r="S5708" i="1"/>
  <c r="T5708" i="1" s="1"/>
  <c r="O5900" i="1"/>
  <c r="R5966" i="1"/>
  <c r="R5965" i="1" s="1"/>
  <c r="R5964" i="1" s="1"/>
  <c r="S5966" i="1"/>
  <c r="S5965" i="1" s="1"/>
  <c r="S5964" i="1" s="1"/>
  <c r="R6148" i="1"/>
  <c r="S6148" i="1"/>
  <c r="T6148" i="1" s="1"/>
  <c r="R6212" i="1"/>
  <c r="S6212" i="1"/>
  <c r="T6212" i="1" s="1"/>
  <c r="R6300" i="1"/>
  <c r="S6300" i="1"/>
  <c r="S6299" i="1" s="1"/>
  <c r="O3356" i="1"/>
  <c r="R3355" i="1"/>
  <c r="R4144" i="1"/>
  <c r="S4144" i="1"/>
  <c r="S4143" i="1" s="1"/>
  <c r="O4145" i="1"/>
  <c r="O4146" i="1" s="1"/>
  <c r="R3049" i="1"/>
  <c r="R3048" i="1" s="1"/>
  <c r="R3047" i="1" s="1"/>
  <c r="R6304" i="1"/>
  <c r="R6266" i="1"/>
  <c r="R6226" i="1"/>
  <c r="O3866" i="1"/>
  <c r="O3905" i="1"/>
  <c r="R4018" i="1"/>
  <c r="R3006" i="1"/>
  <c r="O3007" i="1"/>
  <c r="O3321" i="1"/>
  <c r="O3551" i="1"/>
  <c r="R3527" i="1"/>
  <c r="O3528" i="1"/>
  <c r="O3762" i="1"/>
  <c r="R4376" i="1"/>
  <c r="R4375" i="1" s="1"/>
  <c r="R4374" i="1" s="1"/>
  <c r="R4373" i="1" s="1"/>
  <c r="O4377" i="1"/>
  <c r="O4477" i="1"/>
  <c r="R4511" i="1"/>
  <c r="R4510" i="1" s="1"/>
  <c r="R4509" i="1" s="1"/>
  <c r="O4512" i="1"/>
  <c r="R4581" i="1"/>
  <c r="O4582" i="1"/>
  <c r="R4687" i="1"/>
  <c r="R4686" i="1" s="1"/>
  <c r="R4685" i="1" s="1"/>
  <c r="O4688" i="1"/>
  <c r="O4790" i="1"/>
  <c r="O6305" i="1"/>
  <c r="O6268" i="1"/>
  <c r="R3867" i="1"/>
  <c r="O3868" i="1"/>
  <c r="O4020" i="1"/>
  <c r="O3280" i="1"/>
  <c r="R3279" i="1"/>
  <c r="S3754" i="1"/>
  <c r="S3753" i="1" s="1"/>
  <c r="R3754" i="1"/>
  <c r="O5094" i="1"/>
  <c r="R5550" i="1"/>
  <c r="R5549" i="1" s="1"/>
  <c r="O5551" i="1"/>
  <c r="R5758" i="1"/>
  <c r="R5757" i="1" s="1"/>
  <c r="S5758" i="1"/>
  <c r="S5757" i="1" s="1"/>
  <c r="T5757" i="1" s="1"/>
  <c r="R5902" i="1"/>
  <c r="S5902" i="1"/>
  <c r="S5901" i="1" s="1"/>
  <c r="R4143" i="1"/>
  <c r="R3134" i="1"/>
  <c r="R3133" i="1" s="1"/>
  <c r="R3132" i="1" s="1"/>
  <c r="O3135" i="1"/>
  <c r="S3506" i="1"/>
  <c r="S3505" i="1" s="1"/>
  <c r="R3506" i="1"/>
  <c r="S4258" i="1"/>
  <c r="S4257" i="1" s="1"/>
  <c r="S4256" i="1" s="1"/>
  <c r="R4258" i="1"/>
  <c r="R4257" i="1" s="1"/>
  <c r="R4256" i="1" s="1"/>
  <c r="R3758" i="1"/>
  <c r="S3758" i="1"/>
  <c r="S3757" i="1" s="1"/>
  <c r="R4337" i="1"/>
  <c r="S4337" i="1"/>
  <c r="S4336" i="1" s="1"/>
  <c r="T4336" i="1" s="1"/>
  <c r="S4353" i="1"/>
  <c r="S4352" i="1" s="1"/>
  <c r="R4353" i="1"/>
  <c r="S2986" i="1"/>
  <c r="S2985" i="1" s="1"/>
  <c r="R2986" i="1"/>
  <c r="O4465" i="1"/>
  <c r="R4761" i="1"/>
  <c r="R4760" i="1" s="1"/>
  <c r="S6199" i="1"/>
  <c r="T6199" i="1" s="1"/>
  <c r="R6199" i="1"/>
  <c r="O6280" i="1"/>
  <c r="R4224" i="1"/>
  <c r="S4224" i="1"/>
  <c r="T4224" i="1" s="1"/>
  <c r="R3278" i="1"/>
  <c r="S3278" i="1"/>
  <c r="T3278" i="1" s="1"/>
  <c r="R3045" i="1"/>
  <c r="R3044" i="1" s="1"/>
  <c r="R3093" i="1"/>
  <c r="R3146" i="1"/>
  <c r="R3763" i="1"/>
  <c r="R4406" i="1"/>
  <c r="R4438" i="1"/>
  <c r="S4470" i="1"/>
  <c r="T4470" i="1" s="1"/>
  <c r="R4470" i="1"/>
  <c r="R4502" i="1"/>
  <c r="R4726" i="1"/>
  <c r="R5206" i="1"/>
  <c r="O5335" i="1"/>
  <c r="R5334" i="1"/>
  <c r="R5461" i="1"/>
  <c r="S5461" i="1"/>
  <c r="T5461" i="1" s="1"/>
  <c r="R5493" i="1"/>
  <c r="S5493" i="1"/>
  <c r="T5493" i="1" s="1"/>
  <c r="S5557" i="1"/>
  <c r="S5556" i="1" s="1"/>
  <c r="T5556" i="1" s="1"/>
  <c r="R5589" i="1"/>
  <c r="R5621" i="1"/>
  <c r="R5653" i="1"/>
  <c r="R5781" i="1"/>
  <c r="S5781" i="1"/>
  <c r="T5781" i="1" s="1"/>
  <c r="R3111" i="1"/>
  <c r="R3734" i="1"/>
  <c r="O3463" i="1"/>
  <c r="R3628" i="1"/>
  <c r="O4174" i="1"/>
  <c r="R4173" i="1"/>
  <c r="S4287" i="1"/>
  <c r="T4287" i="1" s="1"/>
  <c r="R4287" i="1"/>
  <c r="R5023" i="1"/>
  <c r="R5087" i="1"/>
  <c r="R5263" i="1"/>
  <c r="R5558" i="1"/>
  <c r="S5558" i="1"/>
  <c r="T5558" i="1" s="1"/>
  <c r="S5598" i="1"/>
  <c r="T5598" i="1" s="1"/>
  <c r="R5598" i="1"/>
  <c r="R5710" i="1"/>
  <c r="R5750" i="1"/>
  <c r="S5750" i="1"/>
  <c r="T5750" i="1" s="1"/>
  <c r="S6110" i="1"/>
  <c r="T6110" i="1" s="1"/>
  <c r="R6110" i="1"/>
  <c r="S6206" i="1"/>
  <c r="T6206" i="1" s="1"/>
  <c r="R6206" i="1"/>
  <c r="O3420" i="1"/>
  <c r="R3419" i="1"/>
  <c r="R6271" i="1"/>
  <c r="O3402" i="1"/>
  <c r="R3401" i="1"/>
  <c r="R4200" i="1"/>
  <c r="R5000" i="1"/>
  <c r="R5807" i="1"/>
  <c r="S6207" i="1"/>
  <c r="T6207" i="1" s="1"/>
  <c r="R6207" i="1"/>
  <c r="O3870" i="1"/>
  <c r="R4182" i="1"/>
  <c r="R4361" i="1"/>
  <c r="R4665" i="1"/>
  <c r="R4400" i="1"/>
  <c r="R5344" i="1"/>
  <c r="S5344" i="1"/>
  <c r="T5344" i="1" s="1"/>
  <c r="R5951" i="1"/>
  <c r="R3348" i="1"/>
  <c r="R4689" i="1"/>
  <c r="S4689" i="1"/>
  <c r="T4689" i="1" s="1"/>
  <c r="R5496" i="1"/>
  <c r="R5896" i="1"/>
  <c r="S5896" i="1"/>
  <c r="T5896" i="1" s="1"/>
  <c r="O4409" i="1"/>
  <c r="R4408" i="1"/>
  <c r="O5264" i="1"/>
  <c r="R5503" i="1"/>
  <c r="S5503" i="1"/>
  <c r="T5503" i="1" s="1"/>
  <c r="R3067" i="1"/>
  <c r="R4553" i="1"/>
  <c r="R5369" i="1"/>
  <c r="S5369" i="1"/>
  <c r="T5369" i="1" s="1"/>
  <c r="S5639" i="1"/>
  <c r="T5639" i="1" s="1"/>
  <c r="R5639" i="1"/>
  <c r="R5464" i="1"/>
  <c r="S5464" i="1"/>
  <c r="S5463" i="1" s="1"/>
  <c r="S5879" i="1"/>
  <c r="T5879" i="1" s="1"/>
  <c r="R5879" i="1"/>
  <c r="R5888" i="1"/>
  <c r="R5463" i="1"/>
  <c r="O5679" i="1"/>
  <c r="R5377" i="1"/>
  <c r="S5377" i="1"/>
  <c r="T5377" i="1" s="1"/>
  <c r="O3256" i="1"/>
  <c r="R3255" i="1"/>
  <c r="S2990" i="1"/>
  <c r="S2989" i="1" s="1"/>
  <c r="R2990" i="1"/>
  <c r="S4264" i="1"/>
  <c r="T4264" i="1" s="1"/>
  <c r="R4264" i="1"/>
  <c r="S4295" i="1"/>
  <c r="S4294" i="1" s="1"/>
  <c r="R4295" i="1"/>
  <c r="R4423" i="1"/>
  <c r="S4423" i="1"/>
  <c r="S4422" i="1" s="1"/>
  <c r="R4743" i="1"/>
  <c r="S4743" i="1"/>
  <c r="S4742" i="1" s="1"/>
  <c r="R5311" i="1"/>
  <c r="R5310" i="1" s="1"/>
  <c r="S5311" i="1"/>
  <c r="S5310" i="1" s="1"/>
  <c r="R5534" i="1"/>
  <c r="S5534" i="1"/>
  <c r="S5533" i="1" s="1"/>
  <c r="R5798" i="1"/>
  <c r="S5798" i="1"/>
  <c r="T5798" i="1" s="1"/>
  <c r="R5958" i="1"/>
  <c r="S5958" i="1"/>
  <c r="S5957" i="1" s="1"/>
  <c r="S6150" i="1"/>
  <c r="S6149" i="1" s="1"/>
  <c r="R6150" i="1"/>
  <c r="R6149" i="1" s="1"/>
  <c r="S6214" i="1"/>
  <c r="T6214" i="1" s="1"/>
  <c r="R6214" i="1"/>
  <c r="R3629" i="1"/>
  <c r="S3629" i="1"/>
  <c r="S3628" i="1" s="1"/>
  <c r="S3598" i="1"/>
  <c r="S3597" i="1" s="1"/>
  <c r="R3598" i="1"/>
  <c r="O5288" i="1"/>
  <c r="S5720" i="1"/>
  <c r="S5719" i="1" s="1"/>
  <c r="R5720" i="1"/>
  <c r="R5719" i="1" s="1"/>
  <c r="R5040" i="1"/>
  <c r="S5040" i="1"/>
  <c r="S5039" i="1" s="1"/>
  <c r="T5039" i="1" s="1"/>
  <c r="R5488" i="1"/>
  <c r="S5488" i="1"/>
  <c r="S5487" i="1" s="1"/>
  <c r="O4179" i="1"/>
  <c r="R5752" i="1"/>
  <c r="S5752" i="1"/>
  <c r="S5751" i="1" s="1"/>
  <c r="O5112" i="1"/>
  <c r="R5775" i="1"/>
  <c r="S5775" i="1"/>
  <c r="T5775" i="1" s="1"/>
  <c r="O3585" i="1"/>
  <c r="O3270" i="1"/>
  <c r="R3269" i="1"/>
  <c r="O4201" i="1"/>
  <c r="R4809" i="1"/>
  <c r="S4809" i="1"/>
  <c r="T4809" i="1" s="1"/>
  <c r="S5416" i="1"/>
  <c r="T5416" i="1" s="1"/>
  <c r="R5416" i="1"/>
  <c r="O5024" i="1"/>
  <c r="O5927" i="1"/>
  <c r="S5624" i="1"/>
  <c r="S5623" i="1" s="1"/>
  <c r="T5623" i="1" s="1"/>
  <c r="R5624" i="1"/>
  <c r="R5623" i="1" s="1"/>
  <c r="S5025" i="1"/>
  <c r="T5025" i="1" s="1"/>
  <c r="R5025" i="1"/>
  <c r="O6072" i="1"/>
  <c r="S3226" i="1"/>
  <c r="S3225" i="1" s="1"/>
  <c r="R3226" i="1"/>
  <c r="R3225" i="1" s="1"/>
  <c r="R4573" i="1"/>
  <c r="R4797" i="1"/>
  <c r="R4829" i="1"/>
  <c r="R3837" i="1"/>
  <c r="R4016" i="1"/>
  <c r="S2950" i="1"/>
  <c r="S2949" i="1" s="1"/>
  <c r="R2950" i="1"/>
  <c r="R2949" i="1" s="1"/>
  <c r="S3130" i="1"/>
  <c r="T3130" i="1" s="1"/>
  <c r="R3064" i="1"/>
  <c r="R3273" i="1"/>
  <c r="S3273" i="1"/>
  <c r="T3273" i="1" s="1"/>
  <c r="R3614" i="1"/>
  <c r="S3614" i="1"/>
  <c r="T3614" i="1" s="1"/>
  <c r="R4197" i="1"/>
  <c r="R2989" i="1"/>
  <c r="R3777" i="1"/>
  <c r="R4318" i="1"/>
  <c r="R4350" i="1"/>
  <c r="R4446" i="1"/>
  <c r="R4478" i="1"/>
  <c r="S4638" i="1"/>
  <c r="T4638" i="1" s="1"/>
  <c r="R4638" i="1"/>
  <c r="O4798" i="1"/>
  <c r="R4894" i="1"/>
  <c r="R5437" i="1"/>
  <c r="R5469" i="1"/>
  <c r="R5533" i="1"/>
  <c r="O5566" i="1"/>
  <c r="R5565" i="1"/>
  <c r="R5661" i="1"/>
  <c r="R6261" i="1"/>
  <c r="R6269" i="1"/>
  <c r="O4014" i="1"/>
  <c r="R3885" i="1"/>
  <c r="R4210" i="1"/>
  <c r="S4210" i="1"/>
  <c r="T4210" i="1" s="1"/>
  <c r="R3035" i="1"/>
  <c r="R3120" i="1"/>
  <c r="R3597" i="1"/>
  <c r="R3714" i="1"/>
  <c r="R4359" i="1"/>
  <c r="S4647" i="1"/>
  <c r="T4647" i="1" s="1"/>
  <c r="R4647" i="1"/>
  <c r="R4831" i="1"/>
  <c r="R5359" i="1"/>
  <c r="S5359" i="1"/>
  <c r="T5359" i="1" s="1"/>
  <c r="R5422" i="1"/>
  <c r="S5422" i="1"/>
  <c r="T5422" i="1" s="1"/>
  <c r="R5454" i="1"/>
  <c r="S5454" i="1"/>
  <c r="T5454" i="1" s="1"/>
  <c r="S5494" i="1"/>
  <c r="T5494" i="1" s="1"/>
  <c r="R5494" i="1"/>
  <c r="R5718" i="1"/>
  <c r="S5718" i="1"/>
  <c r="T5718" i="1" s="1"/>
  <c r="R5894" i="1"/>
  <c r="S5894" i="1"/>
  <c r="T5894" i="1" s="1"/>
  <c r="R6054" i="1"/>
  <c r="O3173" i="1"/>
  <c r="R3087" i="1"/>
  <c r="R5479" i="1"/>
  <c r="S5479" i="1"/>
  <c r="T5479" i="1" s="1"/>
  <c r="R4024" i="1"/>
  <c r="O4171" i="1"/>
  <c r="R4170" i="1"/>
  <c r="R4577" i="1"/>
  <c r="S5001" i="1"/>
  <c r="S5000" i="1" s="1"/>
  <c r="R5001" i="1"/>
  <c r="R5512" i="1"/>
  <c r="S5512" i="1"/>
  <c r="T5512" i="1" s="1"/>
  <c r="R3765" i="1"/>
  <c r="R4352" i="1"/>
  <c r="R5455" i="1"/>
  <c r="S5455" i="1"/>
  <c r="T5455" i="1" s="1"/>
  <c r="S5655" i="1"/>
  <c r="T5655" i="1" s="1"/>
  <c r="R5655" i="1"/>
  <c r="R3774" i="1"/>
  <c r="R4505" i="1"/>
  <c r="S4505" i="1"/>
  <c r="S4504" i="1" s="1"/>
  <c r="R4721" i="1"/>
  <c r="R5904" i="1"/>
  <c r="R6112" i="1"/>
  <c r="O3686" i="1"/>
  <c r="R4448" i="1"/>
  <c r="R5599" i="1"/>
  <c r="S5599" i="1"/>
  <c r="T5599" i="1" s="1"/>
  <c r="S5799" i="1"/>
  <c r="T5799" i="1" s="1"/>
  <c r="R5799" i="1"/>
  <c r="S6215" i="1"/>
  <c r="T6215" i="1" s="1"/>
  <c r="R6215" i="1"/>
  <c r="R3184" i="1"/>
  <c r="R4204" i="1"/>
  <c r="S4204" i="1"/>
  <c r="T4204" i="1" s="1"/>
  <c r="R3618" i="1"/>
  <c r="R4753" i="1"/>
  <c r="S4753" i="1"/>
  <c r="S4752" i="1" s="1"/>
  <c r="R6160" i="1"/>
  <c r="R5320" i="1"/>
  <c r="S5320" i="1"/>
  <c r="T5320" i="1" s="1"/>
  <c r="S4393" i="1"/>
  <c r="T4393" i="1" s="1"/>
  <c r="R4393" i="1"/>
  <c r="O5033" i="1"/>
  <c r="S5640" i="1"/>
  <c r="T5640" i="1" s="1"/>
  <c r="R5640" i="1"/>
  <c r="R4265" i="1"/>
  <c r="R5256" i="1"/>
  <c r="R5471" i="1"/>
  <c r="O5257" i="1"/>
  <c r="S5504" i="1"/>
  <c r="T5504" i="1" s="1"/>
  <c r="R5504" i="1"/>
  <c r="O4496" i="1"/>
  <c r="R4752" i="1"/>
  <c r="O5064" i="1"/>
  <c r="O5663" i="1"/>
  <c r="O5959" i="1"/>
  <c r="R3059" i="1"/>
  <c r="R3541" i="1"/>
  <c r="R5281" i="1"/>
  <c r="R5511" i="1"/>
  <c r="S5511" i="1"/>
  <c r="T5511" i="1" s="1"/>
  <c r="O4401" i="1"/>
  <c r="R3314" i="1"/>
  <c r="O3338" i="1"/>
  <c r="R3337" i="1"/>
  <c r="O3768" i="1"/>
  <c r="R3767" i="1"/>
  <c r="S4263" i="1"/>
  <c r="T4263" i="1" s="1"/>
  <c r="R4263" i="1"/>
  <c r="R4518" i="1"/>
  <c r="R4614" i="1"/>
  <c r="S5893" i="1"/>
  <c r="T5893" i="1" s="1"/>
  <c r="R5893" i="1"/>
  <c r="O3147" i="1"/>
  <c r="R5502" i="1"/>
  <c r="S5502" i="1"/>
  <c r="T5502" i="1" s="1"/>
  <c r="O3735" i="1"/>
  <c r="O4235" i="1"/>
  <c r="R4234" i="1"/>
  <c r="O4841" i="1"/>
  <c r="R5560" i="1"/>
  <c r="R5559" i="1" s="1"/>
  <c r="S5560" i="1"/>
  <c r="S5559" i="1" s="1"/>
  <c r="T5559" i="1" s="1"/>
  <c r="O4392" i="1"/>
  <c r="R4561" i="1"/>
  <c r="S4561" i="1"/>
  <c r="S4560" i="1" s="1"/>
  <c r="T4560" i="1" s="1"/>
  <c r="R5952" i="1"/>
  <c r="S5952" i="1"/>
  <c r="S5951" i="1" s="1"/>
  <c r="T5951" i="1" s="1"/>
  <c r="R6168" i="1"/>
  <c r="S6168" i="1"/>
  <c r="S6167" i="1" s="1"/>
  <c r="O3340" i="1"/>
  <c r="R3339" i="1"/>
  <c r="R4856" i="1"/>
  <c r="S4856" i="1"/>
  <c r="T4856" i="1" s="1"/>
  <c r="R5600" i="1"/>
  <c r="S5600" i="1"/>
  <c r="T5600" i="1" s="1"/>
  <c r="O5808" i="1"/>
  <c r="R5688" i="1"/>
  <c r="R5360" i="1"/>
  <c r="S5360" i="1"/>
  <c r="T5360" i="1" s="1"/>
  <c r="R3523" i="1"/>
  <c r="R4198" i="1"/>
  <c r="S4198" i="1"/>
  <c r="S4197" i="1" s="1"/>
  <c r="R5173" i="1"/>
  <c r="S5588" i="1"/>
  <c r="T5588" i="1" s="1"/>
  <c r="O4093" i="1"/>
  <c r="R4092" i="1"/>
  <c r="S4209" i="1"/>
  <c r="T4209" i="1" s="1"/>
  <c r="R4209" i="1"/>
  <c r="R2969" i="1"/>
  <c r="S2969" i="1"/>
  <c r="T2969" i="1" s="1"/>
  <c r="R3224" i="1"/>
  <c r="S3224" i="1"/>
  <c r="S3223" i="1" s="1"/>
  <c r="R4294" i="1"/>
  <c r="S4390" i="1"/>
  <c r="T4390" i="1" s="1"/>
  <c r="R4390" i="1"/>
  <c r="R4422" i="1"/>
  <c r="O4550" i="1"/>
  <c r="S4646" i="1"/>
  <c r="T4646" i="1" s="1"/>
  <c r="R4646" i="1"/>
  <c r="R4742" i="1"/>
  <c r="O4806" i="1"/>
  <c r="O5351" i="1"/>
  <c r="R5350" i="1"/>
  <c r="R5478" i="1"/>
  <c r="R5477" i="1" s="1"/>
  <c r="S5478" i="1"/>
  <c r="S5477" i="1" s="1"/>
  <c r="S5541" i="1"/>
  <c r="T5541" i="1" s="1"/>
  <c r="R5541" i="1"/>
  <c r="R5573" i="1"/>
  <c r="R5669" i="1"/>
  <c r="S5669" i="1"/>
  <c r="T5669" i="1" s="1"/>
  <c r="R5701" i="1"/>
  <c r="S5701" i="1"/>
  <c r="T5701" i="1" s="1"/>
  <c r="R5733" i="1"/>
  <c r="S5733" i="1"/>
  <c r="T5733" i="1" s="1"/>
  <c r="R5957" i="1"/>
  <c r="O4109" i="1"/>
  <c r="R4108" i="1"/>
  <c r="O3010" i="1"/>
  <c r="R3009" i="1"/>
  <c r="R6245" i="1"/>
  <c r="O3204" i="1"/>
  <c r="R3203" i="1"/>
  <c r="R3057" i="1"/>
  <c r="R3490" i="1"/>
  <c r="R3644" i="1"/>
  <c r="R4399" i="1"/>
  <c r="S4399" i="1"/>
  <c r="T4399" i="1" s="1"/>
  <c r="R4463" i="1"/>
  <c r="R4623" i="1"/>
  <c r="R5039" i="1"/>
  <c r="O5279" i="1"/>
  <c r="S5367" i="1"/>
  <c r="T5367" i="1" s="1"/>
  <c r="R5367" i="1"/>
  <c r="S5399" i="1"/>
  <c r="T5399" i="1" s="1"/>
  <c r="R5399" i="1"/>
  <c r="S5430" i="1"/>
  <c r="T5430" i="1" s="1"/>
  <c r="R5430" i="1"/>
  <c r="S5462" i="1"/>
  <c r="T5462" i="1" s="1"/>
  <c r="R5462" i="1"/>
  <c r="R5542" i="1"/>
  <c r="S5582" i="1"/>
  <c r="T5582" i="1" s="1"/>
  <c r="R5582" i="1"/>
  <c r="R5622" i="1"/>
  <c r="S5622" i="1"/>
  <c r="T5622" i="1" s="1"/>
  <c r="O5654" i="1"/>
  <c r="R5694" i="1"/>
  <c r="R5734" i="1"/>
  <c r="S5734" i="1"/>
  <c r="T5734" i="1" s="1"/>
  <c r="R5774" i="1"/>
  <c r="R6030" i="1"/>
  <c r="R6190" i="1"/>
  <c r="R6221" i="1"/>
  <c r="O2998" i="1"/>
  <c r="R3102" i="1"/>
  <c r="O3393" i="1"/>
  <c r="R5328" i="1"/>
  <c r="R5535" i="1"/>
  <c r="S5535" i="1"/>
  <c r="T5535" i="1" s="1"/>
  <c r="R5743" i="1"/>
  <c r="O4058" i="1"/>
  <c r="R3257" i="1"/>
  <c r="R4633" i="1"/>
  <c r="S4633" i="1"/>
  <c r="T4633" i="1" s="1"/>
  <c r="R5353" i="1"/>
  <c r="S5353" i="1"/>
  <c r="S5352" i="1" s="1"/>
  <c r="R5776" i="1"/>
  <c r="S5776" i="1"/>
  <c r="T5776" i="1" s="1"/>
  <c r="R6200" i="1"/>
  <c r="R4560" i="1"/>
  <c r="R5495" i="1"/>
  <c r="S5495" i="1"/>
  <c r="T5495" i="1" s="1"/>
  <c r="S5703" i="1"/>
  <c r="T5703" i="1" s="1"/>
  <c r="R5703" i="1"/>
  <c r="S5903" i="1"/>
  <c r="T5903" i="1" s="1"/>
  <c r="R5903" i="1"/>
  <c r="R5345" i="1"/>
  <c r="S5345" i="1"/>
  <c r="T5345" i="1" s="1"/>
  <c r="S5536" i="1"/>
  <c r="T5536" i="1" s="1"/>
  <c r="R5536" i="1"/>
  <c r="R4320" i="1"/>
  <c r="R5240" i="1"/>
  <c r="R5647" i="1"/>
  <c r="R3677" i="1"/>
  <c r="O4158" i="1"/>
  <c r="R4157" i="1"/>
  <c r="S4369" i="1"/>
  <c r="T4369" i="1" s="1"/>
  <c r="R4369" i="1"/>
  <c r="R4793" i="1"/>
  <c r="R4227" i="1"/>
  <c r="R5168" i="1"/>
  <c r="O5384" i="1"/>
  <c r="R5615" i="1"/>
  <c r="S5615" i="1"/>
  <c r="T5615" i="1" s="1"/>
  <c r="R3679" i="1"/>
  <c r="R3678" i="1" s="1"/>
  <c r="S3679" i="1"/>
  <c r="S3678" i="1" s="1"/>
  <c r="T3678" i="1" s="1"/>
  <c r="R3493" i="1"/>
  <c r="R4857" i="1"/>
  <c r="S4857" i="1"/>
  <c r="T4857" i="1" s="1"/>
  <c r="S5472" i="1"/>
  <c r="T5472" i="1" s="1"/>
  <c r="R5472" i="1"/>
  <c r="O3328" i="1"/>
  <c r="R3327" i="1"/>
  <c r="R5527" i="1"/>
  <c r="R5751" i="1"/>
  <c r="R3096" i="1"/>
  <c r="R3693" i="1"/>
  <c r="R5337" i="1"/>
  <c r="S5337" i="1"/>
  <c r="T5337" i="1" s="1"/>
  <c r="R5568" i="1"/>
  <c r="S5568" i="1"/>
  <c r="T5568" i="1" s="1"/>
  <c r="O4568" i="1"/>
  <c r="O4832" i="1"/>
  <c r="O3766" i="1"/>
  <c r="R5361" i="1"/>
  <c r="R5336" i="1"/>
  <c r="S5336" i="1"/>
  <c r="T5336" i="1" s="1"/>
  <c r="R5567" i="1"/>
  <c r="S5567" i="1"/>
  <c r="T5567" i="1" s="1"/>
  <c r="S5783" i="1"/>
  <c r="T5783" i="1" s="1"/>
  <c r="R5783" i="1"/>
  <c r="R6299" i="1"/>
  <c r="O4449" i="1"/>
  <c r="S5480" i="1"/>
  <c r="T5480" i="1" s="1"/>
  <c r="R5480" i="1"/>
  <c r="S5704" i="1"/>
  <c r="T5704" i="1" s="1"/>
  <c r="R5704" i="1"/>
  <c r="S4398" i="1"/>
  <c r="T4398" i="1" s="1"/>
  <c r="R4398" i="1"/>
  <c r="R4462" i="1"/>
  <c r="S4462" i="1"/>
  <c r="T4462" i="1" s="1"/>
  <c r="R4910" i="1"/>
  <c r="R5358" i="1"/>
  <c r="S5358" i="1"/>
  <c r="T5358" i="1" s="1"/>
  <c r="R3103" i="1"/>
  <c r="S3103" i="1"/>
  <c r="S3102" i="1" s="1"/>
  <c r="O3544" i="1"/>
  <c r="O4439" i="1"/>
  <c r="O4503" i="1"/>
  <c r="O5470" i="1"/>
  <c r="R5782" i="1"/>
  <c r="S5782" i="1"/>
  <c r="T5782" i="1" s="1"/>
  <c r="O6246" i="1"/>
  <c r="R3154" i="1"/>
  <c r="S3154" i="1"/>
  <c r="T3154" i="1" s="1"/>
  <c r="R6222" i="1"/>
  <c r="S6222" i="1"/>
  <c r="S6221" i="1" s="1"/>
  <c r="O3112" i="1"/>
  <c r="O3268" i="1"/>
  <c r="O4584" i="1"/>
  <c r="R4944" i="1"/>
  <c r="S4944" i="1"/>
  <c r="T4944" i="1" s="1"/>
  <c r="S4305" i="1"/>
  <c r="S4304" i="1" s="1"/>
  <c r="R4305" i="1"/>
  <c r="R5576" i="1"/>
  <c r="S5576" i="1"/>
  <c r="S5575" i="1" s="1"/>
  <c r="O4360" i="1"/>
  <c r="R4920" i="1"/>
  <c r="O3088" i="1"/>
  <c r="R4425" i="1"/>
  <c r="S4425" i="1"/>
  <c r="S4424" i="1" s="1"/>
  <c r="O5241" i="1"/>
  <c r="R5368" i="1"/>
  <c r="S5368" i="1"/>
  <c r="T5368" i="1" s="1"/>
  <c r="O3216" i="1"/>
  <c r="O3238" i="1"/>
  <c r="R3237" i="1"/>
  <c r="O3780" i="1"/>
  <c r="O4328" i="1"/>
  <c r="S5735" i="1"/>
  <c r="T5735" i="1" s="1"/>
  <c r="R5735" i="1"/>
  <c r="O6313" i="1"/>
  <c r="R6312" i="1"/>
  <c r="O4321" i="1"/>
  <c r="O5392" i="1"/>
  <c r="R4845" i="1"/>
  <c r="S5333" i="1"/>
  <c r="S5332" i="1" s="1"/>
  <c r="S5476" i="1"/>
  <c r="T5476" i="1" s="1"/>
  <c r="R4217" i="1"/>
  <c r="S3036" i="1"/>
  <c r="S3035" i="1" s="1"/>
  <c r="R3036" i="1"/>
  <c r="R3583" i="1"/>
  <c r="R3582" i="1" s="1"/>
  <c r="R3460" i="1"/>
  <c r="R3753" i="1"/>
  <c r="R4334" i="1"/>
  <c r="R4366" i="1"/>
  <c r="R4430" i="1"/>
  <c r="S4494" i="1"/>
  <c r="T4494" i="1" s="1"/>
  <c r="R4494" i="1"/>
  <c r="R4558" i="1"/>
  <c r="S4654" i="1"/>
  <c r="T4654" i="1" s="1"/>
  <c r="R4654" i="1"/>
  <c r="O4846" i="1"/>
  <c r="R4942" i="1"/>
  <c r="R5326" i="1"/>
  <c r="S5453" i="1"/>
  <c r="T5453" i="1" s="1"/>
  <c r="R5453" i="1"/>
  <c r="R5485" i="1"/>
  <c r="R5581" i="1"/>
  <c r="S5581" i="1"/>
  <c r="T5581" i="1" s="1"/>
  <c r="R5614" i="1"/>
  <c r="R5613" i="1" s="1"/>
  <c r="S5614" i="1"/>
  <c r="S5613" i="1" s="1"/>
  <c r="R5709" i="1"/>
  <c r="S5709" i="1"/>
  <c r="T5709" i="1" s="1"/>
  <c r="R5773" i="1"/>
  <c r="S5773" i="1"/>
  <c r="T5773" i="1" s="1"/>
  <c r="R5805" i="1"/>
  <c r="R5901" i="1"/>
  <c r="R6125" i="1"/>
  <c r="S3886" i="1"/>
  <c r="S3885" i="1" s="1"/>
  <c r="R3886" i="1"/>
  <c r="R6253" i="1"/>
  <c r="R6285" i="1"/>
  <c r="O3838" i="1"/>
  <c r="R4226" i="1"/>
  <c r="S4226" i="1"/>
  <c r="T4226" i="1" s="1"/>
  <c r="R3065" i="1"/>
  <c r="R3440" i="1"/>
  <c r="R3616" i="1"/>
  <c r="R3615" i="1" s="1"/>
  <c r="O3568" i="1"/>
  <c r="R3567" i="1"/>
  <c r="O3326" i="1"/>
  <c r="R3505" i="1"/>
  <c r="R4168" i="1"/>
  <c r="O3764" i="1"/>
  <c r="R3764" i="1" s="1"/>
  <c r="R4279" i="1"/>
  <c r="R4343" i="1"/>
  <c r="O4407" i="1"/>
  <c r="R4535" i="1"/>
  <c r="R4599" i="1"/>
  <c r="O4727" i="1"/>
  <c r="O5327" i="1"/>
  <c r="O5438" i="1"/>
  <c r="S5510" i="1"/>
  <c r="T5510" i="1" s="1"/>
  <c r="R5510" i="1"/>
  <c r="R5670" i="1"/>
  <c r="S5670" i="1"/>
  <c r="T5670" i="1" s="1"/>
  <c r="R5702" i="1"/>
  <c r="S5702" i="1"/>
  <c r="T5702" i="1" s="1"/>
  <c r="R4025" i="1"/>
  <c r="S4025" i="1"/>
  <c r="S4024" i="1" s="1"/>
  <c r="R3281" i="1"/>
  <c r="R3757" i="1"/>
  <c r="O5176" i="1"/>
  <c r="R5583" i="1"/>
  <c r="S5583" i="1"/>
  <c r="T5583" i="1" s="1"/>
  <c r="R3458" i="1"/>
  <c r="R4281" i="1"/>
  <c r="S5608" i="1"/>
  <c r="T5608" i="1" s="1"/>
  <c r="R5608" i="1"/>
  <c r="R5352" i="1"/>
  <c r="R5759" i="1"/>
  <c r="S5759" i="1"/>
  <c r="T5759" i="1" s="1"/>
  <c r="S6159" i="1"/>
  <c r="T6159" i="1" s="1"/>
  <c r="R6159" i="1"/>
  <c r="R3731" i="1"/>
  <c r="O4617" i="1"/>
  <c r="R5017" i="1"/>
  <c r="R5784" i="1"/>
  <c r="R6208" i="1"/>
  <c r="R3773" i="1"/>
  <c r="O5088" i="1"/>
  <c r="R5487" i="1"/>
  <c r="R5711" i="1"/>
  <c r="S5711" i="1"/>
  <c r="T5711" i="1" s="1"/>
  <c r="O3299" i="1"/>
  <c r="R2985" i="1"/>
  <c r="R4625" i="1"/>
  <c r="O5648" i="1"/>
  <c r="R5439" i="1"/>
  <c r="S5439" i="1"/>
  <c r="T5439" i="1" s="1"/>
  <c r="S5895" i="1"/>
  <c r="T5895" i="1" s="1"/>
  <c r="R5895" i="1"/>
  <c r="R4497" i="1"/>
  <c r="S4497" i="1"/>
  <c r="T4497" i="1" s="1"/>
  <c r="R4913" i="1"/>
  <c r="R5321" i="1"/>
  <c r="O5744" i="1"/>
  <c r="R5960" i="1"/>
  <c r="O3457" i="1"/>
  <c r="R4336" i="1"/>
  <c r="R4504" i="1"/>
  <c r="R5575" i="1"/>
  <c r="R5823" i="1"/>
  <c r="O6031" i="1"/>
  <c r="R4433" i="1"/>
  <c r="R5616" i="1"/>
  <c r="S5616" i="1"/>
  <c r="T5616" i="1" s="1"/>
  <c r="R6032" i="1"/>
  <c r="O5208" i="1"/>
  <c r="O3442" i="1"/>
  <c r="O5097" i="1"/>
  <c r="O6055" i="1"/>
  <c r="R6294" i="1"/>
  <c r="O3479" i="1"/>
  <c r="O4921" i="1"/>
  <c r="O5528" i="1"/>
  <c r="T14" i="1"/>
  <c r="T230" i="1"/>
  <c r="T422" i="1"/>
  <c r="T603" i="1"/>
  <c r="T189" i="1"/>
  <c r="T380" i="1"/>
  <c r="T111" i="1"/>
  <c r="T560" i="1"/>
  <c r="T302" i="1"/>
  <c r="T324" i="1"/>
  <c r="T710" i="1"/>
  <c r="T285" i="1"/>
  <c r="T102" i="1"/>
  <c r="T572" i="1"/>
  <c r="T92" i="1"/>
  <c r="T334" i="1"/>
  <c r="T91" i="1"/>
  <c r="T348" i="1"/>
  <c r="T261" i="1"/>
  <c r="T206" i="1"/>
  <c r="T292" i="1"/>
  <c r="T613" i="1"/>
  <c r="T221" i="1"/>
  <c r="T293" i="1"/>
  <c r="T349" i="1"/>
  <c r="T179" i="1"/>
  <c r="T564" i="1"/>
  <c r="T541" i="1"/>
  <c r="T765" i="1"/>
  <c r="T126" i="1"/>
  <c r="T581" i="1"/>
  <c r="T110" i="1"/>
  <c r="T229" i="1"/>
  <c r="T301" i="1"/>
  <c r="T291" i="1"/>
  <c r="T379" i="1"/>
  <c r="T13" i="1"/>
  <c r="T421" i="1"/>
  <c r="T709" i="1"/>
  <c r="T333" i="1"/>
  <c r="T323" i="1"/>
  <c r="T612" i="1"/>
  <c r="T90" i="1"/>
  <c r="T622" i="1"/>
  <c r="T644" i="1"/>
  <c r="T571" i="1"/>
  <c r="T205" i="1"/>
  <c r="T580" i="1"/>
  <c r="T3693" i="1"/>
  <c r="T238" i="1"/>
  <c r="T260" i="1"/>
  <c r="T232" i="1"/>
  <c r="T231" i="1"/>
  <c r="T347" i="1"/>
  <c r="T237" i="1"/>
  <c r="T236" i="1"/>
  <c r="T583" i="1"/>
  <c r="T582" i="1"/>
  <c r="T228" i="1"/>
  <c r="T227" i="1"/>
  <c r="T600" i="1"/>
  <c r="T599" i="1"/>
  <c r="T107" i="1"/>
  <c r="T106" i="1"/>
  <c r="T99" i="1"/>
  <c r="T98" i="1"/>
  <c r="T563" i="1"/>
  <c r="T568" i="1"/>
  <c r="T602" i="1"/>
  <c r="T601" i="1"/>
  <c r="T141" i="1"/>
  <c r="X42" i="1" l="1"/>
  <c r="Y42" i="1" s="1"/>
  <c r="AA42" i="1"/>
  <c r="Z42" i="1" s="1"/>
  <c r="W44" i="1"/>
  <c r="AT38" i="7"/>
  <c r="AT24" i="7"/>
  <c r="AT25" i="7"/>
  <c r="AT34" i="7"/>
  <c r="AT35" i="7" s="1"/>
  <c r="AS37" i="7"/>
  <c r="AT16" i="7"/>
  <c r="AT17" i="7" s="1"/>
  <c r="AT33" i="7"/>
  <c r="AT32" i="7"/>
  <c r="AT13" i="7"/>
  <c r="AT14" i="7"/>
  <c r="AU6" i="7"/>
  <c r="AU40" i="7"/>
  <c r="AU7" i="7"/>
  <c r="AV5" i="7"/>
  <c r="AU8" i="7"/>
  <c r="AU9" i="7" s="1"/>
  <c r="AV11" i="7"/>
  <c r="AU12" i="7"/>
  <c r="AS20" i="7"/>
  <c r="AS21" i="7"/>
  <c r="AT19" i="7"/>
  <c r="BC4" i="7"/>
  <c r="BD3" i="7"/>
  <c r="AT41" i="7"/>
  <c r="AT42" i="7" s="1"/>
  <c r="AT30" i="7"/>
  <c r="AV28" i="7"/>
  <c r="AV29" i="7" s="1"/>
  <c r="AW27" i="7"/>
  <c r="AS36" i="7"/>
  <c r="O5408" i="1"/>
  <c r="R5413" i="1"/>
  <c r="R5412" i="1" s="1"/>
  <c r="O5414" i="1"/>
  <c r="S5409" i="1"/>
  <c r="T5409" i="1" s="1"/>
  <c r="R6186" i="1"/>
  <c r="R5402" i="1"/>
  <c r="R5401" i="1" s="1"/>
  <c r="S5402" i="1"/>
  <c r="S4268" i="1"/>
  <c r="S2944" i="1"/>
  <c r="T2944" i="1" s="1"/>
  <c r="S5466" i="1"/>
  <c r="S5465" i="1" s="1"/>
  <c r="T5465" i="1" s="1"/>
  <c r="T3282" i="1"/>
  <c r="R2937" i="1"/>
  <c r="S2937" i="1"/>
  <c r="O2938" i="1"/>
  <c r="S4270" i="1"/>
  <c r="T4270" i="1" s="1"/>
  <c r="S4272" i="1"/>
  <c r="T4272" i="1" s="1"/>
  <c r="R6185" i="1"/>
  <c r="S6185" i="1"/>
  <c r="S6184" i="1" s="1"/>
  <c r="S6183" i="1" s="1"/>
  <c r="S6182" i="1" s="1"/>
  <c r="O6187" i="1"/>
  <c r="O4890" i="1"/>
  <c r="O4891" i="1" s="1"/>
  <c r="S4889" i="1"/>
  <c r="S4888" i="1" s="1"/>
  <c r="S4887" i="1" s="1"/>
  <c r="S3556" i="1"/>
  <c r="S3555" i="1" s="1"/>
  <c r="S3554" i="1" s="1"/>
  <c r="S3553" i="1" s="1"/>
  <c r="S3854" i="1"/>
  <c r="S3853" i="1" s="1"/>
  <c r="S3852" i="1" s="1"/>
  <c r="S3851" i="1" s="1"/>
  <c r="S3850" i="1" s="1"/>
  <c r="S3849" i="1" s="1"/>
  <c r="S3039" i="1"/>
  <c r="S3038" i="1" s="1"/>
  <c r="T3038" i="1" s="1"/>
  <c r="S5074" i="1"/>
  <c r="S5073" i="1" s="1"/>
  <c r="S5072" i="1" s="1"/>
  <c r="S5071" i="1" s="1"/>
  <c r="S5070" i="1" s="1"/>
  <c r="S5069" i="1" s="1"/>
  <c r="O5075" i="1"/>
  <c r="S5075" i="1" s="1"/>
  <c r="O5107" i="1"/>
  <c r="S5107" i="1" s="1"/>
  <c r="S5170" i="1"/>
  <c r="S5169" i="1" s="1"/>
  <c r="S5168" i="1" s="1"/>
  <c r="S4397" i="1"/>
  <c r="S4396" i="1" s="1"/>
  <c r="T4396" i="1" s="1"/>
  <c r="O4851" i="1"/>
  <c r="R4851" i="1" s="1"/>
  <c r="T4335" i="1"/>
  <c r="S4808" i="1"/>
  <c r="S4807" i="1" s="1"/>
  <c r="T4807" i="1" s="1"/>
  <c r="R4850" i="1"/>
  <c r="S4720" i="1"/>
  <c r="S4719" i="1" s="1"/>
  <c r="T4719" i="1" s="1"/>
  <c r="S5106" i="1"/>
  <c r="S5105" i="1" s="1"/>
  <c r="S5104" i="1" s="1"/>
  <c r="S5103" i="1" s="1"/>
  <c r="S5102" i="1" s="1"/>
  <c r="S5101" i="1" s="1"/>
  <c r="T5042" i="1"/>
  <c r="T6270" i="1"/>
  <c r="T4331" i="1"/>
  <c r="S3453" i="1"/>
  <c r="S3452" i="1" s="1"/>
  <c r="S3451" i="1" s="1"/>
  <c r="R5860" i="1"/>
  <c r="R6177" i="1"/>
  <c r="R5432" i="1"/>
  <c r="R3744" i="1"/>
  <c r="S4444" i="1"/>
  <c r="S4443" i="1" s="1"/>
  <c r="O3745" i="1"/>
  <c r="R3745" i="1" s="1"/>
  <c r="T4297" i="1"/>
  <c r="R3063" i="1"/>
  <c r="S3062" i="1"/>
  <c r="S3061" i="1" s="1"/>
  <c r="R3062" i="1"/>
  <c r="T4215" i="1"/>
  <c r="S6194" i="1"/>
  <c r="T6194" i="1" s="1"/>
  <c r="T5347" i="1"/>
  <c r="S5122" i="1"/>
  <c r="S5121" i="1" s="1"/>
  <c r="S5120" i="1" s="1"/>
  <c r="S5119" i="1" s="1"/>
  <c r="S5118" i="1" s="1"/>
  <c r="S5117" i="1" s="1"/>
  <c r="T6107" i="1"/>
  <c r="R3931" i="1"/>
  <c r="S4844" i="1"/>
  <c r="S4843" i="1" s="1"/>
  <c r="S4842" i="1" s="1"/>
  <c r="R2984" i="1"/>
  <c r="R2983" i="1" s="1"/>
  <c r="S4162" i="1"/>
  <c r="S4161" i="1" s="1"/>
  <c r="T4161" i="1" s="1"/>
  <c r="R1656" i="1"/>
  <c r="S1656" i="1"/>
  <c r="T1656" i="1" s="1"/>
  <c r="R1627" i="1"/>
  <c r="S1627" i="1"/>
  <c r="T1627" i="1" s="1"/>
  <c r="O1628" i="1"/>
  <c r="O1481" i="1"/>
  <c r="S1480" i="1"/>
  <c r="T1480" i="1" s="1"/>
  <c r="T3166" i="1"/>
  <c r="T4324" i="1"/>
  <c r="T5629" i="1"/>
  <c r="T5557" i="1"/>
  <c r="T5382" i="1"/>
  <c r="T4600" i="1"/>
  <c r="T4624" i="1"/>
  <c r="T5657" i="1"/>
  <c r="T4800" i="1"/>
  <c r="T4653" i="1"/>
  <c r="T4183" i="1"/>
  <c r="T3180" i="1"/>
  <c r="T5624" i="1"/>
  <c r="S3076" i="1"/>
  <c r="S3602" i="1"/>
  <c r="S3601" i="1" s="1"/>
  <c r="S3600" i="1" s="1"/>
  <c r="S3599" i="1" s="1"/>
  <c r="R3602" i="1"/>
  <c r="R3211" i="1"/>
  <c r="O3557" i="1"/>
  <c r="R3557" i="1" s="1"/>
  <c r="T4418" i="1"/>
  <c r="T4536" i="1"/>
  <c r="S4491" i="1"/>
  <c r="T4491" i="1" s="1"/>
  <c r="S3153" i="1"/>
  <c r="S3152" i="1" s="1"/>
  <c r="T3152" i="1" s="1"/>
  <c r="R4286" i="1"/>
  <c r="S4675" i="1"/>
  <c r="S4674" i="1" s="1"/>
  <c r="T4674" i="1" s="1"/>
  <c r="S3845" i="1"/>
  <c r="T3845" i="1" s="1"/>
  <c r="S5100" i="1"/>
  <c r="S5099" i="1" s="1"/>
  <c r="S5098" i="1" s="1"/>
  <c r="S3941" i="1"/>
  <c r="S3940" i="1" s="1"/>
  <c r="S3939" i="1" s="1"/>
  <c r="T5560" i="1"/>
  <c r="T3461" i="1"/>
  <c r="T4337" i="1"/>
  <c r="R5468" i="1"/>
  <c r="T5464" i="1"/>
  <c r="R5228" i="1"/>
  <c r="T4656" i="1"/>
  <c r="S4923" i="1"/>
  <c r="S4922" i="1" s="1"/>
  <c r="T4922" i="1" s="1"/>
  <c r="T3679" i="1"/>
  <c r="S6040" i="1"/>
  <c r="O4445" i="1"/>
  <c r="R4445" i="1" s="1"/>
  <c r="R5648" i="1"/>
  <c r="S5648" i="1"/>
  <c r="S3568" i="1"/>
  <c r="S3567" i="1" s="1"/>
  <c r="T3567" i="1" s="1"/>
  <c r="R3568" i="1"/>
  <c r="S4321" i="1"/>
  <c r="S4320" i="1" s="1"/>
  <c r="T4320" i="1" s="1"/>
  <c r="R4321" i="1"/>
  <c r="R5654" i="1"/>
  <c r="S5654" i="1"/>
  <c r="S5653" i="1" s="1"/>
  <c r="T5653" i="1" s="1"/>
  <c r="R3870" i="1"/>
  <c r="S3870" i="1"/>
  <c r="S3869" i="1" s="1"/>
  <c r="T3869" i="1" s="1"/>
  <c r="O6306" i="1"/>
  <c r="S6305" i="1"/>
  <c r="S6304" i="1" s="1"/>
  <c r="R3866" i="1"/>
  <c r="S3866" i="1"/>
  <c r="S3865" i="1" s="1"/>
  <c r="T3865" i="1" s="1"/>
  <c r="S5514" i="1"/>
  <c r="S5513" i="1" s="1"/>
  <c r="R5514" i="1"/>
  <c r="R3575" i="1"/>
  <c r="O3576" i="1"/>
  <c r="S5475" i="1"/>
  <c r="S5474" i="1" s="1"/>
  <c r="T5474" i="1" s="1"/>
  <c r="R5475" i="1"/>
  <c r="R3704" i="1"/>
  <c r="S3704" i="1"/>
  <c r="S3703" i="1" s="1"/>
  <c r="S3702" i="1" s="1"/>
  <c r="S3701" i="1" s="1"/>
  <c r="O3705" i="1"/>
  <c r="R4221" i="1"/>
  <c r="S4221" i="1"/>
  <c r="T4221" i="1" s="1"/>
  <c r="S5955" i="1"/>
  <c r="S5954" i="1" s="1"/>
  <c r="S5953" i="1" s="1"/>
  <c r="R5955" i="1"/>
  <c r="O5956" i="1"/>
  <c r="R3944" i="1"/>
  <c r="S3944" i="1"/>
  <c r="S3943" i="1" s="1"/>
  <c r="S3942" i="1" s="1"/>
  <c r="R3842" i="1"/>
  <c r="R3841" i="1" s="1"/>
  <c r="S3842" i="1"/>
  <c r="S3841" i="1" s="1"/>
  <c r="S3477" i="1"/>
  <c r="S3476" i="1" s="1"/>
  <c r="S3475" i="1" s="1"/>
  <c r="S3474" i="1" s="1"/>
  <c r="R3477" i="1"/>
  <c r="R5190" i="1"/>
  <c r="S5190" i="1"/>
  <c r="S5189" i="1" s="1"/>
  <c r="S5188" i="1" s="1"/>
  <c r="S5187" i="1" s="1"/>
  <c r="S5186" i="1" s="1"/>
  <c r="S5185" i="1" s="1"/>
  <c r="O5191" i="1"/>
  <c r="R3005" i="1"/>
  <c r="S3005" i="1"/>
  <c r="S3004" i="1" s="1"/>
  <c r="S3003" i="1" s="1"/>
  <c r="S3002" i="1" s="1"/>
  <c r="S3821" i="1"/>
  <c r="S3820" i="1" s="1"/>
  <c r="S3819" i="1" s="1"/>
  <c r="S3818" i="1" s="1"/>
  <c r="S3817" i="1" s="1"/>
  <c r="S3816" i="1" s="1"/>
  <c r="R3821" i="1"/>
  <c r="S3384" i="1"/>
  <c r="S3383" i="1" s="1"/>
  <c r="S3382" i="1" s="1"/>
  <c r="S3381" i="1" s="1"/>
  <c r="R3384" i="1"/>
  <c r="O3385" i="1"/>
  <c r="S6293" i="1"/>
  <c r="T6293" i="1" s="1"/>
  <c r="R6293" i="1"/>
  <c r="R4589" i="1"/>
  <c r="S4589" i="1"/>
  <c r="O4590" i="1"/>
  <c r="R6068" i="1"/>
  <c r="S6068" i="1"/>
  <c r="S6067" i="1" s="1"/>
  <c r="S6066" i="1" s="1"/>
  <c r="S6065" i="1" s="1"/>
  <c r="S6064" i="1" s="1"/>
  <c r="S6063" i="1" s="1"/>
  <c r="O6069" i="1"/>
  <c r="R3633" i="1"/>
  <c r="S3633" i="1"/>
  <c r="S3632" i="1" s="1"/>
  <c r="S3631" i="1" s="1"/>
  <c r="S3630" i="1" s="1"/>
  <c r="R5309" i="1"/>
  <c r="S5309" i="1"/>
  <c r="S5308" i="1" s="1"/>
  <c r="S5307" i="1" s="1"/>
  <c r="S5306" i="1" s="1"/>
  <c r="S5305" i="1" s="1"/>
  <c r="S5304" i="1" s="1"/>
  <c r="S6097" i="1"/>
  <c r="S6096" i="1" s="1"/>
  <c r="S6095" i="1" s="1"/>
  <c r="S6094" i="1" s="1"/>
  <c r="S6093" i="1" s="1"/>
  <c r="S6092" i="1" s="1"/>
  <c r="R6097" i="1"/>
  <c r="O6098" i="1"/>
  <c r="S3486" i="1"/>
  <c r="S3485" i="1" s="1"/>
  <c r="S3484" i="1" s="1"/>
  <c r="S3483" i="1" s="1"/>
  <c r="R3486" i="1"/>
  <c r="S3522" i="1"/>
  <c r="S3521" i="1" s="1"/>
  <c r="S3520" i="1" s="1"/>
  <c r="S3519" i="1" s="1"/>
  <c r="S3518" i="1" s="1"/>
  <c r="R3522" i="1"/>
  <c r="S4993" i="1"/>
  <c r="S4992" i="1" s="1"/>
  <c r="S4991" i="1" s="1"/>
  <c r="S4990" i="1" s="1"/>
  <c r="S4989" i="1" s="1"/>
  <c r="S4988" i="1" s="1"/>
  <c r="R4993" i="1"/>
  <c r="S3169" i="1"/>
  <c r="T3169" i="1" s="1"/>
  <c r="R3169" i="1"/>
  <c r="O4717" i="1"/>
  <c r="S4133" i="1"/>
  <c r="S4132" i="1" s="1"/>
  <c r="S4131" i="1" s="1"/>
  <c r="S4130" i="1" s="1"/>
  <c r="S4129" i="1" s="1"/>
  <c r="S4128" i="1" s="1"/>
  <c r="R4133" i="1"/>
  <c r="O4134" i="1"/>
  <c r="R4489" i="1"/>
  <c r="S4489" i="1"/>
  <c r="S4488" i="1" s="1"/>
  <c r="S4487" i="1" s="1"/>
  <c r="S4486" i="1" s="1"/>
  <c r="R5116" i="1"/>
  <c r="S5116" i="1"/>
  <c r="S5115" i="1" s="1"/>
  <c r="S5114" i="1" s="1"/>
  <c r="S5113" i="1" s="1"/>
  <c r="S3836" i="1"/>
  <c r="S3835" i="1" s="1"/>
  <c r="S3834" i="1" s="1"/>
  <c r="S3833" i="1" s="1"/>
  <c r="S3832" i="1" s="1"/>
  <c r="S3831" i="1" s="1"/>
  <c r="R3836" i="1"/>
  <c r="T4561" i="1"/>
  <c r="S3479" i="1"/>
  <c r="R3479" i="1"/>
  <c r="R4617" i="1"/>
  <c r="R4616" i="1" s="1"/>
  <c r="S4617" i="1"/>
  <c r="S4616" i="1" s="1"/>
  <c r="T4616" i="1" s="1"/>
  <c r="R3838" i="1"/>
  <c r="S3838" i="1"/>
  <c r="S3837" i="1" s="1"/>
  <c r="T3837" i="1" s="1"/>
  <c r="S3088" i="1"/>
  <c r="S3087" i="1" s="1"/>
  <c r="R3088" i="1"/>
  <c r="O3089" i="1"/>
  <c r="R5470" i="1"/>
  <c r="S5470" i="1"/>
  <c r="S5469" i="1" s="1"/>
  <c r="T5469" i="1" s="1"/>
  <c r="S4832" i="1"/>
  <c r="S4831" i="1" s="1"/>
  <c r="R4832" i="1"/>
  <c r="O4833" i="1"/>
  <c r="O4834" i="1" s="1"/>
  <c r="O4835" i="1" s="1"/>
  <c r="R3010" i="1"/>
  <c r="S3010" i="1"/>
  <c r="S3009" i="1" s="1"/>
  <c r="T3009" i="1" s="1"/>
  <c r="S6072" i="1"/>
  <c r="S6071" i="1" s="1"/>
  <c r="R6072" i="1"/>
  <c r="O3464" i="1"/>
  <c r="R6280" i="1"/>
  <c r="S6280" i="1"/>
  <c r="S6279" i="1" s="1"/>
  <c r="O6281" i="1"/>
  <c r="O4791" i="1"/>
  <c r="O3322" i="1"/>
  <c r="R3321" i="1"/>
  <c r="R3320" i="1" s="1"/>
  <c r="R3319" i="1" s="1"/>
  <c r="S5875" i="1"/>
  <c r="S5874" i="1" s="1"/>
  <c r="R5875" i="1"/>
  <c r="R5874" i="1" s="1"/>
  <c r="R4772" i="1"/>
  <c r="S4772" i="1"/>
  <c r="S4771" i="1" s="1"/>
  <c r="O4773" i="1"/>
  <c r="R2995" i="1"/>
  <c r="R2994" i="1" s="1"/>
  <c r="O2996" i="1"/>
  <c r="R4507" i="1"/>
  <c r="S4507" i="1"/>
  <c r="S4506" i="1" s="1"/>
  <c r="T4506" i="1" s="1"/>
  <c r="R3750" i="1"/>
  <c r="S3750" i="1"/>
  <c r="S3749" i="1" s="1"/>
  <c r="T3749" i="1" s="1"/>
  <c r="R3313" i="1"/>
  <c r="S3313" i="1"/>
  <c r="S3312" i="1" s="1"/>
  <c r="S3311" i="1" s="1"/>
  <c r="S3310" i="1" s="1"/>
  <c r="S6287" i="1"/>
  <c r="T6287" i="1" s="1"/>
  <c r="R6287" i="1"/>
  <c r="R4603" i="1"/>
  <c r="S4603" i="1"/>
  <c r="S4602" i="1" s="1"/>
  <c r="S4601" i="1" s="1"/>
  <c r="O4604" i="1"/>
  <c r="S3538" i="1"/>
  <c r="S3537" i="1" s="1"/>
  <c r="S3536" i="1" s="1"/>
  <c r="S3535" i="1" s="1"/>
  <c r="R3538" i="1"/>
  <c r="R4032" i="1"/>
  <c r="S4032" i="1"/>
  <c r="S4031" i="1" s="1"/>
  <c r="S4030" i="1" s="1"/>
  <c r="S4029" i="1" s="1"/>
  <c r="S4028" i="1" s="1"/>
  <c r="S4027" i="1" s="1"/>
  <c r="O4033" i="1"/>
  <c r="R5315" i="1"/>
  <c r="S5315" i="1"/>
  <c r="T5315" i="1" s="1"/>
  <c r="R4056" i="1"/>
  <c r="S4056" i="1"/>
  <c r="S4055" i="1" s="1"/>
  <c r="T4055" i="1" s="1"/>
  <c r="R3214" i="1"/>
  <c r="S3214" i="1"/>
  <c r="S3213" i="1" s="1"/>
  <c r="S3212" i="1" s="1"/>
  <c r="O3915" i="1"/>
  <c r="R3914" i="1"/>
  <c r="S3914" i="1"/>
  <c r="S3913" i="1" s="1"/>
  <c r="R4734" i="1"/>
  <c r="R4733" i="1" s="1"/>
  <c r="R4732" i="1" s="1"/>
  <c r="O4735" i="1"/>
  <c r="S2992" i="1"/>
  <c r="S2991" i="1" s="1"/>
  <c r="R2992" i="1"/>
  <c r="R3793" i="1"/>
  <c r="S3793" i="1"/>
  <c r="S6263" i="1"/>
  <c r="T6263" i="1" s="1"/>
  <c r="R6263" i="1"/>
  <c r="R3795" i="1"/>
  <c r="S3795" i="1"/>
  <c r="R6077" i="1"/>
  <c r="R6076" i="1" s="1"/>
  <c r="O6078" i="1"/>
  <c r="R3391" i="1"/>
  <c r="S3391" i="1"/>
  <c r="S3390" i="1" s="1"/>
  <c r="T3390" i="1" s="1"/>
  <c r="S3742" i="1"/>
  <c r="R3742" i="1"/>
  <c r="R6058" i="1"/>
  <c r="S6058" i="1"/>
  <c r="S6057" i="1" s="1"/>
  <c r="S6056" i="1" s="1"/>
  <c r="O6059" i="1"/>
  <c r="R3623" i="1"/>
  <c r="S3623" i="1"/>
  <c r="S3622" i="1" s="1"/>
  <c r="S3621" i="1" s="1"/>
  <c r="O3624" i="1"/>
  <c r="R3145" i="1"/>
  <c r="S3145" i="1"/>
  <c r="T3145" i="1" s="1"/>
  <c r="O3354" i="1"/>
  <c r="R3353" i="1"/>
  <c r="S3353" i="1"/>
  <c r="S3352" i="1" s="1"/>
  <c r="S5891" i="1"/>
  <c r="S5890" i="1" s="1"/>
  <c r="R5891" i="1"/>
  <c r="O5892" i="1"/>
  <c r="S6179" i="1"/>
  <c r="R6179" i="1"/>
  <c r="R4150" i="1"/>
  <c r="S4150" i="1"/>
  <c r="S4149" i="1" s="1"/>
  <c r="O4151" i="1"/>
  <c r="S3189" i="1"/>
  <c r="S3188" i="1" s="1"/>
  <c r="T3188" i="1" s="1"/>
  <c r="R3189" i="1"/>
  <c r="S5923" i="1"/>
  <c r="S5922" i="1" s="1"/>
  <c r="S5921" i="1" s="1"/>
  <c r="R5923" i="1"/>
  <c r="O5924" i="1"/>
  <c r="R4533" i="1"/>
  <c r="R4532" i="1" s="1"/>
  <c r="O4534" i="1"/>
  <c r="S4619" i="1"/>
  <c r="R6244" i="1"/>
  <c r="S6244" i="1"/>
  <c r="S6303" i="1"/>
  <c r="R6303" i="1"/>
  <c r="R4196" i="1"/>
  <c r="S4196" i="1"/>
  <c r="S4867" i="1"/>
  <c r="S4866" i="1" s="1"/>
  <c r="S4865" i="1" s="1"/>
  <c r="S4864" i="1" s="1"/>
  <c r="R4867" i="1"/>
  <c r="O4868" i="1"/>
  <c r="R5057" i="1"/>
  <c r="S5057" i="1"/>
  <c r="S5056" i="1" s="1"/>
  <c r="S5055" i="1" s="1"/>
  <c r="S5054" i="1" s="1"/>
  <c r="S5053" i="1" s="1"/>
  <c r="S5052" i="1" s="1"/>
  <c r="S5920" i="1"/>
  <c r="S5919" i="1" s="1"/>
  <c r="S5918" i="1" s="1"/>
  <c r="S5917" i="1" s="1"/>
  <c r="S5916" i="1" s="1"/>
  <c r="S5915" i="1" s="1"/>
  <c r="R5920" i="1"/>
  <c r="R5181" i="1"/>
  <c r="S5181" i="1"/>
  <c r="S5180" i="1" s="1"/>
  <c r="S5179" i="1" s="1"/>
  <c r="R6124" i="1"/>
  <c r="S6124" i="1"/>
  <c r="S6123" i="1" s="1"/>
  <c r="S6122" i="1" s="1"/>
  <c r="R3503" i="1"/>
  <c r="S3503" i="1"/>
  <c r="S3502" i="1" s="1"/>
  <c r="S3501" i="1" s="1"/>
  <c r="S3500" i="1" s="1"/>
  <c r="S3499" i="1" s="1"/>
  <c r="O3504" i="1"/>
  <c r="R3814" i="1"/>
  <c r="S3814" i="1"/>
  <c r="S3813" i="1" s="1"/>
  <c r="S3812" i="1" s="1"/>
  <c r="S3811" i="1" s="1"/>
  <c r="S3810" i="1" s="1"/>
  <c r="S3809" i="1" s="1"/>
  <c r="O3815" i="1"/>
  <c r="S6046" i="1"/>
  <c r="S6045" i="1" s="1"/>
  <c r="S6044" i="1" s="1"/>
  <c r="S6043" i="1" s="1"/>
  <c r="S6042" i="1" s="1"/>
  <c r="S6041" i="1" s="1"/>
  <c r="R6046" i="1"/>
  <c r="O6047" i="1"/>
  <c r="S5789" i="1"/>
  <c r="R5789" i="1"/>
  <c r="S5212" i="1"/>
  <c r="S5211" i="1" s="1"/>
  <c r="S5210" i="1" s="1"/>
  <c r="R5212" i="1"/>
  <c r="R3683" i="1"/>
  <c r="S3683" i="1"/>
  <c r="S3682" i="1" s="1"/>
  <c r="S3681" i="1" s="1"/>
  <c r="S3680" i="1" s="1"/>
  <c r="R4546" i="1"/>
  <c r="S4546" i="1"/>
  <c r="S4545" i="1" s="1"/>
  <c r="S4544" i="1" s="1"/>
  <c r="S4543" i="1" s="1"/>
  <c r="R5985" i="1"/>
  <c r="S5985" i="1"/>
  <c r="S5984" i="1" s="1"/>
  <c r="S5983" i="1" s="1"/>
  <c r="S5982" i="1" s="1"/>
  <c r="S5981" i="1" s="1"/>
  <c r="S5980" i="1" s="1"/>
  <c r="S5963" i="1"/>
  <c r="S5962" i="1" s="1"/>
  <c r="S5961" i="1" s="1"/>
  <c r="R5963" i="1"/>
  <c r="S5092" i="1"/>
  <c r="R5092" i="1"/>
  <c r="S6230" i="1"/>
  <c r="R6230" i="1"/>
  <c r="O6231" i="1"/>
  <c r="R3238" i="1"/>
  <c r="S3238" i="1"/>
  <c r="S3237" i="1" s="1"/>
  <c r="T3237" i="1" s="1"/>
  <c r="O3239" i="1"/>
  <c r="R4158" i="1"/>
  <c r="S4158" i="1"/>
  <c r="S4157" i="1" s="1"/>
  <c r="T4157" i="1" s="1"/>
  <c r="S4512" i="1"/>
  <c r="S4511" i="1" s="1"/>
  <c r="S4510" i="1" s="1"/>
  <c r="S4509" i="1" s="1"/>
  <c r="R4512" i="1"/>
  <c r="O4513" i="1"/>
  <c r="R6210" i="1"/>
  <c r="S6210" i="1"/>
  <c r="S6209" i="1" s="1"/>
  <c r="T6209" i="1" s="1"/>
  <c r="R3302" i="1"/>
  <c r="S3302" i="1"/>
  <c r="S3301" i="1" s="1"/>
  <c r="S4782" i="1"/>
  <c r="S4781" i="1" s="1"/>
  <c r="T4781" i="1" s="1"/>
  <c r="R4782" i="1"/>
  <c r="R4828" i="1"/>
  <c r="S4828" i="1"/>
  <c r="S4827" i="1" s="1"/>
  <c r="T4827" i="1" s="1"/>
  <c r="R4531" i="1"/>
  <c r="S4531" i="1"/>
  <c r="S4530" i="1" s="1"/>
  <c r="S4529" i="1" s="1"/>
  <c r="S4528" i="1" s="1"/>
  <c r="R3195" i="1"/>
  <c r="S3195" i="1"/>
  <c r="S3194" i="1" s="1"/>
  <c r="T3194" i="1" s="1"/>
  <c r="T5424" i="1"/>
  <c r="R4503" i="1"/>
  <c r="S4503" i="1"/>
  <c r="S4568" i="1"/>
  <c r="S4567" i="1" s="1"/>
  <c r="T4567" i="1" s="1"/>
  <c r="R4568" i="1"/>
  <c r="R5112" i="1"/>
  <c r="S5112" i="1"/>
  <c r="S5111" i="1" s="1"/>
  <c r="S5110" i="1" s="1"/>
  <c r="S3420" i="1"/>
  <c r="S3419" i="1" s="1"/>
  <c r="R3420" i="1"/>
  <c r="O3421" i="1"/>
  <c r="R5335" i="1"/>
  <c r="S5335" i="1"/>
  <c r="S5334" i="1" s="1"/>
  <c r="R4477" i="1"/>
  <c r="R4476" i="1" s="1"/>
  <c r="S4477" i="1"/>
  <c r="S4476" i="1" s="1"/>
  <c r="T4476" i="1" s="1"/>
  <c r="S3007" i="1"/>
  <c r="S3006" i="1" s="1"/>
  <c r="T3006" i="1" s="1"/>
  <c r="R3007" i="1"/>
  <c r="O3008" i="1"/>
  <c r="S3324" i="1"/>
  <c r="R3324" i="1"/>
  <c r="R6132" i="1"/>
  <c r="S6132" i="1"/>
  <c r="S6131" i="1" s="1"/>
  <c r="S6130" i="1" s="1"/>
  <c r="R5682" i="1"/>
  <c r="S5682" i="1"/>
  <c r="S5681" i="1" s="1"/>
  <c r="T5681" i="1" s="1"/>
  <c r="R4897" i="1"/>
  <c r="S4897" i="1"/>
  <c r="O4898" i="1"/>
  <c r="R5717" i="1"/>
  <c r="S5717" i="1"/>
  <c r="S5716" i="1" s="1"/>
  <c r="S5715" i="1" s="1"/>
  <c r="S5714" i="1" s="1"/>
  <c r="S3034" i="1"/>
  <c r="R3034" i="1"/>
  <c r="R4677" i="1"/>
  <c r="S4677" i="1"/>
  <c r="S4676" i="1" s="1"/>
  <c r="O4678" i="1"/>
  <c r="O4246" i="1"/>
  <c r="O4247" i="1" s="1"/>
  <c r="R4245" i="1"/>
  <c r="S4245" i="1"/>
  <c r="S4244" i="1" s="1"/>
  <c r="S6034" i="1"/>
  <c r="R6034" i="1"/>
  <c r="O6035" i="1"/>
  <c r="R5083" i="1"/>
  <c r="S5083" i="1"/>
  <c r="S5082" i="1" s="1"/>
  <c r="S5081" i="1" s="1"/>
  <c r="S5080" i="1" s="1"/>
  <c r="S5079" i="1" s="1"/>
  <c r="S5078" i="1" s="1"/>
  <c r="S5077" i="1" s="1"/>
  <c r="R4475" i="1"/>
  <c r="S4475" i="1"/>
  <c r="T4475" i="1" s="1"/>
  <c r="R6257" i="1"/>
  <c r="R5793" i="1"/>
  <c r="S5793" i="1"/>
  <c r="S5792" i="1" s="1"/>
  <c r="S5791" i="1" s="1"/>
  <c r="S5790" i="1" s="1"/>
  <c r="S4413" i="1"/>
  <c r="R4413" i="1"/>
  <c r="O4414" i="1"/>
  <c r="R3863" i="1"/>
  <c r="S3863" i="1"/>
  <c r="S3862" i="1" s="1"/>
  <c r="O3864" i="1"/>
  <c r="S4432" i="1"/>
  <c r="R4432" i="1"/>
  <c r="R5429" i="1"/>
  <c r="S5429" i="1"/>
  <c r="S3043" i="1"/>
  <c r="S3042" i="1" s="1"/>
  <c r="T3042" i="1" s="1"/>
  <c r="R3043" i="1"/>
  <c r="R5524" i="1"/>
  <c r="S5524" i="1"/>
  <c r="S5523" i="1" s="1"/>
  <c r="O5525" i="1"/>
  <c r="R4148" i="1"/>
  <c r="S4148" i="1"/>
  <c r="S4147" i="1" s="1"/>
  <c r="T4147" i="1" s="1"/>
  <c r="S3197" i="1"/>
  <c r="S3196" i="1" s="1"/>
  <c r="T3196" i="1" s="1"/>
  <c r="R3197" i="1"/>
  <c r="R5331" i="1"/>
  <c r="S5331" i="1"/>
  <c r="S3358" i="1"/>
  <c r="S3357" i="1" s="1"/>
  <c r="T3357" i="1" s="1"/>
  <c r="R3358" i="1"/>
  <c r="S3530" i="1"/>
  <c r="S3529" i="1" s="1"/>
  <c r="R3530" i="1"/>
  <c r="R4741" i="1"/>
  <c r="S4741" i="1"/>
  <c r="S4740" i="1" s="1"/>
  <c r="T4740" i="1" s="1"/>
  <c r="R4700" i="1"/>
  <c r="S4700" i="1"/>
  <c r="S4699" i="1" s="1"/>
  <c r="R6026" i="1"/>
  <c r="S6026" i="1"/>
  <c r="S6025" i="1" s="1"/>
  <c r="S6024" i="1" s="1"/>
  <c r="S3656" i="1"/>
  <c r="R3656" i="1"/>
  <c r="R4777" i="1"/>
  <c r="S4777" i="1"/>
  <c r="S4776" i="1" s="1"/>
  <c r="S4775" i="1" s="1"/>
  <c r="S4774" i="1" s="1"/>
  <c r="O4778" i="1"/>
  <c r="R6252" i="1"/>
  <c r="S6252" i="1"/>
  <c r="S6251" i="1" s="1"/>
  <c r="S3455" i="1"/>
  <c r="S3454" i="1" s="1"/>
  <c r="T3454" i="1" s="1"/>
  <c r="R3455" i="1"/>
  <c r="R3027" i="1"/>
  <c r="S3027" i="1"/>
  <c r="S3026" i="1" s="1"/>
  <c r="T3026" i="1" s="1"/>
  <c r="R5580" i="1"/>
  <c r="S5580" i="1"/>
  <c r="R5692" i="1"/>
  <c r="S5692" i="1"/>
  <c r="S5691" i="1" s="1"/>
  <c r="O5693" i="1"/>
  <c r="R6037" i="1"/>
  <c r="R6036" i="1" s="1"/>
  <c r="O6038" i="1"/>
  <c r="S3199" i="1"/>
  <c r="S3198" i="1" s="1"/>
  <c r="T3198" i="1" s="1"/>
  <c r="R3199" i="1"/>
  <c r="R6242" i="1"/>
  <c r="S6242" i="1"/>
  <c r="S4663" i="1"/>
  <c r="S4662" i="1" s="1"/>
  <c r="R4663" i="1"/>
  <c r="O4664" i="1"/>
  <c r="R3019" i="1"/>
  <c r="R3018" i="1" s="1"/>
  <c r="R3017" i="1" s="1"/>
  <c r="S3019" i="1"/>
  <c r="S4326" i="1"/>
  <c r="S4325" i="1" s="1"/>
  <c r="T4325" i="1" s="1"/>
  <c r="R4326" i="1"/>
  <c r="R3070" i="1"/>
  <c r="S3070" i="1"/>
  <c r="S6239" i="1"/>
  <c r="S6238" i="1" s="1"/>
  <c r="T6238" i="1" s="1"/>
  <c r="R6239" i="1"/>
  <c r="O6240" i="1"/>
  <c r="S5969" i="1"/>
  <c r="S5968" i="1" s="1"/>
  <c r="S5967" i="1" s="1"/>
  <c r="R5969" i="1"/>
  <c r="R5878" i="1"/>
  <c r="S5878" i="1"/>
  <c r="S5877" i="1" s="1"/>
  <c r="T5877" i="1" s="1"/>
  <c r="S3879" i="1"/>
  <c r="S3878" i="1" s="1"/>
  <c r="R3879" i="1"/>
  <c r="O3880" i="1"/>
  <c r="S4694" i="1"/>
  <c r="S4693" i="1" s="1"/>
  <c r="T4693" i="1" s="1"/>
  <c r="R4694" i="1"/>
  <c r="R3119" i="1"/>
  <c r="S3119" i="1"/>
  <c r="S3118" i="1" s="1"/>
  <c r="T3118" i="1" s="1"/>
  <c r="R3752" i="1"/>
  <c r="S3752" i="1"/>
  <c r="S3751" i="1" s="1"/>
  <c r="T3751" i="1" s="1"/>
  <c r="R4349" i="1"/>
  <c r="S4349" i="1"/>
  <c r="S4348" i="1" s="1"/>
  <c r="T4348" i="1" s="1"/>
  <c r="R4160" i="1"/>
  <c r="S4160" i="1"/>
  <c r="S4159" i="1" s="1"/>
  <c r="T4159" i="1" s="1"/>
  <c r="S4643" i="1"/>
  <c r="S4642" i="1" s="1"/>
  <c r="S4641" i="1" s="1"/>
  <c r="S4640" i="1" s="1"/>
  <c r="S4639" i="1" s="1"/>
  <c r="R4643" i="1"/>
  <c r="S3202" i="1"/>
  <c r="R3202" i="1"/>
  <c r="S3950" i="1"/>
  <c r="S3949" i="1" s="1"/>
  <c r="S3948" i="1" s="1"/>
  <c r="S3947" i="1" s="1"/>
  <c r="S3946" i="1" s="1"/>
  <c r="S3945" i="1" s="1"/>
  <c r="R3950" i="1"/>
  <c r="S3642" i="1"/>
  <c r="S3641" i="1" s="1"/>
  <c r="S3640" i="1" s="1"/>
  <c r="S3639" i="1" s="1"/>
  <c r="R3642" i="1"/>
  <c r="O3643" i="1"/>
  <c r="R5838" i="1"/>
  <c r="S5838" i="1"/>
  <c r="S5837" i="1" s="1"/>
  <c r="S5836" i="1" s="1"/>
  <c r="S5835" i="1" s="1"/>
  <c r="S5834" i="1" s="1"/>
  <c r="S5833" i="1" s="1"/>
  <c r="S5832" i="1" s="1"/>
  <c r="O5839" i="1"/>
  <c r="R5143" i="1"/>
  <c r="S5143" i="1"/>
  <c r="S5142" i="1" s="1"/>
  <c r="S5141" i="1" s="1"/>
  <c r="S5140" i="1" s="1"/>
  <c r="S5139" i="1" s="1"/>
  <c r="S5138" i="1" s="1"/>
  <c r="O5144" i="1"/>
  <c r="S5447" i="1"/>
  <c r="S5446" i="1" s="1"/>
  <c r="S5445" i="1" s="1"/>
  <c r="S5444" i="1" s="1"/>
  <c r="R5447" i="1"/>
  <c r="O5448" i="1"/>
  <c r="S4987" i="1"/>
  <c r="S4986" i="1" s="1"/>
  <c r="S4985" i="1" s="1"/>
  <c r="S4984" i="1" s="1"/>
  <c r="S4983" i="1" s="1"/>
  <c r="S4982" i="1" s="1"/>
  <c r="R4987" i="1"/>
  <c r="R4138" i="1"/>
  <c r="S4138" i="1"/>
  <c r="R3957" i="1"/>
  <c r="S3957" i="1"/>
  <c r="S5031" i="1"/>
  <c r="S5030" i="1" s="1"/>
  <c r="S5029" i="1" s="1"/>
  <c r="S5028" i="1" s="1"/>
  <c r="S5027" i="1" s="1"/>
  <c r="S5026" i="1" s="1"/>
  <c r="R5031" i="1"/>
  <c r="R4068" i="1"/>
  <c r="S4068" i="1"/>
  <c r="S4067" i="1" s="1"/>
  <c r="S4066" i="1" s="1"/>
  <c r="S4065" i="1" s="1"/>
  <c r="S4064" i="1" s="1"/>
  <c r="S4063" i="1" s="1"/>
  <c r="O4069" i="1"/>
  <c r="S4540" i="1"/>
  <c r="S4539" i="1" s="1"/>
  <c r="S4538" i="1" s="1"/>
  <c r="S4537" i="1" s="1"/>
  <c r="R4540" i="1"/>
  <c r="R6000" i="1"/>
  <c r="S6000" i="1"/>
  <c r="S5999" i="1" s="1"/>
  <c r="S5998" i="1" s="1"/>
  <c r="S5997" i="1" s="1"/>
  <c r="S5996" i="1" s="1"/>
  <c r="S5995" i="1" s="1"/>
  <c r="O6001" i="1"/>
  <c r="R5217" i="1"/>
  <c r="R5216" i="1" s="1"/>
  <c r="R5215" i="1" s="1"/>
  <c r="R5214" i="1" s="1"/>
  <c r="R5213" i="1" s="1"/>
  <c r="O5218" i="1"/>
  <c r="R4052" i="1"/>
  <c r="S4052" i="1"/>
  <c r="S4051" i="1" s="1"/>
  <c r="S4050" i="1" s="1"/>
  <c r="S4049" i="1" s="1"/>
  <c r="S4048" i="1" s="1"/>
  <c r="S4047" i="1" s="1"/>
  <c r="O4053" i="1"/>
  <c r="R5274" i="1"/>
  <c r="S5274" i="1"/>
  <c r="S5273" i="1" s="1"/>
  <c r="S5272" i="1" s="1"/>
  <c r="S5271" i="1" s="1"/>
  <c r="S5270" i="1" s="1"/>
  <c r="S5269" i="1" s="1"/>
  <c r="O5275" i="1"/>
  <c r="R4557" i="1"/>
  <c r="S4557" i="1"/>
  <c r="T4557" i="1" s="1"/>
  <c r="S5528" i="1"/>
  <c r="S5527" i="1" s="1"/>
  <c r="T5527" i="1" s="1"/>
  <c r="R5528" i="1"/>
  <c r="R3112" i="1"/>
  <c r="S3112" i="1"/>
  <c r="S3111" i="1" s="1"/>
  <c r="O3113" i="1"/>
  <c r="S4496" i="1"/>
  <c r="S4495" i="1" s="1"/>
  <c r="T4495" i="1" s="1"/>
  <c r="R4496" i="1"/>
  <c r="R3551" i="1"/>
  <c r="S3551" i="1"/>
  <c r="S3550" i="1" s="1"/>
  <c r="O3552" i="1"/>
  <c r="S5907" i="1"/>
  <c r="S5906" i="1" s="1"/>
  <c r="T5906" i="1" s="1"/>
  <c r="R5907" i="1"/>
  <c r="S4468" i="1"/>
  <c r="S4467" i="1" s="1"/>
  <c r="T4467" i="1" s="1"/>
  <c r="R4468" i="1"/>
  <c r="R4467" i="1" s="1"/>
  <c r="R4208" i="1"/>
  <c r="S4208" i="1"/>
  <c r="S4207" i="1" s="1"/>
  <c r="T4207" i="1" s="1"/>
  <c r="R4086" i="1"/>
  <c r="S4086" i="1"/>
  <c r="S4085" i="1" s="1"/>
  <c r="T4085" i="1" s="1"/>
  <c r="R4912" i="1"/>
  <c r="S4912" i="1"/>
  <c r="R3187" i="1"/>
  <c r="S3187" i="1"/>
  <c r="O3290" i="1"/>
  <c r="R3289" i="1"/>
  <c r="R3288" i="1" s="1"/>
  <c r="R3287" i="1" s="1"/>
  <c r="S4651" i="1"/>
  <c r="S4650" i="1" s="1"/>
  <c r="S4649" i="1" s="1"/>
  <c r="S4648" i="1" s="1"/>
  <c r="R4651" i="1"/>
  <c r="S6109" i="1"/>
  <c r="S6108" i="1" s="1"/>
  <c r="T6108" i="1" s="1"/>
  <c r="R6109" i="1"/>
  <c r="R4194" i="1"/>
  <c r="S4194" i="1"/>
  <c r="S4193" i="1" s="1"/>
  <c r="T4193" i="1" s="1"/>
  <c r="S4820" i="1"/>
  <c r="S4819" i="1" s="1"/>
  <c r="S4818" i="1" s="1"/>
  <c r="S4817" i="1" s="1"/>
  <c r="R4820" i="1"/>
  <c r="S4084" i="1"/>
  <c r="S4083" i="1" s="1"/>
  <c r="S4082" i="1" s="1"/>
  <c r="S4081" i="1" s="1"/>
  <c r="S4080" i="1" s="1"/>
  <c r="S4079" i="1" s="1"/>
  <c r="R4084" i="1"/>
  <c r="R5176" i="1"/>
  <c r="S5176" i="1"/>
  <c r="S5175" i="1" s="1"/>
  <c r="O5177" i="1"/>
  <c r="R4727" i="1"/>
  <c r="S4727" i="1"/>
  <c r="S4726" i="1" s="1"/>
  <c r="S6313" i="1"/>
  <c r="R6313" i="1"/>
  <c r="R3216" i="1"/>
  <c r="R3215" i="1" s="1"/>
  <c r="O3217" i="1"/>
  <c r="O3394" i="1"/>
  <c r="O4551" i="1"/>
  <c r="S4235" i="1"/>
  <c r="S4234" i="1" s="1"/>
  <c r="R4235" i="1"/>
  <c r="S4401" i="1"/>
  <c r="S4400" i="1" s="1"/>
  <c r="T4400" i="1" s="1"/>
  <c r="R4401" i="1"/>
  <c r="O5680" i="1"/>
  <c r="T4062" i="1"/>
  <c r="R3457" i="1"/>
  <c r="S3457" i="1"/>
  <c r="S3456" i="1" s="1"/>
  <c r="T3456" i="1" s="1"/>
  <c r="R5088" i="1"/>
  <c r="S5088" i="1"/>
  <c r="S5087" i="1" s="1"/>
  <c r="T5087" i="1" s="1"/>
  <c r="R4439" i="1"/>
  <c r="S4439" i="1"/>
  <c r="S4438" i="1" s="1"/>
  <c r="O4440" i="1"/>
  <c r="R4109" i="1"/>
  <c r="S4109" i="1"/>
  <c r="S4108" i="1" s="1"/>
  <c r="O4110" i="1"/>
  <c r="O4111" i="1" s="1"/>
  <c r="R3735" i="1"/>
  <c r="S3735" i="1"/>
  <c r="S3734" i="1" s="1"/>
  <c r="T3734" i="1" s="1"/>
  <c r="S3768" i="1"/>
  <c r="S3767" i="1" s="1"/>
  <c r="R3768" i="1"/>
  <c r="S5959" i="1"/>
  <c r="R5959" i="1"/>
  <c r="R5257" i="1"/>
  <c r="S5257" i="1"/>
  <c r="S5256" i="1" s="1"/>
  <c r="T5256" i="1" s="1"/>
  <c r="S5033" i="1"/>
  <c r="S5032" i="1" s="1"/>
  <c r="R5033" i="1"/>
  <c r="O5034" i="1"/>
  <c r="S5264" i="1"/>
  <c r="S5263" i="1" s="1"/>
  <c r="R5264" i="1"/>
  <c r="O5265" i="1"/>
  <c r="S3280" i="1"/>
  <c r="S3279" i="1" s="1"/>
  <c r="T3279" i="1" s="1"/>
  <c r="R3280" i="1"/>
  <c r="R4688" i="1"/>
  <c r="S4688" i="1"/>
  <c r="S4687" i="1" s="1"/>
  <c r="S4686" i="1" s="1"/>
  <c r="S4685" i="1" s="1"/>
  <c r="R4377" i="1"/>
  <c r="S4377" i="1"/>
  <c r="S4376" i="1" s="1"/>
  <c r="S4375" i="1" s="1"/>
  <c r="S4374" i="1" s="1"/>
  <c r="S4373" i="1" s="1"/>
  <c r="S3193" i="1"/>
  <c r="S3192" i="1" s="1"/>
  <c r="T3192" i="1" s="1"/>
  <c r="R3193" i="1"/>
  <c r="R5650" i="1"/>
  <c r="S5650" i="1"/>
  <c r="S5649" i="1" s="1"/>
  <c r="O5651" i="1"/>
  <c r="O5652" i="1" s="1"/>
  <c r="R3935" i="1"/>
  <c r="R3934" i="1" s="1"/>
  <c r="O3936" i="1"/>
  <c r="R5686" i="1"/>
  <c r="S5686" i="1"/>
  <c r="S5685" i="1" s="1"/>
  <c r="O5687" i="1"/>
  <c r="R4141" i="1"/>
  <c r="S4141" i="1"/>
  <c r="S4140" i="1" s="1"/>
  <c r="S4139" i="1" s="1"/>
  <c r="O4142" i="1"/>
  <c r="S4421" i="1"/>
  <c r="S4420" i="1" s="1"/>
  <c r="T4420" i="1" s="1"/>
  <c r="R4421" i="1"/>
  <c r="S4165" i="1"/>
  <c r="T4165" i="1" s="1"/>
  <c r="R4165" i="1"/>
  <c r="R3249" i="1"/>
  <c r="S3249" i="1"/>
  <c r="S3248" i="1" s="1"/>
  <c r="S3247" i="1" s="1"/>
  <c r="S3246" i="1" s="1"/>
  <c r="S5938" i="1"/>
  <c r="S5937" i="1" s="1"/>
  <c r="S5936" i="1" s="1"/>
  <c r="S5935" i="1" s="1"/>
  <c r="S5934" i="1" s="1"/>
  <c r="S5933" i="1" s="1"/>
  <c r="R5938" i="1"/>
  <c r="O5939" i="1"/>
  <c r="R5019" i="1"/>
  <c r="S5019" i="1"/>
  <c r="T5019" i="1" s="1"/>
  <c r="S3220" i="1"/>
  <c r="R3220" i="1"/>
  <c r="R3637" i="1"/>
  <c r="S3637" i="1"/>
  <c r="S3636" i="1" s="1"/>
  <c r="S3635" i="1" s="1"/>
  <c r="S3634" i="1" s="1"/>
  <c r="O3638" i="1"/>
  <c r="S5086" i="1"/>
  <c r="S5085" i="1" s="1"/>
  <c r="S5084" i="1" s="1"/>
  <c r="R5086" i="1"/>
  <c r="S2974" i="1"/>
  <c r="S2973" i="1" s="1"/>
  <c r="S2972" i="1" s="1"/>
  <c r="R2974" i="1"/>
  <c r="R2973" i="1" s="1"/>
  <c r="R2972" i="1" s="1"/>
  <c r="S2978" i="1"/>
  <c r="S2977" i="1" s="1"/>
  <c r="T2977" i="1" s="1"/>
  <c r="R2978" i="1"/>
  <c r="R5267" i="1"/>
  <c r="R5266" i="1" s="1"/>
  <c r="O5268" i="1"/>
  <c r="O6250" i="1"/>
  <c r="S6249" i="1"/>
  <c r="S6248" i="1" s="1"/>
  <c r="T6248" i="1" s="1"/>
  <c r="S3160" i="1"/>
  <c r="S3159" i="1" s="1"/>
  <c r="R3160" i="1"/>
  <c r="O3161" i="1"/>
  <c r="S4928" i="1"/>
  <c r="S4927" i="1" s="1"/>
  <c r="T4927" i="1" s="1"/>
  <c r="R4928" i="1"/>
  <c r="S4520" i="1"/>
  <c r="R4520" i="1"/>
  <c r="S4358" i="1"/>
  <c r="S4357" i="1" s="1"/>
  <c r="R4358" i="1"/>
  <c r="S3262" i="1"/>
  <c r="S3261" i="1" s="1"/>
  <c r="T3261" i="1" s="1"/>
  <c r="R3262" i="1"/>
  <c r="R3149" i="1"/>
  <c r="S3149" i="1"/>
  <c r="R4364" i="1"/>
  <c r="S4364" i="1"/>
  <c r="S4363" i="1" s="1"/>
  <c r="T4363" i="1" s="1"/>
  <c r="O4365" i="1"/>
  <c r="R5898" i="1"/>
  <c r="S5898" i="1"/>
  <c r="R3760" i="1"/>
  <c r="S3760" i="1"/>
  <c r="S3759" i="1" s="1"/>
  <c r="T3759" i="1" s="1"/>
  <c r="R3411" i="1"/>
  <c r="R3410" i="1" s="1"/>
  <c r="R3409" i="1" s="1"/>
  <c r="O3412" i="1"/>
  <c r="R6224" i="1"/>
  <c r="S6224" i="1"/>
  <c r="O6225" i="1"/>
  <c r="R3540" i="1"/>
  <c r="S3540" i="1"/>
  <c r="S3539" i="1" s="1"/>
  <c r="T3539" i="1" s="1"/>
  <c r="R4382" i="1"/>
  <c r="S4382" i="1"/>
  <c r="S4381" i="1" s="1"/>
  <c r="S4380" i="1" s="1"/>
  <c r="S4379" i="1" s="1"/>
  <c r="O4383" i="1"/>
  <c r="R6308" i="1"/>
  <c r="S6308" i="1"/>
  <c r="S6307" i="1" s="1"/>
  <c r="O6309" i="1"/>
  <c r="R5501" i="1"/>
  <c r="S5501" i="1"/>
  <c r="S5500" i="1" s="1"/>
  <c r="T5500" i="1" s="1"/>
  <c r="S4293" i="1"/>
  <c r="S4292" i="1" s="1"/>
  <c r="T4292" i="1" s="1"/>
  <c r="R4293" i="1"/>
  <c r="S4459" i="1"/>
  <c r="S4458" i="1" s="1"/>
  <c r="S4457" i="1" s="1"/>
  <c r="R4459" i="1"/>
  <c r="O4460" i="1"/>
  <c r="R4088" i="1"/>
  <c r="S4088" i="1"/>
  <c r="S4087" i="1" s="1"/>
  <c r="T4087" i="1" s="1"/>
  <c r="S3613" i="1"/>
  <c r="S3612" i="1" s="1"/>
  <c r="S3611" i="1" s="1"/>
  <c r="S3610" i="1" s="1"/>
  <c r="R3613" i="1"/>
  <c r="S4918" i="1"/>
  <c r="S4917" i="1" s="1"/>
  <c r="R4918" i="1"/>
  <c r="O4919" i="1"/>
  <c r="S4388" i="1"/>
  <c r="R4388" i="1"/>
  <c r="O4389" i="1"/>
  <c r="R5067" i="1"/>
  <c r="S5067" i="1"/>
  <c r="S5066" i="1" s="1"/>
  <c r="O5068" i="1"/>
  <c r="S5797" i="1"/>
  <c r="S5796" i="1" s="1"/>
  <c r="R5797" i="1"/>
  <c r="R5796" i="1" s="1"/>
  <c r="S3334" i="1"/>
  <c r="S3333" i="1" s="1"/>
  <c r="R3334" i="1"/>
  <c r="O3335" i="1"/>
  <c r="O3336" i="1" s="1"/>
  <c r="R3156" i="1"/>
  <c r="S3156" i="1"/>
  <c r="S3155" i="1" s="1"/>
  <c r="T3155" i="1" s="1"/>
  <c r="S4452" i="1"/>
  <c r="S4451" i="1" s="1"/>
  <c r="R4452" i="1"/>
  <c r="O4453" i="1"/>
  <c r="S3724" i="1"/>
  <c r="S3723" i="1" s="1"/>
  <c r="R3724" i="1"/>
  <c r="O3725" i="1"/>
  <c r="R3379" i="1"/>
  <c r="R3378" i="1" s="1"/>
  <c r="R3377" i="1" s="1"/>
  <c r="O3380" i="1"/>
  <c r="S3447" i="1"/>
  <c r="S3446" i="1" s="1"/>
  <c r="S3445" i="1" s="1"/>
  <c r="R3447" i="1"/>
  <c r="O3448" i="1"/>
  <c r="R3860" i="1"/>
  <c r="S3860" i="1"/>
  <c r="S3859" i="1" s="1"/>
  <c r="S3858" i="1" s="1"/>
  <c r="S3857" i="1" s="1"/>
  <c r="S3856" i="1" s="1"/>
  <c r="S3855" i="1" s="1"/>
  <c r="O3861" i="1"/>
  <c r="R3242" i="1"/>
  <c r="S3242" i="1"/>
  <c r="T3242" i="1" s="1"/>
  <c r="R5050" i="1"/>
  <c r="S5050" i="1"/>
  <c r="S5049" i="1" s="1"/>
  <c r="S5048" i="1" s="1"/>
  <c r="S5047" i="1" s="1"/>
  <c r="S5046" i="1" s="1"/>
  <c r="S5045" i="1" s="1"/>
  <c r="O5051" i="1"/>
  <c r="R5160" i="1"/>
  <c r="S5160" i="1"/>
  <c r="S5159" i="1" s="1"/>
  <c r="S5158" i="1" s="1"/>
  <c r="S5157" i="1" s="1"/>
  <c r="S5156" i="1" s="1"/>
  <c r="S5155" i="1" s="1"/>
  <c r="O5161" i="1"/>
  <c r="R3829" i="1"/>
  <c r="S3829" i="1"/>
  <c r="S3828" i="1" s="1"/>
  <c r="S3827" i="1" s="1"/>
  <c r="S3826" i="1" s="1"/>
  <c r="S3825" i="1" s="1"/>
  <c r="S3824" i="1" s="1"/>
  <c r="O3830" i="1"/>
  <c r="R5060" i="1"/>
  <c r="S5060" i="1"/>
  <c r="S5059" i="1" s="1"/>
  <c r="S5058" i="1" s="1"/>
  <c r="O5061" i="1"/>
  <c r="R3801" i="1"/>
  <c r="S3801" i="1"/>
  <c r="S3800" i="1" s="1"/>
  <c r="S3799" i="1" s="1"/>
  <c r="S3798" i="1" s="1"/>
  <c r="S3797" i="1" s="1"/>
  <c r="S3796" i="1" s="1"/>
  <c r="R3345" i="1"/>
  <c r="S3345" i="1"/>
  <c r="S3344" i="1" s="1"/>
  <c r="S3343" i="1" s="1"/>
  <c r="S3342" i="1" s="1"/>
  <c r="O3346" i="1"/>
  <c r="S5319" i="1"/>
  <c r="S5318" i="1" s="1"/>
  <c r="R5319" i="1"/>
  <c r="R5318" i="1" s="1"/>
  <c r="R3807" i="1"/>
  <c r="S3807" i="1"/>
  <c r="S3806" i="1" s="1"/>
  <c r="S3805" i="1" s="1"/>
  <c r="S3804" i="1" s="1"/>
  <c r="S3803" i="1" s="1"/>
  <c r="S3802" i="1" s="1"/>
  <c r="O3808" i="1"/>
  <c r="R3432" i="1"/>
  <c r="S3432" i="1"/>
  <c r="S3431" i="1" s="1"/>
  <c r="S3430" i="1" s="1"/>
  <c r="S3429" i="1" s="1"/>
  <c r="S3428" i="1" s="1"/>
  <c r="O3433" i="1"/>
  <c r="R5438" i="1"/>
  <c r="S5438" i="1"/>
  <c r="S5437" i="1" s="1"/>
  <c r="T5437" i="1" s="1"/>
  <c r="R4921" i="1"/>
  <c r="S4921" i="1"/>
  <c r="S4920" i="1" s="1"/>
  <c r="R3173" i="1"/>
  <c r="R3172" i="1" s="1"/>
  <c r="O3174" i="1"/>
  <c r="R4179" i="1"/>
  <c r="R4178" i="1" s="1"/>
  <c r="O4180" i="1"/>
  <c r="R4146" i="1"/>
  <c r="R4145" i="1" s="1"/>
  <c r="S4146" i="1"/>
  <c r="S4145" i="1" s="1"/>
  <c r="R4635" i="1"/>
  <c r="O4636" i="1"/>
  <c r="R3909" i="1"/>
  <c r="S3909" i="1"/>
  <c r="S3908" i="1" s="1"/>
  <c r="S3907" i="1" s="1"/>
  <c r="O3910" i="1"/>
  <c r="R3085" i="1"/>
  <c r="S3085" i="1"/>
  <c r="S3084" i="1" s="1"/>
  <c r="O3086" i="1"/>
  <c r="S3115" i="1"/>
  <c r="S3114" i="1" s="1"/>
  <c r="R3115" i="1"/>
  <c r="R4745" i="1"/>
  <c r="R4744" i="1" s="1"/>
  <c r="O4746" i="1"/>
  <c r="S3360" i="1"/>
  <c r="S3359" i="1" s="1"/>
  <c r="R3360" i="1"/>
  <c r="O3361" i="1"/>
  <c r="S5235" i="1"/>
  <c r="R5235" i="1"/>
  <c r="O5236" i="1"/>
  <c r="R3272" i="1"/>
  <c r="S3272" i="1"/>
  <c r="S3271" i="1" s="1"/>
  <c r="T3271" i="1" s="1"/>
  <c r="R4107" i="1"/>
  <c r="S4107" i="1"/>
  <c r="S4106" i="1" s="1"/>
  <c r="S4105" i="1" s="1"/>
  <c r="S3566" i="1"/>
  <c r="S3565" i="1" s="1"/>
  <c r="S3564" i="1" s="1"/>
  <c r="S3563" i="1" s="1"/>
  <c r="R3566" i="1"/>
  <c r="O4091" i="1"/>
  <c r="R4090" i="1"/>
  <c r="R4089" i="1" s="1"/>
  <c r="R6173" i="1"/>
  <c r="R6172" i="1" s="1"/>
  <c r="O6174" i="1"/>
  <c r="R6274" i="1"/>
  <c r="S6274" i="1"/>
  <c r="S6273" i="1" s="1"/>
  <c r="O6275" i="1"/>
  <c r="S3437" i="1"/>
  <c r="S3436" i="1" s="1"/>
  <c r="S3435" i="1" s="1"/>
  <c r="S3434" i="1" s="1"/>
  <c r="R3437" i="1"/>
  <c r="O3438" i="1"/>
  <c r="R4705" i="1"/>
  <c r="S4705" i="1"/>
  <c r="S4704" i="1" s="1"/>
  <c r="S4703" i="1" s="1"/>
  <c r="S4702" i="1" s="1"/>
  <c r="S4701" i="1" s="1"/>
  <c r="O4706" i="1"/>
  <c r="R4724" i="1"/>
  <c r="S4724" i="1"/>
  <c r="S4723" i="1" s="1"/>
  <c r="O4725" i="1"/>
  <c r="S3306" i="1"/>
  <c r="S3305" i="1" s="1"/>
  <c r="S3304" i="1" s="1"/>
  <c r="S3303" i="1" s="1"/>
  <c r="R3306" i="1"/>
  <c r="O3307" i="1"/>
  <c r="S5134" i="1"/>
  <c r="S5133" i="1" s="1"/>
  <c r="S5132" i="1" s="1"/>
  <c r="S5131" i="1" s="1"/>
  <c r="S5130" i="1" s="1"/>
  <c r="S5129" i="1" s="1"/>
  <c r="R5134" i="1"/>
  <c r="O5135" i="1"/>
  <c r="R5255" i="1"/>
  <c r="S5255" i="1"/>
  <c r="S5254" i="1" s="1"/>
  <c r="S5253" i="1" s="1"/>
  <c r="S5252" i="1" s="1"/>
  <c r="S5251" i="1" s="1"/>
  <c r="S5250" i="1" s="1"/>
  <c r="T5889" i="1"/>
  <c r="T5752" i="1"/>
  <c r="S6055" i="1"/>
  <c r="S6054" i="1" s="1"/>
  <c r="T6054" i="1" s="1"/>
  <c r="R6055" i="1"/>
  <c r="R4360" i="1"/>
  <c r="S4360" i="1"/>
  <c r="S4359" i="1" s="1"/>
  <c r="T4359" i="1" s="1"/>
  <c r="S4584" i="1"/>
  <c r="S4583" i="1" s="1"/>
  <c r="R4584" i="1"/>
  <c r="O4585" i="1"/>
  <c r="S3764" i="1"/>
  <c r="S3763" i="1" s="1"/>
  <c r="T3763" i="1" s="1"/>
  <c r="O4450" i="1"/>
  <c r="R4449" i="1"/>
  <c r="S4449" i="1"/>
  <c r="S4448" i="1" s="1"/>
  <c r="S3328" i="1"/>
  <c r="S3327" i="1" s="1"/>
  <c r="T3327" i="1" s="1"/>
  <c r="R3328" i="1"/>
  <c r="O3329" i="1"/>
  <c r="O3330" i="1" s="1"/>
  <c r="R5351" i="1"/>
  <c r="S5351" i="1"/>
  <c r="S5350" i="1" s="1"/>
  <c r="T5350" i="1" s="1"/>
  <c r="R4392" i="1"/>
  <c r="S4392" i="1"/>
  <c r="S4391" i="1" s="1"/>
  <c r="T4391" i="1" s="1"/>
  <c r="R5663" i="1"/>
  <c r="S5663" i="1"/>
  <c r="S5662" i="1" s="1"/>
  <c r="S5661" i="1" s="1"/>
  <c r="O5664" i="1"/>
  <c r="R5566" i="1"/>
  <c r="S5566" i="1"/>
  <c r="S5565" i="1" s="1"/>
  <c r="S4798" i="1"/>
  <c r="S4797" i="1" s="1"/>
  <c r="T4797" i="1" s="1"/>
  <c r="R4798" i="1"/>
  <c r="R4201" i="1"/>
  <c r="S4201" i="1"/>
  <c r="S3135" i="1"/>
  <c r="S3134" i="1" s="1"/>
  <c r="S3133" i="1" s="1"/>
  <c r="S3132" i="1" s="1"/>
  <c r="R3135" i="1"/>
  <c r="O3136" i="1"/>
  <c r="R5551" i="1"/>
  <c r="S5551" i="1"/>
  <c r="S5550" i="1" s="1"/>
  <c r="S5549" i="1" s="1"/>
  <c r="S4020" i="1"/>
  <c r="T4020" i="1" s="1"/>
  <c r="R4020" i="1"/>
  <c r="S3356" i="1"/>
  <c r="S3355" i="1" s="1"/>
  <c r="T3355" i="1" s="1"/>
  <c r="R3356" i="1"/>
  <c r="R3938" i="1"/>
  <c r="S3938" i="1"/>
  <c r="S3937" i="1" s="1"/>
  <c r="R3733" i="1"/>
  <c r="S3733" i="1"/>
  <c r="R5038" i="1"/>
  <c r="S5038" i="1"/>
  <c r="S5037" i="1" s="1"/>
  <c r="T5037" i="1" s="1"/>
  <c r="S3374" i="1"/>
  <c r="S3373" i="1" s="1"/>
  <c r="S3372" i="1" s="1"/>
  <c r="R3374" i="1"/>
  <c r="O3375" i="1"/>
  <c r="O3376" i="1" s="1"/>
  <c r="R3492" i="1"/>
  <c r="S3492" i="1"/>
  <c r="T3492" i="1" s="1"/>
  <c r="S4302" i="1"/>
  <c r="S4301" i="1" s="1"/>
  <c r="T4301" i="1" s="1"/>
  <c r="R4302" i="1"/>
  <c r="O4303" i="1"/>
  <c r="O3498" i="1"/>
  <c r="S3497" i="1"/>
  <c r="S3496" i="1" s="1"/>
  <c r="R3497" i="1"/>
  <c r="R4347" i="1"/>
  <c r="S4347" i="1"/>
  <c r="S4346" i="1" s="1"/>
  <c r="T4346" i="1" s="1"/>
  <c r="S3054" i="1"/>
  <c r="S3053" i="1" s="1"/>
  <c r="S3052" i="1" s="1"/>
  <c r="S3051" i="1" s="1"/>
  <c r="R3054" i="1"/>
  <c r="O3055" i="1"/>
  <c r="R4999" i="1"/>
  <c r="R4998" i="1" s="1"/>
  <c r="S4999" i="1"/>
  <c r="S4998" i="1" s="1"/>
  <c r="T4998" i="1" s="1"/>
  <c r="R6255" i="1"/>
  <c r="S6255" i="1"/>
  <c r="T6255" i="1" s="1"/>
  <c r="S4881" i="1"/>
  <c r="S4880" i="1" s="1"/>
  <c r="S4879" i="1" s="1"/>
  <c r="S4878" i="1" s="1"/>
  <c r="R4881" i="1"/>
  <c r="R3912" i="1"/>
  <c r="S3912" i="1"/>
  <c r="S3911" i="1" s="1"/>
  <c r="T3911" i="1" s="1"/>
  <c r="R5153" i="1"/>
  <c r="S5153" i="1"/>
  <c r="S5152" i="1" s="1"/>
  <c r="S5151" i="1" s="1"/>
  <c r="S5150" i="1" s="1"/>
  <c r="S5149" i="1" s="1"/>
  <c r="S5148" i="1" s="1"/>
  <c r="O5154" i="1"/>
  <c r="S3626" i="1"/>
  <c r="S3625" i="1" s="1"/>
  <c r="R3626" i="1"/>
  <c r="O3627" i="1"/>
  <c r="R4095" i="1"/>
  <c r="R4094" i="1" s="1"/>
  <c r="O4096" i="1"/>
  <c r="R3823" i="1"/>
  <c r="S3823" i="1"/>
  <c r="S3822" i="1" s="1"/>
  <c r="R5538" i="1"/>
  <c r="S5538" i="1"/>
  <c r="R5434" i="1"/>
  <c r="S5434" i="1"/>
  <c r="S5433" i="1" s="1"/>
  <c r="T5433" i="1" s="1"/>
  <c r="S6127" i="1"/>
  <c r="R6127" i="1"/>
  <c r="O6128" i="1"/>
  <c r="O6129" i="1" s="1"/>
  <c r="S5013" i="1"/>
  <c r="S5012" i="1" s="1"/>
  <c r="R5013" i="1"/>
  <c r="O5014" i="1"/>
  <c r="R3245" i="1"/>
  <c r="S3245" i="1"/>
  <c r="S5604" i="1"/>
  <c r="S5603" i="1" s="1"/>
  <c r="R5604" i="1"/>
  <c r="O6218" i="1"/>
  <c r="S6217" i="1"/>
  <c r="S6216" i="1" s="1"/>
  <c r="S5866" i="1"/>
  <c r="S5865" i="1" s="1"/>
  <c r="S5864" i="1" s="1"/>
  <c r="S5863" i="1" s="1"/>
  <c r="S5862" i="1" s="1"/>
  <c r="S5861" i="1" s="1"/>
  <c r="R5866" i="1"/>
  <c r="R3620" i="1"/>
  <c r="S3620" i="1"/>
  <c r="T3620" i="1" s="1"/>
  <c r="R5632" i="1"/>
  <c r="R5631" i="1" s="1"/>
  <c r="R5630" i="1" s="1"/>
  <c r="O5633" i="1"/>
  <c r="S4342" i="1"/>
  <c r="S4341" i="1" s="1"/>
  <c r="S4340" i="1" s="1"/>
  <c r="R4342" i="1"/>
  <c r="R3510" i="1"/>
  <c r="S3510" i="1"/>
  <c r="S3509" i="1" s="1"/>
  <c r="S3508" i="1" s="1"/>
  <c r="S3507" i="1" s="1"/>
  <c r="O3511" i="1"/>
  <c r="R6181" i="1"/>
  <c r="S6181" i="1"/>
  <c r="O4262" i="1"/>
  <c r="S3370" i="1"/>
  <c r="S3369" i="1" s="1"/>
  <c r="S3368" i="1" s="1"/>
  <c r="R3370" i="1"/>
  <c r="O3371" i="1"/>
  <c r="R3108" i="1"/>
  <c r="S3108" i="1"/>
  <c r="S3107" i="1" s="1"/>
  <c r="T3107" i="1" s="1"/>
  <c r="R2957" i="1"/>
  <c r="R2956" i="1" s="1"/>
  <c r="S2957" i="1"/>
  <c r="S2956" i="1" s="1"/>
  <c r="S4622" i="1"/>
  <c r="R4622" i="1"/>
  <c r="R4609" i="1"/>
  <c r="S4609" i="1"/>
  <c r="S4608" i="1" s="1"/>
  <c r="S4607" i="1" s="1"/>
  <c r="S4606" i="1" s="1"/>
  <c r="R5742" i="1"/>
  <c r="S5742" i="1"/>
  <c r="S5741" i="1" s="1"/>
  <c r="S5740" i="1" s="1"/>
  <c r="S5739" i="1" s="1"/>
  <c r="R5731" i="1"/>
  <c r="S5731" i="1"/>
  <c r="S5730" i="1" s="1"/>
  <c r="S5729" i="1" s="1"/>
  <c r="S5728" i="1" s="1"/>
  <c r="S4356" i="1"/>
  <c r="T4356" i="1" s="1"/>
  <c r="R4356" i="1"/>
  <c r="S3791" i="1"/>
  <c r="S3790" i="1" s="1"/>
  <c r="S3789" i="1" s="1"/>
  <c r="S3788" i="1" s="1"/>
  <c r="R3791" i="1"/>
  <c r="R3182" i="1"/>
  <c r="S3182" i="1"/>
  <c r="S3181" i="1" s="1"/>
  <c r="O3183" i="1"/>
  <c r="R3171" i="1"/>
  <c r="S3171" i="1"/>
  <c r="S3170" i="1" s="1"/>
  <c r="S5517" i="1"/>
  <c r="S5516" i="1" s="1"/>
  <c r="S5515" i="1" s="1"/>
  <c r="R5517" i="1"/>
  <c r="O5518" i="1"/>
  <c r="R6158" i="1"/>
  <c r="R6157" i="1" s="1"/>
  <c r="S6158" i="1"/>
  <c r="S6157" i="1" s="1"/>
  <c r="S6156" i="1" s="1"/>
  <c r="R5283" i="1"/>
  <c r="S5283" i="1"/>
  <c r="O5284" i="1"/>
  <c r="O5285" i="1" s="1"/>
  <c r="R4113" i="1"/>
  <c r="R4112" i="1" s="1"/>
  <c r="O4114" i="1"/>
  <c r="S4177" i="1"/>
  <c r="S4176" i="1" s="1"/>
  <c r="S4175" i="1" s="1"/>
  <c r="R4177" i="1"/>
  <c r="S3526" i="1"/>
  <c r="S3525" i="1" s="1"/>
  <c r="T3525" i="1" s="1"/>
  <c r="R3526" i="1"/>
  <c r="R3902" i="1"/>
  <c r="S3902" i="1"/>
  <c r="S3901" i="1" s="1"/>
  <c r="S3900" i="1" s="1"/>
  <c r="S3899" i="1" s="1"/>
  <c r="S3898" i="1" s="1"/>
  <c r="S3897" i="1" s="1"/>
  <c r="O3903" i="1"/>
  <c r="S6144" i="1"/>
  <c r="S6143" i="1" s="1"/>
  <c r="S6142" i="1" s="1"/>
  <c r="S6141" i="1" s="1"/>
  <c r="S6140" i="1" s="1"/>
  <c r="S6139" i="1" s="1"/>
  <c r="R6144" i="1"/>
  <c r="R3266" i="1"/>
  <c r="S3266" i="1"/>
  <c r="S3265" i="1" s="1"/>
  <c r="S3264" i="1" s="1"/>
  <c r="S3263" i="1" s="1"/>
  <c r="S4956" i="1"/>
  <c r="S4955" i="1" s="1"/>
  <c r="S4954" i="1" s="1"/>
  <c r="S4953" i="1" s="1"/>
  <c r="S4952" i="1" s="1"/>
  <c r="S4951" i="1" s="1"/>
  <c r="R4956" i="1"/>
  <c r="O4957" i="1"/>
  <c r="R4008" i="1"/>
  <c r="S4008" i="1"/>
  <c r="S4007" i="1" s="1"/>
  <c r="S4006" i="1" s="1"/>
  <c r="S4005" i="1" s="1"/>
  <c r="S4004" i="1" s="1"/>
  <c r="S4003" i="1" s="1"/>
  <c r="O4009" i="1"/>
  <c r="S4934" i="1"/>
  <c r="S4933" i="1" s="1"/>
  <c r="S4932" i="1" s="1"/>
  <c r="S4931" i="1" s="1"/>
  <c r="S4930" i="1" s="1"/>
  <c r="S4929" i="1" s="1"/>
  <c r="R4934" i="1"/>
  <c r="O4935" i="1"/>
  <c r="S5991" i="1"/>
  <c r="S5990" i="1" s="1"/>
  <c r="S5989" i="1" s="1"/>
  <c r="S5988" i="1" s="1"/>
  <c r="S5987" i="1" s="1"/>
  <c r="S5986" i="1" s="1"/>
  <c r="R5991" i="1"/>
  <c r="O5992" i="1"/>
  <c r="R4979" i="1"/>
  <c r="S4979" i="1"/>
  <c r="S4978" i="1" s="1"/>
  <c r="S4977" i="1" s="1"/>
  <c r="S4976" i="1" s="1"/>
  <c r="S4975" i="1" s="1"/>
  <c r="S4974" i="1" s="1"/>
  <c r="S4751" i="1"/>
  <c r="S4750" i="1" s="1"/>
  <c r="S4749" i="1" s="1"/>
  <c r="S4748" i="1" s="1"/>
  <c r="R4751" i="1"/>
  <c r="S3562" i="1"/>
  <c r="R3562" i="1"/>
  <c r="R5747" i="1"/>
  <c r="R5746" i="1" s="1"/>
  <c r="R5745" i="1" s="1"/>
  <c r="O5748" i="1"/>
  <c r="S4950" i="1"/>
  <c r="S4949" i="1" s="1"/>
  <c r="S4948" i="1" s="1"/>
  <c r="S4947" i="1" s="1"/>
  <c r="S4946" i="1" s="1"/>
  <c r="S4945" i="1" s="1"/>
  <c r="R4950" i="1"/>
  <c r="R3994" i="1"/>
  <c r="S3994" i="1"/>
  <c r="S3993" i="1" s="1"/>
  <c r="S3992" i="1" s="1"/>
  <c r="S3991" i="1" s="1"/>
  <c r="S3990" i="1" s="1"/>
  <c r="S3989" i="1" s="1"/>
  <c r="R5646" i="1"/>
  <c r="S5646" i="1"/>
  <c r="S5645" i="1" s="1"/>
  <c r="S5644" i="1" s="1"/>
  <c r="S5643" i="1" s="1"/>
  <c r="S4940" i="1"/>
  <c r="S4939" i="1" s="1"/>
  <c r="S4938" i="1" s="1"/>
  <c r="S4937" i="1" s="1"/>
  <c r="R4940" i="1"/>
  <c r="O4941" i="1"/>
  <c r="S3673" i="1"/>
  <c r="S3672" i="1" s="1"/>
  <c r="S3671" i="1" s="1"/>
  <c r="S3670" i="1" s="1"/>
  <c r="R3673" i="1"/>
  <c r="R5816" i="1"/>
  <c r="S5816" i="1"/>
  <c r="S5815" i="1" s="1"/>
  <c r="S5814" i="1" s="1"/>
  <c r="S5813" i="1" s="1"/>
  <c r="S5812" i="1" s="1"/>
  <c r="S5811" i="1" s="1"/>
  <c r="O5817" i="1"/>
  <c r="R3953" i="1"/>
  <c r="S3953" i="1"/>
  <c r="S3952" i="1" s="1"/>
  <c r="S3951" i="1" s="1"/>
  <c r="T3951" i="1" s="1"/>
  <c r="R3975" i="1"/>
  <c r="S3975" i="1"/>
  <c r="S3974" i="1" s="1"/>
  <c r="S3973" i="1" s="1"/>
  <c r="S3972" i="1" s="1"/>
  <c r="S3971" i="1" s="1"/>
  <c r="S3970" i="1" s="1"/>
  <c r="O3976" i="1"/>
  <c r="S6031" i="1"/>
  <c r="S6030" i="1" s="1"/>
  <c r="R6031" i="1"/>
  <c r="R4407" i="1"/>
  <c r="S4407" i="1"/>
  <c r="S4406" i="1" s="1"/>
  <c r="T4406" i="1" s="1"/>
  <c r="R3268" i="1"/>
  <c r="S3268" i="1"/>
  <c r="S3267" i="1" s="1"/>
  <c r="T3267" i="1" s="1"/>
  <c r="R6246" i="1"/>
  <c r="S6246" i="1"/>
  <c r="S6245" i="1" s="1"/>
  <c r="O6247" i="1"/>
  <c r="R4058" i="1"/>
  <c r="R4057" i="1" s="1"/>
  <c r="O4059" i="1"/>
  <c r="S3340" i="1"/>
  <c r="S3339" i="1" s="1"/>
  <c r="R3340" i="1"/>
  <c r="O3341" i="1"/>
  <c r="S3338" i="1"/>
  <c r="S3337" i="1" s="1"/>
  <c r="T3337" i="1" s="1"/>
  <c r="R3338" i="1"/>
  <c r="S5471" i="1"/>
  <c r="T5471" i="1" s="1"/>
  <c r="R3256" i="1"/>
  <c r="S3256" i="1"/>
  <c r="S3255" i="1" s="1"/>
  <c r="T3255" i="1" s="1"/>
  <c r="S4409" i="1"/>
  <c r="S4408" i="1" s="1"/>
  <c r="R4409" i="1"/>
  <c r="O4410" i="1"/>
  <c r="R4465" i="1"/>
  <c r="S4465" i="1"/>
  <c r="O4466" i="1"/>
  <c r="R3868" i="1"/>
  <c r="S3868" i="1"/>
  <c r="S3867" i="1" s="1"/>
  <c r="S4582" i="1"/>
  <c r="S4581" i="1" s="1"/>
  <c r="T4581" i="1" s="1"/>
  <c r="R4582" i="1"/>
  <c r="R3762" i="1"/>
  <c r="S3762" i="1"/>
  <c r="S3761" i="1" s="1"/>
  <c r="R5900" i="1"/>
  <c r="S5900" i="1"/>
  <c r="S5899" i="1" s="1"/>
  <c r="T5899" i="1" s="1"/>
  <c r="R4308" i="1"/>
  <c r="S4308" i="1"/>
  <c r="S4307" i="1" s="1"/>
  <c r="T4307" i="1" s="1"/>
  <c r="O3092" i="1"/>
  <c r="R3091" i="1"/>
  <c r="S3091" i="1"/>
  <c r="S3090" i="1" s="1"/>
  <c r="R4072" i="1"/>
  <c r="S4072" i="1"/>
  <c r="S4071" i="1" s="1"/>
  <c r="T4071" i="1" s="1"/>
  <c r="R5509" i="1"/>
  <c r="S5509" i="1"/>
  <c r="S5508" i="1" s="1"/>
  <c r="T5508" i="1" s="1"/>
  <c r="R5520" i="1"/>
  <c r="S5520" i="1"/>
  <c r="S3016" i="1"/>
  <c r="S3015" i="1" s="1"/>
  <c r="S3014" i="1" s="1"/>
  <c r="R3016" i="1"/>
  <c r="R3770" i="1"/>
  <c r="S3770" i="1"/>
  <c r="S3769" i="1" s="1"/>
  <c r="R3388" i="1"/>
  <c r="R3387" i="1" s="1"/>
  <c r="R3386" i="1" s="1"/>
  <c r="O3389" i="1"/>
  <c r="S6203" i="1"/>
  <c r="R6203" i="1"/>
  <c r="R3399" i="1"/>
  <c r="R3398" i="1" s="1"/>
  <c r="O3400" i="1"/>
  <c r="S6075" i="1"/>
  <c r="S6074" i="1" s="1"/>
  <c r="S6073" i="1" s="1"/>
  <c r="R6075" i="1"/>
  <c r="R4981" i="1"/>
  <c r="S4981" i="1"/>
  <c r="S4980" i="1" s="1"/>
  <c r="T4980" i="1" s="1"/>
  <c r="S5499" i="1"/>
  <c r="S5498" i="1" s="1"/>
  <c r="T5498" i="1" s="1"/>
  <c r="R5499" i="1"/>
  <c r="S4333" i="1"/>
  <c r="S4332" i="1" s="1"/>
  <c r="T4332" i="1" s="1"/>
  <c r="R4333" i="1"/>
  <c r="S5738" i="1"/>
  <c r="S5737" i="1" s="1"/>
  <c r="S5736" i="1" s="1"/>
  <c r="R5738" i="1"/>
  <c r="S4691" i="1"/>
  <c r="S4690" i="1" s="1"/>
  <c r="S3286" i="1"/>
  <c r="S3285" i="1" s="1"/>
  <c r="S3284" i="1" s="1"/>
  <c r="S3283" i="1" s="1"/>
  <c r="R3286" i="1"/>
  <c r="S6009" i="1"/>
  <c r="S6008" i="1" s="1"/>
  <c r="S6007" i="1" s="1"/>
  <c r="S6006" i="1" s="1"/>
  <c r="S6005" i="1" s="1"/>
  <c r="S6004" i="1" s="1"/>
  <c r="R6009" i="1"/>
  <c r="O6010" i="1"/>
  <c r="R6290" i="1"/>
  <c r="S6290" i="1"/>
  <c r="T6290" i="1" s="1"/>
  <c r="R5421" i="1"/>
  <c r="S5421" i="1"/>
  <c r="S5420" i="1" s="1"/>
  <c r="T5420" i="1" s="1"/>
  <c r="R3776" i="1"/>
  <c r="S3776" i="1"/>
  <c r="S3775" i="1" s="1"/>
  <c r="S4042" i="1"/>
  <c r="S4041" i="1" s="1"/>
  <c r="S4040" i="1" s="1"/>
  <c r="R4042" i="1"/>
  <c r="O4043" i="1"/>
  <c r="O3692" i="1"/>
  <c r="R3691" i="1"/>
  <c r="R3690" i="1" s="1"/>
  <c r="R3689" i="1" s="1"/>
  <c r="R4203" i="1"/>
  <c r="S4203" i="1"/>
  <c r="S4202" i="1" s="1"/>
  <c r="R3082" i="1"/>
  <c r="R3081" i="1" s="1"/>
  <c r="O3083" i="1"/>
  <c r="R4877" i="1"/>
  <c r="S4877" i="1"/>
  <c r="R4046" i="1"/>
  <c r="S4046" i="1"/>
  <c r="S4045" i="1" s="1"/>
  <c r="S4044" i="1" s="1"/>
  <c r="R5044" i="1"/>
  <c r="S5044" i="1"/>
  <c r="S5043" i="1" s="1"/>
  <c r="T5043" i="1" s="1"/>
  <c r="S3700" i="1"/>
  <c r="R3700" i="1"/>
  <c r="R3351" i="1"/>
  <c r="S3351" i="1"/>
  <c r="S3074" i="1"/>
  <c r="S3073" i="1" s="1"/>
  <c r="T3073" i="1" s="1"/>
  <c r="R3074" i="1"/>
  <c r="R3163" i="1"/>
  <c r="S3163" i="1"/>
  <c r="S3162" i="1" s="1"/>
  <c r="O3164" i="1"/>
  <c r="S5366" i="1"/>
  <c r="S5365" i="1" s="1"/>
  <c r="T5365" i="1" s="1"/>
  <c r="R5366" i="1"/>
  <c r="R4167" i="1"/>
  <c r="S4167" i="1"/>
  <c r="S4166" i="1" s="1"/>
  <c r="T4166" i="1" s="1"/>
  <c r="R6166" i="1"/>
  <c r="S6166" i="1"/>
  <c r="S6165" i="1" s="1"/>
  <c r="T6165" i="1" s="1"/>
  <c r="R5724" i="1"/>
  <c r="S5724" i="1"/>
  <c r="S5723" i="1" s="1"/>
  <c r="T5723" i="1" s="1"/>
  <c r="R4317" i="1"/>
  <c r="S4317" i="1"/>
  <c r="S3277" i="1"/>
  <c r="S3276" i="1" s="1"/>
  <c r="S3275" i="1" s="1"/>
  <c r="S3274" i="1" s="1"/>
  <c r="R3277" i="1"/>
  <c r="S4995" i="1"/>
  <c r="S4994" i="1" s="1"/>
  <c r="T4994" i="1" s="1"/>
  <c r="R4995" i="1"/>
  <c r="R5847" i="1"/>
  <c r="S5847" i="1"/>
  <c r="S5846" i="1" s="1"/>
  <c r="S5845" i="1" s="1"/>
  <c r="S5844" i="1" s="1"/>
  <c r="S5843" i="1" s="1"/>
  <c r="S5842" i="1" s="1"/>
  <c r="O5848" i="1"/>
  <c r="S4572" i="1"/>
  <c r="S4571" i="1" s="1"/>
  <c r="S4570" i="1" s="1"/>
  <c r="S4569" i="1" s="1"/>
  <c r="R4572" i="1"/>
  <c r="R3718" i="1"/>
  <c r="S3718" i="1"/>
  <c r="S3717" i="1" s="1"/>
  <c r="S3716" i="1" s="1"/>
  <c r="T3716" i="1" s="1"/>
  <c r="S6187" i="1"/>
  <c r="R6187" i="1"/>
  <c r="O6188" i="1"/>
  <c r="S3963" i="1"/>
  <c r="S3962" i="1" s="1"/>
  <c r="S3961" i="1" s="1"/>
  <c r="S3960" i="1" s="1"/>
  <c r="S3959" i="1" s="1"/>
  <c r="S3958" i="1" s="1"/>
  <c r="R3963" i="1"/>
  <c r="R3927" i="1"/>
  <c r="S3927" i="1"/>
  <c r="S3926" i="1" s="1"/>
  <c r="S3925" i="1" s="1"/>
  <c r="S3924" i="1" s="1"/>
  <c r="S3923" i="1" s="1"/>
  <c r="S3922" i="1" s="1"/>
  <c r="O3928" i="1"/>
  <c r="R4968" i="1"/>
  <c r="S4968" i="1"/>
  <c r="S4967" i="1" s="1"/>
  <c r="S4966" i="1" s="1"/>
  <c r="S4965" i="1" s="1"/>
  <c r="S4964" i="1" s="1"/>
  <c r="S4963" i="1" s="1"/>
  <c r="O4969" i="1"/>
  <c r="R6084" i="1"/>
  <c r="S6084" i="1"/>
  <c r="S6083" i="1" s="1"/>
  <c r="S6082" i="1" s="1"/>
  <c r="S6081" i="1" s="1"/>
  <c r="S6080" i="1" s="1"/>
  <c r="S6079" i="1" s="1"/>
  <c r="O6085" i="1"/>
  <c r="R4485" i="1"/>
  <c r="S4485" i="1"/>
  <c r="S4484" i="1" s="1"/>
  <c r="S4483" i="1" s="1"/>
  <c r="S3126" i="1"/>
  <c r="S3125" i="1" s="1"/>
  <c r="S3124" i="1" s="1"/>
  <c r="S3123" i="1" s="1"/>
  <c r="S3122" i="1" s="1"/>
  <c r="R3126" i="1"/>
  <c r="O3127" i="1"/>
  <c r="S3549" i="1"/>
  <c r="S3548" i="1" s="1"/>
  <c r="S3547" i="1" s="1"/>
  <c r="S3546" i="1" s="1"/>
  <c r="R3549" i="1"/>
  <c r="S3534" i="1"/>
  <c r="S3533" i="1" s="1"/>
  <c r="S3532" i="1" s="1"/>
  <c r="S3531" i="1" s="1"/>
  <c r="R3534" i="1"/>
  <c r="R6118" i="1"/>
  <c r="S6118" i="1"/>
  <c r="S6117" i="1" s="1"/>
  <c r="S6116" i="1" s="1"/>
  <c r="S6115" i="1" s="1"/>
  <c r="S6114" i="1" s="1"/>
  <c r="S6113" i="1" s="1"/>
  <c r="O6119" i="1"/>
  <c r="R3140" i="1"/>
  <c r="S3140" i="1"/>
  <c r="S3139" i="1" s="1"/>
  <c r="S3138" i="1" s="1"/>
  <c r="S3137" i="1" s="1"/>
  <c r="R5676" i="1"/>
  <c r="S5676" i="1"/>
  <c r="S5675" i="1" s="1"/>
  <c r="S5674" i="1" s="1"/>
  <c r="S5673" i="1" s="1"/>
  <c r="O5677" i="1"/>
  <c r="S4233" i="1"/>
  <c r="R4233" i="1"/>
  <c r="R5327" i="1"/>
  <c r="S5327" i="1"/>
  <c r="S5326" i="1" s="1"/>
  <c r="R5097" i="1"/>
  <c r="R5096" i="1" s="1"/>
  <c r="S5097" i="1"/>
  <c r="R5744" i="1"/>
  <c r="S5744" i="1"/>
  <c r="S5743" i="1" s="1"/>
  <c r="T5743" i="1" s="1"/>
  <c r="S4328" i="1"/>
  <c r="S4327" i="1" s="1"/>
  <c r="T4327" i="1" s="1"/>
  <c r="R4328" i="1"/>
  <c r="O4329" i="1"/>
  <c r="R3544" i="1"/>
  <c r="R3543" i="1" s="1"/>
  <c r="O3545" i="1"/>
  <c r="R5064" i="1"/>
  <c r="S5064" i="1"/>
  <c r="S5063" i="1" s="1"/>
  <c r="S5062" i="1" s="1"/>
  <c r="O5065" i="1"/>
  <c r="T5259" i="1"/>
  <c r="O3443" i="1"/>
  <c r="R3299" i="1"/>
  <c r="R3298" i="1" s="1"/>
  <c r="O3300" i="1"/>
  <c r="S3326" i="1"/>
  <c r="S3325" i="1" s="1"/>
  <c r="T3325" i="1" s="1"/>
  <c r="R3326" i="1"/>
  <c r="R3780" i="1"/>
  <c r="S3780" i="1"/>
  <c r="R5241" i="1"/>
  <c r="S5241" i="1"/>
  <c r="S5240" i="1" s="1"/>
  <c r="R2998" i="1"/>
  <c r="R2997" i="1" s="1"/>
  <c r="O2999" i="1"/>
  <c r="S3204" i="1"/>
  <c r="S3203" i="1" s="1"/>
  <c r="R3204" i="1"/>
  <c r="O3205" i="1"/>
  <c r="S4806" i="1"/>
  <c r="R4806" i="1"/>
  <c r="R4805" i="1" s="1"/>
  <c r="S4171" i="1"/>
  <c r="S4170" i="1" s="1"/>
  <c r="T4170" i="1" s="1"/>
  <c r="R4171" i="1"/>
  <c r="O4172" i="1"/>
  <c r="R6305" i="1"/>
  <c r="S5927" i="1"/>
  <c r="S5926" i="1" s="1"/>
  <c r="S5925" i="1" s="1"/>
  <c r="R5927" i="1"/>
  <c r="O5928" i="1"/>
  <c r="R3270" i="1"/>
  <c r="S3270" i="1"/>
  <c r="S3269" i="1" s="1"/>
  <c r="T3269" i="1" s="1"/>
  <c r="S3528" i="1"/>
  <c r="S3527" i="1" s="1"/>
  <c r="T3527" i="1" s="1"/>
  <c r="R3528" i="1"/>
  <c r="S6155" i="1"/>
  <c r="R6155" i="1"/>
  <c r="R4277" i="1"/>
  <c r="R4276" i="1" s="1"/>
  <c r="R4275" i="1" s="1"/>
  <c r="O4278" i="1"/>
  <c r="R2953" i="1"/>
  <c r="R2952" i="1" s="1"/>
  <c r="R2951" i="1" s="1"/>
  <c r="S2953" i="1"/>
  <c r="S2952" i="1" s="1"/>
  <c r="S2951" i="1" s="1"/>
  <c r="R6284" i="1"/>
  <c r="S6284" i="1"/>
  <c r="T6284" i="1" s="1"/>
  <c r="O6234" i="1"/>
  <c r="S6233" i="1"/>
  <c r="S6232" i="1" s="1"/>
  <c r="T6232" i="1" s="1"/>
  <c r="R3747" i="1"/>
  <c r="S3747" i="1"/>
  <c r="S3746" i="1" s="1"/>
  <c r="T3746" i="1" s="1"/>
  <c r="O3748" i="1"/>
  <c r="R3235" i="1"/>
  <c r="S3235" i="1"/>
  <c r="S3234" i="1" s="1"/>
  <c r="S3233" i="1" s="1"/>
  <c r="S3232" i="1" s="1"/>
  <c r="O3236" i="1"/>
  <c r="S3029" i="1"/>
  <c r="S3028" i="1" s="1"/>
  <c r="R3029" i="1"/>
  <c r="O3030" i="1"/>
  <c r="S3650" i="1"/>
  <c r="S3649" i="1" s="1"/>
  <c r="R3650" i="1"/>
  <c r="O3651" i="1"/>
  <c r="O3652" i="1" s="1"/>
  <c r="R4039" i="1"/>
  <c r="S4039" i="1"/>
  <c r="S4038" i="1" s="1"/>
  <c r="T4038" i="1" s="1"/>
  <c r="S4516" i="1"/>
  <c r="S4515" i="1" s="1"/>
  <c r="R4516" i="1"/>
  <c r="O4517" i="1"/>
  <c r="R5596" i="1"/>
  <c r="R5595" i="1" s="1"/>
  <c r="R5594" i="1" s="1"/>
  <c r="O5597" i="1"/>
  <c r="R5482" i="1"/>
  <c r="S5482" i="1"/>
  <c r="S5481" i="1" s="1"/>
  <c r="T5481" i="1" s="1"/>
  <c r="R4763" i="1"/>
  <c r="S4763" i="1"/>
  <c r="O4764" i="1"/>
  <c r="S3648" i="1"/>
  <c r="S3647" i="1" s="1"/>
  <c r="T3647" i="1" s="1"/>
  <c r="R3648" i="1"/>
  <c r="S6153" i="1"/>
  <c r="S6152" i="1" s="1"/>
  <c r="S6151" i="1" s="1"/>
  <c r="R6153" i="1"/>
  <c r="R6152" i="1" s="1"/>
  <c r="S5607" i="1"/>
  <c r="S5606" i="1" s="1"/>
  <c r="S5605" i="1" s="1"/>
  <c r="R5607" i="1"/>
  <c r="R5606" i="1" s="1"/>
  <c r="R5605" i="1" s="1"/>
  <c r="R6260" i="1"/>
  <c r="S6260" i="1"/>
  <c r="T6260" i="1" s="1"/>
  <c r="R5949" i="1"/>
  <c r="R5948" i="1" s="1"/>
  <c r="O5950" i="1"/>
  <c r="S6091" i="1"/>
  <c r="R6091" i="1"/>
  <c r="S5021" i="1"/>
  <c r="S5020" i="1" s="1"/>
  <c r="R5021" i="1"/>
  <c r="O5022" i="1"/>
  <c r="R3117" i="1"/>
  <c r="S3117" i="1"/>
  <c r="S3116" i="1" s="1"/>
  <c r="T3116" i="1" s="1"/>
  <c r="R6198" i="1"/>
  <c r="S6198" i="1"/>
  <c r="S6197" i="1" s="1"/>
  <c r="T6197" i="1" s="1"/>
  <c r="R4563" i="1"/>
  <c r="S4563" i="1"/>
  <c r="S4562" i="1" s="1"/>
  <c r="O4564" i="1"/>
  <c r="R4480" i="1"/>
  <c r="S4480" i="1"/>
  <c r="T4480" i="1" s="1"/>
  <c r="R4925" i="1"/>
  <c r="S4925" i="1"/>
  <c r="S4924" i="1" s="1"/>
  <c r="O4926" i="1"/>
  <c r="R3072" i="1"/>
  <c r="S3072" i="1"/>
  <c r="S3071" i="1" s="1"/>
  <c r="T3071" i="1" s="1"/>
  <c r="R4300" i="1"/>
  <c r="S4300" i="1"/>
  <c r="S4299" i="1" s="1"/>
  <c r="T4299" i="1" s="1"/>
  <c r="R4659" i="1"/>
  <c r="S4659" i="1"/>
  <c r="T4659" i="1" s="1"/>
  <c r="R3488" i="1"/>
  <c r="S3488" i="1"/>
  <c r="S3487" i="1" s="1"/>
  <c r="O3489" i="1"/>
  <c r="R3580" i="1"/>
  <c r="S3580" i="1"/>
  <c r="S3579" i="1" s="1"/>
  <c r="S3578" i="1" s="1"/>
  <c r="S3577" i="1" s="1"/>
  <c r="O3581" i="1"/>
  <c r="S3404" i="1"/>
  <c r="S3403" i="1" s="1"/>
  <c r="T3403" i="1" s="1"/>
  <c r="R3404" i="1"/>
  <c r="R4597" i="1"/>
  <c r="R4596" i="1" s="1"/>
  <c r="O4598" i="1"/>
  <c r="R3659" i="1"/>
  <c r="R3658" i="1" s="1"/>
  <c r="R3657" i="1" s="1"/>
  <c r="O3660" i="1"/>
  <c r="R3367" i="1"/>
  <c r="S3367" i="1"/>
  <c r="S3366" i="1" s="1"/>
  <c r="S3365" i="1" s="1"/>
  <c r="S3364" i="1" s="1"/>
  <c r="R2981" i="1"/>
  <c r="R2980" i="1" s="1"/>
  <c r="R2979" i="1" s="1"/>
  <c r="S2981" i="1"/>
  <c r="S2980" i="1" s="1"/>
  <c r="S2979" i="1" s="1"/>
  <c r="R4838" i="1"/>
  <c r="R4837" i="1" s="1"/>
  <c r="S4838" i="1"/>
  <c r="S4837" i="1" s="1"/>
  <c r="T4837" i="1" s="1"/>
  <c r="R3984" i="1"/>
  <c r="S3984" i="1"/>
  <c r="S3983" i="1" s="1"/>
  <c r="S3982" i="1" s="1"/>
  <c r="S3981" i="1" s="1"/>
  <c r="S3980" i="1" s="1"/>
  <c r="S3979" i="1" s="1"/>
  <c r="O3985" i="1"/>
  <c r="R3309" i="1"/>
  <c r="S3309" i="1"/>
  <c r="S4908" i="1"/>
  <c r="S4907" i="1" s="1"/>
  <c r="S4906" i="1" s="1"/>
  <c r="S4905" i="1" s="1"/>
  <c r="S4904" i="1" s="1"/>
  <c r="S4903" i="1" s="1"/>
  <c r="R4908" i="1"/>
  <c r="R4907" i="1" s="1"/>
  <c r="O4909" i="1"/>
  <c r="R5766" i="1"/>
  <c r="S5766" i="1"/>
  <c r="S5765" i="1" s="1"/>
  <c r="S5764" i="1" s="1"/>
  <c r="S5763" i="1" s="1"/>
  <c r="R3646" i="1"/>
  <c r="S3646" i="1"/>
  <c r="R6277" i="1"/>
  <c r="S6277" i="1"/>
  <c r="S6276" i="1" s="1"/>
  <c r="T6276" i="1" s="1"/>
  <c r="O6278" i="1"/>
  <c r="R3884" i="1"/>
  <c r="S3884" i="1"/>
  <c r="R3230" i="1"/>
  <c r="S3230" i="1"/>
  <c r="S3229" i="1" s="1"/>
  <c r="S3228" i="1" s="1"/>
  <c r="S3227" i="1" s="1"/>
  <c r="O3231" i="1"/>
  <c r="R6016" i="1"/>
  <c r="S6016" i="1"/>
  <c r="S6015" i="1" s="1"/>
  <c r="S6014" i="1" s="1"/>
  <c r="S6013" i="1" s="1"/>
  <c r="S6012" i="1" s="1"/>
  <c r="S6011" i="1" s="1"/>
  <c r="O6017" i="1"/>
  <c r="S5822" i="1"/>
  <c r="S5821" i="1" s="1"/>
  <c r="S5820" i="1" s="1"/>
  <c r="S5819" i="1" s="1"/>
  <c r="R5822" i="1"/>
  <c r="S5300" i="1"/>
  <c r="S5299" i="1" s="1"/>
  <c r="S5298" i="1" s="1"/>
  <c r="S5297" i="1" s="1"/>
  <c r="S5296" i="1" s="1"/>
  <c r="S5295" i="1" s="1"/>
  <c r="R5300" i="1"/>
  <c r="O5301" i="1"/>
  <c r="S3969" i="1"/>
  <c r="S3968" i="1" s="1"/>
  <c r="S3967" i="1" s="1"/>
  <c r="S3966" i="1" s="1"/>
  <c r="S3965" i="1" s="1"/>
  <c r="S3964" i="1" s="1"/>
  <c r="R3969" i="1"/>
  <c r="S4682" i="1"/>
  <c r="S4681" i="1" s="1"/>
  <c r="S4680" i="1" s="1"/>
  <c r="S4679" i="1" s="1"/>
  <c r="R4682" i="1"/>
  <c r="O4683" i="1"/>
  <c r="R4672" i="1"/>
  <c r="S4672" i="1"/>
  <c r="S4671" i="1" s="1"/>
  <c r="S4670" i="1" s="1"/>
  <c r="S4669" i="1" s="1"/>
  <c r="O4673" i="1"/>
  <c r="S5128" i="1"/>
  <c r="S5127" i="1" s="1"/>
  <c r="S5126" i="1" s="1"/>
  <c r="S5125" i="1" s="1"/>
  <c r="S5124" i="1" s="1"/>
  <c r="S5123" i="1" s="1"/>
  <c r="R5128" i="1"/>
  <c r="S3296" i="1"/>
  <c r="R3296" i="1"/>
  <c r="O3297" i="1"/>
  <c r="R3101" i="1"/>
  <c r="S3101" i="1"/>
  <c r="T3101" i="1" s="1"/>
  <c r="S3470" i="1"/>
  <c r="S3469" i="1" s="1"/>
  <c r="S3468" i="1" s="1"/>
  <c r="S3467" i="1" s="1"/>
  <c r="R3470" i="1"/>
  <c r="O3471" i="1"/>
  <c r="S5294" i="1"/>
  <c r="S5293" i="1" s="1"/>
  <c r="S5292" i="1" s="1"/>
  <c r="S5291" i="1" s="1"/>
  <c r="S5290" i="1" s="1"/>
  <c r="S5289" i="1" s="1"/>
  <c r="R5294" i="1"/>
  <c r="S3592" i="1"/>
  <c r="S3591" i="1" s="1"/>
  <c r="S3590" i="1" s="1"/>
  <c r="S3589" i="1" s="1"/>
  <c r="R3592" i="1"/>
  <c r="R3517" i="1"/>
  <c r="S3517" i="1"/>
  <c r="S3516" i="1" s="1"/>
  <c r="S3515" i="1" s="1"/>
  <c r="S3514" i="1" s="1"/>
  <c r="S3513" i="1" s="1"/>
  <c r="S5262" i="1"/>
  <c r="S5261" i="1" s="1"/>
  <c r="S5260" i="1" s="1"/>
  <c r="R5262" i="1"/>
  <c r="R4000" i="1"/>
  <c r="S4000" i="1"/>
  <c r="S3999" i="1" s="1"/>
  <c r="S3998" i="1" s="1"/>
  <c r="S3997" i="1" s="1"/>
  <c r="S3996" i="1" s="1"/>
  <c r="S3995" i="1" s="1"/>
  <c r="O4001" i="1"/>
  <c r="R4756" i="1"/>
  <c r="R4755" i="1" s="1"/>
  <c r="R4754" i="1" s="1"/>
  <c r="O4757" i="1"/>
  <c r="S3730" i="1"/>
  <c r="S3729" i="1" s="1"/>
  <c r="S3728" i="1" s="1"/>
  <c r="S3727" i="1" s="1"/>
  <c r="S3726" i="1" s="1"/>
  <c r="R3730" i="1"/>
  <c r="S5946" i="1"/>
  <c r="S5945" i="1" s="1"/>
  <c r="S5944" i="1" s="1"/>
  <c r="S5943" i="1" s="1"/>
  <c r="S5942" i="1" s="1"/>
  <c r="S5941" i="1" s="1"/>
  <c r="R5946" i="1"/>
  <c r="O5947" i="1"/>
  <c r="S6029" i="1"/>
  <c r="R6029" i="1"/>
  <c r="O4710" i="1"/>
  <c r="R4078" i="1"/>
  <c r="S4078" i="1"/>
  <c r="S4077" i="1" s="1"/>
  <c r="S4076" i="1" s="1"/>
  <c r="S4075" i="1" s="1"/>
  <c r="S4074" i="1" s="1"/>
  <c r="S4073" i="1" s="1"/>
  <c r="S4580" i="1"/>
  <c r="R4580" i="1"/>
  <c r="R3921" i="1"/>
  <c r="S3921" i="1"/>
  <c r="S3920" i="1" s="1"/>
  <c r="S3919" i="1" s="1"/>
  <c r="S3918" i="1" s="1"/>
  <c r="S3917" i="1" s="1"/>
  <c r="S3916" i="1" s="1"/>
  <c r="R3786" i="1"/>
  <c r="S3786" i="1"/>
  <c r="S3785" i="1" s="1"/>
  <c r="S3784" i="1" s="1"/>
  <c r="S3783" i="1" s="1"/>
  <c r="S3782" i="1" s="1"/>
  <c r="S3781" i="1" s="1"/>
  <c r="O3787" i="1"/>
  <c r="S5208" i="1"/>
  <c r="S5207" i="1" s="1"/>
  <c r="S5206" i="1" s="1"/>
  <c r="R5208" i="1"/>
  <c r="O5209" i="1"/>
  <c r="R4846" i="1"/>
  <c r="S4846" i="1"/>
  <c r="S4845" i="1" s="1"/>
  <c r="R5392" i="1"/>
  <c r="R5391" i="1" s="1"/>
  <c r="S5392" i="1"/>
  <c r="R3766" i="1"/>
  <c r="S3766" i="1"/>
  <c r="O5385" i="1"/>
  <c r="R5279" i="1"/>
  <c r="R5278" i="1" s="1"/>
  <c r="O5280" i="1"/>
  <c r="R4093" i="1"/>
  <c r="S4093" i="1"/>
  <c r="S4092" i="1" s="1"/>
  <c r="T4092" i="1" s="1"/>
  <c r="S5808" i="1"/>
  <c r="R5808" i="1"/>
  <c r="R4841" i="1"/>
  <c r="S4841" i="1"/>
  <c r="S4840" i="1" s="1"/>
  <c r="S4839" i="1" s="1"/>
  <c r="R3147" i="1"/>
  <c r="S3147" i="1"/>
  <c r="S3146" i="1" s="1"/>
  <c r="R3686" i="1"/>
  <c r="R3685" i="1" s="1"/>
  <c r="R3684" i="1" s="1"/>
  <c r="O3687" i="1"/>
  <c r="S3575" i="1"/>
  <c r="S3574" i="1" s="1"/>
  <c r="R4014" i="1"/>
  <c r="R4013" i="1" s="1"/>
  <c r="O4015" i="1"/>
  <c r="R5024" i="1"/>
  <c r="S5024" i="1"/>
  <c r="S5023" i="1" s="1"/>
  <c r="T5023" i="1" s="1"/>
  <c r="R3585" i="1"/>
  <c r="S3585" i="1"/>
  <c r="S3584" i="1" s="1"/>
  <c r="S3583" i="1" s="1"/>
  <c r="S3582" i="1" s="1"/>
  <c r="O3586" i="1"/>
  <c r="R5288" i="1"/>
  <c r="S5288" i="1"/>
  <c r="S5287" i="1" s="1"/>
  <c r="S5286" i="1" s="1"/>
  <c r="S3402" i="1"/>
  <c r="R3402" i="1"/>
  <c r="R4174" i="1"/>
  <c r="S4174" i="1"/>
  <c r="S4173" i="1" s="1"/>
  <c r="T4173" i="1" s="1"/>
  <c r="S5094" i="1"/>
  <c r="S5093" i="1" s="1"/>
  <c r="R5094" i="1"/>
  <c r="O5095" i="1"/>
  <c r="R6268" i="1"/>
  <c r="S6268" i="1"/>
  <c r="R3905" i="1"/>
  <c r="R3904" i="1" s="1"/>
  <c r="O3906" i="1"/>
  <c r="O5972" i="1"/>
  <c r="R3772" i="1"/>
  <c r="S3772" i="1"/>
  <c r="S3771" i="1" s="1"/>
  <c r="S4575" i="1"/>
  <c r="R4575" i="1"/>
  <c r="O4576" i="1"/>
  <c r="S4824" i="1"/>
  <c r="S4823" i="1" s="1"/>
  <c r="S4822" i="1" s="1"/>
  <c r="S4821" i="1" s="1"/>
  <c r="R4824" i="1"/>
  <c r="O4825" i="1"/>
  <c r="S4900" i="1"/>
  <c r="S4899" i="1" s="1"/>
  <c r="R4900" i="1"/>
  <c r="O4901" i="1"/>
  <c r="R3571" i="1"/>
  <c r="R3570" i="1" s="1"/>
  <c r="R3569" i="1" s="1"/>
  <c r="O3572" i="1"/>
  <c r="S4731" i="1"/>
  <c r="S4730" i="1" s="1"/>
  <c r="S4729" i="1" s="1"/>
  <c r="S4728" i="1" s="1"/>
  <c r="R4731" i="1"/>
  <c r="S3495" i="1"/>
  <c r="R3495" i="1"/>
  <c r="S3603" i="1"/>
  <c r="R3603" i="1"/>
  <c r="O3604" i="1"/>
  <c r="S5979" i="1"/>
  <c r="S5978" i="1" s="1"/>
  <c r="S5977" i="1" s="1"/>
  <c r="S5976" i="1" s="1"/>
  <c r="S5975" i="1" s="1"/>
  <c r="S5974" i="1" s="1"/>
  <c r="R5979" i="1"/>
  <c r="R5225" i="1"/>
  <c r="S5225" i="1"/>
  <c r="S5224" i="1" s="1"/>
  <c r="S5223" i="1" s="1"/>
  <c r="R6236" i="1"/>
  <c r="S6236" i="1"/>
  <c r="S6235" i="1" s="1"/>
  <c r="O6237" i="1"/>
  <c r="S5931" i="1"/>
  <c r="S5930" i="1" s="1"/>
  <c r="R5931" i="1"/>
  <c r="O5932" i="1"/>
  <c r="S4429" i="1"/>
  <c r="S4428" i="1" s="1"/>
  <c r="T4428" i="1" s="1"/>
  <c r="R4429" i="1"/>
  <c r="R3080" i="1"/>
  <c r="S3080" i="1"/>
  <c r="S3079" i="1" s="1"/>
  <c r="R5395" i="1"/>
  <c r="R5394" i="1" s="1"/>
  <c r="R5393" i="1" s="1"/>
  <c r="S5395" i="1"/>
  <c r="S5394" i="1" s="1"/>
  <c r="S5393" i="1" s="1"/>
  <c r="S3032" i="1"/>
  <c r="S3031" i="1" s="1"/>
  <c r="R3032" i="1"/>
  <c r="S4313" i="1"/>
  <c r="S4312" i="1" s="1"/>
  <c r="S4311" i="1" s="1"/>
  <c r="R4313" i="1"/>
  <c r="R5183" i="1"/>
  <c r="S5183" i="1"/>
  <c r="S5182" i="1" s="1"/>
  <c r="O5184" i="1"/>
  <c r="S4886" i="1"/>
  <c r="S4885" i="1" s="1"/>
  <c r="T4885" i="1" s="1"/>
  <c r="R4886" i="1"/>
  <c r="S3151" i="1"/>
  <c r="S3150" i="1" s="1"/>
  <c r="T3150" i="1" s="1"/>
  <c r="R3151" i="1"/>
  <c r="S4189" i="1"/>
  <c r="S4188" i="1" s="1"/>
  <c r="S4187" i="1" s="1"/>
  <c r="S4186" i="1" s="1"/>
  <c r="R4189" i="1"/>
  <c r="O4190" i="1"/>
  <c r="R4595" i="1"/>
  <c r="S4595" i="1"/>
  <c r="S4594" i="1" s="1"/>
  <c r="S4593" i="1" s="1"/>
  <c r="S4592" i="1" s="1"/>
  <c r="S3106" i="1"/>
  <c r="R3106" i="1"/>
  <c r="R3669" i="1"/>
  <c r="S3669" i="1"/>
  <c r="S3668" i="1" s="1"/>
  <c r="T3668" i="1" s="1"/>
  <c r="R6061" i="1"/>
  <c r="R6060" i="1" s="1"/>
  <c r="O6062" i="1"/>
  <c r="R5342" i="1"/>
  <c r="R5341" i="1" s="1"/>
  <c r="O5343" i="1"/>
  <c r="R5222" i="1"/>
  <c r="S5222" i="1"/>
  <c r="S5221" i="1" s="1"/>
  <c r="T5221" i="1" s="1"/>
  <c r="R3021" i="1"/>
  <c r="R3020" i="1" s="1"/>
  <c r="O3022" i="1"/>
  <c r="S3711" i="1"/>
  <c r="S3710" i="1" s="1"/>
  <c r="S3709" i="1" s="1"/>
  <c r="S3708" i="1" s="1"/>
  <c r="R3711" i="1"/>
  <c r="O3712" i="1"/>
  <c r="R4873" i="1"/>
  <c r="S4873" i="1"/>
  <c r="S4872" i="1" s="1"/>
  <c r="S4871" i="1" s="1"/>
  <c r="S4870" i="1" s="1"/>
  <c r="S3426" i="1"/>
  <c r="S3425" i="1" s="1"/>
  <c r="R3426" i="1"/>
  <c r="O3427" i="1"/>
  <c r="S4310" i="1"/>
  <c r="S4309" i="1" s="1"/>
  <c r="R4310" i="1"/>
  <c r="S3596" i="1"/>
  <c r="S3595" i="1" s="1"/>
  <c r="T3595" i="1" s="1"/>
  <c r="R3596" i="1"/>
  <c r="R6164" i="1"/>
  <c r="S6164" i="1"/>
  <c r="S6163" i="1" s="1"/>
  <c r="T6163" i="1" s="1"/>
  <c r="R3013" i="1"/>
  <c r="S3013" i="1"/>
  <c r="T3013" i="1" s="1"/>
  <c r="R5872" i="1"/>
  <c r="S5872" i="1"/>
  <c r="S5871" i="1" s="1"/>
  <c r="S5870" i="1" s="1"/>
  <c r="S5869" i="1" s="1"/>
  <c r="S5868" i="1" s="1"/>
  <c r="S5867" i="1" s="1"/>
  <c r="S3418" i="1"/>
  <c r="R3418" i="1"/>
  <c r="R4126" i="1"/>
  <c r="S4126" i="1"/>
  <c r="S4125" i="1" s="1"/>
  <c r="S4124" i="1" s="1"/>
  <c r="S4123" i="1" s="1"/>
  <c r="S4122" i="1" s="1"/>
  <c r="S4121" i="1" s="1"/>
  <c r="O4127" i="1"/>
  <c r="R4501" i="1"/>
  <c r="S4501" i="1"/>
  <c r="S4500" i="1" s="1"/>
  <c r="S4499" i="1" s="1"/>
  <c r="S4498" i="1" s="1"/>
  <c r="R3895" i="1"/>
  <c r="S3895" i="1"/>
  <c r="S3894" i="1" s="1"/>
  <c r="S3893" i="1" s="1"/>
  <c r="S3892" i="1" s="1"/>
  <c r="S3891" i="1" s="1"/>
  <c r="S3890" i="1" s="1"/>
  <c r="O3896" i="1"/>
  <c r="S6105" i="1"/>
  <c r="S6104" i="1" s="1"/>
  <c r="S6103" i="1" s="1"/>
  <c r="S6102" i="1" s="1"/>
  <c r="S6101" i="1" s="1"/>
  <c r="S6100" i="1" s="1"/>
  <c r="R6105" i="1"/>
  <c r="R4629" i="1"/>
  <c r="R4628" i="1" s="1"/>
  <c r="R4627" i="1" s="1"/>
  <c r="O4630" i="1"/>
  <c r="S5831" i="1"/>
  <c r="S5830" i="1" s="1"/>
  <c r="S5829" i="1" s="1"/>
  <c r="S5828" i="1" s="1"/>
  <c r="S5827" i="1" s="1"/>
  <c r="S5826" i="1" s="1"/>
  <c r="R5831" i="1"/>
  <c r="R4861" i="1"/>
  <c r="S4861" i="1"/>
  <c r="S4860" i="1" s="1"/>
  <c r="S4859" i="1" s="1"/>
  <c r="S4858" i="1" s="1"/>
  <c r="O4862" i="1"/>
  <c r="R4102" i="1"/>
  <c r="S4102" i="1"/>
  <c r="S4101" i="1" s="1"/>
  <c r="S4100" i="1" s="1"/>
  <c r="S4099" i="1" s="1"/>
  <c r="S4098" i="1" s="1"/>
  <c r="S4097" i="1" s="1"/>
  <c r="O4103" i="1"/>
  <c r="R3408" i="1"/>
  <c r="S3408" i="1"/>
  <c r="S3407" i="1" s="1"/>
  <c r="S3406" i="1" s="1"/>
  <c r="S3405" i="1" s="1"/>
  <c r="R4120" i="1"/>
  <c r="S4120" i="1"/>
  <c r="S4119" i="1" s="1"/>
  <c r="S4118" i="1" s="1"/>
  <c r="S4117" i="1" s="1"/>
  <c r="S4116" i="1" s="1"/>
  <c r="S4115" i="1" s="1"/>
  <c r="R4525" i="1"/>
  <c r="R4524" i="1" s="1"/>
  <c r="R4523" i="1" s="1"/>
  <c r="O4526" i="1"/>
  <c r="R3877" i="1"/>
  <c r="S3877" i="1"/>
  <c r="S3876" i="1" s="1"/>
  <c r="S3875" i="1" s="1"/>
  <c r="S3874" i="1" s="1"/>
  <c r="S3873" i="1" s="1"/>
  <c r="S3872" i="1" s="1"/>
  <c r="R5247" i="1"/>
  <c r="S5247" i="1"/>
  <c r="S5246" i="1" s="1"/>
  <c r="S5245" i="1" s="1"/>
  <c r="S5244" i="1" s="1"/>
  <c r="S5243" i="1" s="1"/>
  <c r="S5242" i="1" s="1"/>
  <c r="O5248" i="1"/>
  <c r="T6227" i="1"/>
  <c r="T3739" i="1"/>
  <c r="T4339" i="1"/>
  <c r="T5228" i="1"/>
  <c r="T587" i="1"/>
  <c r="T103" i="1"/>
  <c r="T3617" i="1"/>
  <c r="T4026" i="1"/>
  <c r="T3121" i="1"/>
  <c r="T3153" i="1"/>
  <c r="T289" i="1"/>
  <c r="T569" i="1"/>
  <c r="T570" i="1"/>
  <c r="T5204" i="1"/>
  <c r="T584" i="1"/>
  <c r="T4286" i="1"/>
  <c r="T4481" i="1"/>
  <c r="T4482" i="1"/>
  <c r="T5040" i="1"/>
  <c r="T5571" i="1"/>
  <c r="T5695" i="1"/>
  <c r="T626" i="1"/>
  <c r="T627" i="1"/>
  <c r="T3185" i="1"/>
  <c r="T6191" i="1"/>
  <c r="T222" i="1"/>
  <c r="T93" i="1"/>
  <c r="T688" i="1"/>
  <c r="T689" i="1"/>
  <c r="T3882" i="1"/>
  <c r="T3628" i="1"/>
  <c r="T3040" i="1"/>
  <c r="T592" i="1"/>
  <c r="T5785" i="1"/>
  <c r="T725" i="1"/>
  <c r="T726" i="1"/>
  <c r="T2987" i="1"/>
  <c r="T2988" i="1"/>
  <c r="T565" i="1"/>
  <c r="T5205" i="1"/>
  <c r="T3110" i="1"/>
  <c r="T4334" i="1"/>
  <c r="T3098" i="1"/>
  <c r="T5174" i="1"/>
  <c r="T235" i="1"/>
  <c r="T4279" i="1"/>
  <c r="T4280" i="1"/>
  <c r="T593" i="1"/>
  <c r="T3063" i="1"/>
  <c r="T203" i="1"/>
  <c r="T204" i="1"/>
  <c r="T223" i="1"/>
  <c r="T224" i="1"/>
  <c r="T3350" i="1"/>
  <c r="T5171" i="1"/>
  <c r="T3257" i="1"/>
  <c r="T4541" i="1"/>
  <c r="T4752" i="1"/>
  <c r="T4504" i="1"/>
  <c r="T4402" i="1"/>
  <c r="T4184" i="1"/>
  <c r="T4185" i="1"/>
  <c r="T645" i="1"/>
  <c r="T94" i="1"/>
  <c r="T95" i="1"/>
  <c r="T4829" i="1"/>
  <c r="T4830" i="1"/>
  <c r="T731" i="1"/>
  <c r="T573" i="1"/>
  <c r="T537" i="1"/>
  <c r="T225" i="1"/>
  <c r="T226" i="1"/>
  <c r="T6298" i="1"/>
  <c r="T100" i="1"/>
  <c r="T101" i="1"/>
  <c r="T4220" i="1"/>
  <c r="T3609" i="1"/>
  <c r="T108" i="1"/>
  <c r="T109" i="1"/>
  <c r="T542" i="1"/>
  <c r="T686" i="1"/>
  <c r="T687" i="1"/>
  <c r="T5758" i="1"/>
  <c r="T463" i="1"/>
  <c r="T610" i="1"/>
  <c r="T611" i="1"/>
  <c r="T536" i="1"/>
  <c r="T646" i="1"/>
  <c r="T647" i="1"/>
  <c r="T5887" i="1"/>
  <c r="T606" i="1"/>
  <c r="T607" i="1"/>
  <c r="T5547" i="1"/>
  <c r="T662" i="1"/>
  <c r="T663" i="1"/>
  <c r="T71" i="1"/>
  <c r="T72" i="1"/>
  <c r="T3754" i="1"/>
  <c r="T670" i="1"/>
  <c r="T671" i="1"/>
  <c r="T4615" i="1"/>
  <c r="T199" i="1"/>
  <c r="T200" i="1"/>
  <c r="T638" i="1"/>
  <c r="T639" i="1"/>
  <c r="T393" i="1"/>
  <c r="T394" i="1"/>
  <c r="T5432" i="1"/>
  <c r="T4811" i="1"/>
  <c r="T15" i="1"/>
  <c r="T16" i="1"/>
  <c r="T5572" i="1"/>
  <c r="T329" i="1"/>
  <c r="T330" i="1"/>
  <c r="T3318" i="1"/>
  <c r="T28" i="1"/>
  <c r="T29" i="1"/>
  <c r="T201" i="1"/>
  <c r="T202" i="1"/>
  <c r="T684" i="1"/>
  <c r="T685" i="1"/>
  <c r="T369" i="1"/>
  <c r="T620" i="1"/>
  <c r="T621" i="1"/>
  <c r="T723" i="1"/>
  <c r="T724" i="1"/>
  <c r="T5542" i="1"/>
  <c r="T5492" i="1"/>
  <c r="T4434" i="1"/>
  <c r="T3848" i="1"/>
  <c r="T5636" i="1"/>
  <c r="T5713" i="1"/>
  <c r="T5888" i="1"/>
  <c r="T5487" i="1"/>
  <c r="T5543" i="1"/>
  <c r="T5573" i="1"/>
  <c r="T5574" i="1"/>
  <c r="T350" i="1"/>
  <c r="T4306" i="1"/>
  <c r="T104" i="1"/>
  <c r="T105" i="1"/>
  <c r="T3676" i="1"/>
  <c r="T5696" i="1"/>
  <c r="T52" i="1"/>
  <c r="T751" i="1"/>
  <c r="T5760" i="1"/>
  <c r="T468" i="1"/>
  <c r="T543" i="1"/>
  <c r="T749" i="1"/>
  <c r="T750" i="1"/>
  <c r="T5952" i="1"/>
  <c r="T5901" i="1"/>
  <c r="T442" i="1"/>
  <c r="T3493" i="1"/>
  <c r="T3218" i="1"/>
  <c r="T4304" i="1"/>
  <c r="T4305" i="1"/>
  <c r="T282" i="1"/>
  <c r="T439" i="1"/>
  <c r="T290" i="1"/>
  <c r="T96" i="1"/>
  <c r="T97" i="1"/>
  <c r="T4350" i="1"/>
  <c r="T194" i="1"/>
  <c r="T5544" i="1"/>
  <c r="T214" i="1"/>
  <c r="T197" i="1"/>
  <c r="T198" i="1"/>
  <c r="T516" i="1"/>
  <c r="T41" i="1"/>
  <c r="T54" i="1"/>
  <c r="T53" i="1"/>
  <c r="T51" i="1"/>
  <c r="T5801" i="1"/>
  <c r="T135" i="1"/>
  <c r="T3777" i="1"/>
  <c r="T138" i="1"/>
  <c r="T734" i="1"/>
  <c r="T540" i="1"/>
  <c r="T4345" i="1"/>
  <c r="T7" i="1"/>
  <c r="T6" i="1"/>
  <c r="T530" i="1"/>
  <c r="T49" i="1"/>
  <c r="T460" i="1"/>
  <c r="T590" i="1"/>
  <c r="T5488" i="1"/>
  <c r="T511" i="1"/>
  <c r="T241" i="1"/>
  <c r="T240" i="1"/>
  <c r="T8" i="1"/>
  <c r="T490" i="1"/>
  <c r="T5751" i="1"/>
  <c r="T4447" i="1"/>
  <c r="T4446" i="1"/>
  <c r="T4433" i="1"/>
  <c r="T4810" i="1"/>
  <c r="T3753" i="1"/>
  <c r="T3460" i="1"/>
  <c r="T5672" i="1"/>
  <c r="T5671" i="1"/>
  <c r="T805" i="1"/>
  <c r="T804" i="1"/>
  <c r="T728" i="1"/>
  <c r="T727" i="1"/>
  <c r="T679" i="1"/>
  <c r="T678" i="1"/>
  <c r="T619" i="1"/>
  <c r="T618" i="1"/>
  <c r="T10" i="1"/>
  <c r="T9" i="1"/>
  <c r="T172" i="1"/>
  <c r="T171" i="1"/>
  <c r="T438" i="1"/>
  <c r="T437" i="1"/>
  <c r="T653" i="1"/>
  <c r="T652" i="1"/>
  <c r="T714" i="1"/>
  <c r="T713" i="1"/>
  <c r="T5" i="1"/>
  <c r="T4" i="1"/>
  <c r="T4219" i="1"/>
  <c r="T3758" i="1"/>
  <c r="T3757" i="1"/>
  <c r="T392" i="1"/>
  <c r="T391" i="1"/>
  <c r="T188" i="1"/>
  <c r="T187" i="1"/>
  <c r="T38" i="1"/>
  <c r="T37" i="1"/>
  <c r="T154" i="1"/>
  <c r="T153" i="1"/>
  <c r="T304" i="1"/>
  <c r="T303" i="1"/>
  <c r="T722" i="1"/>
  <c r="T721" i="1"/>
  <c r="T4182" i="1"/>
  <c r="T712" i="1"/>
  <c r="T711" i="1"/>
  <c r="T3491" i="1"/>
  <c r="T5478" i="1"/>
  <c r="T5477" i="1"/>
  <c r="T6226" i="1"/>
  <c r="T405" i="1"/>
  <c r="T404" i="1"/>
  <c r="T4315" i="1"/>
  <c r="T4314" i="1"/>
  <c r="T18" i="1"/>
  <c r="T17" i="1"/>
  <c r="T591" i="1"/>
  <c r="T5423" i="1"/>
  <c r="T178" i="1"/>
  <c r="T177" i="1"/>
  <c r="T58" i="1"/>
  <c r="T625" i="1"/>
  <c r="T624" i="1"/>
  <c r="T174" i="1"/>
  <c r="T173" i="1"/>
  <c r="T633" i="1"/>
  <c r="T632" i="1"/>
  <c r="T720" i="1"/>
  <c r="T719" i="1"/>
  <c r="T5800" i="1"/>
  <c r="T176" i="1"/>
  <c r="T175" i="1"/>
  <c r="T716" i="1"/>
  <c r="T715" i="1"/>
  <c r="T5778" i="1"/>
  <c r="T5777" i="1"/>
  <c r="T20" i="1"/>
  <c r="T19" i="1"/>
  <c r="T255" i="1"/>
  <c r="T254" i="1"/>
  <c r="T420" i="1"/>
  <c r="T419" i="1"/>
  <c r="T655" i="1"/>
  <c r="T654" i="1"/>
  <c r="T615" i="1"/>
  <c r="T614" i="1"/>
  <c r="T605" i="1"/>
  <c r="T604" i="1"/>
  <c r="T609" i="1"/>
  <c r="T608" i="1"/>
  <c r="T74" i="1"/>
  <c r="T73" i="1"/>
  <c r="T2990" i="1"/>
  <c r="T2989" i="1"/>
  <c r="T617" i="1"/>
  <c r="T616" i="1"/>
  <c r="T586" i="1"/>
  <c r="T585" i="1"/>
  <c r="T27" i="1"/>
  <c r="T26" i="1"/>
  <c r="T629" i="1"/>
  <c r="T628" i="1"/>
  <c r="T631" i="1"/>
  <c r="T630" i="1"/>
  <c r="T718" i="1"/>
  <c r="T717" i="1"/>
  <c r="T332" i="1"/>
  <c r="T331" i="1"/>
  <c r="T4323" i="1"/>
  <c r="T4296" i="1"/>
  <c r="T5628" i="1"/>
  <c r="T467" i="1"/>
  <c r="T677" i="1"/>
  <c r="T676" i="1"/>
  <c r="T4061" i="1"/>
  <c r="T661" i="1"/>
  <c r="T660" i="1"/>
  <c r="T12" i="1"/>
  <c r="T11" i="1"/>
  <c r="T328" i="1"/>
  <c r="T327" i="1"/>
  <c r="T407" i="1"/>
  <c r="T406" i="1"/>
  <c r="T288" i="1"/>
  <c r="T5694" i="1"/>
  <c r="T5463" i="1"/>
  <c r="T4214" i="1"/>
  <c r="T5656" i="1"/>
  <c r="T3036" i="1"/>
  <c r="T579" i="1"/>
  <c r="T510" i="1"/>
  <c r="T50" i="1"/>
  <c r="T3025" i="1"/>
  <c r="T3024" i="1"/>
  <c r="T5768" i="1"/>
  <c r="T5767" i="1"/>
  <c r="T5003" i="1"/>
  <c r="T5002" i="1"/>
  <c r="T4799" i="1"/>
  <c r="T3490" i="1"/>
  <c r="T4285" i="1"/>
  <c r="T730" i="1"/>
  <c r="T729" i="1"/>
  <c r="T4645" i="1"/>
  <c r="T4644" i="1"/>
  <c r="T5824" i="1"/>
  <c r="T5823" i="1"/>
  <c r="T5485" i="1"/>
  <c r="T5486" i="1"/>
  <c r="T3260" i="1"/>
  <c r="T3259" i="1"/>
  <c r="T4626" i="1"/>
  <c r="T4625" i="1"/>
  <c r="T5497" i="1"/>
  <c r="T5496" i="1"/>
  <c r="T441" i="1"/>
  <c r="T440" i="1"/>
  <c r="T5905" i="1"/>
  <c r="T5904" i="1"/>
  <c r="T3066" i="1"/>
  <c r="T3065" i="1"/>
  <c r="T3594" i="1"/>
  <c r="T3593" i="1"/>
  <c r="T4914" i="1"/>
  <c r="T4913" i="1"/>
  <c r="T5352" i="1"/>
  <c r="T4169" i="1"/>
  <c r="T4168" i="1"/>
  <c r="T4522" i="1"/>
  <c r="T4521" i="1"/>
  <c r="T6168" i="1"/>
  <c r="T6167" i="1"/>
  <c r="T5860" i="1"/>
  <c r="T5859" i="1"/>
  <c r="T6296" i="1"/>
  <c r="T3506" i="1"/>
  <c r="T3505" i="1"/>
  <c r="T6150" i="1"/>
  <c r="T6149" i="1"/>
  <c r="T4212" i="1"/>
  <c r="T4211" i="1"/>
  <c r="T3931" i="1"/>
  <c r="T4362" i="1"/>
  <c r="T4361" i="1"/>
  <c r="T3184" i="1"/>
  <c r="T3715" i="1"/>
  <c r="T3714" i="1"/>
  <c r="T4017" i="1"/>
  <c r="T4016" i="1"/>
  <c r="T4666" i="1"/>
  <c r="T4665" i="1"/>
  <c r="T4025" i="1"/>
  <c r="T4024" i="1"/>
  <c r="T3885" i="1"/>
  <c r="T3886" i="1"/>
  <c r="T4266" i="1"/>
  <c r="T4265" i="1"/>
  <c r="T5530" i="1"/>
  <c r="T5529" i="1"/>
  <c r="T5592" i="1"/>
  <c r="T3459" i="1"/>
  <c r="T3458" i="1"/>
  <c r="T5418" i="1"/>
  <c r="T5417" i="1"/>
  <c r="T3699" i="1"/>
  <c r="T3698" i="1"/>
  <c r="T3317" i="1"/>
  <c r="T4554" i="1"/>
  <c r="T4553" i="1"/>
  <c r="T4417" i="1"/>
  <c r="T4416" i="1"/>
  <c r="T6106" i="1"/>
  <c r="T3524" i="1"/>
  <c r="T3523" i="1"/>
  <c r="T5001" i="1"/>
  <c r="T5000" i="1"/>
  <c r="T3078" i="1"/>
  <c r="T3077" i="1"/>
  <c r="T3035" i="1"/>
  <c r="T4197" i="1"/>
  <c r="T5806" i="1"/>
  <c r="T5805" i="1"/>
  <c r="T3222" i="1"/>
  <c r="T3221" i="1"/>
  <c r="T5362" i="1"/>
  <c r="T5361" i="1"/>
  <c r="T5036" i="1"/>
  <c r="T5035" i="1"/>
  <c r="T3059" i="1"/>
  <c r="T6170" i="1"/>
  <c r="T6169" i="1"/>
  <c r="T3847" i="1"/>
  <c r="T234" i="1"/>
  <c r="T233" i="1"/>
  <c r="T326" i="1"/>
  <c r="T325" i="1"/>
  <c r="T3598" i="1"/>
  <c r="T3597" i="1"/>
  <c r="T5966" i="1"/>
  <c r="T4660" i="1"/>
  <c r="T4661" i="1"/>
  <c r="T4405" i="1"/>
  <c r="T4404" i="1"/>
  <c r="T3046" i="1"/>
  <c r="T3542" i="1"/>
  <c r="T3541" i="1"/>
  <c r="T5506" i="1"/>
  <c r="T5505" i="1"/>
  <c r="T6265" i="1"/>
  <c r="T6264" i="1"/>
  <c r="T4721" i="1"/>
  <c r="T4722" i="1"/>
  <c r="T4423" i="1"/>
  <c r="T4422" i="1"/>
  <c r="T3178" i="1"/>
  <c r="T3177" i="1"/>
  <c r="T4770" i="1"/>
  <c r="T733" i="1"/>
  <c r="T732" i="1"/>
  <c r="T4156" i="1"/>
  <c r="T4155" i="1"/>
  <c r="T3844" i="1"/>
  <c r="T3843" i="1"/>
  <c r="T4795" i="1"/>
  <c r="T4796" i="1"/>
  <c r="T6257" i="1"/>
  <c r="T6256" i="1"/>
  <c r="T4290" i="1"/>
  <c r="T4559" i="1"/>
  <c r="T4558" i="1"/>
  <c r="T4281" i="1"/>
  <c r="T4282" i="1"/>
  <c r="T3068" i="1"/>
  <c r="T3067" i="1"/>
  <c r="T3933" i="1"/>
  <c r="T3932" i="1"/>
  <c r="T3207" i="1"/>
  <c r="T3206" i="1"/>
  <c r="T4437" i="1"/>
  <c r="T4436" i="1"/>
  <c r="T140" i="1"/>
  <c r="T139" i="1"/>
  <c r="T48" i="1"/>
  <c r="T47" i="1"/>
  <c r="T445" i="1"/>
  <c r="T567" i="1"/>
  <c r="T566" i="1"/>
  <c r="T5546" i="1"/>
  <c r="T5545" i="1"/>
  <c r="T4344" i="1"/>
  <c r="T4343" i="1"/>
  <c r="T3645" i="1"/>
  <c r="T3644" i="1"/>
  <c r="T3675" i="1"/>
  <c r="T3674" i="1"/>
  <c r="X43" i="1" l="1"/>
  <c r="Y43" i="1" s="1"/>
  <c r="AA43" i="1"/>
  <c r="Z43" i="1" s="1"/>
  <c r="W45" i="1"/>
  <c r="AU34" i="7"/>
  <c r="AU38" i="7"/>
  <c r="AU24" i="7"/>
  <c r="AU25" i="7"/>
  <c r="AT36" i="7"/>
  <c r="AT37" i="7"/>
  <c r="AU14" i="7"/>
  <c r="AU13" i="7"/>
  <c r="AU19" i="7"/>
  <c r="AW11" i="7"/>
  <c r="AV12" i="7"/>
  <c r="AU16" i="7"/>
  <c r="AU17" i="7" s="1"/>
  <c r="AU33" i="7"/>
  <c r="AT20" i="7"/>
  <c r="AT21" i="7"/>
  <c r="AV6" i="7"/>
  <c r="AV7" i="7"/>
  <c r="AW5" i="7"/>
  <c r="AV40" i="7"/>
  <c r="AV8" i="7"/>
  <c r="AV9" i="7" s="1"/>
  <c r="AU32" i="7"/>
  <c r="BE3" i="7"/>
  <c r="BD4" i="7"/>
  <c r="AU30" i="7"/>
  <c r="AU35" i="7"/>
  <c r="AU41" i="7"/>
  <c r="AU42" i="7" s="1"/>
  <c r="AX27" i="7"/>
  <c r="AW28" i="7"/>
  <c r="AW29" i="7" s="1"/>
  <c r="T4808" i="1"/>
  <c r="T3062" i="1"/>
  <c r="R5414" i="1"/>
  <c r="S5414" i="1"/>
  <c r="O5415" i="1"/>
  <c r="R5408" i="1"/>
  <c r="R5407" i="1" s="1"/>
  <c r="R5406" i="1" s="1"/>
  <c r="S5408" i="1"/>
  <c r="T5402" i="1"/>
  <c r="S5401" i="1"/>
  <c r="T5401" i="1" s="1"/>
  <c r="T4268" i="1"/>
  <c r="S4267" i="1"/>
  <c r="R2938" i="1"/>
  <c r="S2938" i="1"/>
  <c r="T2938" i="1" s="1"/>
  <c r="O2939" i="1"/>
  <c r="T2937" i="1"/>
  <c r="S2936" i="1"/>
  <c r="T2936" i="1" s="1"/>
  <c r="T4208" i="1"/>
  <c r="T3039" i="1"/>
  <c r="T4148" i="1"/>
  <c r="S4890" i="1"/>
  <c r="R4890" i="1"/>
  <c r="O4852" i="1"/>
  <c r="R4852" i="1" s="1"/>
  <c r="S4851" i="1"/>
  <c r="T3866" i="1"/>
  <c r="R5075" i="1"/>
  <c r="T3280" i="1"/>
  <c r="O5076" i="1"/>
  <c r="R5076" i="1" s="1"/>
  <c r="R5107" i="1"/>
  <c r="O5108" i="1"/>
  <c r="S5108" i="1" s="1"/>
  <c r="T4397" i="1"/>
  <c r="T3074" i="1"/>
  <c r="T5744" i="1"/>
  <c r="T3156" i="1"/>
  <c r="T4928" i="1"/>
  <c r="T4167" i="1"/>
  <c r="T4720" i="1"/>
  <c r="T5170" i="1"/>
  <c r="T4086" i="1"/>
  <c r="T3007" i="1"/>
  <c r="T6109" i="1"/>
  <c r="S3745" i="1"/>
  <c r="T3745" i="1" s="1"/>
  <c r="T4675" i="1"/>
  <c r="O3558" i="1"/>
  <c r="S3558" i="1" s="1"/>
  <c r="S3557" i="1"/>
  <c r="T4531" i="1"/>
  <c r="T5501" i="1"/>
  <c r="T3356" i="1"/>
  <c r="T4293" i="1"/>
  <c r="T3747" i="1"/>
  <c r="T3358" i="1"/>
  <c r="T5654" i="1"/>
  <c r="T4360" i="1"/>
  <c r="T3457" i="1"/>
  <c r="T3195" i="1"/>
  <c r="T3313" i="1"/>
  <c r="T3683" i="1"/>
  <c r="T4162" i="1"/>
  <c r="T4158" i="1"/>
  <c r="T4349" i="1"/>
  <c r="T3530" i="1"/>
  <c r="S4445" i="1"/>
  <c r="T4445" i="1" s="1"/>
  <c r="T4782" i="1"/>
  <c r="T4328" i="1"/>
  <c r="T4496" i="1"/>
  <c r="T5421" i="1"/>
  <c r="O1482" i="1"/>
  <c r="S1481" i="1"/>
  <c r="T1481" i="1" s="1"/>
  <c r="O1629" i="1"/>
  <c r="R1628" i="1"/>
  <c r="S1628" i="1"/>
  <c r="T1628" i="1" s="1"/>
  <c r="T3718" i="1"/>
  <c r="T6239" i="1"/>
  <c r="T5257" i="1"/>
  <c r="T3256" i="1"/>
  <c r="T4308" i="1"/>
  <c r="T4651" i="1"/>
  <c r="T3214" i="1"/>
  <c r="T3328" i="1"/>
  <c r="T3717" i="1"/>
  <c r="T3838" i="1"/>
  <c r="T5528" i="1"/>
  <c r="T4694" i="1"/>
  <c r="T3005" i="1"/>
  <c r="T6124" i="1"/>
  <c r="T5100" i="1"/>
  <c r="T5044" i="1"/>
  <c r="T4093" i="1"/>
  <c r="T5262" i="1"/>
  <c r="T3163" i="1"/>
  <c r="T4364" i="1"/>
  <c r="T3953" i="1"/>
  <c r="T3072" i="1"/>
  <c r="T3528" i="1"/>
  <c r="T4421" i="1"/>
  <c r="T4981" i="1"/>
  <c r="T5482" i="1"/>
  <c r="T5499" i="1"/>
  <c r="T5088" i="1"/>
  <c r="T4088" i="1"/>
  <c r="T6026" i="1"/>
  <c r="T6132" i="1"/>
  <c r="T3119" i="1"/>
  <c r="T4321" i="1"/>
  <c r="T3912" i="1"/>
  <c r="T6055" i="1"/>
  <c r="T5470" i="1"/>
  <c r="T4194" i="1"/>
  <c r="T6233" i="1"/>
  <c r="T4741" i="1"/>
  <c r="T4072" i="1"/>
  <c r="T4838" i="1"/>
  <c r="T3117" i="1"/>
  <c r="T5878" i="1"/>
  <c r="T4407" i="1"/>
  <c r="T6166" i="1"/>
  <c r="T4582" i="1"/>
  <c r="S3075" i="1"/>
  <c r="T3075" i="1" s="1"/>
  <c r="T3076" i="1"/>
  <c r="T6075" i="1"/>
  <c r="T3549" i="1"/>
  <c r="T3568" i="1"/>
  <c r="T4798" i="1"/>
  <c r="T3338" i="1"/>
  <c r="T4333" i="1"/>
  <c r="T4302" i="1"/>
  <c r="T5024" i="1"/>
  <c r="T4507" i="1"/>
  <c r="T3140" i="1"/>
  <c r="T5434" i="1"/>
  <c r="T5351" i="1"/>
  <c r="T5366" i="1"/>
  <c r="T4609" i="1"/>
  <c r="T3326" i="1"/>
  <c r="T3404" i="1"/>
  <c r="T4995" i="1"/>
  <c r="T4485" i="1"/>
  <c r="T4056" i="1"/>
  <c r="T3648" i="1"/>
  <c r="T5038" i="1"/>
  <c r="T4923" i="1"/>
  <c r="T3108" i="1"/>
  <c r="T3272" i="1"/>
  <c r="T4392" i="1"/>
  <c r="T4617" i="1"/>
  <c r="T6198" i="1"/>
  <c r="T3596" i="1"/>
  <c r="T5900" i="1"/>
  <c r="T5116" i="1"/>
  <c r="T4300" i="1"/>
  <c r="S6039" i="1"/>
  <c r="T6039" i="1" s="1"/>
  <c r="T6040" i="1"/>
  <c r="T6249" i="1"/>
  <c r="T3197" i="1"/>
  <c r="T5225" i="1"/>
  <c r="T3870" i="1"/>
  <c r="T4886" i="1"/>
  <c r="T5724" i="1"/>
  <c r="T5222" i="1"/>
  <c r="T6164" i="1"/>
  <c r="T4546" i="1"/>
  <c r="T5969" i="1"/>
  <c r="T4160" i="1"/>
  <c r="T4174" i="1"/>
  <c r="T6277" i="1"/>
  <c r="T3027" i="1"/>
  <c r="T3268" i="1"/>
  <c r="T3151" i="1"/>
  <c r="T4039" i="1"/>
  <c r="T3669" i="1"/>
  <c r="T4347" i="1"/>
  <c r="R5664" i="1"/>
  <c r="S5664" i="1"/>
  <c r="R6231" i="1"/>
  <c r="S6231" i="1"/>
  <c r="T6231" i="1" s="1"/>
  <c r="T6303" i="1"/>
  <c r="S6302" i="1"/>
  <c r="T6302" i="1" s="1"/>
  <c r="S3794" i="1"/>
  <c r="T3794" i="1" s="1"/>
  <c r="T3795" i="1"/>
  <c r="R4735" i="1"/>
  <c r="S4735" i="1"/>
  <c r="S4734" i="1" s="1"/>
  <c r="S4733" i="1" s="1"/>
  <c r="S4732" i="1" s="1"/>
  <c r="O4736" i="1"/>
  <c r="S4604" i="1"/>
  <c r="R4604" i="1"/>
  <c r="O4605" i="1"/>
  <c r="T4468" i="1"/>
  <c r="T4429" i="1"/>
  <c r="T3944" i="1"/>
  <c r="O4863" i="1"/>
  <c r="S4862" i="1"/>
  <c r="R4862" i="1"/>
  <c r="R5932" i="1"/>
  <c r="S5932" i="1"/>
  <c r="T5932" i="1" s="1"/>
  <c r="R3906" i="1"/>
  <c r="S3906" i="1"/>
  <c r="S3905" i="1" s="1"/>
  <c r="S3904" i="1" s="1"/>
  <c r="R5280" i="1"/>
  <c r="S5280" i="1"/>
  <c r="S5279" i="1" s="1"/>
  <c r="S5278" i="1" s="1"/>
  <c r="R3660" i="1"/>
  <c r="S3660" i="1"/>
  <c r="S3659" i="1" s="1"/>
  <c r="S3658" i="1" s="1"/>
  <c r="S3657" i="1" s="1"/>
  <c r="O3661" i="1"/>
  <c r="S4926" i="1"/>
  <c r="T4926" i="1" s="1"/>
  <c r="R4926" i="1"/>
  <c r="T6091" i="1"/>
  <c r="S6090" i="1"/>
  <c r="T6090" i="1" s="1"/>
  <c r="R5597" i="1"/>
  <c r="S5597" i="1"/>
  <c r="S5596" i="1" s="1"/>
  <c r="S5595" i="1" s="1"/>
  <c r="S5594" i="1" s="1"/>
  <c r="R3748" i="1"/>
  <c r="S3748" i="1"/>
  <c r="T3748" i="1" s="1"/>
  <c r="R3443" i="1"/>
  <c r="R3442" i="1" s="1"/>
  <c r="R3441" i="1" s="1"/>
  <c r="O3444" i="1"/>
  <c r="S5848" i="1"/>
  <c r="R5848" i="1"/>
  <c r="O5849" i="1"/>
  <c r="S3083" i="1"/>
  <c r="S3082" i="1" s="1"/>
  <c r="S3081" i="1" s="1"/>
  <c r="R3083" i="1"/>
  <c r="S6010" i="1"/>
  <c r="R6010" i="1"/>
  <c r="R4466" i="1"/>
  <c r="S4466" i="1"/>
  <c r="T4466" i="1" s="1"/>
  <c r="S6247" i="1"/>
  <c r="T6247" i="1" s="1"/>
  <c r="R6247" i="1"/>
  <c r="R6218" i="1"/>
  <c r="S6218" i="1"/>
  <c r="O6219" i="1"/>
  <c r="S6129" i="1"/>
  <c r="S6128" i="1" s="1"/>
  <c r="R6129" i="1"/>
  <c r="R6128" i="1" s="1"/>
  <c r="R5135" i="1"/>
  <c r="S5135" i="1"/>
  <c r="O5136" i="1"/>
  <c r="S3361" i="1"/>
  <c r="R3361" i="1"/>
  <c r="O3362" i="1"/>
  <c r="R4453" i="1"/>
  <c r="S4453" i="1"/>
  <c r="T4453" i="1" s="1"/>
  <c r="R4919" i="1"/>
  <c r="S4919" i="1"/>
  <c r="T4919" i="1" s="1"/>
  <c r="R4365" i="1"/>
  <c r="S4365" i="1"/>
  <c r="T4365" i="1" s="1"/>
  <c r="R3936" i="1"/>
  <c r="S3936" i="1"/>
  <c r="S3935" i="1" s="1"/>
  <c r="S3934" i="1" s="1"/>
  <c r="T3934" i="1" s="1"/>
  <c r="R4551" i="1"/>
  <c r="R4550" i="1" s="1"/>
  <c r="R4549" i="1" s="1"/>
  <c r="O4552" i="1"/>
  <c r="S3956" i="1"/>
  <c r="S3955" i="1" s="1"/>
  <c r="S3954" i="1" s="1"/>
  <c r="T3957" i="1"/>
  <c r="S3018" i="1"/>
  <c r="S3017" i="1" s="1"/>
  <c r="T3019" i="1"/>
  <c r="S5428" i="1"/>
  <c r="T5428" i="1" s="1"/>
  <c r="T5429" i="1"/>
  <c r="S4502" i="1"/>
  <c r="T4502" i="1" s="1"/>
  <c r="T4503" i="1"/>
  <c r="S6047" i="1"/>
  <c r="R6047" i="1"/>
  <c r="O6048" i="1"/>
  <c r="S6243" i="1"/>
  <c r="T6243" i="1" s="1"/>
  <c r="T6244" i="1"/>
  <c r="R5892" i="1"/>
  <c r="S5892" i="1"/>
  <c r="T5892" i="1" s="1"/>
  <c r="R3624" i="1"/>
  <c r="S3624" i="1"/>
  <c r="T3624" i="1" s="1"/>
  <c r="R3464" i="1"/>
  <c r="R3463" i="1" s="1"/>
  <c r="R3462" i="1" s="1"/>
  <c r="O3465" i="1"/>
  <c r="S5191" i="1"/>
  <c r="R5191" i="1"/>
  <c r="O5192" i="1"/>
  <c r="S3705" i="1"/>
  <c r="R3705" i="1"/>
  <c r="O3706" i="1"/>
  <c r="S6180" i="1"/>
  <c r="T6180" i="1" s="1"/>
  <c r="T6181" i="1"/>
  <c r="S6275" i="1"/>
  <c r="T6275" i="1" s="1"/>
  <c r="R6275" i="1"/>
  <c r="S3105" i="1"/>
  <c r="T3105" i="1" s="1"/>
  <c r="T3106" i="1"/>
  <c r="R3572" i="1"/>
  <c r="S3572" i="1"/>
  <c r="S3571" i="1" s="1"/>
  <c r="S3570" i="1" s="1"/>
  <c r="S3569" i="1" s="1"/>
  <c r="O3573" i="1"/>
  <c r="S4576" i="1"/>
  <c r="T4576" i="1" s="1"/>
  <c r="R4576" i="1"/>
  <c r="S6028" i="1"/>
  <c r="T6029" i="1"/>
  <c r="S4001" i="1"/>
  <c r="R4001" i="1"/>
  <c r="O4002" i="1"/>
  <c r="R3297" i="1"/>
  <c r="S3297" i="1"/>
  <c r="S4683" i="1"/>
  <c r="R4683" i="1"/>
  <c r="O4684" i="1"/>
  <c r="S3883" i="1"/>
  <c r="T3883" i="1" s="1"/>
  <c r="T3884" i="1"/>
  <c r="R5950" i="1"/>
  <c r="S5950" i="1"/>
  <c r="S5949" i="1" s="1"/>
  <c r="S5948" i="1" s="1"/>
  <c r="S4278" i="1"/>
  <c r="S4277" i="1" s="1"/>
  <c r="S4276" i="1" s="1"/>
  <c r="S4275" i="1" s="1"/>
  <c r="T4275" i="1" s="1"/>
  <c r="R4278" i="1"/>
  <c r="R5928" i="1"/>
  <c r="S5928" i="1"/>
  <c r="T5928" i="1" s="1"/>
  <c r="O5929" i="1"/>
  <c r="T4806" i="1"/>
  <c r="S4805" i="1"/>
  <c r="T4805" i="1" s="1"/>
  <c r="S3779" i="1"/>
  <c r="T3779" i="1" s="1"/>
  <c r="T3780" i="1"/>
  <c r="R3127" i="1"/>
  <c r="S3127" i="1"/>
  <c r="O3128" i="1"/>
  <c r="R4969" i="1"/>
  <c r="S4969" i="1"/>
  <c r="O4970" i="1"/>
  <c r="R6188" i="1"/>
  <c r="S6188" i="1"/>
  <c r="O6189" i="1"/>
  <c r="R3164" i="1"/>
  <c r="S3164" i="1"/>
  <c r="T3164" i="1" s="1"/>
  <c r="R3976" i="1"/>
  <c r="S3976" i="1"/>
  <c r="O3977" i="1"/>
  <c r="S3511" i="1"/>
  <c r="R3511" i="1"/>
  <c r="O3512" i="1"/>
  <c r="S4096" i="1"/>
  <c r="S4095" i="1" s="1"/>
  <c r="S4094" i="1" s="1"/>
  <c r="R4096" i="1"/>
  <c r="R3498" i="1"/>
  <c r="S3498" i="1"/>
  <c r="T3498" i="1" s="1"/>
  <c r="S4200" i="1"/>
  <c r="T4200" i="1" s="1"/>
  <c r="T4201" i="1"/>
  <c r="S4706" i="1"/>
  <c r="R4706" i="1"/>
  <c r="R4180" i="1"/>
  <c r="S4180" i="1"/>
  <c r="O4181" i="1"/>
  <c r="S3433" i="1"/>
  <c r="T3433" i="1" s="1"/>
  <c r="R3433" i="1"/>
  <c r="S3346" i="1"/>
  <c r="T3346" i="1" s="1"/>
  <c r="R3346" i="1"/>
  <c r="O3347" i="1"/>
  <c r="R3830" i="1"/>
  <c r="S3830" i="1"/>
  <c r="R4383" i="1"/>
  <c r="S4383" i="1"/>
  <c r="T4383" i="1" s="1"/>
  <c r="S3412" i="1"/>
  <c r="S3411" i="1" s="1"/>
  <c r="S3410" i="1" s="1"/>
  <c r="S3409" i="1" s="1"/>
  <c r="R3412" i="1"/>
  <c r="O3413" i="1"/>
  <c r="R6250" i="1"/>
  <c r="S6250" i="1"/>
  <c r="T6250" i="1" s="1"/>
  <c r="S5939" i="1"/>
  <c r="R5939" i="1"/>
  <c r="O5940" i="1"/>
  <c r="R5034" i="1"/>
  <c r="S5034" i="1"/>
  <c r="T5034" i="1" s="1"/>
  <c r="R5680" i="1"/>
  <c r="R5679" i="1" s="1"/>
  <c r="R5678" i="1" s="1"/>
  <c r="S5680" i="1"/>
  <c r="S6312" i="1"/>
  <c r="T6312" i="1" s="1"/>
  <c r="T6313" i="1"/>
  <c r="R4053" i="1"/>
  <c r="S4053" i="1"/>
  <c r="O4054" i="1"/>
  <c r="R5144" i="1"/>
  <c r="S5144" i="1"/>
  <c r="O5145" i="1"/>
  <c r="R6240" i="1"/>
  <c r="S6240" i="1"/>
  <c r="T6240" i="1" s="1"/>
  <c r="R6038" i="1"/>
  <c r="S6038" i="1"/>
  <c r="S6037" i="1" s="1"/>
  <c r="S6036" i="1" s="1"/>
  <c r="R4247" i="1"/>
  <c r="R4246" i="1" s="1"/>
  <c r="S4247" i="1"/>
  <c r="S4246" i="1" s="1"/>
  <c r="R4898" i="1"/>
  <c r="S4898" i="1"/>
  <c r="S3323" i="1"/>
  <c r="T3323" i="1" s="1"/>
  <c r="T3324" i="1"/>
  <c r="R3421" i="1"/>
  <c r="S3421" i="1"/>
  <c r="O3422" i="1"/>
  <c r="S4868" i="1"/>
  <c r="R4868" i="1"/>
  <c r="O4869" i="1"/>
  <c r="S6069" i="1"/>
  <c r="R6069" i="1"/>
  <c r="O6070" i="1"/>
  <c r="S3385" i="1"/>
  <c r="R3385" i="1"/>
  <c r="R5956" i="1"/>
  <c r="S5956" i="1"/>
  <c r="T5956" i="1" s="1"/>
  <c r="R4757" i="1"/>
  <c r="S4757" i="1"/>
  <c r="S4756" i="1" s="1"/>
  <c r="S4755" i="1" s="1"/>
  <c r="S4754" i="1" s="1"/>
  <c r="O4758" i="1"/>
  <c r="S4043" i="1"/>
  <c r="R4043" i="1"/>
  <c r="R4935" i="1"/>
  <c r="S4935" i="1"/>
  <c r="O4936" i="1"/>
  <c r="S3376" i="1"/>
  <c r="S3375" i="1" s="1"/>
  <c r="T3375" i="1" s="1"/>
  <c r="R3376" i="1"/>
  <c r="R3375" i="1" s="1"/>
  <c r="T4568" i="1"/>
  <c r="S3896" i="1"/>
  <c r="R3896" i="1"/>
  <c r="R5343" i="1"/>
  <c r="S5343" i="1"/>
  <c r="R3604" i="1"/>
  <c r="S3604" i="1"/>
  <c r="O3605" i="1"/>
  <c r="S3401" i="1"/>
  <c r="T3401" i="1" s="1"/>
  <c r="T3402" i="1"/>
  <c r="R5385" i="1"/>
  <c r="R5384" i="1" s="1"/>
  <c r="R5383" i="1" s="1"/>
  <c r="S5385" i="1"/>
  <c r="S5384" i="1" s="1"/>
  <c r="S5383" i="1" s="1"/>
  <c r="S5209" i="1"/>
  <c r="R5209" i="1"/>
  <c r="S5947" i="1"/>
  <c r="R5947" i="1"/>
  <c r="S4909" i="1"/>
  <c r="R4909" i="1"/>
  <c r="S4598" i="1"/>
  <c r="R4598" i="1"/>
  <c r="S3581" i="1"/>
  <c r="R3581" i="1"/>
  <c r="R4517" i="1"/>
  <c r="S4517" i="1"/>
  <c r="T4517" i="1" s="1"/>
  <c r="R3030" i="1"/>
  <c r="S3030" i="1"/>
  <c r="T3030" i="1" s="1"/>
  <c r="R3205" i="1"/>
  <c r="S3205" i="1"/>
  <c r="T3205" i="1" s="1"/>
  <c r="R4329" i="1"/>
  <c r="S4329" i="1"/>
  <c r="T4329" i="1" s="1"/>
  <c r="S6119" i="1"/>
  <c r="R6119" i="1"/>
  <c r="O6120" i="1"/>
  <c r="S3400" i="1"/>
  <c r="R3400" i="1"/>
  <c r="R4009" i="1"/>
  <c r="S4009" i="1"/>
  <c r="R5518" i="1"/>
  <c r="S5518" i="1"/>
  <c r="T5518" i="1" s="1"/>
  <c r="R3371" i="1"/>
  <c r="S3371" i="1"/>
  <c r="T3371" i="1" s="1"/>
  <c r="R3055" i="1"/>
  <c r="S3055" i="1"/>
  <c r="O3056" i="1"/>
  <c r="S4303" i="1"/>
  <c r="T4303" i="1" s="1"/>
  <c r="R4303" i="1"/>
  <c r="S6174" i="1"/>
  <c r="R6174" i="1"/>
  <c r="R3910" i="1"/>
  <c r="S3910" i="1"/>
  <c r="T3910" i="1" s="1"/>
  <c r="S3380" i="1"/>
  <c r="R3380" i="1"/>
  <c r="S5068" i="1"/>
  <c r="T5068" i="1" s="1"/>
  <c r="R5068" i="1"/>
  <c r="S5268" i="1"/>
  <c r="S5267" i="1" s="1"/>
  <c r="S5266" i="1" s="1"/>
  <c r="R5268" i="1"/>
  <c r="S3638" i="1"/>
  <c r="T3638" i="1" s="1"/>
  <c r="R3638" i="1"/>
  <c r="R4142" i="1"/>
  <c r="S4142" i="1"/>
  <c r="T4142" i="1" s="1"/>
  <c r="S3394" i="1"/>
  <c r="S3393" i="1" s="1"/>
  <c r="R3394" i="1"/>
  <c r="R3393" i="1" s="1"/>
  <c r="R3392" i="1" s="1"/>
  <c r="S3552" i="1"/>
  <c r="T3552" i="1" s="1"/>
  <c r="R3552" i="1"/>
  <c r="R3880" i="1"/>
  <c r="S3880" i="1"/>
  <c r="T3880" i="1" s="1"/>
  <c r="S4664" i="1"/>
  <c r="T4664" i="1" s="1"/>
  <c r="R4664" i="1"/>
  <c r="S3655" i="1"/>
  <c r="T3656" i="1"/>
  <c r="R4891" i="1"/>
  <c r="S4891" i="1"/>
  <c r="O4892" i="1"/>
  <c r="S4678" i="1"/>
  <c r="T4678" i="1" s="1"/>
  <c r="R4678" i="1"/>
  <c r="S3008" i="1"/>
  <c r="T3008" i="1" s="1"/>
  <c r="R3008" i="1"/>
  <c r="S4618" i="1"/>
  <c r="T4618" i="1" s="1"/>
  <c r="T4619" i="1"/>
  <c r="R4033" i="1"/>
  <c r="S4033" i="1"/>
  <c r="O4034" i="1"/>
  <c r="S2996" i="1"/>
  <c r="R2996" i="1"/>
  <c r="R3322" i="1"/>
  <c r="S3322" i="1"/>
  <c r="S6098" i="1"/>
  <c r="R6098" i="1"/>
  <c r="O6099" i="1"/>
  <c r="S3652" i="1"/>
  <c r="S3651" i="1" s="1"/>
  <c r="R3652" i="1"/>
  <c r="R3651" i="1" s="1"/>
  <c r="S5096" i="1"/>
  <c r="T5096" i="1" s="1"/>
  <c r="T5097" i="1"/>
  <c r="S3561" i="1"/>
  <c r="S3560" i="1" s="1"/>
  <c r="T3560" i="1" s="1"/>
  <c r="T3562" i="1"/>
  <c r="R5154" i="1"/>
  <c r="S5154" i="1"/>
  <c r="S3448" i="1"/>
  <c r="R3448" i="1"/>
  <c r="O3449" i="1"/>
  <c r="S4460" i="1"/>
  <c r="T4460" i="1" s="1"/>
  <c r="R4460" i="1"/>
  <c r="O4461" i="1"/>
  <c r="R3643" i="1"/>
  <c r="S3643" i="1"/>
  <c r="T5509" i="1"/>
  <c r="T3230" i="1"/>
  <c r="T4312" i="1"/>
  <c r="S3712" i="1"/>
  <c r="R3712" i="1"/>
  <c r="O3713" i="1"/>
  <c r="R5184" i="1"/>
  <c r="S5184" i="1"/>
  <c r="T5184" i="1" s="1"/>
  <c r="S6237" i="1"/>
  <c r="T6237" i="1" s="1"/>
  <c r="R6237" i="1"/>
  <c r="R4901" i="1"/>
  <c r="S4901" i="1"/>
  <c r="O4902" i="1"/>
  <c r="R4015" i="1"/>
  <c r="S4015" i="1"/>
  <c r="S6017" i="1"/>
  <c r="R6017" i="1"/>
  <c r="O6018" i="1"/>
  <c r="R6278" i="1"/>
  <c r="S6278" i="1"/>
  <c r="T6278" i="1" s="1"/>
  <c r="S4764" i="1"/>
  <c r="R4764" i="1"/>
  <c r="O4765" i="1"/>
  <c r="S4410" i="1"/>
  <c r="T4410" i="1" s="1"/>
  <c r="R4410" i="1"/>
  <c r="S3341" i="1"/>
  <c r="T3341" i="1" s="1"/>
  <c r="R3341" i="1"/>
  <c r="R4941" i="1"/>
  <c r="S4941" i="1"/>
  <c r="R4114" i="1"/>
  <c r="S4114" i="1"/>
  <c r="S4113" i="1" s="1"/>
  <c r="S4112" i="1" s="1"/>
  <c r="S3244" i="1"/>
  <c r="T3245" i="1"/>
  <c r="R4450" i="1"/>
  <c r="S4450" i="1"/>
  <c r="T4450" i="1" s="1"/>
  <c r="S3307" i="1"/>
  <c r="T3307" i="1" s="1"/>
  <c r="R3307" i="1"/>
  <c r="R4746" i="1"/>
  <c r="S4746" i="1"/>
  <c r="S4745" i="1" s="1"/>
  <c r="S4744" i="1" s="1"/>
  <c r="O4747" i="1"/>
  <c r="R3174" i="1"/>
  <c r="S3174" i="1"/>
  <c r="S3173" i="1" s="1"/>
  <c r="S3172" i="1" s="1"/>
  <c r="O3175" i="1"/>
  <c r="S3148" i="1"/>
  <c r="T3148" i="1" s="1"/>
  <c r="T3149" i="1"/>
  <c r="R5652" i="1"/>
  <c r="R5651" i="1" s="1"/>
  <c r="S5652" i="1"/>
  <c r="S5651" i="1" s="1"/>
  <c r="S4069" i="1"/>
  <c r="R4069" i="1"/>
  <c r="O4070" i="1"/>
  <c r="S5693" i="1"/>
  <c r="T5693" i="1" s="1"/>
  <c r="R5693" i="1"/>
  <c r="O5526" i="1"/>
  <c r="S5525" i="1"/>
  <c r="R5525" i="1"/>
  <c r="R3815" i="1"/>
  <c r="S3815" i="1"/>
  <c r="S4534" i="1"/>
  <c r="R4534" i="1"/>
  <c r="S4151" i="1"/>
  <c r="R4151" i="1"/>
  <c r="O4152" i="1"/>
  <c r="O4153" i="1" s="1"/>
  <c r="O4154" i="1" s="1"/>
  <c r="S3792" i="1"/>
  <c r="T3792" i="1" s="1"/>
  <c r="T3793" i="1"/>
  <c r="S3915" i="1"/>
  <c r="T3915" i="1" s="1"/>
  <c r="R3915" i="1"/>
  <c r="S3089" i="1"/>
  <c r="T3089" i="1" s="1"/>
  <c r="R3089" i="1"/>
  <c r="S3478" i="1"/>
  <c r="T3478" i="1" s="1"/>
  <c r="T3479" i="1"/>
  <c r="S4127" i="1"/>
  <c r="R4127" i="1"/>
  <c r="R3545" i="1"/>
  <c r="S3545" i="1"/>
  <c r="S4316" i="1"/>
  <c r="T4316" i="1" s="1"/>
  <c r="T4317" i="1"/>
  <c r="R3389" i="1"/>
  <c r="S3389" i="1"/>
  <c r="S3388" i="1" s="1"/>
  <c r="S3387" i="1" s="1"/>
  <c r="S3386" i="1" s="1"/>
  <c r="R3086" i="1"/>
  <c r="S3086" i="1"/>
  <c r="T3086" i="1" s="1"/>
  <c r="R4414" i="1"/>
  <c r="S4414" i="1"/>
  <c r="O4415" i="1"/>
  <c r="R4717" i="1"/>
  <c r="R4716" i="1" s="1"/>
  <c r="R4715" i="1" s="1"/>
  <c r="R4714" i="1" s="1"/>
  <c r="O4718" i="1"/>
  <c r="T4313" i="1"/>
  <c r="T5717" i="1"/>
  <c r="R6062" i="1"/>
  <c r="S6062" i="1"/>
  <c r="S6061" i="1" s="1"/>
  <c r="S6060" i="1" s="1"/>
  <c r="T6060" i="1" s="1"/>
  <c r="S4190" i="1"/>
  <c r="R4190" i="1"/>
  <c r="O4191" i="1"/>
  <c r="R5095" i="1"/>
  <c r="S5095" i="1"/>
  <c r="T5095" i="1" s="1"/>
  <c r="S3765" i="1"/>
  <c r="T3765" i="1" s="1"/>
  <c r="T3766" i="1"/>
  <c r="S3471" i="1"/>
  <c r="R3471" i="1"/>
  <c r="O3472" i="1"/>
  <c r="S5022" i="1"/>
  <c r="T5022" i="1" s="1"/>
  <c r="R5022" i="1"/>
  <c r="R6234" i="1"/>
  <c r="S6234" i="1"/>
  <c r="T6234" i="1" s="1"/>
  <c r="S6154" i="1"/>
  <c r="T6154" i="1" s="1"/>
  <c r="T6155" i="1"/>
  <c r="R5065" i="1"/>
  <c r="S5065" i="1"/>
  <c r="R3928" i="1"/>
  <c r="S3928" i="1"/>
  <c r="R5748" i="1"/>
  <c r="S5748" i="1"/>
  <c r="S5747" i="1" s="1"/>
  <c r="S5746" i="1" s="1"/>
  <c r="S5745" i="1" s="1"/>
  <c r="R5992" i="1"/>
  <c r="S5992" i="1"/>
  <c r="O5993" i="1"/>
  <c r="S3903" i="1"/>
  <c r="R3903" i="1"/>
  <c r="R3627" i="1"/>
  <c r="S3627" i="1"/>
  <c r="T3627" i="1" s="1"/>
  <c r="S3438" i="1"/>
  <c r="R3438" i="1"/>
  <c r="S3808" i="1"/>
  <c r="T3808" i="1" s="1"/>
  <c r="R3808" i="1"/>
  <c r="R5161" i="1"/>
  <c r="S5161" i="1"/>
  <c r="O5162" i="1"/>
  <c r="R3861" i="1"/>
  <c r="S3861" i="1"/>
  <c r="S4111" i="1"/>
  <c r="S4110" i="1" s="1"/>
  <c r="R4111" i="1"/>
  <c r="R4110" i="1" s="1"/>
  <c r="R5177" i="1"/>
  <c r="S5177" i="1"/>
  <c r="O5178" i="1"/>
  <c r="R5218" i="1"/>
  <c r="S5218" i="1"/>
  <c r="S5217" i="1" s="1"/>
  <c r="S5216" i="1" s="1"/>
  <c r="S5215" i="1" s="1"/>
  <c r="S5214" i="1" s="1"/>
  <c r="S5213" i="1" s="1"/>
  <c r="O5219" i="1"/>
  <c r="S5839" i="1"/>
  <c r="R5839" i="1"/>
  <c r="O5840" i="1"/>
  <c r="S3069" i="1"/>
  <c r="T3069" i="1" s="1"/>
  <c r="T3070" i="1"/>
  <c r="S3864" i="1"/>
  <c r="T3864" i="1" s="1"/>
  <c r="R3864" i="1"/>
  <c r="R6035" i="1"/>
  <c r="S6035" i="1"/>
  <c r="T6035" i="1" s="1"/>
  <c r="R3239" i="1"/>
  <c r="S3239" i="1"/>
  <c r="T3239" i="1" s="1"/>
  <c r="T4196" i="1"/>
  <c r="S4195" i="1"/>
  <c r="T4195" i="1" s="1"/>
  <c r="R4773" i="1"/>
  <c r="S4773" i="1"/>
  <c r="T4773" i="1" s="1"/>
  <c r="R4791" i="1"/>
  <c r="R4790" i="1" s="1"/>
  <c r="R4789" i="1" s="1"/>
  <c r="O4792" i="1"/>
  <c r="R4134" i="1"/>
  <c r="S4134" i="1"/>
  <c r="S4590" i="1"/>
  <c r="R4590" i="1"/>
  <c r="O4591" i="1"/>
  <c r="R6306" i="1"/>
  <c r="S6306" i="1"/>
  <c r="T6306" i="1" s="1"/>
  <c r="R3985" i="1"/>
  <c r="S3985" i="1"/>
  <c r="O3986" i="1"/>
  <c r="R5051" i="1"/>
  <c r="S5051" i="1"/>
  <c r="R4513" i="1"/>
  <c r="S4513" i="1"/>
  <c r="T4513" i="1" s="1"/>
  <c r="S5788" i="1"/>
  <c r="S5787" i="1" s="1"/>
  <c r="S5786" i="1" s="1"/>
  <c r="T5789" i="1"/>
  <c r="T6179" i="1"/>
  <c r="S6178" i="1"/>
  <c r="T6178" i="1" s="1"/>
  <c r="T5438" i="1"/>
  <c r="S4103" i="1"/>
  <c r="R4103" i="1"/>
  <c r="O4104" i="1"/>
  <c r="S4630" i="1"/>
  <c r="S4629" i="1" s="1"/>
  <c r="S4628" i="1" s="1"/>
  <c r="S4627" i="1" s="1"/>
  <c r="R4630" i="1"/>
  <c r="O4631" i="1"/>
  <c r="S5807" i="1"/>
  <c r="T5807" i="1" s="1"/>
  <c r="T5808" i="1"/>
  <c r="R3787" i="1"/>
  <c r="S3787" i="1"/>
  <c r="S3308" i="1"/>
  <c r="T3308" i="1" s="1"/>
  <c r="T3309" i="1"/>
  <c r="S3489" i="1"/>
  <c r="T3489" i="1" s="1"/>
  <c r="R3489" i="1"/>
  <c r="O4565" i="1"/>
  <c r="R3236" i="1"/>
  <c r="S3236" i="1"/>
  <c r="R4172" i="1"/>
  <c r="S4172" i="1"/>
  <c r="T4172" i="1" s="1"/>
  <c r="S2999" i="1"/>
  <c r="S2998" i="1" s="1"/>
  <c r="S2997" i="1" s="1"/>
  <c r="R2999" i="1"/>
  <c r="O3000" i="1"/>
  <c r="S3300" i="1"/>
  <c r="R3300" i="1"/>
  <c r="S5677" i="1"/>
  <c r="T5677" i="1" s="1"/>
  <c r="R5677" i="1"/>
  <c r="S5519" i="1"/>
  <c r="T5519" i="1" s="1"/>
  <c r="T5520" i="1"/>
  <c r="R3092" i="1"/>
  <c r="S3092" i="1"/>
  <c r="T3092" i="1" s="1"/>
  <c r="R4957" i="1"/>
  <c r="S4957" i="1"/>
  <c r="O4958" i="1"/>
  <c r="R5285" i="1"/>
  <c r="R5284" i="1" s="1"/>
  <c r="S5285" i="1"/>
  <c r="S5284" i="1" s="1"/>
  <c r="T4622" i="1"/>
  <c r="S4621" i="1"/>
  <c r="S4620" i="1" s="1"/>
  <c r="T4620" i="1" s="1"/>
  <c r="S5014" i="1"/>
  <c r="R5014" i="1"/>
  <c r="O5015" i="1"/>
  <c r="S5537" i="1"/>
  <c r="T5537" i="1" s="1"/>
  <c r="T5538" i="1"/>
  <c r="R4585" i="1"/>
  <c r="S4585" i="1"/>
  <c r="T4585" i="1" s="1"/>
  <c r="R5236" i="1"/>
  <c r="S5236" i="1"/>
  <c r="O5237" i="1"/>
  <c r="O4637" i="1"/>
  <c r="R3725" i="1"/>
  <c r="S3725" i="1"/>
  <c r="T3725" i="1" s="1"/>
  <c r="S3336" i="1"/>
  <c r="S3335" i="1" s="1"/>
  <c r="R3336" i="1"/>
  <c r="R3335" i="1" s="1"/>
  <c r="R4389" i="1"/>
  <c r="S4389" i="1"/>
  <c r="R3161" i="1"/>
  <c r="S3161" i="1"/>
  <c r="T3161" i="1" s="1"/>
  <c r="S5687" i="1"/>
  <c r="T5687" i="1" s="1"/>
  <c r="R5687" i="1"/>
  <c r="S3217" i="1"/>
  <c r="S3216" i="1" s="1"/>
  <c r="S3215" i="1" s="1"/>
  <c r="R3217" i="1"/>
  <c r="R3290" i="1"/>
  <c r="S3290" i="1"/>
  <c r="S3289" i="1" s="1"/>
  <c r="S3288" i="1" s="1"/>
  <c r="S3287" i="1" s="1"/>
  <c r="T6242" i="1"/>
  <c r="S6241" i="1"/>
  <c r="T6241" i="1" s="1"/>
  <c r="S5330" i="1"/>
  <c r="T5330" i="1" s="1"/>
  <c r="T5331" i="1"/>
  <c r="S3354" i="1"/>
  <c r="T3354" i="1" s="1"/>
  <c r="R3354" i="1"/>
  <c r="R6078" i="1"/>
  <c r="S6078" i="1"/>
  <c r="S6077" i="1" s="1"/>
  <c r="S6076" i="1" s="1"/>
  <c r="S6281" i="1"/>
  <c r="T6281" i="1" s="1"/>
  <c r="R6281" i="1"/>
  <c r="S3576" i="1"/>
  <c r="T3576" i="1" s="1"/>
  <c r="R3576" i="1"/>
  <c r="S5647" i="1"/>
  <c r="T5647" i="1" s="1"/>
  <c r="T5648" i="1"/>
  <c r="R3183" i="1"/>
  <c r="S3183" i="1"/>
  <c r="T3183" i="1" s="1"/>
  <c r="R4440" i="1"/>
  <c r="S4440" i="1"/>
  <c r="T4440" i="1" s="1"/>
  <c r="O4441" i="1"/>
  <c r="R3113" i="1"/>
  <c r="S3113" i="1"/>
  <c r="T3113" i="1" s="1"/>
  <c r="T4828" i="1"/>
  <c r="R5248" i="1"/>
  <c r="S5248" i="1"/>
  <c r="O5249" i="1"/>
  <c r="T3043" i="1"/>
  <c r="T4171" i="1"/>
  <c r="S4526" i="1"/>
  <c r="S4525" i="1" s="1"/>
  <c r="S4524" i="1" s="1"/>
  <c r="S4523" i="1" s="1"/>
  <c r="R4526" i="1"/>
  <c r="O4527" i="1"/>
  <c r="R3427" i="1"/>
  <c r="S3427" i="1"/>
  <c r="T3427" i="1" s="1"/>
  <c r="R3022" i="1"/>
  <c r="S3022" i="1"/>
  <c r="S3021" i="1" s="1"/>
  <c r="S3020" i="1" s="1"/>
  <c r="O3023" i="1"/>
  <c r="R4825" i="1"/>
  <c r="S4825" i="1"/>
  <c r="O4826" i="1"/>
  <c r="R5972" i="1"/>
  <c r="R5971" i="1" s="1"/>
  <c r="R5970" i="1" s="1"/>
  <c r="O5973" i="1"/>
  <c r="R3586" i="1"/>
  <c r="S3586" i="1"/>
  <c r="O3587" i="1"/>
  <c r="R3687" i="1"/>
  <c r="S3687" i="1"/>
  <c r="S3686" i="1" s="1"/>
  <c r="S3685" i="1" s="1"/>
  <c r="S3684" i="1" s="1"/>
  <c r="O3688" i="1"/>
  <c r="S5391" i="1"/>
  <c r="T5391" i="1" s="1"/>
  <c r="T5392" i="1"/>
  <c r="R4710" i="1"/>
  <c r="R4709" i="1" s="1"/>
  <c r="R4708" i="1" s="1"/>
  <c r="R4707" i="1" s="1"/>
  <c r="O4711" i="1"/>
  <c r="R4673" i="1"/>
  <c r="S4673" i="1"/>
  <c r="T4673" i="1" s="1"/>
  <c r="R5301" i="1"/>
  <c r="S5301" i="1"/>
  <c r="O5302" i="1"/>
  <c r="S3231" i="1"/>
  <c r="T3231" i="1" s="1"/>
  <c r="R3231" i="1"/>
  <c r="S6085" i="1"/>
  <c r="R6085" i="1"/>
  <c r="O6086" i="1"/>
  <c r="S4876" i="1"/>
  <c r="T4876" i="1" s="1"/>
  <c r="T4877" i="1"/>
  <c r="R3692" i="1"/>
  <c r="S3692" i="1"/>
  <c r="S3691" i="1" s="1"/>
  <c r="S3690" i="1" s="1"/>
  <c r="S3689" i="1" s="1"/>
  <c r="T6203" i="1"/>
  <c r="S6202" i="1"/>
  <c r="T6202" i="1" s="1"/>
  <c r="S4059" i="1"/>
  <c r="R4059" i="1"/>
  <c r="S5817" i="1"/>
  <c r="R5817" i="1"/>
  <c r="O5818" i="1"/>
  <c r="R4262" i="1"/>
  <c r="R4261" i="1" s="1"/>
  <c r="S4262" i="1"/>
  <c r="S4261" i="1" s="1"/>
  <c r="S4260" i="1" s="1"/>
  <c r="S5633" i="1"/>
  <c r="S5632" i="1" s="1"/>
  <c r="S5631" i="1" s="1"/>
  <c r="S5630" i="1" s="1"/>
  <c r="R5633" i="1"/>
  <c r="R3136" i="1"/>
  <c r="S3136" i="1"/>
  <c r="S3330" i="1"/>
  <c r="S3329" i="1" s="1"/>
  <c r="R3330" i="1"/>
  <c r="R3329" i="1" s="1"/>
  <c r="R4725" i="1"/>
  <c r="S4725" i="1"/>
  <c r="T4725" i="1" s="1"/>
  <c r="R4091" i="1"/>
  <c r="S4091" i="1"/>
  <c r="R5061" i="1"/>
  <c r="S5061" i="1"/>
  <c r="S6309" i="1"/>
  <c r="R6309" i="1"/>
  <c r="O6310" i="1"/>
  <c r="S6225" i="1"/>
  <c r="R6225" i="1"/>
  <c r="S5897" i="1"/>
  <c r="T5897" i="1" s="1"/>
  <c r="T5898" i="1"/>
  <c r="S5265" i="1"/>
  <c r="T5265" i="1" s="1"/>
  <c r="R5265" i="1"/>
  <c r="T3187" i="1"/>
  <c r="S3186" i="1"/>
  <c r="T3186" i="1" s="1"/>
  <c r="S5275" i="1"/>
  <c r="R5275" i="1"/>
  <c r="O5276" i="1"/>
  <c r="S6001" i="1"/>
  <c r="R6001" i="1"/>
  <c r="O6002" i="1"/>
  <c r="R5448" i="1"/>
  <c r="S5448" i="1"/>
  <c r="T5448" i="1" s="1"/>
  <c r="T5580" i="1"/>
  <c r="S5579" i="1"/>
  <c r="T5579" i="1" s="1"/>
  <c r="S4778" i="1"/>
  <c r="R4778" i="1"/>
  <c r="O4779" i="1"/>
  <c r="T3034" i="1"/>
  <c r="S3033" i="1"/>
  <c r="T3033" i="1" s="1"/>
  <c r="S3504" i="1"/>
  <c r="T3504" i="1" s="1"/>
  <c r="R3504" i="1"/>
  <c r="R5924" i="1"/>
  <c r="S5924" i="1"/>
  <c r="T5924" i="1" s="1"/>
  <c r="S6059" i="1"/>
  <c r="T6059" i="1" s="1"/>
  <c r="R6059" i="1"/>
  <c r="R4835" i="1"/>
  <c r="R4834" i="1" s="1"/>
  <c r="R4833" i="1" s="1"/>
  <c r="S4835" i="1"/>
  <c r="S4834" i="1" s="1"/>
  <c r="S4833" i="1" s="1"/>
  <c r="T4012" i="1"/>
  <c r="T3270" i="1"/>
  <c r="T5086" i="1"/>
  <c r="T3041" i="1"/>
  <c r="T3529" i="1"/>
  <c r="T3485" i="1"/>
  <c r="T5682" i="1"/>
  <c r="T5902" i="1"/>
  <c r="T3223" i="1"/>
  <c r="T3224" i="1"/>
  <c r="T4505" i="1"/>
  <c r="T3199" i="1"/>
  <c r="T3752" i="1"/>
  <c r="T3391" i="1"/>
  <c r="T3202" i="1"/>
  <c r="T4403" i="1"/>
  <c r="T3941" i="1"/>
  <c r="T3778" i="1"/>
  <c r="T5907" i="1"/>
  <c r="T4672" i="1"/>
  <c r="T3193" i="1"/>
  <c r="T3258" i="1"/>
  <c r="T4326" i="1"/>
  <c r="T213" i="1"/>
  <c r="T3735" i="1"/>
  <c r="T3249" i="1"/>
  <c r="T4530" i="1"/>
  <c r="T455" i="1"/>
  <c r="T3189" i="1"/>
  <c r="T3764" i="1"/>
  <c r="T4753" i="1"/>
  <c r="T3455" i="1"/>
  <c r="T5466" i="1"/>
  <c r="T5427" i="1"/>
  <c r="T3486" i="1"/>
  <c r="T5172" i="1"/>
  <c r="T3262" i="1"/>
  <c r="T3750" i="1"/>
  <c r="T25" i="1"/>
  <c r="T3484" i="1"/>
  <c r="T5475" i="1"/>
  <c r="T4401" i="1"/>
  <c r="T3744" i="1"/>
  <c r="T3742" i="1"/>
  <c r="T167" i="1"/>
  <c r="T215" i="1"/>
  <c r="T3526" i="1"/>
  <c r="T3682" i="1"/>
  <c r="T5719" i="1"/>
  <c r="T5720" i="1"/>
  <c r="T6210" i="1"/>
  <c r="T4352" i="1"/>
  <c r="T4353" i="1"/>
  <c r="T4845" i="1"/>
  <c r="T4846" i="1"/>
  <c r="T4793" i="1"/>
  <c r="T4794" i="1"/>
  <c r="T3238" i="1"/>
  <c r="T2984" i="1"/>
  <c r="T3629" i="1"/>
  <c r="T3791" i="1"/>
  <c r="T3266" i="1"/>
  <c r="T3867" i="1"/>
  <c r="T3868" i="1"/>
  <c r="T2978" i="1"/>
  <c r="T3060" i="1"/>
  <c r="T5353" i="1"/>
  <c r="T3667" i="1"/>
  <c r="T3397" i="1"/>
  <c r="T4107" i="1"/>
  <c r="T5577" i="1"/>
  <c r="T2985" i="1"/>
  <c r="T2986" i="1"/>
  <c r="T3453" i="1"/>
  <c r="T4595" i="1"/>
  <c r="T3540" i="1"/>
  <c r="T3010" i="1"/>
  <c r="T4542" i="1"/>
  <c r="T3104" i="1"/>
  <c r="T5521" i="1"/>
  <c r="T5522" i="1"/>
  <c r="T3822" i="1"/>
  <c r="T3823" i="1"/>
  <c r="T4920" i="1"/>
  <c r="T4921" i="1"/>
  <c r="T5483" i="1"/>
  <c r="T5484" i="1"/>
  <c r="T4309" i="1"/>
  <c r="T4310" i="1"/>
  <c r="T3733" i="1"/>
  <c r="T6251" i="1"/>
  <c r="T6252" i="1"/>
  <c r="T3937" i="1"/>
  <c r="T3938" i="1"/>
  <c r="T3157" i="1"/>
  <c r="T3158" i="1"/>
  <c r="T3301" i="1"/>
  <c r="T3302" i="1"/>
  <c r="T5603" i="1"/>
  <c r="T5604" i="1"/>
  <c r="T3141" i="1"/>
  <c r="T3142" i="1"/>
  <c r="T4202" i="1"/>
  <c r="T4203" i="1"/>
  <c r="T4699" i="1"/>
  <c r="T4700" i="1"/>
  <c r="T4357" i="1"/>
  <c r="T4358" i="1"/>
  <c r="T4234" i="1"/>
  <c r="T4235" i="1"/>
  <c r="T3190" i="1"/>
  <c r="T3191" i="1"/>
  <c r="T5513" i="1"/>
  <c r="T5514" i="1"/>
  <c r="T3079" i="1"/>
  <c r="T3080" i="1"/>
  <c r="T5435" i="1"/>
  <c r="T5436" i="1"/>
  <c r="T3331" i="1"/>
  <c r="T3332" i="1"/>
  <c r="T3057" i="1"/>
  <c r="T3058" i="1"/>
  <c r="T6192" i="1"/>
  <c r="T6193" i="1"/>
  <c r="T3114" i="1"/>
  <c r="T3115" i="1"/>
  <c r="T5451" i="1"/>
  <c r="T5452" i="1"/>
  <c r="T3646" i="1"/>
  <c r="T6072" i="1"/>
  <c r="T6071" i="1"/>
  <c r="T4915" i="1"/>
  <c r="T4916" i="1"/>
  <c r="T5332" i="1"/>
  <c r="T5333" i="1"/>
  <c r="T2961" i="1"/>
  <c r="T2962" i="1"/>
  <c r="T5467" i="1"/>
  <c r="T5468" i="1"/>
  <c r="T5240" i="1"/>
  <c r="T5241" i="1"/>
  <c r="T6030" i="1"/>
  <c r="T6031" i="1"/>
  <c r="T5531" i="1"/>
  <c r="T5532" i="1"/>
  <c r="T3700" i="1"/>
  <c r="T5328" i="1"/>
  <c r="T5329" i="1"/>
  <c r="T5753" i="1"/>
  <c r="T5754" i="1"/>
  <c r="T446" i="1"/>
  <c r="T486" i="1"/>
  <c r="T4855" i="1"/>
  <c r="T4023" i="1"/>
  <c r="T5167" i="1"/>
  <c r="T435" i="1"/>
  <c r="T533" i="1"/>
  <c r="T2953" i="1"/>
  <c r="T4731" i="1"/>
  <c r="T4084" i="1"/>
  <c r="T6177" i="1"/>
  <c r="T4785" i="1"/>
  <c r="T5181" i="1"/>
  <c r="T3050" i="1"/>
  <c r="T464" i="1"/>
  <c r="T5738" i="1"/>
  <c r="T5858" i="1"/>
  <c r="T520" i="1"/>
  <c r="T456" i="1"/>
  <c r="T210" i="1"/>
  <c r="T5822" i="1"/>
  <c r="T535" i="1"/>
  <c r="T3494" i="1"/>
  <c r="T4198" i="1"/>
  <c r="T3616" i="1"/>
  <c r="T514" i="1"/>
  <c r="T513" i="1"/>
  <c r="T3219" i="1"/>
  <c r="T515" i="1"/>
  <c r="T168" i="1"/>
  <c r="T4477" i="1"/>
  <c r="T4751" i="1"/>
  <c r="T4351" i="1"/>
  <c r="T5884" i="1"/>
  <c r="T5761" i="1"/>
  <c r="T5690" i="1"/>
  <c r="T4580" i="1"/>
  <c r="T4816" i="1"/>
  <c r="T4432" i="1"/>
  <c r="T5334" i="1"/>
  <c r="T5335" i="1"/>
  <c r="T2983" i="1"/>
  <c r="T2982" i="1"/>
  <c r="T507" i="1"/>
  <c r="T3286" i="1"/>
  <c r="T4295" i="1"/>
  <c r="T4294" i="1"/>
  <c r="T3969" i="1"/>
  <c r="T3315" i="1"/>
  <c r="T3314" i="1"/>
  <c r="T3147" i="1"/>
  <c r="T3146" i="1"/>
  <c r="T4912" i="1"/>
  <c r="T3613" i="1"/>
  <c r="T5212" i="1"/>
  <c r="T3418" i="1"/>
  <c r="T3737" i="1"/>
  <c r="T3736" i="1"/>
  <c r="T5326" i="1"/>
  <c r="T5327" i="1"/>
  <c r="T5311" i="1"/>
  <c r="T5310" i="1"/>
  <c r="T4395" i="1"/>
  <c r="T4394" i="1"/>
  <c r="T5517" i="1"/>
  <c r="T3408" i="1"/>
  <c r="T495" i="1"/>
  <c r="T5638" i="1"/>
  <c r="T5637" i="1"/>
  <c r="T4319" i="1"/>
  <c r="T4318" i="1"/>
  <c r="T3495" i="1"/>
  <c r="T5697" i="1"/>
  <c r="T5963" i="1"/>
  <c r="T4177" i="1"/>
  <c r="T3592" i="1"/>
  <c r="T4727" i="1"/>
  <c r="T4726" i="1"/>
  <c r="T5563" i="1"/>
  <c r="T5831" i="1"/>
  <c r="T3888" i="1"/>
  <c r="T3887" i="1"/>
  <c r="T4520" i="1"/>
  <c r="T5566" i="1"/>
  <c r="T5565" i="1"/>
  <c r="T4743" i="1"/>
  <c r="T4742" i="1"/>
  <c r="T3220" i="1"/>
  <c r="T4815" i="1"/>
  <c r="T3094" i="1"/>
  <c r="T3093" i="1"/>
  <c r="T3662" i="1"/>
  <c r="T3664" i="1"/>
  <c r="T4643" i="1"/>
  <c r="T525" i="1"/>
  <c r="T4368" i="1"/>
  <c r="T3170" i="1"/>
  <c r="T3171" i="1"/>
  <c r="T4942" i="1"/>
  <c r="T4943" i="1"/>
  <c r="T5092" i="1"/>
  <c r="T5534" i="1"/>
  <c r="T5533" i="1"/>
  <c r="T79" i="1"/>
  <c r="T6271" i="1"/>
  <c r="T6272" i="1"/>
  <c r="T3095" i="1"/>
  <c r="T3031" i="1"/>
  <c r="T3032" i="1"/>
  <c r="T3566" i="1"/>
  <c r="T4199" i="1"/>
  <c r="T3760" i="1"/>
  <c r="T3477" i="1"/>
  <c r="T4427" i="1"/>
  <c r="T4138" i="1"/>
  <c r="T4691" i="1"/>
  <c r="T4690" i="1"/>
  <c r="T4748" i="1"/>
  <c r="T4750" i="1"/>
  <c r="T6268" i="1"/>
  <c r="T4999" i="1"/>
  <c r="T4218" i="1"/>
  <c r="T4217" i="1"/>
  <c r="T5959" i="1"/>
  <c r="T3952" i="1"/>
  <c r="T675" i="1"/>
  <c r="T674" i="1"/>
  <c r="T6259" i="1"/>
  <c r="T6258" i="1"/>
  <c r="T6289" i="1"/>
  <c r="T6288" i="1"/>
  <c r="T3012" i="1"/>
  <c r="T3011" i="1"/>
  <c r="T434" i="1"/>
  <c r="T433" i="1"/>
  <c r="T409" i="1"/>
  <c r="T408" i="1"/>
  <c r="T6300" i="1"/>
  <c r="T6299" i="1"/>
  <c r="T134" i="1"/>
  <c r="T133" i="1"/>
  <c r="T3741" i="1"/>
  <c r="T3740" i="1"/>
  <c r="T681" i="1"/>
  <c r="T680" i="1"/>
  <c r="T649" i="1"/>
  <c r="T648" i="1"/>
  <c r="T673" i="1"/>
  <c r="T672" i="1"/>
  <c r="T683" i="1"/>
  <c r="T682" i="1"/>
  <c r="T5931" i="1"/>
  <c r="T5930" i="1"/>
  <c r="T5426" i="1"/>
  <c r="T5425" i="1"/>
  <c r="T196" i="1"/>
  <c r="T195" i="1"/>
  <c r="T3316" i="1"/>
  <c r="T3776" i="1"/>
  <c r="T3775" i="1"/>
  <c r="T4658" i="1"/>
  <c r="T4657" i="1"/>
  <c r="T3248" i="1"/>
  <c r="T5264" i="1"/>
  <c r="T5263" i="1"/>
  <c r="T2992" i="1"/>
  <c r="T2991" i="1"/>
  <c r="T5011" i="1"/>
  <c r="T5010" i="1"/>
  <c r="T3774" i="1"/>
  <c r="T3773" i="1"/>
  <c r="T6023" i="1"/>
  <c r="T36" i="1"/>
  <c r="T35" i="1"/>
  <c r="T643" i="1"/>
  <c r="T642" i="1"/>
  <c r="T3340" i="1"/>
  <c r="T3339" i="1"/>
  <c r="T635" i="1"/>
  <c r="T634" i="1"/>
  <c r="T462" i="1"/>
  <c r="T4240" i="1"/>
  <c r="T4239" i="1"/>
  <c r="T3772" i="1"/>
  <c r="T3771" i="1"/>
  <c r="T4252" i="1"/>
  <c r="T4251" i="1"/>
  <c r="T4164" i="1"/>
  <c r="T4163" i="1"/>
  <c r="T3914" i="1"/>
  <c r="T3913" i="1"/>
  <c r="T284" i="1"/>
  <c r="T283" i="1"/>
  <c r="T665" i="1"/>
  <c r="T664" i="1"/>
  <c r="T5576" i="1"/>
  <c r="T5575" i="1"/>
  <c r="T6283" i="1"/>
  <c r="T6282" i="1"/>
  <c r="T6267" i="1"/>
  <c r="T6266" i="1"/>
  <c r="T287" i="1"/>
  <c r="T286" i="1"/>
  <c r="T5886" i="1"/>
  <c r="T5885" i="1"/>
  <c r="T4519" i="1"/>
  <c r="T4518" i="1"/>
  <c r="T3762" i="1"/>
  <c r="T3761" i="1"/>
  <c r="T559" i="1"/>
  <c r="T558" i="1"/>
  <c r="T3770" i="1"/>
  <c r="T3769" i="1"/>
  <c r="T651" i="1"/>
  <c r="T650" i="1"/>
  <c r="T641" i="1"/>
  <c r="T640" i="1"/>
  <c r="T5227" i="1"/>
  <c r="T4918" i="1"/>
  <c r="T4917" i="1"/>
  <c r="T2950" i="1"/>
  <c r="T2949" i="1"/>
  <c r="T57" i="1"/>
  <c r="T56" i="1"/>
  <c r="T5797" i="1"/>
  <c r="T5796" i="1"/>
  <c r="T5614" i="1"/>
  <c r="T5613" i="1"/>
  <c r="T466" i="1"/>
  <c r="T764" i="1"/>
  <c r="T763" i="1"/>
  <c r="T5770" i="1"/>
  <c r="T5769" i="1"/>
  <c r="T3768" i="1"/>
  <c r="T3767" i="1"/>
  <c r="T659" i="1"/>
  <c r="T658" i="1"/>
  <c r="T3756" i="1"/>
  <c r="T3755" i="1"/>
  <c r="T5211" i="1"/>
  <c r="T667" i="1"/>
  <c r="T666" i="1"/>
  <c r="T3088" i="1"/>
  <c r="T3087" i="1"/>
  <c r="T3162" i="1"/>
  <c r="T3743" i="1"/>
  <c r="T5875" i="1"/>
  <c r="T5874" i="1"/>
  <c r="T4019" i="1"/>
  <c r="T4018" i="1"/>
  <c r="T4289" i="1"/>
  <c r="T512" i="1"/>
  <c r="T657" i="1"/>
  <c r="T656" i="1"/>
  <c r="T4668" i="1"/>
  <c r="T4667" i="1"/>
  <c r="T3226" i="1"/>
  <c r="T3225" i="1"/>
  <c r="T368" i="1"/>
  <c r="T3061" i="1"/>
  <c r="T5176" i="1"/>
  <c r="T3942" i="1"/>
  <c r="T3943" i="1"/>
  <c r="T6025" i="1"/>
  <c r="T6024" i="1"/>
  <c r="T4545" i="1"/>
  <c r="T5689" i="1"/>
  <c r="T5688" i="1"/>
  <c r="T5091" i="1"/>
  <c r="T5955" i="1"/>
  <c r="T4924" i="1"/>
  <c r="T4925" i="1"/>
  <c r="T3482" i="1"/>
  <c r="T6123" i="1"/>
  <c r="T6122" i="1"/>
  <c r="T5650" i="1"/>
  <c r="T5649" i="1"/>
  <c r="T4355" i="1"/>
  <c r="T4354" i="1"/>
  <c r="T5883" i="1"/>
  <c r="T3417" i="1"/>
  <c r="T3416" i="1"/>
  <c r="T5169" i="1"/>
  <c r="T5168" i="1"/>
  <c r="T212" i="1"/>
  <c r="T211" i="1"/>
  <c r="T6245" i="1"/>
  <c r="T6246" i="1"/>
  <c r="T4556" i="1"/>
  <c r="T4555" i="1"/>
  <c r="T5224" i="1"/>
  <c r="T5223" i="1"/>
  <c r="T4608" i="1"/>
  <c r="T3548" i="1"/>
  <c r="T589" i="1"/>
  <c r="T588" i="1"/>
  <c r="T6305" i="1"/>
  <c r="T6304" i="1"/>
  <c r="T3551" i="1"/>
  <c r="T3550" i="1"/>
  <c r="T5261" i="1"/>
  <c r="T5260" i="1"/>
  <c r="T3213" i="1"/>
  <c r="T3212" i="1"/>
  <c r="T6274" i="1"/>
  <c r="T6273" i="1"/>
  <c r="T4444" i="1"/>
  <c r="T4443" i="1"/>
  <c r="T6286" i="1"/>
  <c r="T6285" i="1"/>
  <c r="T3497" i="1"/>
  <c r="T3496" i="1"/>
  <c r="T4575" i="1"/>
  <c r="T3144" i="1"/>
  <c r="T3143" i="1"/>
  <c r="T3139" i="1"/>
  <c r="T4584" i="1"/>
  <c r="T4583" i="1"/>
  <c r="T5094" i="1"/>
  <c r="T5093" i="1"/>
  <c r="T3029" i="1"/>
  <c r="T3028" i="1"/>
  <c r="T4479" i="1"/>
  <c r="T4478" i="1"/>
  <c r="T4484" i="1"/>
  <c r="T4483" i="1"/>
  <c r="T5686" i="1"/>
  <c r="T5685" i="1"/>
  <c r="T3112" i="1"/>
  <c r="T3111" i="1"/>
  <c r="T4011" i="1"/>
  <c r="T4010" i="1"/>
  <c r="T4409" i="1"/>
  <c r="T4408" i="1"/>
  <c r="T5957" i="1"/>
  <c r="T5958" i="1"/>
  <c r="T6131" i="1"/>
  <c r="T6130" i="1"/>
  <c r="T258" i="1"/>
  <c r="T3863" i="1"/>
  <c r="T3862" i="1"/>
  <c r="T3045" i="1"/>
  <c r="T5965" i="1"/>
  <c r="T5964" i="1"/>
  <c r="T5099" i="1"/>
  <c r="T5098" i="1"/>
  <c r="T3930" i="1"/>
  <c r="T3929" i="1"/>
  <c r="T4911" i="1"/>
  <c r="T4910" i="1"/>
  <c r="T5968" i="1"/>
  <c r="T5967" i="1"/>
  <c r="T5115" i="1"/>
  <c r="T3240" i="1"/>
  <c r="T3241" i="1"/>
  <c r="T3426" i="1"/>
  <c r="T3425" i="1"/>
  <c r="T3940" i="1"/>
  <c r="T3939" i="1"/>
  <c r="T562" i="1"/>
  <c r="T561" i="1"/>
  <c r="T3373" i="1"/>
  <c r="T3353" i="1"/>
  <c r="T3352" i="1"/>
  <c r="T6253" i="1"/>
  <c r="T6254" i="1"/>
  <c r="T3724" i="1"/>
  <c r="T3723" i="1"/>
  <c r="T6236" i="1"/>
  <c r="T6235" i="1"/>
  <c r="T5922" i="1"/>
  <c r="T3666" i="1"/>
  <c r="T3665" i="1"/>
  <c r="T4367" i="1"/>
  <c r="T4366" i="1"/>
  <c r="T3100" i="1"/>
  <c r="T3099" i="1"/>
  <c r="T3575" i="1"/>
  <c r="T3574" i="1"/>
  <c r="T5716" i="1"/>
  <c r="T5085" i="1"/>
  <c r="T5084" i="1"/>
  <c r="T3732" i="1"/>
  <c r="T3731" i="1"/>
  <c r="T4724" i="1"/>
  <c r="T4723" i="1"/>
  <c r="T5067" i="1"/>
  <c r="T5066" i="1"/>
  <c r="T6292" i="1"/>
  <c r="T6291" i="1"/>
  <c r="T77" i="1"/>
  <c r="T166" i="1"/>
  <c r="T165" i="1"/>
  <c r="T485" i="1"/>
  <c r="T444" i="1"/>
  <c r="T443" i="1"/>
  <c r="T363" i="1"/>
  <c r="T3349" i="1"/>
  <c r="T3348" i="1"/>
  <c r="S4852" i="1" l="1"/>
  <c r="X44" i="1"/>
  <c r="Y44" i="1" s="1"/>
  <c r="AA44" i="1"/>
  <c r="Z44" i="1" s="1"/>
  <c r="W46" i="1"/>
  <c r="S5076" i="1"/>
  <c r="AV38" i="7"/>
  <c r="AV24" i="7"/>
  <c r="AV25" i="7"/>
  <c r="AV34" i="7"/>
  <c r="AV35" i="7" s="1"/>
  <c r="AV32" i="7"/>
  <c r="AU37" i="7"/>
  <c r="AW40" i="7"/>
  <c r="AW7" i="7"/>
  <c r="AW6" i="7"/>
  <c r="AX5" i="7"/>
  <c r="AW8" i="7"/>
  <c r="AW9" i="7" s="1"/>
  <c r="AV14" i="7"/>
  <c r="AV13" i="7"/>
  <c r="AV19" i="7"/>
  <c r="AX11" i="7"/>
  <c r="AW12" i="7"/>
  <c r="AU20" i="7"/>
  <c r="AU21" i="7"/>
  <c r="AV33" i="7"/>
  <c r="AV16" i="7"/>
  <c r="AV17" i="7" s="1"/>
  <c r="BF3" i="7"/>
  <c r="BE4" i="7"/>
  <c r="AV41" i="7"/>
  <c r="AV42" i="7" s="1"/>
  <c r="AV30" i="7"/>
  <c r="AY27" i="7"/>
  <c r="AX28" i="7"/>
  <c r="AX29" i="7" s="1"/>
  <c r="AU36" i="7"/>
  <c r="S5400" i="1"/>
  <c r="T5408" i="1"/>
  <c r="S5407" i="1"/>
  <c r="R5415" i="1"/>
  <c r="S5415" i="1"/>
  <c r="T5415" i="1" s="1"/>
  <c r="T5414" i="1"/>
  <c r="S5413" i="1"/>
  <c r="S2939" i="1"/>
  <c r="T2939" i="1" s="1"/>
  <c r="R2939" i="1"/>
  <c r="O2940" i="1"/>
  <c r="O5109" i="1"/>
  <c r="R5109" i="1" s="1"/>
  <c r="R5108" i="1"/>
  <c r="R3558" i="1"/>
  <c r="O3559" i="1"/>
  <c r="R3559" i="1" s="1"/>
  <c r="T6038" i="1"/>
  <c r="O1630" i="1"/>
  <c r="S1629" i="1"/>
  <c r="T1629" i="1" s="1"/>
  <c r="R1629" i="1"/>
  <c r="R1482" i="1"/>
  <c r="S1482" i="1"/>
  <c r="T1482" i="1" s="1"/>
  <c r="T4096" i="1"/>
  <c r="T5268" i="1"/>
  <c r="T6078" i="1"/>
  <c r="T3561" i="1"/>
  <c r="T3936" i="1"/>
  <c r="T3935" i="1"/>
  <c r="T4621" i="1"/>
  <c r="T5747" i="1"/>
  <c r="T5748" i="1"/>
  <c r="T5597" i="1"/>
  <c r="T3217" i="1"/>
  <c r="T3022" i="1"/>
  <c r="S4631" i="1"/>
  <c r="T4631" i="1" s="1"/>
  <c r="R4631" i="1"/>
  <c r="S3392" i="1"/>
  <c r="T3392" i="1" s="1"/>
  <c r="T3393" i="1"/>
  <c r="R3347" i="1"/>
  <c r="S3347" i="1"/>
  <c r="T3347" i="1" s="1"/>
  <c r="S3512" i="1"/>
  <c r="R3512" i="1"/>
  <c r="S6189" i="1"/>
  <c r="R6189" i="1"/>
  <c r="S3444" i="1"/>
  <c r="R3444" i="1"/>
  <c r="S3023" i="1"/>
  <c r="T3023" i="1" s="1"/>
  <c r="R3023" i="1"/>
  <c r="S4441" i="1"/>
  <c r="T4441" i="1" s="1"/>
  <c r="R4441" i="1"/>
  <c r="S4792" i="1"/>
  <c r="S4791" i="1" s="1"/>
  <c r="S4790" i="1" s="1"/>
  <c r="S4789" i="1" s="1"/>
  <c r="R4792" i="1"/>
  <c r="R4154" i="1"/>
  <c r="R4153" i="1" s="1"/>
  <c r="R4152" i="1" s="1"/>
  <c r="S4154" i="1"/>
  <c r="S4153" i="1" s="1"/>
  <c r="S4152" i="1" s="1"/>
  <c r="R3175" i="1"/>
  <c r="S3175" i="1"/>
  <c r="O3176" i="1"/>
  <c r="S3449" i="1"/>
  <c r="T3449" i="1" s="1"/>
  <c r="R3449" i="1"/>
  <c r="S3056" i="1"/>
  <c r="T3056" i="1" s="1"/>
  <c r="R3056" i="1"/>
  <c r="R4936" i="1"/>
  <c r="S4936" i="1"/>
  <c r="S3413" i="1"/>
  <c r="R3413" i="1"/>
  <c r="O3414" i="1"/>
  <c r="S3465" i="1"/>
  <c r="S3464" i="1" s="1"/>
  <c r="S3463" i="1" s="1"/>
  <c r="S3462" i="1" s="1"/>
  <c r="R3465" i="1"/>
  <c r="O3466" i="1"/>
  <c r="S3654" i="1"/>
  <c r="T3655" i="1"/>
  <c r="R4637" i="1"/>
  <c r="R4636" i="1" s="1"/>
  <c r="S4637" i="1"/>
  <c r="S4636" i="1" s="1"/>
  <c r="T4636" i="1" s="1"/>
  <c r="S4958" i="1"/>
  <c r="R4958" i="1"/>
  <c r="O4959" i="1"/>
  <c r="S5219" i="1"/>
  <c r="R5219" i="1"/>
  <c r="O5220" i="1"/>
  <c r="T3545" i="1"/>
  <c r="S3544" i="1"/>
  <c r="R5526" i="1"/>
  <c r="S5526" i="1"/>
  <c r="T5526" i="1" s="1"/>
  <c r="R6018" i="1"/>
  <c r="S6018" i="1"/>
  <c r="O6019" i="1"/>
  <c r="S2995" i="1"/>
  <c r="T2996" i="1"/>
  <c r="S3379" i="1"/>
  <c r="T3380" i="1"/>
  <c r="S5342" i="1"/>
  <c r="T5343" i="1"/>
  <c r="S3573" i="1"/>
  <c r="T3573" i="1" s="1"/>
  <c r="R3573" i="1"/>
  <c r="R6048" i="1"/>
  <c r="S6048" i="1"/>
  <c r="O6049" i="1"/>
  <c r="S3362" i="1"/>
  <c r="R3362" i="1"/>
  <c r="O3363" i="1"/>
  <c r="S6219" i="1"/>
  <c r="R6219" i="1"/>
  <c r="O6220" i="1"/>
  <c r="R4605" i="1"/>
  <c r="S4605" i="1"/>
  <c r="T4605" i="1" s="1"/>
  <c r="T6061" i="1"/>
  <c r="R5818" i="1"/>
  <c r="S5818" i="1"/>
  <c r="R5302" i="1"/>
  <c r="S5302" i="1"/>
  <c r="O5303" i="1"/>
  <c r="S5973" i="1"/>
  <c r="R5973" i="1"/>
  <c r="R5249" i="1"/>
  <c r="S5249" i="1"/>
  <c r="R5015" i="1"/>
  <c r="S5015" i="1"/>
  <c r="T5015" i="1" s="1"/>
  <c r="O5016" i="1"/>
  <c r="R4104" i="1"/>
  <c r="S4104" i="1"/>
  <c r="R4034" i="1"/>
  <c r="S4034" i="1"/>
  <c r="O4035" i="1"/>
  <c r="R3422" i="1"/>
  <c r="S3422" i="1"/>
  <c r="O3423" i="1"/>
  <c r="O3424" i="1" s="1"/>
  <c r="S4054" i="1"/>
  <c r="T4054" i="1" s="1"/>
  <c r="R4054" i="1"/>
  <c r="S3977" i="1"/>
  <c r="R3977" i="1"/>
  <c r="O3978" i="1"/>
  <c r="R4970" i="1"/>
  <c r="S4970" i="1"/>
  <c r="O4971" i="1"/>
  <c r="S4002" i="1"/>
  <c r="R4002" i="1"/>
  <c r="S3706" i="1"/>
  <c r="R3706" i="1"/>
  <c r="O3707" i="1"/>
  <c r="R3661" i="1"/>
  <c r="S3661" i="1"/>
  <c r="T3661" i="1" s="1"/>
  <c r="T5680" i="1"/>
  <c r="S5679" i="1"/>
  <c r="R6002" i="1"/>
  <c r="S6002" i="1"/>
  <c r="O6003" i="1"/>
  <c r="R5237" i="1"/>
  <c r="S5237" i="1"/>
  <c r="O5238" i="1"/>
  <c r="S3299" i="1"/>
  <c r="T3300" i="1"/>
  <c r="O4566" i="1"/>
  <c r="R4591" i="1"/>
  <c r="S4591" i="1"/>
  <c r="R5162" i="1"/>
  <c r="S5162" i="1"/>
  <c r="O5163" i="1"/>
  <c r="S4718" i="1"/>
  <c r="R4718" i="1"/>
  <c r="R4747" i="1"/>
  <c r="S4747" i="1"/>
  <c r="T4747" i="1" s="1"/>
  <c r="S3243" i="1"/>
  <c r="T3243" i="1" s="1"/>
  <c r="T3244" i="1"/>
  <c r="S6099" i="1"/>
  <c r="R6099" i="1"/>
  <c r="S4892" i="1"/>
  <c r="R4892" i="1"/>
  <c r="O4893" i="1"/>
  <c r="S4597" i="1"/>
  <c r="T4598" i="1"/>
  <c r="R5940" i="1"/>
  <c r="S5940" i="1"/>
  <c r="S3587" i="1"/>
  <c r="R3587" i="1"/>
  <c r="O3588" i="1"/>
  <c r="T6062" i="1"/>
  <c r="R6310" i="1"/>
  <c r="S6310" i="1"/>
  <c r="O6311" i="1"/>
  <c r="T3394" i="1"/>
  <c r="R4779" i="1"/>
  <c r="S4779" i="1"/>
  <c r="O4780" i="1"/>
  <c r="R3688" i="1"/>
  <c r="S3688" i="1"/>
  <c r="T3688" i="1" s="1"/>
  <c r="S3000" i="1"/>
  <c r="T3000" i="1" s="1"/>
  <c r="R3000" i="1"/>
  <c r="O3001" i="1"/>
  <c r="R5178" i="1"/>
  <c r="S5178" i="1"/>
  <c r="T5178" i="1" s="1"/>
  <c r="S4191" i="1"/>
  <c r="R4191" i="1"/>
  <c r="O4192" i="1"/>
  <c r="S4533" i="1"/>
  <c r="T4534" i="1"/>
  <c r="R4765" i="1"/>
  <c r="S4765" i="1"/>
  <c r="O4766" i="1"/>
  <c r="T4015" i="1"/>
  <c r="S4014" i="1"/>
  <c r="T3400" i="1"/>
  <c r="S3399" i="1"/>
  <c r="S3398" i="1" s="1"/>
  <c r="R6070" i="1"/>
  <c r="S6070" i="1"/>
  <c r="S4181" i="1"/>
  <c r="T4181" i="1" s="1"/>
  <c r="R4181" i="1"/>
  <c r="S5929" i="1"/>
  <c r="T5929" i="1" s="1"/>
  <c r="R5929" i="1"/>
  <c r="R5136" i="1"/>
  <c r="S5136" i="1"/>
  <c r="O5137" i="1"/>
  <c r="R5849" i="1"/>
  <c r="S5849" i="1"/>
  <c r="O5850" i="1"/>
  <c r="S4736" i="1"/>
  <c r="R4736" i="1"/>
  <c r="O4737" i="1"/>
  <c r="R4711" i="1"/>
  <c r="S4711" i="1"/>
  <c r="S4710" i="1" s="1"/>
  <c r="S4709" i="1" s="1"/>
  <c r="S4708" i="1" s="1"/>
  <c r="S4707" i="1" s="1"/>
  <c r="O4712" i="1"/>
  <c r="R5145" i="1"/>
  <c r="S5145" i="1"/>
  <c r="O5146" i="1"/>
  <c r="R6086" i="1"/>
  <c r="S6086" i="1"/>
  <c r="O6087" i="1"/>
  <c r="S4826" i="1"/>
  <c r="R4826" i="1"/>
  <c r="R4527" i="1"/>
  <c r="S4527" i="1"/>
  <c r="T4527" i="1" s="1"/>
  <c r="R3472" i="1"/>
  <c r="S3472" i="1"/>
  <c r="O3473" i="1"/>
  <c r="R3713" i="1"/>
  <c r="S3713" i="1"/>
  <c r="R4461" i="1"/>
  <c r="S4461" i="1"/>
  <c r="T4461" i="1" s="1"/>
  <c r="S6173" i="1"/>
  <c r="T6174" i="1"/>
  <c r="R6120" i="1"/>
  <c r="S6120" i="1"/>
  <c r="O6121" i="1"/>
  <c r="O4759" i="1"/>
  <c r="S4758" i="1"/>
  <c r="R4758" i="1"/>
  <c r="S4179" i="1"/>
  <c r="T4180" i="1"/>
  <c r="R3128" i="1"/>
  <c r="S3128" i="1"/>
  <c r="O3129" i="1"/>
  <c r="S4684" i="1"/>
  <c r="T4684" i="1" s="1"/>
  <c r="R4684" i="1"/>
  <c r="R5192" i="1"/>
  <c r="S5192" i="1"/>
  <c r="O5193" i="1"/>
  <c r="S4863" i="1"/>
  <c r="T4863" i="1" s="1"/>
  <c r="R4863" i="1"/>
  <c r="R4869" i="1"/>
  <c r="S4869" i="1"/>
  <c r="T4869" i="1" s="1"/>
  <c r="S4552" i="1"/>
  <c r="R4552" i="1"/>
  <c r="T3906" i="1"/>
  <c r="R5276" i="1"/>
  <c r="S5276" i="1"/>
  <c r="O5277" i="1"/>
  <c r="S4090" i="1"/>
  <c r="T4091" i="1"/>
  <c r="S4058" i="1"/>
  <c r="T4059" i="1"/>
  <c r="R3986" i="1"/>
  <c r="S3986" i="1"/>
  <c r="O3987" i="1"/>
  <c r="S5840" i="1"/>
  <c r="R5840" i="1"/>
  <c r="O5841" i="1"/>
  <c r="R5993" i="1"/>
  <c r="S5993" i="1"/>
  <c r="O5994" i="1"/>
  <c r="R4415" i="1"/>
  <c r="S4415" i="1"/>
  <c r="S4070" i="1"/>
  <c r="R4070" i="1"/>
  <c r="S4902" i="1"/>
  <c r="T4902" i="1" s="1"/>
  <c r="R4902" i="1"/>
  <c r="S3321" i="1"/>
  <c r="S3320" i="1" s="1"/>
  <c r="S3319" i="1" s="1"/>
  <c r="T3322" i="1"/>
  <c r="R3605" i="1"/>
  <c r="S3605" i="1"/>
  <c r="O3606" i="1"/>
  <c r="O3607" i="1" s="1"/>
  <c r="S6027" i="1"/>
  <c r="T6027" i="1" s="1"/>
  <c r="T6028" i="1"/>
  <c r="T34" i="1"/>
  <c r="T4022" i="1"/>
  <c r="T259" i="1"/>
  <c r="T4841" i="1"/>
  <c r="T3438" i="1"/>
  <c r="T4106" i="1"/>
  <c r="T3297" i="1"/>
  <c r="T3351" i="1"/>
  <c r="T5633" i="1"/>
  <c r="T3312" i="1"/>
  <c r="T5866" i="1"/>
  <c r="T3663" i="1"/>
  <c r="T3395" i="1"/>
  <c r="T3396" i="1"/>
  <c r="T4873" i="1"/>
  <c r="T5793" i="1"/>
  <c r="T3136" i="1"/>
  <c r="T4342" i="1"/>
  <c r="T3083" i="1"/>
  <c r="T4095" i="1"/>
  <c r="T4278" i="1"/>
  <c r="T145" i="1"/>
  <c r="T169" i="1"/>
  <c r="T4881" i="1"/>
  <c r="T4853" i="1"/>
  <c r="T4854" i="1"/>
  <c r="T428" i="1"/>
  <c r="T2951" i="1"/>
  <c r="T2952" i="1"/>
  <c r="T3697" i="1"/>
  <c r="T4688" i="1"/>
  <c r="T3277" i="1"/>
  <c r="T532" i="1"/>
  <c r="T5165" i="1"/>
  <c r="T5166" i="1"/>
  <c r="T4246" i="1"/>
  <c r="T4247" i="1"/>
  <c r="T3290" i="1"/>
  <c r="T3389" i="1"/>
  <c r="T220" i="1"/>
  <c r="T33" i="1"/>
  <c r="T3581" i="1"/>
  <c r="T4783" i="1"/>
  <c r="T4784" i="1"/>
  <c r="T3385" i="1"/>
  <c r="T3211" i="1"/>
  <c r="T5731" i="1"/>
  <c r="T3692" i="1"/>
  <c r="T5179" i="1"/>
  <c r="T5180" i="1"/>
  <c r="T4872" i="1"/>
  <c r="T6175" i="1"/>
  <c r="T6176" i="1"/>
  <c r="T4698" i="1"/>
  <c r="T3836" i="1"/>
  <c r="T209" i="1"/>
  <c r="T59" i="1"/>
  <c r="T3821" i="1"/>
  <c r="T364" i="1"/>
  <c r="T3236" i="1"/>
  <c r="T3861" i="1"/>
  <c r="T5267" i="1"/>
  <c r="T3376" i="1"/>
  <c r="T5865" i="1"/>
  <c r="T5208" i="1"/>
  <c r="T370" i="1"/>
  <c r="T4862" i="1"/>
  <c r="T5153" i="1"/>
  <c r="T5551" i="1"/>
  <c r="T4176" i="1"/>
  <c r="T5516" i="1"/>
  <c r="T5727" i="1"/>
  <c r="T3643" i="1"/>
  <c r="T4941" i="1"/>
  <c r="T4884" i="1"/>
  <c r="T5128" i="1"/>
  <c r="T3673" i="1"/>
  <c r="T4043" i="1"/>
  <c r="T4040" i="1"/>
  <c r="T4844" i="1"/>
  <c r="T4489" i="1"/>
  <c r="T4042" i="1"/>
  <c r="T3016" i="1"/>
  <c r="T3014" i="1"/>
  <c r="T3538" i="1"/>
  <c r="T5280" i="1"/>
  <c r="T3367" i="1"/>
  <c r="T5742" i="1"/>
  <c r="T5061" i="1"/>
  <c r="T5950" i="1"/>
  <c r="T3950" i="1"/>
  <c r="T6225" i="1"/>
  <c r="T792" i="1"/>
  <c r="T4788" i="1"/>
  <c r="T5872" i="1"/>
  <c r="T5112" i="1"/>
  <c r="T3633" i="1"/>
  <c r="T5725" i="1"/>
  <c r="T5726" i="1"/>
  <c r="T5209" i="1"/>
  <c r="T5206" i="1"/>
  <c r="T5961" i="1"/>
  <c r="T5962" i="1"/>
  <c r="T3921" i="1"/>
  <c r="T371" i="1"/>
  <c r="T5979" i="1"/>
  <c r="T300" i="1"/>
  <c r="T4456" i="1"/>
  <c r="T4454" i="1"/>
  <c r="T247" i="1"/>
  <c r="T3565" i="1"/>
  <c r="T3511" i="1"/>
  <c r="T5663" i="1"/>
  <c r="T3330" i="1"/>
  <c r="T3329" i="1"/>
  <c r="T4046" i="1"/>
  <c r="T4114" i="1"/>
  <c r="T5646" i="1"/>
  <c r="T4612" i="1"/>
  <c r="T5288" i="1"/>
  <c r="T4749" i="1"/>
  <c r="T3216" i="1"/>
  <c r="T3215" i="1"/>
  <c r="T4389" i="1"/>
  <c r="T5664" i="1"/>
  <c r="T80" i="1"/>
  <c r="T4078" i="1"/>
  <c r="T3407" i="1"/>
  <c r="T4127" i="1"/>
  <c r="T3903" i="1"/>
  <c r="T3254" i="1"/>
  <c r="T5065" i="1"/>
  <c r="T5607" i="1"/>
  <c r="T3534" i="1"/>
  <c r="T4540" i="1"/>
  <c r="T4820" i="1"/>
  <c r="T4572" i="1"/>
  <c r="T3854" i="1"/>
  <c r="T509" i="1"/>
  <c r="T5183" i="1"/>
  <c r="T5182" i="1"/>
  <c r="T3018" i="1"/>
  <c r="T3017" i="1"/>
  <c r="T6077" i="1"/>
  <c r="T2955" i="1"/>
  <c r="T2954" i="1"/>
  <c r="T3091" i="1"/>
  <c r="T3090" i="1"/>
  <c r="T3103" i="1"/>
  <c r="T3102" i="1"/>
  <c r="T5021" i="1"/>
  <c r="T5020" i="1"/>
  <c r="T3623" i="1"/>
  <c r="T3879" i="1"/>
  <c r="T3878" i="1"/>
  <c r="T6074" i="1"/>
  <c r="T5018" i="1"/>
  <c r="T5017" i="1"/>
  <c r="T6295" i="1"/>
  <c r="T6294" i="1"/>
  <c r="T5891" i="1"/>
  <c r="T5890" i="1"/>
  <c r="T5591" i="1"/>
  <c r="T5590" i="1"/>
  <c r="T5562" i="1"/>
  <c r="T5561" i="1"/>
  <c r="T4772" i="1"/>
  <c r="T4771" i="1"/>
  <c r="T4516" i="1"/>
  <c r="T4515" i="1"/>
  <c r="T6037" i="1"/>
  <c r="T5390" i="1"/>
  <c r="T5746" i="1"/>
  <c r="T6022" i="1"/>
  <c r="T6021" i="1"/>
  <c r="T454" i="1"/>
  <c r="T40" i="1"/>
  <c r="T39" i="1"/>
  <c r="T4840" i="1"/>
  <c r="T4449" i="1"/>
  <c r="T4448" i="1"/>
  <c r="T5114" i="1"/>
  <c r="T5550" i="1"/>
  <c r="T4452" i="1"/>
  <c r="T4451" i="1"/>
  <c r="T4431" i="1"/>
  <c r="T4430" i="1"/>
  <c r="T484" i="1"/>
  <c r="T3452" i="1"/>
  <c r="T4769" i="1"/>
  <c r="T4768" i="1"/>
  <c r="T3160" i="1"/>
  <c r="T3159" i="1"/>
  <c r="T4663" i="1"/>
  <c r="T4662" i="1"/>
  <c r="T2972" i="1"/>
  <c r="T2973" i="1"/>
  <c r="T3488" i="1"/>
  <c r="T3487" i="1"/>
  <c r="T3085" i="1"/>
  <c r="T3084" i="1"/>
  <c r="T2968" i="1"/>
  <c r="T5387" i="1"/>
  <c r="T5386" i="1"/>
  <c r="T24" i="1"/>
  <c r="T193" i="1"/>
  <c r="T5692" i="1"/>
  <c r="T5691" i="1"/>
  <c r="T137" i="1"/>
  <c r="T136" i="1"/>
  <c r="T5554" i="1"/>
  <c r="T5491" i="1"/>
  <c r="T5490" i="1"/>
  <c r="T3182" i="1"/>
  <c r="T3181" i="1"/>
  <c r="T6262" i="1"/>
  <c r="T6261" i="1"/>
  <c r="T125" i="1"/>
  <c r="T124" i="1"/>
  <c r="T539" i="1"/>
  <c r="T538" i="1"/>
  <c r="T3247" i="1"/>
  <c r="T367" i="1"/>
  <c r="T366" i="1"/>
  <c r="T5033" i="1"/>
  <c r="T5032" i="1"/>
  <c r="T3619" i="1"/>
  <c r="T3618" i="1"/>
  <c r="T4997" i="1"/>
  <c r="T4996" i="1"/>
  <c r="T3204" i="1"/>
  <c r="T3203" i="1"/>
  <c r="T32" i="1"/>
  <c r="T6280" i="1"/>
  <c r="T6279" i="1"/>
  <c r="T3201" i="1"/>
  <c r="T3200" i="1"/>
  <c r="T3905" i="1"/>
  <c r="T4677" i="1"/>
  <c r="T4676" i="1"/>
  <c r="T3681" i="1"/>
  <c r="T3097" i="1"/>
  <c r="T3096" i="1"/>
  <c r="T5737" i="1"/>
  <c r="T5736" i="1"/>
  <c r="T3481" i="1"/>
  <c r="T3480" i="1"/>
  <c r="T5177" i="1"/>
  <c r="T5175" i="1"/>
  <c r="T3310" i="1"/>
  <c r="T3311" i="1"/>
  <c r="T3908" i="1"/>
  <c r="T3004" i="1"/>
  <c r="T4650" i="1"/>
  <c r="T4041" i="1"/>
  <c r="T3660" i="1"/>
  <c r="T3612" i="1"/>
  <c r="T5207" i="1"/>
  <c r="T5953" i="1"/>
  <c r="T5954" i="1"/>
  <c r="T5090" i="1"/>
  <c r="T5089" i="1"/>
  <c r="T547" i="1"/>
  <c r="T3384" i="1"/>
  <c r="T4459" i="1"/>
  <c r="T3895" i="1"/>
  <c r="T2974" i="1"/>
  <c r="T3672" i="1"/>
  <c r="T3374" i="1"/>
  <c r="T5923" i="1"/>
  <c r="T5921" i="1"/>
  <c r="T3650" i="1"/>
  <c r="T3649" i="1"/>
  <c r="T3138" i="1"/>
  <c r="T3137" i="1"/>
  <c r="T4544" i="1"/>
  <c r="T4543" i="1"/>
  <c r="T5675" i="1"/>
  <c r="T519" i="1"/>
  <c r="T762" i="1"/>
  <c r="T3547" i="1"/>
  <c r="T3546" i="1"/>
  <c r="T3049" i="1"/>
  <c r="T4439" i="1"/>
  <c r="T4438" i="1"/>
  <c r="T4574" i="1"/>
  <c r="T4573" i="1"/>
  <c r="T5788" i="1"/>
  <c r="T281" i="1"/>
  <c r="T529" i="1"/>
  <c r="T78" i="1"/>
  <c r="T361" i="1"/>
  <c r="T791" i="1"/>
  <c r="T3510" i="1"/>
  <c r="X45" i="1" l="1"/>
  <c r="Y45" i="1" s="1"/>
  <c r="AA45" i="1"/>
  <c r="Z45" i="1" s="1"/>
  <c r="W47" i="1"/>
  <c r="S5109" i="1"/>
  <c r="AW38" i="7"/>
  <c r="AW24" i="7"/>
  <c r="AW25" i="7"/>
  <c r="AV37" i="7"/>
  <c r="AV36" i="7"/>
  <c r="AW13" i="7"/>
  <c r="AW14" i="7"/>
  <c r="AW32" i="7"/>
  <c r="AY11" i="7"/>
  <c r="AX12" i="7"/>
  <c r="AW34" i="7"/>
  <c r="AW35" i="7" s="1"/>
  <c r="AX7" i="7"/>
  <c r="AY5" i="7"/>
  <c r="AX40" i="7"/>
  <c r="AX6" i="7"/>
  <c r="AX8" i="7"/>
  <c r="AX9" i="7" s="1"/>
  <c r="AV20" i="7"/>
  <c r="AV21" i="7"/>
  <c r="AW19" i="7"/>
  <c r="AW33" i="7"/>
  <c r="AW16" i="7"/>
  <c r="AW17" i="7" s="1"/>
  <c r="BG3" i="7"/>
  <c r="BF4" i="7"/>
  <c r="AW41" i="7"/>
  <c r="AW42" i="7" s="1"/>
  <c r="AW30" i="7"/>
  <c r="AY28" i="7"/>
  <c r="AY29" i="7" s="1"/>
  <c r="AZ27" i="7"/>
  <c r="S3559" i="1"/>
  <c r="T5413" i="1"/>
  <c r="S5412" i="1"/>
  <c r="T5412" i="1" s="1"/>
  <c r="T5407" i="1"/>
  <c r="S5406" i="1"/>
  <c r="T5406" i="1" s="1"/>
  <c r="O2941" i="1"/>
  <c r="R1630" i="1"/>
  <c r="S1630" i="1"/>
  <c r="T1630" i="1" s="1"/>
  <c r="O1631" i="1"/>
  <c r="T4791" i="1"/>
  <c r="T4637" i="1"/>
  <c r="T4792" i="1"/>
  <c r="T3399" i="1"/>
  <c r="S3414" i="1"/>
  <c r="R3414" i="1"/>
  <c r="O3415" i="1"/>
  <c r="R3987" i="1"/>
  <c r="S3987" i="1"/>
  <c r="O3988" i="1"/>
  <c r="R6087" i="1"/>
  <c r="S6087" i="1"/>
  <c r="O6088" i="1"/>
  <c r="S4532" i="1"/>
  <c r="T4532" i="1" s="1"/>
  <c r="T4533" i="1"/>
  <c r="R3363" i="1"/>
  <c r="S3363" i="1"/>
  <c r="T3363" i="1" s="1"/>
  <c r="R5220" i="1"/>
  <c r="S5220" i="1"/>
  <c r="S3176" i="1"/>
  <c r="T3176" i="1" s="1"/>
  <c r="R3176" i="1"/>
  <c r="R5193" i="1"/>
  <c r="S5193" i="1"/>
  <c r="O5194" i="1"/>
  <c r="R3473" i="1"/>
  <c r="S3473" i="1"/>
  <c r="R4737" i="1"/>
  <c r="S4737" i="1"/>
  <c r="O4738" i="1"/>
  <c r="S4192" i="1"/>
  <c r="T4192" i="1" s="1"/>
  <c r="R4192" i="1"/>
  <c r="S4596" i="1"/>
  <c r="T4596" i="1" s="1"/>
  <c r="T4597" i="1"/>
  <c r="R3707" i="1"/>
  <c r="S3707" i="1"/>
  <c r="T3707" i="1" s="1"/>
  <c r="S3978" i="1"/>
  <c r="R3978" i="1"/>
  <c r="R4035" i="1"/>
  <c r="S4035" i="1"/>
  <c r="O4036" i="1"/>
  <c r="S5341" i="1"/>
  <c r="T5341" i="1" s="1"/>
  <c r="T5342" i="1"/>
  <c r="S3653" i="1"/>
  <c r="T3653" i="1" s="1"/>
  <c r="T3654" i="1"/>
  <c r="R5277" i="1"/>
  <c r="S5277" i="1"/>
  <c r="S5137" i="1"/>
  <c r="R5137" i="1"/>
  <c r="S5238" i="1"/>
  <c r="R5238" i="1"/>
  <c r="O5239" i="1"/>
  <c r="T3321" i="1"/>
  <c r="S5994" i="1"/>
  <c r="R5994" i="1"/>
  <c r="S4178" i="1"/>
  <c r="T4179" i="1"/>
  <c r="S6172" i="1"/>
  <c r="T6172" i="1" s="1"/>
  <c r="T6173" i="1"/>
  <c r="S4013" i="1"/>
  <c r="T4014" i="1"/>
  <c r="S4893" i="1"/>
  <c r="R4893" i="1"/>
  <c r="S4566" i="1"/>
  <c r="S4565" i="1" s="1"/>
  <c r="S4564" i="1" s="1"/>
  <c r="R4566" i="1"/>
  <c r="R4565" i="1" s="1"/>
  <c r="R4564" i="1" s="1"/>
  <c r="S6003" i="1"/>
  <c r="R6003" i="1"/>
  <c r="S6311" i="1"/>
  <c r="T6311" i="1" s="1"/>
  <c r="R6311" i="1"/>
  <c r="R5146" i="1"/>
  <c r="S5146" i="1"/>
  <c r="O5147" i="1"/>
  <c r="S4780" i="1"/>
  <c r="R4780" i="1"/>
  <c r="S3588" i="1"/>
  <c r="R3588" i="1"/>
  <c r="S6049" i="1"/>
  <c r="R6049" i="1"/>
  <c r="O6050" i="1"/>
  <c r="S3378" i="1"/>
  <c r="T3379" i="1"/>
  <c r="R4959" i="1"/>
  <c r="S4959" i="1"/>
  <c r="O4960" i="1"/>
  <c r="S4057" i="1"/>
  <c r="T4057" i="1" s="1"/>
  <c r="T4058" i="1"/>
  <c r="S4551" i="1"/>
  <c r="T4552" i="1"/>
  <c r="R5850" i="1"/>
  <c r="S5850" i="1"/>
  <c r="O5851" i="1"/>
  <c r="S4766" i="1"/>
  <c r="R4766" i="1"/>
  <c r="O4767" i="1"/>
  <c r="S4717" i="1"/>
  <c r="S4716" i="1" s="1"/>
  <c r="S4715" i="1" s="1"/>
  <c r="S4714" i="1" s="1"/>
  <c r="T4714" i="1" s="1"/>
  <c r="T4718" i="1"/>
  <c r="T5973" i="1"/>
  <c r="S5972" i="1"/>
  <c r="S3466" i="1"/>
  <c r="T3466" i="1" s="1"/>
  <c r="R3466" i="1"/>
  <c r="T3444" i="1"/>
  <c r="S3443" i="1"/>
  <c r="S3442" i="1" s="1"/>
  <c r="S3441" i="1" s="1"/>
  <c r="S5841" i="1"/>
  <c r="R5841" i="1"/>
  <c r="S4759" i="1"/>
  <c r="T4759" i="1" s="1"/>
  <c r="R4759" i="1"/>
  <c r="R5163" i="1"/>
  <c r="S5163" i="1"/>
  <c r="O5164" i="1"/>
  <c r="S5678" i="1"/>
  <c r="T5678" i="1" s="1"/>
  <c r="T5679" i="1"/>
  <c r="S5303" i="1"/>
  <c r="R5303" i="1"/>
  <c r="S6220" i="1"/>
  <c r="T6220" i="1" s="1"/>
  <c r="R6220" i="1"/>
  <c r="S2994" i="1"/>
  <c r="T2994" i="1" s="1"/>
  <c r="T2995" i="1"/>
  <c r="R3607" i="1"/>
  <c r="R3606" i="1" s="1"/>
  <c r="S3607" i="1"/>
  <c r="S3606" i="1" s="1"/>
  <c r="S4089" i="1"/>
  <c r="T4089" i="1" s="1"/>
  <c r="T4090" i="1"/>
  <c r="R3129" i="1"/>
  <c r="S3129" i="1"/>
  <c r="S6121" i="1"/>
  <c r="R6121" i="1"/>
  <c r="S4712" i="1"/>
  <c r="R4712" i="1"/>
  <c r="O4713" i="1"/>
  <c r="S3001" i="1"/>
  <c r="T3001" i="1" s="1"/>
  <c r="R3001" i="1"/>
  <c r="S3298" i="1"/>
  <c r="T3298" i="1" s="1"/>
  <c r="T3299" i="1"/>
  <c r="S4971" i="1"/>
  <c r="R4971" i="1"/>
  <c r="O4972" i="1"/>
  <c r="S3424" i="1"/>
  <c r="S3423" i="1" s="1"/>
  <c r="T3423" i="1" s="1"/>
  <c r="R3424" i="1"/>
  <c r="R3423" i="1" s="1"/>
  <c r="R5016" i="1"/>
  <c r="S5016" i="1"/>
  <c r="T5016" i="1" s="1"/>
  <c r="R6019" i="1"/>
  <c r="S6019" i="1"/>
  <c r="O6020" i="1"/>
  <c r="S3543" i="1"/>
  <c r="T3543" i="1" s="1"/>
  <c r="T3544" i="1"/>
  <c r="T5632" i="1"/>
  <c r="T4415" i="1"/>
  <c r="T4697" i="1"/>
  <c r="T5730" i="1"/>
  <c r="T436" i="1"/>
  <c r="T3319" i="1"/>
  <c r="T3320" i="1"/>
  <c r="T2956" i="1"/>
  <c r="T2957" i="1"/>
  <c r="T4826" i="1"/>
  <c r="T3082" i="1"/>
  <c r="T5651" i="1"/>
  <c r="T5652" i="1"/>
  <c r="T4340" i="1"/>
  <c r="T4341" i="1"/>
  <c r="T3388" i="1"/>
  <c r="T5154" i="1"/>
  <c r="T4277" i="1"/>
  <c r="T3713" i="1"/>
  <c r="T3289" i="1"/>
  <c r="T4070" i="1"/>
  <c r="T5009" i="1"/>
  <c r="T3276" i="1"/>
  <c r="T253" i="1"/>
  <c r="T3696" i="1"/>
  <c r="T4790" i="1"/>
  <c r="T4687" i="1"/>
  <c r="T5920" i="1"/>
  <c r="T3896" i="1"/>
  <c r="T3877" i="1"/>
  <c r="T5729" i="1"/>
  <c r="T3517" i="1"/>
  <c r="T3928" i="1"/>
  <c r="T4987" i="1"/>
  <c r="T5309" i="1"/>
  <c r="T3210" i="1"/>
  <c r="T5031" i="1"/>
  <c r="T208" i="1"/>
  <c r="T4001" i="1"/>
  <c r="T4134" i="1"/>
  <c r="T4852" i="1"/>
  <c r="T3691" i="1"/>
  <c r="T3830" i="1"/>
  <c r="T5947" i="1"/>
  <c r="T6144" i="1"/>
  <c r="T5135" i="1"/>
  <c r="T6138" i="1"/>
  <c r="T365" i="1"/>
  <c r="T4979" i="1"/>
  <c r="T5136" i="1"/>
  <c r="T4083" i="1"/>
  <c r="T705" i="1"/>
  <c r="T3015" i="1"/>
  <c r="T4455" i="1"/>
  <c r="T3994" i="1"/>
  <c r="T5286" i="1"/>
  <c r="T5287" i="1"/>
  <c r="T5162" i="1"/>
  <c r="T4571" i="1"/>
  <c r="T81" i="1"/>
  <c r="T4610" i="1"/>
  <c r="T4611" i="1"/>
  <c r="T4501" i="1"/>
  <c r="T3522" i="1"/>
  <c r="T4539" i="1"/>
  <c r="T5605" i="1"/>
  <c r="T5606" i="1"/>
  <c r="T4045" i="1"/>
  <c r="T5948" i="1"/>
  <c r="T5949" i="1"/>
  <c r="T4842" i="1"/>
  <c r="T4843" i="1"/>
  <c r="T4104" i="1"/>
  <c r="T6068" i="1"/>
  <c r="T5110" i="1"/>
  <c r="T5111" i="1"/>
  <c r="T4898" i="1"/>
  <c r="T5279" i="1"/>
  <c r="T6069" i="1"/>
  <c r="T3730" i="1"/>
  <c r="T4819" i="1"/>
  <c r="T3406" i="1"/>
  <c r="T3787" i="1"/>
  <c r="T5284" i="1"/>
  <c r="T5285" i="1"/>
  <c r="T4786" i="1"/>
  <c r="T4787" i="1"/>
  <c r="T4488" i="1"/>
  <c r="T4113" i="1"/>
  <c r="T3253" i="1"/>
  <c r="T4590" i="1"/>
  <c r="T3512" i="1"/>
  <c r="T4882" i="1"/>
  <c r="T4883" i="1"/>
  <c r="T3651" i="1"/>
  <c r="T3652" i="1"/>
  <c r="T5830" i="1"/>
  <c r="T4377" i="1"/>
  <c r="T2971" i="1"/>
  <c r="T506" i="1"/>
  <c r="T4746" i="1"/>
  <c r="T3722" i="1"/>
  <c r="T3476" i="1"/>
  <c r="T5385" i="1"/>
  <c r="T5388" i="1"/>
  <c r="T5389" i="1"/>
  <c r="T5630" i="1"/>
  <c r="T5631" i="1"/>
  <c r="T4141" i="1"/>
  <c r="T4426" i="1"/>
  <c r="T4258" i="1"/>
  <c r="T3853" i="1"/>
  <c r="T3852" i="1"/>
  <c r="T5715" i="1"/>
  <c r="T3465" i="1"/>
  <c r="T3564" i="1"/>
  <c r="T4245" i="1"/>
  <c r="T4244" i="1"/>
  <c r="T5525" i="1"/>
  <c r="T4818" i="1"/>
  <c r="T4607" i="1"/>
  <c r="T3370" i="1"/>
  <c r="T2960" i="1"/>
  <c r="T4238" i="1"/>
  <c r="T2967" i="1"/>
  <c r="T2966" i="1"/>
  <c r="T4696" i="1"/>
  <c r="T4695" i="1"/>
  <c r="T280" i="1"/>
  <c r="T6147" i="1"/>
  <c r="T3537" i="1"/>
  <c r="T4152" i="1"/>
  <c r="T4153" i="1"/>
  <c r="T192" i="1"/>
  <c r="T251" i="1"/>
  <c r="T489" i="1"/>
  <c r="T6034" i="1"/>
  <c r="T4267" i="1"/>
  <c r="T3622" i="1"/>
  <c r="T246" i="1"/>
  <c r="T4871" i="1"/>
  <c r="T5553" i="1"/>
  <c r="T5552" i="1"/>
  <c r="T23" i="1"/>
  <c r="T5787" i="1"/>
  <c r="T518" i="1"/>
  <c r="T517" i="1"/>
  <c r="T3021" i="1"/>
  <c r="T3285" i="1"/>
  <c r="T3383" i="1"/>
  <c r="T5662" i="1"/>
  <c r="T4649" i="1"/>
  <c r="T2965" i="1"/>
  <c r="T2948" i="1"/>
  <c r="T31" i="1"/>
  <c r="T524" i="1"/>
  <c r="T3048" i="1"/>
  <c r="T459" i="1"/>
  <c r="T3611" i="1"/>
  <c r="T2981" i="1"/>
  <c r="T4243" i="1"/>
  <c r="T5380" i="1"/>
  <c r="T5395" i="1"/>
  <c r="T4897" i="1"/>
  <c r="T3503" i="1"/>
  <c r="T3835" i="1"/>
  <c r="T4861" i="1"/>
  <c r="T5134" i="1"/>
  <c r="T252" i="1"/>
  <c r="T3956" i="1"/>
  <c r="T3054" i="1"/>
  <c r="T5151" i="1"/>
  <c r="T4683" i="1"/>
  <c r="T528" i="1"/>
  <c r="T5161" i="1"/>
  <c r="T5676" i="1"/>
  <c r="T3003" i="1"/>
  <c r="T4940" i="1"/>
  <c r="T5060" i="1"/>
  <c r="T4850" i="1"/>
  <c r="T3578" i="1"/>
  <c r="T3580" i="1"/>
  <c r="T4526" i="1"/>
  <c r="T4594" i="1"/>
  <c r="T3909" i="1"/>
  <c r="T269" i="1"/>
  <c r="T267" i="1"/>
  <c r="T4382" i="1"/>
  <c r="T3659" i="1"/>
  <c r="T5064" i="1"/>
  <c r="T3422" i="1"/>
  <c r="T3420" i="1"/>
  <c r="T576" i="1"/>
  <c r="T4458" i="1"/>
  <c r="T4457" i="1"/>
  <c r="T3637" i="1"/>
  <c r="T3366" i="1"/>
  <c r="T6058" i="1"/>
  <c r="T3509" i="1"/>
  <c r="T5283" i="1"/>
  <c r="T5596" i="1"/>
  <c r="T3135" i="1"/>
  <c r="T4154" i="1"/>
  <c r="T790" i="1"/>
  <c r="T432" i="1"/>
  <c r="T76" i="1"/>
  <c r="T362" i="1"/>
  <c r="T3920" i="1"/>
  <c r="X46" i="1" l="1"/>
  <c r="Y46" i="1" s="1"/>
  <c r="AA46" i="1"/>
  <c r="Z46" i="1" s="1"/>
  <c r="W48" i="1"/>
  <c r="AX38" i="7"/>
  <c r="AX25" i="7"/>
  <c r="AX24" i="7"/>
  <c r="AW37" i="7"/>
  <c r="AX32" i="7"/>
  <c r="AX34" i="7"/>
  <c r="AX35" i="7" s="1"/>
  <c r="AZ5" i="7"/>
  <c r="AY6" i="7"/>
  <c r="AY7" i="7"/>
  <c r="AY40" i="7"/>
  <c r="AY8" i="7"/>
  <c r="AY9" i="7" s="1"/>
  <c r="AX16" i="7"/>
  <c r="AX17" i="7" s="1"/>
  <c r="AX33" i="7"/>
  <c r="AX13" i="7"/>
  <c r="AX14" i="7"/>
  <c r="AZ11" i="7"/>
  <c r="AY12" i="7"/>
  <c r="AW20" i="7"/>
  <c r="AW21" i="7"/>
  <c r="AX19" i="7"/>
  <c r="BG4" i="7"/>
  <c r="BH3" i="7"/>
  <c r="BA27" i="7"/>
  <c r="AZ28" i="7"/>
  <c r="AZ29" i="7" s="1"/>
  <c r="AW36" i="7"/>
  <c r="AX30" i="7"/>
  <c r="AX41" i="7"/>
  <c r="AX42" i="7" s="1"/>
  <c r="O2942" i="1"/>
  <c r="O1632" i="1"/>
  <c r="S1631" i="1"/>
  <c r="T1631" i="1" s="1"/>
  <c r="R1631" i="1"/>
  <c r="T3443" i="1"/>
  <c r="T4717" i="1"/>
  <c r="T4715" i="1"/>
  <c r="T3424" i="1"/>
  <c r="T4716" i="1"/>
  <c r="T5972" i="1"/>
  <c r="S5971" i="1"/>
  <c r="S3988" i="1"/>
  <c r="R3988" i="1"/>
  <c r="S4713" i="1"/>
  <c r="T4713" i="1" s="1"/>
  <c r="R4713" i="1"/>
  <c r="S3377" i="1"/>
  <c r="T3377" i="1" s="1"/>
  <c r="T3378" i="1"/>
  <c r="S5147" i="1"/>
  <c r="T5147" i="1" s="1"/>
  <c r="R5147" i="1"/>
  <c r="R4972" i="1"/>
  <c r="S4972" i="1"/>
  <c r="O4973" i="1"/>
  <c r="S4550" i="1"/>
  <c r="T4551" i="1"/>
  <c r="R6050" i="1"/>
  <c r="S6050" i="1"/>
  <c r="O6051" i="1"/>
  <c r="S4036" i="1"/>
  <c r="R4036" i="1"/>
  <c r="O4037" i="1"/>
  <c r="R5194" i="1"/>
  <c r="S5194" i="1"/>
  <c r="O5195" i="1"/>
  <c r="R6020" i="1"/>
  <c r="S6020" i="1"/>
  <c r="R4767" i="1"/>
  <c r="S4767" i="1"/>
  <c r="T4767" i="1" s="1"/>
  <c r="R3415" i="1"/>
  <c r="S3415" i="1"/>
  <c r="T3415" i="1" s="1"/>
  <c r="S5164" i="1"/>
  <c r="R5164" i="1"/>
  <c r="R5851" i="1"/>
  <c r="S5851" i="1"/>
  <c r="O5852" i="1"/>
  <c r="R4960" i="1"/>
  <c r="S4960" i="1"/>
  <c r="O4961" i="1"/>
  <c r="R5239" i="1"/>
  <c r="S5239" i="1"/>
  <c r="S4738" i="1"/>
  <c r="R4738" i="1"/>
  <c r="O4739" i="1"/>
  <c r="S6088" i="1"/>
  <c r="R6088" i="1"/>
  <c r="O6089" i="1"/>
  <c r="T5940" i="1"/>
  <c r="T3690" i="1"/>
  <c r="T429" i="1"/>
  <c r="T5303" i="1"/>
  <c r="T3815" i="1"/>
  <c r="T3588" i="1"/>
  <c r="T170" i="1"/>
  <c r="T3695" i="1"/>
  <c r="T4780" i="1"/>
  <c r="T4102" i="1"/>
  <c r="T5051" i="1"/>
  <c r="T3288" i="1"/>
  <c r="T5818" i="1"/>
  <c r="T5057" i="1"/>
  <c r="T5255" i="1"/>
  <c r="T4686" i="1"/>
  <c r="T3275" i="1"/>
  <c r="T4101" i="1"/>
  <c r="T4950" i="1"/>
  <c r="T3387" i="1"/>
  <c r="T5008" i="1"/>
  <c r="T4276" i="1"/>
  <c r="T5122" i="1"/>
  <c r="T6105" i="1"/>
  <c r="T4893" i="1"/>
  <c r="T5985" i="1"/>
  <c r="T5914" i="1"/>
  <c r="T3963" i="1"/>
  <c r="T6010" i="1"/>
  <c r="T4009" i="1"/>
  <c r="T4993" i="1"/>
  <c r="T6189" i="1"/>
  <c r="T3559" i="1"/>
  <c r="T6121" i="1"/>
  <c r="T5294" i="1"/>
  <c r="T3209" i="1"/>
  <c r="T4120" i="1"/>
  <c r="T346" i="1"/>
  <c r="T757" i="1"/>
  <c r="T4100" i="1"/>
  <c r="T706" i="1"/>
  <c r="T4103" i="1"/>
  <c r="T4068" i="1"/>
  <c r="T4069" i="1"/>
  <c r="T4500" i="1"/>
  <c r="T3251" i="1"/>
  <c r="T3252" i="1"/>
  <c r="T3605" i="1"/>
  <c r="T4591" i="1"/>
  <c r="T6070" i="1"/>
  <c r="T5163" i="1"/>
  <c r="T6067" i="1"/>
  <c r="T3729" i="1"/>
  <c r="T4570" i="1"/>
  <c r="T4538" i="1"/>
  <c r="T3473" i="1"/>
  <c r="T4486" i="1"/>
  <c r="T4487" i="1"/>
  <c r="T3521" i="1"/>
  <c r="T2970" i="1"/>
  <c r="T577" i="1"/>
  <c r="T6057" i="1"/>
  <c r="T5063" i="1"/>
  <c r="T4381" i="1"/>
  <c r="T5674" i="1"/>
  <c r="T522" i="1"/>
  <c r="T523" i="1"/>
  <c r="T245" i="1"/>
  <c r="T488" i="1"/>
  <c r="T3536" i="1"/>
  <c r="T4257" i="1"/>
  <c r="T4256" i="1"/>
  <c r="T427" i="1"/>
  <c r="T5282" i="1"/>
  <c r="T5281" i="1"/>
  <c r="T5645" i="1"/>
  <c r="T4593" i="1"/>
  <c r="T4592" i="1"/>
  <c r="T5927" i="1"/>
  <c r="T5059" i="1"/>
  <c r="T4414" i="1"/>
  <c r="T4860" i="1"/>
  <c r="T4250" i="1"/>
  <c r="T4630" i="1"/>
  <c r="T3365" i="1"/>
  <c r="T3925" i="1"/>
  <c r="T3926" i="1"/>
  <c r="T4242" i="1"/>
  <c r="T4241" i="1"/>
  <c r="T250" i="1"/>
  <c r="T6145" i="1"/>
  <c r="T6146" i="1"/>
  <c r="T4237" i="1"/>
  <c r="T4236" i="1"/>
  <c r="T3464" i="1"/>
  <c r="T4424" i="1"/>
  <c r="T4425" i="1"/>
  <c r="T5384" i="1"/>
  <c r="T5383" i="1"/>
  <c r="T4745" i="1"/>
  <c r="T299" i="1"/>
  <c r="T5792" i="1"/>
  <c r="T4525" i="1"/>
  <c r="T3437" i="1"/>
  <c r="T3687" i="1"/>
  <c r="T5314" i="1"/>
  <c r="T3636" i="1"/>
  <c r="T3658" i="1"/>
  <c r="T527" i="1"/>
  <c r="T5014" i="1"/>
  <c r="T4730" i="1"/>
  <c r="T4635" i="1"/>
  <c r="T4634" i="1"/>
  <c r="T5394" i="1"/>
  <c r="T5393" i="1"/>
  <c r="T458" i="1"/>
  <c r="T2947" i="1"/>
  <c r="T3382" i="1"/>
  <c r="T191" i="1"/>
  <c r="T279" i="1"/>
  <c r="T2959" i="1"/>
  <c r="T2958" i="1"/>
  <c r="T5524" i="1"/>
  <c r="T5523" i="1"/>
  <c r="T4140" i="1"/>
  <c r="T3475" i="1"/>
  <c r="T505" i="1"/>
  <c r="T4151" i="1"/>
  <c r="T5595" i="1"/>
  <c r="T3671" i="1"/>
  <c r="T2999" i="1"/>
  <c r="T4255" i="1"/>
  <c r="T431" i="1"/>
  <c r="T3265" i="1"/>
  <c r="T5379" i="1"/>
  <c r="T5378" i="1"/>
  <c r="T2979" i="1"/>
  <c r="T2980" i="1"/>
  <c r="T2963" i="1"/>
  <c r="T2964" i="1"/>
  <c r="T3284" i="1"/>
  <c r="T6033" i="1"/>
  <c r="T6032" i="1"/>
  <c r="T3369" i="1"/>
  <c r="T3721" i="1"/>
  <c r="T789" i="1"/>
  <c r="T3134" i="1"/>
  <c r="T3533" i="1"/>
  <c r="T3442" i="1"/>
  <c r="T3955" i="1"/>
  <c r="T22" i="1"/>
  <c r="T6065" i="1"/>
  <c r="T3515" i="1"/>
  <c r="T4824" i="1"/>
  <c r="T578" i="1"/>
  <c r="T3927" i="1"/>
  <c r="T3642" i="1"/>
  <c r="T3447" i="1"/>
  <c r="T4189" i="1"/>
  <c r="T4190" i="1"/>
  <c r="T3419" i="1"/>
  <c r="T3421" i="1"/>
  <c r="T268" i="1"/>
  <c r="T5126" i="1"/>
  <c r="T557" i="1"/>
  <c r="T5307" i="1"/>
  <c r="T5918" i="1"/>
  <c r="T6008" i="1"/>
  <c r="T3603" i="1"/>
  <c r="T3055" i="1"/>
  <c r="T3052" i="1"/>
  <c r="T5133" i="1"/>
  <c r="T5977" i="1"/>
  <c r="T5160" i="1"/>
  <c r="T5152" i="1"/>
  <c r="T5857" i="1"/>
  <c r="T340" i="1"/>
  <c r="T3993" i="1"/>
  <c r="T3579" i="1"/>
  <c r="T4851" i="1"/>
  <c r="T360" i="1"/>
  <c r="T4099" i="1"/>
  <c r="X47" i="1" l="1"/>
  <c r="Y47" i="1" s="1"/>
  <c r="AA47" i="1"/>
  <c r="Z47" i="1" s="1"/>
  <c r="W49" i="1"/>
  <c r="AY38" i="7"/>
  <c r="AY25" i="7"/>
  <c r="AY24" i="7"/>
  <c r="AX37" i="7"/>
  <c r="AY34" i="7"/>
  <c r="AY35" i="7" s="1"/>
  <c r="AY32" i="7"/>
  <c r="AY14" i="7"/>
  <c r="AY13" i="7"/>
  <c r="BA11" i="7"/>
  <c r="AZ12" i="7"/>
  <c r="AY16" i="7"/>
  <c r="AY17" i="7" s="1"/>
  <c r="AY33" i="7"/>
  <c r="AX20" i="7"/>
  <c r="AX21" i="7"/>
  <c r="AY19" i="7"/>
  <c r="AZ40" i="7"/>
  <c r="AZ6" i="7"/>
  <c r="AZ7" i="7"/>
  <c r="BA5" i="7"/>
  <c r="AZ8" i="7"/>
  <c r="AZ9" i="7" s="1"/>
  <c r="BI3" i="7"/>
  <c r="BH4" i="7"/>
  <c r="AX36" i="7"/>
  <c r="BA28" i="7"/>
  <c r="BA29" i="7" s="1"/>
  <c r="BB27" i="7"/>
  <c r="AY41" i="7"/>
  <c r="AY42" i="7" s="1"/>
  <c r="AY30" i="7"/>
  <c r="O2943" i="1"/>
  <c r="BE25" i="1"/>
  <c r="S1632" i="1"/>
  <c r="T1632" i="1" s="1"/>
  <c r="R1632" i="1"/>
  <c r="O1633" i="1"/>
  <c r="R5195" i="1"/>
  <c r="S5195" i="1"/>
  <c r="O5196" i="1"/>
  <c r="S6089" i="1"/>
  <c r="R6089" i="1"/>
  <c r="R4961" i="1"/>
  <c r="S4961" i="1"/>
  <c r="O4962" i="1"/>
  <c r="S4549" i="1"/>
  <c r="T4549" i="1" s="1"/>
  <c r="T4550" i="1"/>
  <c r="S4037" i="1"/>
  <c r="R4037" i="1"/>
  <c r="R4973" i="1"/>
  <c r="S4973" i="1"/>
  <c r="R4739" i="1"/>
  <c r="S4739" i="1"/>
  <c r="T4739" i="1" s="1"/>
  <c r="R5852" i="1"/>
  <c r="S5852" i="1"/>
  <c r="S6051" i="1"/>
  <c r="R6051" i="1"/>
  <c r="O6052" i="1"/>
  <c r="S5970" i="1"/>
  <c r="T5970" i="1" s="1"/>
  <c r="T5971" i="1"/>
  <c r="T5293" i="1"/>
  <c r="T708" i="1"/>
  <c r="T5121" i="1"/>
  <c r="T5249" i="1"/>
  <c r="T3987" i="1"/>
  <c r="T5056" i="1"/>
  <c r="T5994" i="1"/>
  <c r="T4936" i="1"/>
  <c r="T5076" i="1"/>
  <c r="T4949" i="1"/>
  <c r="T5254" i="1"/>
  <c r="T3962" i="1"/>
  <c r="T5137" i="1"/>
  <c r="T4992" i="1"/>
  <c r="T5220" i="1"/>
  <c r="T4002" i="1"/>
  <c r="T312" i="1"/>
  <c r="T6003" i="1"/>
  <c r="T6099" i="1"/>
  <c r="T3978" i="1"/>
  <c r="T320" i="1"/>
  <c r="T707" i="1"/>
  <c r="T322" i="1"/>
  <c r="T4499" i="1"/>
  <c r="T3728" i="1"/>
  <c r="T3520" i="1"/>
  <c r="T3129" i="1"/>
  <c r="T5164" i="1"/>
  <c r="T4849" i="1"/>
  <c r="T5150" i="1"/>
  <c r="T3264" i="1"/>
  <c r="T2998" i="1"/>
  <c r="T4729" i="1"/>
  <c r="T3635" i="1"/>
  <c r="T4524" i="1"/>
  <c r="T3306" i="1"/>
  <c r="T3720" i="1"/>
  <c r="T3719" i="1"/>
  <c r="T504" i="1"/>
  <c r="T4248" i="1"/>
  <c r="T4249" i="1"/>
  <c r="T5926" i="1"/>
  <c r="T426" i="1"/>
  <c r="T244" i="1"/>
  <c r="T6104" i="1"/>
  <c r="T3641" i="1"/>
  <c r="T3532" i="1"/>
  <c r="T5013" i="1"/>
  <c r="T5012" i="1"/>
  <c r="T5313" i="1"/>
  <c r="T5791" i="1"/>
  <c r="T3924" i="1"/>
  <c r="T4380" i="1"/>
  <c r="T4512" i="1"/>
  <c r="T4604" i="1"/>
  <c r="T249" i="1"/>
  <c r="T4859" i="1"/>
  <c r="T5055" i="1"/>
  <c r="T4082" i="1"/>
  <c r="T3133" i="1"/>
  <c r="T4253" i="1"/>
  <c r="T4254" i="1"/>
  <c r="T3686" i="1"/>
  <c r="T298" i="1"/>
  <c r="T3463" i="1"/>
  <c r="T4119" i="1"/>
  <c r="T4629" i="1"/>
  <c r="T4413" i="1"/>
  <c r="T5644" i="1"/>
  <c r="T598" i="1"/>
  <c r="T575" i="1"/>
  <c r="T574" i="1"/>
  <c r="T788" i="1"/>
  <c r="T5292" i="1"/>
  <c r="T4149" i="1"/>
  <c r="T4150" i="1"/>
  <c r="T3436" i="1"/>
  <c r="T3508" i="1"/>
  <c r="T4896" i="1"/>
  <c r="T4233" i="1"/>
  <c r="T4232" i="1"/>
  <c r="T4076" i="1"/>
  <c r="T5132" i="1"/>
  <c r="T266" i="1"/>
  <c r="T3362" i="1"/>
  <c r="T5982" i="1"/>
  <c r="T3992" i="1"/>
  <c r="T3053" i="1"/>
  <c r="T6009" i="1"/>
  <c r="T6006" i="1"/>
  <c r="T5308" i="1"/>
  <c r="T4191" i="1"/>
  <c r="T3967" i="1"/>
  <c r="T4766" i="1"/>
  <c r="T3977" i="1"/>
  <c r="T5856" i="1"/>
  <c r="T5919" i="1"/>
  <c r="T5978" i="1"/>
  <c r="T5913" i="1"/>
  <c r="T277" i="1"/>
  <c r="T4825" i="1"/>
  <c r="T6066" i="1"/>
  <c r="T4891" i="1"/>
  <c r="T5939" i="1"/>
  <c r="T5938" i="1"/>
  <c r="T5159" i="1"/>
  <c r="T3604" i="1"/>
  <c r="T5127" i="1"/>
  <c r="T3448" i="1"/>
  <c r="T3919" i="1"/>
  <c r="T3516" i="1"/>
  <c r="T4589" i="1"/>
  <c r="T704" i="1"/>
  <c r="T4098" i="1"/>
  <c r="X48" i="1" l="1"/>
  <c r="Y48" i="1" s="1"/>
  <c r="AA48" i="1"/>
  <c r="Z48" i="1" s="1"/>
  <c r="W50" i="1"/>
  <c r="AZ38" i="7"/>
  <c r="AZ24" i="7"/>
  <c r="AZ25" i="7"/>
  <c r="AY37" i="7"/>
  <c r="AZ32" i="7"/>
  <c r="AZ34" i="7"/>
  <c r="AZ35" i="7" s="1"/>
  <c r="AZ19" i="7"/>
  <c r="AZ14" i="7"/>
  <c r="AZ13" i="7"/>
  <c r="AY20" i="7"/>
  <c r="AY21" i="7"/>
  <c r="BB11" i="7"/>
  <c r="BA12" i="7"/>
  <c r="AZ33" i="7"/>
  <c r="AZ16" i="7"/>
  <c r="AZ17" i="7" s="1"/>
  <c r="BA6" i="7"/>
  <c r="BA40" i="7"/>
  <c r="BB5" i="7"/>
  <c r="BA7" i="7"/>
  <c r="BA8" i="7"/>
  <c r="BA9" i="7" s="1"/>
  <c r="BI4" i="7"/>
  <c r="BJ3" i="7"/>
  <c r="BC27" i="7"/>
  <c r="BB28" i="7"/>
  <c r="BB29" i="7" s="1"/>
  <c r="AY36" i="7"/>
  <c r="AZ30" i="7"/>
  <c r="AZ41" i="7"/>
  <c r="AZ42" i="7" s="1"/>
  <c r="S2943" i="1"/>
  <c r="R2943" i="1"/>
  <c r="R2942" i="1" s="1"/>
  <c r="R2941" i="1" s="1"/>
  <c r="R2940" i="1" s="1"/>
  <c r="O1634" i="1"/>
  <c r="R1633" i="1"/>
  <c r="S1633" i="1"/>
  <c r="T1633" i="1" s="1"/>
  <c r="R4962" i="1"/>
  <c r="S4962" i="1"/>
  <c r="R6052" i="1"/>
  <c r="S6052" i="1"/>
  <c r="O6053" i="1"/>
  <c r="R5196" i="1"/>
  <c r="S5196" i="1"/>
  <c r="O5197" i="1"/>
  <c r="T5109" i="1"/>
  <c r="T5253" i="1"/>
  <c r="T4948" i="1"/>
  <c r="T311" i="1"/>
  <c r="T310" i="1"/>
  <c r="T6020" i="1"/>
  <c r="T3961" i="1"/>
  <c r="T5277" i="1"/>
  <c r="T321" i="1"/>
  <c r="T3727" i="1"/>
  <c r="T3606" i="1"/>
  <c r="T3607" i="1"/>
  <c r="T4973" i="1"/>
  <c r="T3519" i="1"/>
  <c r="T5983" i="1"/>
  <c r="T3514" i="1"/>
  <c r="T5855" i="1"/>
  <c r="T3859" i="1"/>
  <c r="T3640" i="1"/>
  <c r="T3305" i="1"/>
  <c r="T5917" i="1"/>
  <c r="T3435" i="1"/>
  <c r="T4081" i="1"/>
  <c r="T4603" i="1"/>
  <c r="T4895" i="1"/>
  <c r="T4894" i="1"/>
  <c r="T4412" i="1"/>
  <c r="T4411" i="1"/>
  <c r="T297" i="1"/>
  <c r="T6103" i="1"/>
  <c r="T556" i="1"/>
  <c r="T3991" i="1"/>
  <c r="T3361" i="1"/>
  <c r="T5054" i="1"/>
  <c r="T4511" i="1"/>
  <c r="T5125" i="1"/>
  <c r="T5081" i="1"/>
  <c r="T5082" i="1"/>
  <c r="T4986" i="1"/>
  <c r="T597" i="1"/>
  <c r="T4628" i="1"/>
  <c r="T3685" i="1"/>
  <c r="T5149" i="1"/>
  <c r="T4588" i="1"/>
  <c r="T5291" i="1"/>
  <c r="T4118" i="1"/>
  <c r="T243" i="1"/>
  <c r="T4823" i="1"/>
  <c r="T703" i="1"/>
  <c r="T3446" i="1"/>
  <c r="T4188" i="1"/>
  <c r="T425" i="1"/>
  <c r="T4848" i="1"/>
  <c r="T4067" i="1"/>
  <c r="T3923" i="1"/>
  <c r="T4737" i="1"/>
  <c r="T6007" i="1"/>
  <c r="T6120" i="1"/>
  <c r="T5946" i="1"/>
  <c r="T3860" i="1"/>
  <c r="T4868" i="1"/>
  <c r="T4077" i="1"/>
  <c r="T3918" i="1"/>
  <c r="T5158" i="1"/>
  <c r="T4892" i="1"/>
  <c r="T3413" i="1"/>
  <c r="T3586" i="1"/>
  <c r="T5912" i="1"/>
  <c r="T5083" i="1"/>
  <c r="T3968" i="1"/>
  <c r="T5984" i="1"/>
  <c r="T5306" i="1"/>
  <c r="T3999" i="1"/>
  <c r="X49" i="1" l="1"/>
  <c r="Y49" i="1" s="1"/>
  <c r="AA49" i="1"/>
  <c r="Z49" i="1" s="1"/>
  <c r="W51" i="1"/>
  <c r="BA38" i="7"/>
  <c r="BA24" i="7"/>
  <c r="BA25" i="7"/>
  <c r="AZ37" i="7"/>
  <c r="BA41" i="7"/>
  <c r="BA42" i="7" s="1"/>
  <c r="BA34" i="7"/>
  <c r="BB7" i="7"/>
  <c r="BC5" i="7"/>
  <c r="BB6" i="7"/>
  <c r="BB40" i="7"/>
  <c r="BB8" i="7"/>
  <c r="BB9" i="7" s="1"/>
  <c r="BA19" i="7"/>
  <c r="BA14" i="7"/>
  <c r="BA13" i="7"/>
  <c r="AZ20" i="7"/>
  <c r="AZ21" i="7"/>
  <c r="BA33" i="7"/>
  <c r="BA16" i="7"/>
  <c r="BA17" i="7" s="1"/>
  <c r="BC11" i="7"/>
  <c r="BB12" i="7"/>
  <c r="BA32" i="7"/>
  <c r="BK3" i="7"/>
  <c r="BJ4" i="7"/>
  <c r="BA35" i="7"/>
  <c r="BA30" i="7"/>
  <c r="AZ36" i="7"/>
  <c r="BC28" i="7"/>
  <c r="BC29" i="7" s="1"/>
  <c r="BD27" i="7"/>
  <c r="T2943" i="1"/>
  <c r="S2942" i="1"/>
  <c r="R1634" i="1"/>
  <c r="S1634" i="1"/>
  <c r="T1634" i="1" s="1"/>
  <c r="O1635" i="1"/>
  <c r="R5197" i="1"/>
  <c r="S5197" i="1"/>
  <c r="O5198" i="1"/>
  <c r="S6053" i="1"/>
  <c r="R6053" i="1"/>
  <c r="T4947" i="1"/>
  <c r="T5252" i="1"/>
  <c r="T3988" i="1"/>
  <c r="T3960" i="1"/>
  <c r="T6089" i="1"/>
  <c r="T5852" i="1"/>
  <c r="T318" i="1"/>
  <c r="T317" i="1"/>
  <c r="T4867" i="1"/>
  <c r="T6005" i="1"/>
  <c r="T702" i="1"/>
  <c r="T3359" i="1"/>
  <c r="T3360" i="1"/>
  <c r="T296" i="1"/>
  <c r="T5290" i="1"/>
  <c r="T4080" i="1"/>
  <c r="T5981" i="1"/>
  <c r="T3502" i="1"/>
  <c r="T4822" i="1"/>
  <c r="T4586" i="1"/>
  <c r="T4587" i="1"/>
  <c r="T5124" i="1"/>
  <c r="T3990" i="1"/>
  <c r="T3858" i="1"/>
  <c r="T424" i="1"/>
  <c r="T596" i="1"/>
  <c r="T5976" i="1"/>
  <c r="T5305" i="1"/>
  <c r="T3966" i="1"/>
  <c r="T6064" i="1"/>
  <c r="T4187" i="1"/>
  <c r="T4985" i="1"/>
  <c r="T4510" i="1"/>
  <c r="T555" i="1"/>
  <c r="T5916" i="1"/>
  <c r="T5854" i="1"/>
  <c r="T4075" i="1"/>
  <c r="T4066" i="1"/>
  <c r="T5053" i="1"/>
  <c r="T6102" i="1"/>
  <c r="T3304" i="1"/>
  <c r="T3807" i="1"/>
  <c r="T3917" i="1"/>
  <c r="T4117" i="1"/>
  <c r="T4602" i="1"/>
  <c r="T4000" i="1"/>
  <c r="T4890" i="1"/>
  <c r="T418" i="1"/>
  <c r="T3296" i="1"/>
  <c r="T3901" i="1"/>
  <c r="T5157" i="1"/>
  <c r="T4779" i="1"/>
  <c r="T3414" i="1"/>
  <c r="T4738" i="1"/>
  <c r="T3786" i="1"/>
  <c r="T4712" i="1"/>
  <c r="T3587" i="1"/>
  <c r="T6088" i="1"/>
  <c r="T4909" i="1"/>
  <c r="T319" i="1"/>
  <c r="X50" i="1" l="1"/>
  <c r="Y50" i="1" s="1"/>
  <c r="AA50" i="1"/>
  <c r="Z50" i="1" s="1"/>
  <c r="W52" i="1"/>
  <c r="BB38" i="7"/>
  <c r="BB24" i="7"/>
  <c r="BB25" i="7"/>
  <c r="BA37" i="7"/>
  <c r="BB34" i="7"/>
  <c r="BB35" i="7" s="1"/>
  <c r="BB16" i="7"/>
  <c r="BB17" i="7" s="1"/>
  <c r="BB33" i="7"/>
  <c r="BB13" i="7"/>
  <c r="BB14" i="7"/>
  <c r="BB19" i="7"/>
  <c r="BD11" i="7"/>
  <c r="BC12" i="7"/>
  <c r="BB32" i="7"/>
  <c r="BC7" i="7"/>
  <c r="BD5" i="7"/>
  <c r="BC6" i="7"/>
  <c r="BC40" i="7"/>
  <c r="BC8" i="7"/>
  <c r="BC9" i="7" s="1"/>
  <c r="BA20" i="7"/>
  <c r="BA21" i="7"/>
  <c r="BK4" i="7"/>
  <c r="BL3" i="7"/>
  <c r="BA36" i="7"/>
  <c r="BE27" i="7"/>
  <c r="BD28" i="7"/>
  <c r="BD29" i="7" s="1"/>
  <c r="BB30" i="7"/>
  <c r="BB41" i="7"/>
  <c r="BB42" i="7" s="1"/>
  <c r="T2942" i="1"/>
  <c r="S2941" i="1"/>
  <c r="O1636" i="1"/>
  <c r="S1635" i="1"/>
  <c r="T1635" i="1" s="1"/>
  <c r="R1635" i="1"/>
  <c r="R5198" i="1"/>
  <c r="S5198" i="1"/>
  <c r="O5199" i="1"/>
  <c r="O5200" i="1" s="1"/>
  <c r="T5251" i="1"/>
  <c r="T4946" i="1"/>
  <c r="T3959" i="1"/>
  <c r="T4037" i="1"/>
  <c r="T5239" i="1"/>
  <c r="T699" i="1"/>
  <c r="T5131" i="1"/>
  <c r="T416" i="1"/>
  <c r="T415" i="1"/>
  <c r="T4074" i="1"/>
  <c r="T3965" i="1"/>
  <c r="T701" i="1"/>
  <c r="T6101" i="1"/>
  <c r="T4984" i="1"/>
  <c r="T275" i="1"/>
  <c r="T274" i="1"/>
  <c r="T3602" i="1"/>
  <c r="T3128" i="1"/>
  <c r="T4116" i="1"/>
  <c r="T3857" i="1"/>
  <c r="T5975" i="1"/>
  <c r="T3501" i="1"/>
  <c r="T4866" i="1"/>
  <c r="T3785" i="1"/>
  <c r="T4889" i="1"/>
  <c r="T295" i="1"/>
  <c r="T3295" i="1"/>
  <c r="T3806" i="1"/>
  <c r="T4065" i="1"/>
  <c r="T595" i="1"/>
  <c r="T594" i="1"/>
  <c r="T316" i="1"/>
  <c r="T69" i="1"/>
  <c r="T554" i="1"/>
  <c r="T276" i="1"/>
  <c r="T5156" i="1"/>
  <c r="T5155" i="1"/>
  <c r="T3902" i="1"/>
  <c r="T6119" i="1"/>
  <c r="T70" i="1"/>
  <c r="T4736" i="1"/>
  <c r="T417" i="1"/>
  <c r="X51" i="1" l="1"/>
  <c r="Y51" i="1" s="1"/>
  <c r="AA51" i="1"/>
  <c r="Z51" i="1" s="1"/>
  <c r="W53" i="1"/>
  <c r="BC38" i="7"/>
  <c r="BC24" i="7"/>
  <c r="BC25" i="7"/>
  <c r="BB37" i="7"/>
  <c r="BC32" i="7"/>
  <c r="BC34" i="7"/>
  <c r="BC35" i="7" s="1"/>
  <c r="BE11" i="7"/>
  <c r="BD12" i="7"/>
  <c r="BC13" i="7"/>
  <c r="BC14" i="7"/>
  <c r="BC33" i="7"/>
  <c r="BC16" i="7"/>
  <c r="BC17" i="7" s="1"/>
  <c r="BB20" i="7"/>
  <c r="BB21" i="7"/>
  <c r="BE5" i="7"/>
  <c r="BD6" i="7"/>
  <c r="BD7" i="7"/>
  <c r="BD40" i="7"/>
  <c r="BD8" i="7"/>
  <c r="BD9" i="7" s="1"/>
  <c r="BD30" i="7"/>
  <c r="BC19" i="7"/>
  <c r="BL4" i="7"/>
  <c r="BM3" i="7"/>
  <c r="BB36" i="7"/>
  <c r="BC30" i="7"/>
  <c r="BC41" i="7"/>
  <c r="BC42" i="7" s="1"/>
  <c r="BE28" i="7"/>
  <c r="BE29" i="7" s="1"/>
  <c r="BF27" i="7"/>
  <c r="T2941" i="1"/>
  <c r="S2940" i="1"/>
  <c r="T2940" i="1" s="1"/>
  <c r="S1636" i="1"/>
  <c r="T1636" i="1" s="1"/>
  <c r="O1637" i="1"/>
  <c r="R1636" i="1"/>
  <c r="R5200" i="1"/>
  <c r="R5199" i="1" s="1"/>
  <c r="S5200" i="1"/>
  <c r="S5199" i="1" s="1"/>
  <c r="O5201" i="1"/>
  <c r="T4962" i="1"/>
  <c r="T698" i="1"/>
  <c r="T315" i="1"/>
  <c r="T3294" i="1"/>
  <c r="T4983" i="1"/>
  <c r="T5145" i="1"/>
  <c r="T5144" i="1"/>
  <c r="T4865" i="1"/>
  <c r="T3500" i="1"/>
  <c r="T3127" i="1"/>
  <c r="T3126" i="1"/>
  <c r="T4133" i="1"/>
  <c r="T3900" i="1"/>
  <c r="T4053" i="1"/>
  <c r="T4052" i="1"/>
  <c r="T4888" i="1"/>
  <c r="T3601" i="1"/>
  <c r="T5130" i="1"/>
  <c r="T3829" i="1"/>
  <c r="T5219" i="1"/>
  <c r="T5218" i="1"/>
  <c r="T3412" i="1"/>
  <c r="T553" i="1"/>
  <c r="T552" i="1"/>
  <c r="T4064" i="1"/>
  <c r="T273" i="1"/>
  <c r="T3805" i="1"/>
  <c r="T3784" i="1"/>
  <c r="T3856" i="1"/>
  <c r="T4908" i="1"/>
  <c r="T6098" i="1"/>
  <c r="T68" i="1"/>
  <c r="T414" i="1"/>
  <c r="T6188" i="1"/>
  <c r="T3985" i="1"/>
  <c r="T3585" i="1"/>
  <c r="T6002" i="1"/>
  <c r="T5146" i="1"/>
  <c r="W54" i="1" l="1"/>
  <c r="X52" i="1"/>
  <c r="Y52" i="1" s="1"/>
  <c r="AA52" i="1"/>
  <c r="Z52" i="1" s="1"/>
  <c r="BD38" i="7"/>
  <c r="BD24" i="7"/>
  <c r="BD25" i="7"/>
  <c r="BC37" i="7"/>
  <c r="BD16" i="7"/>
  <c r="BD17" i="7" s="1"/>
  <c r="BD33" i="7"/>
  <c r="BD19" i="7"/>
  <c r="BD32" i="7"/>
  <c r="BC20" i="7"/>
  <c r="BC21" i="7"/>
  <c r="BE6" i="7"/>
  <c r="BE7" i="7"/>
  <c r="BF5" i="7"/>
  <c r="BE40" i="7"/>
  <c r="BE8" i="7"/>
  <c r="BE9" i="7" s="1"/>
  <c r="BD14" i="7"/>
  <c r="BD13" i="7"/>
  <c r="BF11" i="7"/>
  <c r="BE12" i="7"/>
  <c r="BD34" i="7"/>
  <c r="BD35" i="7" s="1"/>
  <c r="BE30" i="7"/>
  <c r="BN3" i="7"/>
  <c r="BM4" i="7"/>
  <c r="BD41" i="7"/>
  <c r="BD42" i="7" s="1"/>
  <c r="BC36" i="7"/>
  <c r="BF28" i="7"/>
  <c r="BF29" i="7" s="1"/>
  <c r="BG27" i="7"/>
  <c r="O1638" i="1"/>
  <c r="R1637" i="1"/>
  <c r="S1637" i="1"/>
  <c r="T1637" i="1" s="1"/>
  <c r="R5201" i="1"/>
  <c r="S5201" i="1"/>
  <c r="O5202" i="1"/>
  <c r="T697" i="1"/>
  <c r="T6053" i="1"/>
  <c r="T696" i="1"/>
  <c r="T5075" i="1"/>
  <c r="T3804" i="1"/>
  <c r="T272" i="1"/>
  <c r="T3584" i="1"/>
  <c r="T3828" i="1"/>
  <c r="T5248" i="1"/>
  <c r="T67" i="1"/>
  <c r="T66" i="1"/>
  <c r="T6097" i="1"/>
  <c r="T3783" i="1"/>
  <c r="T3293" i="1"/>
  <c r="T3899" i="1"/>
  <c r="T3998" i="1"/>
  <c r="T4711" i="1"/>
  <c r="T314" i="1"/>
  <c r="T4907" i="1"/>
  <c r="T3411" i="1"/>
  <c r="T3600" i="1"/>
  <c r="T4132" i="1"/>
  <c r="T3986" i="1"/>
  <c r="T6052" i="1"/>
  <c r="X53" i="1" l="1"/>
  <c r="Y53" i="1" s="1"/>
  <c r="AA53" i="1"/>
  <c r="Z53" i="1" s="1"/>
  <c r="W55" i="1"/>
  <c r="BE38" i="7"/>
  <c r="BE24" i="7"/>
  <c r="BE25" i="7"/>
  <c r="BD37" i="7"/>
  <c r="BE33" i="7"/>
  <c r="BE16" i="7"/>
  <c r="BE17" i="7" s="1"/>
  <c r="BD20" i="7"/>
  <c r="BD21" i="7"/>
  <c r="BE34" i="7"/>
  <c r="BE35" i="7" s="1"/>
  <c r="BE32" i="7"/>
  <c r="BG5" i="7"/>
  <c r="BF40" i="7"/>
  <c r="BF6" i="7"/>
  <c r="BF7" i="7"/>
  <c r="BF8" i="7"/>
  <c r="BF9" i="7" s="1"/>
  <c r="BE13" i="7"/>
  <c r="BE14" i="7"/>
  <c r="BG11" i="7"/>
  <c r="BF12" i="7"/>
  <c r="BE19" i="7"/>
  <c r="BO3" i="7"/>
  <c r="BN4" i="7"/>
  <c r="BD36" i="7"/>
  <c r="BE41" i="7"/>
  <c r="BE42" i="7" s="1"/>
  <c r="BG28" i="7"/>
  <c r="BG29" i="7" s="1"/>
  <c r="BH27" i="7"/>
  <c r="R1638" i="1"/>
  <c r="S1638" i="1"/>
  <c r="T1638" i="1" s="1"/>
  <c r="O1639" i="1"/>
  <c r="S5202" i="1"/>
  <c r="R5202" i="1"/>
  <c r="O5203" i="1"/>
  <c r="T3997" i="1"/>
  <c r="T413" i="1"/>
  <c r="T4906" i="1"/>
  <c r="T271" i="1"/>
  <c r="T5247" i="1"/>
  <c r="T4131" i="1"/>
  <c r="T3292" i="1"/>
  <c r="T3898" i="1"/>
  <c r="T4710" i="1"/>
  <c r="T3803" i="1"/>
  <c r="T3827" i="1"/>
  <c r="T3583" i="1"/>
  <c r="T5074" i="1"/>
  <c r="T5993" i="1"/>
  <c r="T3782" i="1"/>
  <c r="T3410" i="1"/>
  <c r="T6096" i="1"/>
  <c r="T5143" i="1"/>
  <c r="X54" i="1" l="1"/>
  <c r="Y54" i="1" s="1"/>
  <c r="AA54" i="1"/>
  <c r="Z54" i="1" s="1"/>
  <c r="W56" i="1"/>
  <c r="BF38" i="7"/>
  <c r="BF25" i="7"/>
  <c r="BF24" i="7"/>
  <c r="BE37" i="7"/>
  <c r="BE20" i="7"/>
  <c r="BE21" i="7"/>
  <c r="BF34" i="7"/>
  <c r="BF35" i="7" s="1"/>
  <c r="BH11" i="7"/>
  <c r="BG12" i="7"/>
  <c r="BF19" i="7"/>
  <c r="BF16" i="7"/>
  <c r="BF17" i="7" s="1"/>
  <c r="BF33" i="7"/>
  <c r="BF13" i="7"/>
  <c r="BF14" i="7"/>
  <c r="BG7" i="7"/>
  <c r="BG6" i="7"/>
  <c r="BH5" i="7"/>
  <c r="BG40" i="7"/>
  <c r="BG8" i="7"/>
  <c r="BG9" i="7" s="1"/>
  <c r="BF32" i="7"/>
  <c r="BE36" i="7"/>
  <c r="BO4" i="7"/>
  <c r="BP3" i="7"/>
  <c r="BI27" i="7"/>
  <c r="BH28" i="7"/>
  <c r="BH29" i="7" s="1"/>
  <c r="BF30" i="7"/>
  <c r="BF41" i="7"/>
  <c r="BF42" i="7" s="1"/>
  <c r="R1639" i="1"/>
  <c r="S1639" i="1"/>
  <c r="T1639" i="1" s="1"/>
  <c r="R5203" i="1"/>
  <c r="S5203" i="1"/>
  <c r="T3826" i="1"/>
  <c r="T5991" i="1"/>
  <c r="T5992" i="1"/>
  <c r="T4905" i="1"/>
  <c r="T65" i="1"/>
  <c r="T3983" i="1"/>
  <c r="T6095" i="1"/>
  <c r="T4130" i="1"/>
  <c r="T412" i="1"/>
  <c r="T5073" i="1"/>
  <c r="T4709" i="1"/>
  <c r="T5246" i="1"/>
  <c r="T3996" i="1"/>
  <c r="T3984" i="1"/>
  <c r="T3982" i="1"/>
  <c r="T6051" i="1"/>
  <c r="X55" i="1" l="1"/>
  <c r="Y55" i="1" s="1"/>
  <c r="AA55" i="1"/>
  <c r="Z55" i="1" s="1"/>
  <c r="W57" i="1"/>
  <c r="BG32" i="7"/>
  <c r="BG38" i="7"/>
  <c r="BG25" i="7"/>
  <c r="BG24" i="7"/>
  <c r="BF37" i="7"/>
  <c r="BG34" i="7"/>
  <c r="BG35" i="7" s="1"/>
  <c r="BG14" i="7"/>
  <c r="BG13" i="7"/>
  <c r="BI11" i="7"/>
  <c r="BH12" i="7"/>
  <c r="BI5" i="7"/>
  <c r="BH7" i="7"/>
  <c r="BH6" i="7"/>
  <c r="BH40" i="7"/>
  <c r="BH8" i="7"/>
  <c r="BH9" i="7" s="1"/>
  <c r="BG33" i="7"/>
  <c r="BG16" i="7"/>
  <c r="BG17" i="7" s="1"/>
  <c r="BG19" i="7"/>
  <c r="BF20" i="7"/>
  <c r="BF21" i="7"/>
  <c r="BQ3" i="7"/>
  <c r="BP4" i="7"/>
  <c r="BG41" i="7"/>
  <c r="BG42" i="7" s="1"/>
  <c r="BG30" i="7"/>
  <c r="BF36" i="7"/>
  <c r="BI28" i="7"/>
  <c r="BI29" i="7" s="1"/>
  <c r="BJ27" i="7"/>
  <c r="T4904" i="1"/>
  <c r="T5245" i="1"/>
  <c r="T4129" i="1"/>
  <c r="T4708" i="1"/>
  <c r="T6094" i="1"/>
  <c r="T3825" i="1"/>
  <c r="T5072" i="1"/>
  <c r="T64" i="1"/>
  <c r="T411" i="1"/>
  <c r="X56" i="1" l="1"/>
  <c r="Y56" i="1" s="1"/>
  <c r="AA56" i="1"/>
  <c r="Z56" i="1" s="1"/>
  <c r="W58" i="1"/>
  <c r="BG37" i="7"/>
  <c r="BH38" i="7"/>
  <c r="BH24" i="7"/>
  <c r="BH25" i="7"/>
  <c r="BG36" i="7"/>
  <c r="BH34" i="7"/>
  <c r="BH35" i="7" s="1"/>
  <c r="BH32" i="7"/>
  <c r="BI7" i="7"/>
  <c r="BJ5" i="7"/>
  <c r="BI6" i="7"/>
  <c r="BI40" i="7"/>
  <c r="BI8" i="7"/>
  <c r="BI9" i="7" s="1"/>
  <c r="BH16" i="7"/>
  <c r="BH17" i="7" s="1"/>
  <c r="BH33" i="7"/>
  <c r="BJ11" i="7"/>
  <c r="BI12" i="7"/>
  <c r="BH14" i="7"/>
  <c r="BH13" i="7"/>
  <c r="BG20" i="7"/>
  <c r="BG21" i="7"/>
  <c r="BH19" i="7"/>
  <c r="BR3" i="7"/>
  <c r="BQ4" i="7"/>
  <c r="BJ28" i="7"/>
  <c r="BJ29" i="7" s="1"/>
  <c r="BK27" i="7"/>
  <c r="BH30" i="7"/>
  <c r="BH41" i="7"/>
  <c r="BH42" i="7" s="1"/>
  <c r="T5071" i="1"/>
  <c r="T5244" i="1"/>
  <c r="T3981" i="1"/>
  <c r="T123" i="1"/>
  <c r="T122" i="1"/>
  <c r="T63" i="1"/>
  <c r="T6093" i="1"/>
  <c r="X57" i="1" l="1"/>
  <c r="Y57" i="1" s="1"/>
  <c r="AA57" i="1"/>
  <c r="Z57" i="1" s="1"/>
  <c r="W59" i="1"/>
  <c r="BI38" i="7"/>
  <c r="BI25" i="7"/>
  <c r="BI24" i="7"/>
  <c r="BH37" i="7"/>
  <c r="BI32" i="7"/>
  <c r="BI34" i="7"/>
  <c r="BI35" i="7" s="1"/>
  <c r="BI33" i="7"/>
  <c r="BI16" i="7"/>
  <c r="BI17" i="7" s="1"/>
  <c r="BH20" i="7"/>
  <c r="BH21" i="7"/>
  <c r="BI14" i="7"/>
  <c r="BI13" i="7"/>
  <c r="BI19" i="7"/>
  <c r="BK11" i="7"/>
  <c r="BJ12" i="7"/>
  <c r="BJ6" i="7"/>
  <c r="BJ7" i="7"/>
  <c r="BK5" i="7"/>
  <c r="BJ40" i="7"/>
  <c r="BJ8" i="7"/>
  <c r="BJ9" i="7" s="1"/>
  <c r="BS3" i="7"/>
  <c r="BR4" i="7"/>
  <c r="BL27" i="7"/>
  <c r="BK28" i="7"/>
  <c r="BK29" i="7" s="1"/>
  <c r="BH36" i="7"/>
  <c r="BI41" i="7"/>
  <c r="BI42" i="7" s="1"/>
  <c r="BI30" i="7"/>
  <c r="T388" i="1"/>
  <c r="T3980" i="1"/>
  <c r="T5243" i="1"/>
  <c r="T389" i="1"/>
  <c r="T62" i="1"/>
  <c r="T5070" i="1"/>
  <c r="T390" i="1"/>
  <c r="X58" i="1" l="1"/>
  <c r="Y58" i="1" s="1"/>
  <c r="AA58" i="1"/>
  <c r="Z58" i="1" s="1"/>
  <c r="W60" i="1"/>
  <c r="BJ38" i="7"/>
  <c r="BJ25" i="7"/>
  <c r="BJ24" i="7"/>
  <c r="BI37" i="7"/>
  <c r="BJ19" i="7"/>
  <c r="BK7" i="7"/>
  <c r="BL5" i="7"/>
  <c r="BK6" i="7"/>
  <c r="BK40" i="7"/>
  <c r="BK8" i="7"/>
  <c r="BK9" i="7" s="1"/>
  <c r="BJ32" i="7"/>
  <c r="BJ13" i="7"/>
  <c r="BJ14" i="7"/>
  <c r="BL11" i="7"/>
  <c r="BK12" i="7"/>
  <c r="BJ16" i="7"/>
  <c r="BJ17" i="7" s="1"/>
  <c r="BJ33" i="7"/>
  <c r="BJ34" i="7"/>
  <c r="BJ35" i="7" s="1"/>
  <c r="BI20" i="7"/>
  <c r="BI21" i="7"/>
  <c r="BS4" i="7"/>
  <c r="BT3" i="7"/>
  <c r="BM27" i="7"/>
  <c r="BL28" i="7"/>
  <c r="BL29" i="7" s="1"/>
  <c r="BJ30" i="7"/>
  <c r="BJ41" i="7"/>
  <c r="BJ42" i="7" s="1"/>
  <c r="BI36" i="7"/>
  <c r="T5202" i="1"/>
  <c r="T5203" i="1"/>
  <c r="T61" i="1"/>
  <c r="T387" i="1"/>
  <c r="X59" i="1" l="1"/>
  <c r="Y59" i="1" s="1"/>
  <c r="AA59" i="1"/>
  <c r="Z59" i="1" s="1"/>
  <c r="W61" i="1"/>
  <c r="BK38" i="7"/>
  <c r="BK24" i="7"/>
  <c r="BK25" i="7"/>
  <c r="BJ37" i="7"/>
  <c r="BK14" i="7"/>
  <c r="BK13" i="7"/>
  <c r="BK19" i="7"/>
  <c r="BM11" i="7"/>
  <c r="BL12" i="7"/>
  <c r="BL7" i="7"/>
  <c r="BL40" i="7"/>
  <c r="BL41" i="7" s="1"/>
  <c r="BL42" i="7" s="1"/>
  <c r="BM5" i="7"/>
  <c r="BL6" i="7"/>
  <c r="BL8" i="7"/>
  <c r="BL9" i="7" s="1"/>
  <c r="BK16" i="7"/>
  <c r="BK17" i="7" s="1"/>
  <c r="BK33" i="7"/>
  <c r="BK32" i="7"/>
  <c r="BK34" i="7"/>
  <c r="BK35" i="7" s="1"/>
  <c r="BJ20" i="7"/>
  <c r="BJ21" i="7"/>
  <c r="BT4" i="7"/>
  <c r="BU3" i="7"/>
  <c r="BJ36" i="7"/>
  <c r="BN27" i="7"/>
  <c r="BM28" i="7"/>
  <c r="BM29" i="7" s="1"/>
  <c r="BK30" i="7"/>
  <c r="BK41" i="7"/>
  <c r="BK42" i="7" s="1"/>
  <c r="T5201" i="1"/>
  <c r="T386" i="1"/>
  <c r="T6049" i="1"/>
  <c r="X60" i="1" l="1"/>
  <c r="Y60" i="1" s="1"/>
  <c r="AA60" i="1"/>
  <c r="Z60" i="1" s="1"/>
  <c r="W62" i="1"/>
  <c r="BL38" i="7"/>
  <c r="BL24" i="7"/>
  <c r="BL25" i="7"/>
  <c r="BK37" i="7"/>
  <c r="BL32" i="7"/>
  <c r="BL34" i="7"/>
  <c r="BL35" i="7" s="1"/>
  <c r="BN11" i="7"/>
  <c r="BM12" i="7"/>
  <c r="BK20" i="7"/>
  <c r="BK21" i="7"/>
  <c r="BL33" i="7"/>
  <c r="BL16" i="7"/>
  <c r="BL17" i="7" s="1"/>
  <c r="BL19" i="7"/>
  <c r="BL14" i="7"/>
  <c r="BL13" i="7"/>
  <c r="BN5" i="7"/>
  <c r="BM7" i="7"/>
  <c r="BM6" i="7"/>
  <c r="BM40" i="7"/>
  <c r="BM8" i="7"/>
  <c r="BM9" i="7" s="1"/>
  <c r="BV3" i="7"/>
  <c r="BU4" i="7"/>
  <c r="BL30" i="7"/>
  <c r="BO27" i="7"/>
  <c r="BN28" i="7"/>
  <c r="BN29" i="7" s="1"/>
  <c r="BK36" i="7"/>
  <c r="T5199" i="1"/>
  <c r="T5200" i="1"/>
  <c r="T4961" i="1"/>
  <c r="T385" i="1"/>
  <c r="T6050" i="1"/>
  <c r="X61" i="1" l="1"/>
  <c r="Y61" i="1" s="1"/>
  <c r="AA61" i="1"/>
  <c r="Z61" i="1" s="1"/>
  <c r="W63" i="1"/>
  <c r="BM38" i="7"/>
  <c r="BM24" i="7"/>
  <c r="BM25" i="7"/>
  <c r="BL37" i="7"/>
  <c r="BM32" i="7"/>
  <c r="BN7" i="7"/>
  <c r="BN6" i="7"/>
  <c r="BN40" i="7"/>
  <c r="BO5" i="7"/>
  <c r="BN8" i="7"/>
  <c r="BN9" i="7" s="1"/>
  <c r="BM34" i="7"/>
  <c r="BM35" i="7" s="1"/>
  <c r="BM19" i="7"/>
  <c r="BM16" i="7"/>
  <c r="BM17" i="7" s="1"/>
  <c r="BM33" i="7"/>
  <c r="BL20" i="7"/>
  <c r="BL21" i="7"/>
  <c r="BM13" i="7"/>
  <c r="BM14" i="7"/>
  <c r="BO11" i="7"/>
  <c r="BN12" i="7"/>
  <c r="BV4" i="7"/>
  <c r="BW3" i="7"/>
  <c r="BL36" i="7"/>
  <c r="BM30" i="7"/>
  <c r="BM41" i="7"/>
  <c r="BM42" i="7" s="1"/>
  <c r="BP27" i="7"/>
  <c r="BO28" i="7"/>
  <c r="BO29" i="7" s="1"/>
  <c r="T384" i="1"/>
  <c r="T6048" i="1"/>
  <c r="T4960" i="1"/>
  <c r="X62" i="1" l="1"/>
  <c r="Y62" i="1" s="1"/>
  <c r="AA62" i="1"/>
  <c r="Z62" i="1" s="1"/>
  <c r="W64" i="1"/>
  <c r="BN38" i="7"/>
  <c r="BN25" i="7"/>
  <c r="BN24" i="7"/>
  <c r="BM37" i="7"/>
  <c r="BN32" i="7"/>
  <c r="BN34" i="7"/>
  <c r="BN35" i="7" s="1"/>
  <c r="BM20" i="7"/>
  <c r="BM21" i="7"/>
  <c r="BP5" i="7"/>
  <c r="BO6" i="7"/>
  <c r="BO7" i="7"/>
  <c r="BO40" i="7"/>
  <c r="BO8" i="7"/>
  <c r="BO9" i="7" s="1"/>
  <c r="BN16" i="7"/>
  <c r="BN17" i="7" s="1"/>
  <c r="BN33" i="7"/>
  <c r="BP11" i="7"/>
  <c r="BO12" i="7"/>
  <c r="BN19" i="7"/>
  <c r="BN14" i="7"/>
  <c r="BN13" i="7"/>
  <c r="BW4" i="7"/>
  <c r="BX3" i="7"/>
  <c r="BP28" i="7"/>
  <c r="BP29" i="7" s="1"/>
  <c r="BQ27" i="7"/>
  <c r="BN30" i="7"/>
  <c r="BN41" i="7"/>
  <c r="BN42" i="7" s="1"/>
  <c r="BM36" i="7"/>
  <c r="T4959" i="1"/>
  <c r="T6047" i="1"/>
  <c r="T383" i="1"/>
  <c r="T786" i="1"/>
  <c r="X63" i="1" l="1"/>
  <c r="Y63" i="1" s="1"/>
  <c r="AA63" i="1"/>
  <c r="Z63" i="1" s="1"/>
  <c r="W65" i="1"/>
  <c r="BO38" i="7"/>
  <c r="BO25" i="7"/>
  <c r="BO24" i="7"/>
  <c r="BO34" i="7"/>
  <c r="BO35" i="7" s="1"/>
  <c r="BN37" i="7"/>
  <c r="BO14" i="7"/>
  <c r="BO13" i="7"/>
  <c r="BO19" i="7"/>
  <c r="BQ5" i="7"/>
  <c r="BP6" i="7"/>
  <c r="BP40" i="7"/>
  <c r="BP41" i="7" s="1"/>
  <c r="BP42" i="7" s="1"/>
  <c r="BP7" i="7"/>
  <c r="BP8" i="7"/>
  <c r="BP9" i="7" s="1"/>
  <c r="BO32" i="7"/>
  <c r="BQ11" i="7"/>
  <c r="BP12" i="7"/>
  <c r="BN20" i="7"/>
  <c r="BN21" i="7"/>
  <c r="BO33" i="7"/>
  <c r="BO16" i="7"/>
  <c r="BO17" i="7" s="1"/>
  <c r="BY3" i="7"/>
  <c r="BX4" i="7"/>
  <c r="BR27" i="7"/>
  <c r="BQ28" i="7"/>
  <c r="BQ29" i="7" s="1"/>
  <c r="BN36" i="7"/>
  <c r="BO30" i="7"/>
  <c r="BO41" i="7"/>
  <c r="BO42" i="7" s="1"/>
  <c r="T6046" i="1"/>
  <c r="T382" i="1"/>
  <c r="T381" i="1"/>
  <c r="T4958" i="1"/>
  <c r="X64" i="1" l="1"/>
  <c r="Y64" i="1" s="1"/>
  <c r="AA64" i="1"/>
  <c r="Z64" i="1" s="1"/>
  <c r="W66" i="1"/>
  <c r="BP38" i="7"/>
  <c r="BP25" i="7"/>
  <c r="BP24" i="7"/>
  <c r="BO37" i="7"/>
  <c r="BP14" i="7"/>
  <c r="BP13" i="7"/>
  <c r="BP19" i="7"/>
  <c r="BR11" i="7"/>
  <c r="BQ12" i="7"/>
  <c r="BP32" i="7"/>
  <c r="BR5" i="7"/>
  <c r="BQ6" i="7"/>
  <c r="BQ7" i="7"/>
  <c r="BQ40" i="7"/>
  <c r="BQ8" i="7"/>
  <c r="BQ9" i="7" s="1"/>
  <c r="BP34" i="7"/>
  <c r="BP35" i="7" s="1"/>
  <c r="BP33" i="7"/>
  <c r="BP16" i="7"/>
  <c r="BP17" i="7" s="1"/>
  <c r="BO20" i="7"/>
  <c r="BO21" i="7"/>
  <c r="BZ3" i="7"/>
  <c r="BY4" i="7"/>
  <c r="BP30" i="7"/>
  <c r="BO36" i="7"/>
  <c r="BR28" i="7"/>
  <c r="BR29" i="7" s="1"/>
  <c r="BS27" i="7"/>
  <c r="T4957" i="1"/>
  <c r="T6045" i="1"/>
  <c r="T785" i="1"/>
  <c r="X65" i="1" l="1"/>
  <c r="Y65" i="1" s="1"/>
  <c r="AA65" i="1"/>
  <c r="Z65" i="1" s="1"/>
  <c r="W67" i="1"/>
  <c r="BQ38" i="7"/>
  <c r="BQ25" i="7"/>
  <c r="BQ24" i="7"/>
  <c r="BQ32" i="7"/>
  <c r="BP36" i="7"/>
  <c r="BP37" i="7"/>
  <c r="BQ34" i="7"/>
  <c r="BQ35" i="7" s="1"/>
  <c r="BQ13" i="7"/>
  <c r="BQ14" i="7"/>
  <c r="BP20" i="7"/>
  <c r="BP21" i="7"/>
  <c r="BQ16" i="7"/>
  <c r="BQ17" i="7" s="1"/>
  <c r="BQ33" i="7"/>
  <c r="BQ19" i="7"/>
  <c r="BQ20" i="7" s="1"/>
  <c r="BS11" i="7"/>
  <c r="BR12" i="7"/>
  <c r="BS5" i="7"/>
  <c r="BR6" i="7"/>
  <c r="BR7" i="7"/>
  <c r="BR40" i="7"/>
  <c r="BR8" i="7"/>
  <c r="BR9" i="7" s="1"/>
  <c r="CA3" i="7"/>
  <c r="BZ4" i="7"/>
  <c r="BS28" i="7"/>
  <c r="BS29" i="7" s="1"/>
  <c r="BT27" i="7"/>
  <c r="BQ30" i="7"/>
  <c r="BQ41" i="7"/>
  <c r="BQ42" i="7" s="1"/>
  <c r="T6044" i="1"/>
  <c r="T4956" i="1"/>
  <c r="X66" i="1" l="1"/>
  <c r="Y66" i="1" s="1"/>
  <c r="AA66" i="1"/>
  <c r="Z66" i="1" s="1"/>
  <c r="W68" i="1"/>
  <c r="BR38" i="7"/>
  <c r="BR24" i="7"/>
  <c r="BR25" i="7"/>
  <c r="BQ37" i="7"/>
  <c r="BR41" i="7"/>
  <c r="BR42" i="7" s="1"/>
  <c r="BR34" i="7"/>
  <c r="BR35" i="7" s="1"/>
  <c r="BT11" i="7"/>
  <c r="BS12" i="7"/>
  <c r="BR13" i="7"/>
  <c r="BR14" i="7"/>
  <c r="BR16" i="7"/>
  <c r="BR17" i="7" s="1"/>
  <c r="BR33" i="7"/>
  <c r="BR32" i="7"/>
  <c r="BQ21" i="7"/>
  <c r="BS7" i="7"/>
  <c r="BT5" i="7"/>
  <c r="BS6" i="7"/>
  <c r="BS40" i="7"/>
  <c r="BS8" i="7"/>
  <c r="BS9" i="7" s="1"/>
  <c r="BR19" i="7"/>
  <c r="BS30" i="7"/>
  <c r="CB3" i="7"/>
  <c r="CA4" i="7"/>
  <c r="BR30" i="7"/>
  <c r="BT28" i="7"/>
  <c r="BT29" i="7" s="1"/>
  <c r="BU27" i="7"/>
  <c r="BQ36" i="7"/>
  <c r="T4955" i="1"/>
  <c r="T6043" i="1"/>
  <c r="X67" i="1" l="1"/>
  <c r="Y67" i="1" s="1"/>
  <c r="AA67" i="1"/>
  <c r="Z67" i="1" s="1"/>
  <c r="W69" i="1"/>
  <c r="BS38" i="7"/>
  <c r="BS24" i="7"/>
  <c r="BS25" i="7"/>
  <c r="BR37" i="7"/>
  <c r="BS34" i="7"/>
  <c r="BS35" i="7" s="1"/>
  <c r="BS16" i="7"/>
  <c r="BS17" i="7" s="1"/>
  <c r="BS33" i="7"/>
  <c r="BR20" i="7"/>
  <c r="BR21" i="7"/>
  <c r="BT6" i="7"/>
  <c r="BT40" i="7"/>
  <c r="BU5" i="7"/>
  <c r="BT7" i="7"/>
  <c r="BT8" i="7"/>
  <c r="BT9" i="7" s="1"/>
  <c r="BS19" i="7"/>
  <c r="BS13" i="7"/>
  <c r="BS14" i="7"/>
  <c r="BS32" i="7"/>
  <c r="BU11" i="7"/>
  <c r="BT12" i="7"/>
  <c r="CB4" i="7"/>
  <c r="CC3" i="7"/>
  <c r="BR36" i="7"/>
  <c r="BS41" i="7"/>
  <c r="BS42" i="7" s="1"/>
  <c r="BU28" i="7"/>
  <c r="BU29" i="7" s="1"/>
  <c r="BV27" i="7"/>
  <c r="T6042" i="1"/>
  <c r="T4954" i="1"/>
  <c r="X68" i="1" l="1"/>
  <c r="Y68" i="1" s="1"/>
  <c r="AA68" i="1"/>
  <c r="Z68" i="1" s="1"/>
  <c r="W70" i="1"/>
  <c r="BT38" i="7"/>
  <c r="BT24" i="7"/>
  <c r="BT25" i="7"/>
  <c r="BS37" i="7"/>
  <c r="BT34" i="7"/>
  <c r="BT35" i="7" s="1"/>
  <c r="BT32" i="7"/>
  <c r="BT33" i="7"/>
  <c r="BT16" i="7"/>
  <c r="BT17" i="7" s="1"/>
  <c r="BS20" i="7"/>
  <c r="BS21" i="7"/>
  <c r="BT13" i="7"/>
  <c r="BT14" i="7"/>
  <c r="BT19" i="7"/>
  <c r="BV11" i="7"/>
  <c r="BU12" i="7"/>
  <c r="BU6" i="7"/>
  <c r="BV5" i="7"/>
  <c r="BU7" i="7"/>
  <c r="BU40" i="7"/>
  <c r="BU8" i="7"/>
  <c r="BU9" i="7" s="1"/>
  <c r="CD3" i="7"/>
  <c r="CC4" i="7"/>
  <c r="BS36" i="7"/>
  <c r="BU30" i="7"/>
  <c r="BT30" i="7"/>
  <c r="BT41" i="7"/>
  <c r="BT42" i="7" s="1"/>
  <c r="BV28" i="7"/>
  <c r="BV29" i="7" s="1"/>
  <c r="BW27" i="7"/>
  <c r="T4953" i="1"/>
  <c r="X69" i="1" l="1"/>
  <c r="Y69" i="1" s="1"/>
  <c r="AA69" i="1"/>
  <c r="Z69" i="1" s="1"/>
  <c r="W71" i="1"/>
  <c r="BU38" i="7"/>
  <c r="BU24" i="7"/>
  <c r="BU25" i="7"/>
  <c r="BU32" i="7"/>
  <c r="BT37" i="7"/>
  <c r="BU34" i="7"/>
  <c r="BU35" i="7" s="1"/>
  <c r="BU13" i="7"/>
  <c r="BU14" i="7"/>
  <c r="BW11" i="7"/>
  <c r="BV12" i="7"/>
  <c r="BU33" i="7"/>
  <c r="BU16" i="7"/>
  <c r="BU17" i="7" s="1"/>
  <c r="BT20" i="7"/>
  <c r="BT21" i="7"/>
  <c r="BU19" i="7"/>
  <c r="BV40" i="7"/>
  <c r="BW5" i="7"/>
  <c r="BV6" i="7"/>
  <c r="BV7" i="7"/>
  <c r="BV8" i="7"/>
  <c r="BV9" i="7" s="1"/>
  <c r="CD4" i="7"/>
  <c r="CE3" i="7"/>
  <c r="BU41" i="7"/>
  <c r="BU42" i="7" s="1"/>
  <c r="BW28" i="7"/>
  <c r="BW29" i="7" s="1"/>
  <c r="BX27" i="7"/>
  <c r="BT36" i="7"/>
  <c r="BE49" i="1"/>
  <c r="T4952" i="1"/>
  <c r="X70" i="1" l="1"/>
  <c r="Y70" i="1" s="1"/>
  <c r="AA70" i="1"/>
  <c r="Z70" i="1" s="1"/>
  <c r="W72" i="1"/>
  <c r="BV38" i="7"/>
  <c r="BV25" i="7"/>
  <c r="BV24" i="7"/>
  <c r="BU37" i="7"/>
  <c r="BV34" i="7"/>
  <c r="BV35" i="7" s="1"/>
  <c r="BX5" i="7"/>
  <c r="BW7" i="7"/>
  <c r="BW6" i="7"/>
  <c r="BW40" i="7"/>
  <c r="BW8" i="7"/>
  <c r="BW9" i="7" s="1"/>
  <c r="BV32" i="7"/>
  <c r="BV13" i="7"/>
  <c r="BV14" i="7"/>
  <c r="BV16" i="7"/>
  <c r="BV17" i="7" s="1"/>
  <c r="BV33" i="7"/>
  <c r="BW30" i="7"/>
  <c r="BX11" i="7"/>
  <c r="BW12" i="7"/>
  <c r="BU20" i="7"/>
  <c r="BU21" i="7"/>
  <c r="BV19" i="7"/>
  <c r="CE4" i="7"/>
  <c r="CF3" i="7"/>
  <c r="BU36" i="7"/>
  <c r="BY27" i="7"/>
  <c r="BX28" i="7"/>
  <c r="BX29" i="7" s="1"/>
  <c r="BV30" i="7"/>
  <c r="BV41" i="7"/>
  <c r="BV42" i="7" s="1"/>
  <c r="BE46" i="1"/>
  <c r="T783" i="1"/>
  <c r="T784" i="1"/>
  <c r="X71" i="1" l="1"/>
  <c r="Y71" i="1" s="1"/>
  <c r="AA71" i="1"/>
  <c r="Z71" i="1" s="1"/>
  <c r="W73" i="1"/>
  <c r="BW38" i="7"/>
  <c r="BW25" i="7"/>
  <c r="BW24" i="7"/>
  <c r="BV37" i="7"/>
  <c r="BW34" i="7"/>
  <c r="BW35" i="7" s="1"/>
  <c r="BY11" i="7"/>
  <c r="BX12" i="7"/>
  <c r="BW33" i="7"/>
  <c r="BW16" i="7"/>
  <c r="BW17" i="7" s="1"/>
  <c r="BW13" i="7"/>
  <c r="BW14" i="7"/>
  <c r="BW19" i="7"/>
  <c r="BV20" i="7"/>
  <c r="BV21" i="7"/>
  <c r="BW32" i="7"/>
  <c r="BY5" i="7"/>
  <c r="BX6" i="7"/>
  <c r="BX7" i="7"/>
  <c r="BX40" i="7"/>
  <c r="BX8" i="7"/>
  <c r="BX9" i="7" s="1"/>
  <c r="CG3" i="7"/>
  <c r="CF4" i="7"/>
  <c r="BW41" i="7"/>
  <c r="BW42" i="7" s="1"/>
  <c r="BZ27" i="7"/>
  <c r="BY28" i="7"/>
  <c r="BY29" i="7" s="1"/>
  <c r="BV36" i="7"/>
  <c r="BE45" i="1"/>
  <c r="T782" i="1"/>
  <c r="T3081" i="1"/>
  <c r="T5766" i="1"/>
  <c r="T3002" i="1"/>
  <c r="T5062" i="1"/>
  <c r="T5594" i="1"/>
  <c r="T5925" i="1"/>
  <c r="T4498" i="1"/>
  <c r="T4044" i="1"/>
  <c r="T3047" i="1"/>
  <c r="T3044" i="1"/>
  <c r="T3615" i="1"/>
  <c r="W74" i="1" l="1"/>
  <c r="X72" i="1"/>
  <c r="Y72" i="1" s="1"/>
  <c r="AA72" i="1"/>
  <c r="Z72" i="1" s="1"/>
  <c r="BX38" i="7"/>
  <c r="BX25" i="7"/>
  <c r="BX24" i="7"/>
  <c r="BX32" i="7"/>
  <c r="BW36" i="7"/>
  <c r="BW37" i="7"/>
  <c r="BX19" i="7"/>
  <c r="BX20" i="7" s="1"/>
  <c r="BX34" i="7"/>
  <c r="BX35" i="7" s="1"/>
  <c r="BZ5" i="7"/>
  <c r="BY6" i="7"/>
  <c r="BY7" i="7"/>
  <c r="BY40" i="7"/>
  <c r="BY8" i="7"/>
  <c r="BY9" i="7" s="1"/>
  <c r="BX16" i="7"/>
  <c r="BX17" i="7" s="1"/>
  <c r="BX33" i="7"/>
  <c r="BX14" i="7"/>
  <c r="BX13" i="7"/>
  <c r="BW20" i="7"/>
  <c r="BW21" i="7"/>
  <c r="BZ11" i="7"/>
  <c r="BY12" i="7"/>
  <c r="CG4" i="7"/>
  <c r="CH3" i="7"/>
  <c r="BX41" i="7"/>
  <c r="BX42" i="7" s="1"/>
  <c r="BX30" i="7"/>
  <c r="BZ28" i="7"/>
  <c r="BZ29" i="7" s="1"/>
  <c r="CA27" i="7"/>
  <c r="BE44" i="1"/>
  <c r="BE54" i="1"/>
  <c r="T5765" i="1"/>
  <c r="T3483" i="1"/>
  <c r="T781" i="1"/>
  <c r="T4566" i="1"/>
  <c r="T3336" i="1"/>
  <c r="X73" i="1" l="1"/>
  <c r="Y73" i="1" s="1"/>
  <c r="AA73" i="1"/>
  <c r="Z73" i="1" s="1"/>
  <c r="W75" i="1"/>
  <c r="BX37" i="7"/>
  <c r="BY38" i="7"/>
  <c r="BY25" i="7"/>
  <c r="BY24" i="7"/>
  <c r="BX36" i="7"/>
  <c r="BZ7" i="7"/>
  <c r="CA5" i="7"/>
  <c r="BZ6" i="7"/>
  <c r="BZ40" i="7"/>
  <c r="BZ8" i="7"/>
  <c r="BZ9" i="7" s="1"/>
  <c r="BY13" i="7"/>
  <c r="BY14" i="7"/>
  <c r="BY34" i="7"/>
  <c r="BY35" i="7" s="1"/>
  <c r="CA11" i="7"/>
  <c r="BZ12" i="7"/>
  <c r="BY16" i="7"/>
  <c r="BY17" i="7" s="1"/>
  <c r="BY33" i="7"/>
  <c r="BY32" i="7"/>
  <c r="BX21" i="7"/>
  <c r="BY19" i="7"/>
  <c r="CH4" i="7"/>
  <c r="CI3" i="7"/>
  <c r="BY30" i="7"/>
  <c r="BY41" i="7"/>
  <c r="BY42" i="7" s="1"/>
  <c r="CA28" i="7"/>
  <c r="CA29" i="7" s="1"/>
  <c r="CB27" i="7"/>
  <c r="T5398" i="1"/>
  <c r="T5396" i="1"/>
  <c r="T5397" i="1"/>
  <c r="T780" i="1"/>
  <c r="T779" i="1"/>
  <c r="T5764" i="1"/>
  <c r="T5763" i="1"/>
  <c r="T669" i="1"/>
  <c r="T668" i="1"/>
  <c r="X74" i="1" l="1"/>
  <c r="Y74" i="1" s="1"/>
  <c r="AA74" i="1"/>
  <c r="Z74" i="1" s="1"/>
  <c r="W76" i="1"/>
  <c r="BZ38" i="7"/>
  <c r="BZ24" i="7"/>
  <c r="BZ25" i="7"/>
  <c r="BY37" i="7"/>
  <c r="BZ34" i="7"/>
  <c r="BZ35" i="7" s="1"/>
  <c r="BZ14" i="7"/>
  <c r="BZ13" i="7"/>
  <c r="BZ16" i="7"/>
  <c r="BZ17" i="7" s="1"/>
  <c r="BZ33" i="7"/>
  <c r="BY20" i="7"/>
  <c r="BY21" i="7"/>
  <c r="CB11" i="7"/>
  <c r="CA12" i="7"/>
  <c r="BZ19" i="7"/>
  <c r="CB5" i="7"/>
  <c r="CA6" i="7"/>
  <c r="CA40" i="7"/>
  <c r="CA7" i="7"/>
  <c r="CA8" i="7"/>
  <c r="CA9" i="7" s="1"/>
  <c r="BZ32" i="7"/>
  <c r="CJ3" i="7"/>
  <c r="CI4" i="7"/>
  <c r="BZ30" i="7"/>
  <c r="BZ41" i="7"/>
  <c r="BZ42" i="7" s="1"/>
  <c r="CC27" i="7"/>
  <c r="CB28" i="7"/>
  <c r="CB29" i="7" s="1"/>
  <c r="BY36" i="7"/>
  <c r="T4565" i="1"/>
  <c r="T3335" i="1"/>
  <c r="X75" i="1" l="1"/>
  <c r="Y75" i="1" s="1"/>
  <c r="AA75" i="1"/>
  <c r="Z75" i="1" s="1"/>
  <c r="W77" i="1"/>
  <c r="CA38" i="7"/>
  <c r="CA24" i="7"/>
  <c r="CA25" i="7"/>
  <c r="CA34" i="7"/>
  <c r="CA35" i="7" s="1"/>
  <c r="BZ36" i="7"/>
  <c r="BZ37" i="7"/>
  <c r="CC11" i="7"/>
  <c r="CB12" i="7"/>
  <c r="CA32" i="7"/>
  <c r="CA19" i="7"/>
  <c r="BZ20" i="7"/>
  <c r="BZ21" i="7"/>
  <c r="CA33" i="7"/>
  <c r="CA16" i="7"/>
  <c r="CA17" i="7" s="1"/>
  <c r="CB7" i="7"/>
  <c r="CB40" i="7"/>
  <c r="CB6" i="7"/>
  <c r="CC5" i="7"/>
  <c r="CB8" i="7"/>
  <c r="CB9" i="7" s="1"/>
  <c r="CA14" i="7"/>
  <c r="CA13" i="7"/>
  <c r="CK3" i="7"/>
  <c r="CJ4" i="7"/>
  <c r="CA41" i="7"/>
  <c r="CA42" i="7" s="1"/>
  <c r="CA30" i="7"/>
  <c r="CD27" i="7"/>
  <c r="CC28" i="7"/>
  <c r="CC29" i="7" s="1"/>
  <c r="T3334" i="1"/>
  <c r="T3333" i="1"/>
  <c r="T4564" i="1"/>
  <c r="X76" i="1" l="1"/>
  <c r="Y76" i="1" s="1"/>
  <c r="AA76" i="1"/>
  <c r="Z76" i="1" s="1"/>
  <c r="W78" i="1"/>
  <c r="CB38" i="7"/>
  <c r="CB25" i="7"/>
  <c r="CB24" i="7"/>
  <c r="CA37" i="7"/>
  <c r="CB32" i="7"/>
  <c r="CB34" i="7"/>
  <c r="CB35" i="7" s="1"/>
  <c r="CA20" i="7"/>
  <c r="CA21" i="7"/>
  <c r="CB19" i="7"/>
  <c r="CB16" i="7"/>
  <c r="CB17" i="7" s="1"/>
  <c r="CB33" i="7"/>
  <c r="CB14" i="7"/>
  <c r="CB13" i="7"/>
  <c r="CC6" i="7"/>
  <c r="CC7" i="7"/>
  <c r="CD5" i="7"/>
  <c r="CC40" i="7"/>
  <c r="CC8" i="7"/>
  <c r="CC9" i="7" s="1"/>
  <c r="CD11" i="7"/>
  <c r="CC12" i="7"/>
  <c r="CK4" i="7"/>
  <c r="CL3" i="7"/>
  <c r="CB30" i="7"/>
  <c r="CB41" i="7"/>
  <c r="CB42" i="7" s="1"/>
  <c r="CD28" i="7"/>
  <c r="CD29" i="7" s="1"/>
  <c r="CE27" i="7"/>
  <c r="CA36" i="7"/>
  <c r="T4563" i="1"/>
  <c r="T4562" i="1"/>
  <c r="T5129" i="1"/>
  <c r="T6063" i="1"/>
  <c r="T3507" i="1"/>
  <c r="T3916" i="1"/>
  <c r="T526" i="1"/>
  <c r="T3499" i="1"/>
  <c r="T3599" i="1"/>
  <c r="T3670" i="1"/>
  <c r="T3405" i="1"/>
  <c r="T4178" i="1"/>
  <c r="T636" i="1"/>
  <c r="T2997" i="1"/>
  <c r="T4063" i="1"/>
  <c r="T3208" i="1"/>
  <c r="T3855" i="1"/>
  <c r="T3291" i="1"/>
  <c r="T3531" i="1"/>
  <c r="T5515" i="1"/>
  <c r="T5242" i="1"/>
  <c r="T4847" i="1"/>
  <c r="T4523" i="1"/>
  <c r="T4887" i="1"/>
  <c r="T4094" i="1"/>
  <c r="T3263" i="1"/>
  <c r="T4509" i="1"/>
  <c r="T4529" i="1"/>
  <c r="T3381" i="1"/>
  <c r="T4569" i="1"/>
  <c r="T6004" i="1"/>
  <c r="T3274" i="1"/>
  <c r="T3639" i="1"/>
  <c r="T3694" i="1"/>
  <c r="T4982" i="1"/>
  <c r="T4744" i="1"/>
  <c r="T6056" i="1"/>
  <c r="T5853" i="1"/>
  <c r="T4601" i="1"/>
  <c r="T534" i="1"/>
  <c r="T5312" i="1"/>
  <c r="T4728" i="1"/>
  <c r="T4864" i="1"/>
  <c r="T3964" i="1"/>
  <c r="T4903" i="1"/>
  <c r="T5661" i="1"/>
  <c r="T3897" i="1"/>
  <c r="T4079" i="1"/>
  <c r="T4060" i="1"/>
  <c r="T3577" i="1"/>
  <c r="T6100" i="1"/>
  <c r="T5148" i="1"/>
  <c r="T5786" i="1"/>
  <c r="T5728" i="1"/>
  <c r="T4311" i="1"/>
  <c r="T3535" i="1"/>
  <c r="T4128" i="1"/>
  <c r="T5123" i="1"/>
  <c r="T4139" i="1"/>
  <c r="T5226" i="1"/>
  <c r="T3824" i="1"/>
  <c r="T3451" i="1"/>
  <c r="T3409" i="1"/>
  <c r="T270" i="1"/>
  <c r="T4073" i="1"/>
  <c r="T5052" i="1"/>
  <c r="T4789" i="1"/>
  <c r="T4817" i="1"/>
  <c r="T5113" i="1"/>
  <c r="T5673" i="1"/>
  <c r="T5643" i="1"/>
  <c r="T3907" i="1"/>
  <c r="T3386" i="1"/>
  <c r="T461" i="1"/>
  <c r="T5069" i="1"/>
  <c r="T60" i="1"/>
  <c r="T4105" i="1"/>
  <c r="T4858" i="1"/>
  <c r="T3995" i="1"/>
  <c r="T4537" i="1"/>
  <c r="T508" i="1"/>
  <c r="T3445" i="1"/>
  <c r="T3802" i="1"/>
  <c r="T3958" i="1"/>
  <c r="T3922" i="1"/>
  <c r="T3051" i="1"/>
  <c r="T4951" i="1"/>
  <c r="T5980" i="1"/>
  <c r="T4379" i="1"/>
  <c r="T4707" i="1"/>
  <c r="T5266" i="1"/>
  <c r="T4685" i="1"/>
  <c r="T3398" i="1"/>
  <c r="T5745" i="1"/>
  <c r="T3441" i="1"/>
  <c r="T3287" i="1"/>
  <c r="T3689" i="1"/>
  <c r="T3474" i="1"/>
  <c r="T5304" i="1"/>
  <c r="T5915" i="1"/>
  <c r="T5714" i="1"/>
  <c r="T3364" i="1"/>
  <c r="T3563" i="1"/>
  <c r="T6092" i="1"/>
  <c r="T5974" i="1"/>
  <c r="T5058" i="1"/>
  <c r="T3513" i="1"/>
  <c r="T5790" i="1"/>
  <c r="T3610" i="1"/>
  <c r="T4606" i="1"/>
  <c r="T3582" i="1"/>
  <c r="T4115" i="1"/>
  <c r="T3657" i="1"/>
  <c r="T4013" i="1"/>
  <c r="T6041" i="1"/>
  <c r="T5289" i="1"/>
  <c r="T4945" i="1"/>
  <c r="T3979" i="1"/>
  <c r="T5210" i="1"/>
  <c r="T5250" i="1"/>
  <c r="T3434" i="1"/>
  <c r="T3954" i="1"/>
  <c r="T3634" i="1"/>
  <c r="T637" i="1"/>
  <c r="T410" i="1"/>
  <c r="T4870" i="1"/>
  <c r="T3462" i="1"/>
  <c r="T3781" i="1"/>
  <c r="T3989" i="1"/>
  <c r="T4627" i="1"/>
  <c r="T3684" i="1"/>
  <c r="T4821" i="1"/>
  <c r="T4186" i="1"/>
  <c r="T4648" i="1"/>
  <c r="T5197" i="1"/>
  <c r="T5198" i="1"/>
  <c r="T4972" i="1"/>
  <c r="T4971" i="1"/>
  <c r="T121" i="1"/>
  <c r="T694" i="1"/>
  <c r="T5107" i="1"/>
  <c r="T4935" i="1"/>
  <c r="T6187" i="1"/>
  <c r="T4007" i="1"/>
  <c r="T6001" i="1"/>
  <c r="T4778" i="1"/>
  <c r="T5945" i="1"/>
  <c r="T162" i="1"/>
  <c r="T5276" i="1"/>
  <c r="T6118" i="1"/>
  <c r="T4777" i="1"/>
  <c r="T5077" i="1"/>
  <c r="T3702" i="1"/>
  <c r="T5030" i="1"/>
  <c r="T5933" i="1"/>
  <c r="T5050" i="1"/>
  <c r="T5817" i="1"/>
  <c r="T377" i="1"/>
  <c r="T5851" i="1"/>
  <c r="T5216" i="1"/>
  <c r="T148" i="1"/>
  <c r="T3343" i="1"/>
  <c r="T4939" i="1"/>
  <c r="T3558" i="1"/>
  <c r="T4706" i="1"/>
  <c r="T4230" i="1"/>
  <c r="T5910" i="1"/>
  <c r="T5321" i="1"/>
  <c r="T3894" i="1"/>
  <c r="T6140" i="1"/>
  <c r="T5376" i="1"/>
  <c r="T6224" i="1"/>
  <c r="T758" i="1"/>
  <c r="T5080" i="1"/>
  <c r="T544" i="1"/>
  <c r="T3232" i="1"/>
  <c r="T4756" i="1"/>
  <c r="T186" i="1"/>
  <c r="T3849" i="1"/>
  <c r="T3949" i="1"/>
  <c r="T5911" i="1"/>
  <c r="T345" i="1"/>
  <c r="T343" i="1"/>
  <c r="T341" i="1"/>
  <c r="T5829" i="1"/>
  <c r="T3820" i="1"/>
  <c r="T502" i="1"/>
  <c r="T5005" i="1"/>
  <c r="T132" i="1"/>
  <c r="T5446" i="1"/>
  <c r="T3712" i="1"/>
  <c r="T46" i="1"/>
  <c r="T5740" i="1"/>
  <c r="T4933" i="1"/>
  <c r="T5274" i="1"/>
  <c r="T4464" i="1"/>
  <c r="T3841" i="1"/>
  <c r="T3839" i="1"/>
  <c r="T3703" i="1"/>
  <c r="T3706" i="1"/>
  <c r="T3632" i="1"/>
  <c r="T4642" i="1"/>
  <c r="T4375" i="1"/>
  <c r="T803" i="1"/>
  <c r="T4231" i="1"/>
  <c r="T6228" i="1"/>
  <c r="T551" i="1"/>
  <c r="T5323" i="1"/>
  <c r="T3710" i="1"/>
  <c r="T3572" i="1"/>
  <c r="T4879" i="1"/>
  <c r="T3591" i="1"/>
  <c r="T5880" i="1"/>
  <c r="T4579" i="1"/>
  <c r="T4578" i="1"/>
  <c r="T5006" i="1"/>
  <c r="T748" i="1"/>
  <c r="T756" i="1"/>
  <c r="T4835" i="1"/>
  <c r="T3814" i="1"/>
  <c r="T5007" i="1"/>
  <c r="T3711" i="1"/>
  <c r="T6153" i="1"/>
  <c r="T6152" i="1"/>
  <c r="T6230" i="1"/>
  <c r="T5549" i="1"/>
  <c r="T6310" i="1"/>
  <c r="T3621" i="1"/>
  <c r="T3680" i="1"/>
  <c r="T3518" i="1"/>
  <c r="T4137" i="1"/>
  <c r="T3345" i="1"/>
  <c r="T755" i="1"/>
  <c r="T4839" i="1"/>
  <c r="T4758" i="1"/>
  <c r="T3303" i="1"/>
  <c r="T4284" i="1"/>
  <c r="T3625" i="1"/>
  <c r="T3904" i="1"/>
  <c r="T4880" i="1"/>
  <c r="T5937" i="1"/>
  <c r="T3167" i="1"/>
  <c r="T3726" i="1"/>
  <c r="T6036" i="1"/>
  <c r="T257" i="1"/>
  <c r="T4757" i="1"/>
  <c r="T5816" i="1"/>
  <c r="T6136" i="1"/>
  <c r="T6073" i="1"/>
  <c r="T3976" i="1"/>
  <c r="T4901" i="1"/>
  <c r="T4112" i="1"/>
  <c r="T4097" i="1"/>
  <c r="T5278" i="1"/>
  <c r="T3626" i="1"/>
  <c r="T5236" i="1"/>
  <c r="T5275" i="1"/>
  <c r="T6143" i="1"/>
  <c r="T44" i="1"/>
  <c r="T5325" i="1"/>
  <c r="T3020" i="1"/>
  <c r="T546" i="1"/>
  <c r="T3132" i="1"/>
  <c r="T6076" i="1"/>
  <c r="T795" i="1"/>
  <c r="T21" i="1"/>
  <c r="T3175" i="1"/>
  <c r="T453" i="1"/>
  <c r="T3246" i="1"/>
  <c r="T313" i="1"/>
  <c r="T787" i="1"/>
  <c r="T4021" i="1"/>
  <c r="T4175" i="1"/>
  <c r="T278" i="1"/>
  <c r="T3372" i="1"/>
  <c r="T3283" i="1"/>
  <c r="T55" i="1"/>
  <c r="T164" i="1"/>
  <c r="T5238" i="1"/>
  <c r="T45" i="1"/>
  <c r="T761" i="1"/>
  <c r="T4834" i="1"/>
  <c r="T430" i="1"/>
  <c r="T359" i="1"/>
  <c r="T3709" i="1"/>
  <c r="T4288" i="1"/>
  <c r="T30" i="1"/>
  <c r="T3368" i="1"/>
  <c r="T242" i="1"/>
  <c r="T75" i="1"/>
  <c r="T700" i="1"/>
  <c r="T503" i="1"/>
  <c r="T190" i="1"/>
  <c r="T693" i="1"/>
  <c r="T465" i="1"/>
  <c r="T358" i="1"/>
  <c r="T294" i="1"/>
  <c r="T487" i="1"/>
  <c r="T457" i="1"/>
  <c r="T521" i="1"/>
  <c r="T248" i="1"/>
  <c r="T207" i="1"/>
  <c r="T531" i="1"/>
  <c r="T423" i="1"/>
  <c r="T219" i="1"/>
  <c r="T483" i="1"/>
  <c r="X77" i="1" l="1"/>
  <c r="Y77" i="1" s="1"/>
  <c r="AA77" i="1"/>
  <c r="Z77" i="1" s="1"/>
  <c r="W79" i="1"/>
  <c r="CC38" i="7"/>
  <c r="CC24" i="7"/>
  <c r="CC25" i="7"/>
  <c r="CC32" i="7"/>
  <c r="CB37" i="7"/>
  <c r="CC34" i="7"/>
  <c r="CC35" i="7" s="1"/>
  <c r="CE5" i="7"/>
  <c r="CD40" i="7"/>
  <c r="CD6" i="7"/>
  <c r="CD7" i="7"/>
  <c r="CD8" i="7"/>
  <c r="CD9" i="7" s="1"/>
  <c r="CC19" i="7"/>
  <c r="CB20" i="7"/>
  <c r="CB21" i="7"/>
  <c r="CC14" i="7"/>
  <c r="CC13" i="7"/>
  <c r="CE11" i="7"/>
  <c r="CD12" i="7"/>
  <c r="CC33" i="7"/>
  <c r="CC16" i="7"/>
  <c r="CC17" i="7" s="1"/>
  <c r="CL4" i="7"/>
  <c r="CM3" i="7"/>
  <c r="CD30" i="7"/>
  <c r="CF27" i="7"/>
  <c r="CE28" i="7"/>
  <c r="CE29" i="7" s="1"/>
  <c r="CC30" i="7"/>
  <c r="CC41" i="7"/>
  <c r="CC42" i="7" s="1"/>
  <c r="CB36" i="7"/>
  <c r="T144" i="1"/>
  <c r="T4388" i="1"/>
  <c r="T4878" i="1"/>
  <c r="T403" i="1"/>
  <c r="T4934" i="1"/>
  <c r="T3168" i="1"/>
  <c r="T3975" i="1"/>
  <c r="T5213" i="1"/>
  <c r="T3708" i="1"/>
  <c r="T3701" i="1"/>
  <c r="T743" i="1"/>
  <c r="T3842" i="1"/>
  <c r="T218" i="1"/>
  <c r="T6219" i="1"/>
  <c r="T5741" i="1"/>
  <c r="T5324" i="1"/>
  <c r="T3630" i="1"/>
  <c r="T4937" i="1"/>
  <c r="T4005" i="1"/>
  <c r="T4376" i="1"/>
  <c r="T3589" i="1"/>
  <c r="T4463" i="1"/>
  <c r="T3432" i="1"/>
  <c r="T378" i="1"/>
  <c r="T6139" i="1"/>
  <c r="T4465" i="1"/>
  <c r="T5739" i="1"/>
  <c r="T3813" i="1"/>
  <c r="T3832" i="1"/>
  <c r="T3833" i="1"/>
  <c r="T4111" i="1"/>
  <c r="T6223" i="1"/>
  <c r="T3227" i="1"/>
  <c r="T4682" i="1"/>
  <c r="T4006" i="1"/>
  <c r="T4126" i="1"/>
  <c r="T5990" i="1"/>
  <c r="T6087" i="1"/>
  <c r="T5119" i="1"/>
  <c r="T3834" i="1"/>
  <c r="T6135" i="1"/>
  <c r="T6137" i="1"/>
  <c r="T3571" i="1"/>
  <c r="T4528" i="1"/>
  <c r="T5319" i="1"/>
  <c r="T3801" i="1"/>
  <c r="T89" i="1"/>
  <c r="T4051" i="1"/>
  <c r="T4050" i="1"/>
  <c r="T6129" i="1"/>
  <c r="T3851" i="1"/>
  <c r="T545" i="1"/>
  <c r="T4754" i="1"/>
  <c r="T6019" i="1"/>
  <c r="T4008" i="1"/>
  <c r="T309" i="1"/>
  <c r="T6141" i="1"/>
  <c r="T6158" i="1"/>
  <c r="T5821" i="1"/>
  <c r="T4991" i="1"/>
  <c r="T3850" i="1"/>
  <c r="T494" i="1"/>
  <c r="T3472" i="1"/>
  <c r="T6142" i="1"/>
  <c r="T5120" i="1"/>
  <c r="T5936" i="1"/>
  <c r="T3569" i="1"/>
  <c r="T3570" i="1"/>
  <c r="T308" i="1"/>
  <c r="T4471" i="1"/>
  <c r="T4473" i="1"/>
  <c r="T42" i="1"/>
  <c r="T43" i="1"/>
  <c r="T3891" i="1"/>
  <c r="T3892" i="1"/>
  <c r="T6218" i="1"/>
  <c r="T5870" i="1"/>
  <c r="T131" i="1"/>
  <c r="T5271" i="1"/>
  <c r="T5273" i="1"/>
  <c r="T5989" i="1"/>
  <c r="T501" i="1"/>
  <c r="T4110" i="1"/>
  <c r="T4125" i="1"/>
  <c r="T3174" i="1"/>
  <c r="T216" i="1"/>
  <c r="T217" i="1"/>
  <c r="T5235" i="1"/>
  <c r="T4812" i="1"/>
  <c r="T4813" i="1"/>
  <c r="T5318" i="1"/>
  <c r="T800" i="1"/>
  <c r="T801" i="1"/>
  <c r="T3800" i="1"/>
  <c r="T6128" i="1"/>
  <c r="T4003" i="1"/>
  <c r="T4004" i="1"/>
  <c r="T3431" i="1"/>
  <c r="T5820" i="1"/>
  <c r="T5819" i="1"/>
  <c r="T550" i="1"/>
  <c r="T5881" i="1"/>
  <c r="T5447" i="1"/>
  <c r="T3840" i="1"/>
  <c r="T4932" i="1"/>
  <c r="T482" i="1"/>
  <c r="T5871" i="1"/>
  <c r="T3893" i="1"/>
  <c r="T4474" i="1"/>
  <c r="T5815" i="1"/>
  <c r="T759" i="1"/>
  <c r="T3344" i="1"/>
  <c r="T802" i="1"/>
  <c r="T4681" i="1"/>
  <c r="T4755" i="1"/>
  <c r="T5214" i="1"/>
  <c r="T760" i="1"/>
  <c r="T256" i="1"/>
  <c r="T4990" i="1"/>
  <c r="T5078" i="1"/>
  <c r="T4776" i="1"/>
  <c r="T5217" i="1"/>
  <c r="T163" i="1"/>
  <c r="T5841" i="1"/>
  <c r="T5215" i="1"/>
  <c r="T747" i="1"/>
  <c r="T5237" i="1"/>
  <c r="T344" i="1"/>
  <c r="T5079" i="1"/>
  <c r="T5864" i="1"/>
  <c r="T265" i="1"/>
  <c r="T5322" i="1"/>
  <c r="T88" i="1"/>
  <c r="T4931" i="1"/>
  <c r="T5108" i="1"/>
  <c r="T5882" i="1"/>
  <c r="T4814" i="1"/>
  <c r="T6229" i="1"/>
  <c r="T3235" i="1"/>
  <c r="T695" i="1"/>
  <c r="T356" i="1"/>
  <c r="T142" i="1"/>
  <c r="T143" i="1"/>
  <c r="T3974" i="1"/>
  <c r="T746" i="1"/>
  <c r="T6309" i="1"/>
  <c r="T4833" i="1"/>
  <c r="T793" i="1"/>
  <c r="T794" i="1"/>
  <c r="T3788" i="1"/>
  <c r="T3789" i="1"/>
  <c r="T4899" i="1"/>
  <c r="T4900" i="1"/>
  <c r="T4136" i="1"/>
  <c r="T4135" i="1"/>
  <c r="T4261" i="1"/>
  <c r="T4260" i="1"/>
  <c r="T4145" i="1"/>
  <c r="T6157" i="1"/>
  <c r="T6156" i="1"/>
  <c r="T4988" i="1"/>
  <c r="T4989" i="1"/>
  <c r="T4679" i="1"/>
  <c r="T4680" i="1"/>
  <c r="T5117" i="1"/>
  <c r="T5118" i="1"/>
  <c r="T4386" i="1"/>
  <c r="T152" i="1"/>
  <c r="T4262" i="1"/>
  <c r="T6222" i="1"/>
  <c r="T6221" i="1"/>
  <c r="T6133" i="1"/>
  <c r="T6134" i="1"/>
  <c r="T3705" i="1"/>
  <c r="T87" i="1"/>
  <c r="T342" i="1"/>
  <c r="T3228" i="1"/>
  <c r="T4705" i="1"/>
  <c r="T264" i="1"/>
  <c r="T3799" i="1"/>
  <c r="T742" i="1"/>
  <c r="T3233" i="1"/>
  <c r="T4387" i="1"/>
  <c r="T4229" i="1"/>
  <c r="T5814" i="1"/>
  <c r="T5863" i="1"/>
  <c r="T5935" i="1"/>
  <c r="T493" i="1"/>
  <c r="T3875" i="1"/>
  <c r="T4774" i="1"/>
  <c r="T4775" i="1"/>
  <c r="T4938" i="1"/>
  <c r="T5934" i="1"/>
  <c r="T3557" i="1"/>
  <c r="T3948" i="1"/>
  <c r="T4930" i="1"/>
  <c r="T4929" i="1"/>
  <c r="T5106" i="1"/>
  <c r="T4765" i="1"/>
  <c r="T151" i="1"/>
  <c r="T3790" i="1"/>
  <c r="T150" i="1"/>
  <c r="T5400" i="1"/>
  <c r="T6151" i="1"/>
  <c r="T3631" i="1"/>
  <c r="T149" i="1"/>
  <c r="T3831" i="1"/>
  <c r="T5908" i="1"/>
  <c r="T5909" i="1"/>
  <c r="T754" i="1"/>
  <c r="T357" i="1"/>
  <c r="T4146" i="1"/>
  <c r="T4577" i="1"/>
  <c r="T4671" i="1"/>
  <c r="T4978" i="1"/>
  <c r="T3234" i="1"/>
  <c r="T3890" i="1"/>
  <c r="T452" i="1"/>
  <c r="T339" i="1"/>
  <c r="T3704" i="1"/>
  <c r="T481" i="1"/>
  <c r="T185" i="1"/>
  <c r="T3342" i="1"/>
  <c r="T5142" i="1"/>
  <c r="T4035" i="1"/>
  <c r="T4049" i="1"/>
  <c r="T476" i="1"/>
  <c r="T692" i="1"/>
  <c r="T6086" i="1"/>
  <c r="T5869" i="1"/>
  <c r="T5272" i="1"/>
  <c r="T6127" i="1"/>
  <c r="T3471" i="1"/>
  <c r="T5840" i="1"/>
  <c r="T3876" i="1"/>
  <c r="T3125" i="1"/>
  <c r="T4735" i="1"/>
  <c r="T402" i="1"/>
  <c r="T777" i="1"/>
  <c r="T3229" i="1"/>
  <c r="T5302" i="1"/>
  <c r="T6018" i="1"/>
  <c r="T5141" i="1"/>
  <c r="T5850" i="1"/>
  <c r="T4036" i="1"/>
  <c r="T778" i="1"/>
  <c r="X78" i="1" l="1"/>
  <c r="Y78" i="1" s="1"/>
  <c r="AA78" i="1"/>
  <c r="Z78" i="1" s="1"/>
  <c r="W80" i="1"/>
  <c r="CD38" i="7"/>
  <c r="CD25" i="7"/>
  <c r="CD24" i="7"/>
  <c r="CC37" i="7"/>
  <c r="CD32" i="7"/>
  <c r="CD34" i="7"/>
  <c r="CD35" i="7" s="1"/>
  <c r="CD33" i="7"/>
  <c r="CD16" i="7"/>
  <c r="CD17" i="7" s="1"/>
  <c r="CF11" i="7"/>
  <c r="CE12" i="7"/>
  <c r="CD19" i="7"/>
  <c r="CD13" i="7"/>
  <c r="CD14" i="7"/>
  <c r="CC20" i="7"/>
  <c r="CC21" i="7"/>
  <c r="CE7" i="7"/>
  <c r="CE6" i="7"/>
  <c r="CF5" i="7"/>
  <c r="CE40" i="7"/>
  <c r="CE8" i="7"/>
  <c r="CE9" i="7" s="1"/>
  <c r="CM4" i="7"/>
  <c r="CN3" i="7"/>
  <c r="CD41" i="7"/>
  <c r="CD42" i="7" s="1"/>
  <c r="CC36" i="7"/>
  <c r="CF28" i="7"/>
  <c r="CF32" i="7" s="1"/>
  <c r="CG27" i="7"/>
  <c r="T3590" i="1"/>
  <c r="T3812" i="1"/>
  <c r="T5029" i="1"/>
  <c r="T6000" i="1"/>
  <c r="T4472" i="1"/>
  <c r="T5028" i="1"/>
  <c r="T5828" i="1"/>
  <c r="T3811" i="1"/>
  <c r="T4641" i="1"/>
  <c r="T6186" i="1"/>
  <c r="T5944" i="1"/>
  <c r="T5234" i="1"/>
  <c r="T4108" i="1"/>
  <c r="T4109" i="1"/>
  <c r="T130" i="1"/>
  <c r="T4374" i="1"/>
  <c r="T4373" i="1"/>
  <c r="T3430" i="1"/>
  <c r="T500" i="1"/>
  <c r="T5868" i="1"/>
  <c r="T5867" i="1"/>
  <c r="T6117" i="1"/>
  <c r="T3172" i="1"/>
  <c r="T3173" i="1"/>
  <c r="T5316" i="1"/>
  <c r="T5317" i="1"/>
  <c r="T5988" i="1"/>
  <c r="T6217" i="1"/>
  <c r="T6216" i="1"/>
  <c r="T307" i="1"/>
  <c r="T6125" i="1"/>
  <c r="T6126" i="1"/>
  <c r="T4124" i="1"/>
  <c r="T3819" i="1"/>
  <c r="T5375" i="1"/>
  <c r="T549" i="1"/>
  <c r="T548" i="1"/>
  <c r="T5849" i="1"/>
  <c r="T799" i="1"/>
  <c r="T776" i="1"/>
  <c r="T475" i="1"/>
  <c r="T376" i="1"/>
  <c r="T4977" i="1"/>
  <c r="T753" i="1"/>
  <c r="T752" i="1"/>
  <c r="T5813" i="1"/>
  <c r="T744" i="1"/>
  <c r="T745" i="1"/>
  <c r="T3124" i="1"/>
  <c r="T338" i="1"/>
  <c r="T5445" i="1"/>
  <c r="T5444" i="1"/>
  <c r="T4227" i="1"/>
  <c r="T4228" i="1"/>
  <c r="T262" i="1"/>
  <c r="T263" i="1"/>
  <c r="T4048" i="1"/>
  <c r="T4047" i="1"/>
  <c r="T146" i="1"/>
  <c r="T147" i="1"/>
  <c r="T4670" i="1"/>
  <c r="T4669" i="1"/>
  <c r="T4385" i="1"/>
  <c r="T4384" i="1"/>
  <c r="T3973" i="1"/>
  <c r="T4734" i="1"/>
  <c r="T3798" i="1"/>
  <c r="T5140" i="1"/>
  <c r="T6017" i="1"/>
  <c r="T161" i="1"/>
  <c r="T184" i="1"/>
  <c r="T3874" i="1"/>
  <c r="T5999" i="1"/>
  <c r="T4704" i="1"/>
  <c r="T5839" i="1"/>
  <c r="T6085" i="1"/>
  <c r="T5269" i="1"/>
  <c r="T5270" i="1"/>
  <c r="T451" i="1"/>
  <c r="T4764" i="1"/>
  <c r="T3947" i="1"/>
  <c r="T4831" i="1"/>
  <c r="T4832" i="1"/>
  <c r="T5049" i="1"/>
  <c r="T4970" i="1"/>
  <c r="T401" i="1"/>
  <c r="T120" i="1"/>
  <c r="T3470" i="1"/>
  <c r="T5196" i="1"/>
  <c r="T5862" i="1"/>
  <c r="T5861" i="1"/>
  <c r="T741" i="1"/>
  <c r="T5301" i="1"/>
  <c r="T690" i="1"/>
  <c r="T691" i="1"/>
  <c r="T4034" i="1"/>
  <c r="T480" i="1"/>
  <c r="T5105" i="1"/>
  <c r="T3556" i="1"/>
  <c r="T491" i="1"/>
  <c r="T492" i="1"/>
  <c r="T86" i="1"/>
  <c r="T4143" i="1"/>
  <c r="T4144" i="1"/>
  <c r="T6308" i="1"/>
  <c r="T6307" i="1"/>
  <c r="T355" i="1"/>
  <c r="X79" i="1" l="1"/>
  <c r="Y79" i="1" s="1"/>
  <c r="AA79" i="1"/>
  <c r="Z79" i="1" s="1"/>
  <c r="W81" i="1"/>
  <c r="CE38" i="7"/>
  <c r="CE25" i="7"/>
  <c r="CE24" i="7"/>
  <c r="CD37" i="7"/>
  <c r="CF29" i="7"/>
  <c r="CE34" i="7"/>
  <c r="CE35" i="7" s="1"/>
  <c r="CE32" i="7"/>
  <c r="CD36" i="7"/>
  <c r="CE19" i="7"/>
  <c r="CE14" i="7"/>
  <c r="CE13" i="7"/>
  <c r="CG11" i="7"/>
  <c r="CF12" i="7"/>
  <c r="CE16" i="7"/>
  <c r="CE17" i="7" s="1"/>
  <c r="CE33" i="7"/>
  <c r="CF40" i="7"/>
  <c r="CF6" i="7"/>
  <c r="CF7" i="7"/>
  <c r="CG5" i="7"/>
  <c r="CF8" i="7"/>
  <c r="CF9" i="7" s="1"/>
  <c r="CD20" i="7"/>
  <c r="CD21" i="7"/>
  <c r="CN4" i="7"/>
  <c r="CO3" i="7"/>
  <c r="CG28" i="7"/>
  <c r="CG32" i="7" s="1"/>
  <c r="CH27" i="7"/>
  <c r="CE30" i="7"/>
  <c r="CE41" i="7"/>
  <c r="CE42" i="7" s="1"/>
  <c r="T4640" i="1"/>
  <c r="T4639" i="1"/>
  <c r="T3809" i="1"/>
  <c r="T3810" i="1"/>
  <c r="T5826" i="1"/>
  <c r="T5827" i="1"/>
  <c r="T5026" i="1"/>
  <c r="T5027" i="1"/>
  <c r="T499" i="1"/>
  <c r="T5374" i="1"/>
  <c r="T305" i="1"/>
  <c r="T306" i="1"/>
  <c r="T3429" i="1"/>
  <c r="T3428" i="1"/>
  <c r="T5233" i="1"/>
  <c r="T3818" i="1"/>
  <c r="T6116" i="1"/>
  <c r="T5943" i="1"/>
  <c r="T4123" i="1"/>
  <c r="T5987" i="1"/>
  <c r="T5986" i="1"/>
  <c r="T129" i="1"/>
  <c r="T6185" i="1"/>
  <c r="T5838" i="1"/>
  <c r="T3796" i="1"/>
  <c r="T3797" i="1"/>
  <c r="T85" i="1"/>
  <c r="T479" i="1"/>
  <c r="T5300" i="1"/>
  <c r="T3469" i="1"/>
  <c r="T4763" i="1"/>
  <c r="T183" i="1"/>
  <c r="T5811" i="1"/>
  <c r="T5812" i="1"/>
  <c r="T474" i="1"/>
  <c r="T740" i="1"/>
  <c r="T160" i="1"/>
  <c r="T775" i="1"/>
  <c r="T450" i="1"/>
  <c r="T4703" i="1"/>
  <c r="T4733" i="1"/>
  <c r="T4732" i="1"/>
  <c r="T337" i="1"/>
  <c r="T400" i="1"/>
  <c r="T5998" i="1"/>
  <c r="T6016" i="1"/>
  <c r="T3122" i="1"/>
  <c r="T3123" i="1"/>
  <c r="T119" i="1"/>
  <c r="T4033" i="1"/>
  <c r="T3972" i="1"/>
  <c r="T4976" i="1"/>
  <c r="T798" i="1"/>
  <c r="T5048" i="1"/>
  <c r="T354" i="1"/>
  <c r="T3555" i="1"/>
  <c r="T3946" i="1"/>
  <c r="T3945" i="1"/>
  <c r="T6084" i="1"/>
  <c r="T3872" i="1"/>
  <c r="T3873" i="1"/>
  <c r="T5138" i="1"/>
  <c r="T5139" i="1"/>
  <c r="T375" i="1"/>
  <c r="T5104" i="1"/>
  <c r="T5195" i="1"/>
  <c r="T4969" i="1"/>
  <c r="T5848" i="1"/>
  <c r="W82" i="1" l="1"/>
  <c r="X80" i="1"/>
  <c r="Y80" i="1" s="1"/>
  <c r="AA80" i="1"/>
  <c r="Z80" i="1" s="1"/>
  <c r="CF38" i="7"/>
  <c r="CF24" i="7"/>
  <c r="CF25" i="7"/>
  <c r="CE37" i="7"/>
  <c r="CG29" i="7"/>
  <c r="CF34" i="7"/>
  <c r="CF35" i="7" s="1"/>
  <c r="CF37" i="7" s="1"/>
  <c r="CF14" i="7"/>
  <c r="CF13" i="7"/>
  <c r="CF33" i="7"/>
  <c r="CF16" i="7"/>
  <c r="CF17" i="7" s="1"/>
  <c r="CG7" i="7"/>
  <c r="CH5" i="7"/>
  <c r="CG6" i="7"/>
  <c r="CG40" i="7"/>
  <c r="CG8" i="7"/>
  <c r="CG9" i="7" s="1"/>
  <c r="CH11" i="7"/>
  <c r="CG12" i="7"/>
  <c r="CF19" i="7"/>
  <c r="CE20" i="7"/>
  <c r="CE21" i="7"/>
  <c r="CP3" i="7"/>
  <c r="CO4" i="7"/>
  <c r="CE36" i="7"/>
  <c r="CH28" i="7"/>
  <c r="CH32" i="7" s="1"/>
  <c r="CI27" i="7"/>
  <c r="CF30" i="7"/>
  <c r="CF41" i="7"/>
  <c r="CF42" i="7" s="1"/>
  <c r="T5942" i="1"/>
  <c r="T5941" i="1"/>
  <c r="T6184" i="1"/>
  <c r="T128" i="1"/>
  <c r="T127" i="1"/>
  <c r="T6115" i="1"/>
  <c r="T5373" i="1"/>
  <c r="T5372" i="1"/>
  <c r="T3816" i="1"/>
  <c r="T3817" i="1"/>
  <c r="T498" i="1"/>
  <c r="T4122" i="1"/>
  <c r="T4121" i="1"/>
  <c r="T5232" i="1"/>
  <c r="T374" i="1"/>
  <c r="T118" i="1"/>
  <c r="T399" i="1"/>
  <c r="T449" i="1"/>
  <c r="T182" i="1"/>
  <c r="T5847" i="1"/>
  <c r="T4968" i="1"/>
  <c r="T3553" i="1"/>
  <c r="T3554" i="1"/>
  <c r="T4974" i="1"/>
  <c r="T4975" i="1"/>
  <c r="T336" i="1"/>
  <c r="T335" i="1"/>
  <c r="T774" i="1"/>
  <c r="T473" i="1"/>
  <c r="T4762" i="1"/>
  <c r="T84" i="1"/>
  <c r="T3970" i="1"/>
  <c r="T3971" i="1"/>
  <c r="T159" i="1"/>
  <c r="T3468" i="1"/>
  <c r="T3467" i="1"/>
  <c r="T797" i="1"/>
  <c r="T796" i="1"/>
  <c r="T353" i="1"/>
  <c r="T6015" i="1"/>
  <c r="T5299" i="1"/>
  <c r="T477" i="1"/>
  <c r="T478" i="1"/>
  <c r="T5194" i="1"/>
  <c r="T5103" i="1"/>
  <c r="T6083" i="1"/>
  <c r="T5047" i="1"/>
  <c r="T4032" i="1"/>
  <c r="T5997" i="1"/>
  <c r="T4702" i="1"/>
  <c r="T4701" i="1"/>
  <c r="T739" i="1"/>
  <c r="T5837" i="1"/>
  <c r="X81" i="1" l="1"/>
  <c r="Y81" i="1" s="1"/>
  <c r="AA81" i="1"/>
  <c r="Z81" i="1" s="1"/>
  <c r="W83" i="1"/>
  <c r="CG38" i="7"/>
  <c r="CG24" i="7"/>
  <c r="CG25" i="7"/>
  <c r="CH29" i="7"/>
  <c r="CG34" i="7"/>
  <c r="CG35" i="7" s="1"/>
  <c r="CG37" i="7" s="1"/>
  <c r="CH7" i="7"/>
  <c r="CI5" i="7"/>
  <c r="CH40" i="7"/>
  <c r="CH6" i="7"/>
  <c r="CH8" i="7"/>
  <c r="CH9" i="7" s="1"/>
  <c r="CG13" i="7"/>
  <c r="CG14" i="7"/>
  <c r="CI11" i="7"/>
  <c r="CH12" i="7"/>
  <c r="CG16" i="7"/>
  <c r="CG17" i="7" s="1"/>
  <c r="CG33" i="7"/>
  <c r="CF20" i="7"/>
  <c r="CF21" i="7"/>
  <c r="CG19" i="7"/>
  <c r="CQ3" i="7"/>
  <c r="CP4" i="7"/>
  <c r="CF36" i="7"/>
  <c r="CI28" i="7"/>
  <c r="CI32" i="7" s="1"/>
  <c r="CJ27" i="7"/>
  <c r="CG30" i="7"/>
  <c r="CG41" i="7"/>
  <c r="CG42" i="7" s="1"/>
  <c r="T6114" i="1"/>
  <c r="T6113" i="1"/>
  <c r="T497" i="1"/>
  <c r="T496" i="1"/>
  <c r="T6182" i="1"/>
  <c r="T6183" i="1"/>
  <c r="T5231" i="1"/>
  <c r="T6014" i="1"/>
  <c r="T158" i="1"/>
  <c r="T472" i="1"/>
  <c r="T447" i="1"/>
  <c r="T448" i="1"/>
  <c r="T5995" i="1"/>
  <c r="T5996" i="1"/>
  <c r="T5193" i="1"/>
  <c r="T5836" i="1"/>
  <c r="T351" i="1"/>
  <c r="T352" i="1"/>
  <c r="T773" i="1"/>
  <c r="T4967" i="1"/>
  <c r="T398" i="1"/>
  <c r="T5101" i="1"/>
  <c r="T5102" i="1"/>
  <c r="T83" i="1"/>
  <c r="T82" i="1"/>
  <c r="T5846" i="1"/>
  <c r="T117" i="1"/>
  <c r="T4031" i="1"/>
  <c r="T6082" i="1"/>
  <c r="T738" i="1"/>
  <c r="T5045" i="1"/>
  <c r="T5046" i="1"/>
  <c r="T5298" i="1"/>
  <c r="T4760" i="1"/>
  <c r="T4761" i="1"/>
  <c r="T180" i="1"/>
  <c r="T181" i="1"/>
  <c r="T373" i="1"/>
  <c r="T372" i="1"/>
  <c r="X82" i="1" l="1"/>
  <c r="Y82" i="1" s="1"/>
  <c r="AA82" i="1"/>
  <c r="Z82" i="1" s="1"/>
  <c r="W84" i="1"/>
  <c r="CH38" i="7"/>
  <c r="CH24" i="7"/>
  <c r="CH25" i="7"/>
  <c r="CI29" i="7"/>
  <c r="CI30" i="7" s="1"/>
  <c r="CH34" i="7"/>
  <c r="CH35" i="7" s="1"/>
  <c r="CH37" i="7" s="1"/>
  <c r="CJ11" i="7"/>
  <c r="CI12" i="7"/>
  <c r="CH16" i="7"/>
  <c r="CH17" i="7" s="1"/>
  <c r="CH33" i="7"/>
  <c r="CH19" i="7"/>
  <c r="CG20" i="7"/>
  <c r="CG21" i="7"/>
  <c r="CH14" i="7"/>
  <c r="CH13" i="7"/>
  <c r="CI7" i="7"/>
  <c r="CJ5" i="7"/>
  <c r="CI6" i="7"/>
  <c r="CI40" i="7"/>
  <c r="CI8" i="7"/>
  <c r="CI9" i="7" s="1"/>
  <c r="CQ4" i="7"/>
  <c r="CR3" i="7"/>
  <c r="CH41" i="7"/>
  <c r="CH42" i="7" s="1"/>
  <c r="CH30" i="7"/>
  <c r="CG36" i="7"/>
  <c r="CK27" i="7"/>
  <c r="CJ28" i="7"/>
  <c r="CJ32" i="7" s="1"/>
  <c r="T5229" i="1"/>
  <c r="T5230" i="1"/>
  <c r="T5297" i="1"/>
  <c r="T397" i="1"/>
  <c r="T5835" i="1"/>
  <c r="T471" i="1"/>
  <c r="T116" i="1"/>
  <c r="T5845" i="1"/>
  <c r="T5192" i="1"/>
  <c r="T157" i="1"/>
  <c r="T737" i="1"/>
  <c r="T4966" i="1"/>
  <c r="T4030" i="1"/>
  <c r="T6081" i="1"/>
  <c r="T772" i="1"/>
  <c r="T6013" i="1"/>
  <c r="X83" i="1" l="1"/>
  <c r="Y83" i="1" s="1"/>
  <c r="AA83" i="1"/>
  <c r="Z83" i="1" s="1"/>
  <c r="W85" i="1"/>
  <c r="CI38" i="7"/>
  <c r="CI24" i="7"/>
  <c r="CI25" i="7"/>
  <c r="CH36" i="7"/>
  <c r="CJ29" i="7"/>
  <c r="CH20" i="7"/>
  <c r="CH21" i="7"/>
  <c r="CI19" i="7"/>
  <c r="CJ6" i="7"/>
  <c r="CJ40" i="7"/>
  <c r="CK5" i="7"/>
  <c r="CJ7" i="7"/>
  <c r="CJ8" i="7"/>
  <c r="CJ9" i="7" s="1"/>
  <c r="CI34" i="7"/>
  <c r="CI35" i="7" s="1"/>
  <c r="CI37" i="7" s="1"/>
  <c r="CI33" i="7"/>
  <c r="CI16" i="7"/>
  <c r="CI17" i="7" s="1"/>
  <c r="CI13" i="7"/>
  <c r="CI14" i="7"/>
  <c r="CK11" i="7"/>
  <c r="CJ12" i="7"/>
  <c r="CR4" i="7"/>
  <c r="CS3" i="7"/>
  <c r="CI41" i="7"/>
  <c r="CI42" i="7" s="1"/>
  <c r="CK28" i="7"/>
  <c r="CK32" i="7" s="1"/>
  <c r="CL27" i="7"/>
  <c r="T6080" i="1"/>
  <c r="T6079" i="1"/>
  <c r="T469" i="1"/>
  <c r="T470" i="1"/>
  <c r="T115" i="1"/>
  <c r="T5191" i="1"/>
  <c r="T4029" i="1"/>
  <c r="T736" i="1"/>
  <c r="T735" i="1"/>
  <c r="T5844" i="1"/>
  <c r="T4965" i="1"/>
  <c r="T395" i="1"/>
  <c r="T396" i="1"/>
  <c r="T155" i="1"/>
  <c r="T156" i="1"/>
  <c r="T5834" i="1"/>
  <c r="T6011" i="1"/>
  <c r="T6012" i="1"/>
  <c r="T771" i="1"/>
  <c r="T5295" i="1"/>
  <c r="T5296" i="1"/>
  <c r="W86" i="1" l="1"/>
  <c r="X84" i="1"/>
  <c r="Y84" i="1" s="1"/>
  <c r="AA84" i="1"/>
  <c r="Z84" i="1" s="1"/>
  <c r="CJ38" i="7"/>
  <c r="CJ24" i="7"/>
  <c r="CJ25" i="7"/>
  <c r="CK29" i="7"/>
  <c r="CI20" i="7"/>
  <c r="CI21" i="7"/>
  <c r="CJ13" i="7"/>
  <c r="CJ14" i="7"/>
  <c r="CJ34" i="7"/>
  <c r="CJ35" i="7" s="1"/>
  <c r="CJ37" i="7" s="1"/>
  <c r="CJ33" i="7"/>
  <c r="CJ16" i="7"/>
  <c r="CJ17" i="7" s="1"/>
  <c r="CJ19" i="7"/>
  <c r="CL11" i="7"/>
  <c r="CK12" i="7"/>
  <c r="CK6" i="7"/>
  <c r="CL5" i="7"/>
  <c r="CK7" i="7"/>
  <c r="CK40" i="7"/>
  <c r="CK8" i="7"/>
  <c r="CK9" i="7" s="1"/>
  <c r="CT3" i="7"/>
  <c r="CS4" i="7"/>
  <c r="CI36" i="7"/>
  <c r="CJ30" i="7"/>
  <c r="CJ41" i="7"/>
  <c r="CJ42" i="7" s="1"/>
  <c r="CL28" i="7"/>
  <c r="CL32" i="7" s="1"/>
  <c r="CM27" i="7"/>
  <c r="T5190" i="1"/>
  <c r="T5833" i="1"/>
  <c r="T5832" i="1"/>
  <c r="T114" i="1"/>
  <c r="T5842" i="1"/>
  <c r="T5843" i="1"/>
  <c r="T4963" i="1"/>
  <c r="T4964" i="1"/>
  <c r="T4028" i="1"/>
  <c r="T4027" i="1"/>
  <c r="T770" i="1"/>
  <c r="X85" i="1" l="1"/>
  <c r="Y85" i="1" s="1"/>
  <c r="AA85" i="1"/>
  <c r="Z85" i="1" s="1"/>
  <c r="W87" i="1"/>
  <c r="CK38" i="7"/>
  <c r="CK24" i="7"/>
  <c r="CK25" i="7"/>
  <c r="CL29" i="7"/>
  <c r="CK19" i="7"/>
  <c r="CK14" i="7"/>
  <c r="CK13" i="7"/>
  <c r="CM5" i="7"/>
  <c r="CL40" i="7"/>
  <c r="CL6" i="7"/>
  <c r="CL7" i="7"/>
  <c r="CL8" i="7"/>
  <c r="CL9" i="7" s="1"/>
  <c r="CM11" i="7"/>
  <c r="CL12" i="7"/>
  <c r="CK34" i="7"/>
  <c r="CK35" i="7" s="1"/>
  <c r="CK37" i="7" s="1"/>
  <c r="CJ20" i="7"/>
  <c r="CJ21" i="7"/>
  <c r="CK16" i="7"/>
  <c r="CK17" i="7" s="1"/>
  <c r="CK33" i="7"/>
  <c r="CU3" i="7"/>
  <c r="CT4" i="7"/>
  <c r="CK30" i="7"/>
  <c r="CK41" i="7"/>
  <c r="CK42" i="7" s="1"/>
  <c r="CM28" i="7"/>
  <c r="CM32" i="7" s="1"/>
  <c r="CN27" i="7"/>
  <c r="CJ36" i="7"/>
  <c r="T769" i="1"/>
  <c r="T113" i="1"/>
  <c r="T112" i="1"/>
  <c r="T5189" i="1"/>
  <c r="X86" i="1" l="1"/>
  <c r="Y86" i="1" s="1"/>
  <c r="AA86" i="1"/>
  <c r="Z86" i="1" s="1"/>
  <c r="W88" i="1"/>
  <c r="CL38" i="7"/>
  <c r="CL25" i="7"/>
  <c r="CL24" i="7"/>
  <c r="CM29" i="7"/>
  <c r="CL13" i="7"/>
  <c r="CL14" i="7"/>
  <c r="CN11" i="7"/>
  <c r="CM12" i="7"/>
  <c r="CL34" i="7"/>
  <c r="CL35" i="7" s="1"/>
  <c r="CL37" i="7" s="1"/>
  <c r="CK20" i="7"/>
  <c r="CK21" i="7"/>
  <c r="CL33" i="7"/>
  <c r="CL16" i="7"/>
  <c r="CL17" i="7" s="1"/>
  <c r="CM6" i="7"/>
  <c r="CN5" i="7"/>
  <c r="CM40" i="7"/>
  <c r="CM41" i="7" s="1"/>
  <c r="CM42" i="7" s="1"/>
  <c r="CM7" i="7"/>
  <c r="CM8" i="7"/>
  <c r="CM9" i="7" s="1"/>
  <c r="CL19" i="7"/>
  <c r="CV3" i="7"/>
  <c r="CU4" i="7"/>
  <c r="CL30" i="7"/>
  <c r="CL41" i="7"/>
  <c r="CL42" i="7" s="1"/>
  <c r="CN28" i="7"/>
  <c r="CN32" i="7" s="1"/>
  <c r="CO27" i="7"/>
  <c r="CK36" i="7"/>
  <c r="T768" i="1"/>
  <c r="T5188" i="1"/>
  <c r="W89" i="1" l="1"/>
  <c r="X87" i="1"/>
  <c r="Y87" i="1" s="1"/>
  <c r="AA87" i="1"/>
  <c r="Z87" i="1" s="1"/>
  <c r="CM38" i="7"/>
  <c r="CM25" i="7"/>
  <c r="CM24" i="7"/>
  <c r="CN29" i="7"/>
  <c r="CL36" i="7"/>
  <c r="CN7" i="7"/>
  <c r="CN40" i="7"/>
  <c r="CN6" i="7"/>
  <c r="CO5" i="7"/>
  <c r="CN8" i="7"/>
  <c r="CN9" i="7" s="1"/>
  <c r="CM33" i="7"/>
  <c r="CM16" i="7"/>
  <c r="CM17" i="7" s="1"/>
  <c r="CL20" i="7"/>
  <c r="CL21" i="7"/>
  <c r="CM19" i="7"/>
  <c r="CM13" i="7"/>
  <c r="CM14" i="7"/>
  <c r="CO11" i="7"/>
  <c r="CN12" i="7"/>
  <c r="CM34" i="7"/>
  <c r="CM35" i="7" s="1"/>
  <c r="CM37" i="7" s="1"/>
  <c r="CM30" i="7"/>
  <c r="CW3" i="7"/>
  <c r="CV4" i="7"/>
  <c r="CP27" i="7"/>
  <c r="CO28" i="7"/>
  <c r="CO32" i="7" s="1"/>
  <c r="T5187" i="1"/>
  <c r="T766" i="1"/>
  <c r="T767" i="1"/>
  <c r="X88" i="1" l="1"/>
  <c r="Y88" i="1" s="1"/>
  <c r="AA88" i="1"/>
  <c r="Z88" i="1" s="1"/>
  <c r="W90" i="1"/>
  <c r="CN38" i="7"/>
  <c r="CN25" i="7"/>
  <c r="CN24" i="7"/>
  <c r="CO29" i="7"/>
  <c r="CN16" i="7"/>
  <c r="CN17" i="7" s="1"/>
  <c r="CN33" i="7"/>
  <c r="CO7" i="7"/>
  <c r="CO40" i="7"/>
  <c r="CP5" i="7"/>
  <c r="CO6" i="7"/>
  <c r="CO8" i="7"/>
  <c r="CO9" i="7" s="1"/>
  <c r="CN34" i="7"/>
  <c r="CN35" i="7" s="1"/>
  <c r="CM20" i="7"/>
  <c r="CM21" i="7"/>
  <c r="CN19" i="7"/>
  <c r="CN14" i="7"/>
  <c r="CN13" i="7"/>
  <c r="CP11" i="7"/>
  <c r="CO12" i="7"/>
  <c r="CW4" i="7"/>
  <c r="CX3" i="7"/>
  <c r="CM36" i="7"/>
  <c r="CN41" i="7"/>
  <c r="CN42" i="7" s="1"/>
  <c r="CN30" i="7"/>
  <c r="CP28" i="7"/>
  <c r="CP32" i="7" s="1"/>
  <c r="CQ27" i="7"/>
  <c r="T5186" i="1"/>
  <c r="T5185" i="1"/>
  <c r="R1470" i="1"/>
  <c r="R1469" i="1" s="1"/>
  <c r="R1468" i="1" s="1"/>
  <c r="R1467" i="1" s="1"/>
  <c r="R1466" i="1" s="1"/>
  <c r="R1465" i="1" s="1"/>
  <c r="T1465" i="1" s="1"/>
  <c r="R1476" i="1"/>
  <c r="R1560" i="1"/>
  <c r="R1559" i="1" s="1"/>
  <c r="R1558" i="1" s="1"/>
  <c r="R1557" i="1" s="1"/>
  <c r="R1556" i="1" s="1"/>
  <c r="R1555" i="1" s="1"/>
  <c r="T1555" i="1" s="1"/>
  <c r="R1488" i="1"/>
  <c r="R1487" i="1" s="1"/>
  <c r="R1486" i="1" s="1"/>
  <c r="R1485" i="1" s="1"/>
  <c r="R1484" i="1" s="1"/>
  <c r="R1483" i="1" s="1"/>
  <c r="T1483" i="1" s="1"/>
  <c r="R1502" i="1"/>
  <c r="R1501" i="1" s="1"/>
  <c r="R1500" i="1" s="1"/>
  <c r="R1499" i="1" s="1"/>
  <c r="R1498" i="1" s="1"/>
  <c r="R1497" i="1" s="1"/>
  <c r="T1497" i="1" s="1"/>
  <c r="R1536" i="1"/>
  <c r="R1535" i="1" s="1"/>
  <c r="R1534" i="1" s="1"/>
  <c r="R1533" i="1" s="1"/>
  <c r="R1532" i="1" s="1"/>
  <c r="R1531" i="1" s="1"/>
  <c r="T1531" i="1" s="1"/>
  <c r="R1491" i="1"/>
  <c r="R1489" i="1"/>
  <c r="R1492" i="1"/>
  <c r="R1447" i="1"/>
  <c r="R1446" i="1" s="1"/>
  <c r="R1445" i="1" s="1"/>
  <c r="R1444" i="1" s="1"/>
  <c r="R1443" i="1" s="1"/>
  <c r="R1442" i="1" s="1"/>
  <c r="T1442" i="1" s="1"/>
  <c r="R1513" i="1"/>
  <c r="R1512" i="1" s="1"/>
  <c r="R1511" i="1" s="1"/>
  <c r="R1510" i="1" s="1"/>
  <c r="T1510" i="1" s="1"/>
  <c r="R1480" i="1"/>
  <c r="R1437" i="1"/>
  <c r="R1436" i="1" s="1"/>
  <c r="R1435" i="1" s="1"/>
  <c r="R1434" i="1" s="1"/>
  <c r="R1433" i="1" s="1"/>
  <c r="T1433" i="1" s="1"/>
  <c r="R1441" i="1"/>
  <c r="R1547" i="1"/>
  <c r="R1546" i="1" s="1"/>
  <c r="R1545" i="1" s="1"/>
  <c r="R1544" i="1" s="1"/>
  <c r="T1544" i="1" s="1"/>
  <c r="R1458" i="1"/>
  <c r="R1457" i="1" s="1"/>
  <c r="R1456" i="1" s="1"/>
  <c r="R1455" i="1" s="1"/>
  <c r="T1455" i="1" s="1"/>
  <c r="R1562" i="1"/>
  <c r="R1565" i="1"/>
  <c r="R1568" i="1"/>
  <c r="R1539" i="1"/>
  <c r="R1541" i="1"/>
  <c r="R1538" i="1"/>
  <c r="R1540" i="1"/>
  <c r="O1577" i="1"/>
  <c r="S1577" i="1" s="1"/>
  <c r="T1577" i="1" s="1"/>
  <c r="O1425" i="1"/>
  <c r="O1426" i="1" s="1"/>
  <c r="O1427" i="1" s="1"/>
  <c r="O1428" i="1" s="1"/>
  <c r="O1429" i="1" s="1"/>
  <c r="O1430" i="1" s="1"/>
  <c r="O1524" i="1"/>
  <c r="R1524" i="1" s="1"/>
  <c r="R1523" i="1" s="1"/>
  <c r="R1522" i="1" s="1"/>
  <c r="R1521" i="1" s="1"/>
  <c r="R1520" i="1" s="1"/>
  <c r="R1519" i="1" s="1"/>
  <c r="R1504" i="1"/>
  <c r="R1448" i="1"/>
  <c r="R1454" i="1"/>
  <c r="R1462" i="1"/>
  <c r="R1481" i="1"/>
  <c r="O1060" i="1"/>
  <c r="R1060" i="1" s="1"/>
  <c r="O1679" i="1"/>
  <c r="O1680" i="1" s="1"/>
  <c r="O1169" i="1"/>
  <c r="R1169" i="1" s="1"/>
  <c r="O1152" i="1"/>
  <c r="O1153" i="1" s="1"/>
  <c r="O1154" i="1" s="1"/>
  <c r="S1154" i="1" s="1"/>
  <c r="T1154" i="1" s="1"/>
  <c r="O1144" i="1"/>
  <c r="R1144" i="1" s="1"/>
  <c r="O865" i="1"/>
  <c r="R865" i="1" s="1"/>
  <c r="O1009" i="1"/>
  <c r="O1010" i="1" s="1"/>
  <c r="O1140" i="1"/>
  <c r="S1140" i="1" s="1"/>
  <c r="T1140" i="1" s="1"/>
  <c r="O1351" i="1"/>
  <c r="R1351" i="1" s="1"/>
  <c r="O853" i="1"/>
  <c r="O854" i="1" s="1"/>
  <c r="O951" i="1"/>
  <c r="S951" i="1" s="1"/>
  <c r="S950" i="1" s="1"/>
  <c r="T950" i="1" s="1"/>
  <c r="O1789" i="1"/>
  <c r="O1790" i="1" s="1"/>
  <c r="S1790" i="1" s="1"/>
  <c r="T1790" i="1" s="1"/>
  <c r="O1682" i="1"/>
  <c r="O1683" i="1" s="1"/>
  <c r="O1230" i="1"/>
  <c r="S1230" i="1" s="1"/>
  <c r="T1230" i="1" s="1"/>
  <c r="O818" i="1"/>
  <c r="R818" i="1" s="1"/>
  <c r="O870" i="1"/>
  <c r="R870" i="1" s="1"/>
  <c r="O1355" i="1"/>
  <c r="R1355" i="1" s="1"/>
  <c r="O1398" i="1"/>
  <c r="O1399" i="1" s="1"/>
  <c r="O1676" i="1"/>
  <c r="O1677" i="1" s="1"/>
  <c r="O1027" i="1"/>
  <c r="O851" i="1"/>
  <c r="R851" i="1" s="1"/>
  <c r="X89" i="1" l="1"/>
  <c r="Y89" i="1" s="1"/>
  <c r="AA89" i="1"/>
  <c r="Z89" i="1" s="1"/>
  <c r="W91" i="1"/>
  <c r="CO38" i="7"/>
  <c r="CO24" i="7"/>
  <c r="CO25" i="7"/>
  <c r="CP29" i="7"/>
  <c r="CN36" i="7"/>
  <c r="CN37" i="7"/>
  <c r="CO34" i="7"/>
  <c r="CO35" i="7" s="1"/>
  <c r="CO37" i="7" s="1"/>
  <c r="CO19" i="7"/>
  <c r="CP7" i="7"/>
  <c r="CP40" i="7"/>
  <c r="CQ5" i="7"/>
  <c r="CP6" i="7"/>
  <c r="CP8" i="7"/>
  <c r="CP9" i="7" s="1"/>
  <c r="CN20" i="7"/>
  <c r="CN21" i="7"/>
  <c r="CO14" i="7"/>
  <c r="CO13" i="7"/>
  <c r="CO33" i="7"/>
  <c r="CO16" i="7"/>
  <c r="CO17" i="7" s="1"/>
  <c r="CQ11" i="7"/>
  <c r="CP12" i="7"/>
  <c r="CY3" i="7"/>
  <c r="CX4" i="7"/>
  <c r="CO41" i="7"/>
  <c r="CO42" i="7" s="1"/>
  <c r="CO30" i="7"/>
  <c r="CR27" i="7"/>
  <c r="CQ28" i="7"/>
  <c r="CQ32" i="7" s="1"/>
  <c r="R1152" i="1"/>
  <c r="O1061" i="1"/>
  <c r="O1062" i="1" s="1"/>
  <c r="R853" i="1"/>
  <c r="O1141" i="1"/>
  <c r="S1141" i="1" s="1"/>
  <c r="T1141" i="1" s="1"/>
  <c r="R1027" i="1"/>
  <c r="O1028" i="1"/>
  <c r="R1028" i="1" s="1"/>
  <c r="O871" i="1"/>
  <c r="O952" i="1"/>
  <c r="S952" i="1" s="1"/>
  <c r="T952" i="1" s="1"/>
  <c r="O1145" i="1"/>
  <c r="O1356" i="1"/>
  <c r="R1356" i="1" s="1"/>
  <c r="S854" i="1"/>
  <c r="T854" i="1" s="1"/>
  <c r="R854" i="1"/>
  <c r="O855" i="1"/>
  <c r="S855" i="1" s="1"/>
  <c r="T855" i="1" s="1"/>
  <c r="O866" i="1"/>
  <c r="R1153" i="1"/>
  <c r="S1153" i="1"/>
  <c r="T1153" i="1" s="1"/>
  <c r="R1789" i="1"/>
  <c r="S1010" i="1"/>
  <c r="T1010" i="1" s="1"/>
  <c r="R1010" i="1"/>
  <c r="O852" i="1"/>
  <c r="O819" i="1"/>
  <c r="O1352" i="1"/>
  <c r="O1170" i="1"/>
  <c r="R1230" i="1"/>
  <c r="R1154" i="1"/>
  <c r="O1231" i="1"/>
  <c r="R951" i="1"/>
  <c r="R1140" i="1"/>
  <c r="R1009" i="1"/>
  <c r="S1789" i="1"/>
  <c r="O1578" i="1"/>
  <c r="R1577" i="1"/>
  <c r="R1790" i="1"/>
  <c r="O1525" i="1"/>
  <c r="S1525" i="1" s="1"/>
  <c r="S1524" i="1" s="1"/>
  <c r="O1678" i="1"/>
  <c r="R1677" i="1"/>
  <c r="R1676" i="1" s="1"/>
  <c r="O1400" i="1"/>
  <c r="R1399" i="1"/>
  <c r="R1398" i="1" s="1"/>
  <c r="R1683" i="1"/>
  <c r="R1682" i="1" s="1"/>
  <c r="O1684" i="1"/>
  <c r="O1681" i="1"/>
  <c r="R1680" i="1"/>
  <c r="R1679" i="1" s="1"/>
  <c r="O1431" i="1"/>
  <c r="R1430" i="1"/>
  <c r="R1429" i="1" s="1"/>
  <c r="R1428" i="1" s="1"/>
  <c r="R1427" i="1" s="1"/>
  <c r="R1426" i="1" s="1"/>
  <c r="R1425" i="1" s="1"/>
  <c r="T951" i="1"/>
  <c r="S1229" i="1"/>
  <c r="T1229" i="1" s="1"/>
  <c r="X90" i="1" l="1"/>
  <c r="Y90" i="1" s="1"/>
  <c r="AA90" i="1"/>
  <c r="Z90" i="1" s="1"/>
  <c r="W92" i="1"/>
  <c r="T1789" i="1"/>
  <c r="CP41" i="7"/>
  <c r="CP42" i="7" s="1"/>
  <c r="CP38" i="7"/>
  <c r="CP25" i="7"/>
  <c r="CP24" i="7"/>
  <c r="CQ29" i="7"/>
  <c r="CP13" i="7"/>
  <c r="CP14" i="7"/>
  <c r="CR11" i="7"/>
  <c r="CQ12" i="7"/>
  <c r="CP34" i="7"/>
  <c r="CP35" i="7" s="1"/>
  <c r="CP37" i="7" s="1"/>
  <c r="CO20" i="7"/>
  <c r="CO21" i="7"/>
  <c r="CP16" i="7"/>
  <c r="CP17" i="7" s="1"/>
  <c r="CP33" i="7"/>
  <c r="CP19" i="7"/>
  <c r="CQ7" i="7"/>
  <c r="CR5" i="7"/>
  <c r="CQ6" i="7"/>
  <c r="CQ40" i="7"/>
  <c r="CQ8" i="7"/>
  <c r="CQ9" i="7" s="1"/>
  <c r="CZ3" i="7"/>
  <c r="CY4" i="7"/>
  <c r="CP30" i="7"/>
  <c r="CS27" i="7"/>
  <c r="CR28" i="7"/>
  <c r="CR32" i="7" s="1"/>
  <c r="CO36" i="7"/>
  <c r="R1062" i="1"/>
  <c r="S1028" i="1"/>
  <c r="O1063" i="1"/>
  <c r="O1064" i="1" s="1"/>
  <c r="S853" i="1"/>
  <c r="T853" i="1" s="1"/>
  <c r="R855" i="1"/>
  <c r="O856" i="1"/>
  <c r="S856" i="1" s="1"/>
  <c r="T856" i="1" s="1"/>
  <c r="R1061" i="1"/>
  <c r="R1141" i="1"/>
  <c r="R866" i="1"/>
  <c r="O867" i="1"/>
  <c r="R867" i="1" s="1"/>
  <c r="S1145" i="1"/>
  <c r="R1145" i="1"/>
  <c r="O1146" i="1"/>
  <c r="S1356" i="1"/>
  <c r="S1009" i="1"/>
  <c r="T1009" i="1" s="1"/>
  <c r="R952" i="1"/>
  <c r="O953" i="1"/>
  <c r="S871" i="1"/>
  <c r="R871" i="1"/>
  <c r="O872" i="1"/>
  <c r="S1152" i="1"/>
  <c r="T1152" i="1" s="1"/>
  <c r="S1231" i="1"/>
  <c r="T1231" i="1" s="1"/>
  <c r="R1231" i="1"/>
  <c r="O1232" i="1"/>
  <c r="R852" i="1"/>
  <c r="S852" i="1"/>
  <c r="R1170" i="1"/>
  <c r="S1170" i="1"/>
  <c r="R1352" i="1"/>
  <c r="S1352" i="1"/>
  <c r="R819" i="1"/>
  <c r="S819" i="1"/>
  <c r="O1526" i="1"/>
  <c r="O1527" i="1" s="1"/>
  <c r="R1525" i="1"/>
  <c r="O1579" i="1"/>
  <c r="R1578" i="1"/>
  <c r="S1578" i="1"/>
  <c r="T1578" i="1" s="1"/>
  <c r="S1523" i="1"/>
  <c r="T1523" i="1" s="1"/>
  <c r="T1524" i="1"/>
  <c r="T1525" i="1"/>
  <c r="S1681" i="1"/>
  <c r="R1681" i="1"/>
  <c r="O1401" i="1"/>
  <c r="S1400" i="1"/>
  <c r="R1400" i="1"/>
  <c r="S1684" i="1"/>
  <c r="R1684" i="1"/>
  <c r="O1685" i="1"/>
  <c r="S1678" i="1"/>
  <c r="R1678" i="1"/>
  <c r="O1432" i="1"/>
  <c r="R1431" i="1"/>
  <c r="S1431" i="1"/>
  <c r="X91" i="1" l="1"/>
  <c r="Y91" i="1" s="1"/>
  <c r="AA91" i="1"/>
  <c r="Z91" i="1" s="1"/>
  <c r="W93" i="1"/>
  <c r="T1028" i="1"/>
  <c r="S1027" i="1"/>
  <c r="CQ38" i="7"/>
  <c r="CQ24" i="7"/>
  <c r="CQ25" i="7"/>
  <c r="CQ34" i="7"/>
  <c r="CQ35" i="7" s="1"/>
  <c r="CQ37" i="7" s="1"/>
  <c r="CR29" i="7"/>
  <c r="CP20" i="7"/>
  <c r="CP21" i="7"/>
  <c r="CQ13" i="7"/>
  <c r="CQ14" i="7"/>
  <c r="CS11" i="7"/>
  <c r="CR12" i="7"/>
  <c r="CQ33" i="7"/>
  <c r="CQ16" i="7"/>
  <c r="CQ17" i="7" s="1"/>
  <c r="CR30" i="7"/>
  <c r="CQ19" i="7"/>
  <c r="CR7" i="7"/>
  <c r="CR40" i="7"/>
  <c r="CS5" i="7"/>
  <c r="CR6" i="7"/>
  <c r="CR8" i="7"/>
  <c r="CR9" i="7" s="1"/>
  <c r="DA3" i="7"/>
  <c r="CZ4" i="7"/>
  <c r="CP36" i="7"/>
  <c r="CS28" i="7"/>
  <c r="CS32" i="7" s="1"/>
  <c r="CT27" i="7"/>
  <c r="CQ30" i="7"/>
  <c r="CQ41" i="7"/>
  <c r="CQ42" i="7" s="1"/>
  <c r="R856" i="1"/>
  <c r="S1063" i="1"/>
  <c r="O868" i="1"/>
  <c r="R1063" i="1"/>
  <c r="S867" i="1"/>
  <c r="T871" i="1"/>
  <c r="S870" i="1"/>
  <c r="T870" i="1" s="1"/>
  <c r="O954" i="1"/>
  <c r="R953" i="1"/>
  <c r="T1356" i="1"/>
  <c r="S1355" i="1"/>
  <c r="T1355" i="1" s="1"/>
  <c r="S1146" i="1"/>
  <c r="T1146" i="1" s="1"/>
  <c r="R1146" i="1"/>
  <c r="S872" i="1"/>
  <c r="T872" i="1" s="1"/>
  <c r="R872" i="1"/>
  <c r="S1144" i="1"/>
  <c r="T1144" i="1" s="1"/>
  <c r="T1145" i="1"/>
  <c r="S1169" i="1"/>
  <c r="T1169" i="1" s="1"/>
  <c r="T1170" i="1"/>
  <c r="S818" i="1"/>
  <c r="T818" i="1" s="1"/>
  <c r="T819" i="1"/>
  <c r="S851" i="1"/>
  <c r="T851" i="1" s="1"/>
  <c r="T852" i="1"/>
  <c r="S1351" i="1"/>
  <c r="T1351" i="1" s="1"/>
  <c r="T1352" i="1"/>
  <c r="R1232" i="1"/>
  <c r="S1232" i="1"/>
  <c r="T1232" i="1" s="1"/>
  <c r="R1064" i="1"/>
  <c r="O1065" i="1"/>
  <c r="S1064" i="1"/>
  <c r="T1064" i="1" s="1"/>
  <c r="R1526" i="1"/>
  <c r="S1526" i="1"/>
  <c r="T1526" i="1" s="1"/>
  <c r="T1684" i="1"/>
  <c r="S1683" i="1"/>
  <c r="T1681" i="1"/>
  <c r="S1680" i="1"/>
  <c r="T1678" i="1"/>
  <c r="S1677" i="1"/>
  <c r="S1522" i="1"/>
  <c r="T1522" i="1" s="1"/>
  <c r="T1400" i="1"/>
  <c r="S1399" i="1"/>
  <c r="O1580" i="1"/>
  <c r="R1579" i="1"/>
  <c r="S1579" i="1"/>
  <c r="T1579" i="1" s="1"/>
  <c r="S1401" i="1"/>
  <c r="T1401" i="1" s="1"/>
  <c r="R1401" i="1"/>
  <c r="S1432" i="1"/>
  <c r="T1432" i="1" s="1"/>
  <c r="R1432" i="1"/>
  <c r="S1685" i="1"/>
  <c r="T1685" i="1" s="1"/>
  <c r="R1685" i="1"/>
  <c r="O1686" i="1"/>
  <c r="S1430" i="1"/>
  <c r="T1431" i="1"/>
  <c r="S1527" i="1"/>
  <c r="T1527" i="1" s="1"/>
  <c r="O1528" i="1"/>
  <c r="R1527" i="1"/>
  <c r="X92" i="1" l="1"/>
  <c r="Y92" i="1" s="1"/>
  <c r="AA92" i="1"/>
  <c r="Z92" i="1" s="1"/>
  <c r="W94" i="1"/>
  <c r="T1063" i="1"/>
  <c r="S1062" i="1"/>
  <c r="T867" i="1"/>
  <c r="S866" i="1"/>
  <c r="S1026" i="1"/>
  <c r="T1026" i="1" s="1"/>
  <c r="T1027" i="1"/>
  <c r="CR38" i="7"/>
  <c r="CR25" i="7"/>
  <c r="CR24" i="7"/>
  <c r="CS29" i="7"/>
  <c r="CR34" i="7"/>
  <c r="CR35" i="7" s="1"/>
  <c r="CQ20" i="7"/>
  <c r="CQ21" i="7"/>
  <c r="CR13" i="7"/>
  <c r="CR14" i="7"/>
  <c r="CT11" i="7"/>
  <c r="CS12" i="7"/>
  <c r="CR19" i="7"/>
  <c r="CR33" i="7"/>
  <c r="CR16" i="7"/>
  <c r="CR17" i="7" s="1"/>
  <c r="CS6" i="7"/>
  <c r="CS7" i="7"/>
  <c r="CS40" i="7"/>
  <c r="CT5" i="7"/>
  <c r="CS8" i="7"/>
  <c r="CS9" i="7" s="1"/>
  <c r="DA4" i="7"/>
  <c r="DB3" i="7"/>
  <c r="CR41" i="7"/>
  <c r="CR42" i="7" s="1"/>
  <c r="CS30" i="7"/>
  <c r="CT28" i="7"/>
  <c r="CT32" i="7" s="1"/>
  <c r="CU27" i="7"/>
  <c r="CQ36" i="7"/>
  <c r="O869" i="1"/>
  <c r="R869" i="1" s="1"/>
  <c r="R868" i="1"/>
  <c r="S954" i="1"/>
  <c r="R954" i="1"/>
  <c r="S1065" i="1"/>
  <c r="T1065" i="1" s="1"/>
  <c r="R1065" i="1"/>
  <c r="S1521" i="1"/>
  <c r="S1520" i="1" s="1"/>
  <c r="T1677" i="1"/>
  <c r="S1676" i="1"/>
  <c r="T1676" i="1" s="1"/>
  <c r="T1680" i="1"/>
  <c r="S1679" i="1"/>
  <c r="T1679" i="1" s="1"/>
  <c r="T1683" i="1"/>
  <c r="S1682" i="1"/>
  <c r="T1682" i="1" s="1"/>
  <c r="T1399" i="1"/>
  <c r="S1398" i="1"/>
  <c r="T1398" i="1" s="1"/>
  <c r="S1580" i="1"/>
  <c r="T1580" i="1" s="1"/>
  <c r="O1581" i="1"/>
  <c r="R1580" i="1"/>
  <c r="O1529" i="1"/>
  <c r="S1528" i="1"/>
  <c r="T1528" i="1" s="1"/>
  <c r="R1528" i="1"/>
  <c r="T1430" i="1"/>
  <c r="S1429" i="1"/>
  <c r="R1686" i="1"/>
  <c r="S1686" i="1"/>
  <c r="T1686" i="1" s="1"/>
  <c r="W95" i="1" l="1"/>
  <c r="X93" i="1"/>
  <c r="Y93" i="1" s="1"/>
  <c r="AA93" i="1"/>
  <c r="Z93" i="1" s="1"/>
  <c r="T866" i="1"/>
  <c r="S865" i="1"/>
  <c r="T865" i="1" s="1"/>
  <c r="T1062" i="1"/>
  <c r="S1061" i="1"/>
  <c r="T954" i="1"/>
  <c r="S953" i="1"/>
  <c r="T953" i="1" s="1"/>
  <c r="CS38" i="7"/>
  <c r="CS24" i="7"/>
  <c r="CS25" i="7"/>
  <c r="CS34" i="7"/>
  <c r="CS35" i="7" s="1"/>
  <c r="CS37" i="7" s="1"/>
  <c r="CT29" i="7"/>
  <c r="CR36" i="7"/>
  <c r="CR37" i="7"/>
  <c r="CT7" i="7"/>
  <c r="CU5" i="7"/>
  <c r="CT40" i="7"/>
  <c r="CT6" i="7"/>
  <c r="CT8" i="7"/>
  <c r="CT9" i="7" s="1"/>
  <c r="CR20" i="7"/>
  <c r="CR21" i="7"/>
  <c r="CS19" i="7"/>
  <c r="CS13" i="7"/>
  <c r="CS14" i="7"/>
  <c r="CU11" i="7"/>
  <c r="CT12" i="7"/>
  <c r="CS33" i="7"/>
  <c r="CS16" i="7"/>
  <c r="CS17" i="7" s="1"/>
  <c r="DC3" i="7"/>
  <c r="DB4" i="7"/>
  <c r="CS41" i="7"/>
  <c r="CS42" i="7" s="1"/>
  <c r="CU28" i="7"/>
  <c r="CU32" i="7" s="1"/>
  <c r="CV27" i="7"/>
  <c r="S869" i="1"/>
  <c r="T1521" i="1"/>
  <c r="S1581" i="1"/>
  <c r="T1581" i="1" s="1"/>
  <c r="R1581" i="1"/>
  <c r="O1582" i="1"/>
  <c r="T1429" i="1"/>
  <c r="S1428" i="1"/>
  <c r="O1530" i="1"/>
  <c r="R1529" i="1"/>
  <c r="S1529" i="1"/>
  <c r="T1529" i="1" s="1"/>
  <c r="S1519" i="1"/>
  <c r="T1519" i="1" s="1"/>
  <c r="T1520" i="1"/>
  <c r="T1061" i="1" l="1"/>
  <c r="S1060" i="1"/>
  <c r="T1060" i="1" s="1"/>
  <c r="X94" i="1"/>
  <c r="Y94" i="1" s="1"/>
  <c r="AA94" i="1"/>
  <c r="Z94" i="1" s="1"/>
  <c r="W96" i="1"/>
  <c r="T869" i="1"/>
  <c r="S868" i="1"/>
  <c r="T868" i="1" s="1"/>
  <c r="CT38" i="7"/>
  <c r="CT25" i="7"/>
  <c r="CT24" i="7"/>
  <c r="CT41" i="7"/>
  <c r="CT42" i="7" s="1"/>
  <c r="CU29" i="7"/>
  <c r="CU30" i="7" s="1"/>
  <c r="CS36" i="7"/>
  <c r="CT13" i="7"/>
  <c r="CT14" i="7"/>
  <c r="CV11" i="7"/>
  <c r="CU12" i="7"/>
  <c r="CT34" i="7"/>
  <c r="CT35" i="7" s="1"/>
  <c r="CT37" i="7" s="1"/>
  <c r="CT16" i="7"/>
  <c r="CT17" i="7" s="1"/>
  <c r="CT33" i="7"/>
  <c r="CT19" i="7"/>
  <c r="CS20" i="7"/>
  <c r="CS21" i="7"/>
  <c r="CU7" i="7"/>
  <c r="CV5" i="7"/>
  <c r="CU40" i="7"/>
  <c r="CU6" i="7"/>
  <c r="CU8" i="7"/>
  <c r="CU9" i="7" s="1"/>
  <c r="DC4" i="7"/>
  <c r="DD3" i="7"/>
  <c r="CT30" i="7"/>
  <c r="CW27" i="7"/>
  <c r="CV28" i="7"/>
  <c r="CV32" i="7" s="1"/>
  <c r="R1582" i="1"/>
  <c r="S1582" i="1"/>
  <c r="T1582" i="1" s="1"/>
  <c r="O1583" i="1"/>
  <c r="S1530" i="1"/>
  <c r="T1530" i="1" s="1"/>
  <c r="R1530" i="1"/>
  <c r="T1428" i="1"/>
  <c r="S1427" i="1"/>
  <c r="X95" i="1" l="1"/>
  <c r="Y95" i="1" s="1"/>
  <c r="AA95" i="1"/>
  <c r="Z95" i="1" s="1"/>
  <c r="W97" i="1"/>
  <c r="CU38" i="7"/>
  <c r="CU25" i="7"/>
  <c r="CU24" i="7"/>
  <c r="CU34" i="7"/>
  <c r="CU35" i="7" s="1"/>
  <c r="CU37" i="7" s="1"/>
  <c r="CV29" i="7"/>
  <c r="CU13" i="7"/>
  <c r="CU14" i="7"/>
  <c r="CW11" i="7"/>
  <c r="CV12" i="7"/>
  <c r="CW5" i="7"/>
  <c r="CV6" i="7"/>
  <c r="CV40" i="7"/>
  <c r="CV7" i="7"/>
  <c r="CV8" i="7"/>
  <c r="CV9" i="7" s="1"/>
  <c r="CU16" i="7"/>
  <c r="CU17" i="7" s="1"/>
  <c r="CU33" i="7"/>
  <c r="CU19" i="7"/>
  <c r="CT20" i="7"/>
  <c r="CT21" i="7"/>
  <c r="DE3" i="7"/>
  <c r="DD4" i="7"/>
  <c r="CT36" i="7"/>
  <c r="CU41" i="7"/>
  <c r="CU42" i="7" s="1"/>
  <c r="CW28" i="7"/>
  <c r="CW32" i="7" s="1"/>
  <c r="CX27" i="7"/>
  <c r="R1583" i="1"/>
  <c r="O1584" i="1"/>
  <c r="S1583" i="1"/>
  <c r="T1583" i="1" s="1"/>
  <c r="T1427" i="1"/>
  <c r="S1426" i="1"/>
  <c r="X96" i="1" l="1"/>
  <c r="Y96" i="1" s="1"/>
  <c r="AA96" i="1"/>
  <c r="Z96" i="1" s="1"/>
  <c r="W98" i="1"/>
  <c r="CV38" i="7"/>
  <c r="CV25" i="7"/>
  <c r="CV24" i="7"/>
  <c r="CV34" i="7"/>
  <c r="CV35" i="7" s="1"/>
  <c r="CV37" i="7" s="1"/>
  <c r="CW29" i="7"/>
  <c r="CV19" i="7"/>
  <c r="CX11" i="7"/>
  <c r="CW12" i="7"/>
  <c r="CV16" i="7"/>
  <c r="CV17" i="7" s="1"/>
  <c r="CV33" i="7"/>
  <c r="CU20" i="7"/>
  <c r="CU21" i="7"/>
  <c r="CW7" i="7"/>
  <c r="CX5" i="7"/>
  <c r="CW6" i="7"/>
  <c r="CW40" i="7"/>
  <c r="CW8" i="7"/>
  <c r="CW9" i="7" s="1"/>
  <c r="CV14" i="7"/>
  <c r="CV13" i="7"/>
  <c r="CU36" i="7"/>
  <c r="DE4" i="7"/>
  <c r="DF3" i="7"/>
  <c r="CV30" i="7"/>
  <c r="CV41" i="7"/>
  <c r="CV42" i="7" s="1"/>
  <c r="CY27" i="7"/>
  <c r="CX28" i="7"/>
  <c r="CX32" i="7" s="1"/>
  <c r="O1585" i="1"/>
  <c r="S1584" i="1"/>
  <c r="T1584" i="1" s="1"/>
  <c r="R1584" i="1"/>
  <c r="T1426" i="1"/>
  <c r="S1425" i="1"/>
  <c r="T1425" i="1" s="1"/>
  <c r="W99" i="1" l="1"/>
  <c r="X97" i="1"/>
  <c r="Y97" i="1" s="1"/>
  <c r="AA97" i="1"/>
  <c r="Z97" i="1" s="1"/>
  <c r="CW41" i="7"/>
  <c r="CW42" i="7" s="1"/>
  <c r="CW38" i="7"/>
  <c r="CW25" i="7"/>
  <c r="CW24" i="7"/>
  <c r="CX29" i="7"/>
  <c r="CW34" i="7"/>
  <c r="CW35" i="7" s="1"/>
  <c r="CW37" i="7" s="1"/>
  <c r="CW13" i="7"/>
  <c r="CW14" i="7"/>
  <c r="CW19" i="7"/>
  <c r="CY11" i="7"/>
  <c r="CX12" i="7"/>
  <c r="CX7" i="7"/>
  <c r="CY5" i="7"/>
  <c r="CX6" i="7"/>
  <c r="CX40" i="7"/>
  <c r="CX8" i="7"/>
  <c r="CX9" i="7" s="1"/>
  <c r="CV20" i="7"/>
  <c r="CV21" i="7"/>
  <c r="CW16" i="7"/>
  <c r="CW17" i="7" s="1"/>
  <c r="CW33" i="7"/>
  <c r="DF4" i="7"/>
  <c r="DG3" i="7"/>
  <c r="CW30" i="7"/>
  <c r="CV36" i="7"/>
  <c r="CY28" i="7"/>
  <c r="CY32" i="7" s="1"/>
  <c r="CZ27" i="7"/>
  <c r="R1585" i="1"/>
  <c r="S1585" i="1"/>
  <c r="T1585" i="1" s="1"/>
  <c r="X98" i="1" l="1"/>
  <c r="Y98" i="1" s="1"/>
  <c r="AA98" i="1"/>
  <c r="Z98" i="1" s="1"/>
  <c r="W100" i="1"/>
  <c r="CX38" i="7"/>
  <c r="CX24" i="7"/>
  <c r="CX25" i="7"/>
  <c r="CY29" i="7"/>
  <c r="CX14" i="7"/>
  <c r="CX13" i="7"/>
  <c r="CZ11" i="7"/>
  <c r="CY12" i="7"/>
  <c r="CX34" i="7"/>
  <c r="CX35" i="7" s="1"/>
  <c r="CX37" i="7" s="1"/>
  <c r="CW20" i="7"/>
  <c r="CW21" i="7"/>
  <c r="CX16" i="7"/>
  <c r="CX17" i="7" s="1"/>
  <c r="CX33" i="7"/>
  <c r="CX19" i="7"/>
  <c r="CZ5" i="7"/>
  <c r="CY40" i="7"/>
  <c r="CY6" i="7"/>
  <c r="CY7" i="7"/>
  <c r="CY8" i="7"/>
  <c r="CY9" i="7" s="1"/>
  <c r="CW36" i="7"/>
  <c r="DH3" i="7"/>
  <c r="DG4" i="7"/>
  <c r="CY30" i="7"/>
  <c r="DA27" i="7"/>
  <c r="CZ28" i="7"/>
  <c r="CZ32" i="7" s="1"/>
  <c r="CX41" i="7"/>
  <c r="CX42" i="7" s="1"/>
  <c r="CX30" i="7"/>
  <c r="BE66" i="1"/>
  <c r="X99" i="1" l="1"/>
  <c r="Y99" i="1" s="1"/>
  <c r="AA99" i="1"/>
  <c r="Z99" i="1" s="1"/>
  <c r="W101" i="1"/>
  <c r="CY38" i="7"/>
  <c r="CY24" i="7"/>
  <c r="CY25" i="7"/>
  <c r="CZ29" i="7"/>
  <c r="CZ7" i="7"/>
  <c r="CZ40" i="7"/>
  <c r="DA5" i="7"/>
  <c r="CZ6" i="7"/>
  <c r="CZ8" i="7"/>
  <c r="CZ9" i="7" s="1"/>
  <c r="CX20" i="7"/>
  <c r="CX21" i="7"/>
  <c r="CY14" i="7"/>
  <c r="CY13" i="7"/>
  <c r="CY16" i="7"/>
  <c r="CY17" i="7" s="1"/>
  <c r="CY33" i="7"/>
  <c r="DA11" i="7"/>
  <c r="CZ12" i="7"/>
  <c r="CY34" i="7"/>
  <c r="CY35" i="7" s="1"/>
  <c r="CY19" i="7"/>
  <c r="DH4" i="7"/>
  <c r="DI3" i="7"/>
  <c r="CY41" i="7"/>
  <c r="CY42" i="7" s="1"/>
  <c r="DA28" i="7"/>
  <c r="DA32" i="7" s="1"/>
  <c r="DB27" i="7"/>
  <c r="CX36" i="7"/>
  <c r="BE67" i="1"/>
  <c r="X100" i="1" l="1"/>
  <c r="Y100" i="1" s="1"/>
  <c r="AA100" i="1"/>
  <c r="Z100" i="1" s="1"/>
  <c r="W102" i="1"/>
  <c r="CZ38" i="7"/>
  <c r="CZ24" i="7"/>
  <c r="CZ25" i="7"/>
  <c r="DA29" i="7"/>
  <c r="CY36" i="7"/>
  <c r="CY37" i="7"/>
  <c r="CZ34" i="7"/>
  <c r="CZ35" i="7" s="1"/>
  <c r="CZ37" i="7" s="1"/>
  <c r="CZ16" i="7"/>
  <c r="CZ17" i="7" s="1"/>
  <c r="CZ33" i="7"/>
  <c r="CZ19" i="7"/>
  <c r="CZ13" i="7"/>
  <c r="CZ14" i="7"/>
  <c r="DB5" i="7"/>
  <c r="DA40" i="7"/>
  <c r="DA7" i="7"/>
  <c r="DA6" i="7"/>
  <c r="DA8" i="7"/>
  <c r="DA9" i="7" s="1"/>
  <c r="DB11" i="7"/>
  <c r="DA12" i="7"/>
  <c r="CY20" i="7"/>
  <c r="CY21" i="7"/>
  <c r="DI4" i="7"/>
  <c r="DJ3" i="7"/>
  <c r="DB28" i="7"/>
  <c r="DB32" i="7" s="1"/>
  <c r="DC27" i="7"/>
  <c r="CZ30" i="7"/>
  <c r="CZ41" i="7"/>
  <c r="CZ42" i="7" s="1"/>
  <c r="X101" i="1" l="1"/>
  <c r="Y101" i="1" s="1"/>
  <c r="AA101" i="1"/>
  <c r="Z101" i="1" s="1"/>
  <c r="W103" i="1"/>
  <c r="DA38" i="7"/>
  <c r="DA24" i="7"/>
  <c r="DA25" i="7"/>
  <c r="DB29" i="7"/>
  <c r="DB7" i="7"/>
  <c r="DB40" i="7"/>
  <c r="DB6" i="7"/>
  <c r="DC5" i="7"/>
  <c r="DB8" i="7"/>
  <c r="DB9" i="7" s="1"/>
  <c r="DA14" i="7"/>
  <c r="DA13" i="7"/>
  <c r="DC11" i="7"/>
  <c r="DB12" i="7"/>
  <c r="DA34" i="7"/>
  <c r="CZ20" i="7"/>
  <c r="CZ21" i="7"/>
  <c r="DA33" i="7"/>
  <c r="DA16" i="7"/>
  <c r="DA17" i="7" s="1"/>
  <c r="DA19" i="7"/>
  <c r="DB30" i="7"/>
  <c r="DJ4" i="7"/>
  <c r="DK3" i="7"/>
  <c r="DA30" i="7"/>
  <c r="DA35" i="7"/>
  <c r="DA37" i="7" s="1"/>
  <c r="DA41" i="7"/>
  <c r="DA42" i="7" s="1"/>
  <c r="DD27" i="7"/>
  <c r="DC28" i="7"/>
  <c r="DC32" i="7" s="1"/>
  <c r="CZ36" i="7"/>
  <c r="W104" i="1" l="1"/>
  <c r="X102" i="1"/>
  <c r="Y102" i="1" s="1"/>
  <c r="AA102" i="1"/>
  <c r="Z102" i="1" s="1"/>
  <c r="DB38" i="7"/>
  <c r="DB25" i="7"/>
  <c r="DB24" i="7"/>
  <c r="DC29" i="7"/>
  <c r="DB16" i="7"/>
  <c r="DB17" i="7" s="1"/>
  <c r="DB33" i="7"/>
  <c r="DB34" i="7"/>
  <c r="DB35" i="7" s="1"/>
  <c r="DB37" i="7" s="1"/>
  <c r="DC7" i="7"/>
  <c r="DD5" i="7"/>
  <c r="DC40" i="7"/>
  <c r="DC6" i="7"/>
  <c r="DC8" i="7"/>
  <c r="DC9" i="7" s="1"/>
  <c r="DB19" i="7"/>
  <c r="DA20" i="7"/>
  <c r="DA21" i="7"/>
  <c r="DB13" i="7"/>
  <c r="DB14" i="7"/>
  <c r="DD11" i="7"/>
  <c r="DC12" i="7"/>
  <c r="DK4" i="7"/>
  <c r="DL3" i="7"/>
  <c r="DB41" i="7"/>
  <c r="DB42" i="7" s="1"/>
  <c r="DE27" i="7"/>
  <c r="DD28" i="7"/>
  <c r="DD32" i="7" s="1"/>
  <c r="DA36" i="7"/>
  <c r="X103" i="1" l="1"/>
  <c r="Y103" i="1" s="1"/>
  <c r="AA103" i="1"/>
  <c r="Z103" i="1" s="1"/>
  <c r="W105" i="1"/>
  <c r="DC38" i="7"/>
  <c r="DC24" i="7"/>
  <c r="DC25" i="7"/>
  <c r="DD29" i="7"/>
  <c r="DC19" i="7"/>
  <c r="DD40" i="7"/>
  <c r="DD6" i="7"/>
  <c r="DE5" i="7"/>
  <c r="DD7" i="7"/>
  <c r="DD8" i="7"/>
  <c r="DD9" i="7" s="1"/>
  <c r="DC14" i="7"/>
  <c r="DC13" i="7"/>
  <c r="DB20" i="7"/>
  <c r="DB21" i="7"/>
  <c r="DC16" i="7"/>
  <c r="DC17" i="7" s="1"/>
  <c r="DC33" i="7"/>
  <c r="DE11" i="7"/>
  <c r="DD12" i="7"/>
  <c r="DC34" i="7"/>
  <c r="DC35" i="7" s="1"/>
  <c r="DC37" i="7" s="1"/>
  <c r="DL4" i="7"/>
  <c r="DM3" i="7"/>
  <c r="DB36" i="7"/>
  <c r="DC30" i="7"/>
  <c r="DC41" i="7"/>
  <c r="DC42" i="7" s="1"/>
  <c r="DF27" i="7"/>
  <c r="DE28" i="7"/>
  <c r="DE32" i="7" s="1"/>
  <c r="W106" i="1" l="1"/>
  <c r="X104" i="1"/>
  <c r="Y104" i="1" s="1"/>
  <c r="AA104" i="1"/>
  <c r="Z104" i="1" s="1"/>
  <c r="DD38" i="7"/>
  <c r="DD25" i="7"/>
  <c r="DD24" i="7"/>
  <c r="DE29" i="7"/>
  <c r="DD34" i="7"/>
  <c r="DD35" i="7" s="1"/>
  <c r="DD37" i="7" s="1"/>
  <c r="DD19" i="7"/>
  <c r="DC20" i="7"/>
  <c r="DC21" i="7"/>
  <c r="DD13" i="7"/>
  <c r="DD14" i="7"/>
  <c r="DE7" i="7"/>
  <c r="DF5" i="7"/>
  <c r="DE6" i="7"/>
  <c r="DE40" i="7"/>
  <c r="DE8" i="7"/>
  <c r="DE9" i="7" s="1"/>
  <c r="DF11" i="7"/>
  <c r="DE12" i="7"/>
  <c r="DD33" i="7"/>
  <c r="DD16" i="7"/>
  <c r="DD17" i="7" s="1"/>
  <c r="DN3" i="7"/>
  <c r="DM4" i="7"/>
  <c r="DG27" i="7"/>
  <c r="DF28" i="7"/>
  <c r="DF32" i="7" s="1"/>
  <c r="DC36" i="7"/>
  <c r="DD30" i="7"/>
  <c r="DD41" i="7"/>
  <c r="DD42" i="7" s="1"/>
  <c r="X105" i="1" l="1"/>
  <c r="Y105" i="1" s="1"/>
  <c r="AA105" i="1"/>
  <c r="Z105" i="1" s="1"/>
  <c r="W107" i="1"/>
  <c r="DE38" i="7"/>
  <c r="DE25" i="7"/>
  <c r="DE24" i="7"/>
  <c r="DF29" i="7"/>
  <c r="DE33" i="7"/>
  <c r="DE16" i="7"/>
  <c r="DE17" i="7" s="1"/>
  <c r="DG11" i="7"/>
  <c r="DF12" i="7"/>
  <c r="DE19" i="7"/>
  <c r="DG5" i="7"/>
  <c r="DF6" i="7"/>
  <c r="DF40" i="7"/>
  <c r="DF7" i="7"/>
  <c r="DF8" i="7"/>
  <c r="DF9" i="7" s="1"/>
  <c r="DD20" i="7"/>
  <c r="DD21" i="7"/>
  <c r="DE34" i="7"/>
  <c r="DE35" i="7" s="1"/>
  <c r="DE37" i="7" s="1"/>
  <c r="DE14" i="7"/>
  <c r="DE13" i="7"/>
  <c r="DN4" i="7"/>
  <c r="DO3" i="7"/>
  <c r="DE30" i="7"/>
  <c r="DE41" i="7"/>
  <c r="DE42" i="7" s="1"/>
  <c r="DD36" i="7"/>
  <c r="DH27" i="7"/>
  <c r="DG28" i="7"/>
  <c r="DG32" i="7" s="1"/>
  <c r="X106" i="1" l="1"/>
  <c r="Y106" i="1" s="1"/>
  <c r="AA106" i="1"/>
  <c r="Z106" i="1" s="1"/>
  <c r="W108" i="1"/>
  <c r="DF38" i="7"/>
  <c r="DF25" i="7"/>
  <c r="DF24" i="7"/>
  <c r="DG29" i="7"/>
  <c r="DF41" i="7"/>
  <c r="DF42" i="7" s="1"/>
  <c r="DF34" i="7"/>
  <c r="DF35" i="7" s="1"/>
  <c r="DF37" i="7" s="1"/>
  <c r="DE20" i="7"/>
  <c r="DE21" i="7"/>
  <c r="DF16" i="7"/>
  <c r="DF17" i="7" s="1"/>
  <c r="DF33" i="7"/>
  <c r="DF13" i="7"/>
  <c r="DF14" i="7"/>
  <c r="DH11" i="7"/>
  <c r="DG12" i="7"/>
  <c r="DF19" i="7"/>
  <c r="DG7" i="7"/>
  <c r="DG40" i="7"/>
  <c r="DG6" i="7"/>
  <c r="DH5" i="7"/>
  <c r="DG8" i="7"/>
  <c r="DG9" i="7" s="1"/>
  <c r="DP3" i="7"/>
  <c r="DO4" i="7"/>
  <c r="DF30" i="7"/>
  <c r="DE36" i="7"/>
  <c r="DI27" i="7"/>
  <c r="DH28" i="7"/>
  <c r="DH32" i="7" s="1"/>
  <c r="W109" i="1" l="1"/>
  <c r="X107" i="1"/>
  <c r="Y107" i="1" s="1"/>
  <c r="AA107" i="1"/>
  <c r="Z107" i="1" s="1"/>
  <c r="DG38" i="7"/>
  <c r="DG24" i="7"/>
  <c r="DG25" i="7"/>
  <c r="DG34" i="7"/>
  <c r="DH29" i="7"/>
  <c r="DF20" i="7"/>
  <c r="DF21" i="7"/>
  <c r="DG19" i="7"/>
  <c r="DI11" i="7"/>
  <c r="DH12" i="7"/>
  <c r="DG16" i="7"/>
  <c r="DG17" i="7" s="1"/>
  <c r="DG33" i="7"/>
  <c r="DI5" i="7"/>
  <c r="DH6" i="7"/>
  <c r="DH40" i="7"/>
  <c r="DH7" i="7"/>
  <c r="DH8" i="7"/>
  <c r="DH9" i="7" s="1"/>
  <c r="DG13" i="7"/>
  <c r="DG14" i="7"/>
  <c r="DQ3" i="7"/>
  <c r="DP4" i="7"/>
  <c r="DF36" i="7"/>
  <c r="DG35" i="7"/>
  <c r="DG37" i="7" s="1"/>
  <c r="DG30" i="7"/>
  <c r="DG41" i="7"/>
  <c r="DG42" i="7" s="1"/>
  <c r="DJ27" i="7"/>
  <c r="DI28" i="7"/>
  <c r="DI32" i="7" s="1"/>
  <c r="X108" i="1" l="1"/>
  <c r="Y108" i="1" s="1"/>
  <c r="AA108" i="1"/>
  <c r="Z108" i="1" s="1"/>
  <c r="W110" i="1"/>
  <c r="DH38" i="7"/>
  <c r="DH24" i="7"/>
  <c r="DH25" i="7"/>
  <c r="DI29" i="7"/>
  <c r="DH34" i="7"/>
  <c r="DH35" i="7" s="1"/>
  <c r="DH37" i="7" s="1"/>
  <c r="DJ11" i="7"/>
  <c r="DI12" i="7"/>
  <c r="DH33" i="7"/>
  <c r="DH16" i="7"/>
  <c r="DH17" i="7" s="1"/>
  <c r="DH19" i="7"/>
  <c r="DH13" i="7"/>
  <c r="DH14" i="7"/>
  <c r="DG20" i="7"/>
  <c r="DG21" i="7"/>
  <c r="DJ5" i="7"/>
  <c r="DI6" i="7"/>
  <c r="DI7" i="7"/>
  <c r="DI40" i="7"/>
  <c r="DI8" i="7"/>
  <c r="DI9" i="7" s="1"/>
  <c r="DQ4" i="7"/>
  <c r="DR3" i="7"/>
  <c r="DJ28" i="7"/>
  <c r="DJ32" i="7" s="1"/>
  <c r="DK27" i="7"/>
  <c r="DH30" i="7"/>
  <c r="DH41" i="7"/>
  <c r="DH42" i="7" s="1"/>
  <c r="DG36" i="7"/>
  <c r="W111" i="1" l="1"/>
  <c r="X109" i="1"/>
  <c r="Y109" i="1" s="1"/>
  <c r="AA109" i="1"/>
  <c r="Z109" i="1" s="1"/>
  <c r="DI38" i="7"/>
  <c r="DI24" i="7"/>
  <c r="DI25" i="7"/>
  <c r="DJ29" i="7"/>
  <c r="DI34" i="7"/>
  <c r="DI35" i="7" s="1"/>
  <c r="DI37" i="7" s="1"/>
  <c r="DJ6" i="7"/>
  <c r="DK5" i="7"/>
  <c r="DJ7" i="7"/>
  <c r="DJ40" i="7"/>
  <c r="DJ8" i="7"/>
  <c r="DJ9" i="7" s="1"/>
  <c r="DH20" i="7"/>
  <c r="DH21" i="7"/>
  <c r="DJ30" i="7"/>
  <c r="DI14" i="7"/>
  <c r="DI13" i="7"/>
  <c r="DI19" i="7"/>
  <c r="DI16" i="7"/>
  <c r="DI17" i="7" s="1"/>
  <c r="DI33" i="7"/>
  <c r="DK11" i="7"/>
  <c r="DJ12" i="7"/>
  <c r="DR4" i="7"/>
  <c r="DS3" i="7"/>
  <c r="DL27" i="7"/>
  <c r="DK28" i="7"/>
  <c r="DK32" i="7" s="1"/>
  <c r="DH36" i="7"/>
  <c r="DI30" i="7"/>
  <c r="DI41" i="7"/>
  <c r="DI42" i="7" s="1"/>
  <c r="X110" i="1" l="1"/>
  <c r="Y110" i="1" s="1"/>
  <c r="AA110" i="1"/>
  <c r="Z110" i="1" s="1"/>
  <c r="W112" i="1"/>
  <c r="DJ38" i="7"/>
  <c r="DJ25" i="7"/>
  <c r="DJ24" i="7"/>
  <c r="DJ34" i="7"/>
  <c r="DJ35" i="7" s="1"/>
  <c r="DK29" i="7"/>
  <c r="DI20" i="7"/>
  <c r="DI21" i="7"/>
  <c r="DJ33" i="7"/>
  <c r="DJ16" i="7"/>
  <c r="DJ17" i="7" s="1"/>
  <c r="DL11" i="7"/>
  <c r="DK12" i="7"/>
  <c r="DK6" i="7"/>
  <c r="DK7" i="7"/>
  <c r="DL5" i="7"/>
  <c r="DK40" i="7"/>
  <c r="DK8" i="7"/>
  <c r="DK9" i="7" s="1"/>
  <c r="DJ13" i="7"/>
  <c r="DJ14" i="7"/>
  <c r="DJ19" i="7"/>
  <c r="DS4" i="7"/>
  <c r="DT3" i="7"/>
  <c r="DJ41" i="7"/>
  <c r="DJ42" i="7" s="1"/>
  <c r="DM27" i="7"/>
  <c r="DL28" i="7"/>
  <c r="DL32" i="7" s="1"/>
  <c r="DI36" i="7"/>
  <c r="W113" i="1" l="1"/>
  <c r="X111" i="1"/>
  <c r="Y111" i="1" s="1"/>
  <c r="AA111" i="1"/>
  <c r="Z111" i="1" s="1"/>
  <c r="DK38" i="7"/>
  <c r="DK24" i="7"/>
  <c r="DK25" i="7"/>
  <c r="DK41" i="7"/>
  <c r="DK42" i="7" s="1"/>
  <c r="DL29" i="7"/>
  <c r="DJ36" i="7"/>
  <c r="DJ37" i="7"/>
  <c r="DK14" i="7"/>
  <c r="DK13" i="7"/>
  <c r="DK34" i="7"/>
  <c r="DK35" i="7" s="1"/>
  <c r="DK37" i="7" s="1"/>
  <c r="DM11" i="7"/>
  <c r="DL12" i="7"/>
  <c r="DK16" i="7"/>
  <c r="DK17" i="7" s="1"/>
  <c r="DK33" i="7"/>
  <c r="DJ20" i="7"/>
  <c r="DJ21" i="7"/>
  <c r="DL7" i="7"/>
  <c r="DL6" i="7"/>
  <c r="DM5" i="7"/>
  <c r="DL40" i="7"/>
  <c r="DL8" i="7"/>
  <c r="DL9" i="7" s="1"/>
  <c r="DK19" i="7"/>
  <c r="DU3" i="7"/>
  <c r="DT4" i="7"/>
  <c r="DK30" i="7"/>
  <c r="DN27" i="7"/>
  <c r="DM28" i="7"/>
  <c r="DM32" i="7" s="1"/>
  <c r="X112" i="1" l="1"/>
  <c r="Y112" i="1" s="1"/>
  <c r="AA112" i="1"/>
  <c r="Z112" i="1" s="1"/>
  <c r="W114" i="1"/>
  <c r="DL38" i="7"/>
  <c r="DL24" i="7"/>
  <c r="DL25" i="7"/>
  <c r="DL34" i="7"/>
  <c r="DL35" i="7" s="1"/>
  <c r="DL37" i="7" s="1"/>
  <c r="DM29" i="7"/>
  <c r="DL14" i="7"/>
  <c r="DL13" i="7"/>
  <c r="DM40" i="7"/>
  <c r="DM7" i="7"/>
  <c r="DN5" i="7"/>
  <c r="DM6" i="7"/>
  <c r="DM8" i="7"/>
  <c r="DM9" i="7" s="1"/>
  <c r="DN11" i="7"/>
  <c r="DM12" i="7"/>
  <c r="DL16" i="7"/>
  <c r="DL17" i="7" s="1"/>
  <c r="DL33" i="7"/>
  <c r="DL19" i="7"/>
  <c r="DK20" i="7"/>
  <c r="DK21" i="7"/>
  <c r="DV3" i="7"/>
  <c r="DU4" i="7"/>
  <c r="DL30" i="7"/>
  <c r="DK36" i="7"/>
  <c r="DL41" i="7"/>
  <c r="DL42" i="7" s="1"/>
  <c r="DN28" i="7"/>
  <c r="DN32" i="7" s="1"/>
  <c r="DO27" i="7"/>
  <c r="W115" i="1" l="1"/>
  <c r="X113" i="1"/>
  <c r="Y113" i="1" s="1"/>
  <c r="AA113" i="1"/>
  <c r="Z113" i="1" s="1"/>
  <c r="DM38" i="7"/>
  <c r="DM24" i="7"/>
  <c r="DM25" i="7"/>
  <c r="DL36" i="7"/>
  <c r="DN29" i="7"/>
  <c r="DM16" i="7"/>
  <c r="DM17" i="7" s="1"/>
  <c r="DM33" i="7"/>
  <c r="DM19" i="7"/>
  <c r="DL20" i="7"/>
  <c r="DL21" i="7"/>
  <c r="DN6" i="7"/>
  <c r="DN40" i="7"/>
  <c r="DN7" i="7"/>
  <c r="DO5" i="7"/>
  <c r="DN8" i="7"/>
  <c r="DN9" i="7" s="1"/>
  <c r="DM34" i="7"/>
  <c r="DM35" i="7" s="1"/>
  <c r="DM37" i="7" s="1"/>
  <c r="DM14" i="7"/>
  <c r="DM13" i="7"/>
  <c r="DO11" i="7"/>
  <c r="DN12" i="7"/>
  <c r="DV4" i="7"/>
  <c r="DW3" i="7"/>
  <c r="DM41" i="7"/>
  <c r="DM42" i="7" s="1"/>
  <c r="DM30" i="7"/>
  <c r="DP27" i="7"/>
  <c r="DO28" i="7"/>
  <c r="DO32" i="7" s="1"/>
  <c r="X114" i="1" l="1"/>
  <c r="Y114" i="1" s="1"/>
  <c r="AA114" i="1"/>
  <c r="Z114" i="1" s="1"/>
  <c r="W116" i="1"/>
  <c r="DN38" i="7"/>
  <c r="DN24" i="7"/>
  <c r="DN25" i="7"/>
  <c r="DN34" i="7"/>
  <c r="DO29" i="7"/>
  <c r="DN16" i="7"/>
  <c r="DN17" i="7" s="1"/>
  <c r="DN33" i="7"/>
  <c r="DP11" i="7"/>
  <c r="DO12" i="7"/>
  <c r="DP5" i="7"/>
  <c r="DO7" i="7"/>
  <c r="DO6" i="7"/>
  <c r="DO40" i="7"/>
  <c r="DO8" i="7"/>
  <c r="DO9" i="7" s="1"/>
  <c r="DM20" i="7"/>
  <c r="DM21" i="7"/>
  <c r="DN19" i="7"/>
  <c r="DN13" i="7"/>
  <c r="DN14" i="7"/>
  <c r="DX3" i="7"/>
  <c r="DX4" i="7" s="1"/>
  <c r="DW4" i="7"/>
  <c r="DN30" i="7"/>
  <c r="DN41" i="7"/>
  <c r="DN42" i="7" s="1"/>
  <c r="DN35" i="7"/>
  <c r="DN37" i="7" s="1"/>
  <c r="DP28" i="7"/>
  <c r="DP32" i="7" s="1"/>
  <c r="DQ27" i="7"/>
  <c r="DM36" i="7"/>
  <c r="BE70" i="1"/>
  <c r="X115" i="1" l="1"/>
  <c r="Y115" i="1" s="1"/>
  <c r="AA115" i="1"/>
  <c r="Z115" i="1" s="1"/>
  <c r="W117" i="1"/>
  <c r="DO38" i="7"/>
  <c r="DO24" i="7"/>
  <c r="DO25" i="7"/>
  <c r="DP29" i="7"/>
  <c r="DP30" i="7" s="1"/>
  <c r="DO34" i="7"/>
  <c r="DO35" i="7" s="1"/>
  <c r="DO37" i="7" s="1"/>
  <c r="DP7" i="7"/>
  <c r="DQ5" i="7"/>
  <c r="DP40" i="7"/>
  <c r="DP6" i="7"/>
  <c r="DP8" i="7"/>
  <c r="DP9" i="7" s="1"/>
  <c r="DO19" i="7"/>
  <c r="DO13" i="7"/>
  <c r="DO14" i="7"/>
  <c r="DQ11" i="7"/>
  <c r="DP12" i="7"/>
  <c r="DO33" i="7"/>
  <c r="DO16" i="7"/>
  <c r="DO17" i="7" s="1"/>
  <c r="DN20" i="7"/>
  <c r="DN21" i="7"/>
  <c r="DR27" i="7"/>
  <c r="DQ28" i="7"/>
  <c r="DQ32" i="7" s="1"/>
  <c r="DO30" i="7"/>
  <c r="DO41" i="7"/>
  <c r="DO42" i="7" s="1"/>
  <c r="DN36" i="7"/>
  <c r="X116" i="1" l="1"/>
  <c r="Y116" i="1" s="1"/>
  <c r="AA116" i="1"/>
  <c r="Z116" i="1" s="1"/>
  <c r="W118" i="1"/>
  <c r="DP38" i="7"/>
  <c r="DP24" i="7"/>
  <c r="DP25" i="7"/>
  <c r="DQ29" i="7"/>
  <c r="DP34" i="7"/>
  <c r="DP35" i="7" s="1"/>
  <c r="DP37" i="7" s="1"/>
  <c r="DP19" i="7"/>
  <c r="DP14" i="7"/>
  <c r="DP13" i="7"/>
  <c r="DO20" i="7"/>
  <c r="DO21" i="7"/>
  <c r="DR11" i="7"/>
  <c r="DQ12" i="7"/>
  <c r="DR5" i="7"/>
  <c r="DQ40" i="7"/>
  <c r="DQ6" i="7"/>
  <c r="DQ7" i="7"/>
  <c r="DQ8" i="7"/>
  <c r="DQ9" i="7" s="1"/>
  <c r="DP16" i="7"/>
  <c r="DP17" i="7" s="1"/>
  <c r="DP33" i="7"/>
  <c r="DP41" i="7"/>
  <c r="DP42" i="7" s="1"/>
  <c r="DR28" i="7"/>
  <c r="DR32" i="7" s="1"/>
  <c r="DS27" i="7"/>
  <c r="DO36" i="7"/>
  <c r="X117" i="1" l="1"/>
  <c r="Y117" i="1" s="1"/>
  <c r="AA117" i="1"/>
  <c r="Z117" i="1" s="1"/>
  <c r="W119" i="1"/>
  <c r="DQ38" i="7"/>
  <c r="DQ24" i="7"/>
  <c r="DQ25" i="7"/>
  <c r="DR29" i="7"/>
  <c r="DQ19" i="7"/>
  <c r="DQ16" i="7"/>
  <c r="DQ17" i="7" s="1"/>
  <c r="DQ33" i="7"/>
  <c r="DS5" i="7"/>
  <c r="DR40" i="7"/>
  <c r="DR7" i="7"/>
  <c r="DR6" i="7"/>
  <c r="DR8" i="7"/>
  <c r="DR9" i="7" s="1"/>
  <c r="DP20" i="7"/>
  <c r="DP21" i="7"/>
  <c r="DQ34" i="7"/>
  <c r="DQ35" i="7" s="1"/>
  <c r="DQ37" i="7" s="1"/>
  <c r="DQ13" i="7"/>
  <c r="DQ14" i="7"/>
  <c r="DS11" i="7"/>
  <c r="DR12" i="7"/>
  <c r="DP36" i="7"/>
  <c r="DS28" i="7"/>
  <c r="DS32" i="7" s="1"/>
  <c r="DT27" i="7"/>
  <c r="DQ30" i="7"/>
  <c r="DQ41" i="7"/>
  <c r="DQ42" i="7" s="1"/>
  <c r="X118" i="1" l="1"/>
  <c r="Y118" i="1" s="1"/>
  <c r="AA118" i="1"/>
  <c r="Z118" i="1" s="1"/>
  <c r="W120" i="1"/>
  <c r="DR38" i="7"/>
  <c r="DR25" i="7"/>
  <c r="DR24" i="7"/>
  <c r="DS29" i="7"/>
  <c r="DS30" i="7" s="1"/>
  <c r="DS6" i="7"/>
  <c r="DT5" i="7"/>
  <c r="DS40" i="7"/>
  <c r="DS7" i="7"/>
  <c r="DS8" i="7"/>
  <c r="DS9" i="7" s="1"/>
  <c r="DR13" i="7"/>
  <c r="DR14" i="7"/>
  <c r="DR34" i="7"/>
  <c r="DR35" i="7" s="1"/>
  <c r="DR37" i="7" s="1"/>
  <c r="DT11" i="7"/>
  <c r="DS12" i="7"/>
  <c r="DR33" i="7"/>
  <c r="DR16" i="7"/>
  <c r="DR17" i="7" s="1"/>
  <c r="DR19" i="7"/>
  <c r="DQ20" i="7"/>
  <c r="DQ21" i="7"/>
  <c r="DQ36" i="7"/>
  <c r="DR30" i="7"/>
  <c r="DR41" i="7"/>
  <c r="DR42" i="7" s="1"/>
  <c r="DT28" i="7"/>
  <c r="DT32" i="7" s="1"/>
  <c r="DU27" i="7"/>
  <c r="X119" i="1" l="1"/>
  <c r="Y119" i="1" s="1"/>
  <c r="AA119" i="1"/>
  <c r="Z119" i="1" s="1"/>
  <c r="W121" i="1"/>
  <c r="DS38" i="7"/>
  <c r="DS25" i="7"/>
  <c r="DS24" i="7"/>
  <c r="DS34" i="7"/>
  <c r="DS35" i="7" s="1"/>
  <c r="DS37" i="7" s="1"/>
  <c r="DT29" i="7"/>
  <c r="DS14" i="7"/>
  <c r="DS13" i="7"/>
  <c r="DS16" i="7"/>
  <c r="DS17" i="7" s="1"/>
  <c r="DS33" i="7"/>
  <c r="DU5" i="7"/>
  <c r="DT6" i="7"/>
  <c r="DT7" i="7"/>
  <c r="DT40" i="7"/>
  <c r="DT8" i="7"/>
  <c r="DT9" i="7" s="1"/>
  <c r="DU11" i="7"/>
  <c r="DT12" i="7"/>
  <c r="DR20" i="7"/>
  <c r="DR21" i="7"/>
  <c r="DS19" i="7"/>
  <c r="DS41" i="7"/>
  <c r="DS42" i="7" s="1"/>
  <c r="DR36" i="7"/>
  <c r="DV27" i="7"/>
  <c r="DU28" i="7"/>
  <c r="DU32" i="7" s="1"/>
  <c r="W122" i="1" l="1"/>
  <c r="X120" i="1"/>
  <c r="Y120" i="1" s="1"/>
  <c r="AA120" i="1"/>
  <c r="Z120" i="1" s="1"/>
  <c r="DT38" i="7"/>
  <c r="DT25" i="7"/>
  <c r="DT24" i="7"/>
  <c r="DU29" i="7"/>
  <c r="DT14" i="7"/>
  <c r="DT13" i="7"/>
  <c r="DV5" i="7"/>
  <c r="DU6" i="7"/>
  <c r="DU7" i="7"/>
  <c r="DU40" i="7"/>
  <c r="DU8" i="7"/>
  <c r="DU9" i="7" s="1"/>
  <c r="DV11" i="7"/>
  <c r="DU12" i="7"/>
  <c r="DS20" i="7"/>
  <c r="DS21" i="7"/>
  <c r="DT19" i="7"/>
  <c r="DT34" i="7"/>
  <c r="DT35" i="7" s="1"/>
  <c r="DT37" i="7" s="1"/>
  <c r="DT16" i="7"/>
  <c r="DT17" i="7" s="1"/>
  <c r="DT33" i="7"/>
  <c r="DS36" i="7"/>
  <c r="DW27" i="7"/>
  <c r="DV28" i="7"/>
  <c r="DV32" i="7" s="1"/>
  <c r="DT30" i="7"/>
  <c r="DT41" i="7"/>
  <c r="DT42" i="7" s="1"/>
  <c r="X121" i="1" l="1"/>
  <c r="Y121" i="1" s="1"/>
  <c r="AA121" i="1"/>
  <c r="Z121" i="1" s="1"/>
  <c r="W123" i="1"/>
  <c r="DU38" i="7"/>
  <c r="DU25" i="7"/>
  <c r="DU24" i="7"/>
  <c r="DV29" i="7"/>
  <c r="DU19" i="7"/>
  <c r="DV7" i="7"/>
  <c r="DW5" i="7"/>
  <c r="DV6" i="7"/>
  <c r="DV40" i="7"/>
  <c r="DV8" i="7"/>
  <c r="DV9" i="7" s="1"/>
  <c r="DU16" i="7"/>
  <c r="DU17" i="7" s="1"/>
  <c r="DU33" i="7"/>
  <c r="DU13" i="7"/>
  <c r="DU14" i="7"/>
  <c r="DW11" i="7"/>
  <c r="DV12" i="7"/>
  <c r="DT20" i="7"/>
  <c r="DT21" i="7"/>
  <c r="DU34" i="7"/>
  <c r="DU35" i="7" s="1"/>
  <c r="DU37" i="7" s="1"/>
  <c r="DT36" i="7"/>
  <c r="DX27" i="7"/>
  <c r="DW28" i="7"/>
  <c r="DW32" i="7" s="1"/>
  <c r="DU30" i="7"/>
  <c r="DU41" i="7"/>
  <c r="DU42" i="7" s="1"/>
  <c r="X122" i="1" l="1"/>
  <c r="Y122" i="1" s="1"/>
  <c r="AA122" i="1"/>
  <c r="Z122" i="1" s="1"/>
  <c r="W124" i="1"/>
  <c r="DV38" i="7"/>
  <c r="DV24" i="7"/>
  <c r="DV25" i="7"/>
  <c r="DV34" i="7"/>
  <c r="DW29" i="7"/>
  <c r="DV35" i="7"/>
  <c r="DV37" i="7" s="1"/>
  <c r="DW40" i="7"/>
  <c r="DW6" i="7"/>
  <c r="DW7" i="7"/>
  <c r="DX5" i="7"/>
  <c r="DW8" i="7"/>
  <c r="DW9" i="7" s="1"/>
  <c r="DX11" i="7"/>
  <c r="DX12" i="7" s="1"/>
  <c r="DW12" i="7"/>
  <c r="DU20" i="7"/>
  <c r="DU21" i="7"/>
  <c r="DV13" i="7"/>
  <c r="DV14" i="7"/>
  <c r="DV19" i="7"/>
  <c r="DV33" i="7"/>
  <c r="DV16" i="7"/>
  <c r="DV17" i="7" s="1"/>
  <c r="DV41" i="7"/>
  <c r="DV42" i="7" s="1"/>
  <c r="DV30" i="7"/>
  <c r="DX28" i="7"/>
  <c r="DX32" i="7" s="1"/>
  <c r="DU36" i="7"/>
  <c r="W125" i="1" l="1"/>
  <c r="X123" i="1"/>
  <c r="Y123" i="1" s="1"/>
  <c r="AA123" i="1"/>
  <c r="Z123" i="1" s="1"/>
  <c r="DW38" i="7"/>
  <c r="DW24" i="7"/>
  <c r="DW25" i="7"/>
  <c r="DV36" i="7"/>
  <c r="DX29" i="7"/>
  <c r="DW34" i="7"/>
  <c r="DW35" i="7" s="1"/>
  <c r="DW37" i="7" s="1"/>
  <c r="DX6" i="7"/>
  <c r="DX7" i="7"/>
  <c r="DX40" i="7"/>
  <c r="DX8" i="7"/>
  <c r="DX9" i="7" s="1"/>
  <c r="DW33" i="7"/>
  <c r="DW16" i="7"/>
  <c r="DW17" i="7" s="1"/>
  <c r="DW13" i="7"/>
  <c r="DW14" i="7"/>
  <c r="DW19" i="7"/>
  <c r="DV20" i="7"/>
  <c r="DV21" i="7"/>
  <c r="DX14" i="7"/>
  <c r="DX13" i="7"/>
  <c r="DW30" i="7"/>
  <c r="DW41" i="7"/>
  <c r="DW42" i="7" s="1"/>
  <c r="X124" i="1" l="1"/>
  <c r="Y124" i="1" s="1"/>
  <c r="AA124" i="1"/>
  <c r="Z124" i="1" s="1"/>
  <c r="W126" i="1"/>
  <c r="DX38" i="7"/>
  <c r="DX25" i="7"/>
  <c r="DX24" i="7"/>
  <c r="DX34" i="7"/>
  <c r="DX35" i="7" s="1"/>
  <c r="DX37" i="7" s="1"/>
  <c r="DW20" i="7"/>
  <c r="DW21" i="7"/>
  <c r="DX33" i="7"/>
  <c r="DX16" i="7"/>
  <c r="DX17" i="7" s="1"/>
  <c r="DX19" i="7"/>
  <c r="DX30" i="7"/>
  <c r="DX41" i="7"/>
  <c r="DX42" i="7" s="1"/>
  <c r="DW36" i="7"/>
  <c r="W127" i="1" l="1"/>
  <c r="X125" i="1"/>
  <c r="Y125" i="1" s="1"/>
  <c r="AA125" i="1"/>
  <c r="Z125" i="1" s="1"/>
  <c r="DX20" i="7"/>
  <c r="DX21" i="7"/>
  <c r="DX36" i="7"/>
  <c r="X126" i="1" l="1"/>
  <c r="Y126" i="1" s="1"/>
  <c r="AA126" i="1"/>
  <c r="Z126" i="1" s="1"/>
  <c r="W128" i="1"/>
  <c r="BE2" i="1"/>
  <c r="W129" i="1" l="1"/>
  <c r="X127" i="1"/>
  <c r="Y127" i="1" s="1"/>
  <c r="AA127" i="1"/>
  <c r="Z127" i="1" s="1"/>
  <c r="BE40" i="1"/>
  <c r="X128" i="1" l="1"/>
  <c r="Y128" i="1" s="1"/>
  <c r="AA128" i="1"/>
  <c r="Z128" i="1" s="1"/>
  <c r="W130" i="1"/>
  <c r="X129" i="1" l="1"/>
  <c r="Y129" i="1" s="1"/>
  <c r="AA129" i="1"/>
  <c r="Z129" i="1" s="1"/>
  <c r="W131" i="1"/>
  <c r="BE32" i="1"/>
  <c r="X130" i="1" l="1"/>
  <c r="Y130" i="1" s="1"/>
  <c r="AA130" i="1"/>
  <c r="Z130" i="1" s="1"/>
  <c r="W132" i="1"/>
  <c r="BE76" i="1"/>
  <c r="X131" i="1" l="1"/>
  <c r="Y131" i="1" s="1"/>
  <c r="AA131" i="1"/>
  <c r="Z131" i="1" s="1"/>
  <c r="W133" i="1"/>
  <c r="BE52" i="1"/>
  <c r="W134" i="1" l="1"/>
  <c r="X132" i="1"/>
  <c r="Y132" i="1" s="1"/>
  <c r="AA132" i="1"/>
  <c r="Z132" i="1" s="1"/>
  <c r="BE50" i="1"/>
  <c r="X133" i="1" l="1"/>
  <c r="Y133" i="1" s="1"/>
  <c r="AA133" i="1"/>
  <c r="Z133" i="1" s="1"/>
  <c r="W135" i="1"/>
  <c r="BE57" i="1"/>
  <c r="X134" i="1" l="1"/>
  <c r="Y134" i="1" s="1"/>
  <c r="AA134" i="1"/>
  <c r="Z134" i="1" s="1"/>
  <c r="W136" i="1"/>
  <c r="BE62" i="1"/>
  <c r="W137" i="1" l="1"/>
  <c r="X135" i="1"/>
  <c r="Y135" i="1" s="1"/>
  <c r="AA135" i="1"/>
  <c r="Z135" i="1" s="1"/>
  <c r="BE64" i="1"/>
  <c r="X136" i="1" l="1"/>
  <c r="Y136" i="1" s="1"/>
  <c r="AA136" i="1"/>
  <c r="Z136" i="1" s="1"/>
  <c r="W138" i="1"/>
  <c r="BE75" i="1"/>
  <c r="W139" i="1" l="1"/>
  <c r="X137" i="1"/>
  <c r="Y137" i="1" s="1"/>
  <c r="AA137" i="1"/>
  <c r="Z137" i="1" s="1"/>
  <c r="X138" i="1" l="1"/>
  <c r="Y138" i="1" s="1"/>
  <c r="AA138" i="1"/>
  <c r="Z138" i="1" s="1"/>
  <c r="W140" i="1"/>
  <c r="X139" i="1" l="1"/>
  <c r="Y139" i="1" s="1"/>
  <c r="AA139" i="1"/>
  <c r="Z139" i="1" s="1"/>
  <c r="W141" i="1"/>
  <c r="W142" i="1" l="1"/>
  <c r="X140" i="1"/>
  <c r="Y140" i="1" s="1"/>
  <c r="AA140" i="1"/>
  <c r="Z140" i="1" s="1"/>
  <c r="X141" i="1" l="1"/>
  <c r="Y141" i="1" s="1"/>
  <c r="AA141" i="1"/>
  <c r="Z141" i="1" s="1"/>
  <c r="W143" i="1"/>
  <c r="X142" i="1" l="1"/>
  <c r="Y142" i="1" s="1"/>
  <c r="AA142" i="1"/>
  <c r="Z142" i="1" s="1"/>
  <c r="W144" i="1"/>
  <c r="X143" i="1" l="1"/>
  <c r="Y143" i="1" s="1"/>
  <c r="AA143" i="1"/>
  <c r="Z143" i="1" s="1"/>
  <c r="W145" i="1"/>
  <c r="W146" i="1" l="1"/>
  <c r="X144" i="1"/>
  <c r="Y144" i="1" s="1"/>
  <c r="AA144" i="1"/>
  <c r="Z144" i="1" s="1"/>
  <c r="X145" i="1" l="1"/>
  <c r="Y145" i="1" s="1"/>
  <c r="AA145" i="1"/>
  <c r="Z145" i="1" s="1"/>
  <c r="W147" i="1"/>
  <c r="X146" i="1" l="1"/>
  <c r="Y146" i="1" s="1"/>
  <c r="AA146" i="1"/>
  <c r="Z146" i="1" s="1"/>
  <c r="W148" i="1"/>
  <c r="X147" i="1" l="1"/>
  <c r="Y147" i="1" s="1"/>
  <c r="AA147" i="1"/>
  <c r="Z147" i="1" s="1"/>
  <c r="W149" i="1"/>
  <c r="W150" i="1" l="1"/>
  <c r="X148" i="1"/>
  <c r="Y148" i="1" s="1"/>
  <c r="AA148" i="1"/>
  <c r="Z148" i="1" s="1"/>
  <c r="X149" i="1" l="1"/>
  <c r="Y149" i="1" s="1"/>
  <c r="AA149" i="1"/>
  <c r="Z149" i="1" s="1"/>
  <c r="W151" i="1"/>
  <c r="X150" i="1" l="1"/>
  <c r="Y150" i="1" s="1"/>
  <c r="AA150" i="1"/>
  <c r="Z150" i="1" s="1"/>
  <c r="W152" i="1"/>
  <c r="X151" i="1" l="1"/>
  <c r="Y151" i="1" s="1"/>
  <c r="AA151" i="1"/>
  <c r="Z151" i="1" s="1"/>
  <c r="W153" i="1"/>
  <c r="X152" i="1" l="1"/>
  <c r="Y152" i="1" s="1"/>
  <c r="AA152" i="1"/>
  <c r="Z152" i="1" s="1"/>
  <c r="W154" i="1"/>
  <c r="X153" i="1" l="1"/>
  <c r="Y153" i="1" s="1"/>
  <c r="AA153" i="1"/>
  <c r="Z153" i="1" s="1"/>
  <c r="W155" i="1"/>
  <c r="X154" i="1" l="1"/>
  <c r="Y154" i="1" s="1"/>
  <c r="AA154" i="1"/>
  <c r="Z154" i="1" s="1"/>
  <c r="W156" i="1"/>
  <c r="W157" i="1" l="1"/>
  <c r="X155" i="1"/>
  <c r="Y155" i="1" s="1"/>
  <c r="AA155" i="1"/>
  <c r="Z155" i="1" s="1"/>
  <c r="X156" i="1" l="1"/>
  <c r="Y156" i="1" s="1"/>
  <c r="AA156" i="1"/>
  <c r="Z156" i="1" s="1"/>
  <c r="W158" i="1"/>
  <c r="X157" i="1" l="1"/>
  <c r="Y157" i="1" s="1"/>
  <c r="AA157" i="1"/>
  <c r="Z157" i="1" s="1"/>
  <c r="W159" i="1"/>
  <c r="X158" i="1" l="1"/>
  <c r="Y158" i="1" s="1"/>
  <c r="AA158" i="1"/>
  <c r="Z158" i="1" s="1"/>
  <c r="W160" i="1"/>
  <c r="W161" i="1" l="1"/>
  <c r="X159" i="1"/>
  <c r="Y159" i="1" s="1"/>
  <c r="AA159" i="1"/>
  <c r="Z159" i="1" s="1"/>
  <c r="X160" i="1" l="1"/>
  <c r="Y160" i="1" s="1"/>
  <c r="AA160" i="1"/>
  <c r="Z160" i="1" s="1"/>
  <c r="W162" i="1"/>
  <c r="R2603" i="1"/>
  <c r="R2602" i="1"/>
  <c r="R2601" i="1" s="1"/>
  <c r="T2601" i="1" s="1"/>
  <c r="R2633" i="1"/>
  <c r="R2632" i="1" s="1"/>
  <c r="R2631" i="1" s="1"/>
  <c r="R2630" i="1" s="1"/>
  <c r="R2629" i="1" s="1"/>
  <c r="R2620" i="1"/>
  <c r="R2619" i="1" s="1"/>
  <c r="R2618" i="1" s="1"/>
  <c r="R2617" i="1" s="1"/>
  <c r="O2564" i="1"/>
  <c r="O2565" i="1" s="1"/>
  <c r="O2091" i="1"/>
  <c r="O2092" i="1" s="1"/>
  <c r="O2646" i="1"/>
  <c r="O2647" i="1" s="1"/>
  <c r="O2093" i="1"/>
  <c r="O2094" i="1" s="1"/>
  <c r="O2636" i="1"/>
  <c r="O2637" i="1" s="1"/>
  <c r="O2087" i="1"/>
  <c r="O2088" i="1" s="1"/>
  <c r="O2504" i="1"/>
  <c r="R2504" i="1" s="1"/>
  <c r="O2415" i="1"/>
  <c r="R2415" i="1" s="1"/>
  <c r="O2162" i="1"/>
  <c r="O2163" i="1" s="1"/>
  <c r="O2157" i="1"/>
  <c r="O2158" i="1" s="1"/>
  <c r="O2097" i="1"/>
  <c r="O2098" i="1" s="1"/>
  <c r="O2642" i="1"/>
  <c r="O2643" i="1" s="1"/>
  <c r="S2643" i="1" s="1"/>
  <c r="T2643" i="1" s="1"/>
  <c r="O2085" i="1"/>
  <c r="O2086" i="1" s="1"/>
  <c r="R2086" i="1" s="1"/>
  <c r="O2101" i="1"/>
  <c r="O2102" i="1" s="1"/>
  <c r="O2245" i="1"/>
  <c r="R2245" i="1" s="1"/>
  <c r="O2048" i="1"/>
  <c r="R2048" i="1" s="1"/>
  <c r="R2093" i="1"/>
  <c r="O2180" i="1"/>
  <c r="R2180" i="1" s="1"/>
  <c r="O2106" i="1"/>
  <c r="O2107" i="1" s="1"/>
  <c r="X161" i="1" l="1"/>
  <c r="Y161" i="1" s="1"/>
  <c r="AA161" i="1"/>
  <c r="Z161" i="1" s="1"/>
  <c r="W163" i="1"/>
  <c r="R2091" i="1"/>
  <c r="S2157" i="1"/>
  <c r="T2157" i="1" s="1"/>
  <c r="R2157" i="1"/>
  <c r="R2085" i="1"/>
  <c r="O2049" i="1"/>
  <c r="R2049" i="1" s="1"/>
  <c r="O2505" i="1"/>
  <c r="S2102" i="1"/>
  <c r="T2102" i="1" s="1"/>
  <c r="R2102" i="1"/>
  <c r="O2246" i="1"/>
  <c r="S2246" i="1" s="1"/>
  <c r="T2246" i="1" s="1"/>
  <c r="R2101" i="1"/>
  <c r="O2416" i="1"/>
  <c r="O2181" i="1"/>
  <c r="R2636" i="1"/>
  <c r="R2097" i="1"/>
  <c r="S2642" i="1"/>
  <c r="S2098" i="1"/>
  <c r="R2098" i="1"/>
  <c r="S2163" i="1"/>
  <c r="T2163" i="1" s="1"/>
  <c r="R2163" i="1"/>
  <c r="R2088" i="1"/>
  <c r="S2088" i="1"/>
  <c r="S2637" i="1"/>
  <c r="T2637" i="1" s="1"/>
  <c r="R2637" i="1"/>
  <c r="S2107" i="1"/>
  <c r="T2107" i="1" s="1"/>
  <c r="R2107" i="1"/>
  <c r="R2094" i="1"/>
  <c r="S2094" i="1"/>
  <c r="R2565" i="1"/>
  <c r="R2564" i="1" s="1"/>
  <c r="O2566" i="1"/>
  <c r="S2647" i="1"/>
  <c r="T2647" i="1" s="1"/>
  <c r="R2647" i="1"/>
  <c r="O2648" i="1"/>
  <c r="S2158" i="1"/>
  <c r="T2158" i="1" s="1"/>
  <c r="R2158" i="1"/>
  <c r="O2159" i="1"/>
  <c r="S2092" i="1"/>
  <c r="R2092" i="1"/>
  <c r="S2086" i="1"/>
  <c r="R2106" i="1"/>
  <c r="R2162" i="1"/>
  <c r="R2646" i="1"/>
  <c r="R2642" i="1"/>
  <c r="R2643" i="1"/>
  <c r="R2087" i="1"/>
  <c r="S2162" i="1" l="1"/>
  <c r="T2162" i="1" s="1"/>
  <c r="X162" i="1"/>
  <c r="Y162" i="1" s="1"/>
  <c r="AA162" i="1"/>
  <c r="Z162" i="1" s="1"/>
  <c r="W164" i="1"/>
  <c r="S2101" i="1"/>
  <c r="T2101" i="1" s="1"/>
  <c r="S2049" i="1"/>
  <c r="S2048" i="1" s="1"/>
  <c r="T2048" i="1" s="1"/>
  <c r="S2245" i="1"/>
  <c r="T2245" i="1" s="1"/>
  <c r="R2246" i="1"/>
  <c r="S2505" i="1"/>
  <c r="R2505" i="1"/>
  <c r="BE11" i="1"/>
  <c r="S2636" i="1"/>
  <c r="T2636" i="1" s="1"/>
  <c r="S2106" i="1"/>
  <c r="T2106" i="1" s="1"/>
  <c r="S2416" i="1"/>
  <c r="R2416" i="1"/>
  <c r="T2642" i="1"/>
  <c r="S2181" i="1"/>
  <c r="R2181" i="1"/>
  <c r="T2088" i="1"/>
  <c r="S2087" i="1"/>
  <c r="T2087" i="1" s="1"/>
  <c r="S2091" i="1"/>
  <c r="T2091" i="1" s="1"/>
  <c r="T2092" i="1"/>
  <c r="S2159" i="1"/>
  <c r="T2159" i="1" s="1"/>
  <c r="R2159" i="1"/>
  <c r="O2567" i="1"/>
  <c r="R2566" i="1"/>
  <c r="S2566" i="1"/>
  <c r="S2085" i="1"/>
  <c r="T2085" i="1" s="1"/>
  <c r="T2086" i="1"/>
  <c r="S2646" i="1"/>
  <c r="T2646" i="1" s="1"/>
  <c r="S2648" i="1"/>
  <c r="T2648" i="1" s="1"/>
  <c r="R2648" i="1"/>
  <c r="T2094" i="1"/>
  <c r="S2093" i="1"/>
  <c r="T2093" i="1" s="1"/>
  <c r="S2097" i="1"/>
  <c r="T2097" i="1" s="1"/>
  <c r="T2098" i="1"/>
  <c r="T2049" i="1" l="1"/>
  <c r="X163" i="1"/>
  <c r="Y163" i="1" s="1"/>
  <c r="AA163" i="1"/>
  <c r="Z163" i="1" s="1"/>
  <c r="W165" i="1"/>
  <c r="S2504" i="1"/>
  <c r="T2504" i="1" s="1"/>
  <c r="T2505" i="1"/>
  <c r="T2416" i="1"/>
  <c r="S2415" i="1"/>
  <c r="T2415" i="1" s="1"/>
  <c r="S2180" i="1"/>
  <c r="T2180" i="1" s="1"/>
  <c r="T2181" i="1"/>
  <c r="S2567" i="1"/>
  <c r="T2567" i="1" s="1"/>
  <c r="R2567" i="1"/>
  <c r="T2566" i="1"/>
  <c r="S2565" i="1"/>
  <c r="X164" i="1" l="1"/>
  <c r="Y164" i="1" s="1"/>
  <c r="AA164" i="1"/>
  <c r="Z164" i="1" s="1"/>
  <c r="W166" i="1"/>
  <c r="BE16" i="1"/>
  <c r="T2565" i="1"/>
  <c r="S2564" i="1"/>
  <c r="T2564" i="1" s="1"/>
  <c r="W167" i="1" l="1"/>
  <c r="X165" i="1"/>
  <c r="Y165" i="1" s="1"/>
  <c r="AA165" i="1"/>
  <c r="Z165" i="1" s="1"/>
  <c r="BE17" i="1"/>
  <c r="X166" i="1" l="1"/>
  <c r="Y166" i="1" s="1"/>
  <c r="AA166" i="1"/>
  <c r="Z166" i="1" s="1"/>
  <c r="W168" i="1"/>
  <c r="W169" i="1" l="1"/>
  <c r="X167" i="1"/>
  <c r="Y167" i="1" s="1"/>
  <c r="AA167" i="1"/>
  <c r="Z167" i="1" s="1"/>
  <c r="X168" i="1" l="1"/>
  <c r="Y168" i="1" s="1"/>
  <c r="AA168" i="1"/>
  <c r="Z168" i="1" s="1"/>
  <c r="W170" i="1"/>
  <c r="W171" i="1" l="1"/>
  <c r="X169" i="1"/>
  <c r="Y169" i="1" s="1"/>
  <c r="AA169" i="1"/>
  <c r="Z169" i="1" s="1"/>
  <c r="X170" i="1" l="1"/>
  <c r="Y170" i="1" s="1"/>
  <c r="AA170" i="1"/>
  <c r="Z170" i="1" s="1"/>
  <c r="W172" i="1"/>
  <c r="X171" i="1" l="1"/>
  <c r="Y171" i="1" s="1"/>
  <c r="AA171" i="1"/>
  <c r="Z171" i="1" s="1"/>
  <c r="W173" i="1"/>
  <c r="W174" i="1" l="1"/>
  <c r="X172" i="1"/>
  <c r="Y172" i="1" s="1"/>
  <c r="AA172" i="1"/>
  <c r="Z172" i="1" s="1"/>
  <c r="X173" i="1" l="1"/>
  <c r="Y173" i="1" s="1"/>
  <c r="AA173" i="1"/>
  <c r="Z173" i="1" s="1"/>
  <c r="W175" i="1"/>
  <c r="X174" i="1" l="1"/>
  <c r="Y174" i="1" s="1"/>
  <c r="AA174" i="1"/>
  <c r="Z174" i="1" s="1"/>
  <c r="W176" i="1"/>
  <c r="X175" i="1" l="1"/>
  <c r="Y175" i="1" s="1"/>
  <c r="AA175" i="1"/>
  <c r="Z175" i="1" s="1"/>
  <c r="W177" i="1"/>
  <c r="X176" i="1" l="1"/>
  <c r="Y176" i="1" s="1"/>
  <c r="AA176" i="1"/>
  <c r="Z176" i="1" s="1"/>
  <c r="W178" i="1"/>
  <c r="X177" i="1" l="1"/>
  <c r="Y177" i="1" s="1"/>
  <c r="AA177" i="1"/>
  <c r="Z177" i="1" s="1"/>
  <c r="W179" i="1"/>
  <c r="X178" i="1" l="1"/>
  <c r="Y178" i="1" s="1"/>
  <c r="AA178" i="1"/>
  <c r="Z178" i="1" s="1"/>
  <c r="W180" i="1"/>
  <c r="X179" i="1" l="1"/>
  <c r="Y179" i="1" s="1"/>
  <c r="AA179" i="1"/>
  <c r="Z179" i="1" s="1"/>
  <c r="W181" i="1"/>
  <c r="W182" i="1" l="1"/>
  <c r="W183" i="1" l="1"/>
  <c r="X181" i="1"/>
  <c r="Y181" i="1" s="1"/>
  <c r="AA181" i="1"/>
  <c r="Z181" i="1" s="1"/>
  <c r="X182" i="1" l="1"/>
  <c r="Y182" i="1" s="1"/>
  <c r="AA182" i="1"/>
  <c r="Z182" i="1" s="1"/>
  <c r="W184" i="1"/>
  <c r="X183" i="1" l="1"/>
  <c r="Y183" i="1" s="1"/>
  <c r="AA183" i="1"/>
  <c r="Z183" i="1" s="1"/>
  <c r="W185" i="1"/>
  <c r="X184" i="1" l="1"/>
  <c r="Y184" i="1" s="1"/>
  <c r="AA184" i="1"/>
  <c r="Z184" i="1" s="1"/>
  <c r="W186" i="1"/>
  <c r="X185" i="1" l="1"/>
  <c r="Y185" i="1" s="1"/>
  <c r="AA185" i="1"/>
  <c r="Z185" i="1" s="1"/>
  <c r="W187" i="1"/>
  <c r="X186" i="1" l="1"/>
  <c r="Y186" i="1" s="1"/>
  <c r="AA186" i="1"/>
  <c r="Z186" i="1" s="1"/>
  <c r="W188" i="1"/>
  <c r="X187" i="1" l="1"/>
  <c r="Y187" i="1" s="1"/>
  <c r="AA187" i="1"/>
  <c r="Z187" i="1" s="1"/>
  <c r="W189" i="1"/>
  <c r="X188" i="1" l="1"/>
  <c r="Y188" i="1" s="1"/>
  <c r="AA188" i="1"/>
  <c r="Z188" i="1" s="1"/>
  <c r="W190" i="1"/>
  <c r="X189" i="1" l="1"/>
  <c r="Y189" i="1" s="1"/>
  <c r="AA189" i="1"/>
  <c r="Z189" i="1" s="1"/>
  <c r="W191" i="1"/>
  <c r="X190" i="1" l="1"/>
  <c r="Y190" i="1" s="1"/>
  <c r="AA190" i="1"/>
  <c r="Z190" i="1" s="1"/>
  <c r="W192" i="1"/>
  <c r="X191" i="1" l="1"/>
  <c r="Y191" i="1" s="1"/>
  <c r="AA191" i="1"/>
  <c r="Z191" i="1" s="1"/>
  <c r="W193" i="1"/>
  <c r="X192" i="1" l="1"/>
  <c r="Y192" i="1" s="1"/>
  <c r="AA192" i="1"/>
  <c r="Z192" i="1" s="1"/>
  <c r="W194" i="1"/>
  <c r="X193" i="1" l="1"/>
  <c r="Y193" i="1" s="1"/>
  <c r="AA193" i="1"/>
  <c r="Z193" i="1" s="1"/>
  <c r="W195" i="1"/>
  <c r="X194" i="1" l="1"/>
  <c r="Y194" i="1" s="1"/>
  <c r="AA194" i="1"/>
  <c r="Z194" i="1" s="1"/>
  <c r="W196" i="1"/>
  <c r="X195" i="1" l="1"/>
  <c r="Y195" i="1" s="1"/>
  <c r="AA195" i="1"/>
  <c r="Z195" i="1" s="1"/>
  <c r="W197" i="1"/>
  <c r="X196" i="1" l="1"/>
  <c r="Y196" i="1" s="1"/>
  <c r="AA196" i="1"/>
  <c r="Z196" i="1" s="1"/>
  <c r="W198" i="1"/>
  <c r="X197" i="1" l="1"/>
  <c r="Y197" i="1" s="1"/>
  <c r="AA197" i="1"/>
  <c r="Z197" i="1" s="1"/>
  <c r="W199" i="1"/>
  <c r="X198" i="1" l="1"/>
  <c r="Y198" i="1" s="1"/>
  <c r="AA198" i="1"/>
  <c r="Z198" i="1" s="1"/>
  <c r="W200" i="1"/>
  <c r="X199" i="1" l="1"/>
  <c r="Y199" i="1" s="1"/>
  <c r="AA199" i="1"/>
  <c r="Z199" i="1" s="1"/>
  <c r="W201" i="1"/>
  <c r="X200" i="1" l="1"/>
  <c r="Y200" i="1" s="1"/>
  <c r="AA200" i="1"/>
  <c r="Z200" i="1" s="1"/>
  <c r="W202" i="1"/>
  <c r="X201" i="1" l="1"/>
  <c r="Y201" i="1" s="1"/>
  <c r="AA201" i="1"/>
  <c r="Z201" i="1" s="1"/>
  <c r="W203" i="1"/>
  <c r="X202" i="1" l="1"/>
  <c r="Y202" i="1" s="1"/>
  <c r="AA202" i="1"/>
  <c r="Z202" i="1" s="1"/>
  <c r="W204" i="1"/>
  <c r="X203" i="1" l="1"/>
  <c r="Y203" i="1" s="1"/>
  <c r="BE3" i="1" s="1"/>
  <c r="AA203" i="1"/>
  <c r="Z203" i="1" s="1"/>
  <c r="W205" i="1"/>
  <c r="X204" i="1" l="1"/>
  <c r="Y204" i="1" s="1"/>
  <c r="AA204" i="1"/>
  <c r="Z204" i="1" s="1"/>
  <c r="W206" i="1"/>
  <c r="X205" i="1" l="1"/>
  <c r="Y205" i="1" s="1"/>
  <c r="AA205" i="1"/>
  <c r="Z205" i="1" s="1"/>
  <c r="W207" i="1"/>
  <c r="X206" i="1" l="1"/>
  <c r="Y206" i="1" s="1"/>
  <c r="AA206" i="1"/>
  <c r="Z206" i="1" s="1"/>
  <c r="W208" i="1"/>
  <c r="X207" i="1" l="1"/>
  <c r="Y207" i="1" s="1"/>
  <c r="AA207" i="1"/>
  <c r="Z207" i="1" s="1"/>
  <c r="W209" i="1"/>
  <c r="X208" i="1" l="1"/>
  <c r="Y208" i="1" s="1"/>
  <c r="AA208" i="1"/>
  <c r="Z208" i="1" s="1"/>
  <c r="W210" i="1"/>
  <c r="X209" i="1" l="1"/>
  <c r="Y209" i="1" s="1"/>
  <c r="AA209" i="1"/>
  <c r="Z209" i="1" s="1"/>
  <c r="W211" i="1"/>
  <c r="X210" i="1" l="1"/>
  <c r="Y210" i="1" s="1"/>
  <c r="AA210" i="1"/>
  <c r="Z210" i="1" s="1"/>
  <c r="W212" i="1"/>
  <c r="X211" i="1" l="1"/>
  <c r="Y211" i="1" s="1"/>
  <c r="AA211" i="1"/>
  <c r="Z211" i="1" s="1"/>
  <c r="W213" i="1"/>
  <c r="X212" i="1" l="1"/>
  <c r="Y212" i="1" s="1"/>
  <c r="AA212" i="1"/>
  <c r="Z212" i="1" s="1"/>
  <c r="W214" i="1"/>
  <c r="X213" i="1" l="1"/>
  <c r="Y213" i="1" s="1"/>
  <c r="AA213" i="1"/>
  <c r="Z213" i="1" s="1"/>
  <c r="W215" i="1"/>
  <c r="X214" i="1" l="1"/>
  <c r="Y214" i="1" s="1"/>
  <c r="AA214" i="1"/>
  <c r="Z214" i="1" s="1"/>
  <c r="W216" i="1"/>
  <c r="X215" i="1" l="1"/>
  <c r="Y215" i="1" s="1"/>
  <c r="AA215" i="1"/>
  <c r="Z215" i="1" s="1"/>
  <c r="W217" i="1"/>
  <c r="X216" i="1" l="1"/>
  <c r="Y216" i="1" s="1"/>
  <c r="AA216" i="1"/>
  <c r="Z216" i="1" s="1"/>
  <c r="W218" i="1"/>
  <c r="X217" i="1" l="1"/>
  <c r="Y217" i="1" s="1"/>
  <c r="AA217" i="1"/>
  <c r="Z217" i="1" s="1"/>
  <c r="W219" i="1"/>
  <c r="X218" i="1" l="1"/>
  <c r="Y218" i="1" s="1"/>
  <c r="AA218" i="1"/>
  <c r="Z218" i="1" s="1"/>
  <c r="W220" i="1"/>
  <c r="X219" i="1" l="1"/>
  <c r="Y219" i="1" s="1"/>
  <c r="AA219" i="1"/>
  <c r="Z219" i="1" s="1"/>
  <c r="W221" i="1"/>
  <c r="X220" i="1" l="1"/>
  <c r="Y220" i="1" s="1"/>
  <c r="AA220" i="1"/>
  <c r="Z220" i="1" s="1"/>
  <c r="W222" i="1"/>
  <c r="X221" i="1" l="1"/>
  <c r="Y221" i="1" s="1"/>
  <c r="AA221" i="1"/>
  <c r="Z221" i="1" s="1"/>
  <c r="W223" i="1"/>
  <c r="X222" i="1" l="1"/>
  <c r="Y222" i="1" s="1"/>
  <c r="AA222" i="1"/>
  <c r="Z222" i="1" s="1"/>
  <c r="W224" i="1"/>
  <c r="X223" i="1" l="1"/>
  <c r="Y223" i="1" s="1"/>
  <c r="AA223" i="1"/>
  <c r="Z223" i="1" s="1"/>
  <c r="W225" i="1"/>
  <c r="X224" i="1" l="1"/>
  <c r="Y224" i="1" s="1"/>
  <c r="AA224" i="1"/>
  <c r="Z224" i="1" s="1"/>
  <c r="W226" i="1"/>
  <c r="X225" i="1" l="1"/>
  <c r="Y225" i="1" s="1"/>
  <c r="AA225" i="1"/>
  <c r="Z225" i="1" s="1"/>
  <c r="W227" i="1"/>
  <c r="X226" i="1" l="1"/>
  <c r="Y226" i="1" s="1"/>
  <c r="AA226" i="1"/>
  <c r="Z226" i="1" s="1"/>
  <c r="W228" i="1"/>
  <c r="X227" i="1" l="1"/>
  <c r="Y227" i="1" s="1"/>
  <c r="AA227" i="1"/>
  <c r="Z227" i="1" s="1"/>
  <c r="W229" i="1"/>
  <c r="X228" i="1" l="1"/>
  <c r="Y228" i="1" s="1"/>
  <c r="AA228" i="1"/>
  <c r="Z228" i="1" s="1"/>
  <c r="W230" i="1"/>
  <c r="X229" i="1" l="1"/>
  <c r="Y229" i="1" s="1"/>
  <c r="AA229" i="1"/>
  <c r="Z229" i="1" s="1"/>
  <c r="W231" i="1"/>
  <c r="X230" i="1" l="1"/>
  <c r="Y230" i="1" s="1"/>
  <c r="AA230" i="1"/>
  <c r="Z230" i="1" s="1"/>
  <c r="W232" i="1"/>
  <c r="X231" i="1" l="1"/>
  <c r="Y231" i="1" s="1"/>
  <c r="AA231" i="1"/>
  <c r="Z231" i="1" s="1"/>
  <c r="W233" i="1"/>
  <c r="X232" i="1" l="1"/>
  <c r="Y232" i="1" s="1"/>
  <c r="AA232" i="1"/>
  <c r="Z232" i="1" s="1"/>
  <c r="W234" i="1"/>
  <c r="X233" i="1" l="1"/>
  <c r="Y233" i="1" s="1"/>
  <c r="AA233" i="1"/>
  <c r="Z233" i="1" s="1"/>
  <c r="W235" i="1"/>
  <c r="X234" i="1" l="1"/>
  <c r="Y234" i="1" s="1"/>
  <c r="AA234" i="1"/>
  <c r="Z234" i="1" s="1"/>
  <c r="W236" i="1"/>
  <c r="X235" i="1" l="1"/>
  <c r="Y235" i="1" s="1"/>
  <c r="AA235" i="1"/>
  <c r="Z235" i="1" s="1"/>
  <c r="W237" i="1"/>
  <c r="X236" i="1" l="1"/>
  <c r="Y236" i="1" s="1"/>
  <c r="AA236" i="1"/>
  <c r="Z236" i="1" s="1"/>
  <c r="W238" i="1"/>
  <c r="X237" i="1" l="1"/>
  <c r="Y237" i="1" s="1"/>
  <c r="AA237" i="1"/>
  <c r="Z237" i="1" s="1"/>
  <c r="W239" i="1"/>
  <c r="X238" i="1" l="1"/>
  <c r="Y238" i="1" s="1"/>
  <c r="AA238" i="1"/>
  <c r="Z238" i="1" s="1"/>
  <c r="W240" i="1"/>
  <c r="X239" i="1" l="1"/>
  <c r="Y239" i="1" s="1"/>
  <c r="AA239" i="1"/>
  <c r="Z239" i="1" s="1"/>
  <c r="W241" i="1"/>
  <c r="X240" i="1" l="1"/>
  <c r="Y240" i="1" s="1"/>
  <c r="AA240" i="1"/>
  <c r="Z240" i="1" s="1"/>
  <c r="W242" i="1"/>
  <c r="X241" i="1" l="1"/>
  <c r="Y241" i="1" s="1"/>
  <c r="AA241" i="1"/>
  <c r="Z241" i="1" s="1"/>
  <c r="W243" i="1"/>
  <c r="X242" i="1" l="1"/>
  <c r="Y242" i="1" s="1"/>
  <c r="AA242" i="1"/>
  <c r="Z242" i="1" s="1"/>
  <c r="W244" i="1"/>
  <c r="X243" i="1" l="1"/>
  <c r="Y243" i="1" s="1"/>
  <c r="AA243" i="1"/>
  <c r="Z243" i="1" s="1"/>
  <c r="W245" i="1"/>
  <c r="X244" i="1" l="1"/>
  <c r="Y244" i="1" s="1"/>
  <c r="AA244" i="1"/>
  <c r="Z244" i="1" s="1"/>
  <c r="W246" i="1"/>
  <c r="X245" i="1" l="1"/>
  <c r="Y245" i="1" s="1"/>
  <c r="AA245" i="1"/>
  <c r="Z245" i="1" s="1"/>
  <c r="W247" i="1"/>
  <c r="X246" i="1" l="1"/>
  <c r="Y246" i="1" s="1"/>
  <c r="AA246" i="1"/>
  <c r="Z246" i="1" s="1"/>
  <c r="W248" i="1"/>
  <c r="X247" i="1" l="1"/>
  <c r="Y247" i="1" s="1"/>
  <c r="AA247" i="1"/>
  <c r="Z247" i="1" s="1"/>
  <c r="W249" i="1"/>
  <c r="X248" i="1" l="1"/>
  <c r="Y248" i="1" s="1"/>
  <c r="AA248" i="1"/>
  <c r="Z248" i="1" s="1"/>
  <c r="W250" i="1"/>
  <c r="X249" i="1" l="1"/>
  <c r="Y249" i="1" s="1"/>
  <c r="AA249" i="1"/>
  <c r="Z249" i="1" s="1"/>
  <c r="W251" i="1"/>
  <c r="X250" i="1" l="1"/>
  <c r="Y250" i="1" s="1"/>
  <c r="AA250" i="1"/>
  <c r="Z250" i="1" s="1"/>
  <c r="W252" i="1"/>
  <c r="X251" i="1" l="1"/>
  <c r="Y251" i="1" s="1"/>
  <c r="AA251" i="1"/>
  <c r="Z251" i="1" s="1"/>
  <c r="W253" i="1"/>
  <c r="X252" i="1" l="1"/>
  <c r="Y252" i="1" s="1"/>
  <c r="AA252" i="1"/>
  <c r="Z252" i="1" s="1"/>
  <c r="W254" i="1"/>
  <c r="X253" i="1" l="1"/>
  <c r="Y253" i="1" s="1"/>
  <c r="AA253" i="1"/>
  <c r="Z253" i="1" s="1"/>
  <c r="W255" i="1"/>
  <c r="X254" i="1" l="1"/>
  <c r="Y254" i="1" s="1"/>
  <c r="AA254" i="1"/>
  <c r="Z254" i="1" s="1"/>
  <c r="W256" i="1"/>
  <c r="X255" i="1" l="1"/>
  <c r="Y255" i="1" s="1"/>
  <c r="AA255" i="1"/>
  <c r="Z255" i="1" s="1"/>
  <c r="W257" i="1"/>
  <c r="X256" i="1" l="1"/>
  <c r="Y256" i="1" s="1"/>
  <c r="AA256" i="1"/>
  <c r="Z256" i="1" s="1"/>
  <c r="W258" i="1"/>
  <c r="X257" i="1" l="1"/>
  <c r="Y257" i="1" s="1"/>
  <c r="AA257" i="1"/>
  <c r="Z257" i="1" s="1"/>
  <c r="W259" i="1"/>
  <c r="X258" i="1" l="1"/>
  <c r="Y258" i="1" s="1"/>
  <c r="AA258" i="1"/>
  <c r="Z258" i="1" s="1"/>
  <c r="W260" i="1"/>
  <c r="X259" i="1" l="1"/>
  <c r="Y259" i="1" s="1"/>
  <c r="AA259" i="1"/>
  <c r="Z259" i="1" s="1"/>
  <c r="W261" i="1"/>
  <c r="X260" i="1" l="1"/>
  <c r="Y260" i="1" s="1"/>
  <c r="AA260" i="1"/>
  <c r="Z260" i="1" s="1"/>
  <c r="W262" i="1"/>
  <c r="X261" i="1" l="1"/>
  <c r="Y261" i="1" s="1"/>
  <c r="AA261" i="1"/>
  <c r="Z261" i="1" s="1"/>
  <c r="W263" i="1"/>
  <c r="X262" i="1" l="1"/>
  <c r="Y262" i="1" s="1"/>
  <c r="AA262" i="1"/>
  <c r="Z262" i="1" s="1"/>
  <c r="W264" i="1"/>
  <c r="X263" i="1" l="1"/>
  <c r="Y263" i="1" s="1"/>
  <c r="AA263" i="1"/>
  <c r="Z263" i="1" s="1"/>
  <c r="W265" i="1"/>
  <c r="X264" i="1" l="1"/>
  <c r="Y264" i="1" s="1"/>
  <c r="AA264" i="1"/>
  <c r="Z264" i="1" s="1"/>
  <c r="W266" i="1"/>
  <c r="X265" i="1" l="1"/>
  <c r="Y265" i="1" s="1"/>
  <c r="AA265" i="1"/>
  <c r="Z265" i="1" s="1"/>
  <c r="W267" i="1"/>
  <c r="X266" i="1" l="1"/>
  <c r="Y266" i="1" s="1"/>
  <c r="AA266" i="1"/>
  <c r="Z266" i="1" s="1"/>
  <c r="W268" i="1"/>
  <c r="X267" i="1" l="1"/>
  <c r="Y267" i="1" s="1"/>
  <c r="AA267" i="1"/>
  <c r="Z267" i="1" s="1"/>
  <c r="W269" i="1"/>
  <c r="X268" i="1" l="1"/>
  <c r="Y268" i="1" s="1"/>
  <c r="AA268" i="1"/>
  <c r="Z268" i="1" s="1"/>
  <c r="W270" i="1"/>
  <c r="X269" i="1" l="1"/>
  <c r="Y269" i="1" s="1"/>
  <c r="AA269" i="1"/>
  <c r="Z269" i="1" s="1"/>
  <c r="W271" i="1"/>
  <c r="X270" i="1" l="1"/>
  <c r="Y270" i="1" s="1"/>
  <c r="AA270" i="1"/>
  <c r="Z270" i="1" s="1"/>
  <c r="W272" i="1"/>
  <c r="X271" i="1" l="1"/>
  <c r="Y271" i="1" s="1"/>
  <c r="AA271" i="1"/>
  <c r="Z271" i="1" s="1"/>
  <c r="W273" i="1"/>
  <c r="X272" i="1" l="1"/>
  <c r="Y272" i="1" s="1"/>
  <c r="AA272" i="1"/>
  <c r="Z272" i="1" s="1"/>
  <c r="W274" i="1"/>
  <c r="X273" i="1" l="1"/>
  <c r="Y273" i="1" s="1"/>
  <c r="AA273" i="1"/>
  <c r="Z273" i="1" s="1"/>
  <c r="W275" i="1"/>
  <c r="X274" i="1" l="1"/>
  <c r="Y274" i="1" s="1"/>
  <c r="AA274" i="1"/>
  <c r="Z274" i="1" s="1"/>
  <c r="W276" i="1"/>
  <c r="X275" i="1" l="1"/>
  <c r="Y275" i="1" s="1"/>
  <c r="AA275" i="1"/>
  <c r="Z275" i="1" s="1"/>
  <c r="W277" i="1"/>
  <c r="X276" i="1" l="1"/>
  <c r="Y276" i="1" s="1"/>
  <c r="AA276" i="1"/>
  <c r="Z276" i="1" s="1"/>
  <c r="W278" i="1"/>
  <c r="X277" i="1" l="1"/>
  <c r="Y277" i="1" s="1"/>
  <c r="AA277" i="1"/>
  <c r="Z277" i="1" s="1"/>
  <c r="W279" i="1"/>
  <c r="X278" i="1" l="1"/>
  <c r="Y278" i="1" s="1"/>
  <c r="AA278" i="1"/>
  <c r="Z278" i="1" s="1"/>
  <c r="W280" i="1"/>
  <c r="X279" i="1" l="1"/>
  <c r="Y279" i="1" s="1"/>
  <c r="AA279" i="1"/>
  <c r="Z279" i="1" s="1"/>
  <c r="W281" i="1"/>
  <c r="X280" i="1" l="1"/>
  <c r="Y280" i="1" s="1"/>
  <c r="AA280" i="1"/>
  <c r="Z280" i="1" s="1"/>
  <c r="W282" i="1"/>
  <c r="X281" i="1" l="1"/>
  <c r="Y281" i="1" s="1"/>
  <c r="AA281" i="1"/>
  <c r="Z281" i="1" s="1"/>
  <c r="W283" i="1"/>
  <c r="X282" i="1" l="1"/>
  <c r="Y282" i="1" s="1"/>
  <c r="AA282" i="1"/>
  <c r="Z282" i="1" s="1"/>
  <c r="W284" i="1"/>
  <c r="X283" i="1" l="1"/>
  <c r="Y283" i="1" s="1"/>
  <c r="AA283" i="1"/>
  <c r="Z283" i="1" s="1"/>
  <c r="W285" i="1"/>
  <c r="X284" i="1" l="1"/>
  <c r="Y284" i="1" s="1"/>
  <c r="AA284" i="1"/>
  <c r="Z284" i="1" s="1"/>
  <c r="W286" i="1"/>
  <c r="X285" i="1" l="1"/>
  <c r="Y285" i="1" s="1"/>
  <c r="AA285" i="1"/>
  <c r="Z285" i="1" s="1"/>
  <c r="W287" i="1"/>
  <c r="X286" i="1" l="1"/>
  <c r="Y286" i="1" s="1"/>
  <c r="AA286" i="1"/>
  <c r="Z286" i="1" s="1"/>
  <c r="W288" i="1"/>
  <c r="X287" i="1" l="1"/>
  <c r="Y287" i="1" s="1"/>
  <c r="AA287" i="1"/>
  <c r="Z287" i="1" s="1"/>
  <c r="W289" i="1"/>
  <c r="X288" i="1" l="1"/>
  <c r="Y288" i="1" s="1"/>
  <c r="AA288" i="1"/>
  <c r="Z288" i="1" s="1"/>
  <c r="W290" i="1"/>
  <c r="X289" i="1" l="1"/>
  <c r="Y289" i="1" s="1"/>
  <c r="AA289" i="1"/>
  <c r="Z289" i="1" s="1"/>
  <c r="W291" i="1"/>
  <c r="X290" i="1" l="1"/>
  <c r="Y290" i="1" s="1"/>
  <c r="AA290" i="1"/>
  <c r="Z290" i="1" s="1"/>
  <c r="W292" i="1"/>
  <c r="X291" i="1" l="1"/>
  <c r="Y291" i="1" s="1"/>
  <c r="AA291" i="1"/>
  <c r="Z291" i="1" s="1"/>
  <c r="W293" i="1"/>
  <c r="X292" i="1" l="1"/>
  <c r="Y292" i="1" s="1"/>
  <c r="AA292" i="1"/>
  <c r="Z292" i="1" s="1"/>
  <c r="W294" i="1"/>
  <c r="X293" i="1" l="1"/>
  <c r="Y293" i="1" s="1"/>
  <c r="AA293" i="1"/>
  <c r="Z293" i="1" s="1"/>
  <c r="W295" i="1"/>
  <c r="X294" i="1" l="1"/>
  <c r="Y294" i="1" s="1"/>
  <c r="AA294" i="1"/>
  <c r="Z294" i="1" s="1"/>
  <c r="W296" i="1"/>
  <c r="X295" i="1" l="1"/>
  <c r="Y295" i="1" s="1"/>
  <c r="AA295" i="1"/>
  <c r="Z295" i="1" s="1"/>
  <c r="W297" i="1"/>
  <c r="X296" i="1" l="1"/>
  <c r="Y296" i="1" s="1"/>
  <c r="AA296" i="1"/>
  <c r="Z296" i="1" s="1"/>
  <c r="W298" i="1"/>
  <c r="X297" i="1" l="1"/>
  <c r="Y297" i="1" s="1"/>
  <c r="AA297" i="1"/>
  <c r="Z297" i="1" s="1"/>
  <c r="W299" i="1"/>
  <c r="X298" i="1" l="1"/>
  <c r="Y298" i="1" s="1"/>
  <c r="AA298" i="1"/>
  <c r="Z298" i="1" s="1"/>
  <c r="W300" i="1"/>
  <c r="X299" i="1" l="1"/>
  <c r="Y299" i="1" s="1"/>
  <c r="AA299" i="1"/>
  <c r="Z299" i="1" s="1"/>
  <c r="W301" i="1"/>
  <c r="X300" i="1" l="1"/>
  <c r="Y300" i="1" s="1"/>
  <c r="AA300" i="1"/>
  <c r="Z300" i="1" s="1"/>
  <c r="W302" i="1"/>
  <c r="X301" i="1" l="1"/>
  <c r="Y301" i="1" s="1"/>
  <c r="AA301" i="1"/>
  <c r="Z301" i="1" s="1"/>
  <c r="W303" i="1"/>
  <c r="X302" i="1" l="1"/>
  <c r="Y302" i="1" s="1"/>
  <c r="AA302" i="1"/>
  <c r="Z302" i="1" s="1"/>
  <c r="W304" i="1"/>
  <c r="X303" i="1" l="1"/>
  <c r="Y303" i="1" s="1"/>
  <c r="AA303" i="1"/>
  <c r="Z303" i="1" s="1"/>
  <c r="W305" i="1"/>
  <c r="X304" i="1" l="1"/>
  <c r="Y304" i="1" s="1"/>
  <c r="AA304" i="1"/>
  <c r="Z304" i="1" s="1"/>
  <c r="W306" i="1"/>
  <c r="X305" i="1" l="1"/>
  <c r="Y305" i="1" s="1"/>
  <c r="AA305" i="1"/>
  <c r="Z305" i="1" s="1"/>
  <c r="W307" i="1"/>
  <c r="X306" i="1" l="1"/>
  <c r="Y306" i="1" s="1"/>
  <c r="AA306" i="1"/>
  <c r="Z306" i="1" s="1"/>
  <c r="W308" i="1"/>
  <c r="X307" i="1" l="1"/>
  <c r="Y307" i="1" s="1"/>
  <c r="AA307" i="1"/>
  <c r="Z307" i="1" s="1"/>
  <c r="W309" i="1"/>
  <c r="BE74" i="1"/>
  <c r="W310" i="1" l="1"/>
  <c r="X308" i="1"/>
  <c r="Y308" i="1" s="1"/>
  <c r="AA308" i="1"/>
  <c r="Z308" i="1" s="1"/>
  <c r="X309" i="1" l="1"/>
  <c r="Y309" i="1" s="1"/>
  <c r="AA309" i="1"/>
  <c r="Z309" i="1" s="1"/>
  <c r="W311" i="1"/>
  <c r="X310" i="1" l="1"/>
  <c r="Y310" i="1" s="1"/>
  <c r="AA310" i="1"/>
  <c r="Z310" i="1" s="1"/>
  <c r="W312" i="1"/>
  <c r="W313" i="1" l="1"/>
  <c r="X311" i="1"/>
  <c r="Y311" i="1" s="1"/>
  <c r="AA311" i="1"/>
  <c r="Z311" i="1" s="1"/>
  <c r="X312" i="1" l="1"/>
  <c r="Y312" i="1" s="1"/>
  <c r="AA312" i="1"/>
  <c r="Z312" i="1" s="1"/>
  <c r="W314" i="1"/>
  <c r="X313" i="1" l="1"/>
  <c r="Y313" i="1" s="1"/>
  <c r="AA313" i="1"/>
  <c r="Z313" i="1" s="1"/>
  <c r="W315" i="1"/>
  <c r="X314" i="1" l="1"/>
  <c r="Y314" i="1" s="1"/>
  <c r="AA314" i="1"/>
  <c r="Z314" i="1" s="1"/>
  <c r="W316" i="1"/>
  <c r="X315" i="1" l="1"/>
  <c r="Y315" i="1" s="1"/>
  <c r="AA315" i="1"/>
  <c r="Z315" i="1" s="1"/>
  <c r="W317" i="1"/>
  <c r="X316" i="1" l="1"/>
  <c r="Y316" i="1" s="1"/>
  <c r="AA316" i="1"/>
  <c r="Z316" i="1" s="1"/>
  <c r="W318" i="1"/>
  <c r="X317" i="1" l="1"/>
  <c r="Y317" i="1" s="1"/>
  <c r="AA317" i="1"/>
  <c r="Z317" i="1" s="1"/>
  <c r="W319" i="1"/>
  <c r="X318" i="1" l="1"/>
  <c r="Y318" i="1" s="1"/>
  <c r="AA318" i="1"/>
  <c r="Z318" i="1" s="1"/>
  <c r="W320" i="1"/>
  <c r="W321" i="1" l="1"/>
  <c r="X319" i="1"/>
  <c r="Y319" i="1" s="1"/>
  <c r="AA319" i="1"/>
  <c r="Z319" i="1" s="1"/>
  <c r="W322" i="1" l="1"/>
  <c r="X320" i="1"/>
  <c r="Y320" i="1" s="1"/>
  <c r="AA320" i="1"/>
  <c r="Z320" i="1" s="1"/>
  <c r="X321" i="1" l="1"/>
  <c r="Y321" i="1" s="1"/>
  <c r="AA321" i="1"/>
  <c r="Z321" i="1" s="1"/>
  <c r="W323" i="1"/>
  <c r="X322" i="1" l="1"/>
  <c r="Y322" i="1" s="1"/>
  <c r="AA322" i="1"/>
  <c r="Z322" i="1" s="1"/>
  <c r="W324" i="1"/>
  <c r="W325" i="1" l="1"/>
  <c r="X323" i="1"/>
  <c r="Y323" i="1" s="1"/>
  <c r="AA323" i="1"/>
  <c r="Z323" i="1" s="1"/>
  <c r="X324" i="1" l="1"/>
  <c r="Y324" i="1" s="1"/>
  <c r="AA324" i="1"/>
  <c r="Z324" i="1" s="1"/>
  <c r="W326" i="1"/>
  <c r="W327" i="1" l="1"/>
  <c r="X325" i="1"/>
  <c r="Y325" i="1" s="1"/>
  <c r="AA325" i="1"/>
  <c r="Z325" i="1" s="1"/>
  <c r="X326" i="1" l="1"/>
  <c r="Y326" i="1" s="1"/>
  <c r="AA326" i="1"/>
  <c r="Z326" i="1" s="1"/>
  <c r="W328" i="1"/>
  <c r="W329" i="1" l="1"/>
  <c r="X327" i="1"/>
  <c r="Y327" i="1" s="1"/>
  <c r="AA327" i="1"/>
  <c r="Z327" i="1" s="1"/>
  <c r="X328" i="1" l="1"/>
  <c r="Y328" i="1" s="1"/>
  <c r="AA328" i="1"/>
  <c r="Z328" i="1" s="1"/>
  <c r="W330" i="1"/>
  <c r="W331" i="1" l="1"/>
  <c r="X329" i="1"/>
  <c r="Y329" i="1" s="1"/>
  <c r="AA329" i="1"/>
  <c r="Z329" i="1" s="1"/>
  <c r="X330" i="1" l="1"/>
  <c r="Y330" i="1" s="1"/>
  <c r="AA330" i="1"/>
  <c r="Z330" i="1" s="1"/>
  <c r="W332" i="1"/>
  <c r="W333" i="1" l="1"/>
  <c r="X331" i="1"/>
  <c r="Y331" i="1" s="1"/>
  <c r="AA331" i="1"/>
  <c r="Z331" i="1" s="1"/>
  <c r="X332" i="1" l="1"/>
  <c r="Y332" i="1" s="1"/>
  <c r="AA332" i="1"/>
  <c r="Z332" i="1" s="1"/>
  <c r="W334" i="1"/>
  <c r="X333" i="1" l="1"/>
  <c r="Y333" i="1" s="1"/>
  <c r="AA333" i="1"/>
  <c r="Z333" i="1" s="1"/>
  <c r="W335" i="1"/>
  <c r="X334" i="1" l="1"/>
  <c r="Y334" i="1" s="1"/>
  <c r="AA334" i="1"/>
  <c r="Z334" i="1" s="1"/>
  <c r="W336" i="1"/>
  <c r="X335" i="1" l="1"/>
  <c r="Y335" i="1" s="1"/>
  <c r="AA335" i="1"/>
  <c r="Z335" i="1" s="1"/>
  <c r="W337" i="1"/>
  <c r="X336" i="1" l="1"/>
  <c r="Y336" i="1" s="1"/>
  <c r="AA336" i="1"/>
  <c r="Z336" i="1" s="1"/>
  <c r="W338" i="1"/>
  <c r="X337" i="1" l="1"/>
  <c r="Y337" i="1" s="1"/>
  <c r="AA337" i="1"/>
  <c r="Z337" i="1" s="1"/>
  <c r="W339" i="1"/>
  <c r="X338" i="1" l="1"/>
  <c r="Y338" i="1" s="1"/>
  <c r="AA338" i="1"/>
  <c r="Z338" i="1" s="1"/>
  <c r="W340" i="1"/>
  <c r="X339" i="1" l="1"/>
  <c r="Y339" i="1" s="1"/>
  <c r="AA339" i="1"/>
  <c r="Z339" i="1" s="1"/>
  <c r="W341" i="1"/>
  <c r="X340" i="1" l="1"/>
  <c r="Y340" i="1" s="1"/>
  <c r="AA340" i="1"/>
  <c r="Z340" i="1" s="1"/>
  <c r="W342" i="1"/>
  <c r="X341" i="1" l="1"/>
  <c r="Y341" i="1" s="1"/>
  <c r="AA341" i="1"/>
  <c r="Z341" i="1" s="1"/>
  <c r="W343" i="1"/>
  <c r="X342" i="1" l="1"/>
  <c r="Y342" i="1" s="1"/>
  <c r="AA342" i="1"/>
  <c r="Z342" i="1" s="1"/>
  <c r="W344" i="1"/>
  <c r="X343" i="1" l="1"/>
  <c r="Y343" i="1" s="1"/>
  <c r="AA343" i="1"/>
  <c r="Z343" i="1" s="1"/>
  <c r="W345" i="1"/>
  <c r="X344" i="1" l="1"/>
  <c r="Y344" i="1" s="1"/>
  <c r="AA344" i="1"/>
  <c r="Z344" i="1" s="1"/>
  <c r="W346" i="1"/>
  <c r="X345" i="1" l="1"/>
  <c r="Y345" i="1" s="1"/>
  <c r="AA345" i="1"/>
  <c r="Z345" i="1" s="1"/>
  <c r="W347" i="1"/>
  <c r="X346" i="1" l="1"/>
  <c r="Y346" i="1" s="1"/>
  <c r="AA346" i="1"/>
  <c r="Z346" i="1" s="1"/>
  <c r="W348" i="1"/>
  <c r="X347" i="1" l="1"/>
  <c r="Y347" i="1" s="1"/>
  <c r="AA347" i="1"/>
  <c r="Z347" i="1" s="1"/>
  <c r="W349" i="1"/>
  <c r="X348" i="1" l="1"/>
  <c r="Y348" i="1" s="1"/>
  <c r="AA348" i="1"/>
  <c r="Z348" i="1" s="1"/>
  <c r="W350" i="1"/>
  <c r="X349" i="1" l="1"/>
  <c r="Y349" i="1" s="1"/>
  <c r="AA349" i="1"/>
  <c r="Z349" i="1" s="1"/>
  <c r="W351" i="1"/>
  <c r="X350" i="1" l="1"/>
  <c r="Y350" i="1" s="1"/>
  <c r="AA350" i="1"/>
  <c r="Z350" i="1" s="1"/>
  <c r="W352" i="1"/>
  <c r="X351" i="1" l="1"/>
  <c r="Y351" i="1" s="1"/>
  <c r="AA351" i="1"/>
  <c r="Z351" i="1" s="1"/>
  <c r="W353" i="1"/>
  <c r="X352" i="1" l="1"/>
  <c r="Y352" i="1" s="1"/>
  <c r="AA352" i="1"/>
  <c r="Z352" i="1" s="1"/>
  <c r="W354" i="1"/>
  <c r="X353" i="1" l="1"/>
  <c r="Y353" i="1" s="1"/>
  <c r="AA353" i="1"/>
  <c r="Z353" i="1" s="1"/>
  <c r="W355" i="1"/>
  <c r="X354" i="1" l="1"/>
  <c r="Y354" i="1" s="1"/>
  <c r="AA354" i="1"/>
  <c r="Z354" i="1" s="1"/>
  <c r="W356" i="1"/>
  <c r="X355" i="1" l="1"/>
  <c r="Y355" i="1" s="1"/>
  <c r="AA355" i="1"/>
  <c r="Z355" i="1" s="1"/>
  <c r="W357" i="1"/>
  <c r="X356" i="1" l="1"/>
  <c r="Y356" i="1" s="1"/>
  <c r="AA356" i="1"/>
  <c r="Z356" i="1" s="1"/>
  <c r="W358" i="1"/>
  <c r="X357" i="1" l="1"/>
  <c r="Y357" i="1" s="1"/>
  <c r="AA357" i="1"/>
  <c r="Z357" i="1" s="1"/>
  <c r="W359" i="1"/>
  <c r="X358" i="1" l="1"/>
  <c r="Y358" i="1" s="1"/>
  <c r="AA358" i="1"/>
  <c r="Z358" i="1" s="1"/>
  <c r="W360" i="1"/>
  <c r="X359" i="1" l="1"/>
  <c r="Y359" i="1" s="1"/>
  <c r="AA359" i="1"/>
  <c r="Z359" i="1" s="1"/>
  <c r="W361" i="1"/>
  <c r="X360" i="1" l="1"/>
  <c r="Y360" i="1" s="1"/>
  <c r="AA360" i="1"/>
  <c r="Z360" i="1" s="1"/>
  <c r="W362" i="1"/>
  <c r="X361" i="1" l="1"/>
  <c r="Y361" i="1" s="1"/>
  <c r="AA361" i="1"/>
  <c r="Z361" i="1" s="1"/>
  <c r="W363" i="1"/>
  <c r="X362" i="1" l="1"/>
  <c r="Y362" i="1" s="1"/>
  <c r="AA362" i="1"/>
  <c r="Z362" i="1" s="1"/>
  <c r="W364" i="1"/>
  <c r="X363" i="1" l="1"/>
  <c r="Y363" i="1" s="1"/>
  <c r="AA363" i="1"/>
  <c r="Z363" i="1" s="1"/>
  <c r="W365" i="1"/>
  <c r="X364" i="1" l="1"/>
  <c r="Y364" i="1" s="1"/>
  <c r="AA364" i="1"/>
  <c r="Z364" i="1" s="1"/>
  <c r="W366" i="1"/>
  <c r="X365" i="1" l="1"/>
  <c r="Y365" i="1" s="1"/>
  <c r="AA365" i="1"/>
  <c r="Z365" i="1" s="1"/>
  <c r="W367" i="1"/>
  <c r="X366" i="1" l="1"/>
  <c r="Y366" i="1" s="1"/>
  <c r="AA366" i="1"/>
  <c r="Z366" i="1" s="1"/>
  <c r="W368" i="1"/>
  <c r="W369" i="1" l="1"/>
  <c r="W370" i="1" s="1"/>
  <c r="X367" i="1"/>
  <c r="Y367" i="1" s="1"/>
  <c r="AA367" i="1"/>
  <c r="Z367" i="1" s="1"/>
  <c r="W371" i="1" l="1"/>
  <c r="X368" i="1"/>
  <c r="Y368" i="1" s="1"/>
  <c r="AA368" i="1"/>
  <c r="Z368" i="1" s="1"/>
  <c r="X370" i="1" l="1"/>
  <c r="Y370" i="1" s="1"/>
  <c r="AA370" i="1"/>
  <c r="Z370" i="1" s="1"/>
  <c r="AA369" i="1"/>
  <c r="Z369" i="1" s="1"/>
  <c r="X369" i="1"/>
  <c r="Y369" i="1" s="1"/>
  <c r="BE4" i="1" s="1"/>
  <c r="W372" i="1"/>
  <c r="X371" i="1" l="1"/>
  <c r="Y371" i="1" s="1"/>
  <c r="AA371" i="1"/>
  <c r="Z371" i="1" s="1"/>
  <c r="X432" i="1"/>
  <c r="Y432" i="1" s="1"/>
  <c r="AA432" i="1"/>
  <c r="Z432" i="1" s="1"/>
  <c r="W373" i="1"/>
  <c r="X433" i="1" l="1"/>
  <c r="Y433" i="1" s="1"/>
  <c r="AA433" i="1"/>
  <c r="Z433" i="1" s="1"/>
  <c r="X372" i="1"/>
  <c r="Y372" i="1" s="1"/>
  <c r="AA372" i="1"/>
  <c r="Z372" i="1" s="1"/>
  <c r="X505" i="1"/>
  <c r="Y505" i="1" s="1"/>
  <c r="AA505" i="1"/>
  <c r="Z505" i="1" s="1"/>
  <c r="W374" i="1"/>
  <c r="W375" i="1" l="1"/>
  <c r="X531" i="1"/>
  <c r="Y531" i="1" s="1"/>
  <c r="AA531" i="1"/>
  <c r="Z531" i="1" s="1"/>
  <c r="X434" i="1"/>
  <c r="Y434" i="1" s="1"/>
  <c r="AA434" i="1"/>
  <c r="Z434" i="1" s="1"/>
  <c r="X373" i="1"/>
  <c r="Y373" i="1" s="1"/>
  <c r="AA373" i="1"/>
  <c r="Z373" i="1" s="1"/>
  <c r="X506" i="1"/>
  <c r="Y506" i="1" s="1"/>
  <c r="AA506" i="1"/>
  <c r="Z506" i="1" s="1"/>
  <c r="AA532" i="1" l="1"/>
  <c r="Z532" i="1" s="1"/>
  <c r="X532" i="1"/>
  <c r="Y532" i="1" s="1"/>
  <c r="AA507" i="1"/>
  <c r="Z507" i="1" s="1"/>
  <c r="X507" i="1"/>
  <c r="Y507" i="1" s="1"/>
  <c r="X435" i="1"/>
  <c r="Y435" i="1" s="1"/>
  <c r="AA435" i="1"/>
  <c r="Z435" i="1" s="1"/>
  <c r="X374" i="1"/>
  <c r="Y374" i="1" s="1"/>
  <c r="AA374" i="1"/>
  <c r="Z374" i="1" s="1"/>
  <c r="X574" i="1"/>
  <c r="Y574" i="1" s="1"/>
  <c r="AA574" i="1"/>
  <c r="Z574" i="1" s="1"/>
  <c r="W376" i="1"/>
  <c r="X626" i="1" l="1"/>
  <c r="Y626" i="1" s="1"/>
  <c r="AA626" i="1"/>
  <c r="Z626" i="1" s="1"/>
  <c r="W377" i="1"/>
  <c r="AA533" i="1"/>
  <c r="Z533" i="1" s="1"/>
  <c r="X533" i="1"/>
  <c r="Y533" i="1" s="1"/>
  <c r="AA508" i="1"/>
  <c r="Z508" i="1" s="1"/>
  <c r="X508" i="1"/>
  <c r="Y508" i="1" s="1"/>
  <c r="X575" i="1"/>
  <c r="Y575" i="1" s="1"/>
  <c r="AA575" i="1"/>
  <c r="Z575" i="1" s="1"/>
  <c r="X436" i="1"/>
  <c r="Y436" i="1" s="1"/>
  <c r="AA436" i="1"/>
  <c r="Z436" i="1" s="1"/>
  <c r="X375" i="1"/>
  <c r="Y375" i="1" s="1"/>
  <c r="AA375" i="1"/>
  <c r="Z375" i="1" s="1"/>
  <c r="X376" i="1" l="1"/>
  <c r="Y376" i="1" s="1"/>
  <c r="AA376" i="1"/>
  <c r="Z376" i="1" s="1"/>
  <c r="AA576" i="1"/>
  <c r="Z576" i="1" s="1"/>
  <c r="X576" i="1"/>
  <c r="Y576" i="1" s="1"/>
  <c r="X509" i="1"/>
  <c r="Y509" i="1" s="1"/>
  <c r="AA509" i="1"/>
  <c r="Z509" i="1" s="1"/>
  <c r="W378" i="1"/>
  <c r="X627" i="1"/>
  <c r="Y627" i="1" s="1"/>
  <c r="AA627" i="1"/>
  <c r="Z627" i="1" s="1"/>
  <c r="X437" i="1"/>
  <c r="Y437" i="1" s="1"/>
  <c r="AA437" i="1"/>
  <c r="Z437" i="1" s="1"/>
  <c r="X534" i="1"/>
  <c r="Y534" i="1" s="1"/>
  <c r="AA534" i="1"/>
  <c r="Z534" i="1" s="1"/>
  <c r="X836" i="1"/>
  <c r="Y836" i="1" s="1"/>
  <c r="AA836" i="1"/>
  <c r="Z836" i="1" s="1"/>
  <c r="AA510" i="1" l="1"/>
  <c r="Z510" i="1" s="1"/>
  <c r="X510" i="1"/>
  <c r="Y510" i="1" s="1"/>
  <c r="X438" i="1"/>
  <c r="Y438" i="1" s="1"/>
  <c r="AA438" i="1"/>
  <c r="Z438" i="1" s="1"/>
  <c r="AA577" i="1"/>
  <c r="Z577" i="1" s="1"/>
  <c r="X577" i="1"/>
  <c r="Y577" i="1" s="1"/>
  <c r="X535" i="1"/>
  <c r="Y535" i="1" s="1"/>
  <c r="AA535" i="1"/>
  <c r="Z535" i="1" s="1"/>
  <c r="W379" i="1"/>
  <c r="X377" i="1"/>
  <c r="Y377" i="1" s="1"/>
  <c r="AA377" i="1"/>
  <c r="Z377" i="1" s="1"/>
  <c r="AA628" i="1"/>
  <c r="Z628" i="1" s="1"/>
  <c r="X628" i="1"/>
  <c r="Y628" i="1" s="1"/>
  <c r="X1016" i="1"/>
  <c r="Y1016" i="1" s="1"/>
  <c r="AA1016" i="1"/>
  <c r="Z1016" i="1" s="1"/>
  <c r="X378" i="1" l="1"/>
  <c r="Y378" i="1" s="1"/>
  <c r="AA378" i="1"/>
  <c r="Z378" i="1" s="1"/>
  <c r="X536" i="1"/>
  <c r="Y536" i="1" s="1"/>
  <c r="AA536" i="1"/>
  <c r="Z536" i="1" s="1"/>
  <c r="X629" i="1"/>
  <c r="Y629" i="1" s="1"/>
  <c r="AA629" i="1"/>
  <c r="Z629" i="1" s="1"/>
  <c r="X578" i="1"/>
  <c r="Y578" i="1" s="1"/>
  <c r="AA578" i="1"/>
  <c r="Z578" i="1" s="1"/>
  <c r="W380" i="1"/>
  <c r="X439" i="1"/>
  <c r="Y439" i="1" s="1"/>
  <c r="AA439" i="1"/>
  <c r="Z439" i="1" s="1"/>
  <c r="X511" i="1"/>
  <c r="Y511" i="1" s="1"/>
  <c r="AA511" i="1"/>
  <c r="Z511" i="1" s="1"/>
  <c r="X854" i="1"/>
  <c r="Y854" i="1" s="1"/>
  <c r="AA854" i="1"/>
  <c r="Z854" i="1" s="1"/>
  <c r="X379" i="1" l="1"/>
  <c r="Y379" i="1" s="1"/>
  <c r="AA379" i="1"/>
  <c r="Z379" i="1" s="1"/>
  <c r="X630" i="1"/>
  <c r="Y630" i="1" s="1"/>
  <c r="AA630" i="1"/>
  <c r="Z630" i="1" s="1"/>
  <c r="X440" i="1"/>
  <c r="Y440" i="1" s="1"/>
  <c r="AA440" i="1"/>
  <c r="Z440" i="1" s="1"/>
  <c r="AA512" i="1"/>
  <c r="Z512" i="1" s="1"/>
  <c r="X512" i="1"/>
  <c r="Y512" i="1" s="1"/>
  <c r="X537" i="1"/>
  <c r="Y537" i="1" s="1"/>
  <c r="AA537" i="1"/>
  <c r="Z537" i="1" s="1"/>
  <c r="W381" i="1"/>
  <c r="AA579" i="1"/>
  <c r="Z579" i="1" s="1"/>
  <c r="X579" i="1"/>
  <c r="Y579" i="1" s="1"/>
  <c r="X976" i="1"/>
  <c r="Y976" i="1" s="1"/>
  <c r="AA976" i="1"/>
  <c r="Z976" i="1" s="1"/>
  <c r="AA513" i="1" l="1"/>
  <c r="Z513" i="1" s="1"/>
  <c r="X513" i="1"/>
  <c r="Y513" i="1" s="1"/>
  <c r="X380" i="1"/>
  <c r="Y380" i="1" s="1"/>
  <c r="AA380" i="1"/>
  <c r="Z380" i="1" s="1"/>
  <c r="AA631" i="1"/>
  <c r="Z631" i="1" s="1"/>
  <c r="X631" i="1"/>
  <c r="Y631" i="1" s="1"/>
  <c r="X580" i="1"/>
  <c r="Y580" i="1" s="1"/>
  <c r="AA580" i="1"/>
  <c r="Z580" i="1" s="1"/>
  <c r="X441" i="1"/>
  <c r="Y441" i="1" s="1"/>
  <c r="AA441" i="1"/>
  <c r="Z441" i="1" s="1"/>
  <c r="W382" i="1"/>
  <c r="X538" i="1"/>
  <c r="Y538" i="1" s="1"/>
  <c r="AA538" i="1"/>
  <c r="Z538" i="1" s="1"/>
  <c r="X977" i="1"/>
  <c r="Y977" i="1" s="1"/>
  <c r="AA977" i="1"/>
  <c r="Z977" i="1" s="1"/>
  <c r="X381" i="1" l="1"/>
  <c r="Y381" i="1" s="1"/>
  <c r="AA381" i="1"/>
  <c r="Z381" i="1" s="1"/>
  <c r="AA632" i="1"/>
  <c r="Z632" i="1" s="1"/>
  <c r="X632" i="1"/>
  <c r="Y632" i="1" s="1"/>
  <c r="W383" i="1"/>
  <c r="X442" i="1"/>
  <c r="Y442" i="1" s="1"/>
  <c r="AA442" i="1"/>
  <c r="Z442" i="1" s="1"/>
  <c r="X581" i="1"/>
  <c r="Y581" i="1" s="1"/>
  <c r="AA581" i="1"/>
  <c r="Z581" i="1" s="1"/>
  <c r="X539" i="1"/>
  <c r="Y539" i="1" s="1"/>
  <c r="AA539" i="1"/>
  <c r="Z539" i="1" s="1"/>
  <c r="X514" i="1"/>
  <c r="Y514" i="1" s="1"/>
  <c r="AA514" i="1"/>
  <c r="Z514" i="1" s="1"/>
  <c r="X986" i="1"/>
  <c r="Y986" i="1" s="1"/>
  <c r="AA986" i="1"/>
  <c r="Z986" i="1" s="1"/>
  <c r="X443" i="1" l="1"/>
  <c r="Y443" i="1" s="1"/>
  <c r="AA443" i="1"/>
  <c r="Z443" i="1" s="1"/>
  <c r="X633" i="1"/>
  <c r="Y633" i="1" s="1"/>
  <c r="AA633" i="1"/>
  <c r="Z633" i="1" s="1"/>
  <c r="X382" i="1"/>
  <c r="Y382" i="1" s="1"/>
  <c r="AA382" i="1"/>
  <c r="Z382" i="1" s="1"/>
  <c r="X515" i="1"/>
  <c r="Y515" i="1" s="1"/>
  <c r="AA515" i="1"/>
  <c r="Z515" i="1" s="1"/>
  <c r="AA540" i="1"/>
  <c r="Z540" i="1" s="1"/>
  <c r="X540" i="1"/>
  <c r="Y540" i="1" s="1"/>
  <c r="W384" i="1"/>
  <c r="X582" i="1"/>
  <c r="Y582" i="1" s="1"/>
  <c r="AA582" i="1"/>
  <c r="Z582" i="1" s="1"/>
  <c r="X1027" i="1"/>
  <c r="Y1027" i="1" s="1"/>
  <c r="AA1027" i="1"/>
  <c r="Z1027" i="1" s="1"/>
  <c r="X383" i="1" l="1"/>
  <c r="Y383" i="1" s="1"/>
  <c r="AA383" i="1"/>
  <c r="Z383" i="1" s="1"/>
  <c r="AA516" i="1"/>
  <c r="Z516" i="1" s="1"/>
  <c r="X516" i="1"/>
  <c r="Y516" i="1" s="1"/>
  <c r="W385" i="1"/>
  <c r="X444" i="1"/>
  <c r="Y444" i="1" s="1"/>
  <c r="AA444" i="1"/>
  <c r="Z444" i="1" s="1"/>
  <c r="AA583" i="1"/>
  <c r="Z583" i="1" s="1"/>
  <c r="X583" i="1"/>
  <c r="Y583" i="1" s="1"/>
  <c r="X541" i="1"/>
  <c r="Y541" i="1" s="1"/>
  <c r="AA541" i="1"/>
  <c r="Z541" i="1" s="1"/>
  <c r="AA634" i="1"/>
  <c r="Z634" i="1" s="1"/>
  <c r="X634" i="1"/>
  <c r="Y634" i="1" s="1"/>
  <c r="X1012" i="1"/>
  <c r="Y1012" i="1" s="1"/>
  <c r="AA1012" i="1"/>
  <c r="Z1012" i="1" s="1"/>
  <c r="X445" i="1" l="1"/>
  <c r="Y445" i="1" s="1"/>
  <c r="AA445" i="1"/>
  <c r="Z445" i="1" s="1"/>
  <c r="X584" i="1"/>
  <c r="Y584" i="1" s="1"/>
  <c r="AA584" i="1"/>
  <c r="Z584" i="1" s="1"/>
  <c r="X384" i="1"/>
  <c r="Y384" i="1" s="1"/>
  <c r="AA384" i="1"/>
  <c r="Z384" i="1" s="1"/>
  <c r="AA542" i="1"/>
  <c r="Z542" i="1" s="1"/>
  <c r="X542" i="1"/>
  <c r="Y542" i="1" s="1"/>
  <c r="X635" i="1"/>
  <c r="Y635" i="1" s="1"/>
  <c r="AA635" i="1"/>
  <c r="Z635" i="1" s="1"/>
  <c r="W386" i="1"/>
  <c r="X517" i="1"/>
  <c r="Y517" i="1" s="1"/>
  <c r="AA517" i="1"/>
  <c r="Z517" i="1" s="1"/>
  <c r="X880" i="1"/>
  <c r="Y880" i="1" s="1"/>
  <c r="AA880" i="1"/>
  <c r="Z880" i="1" s="1"/>
  <c r="X585" i="1" l="1"/>
  <c r="Y585" i="1" s="1"/>
  <c r="AA585" i="1"/>
  <c r="Z585" i="1" s="1"/>
  <c r="AA543" i="1"/>
  <c r="Z543" i="1" s="1"/>
  <c r="X543" i="1"/>
  <c r="Y543" i="1" s="1"/>
  <c r="AA385" i="1"/>
  <c r="Z385" i="1" s="1"/>
  <c r="X385" i="1"/>
  <c r="Y385" i="1" s="1"/>
  <c r="X446" i="1"/>
  <c r="Y446" i="1" s="1"/>
  <c r="AA446" i="1"/>
  <c r="Z446" i="1" s="1"/>
  <c r="X518" i="1"/>
  <c r="Y518" i="1" s="1"/>
  <c r="AA518" i="1"/>
  <c r="Z518" i="1" s="1"/>
  <c r="W387" i="1"/>
  <c r="AA636" i="1"/>
  <c r="Z636" i="1" s="1"/>
  <c r="X636" i="1"/>
  <c r="Y636" i="1" s="1"/>
  <c r="X853" i="1"/>
  <c r="Y853" i="1" s="1"/>
  <c r="AA853" i="1"/>
  <c r="Z853" i="1" s="1"/>
  <c r="AA386" i="1" l="1"/>
  <c r="Z386" i="1" s="1"/>
  <c r="X386" i="1"/>
  <c r="Y386" i="1" s="1"/>
  <c r="AA544" i="1"/>
  <c r="Z544" i="1" s="1"/>
  <c r="X544" i="1"/>
  <c r="Y544" i="1" s="1"/>
  <c r="W388" i="1"/>
  <c r="X637" i="1"/>
  <c r="Y637" i="1" s="1"/>
  <c r="AA637" i="1"/>
  <c r="Z637" i="1" s="1"/>
  <c r="X586" i="1"/>
  <c r="Y586" i="1" s="1"/>
  <c r="AA586" i="1"/>
  <c r="Z586" i="1" s="1"/>
  <c r="AA519" i="1"/>
  <c r="Z519" i="1" s="1"/>
  <c r="X519" i="1"/>
  <c r="Y519" i="1" s="1"/>
  <c r="X447" i="1"/>
  <c r="Y447" i="1" s="1"/>
  <c r="AA447" i="1"/>
  <c r="Z447" i="1" s="1"/>
  <c r="X1003" i="1"/>
  <c r="Y1003" i="1" s="1"/>
  <c r="AA1003" i="1"/>
  <c r="Z1003" i="1" s="1"/>
  <c r="W389" i="1" l="1"/>
  <c r="X587" i="1"/>
  <c r="Y587" i="1" s="1"/>
  <c r="AA587" i="1"/>
  <c r="Z587" i="1" s="1"/>
  <c r="X638" i="1"/>
  <c r="Y638" i="1" s="1"/>
  <c r="AA638" i="1"/>
  <c r="Z638" i="1" s="1"/>
  <c r="AA448" i="1"/>
  <c r="Z448" i="1" s="1"/>
  <c r="X448" i="1"/>
  <c r="Y448" i="1" s="1"/>
  <c r="AA545" i="1"/>
  <c r="Z545" i="1" s="1"/>
  <c r="X545" i="1"/>
  <c r="Y545" i="1" s="1"/>
  <c r="AA520" i="1"/>
  <c r="Z520" i="1" s="1"/>
  <c r="X520" i="1"/>
  <c r="Y520" i="1" s="1"/>
  <c r="X387" i="1"/>
  <c r="Y387" i="1" s="1"/>
  <c r="AA387" i="1"/>
  <c r="Z387" i="1" s="1"/>
  <c r="X1008" i="1"/>
  <c r="Y1008" i="1" s="1"/>
  <c r="AA1008" i="1"/>
  <c r="Z1008" i="1" s="1"/>
  <c r="X588" i="1" l="1"/>
  <c r="Y588" i="1" s="1"/>
  <c r="BE22" i="1" s="1"/>
  <c r="AA588" i="1"/>
  <c r="Z588" i="1" s="1"/>
  <c r="X449" i="1"/>
  <c r="Y449" i="1" s="1"/>
  <c r="AA449" i="1"/>
  <c r="Z449" i="1" s="1"/>
  <c r="AA388" i="1"/>
  <c r="Z388" i="1" s="1"/>
  <c r="X388" i="1"/>
  <c r="Y388" i="1" s="1"/>
  <c r="AA546" i="1"/>
  <c r="Z546" i="1" s="1"/>
  <c r="X546" i="1"/>
  <c r="Y546" i="1" s="1"/>
  <c r="X639" i="1"/>
  <c r="Y639" i="1" s="1"/>
  <c r="BE26" i="1" s="1"/>
  <c r="AA639" i="1"/>
  <c r="Z639" i="1" s="1"/>
  <c r="AA521" i="1"/>
  <c r="Z521" i="1" s="1"/>
  <c r="X521" i="1"/>
  <c r="Y521" i="1" s="1"/>
  <c r="W390" i="1"/>
  <c r="X1011" i="1"/>
  <c r="Y1011" i="1" s="1"/>
  <c r="AA1011" i="1"/>
  <c r="Z1011" i="1" s="1"/>
  <c r="AA522" i="1" l="1"/>
  <c r="Z522" i="1" s="1"/>
  <c r="X522" i="1"/>
  <c r="Y522" i="1" s="1"/>
  <c r="W391" i="1"/>
  <c r="X640" i="1"/>
  <c r="Y640" i="1" s="1"/>
  <c r="AA640" i="1"/>
  <c r="Z640" i="1" s="1"/>
  <c r="X589" i="1"/>
  <c r="Y589" i="1" s="1"/>
  <c r="AA589" i="1"/>
  <c r="Z589" i="1" s="1"/>
  <c r="X450" i="1"/>
  <c r="Y450" i="1" s="1"/>
  <c r="AA450" i="1"/>
  <c r="Z450" i="1" s="1"/>
  <c r="X389" i="1"/>
  <c r="Y389" i="1" s="1"/>
  <c r="AA389" i="1"/>
  <c r="Z389" i="1" s="1"/>
  <c r="AA547" i="1"/>
  <c r="Z547" i="1" s="1"/>
  <c r="X547" i="1"/>
  <c r="Y547" i="1" s="1"/>
  <c r="X1000" i="1"/>
  <c r="Y1000" i="1" s="1"/>
  <c r="AA1000" i="1"/>
  <c r="Z1000" i="1" s="1"/>
  <c r="X523" i="1" l="1"/>
  <c r="Y523" i="1" s="1"/>
  <c r="AA523" i="1"/>
  <c r="Z523" i="1" s="1"/>
  <c r="AA451" i="1"/>
  <c r="Z451" i="1" s="1"/>
  <c r="X451" i="1"/>
  <c r="Y451" i="1" s="1"/>
  <c r="X641" i="1"/>
  <c r="Y641" i="1" s="1"/>
  <c r="AA641" i="1"/>
  <c r="Z641" i="1" s="1"/>
  <c r="X590" i="1"/>
  <c r="Y590" i="1" s="1"/>
  <c r="AA590" i="1"/>
  <c r="Z590" i="1" s="1"/>
  <c r="X390" i="1"/>
  <c r="Y390" i="1" s="1"/>
  <c r="AA390" i="1"/>
  <c r="Z390" i="1" s="1"/>
  <c r="AA548" i="1"/>
  <c r="Z548" i="1" s="1"/>
  <c r="X548" i="1"/>
  <c r="Y548" i="1" s="1"/>
  <c r="W392" i="1"/>
  <c r="X1052" i="1"/>
  <c r="Y1052" i="1" s="1"/>
  <c r="AA1052" i="1"/>
  <c r="Z1052" i="1" s="1"/>
  <c r="AA391" i="1" l="1"/>
  <c r="Z391" i="1" s="1"/>
  <c r="X391" i="1"/>
  <c r="Y391" i="1" s="1"/>
  <c r="X452" i="1"/>
  <c r="Y452" i="1" s="1"/>
  <c r="AA452" i="1"/>
  <c r="Z452" i="1" s="1"/>
  <c r="AA524" i="1"/>
  <c r="Z524" i="1" s="1"/>
  <c r="X524" i="1"/>
  <c r="Y524" i="1" s="1"/>
  <c r="AA549" i="1"/>
  <c r="Z549" i="1" s="1"/>
  <c r="X549" i="1"/>
  <c r="Y549" i="1" s="1"/>
  <c r="W393" i="1"/>
  <c r="AA642" i="1"/>
  <c r="Z642" i="1" s="1"/>
  <c r="X642" i="1"/>
  <c r="Y642" i="1" s="1"/>
  <c r="AA591" i="1"/>
  <c r="Z591" i="1" s="1"/>
  <c r="X591" i="1"/>
  <c r="Y591" i="1" s="1"/>
  <c r="X1017" i="1"/>
  <c r="Y1017" i="1" s="1"/>
  <c r="AA1017" i="1"/>
  <c r="Z1017" i="1" s="1"/>
  <c r="X453" i="1" l="1"/>
  <c r="Y453" i="1" s="1"/>
  <c r="AA453" i="1"/>
  <c r="Z453" i="1" s="1"/>
  <c r="W394" i="1"/>
  <c r="AA643" i="1"/>
  <c r="Z643" i="1" s="1"/>
  <c r="X643" i="1"/>
  <c r="Y643" i="1" s="1"/>
  <c r="X525" i="1"/>
  <c r="Y525" i="1" s="1"/>
  <c r="AA525" i="1"/>
  <c r="Z525" i="1" s="1"/>
  <c r="X392" i="1"/>
  <c r="Y392" i="1" s="1"/>
  <c r="AA392" i="1"/>
  <c r="Z392" i="1" s="1"/>
  <c r="X592" i="1"/>
  <c r="Y592" i="1" s="1"/>
  <c r="AA592" i="1"/>
  <c r="Z592" i="1" s="1"/>
  <c r="X550" i="1"/>
  <c r="Y550" i="1" s="1"/>
  <c r="AA550" i="1"/>
  <c r="Z550" i="1" s="1"/>
  <c r="X936" i="1"/>
  <c r="Y936" i="1" s="1"/>
  <c r="AA936" i="1"/>
  <c r="Z936" i="1" s="1"/>
  <c r="X644" i="1" l="1"/>
  <c r="Y644" i="1" s="1"/>
  <c r="AA644" i="1"/>
  <c r="Z644" i="1" s="1"/>
  <c r="AA393" i="1"/>
  <c r="Z393" i="1" s="1"/>
  <c r="X393" i="1"/>
  <c r="Y393" i="1" s="1"/>
  <c r="AA551" i="1"/>
  <c r="Z551" i="1" s="1"/>
  <c r="X551" i="1"/>
  <c r="Y551" i="1" s="1"/>
  <c r="X526" i="1"/>
  <c r="Y526" i="1" s="1"/>
  <c r="AA526" i="1"/>
  <c r="Z526" i="1" s="1"/>
  <c r="X454" i="1"/>
  <c r="Y454" i="1" s="1"/>
  <c r="AA454" i="1"/>
  <c r="Z454" i="1" s="1"/>
  <c r="W395" i="1"/>
  <c r="AA593" i="1"/>
  <c r="Z593" i="1" s="1"/>
  <c r="X593" i="1"/>
  <c r="Y593" i="1" s="1"/>
  <c r="X989" i="1"/>
  <c r="Y989" i="1" s="1"/>
  <c r="AA989" i="1"/>
  <c r="Z989" i="1" s="1"/>
  <c r="X527" i="1" l="1"/>
  <c r="Y527" i="1" s="1"/>
  <c r="AA527" i="1"/>
  <c r="Z527" i="1" s="1"/>
  <c r="X394" i="1"/>
  <c r="Y394" i="1" s="1"/>
  <c r="AA394" i="1"/>
  <c r="Z394" i="1" s="1"/>
  <c r="X552" i="1"/>
  <c r="Y552" i="1" s="1"/>
  <c r="AA552" i="1"/>
  <c r="Z552" i="1" s="1"/>
  <c r="AA455" i="1"/>
  <c r="Z455" i="1" s="1"/>
  <c r="X455" i="1"/>
  <c r="Y455" i="1" s="1"/>
  <c r="AA594" i="1"/>
  <c r="Z594" i="1" s="1"/>
  <c r="X594" i="1"/>
  <c r="Y594" i="1" s="1"/>
  <c r="X645" i="1"/>
  <c r="Y645" i="1" s="1"/>
  <c r="AA645" i="1"/>
  <c r="Z645" i="1" s="1"/>
  <c r="W396" i="1"/>
  <c r="X845" i="1"/>
  <c r="Y845" i="1" s="1"/>
  <c r="AA845" i="1"/>
  <c r="Z845" i="1" s="1"/>
  <c r="X553" i="1" l="1"/>
  <c r="Y553" i="1" s="1"/>
  <c r="AA553" i="1"/>
  <c r="Z553" i="1" s="1"/>
  <c r="X528" i="1"/>
  <c r="Y528" i="1" s="1"/>
  <c r="AA528" i="1"/>
  <c r="Z528" i="1" s="1"/>
  <c r="X456" i="1"/>
  <c r="Y456" i="1" s="1"/>
  <c r="AA456" i="1"/>
  <c r="Z456" i="1" s="1"/>
  <c r="X646" i="1"/>
  <c r="Y646" i="1" s="1"/>
  <c r="AA646" i="1"/>
  <c r="Z646" i="1" s="1"/>
  <c r="X595" i="1"/>
  <c r="Y595" i="1" s="1"/>
  <c r="AA595" i="1"/>
  <c r="Z595" i="1" s="1"/>
  <c r="W397" i="1"/>
  <c r="AA395" i="1"/>
  <c r="Z395" i="1" s="1"/>
  <c r="X395" i="1"/>
  <c r="Y395" i="1" s="1"/>
  <c r="X965" i="1"/>
  <c r="Y965" i="1" s="1"/>
  <c r="AA965" i="1"/>
  <c r="Z965" i="1" s="1"/>
  <c r="X529" i="1" l="1"/>
  <c r="Y529" i="1" s="1"/>
  <c r="AA529" i="1"/>
  <c r="Z529" i="1" s="1"/>
  <c r="X647" i="1"/>
  <c r="Y647" i="1" s="1"/>
  <c r="AA647" i="1"/>
  <c r="Z647" i="1" s="1"/>
  <c r="X554" i="1"/>
  <c r="Y554" i="1" s="1"/>
  <c r="AA554" i="1"/>
  <c r="Z554" i="1" s="1"/>
  <c r="AA396" i="1"/>
  <c r="Z396" i="1" s="1"/>
  <c r="X396" i="1"/>
  <c r="Y396" i="1" s="1"/>
  <c r="X596" i="1"/>
  <c r="Y596" i="1" s="1"/>
  <c r="AA596" i="1"/>
  <c r="Z596" i="1" s="1"/>
  <c r="X457" i="1"/>
  <c r="Y457" i="1" s="1"/>
  <c r="AA457" i="1"/>
  <c r="Z457" i="1" s="1"/>
  <c r="W398" i="1"/>
  <c r="X1030" i="1"/>
  <c r="Y1030" i="1" s="1"/>
  <c r="AA1030" i="1"/>
  <c r="Z1030" i="1" s="1"/>
  <c r="X648" i="1" l="1"/>
  <c r="Y648" i="1" s="1"/>
  <c r="AA648" i="1"/>
  <c r="Z648" i="1" s="1"/>
  <c r="X458" i="1"/>
  <c r="Y458" i="1" s="1"/>
  <c r="AA458" i="1"/>
  <c r="Z458" i="1" s="1"/>
  <c r="AA397" i="1"/>
  <c r="Z397" i="1" s="1"/>
  <c r="X397" i="1"/>
  <c r="Y397" i="1" s="1"/>
  <c r="W399" i="1"/>
  <c r="AA530" i="1"/>
  <c r="Z530" i="1" s="1"/>
  <c r="X530" i="1"/>
  <c r="Y530" i="1" s="1"/>
  <c r="BE8" i="1" s="1"/>
  <c r="AA555" i="1"/>
  <c r="Z555" i="1" s="1"/>
  <c r="X555" i="1"/>
  <c r="Y555" i="1" s="1"/>
  <c r="BE12" i="1" s="1"/>
  <c r="X597" i="1"/>
  <c r="Y597" i="1" s="1"/>
  <c r="AA597" i="1"/>
  <c r="Z597" i="1" s="1"/>
  <c r="X829" i="1"/>
  <c r="Y829" i="1" s="1"/>
  <c r="BE72" i="1" s="1"/>
  <c r="AA829" i="1"/>
  <c r="Z829" i="1" s="1"/>
  <c r="X398" i="1" l="1"/>
  <c r="Y398" i="1" s="1"/>
  <c r="AA398" i="1"/>
  <c r="Z398" i="1" s="1"/>
  <c r="X598" i="1"/>
  <c r="Y598" i="1" s="1"/>
  <c r="AA598" i="1"/>
  <c r="Z598" i="1" s="1"/>
  <c r="W400" i="1"/>
  <c r="X556" i="1"/>
  <c r="Y556" i="1" s="1"/>
  <c r="AA556" i="1"/>
  <c r="Z556" i="1" s="1"/>
  <c r="X649" i="1"/>
  <c r="Y649" i="1" s="1"/>
  <c r="AA649" i="1"/>
  <c r="Z649" i="1" s="1"/>
  <c r="AA459" i="1"/>
  <c r="Z459" i="1" s="1"/>
  <c r="X459" i="1"/>
  <c r="Y459" i="1" s="1"/>
  <c r="X996" i="1"/>
  <c r="Y996" i="1" s="1"/>
  <c r="AA996" i="1"/>
  <c r="Z996" i="1" s="1"/>
  <c r="X650" i="1" l="1"/>
  <c r="Y650" i="1" s="1"/>
  <c r="AA650" i="1"/>
  <c r="Z650" i="1" s="1"/>
  <c r="AA399" i="1"/>
  <c r="Z399" i="1" s="1"/>
  <c r="X399" i="1"/>
  <c r="Y399" i="1" s="1"/>
  <c r="X460" i="1"/>
  <c r="Y460" i="1" s="1"/>
  <c r="AA460" i="1"/>
  <c r="Z460" i="1" s="1"/>
  <c r="AA557" i="1"/>
  <c r="Z557" i="1" s="1"/>
  <c r="X557" i="1"/>
  <c r="Y557" i="1" s="1"/>
  <c r="W401" i="1"/>
  <c r="X599" i="1"/>
  <c r="Y599" i="1" s="1"/>
  <c r="AA599" i="1"/>
  <c r="Z599" i="1" s="1"/>
  <c r="X1001" i="1"/>
  <c r="Y1001" i="1" s="1"/>
  <c r="AA1001" i="1"/>
  <c r="Z1001" i="1" s="1"/>
  <c r="AA558" i="1" l="1"/>
  <c r="Z558" i="1" s="1"/>
  <c r="X558" i="1"/>
  <c r="Y558" i="1" s="1"/>
  <c r="AA651" i="1"/>
  <c r="Z651" i="1" s="1"/>
  <c r="X651" i="1"/>
  <c r="Y651" i="1" s="1"/>
  <c r="X600" i="1"/>
  <c r="Y600" i="1" s="1"/>
  <c r="AA600" i="1"/>
  <c r="Z600" i="1" s="1"/>
  <c r="W402" i="1"/>
  <c r="X400" i="1"/>
  <c r="Y400" i="1" s="1"/>
  <c r="AA400" i="1"/>
  <c r="Z400" i="1" s="1"/>
  <c r="X998" i="1"/>
  <c r="Y998" i="1" s="1"/>
  <c r="AA998" i="1"/>
  <c r="Z998" i="1" s="1"/>
  <c r="W403" i="1" l="1"/>
  <c r="AA601" i="1"/>
  <c r="Z601" i="1" s="1"/>
  <c r="X601" i="1"/>
  <c r="Y601" i="1" s="1"/>
  <c r="X559" i="1"/>
  <c r="Y559" i="1" s="1"/>
  <c r="AA559" i="1"/>
  <c r="Z559" i="1" s="1"/>
  <c r="X462" i="1"/>
  <c r="Y462" i="1" s="1"/>
  <c r="AA462" i="1"/>
  <c r="Z462" i="1" s="1"/>
  <c r="AA652" i="1"/>
  <c r="Z652" i="1" s="1"/>
  <c r="X652" i="1"/>
  <c r="Y652" i="1" s="1"/>
  <c r="X401" i="1"/>
  <c r="Y401" i="1" s="1"/>
  <c r="AA401" i="1"/>
  <c r="Z401" i="1" s="1"/>
  <c r="X974" i="1"/>
  <c r="Y974" i="1" s="1"/>
  <c r="AA974" i="1"/>
  <c r="Z974" i="1" s="1"/>
  <c r="AA602" i="1" l="1"/>
  <c r="Z602" i="1" s="1"/>
  <c r="X602" i="1"/>
  <c r="Y602" i="1" s="1"/>
  <c r="AA560" i="1"/>
  <c r="Z560" i="1" s="1"/>
  <c r="X560" i="1"/>
  <c r="Y560" i="1" s="1"/>
  <c r="X463" i="1"/>
  <c r="Y463" i="1" s="1"/>
  <c r="AA463" i="1"/>
  <c r="Z463" i="1" s="1"/>
  <c r="AA402" i="1"/>
  <c r="Z402" i="1" s="1"/>
  <c r="X402" i="1"/>
  <c r="Y402" i="1" s="1"/>
  <c r="X653" i="1"/>
  <c r="Y653" i="1" s="1"/>
  <c r="AA653" i="1"/>
  <c r="Z653" i="1" s="1"/>
  <c r="W404" i="1"/>
  <c r="X1009" i="1"/>
  <c r="Y1009" i="1" s="1"/>
  <c r="AA1009" i="1"/>
  <c r="Z1009" i="1" s="1"/>
  <c r="X464" i="1" l="1"/>
  <c r="Y464" i="1" s="1"/>
  <c r="AA464" i="1"/>
  <c r="Z464" i="1" s="1"/>
  <c r="X403" i="1"/>
  <c r="Y403" i="1" s="1"/>
  <c r="AA403" i="1"/>
  <c r="Z403" i="1" s="1"/>
  <c r="W405" i="1"/>
  <c r="AA561" i="1"/>
  <c r="Z561" i="1" s="1"/>
  <c r="X561" i="1"/>
  <c r="Y561" i="1" s="1"/>
  <c r="X654" i="1"/>
  <c r="Y654" i="1" s="1"/>
  <c r="AA654" i="1"/>
  <c r="Z654" i="1" s="1"/>
  <c r="X603" i="1"/>
  <c r="Y603" i="1" s="1"/>
  <c r="AA603" i="1"/>
  <c r="Z603" i="1" s="1"/>
  <c r="X917" i="1"/>
  <c r="Y917" i="1" s="1"/>
  <c r="AA917" i="1"/>
  <c r="Z917" i="1" s="1"/>
  <c r="X404" i="1" l="1"/>
  <c r="Y404" i="1" s="1"/>
  <c r="AA404" i="1"/>
  <c r="Z404" i="1" s="1"/>
  <c r="AA604" i="1"/>
  <c r="Z604" i="1" s="1"/>
  <c r="X604" i="1"/>
  <c r="Y604" i="1" s="1"/>
  <c r="W406" i="1"/>
  <c r="X465" i="1"/>
  <c r="Y465" i="1" s="1"/>
  <c r="AA465" i="1"/>
  <c r="Z465" i="1" s="1"/>
  <c r="X655" i="1"/>
  <c r="Y655" i="1" s="1"/>
  <c r="AA655" i="1"/>
  <c r="Z655" i="1" s="1"/>
  <c r="X562" i="1"/>
  <c r="Y562" i="1" s="1"/>
  <c r="AA562" i="1"/>
  <c r="Z562" i="1" s="1"/>
  <c r="X994" i="1"/>
  <c r="Y994" i="1" s="1"/>
  <c r="AA994" i="1"/>
  <c r="Z994" i="1" s="1"/>
  <c r="X656" i="1" l="1"/>
  <c r="Y656" i="1" s="1"/>
  <c r="AA656" i="1"/>
  <c r="Z656" i="1" s="1"/>
  <c r="W407" i="1"/>
  <c r="AA466" i="1"/>
  <c r="Z466" i="1" s="1"/>
  <c r="X466" i="1"/>
  <c r="Y466" i="1" s="1"/>
  <c r="X563" i="1"/>
  <c r="Y563" i="1" s="1"/>
  <c r="AA563" i="1"/>
  <c r="Z563" i="1" s="1"/>
  <c r="X605" i="1"/>
  <c r="Y605" i="1" s="1"/>
  <c r="AA605" i="1"/>
  <c r="Z605" i="1" s="1"/>
  <c r="X405" i="1"/>
  <c r="Y405" i="1" s="1"/>
  <c r="AA405" i="1"/>
  <c r="Z405" i="1" s="1"/>
  <c r="X957" i="1"/>
  <c r="Y957" i="1" s="1"/>
  <c r="AA957" i="1"/>
  <c r="Z957" i="1" s="1"/>
  <c r="X406" i="1" l="1"/>
  <c r="Y406" i="1" s="1"/>
  <c r="AA406" i="1"/>
  <c r="Z406" i="1" s="1"/>
  <c r="X564" i="1"/>
  <c r="Y564" i="1" s="1"/>
  <c r="AA564" i="1"/>
  <c r="Z564" i="1" s="1"/>
  <c r="W408" i="1"/>
  <c r="X467" i="1"/>
  <c r="Y467" i="1" s="1"/>
  <c r="AA467" i="1"/>
  <c r="Z467" i="1" s="1"/>
  <c r="X606" i="1"/>
  <c r="Y606" i="1" s="1"/>
  <c r="AA606" i="1"/>
  <c r="Z606" i="1" s="1"/>
  <c r="X657" i="1"/>
  <c r="Y657" i="1" s="1"/>
  <c r="AA657" i="1"/>
  <c r="Z657" i="1" s="1"/>
  <c r="X1010" i="1"/>
  <c r="Y1010" i="1" s="1"/>
  <c r="AA1010" i="1"/>
  <c r="Z1010" i="1" s="1"/>
  <c r="X607" i="1" l="1"/>
  <c r="Y607" i="1" s="1"/>
  <c r="AA607" i="1"/>
  <c r="Z607" i="1" s="1"/>
  <c r="AA565" i="1"/>
  <c r="Z565" i="1" s="1"/>
  <c r="X565" i="1"/>
  <c r="Y565" i="1" s="1"/>
  <c r="X407" i="1"/>
  <c r="Y407" i="1" s="1"/>
  <c r="AA407" i="1"/>
  <c r="Z407" i="1" s="1"/>
  <c r="X468" i="1"/>
  <c r="Y468" i="1" s="1"/>
  <c r="AA468" i="1"/>
  <c r="Z468" i="1" s="1"/>
  <c r="AA658" i="1"/>
  <c r="Z658" i="1" s="1"/>
  <c r="X658" i="1"/>
  <c r="Y658" i="1" s="1"/>
  <c r="W409" i="1"/>
  <c r="X912" i="1"/>
  <c r="Y912" i="1" s="1"/>
  <c r="AA912" i="1"/>
  <c r="Z912" i="1" s="1"/>
  <c r="X408" i="1" l="1"/>
  <c r="Y408" i="1" s="1"/>
  <c r="AA408" i="1"/>
  <c r="Z408" i="1" s="1"/>
  <c r="X659" i="1"/>
  <c r="Y659" i="1" s="1"/>
  <c r="AA659" i="1"/>
  <c r="Z659" i="1" s="1"/>
  <c r="AA608" i="1"/>
  <c r="Z608" i="1" s="1"/>
  <c r="X608" i="1"/>
  <c r="Y608" i="1" s="1"/>
  <c r="X566" i="1"/>
  <c r="Y566" i="1" s="1"/>
  <c r="AA566" i="1"/>
  <c r="Z566" i="1" s="1"/>
  <c r="W410" i="1"/>
  <c r="X469" i="1"/>
  <c r="Y469" i="1" s="1"/>
  <c r="AA469" i="1"/>
  <c r="Z469" i="1" s="1"/>
  <c r="X1023" i="1"/>
  <c r="Y1023" i="1" s="1"/>
  <c r="AA1023" i="1"/>
  <c r="Z1023" i="1" s="1"/>
  <c r="W411" i="1" l="1"/>
  <c r="X660" i="1"/>
  <c r="Y660" i="1" s="1"/>
  <c r="AA660" i="1"/>
  <c r="Z660" i="1" s="1"/>
  <c r="X470" i="1"/>
  <c r="Y470" i="1" s="1"/>
  <c r="AA470" i="1"/>
  <c r="Z470" i="1" s="1"/>
  <c r="X567" i="1"/>
  <c r="Y567" i="1" s="1"/>
  <c r="AA567" i="1"/>
  <c r="Z567" i="1" s="1"/>
  <c r="X409" i="1"/>
  <c r="Y409" i="1" s="1"/>
  <c r="AA409" i="1"/>
  <c r="Z409" i="1" s="1"/>
  <c r="AA609" i="1"/>
  <c r="Z609" i="1" s="1"/>
  <c r="X609" i="1"/>
  <c r="Y609" i="1" s="1"/>
  <c r="X978" i="1"/>
  <c r="Y978" i="1" s="1"/>
  <c r="AA978" i="1"/>
  <c r="Z978" i="1" s="1"/>
  <c r="X471" i="1" l="1"/>
  <c r="Y471" i="1" s="1"/>
  <c r="AA471" i="1"/>
  <c r="Z471" i="1" s="1"/>
  <c r="X410" i="1"/>
  <c r="Y410" i="1" s="1"/>
  <c r="AA410" i="1"/>
  <c r="Z410" i="1" s="1"/>
  <c r="X610" i="1"/>
  <c r="Y610" i="1" s="1"/>
  <c r="AA610" i="1"/>
  <c r="Z610" i="1" s="1"/>
  <c r="W412" i="1"/>
  <c r="AA568" i="1"/>
  <c r="Z568" i="1" s="1"/>
  <c r="X568" i="1"/>
  <c r="Y568" i="1" s="1"/>
  <c r="X661" i="1"/>
  <c r="Y661" i="1" s="1"/>
  <c r="AA661" i="1"/>
  <c r="Z661" i="1" s="1"/>
  <c r="X843" i="1"/>
  <c r="Y843" i="1" s="1"/>
  <c r="AA843" i="1"/>
  <c r="Z843" i="1" s="1"/>
  <c r="X662" i="1" l="1"/>
  <c r="Y662" i="1" s="1"/>
  <c r="AA662" i="1"/>
  <c r="Z662" i="1" s="1"/>
  <c r="W413" i="1"/>
  <c r="X472" i="1"/>
  <c r="Y472" i="1" s="1"/>
  <c r="AA472" i="1"/>
  <c r="Z472" i="1" s="1"/>
  <c r="X569" i="1"/>
  <c r="Y569" i="1" s="1"/>
  <c r="AA569" i="1"/>
  <c r="Z569" i="1" s="1"/>
  <c r="X411" i="1"/>
  <c r="Y411" i="1" s="1"/>
  <c r="AA411" i="1"/>
  <c r="Z411" i="1" s="1"/>
  <c r="X611" i="1"/>
  <c r="Y611" i="1" s="1"/>
  <c r="AA611" i="1"/>
  <c r="Z611" i="1" s="1"/>
  <c r="X1004" i="1"/>
  <c r="Y1004" i="1" s="1"/>
  <c r="AA1004" i="1"/>
  <c r="Z1004" i="1" s="1"/>
  <c r="X412" i="1" l="1"/>
  <c r="Y412" i="1" s="1"/>
  <c r="AA412" i="1"/>
  <c r="Z412" i="1" s="1"/>
  <c r="AA663" i="1"/>
  <c r="Z663" i="1" s="1"/>
  <c r="X663" i="1"/>
  <c r="Y663" i="1" s="1"/>
  <c r="W414" i="1"/>
  <c r="X473" i="1"/>
  <c r="Y473" i="1" s="1"/>
  <c r="AA473" i="1"/>
  <c r="Z473" i="1" s="1"/>
  <c r="X612" i="1"/>
  <c r="Y612" i="1" s="1"/>
  <c r="AA612" i="1"/>
  <c r="Z612" i="1" s="1"/>
  <c r="AA570" i="1"/>
  <c r="Z570" i="1" s="1"/>
  <c r="X570" i="1"/>
  <c r="Y570" i="1" s="1"/>
  <c r="X852" i="1"/>
  <c r="Y852" i="1" s="1"/>
  <c r="AA852" i="1"/>
  <c r="Z852" i="1" s="1"/>
  <c r="X474" i="1" l="1"/>
  <c r="Y474" i="1" s="1"/>
  <c r="AA474" i="1"/>
  <c r="Z474" i="1" s="1"/>
  <c r="X571" i="1"/>
  <c r="Y571" i="1" s="1"/>
  <c r="AA571" i="1"/>
  <c r="Z571" i="1" s="1"/>
  <c r="X664" i="1"/>
  <c r="Y664" i="1" s="1"/>
  <c r="AA664" i="1"/>
  <c r="Z664" i="1" s="1"/>
  <c r="X413" i="1"/>
  <c r="Y413" i="1" s="1"/>
  <c r="AA413" i="1"/>
  <c r="Z413" i="1" s="1"/>
  <c r="AA613" i="1"/>
  <c r="Z613" i="1" s="1"/>
  <c r="X613" i="1"/>
  <c r="Y613" i="1" s="1"/>
  <c r="W415" i="1"/>
  <c r="X850" i="1"/>
  <c r="Y850" i="1" s="1"/>
  <c r="AA850" i="1"/>
  <c r="Z850" i="1" s="1"/>
  <c r="X572" i="1" l="1"/>
  <c r="Y572" i="1" s="1"/>
  <c r="AA572" i="1"/>
  <c r="Z572" i="1" s="1"/>
  <c r="W416" i="1"/>
  <c r="X614" i="1"/>
  <c r="Y614" i="1" s="1"/>
  <c r="AA614" i="1"/>
  <c r="Z614" i="1" s="1"/>
  <c r="X414" i="1"/>
  <c r="Y414" i="1" s="1"/>
  <c r="AA414" i="1"/>
  <c r="Z414" i="1" s="1"/>
  <c r="X665" i="1"/>
  <c r="Y665" i="1" s="1"/>
  <c r="AA665" i="1"/>
  <c r="Z665" i="1" s="1"/>
  <c r="X475" i="1"/>
  <c r="Y475" i="1" s="1"/>
  <c r="AA475" i="1"/>
  <c r="Z475" i="1" s="1"/>
  <c r="X958" i="1"/>
  <c r="Y958" i="1" s="1"/>
  <c r="AA958" i="1"/>
  <c r="Z958" i="1" s="1"/>
  <c r="W417" i="1" l="1"/>
  <c r="AA573" i="1"/>
  <c r="Z573" i="1" s="1"/>
  <c r="X573" i="1"/>
  <c r="Y573" i="1" s="1"/>
  <c r="X615" i="1"/>
  <c r="Y615" i="1" s="1"/>
  <c r="AA615" i="1"/>
  <c r="Z615" i="1" s="1"/>
  <c r="X476" i="1"/>
  <c r="Y476" i="1" s="1"/>
  <c r="AA476" i="1"/>
  <c r="Z476" i="1" s="1"/>
  <c r="X666" i="1"/>
  <c r="Y666" i="1" s="1"/>
  <c r="AA666" i="1"/>
  <c r="Z666" i="1" s="1"/>
  <c r="X415" i="1"/>
  <c r="Y415" i="1" s="1"/>
  <c r="AA415" i="1"/>
  <c r="Z415" i="1" s="1"/>
  <c r="X839" i="1"/>
  <c r="Y839" i="1" s="1"/>
  <c r="AA839" i="1"/>
  <c r="Z839" i="1" s="1"/>
  <c r="X477" i="1" l="1"/>
  <c r="Y477" i="1" s="1"/>
  <c r="AA477" i="1"/>
  <c r="Z477" i="1" s="1"/>
  <c r="X667" i="1"/>
  <c r="Y667" i="1" s="1"/>
  <c r="AA667" i="1"/>
  <c r="Z667" i="1" s="1"/>
  <c r="X616" i="1"/>
  <c r="Y616" i="1" s="1"/>
  <c r="AA616" i="1"/>
  <c r="Z616" i="1" s="1"/>
  <c r="X416" i="1"/>
  <c r="Y416" i="1" s="1"/>
  <c r="AA416" i="1"/>
  <c r="Z416" i="1" s="1"/>
  <c r="W418" i="1"/>
  <c r="X983" i="1"/>
  <c r="Y983" i="1" s="1"/>
  <c r="AA983" i="1"/>
  <c r="Z983" i="1" s="1"/>
  <c r="W419" i="1" l="1"/>
  <c r="X668" i="1"/>
  <c r="Y668" i="1" s="1"/>
  <c r="AA668" i="1"/>
  <c r="Z668" i="1" s="1"/>
  <c r="AA617" i="1"/>
  <c r="Z617" i="1" s="1"/>
  <c r="X617" i="1"/>
  <c r="Y617" i="1" s="1"/>
  <c r="X478" i="1"/>
  <c r="Y478" i="1" s="1"/>
  <c r="AA478" i="1"/>
  <c r="Z478" i="1" s="1"/>
  <c r="X417" i="1"/>
  <c r="Y417" i="1" s="1"/>
  <c r="BE5" i="1" s="1"/>
  <c r="AA417" i="1"/>
  <c r="Z417" i="1" s="1"/>
  <c r="X846" i="1"/>
  <c r="Y846" i="1" s="1"/>
  <c r="AA846" i="1"/>
  <c r="Z846" i="1" s="1"/>
  <c r="X479" i="1" l="1"/>
  <c r="Y479" i="1" s="1"/>
  <c r="AA479" i="1"/>
  <c r="Z479" i="1" s="1"/>
  <c r="AA669" i="1"/>
  <c r="Z669" i="1" s="1"/>
  <c r="X669" i="1"/>
  <c r="Y669" i="1" s="1"/>
  <c r="X418" i="1"/>
  <c r="Y418" i="1" s="1"/>
  <c r="AA418" i="1"/>
  <c r="Z418" i="1" s="1"/>
  <c r="AA618" i="1"/>
  <c r="Z618" i="1" s="1"/>
  <c r="X618" i="1"/>
  <c r="Y618" i="1" s="1"/>
  <c r="W420" i="1"/>
  <c r="X833" i="1"/>
  <c r="Y833" i="1" s="1"/>
  <c r="AA833" i="1"/>
  <c r="Z833" i="1" s="1"/>
  <c r="W421" i="1" l="1"/>
  <c r="X480" i="1"/>
  <c r="Y480" i="1" s="1"/>
  <c r="AA480" i="1"/>
  <c r="Z480" i="1" s="1"/>
  <c r="X619" i="1"/>
  <c r="Y619" i="1" s="1"/>
  <c r="AA619" i="1"/>
  <c r="Z619" i="1" s="1"/>
  <c r="X670" i="1"/>
  <c r="Y670" i="1" s="1"/>
  <c r="AA670" i="1"/>
  <c r="Z670" i="1" s="1"/>
  <c r="X419" i="1"/>
  <c r="Y419" i="1" s="1"/>
  <c r="AA419" i="1"/>
  <c r="Z419" i="1" s="1"/>
  <c r="X979" i="1"/>
  <c r="Y979" i="1" s="1"/>
  <c r="AA979" i="1"/>
  <c r="Z979" i="1" s="1"/>
  <c r="X671" i="1" l="1"/>
  <c r="Y671" i="1" s="1"/>
  <c r="AA671" i="1"/>
  <c r="Z671" i="1" s="1"/>
  <c r="X420" i="1"/>
  <c r="Y420" i="1" s="1"/>
  <c r="AA420" i="1"/>
  <c r="Z420" i="1" s="1"/>
  <c r="X481" i="1"/>
  <c r="Y481" i="1" s="1"/>
  <c r="AA481" i="1"/>
  <c r="Z481" i="1" s="1"/>
  <c r="X620" i="1"/>
  <c r="Y620" i="1" s="1"/>
  <c r="AA620" i="1"/>
  <c r="Z620" i="1" s="1"/>
  <c r="W422" i="1"/>
  <c r="X956" i="1"/>
  <c r="Y956" i="1" s="1"/>
  <c r="AA956" i="1"/>
  <c r="Z956" i="1" s="1"/>
  <c r="W423" i="1" l="1"/>
  <c r="X482" i="1"/>
  <c r="Y482" i="1" s="1"/>
  <c r="AA482" i="1"/>
  <c r="Z482" i="1" s="1"/>
  <c r="X421" i="1"/>
  <c r="Y421" i="1" s="1"/>
  <c r="AA421" i="1"/>
  <c r="Z421" i="1" s="1"/>
  <c r="AA621" i="1"/>
  <c r="Z621" i="1" s="1"/>
  <c r="X621" i="1"/>
  <c r="Y621" i="1" s="1"/>
  <c r="X672" i="1"/>
  <c r="Y672" i="1" s="1"/>
  <c r="AA672" i="1"/>
  <c r="Z672" i="1" s="1"/>
  <c r="X1005" i="1"/>
  <c r="Y1005" i="1" s="1"/>
  <c r="AA1005" i="1"/>
  <c r="Z1005" i="1" s="1"/>
  <c r="AA622" i="1" l="1"/>
  <c r="Z622" i="1" s="1"/>
  <c r="X622" i="1"/>
  <c r="Y622" i="1" s="1"/>
  <c r="W424" i="1"/>
  <c r="AA673" i="1"/>
  <c r="Z673" i="1" s="1"/>
  <c r="X673" i="1"/>
  <c r="Y673" i="1" s="1"/>
  <c r="X422" i="1"/>
  <c r="Y422" i="1" s="1"/>
  <c r="AA422" i="1"/>
  <c r="Z422" i="1" s="1"/>
  <c r="X969" i="1"/>
  <c r="Y969" i="1" s="1"/>
  <c r="AA969" i="1"/>
  <c r="Z969" i="1" s="1"/>
  <c r="W425" i="1" l="1"/>
  <c r="X623" i="1"/>
  <c r="Y623" i="1" s="1"/>
  <c r="BE24" i="1" s="1"/>
  <c r="AA623" i="1"/>
  <c r="Z623" i="1" s="1"/>
  <c r="AA484" i="1"/>
  <c r="Z484" i="1" s="1"/>
  <c r="X484" i="1"/>
  <c r="Y484" i="1" s="1"/>
  <c r="X674" i="1"/>
  <c r="Y674" i="1" s="1"/>
  <c r="AA674" i="1"/>
  <c r="Z674" i="1" s="1"/>
  <c r="X423" i="1"/>
  <c r="Y423" i="1" s="1"/>
  <c r="AA423" i="1"/>
  <c r="Z423" i="1" s="1"/>
  <c r="X840" i="1"/>
  <c r="Y840" i="1" s="1"/>
  <c r="AA840" i="1"/>
  <c r="Z840" i="1" s="1"/>
  <c r="X624" i="1" l="1"/>
  <c r="Y624" i="1" s="1"/>
  <c r="AA624" i="1"/>
  <c r="Z624" i="1" s="1"/>
  <c r="X424" i="1"/>
  <c r="Y424" i="1" s="1"/>
  <c r="AA424" i="1"/>
  <c r="Z424" i="1" s="1"/>
  <c r="X485" i="1"/>
  <c r="Y485" i="1" s="1"/>
  <c r="AA485" i="1"/>
  <c r="Z485" i="1" s="1"/>
  <c r="AA675" i="1"/>
  <c r="Z675" i="1" s="1"/>
  <c r="X675" i="1"/>
  <c r="Y675" i="1" s="1"/>
  <c r="W426" i="1"/>
  <c r="X997" i="1"/>
  <c r="Y997" i="1" s="1"/>
  <c r="AA997" i="1"/>
  <c r="Z997" i="1" s="1"/>
  <c r="AA486" i="1" l="1"/>
  <c r="Z486" i="1" s="1"/>
  <c r="X486" i="1"/>
  <c r="Y486" i="1" s="1"/>
  <c r="W427" i="1"/>
  <c r="X676" i="1"/>
  <c r="Y676" i="1" s="1"/>
  <c r="BE36" i="1" s="1"/>
  <c r="AA676" i="1"/>
  <c r="Z676" i="1" s="1"/>
  <c r="AA625" i="1"/>
  <c r="Z625" i="1" s="1"/>
  <c r="X625" i="1"/>
  <c r="Y625" i="1" s="1"/>
  <c r="X425" i="1"/>
  <c r="Y425" i="1" s="1"/>
  <c r="AA425" i="1"/>
  <c r="Z425" i="1" s="1"/>
  <c r="X837" i="1"/>
  <c r="Y837" i="1" s="1"/>
  <c r="AA837" i="1"/>
  <c r="Z837" i="1" s="1"/>
  <c r="X426" i="1" l="1"/>
  <c r="Y426" i="1" s="1"/>
  <c r="AA426" i="1"/>
  <c r="Z426" i="1" s="1"/>
  <c r="W428" i="1"/>
  <c r="AA487" i="1"/>
  <c r="Z487" i="1" s="1"/>
  <c r="X487" i="1"/>
  <c r="Y487" i="1" s="1"/>
  <c r="X677" i="1"/>
  <c r="Y677" i="1" s="1"/>
  <c r="AA677" i="1"/>
  <c r="Z677" i="1" s="1"/>
  <c r="X984" i="1"/>
  <c r="Y984" i="1" s="1"/>
  <c r="AA984" i="1"/>
  <c r="Z984" i="1" s="1"/>
  <c r="X427" i="1" l="1"/>
  <c r="Y427" i="1" s="1"/>
  <c r="AA427" i="1"/>
  <c r="Z427" i="1" s="1"/>
  <c r="W429" i="1"/>
  <c r="X488" i="1"/>
  <c r="Y488" i="1" s="1"/>
  <c r="AA488" i="1"/>
  <c r="Z488" i="1" s="1"/>
  <c r="AA678" i="1"/>
  <c r="Z678" i="1" s="1"/>
  <c r="X678" i="1"/>
  <c r="Y678" i="1" s="1"/>
  <c r="X835" i="1"/>
  <c r="Y835" i="1" s="1"/>
  <c r="AA835" i="1"/>
  <c r="Z835" i="1" s="1"/>
  <c r="X428" i="1" l="1"/>
  <c r="Y428" i="1" s="1"/>
  <c r="AA428" i="1"/>
  <c r="Z428" i="1" s="1"/>
  <c r="X489" i="1"/>
  <c r="Y489" i="1" s="1"/>
  <c r="AA489" i="1"/>
  <c r="Z489" i="1" s="1"/>
  <c r="W430" i="1"/>
  <c r="AA679" i="1"/>
  <c r="Z679" i="1" s="1"/>
  <c r="X679" i="1"/>
  <c r="Y679" i="1" s="1"/>
  <c r="X966" i="1"/>
  <c r="Y966" i="1" s="1"/>
  <c r="AA966" i="1"/>
  <c r="Z966" i="1" s="1"/>
  <c r="X680" i="1" l="1"/>
  <c r="Y680" i="1" s="1"/>
  <c r="AA680" i="1"/>
  <c r="Z680" i="1" s="1"/>
  <c r="X490" i="1"/>
  <c r="Y490" i="1" s="1"/>
  <c r="AA490" i="1"/>
  <c r="Z490" i="1" s="1"/>
  <c r="X429" i="1"/>
  <c r="Y429" i="1" s="1"/>
  <c r="AA429" i="1"/>
  <c r="Z429" i="1" s="1"/>
  <c r="W431" i="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470" i="1" s="1"/>
  <c r="W471" i="1" s="1"/>
  <c r="W472" i="1" s="1"/>
  <c r="W473" i="1" s="1"/>
  <c r="W474" i="1" s="1"/>
  <c r="W475" i="1" s="1"/>
  <c r="W476" i="1" s="1"/>
  <c r="W477" i="1" s="1"/>
  <c r="W478" i="1" s="1"/>
  <c r="W479" i="1" s="1"/>
  <c r="W480" i="1" s="1"/>
  <c r="W481" i="1" s="1"/>
  <c r="W482" i="1" s="1"/>
  <c r="W483" i="1" s="1"/>
  <c r="W484" i="1" s="1"/>
  <c r="W485" i="1" s="1"/>
  <c r="W486" i="1" s="1"/>
  <c r="W487" i="1" s="1"/>
  <c r="W488" i="1" s="1"/>
  <c r="W489" i="1" s="1"/>
  <c r="W490" i="1" s="1"/>
  <c r="W491" i="1" s="1"/>
  <c r="W492" i="1" s="1"/>
  <c r="X992" i="1"/>
  <c r="Y992" i="1" s="1"/>
  <c r="AA992" i="1"/>
  <c r="Z992" i="1" s="1"/>
  <c r="AA681" i="1" l="1"/>
  <c r="Z681" i="1" s="1"/>
  <c r="X681" i="1"/>
  <c r="Y681" i="1" s="1"/>
  <c r="X430" i="1"/>
  <c r="Y430" i="1" s="1"/>
  <c r="AA430" i="1"/>
  <c r="Z430" i="1" s="1"/>
  <c r="W493" i="1"/>
  <c r="X491" i="1"/>
  <c r="Y491" i="1" s="1"/>
  <c r="AA491" i="1"/>
  <c r="Z491" i="1" s="1"/>
  <c r="X960" i="1"/>
  <c r="Y960" i="1" s="1"/>
  <c r="AA960" i="1"/>
  <c r="Z960" i="1" s="1"/>
  <c r="AA431" i="1" l="1"/>
  <c r="Z431" i="1" s="1"/>
  <c r="X431" i="1"/>
  <c r="Y431" i="1" s="1"/>
  <c r="W494" i="1"/>
  <c r="X682" i="1"/>
  <c r="Y682" i="1" s="1"/>
  <c r="AA682" i="1"/>
  <c r="Z682" i="1" s="1"/>
  <c r="X492" i="1"/>
  <c r="Y492" i="1" s="1"/>
  <c r="AA492" i="1"/>
  <c r="Z492" i="1" s="1"/>
  <c r="X980" i="1"/>
  <c r="Y980" i="1" s="1"/>
  <c r="AA980" i="1"/>
  <c r="Z980" i="1" s="1"/>
  <c r="X493" i="1" l="1"/>
  <c r="Y493" i="1" s="1"/>
  <c r="AA493" i="1"/>
  <c r="Z493" i="1" s="1"/>
  <c r="W495" i="1"/>
  <c r="AA683" i="1"/>
  <c r="Z683" i="1" s="1"/>
  <c r="X683" i="1"/>
  <c r="Y683" i="1" s="1"/>
  <c r="X975" i="1"/>
  <c r="Y975" i="1" s="1"/>
  <c r="AA975" i="1"/>
  <c r="Z975" i="1" s="1"/>
  <c r="X684" i="1" l="1"/>
  <c r="Y684" i="1" s="1"/>
  <c r="AA684" i="1"/>
  <c r="Z684" i="1" s="1"/>
  <c r="W496" i="1"/>
  <c r="X494" i="1"/>
  <c r="Y494" i="1" s="1"/>
  <c r="AA494" i="1"/>
  <c r="Z494" i="1" s="1"/>
  <c r="X831" i="1"/>
  <c r="Y831" i="1" s="1"/>
  <c r="AA831" i="1"/>
  <c r="Z831" i="1" s="1"/>
  <c r="W497" i="1" l="1"/>
  <c r="X495" i="1"/>
  <c r="Y495" i="1" s="1"/>
  <c r="AA495" i="1"/>
  <c r="Z495" i="1" s="1"/>
  <c r="X685" i="1"/>
  <c r="Y685" i="1" s="1"/>
  <c r="AA685" i="1"/>
  <c r="Z685" i="1" s="1"/>
  <c r="X842" i="1"/>
  <c r="Y842" i="1" s="1"/>
  <c r="AA842" i="1"/>
  <c r="Z842" i="1" s="1"/>
  <c r="X496" i="1" l="1"/>
  <c r="Y496" i="1" s="1"/>
  <c r="AA496" i="1"/>
  <c r="Z496" i="1" s="1"/>
  <c r="W498" i="1"/>
  <c r="AA686" i="1"/>
  <c r="Z686" i="1" s="1"/>
  <c r="X686" i="1"/>
  <c r="Y686" i="1" s="1"/>
  <c r="X955" i="1"/>
  <c r="Y955" i="1" s="1"/>
  <c r="AA955" i="1"/>
  <c r="Z955" i="1" s="1"/>
  <c r="W499" i="1" l="1"/>
  <c r="X687" i="1"/>
  <c r="Y687" i="1" s="1"/>
  <c r="AA687" i="1"/>
  <c r="Z687" i="1" s="1"/>
  <c r="X497" i="1"/>
  <c r="Y497" i="1" s="1"/>
  <c r="AA497" i="1"/>
  <c r="Z497" i="1" s="1"/>
  <c r="X830" i="1"/>
  <c r="Y830" i="1" s="1"/>
  <c r="AA830" i="1"/>
  <c r="Z830" i="1" s="1"/>
  <c r="X498" i="1" l="1"/>
  <c r="Y498" i="1" s="1"/>
  <c r="AA498" i="1"/>
  <c r="Z498" i="1" s="1"/>
  <c r="X688" i="1"/>
  <c r="Y688" i="1" s="1"/>
  <c r="AA688" i="1"/>
  <c r="Z688" i="1" s="1"/>
  <c r="W500" i="1"/>
  <c r="X987" i="1"/>
  <c r="Y987" i="1" s="1"/>
  <c r="AA987" i="1"/>
  <c r="Z987" i="1" s="1"/>
  <c r="W501" i="1" l="1"/>
  <c r="X499" i="1"/>
  <c r="Y499" i="1" s="1"/>
  <c r="AA499" i="1"/>
  <c r="Z499" i="1" s="1"/>
  <c r="AA689" i="1"/>
  <c r="Z689" i="1" s="1"/>
  <c r="X689" i="1"/>
  <c r="Y689" i="1" s="1"/>
  <c r="X848" i="1"/>
  <c r="Y848" i="1" s="1"/>
  <c r="AA848" i="1"/>
  <c r="Z848" i="1" s="1"/>
  <c r="AA690" i="1" l="1"/>
  <c r="Z690" i="1" s="1"/>
  <c r="X690" i="1"/>
  <c r="Y690" i="1" s="1"/>
  <c r="X500" i="1"/>
  <c r="Y500" i="1" s="1"/>
  <c r="AA500" i="1"/>
  <c r="Z500" i="1" s="1"/>
  <c r="W502" i="1"/>
  <c r="X834" i="1"/>
  <c r="Y834" i="1" s="1"/>
  <c r="AA834" i="1"/>
  <c r="Z834" i="1" s="1"/>
  <c r="X501" i="1" l="1"/>
  <c r="Y501" i="1" s="1"/>
  <c r="AA501" i="1"/>
  <c r="Z501" i="1" s="1"/>
  <c r="AA691" i="1"/>
  <c r="Z691" i="1" s="1"/>
  <c r="X691" i="1"/>
  <c r="Y691" i="1" s="1"/>
  <c r="W503" i="1"/>
  <c r="X935" i="1"/>
  <c r="Y935" i="1" s="1"/>
  <c r="AA935" i="1"/>
  <c r="Z935" i="1" s="1"/>
  <c r="X692" i="1" l="1"/>
  <c r="Y692" i="1" s="1"/>
  <c r="AA692" i="1"/>
  <c r="Z692" i="1" s="1"/>
  <c r="W504" i="1"/>
  <c r="W505" i="1" s="1"/>
  <c r="W506" i="1" s="1"/>
  <c r="W507" i="1" s="1"/>
  <c r="W508" i="1" s="1"/>
  <c r="W509" i="1" s="1"/>
  <c r="W510" i="1" s="1"/>
  <c r="W511" i="1" s="1"/>
  <c r="W512" i="1" s="1"/>
  <c r="W513" i="1" s="1"/>
  <c r="W514" i="1" s="1"/>
  <c r="W515" i="1" s="1"/>
  <c r="W516" i="1" s="1"/>
  <c r="W517" i="1" s="1"/>
  <c r="W518" i="1" s="1"/>
  <c r="W519" i="1" s="1"/>
  <c r="W520" i="1" s="1"/>
  <c r="W521" i="1" s="1"/>
  <c r="W522" i="1" s="1"/>
  <c r="W523" i="1" s="1"/>
  <c r="W524" i="1" s="1"/>
  <c r="W525" i="1" s="1"/>
  <c r="W526" i="1" s="1"/>
  <c r="W527" i="1" s="1"/>
  <c r="W528" i="1" s="1"/>
  <c r="W529" i="1" s="1"/>
  <c r="W530" i="1" s="1"/>
  <c r="W531" i="1" s="1"/>
  <c r="W532" i="1" s="1"/>
  <c r="W533" i="1" s="1"/>
  <c r="W534" i="1" s="1"/>
  <c r="W535" i="1" s="1"/>
  <c r="W536" i="1" s="1"/>
  <c r="W537" i="1" s="1"/>
  <c r="W538" i="1" s="1"/>
  <c r="W539" i="1" s="1"/>
  <c r="W540" i="1" s="1"/>
  <c r="W541" i="1" s="1"/>
  <c r="W542" i="1" s="1"/>
  <c r="W543" i="1" s="1"/>
  <c r="W544" i="1" s="1"/>
  <c r="W545" i="1" s="1"/>
  <c r="W546" i="1" s="1"/>
  <c r="W547" i="1" s="1"/>
  <c r="W548" i="1" s="1"/>
  <c r="W549" i="1" s="1"/>
  <c r="W550" i="1" s="1"/>
  <c r="W551" i="1" s="1"/>
  <c r="W552" i="1" s="1"/>
  <c r="W553" i="1" s="1"/>
  <c r="W554" i="1" s="1"/>
  <c r="W555" i="1" s="1"/>
  <c r="W556" i="1" s="1"/>
  <c r="W557" i="1" s="1"/>
  <c r="W558" i="1" s="1"/>
  <c r="W559" i="1" s="1"/>
  <c r="W560" i="1" s="1"/>
  <c r="W561" i="1" s="1"/>
  <c r="W562" i="1" s="1"/>
  <c r="W563" i="1" s="1"/>
  <c r="W564" i="1" s="1"/>
  <c r="W565" i="1" s="1"/>
  <c r="W566" i="1" s="1"/>
  <c r="W567" i="1" s="1"/>
  <c r="W568" i="1" s="1"/>
  <c r="W569" i="1" s="1"/>
  <c r="W570" i="1" s="1"/>
  <c r="W571" i="1" s="1"/>
  <c r="W572" i="1" s="1"/>
  <c r="W573" i="1" s="1"/>
  <c r="W574" i="1" s="1"/>
  <c r="W575" i="1" s="1"/>
  <c r="W576" i="1" s="1"/>
  <c r="W577" i="1" s="1"/>
  <c r="W578" i="1" s="1"/>
  <c r="W579" i="1" s="1"/>
  <c r="W580" i="1" s="1"/>
  <c r="W581" i="1" s="1"/>
  <c r="W582" i="1" s="1"/>
  <c r="W583" i="1" s="1"/>
  <c r="W584" i="1" s="1"/>
  <c r="W585" i="1" s="1"/>
  <c r="W586" i="1" s="1"/>
  <c r="W587" i="1" s="1"/>
  <c r="W588" i="1" s="1"/>
  <c r="W589" i="1" s="1"/>
  <c r="W590" i="1" s="1"/>
  <c r="W591" i="1" s="1"/>
  <c r="W592" i="1" s="1"/>
  <c r="W593" i="1" s="1"/>
  <c r="W594" i="1" s="1"/>
  <c r="W595" i="1" s="1"/>
  <c r="W596" i="1" s="1"/>
  <c r="W597" i="1" s="1"/>
  <c r="W598" i="1" s="1"/>
  <c r="W599" i="1" s="1"/>
  <c r="W600" i="1" s="1"/>
  <c r="W601" i="1" s="1"/>
  <c r="W602" i="1" s="1"/>
  <c r="W603" i="1" s="1"/>
  <c r="W604" i="1" s="1"/>
  <c r="W605" i="1" s="1"/>
  <c r="W606" i="1" s="1"/>
  <c r="W607" i="1" s="1"/>
  <c r="W608" i="1" s="1"/>
  <c r="W609" i="1" s="1"/>
  <c r="W610" i="1" s="1"/>
  <c r="W611" i="1" s="1"/>
  <c r="W612" i="1" s="1"/>
  <c r="W613" i="1" s="1"/>
  <c r="W614" i="1" s="1"/>
  <c r="W615" i="1" s="1"/>
  <c r="W616" i="1" s="1"/>
  <c r="W617" i="1" s="1"/>
  <c r="W618" i="1" s="1"/>
  <c r="W619" i="1" s="1"/>
  <c r="W620" i="1" s="1"/>
  <c r="W621" i="1" s="1"/>
  <c r="W622" i="1" s="1"/>
  <c r="W623" i="1" s="1"/>
  <c r="W624" i="1" s="1"/>
  <c r="W625" i="1" s="1"/>
  <c r="W626" i="1" s="1"/>
  <c r="W627" i="1" s="1"/>
  <c r="W628" i="1" s="1"/>
  <c r="W629" i="1" s="1"/>
  <c r="W630" i="1" s="1"/>
  <c r="W631" i="1" s="1"/>
  <c r="W632" i="1" s="1"/>
  <c r="W633" i="1" s="1"/>
  <c r="W634" i="1" s="1"/>
  <c r="W635" i="1" s="1"/>
  <c r="W636" i="1" s="1"/>
  <c r="W637" i="1" s="1"/>
  <c r="W638" i="1" s="1"/>
  <c r="W639" i="1" s="1"/>
  <c r="W640" i="1" s="1"/>
  <c r="W641" i="1" s="1"/>
  <c r="W642" i="1" s="1"/>
  <c r="W643" i="1" s="1"/>
  <c r="W644" i="1" s="1"/>
  <c r="W645" i="1" s="1"/>
  <c r="W646" i="1" s="1"/>
  <c r="W647" i="1" s="1"/>
  <c r="W648" i="1" s="1"/>
  <c r="W649" i="1" s="1"/>
  <c r="W650" i="1" s="1"/>
  <c r="W651" i="1" s="1"/>
  <c r="W652" i="1" s="1"/>
  <c r="W653" i="1" s="1"/>
  <c r="W654" i="1" s="1"/>
  <c r="W655" i="1" s="1"/>
  <c r="W656" i="1" s="1"/>
  <c r="W657" i="1" s="1"/>
  <c r="W658" i="1" s="1"/>
  <c r="W659" i="1" s="1"/>
  <c r="W660" i="1" s="1"/>
  <c r="W661" i="1" s="1"/>
  <c r="W662" i="1" s="1"/>
  <c r="W663" i="1" s="1"/>
  <c r="W664" i="1" s="1"/>
  <c r="W665" i="1" s="1"/>
  <c r="W666" i="1" s="1"/>
  <c r="W667" i="1" s="1"/>
  <c r="W668" i="1" s="1"/>
  <c r="W669" i="1" s="1"/>
  <c r="W670" i="1" s="1"/>
  <c r="W671" i="1" s="1"/>
  <c r="W672" i="1" s="1"/>
  <c r="W673" i="1" s="1"/>
  <c r="W674" i="1" s="1"/>
  <c r="W675" i="1" s="1"/>
  <c r="W676" i="1" s="1"/>
  <c r="W677" i="1" s="1"/>
  <c r="W678" i="1" s="1"/>
  <c r="W679" i="1" s="1"/>
  <c r="W680" i="1" s="1"/>
  <c r="W681" i="1" s="1"/>
  <c r="W682" i="1" s="1"/>
  <c r="W683" i="1" s="1"/>
  <c r="W684" i="1" s="1"/>
  <c r="W685" i="1" s="1"/>
  <c r="W686" i="1" s="1"/>
  <c r="W687" i="1" s="1"/>
  <c r="W688" i="1" s="1"/>
  <c r="W689" i="1" s="1"/>
  <c r="W690" i="1" s="1"/>
  <c r="W691" i="1" s="1"/>
  <c r="W692" i="1" s="1"/>
  <c r="W693" i="1" s="1"/>
  <c r="W694" i="1" s="1"/>
  <c r="X502" i="1"/>
  <c r="Y502" i="1" s="1"/>
  <c r="AA502" i="1"/>
  <c r="Z502" i="1" s="1"/>
  <c r="X962" i="1"/>
  <c r="Y962" i="1" s="1"/>
  <c r="AA962" i="1"/>
  <c r="Z962" i="1" s="1"/>
  <c r="X693" i="1" l="1"/>
  <c r="Y693" i="1" s="1"/>
  <c r="AA693" i="1"/>
  <c r="Z693" i="1" s="1"/>
  <c r="W695" i="1"/>
  <c r="X849" i="1"/>
  <c r="Y849" i="1" s="1"/>
  <c r="AA849" i="1"/>
  <c r="Z849" i="1" s="1"/>
  <c r="X694" i="1" l="1"/>
  <c r="Y694" i="1" s="1"/>
  <c r="AA694" i="1"/>
  <c r="Z694" i="1" s="1"/>
  <c r="W696" i="1"/>
  <c r="AA504" i="1"/>
  <c r="Z504" i="1" s="1"/>
  <c r="X504" i="1"/>
  <c r="Y504" i="1" s="1"/>
  <c r="BE6" i="1" s="1"/>
  <c r="X1006" i="1"/>
  <c r="Y1006" i="1" s="1"/>
  <c r="AA1006" i="1"/>
  <c r="Z1006" i="1" s="1"/>
  <c r="AA695" i="1" l="1"/>
  <c r="Z695" i="1" s="1"/>
  <c r="X695" i="1"/>
  <c r="Y695" i="1" s="1"/>
  <c r="W697" i="1"/>
  <c r="X832" i="1"/>
  <c r="Y832" i="1" s="1"/>
  <c r="AA832" i="1"/>
  <c r="Z832" i="1" s="1"/>
  <c r="W698" i="1" l="1"/>
  <c r="X696" i="1"/>
  <c r="Y696" i="1" s="1"/>
  <c r="AA696" i="1"/>
  <c r="Z696" i="1" s="1"/>
  <c r="X1026" i="1"/>
  <c r="Y1026" i="1" s="1"/>
  <c r="AA1026" i="1"/>
  <c r="Z1026" i="1" s="1"/>
  <c r="X697" i="1" l="1"/>
  <c r="Y697" i="1" s="1"/>
  <c r="AA697" i="1"/>
  <c r="Z697" i="1" s="1"/>
  <c r="W699" i="1"/>
  <c r="X915" i="1"/>
  <c r="Y915" i="1" s="1"/>
  <c r="AA915" i="1"/>
  <c r="Z915" i="1" s="1"/>
  <c r="X698" i="1" l="1"/>
  <c r="Y698" i="1" s="1"/>
  <c r="AA698" i="1"/>
  <c r="Z698" i="1" s="1"/>
  <c r="W700" i="1"/>
  <c r="X906" i="1"/>
  <c r="Y906" i="1" s="1"/>
  <c r="AA906" i="1"/>
  <c r="Z906" i="1" s="1"/>
  <c r="AA699" i="1" l="1"/>
  <c r="Z699" i="1" s="1"/>
  <c r="X699" i="1"/>
  <c r="Y699" i="1" s="1"/>
  <c r="W701" i="1"/>
  <c r="X964" i="1"/>
  <c r="Y964" i="1" s="1"/>
  <c r="AA964" i="1"/>
  <c r="Z964" i="1" s="1"/>
  <c r="W702" i="1" l="1"/>
  <c r="X1066" i="1"/>
  <c r="Y1066" i="1" s="1"/>
  <c r="AA1066" i="1"/>
  <c r="Z1066" i="1" s="1"/>
  <c r="X700" i="1"/>
  <c r="Y700" i="1" s="1"/>
  <c r="AA700" i="1"/>
  <c r="Z700" i="1" s="1"/>
  <c r="X701" i="1" l="1"/>
  <c r="Y701" i="1" s="1"/>
  <c r="AA701" i="1"/>
  <c r="Z701" i="1" s="1"/>
  <c r="X1082" i="1"/>
  <c r="Y1082" i="1" s="1"/>
  <c r="AA1082" i="1"/>
  <c r="Z1082" i="1" s="1"/>
  <c r="W703" i="1"/>
  <c r="X702" i="1" l="1"/>
  <c r="Y702" i="1" s="1"/>
  <c r="AA702" i="1"/>
  <c r="Z702" i="1" s="1"/>
  <c r="W704" i="1"/>
  <c r="AA1080" i="1"/>
  <c r="Z1080" i="1" s="1"/>
  <c r="X1080" i="1"/>
  <c r="Y1080" i="1" s="1"/>
  <c r="W705" i="1" l="1"/>
  <c r="AA1076" i="1"/>
  <c r="Z1076" i="1" s="1"/>
  <c r="X1076" i="1"/>
  <c r="Y1076" i="1" s="1"/>
  <c r="AA703" i="1"/>
  <c r="Z703" i="1" s="1"/>
  <c r="X703" i="1"/>
  <c r="Y703" i="1" s="1"/>
  <c r="X1077" i="1" l="1"/>
  <c r="Y1077" i="1" s="1"/>
  <c r="AA1077" i="1"/>
  <c r="Z1077" i="1" s="1"/>
  <c r="X704" i="1"/>
  <c r="Y704" i="1" s="1"/>
  <c r="AA704" i="1"/>
  <c r="Z704" i="1" s="1"/>
  <c r="W706" i="1"/>
  <c r="X705" i="1" l="1"/>
  <c r="Y705" i="1" s="1"/>
  <c r="BE41" i="1" s="1"/>
  <c r="AA705" i="1"/>
  <c r="Z705" i="1" s="1"/>
  <c r="W707" i="1"/>
  <c r="X1075" i="1"/>
  <c r="Y1075" i="1" s="1"/>
  <c r="AA1075" i="1"/>
  <c r="Z1075" i="1" s="1"/>
  <c r="W708" i="1" l="1"/>
  <c r="AA1078" i="1"/>
  <c r="Z1078" i="1" s="1"/>
  <c r="X1078" i="1"/>
  <c r="Y1078" i="1" s="1"/>
  <c r="X706" i="1"/>
  <c r="Y706" i="1" s="1"/>
  <c r="AA706" i="1"/>
  <c r="Z706" i="1" s="1"/>
  <c r="X1079" i="1" l="1"/>
  <c r="Y1079" i="1" s="1"/>
  <c r="AA1079" i="1"/>
  <c r="Z1079" i="1" s="1"/>
  <c r="X707" i="1"/>
  <c r="Y707" i="1" s="1"/>
  <c r="AA707" i="1"/>
  <c r="Z707" i="1" s="1"/>
  <c r="W709" i="1"/>
  <c r="AA708" i="1" l="1"/>
  <c r="Z708" i="1" s="1"/>
  <c r="X708" i="1"/>
  <c r="Y708" i="1" s="1"/>
  <c r="AA1074" i="1"/>
  <c r="Z1074" i="1" s="1"/>
  <c r="X1074" i="1"/>
  <c r="Y1074" i="1" s="1"/>
  <c r="W710" i="1"/>
  <c r="X709" i="1" l="1"/>
  <c r="Y709" i="1" s="1"/>
  <c r="AA709" i="1"/>
  <c r="Z709" i="1" s="1"/>
  <c r="X1083" i="1"/>
  <c r="Y1083" i="1" s="1"/>
  <c r="AA1083" i="1"/>
  <c r="Z1083" i="1" s="1"/>
  <c r="W711" i="1"/>
  <c r="W712" i="1" l="1"/>
  <c r="X1072" i="1"/>
  <c r="Y1072" i="1" s="1"/>
  <c r="AA1072" i="1"/>
  <c r="Z1072" i="1" s="1"/>
  <c r="X710" i="1"/>
  <c r="Y710" i="1" s="1"/>
  <c r="AA710" i="1"/>
  <c r="Z710" i="1" s="1"/>
  <c r="X711" i="1" l="1"/>
  <c r="Y711" i="1" s="1"/>
  <c r="AA711" i="1"/>
  <c r="Z711" i="1" s="1"/>
  <c r="AA1070" i="1"/>
  <c r="Z1070" i="1" s="1"/>
  <c r="X1070" i="1"/>
  <c r="Y1070" i="1" s="1"/>
  <c r="W713" i="1"/>
  <c r="X712" i="1" l="1"/>
  <c r="Y712" i="1" s="1"/>
  <c r="AA712" i="1"/>
  <c r="Z712" i="1" s="1"/>
  <c r="W714" i="1"/>
  <c r="AA1071" i="1"/>
  <c r="Z1071" i="1" s="1"/>
  <c r="X1071" i="1"/>
  <c r="Y1071" i="1" s="1"/>
  <c r="AA1069" i="1" l="1"/>
  <c r="Z1069" i="1" s="1"/>
  <c r="X1069" i="1"/>
  <c r="Y1069" i="1" s="1"/>
  <c r="AA713" i="1"/>
  <c r="Z713" i="1" s="1"/>
  <c r="X713" i="1"/>
  <c r="Y713" i="1" s="1"/>
  <c r="W715" i="1"/>
  <c r="X1068" i="1" l="1"/>
  <c r="Y1068" i="1" s="1"/>
  <c r="AA1068" i="1"/>
  <c r="Z1068" i="1" s="1"/>
  <c r="W716" i="1"/>
  <c r="X714" i="1"/>
  <c r="Y714" i="1" s="1"/>
  <c r="AA714" i="1"/>
  <c r="Z714" i="1" s="1"/>
  <c r="W717" i="1" l="1"/>
  <c r="AA1067" i="1"/>
  <c r="Z1067" i="1" s="1"/>
  <c r="X1067" i="1"/>
  <c r="Y1067" i="1" s="1"/>
  <c r="AA715" i="1"/>
  <c r="Z715" i="1" s="1"/>
  <c r="X715" i="1"/>
  <c r="Y715" i="1" s="1"/>
  <c r="X716" i="1" l="1"/>
  <c r="Y716" i="1" s="1"/>
  <c r="AA716" i="1"/>
  <c r="Z716" i="1" s="1"/>
  <c r="X1081" i="1"/>
  <c r="Y1081" i="1" s="1"/>
  <c r="AA1081" i="1"/>
  <c r="Z1081" i="1" s="1"/>
  <c r="W718" i="1"/>
  <c r="BN74" i="1" l="1"/>
  <c r="X717" i="1"/>
  <c r="Y717" i="1" s="1"/>
  <c r="AA717" i="1"/>
  <c r="Z717" i="1" s="1"/>
  <c r="W719" i="1"/>
  <c r="X1073" i="1"/>
  <c r="Y1073" i="1" s="1"/>
  <c r="AA1073" i="1"/>
  <c r="Z1073" i="1" s="1"/>
  <c r="W720" i="1" l="1"/>
  <c r="X1065" i="1"/>
  <c r="Y1065" i="1" s="1"/>
  <c r="AA1065" i="1"/>
  <c r="Z1065" i="1" s="1"/>
  <c r="X718" i="1"/>
  <c r="Y718" i="1" s="1"/>
  <c r="AA718" i="1"/>
  <c r="Z718" i="1" s="1"/>
  <c r="X719" i="1" l="1"/>
  <c r="Y719" i="1" s="1"/>
  <c r="AA719" i="1"/>
  <c r="Z719" i="1" s="1"/>
  <c r="AA1064" i="1"/>
  <c r="Z1064" i="1" s="1"/>
  <c r="X1064" i="1"/>
  <c r="Y1064" i="1" s="1"/>
  <c r="W721" i="1"/>
  <c r="X1063" i="1" l="1"/>
  <c r="Y1063" i="1" s="1"/>
  <c r="AA1063" i="1"/>
  <c r="Z1063" i="1" s="1"/>
  <c r="X720" i="1"/>
  <c r="Y720" i="1" s="1"/>
  <c r="AA720" i="1"/>
  <c r="Z720" i="1" s="1"/>
  <c r="W722" i="1"/>
  <c r="AA721" i="1" l="1"/>
  <c r="Z721" i="1" s="1"/>
  <c r="X721" i="1"/>
  <c r="Y721" i="1" s="1"/>
  <c r="W723" i="1"/>
  <c r="AA1062" i="1"/>
  <c r="Z1062" i="1" s="1"/>
  <c r="X1062" i="1"/>
  <c r="Y1062" i="1" s="1"/>
  <c r="AA1060" i="1" l="1"/>
  <c r="Z1060" i="1" s="1"/>
  <c r="X1060" i="1"/>
  <c r="Y1060" i="1" s="1"/>
  <c r="W724" i="1"/>
  <c r="X722" i="1"/>
  <c r="Y722" i="1" s="1"/>
  <c r="AA722" i="1"/>
  <c r="Z722" i="1" s="1"/>
  <c r="X1061" i="1" l="1"/>
  <c r="Y1061" i="1" s="1"/>
  <c r="AA1061" i="1"/>
  <c r="Z1061" i="1" s="1"/>
  <c r="X723" i="1"/>
  <c r="Y723" i="1" s="1"/>
  <c r="AA723" i="1"/>
  <c r="Z723" i="1" s="1"/>
  <c r="W725" i="1"/>
  <c r="W726" i="1" l="1"/>
  <c r="AA1086" i="1"/>
  <c r="Z1086" i="1" s="1"/>
  <c r="X1086" i="1"/>
  <c r="Y1086" i="1" s="1"/>
  <c r="AA724" i="1"/>
  <c r="Z724" i="1" s="1"/>
  <c r="X724" i="1"/>
  <c r="Y724" i="1" s="1"/>
  <c r="X725" i="1" l="1"/>
  <c r="Y725" i="1" s="1"/>
  <c r="AA725" i="1"/>
  <c r="Z725" i="1" s="1"/>
  <c r="X1085" i="1"/>
  <c r="Y1085" i="1" s="1"/>
  <c r="AA1085" i="1"/>
  <c r="Z1085" i="1" s="1"/>
  <c r="W727" i="1"/>
  <c r="X726" i="1" l="1"/>
  <c r="Y726" i="1" s="1"/>
  <c r="AA726" i="1"/>
  <c r="Z726" i="1" s="1"/>
  <c r="X1084" i="1"/>
  <c r="Y1084" i="1" s="1"/>
  <c r="AA1084" i="1"/>
  <c r="Z1084" i="1" s="1"/>
  <c r="W728" i="1"/>
  <c r="X1087" i="1" l="1"/>
  <c r="Y1087" i="1" s="1"/>
  <c r="AA1087" i="1"/>
  <c r="Z1087" i="1" s="1"/>
  <c r="W729" i="1"/>
  <c r="X727" i="1"/>
  <c r="Y727" i="1" s="1"/>
  <c r="AA727" i="1"/>
  <c r="Z727" i="1" s="1"/>
  <c r="W730" i="1" l="1"/>
  <c r="X728" i="1"/>
  <c r="Y728" i="1" s="1"/>
  <c r="AA728" i="1"/>
  <c r="Z728" i="1" s="1"/>
  <c r="X1088" i="1"/>
  <c r="Y1088" i="1" s="1"/>
  <c r="AA1088" i="1"/>
  <c r="Z1088" i="1" s="1"/>
  <c r="BD75" i="1" l="1"/>
  <c r="W731" i="1"/>
  <c r="X729" i="1"/>
  <c r="Y729" i="1" s="1"/>
  <c r="BE65" i="1" s="1"/>
  <c r="AA729" i="1"/>
  <c r="Z729" i="1" s="1"/>
  <c r="X1089" i="1"/>
  <c r="Y1089" i="1" s="1"/>
  <c r="AA1089" i="1"/>
  <c r="Z1089" i="1" s="1"/>
  <c r="X730" i="1" l="1"/>
  <c r="Y730" i="1" s="1"/>
  <c r="AA730" i="1"/>
  <c r="Z730" i="1" s="1"/>
  <c r="X1090" i="1"/>
  <c r="Y1090" i="1" s="1"/>
  <c r="AA1090" i="1"/>
  <c r="Z1090" i="1" s="1"/>
  <c r="W732" i="1"/>
  <c r="X1091" i="1" l="1"/>
  <c r="Y1091" i="1" s="1"/>
  <c r="AA1091" i="1"/>
  <c r="Z1091" i="1" s="1"/>
  <c r="X731" i="1"/>
  <c r="Y731" i="1" s="1"/>
  <c r="AA731" i="1"/>
  <c r="Z731" i="1" s="1"/>
  <c r="W733" i="1"/>
  <c r="W734" i="1" l="1"/>
  <c r="X1092" i="1"/>
  <c r="Y1092" i="1" s="1"/>
  <c r="AA1092" i="1"/>
  <c r="Z1092" i="1" s="1"/>
  <c r="X732" i="1"/>
  <c r="Y732" i="1" s="1"/>
  <c r="AA732" i="1"/>
  <c r="Z732" i="1" s="1"/>
  <c r="AA733" i="1" l="1"/>
  <c r="Z733" i="1" s="1"/>
  <c r="X733" i="1"/>
  <c r="Y733" i="1" s="1"/>
  <c r="X1093" i="1"/>
  <c r="Y1093" i="1" s="1"/>
  <c r="AA1093" i="1"/>
  <c r="Z1093" i="1" s="1"/>
  <c r="W735" i="1"/>
  <c r="X734" i="1" l="1"/>
  <c r="Y734" i="1" s="1"/>
  <c r="AA734" i="1"/>
  <c r="Z734" i="1" s="1"/>
  <c r="W736" i="1"/>
  <c r="X1094" i="1"/>
  <c r="Y1094" i="1" s="1"/>
  <c r="AA1094" i="1"/>
  <c r="Z1094" i="1" s="1"/>
  <c r="X735" i="1" l="1"/>
  <c r="Y735" i="1" s="1"/>
  <c r="AA735" i="1"/>
  <c r="Z735" i="1" s="1"/>
  <c r="W737" i="1"/>
  <c r="X1095" i="1"/>
  <c r="Y1095" i="1" s="1"/>
  <c r="AA1095" i="1"/>
  <c r="Z1095" i="1" s="1"/>
  <c r="W738" i="1" l="1"/>
  <c r="X1096" i="1"/>
  <c r="Y1096" i="1" s="1"/>
  <c r="AA1096" i="1"/>
  <c r="Z1096" i="1" s="1"/>
  <c r="X736" i="1"/>
  <c r="Y736" i="1" s="1"/>
  <c r="AA736" i="1"/>
  <c r="Z736" i="1" s="1"/>
  <c r="X1097" i="1" l="1"/>
  <c r="Y1097" i="1" s="1"/>
  <c r="AA1097" i="1"/>
  <c r="Z1097" i="1" s="1"/>
  <c r="X737" i="1"/>
  <c r="Y737" i="1" s="1"/>
  <c r="AA737" i="1"/>
  <c r="Z737" i="1" s="1"/>
  <c r="W739" i="1"/>
  <c r="X738" i="1" l="1"/>
  <c r="Y738" i="1" s="1"/>
  <c r="AA738" i="1"/>
  <c r="Z738" i="1" s="1"/>
  <c r="W740" i="1"/>
  <c r="X1098" i="1"/>
  <c r="Y1098" i="1" s="1"/>
  <c r="AA1098" i="1"/>
  <c r="Z1098" i="1" s="1"/>
  <c r="W741" i="1" l="1"/>
  <c r="X1099" i="1"/>
  <c r="Y1099" i="1" s="1"/>
  <c r="AA1099" i="1"/>
  <c r="Z1099" i="1" s="1"/>
  <c r="X739" i="1"/>
  <c r="Y739" i="1" s="1"/>
  <c r="AA739" i="1"/>
  <c r="Z739" i="1" s="1"/>
  <c r="X1100" i="1" l="1"/>
  <c r="Y1100" i="1" s="1"/>
  <c r="AA1100" i="1"/>
  <c r="Z1100" i="1" s="1"/>
  <c r="X740" i="1"/>
  <c r="Y740" i="1" s="1"/>
  <c r="AA740" i="1"/>
  <c r="Z740" i="1" s="1"/>
  <c r="W742" i="1"/>
  <c r="AA741" i="1" l="1"/>
  <c r="Z741" i="1" s="1"/>
  <c r="X741" i="1"/>
  <c r="Y741" i="1" s="1"/>
  <c r="W743" i="1"/>
  <c r="X1101" i="1"/>
  <c r="Y1101" i="1" s="1"/>
  <c r="AA1101" i="1"/>
  <c r="Z1101" i="1" s="1"/>
  <c r="W744" i="1" l="1"/>
  <c r="X1102" i="1"/>
  <c r="Y1102" i="1" s="1"/>
  <c r="AA1102" i="1"/>
  <c r="Z1102" i="1" s="1"/>
  <c r="AA742" i="1"/>
  <c r="Z742" i="1" s="1"/>
  <c r="X742" i="1"/>
  <c r="Y742" i="1" s="1"/>
  <c r="BD22" i="1" l="1"/>
  <c r="BD12" i="1"/>
  <c r="BM74" i="1"/>
  <c r="X743" i="1"/>
  <c r="Y743" i="1" s="1"/>
  <c r="AA743" i="1"/>
  <c r="Z743" i="1" s="1"/>
  <c r="W745" i="1"/>
  <c r="W746" i="1" l="1"/>
  <c r="X744" i="1"/>
  <c r="Y744" i="1" s="1"/>
  <c r="AA744" i="1"/>
  <c r="Z744" i="1" s="1"/>
  <c r="X745" i="1" l="1"/>
  <c r="Y745" i="1" s="1"/>
  <c r="AA745" i="1"/>
  <c r="Z745" i="1" s="1"/>
  <c r="W747" i="1"/>
  <c r="X746" i="1" l="1"/>
  <c r="Y746" i="1" s="1"/>
  <c r="BE69" i="1" s="1"/>
  <c r="AA746" i="1"/>
  <c r="Z746" i="1" s="1"/>
  <c r="W748" i="1"/>
  <c r="X747" i="1" l="1"/>
  <c r="Y747" i="1" s="1"/>
  <c r="AA747" i="1"/>
  <c r="Z747" i="1" s="1"/>
  <c r="W749" i="1"/>
  <c r="W750" i="1" l="1"/>
  <c r="X748" i="1"/>
  <c r="Y748" i="1" s="1"/>
  <c r="AA748" i="1"/>
  <c r="Z748" i="1" s="1"/>
  <c r="AA749" i="1" l="1"/>
  <c r="Z749" i="1" s="1"/>
  <c r="X749" i="1"/>
  <c r="Y749" i="1" s="1"/>
  <c r="W751" i="1"/>
  <c r="X750" i="1" l="1"/>
  <c r="Y750" i="1" s="1"/>
  <c r="AA750" i="1"/>
  <c r="Z750" i="1" s="1"/>
  <c r="W752" i="1"/>
  <c r="X751" i="1" l="1"/>
  <c r="Y751" i="1" s="1"/>
  <c r="AA751" i="1"/>
  <c r="Z751" i="1" s="1"/>
  <c r="W753" i="1"/>
  <c r="AA752" i="1" l="1"/>
  <c r="Z752" i="1" s="1"/>
  <c r="X752" i="1"/>
  <c r="Y752" i="1" s="1"/>
  <c r="W754" i="1"/>
  <c r="W755" i="1" l="1"/>
  <c r="X753" i="1"/>
  <c r="Y753" i="1" s="1"/>
  <c r="AA753" i="1"/>
  <c r="Z753" i="1" s="1"/>
  <c r="AA754" i="1" l="1"/>
  <c r="Z754" i="1" s="1"/>
  <c r="X754" i="1"/>
  <c r="Y754" i="1" s="1"/>
  <c r="W756" i="1"/>
  <c r="X755" i="1" l="1"/>
  <c r="Y755" i="1" s="1"/>
  <c r="AA755" i="1"/>
  <c r="Z755" i="1" s="1"/>
  <c r="W757" i="1"/>
  <c r="W758" i="1" l="1"/>
  <c r="AA756" i="1"/>
  <c r="Z756" i="1" s="1"/>
  <c r="X756" i="1"/>
  <c r="Y756" i="1" s="1"/>
  <c r="AA757" i="1" l="1"/>
  <c r="Z757" i="1" s="1"/>
  <c r="X757" i="1"/>
  <c r="Y757" i="1" s="1"/>
  <c r="W759" i="1"/>
  <c r="X758" i="1" l="1"/>
  <c r="Y758" i="1" s="1"/>
  <c r="AA758" i="1"/>
  <c r="Z758" i="1" s="1"/>
  <c r="W760" i="1"/>
  <c r="AA759" i="1" l="1"/>
  <c r="Z759" i="1" s="1"/>
  <c r="X759" i="1"/>
  <c r="Y759" i="1" s="1"/>
  <c r="W761" i="1"/>
  <c r="W762" i="1" l="1"/>
  <c r="AA760" i="1"/>
  <c r="Z760" i="1" s="1"/>
  <c r="X760" i="1"/>
  <c r="Y760" i="1" s="1"/>
  <c r="X761" i="1" l="1"/>
  <c r="Y761" i="1" s="1"/>
  <c r="AA761" i="1"/>
  <c r="Z761" i="1" s="1"/>
  <c r="W763" i="1"/>
  <c r="X762" i="1" l="1"/>
  <c r="Y762" i="1" s="1"/>
  <c r="AA762" i="1"/>
  <c r="Z762" i="1" s="1"/>
  <c r="W764" i="1"/>
  <c r="W765" i="1" l="1"/>
  <c r="X763" i="1"/>
  <c r="Y763" i="1" s="1"/>
  <c r="AA763" i="1"/>
  <c r="Z763" i="1" s="1"/>
  <c r="AA764" i="1" l="1"/>
  <c r="Z764" i="1" s="1"/>
  <c r="X764" i="1"/>
  <c r="Y764" i="1" s="1"/>
  <c r="W766" i="1"/>
  <c r="X765" i="1" l="1"/>
  <c r="Y765" i="1" s="1"/>
  <c r="AA765" i="1"/>
  <c r="Z765" i="1" s="1"/>
  <c r="W767" i="1"/>
  <c r="AA766" i="1" l="1"/>
  <c r="Z766" i="1" s="1"/>
  <c r="X766" i="1"/>
  <c r="Y766" i="1" s="1"/>
  <c r="W768" i="1"/>
  <c r="X767" i="1" l="1"/>
  <c r="Y767" i="1" s="1"/>
  <c r="AA767" i="1"/>
  <c r="Z767" i="1" s="1"/>
  <c r="W769" i="1"/>
  <c r="X768" i="1" l="1"/>
  <c r="Y768" i="1" s="1"/>
  <c r="AA768" i="1"/>
  <c r="Z768" i="1" s="1"/>
  <c r="W770" i="1"/>
  <c r="AA769" i="1" l="1"/>
  <c r="Z769" i="1" s="1"/>
  <c r="X769" i="1"/>
  <c r="Y769" i="1" s="1"/>
  <c r="W771" i="1"/>
  <c r="X770" i="1" l="1"/>
  <c r="Y770" i="1" s="1"/>
  <c r="AA770" i="1"/>
  <c r="Z770" i="1" s="1"/>
  <c r="W772" i="1"/>
  <c r="X771" i="1" l="1"/>
  <c r="Y771" i="1" s="1"/>
  <c r="AA771" i="1"/>
  <c r="Z771" i="1" s="1"/>
  <c r="W773" i="1"/>
  <c r="W774" i="1" l="1"/>
  <c r="X772" i="1"/>
  <c r="Y772" i="1" s="1"/>
  <c r="AA772" i="1"/>
  <c r="Z772" i="1" s="1"/>
  <c r="X773" i="1" l="1"/>
  <c r="Y773" i="1" s="1"/>
  <c r="AA773" i="1"/>
  <c r="Z773" i="1" s="1"/>
  <c r="W775" i="1"/>
  <c r="X774" i="1" l="1"/>
  <c r="Y774" i="1" s="1"/>
  <c r="AA774" i="1"/>
  <c r="Z774" i="1" s="1"/>
  <c r="W776" i="1"/>
  <c r="W777" i="1" l="1"/>
  <c r="AA775" i="1"/>
  <c r="Z775" i="1" s="1"/>
  <c r="X775" i="1"/>
  <c r="Y775" i="1" s="1"/>
  <c r="X776" i="1" l="1"/>
  <c r="Y776" i="1" s="1"/>
  <c r="AA776" i="1"/>
  <c r="Z776" i="1" s="1"/>
  <c r="W778" i="1"/>
  <c r="X777" i="1" l="1"/>
  <c r="Y777" i="1" s="1"/>
  <c r="AA777" i="1"/>
  <c r="Z777" i="1" s="1"/>
  <c r="W779" i="1"/>
  <c r="X778" i="1" l="1"/>
  <c r="Y778" i="1" s="1"/>
  <c r="AA778" i="1"/>
  <c r="Z778" i="1" s="1"/>
  <c r="X779" i="1" l="1"/>
  <c r="Y779" i="1" s="1"/>
  <c r="AA779" i="1"/>
  <c r="Z779" i="1" s="1"/>
  <c r="X823" i="1" l="1"/>
  <c r="Y823" i="1" s="1"/>
  <c r="AA823" i="1"/>
  <c r="Z823" i="1" s="1"/>
  <c r="AA797" i="1" l="1"/>
  <c r="Z797" i="1" s="1"/>
  <c r="X797" i="1"/>
  <c r="Y797" i="1" s="1"/>
  <c r="X819" i="1" l="1"/>
  <c r="Y819" i="1" s="1"/>
  <c r="AA819" i="1"/>
  <c r="Z819" i="1" s="1"/>
  <c r="X822" i="1" l="1"/>
  <c r="Y822" i="1" s="1"/>
  <c r="AA822" i="1"/>
  <c r="Z822" i="1" s="1"/>
  <c r="X782" i="1" l="1"/>
  <c r="Y782" i="1" s="1"/>
  <c r="AA782" i="1"/>
  <c r="Z782" i="1" s="1"/>
  <c r="X785" i="1" l="1"/>
  <c r="Y785" i="1" s="1"/>
  <c r="AA785" i="1"/>
  <c r="Z785" i="1" s="1"/>
  <c r="X789" i="1" l="1"/>
  <c r="Y789" i="1" s="1"/>
  <c r="AA789" i="1"/>
  <c r="Z789" i="1" s="1"/>
  <c r="X784" i="1" l="1"/>
  <c r="Y784" i="1" s="1"/>
  <c r="AA784" i="1"/>
  <c r="Z784" i="1" s="1"/>
  <c r="X781" i="1" l="1"/>
  <c r="Y781" i="1" s="1"/>
  <c r="AA781" i="1"/>
  <c r="Z781" i="1" s="1"/>
  <c r="X788" i="1" l="1"/>
  <c r="Y788" i="1" s="1"/>
  <c r="AA788" i="1"/>
  <c r="Z788" i="1" s="1"/>
  <c r="X787" i="1" l="1"/>
  <c r="Y787" i="1" s="1"/>
  <c r="AA787" i="1"/>
  <c r="Z787" i="1" s="1"/>
  <c r="AA820" i="1" l="1"/>
  <c r="Z820" i="1" s="1"/>
  <c r="X820" i="1"/>
  <c r="Y820" i="1" s="1"/>
  <c r="X802" i="1" l="1"/>
  <c r="Y802" i="1" s="1"/>
  <c r="AA802" i="1"/>
  <c r="Z802" i="1" s="1"/>
  <c r="X818" i="1" l="1"/>
  <c r="Y818" i="1" s="1"/>
  <c r="AA818" i="1"/>
  <c r="Z818" i="1" s="1"/>
  <c r="X801" i="1" l="1"/>
  <c r="Y801" i="1" s="1"/>
  <c r="AA801" i="1"/>
  <c r="Z801" i="1" s="1"/>
  <c r="X816" i="1" l="1"/>
  <c r="Y816" i="1" s="1"/>
  <c r="AA816" i="1"/>
  <c r="Z816" i="1" s="1"/>
  <c r="AA783" i="1" l="1"/>
  <c r="Z783" i="1" s="1"/>
  <c r="X783" i="1"/>
  <c r="Y783" i="1" s="1"/>
  <c r="AA780" i="1" l="1"/>
  <c r="Z780" i="1" s="1"/>
  <c r="X780" i="1"/>
  <c r="Y780" i="1" s="1"/>
  <c r="BE71" i="1" l="1"/>
  <c r="X786" i="1"/>
  <c r="Y786" i="1" s="1"/>
  <c r="AA786" i="1"/>
  <c r="Z786" i="1" s="1"/>
  <c r="X815" i="1" l="1"/>
  <c r="AA815" i="1"/>
  <c r="Z815" i="1" s="1"/>
  <c r="Y815" i="1" l="1"/>
  <c r="X813" i="1"/>
  <c r="Y813" i="1" s="1"/>
  <c r="AA813" i="1"/>
  <c r="Z813" i="1" s="1"/>
  <c r="X808" i="1" l="1"/>
  <c r="Y808" i="1" s="1"/>
  <c r="AA808" i="1"/>
  <c r="Z808" i="1" s="1"/>
  <c r="X806" i="1" l="1"/>
  <c r="Y806" i="1" s="1"/>
  <c r="AA806" i="1"/>
  <c r="Z806" i="1" s="1"/>
  <c r="AA792" i="1" l="1"/>
  <c r="Z792" i="1" s="1"/>
  <c r="X792" i="1"/>
  <c r="Y792" i="1" s="1"/>
  <c r="X793" i="1" l="1"/>
  <c r="Y793" i="1" s="1"/>
  <c r="AA793" i="1"/>
  <c r="Z793" i="1" s="1"/>
  <c r="X824" i="1" l="1"/>
  <c r="Y824" i="1" s="1"/>
  <c r="AA824" i="1"/>
  <c r="Z824" i="1" s="1"/>
  <c r="AA814" i="1" l="1"/>
  <c r="Z814" i="1" s="1"/>
  <c r="X814" i="1"/>
  <c r="Y814" i="1" s="1"/>
  <c r="X951" i="1" l="1"/>
  <c r="Y951" i="1" s="1"/>
  <c r="AA951" i="1"/>
  <c r="Z951" i="1" s="1"/>
  <c r="X895" i="1" l="1"/>
  <c r="Y895" i="1" s="1"/>
  <c r="AA895" i="1"/>
  <c r="Z895" i="1" s="1"/>
  <c r="AA928" i="1" l="1"/>
  <c r="Z928" i="1" s="1"/>
  <c r="X928" i="1"/>
  <c r="Y928" i="1" s="1"/>
  <c r="X930" i="1" l="1"/>
  <c r="Y930" i="1" s="1"/>
  <c r="AA930" i="1"/>
  <c r="Z930" i="1" s="1"/>
  <c r="X918" i="1" l="1"/>
  <c r="Y918" i="1" s="1"/>
  <c r="AA918" i="1"/>
  <c r="Z918" i="1" s="1"/>
  <c r="X924" i="1" l="1"/>
  <c r="Y924" i="1" s="1"/>
  <c r="AA924" i="1"/>
  <c r="Z924" i="1" s="1"/>
  <c r="X878" i="1" l="1"/>
  <c r="Y878" i="1" s="1"/>
  <c r="AA878" i="1"/>
  <c r="Z878" i="1" s="1"/>
  <c r="X946" i="1" l="1"/>
  <c r="Y946" i="1" s="1"/>
  <c r="AA946" i="1"/>
  <c r="Z946" i="1" s="1"/>
  <c r="X892" i="1" l="1"/>
  <c r="Y892" i="1" s="1"/>
  <c r="AA892" i="1"/>
  <c r="Z892" i="1" s="1"/>
  <c r="X954" i="1" l="1"/>
  <c r="Y954" i="1" s="1"/>
  <c r="AA954" i="1"/>
  <c r="Z954" i="1" s="1"/>
  <c r="X932" i="1" l="1"/>
  <c r="Y932" i="1" s="1"/>
  <c r="AA932" i="1"/>
  <c r="Z932" i="1" s="1"/>
  <c r="AA899" i="1" l="1"/>
  <c r="Z899" i="1" s="1"/>
  <c r="X899" i="1"/>
  <c r="Y899" i="1" s="1"/>
  <c r="X887" i="1" l="1"/>
  <c r="Y887" i="1" s="1"/>
  <c r="AA887" i="1"/>
  <c r="Z887" i="1" s="1"/>
  <c r="X914" i="1" l="1"/>
  <c r="Y914" i="1" s="1"/>
  <c r="AA914" i="1"/>
  <c r="Z914" i="1" s="1"/>
  <c r="X952" i="1" l="1"/>
  <c r="Y952" i="1" s="1"/>
  <c r="AA952" i="1"/>
  <c r="Z952" i="1" s="1"/>
  <c r="X891" i="1" l="1"/>
  <c r="Y891" i="1" s="1"/>
  <c r="AA891" i="1"/>
  <c r="Z891" i="1" s="1"/>
  <c r="AA942" i="1" l="1"/>
  <c r="Z942" i="1" s="1"/>
  <c r="X942" i="1"/>
  <c r="Y942" i="1" s="1"/>
  <c r="X893" i="1" l="1"/>
  <c r="Y893" i="1" s="1"/>
  <c r="AA893" i="1"/>
  <c r="Z893" i="1" s="1"/>
  <c r="X913" i="1" l="1"/>
  <c r="Y913" i="1" s="1"/>
  <c r="AA913" i="1"/>
  <c r="Z913" i="1" s="1"/>
  <c r="X948" i="1" l="1"/>
  <c r="Y948" i="1" s="1"/>
  <c r="AA948" i="1"/>
  <c r="Z948" i="1" s="1"/>
  <c r="X937" i="1" l="1"/>
  <c r="Y937" i="1" s="1"/>
  <c r="AA937" i="1"/>
  <c r="Z937" i="1" s="1"/>
  <c r="X908" i="1" l="1"/>
  <c r="Y908" i="1" s="1"/>
  <c r="AA908" i="1"/>
  <c r="Z908" i="1" s="1"/>
  <c r="X919" i="1" l="1"/>
  <c r="Y919" i="1" s="1"/>
  <c r="AA919" i="1"/>
  <c r="Z919" i="1" s="1"/>
  <c r="X861" i="1" l="1"/>
  <c r="Y861" i="1" s="1"/>
  <c r="AA861" i="1"/>
  <c r="Z861" i="1" s="1"/>
  <c r="AA949" i="1" l="1"/>
  <c r="Z949" i="1" s="1"/>
  <c r="X949" i="1"/>
  <c r="Y949" i="1" s="1"/>
  <c r="X794" i="1" l="1"/>
  <c r="Y794" i="1" s="1"/>
  <c r="AA794" i="1"/>
  <c r="Z794" i="1" s="1"/>
  <c r="AA884" i="1" l="1"/>
  <c r="Z884" i="1" s="1"/>
  <c r="X884" i="1"/>
  <c r="Y884" i="1" s="1"/>
  <c r="X904" i="1" l="1"/>
  <c r="Y904" i="1" s="1"/>
  <c r="AA904" i="1"/>
  <c r="Z904" i="1" s="1"/>
  <c r="AA900" i="1" l="1"/>
  <c r="Z900" i="1" s="1"/>
  <c r="X900" i="1"/>
  <c r="Y900" i="1" s="1"/>
  <c r="X881" i="1" l="1"/>
  <c r="Y881" i="1" s="1"/>
  <c r="AA881" i="1"/>
  <c r="Z881" i="1" s="1"/>
  <c r="X874" i="1" l="1"/>
  <c r="Y874" i="1" s="1"/>
  <c r="AA874" i="1"/>
  <c r="Z874" i="1" s="1"/>
  <c r="AA885" i="1" l="1"/>
  <c r="Z885" i="1" s="1"/>
  <c r="X885" i="1"/>
  <c r="Y885" i="1" s="1"/>
  <c r="AA867" i="1" l="1"/>
  <c r="Z867" i="1" s="1"/>
  <c r="X867" i="1"/>
  <c r="Y867" i="1" s="1"/>
  <c r="X927" i="1" l="1"/>
  <c r="Y927" i="1" s="1"/>
  <c r="AA927" i="1"/>
  <c r="Z927" i="1" s="1"/>
  <c r="X933" i="1" l="1"/>
  <c r="Y933" i="1" s="1"/>
  <c r="AA933" i="1"/>
  <c r="Z933" i="1" s="1"/>
  <c r="X903" i="1" l="1"/>
  <c r="Y903" i="1" s="1"/>
  <c r="AA903" i="1"/>
  <c r="Z903" i="1" s="1"/>
  <c r="X862" i="1" l="1"/>
  <c r="Y862" i="1" s="1"/>
  <c r="AA862" i="1"/>
  <c r="Z862" i="1" s="1"/>
  <c r="X863" i="1" l="1"/>
  <c r="Y863" i="1" s="1"/>
  <c r="AA863" i="1"/>
  <c r="Z863" i="1" s="1"/>
  <c r="X872" i="1" l="1"/>
  <c r="Y872" i="1" s="1"/>
  <c r="AA872" i="1"/>
  <c r="Z872" i="1" s="1"/>
  <c r="X934" i="1" l="1"/>
  <c r="Y934" i="1" s="1"/>
  <c r="AA934" i="1"/>
  <c r="Z934" i="1" s="1"/>
  <c r="X856" i="1" l="1"/>
  <c r="Y856" i="1" s="1"/>
  <c r="AA856" i="1"/>
  <c r="Z856" i="1" s="1"/>
  <c r="X868" i="1" l="1"/>
  <c r="Y868" i="1" s="1"/>
  <c r="AA868" i="1"/>
  <c r="Z868" i="1" s="1"/>
  <c r="X968" i="1" l="1"/>
  <c r="Y968" i="1" s="1"/>
  <c r="AA968" i="1"/>
  <c r="Z968" i="1" s="1"/>
  <c r="X947" i="1" l="1"/>
  <c r="Y947" i="1" s="1"/>
  <c r="AA947" i="1"/>
  <c r="Z947" i="1" s="1"/>
  <c r="AA866" i="1" l="1"/>
  <c r="Z866" i="1" s="1"/>
  <c r="X866" i="1"/>
  <c r="Y866" i="1" s="1"/>
  <c r="AA858" i="1" l="1"/>
  <c r="Z858" i="1" s="1"/>
  <c r="X858" i="1"/>
  <c r="Y858" i="1" s="1"/>
  <c r="X944" i="1" l="1"/>
  <c r="Y944" i="1" s="1"/>
  <c r="AA944" i="1"/>
  <c r="Z944" i="1" s="1"/>
  <c r="X938" i="1" l="1"/>
  <c r="AA938" i="1"/>
  <c r="Z938" i="1" s="1"/>
  <c r="Y938" i="1" l="1"/>
  <c r="X890" i="1"/>
  <c r="Y890" i="1" s="1"/>
  <c r="AA890" i="1"/>
  <c r="Z890" i="1" s="1"/>
  <c r="X882" i="1" l="1"/>
  <c r="Y882" i="1" s="1"/>
  <c r="AA882" i="1"/>
  <c r="Z882" i="1" s="1"/>
  <c r="X896" i="1" l="1"/>
  <c r="Y896" i="1" s="1"/>
  <c r="AA896" i="1"/>
  <c r="Z896" i="1" s="1"/>
  <c r="X798" i="1" l="1"/>
  <c r="Y798" i="1" s="1"/>
  <c r="AA798" i="1"/>
  <c r="Z798" i="1" s="1"/>
  <c r="X812" i="1" l="1"/>
  <c r="Y812" i="1" s="1"/>
  <c r="AA812" i="1"/>
  <c r="Z812" i="1" s="1"/>
  <c r="X889" i="1" l="1"/>
  <c r="Y889" i="1" s="1"/>
  <c r="AA889" i="1"/>
  <c r="Z889" i="1" s="1"/>
  <c r="X876" i="1" l="1"/>
  <c r="Y876" i="1" s="1"/>
  <c r="AA876" i="1"/>
  <c r="Z876" i="1" s="1"/>
  <c r="X940" i="1" l="1"/>
  <c r="Y940" i="1" s="1"/>
  <c r="AA940" i="1"/>
  <c r="Z940" i="1" s="1"/>
  <c r="X939" i="1" l="1"/>
  <c r="AA939" i="1"/>
  <c r="Z939" i="1" s="1"/>
  <c r="Y939" i="1" l="1"/>
  <c r="X810" i="1"/>
  <c r="Y810" i="1" s="1"/>
  <c r="AA810" i="1"/>
  <c r="Z810" i="1" s="1"/>
  <c r="X963" i="1" l="1"/>
  <c r="Y963" i="1" s="1"/>
  <c r="AA963" i="1"/>
  <c r="Z963" i="1" s="1"/>
  <c r="AA828" i="1" l="1"/>
  <c r="Z828" i="1" s="1"/>
  <c r="X828" i="1"/>
  <c r="Y828" i="1" s="1"/>
  <c r="X864" i="1" l="1"/>
  <c r="Y864" i="1" s="1"/>
  <c r="AA864" i="1"/>
  <c r="Z864" i="1" s="1"/>
  <c r="X905" i="1" l="1"/>
  <c r="Y905" i="1" s="1"/>
  <c r="AA905" i="1"/>
  <c r="Z905" i="1" s="1"/>
  <c r="X827" i="1" l="1"/>
  <c r="Y827" i="1" s="1"/>
  <c r="AA827" i="1"/>
  <c r="Z827" i="1" s="1"/>
  <c r="X925" i="1" l="1"/>
  <c r="Y925" i="1" s="1"/>
  <c r="AA925" i="1"/>
  <c r="Z925" i="1" s="1"/>
  <c r="X821" i="1" l="1"/>
  <c r="Y821" i="1" s="1"/>
  <c r="AA821" i="1"/>
  <c r="Z821" i="1" s="1"/>
  <c r="AA859" i="1" l="1"/>
  <c r="Z859" i="1" s="1"/>
  <c r="X859" i="1"/>
  <c r="Y859" i="1" s="1"/>
  <c r="X877" i="1" l="1"/>
  <c r="Y877" i="1" s="1"/>
  <c r="AA877" i="1"/>
  <c r="Z877" i="1" s="1"/>
  <c r="AA941" i="1" l="1"/>
  <c r="Z941" i="1" s="1"/>
  <c r="X941" i="1"/>
  <c r="Y941" i="1" l="1"/>
  <c r="X875" i="1"/>
  <c r="Y875" i="1" s="1"/>
  <c r="AA875" i="1"/>
  <c r="Z875" i="1" s="1"/>
  <c r="X943" i="1" l="1"/>
  <c r="AA943" i="1"/>
  <c r="Z943" i="1" s="1"/>
  <c r="Y943" i="1" l="1"/>
  <c r="X809" i="1"/>
  <c r="Y809" i="1" s="1"/>
  <c r="AA809" i="1"/>
  <c r="Z809" i="1" s="1"/>
  <c r="X945" i="1" l="1"/>
  <c r="Y945" i="1" s="1"/>
  <c r="AA945" i="1"/>
  <c r="Z945" i="1" s="1"/>
  <c r="X865" i="1" l="1"/>
  <c r="Y865" i="1" s="1"/>
  <c r="AA865" i="1"/>
  <c r="Z865" i="1" s="1"/>
  <c r="X916" i="1" l="1"/>
  <c r="Y916" i="1" s="1"/>
  <c r="AA916" i="1"/>
  <c r="Z916" i="1" s="1"/>
  <c r="X855" i="1" l="1"/>
  <c r="Y855" i="1" s="1"/>
  <c r="AA855" i="1"/>
  <c r="Z855" i="1" s="1"/>
  <c r="X888" i="1" l="1"/>
  <c r="Y888" i="1" s="1"/>
  <c r="AA888" i="1"/>
  <c r="Z888" i="1" s="1"/>
  <c r="AA857" i="1" l="1"/>
  <c r="Z857" i="1" s="1"/>
  <c r="X857" i="1"/>
  <c r="BD6" i="1" l="1"/>
  <c r="Y857" i="1"/>
  <c r="X961" i="1"/>
  <c r="Y961" i="1" s="1"/>
  <c r="AA961" i="1"/>
  <c r="Z961" i="1" s="1"/>
  <c r="X883" i="1" l="1"/>
  <c r="Y883" i="1" s="1"/>
  <c r="AA883" i="1"/>
  <c r="Z883" i="1" s="1"/>
  <c r="AA804" i="1" l="1"/>
  <c r="Z804" i="1" s="1"/>
  <c r="X804" i="1"/>
  <c r="Y804" i="1" s="1"/>
  <c r="X860" i="1" l="1"/>
  <c r="Y860" i="1" s="1"/>
  <c r="AA860" i="1"/>
  <c r="Z860" i="1" s="1"/>
  <c r="X894" i="1" l="1"/>
  <c r="Y894" i="1" s="1"/>
  <c r="AA894" i="1"/>
  <c r="Z894" i="1" s="1"/>
  <c r="X791" i="1" l="1"/>
  <c r="Y791" i="1" s="1"/>
  <c r="AA791" i="1"/>
  <c r="Z791" i="1" s="1"/>
  <c r="X790" i="1" l="1"/>
  <c r="Y790" i="1" s="1"/>
  <c r="AA790" i="1"/>
  <c r="Z790" i="1" s="1"/>
  <c r="X910" i="1" l="1"/>
  <c r="Y910" i="1" s="1"/>
  <c r="AA910" i="1"/>
  <c r="Z910" i="1" s="1"/>
  <c r="X902" i="1" l="1"/>
  <c r="Y902" i="1" s="1"/>
  <c r="AA902" i="1"/>
  <c r="Z902" i="1" s="1"/>
  <c r="X909" i="1" l="1"/>
  <c r="Y909" i="1" s="1"/>
  <c r="AA909" i="1"/>
  <c r="Z909" i="1" s="1"/>
  <c r="X921" i="1" l="1"/>
  <c r="Y921" i="1" s="1"/>
  <c r="AA921" i="1"/>
  <c r="Z921" i="1" s="1"/>
  <c r="X879" i="1" l="1"/>
  <c r="Y879" i="1" s="1"/>
  <c r="AA879" i="1"/>
  <c r="Z879" i="1" s="1"/>
  <c r="AA920" i="1" l="1"/>
  <c r="Z920" i="1" s="1"/>
  <c r="X920" i="1"/>
  <c r="Y920" i="1" s="1"/>
  <c r="X901" i="1" l="1"/>
  <c r="Y901" i="1" s="1"/>
  <c r="AA901" i="1"/>
  <c r="Z901" i="1" s="1"/>
  <c r="X923" i="1" l="1"/>
  <c r="Y923" i="1" s="1"/>
  <c r="AA923" i="1"/>
  <c r="Z923" i="1" s="1"/>
  <c r="AA870" i="1" l="1"/>
  <c r="Z870" i="1" s="1"/>
  <c r="X870" i="1"/>
  <c r="Y870" i="1" s="1"/>
  <c r="X898" i="1" l="1"/>
  <c r="Y898" i="1" s="1"/>
  <c r="AA898" i="1"/>
  <c r="Z898" i="1" s="1"/>
  <c r="AA886" i="1" l="1"/>
  <c r="Z886" i="1" s="1"/>
  <c r="X886" i="1"/>
  <c r="Y886" i="1" s="1"/>
  <c r="AA871" i="1" l="1"/>
  <c r="Z871" i="1" s="1"/>
  <c r="X871" i="1"/>
  <c r="Y871" i="1" s="1"/>
  <c r="X807" i="1" l="1"/>
  <c r="Y807" i="1" s="1"/>
  <c r="AA807" i="1"/>
  <c r="Z807" i="1" s="1"/>
  <c r="X967" i="1" l="1"/>
  <c r="Y967" i="1" s="1"/>
  <c r="AA967" i="1"/>
  <c r="Z967" i="1" s="1"/>
  <c r="X869" i="1" l="1"/>
  <c r="Y869" i="1" s="1"/>
  <c r="AA869" i="1"/>
  <c r="Z869" i="1" s="1"/>
  <c r="X799" i="1" l="1"/>
  <c r="Y799" i="1" s="1"/>
  <c r="AA799" i="1"/>
  <c r="Z799" i="1" s="1"/>
  <c r="X873" i="1" l="1"/>
  <c r="Y873" i="1" s="1"/>
  <c r="AA873" i="1"/>
  <c r="Z873" i="1" s="1"/>
  <c r="X805" i="1" l="1"/>
  <c r="Y805" i="1" s="1"/>
  <c r="AA805" i="1"/>
  <c r="Z805" i="1" s="1"/>
  <c r="X803" i="1" l="1"/>
  <c r="Y803" i="1" s="1"/>
  <c r="AA803" i="1"/>
  <c r="Z803" i="1" s="1"/>
  <c r="X795" i="1" l="1"/>
  <c r="AA795" i="1"/>
  <c r="Z795" i="1" s="1"/>
  <c r="BD74" i="1" l="1"/>
  <c r="Y795" i="1"/>
  <c r="X811" i="1"/>
  <c r="Y811" i="1" s="1"/>
  <c r="AA811" i="1"/>
  <c r="Z811" i="1" s="1"/>
  <c r="X800" i="1" l="1"/>
  <c r="Y800" i="1" s="1"/>
  <c r="AA800" i="1"/>
  <c r="Z800" i="1" s="1"/>
  <c r="X929" i="1" l="1"/>
  <c r="Y929" i="1" s="1"/>
  <c r="AA929" i="1"/>
  <c r="Z929" i="1" s="1"/>
  <c r="X796" i="1" l="1"/>
  <c r="Y796" i="1" s="1"/>
  <c r="AA796" i="1"/>
  <c r="Z796" i="1" s="1"/>
  <c r="BD41" i="1" l="1"/>
  <c r="BH71" i="1"/>
  <c r="AA911" i="1"/>
  <c r="Z911" i="1" s="1"/>
  <c r="X911" i="1"/>
  <c r="Y911" i="1" s="1"/>
  <c r="AA826" i="1" l="1"/>
  <c r="Z826" i="1" s="1"/>
  <c r="X826" i="1"/>
  <c r="Y826" i="1" s="1"/>
  <c r="X825" i="1" l="1"/>
  <c r="Y825" i="1" s="1"/>
  <c r="AA825" i="1"/>
  <c r="Z825" i="1" s="1"/>
  <c r="X926" i="1" l="1"/>
  <c r="Y926" i="1" s="1"/>
  <c r="AA926" i="1"/>
  <c r="Z926" i="1" s="1"/>
  <c r="X897" i="1" l="1"/>
  <c r="Y897" i="1" s="1"/>
  <c r="AA897" i="1"/>
  <c r="Z897" i="1" s="1"/>
  <c r="X817" i="1" l="1"/>
  <c r="BI71" i="1" s="1"/>
  <c r="AA817" i="1"/>
  <c r="Z817" i="1" s="1"/>
  <c r="Y817" i="1" l="1"/>
  <c r="BK71" i="1" s="1"/>
  <c r="X922" i="1"/>
  <c r="Y922" i="1" s="1"/>
  <c r="AA922" i="1"/>
  <c r="Z922" i="1" s="1"/>
  <c r="X953" i="1" l="1"/>
  <c r="Y953" i="1" s="1"/>
  <c r="AA953" i="1"/>
  <c r="Z953" i="1" s="1"/>
  <c r="AA931" i="1" l="1"/>
  <c r="Z931" i="1" s="1"/>
  <c r="X931" i="1"/>
  <c r="Y931" i="1" s="1"/>
  <c r="AA950" i="1" l="1"/>
  <c r="Z950" i="1" s="1"/>
  <c r="X950" i="1"/>
  <c r="Y950" i="1" s="1"/>
  <c r="AA1059" i="1" l="1"/>
  <c r="Z1059" i="1" s="1"/>
  <c r="X1059" i="1"/>
  <c r="Y1059" i="1" l="1"/>
  <c r="AA907" i="1"/>
  <c r="Z907" i="1" s="1"/>
  <c r="X907" i="1"/>
  <c r="Y907" i="1" s="1"/>
  <c r="BJ72" i="1" l="1"/>
  <c r="BJ71" i="1"/>
  <c r="X1015" i="1"/>
  <c r="Y1015" i="1" s="1"/>
  <c r="AA1015" i="1"/>
  <c r="Z1015" i="1" s="1"/>
  <c r="X1035" i="1" l="1"/>
  <c r="Y1035" i="1" s="1"/>
  <c r="AA1035" i="1"/>
  <c r="Z1035" i="1" s="1"/>
  <c r="X1044" i="1" l="1"/>
  <c r="Y1044" i="1" s="1"/>
  <c r="AA1044" i="1"/>
  <c r="Z1044" i="1" s="1"/>
  <c r="AA1045" i="1" l="1"/>
  <c r="Z1045" i="1" s="1"/>
  <c r="X1045" i="1"/>
  <c r="Y1045" i="1" s="1"/>
  <c r="X1038" i="1" l="1"/>
  <c r="Y1038" i="1" s="1"/>
  <c r="AA1038" i="1"/>
  <c r="Z1038" i="1" s="1"/>
  <c r="X1039" i="1" l="1"/>
  <c r="Y1039" i="1" s="1"/>
  <c r="AA1039" i="1"/>
  <c r="Z1039" i="1" s="1"/>
  <c r="X1046" i="1" l="1"/>
  <c r="Y1046" i="1" s="1"/>
  <c r="AA1046" i="1"/>
  <c r="Z1046" i="1" s="1"/>
  <c r="X1028" i="1" l="1"/>
  <c r="Y1028" i="1" s="1"/>
  <c r="AA1028" i="1"/>
  <c r="Z1028" i="1" s="1"/>
  <c r="AA1047" i="1" l="1"/>
  <c r="Z1047" i="1" s="1"/>
  <c r="X1047" i="1"/>
  <c r="Y1047" i="1" s="1"/>
  <c r="X1057" i="1" l="1"/>
  <c r="Y1057" i="1" s="1"/>
  <c r="AA1057" i="1"/>
  <c r="Z1057" i="1" s="1"/>
  <c r="AA993" i="1" l="1"/>
  <c r="Z993" i="1" s="1"/>
  <c r="X993" i="1"/>
  <c r="BD8" i="1" l="1"/>
  <c r="Y993" i="1"/>
  <c r="X1013" i="1"/>
  <c r="Y1013" i="1" s="1"/>
  <c r="AA1013" i="1"/>
  <c r="Z1013" i="1" s="1"/>
  <c r="X1041" i="1" l="1"/>
  <c r="Y1041" i="1" s="1"/>
  <c r="AA1041" i="1"/>
  <c r="Z1041" i="1" s="1"/>
  <c r="X1053" i="1" l="1"/>
  <c r="Y1053" i="1" s="1"/>
  <c r="AA1053" i="1"/>
  <c r="Z1053" i="1" s="1"/>
  <c r="X1048" i="1" l="1"/>
  <c r="Y1048" i="1" s="1"/>
  <c r="AA1048" i="1"/>
  <c r="Z1048" i="1" s="1"/>
  <c r="X1019" i="1" l="1"/>
  <c r="Y1019" i="1" s="1"/>
  <c r="AA1019" i="1"/>
  <c r="Z1019" i="1" s="1"/>
  <c r="AA1007" i="1" l="1"/>
  <c r="Z1007" i="1" s="1"/>
  <c r="X1007" i="1"/>
  <c r="Y1007" i="1" s="1"/>
  <c r="X981" i="1" l="1"/>
  <c r="AA981" i="1"/>
  <c r="Z981" i="1" s="1"/>
  <c r="BD71" i="1" l="1"/>
  <c r="Y981" i="1"/>
  <c r="X1042" i="1"/>
  <c r="Y1042" i="1" s="1"/>
  <c r="AA1042" i="1"/>
  <c r="Z1042" i="1" s="1"/>
  <c r="AA988" i="1" l="1"/>
  <c r="Z988" i="1" s="1"/>
  <c r="X988" i="1"/>
  <c r="Y988" i="1" s="1"/>
  <c r="X1018" i="1" l="1"/>
  <c r="Y1018" i="1" s="1"/>
  <c r="AA1018" i="1"/>
  <c r="Z1018" i="1" s="1"/>
  <c r="X1050" i="1" l="1"/>
  <c r="Y1050" i="1" s="1"/>
  <c r="AA1050" i="1"/>
  <c r="Z1050" i="1" s="1"/>
  <c r="X1029" i="1" l="1"/>
  <c r="Y1029" i="1" s="1"/>
  <c r="AA1029" i="1"/>
  <c r="Z1029" i="1" s="1"/>
  <c r="X1036" i="1" l="1"/>
  <c r="Y1036" i="1" s="1"/>
  <c r="AA1036" i="1"/>
  <c r="Z1036" i="1" s="1"/>
  <c r="AA971" i="1" l="1"/>
  <c r="Z971" i="1" s="1"/>
  <c r="X971" i="1"/>
  <c r="Y971" i="1" s="1"/>
  <c r="X999" i="1" l="1"/>
  <c r="Y999" i="1" s="1"/>
  <c r="AA999" i="1"/>
  <c r="Z999" i="1" s="1"/>
  <c r="X1054" i="1" l="1"/>
  <c r="AA1054" i="1"/>
  <c r="Z1054" i="1" s="1"/>
  <c r="BD4" i="1" l="1"/>
  <c r="Y1054" i="1"/>
  <c r="X838" i="1"/>
  <c r="Y838" i="1" s="1"/>
  <c r="AA838" i="1"/>
  <c r="Z838" i="1" s="1"/>
  <c r="X1031" i="1" l="1"/>
  <c r="Y1031" i="1" s="1"/>
  <c r="AA1031" i="1"/>
  <c r="Z1031" i="1" s="1"/>
  <c r="X990" i="1" l="1"/>
  <c r="Y990" i="1" s="1"/>
  <c r="AA990" i="1"/>
  <c r="Z990" i="1" s="1"/>
  <c r="X1014" i="1" l="1"/>
  <c r="Y1014" i="1" s="1"/>
  <c r="AA1014" i="1"/>
  <c r="Z1014" i="1" s="1"/>
  <c r="X1037" i="1" l="1"/>
  <c r="Y1037" i="1" s="1"/>
  <c r="AA1037" i="1"/>
  <c r="Z1037" i="1" s="1"/>
  <c r="X1021" i="1" l="1"/>
  <c r="Y1021" i="1" s="1"/>
  <c r="AA1021" i="1"/>
  <c r="Z1021" i="1" s="1"/>
  <c r="X1032" i="1" l="1"/>
  <c r="Y1032" i="1" s="1"/>
  <c r="AA1032" i="1"/>
  <c r="Z1032" i="1" s="1"/>
  <c r="X972" i="1" l="1"/>
  <c r="Y972" i="1" s="1"/>
  <c r="AA972" i="1"/>
  <c r="Z972" i="1" s="1"/>
  <c r="X1049" i="1" l="1"/>
  <c r="Y1049" i="1" s="1"/>
  <c r="AA1049" i="1"/>
  <c r="Z1049" i="1" s="1"/>
  <c r="X1022" i="1" l="1"/>
  <c r="Y1022" i="1" s="1"/>
  <c r="AA1022" i="1"/>
  <c r="Z1022" i="1" s="1"/>
  <c r="X841" i="1" l="1"/>
  <c r="Y841" i="1" s="1"/>
  <c r="AA841" i="1"/>
  <c r="Z841" i="1" s="1"/>
  <c r="X1024" i="1" l="1"/>
  <c r="Y1024" i="1" s="1"/>
  <c r="AA1024" i="1"/>
  <c r="Z1024" i="1" s="1"/>
  <c r="X1058" i="1" l="1"/>
  <c r="Y1058" i="1" s="1"/>
  <c r="AA1058" i="1"/>
  <c r="Z1058" i="1" s="1"/>
  <c r="X1043" i="1" l="1"/>
  <c r="Y1043" i="1" s="1"/>
  <c r="AA1043" i="1"/>
  <c r="Z1043" i="1" s="1"/>
  <c r="X1034" i="1" l="1"/>
  <c r="Y1034" i="1" s="1"/>
  <c r="AA1034" i="1"/>
  <c r="Z1034" i="1" s="1"/>
  <c r="X1051" i="1" l="1"/>
  <c r="Y1051" i="1" s="1"/>
  <c r="AA1051" i="1"/>
  <c r="Z1051" i="1" s="1"/>
  <c r="X1002" i="1" l="1"/>
  <c r="Y1002" i="1" s="1"/>
  <c r="AA1002" i="1"/>
  <c r="Z1002" i="1" s="1"/>
  <c r="X847" i="1" l="1"/>
  <c r="Y847" i="1" s="1"/>
  <c r="AA847" i="1"/>
  <c r="Z847" i="1" s="1"/>
  <c r="X851" i="1" l="1"/>
  <c r="Y851" i="1" s="1"/>
  <c r="AA851" i="1"/>
  <c r="Z851" i="1" s="1"/>
  <c r="X1020" i="1" l="1"/>
  <c r="Y1020" i="1" s="1"/>
  <c r="AA1020" i="1"/>
  <c r="Z1020" i="1" s="1"/>
  <c r="X970" i="1" l="1"/>
  <c r="Y970" i="1" s="1"/>
  <c r="BE73" i="1" s="1"/>
  <c r="AA970" i="1"/>
  <c r="Z970" i="1" s="1"/>
  <c r="X1055" i="1" l="1"/>
  <c r="Y1055" i="1" s="1"/>
  <c r="AA1055" i="1"/>
  <c r="Z1055" i="1" s="1"/>
  <c r="X973" i="1" l="1"/>
  <c r="Y973" i="1" s="1"/>
  <c r="AA973" i="1"/>
  <c r="Z973" i="1" s="1"/>
  <c r="X995" i="1" l="1"/>
  <c r="Y995" i="1" s="1"/>
  <c r="AA995" i="1"/>
  <c r="Z995" i="1" s="1"/>
  <c r="X1040" i="1" l="1"/>
  <c r="Y1040" i="1" s="1"/>
  <c r="AA1040" i="1"/>
  <c r="Z1040" i="1" s="1"/>
  <c r="X982" i="1" l="1"/>
  <c r="Y982" i="1" s="1"/>
  <c r="AA982" i="1"/>
  <c r="Z982" i="1" s="1"/>
  <c r="X1025" i="1" l="1"/>
  <c r="Y1025" i="1" s="1"/>
  <c r="AA1025" i="1"/>
  <c r="Z1025" i="1" s="1"/>
  <c r="AA959" i="1" l="1"/>
  <c r="Z959" i="1" s="1"/>
  <c r="X959" i="1"/>
  <c r="Y959" i="1" l="1"/>
  <c r="BK72" i="1" s="1"/>
  <c r="BI72" i="1"/>
  <c r="X991" i="1"/>
  <c r="AA991" i="1"/>
  <c r="Z991" i="1" s="1"/>
  <c r="BD36" i="1" l="1"/>
  <c r="Y991" i="1"/>
  <c r="AA1056" i="1"/>
  <c r="Z1056" i="1" s="1"/>
  <c r="X1056" i="1"/>
  <c r="Y1056" i="1" s="1"/>
  <c r="AA844" i="1" l="1"/>
  <c r="Z844" i="1" s="1"/>
  <c r="X844" i="1"/>
  <c r="Y844" i="1" s="1"/>
  <c r="AA1033" i="1" l="1"/>
  <c r="Z1033" i="1" s="1"/>
  <c r="X1033" i="1"/>
  <c r="Y1033" i="1" s="1"/>
  <c r="AA985" i="1" l="1"/>
  <c r="Z985" i="1" s="1"/>
  <c r="X985" i="1"/>
  <c r="Y985" i="1" s="1"/>
  <c r="BD5" i="1" l="1"/>
  <c r="BD26" i="1"/>
  <c r="BD76" i="1"/>
  <c r="BD2" i="1"/>
  <c r="BD24" i="1"/>
  <c r="BD3" i="1"/>
  <c r="BD65" i="1"/>
  <c r="BD69" i="1"/>
  <c r="BD72" i="1"/>
  <c r="BH72" i="1"/>
  <c r="BD73" i="1"/>
  <c r="BC2" i="1" l="1"/>
  <c r="BC3" i="1"/>
  <c r="BC15" i="1"/>
  <c r="BC45" i="1"/>
  <c r="BC60" i="1"/>
  <c r="BC59" i="1"/>
  <c r="BC38" i="1"/>
  <c r="BC32" i="1"/>
  <c r="BC16" i="1"/>
  <c r="BC65" i="1"/>
  <c r="BC66" i="1"/>
  <c r="BC70" i="1"/>
  <c r="BC17" i="1"/>
  <c r="BC43" i="1"/>
  <c r="BC49" i="1"/>
  <c r="BC62" i="1"/>
  <c r="BC55" i="1"/>
  <c r="BC39" i="1"/>
  <c r="BC46" i="1"/>
  <c r="BC23" i="1"/>
  <c r="BC56" i="1"/>
  <c r="BC11" i="1"/>
  <c r="BC5" i="1"/>
  <c r="BC4" i="1"/>
  <c r="BC52" i="1"/>
  <c r="BC30" i="1"/>
  <c r="BC28" i="1"/>
  <c r="BC25" i="1"/>
  <c r="BC69" i="1"/>
  <c r="BC19" i="1"/>
  <c r="BC14" i="1"/>
  <c r="BC36" i="1"/>
  <c r="BC44" i="1"/>
  <c r="BC29" i="1"/>
  <c r="BC26" i="1"/>
  <c r="BC12" i="1"/>
  <c r="BC6" i="1"/>
  <c r="BC57" i="1"/>
  <c r="BC13" i="1"/>
  <c r="BC20" i="1"/>
  <c r="BC24" i="1"/>
  <c r="BC47" i="1"/>
  <c r="BC22" i="1"/>
  <c r="BC10" i="1"/>
  <c r="BC21" i="1"/>
  <c r="BC61" i="1"/>
  <c r="BC18" i="1"/>
  <c r="BC35" i="1"/>
  <c r="BC27" i="1"/>
  <c r="BC63" i="1"/>
  <c r="BC40" i="1"/>
  <c r="BC31" i="1"/>
  <c r="BC9" i="1"/>
  <c r="BC64" i="1"/>
  <c r="BC33" i="1"/>
  <c r="BC51" i="1"/>
  <c r="BC53" i="1"/>
  <c r="BC54" i="1"/>
  <c r="BC58" i="1"/>
  <c r="BC8" i="1"/>
  <c r="BC68" i="1"/>
  <c r="BC7" i="1"/>
  <c r="BC41" i="1"/>
  <c r="BC50" i="1"/>
  <c r="BC42" i="1"/>
  <c r="BC37" i="1"/>
  <c r="BC34" i="1"/>
  <c r="BC48" i="1"/>
  <c r="BC67" i="1"/>
  <c r="BG2" i="1" l="1"/>
  <c r="BF2" i="1"/>
  <c r="BG3" i="1"/>
  <c r="BF3" i="1"/>
  <c r="BG42" i="1"/>
  <c r="BF42" i="1"/>
  <c r="BG53" i="1"/>
  <c r="BF53" i="1"/>
  <c r="BG63" i="1"/>
  <c r="BF63" i="1"/>
  <c r="BF47" i="1"/>
  <c r="BG47" i="1"/>
  <c r="BF29" i="1"/>
  <c r="BG29" i="1"/>
  <c r="BG30" i="1"/>
  <c r="BF30" i="1"/>
  <c r="BG39" i="1"/>
  <c r="BF39" i="1"/>
  <c r="BF65" i="1"/>
  <c r="BG65" i="1"/>
  <c r="BF50" i="1"/>
  <c r="BG50" i="1"/>
  <c r="BF51" i="1"/>
  <c r="BG51" i="1"/>
  <c r="BF27" i="1"/>
  <c r="BG27" i="1"/>
  <c r="BG24" i="1"/>
  <c r="BF24" i="1"/>
  <c r="BG44" i="1"/>
  <c r="BF44" i="1"/>
  <c r="BG52" i="1"/>
  <c r="BF52" i="1"/>
  <c r="BG55" i="1"/>
  <c r="BF55" i="1"/>
  <c r="BF16" i="1"/>
  <c r="BG16" i="1"/>
  <c r="BG41" i="1"/>
  <c r="BF41" i="1"/>
  <c r="BF33" i="1"/>
  <c r="BG33" i="1"/>
  <c r="BF35" i="1"/>
  <c r="BG35" i="1"/>
  <c r="BG20" i="1"/>
  <c r="BF20" i="1"/>
  <c r="BG36" i="1"/>
  <c r="BF36" i="1"/>
  <c r="BG4" i="1"/>
  <c r="BF4" i="1"/>
  <c r="BG62" i="1"/>
  <c r="BF62" i="1"/>
  <c r="BF32" i="1"/>
  <c r="BG32" i="1"/>
  <c r="BF7" i="1"/>
  <c r="BG7" i="1"/>
  <c r="BF64" i="1"/>
  <c r="BG64" i="1"/>
  <c r="BG18" i="1"/>
  <c r="BF18" i="1"/>
  <c r="BG13" i="1"/>
  <c r="BF13" i="1"/>
  <c r="BG14" i="1"/>
  <c r="BF14" i="1"/>
  <c r="BF5" i="1"/>
  <c r="BG5" i="1"/>
  <c r="BF49" i="1"/>
  <c r="BG49" i="1"/>
  <c r="BF38" i="1"/>
  <c r="BG38" i="1"/>
  <c r="BF68" i="1"/>
  <c r="BG68" i="1"/>
  <c r="BG61" i="1"/>
  <c r="BF61" i="1"/>
  <c r="BG57" i="1"/>
  <c r="BF57" i="1"/>
  <c r="BF19" i="1"/>
  <c r="BG19" i="1"/>
  <c r="BF11" i="1"/>
  <c r="BG11" i="1"/>
  <c r="BF43" i="1"/>
  <c r="BG43" i="1"/>
  <c r="BG59" i="1"/>
  <c r="BF59" i="1"/>
  <c r="BF48" i="1"/>
  <c r="BG48" i="1"/>
  <c r="BG9" i="1"/>
  <c r="BF9" i="1"/>
  <c r="BG21" i="1"/>
  <c r="BF21" i="1"/>
  <c r="BG6" i="1"/>
  <c r="BF6" i="1"/>
  <c r="BF69" i="1"/>
  <c r="BG69" i="1"/>
  <c r="BG56" i="1"/>
  <c r="BF56" i="1"/>
  <c r="BF17" i="1"/>
  <c r="BG17" i="1"/>
  <c r="BG60" i="1"/>
  <c r="BF60" i="1"/>
  <c r="BF67" i="1"/>
  <c r="BG67" i="1"/>
  <c r="BG34" i="1"/>
  <c r="BF34" i="1"/>
  <c r="BF58" i="1"/>
  <c r="BG58" i="1"/>
  <c r="BF31" i="1"/>
  <c r="BG31" i="1"/>
  <c r="BG10" i="1"/>
  <c r="BF10" i="1"/>
  <c r="BF12" i="1"/>
  <c r="BG12" i="1"/>
  <c r="BG25" i="1"/>
  <c r="BF25" i="1"/>
  <c r="BF23" i="1"/>
  <c r="BG23" i="1"/>
  <c r="BG70" i="1"/>
  <c r="BF70" i="1"/>
  <c r="BF45" i="1"/>
  <c r="BG45" i="1"/>
  <c r="BF8" i="1"/>
  <c r="BG8" i="1"/>
  <c r="BF37" i="1"/>
  <c r="BG37" i="1"/>
  <c r="BF54" i="1"/>
  <c r="BG54" i="1"/>
  <c r="BG40" i="1"/>
  <c r="BF40" i="1"/>
  <c r="BF22" i="1"/>
  <c r="BG22" i="1"/>
  <c r="BF26" i="1"/>
  <c r="BG26" i="1"/>
  <c r="BG28" i="1"/>
  <c r="BF28" i="1"/>
  <c r="BG46" i="1"/>
  <c r="BF46" i="1"/>
  <c r="BF66" i="1"/>
  <c r="BG66" i="1"/>
  <c r="BF15" i="1"/>
  <c r="BG15" i="1"/>
  <c r="R2716" i="1"/>
  <c r="R2715" i="1" s="1"/>
  <c r="R2714" i="1" s="1"/>
  <c r="R2713" i="1" s="1"/>
  <c r="T2713" i="1" s="1"/>
  <c r="R2717" i="1"/>
  <c r="R2747" i="1"/>
  <c r="R2746" i="1" s="1"/>
  <c r="T2746" i="1" s="1"/>
  <c r="O2739" i="1"/>
  <c r="O2762" i="1"/>
  <c r="O2763" i="1" s="1"/>
  <c r="O2671" i="1"/>
  <c r="O2672" i="1" s="1"/>
  <c r="O2754" i="1"/>
  <c r="O2755" i="1" s="1"/>
  <c r="O2756" i="1" s="1"/>
  <c r="R2756" i="1" s="1"/>
  <c r="R2755" i="1" s="1"/>
  <c r="R2754" i="1" s="1"/>
  <c r="O2731" i="1"/>
  <c r="O2732" i="1" s="1"/>
  <c r="O2707" i="1"/>
  <c r="O2708" i="1" s="1"/>
  <c r="O2759" i="1"/>
  <c r="O2760" i="1" s="1"/>
  <c r="O2846" i="1"/>
  <c r="O2847" i="1" s="1"/>
  <c r="O2782" i="1"/>
  <c r="O2783" i="1" s="1"/>
  <c r="O2661" i="1"/>
  <c r="O2662" i="1" s="1"/>
  <c r="O2906" i="1"/>
  <c r="O2907" i="1" s="1"/>
  <c r="O2679" i="1"/>
  <c r="O2680" i="1" s="1"/>
  <c r="O2895" i="1"/>
  <c r="O2896" i="1" s="1"/>
  <c r="O2684" i="1"/>
  <c r="O2685" i="1" s="1"/>
  <c r="O2930" i="1"/>
  <c r="O2931" i="1" s="1"/>
  <c r="O2703" i="1"/>
  <c r="O2704" i="1" s="1"/>
  <c r="O2792" i="1"/>
  <c r="O2793" i="1" s="1"/>
  <c r="O2794" i="1" s="1"/>
  <c r="Q2708" i="1"/>
  <c r="Q2707" i="1" s="1"/>
  <c r="Q2722" i="1"/>
  <c r="Q2721" i="1" s="1"/>
  <c r="Q2720" i="1" s="1"/>
  <c r="Q2719" i="1" s="1"/>
  <c r="Q2718" i="1" s="1"/>
  <c r="Q2717" i="1" s="1"/>
  <c r="Q2716" i="1" s="1"/>
  <c r="Q2715" i="1" s="1"/>
  <c r="Q2714" i="1" s="1"/>
  <c r="Q2713" i="1" s="1"/>
  <c r="Q2752" i="1"/>
  <c r="Q2751" i="1" s="1"/>
  <c r="Q2750" i="1" s="1"/>
  <c r="Q2749" i="1" s="1"/>
  <c r="Q2748" i="1" s="1"/>
  <c r="Q2747" i="1" s="1"/>
  <c r="Q2746" i="1" s="1"/>
  <c r="Q2887" i="1"/>
  <c r="Q2886" i="1" s="1"/>
  <c r="Q2885" i="1" s="1"/>
  <c r="Q2884" i="1" s="1"/>
  <c r="Q2883" i="1" s="1"/>
  <c r="Q2882" i="1" s="1"/>
  <c r="Q2833" i="1"/>
  <c r="Q2832" i="1" s="1"/>
  <c r="Q2831" i="1" s="1"/>
  <c r="Q2921" i="1"/>
  <c r="Q2920" i="1" s="1"/>
  <c r="Q2919" i="1" s="1"/>
  <c r="Q2918" i="1" s="1"/>
  <c r="Q2917" i="1" s="1"/>
  <c r="Q2828" i="1"/>
  <c r="Q2827" i="1" s="1"/>
  <c r="Q2826" i="1" s="1"/>
  <c r="Q2728" i="1"/>
  <c r="Q2727" i="1" s="1"/>
  <c r="Q2726" i="1" s="1"/>
  <c r="Q2725" i="1" s="1"/>
  <c r="Q2724" i="1" s="1"/>
  <c r="O2666" i="1"/>
  <c r="O2667" i="1" s="1"/>
  <c r="Q2760" i="1"/>
  <c r="Q2759" i="1" s="1"/>
  <c r="Q2758" i="1" s="1"/>
  <c r="Q2801" i="1"/>
  <c r="Q2800" i="1" s="1"/>
  <c r="Q2799" i="1" s="1"/>
  <c r="Q2798" i="1" s="1"/>
  <c r="Q2797" i="1" s="1"/>
  <c r="Q2794" i="1"/>
  <c r="Q2793" i="1" s="1"/>
  <c r="Q2792" i="1" s="1"/>
  <c r="Q2664" i="1"/>
  <c r="Q2663" i="1" s="1"/>
  <c r="Q2662" i="1" s="1"/>
  <c r="Q2661" i="1" s="1"/>
  <c r="Q2812" i="1"/>
  <c r="Q2811" i="1" s="1"/>
  <c r="Q2810" i="1" s="1"/>
  <c r="Q2904" i="1"/>
  <c r="Q2903" i="1" s="1"/>
  <c r="Q2902" i="1" s="1"/>
  <c r="Q2777" i="1"/>
  <c r="Q2776" i="1" s="1"/>
  <c r="Q2775" i="1" s="1"/>
  <c r="Q2774" i="1" s="1"/>
  <c r="Q2773" i="1" s="1"/>
  <c r="Q2772" i="1" s="1"/>
  <c r="Q2771" i="1" s="1"/>
  <c r="Q2770" i="1" s="1"/>
  <c r="Q2769" i="1" s="1"/>
  <c r="Q2768" i="1" s="1"/>
  <c r="Q2767" i="1" s="1"/>
  <c r="Q2766" i="1" s="1"/>
  <c r="Q2669" i="1"/>
  <c r="Q2668" i="1" s="1"/>
  <c r="Q2667" i="1" s="1"/>
  <c r="Q2666" i="1" s="1"/>
  <c r="Q2764" i="1"/>
  <c r="Q2763" i="1" s="1"/>
  <c r="Q2762" i="1" s="1"/>
  <c r="Q2862" i="1"/>
  <c r="Q2861" i="1" s="1"/>
  <c r="Q2860" i="1" s="1"/>
  <c r="Q2859" i="1" s="1"/>
  <c r="Q2858" i="1" s="1"/>
  <c r="Q2857" i="1" s="1"/>
  <c r="Q2856" i="1" s="1"/>
  <c r="Q2855" i="1" s="1"/>
  <c r="Q2854" i="1" s="1"/>
  <c r="O2692" i="1"/>
  <c r="O2693" i="1" s="1"/>
  <c r="O2694" i="1" s="1"/>
  <c r="Q2916" i="1"/>
  <c r="Q2915" i="1" s="1"/>
  <c r="Q2914" i="1" s="1"/>
  <c r="Q2913" i="1" s="1"/>
  <c r="Q2912" i="1" s="1"/>
  <c r="Q2911" i="1" s="1"/>
  <c r="Q2841" i="1"/>
  <c r="Q2840" i="1" s="1"/>
  <c r="Q2839" i="1" s="1"/>
  <c r="Q2838" i="1" s="1"/>
  <c r="Q2837" i="1" s="1"/>
  <c r="Q2836" i="1" s="1"/>
  <c r="Q2835" i="1" s="1"/>
  <c r="Q2893" i="1"/>
  <c r="Q2892" i="1" s="1"/>
  <c r="Q2891" i="1" s="1"/>
  <c r="Q2932" i="1"/>
  <c r="Q2931" i="1" s="1"/>
  <c r="Q2930" i="1" s="1"/>
  <c r="Q2808" i="1"/>
  <c r="Q2807" i="1" s="1"/>
  <c r="Q2806" i="1" s="1"/>
  <c r="Q2805" i="1" s="1"/>
  <c r="Q2804" i="1" s="1"/>
  <c r="Q2744" i="1"/>
  <c r="Q2743" i="1" s="1"/>
  <c r="Q2742" i="1" s="1"/>
  <c r="Q2741" i="1" s="1"/>
  <c r="Q2740" i="1" s="1"/>
  <c r="Q2739" i="1" s="1"/>
  <c r="Q2738" i="1" s="1"/>
  <c r="Q2737" i="1" s="1"/>
  <c r="Q2735" i="1"/>
  <c r="Q2734" i="1" s="1"/>
  <c r="Q2733" i="1" s="1"/>
  <c r="Q2732" i="1" s="1"/>
  <c r="Q2731" i="1" s="1"/>
  <c r="Q2730" i="1" s="1"/>
  <c r="Q2878" i="1"/>
  <c r="Q2877" i="1" s="1"/>
  <c r="Q2876" i="1" s="1"/>
  <c r="Q2875" i="1" s="1"/>
  <c r="Q2874" i="1" s="1"/>
  <c r="Q2873" i="1" s="1"/>
  <c r="Q2872" i="1" s="1"/>
  <c r="Q2871" i="1" s="1"/>
  <c r="Q2870" i="1" s="1"/>
  <c r="Q2869" i="1" s="1"/>
  <c r="Q2868" i="1" s="1"/>
  <c r="Q2867" i="1" s="1"/>
  <c r="Q2866" i="1" s="1"/>
  <c r="Q2865" i="1" s="1"/>
  <c r="Q2864" i="1" s="1"/>
  <c r="Q2863" i="1" s="1"/>
  <c r="Q2908" i="1"/>
  <c r="Q2907" i="1" s="1"/>
  <c r="Q2906" i="1" s="1"/>
  <c r="Q2676" i="1"/>
  <c r="Q2675" i="1" s="1"/>
  <c r="Q2674" i="1" s="1"/>
  <c r="Q2673" i="1" s="1"/>
  <c r="Q2672" i="1" s="1"/>
  <c r="Q2671" i="1" s="1"/>
  <c r="Q2825" i="1"/>
  <c r="Q2824" i="1" s="1"/>
  <c r="Q2823" i="1" s="1"/>
  <c r="Q2822" i="1" s="1"/>
  <c r="Q2821" i="1" s="1"/>
  <c r="Q2820" i="1" s="1"/>
  <c r="S2791" i="1"/>
  <c r="T2791" i="1" s="1"/>
  <c r="Q2817" i="1"/>
  <c r="Q2816" i="1" s="1"/>
  <c r="Q2815" i="1" s="1"/>
  <c r="Q2814" i="1" s="1"/>
  <c r="R2684" i="1"/>
  <c r="Q2681" i="1"/>
  <c r="Q2680" i="1" s="1"/>
  <c r="Q2679" i="1" s="1"/>
  <c r="R2692" i="1"/>
  <c r="Q2783" i="1"/>
  <c r="Q2782" i="1" s="1"/>
  <c r="Q2781" i="1" s="1"/>
  <c r="R2792" i="1"/>
  <c r="R2661" i="1" l="1"/>
  <c r="R2782" i="1"/>
  <c r="R2781" i="1" s="1"/>
  <c r="S2783" i="1"/>
  <c r="S2782" i="1" s="1"/>
  <c r="R2783" i="1"/>
  <c r="O2784" i="1"/>
  <c r="R2666" i="1"/>
  <c r="R2930" i="1"/>
  <c r="R2793" i="1"/>
  <c r="S2793" i="1"/>
  <c r="R2895" i="1"/>
  <c r="O2740" i="1"/>
  <c r="R2694" i="1"/>
  <c r="S2694" i="1"/>
  <c r="T2694" i="1" s="1"/>
  <c r="S2704" i="1"/>
  <c r="T2704" i="1" s="1"/>
  <c r="R2704" i="1"/>
  <c r="O2673" i="1"/>
  <c r="R2672" i="1"/>
  <c r="R2671" i="1" s="1"/>
  <c r="O2795" i="1"/>
  <c r="S2795" i="1" s="1"/>
  <c r="T2795" i="1" s="1"/>
  <c r="S2794" i="1"/>
  <c r="T2794" i="1" s="1"/>
  <c r="R2794" i="1"/>
  <c r="O2764" i="1"/>
  <c r="R2764" i="1" s="1"/>
  <c r="R2763" i="1" s="1"/>
  <c r="R2762" i="1" s="1"/>
  <c r="S2790" i="1"/>
  <c r="T2790" i="1" s="1"/>
  <c r="R2693" i="1"/>
  <c r="S2693" i="1"/>
  <c r="T2693" i="1" s="1"/>
  <c r="R2739" i="1"/>
  <c r="R2738" i="1" s="1"/>
  <c r="R2737" i="1" s="1"/>
  <c r="R2906" i="1"/>
  <c r="R2846" i="1"/>
  <c r="O2668" i="1"/>
  <c r="S2667" i="1"/>
  <c r="R2667" i="1"/>
  <c r="O2681" i="1"/>
  <c r="R2680" i="1"/>
  <c r="R2679" i="1" s="1"/>
  <c r="S2847" i="1"/>
  <c r="O2848" i="1"/>
  <c r="R2847" i="1"/>
  <c r="O2908" i="1"/>
  <c r="R2907" i="1"/>
  <c r="S2907" i="1"/>
  <c r="S2662" i="1"/>
  <c r="R2662" i="1"/>
  <c r="O2663" i="1"/>
  <c r="O2761" i="1"/>
  <c r="R2760" i="1"/>
  <c r="R2759" i="1" s="1"/>
  <c r="R2758" i="1" s="1"/>
  <c r="O2932" i="1"/>
  <c r="R2931" i="1"/>
  <c r="S2931" i="1"/>
  <c r="S2703" i="1"/>
  <c r="O2686" i="1"/>
  <c r="R2685" i="1"/>
  <c r="S2685" i="1"/>
  <c r="R2896" i="1"/>
  <c r="O2897" i="1"/>
  <c r="S2896" i="1"/>
  <c r="O2733" i="1"/>
  <c r="O2757" i="1"/>
  <c r="O2765" i="1"/>
  <c r="O2709" i="1"/>
  <c r="R2703" i="1"/>
  <c r="S2784" i="1"/>
  <c r="T2784" i="1" s="1"/>
  <c r="O2796" i="1" l="1"/>
  <c r="T2783" i="1"/>
  <c r="R2795" i="1"/>
  <c r="T2703" i="1"/>
  <c r="R2784" i="1"/>
  <c r="O2785" i="1"/>
  <c r="O2741" i="1"/>
  <c r="R2740" i="1"/>
  <c r="S2740" i="1"/>
  <c r="T2793" i="1"/>
  <c r="S2792" i="1"/>
  <c r="T2792" i="1" s="1"/>
  <c r="S2692" i="1"/>
  <c r="T2692" i="1" s="1"/>
  <c r="O2674" i="1"/>
  <c r="S2673" i="1"/>
  <c r="R2673" i="1"/>
  <c r="S2781" i="1"/>
  <c r="T2781" i="1" s="1"/>
  <c r="T2782" i="1"/>
  <c r="S2848" i="1"/>
  <c r="T2848" i="1" s="1"/>
  <c r="O2849" i="1"/>
  <c r="R2848" i="1"/>
  <c r="O2734" i="1"/>
  <c r="R2733" i="1"/>
  <c r="R2732" i="1" s="1"/>
  <c r="R2731" i="1" s="1"/>
  <c r="R2730" i="1" s="1"/>
  <c r="S2846" i="1"/>
  <c r="T2846" i="1" s="1"/>
  <c r="T2847" i="1"/>
  <c r="S2757" i="1"/>
  <c r="R2757" i="1"/>
  <c r="T2931" i="1"/>
  <c r="S2930" i="1"/>
  <c r="T2930" i="1" s="1"/>
  <c r="S2761" i="1"/>
  <c r="R2761" i="1"/>
  <c r="O2664" i="1"/>
  <c r="S2663" i="1"/>
  <c r="T2663" i="1" s="1"/>
  <c r="R2663" i="1"/>
  <c r="S2906" i="1"/>
  <c r="T2906" i="1" s="1"/>
  <c r="T2907" i="1"/>
  <c r="S2932" i="1"/>
  <c r="T2932" i="1" s="1"/>
  <c r="R2932" i="1"/>
  <c r="O2933" i="1"/>
  <c r="O2682" i="1"/>
  <c r="S2681" i="1"/>
  <c r="R2681" i="1"/>
  <c r="R2897" i="1"/>
  <c r="S2897" i="1"/>
  <c r="T2897" i="1" s="1"/>
  <c r="O2898" i="1"/>
  <c r="S2796" i="1"/>
  <c r="T2796" i="1" s="1"/>
  <c r="R2796" i="1"/>
  <c r="T2685" i="1"/>
  <c r="S2684" i="1"/>
  <c r="T2684" i="1" s="1"/>
  <c r="T2662" i="1"/>
  <c r="S2661" i="1"/>
  <c r="T2661" i="1" s="1"/>
  <c r="S2908" i="1"/>
  <c r="T2908" i="1" s="1"/>
  <c r="R2908" i="1"/>
  <c r="O2909" i="1"/>
  <c r="R2709" i="1"/>
  <c r="R2708" i="1" s="1"/>
  <c r="R2707" i="1" s="1"/>
  <c r="O2710" i="1"/>
  <c r="S2666" i="1"/>
  <c r="T2666" i="1" s="1"/>
  <c r="T2667" i="1"/>
  <c r="S2765" i="1"/>
  <c r="R2765" i="1"/>
  <c r="T2896" i="1"/>
  <c r="S2895" i="1"/>
  <c r="T2895" i="1" s="1"/>
  <c r="S2686" i="1"/>
  <c r="T2686" i="1" s="1"/>
  <c r="O2687" i="1"/>
  <c r="R2686" i="1"/>
  <c r="O2669" i="1"/>
  <c r="R2668" i="1"/>
  <c r="S2668" i="1"/>
  <c r="T2668" i="1" s="1"/>
  <c r="S2785" i="1" l="1"/>
  <c r="T2785" i="1" s="1"/>
  <c r="R2785" i="1"/>
  <c r="T2740" i="1"/>
  <c r="S2739" i="1"/>
  <c r="O2742" i="1"/>
  <c r="S2741" i="1"/>
  <c r="T2741" i="1" s="1"/>
  <c r="R2741" i="1"/>
  <c r="S2672" i="1"/>
  <c r="T2673" i="1"/>
  <c r="O2675" i="1"/>
  <c r="R2674" i="1"/>
  <c r="S2674" i="1"/>
  <c r="T2674" i="1" s="1"/>
  <c r="O2670" i="1"/>
  <c r="S2669" i="1"/>
  <c r="T2669" i="1" s="1"/>
  <c r="R2669" i="1"/>
  <c r="O2910" i="1"/>
  <c r="R2909" i="1"/>
  <c r="S2909" i="1"/>
  <c r="T2909" i="1" s="1"/>
  <c r="R2898" i="1"/>
  <c r="S2898" i="1"/>
  <c r="T2898" i="1" s="1"/>
  <c r="O2665" i="1"/>
  <c r="R2664" i="1"/>
  <c r="S2664" i="1"/>
  <c r="T2664" i="1" s="1"/>
  <c r="T2761" i="1"/>
  <c r="S2760" i="1"/>
  <c r="T2765" i="1"/>
  <c r="S2764" i="1"/>
  <c r="S2734" i="1"/>
  <c r="R2734" i="1"/>
  <c r="O2735" i="1"/>
  <c r="S2687" i="1"/>
  <c r="T2687" i="1" s="1"/>
  <c r="R2687" i="1"/>
  <c r="S2710" i="1"/>
  <c r="O2711" i="1"/>
  <c r="R2710" i="1"/>
  <c r="T2681" i="1"/>
  <c r="S2680" i="1"/>
  <c r="O2683" i="1"/>
  <c r="R2682" i="1"/>
  <c r="S2682" i="1"/>
  <c r="T2682" i="1" s="1"/>
  <c r="R2849" i="1"/>
  <c r="O2850" i="1"/>
  <c r="S2849" i="1"/>
  <c r="T2849" i="1" s="1"/>
  <c r="S2933" i="1"/>
  <c r="T2933" i="1" s="1"/>
  <c r="R2933" i="1"/>
  <c r="T2757" i="1"/>
  <c r="S2756" i="1"/>
  <c r="O2743" i="1" l="1"/>
  <c r="R2742" i="1"/>
  <c r="S2742" i="1"/>
  <c r="T2742" i="1" s="1"/>
  <c r="T2739" i="1"/>
  <c r="S2738" i="1"/>
  <c r="S2675" i="1"/>
  <c r="T2675" i="1" s="1"/>
  <c r="O2676" i="1"/>
  <c r="R2675" i="1"/>
  <c r="S2671" i="1"/>
  <c r="T2671" i="1" s="1"/>
  <c r="T2672" i="1"/>
  <c r="T2764" i="1"/>
  <c r="S2763" i="1"/>
  <c r="T2710" i="1"/>
  <c r="S2709" i="1"/>
  <c r="R2683" i="1"/>
  <c r="S2683" i="1"/>
  <c r="T2683" i="1" s="1"/>
  <c r="O2736" i="1"/>
  <c r="R2735" i="1"/>
  <c r="S2735" i="1"/>
  <c r="T2735" i="1" s="1"/>
  <c r="S2759" i="1"/>
  <c r="T2760" i="1"/>
  <c r="T2680" i="1"/>
  <c r="S2679" i="1"/>
  <c r="T2679" i="1" s="1"/>
  <c r="R2910" i="1"/>
  <c r="S2910" i="1"/>
  <c r="T2910" i="1" s="1"/>
  <c r="T2734" i="1"/>
  <c r="S2733" i="1"/>
  <c r="T2756" i="1"/>
  <c r="S2755" i="1"/>
  <c r="S2850" i="1"/>
  <c r="T2850" i="1" s="1"/>
  <c r="R2850" i="1"/>
  <c r="O2712" i="1"/>
  <c r="S2711" i="1"/>
  <c r="T2711" i="1" s="1"/>
  <c r="R2711" i="1"/>
  <c r="S2665" i="1"/>
  <c r="T2665" i="1" s="1"/>
  <c r="R2665" i="1"/>
  <c r="S2670" i="1"/>
  <c r="T2670" i="1" s="1"/>
  <c r="R2670" i="1"/>
  <c r="S2737" i="1" l="1"/>
  <c r="T2737" i="1" s="1"/>
  <c r="T2738" i="1"/>
  <c r="R2743" i="1"/>
  <c r="S2743" i="1"/>
  <c r="T2743" i="1" s="1"/>
  <c r="O2744" i="1"/>
  <c r="O2677" i="1"/>
  <c r="R2676" i="1"/>
  <c r="S2676" i="1"/>
  <c r="T2676" i="1" s="1"/>
  <c r="S2736" i="1"/>
  <c r="T2736" i="1" s="1"/>
  <c r="R2736" i="1"/>
  <c r="T2709" i="1"/>
  <c r="S2708" i="1"/>
  <c r="S2754" i="1"/>
  <c r="T2754" i="1" s="1"/>
  <c r="T2755" i="1"/>
  <c r="S2758" i="1"/>
  <c r="T2758" i="1" s="1"/>
  <c r="T2759" i="1"/>
  <c r="S2762" i="1"/>
  <c r="T2762" i="1" s="1"/>
  <c r="T2763" i="1"/>
  <c r="S2712" i="1"/>
  <c r="T2712" i="1" s="1"/>
  <c r="R2712" i="1"/>
  <c r="T2733" i="1"/>
  <c r="S2732" i="1"/>
  <c r="R2744" i="1" l="1"/>
  <c r="S2744" i="1"/>
  <c r="T2744" i="1" s="1"/>
  <c r="O2745" i="1"/>
  <c r="S2677" i="1"/>
  <c r="T2677" i="1" s="1"/>
  <c r="O2678" i="1"/>
  <c r="R2677" i="1"/>
  <c r="S2707" i="1"/>
  <c r="T2707" i="1" s="1"/>
  <c r="T2708" i="1"/>
  <c r="T2732" i="1"/>
  <c r="S2731" i="1"/>
  <c r="S2745" i="1" l="1"/>
  <c r="T2745" i="1" s="1"/>
  <c r="R2745" i="1"/>
  <c r="S2678" i="1"/>
  <c r="T2678" i="1" s="1"/>
  <c r="R2678" i="1"/>
  <c r="T2731" i="1"/>
  <c r="S2730" i="1"/>
  <c r="T2730" i="1" s="1"/>
  <c r="W1133" i="1"/>
  <c r="W1134" i="1" s="1"/>
  <c r="W1135" i="1" s="1"/>
  <c r="W1136" i="1" s="1"/>
  <c r="W1137" i="1" s="1"/>
  <c r="W1138" i="1" s="1"/>
  <c r="BC75" i="1" s="1"/>
  <c r="W970" i="1"/>
  <c r="W971" i="1" s="1"/>
  <c r="W972" i="1" s="1"/>
  <c r="W973" i="1" s="1"/>
  <c r="W974" i="1" s="1"/>
  <c r="W975" i="1" s="1"/>
  <c r="W976" i="1" s="1"/>
  <c r="W977" i="1" s="1"/>
  <c r="W978" i="1" s="1"/>
  <c r="W979" i="1" s="1"/>
  <c r="W980" i="1" s="1"/>
  <c r="W981" i="1" s="1"/>
  <c r="W982" i="1" s="1"/>
  <c r="W983" i="1" s="1"/>
  <c r="W984" i="1" s="1"/>
  <c r="W985" i="1" s="1"/>
  <c r="W986" i="1" s="1"/>
  <c r="W987" i="1" s="1"/>
  <c r="W988" i="1" s="1"/>
  <c r="W989" i="1" s="1"/>
  <c r="W990" i="1" s="1"/>
  <c r="W991" i="1" s="1"/>
  <c r="W992" i="1" s="1"/>
  <c r="W993" i="1" s="1"/>
  <c r="W994" i="1" s="1"/>
  <c r="W995" i="1" s="1"/>
  <c r="W996" i="1" s="1"/>
  <c r="W997" i="1" s="1"/>
  <c r="W998" i="1" s="1"/>
  <c r="W999" i="1" s="1"/>
  <c r="W1000" i="1" s="1"/>
  <c r="W1001" i="1" s="1"/>
  <c r="W1002" i="1" s="1"/>
  <c r="W1003" i="1" s="1"/>
  <c r="W1004" i="1" s="1"/>
  <c r="W1005" i="1" s="1"/>
  <c r="W1006" i="1" s="1"/>
  <c r="W1007" i="1" s="1"/>
  <c r="W1008" i="1" s="1"/>
  <c r="W1009" i="1" s="1"/>
  <c r="W1010" i="1" s="1"/>
  <c r="W1011" i="1" s="1"/>
  <c r="W1012" i="1" s="1"/>
  <c r="W1013" i="1" s="1"/>
  <c r="W1014" i="1" s="1"/>
  <c r="W1015" i="1" s="1"/>
  <c r="W1016" i="1" s="1"/>
  <c r="W1017" i="1" s="1"/>
  <c r="W1018" i="1" s="1"/>
  <c r="W1019" i="1" s="1"/>
  <c r="W1020" i="1" s="1"/>
  <c r="W1021" i="1" s="1"/>
  <c r="W1022" i="1" s="1"/>
  <c r="W1023" i="1" s="1"/>
  <c r="W1024" i="1" s="1"/>
  <c r="W1025" i="1" s="1"/>
  <c r="W1026" i="1" s="1"/>
  <c r="W1027" i="1" s="1"/>
  <c r="W1028" i="1" s="1"/>
  <c r="W1029" i="1" s="1"/>
  <c r="W1030" i="1" s="1"/>
  <c r="W1031" i="1" s="1"/>
  <c r="W1032" i="1" s="1"/>
  <c r="W1033" i="1" s="1"/>
  <c r="W1034" i="1" s="1"/>
  <c r="W1035" i="1" s="1"/>
  <c r="W1036" i="1" s="1"/>
  <c r="W1037" i="1" s="1"/>
  <c r="W1038" i="1" s="1"/>
  <c r="W1039" i="1" s="1"/>
  <c r="W1040" i="1" s="1"/>
  <c r="W1041" i="1" s="1"/>
  <c r="W1042" i="1" s="1"/>
  <c r="W1043" i="1" s="1"/>
  <c r="W1044" i="1" s="1"/>
  <c r="W1045" i="1" s="1"/>
  <c r="W1046" i="1" s="1"/>
  <c r="W1047" i="1" s="1"/>
  <c r="W1048" i="1" s="1"/>
  <c r="W1049" i="1" s="1"/>
  <c r="W1050" i="1" s="1"/>
  <c r="W1051" i="1" s="1"/>
  <c r="W1052" i="1" s="1"/>
  <c r="W1053" i="1" s="1"/>
  <c r="W1054" i="1" s="1"/>
  <c r="W1055" i="1" s="1"/>
  <c r="W1056" i="1" s="1"/>
  <c r="W1057" i="1" s="1"/>
  <c r="W1058" i="1" s="1"/>
  <c r="W1059" i="1" s="1"/>
  <c r="W1060" i="1" s="1"/>
  <c r="W1061" i="1" s="1"/>
  <c r="W1062" i="1" s="1"/>
  <c r="W1063" i="1" s="1"/>
  <c r="W1064" i="1" s="1"/>
  <c r="W1065" i="1" s="1"/>
  <c r="W1066" i="1" s="1"/>
  <c r="W1067" i="1" s="1"/>
  <c r="W1068" i="1" s="1"/>
  <c r="W1069" i="1" s="1"/>
  <c r="W1070" i="1" s="1"/>
  <c r="W1071" i="1" s="1"/>
  <c r="W1072" i="1" s="1"/>
  <c r="W1073" i="1" s="1"/>
  <c r="W1074" i="1" s="1"/>
  <c r="W1075" i="1" s="1"/>
  <c r="W1076" i="1" s="1"/>
  <c r="W1077" i="1" s="1"/>
  <c r="W1078" i="1" s="1"/>
  <c r="W1079" i="1" s="1"/>
  <c r="W1080" i="1" s="1"/>
  <c r="W1081" i="1" s="1"/>
  <c r="W1082" i="1" s="1"/>
  <c r="W1083" i="1" s="1"/>
  <c r="W1084" i="1" s="1"/>
  <c r="W1085" i="1" s="1"/>
  <c r="W1086" i="1" s="1"/>
  <c r="W1087" i="1" s="1"/>
  <c r="W1088" i="1" s="1"/>
  <c r="W1089" i="1" s="1"/>
  <c r="W1090" i="1" s="1"/>
  <c r="W1091" i="1" s="1"/>
  <c r="W1092" i="1" s="1"/>
  <c r="W1093" i="1" s="1"/>
  <c r="W1094" i="1" s="1"/>
  <c r="W1095" i="1" s="1"/>
  <c r="W1096" i="1" s="1"/>
  <c r="W1097" i="1" s="1"/>
  <c r="W1098" i="1" s="1"/>
  <c r="W1099" i="1" s="1"/>
  <c r="W1100" i="1" s="1"/>
  <c r="W1101" i="1" s="1"/>
  <c r="W1102" i="1" s="1"/>
  <c r="W1103" i="1" s="1"/>
  <c r="W1104" i="1" s="1"/>
  <c r="W1105" i="1" s="1"/>
  <c r="W1106" i="1" s="1"/>
  <c r="W1107" i="1" s="1"/>
  <c r="W1108" i="1" s="1"/>
  <c r="BC73" i="1" s="1"/>
  <c r="W1109" i="1"/>
  <c r="W1110" i="1" s="1"/>
  <c r="W1111" i="1" s="1"/>
  <c r="W1112" i="1" s="1"/>
  <c r="W1113" i="1" s="1"/>
  <c r="W1114" i="1" s="1"/>
  <c r="W1115" i="1" s="1"/>
  <c r="W1116" i="1" s="1"/>
  <c r="W1117" i="1" s="1"/>
  <c r="W1118" i="1" s="1"/>
  <c r="W1119" i="1" s="1"/>
  <c r="W1120" i="1" s="1"/>
  <c r="W1121" i="1" s="1"/>
  <c r="W1122" i="1" s="1"/>
  <c r="W1123" i="1" s="1"/>
  <c r="W1124" i="1" s="1"/>
  <c r="W1125" i="1" s="1"/>
  <c r="W1126" i="1" s="1"/>
  <c r="W1127" i="1" s="1"/>
  <c r="W1128" i="1" s="1"/>
  <c r="W1129" i="1" s="1"/>
  <c r="W1130" i="1" s="1"/>
  <c r="W1131" i="1" s="1"/>
  <c r="W1132" i="1" s="1"/>
  <c r="BC74" i="1" s="1"/>
  <c r="W829" i="1"/>
  <c r="W830" i="1" s="1"/>
  <c r="W831" i="1" s="1"/>
  <c r="W832" i="1" s="1"/>
  <c r="W833" i="1" s="1"/>
  <c r="W834" i="1" s="1"/>
  <c r="W835" i="1" s="1"/>
  <c r="W836" i="1" s="1"/>
  <c r="W837" i="1" s="1"/>
  <c r="W838" i="1" s="1"/>
  <c r="W839" i="1" s="1"/>
  <c r="W840" i="1" s="1"/>
  <c r="W841" i="1" s="1"/>
  <c r="W842" i="1" s="1"/>
  <c r="W843" i="1" s="1"/>
  <c r="W844" i="1" s="1"/>
  <c r="W845" i="1" s="1"/>
  <c r="W846" i="1" s="1"/>
  <c r="W847" i="1" s="1"/>
  <c r="W848" i="1" s="1"/>
  <c r="W849" i="1" s="1"/>
  <c r="W850" i="1" s="1"/>
  <c r="W851" i="1" s="1"/>
  <c r="W852" i="1" s="1"/>
  <c r="W853" i="1" s="1"/>
  <c r="W854" i="1" s="1"/>
  <c r="W1139" i="1"/>
  <c r="W1140" i="1" s="1"/>
  <c r="W1141" i="1" s="1"/>
  <c r="W1142" i="1" s="1"/>
  <c r="W1143" i="1" s="1"/>
  <c r="W1144" i="1" s="1"/>
  <c r="W1145" i="1" s="1"/>
  <c r="W1146" i="1" s="1"/>
  <c r="W1147" i="1" s="1"/>
  <c r="W1148" i="1" s="1"/>
  <c r="W1149" i="1" s="1"/>
  <c r="W1150" i="1" s="1"/>
  <c r="W1151" i="1" s="1"/>
  <c r="BC76" i="1" s="1"/>
  <c r="BG73" i="1" l="1"/>
  <c r="BF73" i="1"/>
  <c r="BF75" i="1"/>
  <c r="BG75" i="1"/>
  <c r="BG76" i="1"/>
  <c r="BF76" i="1"/>
  <c r="BG74" i="1"/>
  <c r="BF74" i="1"/>
  <c r="W855" i="1"/>
  <c r="W856" i="1" s="1"/>
  <c r="W857" i="1" s="1"/>
  <c r="W858" i="1" s="1"/>
  <c r="W859" i="1" s="1"/>
  <c r="W860" i="1" s="1"/>
  <c r="W861" i="1" s="1"/>
  <c r="W862" i="1" s="1"/>
  <c r="W863" i="1" s="1"/>
  <c r="W864" i="1" s="1"/>
  <c r="W865" i="1" s="1"/>
  <c r="W866" i="1" s="1"/>
  <c r="W867" i="1" s="1"/>
  <c r="W868" i="1" s="1"/>
  <c r="W869" i="1" s="1"/>
  <c r="W870" i="1" s="1"/>
  <c r="W871" i="1" s="1"/>
  <c r="W872" i="1" s="1"/>
  <c r="W873" i="1" s="1"/>
  <c r="W874" i="1" s="1"/>
  <c r="W875" i="1" s="1"/>
  <c r="W876" i="1" s="1"/>
  <c r="W877" i="1" s="1"/>
  <c r="W878" i="1" s="1"/>
  <c r="W879" i="1" s="1"/>
  <c r="W880" i="1" s="1"/>
  <c r="W881" i="1" s="1"/>
  <c r="W882" i="1" s="1"/>
  <c r="W883" i="1" s="1"/>
  <c r="W884" i="1" s="1"/>
  <c r="W885" i="1" s="1"/>
  <c r="W886" i="1" s="1"/>
  <c r="W887" i="1" s="1"/>
  <c r="W888" i="1" s="1"/>
  <c r="W889" i="1" s="1"/>
  <c r="W890" i="1" s="1"/>
  <c r="W891" i="1" s="1"/>
  <c r="W892" i="1" s="1"/>
  <c r="W893" i="1" s="1"/>
  <c r="W894" i="1" s="1"/>
  <c r="W895" i="1" s="1"/>
  <c r="W896" i="1" s="1"/>
  <c r="W897" i="1" s="1"/>
  <c r="W898" i="1" s="1"/>
  <c r="W899" i="1" s="1"/>
  <c r="W900" i="1" s="1"/>
  <c r="W901" i="1" s="1"/>
  <c r="W902" i="1" s="1"/>
  <c r="W903" i="1" s="1"/>
  <c r="W904" i="1" s="1"/>
  <c r="W905" i="1" s="1"/>
  <c r="W906" i="1" s="1"/>
  <c r="W907" i="1" s="1"/>
  <c r="W908" i="1" s="1"/>
  <c r="W909" i="1" s="1"/>
  <c r="W910" i="1" s="1"/>
  <c r="W911" i="1" s="1"/>
  <c r="W912" i="1" s="1"/>
  <c r="W913" i="1" s="1"/>
  <c r="W914" i="1" s="1"/>
  <c r="W915" i="1" s="1"/>
  <c r="W916" i="1" s="1"/>
  <c r="W917" i="1" s="1"/>
  <c r="W918" i="1" s="1"/>
  <c r="W919" i="1" s="1"/>
  <c r="W920" i="1" s="1"/>
  <c r="W921" i="1" s="1"/>
  <c r="W922" i="1" s="1"/>
  <c r="W923" i="1" s="1"/>
  <c r="W924" i="1" s="1"/>
  <c r="W925" i="1" s="1"/>
  <c r="W926" i="1" s="1"/>
  <c r="W927" i="1" s="1"/>
  <c r="W928" i="1" s="1"/>
  <c r="W929" i="1" s="1"/>
  <c r="W930" i="1" s="1"/>
  <c r="W931" i="1" s="1"/>
  <c r="W932" i="1" s="1"/>
  <c r="W933" i="1" s="1"/>
  <c r="W934" i="1" s="1"/>
  <c r="W935" i="1" s="1"/>
  <c r="W936" i="1" s="1"/>
  <c r="W937" i="1" s="1"/>
  <c r="W938" i="1" s="1"/>
  <c r="W939" i="1" s="1"/>
  <c r="W940" i="1" s="1"/>
  <c r="W941" i="1" s="1"/>
  <c r="W942" i="1" s="1"/>
  <c r="W943" i="1" s="1"/>
  <c r="W944" i="1" s="1"/>
  <c r="W945" i="1" s="1"/>
  <c r="W946" i="1" s="1"/>
  <c r="W947" i="1" s="1"/>
  <c r="W948" i="1" s="1"/>
  <c r="W949" i="1" s="1"/>
  <c r="W950" i="1" s="1"/>
  <c r="W951" i="1" s="1"/>
  <c r="W952" i="1" s="1"/>
  <c r="W953" i="1" s="1"/>
  <c r="W954" i="1" s="1"/>
  <c r="W955" i="1" s="1"/>
  <c r="W956" i="1" s="1"/>
  <c r="W957" i="1" s="1"/>
  <c r="W958" i="1" s="1"/>
  <c r="W959" i="1" s="1"/>
  <c r="W960" i="1" s="1"/>
  <c r="W961" i="1" s="1"/>
  <c r="W962" i="1" s="1"/>
  <c r="W963" i="1" s="1"/>
  <c r="W964" i="1" s="1"/>
  <c r="W965" i="1" s="1"/>
  <c r="W966" i="1" s="1"/>
  <c r="W967" i="1" s="1"/>
  <c r="W968" i="1" s="1"/>
  <c r="W969" i="1" s="1"/>
  <c r="BC72" i="1" s="1"/>
  <c r="BG72" i="1" l="1"/>
  <c r="BF72" i="1"/>
  <c r="W780" i="1"/>
  <c r="W781" i="1" s="1"/>
  <c r="W782" i="1" s="1"/>
  <c r="W783" i="1" s="1"/>
  <c r="W784" i="1" s="1"/>
  <c r="W785" i="1" s="1"/>
  <c r="W786" i="1" s="1"/>
  <c r="W787" i="1" s="1"/>
  <c r="W788" i="1" s="1"/>
  <c r="W789" i="1" s="1"/>
  <c r="W790" i="1" s="1"/>
  <c r="W791" i="1" s="1"/>
  <c r="W792" i="1" s="1"/>
  <c r="W793" i="1" s="1"/>
  <c r="W794" i="1" s="1"/>
  <c r="W795" i="1" s="1"/>
  <c r="W796" i="1" s="1"/>
  <c r="W797" i="1" s="1"/>
  <c r="W798" i="1" s="1"/>
  <c r="W799" i="1" s="1"/>
  <c r="W800" i="1" s="1"/>
  <c r="W801" i="1" s="1"/>
  <c r="W802" i="1" s="1"/>
  <c r="W803" i="1" s="1"/>
  <c r="W804" i="1" s="1"/>
  <c r="W805" i="1" s="1"/>
  <c r="W806" i="1" s="1"/>
  <c r="W807" i="1" s="1"/>
  <c r="W808" i="1" s="1"/>
  <c r="W809" i="1" s="1"/>
  <c r="W810" i="1" s="1"/>
  <c r="W811" i="1" s="1"/>
  <c r="W812" i="1" s="1"/>
  <c r="W813" i="1" s="1"/>
  <c r="W814" i="1" s="1"/>
  <c r="W815" i="1" s="1"/>
  <c r="W816" i="1" s="1"/>
  <c r="W817" i="1" s="1"/>
  <c r="W818" i="1" s="1"/>
  <c r="W819" i="1" s="1"/>
  <c r="W820" i="1" s="1"/>
  <c r="W821" i="1" s="1"/>
  <c r="W822" i="1" s="1"/>
  <c r="W823" i="1" s="1"/>
  <c r="W824" i="1" s="1"/>
  <c r="W825" i="1" s="1"/>
  <c r="W826" i="1" s="1"/>
  <c r="W827" i="1" s="1"/>
  <c r="W828" i="1" s="1"/>
  <c r="BC71" i="1" s="1"/>
  <c r="BF71" i="1" l="1"/>
  <c r="BG71" i="1"/>
  <c r="A83" i="15"/>
  <c r="A84" i="15" s="1"/>
  <c r="A87" i="15" s="1"/>
  <c r="F134" i="15"/>
  <c r="I134" i="15" s="1"/>
  <c r="F133" i="15"/>
  <c r="H133" i="15" s="1"/>
  <c r="F132" i="15"/>
  <c r="I132" i="15" s="1"/>
  <c r="A32" i="15"/>
  <c r="A107" i="15" s="1"/>
  <c r="B2" i="15"/>
  <c r="B27" i="15" l="1"/>
  <c r="B16" i="15"/>
  <c r="I133" i="15"/>
  <c r="J133" i="15" s="1"/>
  <c r="L133" i="15"/>
  <c r="B5" i="15"/>
  <c r="G5" i="15" s="1"/>
  <c r="B10" i="15"/>
  <c r="L134" i="15"/>
  <c r="H134" i="15"/>
  <c r="J134" i="15" s="1"/>
  <c r="E8" i="15" s="1"/>
  <c r="F23" i="15"/>
  <c r="F22" i="15"/>
  <c r="F25" i="15"/>
  <c r="F24" i="15"/>
  <c r="F20" i="15"/>
  <c r="F21" i="15"/>
  <c r="P132" i="15"/>
  <c r="B6" i="15"/>
  <c r="P134" i="15"/>
  <c r="B8" i="15"/>
  <c r="B24" i="15"/>
  <c r="E24" i="15" s="1"/>
  <c r="B22" i="15"/>
  <c r="E22" i="15" s="1"/>
  <c r="B23" i="15"/>
  <c r="E23" i="15" s="1"/>
  <c r="G23" i="15" s="1"/>
  <c r="B3" i="15"/>
  <c r="G3" i="15" s="1"/>
  <c r="G2" i="15"/>
  <c r="H132" i="15"/>
  <c r="J132" i="15" s="1"/>
  <c r="E6" i="15" s="1"/>
  <c r="B21" i="15"/>
  <c r="E21" i="15" s="1"/>
  <c r="B20" i="15"/>
  <c r="E20" i="15" s="1"/>
  <c r="B4" i="15"/>
  <c r="G4" i="15" s="1"/>
  <c r="B26" i="15"/>
  <c r="G26" i="15" s="1"/>
  <c r="L132" i="15"/>
  <c r="B25" i="15"/>
  <c r="E25" i="15" s="1"/>
  <c r="R133" i="15" l="1"/>
  <c r="K133" i="15"/>
  <c r="M133" i="15" s="1"/>
  <c r="N133" i="15" s="1"/>
  <c r="E7" i="15"/>
  <c r="B7" i="15"/>
  <c r="P133" i="15"/>
  <c r="G22" i="15"/>
  <c r="K134" i="15"/>
  <c r="M134" i="15" s="1"/>
  <c r="N134" i="15" s="1"/>
  <c r="F8" i="15" s="1"/>
  <c r="G8" i="15" s="1"/>
  <c r="B18" i="15"/>
  <c r="G18" i="15" s="1"/>
  <c r="G19" i="15" s="1"/>
  <c r="G25" i="15" s="1"/>
  <c r="G10" i="15"/>
  <c r="G27" i="15"/>
  <c r="K132" i="15"/>
  <c r="M132" i="15" s="1"/>
  <c r="N132" i="15" s="1"/>
  <c r="F7" i="15"/>
  <c r="G7" i="15" s="1"/>
  <c r="O133" i="15"/>
  <c r="G24" i="15"/>
  <c r="G20" i="15"/>
  <c r="G21" i="15"/>
  <c r="R132" i="15"/>
  <c r="O134" i="15" l="1"/>
  <c r="G14" i="15"/>
  <c r="O132" i="15"/>
  <c r="F6" i="15"/>
  <c r="G6" i="15" s="1"/>
  <c r="G12" i="15" s="1"/>
  <c r="G13" i="15"/>
</calcChain>
</file>

<file path=xl/sharedStrings.xml><?xml version="1.0" encoding="utf-8"?>
<sst xmlns="http://schemas.openxmlformats.org/spreadsheetml/2006/main" count="33411" uniqueCount="8774">
  <si>
    <t>line number</t>
  </si>
  <si>
    <t>party name</t>
  </si>
  <si>
    <t>total votes</t>
  </si>
  <si>
    <t>percent of votes</t>
  </si>
  <si>
    <t>registered voters</t>
  </si>
  <si>
    <t>ballots cast</t>
  </si>
  <si>
    <t>num Precinct total</t>
  </si>
  <si>
    <t>num Precinct rptg</t>
  </si>
  <si>
    <t>over votes</t>
  </si>
  <si>
    <t>under votes</t>
  </si>
  <si>
    <t>Judge of the Superior Court (Vote For 2)</t>
  </si>
  <si>
    <t>Beth Tarasi</t>
  </si>
  <si>
    <t>Dem</t>
  </si>
  <si>
    <t>Daniel D. McCaffery</t>
  </si>
  <si>
    <t>Amanda Green-Hawkins</t>
  </si>
  <si>
    <t>WRITE-IN</t>
  </si>
  <si>
    <t>Judge of the Court of Common Pleas (Vote For 1)</t>
  </si>
  <si>
    <t>George Heym</t>
  </si>
  <si>
    <t>Mary McGinley</t>
  </si>
  <si>
    <t>Richard J. Joyce</t>
  </si>
  <si>
    <t>Brian Samuel Malkin</t>
  </si>
  <si>
    <t>County Chief Executive (Vote For 1)</t>
  </si>
  <si>
    <t>Rich Fitzgerald</t>
  </si>
  <si>
    <t>County Controller (Vote For 1)</t>
  </si>
  <si>
    <t>Chelsa Wagner</t>
  </si>
  <si>
    <t>District Attorney (Vote For 1)</t>
  </si>
  <si>
    <t>Turahn Jenkins</t>
  </si>
  <si>
    <t>Stephen A. Zappala, Jr.</t>
  </si>
  <si>
    <t>County Treasurer (Vote For 1)</t>
  </si>
  <si>
    <t>John K. Weinstein</t>
  </si>
  <si>
    <t>Member of County Council At-Large (Vote For 1)</t>
  </si>
  <si>
    <t>Bethany Hallam</t>
  </si>
  <si>
    <t>John P. DeFazio</t>
  </si>
  <si>
    <t>Member of County Council DISTRICT 2 (Vote For 1)</t>
  </si>
  <si>
    <t>Christine Allen</t>
  </si>
  <si>
    <t>Member of County Council DISTRICT 5 (Vote For 1)</t>
  </si>
  <si>
    <t>Thomas Matthew Duerr</t>
  </si>
  <si>
    <t>Member of County Council DISTRICT 6 (Vote For 1)</t>
  </si>
  <si>
    <t>Joseph P. Rudolph</t>
  </si>
  <si>
    <t>John F. Palmiere</t>
  </si>
  <si>
    <t>Member of County Council DISTRICT 7 (Vote For 1)</t>
  </si>
  <si>
    <t>Nick Futules</t>
  </si>
  <si>
    <t>Member of County Council DISTRICT 10 (Vote For 1)</t>
  </si>
  <si>
    <t>DeWitt Walton</t>
  </si>
  <si>
    <t>Member of County Council DISTRICT 11 (Vote For 1)</t>
  </si>
  <si>
    <t>Paul Klein</t>
  </si>
  <si>
    <t>Member of County Council DISTRICT 13 (Vote For 1)</t>
  </si>
  <si>
    <t>Denise Ranalli Russell</t>
  </si>
  <si>
    <t>Olivia Bennett</t>
  </si>
  <si>
    <t>Controller CITYWIDE (Vote For 1)</t>
  </si>
  <si>
    <t>Michael E. Lamb</t>
  </si>
  <si>
    <t>Member of Council DISTRICT 1 (Vote For 1)</t>
  </si>
  <si>
    <t>Bobby Wilson</t>
  </si>
  <si>
    <t>Mark Brentley, Sr.</t>
  </si>
  <si>
    <t>Darlene M. Harris</t>
  </si>
  <si>
    <t>Member of Council DISTRICT 3 (Vote For 1)</t>
  </si>
  <si>
    <t>Chris Reilly Kumanchik</t>
  </si>
  <si>
    <t>Kenneth Wolfe</t>
  </si>
  <si>
    <t>Bruce A. Kraus</t>
  </si>
  <si>
    <t>Member of Council DISTRICT 5 (Vote For 1)</t>
  </si>
  <si>
    <t>Corey O'Connor</t>
  </si>
  <si>
    <t>Member of Council DISTRICT 7 (Vote For 1)</t>
  </si>
  <si>
    <t>Deb Gross</t>
  </si>
  <si>
    <t>Deirdre A. Kane</t>
  </si>
  <si>
    <t>Member of Council DISTRICT 9 (Vote For 1)</t>
  </si>
  <si>
    <t>Ricky V. Burgess</t>
  </si>
  <si>
    <t>Judith K. Ginyard</t>
  </si>
  <si>
    <t>Kierran Young</t>
  </si>
  <si>
    <t>Stephen Braxton</t>
  </si>
  <si>
    <t>Cherylie Fuller</t>
  </si>
  <si>
    <t>School Director DISTRICT 2 (Vote For 1)</t>
  </si>
  <si>
    <t>Nosakhere Griffin-El</t>
  </si>
  <si>
    <t>Devon Taliaferro</t>
  </si>
  <si>
    <t>Kirk Rys</t>
  </si>
  <si>
    <t>David E. Atkinson</t>
  </si>
  <si>
    <t>School Director DISTRICT 4 (Vote For 1)</t>
  </si>
  <si>
    <t>Pam Harbin</t>
  </si>
  <si>
    <t>Anna Batista</t>
  </si>
  <si>
    <t>School Director DISTRICT 6 (Vote For 1)</t>
  </si>
  <si>
    <t>Heather Fulton</t>
  </si>
  <si>
    <t>William J. Gallagher</t>
  </si>
  <si>
    <t>School Director DISTRICT 8 (Vote For 1)</t>
  </si>
  <si>
    <t>Kevin L. Carter</t>
  </si>
  <si>
    <t>Magisterial District Judge 05-02-13 (Vote For 1)</t>
  </si>
  <si>
    <t>Eugene F. Riazzi, Jr.</t>
  </si>
  <si>
    <t>Magisterial District Judge 05-02-14 (Vote For 1)</t>
  </si>
  <si>
    <t>Richard D. Olasz, Jr.</t>
  </si>
  <si>
    <t>Magisterial District Judge 05-02-25 (Vote For 1)</t>
  </si>
  <si>
    <t>Michele Santicola</t>
  </si>
  <si>
    <t>Corrie Woods</t>
  </si>
  <si>
    <t>Max Feldman</t>
  </si>
  <si>
    <t>Magisterial District Judge 05-02-26 (Vote For 1)</t>
  </si>
  <si>
    <t>Beth Scagline-Mills</t>
  </si>
  <si>
    <t>Magisterial District Judge 05-02-28 (Vote For 1)</t>
  </si>
  <si>
    <t>Kim Williams</t>
  </si>
  <si>
    <t>Oscar J. Petite, Jr.</t>
  </si>
  <si>
    <t>Magisterial District Judge 05-03-17 (Vote For 1)</t>
  </si>
  <si>
    <t>Anthony W. Saveikis</t>
  </si>
  <si>
    <t>School Director At Large v3 t4 STEEL VALLEY (Vote For 3)</t>
  </si>
  <si>
    <t>Maya Lynne Adams</t>
  </si>
  <si>
    <t>David Colasante</t>
  </si>
  <si>
    <t>Meghan Beth Fitzgerald</t>
  </si>
  <si>
    <t>Andrew Nesky, III</t>
  </si>
  <si>
    <t>School Director At-Large CLAIRTON (Vote For 1)</t>
  </si>
  <si>
    <t>Roger Tachoir</t>
  </si>
  <si>
    <t>School Director At-Large STO-ROX (Vote For 1)</t>
  </si>
  <si>
    <t>School Director ALLEGHENY VALLEY (Vote For 5)</t>
  </si>
  <si>
    <t>Glenna L. Renaldi</t>
  </si>
  <si>
    <t>Kathleen Jean Haas</t>
  </si>
  <si>
    <t>Paula Jean Moretti</t>
  </si>
  <si>
    <t>Steve Puskar</t>
  </si>
  <si>
    <t>David M. Buchman</t>
  </si>
  <si>
    <t>Salvatore A. Conte</t>
  </si>
  <si>
    <t>James M. Gaschler, Jr.</t>
  </si>
  <si>
    <t>School Director AVONWORTH (Vote For 5)</t>
  </si>
  <si>
    <t>Kristin M. Thompson</t>
  </si>
  <si>
    <t>John Brandt</t>
  </si>
  <si>
    <t>Kathryn Monti</t>
  </si>
  <si>
    <t>Danielle White</t>
  </si>
  <si>
    <t>Yuling Cheng</t>
  </si>
  <si>
    <t>School Director BALDWIN WHITEHALL (Vote For 5)</t>
  </si>
  <si>
    <t>Peter D. Giglione</t>
  </si>
  <si>
    <t>Andrea Casciato Hulsman</t>
  </si>
  <si>
    <t>Janice Tarson</t>
  </si>
  <si>
    <t>Kathleen Cusick Fenlock</t>
  </si>
  <si>
    <t>Anthony DiCesaro</t>
  </si>
  <si>
    <t>Daniel Knezevich</t>
  </si>
  <si>
    <t>Jennifer Rosing Cochran</t>
  </si>
  <si>
    <t>Stacy Lynn Bradley</t>
  </si>
  <si>
    <t>Danielle Rebecca Hillgartner</t>
  </si>
  <si>
    <t>Robert Achtzehn</t>
  </si>
  <si>
    <t>Mike J. Sharp</t>
  </si>
  <si>
    <t>School Director BETHEL PARK (Vote For 5)</t>
  </si>
  <si>
    <t>Donna Cook</t>
  </si>
  <si>
    <t>Jim Means</t>
  </si>
  <si>
    <t>Vincent Scalzo</t>
  </si>
  <si>
    <t>Barry Christenson</t>
  </si>
  <si>
    <t>Ronald Werkmeister</t>
  </si>
  <si>
    <t>Shayna McCracken Willis</t>
  </si>
  <si>
    <t>Darren McGregor</t>
  </si>
  <si>
    <t>James Modrak</t>
  </si>
  <si>
    <t>Kimberly Walsh Turner</t>
  </si>
  <si>
    <t>David Amaditz</t>
  </si>
  <si>
    <t>School Director BRENTWOOD (Vote For 5)</t>
  </si>
  <si>
    <t>Robert F. Kircher, Jr.</t>
  </si>
  <si>
    <t>Richard H. Briner</t>
  </si>
  <si>
    <t>Amy L. Hayden</t>
  </si>
  <si>
    <t>Roger E. Gaughan</t>
  </si>
  <si>
    <t>David P. Schaap</t>
  </si>
  <si>
    <t>School Director CARLYNTON (Vote For 5)</t>
  </si>
  <si>
    <t>Marissa Imee Mendoza-Burcham</t>
  </si>
  <si>
    <t>Kelly Zaletski</t>
  </si>
  <si>
    <t>Jude A. Frank</t>
  </si>
  <si>
    <t>Jim Schriver</t>
  </si>
  <si>
    <t>George Honchar</t>
  </si>
  <si>
    <t>School Director CHARTIERS VALLEY (Vote For 5)</t>
  </si>
  <si>
    <t>Mark Kuczinski</t>
  </si>
  <si>
    <t>Jeff Choura</t>
  </si>
  <si>
    <t>Robert Kearney</t>
  </si>
  <si>
    <t>Darren G. Mariano</t>
  </si>
  <si>
    <t>Sandra Zeleznik</t>
  </si>
  <si>
    <t>School Director CORNELL (Vote For 5)</t>
  </si>
  <si>
    <t>Michael Griffith</t>
  </si>
  <si>
    <t>Linda Solecki</t>
  </si>
  <si>
    <t>Karen K. Murphy</t>
  </si>
  <si>
    <t>Caryn Code</t>
  </si>
  <si>
    <t>School Director DEER LAKES (Vote For 5)</t>
  </si>
  <si>
    <t>Louis W. Buck, III</t>
  </si>
  <si>
    <t>School Director DUQUESNE (Vote For 5)</t>
  </si>
  <si>
    <t>Maxine Thomas</t>
  </si>
  <si>
    <t>Burton Comensky</t>
  </si>
  <si>
    <t>Calvina Harris</t>
  </si>
  <si>
    <t>Sonya Gooden</t>
  </si>
  <si>
    <t>Cedric F. Robertson</t>
  </si>
  <si>
    <t>School Director ELIZABETH FORWARD (Vote For 5)</t>
  </si>
  <si>
    <t>Richard Borkowski</t>
  </si>
  <si>
    <t>Samuel G. Coccia, Jr.</t>
  </si>
  <si>
    <t>Travis A. Stoffer</t>
  </si>
  <si>
    <t>Megan K. Ferraro</t>
  </si>
  <si>
    <t>Thomas J. Sharkey</t>
  </si>
  <si>
    <t>Scott R. Henry</t>
  </si>
  <si>
    <t>School Director FORT CHERRY (Vote For 5)</t>
  </si>
  <si>
    <t>Louis R. Ursitz</t>
  </si>
  <si>
    <t>Melinda Longstreth Errett</t>
  </si>
  <si>
    <t>Jodi Nation McKay</t>
  </si>
  <si>
    <t>Beverly Ann Schwab</t>
  </si>
  <si>
    <t>Juliann Sepesy</t>
  </si>
  <si>
    <t>School Director GATEWAY (Vote For 5)</t>
  </si>
  <si>
    <t>John D. Ritter</t>
  </si>
  <si>
    <t>Mary Beth Cirucci</t>
  </si>
  <si>
    <t>Valerie Warning</t>
  </si>
  <si>
    <t>George Lapcevich</t>
  </si>
  <si>
    <t>Scott Gallagher</t>
  </si>
  <si>
    <t>Susan DeLaney</t>
  </si>
  <si>
    <t>Janette I. Beighel</t>
  </si>
  <si>
    <t>School Director HAMPTON (Vote For 5)</t>
  </si>
  <si>
    <t>Bryant Wesley</t>
  </si>
  <si>
    <t>Robert J. Shages</t>
  </si>
  <si>
    <t>D. An</t>
  </si>
  <si>
    <t>Joy S. Midgley</t>
  </si>
  <si>
    <t>Matthew Jarrell</t>
  </si>
  <si>
    <t>Larry Vasko</t>
  </si>
  <si>
    <t>School Director MCKEESPORT AREA (Vote For 5)</t>
  </si>
  <si>
    <t>Diane Elias</t>
  </si>
  <si>
    <t>Mindy Sturgess</t>
  </si>
  <si>
    <t>Amber Webb</t>
  </si>
  <si>
    <t>Steven E. Kondrosky</t>
  </si>
  <si>
    <t>James L Brown</t>
  </si>
  <si>
    <t>Michael Shelly</t>
  </si>
  <si>
    <t>Joe Lopretto</t>
  </si>
  <si>
    <t>Nikita Crumb</t>
  </si>
  <si>
    <t>School Director MOON AREA (Vote For 5)</t>
  </si>
  <si>
    <t>Robert Harper</t>
  </si>
  <si>
    <t>James Bogatay</t>
  </si>
  <si>
    <t>Jen Partica</t>
  </si>
  <si>
    <t>Mark Scappe</t>
  </si>
  <si>
    <t>Danielle Zieger</t>
  </si>
  <si>
    <t>School Director MT LEBANON (Vote For 5)</t>
  </si>
  <si>
    <t>Valerie Fleisher</t>
  </si>
  <si>
    <t>Sarah L. Olbrich</t>
  </si>
  <si>
    <t>Hugh L. Beal</t>
  </si>
  <si>
    <t>Jacob Wyland</t>
  </si>
  <si>
    <t>Justin D. Hackett</t>
  </si>
  <si>
    <t>School Director NORTH ALLEGHENY (Vote For 5)</t>
  </si>
  <si>
    <t>Marcie Crow</t>
  </si>
  <si>
    <t>Margaret G. Lehew</t>
  </si>
  <si>
    <t>Mark Giuliani</t>
  </si>
  <si>
    <t>Elizabeth Warner</t>
  </si>
  <si>
    <t>Christopher D. Disque</t>
  </si>
  <si>
    <t>Kevin Mahler</t>
  </si>
  <si>
    <t>Libby Blackburn</t>
  </si>
  <si>
    <t>Shannon Yeakel</t>
  </si>
  <si>
    <t>School Director NORTH HILLS (Vote For 5)</t>
  </si>
  <si>
    <t>Phil Little</t>
  </si>
  <si>
    <t>Katie Poniatowski</t>
  </si>
  <si>
    <t>Lou Nudi</t>
  </si>
  <si>
    <t>Deanna Philpott</t>
  </si>
  <si>
    <t>Helen D. Spade</t>
  </si>
  <si>
    <t>Tom Kelly</t>
  </si>
  <si>
    <t>Rachael Rennebeck</t>
  </si>
  <si>
    <t>Ed Wielgus</t>
  </si>
  <si>
    <t>Joe Muha</t>
  </si>
  <si>
    <t>School Director NORTHGATE (Vote For 5)</t>
  </si>
  <si>
    <t>Tom Stokes</t>
  </si>
  <si>
    <t>Daniel J. O'Keefe</t>
  </si>
  <si>
    <t>Shannon I. Smithey</t>
  </si>
  <si>
    <t>Lanae Lumsden</t>
  </si>
  <si>
    <t>Michael Rajakovic</t>
  </si>
  <si>
    <t>Cindy West</t>
  </si>
  <si>
    <t>School Director PENN HILLS (Vote For 5)</t>
  </si>
  <si>
    <t>Erin Vecchio</t>
  </si>
  <si>
    <t>Robert A. Marra</t>
  </si>
  <si>
    <t>School Director RIVERVIEW (Vote For 5)</t>
  </si>
  <si>
    <t>Alex DiClaudio</t>
  </si>
  <si>
    <t>Melanie Pallone</t>
  </si>
  <si>
    <t>Tara Jean Schaaf</t>
  </si>
  <si>
    <t>Maureen W. McClure</t>
  </si>
  <si>
    <t>Jane Miller</t>
  </si>
  <si>
    <t>Jennifer K. Chaparro</t>
  </si>
  <si>
    <t>Brian A. Hawk</t>
  </si>
  <si>
    <t>School Director SOUTH ALLEGHENY (Vote For 5)</t>
  </si>
  <si>
    <t>Russell A. Geary</t>
  </si>
  <si>
    <t>Timothy V. Wackowski</t>
  </si>
  <si>
    <t>Carol J. Craig</t>
  </si>
  <si>
    <t>Amy Moranelli-Johnson</t>
  </si>
  <si>
    <t>Frank Cortazzo</t>
  </si>
  <si>
    <t>Glenn Bonczek</t>
  </si>
  <si>
    <t>Troy E. Mitchell</t>
  </si>
  <si>
    <t>Rosemary Bradley</t>
  </si>
  <si>
    <t>Jason Leonard Ewing</t>
  </si>
  <si>
    <t>Bryan R. Myers</t>
  </si>
  <si>
    <t>School Director SOUTH FAYETTE (Vote For 5)</t>
  </si>
  <si>
    <t>Teresa Burroughs</t>
  </si>
  <si>
    <t>Maureen Hiser</t>
  </si>
  <si>
    <t>William J. Ainsworth, Jr.</t>
  </si>
  <si>
    <t>Paul Brinsky</t>
  </si>
  <si>
    <t>Arik Quam</t>
  </si>
  <si>
    <t>Lena Hannah</t>
  </si>
  <si>
    <t>Thomas Iagnemma</t>
  </si>
  <si>
    <t>School Director SOUTH PARK (Vote For 5)</t>
  </si>
  <si>
    <t>Frank K. Wentzel</t>
  </si>
  <si>
    <t>Angela Girol</t>
  </si>
  <si>
    <t>Mark Depretis</t>
  </si>
  <si>
    <t>Lorraine Blackburn</t>
  </si>
  <si>
    <t>Nicholas J. Rudolph</t>
  </si>
  <si>
    <t>School Director UPPER SAINT CLAIR (Vote For 5)</t>
  </si>
  <si>
    <t>Ann Marie Pirnat</t>
  </si>
  <si>
    <t>Angela B. Petersen</t>
  </si>
  <si>
    <t>Patrick A. Hewitt</t>
  </si>
  <si>
    <t>Mary Kirk</t>
  </si>
  <si>
    <t>Amy L. Billerbeck</t>
  </si>
  <si>
    <t>Barbara L. Bolas</t>
  </si>
  <si>
    <t>Hemina KrishnaBachia</t>
  </si>
  <si>
    <t>Phillip J. Elias</t>
  </si>
  <si>
    <t>School Director WEST JEFFERSON HILLS (Vote For 5)</t>
  </si>
  <si>
    <t>Brian Fernandes</t>
  </si>
  <si>
    <t>David Dominick</t>
  </si>
  <si>
    <t>Denise Kahler</t>
  </si>
  <si>
    <t>Suzanne Downer</t>
  </si>
  <si>
    <t>Jill Achtzehn Bertini</t>
  </si>
  <si>
    <t>School Director WEST MIFFLIN AREA (Vote For 5)</t>
  </si>
  <si>
    <t>Kevin Squires</t>
  </si>
  <si>
    <t>Matt Blazevich</t>
  </si>
  <si>
    <t>Tony DiCenzo</t>
  </si>
  <si>
    <t>Jonathan Thomas Mattis</t>
  </si>
  <si>
    <t>Raymond Norris Robinson, Jr.</t>
  </si>
  <si>
    <t>Gina Englert</t>
  </si>
  <si>
    <t>Joseph Gajdos</t>
  </si>
  <si>
    <t>Debra Jean Kostelnik</t>
  </si>
  <si>
    <t>School Director WILKINSBURG (Vote For 5)</t>
  </si>
  <si>
    <t>Eric Steadle</t>
  </si>
  <si>
    <t>Dontae Comans</t>
  </si>
  <si>
    <t>Michael A. Johnson</t>
  </si>
  <si>
    <t>Monica Lee Garcia</t>
  </si>
  <si>
    <t>W. Dennis Bossick</t>
  </si>
  <si>
    <t>School Director NORWIN (Vote For 5)</t>
  </si>
  <si>
    <t>Patrick Lynn</t>
  </si>
  <si>
    <t>Bob Eagleson</t>
  </si>
  <si>
    <t>Joanna Jordan</t>
  </si>
  <si>
    <t>Kim McCann Piekut</t>
  </si>
  <si>
    <t>Bob Wayman</t>
  </si>
  <si>
    <t>Tracey L. Czajkowski</t>
  </si>
  <si>
    <t>Keith Genicola</t>
  </si>
  <si>
    <t>William Essay</t>
  </si>
  <si>
    <t>Darlene Ciocca</t>
  </si>
  <si>
    <t>School Director PLUM (Vote For 5)</t>
  </si>
  <si>
    <t>Sue Caldwell</t>
  </si>
  <si>
    <t>Steve Schlauch</t>
  </si>
  <si>
    <t>Amy L. Wetmore</t>
  </si>
  <si>
    <t>Karin Acquaviva</t>
  </si>
  <si>
    <t>Michael Caliguiri</t>
  </si>
  <si>
    <t>Michael Devine</t>
  </si>
  <si>
    <t>Jacqueline A. Thomas</t>
  </si>
  <si>
    <t>Mark A. Stropkaj</t>
  </si>
  <si>
    <t>Adam Hill</t>
  </si>
  <si>
    <t>Michelle Stepnick</t>
  </si>
  <si>
    <t>NO CANDIDATE FILED</t>
  </si>
  <si>
    <t>Jessica E. Delaney</t>
  </si>
  <si>
    <t>Nathan Polacek</t>
  </si>
  <si>
    <t>Rick Anderson</t>
  </si>
  <si>
    <t>Hope Campbell</t>
  </si>
  <si>
    <t>School Director CARLYNTON (Vote For 1)</t>
  </si>
  <si>
    <t>David G. Roussos</t>
  </si>
  <si>
    <t>School Director CORNELL (Vote For 1)</t>
  </si>
  <si>
    <t>School Director DUQUESNE (Vote For 1)</t>
  </si>
  <si>
    <t>School Director PLUM (Vote For 1)</t>
  </si>
  <si>
    <t>Tim Sandstrom</t>
  </si>
  <si>
    <t>Joe Tommarello</t>
  </si>
  <si>
    <t>School Director SOUTH FAYETTE (Vote For 1)</t>
  </si>
  <si>
    <t>Todd Petrillo</t>
  </si>
  <si>
    <t>School Director FOX CHAPEL REGION 1 (Vote For 2)</t>
  </si>
  <si>
    <t>Lisa Marie Rutkowski</t>
  </si>
  <si>
    <t>Eric Hamilton</t>
  </si>
  <si>
    <t>Eric Schmidt</t>
  </si>
  <si>
    <t>School Director HIGHLANDS REGION 1 (Vote For 2)</t>
  </si>
  <si>
    <t>Judith L. Wisner</t>
  </si>
  <si>
    <t>Gene A. Witt</t>
  </si>
  <si>
    <t>School Director MONTOUR REGION 1 (Vote For 2)</t>
  </si>
  <si>
    <t>Thomas Barclay</t>
  </si>
  <si>
    <t>Mark Rippole</t>
  </si>
  <si>
    <t>School Director PINE RICHLAND REGION 1 (Vote For 2)</t>
  </si>
  <si>
    <t>Marc D. Casciani</t>
  </si>
  <si>
    <t>School Director PENN -TRAFFORD (Vote For 2)</t>
  </si>
  <si>
    <t>Nick A. Petrucci</t>
  </si>
  <si>
    <t>Scott Koscho</t>
  </si>
  <si>
    <t>School Director STO-ROX REGION 1 (Vote For 2)</t>
  </si>
  <si>
    <t>Lucille M. Young</t>
  </si>
  <si>
    <t>Samantha Levitzki-Wright</t>
  </si>
  <si>
    <t>School Director WEST ALLEGHENY REGION 1 (Vote For 2)</t>
  </si>
  <si>
    <t>Kevin J. Hancock</t>
  </si>
  <si>
    <t>Robert Ostrander</t>
  </si>
  <si>
    <t>School Director WOODLAND HILLS REGION 1 (Vote For 2)</t>
  </si>
  <si>
    <t>Candice Hodge</t>
  </si>
  <si>
    <t>School Director CLAIRTON REGION 1 (Vote For 1)</t>
  </si>
  <si>
    <t>Kathy Santoline</t>
  </si>
  <si>
    <t>School Director EAST ALLEGHENY REGION 1 (Vote For 1)</t>
  </si>
  <si>
    <t>Gerri C. McCullough</t>
  </si>
  <si>
    <t>Tisha Thomas</t>
  </si>
  <si>
    <t>School Director KEYSTONE OAKS REGION 1 (Vote For 1)</t>
  </si>
  <si>
    <t>Raeann Lindsey</t>
  </si>
  <si>
    <t>William C. Neuman</t>
  </si>
  <si>
    <t>School Director QUAKER VALLEY REGION 1 (Vote For 1)</t>
  </si>
  <si>
    <t>Gianni Floro</t>
  </si>
  <si>
    <t>School Director SHALER AREA REGION 1 (Vote For 1)</t>
  </si>
  <si>
    <t>Jim Tunstall</t>
  </si>
  <si>
    <t>School Director MONTOUR REGION 2 (Vote For 3)</t>
  </si>
  <si>
    <t>Mary Ellen Moore</t>
  </si>
  <si>
    <t>Ken Barth</t>
  </si>
  <si>
    <t>Mark Hutter</t>
  </si>
  <si>
    <t>School Director FOX CHAPEL REGION 2 (Vote For 2)</t>
  </si>
  <si>
    <t>Vanessa Lynch</t>
  </si>
  <si>
    <t>Terry Wirginis</t>
  </si>
  <si>
    <t>Ronald P. Frank</t>
  </si>
  <si>
    <t>School Director KEYSTONE OAKS REGION 2 (Vote For 2)</t>
  </si>
  <si>
    <t>Stephanie M. Evans</t>
  </si>
  <si>
    <t>School Director QUAKER VALLEY REGION 2 (Vote For 2)</t>
  </si>
  <si>
    <t>Richard Kain</t>
  </si>
  <si>
    <t>Geoff Barnes</t>
  </si>
  <si>
    <t>Chesney Soderstrom</t>
  </si>
  <si>
    <t>School Director SHALER AREA REGION 2 (Vote For 2)</t>
  </si>
  <si>
    <t>Jason Machajewski</t>
  </si>
  <si>
    <t>Eileen J. Phillips</t>
  </si>
  <si>
    <t>School Director STO-ROX REGION 2 (Vote For 2)</t>
  </si>
  <si>
    <t>Shyanne Rippole</t>
  </si>
  <si>
    <t>Kenneth Hohman</t>
  </si>
  <si>
    <t>School Director WOODLAND HILLS REGION 2 (Vote For 2)</t>
  </si>
  <si>
    <t>Jonathan Ebbitt</t>
  </si>
  <si>
    <t>Terri Lynn Lawson</t>
  </si>
  <si>
    <t>Marilyn Scott</t>
  </si>
  <si>
    <t>School Director CLAIRTON REGION 2 (Vote For 1)</t>
  </si>
  <si>
    <t>Rikell S. Ford</t>
  </si>
  <si>
    <t>Artrena L. McKenzie</t>
  </si>
  <si>
    <t>School Director HIGHLANDS REGION 2 (Vote For 1)</t>
  </si>
  <si>
    <t>Kelli Canonge</t>
  </si>
  <si>
    <t>School Director PINE RICHLAND REGION 2 (Vote For 1)</t>
  </si>
  <si>
    <t>Peter Lyons</t>
  </si>
  <si>
    <t>School Director WEST ALLEGHENY REGION 2 (Vote For 1)</t>
  </si>
  <si>
    <t>Donald Lee Aivalotis, II</t>
  </si>
  <si>
    <t>Debra A. Mirich</t>
  </si>
  <si>
    <t>School Director STEEL VALLEY REGION 2 (Vote For 1)</t>
  </si>
  <si>
    <t>James Bulger</t>
  </si>
  <si>
    <t>School Director STO-ROX REGION 2 (Vote For 1)</t>
  </si>
  <si>
    <t>Joel Colinear</t>
  </si>
  <si>
    <t>School Director HIGHLANDS REGION 3 (Vote For 2)</t>
  </si>
  <si>
    <t>Michelle Peters</t>
  </si>
  <si>
    <t>Laura Butler</t>
  </si>
  <si>
    <t>Kristie J. Babinsack</t>
  </si>
  <si>
    <t>School Director KEYSTONE OAKS REGION 3 (Vote For 2)</t>
  </si>
  <si>
    <t>Thomas LaPorte</t>
  </si>
  <si>
    <t>Theresa A. Lydon</t>
  </si>
  <si>
    <t>School Director PINE RICHLAND REGION 3 (Vote For 2)</t>
  </si>
  <si>
    <t>Carla Meyer</t>
  </si>
  <si>
    <t>Matthew Mehalik</t>
  </si>
  <si>
    <t>School Director QUAKER VALLEY REGION 3 (Vote For 2)</t>
  </si>
  <si>
    <t>Marna Karcher Blackmer</t>
  </si>
  <si>
    <t>Jeffrey M. Watters</t>
  </si>
  <si>
    <t>School Director SHALER AREA REGION 3 (Vote For 2)</t>
  </si>
  <si>
    <t>James L. Fisher</t>
  </si>
  <si>
    <t>Jeanne Petrovich</t>
  </si>
  <si>
    <t>School Director WEST ALLEGHENY REGION 3 (Vote For 2)</t>
  </si>
  <si>
    <t>Edward M. Faux</t>
  </si>
  <si>
    <t>Mark H. Rosen</t>
  </si>
  <si>
    <t>School Director CLAIRTON REGION 3 (Vote For 1)</t>
  </si>
  <si>
    <t>Lawrence D. Carra</t>
  </si>
  <si>
    <t>School Director FOX CHAPEL REGION 3 (Vote For 1)</t>
  </si>
  <si>
    <t>Marybeth Dadd</t>
  </si>
  <si>
    <t>Nancy Bradshaw Foster</t>
  </si>
  <si>
    <t>School Director WOODLAND HILLS REGION 3 (Vote For 1)</t>
  </si>
  <si>
    <t>Ronna Currie</t>
  </si>
  <si>
    <t>School Director STEEL VALLEY REGION 3 (Vote For 1)</t>
  </si>
  <si>
    <t>Daniel Matthew Rojtas</t>
  </si>
  <si>
    <t>School Director PINE RICHLAND REGION 3 (Vote For 1)</t>
  </si>
  <si>
    <t>Quin McLaughlin</t>
  </si>
  <si>
    <t>Jamie L. Glasser</t>
  </si>
  <si>
    <t>School Director CLAIRTON REGION 4 (Vote For 1)</t>
  </si>
  <si>
    <t>School Director EAST ALLEGHENY REGION 4 (Vote For 1)</t>
  </si>
  <si>
    <t>Richard King</t>
  </si>
  <si>
    <t>School Director EAST ALLEGHENY REGION 5 (Vote For 1)</t>
  </si>
  <si>
    <t>Michael Paradine</t>
  </si>
  <si>
    <t>School Director EAST ALLEGHENY REGION 6 (Vote For 1)</t>
  </si>
  <si>
    <t>Constance Rosenbayger</t>
  </si>
  <si>
    <t>School Director EAST ALLEGHENY REGION 8 (Vote For 1)</t>
  </si>
  <si>
    <t>John Paul Savinda, Jr.</t>
  </si>
  <si>
    <t>School Director EAST ALLEGHENY REGION 9 (Vote For 1)</t>
  </si>
  <si>
    <t>Lisa M. Green</t>
  </si>
  <si>
    <t>Mayor MCKEESPORT (Vote For 1)</t>
  </si>
  <si>
    <t>Michael E. Cherepko</t>
  </si>
  <si>
    <t>Mayor PENN HILLS (Vote For 1)</t>
  </si>
  <si>
    <t>John Petrucci</t>
  </si>
  <si>
    <t>Pauline Calabrese</t>
  </si>
  <si>
    <t>Mayor ASPINWALL (Vote For 1)</t>
  </si>
  <si>
    <t>Mayor BELL ACRES (Vote For 1)</t>
  </si>
  <si>
    <t>Kenneth Alvania</t>
  </si>
  <si>
    <t>Mayor BRADDOCK (Vote For 1)</t>
  </si>
  <si>
    <t>Delia Lennon Winstead</t>
  </si>
  <si>
    <t>Chardae Jones</t>
  </si>
  <si>
    <t>Shawna M. Dark</t>
  </si>
  <si>
    <t>Mayor BRADFORD WOODS (Vote For 1)</t>
  </si>
  <si>
    <t>Mayor MCDONALD (Vote For 1)</t>
  </si>
  <si>
    <t>James Patrick Powell</t>
  </si>
  <si>
    <t>David Cooper</t>
  </si>
  <si>
    <t>Controller HAMPTON (Vote For 1)</t>
  </si>
  <si>
    <t>Controller PENN HILLS (Vote For 1)</t>
  </si>
  <si>
    <t>Nicholas Futules, Jr.</t>
  </si>
  <si>
    <t>Controller DUQUESNE (Vote For 1)</t>
  </si>
  <si>
    <t>TAX COLLECTOR AVALON (Vote For 1)</t>
  </si>
  <si>
    <t>TAX COLLECTOR BEN AVON HEIGHTS (Vote For 1)</t>
  </si>
  <si>
    <t>TAX COLLECTOR CARNEGIE (Vote For 1)</t>
  </si>
  <si>
    <t>TAX COLLECTOR CHALFANT (Vote For 1)</t>
  </si>
  <si>
    <t>TAX COLLECTOR GLENFIELD (Vote For 1)</t>
  </si>
  <si>
    <t>TAX COLLECTOR HAYSVILLE (Vote For 1)</t>
  </si>
  <si>
    <t>TAX COLLECTOR HOMESTEAD (Vote For 1)</t>
  </si>
  <si>
    <t>Alice Paylor-Dais</t>
  </si>
  <si>
    <t>TAX COLLECTOR INGRAM (Vote For 1)</t>
  </si>
  <si>
    <t>TAX COLLECTOR OAKMONT (Vote For 1)</t>
  </si>
  <si>
    <t>TAX COLLECTOR ROSS (Vote For 1)</t>
  </si>
  <si>
    <t>Matthew Mager</t>
  </si>
  <si>
    <t>TAX COLLECTOR ROSSLYN FARMS (Vote For 1)</t>
  </si>
  <si>
    <t>TAX COLLECTOR SEWICKLEY HEIGHTS (Vote For 1)</t>
  </si>
  <si>
    <t>TAX COLLECTOR STOWE (Vote For 1)</t>
  </si>
  <si>
    <t>TAX COLLECTOR VERONA (Vote For 1)</t>
  </si>
  <si>
    <t>Treasurer DUQUESNE (Vote For 1)</t>
  </si>
  <si>
    <t>Auditor BELLEVUE (Vote For 1)</t>
  </si>
  <si>
    <t>Jane Braunlich</t>
  </si>
  <si>
    <t>Auditor EAST DEER (Vote For 1)</t>
  </si>
  <si>
    <t>Timothy D. McKenna</t>
  </si>
  <si>
    <t>Auditor FAWN (Vote For 1)</t>
  </si>
  <si>
    <t>Auditor FINDLAY (Vote For 1)</t>
  </si>
  <si>
    <t>Auditor FORWARD (Vote For 1)</t>
  </si>
  <si>
    <t>Auditor FRAZER (Vote For 1)</t>
  </si>
  <si>
    <t>Louise Elkin</t>
  </si>
  <si>
    <t>Auditor GLENFIELD (Vote For 1)</t>
  </si>
  <si>
    <t>Auditor HARMAR (Vote For 1)</t>
  </si>
  <si>
    <t>Auditor INDIANA (Vote For 1)</t>
  </si>
  <si>
    <t>Auditor KILBUCK (Vote For 1)</t>
  </si>
  <si>
    <t>Auditor MARSHALL (Vote For 1)</t>
  </si>
  <si>
    <t>Auditor MOON (Vote For 1)</t>
  </si>
  <si>
    <t>Josh Sektnan</t>
  </si>
  <si>
    <t>Auditor NORTH FAYETTE (Vote For 1)</t>
  </si>
  <si>
    <t>Auditor OHARA (Vote For 1)</t>
  </si>
  <si>
    <t>Auditor SOUTH PARK (Vote For 1)</t>
  </si>
  <si>
    <t>Jack A. Robertshaw, Jr.</t>
  </si>
  <si>
    <t>Auditor WEST DEER (Vote For 1)</t>
  </si>
  <si>
    <t>Auditor WEST ELIZABETH (Vote For 1)</t>
  </si>
  <si>
    <t>Linda B. Haberstich</t>
  </si>
  <si>
    <t>David Elkin</t>
  </si>
  <si>
    <t>Commissioner At-Large EAST DEER (Vote For 3)</t>
  </si>
  <si>
    <t>Anthony Taliani</t>
  </si>
  <si>
    <t>Rick Stoneburner</t>
  </si>
  <si>
    <t>John Nwranski</t>
  </si>
  <si>
    <t>Commissioner At-Large CRESCENT (Vote For 2)</t>
  </si>
  <si>
    <t>Commissioner At-Large WILKINS (Vote For 2)</t>
  </si>
  <si>
    <t>Michael Boyd</t>
  </si>
  <si>
    <t>Mark E. Wells</t>
  </si>
  <si>
    <t>Commissioner At-Large NEVILLE (Vote For 1)</t>
  </si>
  <si>
    <t>David Kerr</t>
  </si>
  <si>
    <t>Commissioner At-Large RESERVE (Vote For 1)</t>
  </si>
  <si>
    <t>Daniel G. Giebel</t>
  </si>
  <si>
    <t>Commissioner At-Large UPPER ST CLAIR (Vote For 1)</t>
  </si>
  <si>
    <t>Commissioner SOUTH FAYETTE (Vote For 4)</t>
  </si>
  <si>
    <t>Steven J. Lower</t>
  </si>
  <si>
    <t>Joseph Horowitz</t>
  </si>
  <si>
    <t>Gwen A. Rodi</t>
  </si>
  <si>
    <t>J. Deron Gabriel</t>
  </si>
  <si>
    <t>Commissioner BALDWIN TOWNSHIP (Vote For 3)</t>
  </si>
  <si>
    <t>Commissioner LEET (Vote For 3)</t>
  </si>
  <si>
    <t>Martin C. McDaniel</t>
  </si>
  <si>
    <t>Commissioner SPRINGDALE TOWNSHIP (Vote For 3)</t>
  </si>
  <si>
    <t>Charles Common</t>
  </si>
  <si>
    <t>Henrietta James</t>
  </si>
  <si>
    <t>Anthony Rozzano</t>
  </si>
  <si>
    <t>Jackie Karan</t>
  </si>
  <si>
    <t>Commissioner STOWE (Vote For 3)</t>
  </si>
  <si>
    <t>Stanley Papst, Jr.</t>
  </si>
  <si>
    <t>Kelly Cropper Hall</t>
  </si>
  <si>
    <t>Glenn E. Putas</t>
  </si>
  <si>
    <t>David M. Rugh</t>
  </si>
  <si>
    <t>Cheryl McDermott</t>
  </si>
  <si>
    <t>Commissioner ALEPPO (Vote For 2)</t>
  </si>
  <si>
    <t>Michelle L. Duplaga</t>
  </si>
  <si>
    <t>Commissioner COLLIER (Vote For 2)</t>
  </si>
  <si>
    <t>Matthew J. Zeleznik</t>
  </si>
  <si>
    <t>Dan Styche</t>
  </si>
  <si>
    <t>Commissioner KENNEDY (Vote For 2)</t>
  </si>
  <si>
    <t>George Dudash, III</t>
  </si>
  <si>
    <t>Chris DiNardo</t>
  </si>
  <si>
    <t>Commissioner ROBINSON (Vote For 2)</t>
  </si>
  <si>
    <t>Sam Abatta</t>
  </si>
  <si>
    <t>James Mancini</t>
  </si>
  <si>
    <t>Commissioner SOUTH VERSAILLES (Vote For 2)</t>
  </si>
  <si>
    <t>Commissioner KENNEDY (Vote For 1)</t>
  </si>
  <si>
    <t>Susan M. Butya</t>
  </si>
  <si>
    <t>Commissioner CRESCENT WARD 1 (Vote For 1)</t>
  </si>
  <si>
    <t>Commissioner EAST DEER WARD 1 (Vote For 1)</t>
  </si>
  <si>
    <t>Joseph E. Novosat, Jr.</t>
  </si>
  <si>
    <t>Commissioner ELIZABETH TOWNSHIP WARD 1 (Vote For 1)</t>
  </si>
  <si>
    <t>Bart Rocco</t>
  </si>
  <si>
    <t>Commissioner ELIZABETH TOWNSHIP WARD 3 (Vote For 1)</t>
  </si>
  <si>
    <t>William Piper</t>
  </si>
  <si>
    <t>Commissioner ELIZABETH TOWNSHIP WARD 5 (Vote For 1)</t>
  </si>
  <si>
    <t>Commissioner ELIZABETH TOWNSHIP WARD 7 (Vote For 1)</t>
  </si>
  <si>
    <t>Lani Knabenschuh</t>
  </si>
  <si>
    <t>Commissioner HARRISON WARD 1 (Vote For 1)</t>
  </si>
  <si>
    <t>William E. Mitchell, Sr.</t>
  </si>
  <si>
    <t>Charles Dizard</t>
  </si>
  <si>
    <t>Commissioner HARRISON WARD 3 (Vote For 1)</t>
  </si>
  <si>
    <t>Eric S. Bengel</t>
  </si>
  <si>
    <t>Robin Bergstrom</t>
  </si>
  <si>
    <t>Commissioner HARRISON WARD 5 (Vote For 1)</t>
  </si>
  <si>
    <t>Gary A. Meanor</t>
  </si>
  <si>
    <t>Commissioner MT LEBANON WARD 1 (Vote For 1)</t>
  </si>
  <si>
    <t>Mindy Ranney</t>
  </si>
  <si>
    <t>Commissioner MT LEBANON WARD 3 (Vote For 1)</t>
  </si>
  <si>
    <t>Leeann Foster</t>
  </si>
  <si>
    <t>Commissioner MT LEBANON WARD 5 (Vote For 1)</t>
  </si>
  <si>
    <t>Andrew Flynn</t>
  </si>
  <si>
    <t>Commissioner NEVILLE WARD 1 (Vote For 1)</t>
  </si>
  <si>
    <t>Commissioner NEVILLE WARD 3 (Vote For 1)</t>
  </si>
  <si>
    <t>James R. Brown</t>
  </si>
  <si>
    <t>Commissioner NORTH VERSAILLES WARD 1 (Vote For 1)</t>
  </si>
  <si>
    <t>George S. Thompson</t>
  </si>
  <si>
    <t>Commissioner NORTH VERSAILLES WARD 3 (Vote For 1)</t>
  </si>
  <si>
    <t>Joseph Patrick Maurizi</t>
  </si>
  <si>
    <t>Allen R. Wagner</t>
  </si>
  <si>
    <t>Commissioner NORTH VERSAILLES WARD 5 (Vote For 1)</t>
  </si>
  <si>
    <t>Russell P. Saula, Sr.</t>
  </si>
  <si>
    <t>Commissioner NORTH VERSAILLES WARD 7 (Vote For 1)</t>
  </si>
  <si>
    <t>Frank J. Bivins</t>
  </si>
  <si>
    <t>Commissioner RESERVE WARD 1 (Vote For 1)</t>
  </si>
  <si>
    <t>Edward J. Vincent</t>
  </si>
  <si>
    <t>Commissioner RESERVE WARD 3 (Vote For 1)</t>
  </si>
  <si>
    <t>John C. Kaib</t>
  </si>
  <si>
    <t>Commissioner ROSS WARD 1 (Vote For 1)</t>
  </si>
  <si>
    <t>George Tunney</t>
  </si>
  <si>
    <t>Dan DeMarco</t>
  </si>
  <si>
    <t>Commissioner ROSS WARD 3 (Vote For 1)</t>
  </si>
  <si>
    <t>Sarah Poweska</t>
  </si>
  <si>
    <t>Commissioner ROSS WARD 5 (Vote For 1)</t>
  </si>
  <si>
    <t>William A. McKellar</t>
  </si>
  <si>
    <t>Commissioner ROSS WARD 7 (Vote For 1)</t>
  </si>
  <si>
    <t>Patrick H. Mullin</t>
  </si>
  <si>
    <t>Commissioner ROSS WARD 9 (Vote For 1)</t>
  </si>
  <si>
    <t>Jack Betkowski</t>
  </si>
  <si>
    <t>Commissioner SCOTT WARD 1 (Vote For 1)</t>
  </si>
  <si>
    <t>Pat Martin</t>
  </si>
  <si>
    <t>Eileen L. Meyers</t>
  </si>
  <si>
    <t>Commissioner SCOTT WARD 3 (Vote For 1)</t>
  </si>
  <si>
    <t>Dennis J. Brooks</t>
  </si>
  <si>
    <t>Commissioner SCOTT WARD 5 (Vote For 1)</t>
  </si>
  <si>
    <t>Thomas M. Castello</t>
  </si>
  <si>
    <t>Commissioner SCOTT WARD 7 (Vote For 1)</t>
  </si>
  <si>
    <t>Frank Bruckner</t>
  </si>
  <si>
    <t>Commissioner SCOTT WARD 9 (Vote For 1)</t>
  </si>
  <si>
    <t>Donald Giudici</t>
  </si>
  <si>
    <t>Kathleen D. Gazda</t>
  </si>
  <si>
    <t>Commissioner SHALER WARD 1 (Vote For 1)</t>
  </si>
  <si>
    <t>Frank Iozzo</t>
  </si>
  <si>
    <t>Wayne R. Skelley</t>
  </si>
  <si>
    <t>Commissioner SHALER WARD 3 (Vote For 1)</t>
  </si>
  <si>
    <t>Commissioner SHALER WARD 5 (Vote For 1)</t>
  </si>
  <si>
    <t>Commissioner SHALER WARD 7 (Vote For 1)</t>
  </si>
  <si>
    <t>Commissioner UPPER ST CLAIR WARD 1 (Vote For 1)</t>
  </si>
  <si>
    <t>Commissioner UPPER ST CLAIR WARD 3 (Vote For 1)</t>
  </si>
  <si>
    <t>Tyler Gellasch</t>
  </si>
  <si>
    <t>Commissioner UPPER ST CLAIR WARD 5 (Vote For 1)</t>
  </si>
  <si>
    <t>Commissioner WILKINS WARD 1 (Vote For 1)</t>
  </si>
  <si>
    <t>Michelle Criner</t>
  </si>
  <si>
    <t>Commissioner NORTH VERSAILLES WARD 6 (Vote For 1)</t>
  </si>
  <si>
    <t>Tracy Yusko</t>
  </si>
  <si>
    <t>Commissioner SHALER WARD 2 (Vote For 1)</t>
  </si>
  <si>
    <t>Member of Council At-Large EAST PITTSBURGH (Vote For 2)</t>
  </si>
  <si>
    <t>Earnest Frazier</t>
  </si>
  <si>
    <t>Patrick J. Geric</t>
  </si>
  <si>
    <t>Martin Davis</t>
  </si>
  <si>
    <t>Jonathan Reyes</t>
  </si>
  <si>
    <t>Member of Council At-Large OHARA (Vote For 2)</t>
  </si>
  <si>
    <t>Member of Council At-Large TARENTUM (Vote For 1)</t>
  </si>
  <si>
    <t>Carrie Fox</t>
  </si>
  <si>
    <t>Tim Cornuet</t>
  </si>
  <si>
    <t>Jim Bonner</t>
  </si>
  <si>
    <t>Member of Council BEN AVON HEIGHTS (Vote For 4)</t>
  </si>
  <si>
    <t>Steven Stiller</t>
  </si>
  <si>
    <t>Member of Council GLASSPORT (Vote For 4)</t>
  </si>
  <si>
    <t>David F. Kowalski</t>
  </si>
  <si>
    <t>Angelo Norelli</t>
  </si>
  <si>
    <t>Anthony M. Foster</t>
  </si>
  <si>
    <t>Dennis Hickman, Jr.</t>
  </si>
  <si>
    <t>Member of Council MCDONALD (Vote For 4)</t>
  </si>
  <si>
    <t>Thomas A. McQuillan</t>
  </si>
  <si>
    <t>Tom Rockwell</t>
  </si>
  <si>
    <t>Elmo B. Cecchetti, II</t>
  </si>
  <si>
    <t>Member of Council MCKEESPORT (Vote For 4)</t>
  </si>
  <si>
    <t>Richard J. Dellapenna</t>
  </si>
  <si>
    <t>Keith Soles</t>
  </si>
  <si>
    <t>Pearly Mae Herriott Hudson</t>
  </si>
  <si>
    <t>Jesse R. Henderson, Jr.</t>
  </si>
  <si>
    <t>Tim Brown</t>
  </si>
  <si>
    <t>LuEthel Nesbit</t>
  </si>
  <si>
    <t>Member of Council MILLVALE (Vote For 4)</t>
  </si>
  <si>
    <t>Patricia Sorg</t>
  </si>
  <si>
    <t>Paul D. Bossung, Jr.</t>
  </si>
  <si>
    <t>Katie Dembowski</t>
  </si>
  <si>
    <t>William G. Stout</t>
  </si>
  <si>
    <t>Member of Council WILMERDING (Vote For 4)</t>
  </si>
  <si>
    <t>Paula J. Shurgot</t>
  </si>
  <si>
    <t>Karen Peterson</t>
  </si>
  <si>
    <t>Dorothy Reeves</t>
  </si>
  <si>
    <t>Kelly Ann Belin</t>
  </si>
  <si>
    <t>Joseph Hartzell</t>
  </si>
  <si>
    <t>Linda Kirk</t>
  </si>
  <si>
    <t>Member of Council ASPINWALL (Vote For 3)</t>
  </si>
  <si>
    <t>Jeff Harris</t>
  </si>
  <si>
    <t>Heth R. Turnquist</t>
  </si>
  <si>
    <t>Member of Council BALDWIN BOROUGH (Vote For 3)</t>
  </si>
  <si>
    <t>James Behers</t>
  </si>
  <si>
    <t>Denise Maiden</t>
  </si>
  <si>
    <t>Erin M. Brown</t>
  </si>
  <si>
    <t>Patty Boyer</t>
  </si>
  <si>
    <t>Member of Council BELL ACRES (Vote For 3)</t>
  </si>
  <si>
    <t>Christopher Abell</t>
  </si>
  <si>
    <t>Member of Council BEN AVON (Vote For 3)</t>
  </si>
  <si>
    <t>Kenneth L. Opipery, Jr.</t>
  </si>
  <si>
    <t>Kara Alexis Roggenkamp</t>
  </si>
  <si>
    <t>Richard Wagner</t>
  </si>
  <si>
    <t>Member of Council BLAWNOX (Vote For 3)</t>
  </si>
  <si>
    <t>John D. Simmons</t>
  </si>
  <si>
    <t>Kathryn Specht-Coban</t>
  </si>
  <si>
    <t>Elaine A. Palmer</t>
  </si>
  <si>
    <t>Member of Council BRADDOCK HILLS (Vote For 3)</t>
  </si>
  <si>
    <t>Michael Ursiny</t>
  </si>
  <si>
    <t>Thomas E. Evans</t>
  </si>
  <si>
    <t>Cassandra Schaffer</t>
  </si>
  <si>
    <t>Vincent F. Gambino</t>
  </si>
  <si>
    <t>Member of Council BRADFORD WOODS (Vote For 3)</t>
  </si>
  <si>
    <t>Thomas Kosmala</t>
  </si>
  <si>
    <t>Member of Council BRENTWOOD (Vote For 3)</t>
  </si>
  <si>
    <t>Mark W. Wroblewski</t>
  </si>
  <si>
    <t>Pat Carnevale</t>
  </si>
  <si>
    <t>Richard Schubert</t>
  </si>
  <si>
    <t>Harold M. Smith, Jr.</t>
  </si>
  <si>
    <t>Member of Council BRIDGEVILLE (Vote For 3)</t>
  </si>
  <si>
    <t>Nicholas A. Ciesielski</t>
  </si>
  <si>
    <t>Nino Petrocelli, Sr.</t>
  </si>
  <si>
    <t>Joseph M. Colosimo</t>
  </si>
  <si>
    <t>Member of Council CASTLE SHANNON (Vote For 3)</t>
  </si>
  <si>
    <t>Nancy J. Kovach</t>
  </si>
  <si>
    <t>William Jason Oates</t>
  </si>
  <si>
    <t>Marian L. Randazzo</t>
  </si>
  <si>
    <t>Member of Council CHALFANT (Vote For 3)</t>
  </si>
  <si>
    <t>Joanne Baburich</t>
  </si>
  <si>
    <t>Owen Lilac</t>
  </si>
  <si>
    <t>Russ Drenning</t>
  </si>
  <si>
    <t>Member of Council CHESWICK (Vote For 3)</t>
  </si>
  <si>
    <t>Member of Council CHURCHILL (Vote For 3)</t>
  </si>
  <si>
    <t>Donald B. DeFranco</t>
  </si>
  <si>
    <t>Adam P. McDowell</t>
  </si>
  <si>
    <t>Jay Dworin</t>
  </si>
  <si>
    <t>Member of Council CRAFTON (Vote For 3)</t>
  </si>
  <si>
    <t>Coletta Perry</t>
  </si>
  <si>
    <t>Roy A. Niemann, Jr.</t>
  </si>
  <si>
    <t>Anthony Saba</t>
  </si>
  <si>
    <t>Member of Council DORMONT (Vote For 3)</t>
  </si>
  <si>
    <t>John V. Moore</t>
  </si>
  <si>
    <t>Kate Abel</t>
  </si>
  <si>
    <t>Daniele Ventresca</t>
  </si>
  <si>
    <t>Member of Council EAST MCKEESPORT (Vote For 3)</t>
  </si>
  <si>
    <t>Carley Frances Sciulli</t>
  </si>
  <si>
    <t>Robert A. Hampshire</t>
  </si>
  <si>
    <t>Donna J. Ferrainolo</t>
  </si>
  <si>
    <t>Member of Council EDGEWOOD (Vote For 3)</t>
  </si>
  <si>
    <t>Ben Love</t>
  </si>
  <si>
    <t>Patricia Marie Schaefer</t>
  </si>
  <si>
    <t>Member of Council EDGEWORTH (Vote For 3)</t>
  </si>
  <si>
    <t>Member of Council ELIZABETH BOROUGH (Vote For 3)</t>
  </si>
  <si>
    <t>Timothy C. Guffey</t>
  </si>
  <si>
    <t>Member of Council EMSWORTH (Vote For 3)</t>
  </si>
  <si>
    <t>Brian Joseph Fashian</t>
  </si>
  <si>
    <t>Member of Council FOREST HILLS (Vote For 3)</t>
  </si>
  <si>
    <t>Patricia M. DeMarco</t>
  </si>
  <si>
    <t>Christopher J. Gioia</t>
  </si>
  <si>
    <t>William Burleigh</t>
  </si>
  <si>
    <t>John J. Lawrence</t>
  </si>
  <si>
    <t>Member of Council FOX CHAPEL (Vote For 3)</t>
  </si>
  <si>
    <t>Member of Council GLENFIELD (Vote For 3)</t>
  </si>
  <si>
    <t>Member of Council GREEN TREE (Vote For 3)</t>
  </si>
  <si>
    <t>Ron Panza</t>
  </si>
  <si>
    <t>Art Tintori</t>
  </si>
  <si>
    <t>Rino Lindsey</t>
  </si>
  <si>
    <t>Member of Council HAYSVILLE (Vote For 3)</t>
  </si>
  <si>
    <t>Member of Council INGRAM (Vote For 3)</t>
  </si>
  <si>
    <t>Samantha Jo Wilfert</t>
  </si>
  <si>
    <t>Member of Council JEFFERSON HILLS (Vote For 3)</t>
  </si>
  <si>
    <t>Nicole Ruscitto</t>
  </si>
  <si>
    <t>Karen Bucy</t>
  </si>
  <si>
    <t>William Potts</t>
  </si>
  <si>
    <t>Keith Reynolds</t>
  </si>
  <si>
    <t>Member of Council LEETSDALE (Vote For 3)</t>
  </si>
  <si>
    <t>Roger A. Nanni</t>
  </si>
  <si>
    <t>Member of Council LIBERTY (Vote For 3)</t>
  </si>
  <si>
    <t>Christopher D. Gretz</t>
  </si>
  <si>
    <t>Michael J. Zrenchak</t>
  </si>
  <si>
    <t>Christopher J. DiClaudio</t>
  </si>
  <si>
    <t>David G. Cochran</t>
  </si>
  <si>
    <t>Jennifer Riley</t>
  </si>
  <si>
    <t>Member of Council LINCOLN (Vote For 3)</t>
  </si>
  <si>
    <t>Paul S. Vereb</t>
  </si>
  <si>
    <t>Kristin J. Beedle</t>
  </si>
  <si>
    <t>William Denne</t>
  </si>
  <si>
    <t>Member of Council MT OLIVER (Vote For 3)</t>
  </si>
  <si>
    <t>Christina Reft</t>
  </si>
  <si>
    <t>Amber McGough</t>
  </si>
  <si>
    <t>Aaron Graham</t>
  </si>
  <si>
    <t>Member of Council MUNHALL (Vote For 3)</t>
  </si>
  <si>
    <t>John K. Ondo</t>
  </si>
  <si>
    <t>Chris Fassinger</t>
  </si>
  <si>
    <t>Jason W. Stein</t>
  </si>
  <si>
    <t>Scott D. Stevens</t>
  </si>
  <si>
    <t>John F. Skeels, III</t>
  </si>
  <si>
    <t>Mark Fallon</t>
  </si>
  <si>
    <t>John Tichon</t>
  </si>
  <si>
    <t>Member of Council OAKDALE (Vote For 3)</t>
  </si>
  <si>
    <t>Jonathan Paul DeBor</t>
  </si>
  <si>
    <t>Mark Maximovich</t>
  </si>
  <si>
    <t>Tom Potts</t>
  </si>
  <si>
    <t>Member of Council OAKMONT (Vote For 3)</t>
  </si>
  <si>
    <t>Lindsay Osterhout</t>
  </si>
  <si>
    <t>Terese M. Connerton</t>
  </si>
  <si>
    <t>Tracey Holst</t>
  </si>
  <si>
    <t>Sophia Facaros</t>
  </si>
  <si>
    <t>Nancy L. Ride</t>
  </si>
  <si>
    <t>Member of Council GLEN OSBORNE (Vote For 3)</t>
  </si>
  <si>
    <t>Robert Ryan</t>
  </si>
  <si>
    <t>Member of Council PITCAIRN (Vote For 3)</t>
  </si>
  <si>
    <t>John T. McCreary, Jr.</t>
  </si>
  <si>
    <t>Debra J. Freeman</t>
  </si>
  <si>
    <t>Clarence Edwards</t>
  </si>
  <si>
    <t>Deborah Marto</t>
  </si>
  <si>
    <t>Lisa Petrosky</t>
  </si>
  <si>
    <t>James Rullo</t>
  </si>
  <si>
    <t>Member of Council PLEASANT HILLS (Vote For 3)</t>
  </si>
  <si>
    <t>Justin Horvat</t>
  </si>
  <si>
    <t>Daniel Soltesz</t>
  </si>
  <si>
    <t>Member of Council PLUM (Vote For 3)</t>
  </si>
  <si>
    <t>Ryan Delaney</t>
  </si>
  <si>
    <t>Daniel J. Hadley</t>
  </si>
  <si>
    <t>Member of Council PORT VUE (Vote For 3)</t>
  </si>
  <si>
    <t>Gregory M. Lombardo</t>
  </si>
  <si>
    <t>Kenneth J. Hresko</t>
  </si>
  <si>
    <t>Bryan Myers, II</t>
  </si>
  <si>
    <t>Member of Council ROSSLYN FARMS (Vote For 3)</t>
  </si>
  <si>
    <t>Member of Council SEWICKLEY HEIGHTS (Vote For 3)</t>
  </si>
  <si>
    <t>Member of Council SHARPSBURG (Vote For 3)</t>
  </si>
  <si>
    <t>Jonathan Jaso</t>
  </si>
  <si>
    <t>Adrianne Laing</t>
  </si>
  <si>
    <t>Gregory Phillip Domian</t>
  </si>
  <si>
    <t>Lawrence A. Trozzo</t>
  </si>
  <si>
    <t>Member of Council SPRINGDALE BOROUGH (Vote For 3)</t>
  </si>
  <si>
    <t>David J. Spirk</t>
  </si>
  <si>
    <t>James Zurisko</t>
  </si>
  <si>
    <t>Frank G. Forbes</t>
  </si>
  <si>
    <t>Member of Council SWISSVALE (Vote For 3)</t>
  </si>
  <si>
    <t>William C. Price, Jr.</t>
  </si>
  <si>
    <t>Weldianne Scales</t>
  </si>
  <si>
    <t>Christopher Ansell</t>
  </si>
  <si>
    <t>Shawn Alfonso Wells</t>
  </si>
  <si>
    <t>Frank A. Berry</t>
  </si>
  <si>
    <t>Member of Council THORNBURG (Vote For 3)</t>
  </si>
  <si>
    <t>Member of Council TRAFFORD (Vote For 3)</t>
  </si>
  <si>
    <t>Steven Perovich</t>
  </si>
  <si>
    <t>Member of Council VERONA (Vote For 3)</t>
  </si>
  <si>
    <t>David Charles Matlin</t>
  </si>
  <si>
    <t>Sandy Drabicki-Bell</t>
  </si>
  <si>
    <t>Sylvia K. Provenza</t>
  </si>
  <si>
    <t>Michael G. Forbeck</t>
  </si>
  <si>
    <t>Dom Conte</t>
  </si>
  <si>
    <t>Member of Council VERSAILLES (Vote For 3)</t>
  </si>
  <si>
    <t>Cynthia L. Richards</t>
  </si>
  <si>
    <t>Matthew J. Richards</t>
  </si>
  <si>
    <t>Member of Council WEST ELIZABETH (Vote For 3)</t>
  </si>
  <si>
    <t>Member of Council WEST HOMESTEAD (Vote For 3)</t>
  </si>
  <si>
    <t>Frank A. Guzzi</t>
  </si>
  <si>
    <t>Robert M. Cherep</t>
  </si>
  <si>
    <t>Joseph M. Baran</t>
  </si>
  <si>
    <t>John J. Karafa, Jr.</t>
  </si>
  <si>
    <t>Paul J. Urban</t>
  </si>
  <si>
    <t>Member of Council WEST MIFFLIN (Vote For 3)</t>
  </si>
  <si>
    <t>Robert J. Kostelnik</t>
  </si>
  <si>
    <t>Michael G. Moses</t>
  </si>
  <si>
    <t>Daniel Davis</t>
  </si>
  <si>
    <t>Steven Michael Marone</t>
  </si>
  <si>
    <t>Kenneth W. Ruffing</t>
  </si>
  <si>
    <t>Member of Council WEST VIEW (Vote For 3)</t>
  </si>
  <si>
    <t>M. Kimberly Steele</t>
  </si>
  <si>
    <t>Scott V. Miller</t>
  </si>
  <si>
    <t>Donald E. Mikec</t>
  </si>
  <si>
    <t>Member of Council WHITAKER (Vote For 3)</t>
  </si>
  <si>
    <t>Member of Council WHITEHALL (Vote For 3)</t>
  </si>
  <si>
    <t>Glenn P. Nagy</t>
  </si>
  <si>
    <t>Philip J. Lahr</t>
  </si>
  <si>
    <t>Member of Council WHITE OAK (Vote For 3)</t>
  </si>
  <si>
    <t>George C. Pambacas</t>
  </si>
  <si>
    <t>David J. Pasternak</t>
  </si>
  <si>
    <t>Donald Govanucci</t>
  </si>
  <si>
    <t>Member of Council PENNSBURY VILLAGE (Vote For 3)</t>
  </si>
  <si>
    <t>Barbara Ann Cinpinski</t>
  </si>
  <si>
    <t>Ann L. Clay</t>
  </si>
  <si>
    <t>Member of Council DRAVOSBURG (Vote For 2)</t>
  </si>
  <si>
    <t>Matthew L. Mols</t>
  </si>
  <si>
    <t>Gregory M. Dzuro</t>
  </si>
  <si>
    <t>Member of Council DUQUESNE (Vote For 2)</t>
  </si>
  <si>
    <t>John S. Gyure</t>
  </si>
  <si>
    <t>Terra Henderson-Murphy</t>
  </si>
  <si>
    <t>Timothy Caldwell</t>
  </si>
  <si>
    <t>Member of Council HAMPTON (Vote For 2)</t>
  </si>
  <si>
    <t>Nicholas Haberman</t>
  </si>
  <si>
    <t>Member of Council HEIDELBERG (Vote For 2)</t>
  </si>
  <si>
    <t>Raymond Losego</t>
  </si>
  <si>
    <t>Member of Council PENN HILLS (Vote For 2)</t>
  </si>
  <si>
    <t>James A. Getsy</t>
  </si>
  <si>
    <t>Shawn Kerestus</t>
  </si>
  <si>
    <t>Mark Brodnicki</t>
  </si>
  <si>
    <t>Frank Pecora</t>
  </si>
  <si>
    <t>Chuck Chieffo</t>
  </si>
  <si>
    <t>Jace Ransom</t>
  </si>
  <si>
    <t>Tyler Tomasino</t>
  </si>
  <si>
    <t>Member of Council SEWICKLEY HILLS (Vote For 2)</t>
  </si>
  <si>
    <t>Michael J. Lepore</t>
  </si>
  <si>
    <t>Member of Council WALL (Vote For 2)</t>
  </si>
  <si>
    <t>Member of Council BRADDOCK HILLS (Vote For 2)</t>
  </si>
  <si>
    <t>Member of Council ROSSLYN FARMS (Vote For 2)</t>
  </si>
  <si>
    <t>Jonathan Glance</t>
  </si>
  <si>
    <t>Member of Council ASPINWALL (Vote For 1)</t>
  </si>
  <si>
    <t>Member of Council BEN AVON HEIGHTS (Vote For 1)</t>
  </si>
  <si>
    <t>Member of Council CHALFANT (Vote For 1)</t>
  </si>
  <si>
    <t>Evelyn L. Fullwood</t>
  </si>
  <si>
    <t>Member of Council CHESWICK (Vote For 1)</t>
  </si>
  <si>
    <t>Member of Council DUQUESNE (Vote For 1)</t>
  </si>
  <si>
    <t>Elaine Washington</t>
  </si>
  <si>
    <t>Member of Council ELIZABETH BOROUGH (Vote For 1)</t>
  </si>
  <si>
    <t>Andrew W. Miklos, Jr.</t>
  </si>
  <si>
    <t>Member of Council GLENFIELD (Vote For 1)</t>
  </si>
  <si>
    <t>Member of Council INGRAM (Vote For 1)</t>
  </si>
  <si>
    <t>Greg Butler</t>
  </si>
  <si>
    <t>Member of Council LIBERTY (Vote For 1)</t>
  </si>
  <si>
    <t>Christopher  J. DiClaudio</t>
  </si>
  <si>
    <t>Member of Council MT OLIVER (Vote For 1)</t>
  </si>
  <si>
    <t>Francis E. Heckmann</t>
  </si>
  <si>
    <t>Member of Council OAKMONT (Vote For 1)</t>
  </si>
  <si>
    <t>David H. Brankley</t>
  </si>
  <si>
    <t>Member of Council PITCAIRN (Vote For 1)</t>
  </si>
  <si>
    <t>Beverly Shearer</t>
  </si>
  <si>
    <t>John M. Bova</t>
  </si>
  <si>
    <t>Member of Council PLEASANT HILLS (Vote For 1)</t>
  </si>
  <si>
    <t>Matthew C. Miceli</t>
  </si>
  <si>
    <t>Member of Council SEWICKLEY HEIGHTS (Vote For 1)</t>
  </si>
  <si>
    <t>Member of Council SEWICKLEY HILLS (Vote For 1)</t>
  </si>
  <si>
    <t>Member of Council WHITAKER (Vote For 1)</t>
  </si>
  <si>
    <t>Member of Council WHITE OAK (Vote For 1)</t>
  </si>
  <si>
    <t>Stephen C. Pholar</t>
  </si>
  <si>
    <t>Member of Council MCKEES ROCKS WARD 3 (Vote For 3)</t>
  </si>
  <si>
    <t>Charles A. Maritz</t>
  </si>
  <si>
    <t>Stacey L. Dick</t>
  </si>
  <si>
    <t>Elizabeth Delgado</t>
  </si>
  <si>
    <t>David Flick</t>
  </si>
  <si>
    <t>Shallegra Moye</t>
  </si>
  <si>
    <t>Member of Council AVALON WARD 1 (Vote For 2)</t>
  </si>
  <si>
    <t>Vicki Donnelly</t>
  </si>
  <si>
    <t>Member of Council BELLEVUE WARD 3 (Vote For 2)</t>
  </si>
  <si>
    <t>Jillian S. Edmondson</t>
  </si>
  <si>
    <t>Amanda Sloane</t>
  </si>
  <si>
    <t>Member of Council CARNEGIE WARD 1 (Vote For 2)</t>
  </si>
  <si>
    <t>Susan Demko</t>
  </si>
  <si>
    <t>Thomas DiPietro</t>
  </si>
  <si>
    <t>Member of Council ETNA WARD 1 (Vote For 2)</t>
  </si>
  <si>
    <t>Megan Tunon</t>
  </si>
  <si>
    <t>Gregory V. Porter</t>
  </si>
  <si>
    <t>Member of Council NORTH BRADDOCK WARD 3 (Vote For 2)</t>
  </si>
  <si>
    <t>Lena Dixon</t>
  </si>
  <si>
    <t>Michael Thomas Breaston, Jr.</t>
  </si>
  <si>
    <t>Lisa Dodson Franklin</t>
  </si>
  <si>
    <t>Member of Council SEWICKLEY WARD 2 (Vote For 2)</t>
  </si>
  <si>
    <t>Member of Council TURTLE CREEK WARD 1 (Vote For 2)</t>
  </si>
  <si>
    <t>Jack Osman</t>
  </si>
  <si>
    <t>Constance Marie Tinsley</t>
  </si>
  <si>
    <t>Member of Council TURTLE CREEK WARD 2 (Vote For 2)</t>
  </si>
  <si>
    <t>Jill E. Henkel</t>
  </si>
  <si>
    <t>Nick Bianchi</t>
  </si>
  <si>
    <t>Member of Council WILKINSBURG WARD 1 (Vote For 2)</t>
  </si>
  <si>
    <t>William Smith, III</t>
  </si>
  <si>
    <t>Paige E. Trice</t>
  </si>
  <si>
    <t>Linda A. Atkins</t>
  </si>
  <si>
    <t>Jay True-Dell Hayden</t>
  </si>
  <si>
    <t>Guy W. Brown</t>
  </si>
  <si>
    <t>Ashley Comans</t>
  </si>
  <si>
    <t>Member of Council AVALON WARD 2 (Vote For 1)</t>
  </si>
  <si>
    <t>Member of Council AVALON WARD 3 (Vote For 1)</t>
  </si>
  <si>
    <t>Member of Council BELLEVUE WARD 1 (Vote For 1)</t>
  </si>
  <si>
    <t>Linda Woshner</t>
  </si>
  <si>
    <t>Jodi Cerminara</t>
  </si>
  <si>
    <t>Member of Council BELLEVUE WARD 2 (Vote For 1)</t>
  </si>
  <si>
    <t>Jeff Stuncard</t>
  </si>
  <si>
    <t>Member of Council BETHEL PARK WARD 2 (Vote For 1)</t>
  </si>
  <si>
    <t>Member of Council BETHEL PARK WARD 4 (Vote For 1)</t>
  </si>
  <si>
    <t>Member of Council BETHEL PARK WARD 6 (Vote For 1)</t>
  </si>
  <si>
    <t>Mark J. O'Brien</t>
  </si>
  <si>
    <t>Member of Council BETHEL PARK WARD 8 (Vote For 1)</t>
  </si>
  <si>
    <t>Member of Council BRACKENRIDGE WARD 1 (Vote For 1)</t>
  </si>
  <si>
    <t>Timothy Connelly</t>
  </si>
  <si>
    <t>Member of Council BRACKENRIDGE WARD 2 (Vote For 1)</t>
  </si>
  <si>
    <t>John Derry Stanzione, Jr.</t>
  </si>
  <si>
    <t>Member of Council BRACKENRIDGE WARD 3 (Vote For 1)</t>
  </si>
  <si>
    <t>Verne Petz</t>
  </si>
  <si>
    <t>Member of Council BRADDOCK WARD 1 (Vote For 1)</t>
  </si>
  <si>
    <t>Member of Council BRADDOCK WARD 2 (Vote For 1)</t>
  </si>
  <si>
    <t>Lorne Berry</t>
  </si>
  <si>
    <t>John R. Paylor</t>
  </si>
  <si>
    <t>Member of Council BRADDOCK WARD 3 (Vote For 1)</t>
  </si>
  <si>
    <t>Robert K. Parker</t>
  </si>
  <si>
    <t>Dominique Davis</t>
  </si>
  <si>
    <t>Member of Council CARNEGIE WARD 2 (Vote For 1)</t>
  </si>
  <si>
    <t>Rick D'Loss</t>
  </si>
  <si>
    <t>Member of Council CLAIRTON WARD 1 (Vote For 1)</t>
  </si>
  <si>
    <t>R. Tony Kurta</t>
  </si>
  <si>
    <t>Member of Council CLAIRTON WARD 4 (Vote For 1)</t>
  </si>
  <si>
    <t>Denise Johnson-Clemmons</t>
  </si>
  <si>
    <t>Lamont Lewis</t>
  </si>
  <si>
    <t>Member of Council CORAOPOLIS WARD 1 (Vote For 1)</t>
  </si>
  <si>
    <t>Edward Pitassi</t>
  </si>
  <si>
    <t>Member of Council CORAOPOLIS WARD 2 (Vote For 1)</t>
  </si>
  <si>
    <t>David Pendel</t>
  </si>
  <si>
    <t>Member of Council CORAOPOLIS WARD 3 (Vote For 1)</t>
  </si>
  <si>
    <t>Lucinda Hackett-Wade</t>
  </si>
  <si>
    <t>Chad Kraynyk</t>
  </si>
  <si>
    <t>Member of Council CORAOPOLIS WARD 4 (Vote For 1)</t>
  </si>
  <si>
    <t>Robb J. Cardimen</t>
  </si>
  <si>
    <t>Member of Council ETNA WARD 2 (Vote For 1)</t>
  </si>
  <si>
    <t>Ronald Trader</t>
  </si>
  <si>
    <t>Member of Council ETNA WARD 3 (Vote For 1)</t>
  </si>
  <si>
    <t>Jessica Semler</t>
  </si>
  <si>
    <t>Member of Council FRANKLIN PARK WARD 1 (Vote For 1)</t>
  </si>
  <si>
    <t>Member of Council FRANKLIN PARK WARD 2 (Vote For 1)</t>
  </si>
  <si>
    <t>Matt Ferriolo</t>
  </si>
  <si>
    <t>Member of Council FRANKLIN PARK WARD 3 (Vote For 1)</t>
  </si>
  <si>
    <t>Member of Council HOMESTEAD WARD 1 (Vote For 1)</t>
  </si>
  <si>
    <t>Zaneta R. Hines</t>
  </si>
  <si>
    <t>Wanda E. Burwell</t>
  </si>
  <si>
    <t>Member of Council HOMESTEAD WARD 2 (Vote For 1)</t>
  </si>
  <si>
    <t>Connie D. Burwell</t>
  </si>
  <si>
    <t>Member of Council HOMESTEAD WARD 3 (Vote For 1)</t>
  </si>
  <si>
    <t>Louise Benton</t>
  </si>
  <si>
    <t>Henry A. White</t>
  </si>
  <si>
    <t>Member of Council MCCANDLESS WARD 1 (Vote For 1)</t>
  </si>
  <si>
    <t>Member of Council MCCANDLESS WARD 3 (Vote For 1)</t>
  </si>
  <si>
    <t>Deawna Marie Alfonsi</t>
  </si>
  <si>
    <t>Member of Council MCCANDLESS WARD 5 (Vote For 1)</t>
  </si>
  <si>
    <t>Member of Council MCCANDLESS WARD 7 (Vote For 1)</t>
  </si>
  <si>
    <t>Patricia Cloonan</t>
  </si>
  <si>
    <t>Member of Council MCKEES ROCKS WARD 1 (Vote For 1)</t>
  </si>
  <si>
    <t>Craig Myers</t>
  </si>
  <si>
    <t>Member of Council MONROEVILLE WARD 2 (Vote For 1)</t>
  </si>
  <si>
    <t>Eric Poach</t>
  </si>
  <si>
    <t>Member of Council MONROEVILLE WARD 4 (Vote For 1)</t>
  </si>
  <si>
    <t>Steven T. Wolfram</t>
  </si>
  <si>
    <t>Member of Council MONROEVILLE WARD 6 (Vote For 1)</t>
  </si>
  <si>
    <t>Bob Williams</t>
  </si>
  <si>
    <t>Domenic L. Russo, Jr.</t>
  </si>
  <si>
    <t>Member of Council NORTH BRADDOCK WARD 1 (Vote For 1)</t>
  </si>
  <si>
    <t>Michael Dobrinich</t>
  </si>
  <si>
    <t>Member of Council NORTH BRADDOCK WARD 2 (Vote For 1)</t>
  </si>
  <si>
    <t>John A. Vahosky</t>
  </si>
  <si>
    <t>Member of Council RANKIN WARD 1 (Vote For 1)</t>
  </si>
  <si>
    <t>Ruby M. Grant</t>
  </si>
  <si>
    <t>Member of Council RANKIN WARD 2 (Vote For 1)</t>
  </si>
  <si>
    <t>Geneva Parks</t>
  </si>
  <si>
    <t>Member of Council RANKIN WARD 3 (Vote For 1)</t>
  </si>
  <si>
    <t>Anita Cioppa</t>
  </si>
  <si>
    <t>Member of Council SEWICKLEY WARD 1 (Vote For 1)</t>
  </si>
  <si>
    <t>Julie Barnes</t>
  </si>
  <si>
    <t>Member of Council SEWICKLEY WARD 3 (Vote For 1)</t>
  </si>
  <si>
    <t>Thomas G. Rostek</t>
  </si>
  <si>
    <t>Member of Council TARENTUM WARD 1 (Vote For 1)</t>
  </si>
  <si>
    <t>Erika Josefoski</t>
  </si>
  <si>
    <t>Member of Council TARENTUM WARD 2 (Vote For 1)</t>
  </si>
  <si>
    <t>Scott Dadowski</t>
  </si>
  <si>
    <t>Member of Council TARENTUM WARD 3 (Vote For 1)</t>
  </si>
  <si>
    <t>Member of Council TURTLE CREEK WARD 3 (Vote For 1)</t>
  </si>
  <si>
    <t>Max E. Spencer, Jr.</t>
  </si>
  <si>
    <t>Member of Council WILKINSBURG WARD 2 (Vote For 1)</t>
  </si>
  <si>
    <t>Ariel Haughton</t>
  </si>
  <si>
    <t>Andre L. Scott</t>
  </si>
  <si>
    <t>Vanessa McCarthy-Johnson</t>
  </si>
  <si>
    <t>Member of Council WILKINSBURG WARD 3 (Vote For 1)</t>
  </si>
  <si>
    <t>James F. Frank</t>
  </si>
  <si>
    <t>Marc V. Taiani</t>
  </si>
  <si>
    <t>Denise Edwards</t>
  </si>
  <si>
    <t>MEMBER OF COUNCIL CORAOPOLIS WARD 3 (Vote For 1)</t>
  </si>
  <si>
    <t>MEMBER OF COUNCIL FRANKLIN PARK WARD 2 (Vote For 1)</t>
  </si>
  <si>
    <t>Susan Striz</t>
  </si>
  <si>
    <t>MEMBER OF COUNCIL TARENTUM WARD 3 (Vote For 1)</t>
  </si>
  <si>
    <t>MEMBER OF COUNCIL WILKINSBURG WARD 1 (Vote For 1)</t>
  </si>
  <si>
    <t>Ian Petrulli</t>
  </si>
  <si>
    <t>MEMBER OF COUNCIL WILKINSBURG WARD 2 (Vote For 1)</t>
  </si>
  <si>
    <t>Supervisor At-Large RICHLAND (Vote For 1)</t>
  </si>
  <si>
    <t>Supervisor MARSHALL (Vote For 2)</t>
  </si>
  <si>
    <t>Supervisor MOON (Vote For 2)</t>
  </si>
  <si>
    <t>James A. Vitale</t>
  </si>
  <si>
    <t>Mark Ulven</t>
  </si>
  <si>
    <t>Supervisor FAWN (Vote For 1)</t>
  </si>
  <si>
    <t>Carrie White</t>
  </si>
  <si>
    <t>Garry J. Christy</t>
  </si>
  <si>
    <t>Supervisor FINDLAY (Vote For 1)</t>
  </si>
  <si>
    <t>Raymond Chappell</t>
  </si>
  <si>
    <t>Supervisor FORWARD (Vote For 1)</t>
  </si>
  <si>
    <t>David Magiske</t>
  </si>
  <si>
    <t>Supervisor FRAZER (Vote For 1)</t>
  </si>
  <si>
    <t>Lori K. Ziencik</t>
  </si>
  <si>
    <t>Supervisor HARMAR (Vote For 1)</t>
  </si>
  <si>
    <t>Robert W. Seibert, Jr.</t>
  </si>
  <si>
    <t>Supervisor KILBUCK (Vote For 1)</t>
  </si>
  <si>
    <t>Supervisor NORTH FAYETTE (Vote For 1)</t>
  </si>
  <si>
    <t>Supervisor OHIO (Vote For 1)</t>
  </si>
  <si>
    <t>Supervisor SOUTH PARK (Vote For 1)</t>
  </si>
  <si>
    <t>David J. Buchewicz</t>
  </si>
  <si>
    <t>Supervisor PINE (Vote For 3)</t>
  </si>
  <si>
    <t>Jeffrey Hyams</t>
  </si>
  <si>
    <t>David A. Norris</t>
  </si>
  <si>
    <t>Supervisor INDIANA DISTRICT 1 (Vote For 1)</t>
  </si>
  <si>
    <t>J. Anthony Miga</t>
  </si>
  <si>
    <t>Supervisor INDIANA DISTRICT 2 (Vote For 1)</t>
  </si>
  <si>
    <t>Supervisor INDIANA DISTRICT 3 (Vote For 1)</t>
  </si>
  <si>
    <t>Supervisor INDIANA DISTRICT 4 (Vote For 1)</t>
  </si>
  <si>
    <t>Supervisor RICHLAND SUPERVISOR 3 (Vote For 1)</t>
  </si>
  <si>
    <t>Supervisor RICHLAND SUPERVISOR 4 (Vote For 1)</t>
  </si>
  <si>
    <t>Supervisor SUPERVISOR DISTRICT 1 (Vote For 1)</t>
  </si>
  <si>
    <t>Brandon Forbes</t>
  </si>
  <si>
    <t>Supervisor SUPERVISOR DISTRICT 3 (Vote For 1)</t>
  </si>
  <si>
    <t>Rebecca Warren</t>
  </si>
  <si>
    <t>Rep</t>
  </si>
  <si>
    <t>Megan McCarthy King</t>
  </si>
  <si>
    <t>Christylee Peck</t>
  </si>
  <si>
    <t>Matt Drozd</t>
  </si>
  <si>
    <t>Samuel DeMarco, III</t>
  </si>
  <si>
    <t>Cindy Kirk</t>
  </si>
  <si>
    <t>Sue Means</t>
  </si>
  <si>
    <t>William A. LuPone, Jr.</t>
  </si>
  <si>
    <t>Gregory J. DiTullio</t>
  </si>
  <si>
    <t>Greg Dolan</t>
  </si>
  <si>
    <t>Joseph D. Noro</t>
  </si>
  <si>
    <t>Doug Marsico</t>
  </si>
  <si>
    <t>Jerry Speakman</t>
  </si>
  <si>
    <t>Carol A. Donahue</t>
  </si>
  <si>
    <t>Lisa Ann Herbert</t>
  </si>
  <si>
    <t>Susan M. Nolan</t>
  </si>
  <si>
    <t>Jeffrey J. Wink</t>
  </si>
  <si>
    <t>Paul A. Cusick</t>
  </si>
  <si>
    <t>Richard Withee</t>
  </si>
  <si>
    <t>Jerry L. Keller</t>
  </si>
  <si>
    <t>Christina Snell</t>
  </si>
  <si>
    <t>Jill Ammon</t>
  </si>
  <si>
    <t>Rex A. Waller</t>
  </si>
  <si>
    <t>Art Bond</t>
  </si>
  <si>
    <t>Lisa Malosh</t>
  </si>
  <si>
    <t>John N. Allen</t>
  </si>
  <si>
    <t>Kerilee Bradel-Medwid</t>
  </si>
  <si>
    <t>Carolyn A. Verszyla</t>
  </si>
  <si>
    <t>Monica K. Sample</t>
  </si>
  <si>
    <t>Erika Oslick</t>
  </si>
  <si>
    <t>Robert J. Schuler</t>
  </si>
  <si>
    <t>Wilson Durisko</t>
  </si>
  <si>
    <t>Joe Sabol</t>
  </si>
  <si>
    <t>Megan McDonough</t>
  </si>
  <si>
    <t>Andrew Kuzma</t>
  </si>
  <si>
    <t>Richard A. Algeri</t>
  </si>
  <si>
    <t>Daniel W. Poirier</t>
  </si>
  <si>
    <t>William L. Hoon</t>
  </si>
  <si>
    <t>Dale Bricker, Jr.</t>
  </si>
  <si>
    <t>Sandra Lee Miller</t>
  </si>
  <si>
    <t>Grace Stanko</t>
  </si>
  <si>
    <t>Paul Trilli</t>
  </si>
  <si>
    <t>Grant Montgomery</t>
  </si>
  <si>
    <t>Stacey A. Altman</t>
  </si>
  <si>
    <t>Anthony S. Amadio</t>
  </si>
  <si>
    <t>David W. Shutter</t>
  </si>
  <si>
    <t>Susan H. Fisher</t>
  </si>
  <si>
    <t>Heather Lynn Perman</t>
  </si>
  <si>
    <t>Bill Cross</t>
  </si>
  <si>
    <t>Dante Plutko, Jr.</t>
  </si>
  <si>
    <t>Bob Orchowski</t>
  </si>
  <si>
    <t>Ron Pardini</t>
  </si>
  <si>
    <t>David Mizgorski</t>
  </si>
  <si>
    <t>John Robert Denny, Jr.</t>
  </si>
  <si>
    <t>Bob Smith</t>
  </si>
  <si>
    <t>Tiffany Babinsack</t>
  </si>
  <si>
    <t>Brian Snyder</t>
  </si>
  <si>
    <t>Gregory A. Mihalko</t>
  </si>
  <si>
    <t>John Oliver Radcliffe</t>
  </si>
  <si>
    <t>Michael Schaal</t>
  </si>
  <si>
    <t>Timothy P. McLaughlin</t>
  </si>
  <si>
    <t>David C. Borland, Jr.</t>
  </si>
  <si>
    <t>Rebecca A. Conley</t>
  </si>
  <si>
    <t>Megan E. Wine</t>
  </si>
  <si>
    <t>Dennis C. Young, Jr.</t>
  </si>
  <si>
    <t>Todd Hipwell</t>
  </si>
  <si>
    <t>Jennifer Griffin</t>
  </si>
  <si>
    <t>Joel Lakus</t>
  </si>
  <si>
    <t>Devlin J. Robinson</t>
  </si>
  <si>
    <t>Michael Tolmer</t>
  </si>
  <si>
    <t>Brad Yaksich</t>
  </si>
  <si>
    <t>Michael J. Girardi</t>
  </si>
  <si>
    <t>George Fuller</t>
  </si>
  <si>
    <t>Elizabeth H. Genter</t>
  </si>
  <si>
    <t>Gregory J. Marlovits</t>
  </si>
  <si>
    <t>David Aloe</t>
  </si>
  <si>
    <t>Desiree Gephart</t>
  </si>
  <si>
    <t>Paul F. Getz</t>
  </si>
  <si>
    <t>Ann R. Meyer</t>
  </si>
  <si>
    <t>James M. Royston</t>
  </si>
  <si>
    <t>Jay S. Troutman</t>
  </si>
  <si>
    <t>Jerry Ellis</t>
  </si>
  <si>
    <t>James D. Kingsley</t>
  </si>
  <si>
    <t>Michael Lewis</t>
  </si>
  <si>
    <t>Joseph Leo Lynch</t>
  </si>
  <si>
    <t>Melissa Girman-Steffey</t>
  </si>
  <si>
    <t>Jeffery Weatherby</t>
  </si>
  <si>
    <t>Wesley T. James</t>
  </si>
  <si>
    <t>William E. Wengerd</t>
  </si>
  <si>
    <t>Matthew Duran</t>
  </si>
  <si>
    <t>Andrew R. Zentgraf</t>
  </si>
  <si>
    <t>Jarod R. Stewart</t>
  </si>
  <si>
    <t>Gregory P. Smith</t>
  </si>
  <si>
    <t>Andy Codelka</t>
  </si>
  <si>
    <t>David Seitz</t>
  </si>
  <si>
    <t>John Anderson</t>
  </si>
  <si>
    <t>Dave Majernik</t>
  </si>
  <si>
    <t>Jerald C. Lear, Jr.</t>
  </si>
  <si>
    <t>Steven P. Tassaro</t>
  </si>
  <si>
    <t>Chad R. Green</t>
  </si>
  <si>
    <t>J. Brandon Snyder</t>
  </si>
  <si>
    <t>Tom McCargo</t>
  </si>
  <si>
    <t>John Means</t>
  </si>
  <si>
    <t>Shawn P. Fitzgerald, Jr.</t>
  </si>
  <si>
    <t>T. Zane Long, II</t>
  </si>
  <si>
    <t>Kris Cardiff</t>
  </si>
  <si>
    <t>Janet Isaacs</t>
  </si>
  <si>
    <t>Harold A. Plusa</t>
  </si>
  <si>
    <t>Chris A. Mooney</t>
  </si>
  <si>
    <t>Robert McKown</t>
  </si>
  <si>
    <t>Janet L. Gerber</t>
  </si>
  <si>
    <t>Charles D. Davis</t>
  </si>
  <si>
    <t>Louis G. Bender</t>
  </si>
  <si>
    <t>Steven Stecko</t>
  </si>
  <si>
    <t>Gerald A. McGrew, Jr.</t>
  </si>
  <si>
    <t>Raymond E. Anderson</t>
  </si>
  <si>
    <t>Martha Hunkele</t>
  </si>
  <si>
    <t>Joe Dougherty</t>
  </si>
  <si>
    <t>David S. Robb</t>
  </si>
  <si>
    <t>Barbara L. Becker</t>
  </si>
  <si>
    <t>Elizabeth Lape</t>
  </si>
  <si>
    <t>Randy Galm</t>
  </si>
  <si>
    <t>Eileen Solinas</t>
  </si>
  <si>
    <t>Carey Sirianni</t>
  </si>
  <si>
    <t>Julie A. Opferman</t>
  </si>
  <si>
    <t>Hendrik Van Der Vaart</t>
  </si>
  <si>
    <t>Joshua E. Klicker</t>
  </si>
  <si>
    <t>Thomas Hrynda</t>
  </si>
  <si>
    <t>Timothy Campbell</t>
  </si>
  <si>
    <t>Todd Cenci</t>
  </si>
  <si>
    <t>Gayle L. Dixon</t>
  </si>
  <si>
    <t>Timothy J. Moury</t>
  </si>
  <si>
    <t>Laura A. Coombs</t>
  </si>
  <si>
    <t>John P. Parks</t>
  </si>
  <si>
    <t>James W. Lawrence</t>
  </si>
  <si>
    <t>Greg Martin</t>
  </si>
  <si>
    <t>Kimberly Zachary</t>
  </si>
  <si>
    <t>Steven E. Mertz</t>
  </si>
  <si>
    <t>Chuck Mazur</t>
  </si>
  <si>
    <t>Joseph M. Beierle</t>
  </si>
  <si>
    <t>Angela Woods</t>
  </si>
  <si>
    <t>Patrick M. Semon</t>
  </si>
  <si>
    <t>John Dunn</t>
  </si>
  <si>
    <t>Thomas Grates, Jr.</t>
  </si>
  <si>
    <t>Lucas R. Myslinski</t>
  </si>
  <si>
    <t>Donna L. Snyder</t>
  </si>
  <si>
    <t>Anthony J. Candek</t>
  </si>
  <si>
    <t>Philip E. Troy</t>
  </si>
  <si>
    <t>Emidio Mosca</t>
  </si>
  <si>
    <t>Al Quaye</t>
  </si>
  <si>
    <t>Phillip G. Smozski</t>
  </si>
  <si>
    <t>James R. Mangan</t>
  </si>
  <si>
    <t>Thomas R. Beatty</t>
  </si>
  <si>
    <t>Brian Lucot</t>
  </si>
  <si>
    <t>Jack Donahue</t>
  </si>
  <si>
    <t>Frank J. Spagnolo</t>
  </si>
  <si>
    <t>Philip D. Henry</t>
  </si>
  <si>
    <t>Jeff Romano</t>
  </si>
  <si>
    <t>Jeff Fisher</t>
  </si>
  <si>
    <t>Ryan Colombo</t>
  </si>
  <si>
    <t>Pat Avolio</t>
  </si>
  <si>
    <t>Paul Jorgensen</t>
  </si>
  <si>
    <t>Al Kaan</t>
  </si>
  <si>
    <t>Darrin J. Krally</t>
  </si>
  <si>
    <t>Daniel L. Taylor</t>
  </si>
  <si>
    <t>George P. Allen</t>
  </si>
  <si>
    <t>Raymond P. Kendrick</t>
  </si>
  <si>
    <t>Shirley A. Hollibaugh</t>
  </si>
  <si>
    <t>vote for</t>
  </si>
  <si>
    <t>seq</t>
  </si>
  <si>
    <t>lowest winner</t>
  </si>
  <si>
    <t>highest loser</t>
  </si>
  <si>
    <t>contest</t>
  </si>
  <si>
    <t>election</t>
  </si>
  <si>
    <t>PA_Alleg_2019p</t>
  </si>
  <si>
    <t>Presidential Electors (Vote For 1)</t>
  </si>
  <si>
    <t>DEM Joseph R. Biden/Kamala D. Harris</t>
  </si>
  <si>
    <t>DEM</t>
  </si>
  <si>
    <t>REP Donald J. Trump/Mike R. Pence</t>
  </si>
  <si>
    <t>REP</t>
  </si>
  <si>
    <t>LIB Jo Jorgensen/Jeremy Spike Cohen</t>
  </si>
  <si>
    <t>LIB</t>
  </si>
  <si>
    <t>Write-in</t>
  </si>
  <si>
    <t>NON</t>
  </si>
  <si>
    <t>Attorney General (Vote For 1)</t>
  </si>
  <si>
    <t>DEM Josh Shapiro</t>
  </si>
  <si>
    <t>REP Heather Heidelbaugh</t>
  </si>
  <si>
    <t>LIB Daniel Wassmer</t>
  </si>
  <si>
    <t>GRN Richard L. Weiss</t>
  </si>
  <si>
    <t>GRN</t>
  </si>
  <si>
    <t>Auditor General (Vote For 1)</t>
  </si>
  <si>
    <t>DEM Nina Ahmad</t>
  </si>
  <si>
    <t>REP Timothy DeFoor</t>
  </si>
  <si>
    <t>LIB Jennifer Moore</t>
  </si>
  <si>
    <t>GRN Olivia Faison</t>
  </si>
  <si>
    <t>State Treasurer (Vote For 1)</t>
  </si>
  <si>
    <t>DEM Joe Torsella</t>
  </si>
  <si>
    <t>REP Stacy L. Garrity</t>
  </si>
  <si>
    <t>LIB Joe Soloski</t>
  </si>
  <si>
    <t>GRN Timothy Runkle</t>
  </si>
  <si>
    <t>Representative in Congress 17th District (Vote For 1)</t>
  </si>
  <si>
    <t>DEM Conor Lamb</t>
  </si>
  <si>
    <t>REP Sean Parnell</t>
  </si>
  <si>
    <t>Representative in Congress 18th District (Vote For 1)</t>
  </si>
  <si>
    <t>DEM Mike Doyle</t>
  </si>
  <si>
    <t>REP Luke Edison Negron</t>
  </si>
  <si>
    <t>Senator in the General Assembly 37th District (Vote For 1)</t>
  </si>
  <si>
    <t>DEM Pam Iovino</t>
  </si>
  <si>
    <t>REP Devlin Robinson</t>
  </si>
  <si>
    <t>Senator in the General Assembly 43rd District (Vote For 1)</t>
  </si>
  <si>
    <t>DEM Jay Costa, Jr.</t>
  </si>
  <si>
    <t>Senator in the General Assembly 45th District (Vote For 1)</t>
  </si>
  <si>
    <t>DEM Jim Brewster</t>
  </si>
  <si>
    <t>REP Nicole Ziccarelli</t>
  </si>
  <si>
    <t>Representative in the General Assembly 16th District (Vote For 1)</t>
  </si>
  <si>
    <t>DEM Robert F. Matzie</t>
  </si>
  <si>
    <t>REP Rico Elmore</t>
  </si>
  <si>
    <t>Representative in the General Assembly 19th District (Vote For 1)</t>
  </si>
  <si>
    <t>DEM Jake Wheatley</t>
  </si>
  <si>
    <t>Representative in the General Assembly 20th District (Vote For 1)</t>
  </si>
  <si>
    <t>DEM Emily Kinkead</t>
  </si>
  <si>
    <t>Representative in the General Assembly 21st District (Vote For 1)</t>
  </si>
  <si>
    <t>DEM Sara Innamorato</t>
  </si>
  <si>
    <t>REP John Waugh</t>
  </si>
  <si>
    <t>Representative in the General Assembly 23rd District (Vote For 1)</t>
  </si>
  <si>
    <t>DEM Dan Frankel</t>
  </si>
  <si>
    <t>GRN Jay Ting Walker</t>
  </si>
  <si>
    <t>Representative in the General Assembly 24th District (Vote For 1)</t>
  </si>
  <si>
    <t>DEM Ed Gainey</t>
  </si>
  <si>
    <t>Representative in the General Assembly 25th District (Vote For 1)</t>
  </si>
  <si>
    <t>DEM Brandon J. Markosek</t>
  </si>
  <si>
    <t>REP John Ritter</t>
  </si>
  <si>
    <t>Representative in the General Assembly 27th District (Vote For 1)</t>
  </si>
  <si>
    <t>DEM Dan Deasy</t>
  </si>
  <si>
    <t>Representative in the General Assembly 28th District (Vote For 1)</t>
  </si>
  <si>
    <t>DEM Emily Skopov</t>
  </si>
  <si>
    <t>REP Rob Mercuri</t>
  </si>
  <si>
    <t>Representative in the General Assembly 30th District (Vote For 1)</t>
  </si>
  <si>
    <t>DEM Lissa Geiger Shulman</t>
  </si>
  <si>
    <t>REP Lori Mizgorski</t>
  </si>
  <si>
    <t>Representative in the General Assembly 32nd District (Vote For 1)</t>
  </si>
  <si>
    <t>DEM Tony DeLuca</t>
  </si>
  <si>
    <t>Representative in the General Assembly 33rd District (Vote For 1)</t>
  </si>
  <si>
    <t>DEM Frank Dermody</t>
  </si>
  <si>
    <t>REP Carrie DelRosso</t>
  </si>
  <si>
    <t>Representative in the General Assembly 34th District (Vote For 1)</t>
  </si>
  <si>
    <t>DEM Summer Lee</t>
  </si>
  <si>
    <t>Representative in the General Assembly 35th District (Vote For 1)</t>
  </si>
  <si>
    <t>DEM Austin Davis</t>
  </si>
  <si>
    <t>Representative in the General Assembly 36th District (Vote For 1)</t>
  </si>
  <si>
    <t>DEM Jessica Benham</t>
  </si>
  <si>
    <t>REP AJ Doyle</t>
  </si>
  <si>
    <t>Representative in the General Assembly 38th District (Vote For 1)</t>
  </si>
  <si>
    <t>DEM Nick Pisciottano</t>
  </si>
  <si>
    <t>REP Linda Book</t>
  </si>
  <si>
    <t>Representative in the General Assembly 39th District (Vote For 1)</t>
  </si>
  <si>
    <t>DEM Sara-Summer Oliphant</t>
  </si>
  <si>
    <t>REP Mike Puskaric</t>
  </si>
  <si>
    <t>Representative in the General Assembly 40th District (Vote For 1)</t>
  </si>
  <si>
    <t>DEM Sharon Guidi</t>
  </si>
  <si>
    <t>REP Natalie Mihalek</t>
  </si>
  <si>
    <t>Representative in the General Assembly 42nd District (Vote For 1)</t>
  </si>
  <si>
    <t>DEM Dan Miller</t>
  </si>
  <si>
    <t>REP Kurt Korinko</t>
  </si>
  <si>
    <t>Representative in the General Assembly 44th District (Vote For 1)</t>
  </si>
  <si>
    <t>DEM Michele Knoll</t>
  </si>
  <si>
    <t>REP Valerie Gaydos</t>
  </si>
  <si>
    <t>Representative in the General Assembly 45th District (Vote For 1)</t>
  </si>
  <si>
    <t>DEM Anita Astorino Kulik</t>
  </si>
  <si>
    <t>REP Danny DeVito</t>
  </si>
  <si>
    <t>Representative in the General Assembly 46th District (Vote For 1)</t>
  </si>
  <si>
    <t>DEM Byron Timmins</t>
  </si>
  <si>
    <t>REP Jason Ortitay</t>
  </si>
  <si>
    <t>Representative in the General Assembly 54th District (Vote For 1)</t>
  </si>
  <si>
    <t>REP Bob Brooks</t>
  </si>
  <si>
    <t>Pittsburgh HRC Amendment (Vote For 1)</t>
  </si>
  <si>
    <t>Yes</t>
  </si>
  <si>
    <t>No</t>
  </si>
  <si>
    <t>PA_Alleg_2020g</t>
  </si>
  <si>
    <t>D/R</t>
  </si>
  <si>
    <t>Brooke D. Nadonley</t>
  </si>
  <si>
    <t>Lisa Middleman</t>
  </si>
  <si>
    <t>IND</t>
  </si>
  <si>
    <t>Tom Duerr</t>
  </si>
  <si>
    <t>Michael Freedman</t>
  </si>
  <si>
    <t>Member of County Council DISTRICT 8 (Vote For 1)</t>
  </si>
  <si>
    <t>Paul Zavarella</t>
  </si>
  <si>
    <t>Chris Rosselot</t>
  </si>
  <si>
    <t>NFC</t>
  </si>
  <si>
    <t>Malcolm Jarrett</t>
  </si>
  <si>
    <t>SOC</t>
  </si>
  <si>
    <t>Jacob A. Nixon</t>
  </si>
  <si>
    <t>B. DeNeice Welch</t>
  </si>
  <si>
    <t>CFW</t>
  </si>
  <si>
    <t>Barbara Daniels</t>
  </si>
  <si>
    <t>CFD</t>
  </si>
  <si>
    <t>Randall Taylor</t>
  </si>
  <si>
    <t>IRT</t>
  </si>
  <si>
    <t>Grace L. Weber</t>
  </si>
  <si>
    <t>Mark Cavicchia</t>
  </si>
  <si>
    <t>Larry Neidig</t>
  </si>
  <si>
    <t>Jodi Banyas-Galecki</t>
  </si>
  <si>
    <t>Sam Smallwood</t>
  </si>
  <si>
    <t>Cristy McCloskey</t>
  </si>
  <si>
    <t>Corey Matchett</t>
  </si>
  <si>
    <t>Trisha Webb</t>
  </si>
  <si>
    <t>James L. Brown</t>
  </si>
  <si>
    <t>Jakie Blakey-Tate</t>
  </si>
  <si>
    <t>Meryl R. Thomas</t>
  </si>
  <si>
    <t>Elizabeth H. Rosemeyer</t>
  </si>
  <si>
    <t>Michele Greene</t>
  </si>
  <si>
    <t>Riley Mahon</t>
  </si>
  <si>
    <t>Damian Kearney</t>
  </si>
  <si>
    <t>Marissa Mendoza-Burcham</t>
  </si>
  <si>
    <t>Eric Valcheff</t>
  </si>
  <si>
    <t>Michael L. Engel, Jr.</t>
  </si>
  <si>
    <t>School Director GATEWAY (Vote For 1)</t>
  </si>
  <si>
    <t>Paul Caliari</t>
  </si>
  <si>
    <t>Cheryl Boise</t>
  </si>
  <si>
    <t>David W. Graves</t>
  </si>
  <si>
    <t>Darnika Reed</t>
  </si>
  <si>
    <t>INW</t>
  </si>
  <si>
    <t>Tamara Donahue</t>
  </si>
  <si>
    <t>Fawn Walker-Montgomery</t>
  </si>
  <si>
    <t>IOM</t>
  </si>
  <si>
    <t>TAX COLLECTOR NORTH BRADDOCK (Vote For 1)</t>
  </si>
  <si>
    <t>Kathleen M. Evanchec</t>
  </si>
  <si>
    <t>TAX COLLECTOR PLUM (Vote For 1)</t>
  </si>
  <si>
    <t>Lisa Lagnese</t>
  </si>
  <si>
    <t>Linda Reesey</t>
  </si>
  <si>
    <t>Valerie Klauscher</t>
  </si>
  <si>
    <t>Cheryl Miller</t>
  </si>
  <si>
    <t>Andrew J. Zahalsky</t>
  </si>
  <si>
    <t>J. Keith Dernosek</t>
  </si>
  <si>
    <t>Nicola F. Pellegrino</t>
  </si>
  <si>
    <t>Mariana Burns</t>
  </si>
  <si>
    <t>Arthur Williams</t>
  </si>
  <si>
    <t>Debbie Zymroz</t>
  </si>
  <si>
    <t>D/I</t>
  </si>
  <si>
    <t>Commissioner ALEPPO (Vote For 1)</t>
  </si>
  <si>
    <t>Commissioner SOUTH VERSAILLES (Vote For 1)</t>
  </si>
  <si>
    <t>Commissioner KENNEDY (Vote For 3)</t>
  </si>
  <si>
    <t>Gary Vituccio</t>
  </si>
  <si>
    <t>Donald K. Morrow</t>
  </si>
  <si>
    <t>Katherine Handra</t>
  </si>
  <si>
    <t>Philip Boggs</t>
  </si>
  <si>
    <t>John Walliser</t>
  </si>
  <si>
    <t>Jason Ferri</t>
  </si>
  <si>
    <t>John Seekings</t>
  </si>
  <si>
    <t>David J. Bloom</t>
  </si>
  <si>
    <t>William S. Ryan</t>
  </si>
  <si>
    <t>Tara L. Yaney</t>
  </si>
  <si>
    <t>Mandy J. Steele</t>
  </si>
  <si>
    <t>Betsy Monroe</t>
  </si>
  <si>
    <t>Bob Heister</t>
  </si>
  <si>
    <t>Peter Fiset</t>
  </si>
  <si>
    <t>Richard L. Smith</t>
  </si>
  <si>
    <t>Thomas A. Huddleston</t>
  </si>
  <si>
    <t>William Monski</t>
  </si>
  <si>
    <t>Nicole Marie Leckenby</t>
  </si>
  <si>
    <t>David A. Vento</t>
  </si>
  <si>
    <t>William Sargent</t>
  </si>
  <si>
    <t>Douglas Connor</t>
  </si>
  <si>
    <t>NAI</t>
  </si>
  <si>
    <t>Mary Ditmore</t>
  </si>
  <si>
    <t>Sam Runyon</t>
  </si>
  <si>
    <t>Patricia E. Paola</t>
  </si>
  <si>
    <t>Christopher Corrales</t>
  </si>
  <si>
    <t>Robert T. Asson</t>
  </si>
  <si>
    <t>Jon A. Esken</t>
  </si>
  <si>
    <t>Richard C. Lassige</t>
  </si>
  <si>
    <t>John Mills</t>
  </si>
  <si>
    <t>David D. Morgan</t>
  </si>
  <si>
    <t>John W. Faulkner, Jr.</t>
  </si>
  <si>
    <t>Member of Council CRAFTON (Vote For 1)</t>
  </si>
  <si>
    <t>Edward R. Alo</t>
  </si>
  <si>
    <t>Angela Palchowski</t>
  </si>
  <si>
    <t>Member of Council SHARPSBURG (Vote For 1)</t>
  </si>
  <si>
    <t>Brad Truman</t>
  </si>
  <si>
    <t>Archie Brinza</t>
  </si>
  <si>
    <t>Cynthia J. Mullins</t>
  </si>
  <si>
    <t>Bridgett Bates</t>
  </si>
  <si>
    <t>Jiang Li</t>
  </si>
  <si>
    <t>Brian Malkin</t>
  </si>
  <si>
    <t>Nellie S. Kraus</t>
  </si>
  <si>
    <t>MEMBER OF COUNCIL AVALON WARD 3 (Vote For 1)</t>
  </si>
  <si>
    <t>MEMBER OF COUNCIL CORAOPOLIS WARD 1 (Vote For 1)</t>
  </si>
  <si>
    <t>George Mihalyi</t>
  </si>
  <si>
    <t>John D. Fader</t>
  </si>
  <si>
    <t>Sarah Hertweck</t>
  </si>
  <si>
    <t>Constitutional Amendment (Vote For 1)</t>
  </si>
  <si>
    <t>Y</t>
  </si>
  <si>
    <t>N</t>
  </si>
  <si>
    <t>Braddock Home Rule Charter (Vote For 1)</t>
  </si>
  <si>
    <t>Bethel Park Home Rule Charter Amend #1 (Vote For 1)</t>
  </si>
  <si>
    <t>Bethel Park Home Rule Charter Amend #2 (Vote For 1)</t>
  </si>
  <si>
    <t>City of Pittsburgh HRC Amendment (Vote For 1)</t>
  </si>
  <si>
    <t>Retention of Judge Lazarus (Vote For 1)</t>
  </si>
  <si>
    <t>Retention of Judge Olson (Vote For 1)</t>
  </si>
  <si>
    <t>Retention of Judge Brobson (Vote For 1)</t>
  </si>
  <si>
    <t>Retention of Judge McCullough (Vote For 1)</t>
  </si>
  <si>
    <t>Retention of Judge Berkeley Clark (Vote For 1)</t>
  </si>
  <si>
    <t>Retention of Judge Colville (Vote For 1)</t>
  </si>
  <si>
    <t>Retention of Judge Eaton (Vote For 1)</t>
  </si>
  <si>
    <t>Retention of Judge Evashavik DiLucente (Vote For 1)</t>
  </si>
  <si>
    <t>Retention of Judge Ignelzi (Vote For 1)</t>
  </si>
  <si>
    <t>Retention of Judge Klein (Vote For 1)</t>
  </si>
  <si>
    <t>Retention of Judge Manning (Vote For 1)</t>
  </si>
  <si>
    <t>Retention of Judge Sasinoski (Vote For 1)</t>
  </si>
  <si>
    <t>Retention of Judge Walko (Vote For 1)</t>
  </si>
  <si>
    <t>Retention of Judge Williams (Vote For 1)</t>
  </si>
  <si>
    <t>PA_Alleg_2019g</t>
  </si>
  <si>
    <t>AZ_Maric_2020g~Gen-presidential electors (vote for1)</t>
  </si>
  <si>
    <t>LBT</t>
  </si>
  <si>
    <t>AZ_Maric_2020g~Gen-us senate-term expires  january 3, 2023 (vote for1)</t>
  </si>
  <si>
    <t>AZ_Maric_2020g~Gen-us rep dist cd-1 (vote for1)</t>
  </si>
  <si>
    <t>AZ_Maric_2020g~Gen-us rep dist cd-3 (vote for1)</t>
  </si>
  <si>
    <t>AZ_Maric_2020g~Gen-us rep dist cd-4 (vote for1)</t>
  </si>
  <si>
    <t>AZ_Maric_2020g~Gen-us rep dist cd-5 (vote for1)</t>
  </si>
  <si>
    <t>AZ_Maric_2020g~Gen-us rep dist cd-6 (vote for1)</t>
  </si>
  <si>
    <t>AZ_Maric_2020g~Gen-us rep dist cd-7 (vote for1)</t>
  </si>
  <si>
    <t>AZ_Maric_2020g~Gen-us rep dist cd-8 (vote for1)</t>
  </si>
  <si>
    <t>AZ_Maric_2020g~Gen-us rep dist cd-9 (vote for1)</t>
  </si>
  <si>
    <t>AZ_Maric_2020g~Gen-state senator dist-1 (vote for1)</t>
  </si>
  <si>
    <t>AZ_Maric_2020g~Gen-state rep dist-1 (vote for2)</t>
  </si>
  <si>
    <t>AZ_Maric_2020g~Gen-state senator dist-4 (vote for1)</t>
  </si>
  <si>
    <t>AZ_Maric_2020g~Gen-state rep dist-4 (vote for2)</t>
  </si>
  <si>
    <t>AZ_Maric_2020g~Gen-state senator dist-12 (vote for1)</t>
  </si>
  <si>
    <t>AZ_Maric_2020g~Gen-state rep dist-12 (vote for2)</t>
  </si>
  <si>
    <t>AZ_Maric_2020g~Gen-state senator dist-13 (vote for1)</t>
  </si>
  <si>
    <t>AZ_Maric_2020g~Gen-state rep dist-13 (vote for2)</t>
  </si>
  <si>
    <t>AZ_Maric_2020g~Gen-state senator dist-15 (vote for1)</t>
  </si>
  <si>
    <t>AZ_Maric_2020g~Gen-state rep dist-15 (vote for2)</t>
  </si>
  <si>
    <t>AZ_Maric_2020g~Gen-state senator dist-16 (vote for1)</t>
  </si>
  <si>
    <t>AZ_Maric_2020g~Gen-state rep dist-16 (vote for2)</t>
  </si>
  <si>
    <t>AZ_Maric_2020g~Gen-state senator dist-17 (vote for1)</t>
  </si>
  <si>
    <t>AZ_Maric_2020g~Gen-state rep dist-17 (vote for2)</t>
  </si>
  <si>
    <t>AZ_Maric_2020g~Gen-state senator dist-18 (vote for1)</t>
  </si>
  <si>
    <t>AZ_Maric_2020g~Gen-state rep dist-18 (vote for2)</t>
  </si>
  <si>
    <t>AZ_Maric_2020g~Gen-state senator dist-19 (vote for1)</t>
  </si>
  <si>
    <t>AZ_Maric_2020g~Gen-state rep dist-19 (vote for2)</t>
  </si>
  <si>
    <t>AZ_Maric_2020g~Gen-state senator dist-20 (vote for1)</t>
  </si>
  <si>
    <t>AZ_Maric_2020g~Gen-state rep dist-20 (vote for2)</t>
  </si>
  <si>
    <t>AZ_Maric_2020g~Gen-state senator dist-21 (vote for1)</t>
  </si>
  <si>
    <t>AZ_Maric_2020g~Gen-state rep dist-21 (vote for2)</t>
  </si>
  <si>
    <t>AZ_Maric_2020g~Gen-state senator dist-22 (vote for1)</t>
  </si>
  <si>
    <t>AZ_Maric_2020g~Gen-state rep dist-22 (vote for2)</t>
  </si>
  <si>
    <t>AZ_Maric_2020g~Gen-state senator dist-23 (vote for1)</t>
  </si>
  <si>
    <t>AZ_Maric_2020g~Gen-state rep dist-23 (vote for2)</t>
  </si>
  <si>
    <t>AZ_Maric_2020g~Gen-state senator dist-24 (vote for1)</t>
  </si>
  <si>
    <t>AZ_Maric_2020g~Gen-state rep dist-24 (vote for2)</t>
  </si>
  <si>
    <t>AZ_Maric_2020g~Gen-state senator dist-25 (vote for1)</t>
  </si>
  <si>
    <t>AZ_Maric_2020g~Gen-state rep dist-25 (vote for2)</t>
  </si>
  <si>
    <t>AZ_Maric_2020g~Gen-state senator dist-26 (vote for1)</t>
  </si>
  <si>
    <t>AZ_Maric_2020g~Gen-state rep dist-26 (vote for2)</t>
  </si>
  <si>
    <t>AZ_Maric_2020g~Gen-state senator dist-27 (vote for1)</t>
  </si>
  <si>
    <t>AZ_Maric_2020g~Gen-state rep dist-27 (vote for2)</t>
  </si>
  <si>
    <t>AZ_Maric_2020g~Gen-state senator dist-28 (vote for1)</t>
  </si>
  <si>
    <t>AZ_Maric_2020g~Gen-state rep dist-28 (vote for2)</t>
  </si>
  <si>
    <t>AZ_Maric_2020g~Gen-state senator dist-29 (vote for1)</t>
  </si>
  <si>
    <t>AZ_Maric_2020g~Gen-state rep dist-29 (vote for2)</t>
  </si>
  <si>
    <t>AZ_Maric_2020g~Gen-state senator dist-30 (vote for1)</t>
  </si>
  <si>
    <t>AZ_Maric_2020g~Gen-state rep dist-30 (vote for2)</t>
  </si>
  <si>
    <t>AZ_Maric_2020g~Gen-corporation commission (vote for3)</t>
  </si>
  <si>
    <t>AZ_Maric_2020g~Gen-board of supervisors dist 1 (vote for1)</t>
  </si>
  <si>
    <t>AZ_Maric_2020g~Gen-board of supervisors dist 2 (vote for1)</t>
  </si>
  <si>
    <t>AZ_Maric_2020g~Gen-board of supervisors dist 3 (vote for1)</t>
  </si>
  <si>
    <t>AZ_Maric_2020g~Gen-board of supervisors dist 4 (vote for1)</t>
  </si>
  <si>
    <t>AZ_Maric_2020g~Gen-board of supervisors dist 5 (vote for1)</t>
  </si>
  <si>
    <t>AZ_Maric_2020g~Gen-county assessor (vote for1)</t>
  </si>
  <si>
    <t>AZ_Maric_2020g~Gen-county attorney (vote for1)</t>
  </si>
  <si>
    <t>AZ_Maric_2020g~Gen-county recorder (vote for1)</t>
  </si>
  <si>
    <t>AZ_Maric_2020g~Gen-county school superintendent (vote for1)</t>
  </si>
  <si>
    <t>AZ_Maric_2020g~Gen-sheriff (vote for1)</t>
  </si>
  <si>
    <t>AZ_Maric_2020g~Gen-county treasurer (vote for1)</t>
  </si>
  <si>
    <t>AZ_Maric_2020g~Gen-jp-arcadia biltmore (vote for1)</t>
  </si>
  <si>
    <t>AZ_Maric_2020g~Gen-constable-arcadia biltmore (vote for1)</t>
  </si>
  <si>
    <t>AZ_Maric_2020g~Gen-jp-maryvale (vote for1)</t>
  </si>
  <si>
    <t>AZ_Maric_2020g~Gen-constable-maryvale (vote for1)</t>
  </si>
  <si>
    <t>AZ_Maric_2020g~Gen-jp-north mesa (vote for1)</t>
  </si>
  <si>
    <t>AZ_Maric_2020g~Gen-constable-north mesa (vote for1)</t>
  </si>
  <si>
    <t>AZ_Maric_2020g~Gen-jp-dreamy draw (vote for1)</t>
  </si>
  <si>
    <t>AZ_Maric_2020g~Gen-constable-dreamy draw (vote for1)</t>
  </si>
  <si>
    <t>AZ_Maric_2020g~Gen-jp-moon valley (vote for1)</t>
  </si>
  <si>
    <t>AZ_Maric_2020g~Gen-constable-moon valley (vote for1)</t>
  </si>
  <si>
    <t>AZ_Maric_2020g~Gen-jp-term exp  december 31, 2022-mcdowell mountain (vote for1)</t>
  </si>
  <si>
    <t>AZ_Maric_2020g~Gen-jp-highland (vote for1)</t>
  </si>
  <si>
    <t>AZ_Maric_2020g~Gen-constable-highland (vote for1)</t>
  </si>
  <si>
    <t>AZ_Maric_2020g~Gen-constable-term exp  december 31, 2022-kyrene (vote for1)</t>
  </si>
  <si>
    <t>AZ_Maric_2020g~Gen-jp-san tan (vote for1)</t>
  </si>
  <si>
    <t>AZ_Maric_2020g~Gen-constable-san tan (vote for1)</t>
  </si>
  <si>
    <t>AZ_Maric_2020g~Gen-jp-desert ridge (vote for1)</t>
  </si>
  <si>
    <t>AZ_Maric_2020g~Gen-constable-desert ridge (vote for1)</t>
  </si>
  <si>
    <t>AZ_Maric_2020g~Gen-jp-country meadows (vote for1)</t>
  </si>
  <si>
    <t>AZ_Maric_2020g~Gen-constable-country meadows (vote for1)</t>
  </si>
  <si>
    <t>AZ_Maric_2020g~Gen-harquahala valley fire dist-fire board (vote for3)</t>
  </si>
  <si>
    <t>AZ_Maric_2020g~Gen-rio verde fire dist-question (vote for1)</t>
  </si>
  <si>
    <t>AZ_Maric_2020g~Gen-mc special healthcare dist 1 (vote for1)</t>
  </si>
  <si>
    <t>AZ_Maric_2020g~Gen-mc special healthcare proposition 449 (vote for1)</t>
  </si>
  <si>
    <t>AZ_Maric_2020g~Gen-mcccd at-large (vote for1)</t>
  </si>
  <si>
    <t>AZ_Maric_2020g~Gen-mcccd - dist 1 (vote for1)</t>
  </si>
  <si>
    <t>AZ_Maric_2020g~Gen-westmec - dist 4 (vote for1)</t>
  </si>
  <si>
    <t>AZ_Maric_2020g~Gen-westmec - dist 5 (vote for1)</t>
  </si>
  <si>
    <t>AZ_Maric_2020g~Gen-buckeye uhsd #201-gbm-4yr (vote for3)</t>
  </si>
  <si>
    <t>AZ_Maric_2020g~Gen-buckeye uhsd #201-question (vote for1)</t>
  </si>
  <si>
    <t>AZ_Maric_2020g~Gen-glendale uhsd #205-question (vote for1)</t>
  </si>
  <si>
    <t>AZ_Maric_2020g~Gen-phoenix uhsd #210-gbm-4yr (vote for1)</t>
  </si>
  <si>
    <t>AZ_Maric_2020g~Gen-tempe uhsd #213-gbm-4yr (vote for3)</t>
  </si>
  <si>
    <t>AZ_Maric_2020g~Gen-tolleson uhsd #214-question (vote for1)</t>
  </si>
  <si>
    <t>AZ_Maric_2020g~Gen-phoenix esd #1-gbm-4yr (vote for3)</t>
  </si>
  <si>
    <t>AZ_Maric_2020g~Gen-riverside esd #2-question 1 (vote for1)</t>
  </si>
  <si>
    <t>AZ_Maric_2020g~Gen-riverside esd #2-question 2 (vote for1)</t>
  </si>
  <si>
    <t>AZ_Maric_2020g~Gen-tempe esd #3-gbm-4yr (vote for3)</t>
  </si>
  <si>
    <t>AZ_Maric_2020g~Gen-mesa usd #4-gbm-4yr (vote for3)</t>
  </si>
  <si>
    <t>AZ_Maric_2020g~Gen-isaac esd #5-gbm-4yr (vote for3)</t>
  </si>
  <si>
    <t>AZ_Maric_2020g~Gen-washington esd #6-gbm-4yr (vote for3)</t>
  </si>
  <si>
    <t>AZ_Maric_2020g~Gen-wilson esd #7-question (vote for1)</t>
  </si>
  <si>
    <t>AZ_Maric_2020g~Gen-peoria usd #11-gbm-4yr (vote for3)</t>
  </si>
  <si>
    <t>AZ_Maric_2020g~Gen-peoria usd #11-question 1 (vote for1)</t>
  </si>
  <si>
    <t>AZ_Maric_2020g~Gen-peoria usd #11-question 2  (vote for1)</t>
  </si>
  <si>
    <t>AZ_Maric_2020g~Gen-creighton esd #14-gbm-4yr (vote for3)</t>
  </si>
  <si>
    <t>AZ_Maric_2020g~Gen-creighton esd #14-gbm-2yr (vote for1)</t>
  </si>
  <si>
    <t>AZ_Maric_2020g~Gen-creighton esd #14-question (vote for1)</t>
  </si>
  <si>
    <t>AZ_Maric_2020g~Gen-tolleson esd #17-question (vote for1)</t>
  </si>
  <si>
    <t>AZ_Maric_2020g~Gen-gila bend usd #24-gbm-4yr (vote for2)</t>
  </si>
  <si>
    <t>AZ_Maric_2020g~Gen-gila bend usd #24-gbm-2yr (vote for1)</t>
  </si>
  <si>
    <t>AZ_Maric_2020g~Gen-liberty esd #25-gbm-2yr (vote for1)</t>
  </si>
  <si>
    <t>AZ_Maric_2020g~Gen-liberty esd #25-question (vote for1)</t>
  </si>
  <si>
    <t>AZ_Maric_2020g~Gen-kyrene esd #28-gbm-4yr (vote for3)</t>
  </si>
  <si>
    <t>AZ_Maric_2020g~Gen-balsz esd #31-gbm-4yr (vote for3)</t>
  </si>
  <si>
    <t>AZ_Maric_2020g~Gen-balsz esd #31-question 1 (vote for1)</t>
  </si>
  <si>
    <t>AZ_Maric_2020g~Gen-balsz esd #31-question 2 (vote for1)</t>
  </si>
  <si>
    <t>AZ_Maric_2020g~Gen-buckeye esd #33-gbm-4yr (vote for3)</t>
  </si>
  <si>
    <t>AZ_Maric_2020g~Gen-madison esd #38-gbm-4yr (vote for3)</t>
  </si>
  <si>
    <t>AZ_Maric_2020g~Gen-glendale esd #40-gbm-4yr (vote for3)</t>
  </si>
  <si>
    <t>AZ_Maric_2020g~Gen-avondale esd #44-question (vote for1)</t>
  </si>
  <si>
    <t>AZ_Maric_2020g~Gen-arlington esd #47-gbm-4yr (vote for3)</t>
  </si>
  <si>
    <t>AZ_Maric_2020g~Gen-scottsdale usd #48-gbm-4yr (vote for3)</t>
  </si>
  <si>
    <t>AZ_Maric_2020g~Gen-palo verde esd #49-question  (vote for1)</t>
  </si>
  <si>
    <t>AZ_Maric_2020g~Gen-laveen esd #59-gbm-4yr (vote for3)</t>
  </si>
  <si>
    <t>AZ_Maric_2020g~Gen-laveen esd #59-question (vote for1)</t>
  </si>
  <si>
    <t>AZ_Maric_2020g~Gen-higley usd #60-gbm-4yr (vote for3)</t>
  </si>
  <si>
    <t>AZ_Maric_2020g~Gen-littleton esd #65-gbm-4yr (vote for3)</t>
  </si>
  <si>
    <t>AZ_Maric_2020g~Gen-roosevelt esd #66-gbm-4yr (vote for3)</t>
  </si>
  <si>
    <t>AZ_Maric_2020g~Gen-roosevelt esd #66-question (vote for1)</t>
  </si>
  <si>
    <t>AZ_Maric_2020g~Gen-alhambra esd #68-question 1 (vote for1)</t>
  </si>
  <si>
    <t>AZ_Maric_2020g~Gen-alhambra esd #68-question 2 (vote for1)</t>
  </si>
  <si>
    <t>AZ_Maric_2020g~Gen-paradise valley usd #69-gbm-4yr (vote for3)</t>
  </si>
  <si>
    <t>AZ_Maric_2020g~Gen-litchfield esd #79-gbm-4yr (vote for3)</t>
  </si>
  <si>
    <t>AZ_Maric_2020g~Gen-chandler usd #80-gbm-4yr (vote for3)</t>
  </si>
  <si>
    <t>AZ_Maric_2020g~Gen-cartwright esd #83-question (vote for1)</t>
  </si>
  <si>
    <t>AZ_Maric_2020g~Gen-dysart usd #89-gbm-4yr (vote for3)</t>
  </si>
  <si>
    <t>AZ_Maric_2020g~Gen-dysart usd #89-question (vote for1)</t>
  </si>
  <si>
    <t>AZ_Maric_2020g~Gen-saddle mtn usd #90-question (vote for1)</t>
  </si>
  <si>
    <t>AZ_Maric_2020g~Gen-cave creek usd #93-gbm-4yr (vote for3)</t>
  </si>
  <si>
    <t>AZ_Maric_2020g~Gen-queen creek esd #95-gbm-4yr (vote for3)</t>
  </si>
  <si>
    <t>AZ_Maric_2020g~Gen-deer valley usd #97-gbm-4yr (vote for3)</t>
  </si>
  <si>
    <t>AZ_Maric_2020g~Gen-apache junction-mayor (vote for1)</t>
  </si>
  <si>
    <t>AZ_Maric_2020g~Gen-avondale-proposition 443 (vote for1)</t>
  </si>
  <si>
    <t>AZ_Maric_2020g~Gen-chandler-question 1 (vote for1)</t>
  </si>
  <si>
    <t>AZ_Maric_2020g~Gen-el mirage-question 1 (vote for1)</t>
  </si>
  <si>
    <t>AZ_Maric_2020g~Gen-fountain hills-propsition 450 (vote for1)</t>
  </si>
  <si>
    <t>AZ_Maric_2020g~Gen-gilbert-mayor (vote for1)</t>
  </si>
  <si>
    <t>AZ_Maric_2020g~Gen-glendale-proposition 437 (vote for1)</t>
  </si>
  <si>
    <t>AZ_Maric_2020g~Gen-glendale-question 1 (vote for1)</t>
  </si>
  <si>
    <t>AZ_Maric_2020g~Gen-glendale-question 2  (vote for1)</t>
  </si>
  <si>
    <t>AZ_Maric_2020g~Gen-glendale-question 3 (vote for1)</t>
  </si>
  <si>
    <t>AZ_Maric_2020g~Gen-glendale-question 4 (vote for1)</t>
  </si>
  <si>
    <t>AZ_Maric_2020g~Gen-mesa-question 1 (vote for1)</t>
  </si>
  <si>
    <t>AZ_Maric_2020g~Gen-peoria-proposition 445 (vote for1)</t>
  </si>
  <si>
    <t>AZ_Maric_2020g~Gen-peoria-proposition 446 (vote for1)</t>
  </si>
  <si>
    <t>AZ_Maric_2020g~Gen-peoria-proposition 447 (vote for1)</t>
  </si>
  <si>
    <t>AZ_Maric_2020g~Gen-peoria-proposition 448 (vote for1)</t>
  </si>
  <si>
    <t>AZ_Maric_2020g~Gen-phoenix-mayor (vote for1)</t>
  </si>
  <si>
    <t>AZ_Maric_2020g~Gen-phoenix dist 1-councilmember (vote for1)</t>
  </si>
  <si>
    <t>AZ_Maric_2020g~Gen-phoenix dist 3-councilmember (vote for1)</t>
  </si>
  <si>
    <t>AZ_Maric_2020g~Gen-phoenix dist 5-councilmember (vote for1)</t>
  </si>
  <si>
    <t>AZ_Maric_2020g~Gen-phoenix dist 7-councilmember (vote for1)</t>
  </si>
  <si>
    <t>AZ_Maric_2020g~Gen-phoenix-proposition 444 (vote for1)</t>
  </si>
  <si>
    <t>AZ_Maric_2020g~Gen-scottsdale-mayor (vote for1)</t>
  </si>
  <si>
    <t>AZ_Maric_2020g~Gen-scottsdale-councilmember (vote for3)</t>
  </si>
  <si>
    <t>AZ_Maric_2020g~Gen-tempe-question 1 (vote for1)</t>
  </si>
  <si>
    <t>AZ_Maric_2020g~Gen-tempe-question 2 (vote for1)</t>
  </si>
  <si>
    <t>AZ_Maric_2020g~Gen-tempe-question 3 (vote for1)</t>
  </si>
  <si>
    <t>AZ_Maric_2020g~Gen-tempe-question 4 (vote for1)</t>
  </si>
  <si>
    <t>AZ_Maric_2020g~Gen-tempe-question 5 (vote for1)</t>
  </si>
  <si>
    <t>AZ_Maric_2020g~Gen-tolleson-proposition 434 (vote for1)</t>
  </si>
  <si>
    <t>AZ_Maric_2020g~Gen-tolleson-proposition 435 (vote for1)</t>
  </si>
  <si>
    <t>AZ_Maric_2020g~Gen-tolleson-proposition 436 (vote for1)</t>
  </si>
  <si>
    <t>AZ_Maric_2020g~Gen-supreme court brutinel, robert (vote for1)</t>
  </si>
  <si>
    <t>AZ_Maric_2020g~Gen-supreme court gould, andrew w. (vote for1)</t>
  </si>
  <si>
    <t>AZ_Maric_2020g~Gen-supreme court lopez iv, john (vote for1)</t>
  </si>
  <si>
    <t>AZ_Maric_2020g~Gen-appeals court howe, randall (vote for1)</t>
  </si>
  <si>
    <t>AZ_Maric_2020g~Gen-appeals court mcmurdie, paul (vote for1)</t>
  </si>
  <si>
    <t>AZ_Maric_2020g~Gen-appeals court morse jr., james (vote for1)</t>
  </si>
  <si>
    <t>AZ_Maric_2020g~Gen-appeals court perkins, jennifer (vote for1)</t>
  </si>
  <si>
    <t>AZ_Maric_2020g~Gen-appeals court thumma, samuel (vote for1)</t>
  </si>
  <si>
    <t>AZ_Maric_2020g~Gen-appeals court weinzweig, david (vote for1)</t>
  </si>
  <si>
    <t>AZ_Maric_2020g~Gen-superior court adleman, jay r. (vote for1)</t>
  </si>
  <si>
    <t>AZ_Maric_2020g~Gen-superior court agne, sara j. (vote for1)</t>
  </si>
  <si>
    <t>AZ_Maric_2020g~Gen-superior court beresky, justin (vote for1)</t>
  </si>
  <si>
    <t>AZ_Maric_2020g~Gen-superior court blaney, scott allen (vote for1)</t>
  </si>
  <si>
    <t>AZ_Maric_2020g~Gen-superior court bustamante, lori horn (vote for1)</t>
  </si>
  <si>
    <t>AZ_Maric_2020g~Gen-superior court coffey, rodrick j. (vote for1)</t>
  </si>
  <si>
    <t>AZ_Maric_2020g~Gen-superior court cohen, bruce r. (vote for1)</t>
  </si>
  <si>
    <t>AZ_Maric_2020g~Gen-superior court cohen, suzanne e. (vote for1)</t>
  </si>
  <si>
    <t>AZ_Maric_2020g~Gen-superior court contes, connie coin (vote for1)</t>
  </si>
  <si>
    <t>AZ_Maric_2020g~Gen-superior court coury, christopher a. (vote for1)</t>
  </si>
  <si>
    <t>AZ_Maric_2020g~Gen-superior court driggs, adam (vote for1)</t>
  </si>
  <si>
    <t>AZ_Maric_2020g~Gen-superior court fisk, ronda r. (vote for1)</t>
  </si>
  <si>
    <t>AZ_Maric_2020g~Gen-superior court gates, pamela frasher (vote for1)</t>
  </si>
  <si>
    <t>AZ_Maric_2020g~Gen-superior court gentry, jo lynn (vote for1)</t>
  </si>
  <si>
    <t>AZ_Maric_2020g~Gen-superior court gordon, michael d. (vote for1)</t>
  </si>
  <si>
    <t>AZ_Maric_2020g~Gen-superior court hannah, john r. (vote for1)</t>
  </si>
  <si>
    <t>AZ_Maric_2020g~Gen-superior court kemp, michael (vote for1)</t>
  </si>
  <si>
    <t>AZ_Maric_2020g~Gen-superior court kiley, daniel j. (vote for1)</t>
  </si>
  <si>
    <t>AZ_Maric_2020g~Gen-superior court labianca, margaret b. (vote for1)</t>
  </si>
  <si>
    <t>AZ_Maric_2020g~Gen-superior court lang, todd f. (vote for1)</t>
  </si>
  <si>
    <t>AZ_Maric_2020g~Gen-superior court mahoney, margaret r. (vote for1)</t>
  </si>
  <si>
    <t>AZ_Maric_2020g~Gen-superior court mandell, michael (vote for1)</t>
  </si>
  <si>
    <t>AZ_Maric_2020g~Gen-superior court marwil, suzanne sheiner (vote for1)</t>
  </si>
  <si>
    <t>AZ_Maric_2020g~Gen-superior court mccoy, michael scott (vote for1)</t>
  </si>
  <si>
    <t>AZ_Maric_2020g~Gen-superior court mead, kathleen (vote for1)</t>
  </si>
  <si>
    <t>AZ_Maric_2020g~Gen-superior court mikitish, joseph p. (vote for1)</t>
  </si>
  <si>
    <t>AZ_Maric_2020g~Gen-superior court minder, scott s. (vote for1)</t>
  </si>
  <si>
    <t>AZ_Maric_2020g~Gen-superior court mullins, karen a. (vote for1)</t>
  </si>
  <si>
    <t>AZ_Maric_2020g~Gen-superior court palmer, david j. (vote for1)</t>
  </si>
  <si>
    <t>AZ_Maric_2020g~Gen-superior court ponce, adele g. (vote for1)</t>
  </si>
  <si>
    <t>AZ_Maric_2020g~Gen-superior court ryan, timothy j. (vote for1)</t>
  </si>
  <si>
    <t>AZ_Maric_2020g~Gen-superior court sanders, teresa a. (vote for1)</t>
  </si>
  <si>
    <t>AZ_Maric_2020g~Gen-superior court starr, patricia ann (vote for1)</t>
  </si>
  <si>
    <t>AZ_Maric_2020g~Gen-superior court stephens, sherry k. (vote for1)</t>
  </si>
  <si>
    <t>AZ_Maric_2020g~Gen-superior court thomason, timothy j. (vote for1)</t>
  </si>
  <si>
    <t>AZ_Maric_2020g~Gen-superior court thompson, peter allen (vote for1)</t>
  </si>
  <si>
    <t>AZ_Maric_2020g~Gen-superior court udall, david k. (vote for1)</t>
  </si>
  <si>
    <t>AZ_Maric_2020g~Gen-superior court vandenberg, lisa a. (vote for1)</t>
  </si>
  <si>
    <t>AZ_Maric_2020g~Gen-superior court wein, kevin (vote for1)</t>
  </si>
  <si>
    <t>AZ_Maric_2020g~Gen-superior court whitten, christopher t. (vote for1)</t>
  </si>
  <si>
    <t>AZ_Maric_2020g~Gen-proposition 207 (vote for1)</t>
  </si>
  <si>
    <t>AZ_Maric_2020g~Gen-proposition 208 (vote for1)</t>
  </si>
  <si>
    <t>TRUMP / PENCE</t>
  </si>
  <si>
    <t>BIDEN / HARRIS</t>
  </si>
  <si>
    <t>JORGENSEN / COHEN</t>
  </si>
  <si>
    <t>BODDIE / STONEHAM</t>
  </si>
  <si>
    <t>CUMMINGS / HUBER</t>
  </si>
  <si>
    <t>HAWKINS / WALKER</t>
  </si>
  <si>
    <t>LA RIVA / FREEMAN</t>
  </si>
  <si>
    <t>SIMMONS / ROZE</t>
  </si>
  <si>
    <t>NOT QUALIFIED</t>
  </si>
  <si>
    <t>MCSALLY, MARTHA</t>
  </si>
  <si>
    <t>KELLY, MARK</t>
  </si>
  <si>
    <t>ARIF, MOHAMMAD "MIKE OBAMA"</t>
  </si>
  <si>
    <t>BECKETT, CHRISTOPHER</t>
  </si>
  <si>
    <t>CHILTON, ADAM</t>
  </si>
  <si>
    <t>DAVIDA, EDWARD</t>
  </si>
  <si>
    <t>DECKER, WILLIAM "WILL"</t>
  </si>
  <si>
    <t>DORCHESTER, MATTHEW "DOC"</t>
  </si>
  <si>
    <t>GLENN, NICHOLAS N.</t>
  </si>
  <si>
    <t>HAUPT, MATHEW</t>
  </si>
  <si>
    <t>KAPADIA, PERRY</t>
  </si>
  <si>
    <t>RODRIGUEZ, BENJAMIN</t>
  </si>
  <si>
    <t>RODRIGUEZ, JOSHUA</t>
  </si>
  <si>
    <t>SAENZ, FRANK</t>
  </si>
  <si>
    <t>SCHIESS, JOHN</t>
  </si>
  <si>
    <t>SIMMONS, DEBBIE</t>
  </si>
  <si>
    <t>STEVENS, JIM</t>
  </si>
  <si>
    <t>STEWART, BUZZ</t>
  </si>
  <si>
    <t>THOMAS, PATRICK "PAT"</t>
  </si>
  <si>
    <t>SHEDD, TIFFANY</t>
  </si>
  <si>
    <t>O'HALLERAN, TOM</t>
  </si>
  <si>
    <t>WOOD, DANIEL</t>
  </si>
  <si>
    <t>GRIJALVA, RAÚL</t>
  </si>
  <si>
    <t>GOSAR, PAUL</t>
  </si>
  <si>
    <t>DISANTO, DELINA</t>
  </si>
  <si>
    <t>BRENNAN, BRETT</t>
  </si>
  <si>
    <t>JONES, MIKO</t>
  </si>
  <si>
    <t>OVERHOLSER, DON</t>
  </si>
  <si>
    <t>PEREZ GISSY, ANA</t>
  </si>
  <si>
    <t>ROBINSON, EMILY</t>
  </si>
  <si>
    <t>BIGGS, ANDY</t>
  </si>
  <si>
    <t>GREENE, JOAN</t>
  </si>
  <si>
    <t>STEPHENS, KAREN</t>
  </si>
  <si>
    <t>SCHWEIKERT, DAVID</t>
  </si>
  <si>
    <t>TIPIRNENI, HIRAL</t>
  </si>
  <si>
    <t>BARNETT, JOSHUA</t>
  </si>
  <si>
    <t>GALLEGO, RUBEN</t>
  </si>
  <si>
    <t>KIRKHAM, J. TRAVIS</t>
  </si>
  <si>
    <t>RODRIGUEZ, ROXANNE</t>
  </si>
  <si>
    <t>LESKO, DEBBIE</t>
  </si>
  <si>
    <t>MUSCATO, MICHAEL</t>
  </si>
  <si>
    <t>HENDRIX, TALIBAN</t>
  </si>
  <si>
    <t>GILES, DAVE</t>
  </si>
  <si>
    <t>STANTON, GREG</t>
  </si>
  <si>
    <t>FANN, KAREN ELIZABETH</t>
  </si>
  <si>
    <t>CARILLO, GILBERT "GILBERT"</t>
  </si>
  <si>
    <t>BURGES, JUDY</t>
  </si>
  <si>
    <t>NGUYEN, QUANG</t>
  </si>
  <si>
    <t>STAHL, JUDY</t>
  </si>
  <si>
    <t>ANGRY, TRAVIS</t>
  </si>
  <si>
    <t>OTONDO, LISA</t>
  </si>
  <si>
    <t>JOHN, JOEL</t>
  </si>
  <si>
    <t>FERNANDEZ, CHARLENE</t>
  </si>
  <si>
    <t>PETEN, GERALDINE "GERAE"</t>
  </si>
  <si>
    <t>PETERSEN, WARREN</t>
  </si>
  <si>
    <t>ROBINSON, LYNSEY</t>
  </si>
  <si>
    <t>GRANTHAM, TRAVIS</t>
  </si>
  <si>
    <t>HOFFMAN, JAKE</t>
  </si>
  <si>
    <t>CLARK, KRISTIN</t>
  </si>
  <si>
    <t>NOT QUALIFIED 1</t>
  </si>
  <si>
    <t>NOT QUALIFIED 2</t>
  </si>
  <si>
    <t>KERR, SINE</t>
  </si>
  <si>
    <t>BACKUS, BRENT</t>
  </si>
  <si>
    <t>DUNN, TIMOTHY "TIM"</t>
  </si>
  <si>
    <t>OSBORNE, JOANNE</t>
  </si>
  <si>
    <t>SANDOVAL, MARIANA</t>
  </si>
  <si>
    <t>BARTO, NANCY</t>
  </si>
  <si>
    <t>SMITH, MATT</t>
  </si>
  <si>
    <t>KAISER, STEVE</t>
  </si>
  <si>
    <t>WILMETH, JUSTIN</t>
  </si>
  <si>
    <t>DYBVIG-PAWELKO, KRISTIN</t>
  </si>
  <si>
    <t>TOWNSEND, KELLY</t>
  </si>
  <si>
    <t>FIERRO, NICK</t>
  </si>
  <si>
    <t>GRAYSON, RICHARD</t>
  </si>
  <si>
    <t>HART, JOHN ROSS</t>
  </si>
  <si>
    <t>FILLMORE, JOHN</t>
  </si>
  <si>
    <t>PARKER, JACQUELINE</t>
  </si>
  <si>
    <t>HUNTER, HELEN</t>
  </si>
  <si>
    <t>MESNARD, J.D.</t>
  </si>
  <si>
    <t>KURDOGLU, AJLAN "A.J."</t>
  </si>
  <si>
    <t>HARRIS, LIZ</t>
  </si>
  <si>
    <t>WENINGER, JEFF</t>
  </si>
  <si>
    <t>PAWLIK, JENNIFER</t>
  </si>
  <si>
    <t>SHARER, SUZANNE</t>
  </si>
  <si>
    <t>BOWIE, SEAN</t>
  </si>
  <si>
    <t>HAWKER, DON</t>
  </si>
  <si>
    <t>ROBSON, BOB</t>
  </si>
  <si>
    <t>EPSTEIN, DENISE "MITZI"</t>
  </si>
  <si>
    <t>JERMAINE, JENNIFER</t>
  </si>
  <si>
    <t>WILSON, CHRIS</t>
  </si>
  <si>
    <t>CHAVIRA CONTRERAS, LUPE</t>
  </si>
  <si>
    <t>ESPINOZA, DIEGO</t>
  </si>
  <si>
    <t>SIERRA, LORENZO</t>
  </si>
  <si>
    <t>QUIJADA, JOE</t>
  </si>
  <si>
    <t>BOYER, PAUL</t>
  </si>
  <si>
    <t>ERVIN, DOUGLAS</t>
  </si>
  <si>
    <t>BOLICK, SHAWNNA</t>
  </si>
  <si>
    <t>KERN, ANTHONY</t>
  </si>
  <si>
    <t>SCHWIEBERT, JUDY</t>
  </si>
  <si>
    <t>GRAY, RICK</t>
  </si>
  <si>
    <t>PAYNE, KEVIN</t>
  </si>
  <si>
    <t>PINGERELLI, BEVERLY</t>
  </si>
  <si>
    <t>KNECHT, KATHY</t>
  </si>
  <si>
    <t>LIVINGSTON, DAVID</t>
  </si>
  <si>
    <t>TYREE, SARAH</t>
  </si>
  <si>
    <t>CARROLL, FRANK</t>
  </si>
  <si>
    <t>TOMA, BEN</t>
  </si>
  <si>
    <t>GARCIA, WENDY</t>
  </si>
  <si>
    <t>HONNE, MARY "KATHLEEN"</t>
  </si>
  <si>
    <t>UGENTI-RITA, MICHELLE</t>
  </si>
  <si>
    <t>BLATTMAN, SETH</t>
  </si>
  <si>
    <t>KIRSCH, KYLE</t>
  </si>
  <si>
    <t>CHAPLIK, JOSEPH</t>
  </si>
  <si>
    <t>KAVANAGH, JOHN</t>
  </si>
  <si>
    <t>KURLAND, ERIC</t>
  </si>
  <si>
    <t>ROMACK, JOE</t>
  </si>
  <si>
    <t>MICHAELS, RAY</t>
  </si>
  <si>
    <t>ALSTON, LELA</t>
  </si>
  <si>
    <t>ALGER, DAVID SR.</t>
  </si>
  <si>
    <t>CUSHMAN, ROBYN</t>
  </si>
  <si>
    <t>LONGDON, JENNIFER</t>
  </si>
  <si>
    <t>SHAH, AMISH</t>
  </si>
  <si>
    <t>PACE, TYLER</t>
  </si>
  <si>
    <t>WEIGEL, PAUL</t>
  </si>
  <si>
    <t>BOWERS, RUSSELL W. "RUSTY"</t>
  </si>
  <si>
    <t>UDALL, MICHELLE</t>
  </si>
  <si>
    <t>HUG, SUZANNE</t>
  </si>
  <si>
    <t>CHIN, JAE</t>
  </si>
  <si>
    <t>MENDEZ, JUAN</t>
  </si>
  <si>
    <t>LOUGHRIGE, BILL</t>
  </si>
  <si>
    <t>SIFUENTES, SETH ""MARCUS""</t>
  </si>
  <si>
    <t>HERNANDEZ, MELODY</t>
  </si>
  <si>
    <t>SALMAN, ATHENA</t>
  </si>
  <si>
    <t>SHREVES, GARLAND</t>
  </si>
  <si>
    <t>RIOS, REBECCA</t>
  </si>
  <si>
    <t>PENA M., TATIANA</t>
  </si>
  <si>
    <t>BOLDING, REGINALD</t>
  </si>
  <si>
    <t>RODRIGUEZ, DIEGO</t>
  </si>
  <si>
    <t>BROPHY MCGEE, KATE</t>
  </si>
  <si>
    <t>MARSH, CHRISTINE</t>
  </si>
  <si>
    <t>BOWERS, KENNETH R. JR. "KEN"</t>
  </si>
  <si>
    <t>JACKSON, JANA</t>
  </si>
  <si>
    <t>BUTLER, KELLI</t>
  </si>
  <si>
    <t>LIEBERMAN, AARON</t>
  </si>
  <si>
    <t>WILSON, JOHN</t>
  </si>
  <si>
    <t>QUEZADA, MARTÍN J.</t>
  </si>
  <si>
    <t>CARPENTER, CHARLES</t>
  </si>
  <si>
    <t>BRAGG, BILLY</t>
  </si>
  <si>
    <t>FOKSZANSKYJ-CONTI, HELEN</t>
  </si>
  <si>
    <t>ANDRADE, RICHARD</t>
  </si>
  <si>
    <t>CHAVEZ, CESAR</t>
  </si>
  <si>
    <t>NAVARRETE, OTONIEL "TONY"</t>
  </si>
  <si>
    <t>MEZA, ROBERT</t>
  </si>
  <si>
    <t>TERÁN, RAQUEL</t>
  </si>
  <si>
    <t>MARQUEZ PETERSON, LEA</t>
  </si>
  <si>
    <t>O'CONNOR, JAMES "JIM"</t>
  </si>
  <si>
    <t>SLOAN, ERIC</t>
  </si>
  <si>
    <t>MUNDELL, WILLIAM "BILL"</t>
  </si>
  <si>
    <t>STANFIELD, SHEA</t>
  </si>
  <si>
    <t>TOVAR, ANNA</t>
  </si>
  <si>
    <t>FINERD, PATRICK</t>
  </si>
  <si>
    <t>GIBSON, CHRISTINA</t>
  </si>
  <si>
    <t>NOT QUALIFIED 3</t>
  </si>
  <si>
    <t>SELLERS, JACK W.</t>
  </si>
  <si>
    <t>HODGE, JEVIN D.</t>
  </si>
  <si>
    <t>CHUCRI, STEVE</t>
  </si>
  <si>
    <t>ABBOUD, DEEDRA</t>
  </si>
  <si>
    <t>SMOCK, TORY L.</t>
  </si>
  <si>
    <t>GATES, BILL SHANE</t>
  </si>
  <si>
    <t>WALKER, WHITNEY</t>
  </si>
  <si>
    <t>HICKMAN, CLINT L.</t>
  </si>
  <si>
    <t>STORY, SUZANNE</t>
  </si>
  <si>
    <t>GALLARDO, STEVE</t>
  </si>
  <si>
    <t>COOK, EDDIE</t>
  </si>
  <si>
    <t>CONNOR, AARON</t>
  </si>
  <si>
    <t>ADEL, ALLISTER</t>
  </si>
  <si>
    <t>GUNNIGLE, JULIE</t>
  </si>
  <si>
    <t>CAMBONI, ANTHONY JOSEPH</t>
  </si>
  <si>
    <t>LONG, MATT</t>
  </si>
  <si>
    <t>RICHER, STEPHEN I.</t>
  </si>
  <si>
    <t>FONTES, ADRIAN P.</t>
  </si>
  <si>
    <t>WATSON, STEVE</t>
  </si>
  <si>
    <t>CASTEEN, JEANNE M.</t>
  </si>
  <si>
    <t>SHERIDAN, JERRY</t>
  </si>
  <si>
    <t>PENZONE, PAUL</t>
  </si>
  <si>
    <t>ALLEN, JOHN</t>
  </si>
  <si>
    <t>TOPOREK, DANIEL L.</t>
  </si>
  <si>
    <t>DRIGGS, LEONORE M.</t>
  </si>
  <si>
    <t>LANE, CAROLYN</t>
  </si>
  <si>
    <t>GASTELUM, ANDY</t>
  </si>
  <si>
    <t>GARCIA, DENICE MARTHA</t>
  </si>
  <si>
    <t>JONES, KYLE I.</t>
  </si>
  <si>
    <t>CURTIS, JON</t>
  </si>
  <si>
    <t>CONTI, FRANK J.</t>
  </si>
  <si>
    <t>TORRES, RHYS</t>
  </si>
  <si>
    <t>IRISH, MICHAEL B</t>
  </si>
  <si>
    <t>BEGAY, DEBORAH ANN</t>
  </si>
  <si>
    <t>SEEL, CARL E.</t>
  </si>
  <si>
    <t>REAGAN, MICHELE</t>
  </si>
  <si>
    <t>RAY, JORDAN</t>
  </si>
  <si>
    <t>PALMER, LUKE THOMAS</t>
  </si>
  <si>
    <t>HALLORAN, BEN</t>
  </si>
  <si>
    <t>GOODMAN, SAM</t>
  </si>
  <si>
    <t>ALLEN, STEVE</t>
  </si>
  <si>
    <t>RIGGS, CATHY</t>
  </si>
  <si>
    <t>RICH, JAMES</t>
  </si>
  <si>
    <t>HUBERMAN, ANNA</t>
  </si>
  <si>
    <t>SUMNER, KENNETH</t>
  </si>
  <si>
    <t>CORBIN, SUSAN E.</t>
  </si>
  <si>
    <t>DENEEN, LAWRENCE J.</t>
  </si>
  <si>
    <t>KOOISTRA, STEPHEN</t>
  </si>
  <si>
    <t>FOR THE BONDS</t>
  </si>
  <si>
    <t>AGAINST THE BONDS</t>
  </si>
  <si>
    <t>FARNSWORTH, JOHN B.</t>
  </si>
  <si>
    <t>HARDEN, MARY A.</t>
  </si>
  <si>
    <t>YES</t>
  </si>
  <si>
    <t>NO</t>
  </si>
  <si>
    <t>BOGGS, SHELLI RICHARDSON</t>
  </si>
  <si>
    <t>THOR, LINDA M.</t>
  </si>
  <si>
    <t>HENDRIX, LAURIN</t>
  </si>
  <si>
    <t>SMITH, JACQUELINE V.</t>
  </si>
  <si>
    <t>BACHANOS, JEWELENE</t>
  </si>
  <si>
    <t>WYLLIE, BARBARA</t>
  </si>
  <si>
    <t>DOWLING, DENNIS R.</t>
  </si>
  <si>
    <t>DUSKIN, KERRY</t>
  </si>
  <si>
    <t>GARCIA, EDGARDO</t>
  </si>
  <si>
    <t>GRAY, KEITH</t>
  </si>
  <si>
    <t>HUTCHINSON, MIKE</t>
  </si>
  <si>
    <t>No Candidate</t>
  </si>
  <si>
    <t>BENCOMO, KRISTI M.</t>
  </si>
  <si>
    <t>BLACKBURN, MEGAN Y.</t>
  </si>
  <si>
    <t>BRADY, JEFFREY C.</t>
  </si>
  <si>
    <t>JENSEN, PAUL D.</t>
  </si>
  <si>
    <t>SEESKIN, MORRIS</t>
  </si>
  <si>
    <t>TURNER, BRIAN</t>
  </si>
  <si>
    <t>BOND APPROVAL, YES</t>
  </si>
  <si>
    <t>BOND APPROVAL, NO</t>
  </si>
  <si>
    <t>ANWAR, GIRMAR</t>
  </si>
  <si>
    <t>CROSS, DEBBIE</t>
  </si>
  <si>
    <t>MARQUEZ, AARON</t>
  </si>
  <si>
    <t>SHEPPARD, NEDRA A.</t>
  </si>
  <si>
    <t>BASTIAN, LORI</t>
  </si>
  <si>
    <t>FLETCHER, DON</t>
  </si>
  <si>
    <t>HODGE, BERDETTA B.</t>
  </si>
  <si>
    <t>JAMES, SARAH LINDSAY</t>
  </si>
  <si>
    <t>LOWE, SANDY K.</t>
  </si>
  <si>
    <t>MONTERO, ARMANDO A.</t>
  </si>
  <si>
    <t>MYRICK, MICHAEL RYAN</t>
  </si>
  <si>
    <t>REESOR, PAIGE</t>
  </si>
  <si>
    <t>BUDGET OVERRRIDE CONTINUATION, YES</t>
  </si>
  <si>
    <t>BUDGET OVERRIDE CONTINUATION, NO</t>
  </si>
  <si>
    <t>BUENO, JESSICA</t>
  </si>
  <si>
    <t>CARRILLO, REGIONAL "REGGIE"</t>
  </si>
  <si>
    <t>CREWS, QUANTA MARIE</t>
  </si>
  <si>
    <t>JASSO, ELISIA ELLE</t>
  </si>
  <si>
    <t>MARTIN, NICHOLAS NIK</t>
  </si>
  <si>
    <t>VINK, ALICIA</t>
  </si>
  <si>
    <t>EWERS, ALLISON</t>
  </si>
  <si>
    <t>TREJO, MONICA</t>
  </si>
  <si>
    <t>LEMMON, JIM</t>
  </si>
  <si>
    <t>METZGER, MICHAEL DAVID</t>
  </si>
  <si>
    <t>TAYLOR, TIM</t>
  </si>
  <si>
    <t>WELLS, ROCHELLE L.</t>
  </si>
  <si>
    <t>CRANDALL, RICH</t>
  </si>
  <si>
    <t>ELLINGSON, LARA SALMON</t>
  </si>
  <si>
    <t>JOHNSON, VIKKI R.</t>
  </si>
  <si>
    <t>O'REILLY, JOE</t>
  </si>
  <si>
    <t>SEARS, KIANA MARIA</t>
  </si>
  <si>
    <t>STEINER, CARA SCHNEPF</t>
  </si>
  <si>
    <t>DANIELS, ROMAN GILBERT</t>
  </si>
  <si>
    <t>GUZMAN, MARIA</t>
  </si>
  <si>
    <t>HERNANDEZ, MARIA A.</t>
  </si>
  <si>
    <t>SANTA CRUZ, RAUL "RUDY"</t>
  </si>
  <si>
    <t>ABBOTT-BAYARDI, JENNI J.</t>
  </si>
  <si>
    <t>JAHNEKE, AARON</t>
  </si>
  <si>
    <t>LAMBERT, TEE</t>
  </si>
  <si>
    <t>PETERSON, LINDSEY</t>
  </si>
  <si>
    <t>WHALEY, NIKKIE LYNN</t>
  </si>
  <si>
    <t>BUSAM, LINDA J.</t>
  </si>
  <si>
    <t>FRANKLIN, KACIE S.</t>
  </si>
  <si>
    <t>HILL, REBECCA JANE</t>
  </si>
  <si>
    <t>HOBBS, KIRK</t>
  </si>
  <si>
    <t>SANDOVAL, DAVID M.</t>
  </si>
  <si>
    <t>SOLTER, DAVITA</t>
  </si>
  <si>
    <t>SORENSEN, BILL</t>
  </si>
  <si>
    <t>UPDEGRAFF-DAY, DEVON NICOLE</t>
  </si>
  <si>
    <t>WILLIAMS, CJ</t>
  </si>
  <si>
    <t>AYRES, HEATHER L.</t>
  </si>
  <si>
    <t>MCCALEB, LINDSEY</t>
  </si>
  <si>
    <t>MCSHEFFREY, AMY</t>
  </si>
  <si>
    <t>PECK, ALEXANDRA</t>
  </si>
  <si>
    <t>RING, KATHRYN</t>
  </si>
  <si>
    <t>YOUNG, DONNA L.</t>
  </si>
  <si>
    <t>RAMIREZ, SOPHIA</t>
  </si>
  <si>
    <t>MCDONALD, PATRICK "MAC"</t>
  </si>
  <si>
    <t>BUDGET INCREASE, YES</t>
  </si>
  <si>
    <t>BUDGET INCREASE, NO</t>
  </si>
  <si>
    <t>NEVAREZ, FRANCISCA A.</t>
  </si>
  <si>
    <t>RUBALCAVA, JESUS A.</t>
  </si>
  <si>
    <t>TURNER, COLBY C.</t>
  </si>
  <si>
    <t>HOFFMAN, HERMAN "SONNY"</t>
  </si>
  <si>
    <t>MURRIETA, SAIDA L.</t>
  </si>
  <si>
    <t>SMITH, ELIZABETH "LIZ"</t>
  </si>
  <si>
    <t>MILLER, JAMIE NATHANIEL</t>
  </si>
  <si>
    <t>ALFARO, IVAN</t>
  </si>
  <si>
    <t>FAHY, MICHELLE</t>
  </si>
  <si>
    <t>KOLOMYJEC, WANDA C.</t>
  </si>
  <si>
    <t>NELSON, TRINE</t>
  </si>
  <si>
    <t>WRIGHT, MARGARET</t>
  </si>
  <si>
    <t>GRACE, VIC</t>
  </si>
  <si>
    <t>KNIGHT, GAIL Q.</t>
  </si>
  <si>
    <t>ROBINSON, REDEEM</t>
  </si>
  <si>
    <t>SHEIKH, MUKTAR</t>
  </si>
  <si>
    <t>BENNINGHOFF, BRETT R.</t>
  </si>
  <si>
    <t>HOPKINS, RICHARD A.</t>
  </si>
  <si>
    <t>LOVITT, AMY B.</t>
  </si>
  <si>
    <t>MELTON, MICHAEL W.</t>
  </si>
  <si>
    <t>GRESHAM, KAREN A.</t>
  </si>
  <si>
    <t>GRESS, MATT</t>
  </si>
  <si>
    <t>HOLCOMB, SCOTT</t>
  </si>
  <si>
    <t>SPEER, SARAH W.</t>
  </si>
  <si>
    <t>GOULD, AMBER D.</t>
  </si>
  <si>
    <t>MARTINEZ, MIKE</t>
  </si>
  <si>
    <t>PIMENTEL, MONICA GALLARDO</t>
  </si>
  <si>
    <t>WILSON, MARY ANN</t>
  </si>
  <si>
    <t>CAMP, PHILLIP L.</t>
  </si>
  <si>
    <t>SAWYER, ERIC</t>
  </si>
  <si>
    <t>VANOSDELL, THOMAS W.</t>
  </si>
  <si>
    <t>WORKMAN, DIANNA L.</t>
  </si>
  <si>
    <t>ANGELOS, KATHLEEN "KATE"</t>
  </si>
  <si>
    <t>CIENIAWSKI, JULIE</t>
  </si>
  <si>
    <t>DIGRAZIA, LUCY</t>
  </si>
  <si>
    <t>HART-WELLS, LIBBY</t>
  </si>
  <si>
    <t>LINDSAY, ZACH R.</t>
  </si>
  <si>
    <t>SMITH, ROSE M.</t>
  </si>
  <si>
    <t>ANDERSON, MICHELE S.</t>
  </si>
  <si>
    <t>RAND, SIMIR</t>
  </si>
  <si>
    <t>SANBORN, SUSAN J.</t>
  </si>
  <si>
    <t>SENTERS, RYAN T.</t>
  </si>
  <si>
    <t>WATKINS, TORRENCE</t>
  </si>
  <si>
    <t>ANDERSON, MICHELLE</t>
  </si>
  <si>
    <t>REESE, KRISTINA</t>
  </si>
  <si>
    <t>SHULTZ, TIFFANY</t>
  </si>
  <si>
    <t>WOJTOVICH, GREG</t>
  </si>
  <si>
    <t>REYES, KATHY</t>
  </si>
  <si>
    <t>CONTRERAS, SARA VIOLETA</t>
  </si>
  <si>
    <t>JOHNSON, SOPHIA</t>
  </si>
  <si>
    <t>RAEDER, JOHN R., III</t>
  </si>
  <si>
    <t>ROBINSON, LAWRENCE A.</t>
  </si>
  <si>
    <t>AGUIRRE, ALEXIS M.</t>
  </si>
  <si>
    <t>JACKSON, SHELLEY</t>
  </si>
  <si>
    <t>SMYTHE, PATRICK</t>
  </si>
  <si>
    <t>TORRES, KIM "PACO"</t>
  </si>
  <si>
    <t>BROWN, STEPHANIE</t>
  </si>
  <si>
    <t>CASE, NANCY</t>
  </si>
  <si>
    <t>GREENBERG, ANNE</t>
  </si>
  <si>
    <t>FARR, LISANNE LISA</t>
  </si>
  <si>
    <t>CLYMER, DANIELLE E.</t>
  </si>
  <si>
    <t>HOENACK, A. JEREMY</t>
  </si>
  <si>
    <t>ZUIDEMA, MELISSA A.</t>
  </si>
  <si>
    <t>PFITZER, TAWNYA</t>
  </si>
  <si>
    <t>MOZDZEN, BARB</t>
  </si>
  <si>
    <t>OLIVE, JASON</t>
  </si>
  <si>
    <t>WIRTH, JOEL</t>
  </si>
  <si>
    <t>TUTTLE, SHARON M.</t>
  </si>
  <si>
    <t>CHAFFIN, CHRYSTAL L.</t>
  </si>
  <si>
    <t>GRANT, JO</t>
  </si>
  <si>
    <t>LEONARD, JAY DEAN</t>
  </si>
  <si>
    <t>MIETT, RHIANNON</t>
  </si>
  <si>
    <t>PRITCHARD, CHRISTINE A.K.</t>
  </si>
  <si>
    <t>WILSON, CHARLES R.</t>
  </si>
  <si>
    <t>BUSBEE, JANET</t>
  </si>
  <si>
    <t>FORTNEY, JEFF</t>
  </si>
  <si>
    <t>THATCHER, TERI L.</t>
  </si>
  <si>
    <t>WALKER, BRIANNA LYNN</t>
  </si>
  <si>
    <t>WILSON, TRINITY DAWN</t>
  </si>
  <si>
    <t>BOHART, SEAN ANDREW</t>
  </si>
  <si>
    <t>CAMPBELL, PATTY</t>
  </si>
  <si>
    <t>REVOLT, JENNIFER</t>
  </si>
  <si>
    <t>RIFFEY, MATTHEW A.</t>
  </si>
  <si>
    <t>HAIGHT, TARYN</t>
  </si>
  <si>
    <t>FISHER, KIM</t>
  </si>
  <si>
    <t>HOLEHAN-KOPAS, MELODY</t>
  </si>
  <si>
    <t>ORDWAY, ANN ELIZABETH</t>
  </si>
  <si>
    <t>PAPERMAN, JENNIE</t>
  </si>
  <si>
    <t>MBAH, OGECHUKWU I.</t>
  </si>
  <si>
    <t>BARKER, ROBIN</t>
  </si>
  <si>
    <t>WILSON, CHIP</t>
  </si>
  <si>
    <t>FOR THE FRANCHISE</t>
  </si>
  <si>
    <t>AGAINST THE FRANCHISE</t>
  </si>
  <si>
    <t>NIELSEN, MATT</t>
  </si>
  <si>
    <t>PETERSON, BRIGETTE</t>
  </si>
  <si>
    <t>GALLEGO, KATE</t>
  </si>
  <si>
    <t>HAMILTON, MERISSA</t>
  </si>
  <si>
    <t>SEAY, TIM</t>
  </si>
  <si>
    <t>CARMONA, JOSHUA "CRISCO KIDD"</t>
  </si>
  <si>
    <t>SCHOVILLE, JUAN</t>
  </si>
  <si>
    <t>O'BRIEN, ANN</t>
  </si>
  <si>
    <t>SIEBERT, DAVE</t>
  </si>
  <si>
    <t>DWYER, MIKE</t>
  </si>
  <si>
    <t>PISTOIA, CHRISTOPHER</t>
  </si>
  <si>
    <t>GARCIA, NICOLE</t>
  </si>
  <si>
    <t>PIERCE, KRISTEN</t>
  </si>
  <si>
    <t>STARK, DEBRA</t>
  </si>
  <si>
    <t>BOZEK, MARK</t>
  </si>
  <si>
    <t>GUARDADO, BETTY</t>
  </si>
  <si>
    <t>SCHICK, NATHAN</t>
  </si>
  <si>
    <t>WILLIAMS, ANDRE</t>
  </si>
  <si>
    <t>ANSARI, YASSAMIN</t>
  </si>
  <si>
    <t>ESTELA, CINTHIA</t>
  </si>
  <si>
    <t>FLUNOY, G. GRAYSON</t>
  </si>
  <si>
    <t>MERCADO-GUDINO, SUSAN</t>
  </si>
  <si>
    <t>MONTOYA, FRANCISCA</t>
  </si>
  <si>
    <t>BISHOP, MIKE</t>
  </si>
  <si>
    <t>BOROWSKY, LISA</t>
  </si>
  <si>
    <t>ORTEGA, DAVID "DAVE"</t>
  </si>
  <si>
    <t>CAPUTI, TAMMY</t>
  </si>
  <si>
    <t>DURHAM, TOM</t>
  </si>
  <si>
    <t>JANIK, BETTY</t>
  </si>
  <si>
    <t>LINNIG, BECCA</t>
  </si>
  <si>
    <t>LITTLE, JOHN</t>
  </si>
  <si>
    <t>PHILLIPS, GUY</t>
  </si>
  <si>
    <t>PA_Alleg_2019g~Gen-auditor bellevue (vote for 1)</t>
  </si>
  <si>
    <t>PA_Alleg_2019g~Gen-auditor frazer (vote for 1)</t>
  </si>
  <si>
    <t>PA_Alleg_2019g~Gen-auditor moon (vote for 1)</t>
  </si>
  <si>
    <t>PA_Alleg_2019g~Gen-bethel park home rule charter amend #1 (vote for 1)</t>
  </si>
  <si>
    <t>PA_Alleg_2019g~Gen-bethel park home rule charter amend #2 (vote for 1)</t>
  </si>
  <si>
    <t>PA_Alleg_2019g~Gen-braddock home rule charter (vote for 1)</t>
  </si>
  <si>
    <t>PA_Alleg_2019g~Gen-city of pittsburgh hrc amendment (vote for 1)</t>
  </si>
  <si>
    <t>PA_Alleg_2019g~Gen-commissioner at-large crescent (vote for 2)</t>
  </si>
  <si>
    <t>PA_Alleg_2019g~Gen-commissioner at-large neville (vote for 1)</t>
  </si>
  <si>
    <t>PA_Alleg_2019g~Gen-commissioner at-large upper st clair (vote for 1)</t>
  </si>
  <si>
    <t>PA_Alleg_2019g~Gen-commissioner collier (vote for 2)</t>
  </si>
  <si>
    <t>PA_Alleg_2019g~Gen-commissioner elizabeth township ward 1 (vote for 1)</t>
  </si>
  <si>
    <t>PA_Alleg_2019g~Gen-commissioner elizabeth township ward 7 (vote for 1)</t>
  </si>
  <si>
    <t>PA_Alleg_2019g~Gen-commissioner leet (vote for 3)</t>
  </si>
  <si>
    <t>PA_Alleg_2019g~Gen-commissioner mt lebanon ward 5 (vote for 1)</t>
  </si>
  <si>
    <t>PA_Alleg_2019g~Gen-commissioner ross ward 1 (vote for 1)</t>
  </si>
  <si>
    <t>PA_Alleg_2019g~Gen-commissioner ross ward 3 (vote for 1)</t>
  </si>
  <si>
    <t>PA_Alleg_2019g~Gen-commissioner ross ward 5 (vote for 1)</t>
  </si>
  <si>
    <t>PA_Alleg_2019g~Gen-commissioner ross ward 7 (vote for 1)</t>
  </si>
  <si>
    <t>PA_Alleg_2019g~Gen-commissioner ross ward 9 (vote for 1)</t>
  </si>
  <si>
    <t>PA_Alleg_2019g~Gen-commissioner scott ward 1 (vote for 1)</t>
  </si>
  <si>
    <t>PA_Alleg_2019g~Gen-commissioner scott ward 3 (vote for 1)</t>
  </si>
  <si>
    <t>PA_Alleg_2019g~Gen-commissioner shaler ward 1 (vote for 1)</t>
  </si>
  <si>
    <t>PA_Alleg_2019g~Gen-commissioner south fayette (vote for 4)</t>
  </si>
  <si>
    <t>PA_Alleg_2019g~Gen-commissioner springdale township (vote for 3)</t>
  </si>
  <si>
    <t>PA_Alleg_2019g~Gen-commissioner upper st clair ward 3 (vote for 1)</t>
  </si>
  <si>
    <t>PA_Alleg_2019g~Gen-constitutional amendment (vote for 1)</t>
  </si>
  <si>
    <t>PA_Alleg_2019g~Gen-county chief executive (vote for 1)</t>
  </si>
  <si>
    <t>PA_Alleg_2019g~Gen-county controller (vote for 1)</t>
  </si>
  <si>
    <t>PA_Alleg_2019g~Gen-district attorney (vote for 1)</t>
  </si>
  <si>
    <t>PA_Alleg_2019g~Gen-judge of the superior court (vote for 2)</t>
  </si>
  <si>
    <t>PA_Alleg_2019g~Gen-magisterial district judge 05-02-25 (vote for 1)</t>
  </si>
  <si>
    <t>PA_Alleg_2019g~Gen-mayor mckeesport (vote for 1)</t>
  </si>
  <si>
    <t>PA_Alleg_2019g~Gen-mayor penn hills (vote for 1)</t>
  </si>
  <si>
    <t>PA_Alleg_2019g~Gen-member of council at-large tarentum (vote for 1)</t>
  </si>
  <si>
    <t>PA_Alleg_2019g~Gen-member of council baldwin borough (vote for 3)</t>
  </si>
  <si>
    <t>PA_Alleg_2019g~Gen-member of council bell acres (vote for 3)</t>
  </si>
  <si>
    <t>PA_Alleg_2019g~Gen-member of council bellevue ward 1 (vote for 1)</t>
  </si>
  <si>
    <t>PA_Alleg_2019g~Gen-member of council bellevue ward 2 (vote for 1)</t>
  </si>
  <si>
    <t>PA_Alleg_2019g~Gen-member of council bridgeville (vote for 3)</t>
  </si>
  <si>
    <t>PA_Alleg_2019g~Gen-member of council castle shannon (vote for 3)</t>
  </si>
  <si>
    <t>PA_Alleg_2019g~Gen-member of council coraopolis ward 1 (vote for 1)</t>
  </si>
  <si>
    <t>PA_Alleg_2019g~Gen-member of council coraopolis ward 3 (vote for 1)</t>
  </si>
  <si>
    <t>PA_Alleg_2019g~Gen-member of council crafton (vote for 1)</t>
  </si>
  <si>
    <t>PA_Alleg_2019g~Gen-member of council crafton (vote for 3)</t>
  </si>
  <si>
    <t>PA_Alleg_2019g~Gen-member of council district 1 (vote for 1)</t>
  </si>
  <si>
    <t>PA_Alleg_2019g~Gen-member of council district 3 (vote for 1)</t>
  </si>
  <si>
    <t>PA_Alleg_2019g~Gen-member of council district 9 (vote for 1)</t>
  </si>
  <si>
    <t>PA_Alleg_2019g~Gen-member of council dravosburg (vote for 2)</t>
  </si>
  <si>
    <t>PA_Alleg_2019g~Gen-member of council duquesne (vote for 2)</t>
  </si>
  <si>
    <t>PA_Alleg_2019g~Gen-member of council edgewood (vote for 3)</t>
  </si>
  <si>
    <t>PA_Alleg_2019g~Gen-member of council fox chapel (vote for 3)</t>
  </si>
  <si>
    <t>PA_Alleg_2019g~Gen-member of council franklin park ward 1 (vote for 1)</t>
  </si>
  <si>
    <t>PA_Alleg_2019g~Gen-member of council franklin park ward 2 (vote for 1)</t>
  </si>
  <si>
    <t>PA_Alleg_2019g~Gen-member of council franklin park ward 3 (vote for 1)</t>
  </si>
  <si>
    <t>PA_Alleg_2019g~Gen-member of council glassport (vote for 4)</t>
  </si>
  <si>
    <t>PA_Alleg_2019g~Gen-member of council glen osborne (vote for 3)</t>
  </si>
  <si>
    <t>PA_Alleg_2019g~Gen-member of council hampton (vote for 2)</t>
  </si>
  <si>
    <t>PA_Alleg_2019g~Gen-member of council ingram (vote for 3)</t>
  </si>
  <si>
    <t>PA_Alleg_2019g~Gen-member of council jefferson hills (vote for 3)</t>
  </si>
  <si>
    <t>PA_Alleg_2019g~Gen-member of council mccandless ward 1 (vote for 1)</t>
  </si>
  <si>
    <t>PA_Alleg_2019g~Gen-member of council mccandless ward 3 (vote for 1)</t>
  </si>
  <si>
    <t>PA_Alleg_2019g~Gen-member of council mccandless ward 5 (vote for 1)</t>
  </si>
  <si>
    <t>PA_Alleg_2019g~Gen-member of council mccandless ward 7 (vote for 1)</t>
  </si>
  <si>
    <t>PA_Alleg_2019g~Gen-member of council mcdonald (vote for 4)</t>
  </si>
  <si>
    <t>PA_Alleg_2019g~Gen-member of council mckees rocks ward 3 (vote for 3)</t>
  </si>
  <si>
    <t>PA_Alleg_2019g~Gen-member of council oakmont (vote for 1)</t>
  </si>
  <si>
    <t>PA_Alleg_2019g~Gen-member of council oakmont (vote for 3)</t>
  </si>
  <si>
    <t>PA_Alleg_2019g~Gen-member of council pitcairn (vote for 3)</t>
  </si>
  <si>
    <t>PA_Alleg_2019g~Gen-member of council pleasant hills (vote for 1)</t>
  </si>
  <si>
    <t>PA_Alleg_2019g~Gen-member of council pleasant hills (vote for 3)</t>
  </si>
  <si>
    <t>PA_Alleg_2019g~Gen-member of council plum (vote for 3)</t>
  </si>
  <si>
    <t>PA_Alleg_2019g~Gen-member of council rosslyn farms (vote for 3)</t>
  </si>
  <si>
    <t>PA_Alleg_2019g~Gen-member of council sewickley ward 1 (vote for 1)</t>
  </si>
  <si>
    <t>PA_Alleg_2019g~Gen-member of council sewickley ward 2 (vote for 2)</t>
  </si>
  <si>
    <t>PA_Alleg_2019g~Gen-member of council sewickley ward 3 (vote for 1)</t>
  </si>
  <si>
    <t>PA_Alleg_2019g~Gen-member of council springdale borough (vote for 3)</t>
  </si>
  <si>
    <t>PA_Alleg_2019g~Gen-member of council swissvale (vote for 3)</t>
  </si>
  <si>
    <t>PA_Alleg_2019g~Gen-member of council tarentum ward 1 (vote for 1)</t>
  </si>
  <si>
    <t>PA_Alleg_2019g~Gen-member of council tarentum ward 3 (vote for 1)</t>
  </si>
  <si>
    <t>PA_Alleg_2019g~Gen-member of council trafford (vote for 3)</t>
  </si>
  <si>
    <t>PA_Alleg_2019g~Gen-member of council west mifflin (vote for 3)</t>
  </si>
  <si>
    <t>PA_Alleg_2019g~Gen-member of council white oak (vote for 1)</t>
  </si>
  <si>
    <t>PA_Alleg_2019g~Gen-member of council white oak (vote for 3)</t>
  </si>
  <si>
    <t>PA_Alleg_2019g~Gen-member of council whitehall (vote for 3)</t>
  </si>
  <si>
    <t>PA_Alleg_2019g~Gen-member of council wilkinsburg ward 3 (vote for 1)</t>
  </si>
  <si>
    <t>PA_Alleg_2019g~Gen-member of county council at-large (vote for 1)</t>
  </si>
  <si>
    <t>PA_Alleg_2019g~Gen-member of county council district 2 (vote for 1)</t>
  </si>
  <si>
    <t>PA_Alleg_2019g~Gen-member of county council district 5 (vote for 1)</t>
  </si>
  <si>
    <t>PA_Alleg_2019g~Gen-member of county council district 6 (vote for 1)</t>
  </si>
  <si>
    <t>PA_Alleg_2019g~Gen-retention of judge berkeley clark (vote for 1)</t>
  </si>
  <si>
    <t>PA_Alleg_2019g~Gen-retention of judge brobson (vote for 1)</t>
  </si>
  <si>
    <t>PA_Alleg_2019g~Gen-retention of judge colville (vote for 1)</t>
  </si>
  <si>
    <t>PA_Alleg_2019g~Gen-retention of judge eaton (vote for 1)</t>
  </si>
  <si>
    <t>PA_Alleg_2019g~Gen-retention of judge evashavik dilucente (vote for 1)</t>
  </si>
  <si>
    <t>PA_Alleg_2019g~Gen-retention of judge ignelzi (vote for 1)</t>
  </si>
  <si>
    <t>PA_Alleg_2019g~Gen-retention of judge klein (vote for 1)</t>
  </si>
  <si>
    <t>PA_Alleg_2019g~Gen-retention of judge lazarus (vote for 1)</t>
  </si>
  <si>
    <t>PA_Alleg_2019g~Gen-retention of judge manning (vote for 1)</t>
  </si>
  <si>
    <t>PA_Alleg_2019g~Gen-retention of judge mccullough (vote for 1)</t>
  </si>
  <si>
    <t>PA_Alleg_2019g~Gen-retention of judge olson (vote for 1)</t>
  </si>
  <si>
    <t>PA_Alleg_2019g~Gen-retention of judge sasinoski (vote for 1)</t>
  </si>
  <si>
    <t>PA_Alleg_2019g~Gen-retention of judge walko (vote for 1)</t>
  </si>
  <si>
    <t>PA_Alleg_2019g~Gen-retention of judge williams (vote for 1)</t>
  </si>
  <si>
    <t>PA_Alleg_2019g~Gen-school director allegheny valley (vote for 5)</t>
  </si>
  <si>
    <t>PA_Alleg_2019g~Gen-school director baldwin whitehall (vote for 5)</t>
  </si>
  <si>
    <t>PA_Alleg_2019g~Gen-school director bethel park (vote for 5)</t>
  </si>
  <si>
    <t>PA_Alleg_2019g~Gen-school director carlynton (vote for 5)</t>
  </si>
  <si>
    <t>PA_Alleg_2019g~Gen-school director clairton region 2 (vote for 1)</t>
  </si>
  <si>
    <t>PA_Alleg_2019g~Gen-school director deer lakes (vote for 5)</t>
  </si>
  <si>
    <t>PA_Alleg_2019g~Gen-school director district 2 (vote for 1)</t>
  </si>
  <si>
    <t>PA_Alleg_2019g~Gen-school director east allegheny region 1 (vote for 1)</t>
  </si>
  <si>
    <t>PA_Alleg_2019g~Gen-school director elizabeth forward (vote for 5)</t>
  </si>
  <si>
    <t>PA_Alleg_2019g~Gen-school director fort cherry (vote for 5)</t>
  </si>
  <si>
    <t>PA_Alleg_2019g~Gen-school director fox chapel region 2 (vote for 2)</t>
  </si>
  <si>
    <t>PA_Alleg_2019g~Gen-school director gateway (vote for 1)</t>
  </si>
  <si>
    <t>PA_Alleg_2019g~Gen-school director hampton (vote for 5)</t>
  </si>
  <si>
    <t>PA_Alleg_2019g~Gen-school director north allegheny (vote for 5)</t>
  </si>
  <si>
    <t>PA_Alleg_2019g~Gen-school director north hills (vote for 5)</t>
  </si>
  <si>
    <t>PA_Alleg_2019g~Gen-school director norwin (vote for 5)</t>
  </si>
  <si>
    <t>PA_Alleg_2019g~Gen-school director penn hills (vote for 5)</t>
  </si>
  <si>
    <t>PA_Alleg_2019g~Gen-school director pine richland region 3 (vote for 1)</t>
  </si>
  <si>
    <t>PA_Alleg_2019g~Gen-school director plum (vote for 1)</t>
  </si>
  <si>
    <t>PA_Alleg_2019g~Gen-school director plum (vote for 5)</t>
  </si>
  <si>
    <t>PA_Alleg_2019g~Gen-school director quaker valley region 2 (vote for 2)</t>
  </si>
  <si>
    <t>PA_Alleg_2019g~Gen-school director riverview (vote for 5)</t>
  </si>
  <si>
    <t>PA_Alleg_2019g~Gen-school director south allegheny (vote for 5)</t>
  </si>
  <si>
    <t>PA_Alleg_2019g~Gen-school director upper saint clair (vote for 5)</t>
  </si>
  <si>
    <t>PA_Alleg_2019g~Gen-school director west allegheny region 2 (vote for 1)</t>
  </si>
  <si>
    <t>PA_Alleg_2019g~Gen-school director west mifflin area (vote for 5)</t>
  </si>
  <si>
    <t>PA_Alleg_2019g~Gen-school director wilkinsburg (vote for 5)</t>
  </si>
  <si>
    <t>PA_Alleg_2019g~Gen-school director woodland hills region 1 (vote for 2)</t>
  </si>
  <si>
    <t>PA_Alleg_2019g~Gen-school director woodland hills region 2 (vote for 2)</t>
  </si>
  <si>
    <t>PA_Alleg_2019g~Gen-school director woodland hills region 3 (vote for 1)</t>
  </si>
  <si>
    <t>PA_Alleg_2019g~Gen-supervisor fawn (vote for 1)</t>
  </si>
  <si>
    <t>PA_Alleg_2019g~Gen-supervisor indiana district 1 (vote for 1)</t>
  </si>
  <si>
    <t>PA_Alleg_2019g~Gen-supervisor indiana district 4 (vote for 1)</t>
  </si>
  <si>
    <t>PA_Alleg_2019g~Gen-supervisor moon (vote for 2)</t>
  </si>
  <si>
    <t>PA_Alleg_2019g~Gen-supervisor pine (vote for 3)</t>
  </si>
  <si>
    <t>PA_Alleg_2019g~Gen-supervisor south park (vote for 1)</t>
  </si>
  <si>
    <t>PA_Alleg_2019g~Gen-tax collector ross (vote for 1)</t>
  </si>
  <si>
    <t>PA_Alleg_2019p~Dem-auditor bellevue (vote for 1)</t>
  </si>
  <si>
    <t>PA_Alleg_2019p~Dem-auditor frazer (vote for 1)</t>
  </si>
  <si>
    <t>PA_Alleg_2019p~Dem-commissioner harrison ward 1 (vote for 1)</t>
  </si>
  <si>
    <t>PA_Alleg_2019p~Dem-commissioner harrison ward 3 (vote for 1)</t>
  </si>
  <si>
    <t>PA_Alleg_2019p~Dem-commissioner north versailles ward 3 (vote for 1)</t>
  </si>
  <si>
    <t>PA_Alleg_2019p~Dem-commissioner ross ward 1 (vote for 1)</t>
  </si>
  <si>
    <t>PA_Alleg_2019p~Dem-commissioner scott ward 1 (vote for 1)</t>
  </si>
  <si>
    <t>PA_Alleg_2019p~Dem-commissioner scott ward 9 (vote for 1)</t>
  </si>
  <si>
    <t>PA_Alleg_2019p~Dem-commissioner shaler ward 1 (vote for 1)</t>
  </si>
  <si>
    <t>PA_Alleg_2019p~Dem-commissioner springdale township (vote for 3)</t>
  </si>
  <si>
    <t>PA_Alleg_2019p~Dem-commissioner stowe (vote for 3)</t>
  </si>
  <si>
    <t>PA_Alleg_2019p~Dem-district attorney (vote for 1)</t>
  </si>
  <si>
    <t>PA_Alleg_2019p~Dem-judge of the court of common pleas (vote for 1)</t>
  </si>
  <si>
    <t>PA_Alleg_2019p~Dem-judge of the superior court (vote for 2)</t>
  </si>
  <si>
    <t>PA_Alleg_2019p~Dem-magisterial district judge 05-02-25 (vote for 1)</t>
  </si>
  <si>
    <t>PA_Alleg_2019p~Dem-magisterial district judge 05-02-28 (vote for 1)</t>
  </si>
  <si>
    <t>PA_Alleg_2019p~Dem-mayor braddock (vote for 1)</t>
  </si>
  <si>
    <t>PA_Alleg_2019p~Dem-mayor mcdonald (vote for 1)</t>
  </si>
  <si>
    <t>PA_Alleg_2019p~Dem-mayor penn hills (vote for 1)</t>
  </si>
  <si>
    <t>PA_Alleg_2019p~Dem-member of council aspinwall (vote for 1)</t>
  </si>
  <si>
    <t>PA_Alleg_2019p~Dem-member of council at-large east pittsburgh (vote for 2)</t>
  </si>
  <si>
    <t>PA_Alleg_2019p~Dem-member of council at-large tarentum (vote for 1)</t>
  </si>
  <si>
    <t>PA_Alleg_2019p~Dem-member of council baldwin borough (vote for 3)</t>
  </si>
  <si>
    <t>PA_Alleg_2019p~Dem-member of council bellevue ward 1 (vote for 1)</t>
  </si>
  <si>
    <t>PA_Alleg_2019p~Dem-member of council braddock hills (vote for 3)</t>
  </si>
  <si>
    <t>PA_Alleg_2019p~Dem-member of council braddock ward 2 (vote for 1)</t>
  </si>
  <si>
    <t>PA_Alleg_2019p~Dem-member of council braddock ward 3 (vote for 1)</t>
  </si>
  <si>
    <t>PA_Alleg_2019p~Dem-member of council brentwood (vote for 3)</t>
  </si>
  <si>
    <t>PA_Alleg_2019p~Dem-member of council clairton ward 4 (vote for 1)</t>
  </si>
  <si>
    <t>PA_Alleg_2019p~Dem-member of council coraopolis ward 3 (vote for 1)</t>
  </si>
  <si>
    <t>PA_Alleg_2019p~Dem-member of council district 1 (vote for 1)</t>
  </si>
  <si>
    <t>PA_Alleg_2019p~Dem-member of council district 3 (vote for 1)</t>
  </si>
  <si>
    <t>PA_Alleg_2019p~Dem-member of council district 7 (vote for 1)</t>
  </si>
  <si>
    <t>PA_Alleg_2019p~Dem-member of council district 9 (vote for 1)</t>
  </si>
  <si>
    <t>PA_Alleg_2019p~Dem-member of council duquesne (vote for 2)</t>
  </si>
  <si>
    <t>PA_Alleg_2019p~Dem-member of council forest hills (vote for 3)</t>
  </si>
  <si>
    <t>PA_Alleg_2019p~Dem-member of council franklin park ward 2 (vote for 1)</t>
  </si>
  <si>
    <t>PA_Alleg_2019p~Dem-member of council homestead ward 1 (vote for 1)</t>
  </si>
  <si>
    <t>PA_Alleg_2019p~Dem-member of council homestead ward 3 (vote for 1)</t>
  </si>
  <si>
    <t>PA_Alleg_2019p~Dem-member of council jefferson hills (vote for 3)</t>
  </si>
  <si>
    <t>PA_Alleg_2019p~Dem-member of council liberty (vote for 1)</t>
  </si>
  <si>
    <t>PA_Alleg_2019p~Dem-member of council liberty (vote for 3)</t>
  </si>
  <si>
    <t>PA_Alleg_2019p~Dem-member of council mckees rocks ward 3 (vote for 3)</t>
  </si>
  <si>
    <t>PA_Alleg_2019p~Dem-member of council mckeesport (vote for 4)</t>
  </si>
  <si>
    <t>PA_Alleg_2019p~Dem-member of council monroeville ward 6 (vote for 1)</t>
  </si>
  <si>
    <t>PA_Alleg_2019p~Dem-member of council munhall (vote for 3)</t>
  </si>
  <si>
    <t>PA_Alleg_2019p~Dem-member of council north braddock ward 3 (vote for 2)</t>
  </si>
  <si>
    <t>PA_Alleg_2019p~Dem-member of council oakmont (vote for 3)</t>
  </si>
  <si>
    <t>PA_Alleg_2019p~Dem-member of council penn hills (vote for 2)</t>
  </si>
  <si>
    <t>PA_Alleg_2019p~Dem-member of council pitcairn (vote for 1)</t>
  </si>
  <si>
    <t>PA_Alleg_2019p~Dem-member of council pitcairn (vote for 3)</t>
  </si>
  <si>
    <t>PA_Alleg_2019p~Dem-member of council sharpsburg (vote for 3)</t>
  </si>
  <si>
    <t>PA_Alleg_2019p~Dem-member of council swissvale (vote for 3)</t>
  </si>
  <si>
    <t>PA_Alleg_2019p~Dem-member of council tarentum ward 3 (vote for 1)</t>
  </si>
  <si>
    <t>PA_Alleg_2019p~Dem-member of council verona (vote for 3)</t>
  </si>
  <si>
    <t>PA_Alleg_2019p~Dem-member of council west homestead (vote for 3)</t>
  </si>
  <si>
    <t>PA_Alleg_2019p~Dem-member of council west mifflin (vote for 3)</t>
  </si>
  <si>
    <t>PA_Alleg_2019p~Dem-member of council wilkinsburg ward 1 (vote for 2)</t>
  </si>
  <si>
    <t>PA_Alleg_2019p~Dem-member of council wilkinsburg ward 2 (vote for 1)</t>
  </si>
  <si>
    <t>PA_Alleg_2019p~Dem-member of council wilkinsburg ward 3 (vote for 1)</t>
  </si>
  <si>
    <t>PA_Alleg_2019p~Dem-member of council wilmerding (vote for 4)</t>
  </si>
  <si>
    <t>PA_Alleg_2019p~Dem-member of county council at-large (vote for 1)</t>
  </si>
  <si>
    <t>PA_Alleg_2019p~Dem-member of county council district 13 (vote for 1)</t>
  </si>
  <si>
    <t>PA_Alleg_2019p~Dem-member of county council district 6 (vote for 1)</t>
  </si>
  <si>
    <t>PA_Alleg_2019p~Dem-school director allegheny valley (vote for 5)</t>
  </si>
  <si>
    <t>PA_Alleg_2019p~Dem-school director at large v3 t4 steel valley (vote for 3)</t>
  </si>
  <si>
    <t>PA_Alleg_2019p~Dem-school director baldwin whitehall (vote for 5)</t>
  </si>
  <si>
    <t>PA_Alleg_2019p~Dem-school director bethel park (vote for 5)</t>
  </si>
  <si>
    <t>PA_Alleg_2019p~Dem-school director clairton region 2 (vote for 1)</t>
  </si>
  <si>
    <t>PA_Alleg_2019p~Dem-school director district 2 (vote for 1)</t>
  </si>
  <si>
    <t>PA_Alleg_2019p~Dem-school director district 4 (vote for 1)</t>
  </si>
  <si>
    <t>PA_Alleg_2019p~Dem-school director district 6 (vote for 1)</t>
  </si>
  <si>
    <t>PA_Alleg_2019p~Dem-school director east allegheny region 1 (vote for 1)</t>
  </si>
  <si>
    <t>PA_Alleg_2019p~Dem-school director elizabeth forward (vote for 5)</t>
  </si>
  <si>
    <t>PA_Alleg_2019p~Dem-school director fox chapel region 1 (vote for 2)</t>
  </si>
  <si>
    <t>PA_Alleg_2019p~Dem-school director fox chapel region 2 (vote for 2)</t>
  </si>
  <si>
    <t>PA_Alleg_2019p~Dem-school director fox chapel region 3 (vote for 1)</t>
  </si>
  <si>
    <t>PA_Alleg_2019p~Dem-school director gateway (vote for 5)</t>
  </si>
  <si>
    <t>PA_Alleg_2019p~Dem-school director hampton (vote for 5)</t>
  </si>
  <si>
    <t>PA_Alleg_2019p~Dem-school director highlands region 3 (vote for 2)</t>
  </si>
  <si>
    <t>PA_Alleg_2019p~Dem-school director keystone oaks region 1 (vote for 1)</t>
  </si>
  <si>
    <t>PA_Alleg_2019p~Dem-school director mckeesport area (vote for 5)</t>
  </si>
  <si>
    <t>PA_Alleg_2019p~Dem-school director north allegheny (vote for 5)</t>
  </si>
  <si>
    <t>PA_Alleg_2019p~Dem-school director north hills (vote for 5)</t>
  </si>
  <si>
    <t>PA_Alleg_2019p~Dem-school director northgate (vote for 5)</t>
  </si>
  <si>
    <t>PA_Alleg_2019p~Dem-school director pine richland region 3 (vote for 1)</t>
  </si>
  <si>
    <t>PA_Alleg_2019p~Dem-school director plum (vote for 1)</t>
  </si>
  <si>
    <t>PA_Alleg_2019p~Dem-school director plum (vote for 5)</t>
  </si>
  <si>
    <t>PA_Alleg_2019p~Dem-school director quaker valley region 2 (vote for 2)</t>
  </si>
  <si>
    <t>PA_Alleg_2019p~Dem-school director riverview (vote for 5)</t>
  </si>
  <si>
    <t>PA_Alleg_2019p~Dem-school director south allegheny (vote for 5)</t>
  </si>
  <si>
    <t>PA_Alleg_2019p~Dem-school director south fayette (vote for 5)</t>
  </si>
  <si>
    <t>PA_Alleg_2019p~Dem-school director sto-rox region 2 (vote for 1)</t>
  </si>
  <si>
    <t>PA_Alleg_2019p~Dem-school director upper saint clair (vote for 5)</t>
  </si>
  <si>
    <t>PA_Alleg_2019p~Dem-school director west allegheny region 2 (vote for 1)</t>
  </si>
  <si>
    <t>PA_Alleg_2019p~Dem-school director west mifflin area (vote for 5)</t>
  </si>
  <si>
    <t>PA_Alleg_2019p~Dem-school director woodland hills region 2 (vote for 2)</t>
  </si>
  <si>
    <t>PA_Alleg_2019p~Dem-school director woodland hills region 3 (vote for 1)</t>
  </si>
  <si>
    <t>PA_Alleg_2019p~Dem-supervisor fawn (vote for 1)</t>
  </si>
  <si>
    <t>PA_Alleg_2019p~Rep-auditor bellevue (vote for 1)</t>
  </si>
  <si>
    <t>PA_Alleg_2019p~Rep-commissioner at-large crescent (vote for 2)</t>
  </si>
  <si>
    <t>PA_Alleg_2019p~Rep-commissioner leet (vote for 3)</t>
  </si>
  <si>
    <t>PA_Alleg_2019p~Rep-commissioner shaler ward 7 (vote for 1)</t>
  </si>
  <si>
    <t>PA_Alleg_2019p~Rep-judge of the superior court (vote for 2)</t>
  </si>
  <si>
    <t>PA_Alleg_2019p~Rep-magisterial district judge 05-02-25 (vote for 1)</t>
  </si>
  <si>
    <t>PA_Alleg_2019p~Rep-member of council aspinwall (vote for 1)</t>
  </si>
  <si>
    <t>PA_Alleg_2019p~Rep-member of council at-large tarentum (vote for 1)</t>
  </si>
  <si>
    <t>PA_Alleg_2019p~Rep-member of council bethel park ward 4 (vote for 1)</t>
  </si>
  <si>
    <t>PA_Alleg_2019p~Rep-member of council franklin park ward 2 (vote for 1)</t>
  </si>
  <si>
    <t>PA_Alleg_2019p~Rep-member of council hampton (vote for 2)</t>
  </si>
  <si>
    <t>PA_Alleg_2019p~Rep-member of council jefferson hills (vote for 3)</t>
  </si>
  <si>
    <t>PA_Alleg_2019p~Rep-member of council mccandless ward 1 (vote for 1)</t>
  </si>
  <si>
    <t>PA_Alleg_2019p~Rep-member of council mccandless ward 3 (vote for 1)</t>
  </si>
  <si>
    <t>PA_Alleg_2019p~Rep-member of council mccandless ward 5 (vote for 1)</t>
  </si>
  <si>
    <t>PA_Alleg_2019p~Rep-member of council tarentum ward 3 (vote for 1)</t>
  </si>
  <si>
    <t>PA_Alleg_2019p~Rep-school director allegheny valley (vote for 5)</t>
  </si>
  <si>
    <t>PA_Alleg_2019p~Rep-school director baldwin whitehall (vote for 5)</t>
  </si>
  <si>
    <t>PA_Alleg_2019p~Rep-school director bethel park (vote for 5)</t>
  </si>
  <si>
    <t>PA_Alleg_2019p~Rep-school director district 4 (vote for 1)</t>
  </si>
  <si>
    <t>PA_Alleg_2019p~Rep-school director elizabeth forward (vote for 5)</t>
  </si>
  <si>
    <t>PA_Alleg_2019p~Rep-school director fox chapel region 1 (vote for 2)</t>
  </si>
  <si>
    <t>PA_Alleg_2019p~Rep-school director fox chapel region 2 (vote for 2)</t>
  </si>
  <si>
    <t>PA_Alleg_2019p~Rep-school director fox chapel region 3 (vote for 1)</t>
  </si>
  <si>
    <t>PA_Alleg_2019p~Rep-school director gateway (vote for 5)</t>
  </si>
  <si>
    <t>PA_Alleg_2019p~Rep-school director hampton (vote for 5)</t>
  </si>
  <si>
    <t>PA_Alleg_2019p~Rep-school director highlands region 3 (vote for 2)</t>
  </si>
  <si>
    <t>PA_Alleg_2019p~Rep-school director keystone oaks region 1 (vote for 1)</t>
  </si>
  <si>
    <t>PA_Alleg_2019p~Rep-school director north allegheny (vote for 5)</t>
  </si>
  <si>
    <t>PA_Alleg_2019p~Rep-school director north hills (vote for 5)</t>
  </si>
  <si>
    <t>PA_Alleg_2019p~Rep-school director northgate (vote for 5)</t>
  </si>
  <si>
    <t>PA_Alleg_2019p~Rep-school director pine richland region 3 (vote for 1)</t>
  </si>
  <si>
    <t>PA_Alleg_2019p~Rep-school director plum (vote for 5)</t>
  </si>
  <si>
    <t>PA_Alleg_2019p~Rep-school director quaker valley region 2 (vote for 2)</t>
  </si>
  <si>
    <t>PA_Alleg_2019p~Rep-school director riverview (vote for 5)</t>
  </si>
  <si>
    <t>PA_Alleg_2019p~Rep-school director south allegheny (vote for 5)</t>
  </si>
  <si>
    <t>PA_Alleg_2019p~Rep-school director south fayette (vote for 5)</t>
  </si>
  <si>
    <t>PA_Alleg_2019p~Rep-school director upper saint clair (vote for 5)</t>
  </si>
  <si>
    <t>PA_Alleg_2019p~Rep-school director west allegheny region 2 (vote for 1)</t>
  </si>
  <si>
    <t>PA_Alleg_2019p~Rep-supervisor pine (vote for 3)</t>
  </si>
  <si>
    <t>PA_Alleg_2020g~Gen-attorney general (vote for 1)</t>
  </si>
  <si>
    <t>PA_Alleg_2020g~Gen-auditor general (vote for 1)</t>
  </si>
  <si>
    <t>PA_Alleg_2020g~Gen-pittsburgh hrc amendment (vote for 1)</t>
  </si>
  <si>
    <t>PA_Alleg_2020g~Gen-presidential electors (vote for 1)</t>
  </si>
  <si>
    <t>PA_Alleg_2020g~Gen-representative in congress 17th district (vote for 1)</t>
  </si>
  <si>
    <t>PA_Alleg_2020g~Gen-representative in congress 18th district (vote for 1)</t>
  </si>
  <si>
    <t>PA_Alleg_2020g~Gen-representative in the general assembly 16th district (vote for 1)</t>
  </si>
  <si>
    <t>PA_Alleg_2020g~Gen-representative in the general assembly 21st district (vote for 1)</t>
  </si>
  <si>
    <t>PA_Alleg_2020g~Gen-representative in the general assembly 23rd district (vote for 1)</t>
  </si>
  <si>
    <t>PA_Alleg_2020g~Gen-representative in the general assembly 25th district (vote for 1)</t>
  </si>
  <si>
    <t>PA_Alleg_2020g~Gen-representative in the general assembly 28th district (vote for 1)</t>
  </si>
  <si>
    <t>PA_Alleg_2020g~Gen-representative in the general assembly 30th district (vote for 1)</t>
  </si>
  <si>
    <t>PA_Alleg_2020g~Gen-representative in the general assembly 33rd district (vote for 1)</t>
  </si>
  <si>
    <t>PA_Alleg_2020g~Gen-representative in the general assembly 36th district (vote for 1)</t>
  </si>
  <si>
    <t>PA_Alleg_2020g~Gen-representative in the general assembly 38th district (vote for 1)</t>
  </si>
  <si>
    <t>PA_Alleg_2020g~Gen-representative in the general assembly 39th district (vote for 1)</t>
  </si>
  <si>
    <t>PA_Alleg_2020g~Gen-representative in the general assembly 40th district (vote for 1)</t>
  </si>
  <si>
    <t>PA_Alleg_2020g~Gen-representative in the general assembly 42nd district (vote for 1)</t>
  </si>
  <si>
    <t>PA_Alleg_2020g~Gen-representative in the general assembly 44th district (vote for 1)</t>
  </si>
  <si>
    <t>PA_Alleg_2020g~Gen-representative in the general assembly 45th district (vote for 1)</t>
  </si>
  <si>
    <t>PA_Alleg_2020g~Gen-representative in the general assembly 46th district (vote for 1)</t>
  </si>
  <si>
    <t>PA_Alleg_2020g~Gen-senator in the general assembly 37th district (vote for 1)</t>
  </si>
  <si>
    <t>PA_Alleg_2020g~Gen-senator in the general assembly 45th district (vote for 1)</t>
  </si>
  <si>
    <t>PA_Alleg_2020g~Gen-state treasurer (vote for 1)</t>
  </si>
  <si>
    <t>Biden votes</t>
  </si>
  <si>
    <t>Biden pct</t>
  </si>
  <si>
    <t>Trump votes</t>
  </si>
  <si>
    <t>Trump pct</t>
  </si>
  <si>
    <t>Adams County</t>
  </si>
  <si>
    <t>Allegheny County</t>
  </si>
  <si>
    <t>Armstrong County</t>
  </si>
  <si>
    <t>Beaver County</t>
  </si>
  <si>
    <t>Bedford County</t>
  </si>
  <si>
    <t>Berks County</t>
  </si>
  <si>
    <t>Blair County</t>
  </si>
  <si>
    <t>Bradford County</t>
  </si>
  <si>
    <t>Bucks County</t>
  </si>
  <si>
    <t>Butler County</t>
  </si>
  <si>
    <t>Cambria County</t>
  </si>
  <si>
    <t>Cameron County</t>
  </si>
  <si>
    <t>Carbon County</t>
  </si>
  <si>
    <t>Centre County</t>
  </si>
  <si>
    <t>Chester County</t>
  </si>
  <si>
    <t>Clarion County</t>
  </si>
  <si>
    <t>Clearfield County</t>
  </si>
  <si>
    <t>Clinton County</t>
  </si>
  <si>
    <t>Columbia County</t>
  </si>
  <si>
    <t>Crawford County</t>
  </si>
  <si>
    <t>Cumberland County</t>
  </si>
  <si>
    <t>Dauphin County</t>
  </si>
  <si>
    <t>Delaware County</t>
  </si>
  <si>
    <t>Elk County</t>
  </si>
  <si>
    <t>Erie County</t>
  </si>
  <si>
    <t>Fayette County</t>
  </si>
  <si>
    <t>Forest County</t>
  </si>
  <si>
    <t>Franklin County</t>
  </si>
  <si>
    <t>Fulton County</t>
  </si>
  <si>
    <t>Greene County</t>
  </si>
  <si>
    <t>Huntingdon County</t>
  </si>
  <si>
    <t>Indiana County</t>
  </si>
  <si>
    <t>Jefferson County</t>
  </si>
  <si>
    <t>Juniata County</t>
  </si>
  <si>
    <t>Lackawanna County</t>
  </si>
  <si>
    <t>Lancaster County</t>
  </si>
  <si>
    <t>Lawrence County</t>
  </si>
  <si>
    <t>Lebanon County</t>
  </si>
  <si>
    <t>Lehigh County</t>
  </si>
  <si>
    <t>Luzerne County</t>
  </si>
  <si>
    <t>Lycoming County</t>
  </si>
  <si>
    <t>McKean County</t>
  </si>
  <si>
    <t>Mercer County</t>
  </si>
  <si>
    <t>Mifflin County</t>
  </si>
  <si>
    <t>Monroe County</t>
  </si>
  <si>
    <t>Montgomery County</t>
  </si>
  <si>
    <t>Montour County</t>
  </si>
  <si>
    <t>Northampton County</t>
  </si>
  <si>
    <t>Northumberland County</t>
  </si>
  <si>
    <t>Perry County</t>
  </si>
  <si>
    <t>Philadelphia County</t>
  </si>
  <si>
    <t>Pike County</t>
  </si>
  <si>
    <t>Potter County</t>
  </si>
  <si>
    <t>Schuylkill County</t>
  </si>
  <si>
    <t>Snyder County</t>
  </si>
  <si>
    <t>Somerset County</t>
  </si>
  <si>
    <t>Sullivan County</t>
  </si>
  <si>
    <t>Susquehanna County</t>
  </si>
  <si>
    <t>Tioga County</t>
  </si>
  <si>
    <t>Union County</t>
  </si>
  <si>
    <t>Venango County</t>
  </si>
  <si>
    <t>Warren County</t>
  </si>
  <si>
    <t>Washington County</t>
  </si>
  <si>
    <t>Wayne County</t>
  </si>
  <si>
    <t>Westmoreland County</t>
  </si>
  <si>
    <t>Wyoming County</t>
  </si>
  <si>
    <t>York County</t>
  </si>
  <si>
    <t>https://www.politico.com/2020-election/results/pennsylvania/</t>
  </si>
  <si>
    <t>votes per municipality</t>
  </si>
  <si>
    <t>UNITED STATES SENATOR</t>
  </si>
  <si>
    <t>PA_Merce_2018g~Gen-government study commission referendum,(vote for not more than  1)</t>
  </si>
  <si>
    <t>YES  .  .  .  .  .  .  .  .  .  .  .  .</t>
  </si>
  <si>
    <t>NO.  .  .  .  .  .  .  .  .  .  .  .  .</t>
  </si>
  <si>
    <t>PA_Merce_2018g~Gen-government study commissioner,(vote for not more than  7)</t>
  </si>
  <si>
    <t>RONALD VIGLIO .  .  .  .  .  .  .  .  .</t>
  </si>
  <si>
    <t>MICHAEL A. NIDDEL.  .  .  .  .  .  .  .</t>
  </si>
  <si>
    <t>DANIEL C. MORSILLO  .  .  .  .  .  .  .</t>
  </si>
  <si>
    <t>GEORGE R. ASHBY  .  .  .  .  .  .  .  .</t>
  </si>
  <si>
    <t>WRITE-IN.  .  .  .  .  .  .  .  .  .  .</t>
  </si>
  <si>
    <t>PA_Merce_2018g~Gen-governor and lieutenant governor,(vote for not more than  1)</t>
  </si>
  <si>
    <t>WAGNER / BARTOS (REP)  .  .  .  .  .  .</t>
  </si>
  <si>
    <t>WOLF / FETTERMAN (DEM) .  .  .  .  .  .</t>
  </si>
  <si>
    <t>KRAWCHUK / SMITH (LIB) .  .  .  .  .  .</t>
  </si>
  <si>
    <t>GLOVER / BOWSER-BOSTICK (GRN).  .  .  .</t>
  </si>
  <si>
    <t>PA_Merce_2018g~Gen-state rep, 17th district,(vote for not more than  1)</t>
  </si>
  <si>
    <t>PARKE WENTLING (REP).  .  .  .  .  .  .</t>
  </si>
  <si>
    <t>PA_Merce_2018g~Gen-state rep, 7th district,(vote for not more than  1)</t>
  </si>
  <si>
    <t>MARK LONGIETTI (DEM/REP)  .  .  .  .  .</t>
  </si>
  <si>
    <t>PA_Merce_2018g~Gen-state rep, 8th district,(vote for not more than  1)</t>
  </si>
  <si>
    <t>TEDD NESBIT (REP).  .  .  .  .  .  .  .</t>
  </si>
  <si>
    <t>LISA BOEVING-LEARNED (DEM).  .  .  .  .</t>
  </si>
  <si>
    <t>PA_Merce_2018g~Gen-state sen, 50th district,(vote for not more than  1)</t>
  </si>
  <si>
    <t>MICHELE BROOKS (REP).  .  .  .  .  .  .</t>
  </si>
  <si>
    <t>SUE MULVEY (DEM) .  .  .  .  .  .  .  .</t>
  </si>
  <si>
    <t>PA_Merce_2018g~Gen-u.s. rep, 16th district,(vote for not more than  1)</t>
  </si>
  <si>
    <t>MIKE KELLY (REP) .  .  .  .  .  .  .  .</t>
  </si>
  <si>
    <t>RON DINICOLA (DEM)  .  .  .  .  .  .  .</t>
  </si>
  <si>
    <t>EBERT G. BILL BEEMAN (LIB).  .  .  .  .</t>
  </si>
  <si>
    <t>PA_Merce_2018g~Gen-united states senator,(vote for not more than  1)</t>
  </si>
  <si>
    <t>LOU BARLETTA (REP)  .  .  .  .  .  .  .</t>
  </si>
  <si>
    <t>BOB CASEY JR. (DEM) .  .  .  .  .  .  .</t>
  </si>
  <si>
    <t>DALE R. KERNS JR. (LIB).  .  .  .  .  .</t>
  </si>
  <si>
    <t>NEAL GALE (GRN)  .  .  .  .  .  .  .  .</t>
  </si>
  <si>
    <t>PA_Merce_2018p~Dem-governor,(vote for not more than  1)</t>
  </si>
  <si>
    <t>TOM WOLF.  .  .  .  .  .  .  .  .  .  .</t>
  </si>
  <si>
    <t>PA_Merce_2018p~Dem-lieutenant governor,(vote for not more than  1)</t>
  </si>
  <si>
    <t>JOHN FETTERMAN.  .  .  .  .  .  .  .  .</t>
  </si>
  <si>
    <t>KATHI COZZONE .  .  .  .  .  .  .  .  .</t>
  </si>
  <si>
    <t>NINA AHMAD .  .  .  .  .  .  .  .  .  .</t>
  </si>
  <si>
    <t>MIKE STACK .  .  .  .  .  .  .  .  .  .</t>
  </si>
  <si>
    <t>RAY SOSA.  .  .  .  .  .  .  .  .  .  .</t>
  </si>
  <si>
    <t>PA_Merce_2018p~Dem-precinct committeeman clark,(vote for not more than  1)</t>
  </si>
  <si>
    <t>TODD CLARY .  .  .  .  .  .  .  .  .  .</t>
  </si>
  <si>
    <t>PA_Merce_2018p~Dem-precinct committeeman coolspring,(vote for not more than  1)</t>
  </si>
  <si>
    <t>PA_Merce_2018p~Dem-precinct committeeman deer creek,(vote for not more than  1)</t>
  </si>
  <si>
    <t>PA_Merce_2018p~Dem-precinct committeeman delaware,(vote for not more than  1)</t>
  </si>
  <si>
    <t>PA_Merce_2018p~Dem-precinct committeeman east lackawannock,(vote for not more than  1)</t>
  </si>
  <si>
    <t>PA_Merce_2018p~Dem-precinct committeeman fairview,(vote for not more than  1)</t>
  </si>
  <si>
    <t>SCOTT SHOUP.  .  .  .  .  .  .  .  .  .</t>
  </si>
  <si>
    <t>GARY HLUSKO.  .  .  .  .  .  .  .  .  .</t>
  </si>
  <si>
    <t>PA_Merce_2018p~Dem-precinct committeeman farrell 1-1,(vote for not more than  1)</t>
  </si>
  <si>
    <t>PA_Merce_2018p~Dem-precinct committeeman farrell 1-2,(vote for not more than  1)</t>
  </si>
  <si>
    <t>PA_Merce_2018p~Dem-precinct committeeman farrell 1-3,(vote for not more than  1)</t>
  </si>
  <si>
    <t>ANDREW HARKULICH .  .  .  .  .  .  .  .</t>
  </si>
  <si>
    <t>PA_Merce_2018p~Dem-precinct committeeman farrell 2-1,(vote for not more than  1)</t>
  </si>
  <si>
    <t>CLIFFORD GREGORY .  .  .  .  .  .  .  .</t>
  </si>
  <si>
    <t>PA_Merce_2018p~Dem-precinct committeeman farrell 2-2,(vote for not more than  1)</t>
  </si>
  <si>
    <t>PA_Merce_2018p~Dem-precinct committeeman farrell 2-3,(vote for not more than  1)</t>
  </si>
  <si>
    <t>PA_Merce_2018p~Dem-precinct committeeman farrell 2-4,(vote for not more than  1)</t>
  </si>
  <si>
    <t>LOUIS A. FALCONI .  .  .  .  .  .  .  .</t>
  </si>
  <si>
    <t>PA_Merce_2018p~Dem-precinct committeeman findley,(vote for not more than  1)</t>
  </si>
  <si>
    <t>PA_Merce_2018p~Dem-precinct committeeman fredonia,(vote for not more than  1)</t>
  </si>
  <si>
    <t>PA_Merce_2018p~Dem-precinct committeeman french creek,(vote for not more than  1)</t>
  </si>
  <si>
    <t>PA_Merce_2018p~Dem-precinct committeeman greene,(vote for not more than  1)</t>
  </si>
  <si>
    <t>PA_Merce_2018p~Dem-precinct committeeman greenville 1,(vote for not more than  1)</t>
  </si>
  <si>
    <t>PA_Merce_2018p~Dem-precinct committeeman greenville 2,(vote for not more than  1)</t>
  </si>
  <si>
    <t>PA_Merce_2018p~Dem-precinct committeeman greenville 3,(vote for not more than  1)</t>
  </si>
  <si>
    <t>PA_Merce_2018p~Dem-precinct committeeman greenville 4,(vote for not more than  1)</t>
  </si>
  <si>
    <t>PA_Merce_2018p~Dem-precinct committeeman grove city 1,(vote for not more than  1)</t>
  </si>
  <si>
    <t>PA_Merce_2018p~Dem-precinct committeeman grove city 2,(vote for not more than  1)</t>
  </si>
  <si>
    <t>PA_Merce_2018p~Dem-precinct committeeman grove city 3,(vote for not more than  1)</t>
  </si>
  <si>
    <t>JEFFREY LAURENCE .  .  .  .  .  .  .  .</t>
  </si>
  <si>
    <t>PA_Merce_2018p~Dem-precinct committeeman grove city 4,(vote for not more than  1)</t>
  </si>
  <si>
    <t>PA_Merce_2018p~Dem-precinct committeeman grove city 5,(vote for not more than  1)</t>
  </si>
  <si>
    <t>DAVID MURDOCK .  .  .  .  .  .  .  .  .</t>
  </si>
  <si>
    <t>PA_Merce_2018p~Dem-precinct committeeman hempfield 1,(vote for not more than  1)</t>
  </si>
  <si>
    <t>KENNETH R. AMMANN.  .  .  .  .  .  .  .</t>
  </si>
  <si>
    <t>PA_Merce_2018p~Dem-precinct committeeman hempfield 2,(vote for not more than  1)</t>
  </si>
  <si>
    <t>PA_Merce_2018p~Dem-precinct committeeman hempfield 3,(vote for not more than  1)</t>
  </si>
  <si>
    <t>PA_Merce_2018p~Dem-precinct committeeman hermitage ne-1,(vote for not more than  1)</t>
  </si>
  <si>
    <t>MICHAEL N. MATUSICK .  .  .  .  .  .  .</t>
  </si>
  <si>
    <t>PA_Merce_2018p~Dem-precinct committeeman hermitage ne-2,(vote for not more than  1)</t>
  </si>
  <si>
    <t>PA_Merce_2018p~Dem-precinct committeeman hermitage nw-1,(vote for not more than  1)</t>
  </si>
  <si>
    <t>PA_Merce_2018p~Dem-precinct committeeman hermitage nw-2,(vote for not more than  1)</t>
  </si>
  <si>
    <t>DUANE J. PICCIRILLI .  .  .  .  .  .  .</t>
  </si>
  <si>
    <t>PA_Merce_2018p~Dem-precinct committeeman hermitage nw-3,(vote for not more than  1)</t>
  </si>
  <si>
    <t>AARON M. WYGANT  .  .  .  .  .  .  .  .</t>
  </si>
  <si>
    <t>PA_Merce_2018p~Dem-precinct committeeman hermitage nw-4,(vote for not more than  1)</t>
  </si>
  <si>
    <t>DOMINIC J. VADALA.  .  .  .  .  .  .  .</t>
  </si>
  <si>
    <t>BENJAMIN D. HOUSTON .  .  .  .  .  .  .</t>
  </si>
  <si>
    <t>PA_Merce_2018p~Dem-precinct committeeman hermitage se-1,(vote for not more than  1)</t>
  </si>
  <si>
    <t>RONALD MONACO .  .  .  .  .  .  .  .  .</t>
  </si>
  <si>
    <t>PA_Merce_2018p~Dem-precinct committeeman hermitage se-2,(vote for not more than  1)</t>
  </si>
  <si>
    <t>CHARLES W. BALDOFF  .  .  .  .  .  .  .</t>
  </si>
  <si>
    <t>PA_Merce_2018p~Dem-precinct committeeman hermitage se-3,(vote for not more than  1)</t>
  </si>
  <si>
    <t>WILLIAM C. BIBLIS.  .  .  .  .  .  .  .</t>
  </si>
  <si>
    <t>PA_Merce_2018p~Dem-precinct committeeman hermitage se-4,(vote for not more than  1)</t>
  </si>
  <si>
    <t>PA_Merce_2018p~Dem-precinct committeeman hermitage sw-1,(vote for not more than  1)</t>
  </si>
  <si>
    <t>TOM AMUNDSEN  .  .  .  .  .  .  .  .  .</t>
  </si>
  <si>
    <t>PA_Merce_2018p~Dem-precinct committeeman hermitage sw-2,(vote for not more than  1)</t>
  </si>
  <si>
    <t>PA_Merce_2018p~Dem-precinct committeeman hermitage sw-3,(vote for not more than  1)</t>
  </si>
  <si>
    <t>PA_Merce_2018p~Dem-precinct committeeman jackson center,(vote for not more than  1)</t>
  </si>
  <si>
    <t>ROLAND P. ZAHNISER  .  .  .  .  .  .  .</t>
  </si>
  <si>
    <t>PA_Merce_2018p~Dem-precinct committeeman jackson township,(vote for not more than  1)</t>
  </si>
  <si>
    <t>RICHARD J. FARRELL  .  .  .  .  .  .  .</t>
  </si>
  <si>
    <t>PA_Merce_2018p~Dem-precinct committeeman jamestown,(vote for not more than  1)</t>
  </si>
  <si>
    <t>PA_Merce_2018p~Dem-precinct committeeman jefferson east,(vote for not more than  1)</t>
  </si>
  <si>
    <t>PA_Merce_2018p~Dem-precinct committeeman jefferson west,(vote for not more than  1)</t>
  </si>
  <si>
    <t>PA_Merce_2018p~Dem-precinct committeeman lackawannock,(vote for not more than  1)</t>
  </si>
  <si>
    <t>PA_Merce_2018p~Dem-precinct committeeman lake,(vote for not more than  1)</t>
  </si>
  <si>
    <t>PA_Merce_2018p~Dem-precinct committeeman liberty,(vote for not more than  1)</t>
  </si>
  <si>
    <t>PA_Merce_2018p~Dem-precinct committeeman mercer north,(vote for not more than  1)</t>
  </si>
  <si>
    <t>THOMAS D. HENLEN .  .  .  .  .  .  .  .</t>
  </si>
  <si>
    <t>PA_Merce_2018p~Dem-precinct committeeman mercer south,(vote for not more than  1)</t>
  </si>
  <si>
    <t>HARRY PARKINSON  .  .  .  .  .  .  .  .</t>
  </si>
  <si>
    <t>PA_Merce_2018p~Dem-precinct committeeman mill creek,(vote for not more than  1)</t>
  </si>
  <si>
    <t>PA_Merce_2018p~Dem-precinct committeeman new lebanon,(vote for not more than  1)</t>
  </si>
  <si>
    <t>PA_Merce_2018p~Dem-precinct committeeman new vernon,(vote for not more than  1)</t>
  </si>
  <si>
    <t>FRANCIS BIRES .  .  .  .  .  .  .  .  .</t>
  </si>
  <si>
    <t>PA_Merce_2018p~Dem-precinct committeeman otter creek,(vote for not more than  1)</t>
  </si>
  <si>
    <t>PA_Merce_2018p~Dem-precinct committeeman perry,(vote for not more than  1)</t>
  </si>
  <si>
    <t>PA_Merce_2018p~Dem-precinct committeeman pine 1,(vote for not more than  1)</t>
  </si>
  <si>
    <t>PA_Merce_2018p~Dem-precinct committeeman pine 2,(vote for not more than  1)</t>
  </si>
  <si>
    <t>PA_Merce_2018p~Dem-precinct committeeman pymatuning 1,(vote for not more than  1)</t>
  </si>
  <si>
    <t>PA_Merce_2018p~Dem-precinct committeeman pymatuning 2,(vote for not more than  1)</t>
  </si>
  <si>
    <t>PA_Merce_2018p~Dem-precinct committeeman salem,(vote for not more than  1)</t>
  </si>
  <si>
    <t>PA_Merce_2018p~Dem-precinct committeeman sandy creek,(vote for not more than  1)</t>
  </si>
  <si>
    <t>PA_Merce_2018p~Dem-precinct committeeman sandy lake borough,(vote for not more than  1)</t>
  </si>
  <si>
    <t>PA_Merce_2018p~Dem-precinct committeeman sandy lake townshi,(vote for not more than  1)</t>
  </si>
  <si>
    <t>PA_Merce_2018p~Dem-precinct committeeman sharon 1-1,(vote for not more than  1)</t>
  </si>
  <si>
    <t>PA_Merce_2018p~Dem-precinct committeeman sharon 2-1,(vote for not more than  1)</t>
  </si>
  <si>
    <t>STEPHEN THEISS.  .  .  .  .  .  .  .  .</t>
  </si>
  <si>
    <t>PA_Merce_2018p~Dem-precinct committeeman sharon 2-2,(vote for not more than  1)</t>
  </si>
  <si>
    <t>PA_Merce_2018p~Dem-precinct committeeman sharon 2-3,(vote for not more than  1)</t>
  </si>
  <si>
    <t>PA_Merce_2018p~Dem-precinct committeeman sharon 2-4,(vote for not more than  1)</t>
  </si>
  <si>
    <t>MATTHEW NOWINSKI .  .  .  .  .  .  .  .</t>
  </si>
  <si>
    <t>PA_Merce_2018p~Dem-precinct committeeman sharon 2-5,(vote for not more than  1)</t>
  </si>
  <si>
    <t>PA_Merce_2018p~Dem-precinct committeeman sharon 3-1,(vote for not more than  1)</t>
  </si>
  <si>
    <t>PA_Merce_2018p~Dem-precinct committeeman sharon 3-2,(vote for not more than  1)</t>
  </si>
  <si>
    <t>PA_Merce_2018p~Dem-precinct committeeman sharon 4-1,(vote for not more than  1)</t>
  </si>
  <si>
    <t>PA_Merce_2018p~Dem-precinct committeeman sharon 4-2,(vote for not more than  1)</t>
  </si>
  <si>
    <t>BOBBY RAY ROBERSON SR. .  .  .  .  .  .</t>
  </si>
  <si>
    <t>PA_Merce_2018p~Dem-precinct committeeman sharon 4-3,(vote for not more than  1)</t>
  </si>
  <si>
    <t>PA_Merce_2018p~Dem-precinct committeeman sharon 4-4,(vote for not more than  1)</t>
  </si>
  <si>
    <t>PA_Merce_2018p~Dem-precinct committeeman sharon 4-5,(vote for not more than  1)</t>
  </si>
  <si>
    <t>DAVID MCLAREN .  .  .  .  .  .  .  .  .</t>
  </si>
  <si>
    <t>PA_Merce_2018p~Dem-precinct committeeman sharon 4-6,(vote for not more than  1)</t>
  </si>
  <si>
    <t>PA_Merce_2018p~Dem-precinct committeeman sharpsville 1,(vote for not more than  1)</t>
  </si>
  <si>
    <t>PA_Merce_2018p~Dem-precinct committeeman sharpsville 2,(vote for not more than  1)</t>
  </si>
  <si>
    <t>PA_Merce_2018p~Dem-precinct committeeman sharpsville 3,(vote for not more than  1)</t>
  </si>
  <si>
    <t>PA_Merce_2018p~Dem-precinct committeeman sharpsville 4,(vote for not more than  1)</t>
  </si>
  <si>
    <t>PA_Merce_2018p~Dem-precinct committeeman sheakleyville,(vote for not more than  1)</t>
  </si>
  <si>
    <t>PA_Merce_2018p~Dem-precinct committeeman shenango east,(vote for not more than  1)</t>
  </si>
  <si>
    <t>PA_Merce_2018p~Dem-precinct committeeman shenango west,(vote for not more than  1)</t>
  </si>
  <si>
    <t>PA_Merce_2018p~Dem-precinct committeeman south pymatuning 1,(vote for not more than  1)</t>
  </si>
  <si>
    <t>PA_Merce_2018p~Dem-precinct committeeman south pymatuning 2,(vote for not more than  1)</t>
  </si>
  <si>
    <t>ROBERT J. RICE.  .  .  .  .  .  .  .  .</t>
  </si>
  <si>
    <t>PA_Merce_2018p~Dem-precinct committeeman south pymatuning 3,(vote for not more than  1)</t>
  </si>
  <si>
    <t>J. REGIS SALAGA  .  .  .  .  .  .  .  .</t>
  </si>
  <si>
    <t>PA_Merce_2018p~Dem-precinct committeeman springfield east,(vote for not more than  1)</t>
  </si>
  <si>
    <t>PA_Merce_2018p~Dem-precinct committeeman springfield west,(vote for not more than  1)</t>
  </si>
  <si>
    <t>LARRY HINES.  .  .  .  .  .  .  .  .  .</t>
  </si>
  <si>
    <t>PA_Merce_2018p~Dem-precinct committeeman stoneboro,(vote for not more than  1)</t>
  </si>
  <si>
    <t>WILLIAM R. EVERALL  .  .  .  .  .  .  .</t>
  </si>
  <si>
    <t>PA_Merce_2018p~Dem-precinct committeeman sugar grove,(vote for not more than  1)</t>
  </si>
  <si>
    <t>DOUGLAS W. RILEY .  .  .  .  .  .  .  .</t>
  </si>
  <si>
    <t>PA_Merce_2018p~Dem-precinct committeeman west middlesex,(vote for not more than  1)</t>
  </si>
  <si>
    <t>ROBERT F. LARK.  .  .  .  .  .  .  .  .</t>
  </si>
  <si>
    <t>PA_Merce_2018p~Dem-precinct committeeman west salem east,(vote for not more than  1)</t>
  </si>
  <si>
    <t>PA_Merce_2018p~Dem-precinct committeeman west salem west,(vote for not more than  1)</t>
  </si>
  <si>
    <t>PA_Merce_2018p~Dem-precinct committeeman wheatland,(vote for not more than  1)</t>
  </si>
  <si>
    <t>PA_Merce_2018p~Dem-precinct committeeman wilmington,(vote for not more than  1)</t>
  </si>
  <si>
    <t>PA_Merce_2018p~Dem-precinct committeeman wolf creek,(vote for not more than  1)</t>
  </si>
  <si>
    <t>PA_Merce_2018p~Dem-precinct committeeman worth,(vote for not more than  1)</t>
  </si>
  <si>
    <t>PA_Merce_2018p~Dem-precinct committeewoman clark,(vote for not more than  1)</t>
  </si>
  <si>
    <t>PA_Merce_2018p~Dem-precinct committeewoman coolspring,(vote for not more than  1)</t>
  </si>
  <si>
    <t>BOBBI PHILSON .  .  .  .  .  .  .  .  .</t>
  </si>
  <si>
    <t>PA_Merce_2018p~Dem-precinct committeewoman deer creek,(vote for not more than  1)</t>
  </si>
  <si>
    <t>PA_Merce_2018p~Dem-precinct committeewoman delaware,(vote for not more than  1)</t>
  </si>
  <si>
    <t>PA_Merce_2018p~Dem-precinct committeewoman east lackawannoc,(vote for not more than  1)</t>
  </si>
  <si>
    <t>PA_Merce_2018p~Dem-precinct committeewoman fairview,(vote for not more than  1)</t>
  </si>
  <si>
    <t>SHARON HLUSKO .  .  .  .  .  .  .  .  .</t>
  </si>
  <si>
    <t>MONICA SHOUP  .  .  .  .  .  .  .  .  .</t>
  </si>
  <si>
    <t>PA_Merce_2018p~Dem-precinct committeewoman farrell 1-1,(vote for not more than  1)</t>
  </si>
  <si>
    <t>PA_Merce_2018p~Dem-precinct committeewoman farrell 1-2,(vote for not more than  1)</t>
  </si>
  <si>
    <t>PA_Merce_2018p~Dem-precinct committeewoman farrell 1-3,(vote for not more than  1)</t>
  </si>
  <si>
    <t>OLIVE M. MCKEITHAN  .  .  .  .  .  .  .</t>
  </si>
  <si>
    <t>PA_Merce_2018p~Dem-precinct committeewoman farrell 2-1,(vote for not more than  1)</t>
  </si>
  <si>
    <t>EVA COLLINS.  .  .  .  .  .  .  .  .  .</t>
  </si>
  <si>
    <t>PA_Merce_2018p~Dem-precinct committeewoman farrell 2-2,(vote for not more than  1)</t>
  </si>
  <si>
    <t>PA_Merce_2018p~Dem-precinct committeewoman farrell 2-3,(vote for not more than  1)</t>
  </si>
  <si>
    <t>YVONNE L. MALLOY-KOUFOU.  .  .  .  .  .</t>
  </si>
  <si>
    <t>PA_Merce_2018p~Dem-precinct committeewoman farrell 2-4,(vote for not more than  1)</t>
  </si>
  <si>
    <t>PATRICIA FALCONI .  .  .  .  .  .  .  .</t>
  </si>
  <si>
    <t>PA_Merce_2018p~Dem-precinct committeewoman findley,(vote for not more than  1)</t>
  </si>
  <si>
    <t>DEBRA R. SHAULIS .  .  .  .  .  .  .  .</t>
  </si>
  <si>
    <t>PA_Merce_2018p~Dem-precinct committeewoman fredonia,(vote for not more than  1)</t>
  </si>
  <si>
    <t>PA_Merce_2018p~Dem-precinct committeewoman french creek,(vote for not more than  1)</t>
  </si>
  <si>
    <t>PA_Merce_2018p~Dem-precinct committeewoman greene,(vote for not more than  1)</t>
  </si>
  <si>
    <t>SANDRA LAURIE .  .  .  .  .  .  .  .  .</t>
  </si>
  <si>
    <t>PA_Merce_2018p~Dem-precinct committeewoman greenville 1,(vote for not more than  1)</t>
  </si>
  <si>
    <t>PA_Merce_2018p~Dem-precinct committeewoman greenville 2,(vote for not more than  1)</t>
  </si>
  <si>
    <t>PA_Merce_2018p~Dem-precinct committeewoman greenville 3,(vote for not more than  1)</t>
  </si>
  <si>
    <t>PA_Merce_2018p~Dem-precinct committeewoman greenville 4,(vote for not more than  1)</t>
  </si>
  <si>
    <t>LUCINDA GLASS .  .  .  .  .  .  .  .  .</t>
  </si>
  <si>
    <t>PA_Merce_2018p~Dem-precinct committeewoman grove city 1,(vote for not more than  1)</t>
  </si>
  <si>
    <t>PA_Merce_2018p~Dem-precinct committeewoman grove city 2,(vote for not more than  1)</t>
  </si>
  <si>
    <t>PA_Merce_2018p~Dem-precinct committeewoman grove city 3,(vote for not more than  1)</t>
  </si>
  <si>
    <t>PA_Merce_2018p~Dem-precinct committeewoman grove city 4,(vote for not more than  1)</t>
  </si>
  <si>
    <t>PA_Merce_2018p~Dem-precinct committeewoman grove city 5,(vote for not more than  1)</t>
  </si>
  <si>
    <t>PA_Merce_2018p~Dem-precinct committeewoman hempfield 1,(vote for not more than  1)</t>
  </si>
  <si>
    <t>KATHLEEN A. AMMANN  .  .  .  .  .  .  .</t>
  </si>
  <si>
    <t>PA_Merce_2018p~Dem-precinct committeewoman hempfield 2,(vote for not more than  1)</t>
  </si>
  <si>
    <t>PA_Merce_2018p~Dem-precinct committeewoman hempfield 3,(vote for not more than  1)</t>
  </si>
  <si>
    <t>PA_Merce_2018p~Dem-precinct committeewoman hermitage ne-1,(vote for not more than  1)</t>
  </si>
  <si>
    <t>JANE MATUSICK .  .  .  .  .  .  .  .  .</t>
  </si>
  <si>
    <t>PA_Merce_2018p~Dem-precinct committeewoman hermitage ne-2,(vote for not more than  1)</t>
  </si>
  <si>
    <t>PA_Merce_2018p~Dem-precinct committeewoman hermitage nw-1,(vote for not more than  1)</t>
  </si>
  <si>
    <t>PA_Merce_2018p~Dem-precinct committeewoman hermitage nw-2,(vote for not more than  1)</t>
  </si>
  <si>
    <t>PA_Merce_2018p~Dem-precinct committeewoman hermitage nw-3,(vote for not more than  1)</t>
  </si>
  <si>
    <t>KIMBERLY A. POWELL  .  .  .  .  .  .  .</t>
  </si>
  <si>
    <t>RENEE A. ZAMARY  .  .  .  .  .  .  .  .</t>
  </si>
  <si>
    <t>PA_Merce_2018p~Dem-precinct committeewoman hermitage nw-4,(vote for not more than  1)</t>
  </si>
  <si>
    <t>CAROL J. VADALA  .  .  .  .  .  .  .  .</t>
  </si>
  <si>
    <t>PA_Merce_2018p~Dem-precinct committeewoman hermitage se-1,(vote for not more than  1)</t>
  </si>
  <si>
    <t>PA_Merce_2018p~Dem-precinct committeewoman hermitage se-2,(vote for not more than  1)</t>
  </si>
  <si>
    <t>MARY LOU BALDOFF .  .  .  .  .  .  .  .</t>
  </si>
  <si>
    <t>PA_Merce_2018p~Dem-precinct committeewoman hermitage se-3,(vote for not more than  1)</t>
  </si>
  <si>
    <t>LAURIE ANN BIBLIS.  .  .  .  .  .  .  .</t>
  </si>
  <si>
    <t>PA_Merce_2018p~Dem-precinct committeewoman hermitage se-4,(vote for not more than  1)</t>
  </si>
  <si>
    <t>PA_Merce_2018p~Dem-precinct committeewoman hermitage sw-1,(vote for not more than  1)</t>
  </si>
  <si>
    <t>CINDY BOCCUZZI.  .  .  .  .  .  .  .  .</t>
  </si>
  <si>
    <t>PA_Merce_2018p~Dem-precinct committeewoman hermitage sw-2,(vote for not more than  1)</t>
  </si>
  <si>
    <t>DIANE SYPHRIT .  .  .  .  .  .  .  .  .</t>
  </si>
  <si>
    <t>PA_Merce_2018p~Dem-precinct committeewoman hermitage sw-3,(vote for not more than  1)</t>
  </si>
  <si>
    <t>ANTONETTA COMBINE.  .  .  .  .  .  .  .</t>
  </si>
  <si>
    <t>PA_Merce_2018p~Dem-precinct committeewoman jackson center,(vote for not more than  1)</t>
  </si>
  <si>
    <t>DELTA L. ZAHNISER.  .  .  .  .  .  .  .</t>
  </si>
  <si>
    <t>PA_Merce_2018p~Dem-precinct committeewoman jackson township,(vote for not more than  1)</t>
  </si>
  <si>
    <t>MARIA E. FARRELL .  .  .  .  .  .  .  .</t>
  </si>
  <si>
    <t>PA_Merce_2018p~Dem-precinct committeewoman jamestown,(vote for not more than  1)</t>
  </si>
  <si>
    <t>PA_Merce_2018p~Dem-precinct committeewoman jefferson east,(vote for not more than  1)</t>
  </si>
  <si>
    <t>PA_Merce_2018p~Dem-precinct committeewoman jefferson west,(vote for not more than  1)</t>
  </si>
  <si>
    <t>PA_Merce_2018p~Dem-precinct committeewoman lackawannock,(vote for not more than  1)</t>
  </si>
  <si>
    <t>KAREN YANAK.  .  .  .  .  .  .  .  .  .</t>
  </si>
  <si>
    <t>PA_Merce_2018p~Dem-precinct committeewoman lake,(vote for not more than  1)</t>
  </si>
  <si>
    <t>PA_Merce_2018p~Dem-precinct committeewoman liberty,(vote for not more than  1)</t>
  </si>
  <si>
    <t>BEVERLY A. GRAHAM.  .  .  .  .  .  .  .</t>
  </si>
  <si>
    <t>PA_Merce_2018p~Dem-precinct committeewoman mercer north,(vote for not more than  1)</t>
  </si>
  <si>
    <t>CAROLINE L. DACOSTA .  .  .  .  .  .  .</t>
  </si>
  <si>
    <t>PA_Merce_2018p~Dem-precinct committeewoman mercer south,(vote for not more than  1)</t>
  </si>
  <si>
    <t>NANCY GRIFFIN .  .  .  .  .  .  .  .  .</t>
  </si>
  <si>
    <t>PA_Merce_2018p~Dem-precinct committeewoman mill creek,(vote for not more than  1)</t>
  </si>
  <si>
    <t>PA_Merce_2018p~Dem-precinct committeewoman new lebanon,(vote for not more than  1)</t>
  </si>
  <si>
    <t>PA_Merce_2018p~Dem-precinct committeewoman new vernon,(vote for not more than  1)</t>
  </si>
  <si>
    <t>NANCY BIRES.  .  .  .  .  .  .  .  .  .</t>
  </si>
  <si>
    <t>PA_Merce_2018p~Dem-precinct committeewoman otter creek,(vote for not more than  1)</t>
  </si>
  <si>
    <t>PA_Merce_2018p~Dem-precinct committeewoman perry,(vote for not more than  1)</t>
  </si>
  <si>
    <t>PA_Merce_2018p~Dem-precinct committeewoman pine 1,(vote for not more than  1)</t>
  </si>
  <si>
    <t>BETTY JANE MCKNIGHT .  .  .  .  .  .  .</t>
  </si>
  <si>
    <t>PA_Merce_2018p~Dem-precinct committeewoman pine 2,(vote for not more than  1)</t>
  </si>
  <si>
    <t>PA_Merce_2018p~Dem-precinct committeewoman pymatuning 1,(vote for not more than  1)</t>
  </si>
  <si>
    <t>PA_Merce_2018p~Dem-precinct committeewoman pymatuning 2,(vote for not more than  1)</t>
  </si>
  <si>
    <t>PA_Merce_2018p~Dem-precinct committeewoman salem,(vote for not more than  1)</t>
  </si>
  <si>
    <t>PA_Merce_2018p~Dem-precinct committeewoman sandy creek,(vote for not more than  1)</t>
  </si>
  <si>
    <t>PA_Merce_2018p~Dem-precinct committeewoman sandy lake borou,(vote for not more than  1)</t>
  </si>
  <si>
    <t>PA_Merce_2018p~Dem-precinct committeewoman sandy lake towns,(vote for not more than  1)</t>
  </si>
  <si>
    <t>RUTH WOODS .  .  .  .  .  .  .  .  .  .</t>
  </si>
  <si>
    <t>PA_Merce_2018p~Dem-precinct committeewoman sharon 1-1,(vote for not more than  1)</t>
  </si>
  <si>
    <t>PA_Merce_2018p~Dem-precinct committeewoman sharon 2-1,(vote for not more than  1)</t>
  </si>
  <si>
    <t>PA_Merce_2018p~Dem-precinct committeewoman sharon 2-2,(vote for not more than  1)</t>
  </si>
  <si>
    <t>PA_Merce_2018p~Dem-precinct committeewoman sharon 2-3,(vote for not more than  1)</t>
  </si>
  <si>
    <t>JANE TRAMBLEY .  .  .  .  .  .  .  .  .</t>
  </si>
  <si>
    <t>PA_Merce_2018p~Dem-precinct committeewoman sharon 2-4,(vote for not more than  1)</t>
  </si>
  <si>
    <t>SHEILA NOWINSKI  .  .  .  .  .  .  .  .</t>
  </si>
  <si>
    <t>PA_Merce_2018p~Dem-precinct committeewoman sharon 2-5,(vote for not more than  1)</t>
  </si>
  <si>
    <t>PA_Merce_2018p~Dem-precinct committeewoman sharon 3-1,(vote for not more than  1)</t>
  </si>
  <si>
    <t>PA_Merce_2018p~Dem-precinct committeewoman sharon 3-2,(vote for not more than  1)</t>
  </si>
  <si>
    <t>PA_Merce_2018p~Dem-precinct committeewoman sharon 4-1,(vote for not more than  1)</t>
  </si>
  <si>
    <t>PA_Merce_2018p~Dem-precinct committeewoman sharon 4-2,(vote for not more than  1)</t>
  </si>
  <si>
    <t>DEBORAH L. ROBERSON .  .  .  .  .  .  .</t>
  </si>
  <si>
    <t>PA_Merce_2018p~Dem-precinct committeewoman sharon 4-3,(vote for not more than  1)</t>
  </si>
  <si>
    <t>PAIGE WADE .  .  .  .  .  .  .  .  .  .</t>
  </si>
  <si>
    <t>PA_Merce_2018p~Dem-precinct committeewoman sharon 4-4,(vote for not more than  1)</t>
  </si>
  <si>
    <t>PA_Merce_2018p~Dem-precinct committeewoman sharon 4-5,(vote for not more than  1)</t>
  </si>
  <si>
    <t>PA_Merce_2018p~Dem-precinct committeewoman sharon 4-6,(vote for not more than  1)</t>
  </si>
  <si>
    <t>MARY BELL  .  .  .  .  .  .  .  .  .  .</t>
  </si>
  <si>
    <t>PA_Merce_2018p~Dem-precinct committeewoman sharpsville 1,(vote for not more than  1)</t>
  </si>
  <si>
    <t>PA_Merce_2018p~Dem-precinct committeewoman sharpsville 2,(vote for not more than  1)</t>
  </si>
  <si>
    <t>PA_Merce_2018p~Dem-precinct committeewoman sharpsville 3,(vote for not more than  1)</t>
  </si>
  <si>
    <t>CAROLINE METZGER .  .  .  .  .  .  .  .</t>
  </si>
  <si>
    <t>PA_Merce_2018p~Dem-precinct committeewoman sharpsville 4,(vote for not more than  1)</t>
  </si>
  <si>
    <t>PA_Merce_2018p~Dem-precinct committeewoman sheakleyville,(vote for not more than  1)</t>
  </si>
  <si>
    <t>PA_Merce_2018p~Dem-precinct committeewoman shenango east,(vote for not more than  1)</t>
  </si>
  <si>
    <t>PA_Merce_2018p~Dem-precinct committeewoman shenango west,(vote for not more than  1)</t>
  </si>
  <si>
    <t>PAT SIMON  .  .  .  .  .  .  .  .  .  .</t>
  </si>
  <si>
    <t>PA_Merce_2018p~Dem-precinct committeewoman south pymatuning,(vote for not more than  1)</t>
  </si>
  <si>
    <t>JAMIE L. WHITMORE.  .  .  .  .  .  .  .</t>
  </si>
  <si>
    <t>LUANNE Y. SALAGA .  .  .  .  .  .  .  .</t>
  </si>
  <si>
    <t>PA_Merce_2018p~Dem-precinct committeewoman springfield east,(vote for not more than  1)</t>
  </si>
  <si>
    <t>PA_Merce_2018p~Dem-precinct committeewoman springfield west,(vote for not more than  1)</t>
  </si>
  <si>
    <t>JUDY HINES .  .  .  .  .  .  .  .  .  .</t>
  </si>
  <si>
    <t>PA_Merce_2018p~Dem-precinct committeewoman stoneboro,(vote for not more than  1)</t>
  </si>
  <si>
    <t>PA_Merce_2018p~Dem-precinct committeewoman sugar grove,(vote for not more than  1)</t>
  </si>
  <si>
    <t>REBECCA ANN RILEY.  .  .  .  .  .  .  .</t>
  </si>
  <si>
    <t>PA_Merce_2018p~Dem-precinct committeewoman west middlesex,(vote for not more than  1)</t>
  </si>
  <si>
    <t>PA_Merce_2018p~Dem-precinct committeewoman west salem east,(vote for not more than  1)</t>
  </si>
  <si>
    <t>PA_Merce_2018p~Dem-precinct committeewoman west salem west,(vote for not more than  1)</t>
  </si>
  <si>
    <t>PA_Merce_2018p~Dem-precinct committeewoman wheatland,(vote for not more than  1)</t>
  </si>
  <si>
    <t>PA_Merce_2018p~Dem-precinct committeewoman wilmington,(vote for not more than  1)</t>
  </si>
  <si>
    <t>PA_Merce_2018p~Dem-precinct committeewoman wolf creek,(vote for not more than  1)</t>
  </si>
  <si>
    <t>PA_Merce_2018p~Dem-precinct committeewoman worth,(vote for not more than  1)</t>
  </si>
  <si>
    <t>LISA BOEVING-LEARNED.  .  .  .  .  .  .</t>
  </si>
  <si>
    <t>PA_Merce_2018p~Dem-state committee,(vote for not more than  2)</t>
  </si>
  <si>
    <t>TIMOTHY M. MCGONIGLE.  .  .  .  .  .  .</t>
  </si>
  <si>
    <t>PA_Merce_2018p~Dem-state rep, 17th district,(vote for not more than  1)</t>
  </si>
  <si>
    <t>PA_Merce_2018p~Dem-state rep, 7th district,(vote for not more than  1)</t>
  </si>
  <si>
    <t>MARK LONGIETTI.  .  .  .  .  .  .  .  .</t>
  </si>
  <si>
    <t>PA_Merce_2018p~Dem-state rep, 8th district,(vote for not more than  1)</t>
  </si>
  <si>
    <t>PA_Merce_2018p~Dem-state sen, 50th district,(vote for not more than  1)</t>
  </si>
  <si>
    <t>SUE MULVEY .  .  .  .  .  .  .  .  .  .</t>
  </si>
  <si>
    <t>PA_Merce_2018p~Dem-u.s. rep, 16th district,(vote for not more than  1)</t>
  </si>
  <si>
    <t>ROBERT MULTARI.  .  .  .  .  .  .  .  .</t>
  </si>
  <si>
    <t>CHRIS RIEGER  .  .  .  .  .  .  .  .  .</t>
  </si>
  <si>
    <t>RON DINICOLA  .  .  .  .  .  .  .  .  .</t>
  </si>
  <si>
    <t>PA_Merce_2018p~Dem-united states senator,(vote for not more than  1)</t>
  </si>
  <si>
    <t>BOB CASEY JR. .  .  .  .  .  .  .  .  .</t>
  </si>
  <si>
    <t>PA_Merce_2018p~Non-government study commission referendum,(vote for not more than  1)</t>
  </si>
  <si>
    <t>PA_Merce_2018p~Non-government study commissioner,(vote for not more than  7)</t>
  </si>
  <si>
    <t>STEPHEN A. WILLIAMS .  .  .  .  .  .  .</t>
  </si>
  <si>
    <t>CASEY SHILLING.  .  .  .  .  .  .  .  .</t>
  </si>
  <si>
    <t>PAUL J. MILLER.  .  .  .  .  .  .  .  .</t>
  </si>
  <si>
    <t>STEVE THOMPSON.  .  .  .  .  .  .  .  .</t>
  </si>
  <si>
    <t>MARTHA C. JOHNSON.  .  .  .  .  .  .  .</t>
  </si>
  <si>
    <t>HAL JOHNSON.  .  .  .  .  .  .  .  .  .</t>
  </si>
  <si>
    <t>PAUL R. HAMILL.  .  .  .  .  .  .  .  .</t>
  </si>
  <si>
    <t>SEAN A. HALL  .  .  .  .  .  .  .  .  .</t>
  </si>
  <si>
    <t>TRACY BEIL .  .  .  .  .  .  .  .  .  .</t>
  </si>
  <si>
    <t>LISA M. HAMILL.  .  .  .  .  .  .  .  .</t>
  </si>
  <si>
    <t>BEN O. BEIL.  .  .  .  .  .  .  .  .  .</t>
  </si>
  <si>
    <t>PA_Merce_2018p~Rep-governor,(vote for not more than  1)</t>
  </si>
  <si>
    <t>PAUL MANGO .  .  .  .  .  .  .  .  .  .</t>
  </si>
  <si>
    <t>SCOTT R. WAGNER  .  .  .  .  .  .  .  .</t>
  </si>
  <si>
    <t>LAURA ELLSWORTH  .  .  .  .  .  .  .  .</t>
  </si>
  <si>
    <t>PA_Merce_2018p~Rep-lieutenant governor,(vote for not more than  1)</t>
  </si>
  <si>
    <t>KATHY CODER.  .  .  .  .  .  .  .  .  .</t>
  </si>
  <si>
    <t>JEFF BARTOS.  .  .  .  .  .  .  .  .  .</t>
  </si>
  <si>
    <t>DIANA IREY VAUGHAN  .  .  .  .  .  .  .</t>
  </si>
  <si>
    <t>PEG LUKSIK .  .  .  .  .  .  .  .  .  .</t>
  </si>
  <si>
    <t>PA_Merce_2018p~Rep-precinct committeeman clark,(vote for not more than  1)</t>
  </si>
  <si>
    <t>PA_Merce_2018p~Rep-precinct committeeman coolspring,(vote for not more than  1)</t>
  </si>
  <si>
    <t>JAMES A. JANZIG  .  .  .  .  .  .  .  .</t>
  </si>
  <si>
    <t>PA_Merce_2018p~Rep-precinct committeeman deer creek,(vote for not more than  1)</t>
  </si>
  <si>
    <t>PA_Merce_2018p~Rep-precinct committeeman delaware,(vote for not more than  1)</t>
  </si>
  <si>
    <t>JOHN A. LIBONATI .  .  .  .  .  .  .  .</t>
  </si>
  <si>
    <t>PA_Merce_2018p~Rep-precinct committeeman east lackawannock,(vote for not more than  1)</t>
  </si>
  <si>
    <t>PA_Merce_2018p~Rep-precinct committeeman fairview,(vote for not more than  1)</t>
  </si>
  <si>
    <t>CLINT GLOVER  .  .  .  .  .  .  .  .  .</t>
  </si>
  <si>
    <t>PA_Merce_2018p~Rep-precinct committeeman farrell 1-1,(vote for not more than  1)</t>
  </si>
  <si>
    <t>PA_Merce_2018p~Rep-precinct committeeman farrell 1-2,(vote for not more than  1)</t>
  </si>
  <si>
    <t>PA_Merce_2018p~Rep-precinct committeeman farrell 1-3,(vote for not more than  1)</t>
  </si>
  <si>
    <t>PA_Merce_2018p~Rep-precinct committeeman farrell 2-1,(vote for not more than  1)</t>
  </si>
  <si>
    <t>PA_Merce_2018p~Rep-precinct committeeman farrell 2-2,(vote for not more than  1)</t>
  </si>
  <si>
    <t>PA_Merce_2018p~Rep-precinct committeeman farrell 2-3,(vote for not more than  1)</t>
  </si>
  <si>
    <t>PA_Merce_2018p~Rep-precinct committeeman farrell 2-4,(vote for not more than  1)</t>
  </si>
  <si>
    <t>PA_Merce_2018p~Rep-precinct committeeman findley,(vote for not more than  1)</t>
  </si>
  <si>
    <t>JOHN B. COURTNEY .  .  .  .  .  .  .  .</t>
  </si>
  <si>
    <t>PA_Merce_2018p~Rep-precinct committeeman fredonia,(vote for not more than  1)</t>
  </si>
  <si>
    <t>PA_Merce_2018p~Rep-precinct committeeman french creek,(vote for not more than  1)</t>
  </si>
  <si>
    <t>PA_Merce_2018p~Rep-precinct committeeman greene,(vote for not more than  1)</t>
  </si>
  <si>
    <t>PA_Merce_2018p~Rep-precinct committeeman greenville 1,(vote for not more than  1)</t>
  </si>
  <si>
    <t>PA_Merce_2018p~Rep-precinct committeeman greenville 2,(vote for not more than  1)</t>
  </si>
  <si>
    <t>JOHN HAUSER.  .  .  .  .  .  .  .  .  .</t>
  </si>
  <si>
    <t>PA_Merce_2018p~Rep-precinct committeeman greenville 3,(vote for not more than  1)</t>
  </si>
  <si>
    <t>PA_Merce_2018p~Rep-precinct committeeman greenville 4,(vote for not more than  1)</t>
  </si>
  <si>
    <t>PA_Merce_2018p~Rep-precinct committeeman grove city 1,(vote for not more than  1)</t>
  </si>
  <si>
    <t>DON JENNINGS  .  .  .  .  .  .  .  .  .</t>
  </si>
  <si>
    <t>PA_Merce_2018p~Rep-precinct committeeman grove city 2,(vote for not more than  1)</t>
  </si>
  <si>
    <t>PA_Merce_2018p~Rep-precinct committeeman grove city 3,(vote for not more than  1)</t>
  </si>
  <si>
    <t>PA_Merce_2018p~Rep-precinct committeeman grove city 4,(vote for not more than  1)</t>
  </si>
  <si>
    <t>PA_Merce_2018p~Rep-precinct committeeman grove city 5,(vote for not more than  1)</t>
  </si>
  <si>
    <t>PA_Merce_2018p~Rep-precinct committeeman hempfield 1,(vote for not more than  1)</t>
  </si>
  <si>
    <t>PA_Merce_2018p~Rep-precinct committeeman hempfield 2,(vote for not more than  1)</t>
  </si>
  <si>
    <t>PA_Merce_2018p~Rep-precinct committeeman hempfield 3,(vote for not more than  1)</t>
  </si>
  <si>
    <t>PARKE WENTLING.  .  .  .  .  .  .  .  .</t>
  </si>
  <si>
    <t>PA_Merce_2018p~Rep-precinct committeeman hermitage ne-1,(vote for not more than  1)</t>
  </si>
  <si>
    <t>GORDON F. HARBISON  .  .  .  .  .  .  .</t>
  </si>
  <si>
    <t>PA_Merce_2018p~Rep-precinct committeeman hermitage ne-2,(vote for not more than  1)</t>
  </si>
  <si>
    <t>PA_Merce_2018p~Rep-precinct committeeman hermitage nw-1,(vote for not more than  1)</t>
  </si>
  <si>
    <t>PA_Merce_2018p~Rep-precinct committeeman hermitage nw-2,(vote for not more than  1)</t>
  </si>
  <si>
    <t>PA_Merce_2018p~Rep-precinct committeeman hermitage nw-3,(vote for not more than  1)</t>
  </si>
  <si>
    <t>PA_Merce_2018p~Rep-precinct committeeman hermitage nw-4,(vote for not more than  1)</t>
  </si>
  <si>
    <t>GREG MURPHY.  .  .  .  .  .  .  .  .  .</t>
  </si>
  <si>
    <t>PA_Merce_2018p~Rep-precinct committeeman hermitage se-1,(vote for not more than  1)</t>
  </si>
  <si>
    <t>PA_Merce_2018p~Rep-precinct committeeman hermitage se-2,(vote for not more than  1)</t>
  </si>
  <si>
    <t>PA_Merce_2018p~Rep-precinct committeeman hermitage se-3,(vote for not more than  1)</t>
  </si>
  <si>
    <t>PA_Merce_2018p~Rep-precinct committeeman hermitage se-4,(vote for not more than  1)</t>
  </si>
  <si>
    <t>PA_Merce_2018p~Rep-precinct committeeman hermitage sw-1,(vote for not more than  1)</t>
  </si>
  <si>
    <t>PA_Merce_2018p~Rep-precinct committeeman hermitage sw-2,(vote for not more than  1)</t>
  </si>
  <si>
    <t>PA_Merce_2018p~Rep-precinct committeeman hermitage sw-3,(vote for not more than  1)</t>
  </si>
  <si>
    <t>PA_Merce_2018p~Rep-precinct committeeman jackson center,(vote for not more than  1)</t>
  </si>
  <si>
    <t>SAMUEL J. PLUMMER.  .  .  .  .  .  .  .</t>
  </si>
  <si>
    <t>PA_Merce_2018p~Rep-precinct committeeman jackson township,(vote for not more than  1)</t>
  </si>
  <si>
    <t>HOWARD PLANT  .  .  .  .  .  .  .  .  .</t>
  </si>
  <si>
    <t>PA_Merce_2018p~Rep-precinct committeeman jamestown,(vote for not more than  1)</t>
  </si>
  <si>
    <t>GUY J. BROOKS .  .  .  .  .  .  .  .  .</t>
  </si>
  <si>
    <t>PA_Merce_2018p~Rep-precinct committeeman jefferson east,(vote for not more than  1)</t>
  </si>
  <si>
    <t>PA_Merce_2018p~Rep-precinct committeeman jefferson west,(vote for not more than  1)</t>
  </si>
  <si>
    <t>PA_Merce_2018p~Rep-precinct committeeman lackawannock,(vote for not more than  1)</t>
  </si>
  <si>
    <t>PA_Merce_2018p~Rep-precinct committeeman lake,(vote for not more than  1)</t>
  </si>
  <si>
    <t>PA_Merce_2018p~Rep-precinct committeeman liberty,(vote for not more than  1)</t>
  </si>
  <si>
    <t>GEORGE R. GREGG  .  .  .  .  .  .  .  .</t>
  </si>
  <si>
    <t>PA_Merce_2018p~Rep-precinct committeeman mercer north,(vote for not more than  1)</t>
  </si>
  <si>
    <t>CHARLES D. SCHWARTZ .  .  .  .  .  .  .</t>
  </si>
  <si>
    <t>PA_Merce_2018p~Rep-precinct committeeman mercer south,(vote for not more than  1)</t>
  </si>
  <si>
    <t>PA_Merce_2018p~Rep-precinct committeeman mill creek,(vote for not more than  1)</t>
  </si>
  <si>
    <t>PA_Merce_2018p~Rep-precinct committeeman new lebanon,(vote for not more than  1)</t>
  </si>
  <si>
    <t>PA_Merce_2018p~Rep-precinct committeeman new vernon,(vote for not more than  1)</t>
  </si>
  <si>
    <t>SCOTT BOYD .  .  .  .  .  .  .  .  .  .</t>
  </si>
  <si>
    <t>PA_Merce_2018p~Rep-precinct committeeman otter creek,(vote for not more than  1)</t>
  </si>
  <si>
    <t>PA_Merce_2018p~Rep-precinct committeeman perry,(vote for not more than  1)</t>
  </si>
  <si>
    <t>PA_Merce_2018p~Rep-precinct committeeman pine 1,(vote for not more than  1)</t>
  </si>
  <si>
    <t>WALTER RICHARDSON.  .  .  .  .  .  .  .</t>
  </si>
  <si>
    <t>PA_Merce_2018p~Rep-precinct committeeman pine 2,(vote for not more than  1)</t>
  </si>
  <si>
    <t>PA_Merce_2018p~Rep-precinct committeeman pymatuning 1,(vote for not more than  1)</t>
  </si>
  <si>
    <t>PA_Merce_2018p~Rep-precinct committeeman pymatuning 2,(vote for not more than  1)</t>
  </si>
  <si>
    <t>PA_Merce_2018p~Rep-precinct committeeman salem,(vote for not more than  1)</t>
  </si>
  <si>
    <t>BOB ROBBINS.  .  .  .  .  .  .  .  .  .</t>
  </si>
  <si>
    <t>PA_Merce_2018p~Rep-precinct committeeman sandy creek,(vote for not more than  1)</t>
  </si>
  <si>
    <t>PA_Merce_2018p~Rep-precinct committeeman sandy lake borough,(vote for not more than  1)</t>
  </si>
  <si>
    <t>PA_Merce_2018p~Rep-precinct committeeman sandy lake townshi,(vote for not more than  1)</t>
  </si>
  <si>
    <t>DOUGLAS GREENFIELD  .  .  .  .  .  .  .</t>
  </si>
  <si>
    <t>PA_Merce_2018p~Rep-precinct committeeman sharon 1-1,(vote for not more than  1)</t>
  </si>
  <si>
    <t>PA_Merce_2018p~Rep-precinct committeeman sharon 2-1,(vote for not more than  1)</t>
  </si>
  <si>
    <t>PA_Merce_2018p~Rep-precinct committeeman sharon 2-2,(vote for not more than  1)</t>
  </si>
  <si>
    <t>PA_Merce_2018p~Rep-precinct committeeman sharon 2-3,(vote for not more than  1)</t>
  </si>
  <si>
    <t>PA_Merce_2018p~Rep-precinct committeeman sharon 2-4,(vote for not more than  1)</t>
  </si>
  <si>
    <t>ARTHUR T. BALCERZAK .  .  .  .  .  .  .</t>
  </si>
  <si>
    <t>PA_Merce_2018p~Rep-precinct committeeman sharon 2-5,(vote for not more than  1)</t>
  </si>
  <si>
    <t>PA_Merce_2018p~Rep-precinct committeeman sharon 3-1,(vote for not more than  1)</t>
  </si>
  <si>
    <t>PA_Merce_2018p~Rep-precinct committeeman sharon 3-2,(vote for not more than  1)</t>
  </si>
  <si>
    <t>PA_Merce_2018p~Rep-precinct committeeman sharon 4-1,(vote for not more than  1)</t>
  </si>
  <si>
    <t>PA_Merce_2018p~Rep-precinct committeeman sharon 4-2,(vote for not more than  1)</t>
  </si>
  <si>
    <t>PA_Merce_2018p~Rep-precinct committeeman sharon 4-3,(vote for not more than  1)</t>
  </si>
  <si>
    <t>PA_Merce_2018p~Rep-precinct committeeman sharon 4-4,(vote for not more than  1)</t>
  </si>
  <si>
    <t>PA_Merce_2018p~Rep-precinct committeeman sharon 4-5,(vote for not more than  1)</t>
  </si>
  <si>
    <t>PA_Merce_2018p~Rep-precinct committeeman sharon 4-6,(vote for not more than  1)</t>
  </si>
  <si>
    <t>PA_Merce_2018p~Rep-precinct committeeman sharpsville 1,(vote for not more than  1)</t>
  </si>
  <si>
    <t>PA_Merce_2018p~Rep-precinct committeeman sharpsville 2,(vote for not more than  1)</t>
  </si>
  <si>
    <t>PA_Merce_2018p~Rep-precinct committeeman sharpsville 3,(vote for not more than  1)</t>
  </si>
  <si>
    <t>PA_Merce_2018p~Rep-precinct committeeman sharpsville 4,(vote for not more than  1)</t>
  </si>
  <si>
    <t>PA_Merce_2018p~Rep-precinct committeeman sheakleyville,(vote for not more than  1)</t>
  </si>
  <si>
    <t>PA_Merce_2018p~Rep-precinct committeeman shenango east,(vote for not more than  1)</t>
  </si>
  <si>
    <t>PA_Merce_2018p~Rep-precinct committeeman shenango west,(vote for not more than  1)</t>
  </si>
  <si>
    <t>PA_Merce_2018p~Rep-precinct committeeman south pymatuning 1,(vote for not more than  1)</t>
  </si>
  <si>
    <t>PA_Merce_2018p~Rep-precinct committeeman south pymatuning 2,(vote for not more than  1)</t>
  </si>
  <si>
    <t>PA_Merce_2018p~Rep-precinct committeeman south pymatuning 3,(vote for not more than  1)</t>
  </si>
  <si>
    <t>PA_Merce_2018p~Rep-precinct committeeman springfield east,(vote for not more than  1)</t>
  </si>
  <si>
    <t>PA_Merce_2018p~Rep-precinct committeeman springfield west,(vote for not more than  1)</t>
  </si>
  <si>
    <t>PA_Merce_2018p~Rep-precinct committeeman stoneboro,(vote for not more than  1)</t>
  </si>
  <si>
    <t>PA_Merce_2018p~Rep-precinct committeeman sugar grove,(vote for not more than  1)</t>
  </si>
  <si>
    <t>PA_Merce_2018p~Rep-precinct committeeman west middlesex,(vote for not more than  1)</t>
  </si>
  <si>
    <t>PA_Merce_2018p~Rep-precinct committeeman west salem east,(vote for not more than  1)</t>
  </si>
  <si>
    <t>PA_Merce_2018p~Rep-precinct committeeman west salem west,(vote for not more than  1)</t>
  </si>
  <si>
    <t>PA_Merce_2018p~Rep-precinct committeeman wheatland,(vote for not more than  1)</t>
  </si>
  <si>
    <t>PA_Merce_2018p~Rep-precinct committeeman wilmington,(vote for not more than  1)</t>
  </si>
  <si>
    <t>PA_Merce_2018p~Rep-precinct committeeman wolf creek,(vote for not more than  1)</t>
  </si>
  <si>
    <t>PA_Merce_2018p~Rep-precinct committeeman worth,(vote for not more than  1)</t>
  </si>
  <si>
    <t>PA_Merce_2018p~Rep-precinct committeewoman clark,(vote for not more than  1)</t>
  </si>
  <si>
    <t>PA_Merce_2018p~Rep-precinct committeewoman coolspring,(vote for not more than  1)</t>
  </si>
  <si>
    <t>PA_Merce_2018p~Rep-precinct committeewoman deer creek,(vote for not more than  1)</t>
  </si>
  <si>
    <t>PA_Merce_2018p~Rep-precinct committeewoman delaware,(vote for not more than  1)</t>
  </si>
  <si>
    <t>PA_Merce_2018p~Rep-precinct committeewoman east lackawannoc,(vote for not more than  1)</t>
  </si>
  <si>
    <t>PA_Merce_2018p~Rep-precinct committeewoman fairview,(vote for not more than  1)</t>
  </si>
  <si>
    <t>MINDY GLOVER  .  .  .  .  .  .  .  .  .</t>
  </si>
  <si>
    <t>PA_Merce_2018p~Rep-precinct committeewoman farrell 1-1,(vote for not more than  1)</t>
  </si>
  <si>
    <t>PA_Merce_2018p~Rep-precinct committeewoman farrell 1-2,(vote for not more than  1)</t>
  </si>
  <si>
    <t>PA_Merce_2018p~Rep-precinct committeewoman farrell 1-3,(vote for not more than  1)</t>
  </si>
  <si>
    <t>PA_Merce_2018p~Rep-precinct committeewoman farrell 2-1,(vote for not more than  1)</t>
  </si>
  <si>
    <t>PA_Merce_2018p~Rep-precinct committeewoman farrell 2-2,(vote for not more than  1)</t>
  </si>
  <si>
    <t>PA_Merce_2018p~Rep-precinct committeewoman farrell 2-3,(vote for not more than  1)</t>
  </si>
  <si>
    <t>PA_Merce_2018p~Rep-precinct committeewoman farrell 2-4,(vote for not more than  1)</t>
  </si>
  <si>
    <t>PA_Merce_2018p~Rep-precinct committeewoman findley,(vote for not more than  1)</t>
  </si>
  <si>
    <t>PAMELA E. COURTNEY  .  .  .  .  .  .  .</t>
  </si>
  <si>
    <t>PA_Merce_2018p~Rep-precinct committeewoman fredonia,(vote for not more than  1)</t>
  </si>
  <si>
    <t>PA_Merce_2018p~Rep-precinct committeewoman french creek,(vote for not more than  1)</t>
  </si>
  <si>
    <t>PA_Merce_2018p~Rep-precinct committeewoman greene,(vote for not more than  1)</t>
  </si>
  <si>
    <t>PA_Merce_2018p~Rep-precinct committeewoman greenville 1,(vote for not more than  1)</t>
  </si>
  <si>
    <t>PA_Merce_2018p~Rep-precinct committeewoman greenville 2,(vote for not more than  1)</t>
  </si>
  <si>
    <t>PA_Merce_2018p~Rep-precinct committeewoman greenville 3,(vote for not more than  1)</t>
  </si>
  <si>
    <t>PA_Merce_2018p~Rep-precinct committeewoman greenville 4,(vote for not more than  1)</t>
  </si>
  <si>
    <t>PA_Merce_2018p~Rep-precinct committeewoman grove city 1,(vote for not more than  1)</t>
  </si>
  <si>
    <t>PA_Merce_2018p~Rep-precinct committeewoman grove city 2,(vote for not more than  1)</t>
  </si>
  <si>
    <t>PA_Merce_2018p~Rep-precinct committeewoman grove city 3,(vote for not more than  1)</t>
  </si>
  <si>
    <t>PA_Merce_2018p~Rep-precinct committeewoman grove city 4,(vote for not more than  1)</t>
  </si>
  <si>
    <t>LISA M. ROBINSON .  .  .  .  .  .  .  .</t>
  </si>
  <si>
    <t>PA_Merce_2018p~Rep-precinct committeewoman grove city 5,(vote for not more than  1)</t>
  </si>
  <si>
    <t>PA_Merce_2018p~Rep-precinct committeewoman hempfield 1,(vote for not more than  1)</t>
  </si>
  <si>
    <t>PA_Merce_2018p~Rep-precinct committeewoman hempfield 2,(vote for not more than  1)</t>
  </si>
  <si>
    <t>PA_Merce_2018p~Rep-precinct committeewoman hempfield 3,(vote for not more than  1)</t>
  </si>
  <si>
    <t>PA_Merce_2018p~Rep-precinct committeewoman hermitage ne-1,(vote for not more than  1)</t>
  </si>
  <si>
    <t>KATHERINE A. MONDAK .  .  .  .  .  .  .</t>
  </si>
  <si>
    <t>PA_Merce_2018p~Rep-precinct committeewoman hermitage ne-2,(vote for not more than  1)</t>
  </si>
  <si>
    <t>PA_Merce_2018p~Rep-precinct committeewoman hermitage nw-1,(vote for not more than  1)</t>
  </si>
  <si>
    <t>PA_Merce_2018p~Rep-precinct committeewoman hermitage nw-2,(vote for not more than  1)</t>
  </si>
  <si>
    <t>PA_Merce_2018p~Rep-precinct committeewoman hermitage nw-3,(vote for not more than  1)</t>
  </si>
  <si>
    <t>PA_Merce_2018p~Rep-precinct committeewoman hermitage nw-4,(vote for not more than  1)</t>
  </si>
  <si>
    <t>SARAH JENE CAROL ROTH MURPHY .  .  .  .</t>
  </si>
  <si>
    <t>PA_Merce_2018p~Rep-precinct committeewoman hermitage se-1,(vote for not more than  1)</t>
  </si>
  <si>
    <t>PA_Merce_2018p~Rep-precinct committeewoman hermitage se-2,(vote for not more than  1)</t>
  </si>
  <si>
    <t>PA_Merce_2018p~Rep-precinct committeewoman hermitage se-3,(vote for not more than  1)</t>
  </si>
  <si>
    <t>PA_Merce_2018p~Rep-precinct committeewoman hermitage se-4,(vote for not more than  1)</t>
  </si>
  <si>
    <t>PA_Merce_2018p~Rep-precinct committeewoman hermitage sw-1,(vote for not more than  1)</t>
  </si>
  <si>
    <t>PA_Merce_2018p~Rep-precinct committeewoman hermitage sw-2,(vote for not more than  1)</t>
  </si>
  <si>
    <t>PA_Merce_2018p~Rep-precinct committeewoman hermitage sw-3,(vote for not more than  1)</t>
  </si>
  <si>
    <t>PA_Merce_2018p~Rep-precinct committeewoman jackson center,(vote for not more than  1)</t>
  </si>
  <si>
    <t>HELEN L. PLUMMER .  .  .  .  .  .  .  .</t>
  </si>
  <si>
    <t>PA_Merce_2018p~Rep-precinct committeewoman jackson township,(vote for not more than  1)</t>
  </si>
  <si>
    <t>DEBORAH PLANT .  .  .  .  .  .  .  .  .</t>
  </si>
  <si>
    <t>PA_Merce_2018p~Rep-precinct committeewoman jamestown,(vote for not more than  1)</t>
  </si>
  <si>
    <t>MICHELE BROOKS.  .  .  .  .  .  .  .  .</t>
  </si>
  <si>
    <t>PA_Merce_2018p~Rep-precinct committeewoman jefferson east,(vote for not more than  1)</t>
  </si>
  <si>
    <t>PA_Merce_2018p~Rep-precinct committeewoman jefferson west,(vote for not more than  1)</t>
  </si>
  <si>
    <t>PA_Merce_2018p~Rep-precinct committeewoman lackawannock,(vote for not more than  1)</t>
  </si>
  <si>
    <t>PA_Merce_2018p~Rep-precinct committeewoman lake,(vote for not more than  1)</t>
  </si>
  <si>
    <t>MARIE ELDER.  .  .  .  .  .  .  .  .  .</t>
  </si>
  <si>
    <t>PA_Merce_2018p~Rep-precinct committeewoman liberty,(vote for not more than  1)</t>
  </si>
  <si>
    <t>CAROL ANN GREGG  .  .  .  .  .  .  .  .</t>
  </si>
  <si>
    <t>PA_Merce_2018p~Rep-precinct committeewoman mercer north,(vote for not more than  1)</t>
  </si>
  <si>
    <t>CARY L. SCHWARTZ .  .  .  .  .  .  .  .</t>
  </si>
  <si>
    <t>PA_Merce_2018p~Rep-precinct committeewoman mercer south,(vote for not more than  1)</t>
  </si>
  <si>
    <t>PA_Merce_2018p~Rep-precinct committeewoman mill creek,(vote for not more than  1)</t>
  </si>
  <si>
    <t>ELIZABETH SHEARER.  .  .  .  .  .  .  .</t>
  </si>
  <si>
    <t>PA_Merce_2018p~Rep-precinct committeewoman new lebanon,(vote for not more than  1)</t>
  </si>
  <si>
    <t>PA_Merce_2018p~Rep-precinct committeewoman new vernon,(vote for not more than  1)</t>
  </si>
  <si>
    <t>PA_Merce_2018p~Rep-precinct committeewoman otter creek,(vote for not more than  1)</t>
  </si>
  <si>
    <t>PA_Merce_2018p~Rep-precinct committeewoman perry,(vote for not more than  1)</t>
  </si>
  <si>
    <t>DONNA LAVER.  .  .  .  .  .  .  .  .  .</t>
  </si>
  <si>
    <t>PA_Merce_2018p~Rep-precinct committeewoman pine 1,(vote for not more than  1)</t>
  </si>
  <si>
    <t>GINNY STEESE RICHARDSON.  .  .  .  .  .</t>
  </si>
  <si>
    <t>PA_Merce_2018p~Rep-precinct committeewoman pine 2,(vote for not more than  1)</t>
  </si>
  <si>
    <t>EVELYN FIELDS .  .  .  .  .  .  .  .  .</t>
  </si>
  <si>
    <t>PA_Merce_2018p~Rep-precinct committeewoman pymatuning 1,(vote for not more than  1)</t>
  </si>
  <si>
    <t>PA_Merce_2018p~Rep-precinct committeewoman pymatuning 2,(vote for not more than  1)</t>
  </si>
  <si>
    <t>PA_Merce_2018p~Rep-precinct committeewoman salem,(vote for not more than  1)</t>
  </si>
  <si>
    <t>CINDY ROBBINS .  .  .  .  .  .  .  .  .</t>
  </si>
  <si>
    <t>PA_Merce_2018p~Rep-precinct committeewoman sandy creek,(vote for not more than  1)</t>
  </si>
  <si>
    <t>PA_Merce_2018p~Rep-precinct committeewoman sandy lake borou,(vote for not more than  1)</t>
  </si>
  <si>
    <t>PA_Merce_2018p~Rep-precinct committeewoman sandy lake towns,(vote for not more than  1)</t>
  </si>
  <si>
    <t>KAREN L. POWELL  .  .  .  .  .  .  .  .</t>
  </si>
  <si>
    <t>PA_Merce_2018p~Rep-precinct committeewoman sharon 1-1,(vote for not more than  1)</t>
  </si>
  <si>
    <t>PA_Merce_2018p~Rep-precinct committeewoman sharon 2-1,(vote for not more than  1)</t>
  </si>
  <si>
    <t>PA_Merce_2018p~Rep-precinct committeewoman sharon 2-2,(vote for not more than  1)</t>
  </si>
  <si>
    <t>PA_Merce_2018p~Rep-precinct committeewoman sharon 2-3,(vote for not more than  1)</t>
  </si>
  <si>
    <t>PA_Merce_2018p~Rep-precinct committeewoman sharon 2-4,(vote for not more than  1)</t>
  </si>
  <si>
    <t>JEAN M. BALCERZAK.  .  .  .  .  .  .  .</t>
  </si>
  <si>
    <t>PA_Merce_2018p~Rep-precinct committeewoman sharon 2-5,(vote for not more than  1)</t>
  </si>
  <si>
    <t>PA_Merce_2018p~Rep-precinct committeewoman sharon 3-1,(vote for not more than  1)</t>
  </si>
  <si>
    <t>PA_Merce_2018p~Rep-precinct committeewoman sharon 3-2,(vote for not more than  1)</t>
  </si>
  <si>
    <t>PA_Merce_2018p~Rep-precinct committeewoman sharon 4-1,(vote for not more than  1)</t>
  </si>
  <si>
    <t>PA_Merce_2018p~Rep-precinct committeewoman sharon 4-2,(vote for not more than  1)</t>
  </si>
  <si>
    <t>PA_Merce_2018p~Rep-precinct committeewoman sharon 4-3,(vote for not more than  1)</t>
  </si>
  <si>
    <t>PA_Merce_2018p~Rep-precinct committeewoman sharon 4-4,(vote for not more than  1)</t>
  </si>
  <si>
    <t>PA_Merce_2018p~Rep-precinct committeewoman sharon 4-5,(vote for not more than  1)</t>
  </si>
  <si>
    <t>PA_Merce_2018p~Rep-precinct committeewoman sharon 4-6,(vote for not more than  1)</t>
  </si>
  <si>
    <t>PA_Merce_2018p~Rep-precinct committeewoman sharpsville 1,(vote for not more than  1)</t>
  </si>
  <si>
    <t>PA_Merce_2018p~Rep-precinct committeewoman sharpsville 2,(vote for not more than  1)</t>
  </si>
  <si>
    <t>PA_Merce_2018p~Rep-precinct committeewoman sharpsville 3,(vote for not more than  1)</t>
  </si>
  <si>
    <t>PA_Merce_2018p~Rep-precinct committeewoman sharpsville 4,(vote for not more than  1)</t>
  </si>
  <si>
    <t>PA_Merce_2018p~Rep-precinct committeewoman sheakleyville,(vote for not more than  1)</t>
  </si>
  <si>
    <t>PA_Merce_2018p~Rep-precinct committeewoman shenango east,(vote for not more than  1)</t>
  </si>
  <si>
    <t>PA_Merce_2018p~Rep-precinct committeewoman shenango west,(vote for not more than  1)</t>
  </si>
  <si>
    <t>PA_Merce_2018p~Rep-precinct committeewoman south pymatuning,(vote for not more than  1)</t>
  </si>
  <si>
    <t>PA_Merce_2018p~Rep-precinct committeewoman springfield east,(vote for not more than  1)</t>
  </si>
  <si>
    <t>PA_Merce_2018p~Rep-precinct committeewoman springfield west,(vote for not more than  1)</t>
  </si>
  <si>
    <t>PA_Merce_2018p~Rep-precinct committeewoman stoneboro,(vote for not more than  1)</t>
  </si>
  <si>
    <t>PA_Merce_2018p~Rep-precinct committeewoman sugar grove,(vote for not more than  1)</t>
  </si>
  <si>
    <t>PA_Merce_2018p~Rep-precinct committeewoman west middlesex,(vote for not more than  1)</t>
  </si>
  <si>
    <t>PA_Merce_2018p~Rep-precinct committeewoman west salem east,(vote for not more than  1)</t>
  </si>
  <si>
    <t>BERNICE E. JULIAN.  .  .  .  .  .  .  .</t>
  </si>
  <si>
    <t>PA_Merce_2018p~Rep-precinct committeewoman west salem west,(vote for not more than  1)</t>
  </si>
  <si>
    <t>PA_Merce_2018p~Rep-precinct committeewoman wheatland,(vote for not more than  1)</t>
  </si>
  <si>
    <t>PA_Merce_2018p~Rep-precinct committeewoman wilmington,(vote for not more than  1)</t>
  </si>
  <si>
    <t>JEAN A. GILLILAND.  .  .  .  .  .  .  .</t>
  </si>
  <si>
    <t>PA_Merce_2018p~Rep-precinct committeewoman wolf creek,(vote for not more than  1)</t>
  </si>
  <si>
    <t>PA_Merce_2018p~Rep-precinct committeewoman worth,(vote for not more than  1)</t>
  </si>
  <si>
    <t>PA_Merce_2018p~Rep-state committee,(vote for not more than  3)</t>
  </si>
  <si>
    <t>PA_Merce_2018p~Rep-state rep, 17th district,(vote for not more than  1)</t>
  </si>
  <si>
    <t>PA_Merce_2018p~Rep-state rep, 7th district,(vote for not more than  1)</t>
  </si>
  <si>
    <t>PA_Merce_2018p~Rep-state rep, 8th district,(vote for not more than  1)</t>
  </si>
  <si>
    <t>TEDD NESBIT.  .  .  .  .  .  .  .  .  .</t>
  </si>
  <si>
    <t>PA_Merce_2018p~Rep-state sen, 50th district,(vote for not more than  1)</t>
  </si>
  <si>
    <t>PA_Merce_2018p~Rep-u.s. rep, 16th district,(vote for not more than  1)</t>
  </si>
  <si>
    <t>MIKE KELLY .  .  .  .  .  .  .  .  .  .</t>
  </si>
  <si>
    <t>PA_Merce_2018p~Rep-united states senator,(vote for not more than  1)</t>
  </si>
  <si>
    <t>JIM CHRISTIANA.  .  .  .  .  .  .  .  .</t>
  </si>
  <si>
    <t>LOU BARLETTA  .  .  .  .  .  .  .  .  .</t>
  </si>
  <si>
    <t>CA_Orang_2020p</t>
  </si>
  <si>
    <t>PRESIDENT OF THE UNITED STATES - DEM</t>
  </si>
  <si>
    <t>MICHAEL BENNET</t>
  </si>
  <si>
    <t>JOSEPH R. BIDEN</t>
  </si>
  <si>
    <t>MICHAEL R. BLOOMBERG</t>
  </si>
  <si>
    <t>CORY BOOKER</t>
  </si>
  <si>
    <t>MOSIE BOYD</t>
  </si>
  <si>
    <t>PETE BUTTIGIEG</t>
  </si>
  <si>
    <t>JULIAN CASTRO</t>
  </si>
  <si>
    <t>ROQUE "ROCKY" DE LA FUENTE III</t>
  </si>
  <si>
    <t>JOHN K. DELANEY</t>
  </si>
  <si>
    <t>MICHAEL A. ELLINGER</t>
  </si>
  <si>
    <t>TULSI GABBARD</t>
  </si>
  <si>
    <t>MARK STEWART GREENSTEIN</t>
  </si>
  <si>
    <t>AMY KLOBUCHAR</t>
  </si>
  <si>
    <t>DEVAL PATRICK</t>
  </si>
  <si>
    <t>BERNIE SANDERS</t>
  </si>
  <si>
    <t>JOE SESTAK</t>
  </si>
  <si>
    <t>TOM STEYER</t>
  </si>
  <si>
    <t>ELIZABETH WARREN</t>
  </si>
  <si>
    <t>MARIANNE WILLIAMSON</t>
  </si>
  <si>
    <t>ANDREW YANG</t>
  </si>
  <si>
    <t>NAKIA L. ANTHONY</t>
  </si>
  <si>
    <t>MICHAEL DENAME</t>
  </si>
  <si>
    <t>JEFFREY H. DROBMAN</t>
  </si>
  <si>
    <t>DAPHNE DENISE BRADFORD</t>
  </si>
  <si>
    <t>HEATHER MARIE STAGG</t>
  </si>
  <si>
    <t>WILLIE FELIX CARTER</t>
  </si>
  <si>
    <t>ROBERT JORDAN</t>
  </si>
  <si>
    <t>PRESIDENT OF THE UNITED STATES - REP</t>
  </si>
  <si>
    <t>DONALD J. TRUMP</t>
  </si>
  <si>
    <t>JOE WALSH</t>
  </si>
  <si>
    <t>BILL WELD</t>
  </si>
  <si>
    <t>ROBERT ARDINI</t>
  </si>
  <si>
    <t>ROQUE "ROCKY" DE LA FUENTE</t>
  </si>
  <si>
    <t>ZOLTAN G. ISTVAN</t>
  </si>
  <si>
    <t>MATTHEW JOHN MATERN</t>
  </si>
  <si>
    <t>DENIS C. GRASSKA</t>
  </si>
  <si>
    <t>ROBERT LEE MANNING JR.</t>
  </si>
  <si>
    <t>PRESIDENT OF THE UNITED STATES - AI</t>
  </si>
  <si>
    <t>DON BLANKENSHIP</t>
  </si>
  <si>
    <t>AI</t>
  </si>
  <si>
    <t>PHIL COLLINS</t>
  </si>
  <si>
    <t>CHARLES KRAUT</t>
  </si>
  <si>
    <t>J.R. MYERS</t>
  </si>
  <si>
    <t>PRESIDENTIAL CANDIDATE PREFERENCE - GRN</t>
  </si>
  <si>
    <t>HOWIE HAWKINS</t>
  </si>
  <si>
    <t>DARIO HUNTER</t>
  </si>
  <si>
    <t>DENNIS LAMBERT</t>
  </si>
  <si>
    <t>SEDINAM MOYOWASIFZA-CURRY</t>
  </si>
  <si>
    <t>DAVID ROLDE</t>
  </si>
  <si>
    <t>KENT MESPLAY</t>
  </si>
  <si>
    <t>PRESIDENT OF THE UNITED STATES - LIB</t>
  </si>
  <si>
    <t>MAX ABRAMSON</t>
  </si>
  <si>
    <t>KEN ARMSTRONG</t>
  </si>
  <si>
    <t>DAN BEHRMAN</t>
  </si>
  <si>
    <t>KEENAN WALLACE DUNHAM</t>
  </si>
  <si>
    <t>SOURAYA FAAS</t>
  </si>
  <si>
    <t>ERIK CHASE GERHARDT</t>
  </si>
  <si>
    <t>JACOB HORNBERGER</t>
  </si>
  <si>
    <t>JO JORGENSEN</t>
  </si>
  <si>
    <t>ADAM KOKESH</t>
  </si>
  <si>
    <t>STEVEN A RICHEY</t>
  </si>
  <si>
    <t>SAM ROBB</t>
  </si>
  <si>
    <t>KIM RUFF</t>
  </si>
  <si>
    <t>VERMIN SUPREME</t>
  </si>
  <si>
    <t>GEBY EVA ESPINOSA</t>
  </si>
  <si>
    <t>NICHOLAS D'ARTAGNAN DUMAS</t>
  </si>
  <si>
    <t>JAMES ORLANDO OGLE</t>
  </si>
  <si>
    <t>SORINNE ARDELEANU</t>
  </si>
  <si>
    <t>PRESIDENT OF THE UNITED STATES - P/F</t>
  </si>
  <si>
    <t>P/F</t>
  </si>
  <si>
    <t>GLORIA LA RIVA</t>
  </si>
  <si>
    <t>UNITED STATES REPRESENTATIVE 38th District</t>
  </si>
  <si>
    <t>LINDA T. SANCHEZ (DEM)</t>
  </si>
  <si>
    <t>MICHAEL TOLAR (DEM)</t>
  </si>
  <si>
    <t>UNITED STATES REPRESENTATIVE 39th District</t>
  </si>
  <si>
    <t>YOUNG KIM (REP)</t>
  </si>
  <si>
    <t>GIL CISNEROS (DEM)</t>
  </si>
  <si>
    <t>STEVE COX</t>
  </si>
  <si>
    <t>UNITED STATES REPRESENTATIVE 45th District</t>
  </si>
  <si>
    <t>PEGGY HUANG (REP)</t>
  </si>
  <si>
    <t>GREG RATHS (REP)</t>
  </si>
  <si>
    <t>CHRISTOPHER J. GONZALES (REP)</t>
  </si>
  <si>
    <t>KATIE PORTER (DEM)</t>
  </si>
  <si>
    <t>DON SEDGWICK (REP)</t>
  </si>
  <si>
    <t>LISA SPARKS (REP)</t>
  </si>
  <si>
    <t>RHONDA FURIN (REP)</t>
  </si>
  <si>
    <t>UNITED STATES REPRESENTATIVE  46th District</t>
  </si>
  <si>
    <t>PABLO MENDIOLEA (DEM)</t>
  </si>
  <si>
    <t>LOU CORREA (DEM)</t>
  </si>
  <si>
    <t>WILL JOHNSON</t>
  </si>
  <si>
    <t>JAMES S. WATERS (REP)</t>
  </si>
  <si>
    <t>ED RUSHMAN</t>
  </si>
  <si>
    <t>UNITED STATES REPRESENTATIVE 47th District</t>
  </si>
  <si>
    <t>JOHN BRISCOE (REP)</t>
  </si>
  <si>
    <t>SOU MOUA (REP)</t>
  </si>
  <si>
    <t>AMY PHAN WEST (REP)</t>
  </si>
  <si>
    <t>PETER MATHEWS (DEM)</t>
  </si>
  <si>
    <t>ALAN LOWENTHAL (DEM)</t>
  </si>
  <si>
    <t>JALEN DUPREE MCLEOD (DEM)</t>
  </si>
  <si>
    <t>UNITED STATES REPRESENTATIVE 48th District</t>
  </si>
  <si>
    <t>BRIAN BURLEY (REP)</t>
  </si>
  <si>
    <t>JAMES BRIAN GRIFFIN (REP)</t>
  </si>
  <si>
    <t>HARLEY ROUDA (DEM)</t>
  </si>
  <si>
    <t>JOHN THOMAS SCHUESLER (REP)</t>
  </si>
  <si>
    <t>MICHELLE STEEL (REP)</t>
  </si>
  <si>
    <t>RICHARD MATA (AI)</t>
  </si>
  <si>
    <t>UNITED STATES REPRESENTATIVE 49th District</t>
  </si>
  <si>
    <t>BRIAN MARYOTT (REP)</t>
  </si>
  <si>
    <t>MIKE LEVIN (DEM)</t>
  </si>
  <si>
    <t>STATE SENATOR 29th District</t>
  </si>
  <si>
    <t>JOSH NEWMAN (DEM)</t>
  </si>
  <si>
    <t>JOSEPH CHO (DEM)</t>
  </si>
  <si>
    <t>LING LING CHANG (REP)</t>
  </si>
  <si>
    <t>STATE SENATOR 37th District</t>
  </si>
  <si>
    <t>KATRINA FOLEY (DEM)</t>
  </si>
  <si>
    <t>DAVE MIN (DEM)</t>
  </si>
  <si>
    <t>JOHN M. W. MOORLACH (REP)</t>
  </si>
  <si>
    <t>MEMBER OF THE STATE ASSEMBLY 55th District</t>
  </si>
  <si>
    <t>PHILLIP CHEN (REP)</t>
  </si>
  <si>
    <t>ANDREW E. RODRIGUEZ (DEM)</t>
  </si>
  <si>
    <t>MEMBER OF THE STATE ASSEMBLY 65th District</t>
  </si>
  <si>
    <t>SHARON QUIRK-SILVA (DEM)</t>
  </si>
  <si>
    <t>CYNTHIA THACKER (REP)</t>
  </si>
  <si>
    <t>MEMBER OF THE STATE ASSEMBLY 68th District</t>
  </si>
  <si>
    <t>BENJAMIN YU (REP)</t>
  </si>
  <si>
    <t>EUGENE FIELDS (DEM)</t>
  </si>
  <si>
    <t>STEVEN "STEVE" CHOI (REP)</t>
  </si>
  <si>
    <t>MELISSA FOX (DEM)</t>
  </si>
  <si>
    <t>MEMBER OF THE STATE ASSEMBLY 69th District</t>
  </si>
  <si>
    <t>JON PAUL WHITE (REP)</t>
  </si>
  <si>
    <t>TOM DALY (DEM)</t>
  </si>
  <si>
    <t>MEMBER OF THE STATE ASSEMBLY 72nd District</t>
  </si>
  <si>
    <t>TYLER DIEP (REP)</t>
  </si>
  <si>
    <t>DIEDRE NGUYEN (DEM)</t>
  </si>
  <si>
    <t>BIJAN MOHSENI (DEM)</t>
  </si>
  <si>
    <t>JANET NGUYEN (REP)</t>
  </si>
  <si>
    <t>MEMBER OF THE STATE ASSEMBLY 73rd District</t>
  </si>
  <si>
    <t>SCOTT RHINEHART (DEM)</t>
  </si>
  <si>
    <t>LAURIE DAVIES (REP)</t>
  </si>
  <si>
    <t>WILLIAM "BILL" BROUGH (REP)</t>
  </si>
  <si>
    <t>ED SACHS (REP)</t>
  </si>
  <si>
    <t>CHRIS DUNCAN (DEM)</t>
  </si>
  <si>
    <t>MEMBER OF THE STATE ASSEMBLY 74th District</t>
  </si>
  <si>
    <t>DIANE DIXON (REP)</t>
  </si>
  <si>
    <t>COTTIE PETRIE-NORRIS (DEM)</t>
  </si>
  <si>
    <t>KELLY ERNBY (REP)</t>
  </si>
  <si>
    <t xml:space="preserve">Judge of the Superior Court Office No. 4 </t>
  </si>
  <si>
    <t>TONY FERRENTINO</t>
  </si>
  <si>
    <t>Member, County Board of Education Trustee Area 1</t>
  </si>
  <si>
    <t>STEVE ROCCO</t>
  </si>
  <si>
    <t>JIM PALMER</t>
  </si>
  <si>
    <t>REBECCA "BECKIE" GOMEZ</t>
  </si>
  <si>
    <t>Member, County Board of Education Trustee Area 3</t>
  </si>
  <si>
    <t>KEN L. WILLIAMS, JR.</t>
  </si>
  <si>
    <t>ANDY THORBURN</t>
  </si>
  <si>
    <t>Member, County Board of Education Trustee Area 4</t>
  </si>
  <si>
    <t>TIM SHAW</t>
  </si>
  <si>
    <t>VICKI CALHOUN</t>
  </si>
  <si>
    <t>PAULETTE CHAFFEE</t>
  </si>
  <si>
    <t>JORDAN BRANDMAN</t>
  </si>
  <si>
    <t>County Supervisor 1st District</t>
  </si>
  <si>
    <t>ANDREW DO</t>
  </si>
  <si>
    <t>MIGUEL A. PULIDO</t>
  </si>
  <si>
    <t>SERGIO CONTRERAS</t>
  </si>
  <si>
    <t>KIM BERNICE NGUYEN</t>
  </si>
  <si>
    <t>County Supervisor 3rd District</t>
  </si>
  <si>
    <t>ASHLEIGH AITKEN</t>
  </si>
  <si>
    <t>DONALD P. WAGNER</t>
  </si>
  <si>
    <t>A-County of Orange</t>
  </si>
  <si>
    <t>B-Anaheim Union High School District</t>
  </si>
  <si>
    <t>Bonds - No</t>
  </si>
  <si>
    <t>Bonds - Yes</t>
  </si>
  <si>
    <t>G-Brea Olinda Unified School District</t>
  </si>
  <si>
    <t>H-Capistrano Unified School District</t>
  </si>
  <si>
    <t>I-Capistrano Unified School District</t>
  </si>
  <si>
    <t>J-Fullerton Elementary School District</t>
  </si>
  <si>
    <t>K-Fullerton Joint Union High School District</t>
  </si>
  <si>
    <t>L-Rancho Santiago Community College District</t>
  </si>
  <si>
    <t>M-Saddleback Valley Unified School District</t>
  </si>
  <si>
    <t>N-Tustin Unified School District</t>
  </si>
  <si>
    <t>O-Lowell Joint School District</t>
  </si>
  <si>
    <t>Member, County Central Committee 55th Assembly District - DEM (Vote for 6)</t>
  </si>
  <si>
    <t>MOLLY A. MURO</t>
  </si>
  <si>
    <t>ISABELLA RUBIO</t>
  </si>
  <si>
    <t>NATALIE ESTRADA</t>
  </si>
  <si>
    <t>SEAN THOMAS</t>
  </si>
  <si>
    <t>CYNTHIA AGUIRRE</t>
  </si>
  <si>
    <t>GAIL C. CAIN</t>
  </si>
  <si>
    <t>JEFFREY B. LETOURNEAU</t>
  </si>
  <si>
    <t>LOURDES CRUZ</t>
  </si>
  <si>
    <t>Member, County Central Committee 65th Assembly District - DEM (Vote for 6)</t>
  </si>
  <si>
    <t>ADA BRICENO</t>
  </si>
  <si>
    <t>ED LOPEZ</t>
  </si>
  <si>
    <t>ANDY J. LEWANDOWSKI</t>
  </si>
  <si>
    <t>JOSE TRINIDAD CASTANEDA</t>
  </si>
  <si>
    <t>BRUCE W. JOHNSON</t>
  </si>
  <si>
    <t>MARISOL RAMIREZ</t>
  </si>
  <si>
    <t>ERIC BARLOW</t>
  </si>
  <si>
    <t>ARNEL DINO</t>
  </si>
  <si>
    <t>MIKE RODRIGUEZ</t>
  </si>
  <si>
    <t>JOHN VASSILIADES</t>
  </si>
  <si>
    <t>JOSE PAOLO MAGCALAS</t>
  </si>
  <si>
    <t>PATRICIA TUTOR</t>
  </si>
  <si>
    <t>MIRVETTE JUDEH</t>
  </si>
  <si>
    <t>Member, County Central Committee 68th Assembly District - DEM (Vote for 6)</t>
  </si>
  <si>
    <t>JOE MCLAUGHLIN</t>
  </si>
  <si>
    <t>FLORICE OREA HOFFMAN</t>
  </si>
  <si>
    <t>MANI KANG</t>
  </si>
  <si>
    <t>BILL HONIGMAN</t>
  </si>
  <si>
    <t>DAVID R SONNEBORN</t>
  </si>
  <si>
    <t>MELISSA FOX</t>
  </si>
  <si>
    <t>MEREDITH MARQUIS</t>
  </si>
  <si>
    <t>TED PERLE</t>
  </si>
  <si>
    <t>KEN WYANT</t>
  </si>
  <si>
    <t>NATHANIEL FERNANDEZ EPSTEIN</t>
  </si>
  <si>
    <t>BRIDGET R. MCCONAUGHY</t>
  </si>
  <si>
    <t>TAMMY KIM</t>
  </si>
  <si>
    <t>BEATRIZ "BETTY" VALENCIA</t>
  </si>
  <si>
    <t>LAURA VILLA</t>
  </si>
  <si>
    <t>NAZ HAMID</t>
  </si>
  <si>
    <t>EUGENE W. FIELDS</t>
  </si>
  <si>
    <t>TINA ARIAS MILLER</t>
  </si>
  <si>
    <t>MONICA BARRANCO-LEON</t>
  </si>
  <si>
    <t>Member, County Central Committee 69th Assembly District - DEM (Vote for 6)</t>
  </si>
  <si>
    <t>JUAN GABRIEL ALVAREZ</t>
  </si>
  <si>
    <t>LUIS ALEMAN</t>
  </si>
  <si>
    <t>GIOVANNI CHAVEZ</t>
  </si>
  <si>
    <t>MANNY ESCAMILLA</t>
  </si>
  <si>
    <t>JESSIE LOPEZ</t>
  </si>
  <si>
    <t>JANNELLE M. WELKER</t>
  </si>
  <si>
    <t>MARTIN LOPEZ</t>
  </si>
  <si>
    <t>THAI VIET PHAN</t>
  </si>
  <si>
    <t>ARIANA ARESTEGUI</t>
  </si>
  <si>
    <t>ISURI S. RAMOS</t>
  </si>
  <si>
    <t>AVELINO VALENCIA III</t>
  </si>
  <si>
    <t>JOSE F. MORENO</t>
  </si>
  <si>
    <t>VERONICA CHAVEZ</t>
  </si>
  <si>
    <t>Member, County Central Committee 72nd Assembly District - DEM (Vote for 6)</t>
  </si>
  <si>
    <t>LIBBY FROLICHMAN</t>
  </si>
  <si>
    <t>MICHELLE "MISHA" HOUSER</t>
  </si>
  <si>
    <t>JACI IANNELLO</t>
  </si>
  <si>
    <t>VICTOR VALLADARES</t>
  </si>
  <si>
    <t>OSCAR D. RODRIGUEZ</t>
  </si>
  <si>
    <t>LOUISE LARSEN</t>
  </si>
  <si>
    <t>SHAYNA LATHUS</t>
  </si>
  <si>
    <t>MARK ANTHONY PAREDES</t>
  </si>
  <si>
    <t>KATHIA CANLAS</t>
  </si>
  <si>
    <t>KAREN A. HINKS</t>
  </si>
  <si>
    <t>MARY TROMP</t>
  </si>
  <si>
    <t>SERGIO ESCOBAR</t>
  </si>
  <si>
    <t>Member, County Central Committee 73rd Assembly District - DEM (Vote for 6)</t>
  </si>
  <si>
    <t>ANITA NARAYANA</t>
  </si>
  <si>
    <t>DENISE PENN</t>
  </si>
  <si>
    <t>DEBORAH CUNNINGHAM-SKURNIK</t>
  </si>
  <si>
    <t>ANNE CAMERON</t>
  </si>
  <si>
    <t>ALAN FENNING</t>
  </si>
  <si>
    <t>EMMA JENSON</t>
  </si>
  <si>
    <t>LULU HAMMAD</t>
  </si>
  <si>
    <t>JENNA BECK</t>
  </si>
  <si>
    <t>DANNA LEWIS</t>
  </si>
  <si>
    <t>LARA HORGAN</t>
  </si>
  <si>
    <t>SUDI FAROKHNIA</t>
  </si>
  <si>
    <t>Member, County Central Committee 74th Assembly District - DEM (Vote for 6)</t>
  </si>
  <si>
    <t>ANDREW GALLAGHER</t>
  </si>
  <si>
    <t>MARY CARTER</t>
  </si>
  <si>
    <t>DEAN INADA</t>
  </si>
  <si>
    <t>BETHANY WEBB</t>
  </si>
  <si>
    <t>MARLEEN GILLESPIE</t>
  </si>
  <si>
    <t>LAUREN JOHNSON-NORRIS</t>
  </si>
  <si>
    <t>JONATHAN ADLER</t>
  </si>
  <si>
    <t>JANICE I. BURSTIN</t>
  </si>
  <si>
    <t>ANNE MOHR</t>
  </si>
  <si>
    <t>KALVIN ALVAREZ</t>
  </si>
  <si>
    <t>BORIS GRESELY</t>
  </si>
  <si>
    <t>JANE STOEVER</t>
  </si>
  <si>
    <t>IYAD AFALQA</t>
  </si>
  <si>
    <t>SAMILA AMANYRAOUFPOOR</t>
  </si>
  <si>
    <t>JILL NELKE</t>
  </si>
  <si>
    <t>AARTI KAUSHAL</t>
  </si>
  <si>
    <t>BECKY VISCONTI</t>
  </si>
  <si>
    <t>Member, County Central Committee 55th Assembly District - REP (Vote for 6)</t>
  </si>
  <si>
    <t>GENE HERNANDEZ</t>
  </si>
  <si>
    <t>BRETT R. BARBRE</t>
  </si>
  <si>
    <t>ELVIRA MORENO</t>
  </si>
  <si>
    <t>RHONDA SHADER</t>
  </si>
  <si>
    <t>MICHAEL NAVARRO</t>
  </si>
  <si>
    <t>CRAIG YOUNG</t>
  </si>
  <si>
    <t>MELISSA A. SALINAS</t>
  </si>
  <si>
    <t>ANTHONY JOHNSON</t>
  </si>
  <si>
    <t>Member, County Central Committee 65th Assembly District - REP (Vote for 6)</t>
  </si>
  <si>
    <t>STEVE SARKIS</t>
  </si>
  <si>
    <t>BARON NIGHT</t>
  </si>
  <si>
    <t>LEROY MILLS</t>
  </si>
  <si>
    <t>CYNTHIA THACKER</t>
  </si>
  <si>
    <t>DAVID JOHN SHAWVER</t>
  </si>
  <si>
    <t>JAMES S. WATERS</t>
  </si>
  <si>
    <t>AMY FREMEN</t>
  </si>
  <si>
    <t>BOBBY FLORENTZ</t>
  </si>
  <si>
    <t>DEWAYNE ALLEN NORMAND</t>
  </si>
  <si>
    <t>NICK DUNLAP</t>
  </si>
  <si>
    <t>Member, County Central Committee 68th Assembly District - REP (Vote for 6)</t>
  </si>
  <si>
    <t>DEBORAH PAULY</t>
  </si>
  <si>
    <t>JOHN PARK</t>
  </si>
  <si>
    <t>TREVOR O'NEIL</t>
  </si>
  <si>
    <t>RAY GENNAWEY</t>
  </si>
  <si>
    <t>AUSTIN LUMBARD</t>
  </si>
  <si>
    <t>ROBERT WALTERS</t>
  </si>
  <si>
    <t>FRED M. WHITAKER</t>
  </si>
  <si>
    <t>DEEPAK SINGH SAHNI</t>
  </si>
  <si>
    <t>ESTHER KOH</t>
  </si>
  <si>
    <t>TODD SPITZER</t>
  </si>
  <si>
    <t>BENJAMIN YU</t>
  </si>
  <si>
    <t>SCOTT "ROLLING THUNDER" VOIGTS</t>
  </si>
  <si>
    <t>MARK WILLIAM BUCHER</t>
  </si>
  <si>
    <t>DENIS BILODEAU</t>
  </si>
  <si>
    <t>Member, County Central Committee 69th Assembly District - REP (Vote for 6)</t>
  </si>
  <si>
    <t>BRIAN HARRINGTON</t>
  </si>
  <si>
    <t>ALBERTA CHRISTY</t>
  </si>
  <si>
    <t>THOMAS ANTHONY GORDON</t>
  </si>
  <si>
    <t>LEWIS ADAME</t>
  </si>
  <si>
    <t>GISELA CONTRERAS</t>
  </si>
  <si>
    <t>CECILIA "CECI" IGLESIAS</t>
  </si>
  <si>
    <t>JON PAUL WHITE</t>
  </si>
  <si>
    <t>KARINA ONOFRE</t>
  </si>
  <si>
    <t>TIMOTHY 'TIM' RYAN WHITACRE</t>
  </si>
  <si>
    <t>Member, County Central Committee 72nd Assembly District - REP (Vote for 6)</t>
  </si>
  <si>
    <t>RUSS NEAL</t>
  </si>
  <si>
    <t>GRACEY VAN DER MARK</t>
  </si>
  <si>
    <t>JEFFREY BARKE</t>
  </si>
  <si>
    <t>AUSTIN J. EDSELL</t>
  </si>
  <si>
    <t>ZACK MCCREADY</t>
  </si>
  <si>
    <t>AMY PHAN WEST</t>
  </si>
  <si>
    <t>EVA WEISZ</t>
  </si>
  <si>
    <t>RYAN BILLINGS</t>
  </si>
  <si>
    <t>PETER AMUNDSON</t>
  </si>
  <si>
    <t>PATRICK HARPER</t>
  </si>
  <si>
    <t>BRIAN BURLEY</t>
  </si>
  <si>
    <t>KERMIT MARSH</t>
  </si>
  <si>
    <t>Member, County Central Committee 73rd Assembly District - REP (Vote for 6)</t>
  </si>
  <si>
    <t>NICK WILSON</t>
  </si>
  <si>
    <t>ELAINE GENNAWEY</t>
  </si>
  <si>
    <t>DD DOMINGUEZ</t>
  </si>
  <si>
    <t>MIKE MUNZING</t>
  </si>
  <si>
    <t>GREG RATHS</t>
  </si>
  <si>
    <t>JAKE VOLLEBREGT</t>
  </si>
  <si>
    <t>ART SANCHEZ</t>
  </si>
  <si>
    <t>SHAWN M. GORDON</t>
  </si>
  <si>
    <t>LISA A. BARTLETT</t>
  </si>
  <si>
    <t>ED SACHS</t>
  </si>
  <si>
    <t>DIANE L. HARKEY</t>
  </si>
  <si>
    <t>LAURIE DAVIES</t>
  </si>
  <si>
    <t>LINDA KIGHT</t>
  </si>
  <si>
    <t>CANDICE BURROUGHS</t>
  </si>
  <si>
    <t>Member, County Central Committee 74th Assembly District - REP (Vote for 6)</t>
  </si>
  <si>
    <t>DIANE DIXON</t>
  </si>
  <si>
    <t>MIKE GASCA</t>
  </si>
  <si>
    <t>JENNIFER STERLING</t>
  </si>
  <si>
    <t>KATHERINE DAIGLE</t>
  </si>
  <si>
    <t>BARBARA GEORGE</t>
  </si>
  <si>
    <t>THOMAS A. "T.J." FUENTES</t>
  </si>
  <si>
    <t>WILL O'NEILL</t>
  </si>
  <si>
    <t>KELLY ERNBY</t>
  </si>
  <si>
    <t>MIKE GLENN</t>
  </si>
  <si>
    <t>EMILY SANFORD</t>
  </si>
  <si>
    <t>BEN CHAPMAN</t>
  </si>
  <si>
    <t>ALISON BURCHETTE</t>
  </si>
  <si>
    <t>SCOTT PEOTTER</t>
  </si>
  <si>
    <t>ERIK K. WEIGAND</t>
  </si>
  <si>
    <t>MIKE POSEY</t>
  </si>
  <si>
    <t>BETH JOHNS HOLDER</t>
  </si>
  <si>
    <t>Proposition 13</t>
  </si>
  <si>
    <t>CA_Orang_2020g</t>
  </si>
  <si>
    <t>PRESIDENT AND VICE PRESIDENT</t>
  </si>
  <si>
    <t>JOSEPH R. BIDEN/KAMALA D. HARRIS (DEM)</t>
  </si>
  <si>
    <t>*DONALD J. TRUMP/MICHAEL R. PENCE (REP)</t>
  </si>
  <si>
    <t>ROQUE "ROCKY" DE LA FUENTE GUERRA/KANYE OMARI WEST (AI)</t>
  </si>
  <si>
    <t>HOWIE HAWKINS/ANGELA NICOLE WALKER (GRN)</t>
  </si>
  <si>
    <t>JO JORGENSEN/JEREMY "SPIKE" COHEN (LIB)</t>
  </si>
  <si>
    <t>GLORIA LA RIVA/SUNIL FREEMAN (P/F)</t>
  </si>
  <si>
    <t>BRIAN CARROLL</t>
  </si>
  <si>
    <t>MARK CHARLES</t>
  </si>
  <si>
    <t>BROCK PIERCE</t>
  </si>
  <si>
    <t>JOSEPH KISHORE</t>
  </si>
  <si>
    <t>JESSE VENTURA</t>
  </si>
  <si>
    <t>*LINDA T. SANCHEZ (DEM)</t>
  </si>
  <si>
    <t>*GIL CISNEROS (DEM)</t>
  </si>
  <si>
    <t>*KATIE PORTER (DEM)</t>
  </si>
  <si>
    <t>UNITED STATES REPRESENTATIVE 46th District</t>
  </si>
  <si>
    <t>*ALAN LOWENTHAL (DEM)</t>
  </si>
  <si>
    <t>*HARLEY ROUDA (DEM)</t>
  </si>
  <si>
    <t>*MIKE LEVIN (DEM)</t>
  </si>
  <si>
    <t>*LING LING CHANG (REP)</t>
  </si>
  <si>
    <t>*JOHN M. W. MOORLACH (REP)</t>
  </si>
  <si>
    <t>*PHILLIP CHEN (REP)</t>
  </si>
  <si>
    <t>*SHARON QUIRK-SILVA (DEM)</t>
  </si>
  <si>
    <t>*STEVEN "STEVE" CHOI (REP)</t>
  </si>
  <si>
    <t>*TOM DALY (DEM)</t>
  </si>
  <si>
    <t>*COTTIE PETRIE-NORRIS (DEM)</t>
  </si>
  <si>
    <t>NORTH ORANGE COUNTY COMMUNITY COLLEGE DISTRICT Governing Board Member, Trustee Area 4</t>
  </si>
  <si>
    <t>MIGUEL ALVAREZ</t>
  </si>
  <si>
    <t>EVANGELINA REA ROSALES</t>
  </si>
  <si>
    <t>NORTH ORANGE COUNTY COMMUNITY COLLEGE DISTRICT Governing Board Member, Trustee Area 5</t>
  </si>
  <si>
    <t>*JACQUELINE RODARTE</t>
  </si>
  <si>
    <t>DAVE GARCIA-GOMEZ</t>
  </si>
  <si>
    <t>NORTH ORANGE COUNTY COMMUNITY COLLEGE DISTRICT Governing Board Member, Trustee Area 7</t>
  </si>
  <si>
    <t>*RYAN BENT</t>
  </si>
  <si>
    <t>KERI KROPKE</t>
  </si>
  <si>
    <t>COAST COMMUNITY COLLEGE DISTRICT Governing Board Member, Trustee Area 2</t>
  </si>
  <si>
    <t>*JERRY PATTERSON</t>
  </si>
  <si>
    <t>LONG PHAM</t>
  </si>
  <si>
    <t>TONY BUI</t>
  </si>
  <si>
    <t>COAST COMMUNITY COLLEGE DISTRICT Governing Board Member, Trustee Area 4</t>
  </si>
  <si>
    <t>MICHAEL B COLLIER</t>
  </si>
  <si>
    <t>*MARY HORNBUCKLE</t>
  </si>
  <si>
    <t>RANCHO SANTIAGO COMMUNITY COLLEGE DISTRICT Governing Board Member, Trustee Area 3</t>
  </si>
  <si>
    <t>SAL TINAJERO</t>
  </si>
  <si>
    <t>MIKE GONZALEZ</t>
  </si>
  <si>
    <t>RANCHO SANTIAGO COMMUNITY COLLEGE DISTRICT Governing Board Member, Trustee Area 5</t>
  </si>
  <si>
    <t>DAVID CROCKETT</t>
  </si>
  <si>
    <t>BRETT ELLIOTT FRANKLIN</t>
  </si>
  <si>
    <t>SAMUEL ULLOA</t>
  </si>
  <si>
    <t>RANCHO SANTIAGO COMMUNITY COLLEGE DISTRICT Governing Board Member, Trustee Area 7</t>
  </si>
  <si>
    <t>LORETTA SANCHEZ</t>
  </si>
  <si>
    <t>SOUTH ORANGE COUNTY COMMUNITY COLLEGE DISTRICT Governing Board Member, Trustee Area 1</t>
  </si>
  <si>
    <t>CAROLYN INMON</t>
  </si>
  <si>
    <t>HELEN LOCKE</t>
  </si>
  <si>
    <t>MATT WAID</t>
  </si>
  <si>
    <t>SOUTH ORANGE COUNTY COMMUNITY COLLEGE DISTRICT Governing Board Member, Trustee Area 6</t>
  </si>
  <si>
    <t>*JAMES R. WRIGHT</t>
  </si>
  <si>
    <t>RYAN DACK</t>
  </si>
  <si>
    <t>SOUTH ORANGE COUNTY COMMUNITY COLLEGE DISTRICT Governing Board Member, Trustee Area 7</t>
  </si>
  <si>
    <t>*TIMOTHY "TIM" JEMAL</t>
  </si>
  <si>
    <t>SEAN GAWNE</t>
  </si>
  <si>
    <t>MO ENTEZAMPOUR</t>
  </si>
  <si>
    <t>BREA OLINDA UNIFIED SCHOOL DISTRICT Governing Board Member, Trustee Area 5</t>
  </si>
  <si>
    <t>LAUREN BARNES</t>
  </si>
  <si>
    <t>*GAIL LYONS</t>
  </si>
  <si>
    <t>CAPISTRANO UNIFIED SCHOOL DISTRICT Governing Board Member, Trustee Area 2</t>
  </si>
  <si>
    <t>*JIM REARDON</t>
  </si>
  <si>
    <t>PAMELA BRAUNSTEIN</t>
  </si>
  <si>
    <t>CAPISTRANO UNIFIED SCHOOL DISTRICT Governing Board Member, Trustee Area 3</t>
  </si>
  <si>
    <t>SUE HILL</t>
  </si>
  <si>
    <t>LISA DAVIS</t>
  </si>
  <si>
    <t>ADRIENNE M. SILVA</t>
  </si>
  <si>
    <t>CAPISTRANO UNIFIED SCHOOL DISTRICT Governing Board Member, Trustee Area 5</t>
  </si>
  <si>
    <t>*KRISTA CASTELLANOS</t>
  </si>
  <si>
    <t>JASMINE FUNES</t>
  </si>
  <si>
    <t>PAUL HEBBARD</t>
  </si>
  <si>
    <t>GARDEN GROVE UNIFIED SCHOOL DISTRICT Governing Board Member, Trustee Area 1</t>
  </si>
  <si>
    <t>NICHOLAS DIBS</t>
  </si>
  <si>
    <t>*TERI ROCCO</t>
  </si>
  <si>
    <t>GARDEN GROVE UNIFIED SCHOOL DISTRICT Governing Board Member, Trustee Area 5</t>
  </si>
  <si>
    <t>*DINA NGUYEN</t>
  </si>
  <si>
    <t>PATRICK CAHILL</t>
  </si>
  <si>
    <t>SAMANTHA BAO ANH NGUYEN</t>
  </si>
  <si>
    <t>IRVINE UNIFIED SCHOOL DISTRICT Governing Board Member, Trustee Area 3</t>
  </si>
  <si>
    <t>BETHANY HUANG</t>
  </si>
  <si>
    <t>DOUGLAS EUPER</t>
  </si>
  <si>
    <t>CYRIL YU</t>
  </si>
  <si>
    <t>SIDNEY WU</t>
  </si>
  <si>
    <t>IRVINE UNIFIED SCHOOL DISTRICT Governing Board Member, Trustee Area 5</t>
  </si>
  <si>
    <t>*PAUL BOKOTA</t>
  </si>
  <si>
    <t>DEMETRA ARVANITIDIS</t>
  </si>
  <si>
    <t>LAGUNA BEACH UNIFIED SCHOOL DISTRICT Governing Board Member</t>
  </si>
  <si>
    <t>AMY KRAMER</t>
  </si>
  <si>
    <t>*JAN VICKERS</t>
  </si>
  <si>
    <t>SHERI MORGAN</t>
  </si>
  <si>
    <t>KELLY OSBORNE</t>
  </si>
  <si>
    <t>HOWARD HILLS</t>
  </si>
  <si>
    <t>LOS ALAMITOS UNIFIED SCHOOL DISTRICT Governing Board Member, Trustee Area 2</t>
  </si>
  <si>
    <t>PAURVI TRIVEDI</t>
  </si>
  <si>
    <t>CHRIS FOREHAN</t>
  </si>
  <si>
    <t>JODY L. ROUBANIS</t>
  </si>
  <si>
    <t>LOS ALAMITOS UNIFIED SCHOOL DISTRICT Governing Board Member, Trustee Area 5</t>
  </si>
  <si>
    <t>*MEG CUTULI</t>
  </si>
  <si>
    <t>MATT FILLER</t>
  </si>
  <si>
    <t>NEWPORT-MESA UNIFIED SCHOOL DISTRICT Governing Board Member, Trustee Area 1</t>
  </si>
  <si>
    <t>*VICKI SNELL</t>
  </si>
  <si>
    <t>LEAH ERSOYLU</t>
  </si>
  <si>
    <t>NEWPORT-MESA UNIFIED SCHOOL DISTRICT Governing Board Member, Trustee Area 3</t>
  </si>
  <si>
    <t>CAROL CRANE</t>
  </si>
  <si>
    <t>CHARLES KENT BOOKER</t>
  </si>
  <si>
    <t>NEWPORT-MESA UNIFIED SCHOOL DISTRICT Governing Board Member, Trustee Area 6</t>
  </si>
  <si>
    <t>KRISTA WEIGAND</t>
  </si>
  <si>
    <t>AMY PETERS</t>
  </si>
  <si>
    <t>XENO RALF MULLER II</t>
  </si>
  <si>
    <t>ALEXIS ZAVOURIS</t>
  </si>
  <si>
    <t>ORANGE UNIFIED SCHOOL DISTRICT Governing Board Member, Trustee Area 2</t>
  </si>
  <si>
    <t>*JOHN ORTEGA</t>
  </si>
  <si>
    <t>TIGER KENNEDY COSMOS</t>
  </si>
  <si>
    <t>ORANGE UNIFIED SCHOOL DISTRICT Governing Board Member, Trustee Area 3</t>
  </si>
  <si>
    <t>*ALEXIA DELIGIANNI-BRYDGES</t>
  </si>
  <si>
    <t>ANA PAGE</t>
  </si>
  <si>
    <t>ORANGE UNIFIED SCHOOL DISTRICT Governing Board Member, Trustee Area 6</t>
  </si>
  <si>
    <t>CARRIE LUNDELL</t>
  </si>
  <si>
    <t>ALEX MUNOZ</t>
  </si>
  <si>
    <t>APRIL BRASWELL</t>
  </si>
  <si>
    <t>ANGIE SCHLUETER-RUMSEY</t>
  </si>
  <si>
    <t>PLACENTIA-YORBA LINDA UNIFIED SCHOOL DISTRICT Governing Board Member, Trustee Area 1</t>
  </si>
  <si>
    <t>*ERIC PADGET</t>
  </si>
  <si>
    <t>PAOLING GUO</t>
  </si>
  <si>
    <t>SHAWN YOUNGBLOOD</t>
  </si>
  <si>
    <t>PLACENTIA-YORBA LINDA UNIFIED SCHOOL DISTRICT Governing Board Member, Trustee Area 2</t>
  </si>
  <si>
    <t>LASHE RODRIGUEZ</t>
  </si>
  <si>
    <t>JOSHUA CORREA</t>
  </si>
  <si>
    <t>MARILYN ANDERSON</t>
  </si>
  <si>
    <t>PLACENTIA-YORBA LINDA UNIFIED SCHOOL DISTRICT Governing Board Member, Trustee Area 3</t>
  </si>
  <si>
    <t>MISTY JANSSEN</t>
  </si>
  <si>
    <t>SUSAN METCALF</t>
  </si>
  <si>
    <t>MIKE NICOSIA</t>
  </si>
  <si>
    <t>LEANDRA BLADES</t>
  </si>
  <si>
    <t>SADDLEBACK VALLEY UNIFIED SCHOOL DISTRICT Governing Board Member, Trustee Area 2</t>
  </si>
  <si>
    <t>*EDWARD WONG</t>
  </si>
  <si>
    <t>TRICIA YEE</t>
  </si>
  <si>
    <t>SADDLEBACK VALLEY UNIFIED SCHOOL DISTRICT Governing Board Member, Trustee Area 4</t>
  </si>
  <si>
    <t>*AMANDA MORRELL</t>
  </si>
  <si>
    <t>SANTA ANA UNIFIED SCHOOL DISTRICT Governing Board Member</t>
  </si>
  <si>
    <t>*CAROLYN TORRES</t>
  </si>
  <si>
    <t>CECILIA AGUINAGA</t>
  </si>
  <si>
    <t>OSCAR REYES</t>
  </si>
  <si>
    <t>*ALFONSO ALVAREZ</t>
  </si>
  <si>
    <t>*RIGO RODRIGUEZ</t>
  </si>
  <si>
    <t>JUDITH CARRILLO</t>
  </si>
  <si>
    <t>TUSTIN UNIFIED SCHOOL DISTRICT Governing Board Member, Trustee Area 1</t>
  </si>
  <si>
    <t>ALLYSON M. DAMIKOLAS</t>
  </si>
  <si>
    <t>KIRK O. HAHN</t>
  </si>
  <si>
    <t>*TAMMIE K. BULLARD</t>
  </si>
  <si>
    <t>TUSTIN UNIFIED SCHOOL DISTRICT Governing Board Member, Trustee Area 2</t>
  </si>
  <si>
    <t>SUSAN M. STOCKS</t>
  </si>
  <si>
    <t>*JAMES H. LAIRD</t>
  </si>
  <si>
    <t>HUNTINGTON BEACH UNION HIGH SCHOOL DISTRICT Governing Board Member</t>
  </si>
  <si>
    <t>*SUSAN HENRY</t>
  </si>
  <si>
    <t>*MICHAEL SIMONS</t>
  </si>
  <si>
    <t>CHRISTINE HERNANDEZ</t>
  </si>
  <si>
    <t>SPENCER HAGAMAN</t>
  </si>
  <si>
    <t>SAUL LANKSTER</t>
  </si>
  <si>
    <t>CLAUDIA RAMOS</t>
  </si>
  <si>
    <t>ANAHEIM ELEMENTARY SCHOOL DISTRICT Governing Board Member, Trustee Area 3</t>
  </si>
  <si>
    <t>*JOSE PAOLO MAGCALAS</t>
  </si>
  <si>
    <t>LUCILLE KRING</t>
  </si>
  <si>
    <t>BUENA PARK SCHOOL DISTRICT Governing Board Member, Trustee Area 4</t>
  </si>
  <si>
    <t>L CAROLE JENSEN</t>
  </si>
  <si>
    <t>*IRENE CASTANEDA</t>
  </si>
  <si>
    <t>FOUNTAIN VALLEY SCHOOL DISTRICT Governing Board Member</t>
  </si>
  <si>
    <t>*JEANNE GALINDO</t>
  </si>
  <si>
    <t>STEVE SCHULTZ</t>
  </si>
  <si>
    <t>*IAN COLLINS</t>
  </si>
  <si>
    <t>TOM NGUYEN</t>
  </si>
  <si>
    <t>HUNTINGTON BEACH CITY SCHOOL DISTRICT Governing Board Member, Trustee Area 1</t>
  </si>
  <si>
    <t>*BRIDGET KAUB</t>
  </si>
  <si>
    <t>ROGER S. NOOR</t>
  </si>
  <si>
    <t>LA HABRA CITY SCHOOL DISTRICT Governing Board Member, Full Term</t>
  </si>
  <si>
    <t>JOHN DOBSON</t>
  </si>
  <si>
    <t>SUSAN M. PRITCHARD</t>
  </si>
  <si>
    <t>OFELIA CORONA HANSON</t>
  </si>
  <si>
    <t>WESTMINSTER SCHOOL DISTRICT Governing Board Member, Trustee Area 1</t>
  </si>
  <si>
    <t>DAVID JOHNSON</t>
  </si>
  <si>
    <t>ANGEL RAMIREZ</t>
  </si>
  <si>
    <t>County Supervisor, 1st District</t>
  </si>
  <si>
    <t>*ANDREW DO</t>
  </si>
  <si>
    <t>CITY OF ALISO VIEJO Member, City Council</t>
  </si>
  <si>
    <t>RICHARD HURT</t>
  </si>
  <si>
    <t>MICHAEL WINGER</t>
  </si>
  <si>
    <t>DAVID ZERO</t>
  </si>
  <si>
    <t>MICHAEL W. BROWN</t>
  </si>
  <si>
    <t>*ROSS CHUN</t>
  </si>
  <si>
    <t>*MIKE MUNZING</t>
  </si>
  <si>
    <t>MAX DUNCAN</t>
  </si>
  <si>
    <t>GREG J. WILLIAMS</t>
  </si>
  <si>
    <t>CITY OF ANAHEIM Member, City Council, District 1</t>
  </si>
  <si>
    <t>JOSE DIAZ</t>
  </si>
  <si>
    <t>RYAN BALIUS</t>
  </si>
  <si>
    <t>*DENISE BARNES</t>
  </si>
  <si>
    <t>CITY OF ANAHEIM Member, City Council, District 4</t>
  </si>
  <si>
    <t>JEANINE A. ROBBINS</t>
  </si>
  <si>
    <t>AVELINO VALENCIA</t>
  </si>
  <si>
    <t>JULIE BRUNETTE</t>
  </si>
  <si>
    <t>ANNEMARIE RANDLE-TREJO</t>
  </si>
  <si>
    <t>CITY OF ANAHEIM Member, City Council, District 5</t>
  </si>
  <si>
    <t>KENNETH BATISTE</t>
  </si>
  <si>
    <t>*STEVE FAESSEL</t>
  </si>
  <si>
    <t>SABRINA "SAV" QUEZADA</t>
  </si>
  <si>
    <t>CITY OF BREA Member, City Council</t>
  </si>
  <si>
    <t>*MARTY SIMONOFF</t>
  </si>
  <si>
    <t>*CHRISTINE MARICK</t>
  </si>
  <si>
    <t>ROBYN NEUFELD</t>
  </si>
  <si>
    <t>TYLER BAUGH</t>
  </si>
  <si>
    <t>CITY OF BREA City Treasurer</t>
  </si>
  <si>
    <t>BEV PERRY</t>
  </si>
  <si>
    <t>DENISE EBY</t>
  </si>
  <si>
    <t>CITY OF BUENA PARK Member, City Council, District 3</t>
  </si>
  <si>
    <t>SHARON SMITH</t>
  </si>
  <si>
    <t>SUSAN SONNE</t>
  </si>
  <si>
    <t>PAUL D. GONZALES</t>
  </si>
  <si>
    <t>CITY OF BUENA PARK Member, City Council, District 4</t>
  </si>
  <si>
    <t>DONNA VARONA SIPL</t>
  </si>
  <si>
    <t>ARTHUR C. BROWN</t>
  </si>
  <si>
    <t>CITY OF COSTA MESA Mayor</t>
  </si>
  <si>
    <t>AL MELONE</t>
  </si>
  <si>
    <t>*KATRINA FOLEY</t>
  </si>
  <si>
    <t>QUENTIN "Q" PULLEN</t>
  </si>
  <si>
    <t>WENDY BROOKS LEECE</t>
  </si>
  <si>
    <t>SANDRA L. "SANDY" GENIS</t>
  </si>
  <si>
    <t>CITY OF COSTA MESA Member, City Council, District 1</t>
  </si>
  <si>
    <t>*JOHN STEPHENS</t>
  </si>
  <si>
    <t>DON HARPER</t>
  </si>
  <si>
    <t>JASON KOMALA</t>
  </si>
  <si>
    <t>CITY OF COSTA MESA  Member, City Council, District 2</t>
  </si>
  <si>
    <t>LOREN GAMEROS</t>
  </si>
  <si>
    <t>GARY PARKIN</t>
  </si>
  <si>
    <t>CITY OF COSTA MESA Member, City Council, District 6</t>
  </si>
  <si>
    <t>JEFFREY HARLAN</t>
  </si>
  <si>
    <t>JEFF PETTIS</t>
  </si>
  <si>
    <t>HENGAMEH ABRAHAM</t>
  </si>
  <si>
    <t>LEE RAMOS</t>
  </si>
  <si>
    <t>CITY OF CYPRESS Member, City Council</t>
  </si>
  <si>
    <t>BLAZE BHENCE</t>
  </si>
  <si>
    <t>JIMMY FULLER</t>
  </si>
  <si>
    <t>STEVE MAUSS</t>
  </si>
  <si>
    <t>CARRIE KATSUMATA HAYASHIDA</t>
  </si>
  <si>
    <t>FRANCES MARQUEZ</t>
  </si>
  <si>
    <t>COLE THOMPSON</t>
  </si>
  <si>
    <t>ANNE HERTZ</t>
  </si>
  <si>
    <t>RACHEL STRONG</t>
  </si>
  <si>
    <t>DAVID GERSTEN</t>
  </si>
  <si>
    <t>CITY OF DANA POINT Member, City Council, District 4</t>
  </si>
  <si>
    <t>MIKE FROST</t>
  </si>
  <si>
    <t>GARY NEWKIRK</t>
  </si>
  <si>
    <t>CITY OF DANA POINT Member, City Council, District 5</t>
  </si>
  <si>
    <t>BENJAMIN TYLER BEBEE</t>
  </si>
  <si>
    <t>MICHAEL VILLAR</t>
  </si>
  <si>
    <t>CITY OF FOUNTAIN VALLEY Member, City Council</t>
  </si>
  <si>
    <t>JIM CUNNEEN</t>
  </si>
  <si>
    <t>MAI KHANH TRAN</t>
  </si>
  <si>
    <t>GLENN GRANDIS</t>
  </si>
  <si>
    <t>TED BUI</t>
  </si>
  <si>
    <t>*CHERYL BROTHERS</t>
  </si>
  <si>
    <t>MARY PHAM</t>
  </si>
  <si>
    <t>CITY OF FULLERTON Member, City Council, District 1</t>
  </si>
  <si>
    <t>FRED JUNG</t>
  </si>
  <si>
    <t>ANDREW CHO</t>
  </si>
  <si>
    <t>CITY OF FULLERTON Member, City Council, District 2</t>
  </si>
  <si>
    <t>CHUCK SARGEANT</t>
  </si>
  <si>
    <t>MACKENZIE CHANG</t>
  </si>
  <si>
    <t>FAISAL QAZI</t>
  </si>
  <si>
    <t>CITY OF FULLERTON Member, City Council, District 4</t>
  </si>
  <si>
    <t>AARUNI THAKUR</t>
  </si>
  <si>
    <t>BRUCE WHITAKER</t>
  </si>
  <si>
    <t>CITY OF GARDEN GROVE Mayor</t>
  </si>
  <si>
    <t>*STEVE JONES</t>
  </si>
  <si>
    <t>DONALD TAYLOR</t>
  </si>
  <si>
    <t>PHAT BUI</t>
  </si>
  <si>
    <t>DUY NGUYEN</t>
  </si>
  <si>
    <t>CITY OF GARDEN GROVE Member, City Council, District 2</t>
  </si>
  <si>
    <t>*JOHN R. O'NEILL</t>
  </si>
  <si>
    <t>JULIE DIEP</t>
  </si>
  <si>
    <t>CITY OF GARDEN GROVE Member, City Council, District 5</t>
  </si>
  <si>
    <t>*STEPHANIE KLOPFENSTEIN</t>
  </si>
  <si>
    <t>ROBERT TUCKER</t>
  </si>
  <si>
    <t>CITY OF GARDEN GROVE Member, City Council, District 6</t>
  </si>
  <si>
    <t>*KIM BERNICE NGUYEN</t>
  </si>
  <si>
    <t>HUAN C. NGUYEN</t>
  </si>
  <si>
    <t>CITY OF HUNTINGTON BEACH Member, City Council</t>
  </si>
  <si>
    <t>DAN KALMICK</t>
  </si>
  <si>
    <t>SONYA GREEN</t>
  </si>
  <si>
    <t>AMORY HANSON</t>
  </si>
  <si>
    <t>NATALIE MOSER</t>
  </si>
  <si>
    <t>JOHN BRISCOE</t>
  </si>
  <si>
    <t>ERIC "SILK" SILKENSON</t>
  </si>
  <si>
    <t>THOMAS MATTHEW LAPARNE</t>
  </si>
  <si>
    <t>JEFF MORIN</t>
  </si>
  <si>
    <t>TITO ORTIZ</t>
  </si>
  <si>
    <t>CASEY MCKEON</t>
  </si>
  <si>
    <t>MATTHEW HARPER</t>
  </si>
  <si>
    <t>WILLIAM BILLY O'CONNELL</t>
  </si>
  <si>
    <t>CITY OF HUNTINGTON BEACH City Clerk</t>
  </si>
  <si>
    <t>*ROBIN ESTANISLAU</t>
  </si>
  <si>
    <t>CITY OF HUNTINGTON BEACH City Treasurer</t>
  </si>
  <si>
    <t>ALISA BACKSTROM</t>
  </si>
  <si>
    <t>CITY OF IRVINE Mayor</t>
  </si>
  <si>
    <t>FARRAH N. KHAN</t>
  </si>
  <si>
    <t>*CHRISTINA L. SHEA</t>
  </si>
  <si>
    <t>LUIS HUANG</t>
  </si>
  <si>
    <t>CITY OF IRVINE Member, City Council</t>
  </si>
  <si>
    <t>MARK NEWGENT</t>
  </si>
  <si>
    <t>CHRISTINA DILLARD</t>
  </si>
  <si>
    <t>ABIGAIL K. POLE</t>
  </si>
  <si>
    <t>*MIKE CARROLL</t>
  </si>
  <si>
    <t>CARRIE O'MALLEY</t>
  </si>
  <si>
    <t>HAI YANG LIANG</t>
  </si>
  <si>
    <t>LAURA BRATTON</t>
  </si>
  <si>
    <t>DIANA JIANG</t>
  </si>
  <si>
    <t>DYLAN GREEN</t>
  </si>
  <si>
    <t>ANSHUL GARG</t>
  </si>
  <si>
    <t>LARRY AGRAN</t>
  </si>
  <si>
    <t>CITY OF LAGUNA BEACH Member, City Council</t>
  </si>
  <si>
    <t>GEORGE WEISS</t>
  </si>
  <si>
    <t>LARRY NOKES</t>
  </si>
  <si>
    <t>*BOB WHALEN</t>
  </si>
  <si>
    <t>*STEVE DICTEROW</t>
  </si>
  <si>
    <t>RUBEN FLORES</t>
  </si>
  <si>
    <t>CITY OF LAGUNA BEACH City Clerk</t>
  </si>
  <si>
    <t>ANN MARIE MCKAY</t>
  </si>
  <si>
    <t>MARIANN TRACY</t>
  </si>
  <si>
    <t>CITY OF LAGUNA BEACH City Treasurer</t>
  </si>
  <si>
    <t>*LAURA PARISI</t>
  </si>
  <si>
    <t>CITY OF LAGUNA HILLS Member, City Council</t>
  </si>
  <si>
    <t>BILL HUNT</t>
  </si>
  <si>
    <t>*JANINE HEFT</t>
  </si>
  <si>
    <t>NICK WOOD</t>
  </si>
  <si>
    <t>CITY OF LAGUNA NIGUEL Member, City Council</t>
  </si>
  <si>
    <t>RISCHI PAUL SHARMA</t>
  </si>
  <si>
    <t>KELLY JENNINGS</t>
  </si>
  <si>
    <t>*SANDY RAINS</t>
  </si>
  <si>
    <t>SHERRY ASTRELLA</t>
  </si>
  <si>
    <t>MICHAEL HARVEY FAIR</t>
  </si>
  <si>
    <t>STEPHANIE ODDO</t>
  </si>
  <si>
    <t>SHANI MOSLEHI</t>
  </si>
  <si>
    <t>JOHN DHALIWAL</t>
  </si>
  <si>
    <t>CITY OF LAGUNA WOODS Member, City Council</t>
  </si>
  <si>
    <t>*NOEL HATCH</t>
  </si>
  <si>
    <t>*SHARI L HORNE</t>
  </si>
  <si>
    <t>*CYNTHIA CONNERS</t>
  </si>
  <si>
    <t>JUDITH P. TROUTMAN</t>
  </si>
  <si>
    <t>KATHRYN ROBBINS</t>
  </si>
  <si>
    <t>CITY OF LA HABRA Member, City Council</t>
  </si>
  <si>
    <t>STEVE SIMONIAN</t>
  </si>
  <si>
    <t>PETER CRUZ</t>
  </si>
  <si>
    <t>*TIM SHAW</t>
  </si>
  <si>
    <t>*ROSE ESPINOZA</t>
  </si>
  <si>
    <t>CITY OF LAKE FOREST Member, City Council, District 1</t>
  </si>
  <si>
    <t>LORI BERGER</t>
  </si>
  <si>
    <t>RICHA SHARMA</t>
  </si>
  <si>
    <t>LOUISE M ROBERTSON</t>
  </si>
  <si>
    <t>DOUG CIRBO</t>
  </si>
  <si>
    <t>CHRIS MCDONALD</t>
  </si>
  <si>
    <t>NICK TANNER</t>
  </si>
  <si>
    <t>CITY OF LAKE FOREST Member, City Council, District 5</t>
  </si>
  <si>
    <t>ROBERT PEQUENO</t>
  </si>
  <si>
    <t>JEANNETTE J. NADAL</t>
  </si>
  <si>
    <t>LARISSA CLARK</t>
  </si>
  <si>
    <t>FRANK WAGONER</t>
  </si>
  <si>
    <t>SHANE JONES</t>
  </si>
  <si>
    <t>CITY OF LA PALMA Member, City Council</t>
  </si>
  <si>
    <t>TAYLOR H.W. QUAN</t>
  </si>
  <si>
    <t>*MARSHALL GOODMAN</t>
  </si>
  <si>
    <t>MARK I. WALDMAN</t>
  </si>
  <si>
    <t>EMANUEL APARICIO</t>
  </si>
  <si>
    <t>DEBBIE BAKER</t>
  </si>
  <si>
    <t>APRIL KAMILAH BAGASAO BAUTISTA</t>
  </si>
  <si>
    <t>CITY OF LOS ALAMITOS Member, City Council, District 1</t>
  </si>
  <si>
    <t>TANYA DOBY</t>
  </si>
  <si>
    <t>DEAN GROSE</t>
  </si>
  <si>
    <t>CITY OF LOS ALAMITOS Member, City Council, District 2</t>
  </si>
  <si>
    <t>KATE HALLMAN</t>
  </si>
  <si>
    <t>RON BATES</t>
  </si>
  <si>
    <t>CITY OF LOS ALAMITOS Member, City Council, District 3</t>
  </si>
  <si>
    <t>JORDAN B. NEFULDA</t>
  </si>
  <si>
    <t>CITY OF MISSION VIEJO Member, City Council, Two-Year Term</t>
  </si>
  <si>
    <t>STEVE SIPE</t>
  </si>
  <si>
    <t>RYAN TWOREK</t>
  </si>
  <si>
    <t>PAULINE HALE</t>
  </si>
  <si>
    <t>*PATRICIA "TRISH" KELLEY</t>
  </si>
  <si>
    <t>JESSICA GILBERT</t>
  </si>
  <si>
    <t>*BRIAN GOODELL</t>
  </si>
  <si>
    <t>CATHY SCHLICHT</t>
  </si>
  <si>
    <t>MICHAEL MCCONNELL</t>
  </si>
  <si>
    <t>CITY OF NEWPORT BEACH Member, City Council, District 2</t>
  </si>
  <si>
    <t>NANCY SCARBROUGH</t>
  </si>
  <si>
    <t>*BRAD AVERY</t>
  </si>
  <si>
    <t>CITY OF NEWPORT BEACH Member, City Council, District 5</t>
  </si>
  <si>
    <t>*JEFF HERDMAN</t>
  </si>
  <si>
    <t>NOAH BLOM</t>
  </si>
  <si>
    <t>CITY OF NEWPORT BEACH Member, City Council, District 7</t>
  </si>
  <si>
    <t>*WILL O'NEILL</t>
  </si>
  <si>
    <t>CITY OF ORANGE Mayor</t>
  </si>
  <si>
    <t>ADRIENNE GLADSON</t>
  </si>
  <si>
    <t>*MARK A MURPHY</t>
  </si>
  <si>
    <t>CITY OF ORANGE Member, City Council, District 1</t>
  </si>
  <si>
    <t>CHRISTIAN L. VAUGHAN</t>
  </si>
  <si>
    <t>ARIANNA BARRIOS</t>
  </si>
  <si>
    <t>DAVID VAZQUEZ</t>
  </si>
  <si>
    <t>CITY OF ORANGE Member, City Council, District 2</t>
  </si>
  <si>
    <t>DANIEL CORREA</t>
  </si>
  <si>
    <t>JON DUMITRU</t>
  </si>
  <si>
    <t>MARTIN VARONA</t>
  </si>
  <si>
    <t>CAROLINE ALATORRE</t>
  </si>
  <si>
    <t>CITY OF ORANGE Member, City Council, District 3</t>
  </si>
  <si>
    <t>MIKE ALVAREZ</t>
  </si>
  <si>
    <t>DANETT ABBOTT-WICKER</t>
  </si>
  <si>
    <t>JOHN R RUSSO</t>
  </si>
  <si>
    <t>CITY OF ORANGE Member, City Council, District 5</t>
  </si>
  <si>
    <t>ANA GUTIERREZ</t>
  </si>
  <si>
    <t>RICK LEDESMA</t>
  </si>
  <si>
    <t>CITY OF ORANGE City Clerk</t>
  </si>
  <si>
    <t>*PAMELA COLEMAN</t>
  </si>
  <si>
    <t>CITY OF ORANGE City Treasurer</t>
  </si>
  <si>
    <t>*RICHARD A ROHM</t>
  </si>
  <si>
    <t>CITY OF PLACENTIA Member, City Council, District 1</t>
  </si>
  <si>
    <t>DEVON GRAY</t>
  </si>
  <si>
    <t>*RHONDA SHADER</t>
  </si>
  <si>
    <t>CITY OF PLACENTIA Member, City Council, District 3</t>
  </si>
  <si>
    <t>*JEREMY B. YAMAGUCHI</t>
  </si>
  <si>
    <t>CITY OF PLACENTIA Member, City Council, District 5</t>
  </si>
  <si>
    <t>HILAIRE FUJI SHIOURA</t>
  </si>
  <si>
    <t>*WARD L. SMITH</t>
  </si>
  <si>
    <t>CITY OF PLACENTIA City Clerk, Short Term</t>
  </si>
  <si>
    <t>*ROBERT S. "BOB" MCKINNELL</t>
  </si>
  <si>
    <t>CITY OF PLACENTIA City Treasurer</t>
  </si>
  <si>
    <t>*KEVIN A. LARSON</t>
  </si>
  <si>
    <t>RANCHO SANTA MARGARITA Member, City Council</t>
  </si>
  <si>
    <t>GLENN ACOSTA</t>
  </si>
  <si>
    <t>JOHN CHRISTOPOULOS</t>
  </si>
  <si>
    <t>*CAROL GAMBLE</t>
  </si>
  <si>
    <t>CHRIS K. MCLAUGHLIN</t>
  </si>
  <si>
    <t>BETH SCHWARTZ</t>
  </si>
  <si>
    <t>JULIA BENDIS</t>
  </si>
  <si>
    <t>ANDREA MACHUCA</t>
  </si>
  <si>
    <t>*TONY BEALL</t>
  </si>
  <si>
    <t>WENDY BRAUN</t>
  </si>
  <si>
    <t>CITY OF SAN CLEMENTE Member, City Council, Full Term</t>
  </si>
  <si>
    <t>AARON WASHINGTON</t>
  </si>
  <si>
    <t>PATRICK MINNEHAN</t>
  </si>
  <si>
    <t>CHRIS DUNCAN</t>
  </si>
  <si>
    <t>JEFF WELLMAN</t>
  </si>
  <si>
    <t>CHARLIE SMITH</t>
  </si>
  <si>
    <t>BILL HART</t>
  </si>
  <si>
    <t>*GENE JAMES</t>
  </si>
  <si>
    <t>JOSEPH KENNEY</t>
  </si>
  <si>
    <t>THOR JOHNSON</t>
  </si>
  <si>
    <t>JEFF PROVANCE JR</t>
  </si>
  <si>
    <t>CITY OF SAN CLEMENTE City Clerk</t>
  </si>
  <si>
    <t>*JOANNE BAADE</t>
  </si>
  <si>
    <t>CITY OF SAN CLEMENTE City Treasurer</t>
  </si>
  <si>
    <t>*MARK A. TAYLOR</t>
  </si>
  <si>
    <t>CITY OF SAN CLEMENTE Member, City Council, Short Term</t>
  </si>
  <si>
    <t>LARON RUSH</t>
  </si>
  <si>
    <t>STEVEN KNOBLOCK</t>
  </si>
  <si>
    <t>TYLER BODEN</t>
  </si>
  <si>
    <t>DONNA VIDRINE</t>
  </si>
  <si>
    <t>ZHEN WU</t>
  </si>
  <si>
    <t>JERRY QUINLAN</t>
  </si>
  <si>
    <t>JIM DAHL</t>
  </si>
  <si>
    <t>GEORGE T. GREGORY</t>
  </si>
  <si>
    <t>CITY OF SAN JUAN CAPISTRANO Member, City Council, District 5</t>
  </si>
  <si>
    <t>JOHN ALPAY</t>
  </si>
  <si>
    <t>HOWARD HART</t>
  </si>
  <si>
    <t>CITY OF SANTA ANA Mayor</t>
  </si>
  <si>
    <t>CLAUDIA C. ALVAREZ</t>
  </si>
  <si>
    <t>VICENTE SARMIENTO</t>
  </si>
  <si>
    <t>GEORGE M COLLINS</t>
  </si>
  <si>
    <t>JOSE SOLORIO</t>
  </si>
  <si>
    <t>MARK I. LOPEZ</t>
  </si>
  <si>
    <t>CITY OF SANTA ANA Member, City Council, Ward 1</t>
  </si>
  <si>
    <t>CYNTHIA CONTRERAS</t>
  </si>
  <si>
    <t>ANTONIO "TONY" ADAME</t>
  </si>
  <si>
    <t>CITY OF SANTA ANA Member, City Council, Ward 3</t>
  </si>
  <si>
    <t>DANNY VEGA</t>
  </si>
  <si>
    <t>MARK MCLOUGHLIN</t>
  </si>
  <si>
    <t>JEFFREY KATZ</t>
  </si>
  <si>
    <t>JANNELLE WELKER</t>
  </si>
  <si>
    <t>CITY OF SANTA ANA Member, City Council, Ward 5</t>
  </si>
  <si>
    <t>*JUAN VILLEGAS</t>
  </si>
  <si>
    <t>VIC MENDEZ</t>
  </si>
  <si>
    <t>JOHNATHAN RYAN HERNANDEZ</t>
  </si>
  <si>
    <t>LAURA PEREZ</t>
  </si>
  <si>
    <t>CITY OF SEAL BEACH Member, City Council, District 2</t>
  </si>
  <si>
    <t>*THOMAS MOORE</t>
  </si>
  <si>
    <t>CAROLE S. DAMOCI</t>
  </si>
  <si>
    <t>CITY OF SEAL BEACH Member, City Council, District 4</t>
  </si>
  <si>
    <t>*SCHELLY SUSTARSIC</t>
  </si>
  <si>
    <t>CITY OF STANTON Member, City Council, District 2</t>
  </si>
  <si>
    <t>*HONG ALYCE VAN</t>
  </si>
  <si>
    <t>CITY OF STANTON Member, City Council, District 4</t>
  </si>
  <si>
    <t>*CAROL WARREN</t>
  </si>
  <si>
    <t>JEFF JONES</t>
  </si>
  <si>
    <t>JOSH ESTRADA</t>
  </si>
  <si>
    <t>CITY OF TUSTIN Member, City Council</t>
  </si>
  <si>
    <t>*LETITIA CLARK</t>
  </si>
  <si>
    <t>KURT BENSWORTH</t>
  </si>
  <si>
    <t>AJ JHA</t>
  </si>
  <si>
    <t>LEE FINK</t>
  </si>
  <si>
    <t>RYAN GALLAGHER</t>
  </si>
  <si>
    <t>JORGE VALDES</t>
  </si>
  <si>
    <t>CRISTIAN CUSAC</t>
  </si>
  <si>
    <t>JAIME "JAMES" PEREZ</t>
  </si>
  <si>
    <t>CITY OF WESTMINSTER Member, City Council, District 2</t>
  </si>
  <si>
    <t>CARLOS MANZO</t>
  </si>
  <si>
    <t>NAMQUAN NGUYEN</t>
  </si>
  <si>
    <t>TRUNG TA</t>
  </si>
  <si>
    <t>CITY OF WESTMINSTER Member, City Council, District 3</t>
  </si>
  <si>
    <t>KIMBERLY HO</t>
  </si>
  <si>
    <t>TAI DO</t>
  </si>
  <si>
    <t>CAPISTRANO BAY COMMUNITY SERVICES DISTRICT Director</t>
  </si>
  <si>
    <t>WILLIAM WIERSIG</t>
  </si>
  <si>
    <t>BRAD L. JENKINS</t>
  </si>
  <si>
    <t>YURI CRAMER</t>
  </si>
  <si>
    <t>ROSSMOOR COMMUNITY SERVICES DISTRICT Director, Full Term</t>
  </si>
  <si>
    <t>*TONY DEMARCO</t>
  </si>
  <si>
    <t>*MICHAEL MAYNARD</t>
  </si>
  <si>
    <t>JOYCE BLOOM</t>
  </si>
  <si>
    <t>NATHAN SEARLES</t>
  </si>
  <si>
    <t>SILVERADO-MODJESKA RECREATION AND PARK DISTRICT Director</t>
  </si>
  <si>
    <t>CELESTE GOFF VEERKAMP</t>
  </si>
  <si>
    <t>JULIE A. MORRIS</t>
  </si>
  <si>
    <t>MICHELE GRACE AGOPIAN</t>
  </si>
  <si>
    <t>COSTA MESA SANITARY DISTRICT Director, Division 2</t>
  </si>
  <si>
    <t>*JAMES FERRYMAN</t>
  </si>
  <si>
    <t>BRETT ECKLES</t>
  </si>
  <si>
    <t>COSTA MESA SANITARY DISTRICT Director, Division 4</t>
  </si>
  <si>
    <t>*ART PERRY</t>
  </si>
  <si>
    <t>MICHELLE FIGUEREDO-WILSON</t>
  </si>
  <si>
    <t>MIDWAY CITY SANITARY DISTRICT Director</t>
  </si>
  <si>
    <t>ASHTON ROGER KAUWE</t>
  </si>
  <si>
    <t>*CHI CHARLIE NGUYEN</t>
  </si>
  <si>
    <t>JAMISON POWER</t>
  </si>
  <si>
    <t>TYLER DIEP</t>
  </si>
  <si>
    <t>SUNSET BEACH SANITARY DISTRICT Director, Full Term</t>
  </si>
  <si>
    <t>DAVID EVANS</t>
  </si>
  <si>
    <t>*JOHN H. WOODS</t>
  </si>
  <si>
    <t>*JON H. REGNIER</t>
  </si>
  <si>
    <t>*GRAHAM HOAD</t>
  </si>
  <si>
    <t>SURFSIDE COLONY STORM WATER PROTECTION DISTRICT Trustee</t>
  </si>
  <si>
    <t>VICTOR J. KRISS</t>
  </si>
  <si>
    <t>*LINDA GAROFALO</t>
  </si>
  <si>
    <t>DAVE CHAMBERLAIN</t>
  </si>
  <si>
    <t>IRVINE RANCH WATER DISTRICT Director, Division 4</t>
  </si>
  <si>
    <t>*MARY AILEEN MATHEIS</t>
  </si>
  <si>
    <t>KAREN MCLAUGHLIN</t>
  </si>
  <si>
    <t>SANTA MARGARITA WATER DISTRICT Director</t>
  </si>
  <si>
    <t>*CHARLES "CHUCK" GIBSON</t>
  </si>
  <si>
    <t>*BETTY H. OLSON</t>
  </si>
  <si>
    <t>*FRANK URY</t>
  </si>
  <si>
    <t>WARREN MARTIN</t>
  </si>
  <si>
    <t>EAST ORANGE COUNTY WATER DISTRICT Director</t>
  </si>
  <si>
    <t>*JOHN L SEARS</t>
  </si>
  <si>
    <t>*DOUGLASS S. DAVERT</t>
  </si>
  <si>
    <t>NOBLE ALEJANDRO DRAKOLN</t>
  </si>
  <si>
    <t>JULIO F. MORALES</t>
  </si>
  <si>
    <t>MESA WATER DISTRICT Director, Division 2</t>
  </si>
  <si>
    <t>*JAMES R. FISLER</t>
  </si>
  <si>
    <t>ADAM C. ERETH</t>
  </si>
  <si>
    <t>ORANGE COUNTY WATER DISTRICT Director, Division 4</t>
  </si>
  <si>
    <t>*TRI TA</t>
  </si>
  <si>
    <t>KRIS BEARD</t>
  </si>
  <si>
    <t>JASMIN CARMADELLA</t>
  </si>
  <si>
    <t>ORANGE COUNTY WATER DISTRICT Director, Division 6</t>
  </si>
  <si>
    <t>*CATHY GREEN</t>
  </si>
  <si>
    <t>MICHAEL ELLIOTT</t>
  </si>
  <si>
    <t>SOUTH COAST WATER DISTRICT Director</t>
  </si>
  <si>
    <t>MARKUS J. LENGER</t>
  </si>
  <si>
    <t>SCOTT GOLDMAN</t>
  </si>
  <si>
    <t>*RICK ERKENEFF</t>
  </si>
  <si>
    <t>*DOUGLAS ERDMAN</t>
  </si>
  <si>
    <t>*WAYNE RAYFIELD</t>
  </si>
  <si>
    <t>MUNICIPAL WATER DISTRICT OF ORANGE COUNTY Director, Division 1, Short Term</t>
  </si>
  <si>
    <t>AL NEDERHOOD</t>
  </si>
  <si>
    <t>SCOTT HUPP</t>
  </si>
  <si>
    <t>FRED R. SMITH</t>
  </si>
  <si>
    <t>MUNICIPAL WATER DISTRICT OF ORANGE COUNTY Director, Division 3</t>
  </si>
  <si>
    <t>*ROBERT R. "BOB" MCVICKER</t>
  </si>
  <si>
    <t>LINDA MOULTON-PATTERSON</t>
  </si>
  <si>
    <t>KATHY-NGUYET PHAM</t>
  </si>
  <si>
    <t>MUNICIPAL WATER DISTRICT OF ORANGE COUNTY Director, Division 4</t>
  </si>
  <si>
    <t>KARL SECKEL</t>
  </si>
  <si>
    <t>CHRISTOPHER GANIERE</t>
  </si>
  <si>
    <t>DANA M REED</t>
  </si>
  <si>
    <t>STACY LYNNE TAYLOR</t>
  </si>
  <si>
    <t>ALLAN R. MANSOOR</t>
  </si>
  <si>
    <t>MUNICIPAL WATER DISTRICT OF ORANGE COUNTY Director, Division 7</t>
  </si>
  <si>
    <t>*MEGAN YOO SCHNEIDER</t>
  </si>
  <si>
    <t>DEBBIE NEEV</t>
  </si>
  <si>
    <t>BUENA PARK LIBRARY DISTRICT Trustee</t>
  </si>
  <si>
    <t>*DENNIS LEE SALTS</t>
  </si>
  <si>
    <t>*PATRICIA GANER</t>
  </si>
  <si>
    <t>SANTIAGO GEOLOGIC HAZARD ABATEMENT DISTRICT Director, Full Term</t>
  </si>
  <si>
    <t>JAMES GUZIAK</t>
  </si>
  <si>
    <t>*CRAIG S. SCHILL</t>
  </si>
  <si>
    <t>BHAVIN PATEL</t>
  </si>
  <si>
    <t>Proposition 14 - AUTHORIZES BONDS CONTINUING STEM CELL RESEARCH</t>
  </si>
  <si>
    <t xml:space="preserve">Proposition 15 - INCREASES FUNDING SOURCES FOR PUBLIC SCHOOLS, COMMUNITY COLLEGES, AND LOCAL GOVERNMENT SERVICES </t>
  </si>
  <si>
    <t>Proposition 16 - ALLOWS DIVERSITY AS A FACTOR IN PUBLIC EMPLOYMENT, EDUCATION, AND CONTRACTING DECISIONS</t>
  </si>
  <si>
    <t>Proposition 17 - RESTORES RIGHT TO VOTE AFTER COMPLETION OF PRISON TERM</t>
  </si>
  <si>
    <t>Proposition 18 - AMENDS CALIFORNIA CONSTITUTION TO PERMIT 17- YEAR-OLDS TO VOTE IN PRIMARY AND SPECIAL ELECTIONS</t>
  </si>
  <si>
    <t>Proposition 19 - CHANGES CERTAIN PROPERTY TAX RULES</t>
  </si>
  <si>
    <t>Proposition 20 - RESTRICTS PAROLE FOR CERTAIN OFFENSES CURRENTLY CONSIDERED TO BE NONVIOLENT</t>
  </si>
  <si>
    <t>Proposition 21 - EXPANDS LOCAL GOVERNMENTS' AUTHORITY TO ENACT RENT CONTROL ON RESIDENTIAL PROPERTY</t>
  </si>
  <si>
    <t>Proposition 22 - EXEMPTS APP-BASED TRANSPORTATION AND DELIVERY COMPANIES FROM PROVIDING EMPLOYEE BENEFITS TO CERTAIN DRIVERS</t>
  </si>
  <si>
    <t>Proposition 23 - ESTABLISHES STATE REQUIREMENTS FOR KIDNEY DIALYSIS CLINICS</t>
  </si>
  <si>
    <t>Proposition 24 - AMENDS CONSUMER PRIVACY LAWS</t>
  </si>
  <si>
    <t>Proposition 25 - REFERENDUM ON LAW THAT REPLACED MONEY BAIL WITH SYSTEM BASED ON PUBLIC SAFETY AND FLIGHT RISK</t>
  </si>
  <si>
    <t>P-City of Cypress, Amend City Charter to Update Noticing, Election Procedures, and Process for Filling a Council Vacancy</t>
  </si>
  <si>
    <t>Q-City of Costa Mesa, Retail Cannabis Tax and Regulation Measure</t>
  </si>
  <si>
    <t>S-City of Fullerton, Community Services, Street Repair, and Emergency Response Measure</t>
  </si>
  <si>
    <t>U-City of Fullerton, Fireworks Ballot Measure</t>
  </si>
  <si>
    <t>V-City of Laguna Woods, Advisory Measure on Marijuana Dispensaries</t>
  </si>
  <si>
    <t>W-City of La Habra, Cannabis Business Tax/Regulation Ordinance of 2020</t>
  </si>
  <si>
    <t>X-City of La Habra,  Citizensâ€™ Initiative for Preservation of Open Space in La Habra</t>
  </si>
  <si>
    <t>Y-City of Los Alamitos, Quality of Life, 911 Police Response, Business/Job Protection Measure</t>
  </si>
  <si>
    <t>Z-City of Newport Beach,  Addition of Harbor Commission to the Newport Beach City Charter</t>
  </si>
  <si>
    <t>AA-City of Orange, The Trails at Santiago Creek Open Space and Residential Project</t>
  </si>
  <si>
    <t>BB-City of San Clemente, City Council Term Limits</t>
  </si>
  <si>
    <t>CC-City of Tustin, Limited Council Compensation</t>
  </si>
  <si>
    <t>DD-City of Westminster, Term Limits</t>
  </si>
  <si>
    <t>Santa Clarita Valley Water Agency Division 3</t>
  </si>
  <si>
    <t>Bj Atkins</t>
  </si>
  <si>
    <t>SB County Board of Education Area 4</t>
  </si>
  <si>
    <t>Jim Richardson</t>
  </si>
  <si>
    <t>Kathye Armitage</t>
  </si>
  <si>
    <t>Stacy Fortner</t>
  </si>
  <si>
    <t>President and Vice President</t>
  </si>
  <si>
    <t>Joseph Kishore</t>
  </si>
  <si>
    <t>Brock Pierce</t>
  </si>
  <si>
    <t>Maria Gutzeit</t>
  </si>
  <si>
    <t>Roberta Heter</t>
  </si>
  <si>
    <t>Mark Charles</t>
  </si>
  <si>
    <t>Jesse Ventura</t>
  </si>
  <si>
    <t>Michelle De Werd</t>
  </si>
  <si>
    <t>Brian Carroll</t>
  </si>
  <si>
    <t>Las Virgenes Unified School District</t>
  </si>
  <si>
    <t>Linda Menges</t>
  </si>
  <si>
    <t>Kiyomi Kowalski</t>
  </si>
  <si>
    <t>San Buenaventura City Council District 7</t>
  </si>
  <si>
    <t>Nolan</t>
  </si>
  <si>
    <t>Oxnard City Council District 4</t>
  </si>
  <si>
    <t>Efrain Jimenez Ii</t>
  </si>
  <si>
    <t>Santa Paula Unified School District Area 4</t>
  </si>
  <si>
    <t>Michelle Kolbeck</t>
  </si>
  <si>
    <t>Ojai City Council District 4</t>
  </si>
  <si>
    <t xml:space="preserve"> Jeri Becker</t>
  </si>
  <si>
    <t>Meiners Oaks Water Dist</t>
  </si>
  <si>
    <t>John Russell</t>
  </si>
  <si>
    <t>Bell Canyon Cmmnty Srvs Dist</t>
  </si>
  <si>
    <t>Yossi Kviatkovsky</t>
  </si>
  <si>
    <t>Casitas Muni Water Dist Div 2</t>
  </si>
  <si>
    <t>David L. Norrdin</t>
  </si>
  <si>
    <t>30th Congressional District</t>
  </si>
  <si>
    <t>Mark S. Reed</t>
  </si>
  <si>
    <t>Dennis Roy</t>
  </si>
  <si>
    <t>Member of the Assembly 45th District</t>
  </si>
  <si>
    <t>Jeffi Girgenti</t>
  </si>
  <si>
    <t>Richard Levy</t>
  </si>
  <si>
    <t>Santa Paula Unified School District Area 5</t>
  </si>
  <si>
    <t>Aaron Dunkel</t>
  </si>
  <si>
    <t>Jesse Gabriel</t>
  </si>
  <si>
    <t>Eric Wolf</t>
  </si>
  <si>
    <t>Suza Francina</t>
  </si>
  <si>
    <t>Santa Rosa Valley MAC</t>
  </si>
  <si>
    <t>Mark H. Roddy</t>
  </si>
  <si>
    <t>Moorpark Unified School District Area 5</t>
  </si>
  <si>
    <t>Michelle Barrett</t>
  </si>
  <si>
    <t>Moorpark City Council District 4</t>
  </si>
  <si>
    <t>Cristian Gonzaga</t>
  </si>
  <si>
    <t>Brad Sherman</t>
  </si>
  <si>
    <t>Ojai Valley Sanitary Dist Div 3</t>
  </si>
  <si>
    <t>Jeff Ketelsen</t>
  </si>
  <si>
    <t>Ojai Valley Sanitary Dist Div 5</t>
  </si>
  <si>
    <t>Robin Gerber</t>
  </si>
  <si>
    <t>Michael Adams</t>
  </si>
  <si>
    <t>Casitas Muni Water Dist Div 3</t>
  </si>
  <si>
    <t>Christian Oakland</t>
  </si>
  <si>
    <t>Ojai Unified School District Area 2</t>
  </si>
  <si>
    <t>Starkweather</t>
  </si>
  <si>
    <t>Simi Valley City Mayor</t>
  </si>
  <si>
    <t>Robert Clarizio</t>
  </si>
  <si>
    <t>Kevin Cannon</t>
  </si>
  <si>
    <t>Jack Villa</t>
  </si>
  <si>
    <t>Kate Vadehra</t>
  </si>
  <si>
    <t>Scott Bartels</t>
  </si>
  <si>
    <t>Ojai Unified School District Area 4</t>
  </si>
  <si>
    <t>Chiany Dri</t>
  </si>
  <si>
    <t>Gabriela Ornelas</t>
  </si>
  <si>
    <t>Gloria La Riva</t>
  </si>
  <si>
    <t>James Kentosh</t>
  </si>
  <si>
    <t>San Buenaventura City Council District 3</t>
  </si>
  <si>
    <t>William Cornell</t>
  </si>
  <si>
    <t>Ellinger</t>
  </si>
  <si>
    <t>David Lopez-lee</t>
  </si>
  <si>
    <t>Lowell Martinson</t>
  </si>
  <si>
    <t>Diana Engle</t>
  </si>
  <si>
    <t>La Fuente Guerra</t>
  </si>
  <si>
    <t>Moorpark City Council District 2</t>
  </si>
  <si>
    <t>Ken Simons</t>
  </si>
  <si>
    <t>Rebecca Chandler</t>
  </si>
  <si>
    <t>Holland Iii</t>
  </si>
  <si>
    <t>MEASURE G - CITY OF OJAI</t>
  </si>
  <si>
    <t>Irene V. Henry</t>
  </si>
  <si>
    <t>Yuri Yurovski</t>
  </si>
  <si>
    <t>Rosemary Allison</t>
  </si>
  <si>
    <t>Brandon Fortuna</t>
  </si>
  <si>
    <t>Camarillo City Council District 3</t>
  </si>
  <si>
    <t>Karlton Huss</t>
  </si>
  <si>
    <t>Amy Adams</t>
  </si>
  <si>
    <t>San Buenaventura City Council District 2</t>
  </si>
  <si>
    <t>Dougie Michie</t>
  </si>
  <si>
    <t>Ojai City Mayor</t>
  </si>
  <si>
    <t>William Weirick</t>
  </si>
  <si>
    <t>Griffen</t>
  </si>
  <si>
    <t>Howie Hawkins</t>
  </si>
  <si>
    <t>Oxnard City Council District 6</t>
  </si>
  <si>
    <t>Ramirez</t>
  </si>
  <si>
    <t>Camarillo City Council District 4</t>
  </si>
  <si>
    <t>Heather Schmidt</t>
  </si>
  <si>
    <t>Simi Valley City Council District 3</t>
  </si>
  <si>
    <t>T.j. Mcinturff</t>
  </si>
  <si>
    <t>24th Congressional District</t>
  </si>
  <si>
    <t>Andy Caldwell</t>
  </si>
  <si>
    <t>Lucy Cartagena</t>
  </si>
  <si>
    <t>Fillmore City Council</t>
  </si>
  <si>
    <t>Tim Holmgren</t>
  </si>
  <si>
    <t>Tiffany P. Lewis</t>
  </si>
  <si>
    <t>Rio School District</t>
  </si>
  <si>
    <t>Matt Vaca Sams</t>
  </si>
  <si>
    <t>Port Hueneme City Council</t>
  </si>
  <si>
    <t>Sonia Kim</t>
  </si>
  <si>
    <t>Barbara Brown</t>
  </si>
  <si>
    <t>Carolina Gallardomagaña</t>
  </si>
  <si>
    <t>Schnopp</t>
  </si>
  <si>
    <t>Chris Wilson</t>
  </si>
  <si>
    <t>Neil Cole</t>
  </si>
  <si>
    <t>Will Berg</t>
  </si>
  <si>
    <t>Saul Medina</t>
  </si>
  <si>
    <t>Kevin Kildee</t>
  </si>
  <si>
    <t>Taylor</t>
  </si>
  <si>
    <t>Oxnard City Council District 3</t>
  </si>
  <si>
    <t>Ronald Arruejo</t>
  </si>
  <si>
    <t>Sean Husband</t>
  </si>
  <si>
    <t>Aaron Gaston</t>
  </si>
  <si>
    <t>Misty Perez</t>
  </si>
  <si>
    <t>Mark A. Austin</t>
  </si>
  <si>
    <t>Bryan Macdonald</t>
  </si>
  <si>
    <t>Betsy Stix</t>
  </si>
  <si>
    <t>Daniel Groff</t>
  </si>
  <si>
    <t>Moorpark City Mayor</t>
  </si>
  <si>
    <t>Terri A. Doria</t>
  </si>
  <si>
    <t>Bobby Martinez</t>
  </si>
  <si>
    <t>Joe Esquivel</t>
  </si>
  <si>
    <t>Ari Larson</t>
  </si>
  <si>
    <t>Santa Paula City Council</t>
  </si>
  <si>
    <t>Margaux Bangs</t>
  </si>
  <si>
    <t>Nancy Pedersen</t>
  </si>
  <si>
    <t>Joe Schroeder</t>
  </si>
  <si>
    <t>Felix Eisenhauer</t>
  </si>
  <si>
    <t>Villaseñor</t>
  </si>
  <si>
    <t>Oak Park MAC</t>
  </si>
  <si>
    <t>Maria Soosai</t>
  </si>
  <si>
    <t>Mike Johnson</t>
  </si>
  <si>
    <t>Pete Kaiser</t>
  </si>
  <si>
    <t>Salud Carbajal</t>
  </si>
  <si>
    <t>Aaron Starr</t>
  </si>
  <si>
    <t>Thousand Oaks City Council</t>
  </si>
  <si>
    <t>Dan Twedt</t>
  </si>
  <si>
    <t>Christy Weir</t>
  </si>
  <si>
    <t>Ojai City Clerk</t>
  </si>
  <si>
    <t>Burell</t>
  </si>
  <si>
    <t>Ojai City Treasurer</t>
  </si>
  <si>
    <t xml:space="preserve"> Alan Rains</t>
  </si>
  <si>
    <t>Vianey Lopez</t>
  </si>
  <si>
    <t>Caitlin Barringer</t>
  </si>
  <si>
    <t>Seema Chandra</t>
  </si>
  <si>
    <t>Doug Halter</t>
  </si>
  <si>
    <t>Frank Enderle</t>
  </si>
  <si>
    <t>Simi Valley Unified School District Area C</t>
  </si>
  <si>
    <t>Jonathan Bonesteel</t>
  </si>
  <si>
    <t>Jane M. Nye</t>
  </si>
  <si>
    <t>Andy Sobel</t>
  </si>
  <si>
    <t>Kristine Anderson</t>
  </si>
  <si>
    <t>Conejo Valley Unified School District Area 1</t>
  </si>
  <si>
    <t>Patti Jones</t>
  </si>
  <si>
    <t>Oscar Madrigal</t>
  </si>
  <si>
    <t>Rocky Rhodes</t>
  </si>
  <si>
    <t>Robbie Hidalgo</t>
  </si>
  <si>
    <t>Leslie Cornejo</t>
  </si>
  <si>
    <t>Jo Jorgensen</t>
  </si>
  <si>
    <t>MEASURE</t>
  </si>
  <si>
    <t>Fillmore City Treasurer</t>
  </si>
  <si>
    <t>Magdaleno</t>
  </si>
  <si>
    <t>Fillmore City Clerk</t>
  </si>
  <si>
    <t>Lopez</t>
  </si>
  <si>
    <t>Ryan Valencia</t>
  </si>
  <si>
    <t>Sofya Bagdasaryan</t>
  </si>
  <si>
    <t>Cassandra Bautista</t>
  </si>
  <si>
    <t>Ventura Unified School District Area 3</t>
  </si>
  <si>
    <t>Jackie Moran</t>
  </si>
  <si>
    <t>Tony Trembley</t>
  </si>
  <si>
    <t>Elaine Litster</t>
  </si>
  <si>
    <t>Roseann Mikos</t>
  </si>
  <si>
    <t>Callahan</t>
  </si>
  <si>
    <t>Wayne Smith</t>
  </si>
  <si>
    <t>Conejo Valley Unified School District Area 5</t>
  </si>
  <si>
    <t>Sandee Everett</t>
  </si>
  <si>
    <t>Oxnard Harbor District</t>
  </si>
  <si>
    <t>Fraser</t>
  </si>
  <si>
    <t>Lauren Gill</t>
  </si>
  <si>
    <t>Simi Valley City Council District 1</t>
  </si>
  <si>
    <t>Phil Loos</t>
  </si>
  <si>
    <t>Cavanaugh</t>
  </si>
  <si>
    <t>Janice S. Parvin</t>
  </si>
  <si>
    <t>Karen Sylvester</t>
  </si>
  <si>
    <t>Oxnard City Mayor</t>
  </si>
  <si>
    <t>Richard E. Linares</t>
  </si>
  <si>
    <t>Pleasant Valley School District</t>
  </si>
  <si>
    <t>Goldberg</t>
  </si>
  <si>
    <t>Pleasant Valley Rec &amp; Park District</t>
  </si>
  <si>
    <t>Mike Mishler</t>
  </si>
  <si>
    <t>Patrick J. Kelley</t>
  </si>
  <si>
    <t>Neal P. Dixon</t>
  </si>
  <si>
    <t>Deirdre Frank</t>
  </si>
  <si>
    <t>David Woodbury</t>
  </si>
  <si>
    <t>Rancho Simi Rec &amp; Park District</t>
  </si>
  <si>
    <t>Steven W. Reeves</t>
  </si>
  <si>
    <t>Danny Chulack</t>
  </si>
  <si>
    <t>Hasan</t>
  </si>
  <si>
    <t>Denis O'leary</t>
  </si>
  <si>
    <t>Bev Dransfeldt</t>
  </si>
  <si>
    <t>Colleen Andersen</t>
  </si>
  <si>
    <t>Calleguas Muni Wtr Dist Div 1</t>
  </si>
  <si>
    <t>Neal</t>
  </si>
  <si>
    <t>Jordan Roberts</t>
  </si>
  <si>
    <t>MEASURE J - CITY OF SAN BUENAVENTURA</t>
  </si>
  <si>
    <t>Conejo Recreation &amp; Park District</t>
  </si>
  <si>
    <t>Alexander Timen</t>
  </si>
  <si>
    <t>MEASURE I - CITY OF SAN BUENAVENTURA</t>
  </si>
  <si>
    <t>MEASURE H - VENTURA UNIFIED SCHOOL DISTRICT</t>
  </si>
  <si>
    <t>Member of the Assembly 38th District</t>
  </si>
  <si>
    <t>Volotzky</t>
  </si>
  <si>
    <t>Oxnard Union High School District</t>
  </si>
  <si>
    <t>Geoffrey V. Crosby</t>
  </si>
  <si>
    <t>Alexander Avalos</t>
  </si>
  <si>
    <t>Mark C. Malloy</t>
  </si>
  <si>
    <t>Thomas L. Slosson</t>
  </si>
  <si>
    <t>Joe Ayala</t>
  </si>
  <si>
    <t>Community College District Area 3</t>
  </si>
  <si>
    <t>Joe S. Ramirez</t>
  </si>
  <si>
    <t>Patrick Fitzgerald</t>
  </si>
  <si>
    <t>Joel R. Price</t>
  </si>
  <si>
    <t>Kevin Mcnamee</t>
  </si>
  <si>
    <t>Oxnard City Treasurer</t>
  </si>
  <si>
    <t>James J. Aragon</t>
  </si>
  <si>
    <t>Suzanne Kitchens</t>
  </si>
  <si>
    <t>Nicole Wall</t>
  </si>
  <si>
    <t>Supervisor-5th District</t>
  </si>
  <si>
    <t>Tim Flynn</t>
  </si>
  <si>
    <t>Raul Avila</t>
  </si>
  <si>
    <t>MEASURE L - CITY OF OXNARD</t>
  </si>
  <si>
    <t>Stan Mantooth</t>
  </si>
  <si>
    <t>Mark Ellis Johnson</t>
  </si>
  <si>
    <t>Al Adam</t>
  </si>
  <si>
    <t>MEASURE M - CITY OF OXNARD</t>
  </si>
  <si>
    <t>Josh Gray</t>
  </si>
  <si>
    <t>Elaine L. Freeman</t>
  </si>
  <si>
    <t>Carmen Ramirez</t>
  </si>
  <si>
    <t>25th Congressional District</t>
  </si>
  <si>
    <t>Christy Smith</t>
  </si>
  <si>
    <t>MEASURE E - CITY OF OXNARD</t>
  </si>
  <si>
    <t>Community College District Area 4</t>
  </si>
  <si>
    <t>Brian Gilbert</t>
  </si>
  <si>
    <t>MEASURE N - CITY OF OXNARD</t>
  </si>
  <si>
    <t>Kate O'brien</t>
  </si>
  <si>
    <t>MEASURE F - CITY OF OXNARD</t>
  </si>
  <si>
    <t>Janessa Garcia</t>
  </si>
  <si>
    <t>Gary Davis</t>
  </si>
  <si>
    <t>Jess J. Ramirez</t>
  </si>
  <si>
    <t>Mike Garcia</t>
  </si>
  <si>
    <t>Keith L. Mashburn</t>
  </si>
  <si>
    <t>Phillip S. Molina</t>
  </si>
  <si>
    <t>John C. Zaragoza</t>
  </si>
  <si>
    <t>Valladares</t>
  </si>
  <si>
    <t>Member of the Assembly 37th District</t>
  </si>
  <si>
    <t>Charles W. Cole</t>
  </si>
  <si>
    <t>Charles B. Huffer</t>
  </si>
  <si>
    <t>Celina Zacarias</t>
  </si>
  <si>
    <t>Steve Hall</t>
  </si>
  <si>
    <t>George Lange</t>
  </si>
  <si>
    <t>Bernardo M. Perez</t>
  </si>
  <si>
    <t>Botello</t>
  </si>
  <si>
    <t>Oxnard City Clerk</t>
  </si>
  <si>
    <t>Rose Chaparro</t>
  </si>
  <si>
    <t>Steve Bennett</t>
  </si>
  <si>
    <t>19th Senatorial District</t>
  </si>
  <si>
    <t>Gary J. Michaels</t>
  </si>
  <si>
    <t>Member of the Assembly 44th District</t>
  </si>
  <si>
    <t>Denise Pedrow</t>
  </si>
  <si>
    <t>27th Senatorial District</t>
  </si>
  <si>
    <t>Houman Salem</t>
  </si>
  <si>
    <t>Henry Stern</t>
  </si>
  <si>
    <t>Jacqui Irwin</t>
  </si>
  <si>
    <t>26th Congressional District</t>
  </si>
  <si>
    <t>Ronda Baldwinkennedy</t>
  </si>
  <si>
    <t>MEDICAL PROFESSIONAL.</t>
  </si>
  <si>
    <t>S. Monique Limón</t>
  </si>
  <si>
    <t>RESIDENTIAL PROPERTY. INITIATIVE STATUTE.</t>
  </si>
  <si>
    <t>DECISIONS. LEGISLATIVE CONSTITUTIONA...</t>
  </si>
  <si>
    <t>Donald J. Trump</t>
  </si>
  <si>
    <t>CERTAIN OFFENSES TREATED AS MISDEMEANORS</t>
  </si>
  <si>
    <t>BENEFITS TO CERTAIN DRIVERS.</t>
  </si>
  <si>
    <t>AND FLIGHT RISK.</t>
  </si>
  <si>
    <t>SPECIAL ELECTIONS</t>
  </si>
  <si>
    <t>CULTIVATION PROGRAM</t>
  </si>
  <si>
    <t>CHANGING TAX ASSSESMENTS</t>
  </si>
  <si>
    <t>INITIATIVE STATUTE.</t>
  </si>
  <si>
    <t>CONSTITUTIONAL AMENDMENT.</t>
  </si>
  <si>
    <t>LEGISLATIVE CONSTITUTIONAL AMENDMENT.</t>
  </si>
  <si>
    <t>CELL RESEARCH. INITIATIVE STATUTE.</t>
  </si>
  <si>
    <t>Julia Brownley</t>
  </si>
  <si>
    <t>Joseph R. Biden</t>
  </si>
  <si>
    <t>CA_Ventu_2020g</t>
  </si>
  <si>
    <t>CA_Orang_2020g~aa-city of orange, the trails at santiago creek open space and residential project (vote 1)</t>
  </si>
  <si>
    <t>CA_Orang_2020g~anaheim elementary school district governing board member, trustee area 3 (vote 1)</t>
  </si>
  <si>
    <t>CA_Orang_2020g~bb-city of san clemente, city council term limits (vote 1)</t>
  </si>
  <si>
    <t>CA_Orang_2020g~brea olinda unified school district governing board member, trustee area 5 (vote 1)</t>
  </si>
  <si>
    <t>CA_Orang_2020g~buena park library district trustee (vote 1)</t>
  </si>
  <si>
    <t>CA_Orang_2020g~buena park school district governing board member, trustee area 4 (vote 1)</t>
  </si>
  <si>
    <t>CA_Orang_2020g~capistrano bay community services district director (vote 1)</t>
  </si>
  <si>
    <t>CA_Orang_2020g~capistrano unified school district governing board member, trustee area 2 (vote 1)</t>
  </si>
  <si>
    <t>CA_Orang_2020g~capistrano unified school district governing board member, trustee area 3 (vote 1)</t>
  </si>
  <si>
    <t>CA_Orang_2020g~capistrano unified school district governing board member, trustee area 5 (vote 1)</t>
  </si>
  <si>
    <t>CA_Orang_2020g~cc-city of tustin, limited council compensation (vote 1)</t>
  </si>
  <si>
    <t>CA_Orang_2020g~city of aliso viejo member, city council (vote 1)</t>
  </si>
  <si>
    <t>CA_Orang_2020g~city of anaheim member, city council, district 1 (vote 1)</t>
  </si>
  <si>
    <t>CA_Orang_2020g~city of anaheim member, city council, district 4 (vote 1)</t>
  </si>
  <si>
    <t>CA_Orang_2020g~city of anaheim member, city council, district 5 (vote 1)</t>
  </si>
  <si>
    <t>CA_Orang_2020g~city of brea city treasurer (vote 1)</t>
  </si>
  <si>
    <t>CA_Orang_2020g~city of brea member, city council (vote 1)</t>
  </si>
  <si>
    <t>CA_Orang_2020g~city of buena park member, city council, district 3 (vote 1)</t>
  </si>
  <si>
    <t>CA_Orang_2020g~city of buena park member, city council, district 4 (vote 1)</t>
  </si>
  <si>
    <t>CA_Orang_2020g~city of costa mesa  member, city council, district 2 (vote 1)</t>
  </si>
  <si>
    <t>CA_Orang_2020g~city of costa mesa mayor (vote 1)</t>
  </si>
  <si>
    <t>CA_Orang_2020g~city of costa mesa member, city council, district 1 (vote 1)</t>
  </si>
  <si>
    <t>CA_Orang_2020g~city of costa mesa member, city council, district 6 (vote 1)</t>
  </si>
  <si>
    <t>CA_Orang_2020g~city of cypress member, city council (vote 1)</t>
  </si>
  <si>
    <t>CA_Orang_2020g~city of dana point member, city council, district 4 (vote 1)</t>
  </si>
  <si>
    <t>CA_Orang_2020g~city of dana point member, city council, district 5 (vote 1)</t>
  </si>
  <si>
    <t>CA_Orang_2020g~city of fountain valley member, city council (vote 1)</t>
  </si>
  <si>
    <t>CA_Orang_2020g~city of fullerton member, city council, district 1 (vote 1)</t>
  </si>
  <si>
    <t>CA_Orang_2020g~city of fullerton member, city council, district 2 (vote 1)</t>
  </si>
  <si>
    <t>CA_Orang_2020g~city of garden grove mayor (vote 1)</t>
  </si>
  <si>
    <t>CA_Orang_2020g~city of garden grove member, city council, district 2 (vote 1)</t>
  </si>
  <si>
    <t>CA_Orang_2020g~city of garden grove member, city council, district 5 (vote 1)</t>
  </si>
  <si>
    <t>CA_Orang_2020g~city of garden grove member, city council, district 6 (vote 1)</t>
  </si>
  <si>
    <t>CA_Orang_2020g~city of huntington beach member, city council (vote 1)</t>
  </si>
  <si>
    <t>CA_Orang_2020g~city of irvine mayor (vote 1)</t>
  </si>
  <si>
    <t>CA_Orang_2020g~city of irvine member, city council (vote 1)</t>
  </si>
  <si>
    <t>CA_Orang_2020g~city of la habra member, city council (vote 1)</t>
  </si>
  <si>
    <t>CA_Orang_2020g~city of la palma member, city council (vote 1)</t>
  </si>
  <si>
    <t>CA_Orang_2020g~city of laguna beach city clerk (vote 1)</t>
  </si>
  <si>
    <t>CA_Orang_2020g~city of laguna beach member, city council (vote 1)</t>
  </si>
  <si>
    <t>CA_Orang_2020g~city of laguna hills member, city council (vote 1)</t>
  </si>
  <si>
    <t>CA_Orang_2020g~city of laguna niguel member, city council (vote 1)</t>
  </si>
  <si>
    <t>CA_Orang_2020g~city of laguna woods member, city council (vote 1)</t>
  </si>
  <si>
    <t>CA_Orang_2020g~city of lake forest member, city council, district 1 (vote 1)</t>
  </si>
  <si>
    <t>CA_Orang_2020g~city of lake forest member, city council, district 5 (vote 1)</t>
  </si>
  <si>
    <t>CA_Orang_2020g~city of los alamitos member, city council, district 1 (vote 1)</t>
  </si>
  <si>
    <t>CA_Orang_2020g~city of los alamitos member, city council, district 2 (vote 1)</t>
  </si>
  <si>
    <t>CA_Orang_2020g~city of mission viejo member, city council, two-year term (vote 1)</t>
  </si>
  <si>
    <t>CA_Orang_2020g~city of newport beach member, city council, district 2 (vote 1)</t>
  </si>
  <si>
    <t>CA_Orang_2020g~city of newport beach member, city council, district 5 (vote 1)</t>
  </si>
  <si>
    <t>CA_Orang_2020g~city of orange mayor (vote 1)</t>
  </si>
  <si>
    <t>CA_Orang_2020g~city of orange member, city council, district 1 (vote 1)</t>
  </si>
  <si>
    <t>CA_Orang_2020g~city of orange member, city council, district 2 (vote 1)</t>
  </si>
  <si>
    <t>CA_Orang_2020g~city of orange member, city council, district 3 (vote 1)</t>
  </si>
  <si>
    <t>CA_Orang_2020g~city of orange member, city council, district 5 (vote 1)</t>
  </si>
  <si>
    <t>CA_Orang_2020g~city of placentia member, city council, district 1 (vote 1)</t>
  </si>
  <si>
    <t>CA_Orang_2020g~city of placentia member, city council, district 5 (vote 1)</t>
  </si>
  <si>
    <t>CA_Orang_2020g~city of san clemente member, city council, full term (vote 1)</t>
  </si>
  <si>
    <t>CA_Orang_2020g~city of san clemente member, city council, short term (vote 1)</t>
  </si>
  <si>
    <t>CA_Orang_2020g~city of san juan capistrano member, city council, district 5 (vote 1)</t>
  </si>
  <si>
    <t>CA_Orang_2020g~city of santa ana mayor (vote 1)</t>
  </si>
  <si>
    <t>CA_Orang_2020g~city of santa ana member, city council, ward 1 (vote 1)</t>
  </si>
  <si>
    <t>CA_Orang_2020g~city of santa ana member, city council, ward 3 (vote 1)</t>
  </si>
  <si>
    <t>CA_Orang_2020g~city of santa ana member, city council, ward 5 (vote 1)</t>
  </si>
  <si>
    <t>CA_Orang_2020g~city of seal beach member, city council, district 2 (vote 1)</t>
  </si>
  <si>
    <t>CA_Orang_2020g~city of stanton member, city council, district 4 (vote 1)</t>
  </si>
  <si>
    <t>CA_Orang_2020g~city of tustin member, city council (vote 1)</t>
  </si>
  <si>
    <t>CA_Orang_2020g~city of westminster member, city council, district 2 (vote 1)</t>
  </si>
  <si>
    <t>CA_Orang_2020g~city of westminster member, city council, district 3 (vote 1)</t>
  </si>
  <si>
    <t>CA_Orang_2020g~coast community college district governing board member, trustee area 2 (vote 1)</t>
  </si>
  <si>
    <t>CA_Orang_2020g~coast community college district governing board member, trustee area 4 (vote 1)</t>
  </si>
  <si>
    <t>CA_Orang_2020g~costa mesa sanitary district director, division 2 (vote 1)</t>
  </si>
  <si>
    <t>CA_Orang_2020g~costa mesa sanitary district director, division 4 (vote 1)</t>
  </si>
  <si>
    <t>CA_Orang_2020g~county supervisor, 1st district (vote 1)</t>
  </si>
  <si>
    <t>CA_Orang_2020g~dd-city of westminster, term limits (vote 1)</t>
  </si>
  <si>
    <t>CA_Orang_2020g~east orange county water district director (vote 1)</t>
  </si>
  <si>
    <t>CA_Orang_2020g~fountain valley school district governing board member (vote 1)</t>
  </si>
  <si>
    <t>CA_Orang_2020g~garden grove unified school district governing board member, trustee area 1 (vote 1)</t>
  </si>
  <si>
    <t>CA_Orang_2020g~garden grove unified school district governing board member, trustee area 5 (vote 1)</t>
  </si>
  <si>
    <t>CA_Orang_2020g~huntington beach city school district governing board member, trustee area 1 (vote 1)</t>
  </si>
  <si>
    <t>CA_Orang_2020g~huntington beach union high school district governing board member (vote 1)</t>
  </si>
  <si>
    <t>CA_Orang_2020g~irvine ranch water district director, division 4 (vote 1)</t>
  </si>
  <si>
    <t>CA_Orang_2020g~irvine unified school district governing board member, trustee area 3 (vote 1)</t>
  </si>
  <si>
    <t>CA_Orang_2020g~irvine unified school district governing board member, trustee area 5 (vote 1)</t>
  </si>
  <si>
    <t>CA_Orang_2020g~la habra city school district governing board member, full term (vote 1)</t>
  </si>
  <si>
    <t>CA_Orang_2020g~laguna beach unified school district governing board member (vote 1)</t>
  </si>
  <si>
    <t>CA_Orang_2020g~los alamitos unified school district governing board member, trustee area 2 (vote 1)</t>
  </si>
  <si>
    <t>CA_Orang_2020g~los alamitos unified school district governing board member, trustee area 5 (vote 1)</t>
  </si>
  <si>
    <t>CA_Orang_2020g~member of the state assembly 55th district (vote 1)</t>
  </si>
  <si>
    <t>CA_Orang_2020g~member of the state assembly 65th district (vote 1)</t>
  </si>
  <si>
    <t>CA_Orang_2020g~member of the state assembly 68th district (vote 1)</t>
  </si>
  <si>
    <t>CA_Orang_2020g~member of the state assembly 69th district (vote 1)</t>
  </si>
  <si>
    <t>CA_Orang_2020g~member of the state assembly 72nd district (vote 1)</t>
  </si>
  <si>
    <t>CA_Orang_2020g~member of the state assembly 73rd district (vote 1)</t>
  </si>
  <si>
    <t>CA_Orang_2020g~member of the state assembly 74th district (vote 1)</t>
  </si>
  <si>
    <t>CA_Orang_2020g~mesa water district director, division 2 (vote 1)</t>
  </si>
  <si>
    <t>CA_Orang_2020g~midway city sanitary district director (vote 1)</t>
  </si>
  <si>
    <t>CA_Orang_2020g~municipal water district of orange county director, division 1, short term (vote 1)</t>
  </si>
  <si>
    <t>CA_Orang_2020g~municipal water district of orange county director, division 3 (vote 1)</t>
  </si>
  <si>
    <t>CA_Orang_2020g~municipal water district of orange county director, division 4 (vote 1)</t>
  </si>
  <si>
    <t>CA_Orang_2020g~municipal water district of orange county director, division 7 (vote 1)</t>
  </si>
  <si>
    <t>CA_Orang_2020g~newport-mesa unified school district governing board member, trustee area 1 (vote 1)</t>
  </si>
  <si>
    <t>CA_Orang_2020g~newport-mesa unified school district governing board member, trustee area 3 (vote 1)</t>
  </si>
  <si>
    <t>CA_Orang_2020g~newport-mesa unified school district governing board member, trustee area 6 (vote 1)</t>
  </si>
  <si>
    <t>CA_Orang_2020g~north orange county community college district governing board member, trustee area 4 (vote 1)</t>
  </si>
  <si>
    <t>CA_Orang_2020g~north orange county community college district governing board member, trustee area 5 (vote 1)</t>
  </si>
  <si>
    <t>CA_Orang_2020g~north orange county community college district governing board member, trustee area 7 (vote 1)</t>
  </si>
  <si>
    <t>CA_Orang_2020g~orange county water district director, division 4 (vote 1)</t>
  </si>
  <si>
    <t>CA_Orang_2020g~orange county water district director, division 6 (vote 1)</t>
  </si>
  <si>
    <t>CA_Orang_2020g~orange unified school district governing board member, trustee area 2 (vote 1)</t>
  </si>
  <si>
    <t>CA_Orang_2020g~orange unified school district governing board member, trustee area 3 (vote 1)</t>
  </si>
  <si>
    <t>CA_Orang_2020g~orange unified school district governing board member, trustee area 6 (vote 1)</t>
  </si>
  <si>
    <t>CA_Orang_2020g~p-city of cypress, amend city charter to update noticing, election procedures, and process for filling a council vacancy (vote 1)</t>
  </si>
  <si>
    <t>CA_Orang_2020g~placentia-yorba linda unified school district governing board member, trustee area 1 (vote 1)</t>
  </si>
  <si>
    <t>CA_Orang_2020g~placentia-yorba linda unified school district governing board member, trustee area 2 (vote 1)</t>
  </si>
  <si>
    <t>CA_Orang_2020g~placentia-yorba linda unified school district governing board member, trustee area 3 (vote 1)</t>
  </si>
  <si>
    <t>CA_Orang_2020g~president and vice president (vote 1)</t>
  </si>
  <si>
    <t>CA_Orang_2020g~proposition 14 - authorizes bonds continuing stem cell research (vote 1)</t>
  </si>
  <si>
    <t>CA_Orang_2020g~proposition 15 - increases funding sources for public schools, community colleges, and local government services  (vote 1)</t>
  </si>
  <si>
    <t>CA_Orang_2020g~proposition 16 - allows diversity as a factor in public employment, education, and contracting decisions (vote 1)</t>
  </si>
  <si>
    <t>CA_Orang_2020g~proposition 17 - restores right to vote after completion of prison term (vote 1)</t>
  </si>
  <si>
    <t>CA_Orang_2020g~proposition 18 - amends california constitution to permit 17- year-olds to vote in primary and special elections (vote 1)</t>
  </si>
  <si>
    <t>CA_Orang_2020g~proposition 19 - changes certain property tax rules (vote 1)</t>
  </si>
  <si>
    <t>CA_Orang_2020g~proposition 20 - restricts parole for certain offenses currently considered to be nonviolent (vote 1)</t>
  </si>
  <si>
    <t>CA_Orang_2020g~proposition 21 - expands local governments' authority to enact rent control on residential property (vote 1)</t>
  </si>
  <si>
    <t>CA_Orang_2020g~proposition 22 - exempts app-based transportation and delivery companies from providing employee benefits to certain drivers (vote 1)</t>
  </si>
  <si>
    <t>CA_Orang_2020g~proposition 23 - establishes state requirements for kidney dialysis clinics (vote 1)</t>
  </si>
  <si>
    <t>CA_Orang_2020g~proposition 24 - amends consumer privacy laws (vote 1)</t>
  </si>
  <si>
    <t>CA_Orang_2020g~proposition 25 - referendum on law that replaced money bail with system based on public safety and flight risk (vote 1)</t>
  </si>
  <si>
    <t>CA_Orang_2020g~q-city of costa mesa, retail cannabis tax and regulation measure (vote 1)</t>
  </si>
  <si>
    <t>CA_Orang_2020g~rancho santa margarita member, city council (vote 1)</t>
  </si>
  <si>
    <t>CA_Orang_2020g~rancho santiago community college district governing board member, trustee area 3 (vote 1)</t>
  </si>
  <si>
    <t>CA_Orang_2020g~rancho santiago community college district governing board member, trustee area 5 (vote 1)</t>
  </si>
  <si>
    <t>CA_Orang_2020g~rancho santiago community college district governing board member, trustee area 7 (vote 1)</t>
  </si>
  <si>
    <t>CA_Orang_2020g~rossmoor community services district director, full term (vote 1)</t>
  </si>
  <si>
    <t>CA_Orang_2020g~saddleback valley unified school district governing board member, trustee area 2 (vote 1)</t>
  </si>
  <si>
    <t>CA_Orang_2020g~saddleback valley unified school district governing board member, trustee area 4 (vote 1)</t>
  </si>
  <si>
    <t>CA_Orang_2020g~santa ana unified school district governing board member (vote 1)</t>
  </si>
  <si>
    <t>CA_Orang_2020g~santa margarita water district director (vote 1)</t>
  </si>
  <si>
    <t>CA_Orang_2020g~santiago geologic hazard abatement district director, full term (vote 1)</t>
  </si>
  <si>
    <t>CA_Orang_2020g~s-city of fullerton, community services, street repair, and emergency response measure (vote 1)</t>
  </si>
  <si>
    <t>CA_Orang_2020g~silverado-modjeska recreation and park district director (vote 1)</t>
  </si>
  <si>
    <t>CA_Orang_2020g~south coast water district director (vote 1)</t>
  </si>
  <si>
    <t>CA_Orang_2020g~south orange county community college district governing board member, trustee area 1 (vote 1)</t>
  </si>
  <si>
    <t>CA_Orang_2020g~south orange county community college district governing board member, trustee area 6 (vote 1)</t>
  </si>
  <si>
    <t>CA_Orang_2020g~south orange county community college district governing board member, trustee area 7 (vote 1)</t>
  </si>
  <si>
    <t>CA_Orang_2020g~state senator 29th district (vote 1)</t>
  </si>
  <si>
    <t>CA_Orang_2020g~state senator 37th district (vote 1)</t>
  </si>
  <si>
    <t>CA_Orang_2020g~sunset beach sanitary district director, full term (vote 1)</t>
  </si>
  <si>
    <t>CA_Orang_2020g~surfside colony storm water protection district trustee (vote 1)</t>
  </si>
  <si>
    <t>CA_Orang_2020g~tustin unified school district governing board member, trustee area 1 (vote 1)</t>
  </si>
  <si>
    <t>CA_Orang_2020g~tustin unified school district governing board member, trustee area 2 (vote 1)</t>
  </si>
  <si>
    <t>CA_Orang_2020g~u-city of fullerton, fireworks ballot measure (vote 1)</t>
  </si>
  <si>
    <t>CA_Orang_2020g~united states representative 38th district (vote 1)</t>
  </si>
  <si>
    <t>CA_Orang_2020g~united states representative 39th district (vote 1)</t>
  </si>
  <si>
    <t>CA_Orang_2020g~united states representative 45th district (vote 1)</t>
  </si>
  <si>
    <t>CA_Orang_2020g~united states representative 46th district (vote 1)</t>
  </si>
  <si>
    <t>CA_Orang_2020g~united states representative 47th district (vote 1)</t>
  </si>
  <si>
    <t>CA_Orang_2020g~united states representative 48th district (vote 1)</t>
  </si>
  <si>
    <t>CA_Orang_2020g~united states representative 49th district (vote 1)</t>
  </si>
  <si>
    <t>CA_Orang_2020g~v-city of laguna woods, advisory measure on marijuana dispensaries (vote 1)</t>
  </si>
  <si>
    <t>CA_Orang_2020g~w-city of la habra, cannabis business tax/regulation ordinance of 2020 (vote 1)</t>
  </si>
  <si>
    <t>CA_Orang_2020g~westminster school district governing board member, trustee area 1 (vote 1)</t>
  </si>
  <si>
    <t>CA_Orang_2020g~x-city of la habra,  citizensâ€™ initiative for preservation of open space in la habra (vote 1)</t>
  </si>
  <si>
    <t>CA_Orang_2020g~y-city of los alamitos, quality of life, 911 police response, business/job protection measure (vote 1)</t>
  </si>
  <si>
    <t>CA_Orang_2020g~z-city of newport beach,  addition of harbor commission to the newport beach city charter (vote 1)</t>
  </si>
  <si>
    <t>CA_Orang_2020p~a-county of orange (vote 1)</t>
  </si>
  <si>
    <t>CA_Orang_2020p~b-anaheim union high school district (vote 1)</t>
  </si>
  <si>
    <t>CA_Orang_2020p~county supervisor 3rd district (vote 1)</t>
  </si>
  <si>
    <t>CA_Orang_2020p~g-brea olinda unified school district (vote 1)</t>
  </si>
  <si>
    <t>CA_Orang_2020p~h-capistrano unified school district (vote 1)</t>
  </si>
  <si>
    <t>CA_Orang_2020p~i-capistrano unified school district (vote 1)</t>
  </si>
  <si>
    <t>CA_Orang_2020p~j-fullerton elementary school district (vote 1)</t>
  </si>
  <si>
    <t>CA_Orang_2020p~k-fullerton joint union high school district (vote 1)</t>
  </si>
  <si>
    <t>CA_Orang_2020p~l-rancho santiago community college district (vote 1)</t>
  </si>
  <si>
    <t>CA_Orang_2020p~member, county board of education trustee area 1 (vote 1)</t>
  </si>
  <si>
    <t>CA_Orang_2020p~member, county board of education trustee area 3 (vote 1)</t>
  </si>
  <si>
    <t>CA_Orang_2020p~member, county board of education trustee area 4 (vote 1)</t>
  </si>
  <si>
    <t>CA_Orang_2020p~member, county central committee 55th assembly district - dem (vote for 6)</t>
  </si>
  <si>
    <t>CA_Orang_2020p~member, county central committee 55th assembly district - rep (vote for 6)</t>
  </si>
  <si>
    <t>CA_Orang_2020p~member, county central committee 65th assembly district - dem (vote for 6)</t>
  </si>
  <si>
    <t>CA_Orang_2020p~member, county central committee 65th assembly district - rep (vote for 6)</t>
  </si>
  <si>
    <t>CA_Orang_2020p~member, county central committee 68th assembly district - dem (vote for 6)</t>
  </si>
  <si>
    <t>CA_Orang_2020p~member, county central committee 68th assembly district - rep (vote for 6)</t>
  </si>
  <si>
    <t>CA_Orang_2020p~member, county central committee 69th assembly district - dem (vote for 6)</t>
  </si>
  <si>
    <t>CA_Orang_2020p~member, county central committee 69th assembly district - rep (vote for 6)</t>
  </si>
  <si>
    <t>CA_Orang_2020p~member, county central committee 72nd assembly district - dem (vote for 6)</t>
  </si>
  <si>
    <t>CA_Orang_2020p~member, county central committee 72nd assembly district - rep (vote for 6)</t>
  </si>
  <si>
    <t>CA_Orang_2020p~member, county central committee 73rd assembly district - dem (vote for 6)</t>
  </si>
  <si>
    <t>CA_Orang_2020p~member, county central committee 73rd assembly district - rep (vote for 6)</t>
  </si>
  <si>
    <t>CA_Orang_2020p~member, county central committee 74th assembly district - dem (vote for 6)</t>
  </si>
  <si>
    <t>CA_Orang_2020p~member, county central committee 74th assembly district - rep (vote for 6)</t>
  </si>
  <si>
    <t>CA_Orang_2020p~m-saddleback valley unified school district (vote 1)</t>
  </si>
  <si>
    <t>CA_Orang_2020p~n-tustin unified school district (vote 1)</t>
  </si>
  <si>
    <t>CA_Orang_2020p~o-lowell joint school district (vote 1)</t>
  </si>
  <si>
    <t>CA_Orang_2020p~president of the united states - ai (vote 1)</t>
  </si>
  <si>
    <t>CA_Orang_2020p~president of the united states - dem (vote 1)</t>
  </si>
  <si>
    <t>CA_Orang_2020p~president of the united states - lib (vote 1)</t>
  </si>
  <si>
    <t>CA_Orang_2020p~president of the united states - p/f (vote 1)</t>
  </si>
  <si>
    <t>CA_Orang_2020p~president of the united states - rep (vote 1)</t>
  </si>
  <si>
    <t>CA_Orang_2020p~presidential candidate preference - grn (vote 1)</t>
  </si>
  <si>
    <t>CA_Orang_2020p~proposition 13 (vote 1)</t>
  </si>
  <si>
    <t>CA_Ventu_2020g~19th senatorial district (vote 1)</t>
  </si>
  <si>
    <t>CA_Ventu_2020g~24th congressional district (vote 1)</t>
  </si>
  <si>
    <t>CA_Ventu_2020g~25th congressional district (vote 1)</t>
  </si>
  <si>
    <t>CA_Ventu_2020g~26th congressional district (vote 1)</t>
  </si>
  <si>
    <t>CA_Ventu_2020g~27th senatorial district (vote 1)</t>
  </si>
  <si>
    <t>CA_Ventu_2020g~30th congressional district (vote 1)</t>
  </si>
  <si>
    <t>CA_Ventu_2020g~and flight risk. (vote 1)</t>
  </si>
  <si>
    <t>CA_Ventu_2020g~bell canyon cmmnty srvs dist (vote 1)</t>
  </si>
  <si>
    <t>CA_Ventu_2020g~benefits to certain drivers. (vote 1)</t>
  </si>
  <si>
    <t>CA_Ventu_2020g~calleguas muni wtr dist div 1 (vote 1)</t>
  </si>
  <si>
    <t>CA_Ventu_2020g~camarillo city council district 3 (vote 1)</t>
  </si>
  <si>
    <t>CA_Ventu_2020g~camarillo city council district 4 (vote 1)</t>
  </si>
  <si>
    <t>CA_Ventu_2020g~casitas muni water dist div 2 (vote 1)</t>
  </si>
  <si>
    <t>CA_Ventu_2020g~casitas muni water dist div 3 (vote 1)</t>
  </si>
  <si>
    <t>CA_Ventu_2020g~cell research. initiative statute. (vote 1)</t>
  </si>
  <si>
    <t>CA_Ventu_2020g~certain offenses treated as misdemeanors (vote 1)</t>
  </si>
  <si>
    <t>CA_Ventu_2020g~changing tax asssesments (vote 1)</t>
  </si>
  <si>
    <t>CA_Ventu_2020g~community college district area 3 (vote 1)</t>
  </si>
  <si>
    <t>CA_Ventu_2020g~community college district area 4 (vote 1)</t>
  </si>
  <si>
    <t>CA_Ventu_2020g~conejo recreation &amp; park district (vote 1)</t>
  </si>
  <si>
    <t>CA_Ventu_2020g~conejo valley unified school district area 1 (vote 1)</t>
  </si>
  <si>
    <t>CA_Ventu_2020g~conejo valley unified school district area 5 (vote 1)</t>
  </si>
  <si>
    <t>CA_Ventu_2020g~constitutional amendment. (vote 1)</t>
  </si>
  <si>
    <t>CA_Ventu_2020g~cultivation program (vote 1)</t>
  </si>
  <si>
    <t>CA_Ventu_2020g~decisions. legislative constitutiona... (vote 1)</t>
  </si>
  <si>
    <t>CA_Ventu_2020g~fillmore city council (vote 1)</t>
  </si>
  <si>
    <t>CA_Ventu_2020g~initiative statute. (vote 1)</t>
  </si>
  <si>
    <t>CA_Ventu_2020g~las virgenes unified school district (vote 1)</t>
  </si>
  <si>
    <t>CA_Ventu_2020g~legislative constitutional amendment. (vote 1)</t>
  </si>
  <si>
    <t>CA_Ventu_2020g~measure (vote 1)</t>
  </si>
  <si>
    <t>CA_Ventu_2020g~measure e - city of oxnard (vote 1)</t>
  </si>
  <si>
    <t>CA_Ventu_2020g~measure f - city of oxnard (vote 1)</t>
  </si>
  <si>
    <t>CA_Ventu_2020g~measure g - city of ojai (vote 1)</t>
  </si>
  <si>
    <t>CA_Ventu_2020g~measure h - ventura unified school district (vote 1)</t>
  </si>
  <si>
    <t>CA_Ventu_2020g~measure i - city of san buenaventura (vote 1)</t>
  </si>
  <si>
    <t>CA_Ventu_2020g~measure j - city of san buenaventura (vote 1)</t>
  </si>
  <si>
    <t>CA_Ventu_2020g~measure l - city of oxnard (vote 1)</t>
  </si>
  <si>
    <t>CA_Ventu_2020g~measure m - city of oxnard (vote 1)</t>
  </si>
  <si>
    <t>CA_Ventu_2020g~measure n - city of oxnard (vote 1)</t>
  </si>
  <si>
    <t>CA_Ventu_2020g~medical professional. (vote 1)</t>
  </si>
  <si>
    <t>CA_Ventu_2020g~meiners oaks water dist (vote 1)</t>
  </si>
  <si>
    <t>CA_Ventu_2020g~member of the assembly 37th district (vote 1)</t>
  </si>
  <si>
    <t>CA_Ventu_2020g~member of the assembly 38th district (vote 1)</t>
  </si>
  <si>
    <t>CA_Ventu_2020g~member of the assembly 44th district (vote 1)</t>
  </si>
  <si>
    <t>CA_Ventu_2020g~member of the assembly 45th district (vote 1)</t>
  </si>
  <si>
    <t>CA_Ventu_2020g~moorpark city council district 2 (vote 1)</t>
  </si>
  <si>
    <t>CA_Ventu_2020g~moorpark city mayor (vote 1)</t>
  </si>
  <si>
    <t>CA_Ventu_2020g~moorpark unified school district area 5 (vote 1)</t>
  </si>
  <si>
    <t>CA_Ventu_2020g~oak park mac (vote 1)</t>
  </si>
  <si>
    <t>CA_Ventu_2020g~ojai city council district 4 (vote 1)</t>
  </si>
  <si>
    <t>CA_Ventu_2020g~ojai city mayor (vote 1)</t>
  </si>
  <si>
    <t>CA_Ventu_2020g~ojai unified school district area 2 (vote 1)</t>
  </si>
  <si>
    <t>CA_Ventu_2020g~ojai unified school district area 4 (vote 1)</t>
  </si>
  <si>
    <t>CA_Ventu_2020g~ojai valley sanitary dist div 3 (vote 1)</t>
  </si>
  <si>
    <t>CA_Ventu_2020g~ojai valley sanitary dist div 5 (vote 1)</t>
  </si>
  <si>
    <t>CA_Ventu_2020g~oxnard city council district 3 (vote 1)</t>
  </si>
  <si>
    <t>CA_Ventu_2020g~oxnard city council district 4 (vote 1)</t>
  </si>
  <si>
    <t>CA_Ventu_2020g~oxnard city council district 6 (vote 1)</t>
  </si>
  <si>
    <t>CA_Ventu_2020g~oxnard city mayor (vote 1)</t>
  </si>
  <si>
    <t>CA_Ventu_2020g~oxnard city treasurer (vote 1)</t>
  </si>
  <si>
    <t>CA_Ventu_2020g~oxnard harbor district (vote 1)</t>
  </si>
  <si>
    <t>CA_Ventu_2020g~oxnard union high school district (vote 1)</t>
  </si>
  <si>
    <t>CA_Ventu_2020g~pleasant valley rec &amp; park district (vote 1)</t>
  </si>
  <si>
    <t>CA_Ventu_2020g~pleasant valley school district (vote 1)</t>
  </si>
  <si>
    <t>CA_Ventu_2020g~port hueneme city council (vote 1)</t>
  </si>
  <si>
    <t>CA_Ventu_2020g~president and vice president (vote 1)</t>
  </si>
  <si>
    <t>CA_Ventu_2020g~rancho simi rec &amp; park district (vote 1)</t>
  </si>
  <si>
    <t>CA_Ventu_2020g~residential property. initiative statute. (vote 1)</t>
  </si>
  <si>
    <t>CA_Ventu_2020g~rio school district (vote 1)</t>
  </si>
  <si>
    <t>CA_Ventu_2020g~san buenaventura city council district 2 (vote 1)</t>
  </si>
  <si>
    <t>CA_Ventu_2020g~san buenaventura city council district 3 (vote 1)</t>
  </si>
  <si>
    <t>CA_Ventu_2020g~san buenaventura city council district 7 (vote 1)</t>
  </si>
  <si>
    <t>CA_Ventu_2020g~santa clarita valley water agency division 3 (vote 1)</t>
  </si>
  <si>
    <t>CA_Ventu_2020g~santa paula city council (vote 1)</t>
  </si>
  <si>
    <t>CA_Ventu_2020g~santa paula unified school district area 4 (vote 1)</t>
  </si>
  <si>
    <t>CA_Ventu_2020g~santa paula unified school district area 5 (vote 1)</t>
  </si>
  <si>
    <t>CA_Ventu_2020g~santa rosa valley mac (vote 1)</t>
  </si>
  <si>
    <t>CA_Ventu_2020g~sb county board of education area 4 (vote 1)</t>
  </si>
  <si>
    <t>CA_Ventu_2020g~simi valley city council district 1 (vote 1)</t>
  </si>
  <si>
    <t>CA_Ventu_2020g~simi valley city council district 3 (vote 1)</t>
  </si>
  <si>
    <t>CA_Ventu_2020g~simi valley city mayor (vote 1)</t>
  </si>
  <si>
    <t>CA_Ventu_2020g~simi valley unified school district area c (vote 1)</t>
  </si>
  <si>
    <t>CA_Ventu_2020g~special elections (vote 1)</t>
  </si>
  <si>
    <t>CA_Ventu_2020g~supervisor-5th district (vote 1)</t>
  </si>
  <si>
    <t>CA_Ventu_2020g~thousand oaks city council (vote 1)</t>
  </si>
  <si>
    <t>CA_Ventu_2020g~ventura unified school district area 3 (vote 1)</t>
  </si>
  <si>
    <t>United Water Cons Dist Div. 3 (Short Term vote 1)</t>
  </si>
  <si>
    <t>CA_Ventu_2020g~united water cons dist div. 3 (short term vote 1)</t>
  </si>
  <si>
    <t>CA_Orang_2020p~county supervisor 1st district (top 2)</t>
  </si>
  <si>
    <t>CA_Orang_2020p~member of the state assembly 68th district (top 2)</t>
  </si>
  <si>
    <t>CA_Orang_2020p~member of the state assembly 72nd district (top 2)</t>
  </si>
  <si>
    <t>CA_Orang_2020p~member of the state assembly 73rd district (top 2)</t>
  </si>
  <si>
    <t>CA_Orang_2020p~member of the state assembly 74th district (top 2)</t>
  </si>
  <si>
    <t>CA_Orang_2020p~state senator 29th district (top 2)</t>
  </si>
  <si>
    <t>CA_Orang_2020p~state senator 37th district (top 2)</t>
  </si>
  <si>
    <t>CA_Orang_2020p~united states representative  46th district (top 2)</t>
  </si>
  <si>
    <t>CA_Orang_2020p~united states representative 39th district (top 2)</t>
  </si>
  <si>
    <t>CA_Orang_2020p~united states representative 45th district (top 2)</t>
  </si>
  <si>
    <t>CA_Orang_2020p~united states representative 47th district (top 2)</t>
  </si>
  <si>
    <t>CA_Orang_2020p~united states representative 48th district (top 2)</t>
  </si>
  <si>
    <t>AZ_Maric_2020g</t>
  </si>
  <si>
    <t>PA_Merce_2018g</t>
  </si>
  <si>
    <t>PA_Merce_2018p</t>
  </si>
  <si>
    <t>% sample</t>
  </si>
  <si>
    <t>https://www.ocvote.com/fileadmin/user_upload/elections/pri2020/sbs/bt88.pdf</t>
  </si>
  <si>
    <t>Source for number of sheets</t>
  </si>
  <si>
    <t>John Brakey</t>
  </si>
  <si>
    <t>voter guide</t>
  </si>
  <si>
    <t>ventura p smaller than ventura g</t>
  </si>
  <si>
    <t>2021g one sheet https://www.alleghenycounty.us/elections/sample-ballots.aspx</t>
  </si>
  <si>
    <t>2021g one sheet https://www.mcc.co.mercer.pa.us/election/Ballots/2021/General/1.pdf</t>
  </si>
  <si>
    <t>2020g</t>
  </si>
  <si>
    <t>Ballot sheets</t>
  </si>
  <si>
    <t>ratio</t>
  </si>
  <si>
    <t>pct</t>
  </si>
  <si>
    <t>https://www.sos.state.co.us/pubs/elections/RLA/2020/general/audit.html</t>
  </si>
  <si>
    <t>https://www.sos.state.co.us/pubs/elections/RLA/2020/statePrimary/audit.html</t>
  </si>
  <si>
    <t>2019g</t>
  </si>
  <si>
    <t>https://www.sos.state.co.us/pubs/elections/RLA/2019/audit.html</t>
  </si>
  <si>
    <t>https://www.sos.state.co.us/pubs/elections/auditCenter.html</t>
  </si>
  <si>
    <t>2018g</t>
  </si>
  <si>
    <t>https://www.sos.state.co.us/pubs/elections/RLA/2018/general/audit.html</t>
  </si>
  <si>
    <t>2018p</t>
  </si>
  <si>
    <t>https://www.sos.state.co.us/pubs/elections/RLA/2018/primary/audit.html</t>
  </si>
  <si>
    <t>2017g</t>
  </si>
  <si>
    <t>https://www.sos.state.co.us/pubs/elections/RLA/2017/audit.html</t>
  </si>
  <si>
    <t>Audited sheets</t>
  </si>
  <si>
    <t>2020p</t>
  </si>
  <si>
    <t>Adams County - Round Summary</t>
  </si>
  <si>
    <t>Alamosa County - Round Summary</t>
  </si>
  <si>
    <t>Arapahoe County - Round Summary</t>
  </si>
  <si>
    <t>Archuleta County - Round Summary</t>
  </si>
  <si>
    <t>Baca County - Round Summary</t>
  </si>
  <si>
    <t>Bent County - Round Summary</t>
  </si>
  <si>
    <t>Boulder County - Round Summary</t>
  </si>
  <si>
    <t>Broomfield County - Round Summary</t>
  </si>
  <si>
    <t>Chaffee County - Round Summary</t>
  </si>
  <si>
    <t>Cheyenne County - Round Summary</t>
  </si>
  <si>
    <t>Clear Creek County - Round Summary</t>
  </si>
  <si>
    <t>Conejos County - Round Summary</t>
  </si>
  <si>
    <t>Costilla County - Round Summary</t>
  </si>
  <si>
    <t>Crowley County - Round Summary</t>
  </si>
  <si>
    <t>Custer County - Round Summary</t>
  </si>
  <si>
    <t>Delta County - Round Summary</t>
  </si>
  <si>
    <t>Denver County - Round Summary</t>
  </si>
  <si>
    <t>Dolores County - Round Summary</t>
  </si>
  <si>
    <t>Douglas County - Round Summary</t>
  </si>
  <si>
    <t>Eagle County - Round Summary</t>
  </si>
  <si>
    <t>El Paso County - Round Summary</t>
  </si>
  <si>
    <t>Elbert County - Round Summary</t>
  </si>
  <si>
    <t>Fremont County - Round Summary</t>
  </si>
  <si>
    <t>Garfield County - Round Summary</t>
  </si>
  <si>
    <t>Gilpin County - Round Summary</t>
  </si>
  <si>
    <t>Grand County - Round Summary</t>
  </si>
  <si>
    <t>Hinsdale County - Round Summary</t>
  </si>
  <si>
    <t>Huerfano County - Round Summary</t>
  </si>
  <si>
    <t>Jackson County - Round Summary</t>
  </si>
  <si>
    <t>Jefferson County - Round Summary</t>
  </si>
  <si>
    <t>Kiowa County - Round Summary</t>
  </si>
  <si>
    <t>Kit Carson County - Round Summary</t>
  </si>
  <si>
    <t>La Plata County - Round Summary</t>
  </si>
  <si>
    <t>Lake County - Round Summary</t>
  </si>
  <si>
    <t>Larimer County - Round Summary</t>
  </si>
  <si>
    <t>Las Animas County - Round Summary</t>
  </si>
  <si>
    <t>Lincoln County - Round Summary</t>
  </si>
  <si>
    <t>Logan County - Round Summary</t>
  </si>
  <si>
    <t>Mesa County - Round Summary</t>
  </si>
  <si>
    <t>Mineral County - Round Summary</t>
  </si>
  <si>
    <t>Moffat County - Round Summary</t>
  </si>
  <si>
    <t>Montezuma County - Round Summary</t>
  </si>
  <si>
    <t>Montrose County - Round Summary</t>
  </si>
  <si>
    <t>Morgan County - Round Summary</t>
  </si>
  <si>
    <t>Otero County - Round Summary</t>
  </si>
  <si>
    <t>Ouray County - Round Summary</t>
  </si>
  <si>
    <t>Park County - Round Summary</t>
  </si>
  <si>
    <t>Phillips County - Round Summary</t>
  </si>
  <si>
    <t>Pitkin County - Round Summary</t>
  </si>
  <si>
    <t>Prowers County - Round Summary</t>
  </si>
  <si>
    <t>Pueblo County - Round Summary</t>
  </si>
  <si>
    <t>Rio Blanco County - Round Summary</t>
  </si>
  <si>
    <t>Rio Grande County - Round Summary</t>
  </si>
  <si>
    <t>Routt County - Round Summary</t>
  </si>
  <si>
    <t>Saguache County - Round Summary</t>
  </si>
  <si>
    <t>San Miguel County - Round Summary</t>
  </si>
  <si>
    <t>Sedgwick County - Round Summary</t>
  </si>
  <si>
    <t>Summit County - Round Summary</t>
  </si>
  <si>
    <t>Teller County - Round Summary</t>
  </si>
  <si>
    <t>Washington County - Round Summary</t>
  </si>
  <si>
    <t>Weld County - Round Summary</t>
  </si>
  <si>
    <t>Yuma County - Round Summary</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</si>
  <si>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</si>
  <si>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</si>
  <si>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</si>
  <si>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</si>
  <si>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</si>
  <si>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</si>
  <si>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</si>
  <si>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</si>
  <si>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</si>
  <si>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</si>
  <si>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</si>
  <si>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</si>
  <si>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</si>
  <si>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</si>
  <si>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</si>
  <si>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</si>
  <si>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</si>
  <si>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</si>
  <si>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</si>
  <si>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</si>
  <si>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 PASO</t>
  </si>
  <si>
    <t>ELBERT</t>
  </si>
  <si>
    <t>FREMONT</t>
  </si>
  <si>
    <t>GARFIELD</t>
  </si>
  <si>
    <t>GILPIN</t>
  </si>
  <si>
    <t>GRAND</t>
  </si>
  <si>
    <t>GUNNISON</t>
  </si>
  <si>
    <t>HINSDALE</t>
  </si>
  <si>
    <t>HUERFANO</t>
  </si>
  <si>
    <t>JACKSON</t>
  </si>
  <si>
    <t>JEFFERSON</t>
  </si>
  <si>
    <t>KIOWA</t>
  </si>
  <si>
    <t>KIT CARSON</t>
  </si>
  <si>
    <t>LA PLATA</t>
  </si>
  <si>
    <t>LAKE</t>
  </si>
  <si>
    <t>LARIMER</t>
  </si>
  <si>
    <t>LAS ANIMAS</t>
  </si>
  <si>
    <t>LINCOLN</t>
  </si>
  <si>
    <t>LOGAN</t>
  </si>
  <si>
    <t>MESA</t>
  </si>
  <si>
    <t>MINERAL</t>
  </si>
  <si>
    <t>MOFFAT</t>
  </si>
  <si>
    <t>MONTEZUMA</t>
  </si>
  <si>
    <t>MONTROSE</t>
  </si>
  <si>
    <t>MORGAN</t>
  </si>
  <si>
    <t>OTERO</t>
  </si>
  <si>
    <t>OURAY</t>
  </si>
  <si>
    <t>PARK</t>
  </si>
  <si>
    <t>PHILLIPS</t>
  </si>
  <si>
    <t>PITKIN</t>
  </si>
  <si>
    <t>PROWERS</t>
  </si>
  <si>
    <t>PUEBLO</t>
  </si>
  <si>
    <t>RIO BLANCO</t>
  </si>
  <si>
    <t>RIO GRANDE</t>
  </si>
  <si>
    <t>ROUTT</t>
  </si>
  <si>
    <t>SAGUACHE</t>
  </si>
  <si>
    <t>SAN JUAN</t>
  </si>
  <si>
    <t>SAN MIGUEL</t>
  </si>
  <si>
    <t>SEDGWICK</t>
  </si>
  <si>
    <t>SUMMIT</t>
  </si>
  <si>
    <t>TELLER</t>
  </si>
  <si>
    <t>WASHINGTON</t>
  </si>
  <si>
    <t>WELD</t>
  </si>
  <si>
    <t>YUMA</t>
  </si>
  <si>
    <t>biden votes</t>
  </si>
  <si>
    <t>RLA sample, 3 rounds</t>
  </si>
  <si>
    <t>total sheets</t>
  </si>
  <si>
    <t>county code</t>
  </si>
  <si>
    <t>ELECTION SUMMARY INFO</t>
  </si>
  <si>
    <t>margin</t>
  </si>
  <si>
    <t>election + contest</t>
  </si>
  <si>
    <t>Cream columns are needed when adding counties +contests</t>
  </si>
  <si>
    <t>CONTEST SUMMARIES sorted by election + margin</t>
  </si>
  <si>
    <t>RLA sample size, ballot comparison, 10% risk</t>
  </si>
  <si>
    <t>Contests with RLA risk&gt;10%</t>
  </si>
  <si>
    <t>Contests with RLA risk&lt;10%</t>
  </si>
  <si>
    <t>CO_state_2020g</t>
  </si>
  <si>
    <t>Joseph R. Biden / Kamala D. Harris</t>
  </si>
  <si>
    <t>Donald J. Trump / Michael R. Pence</t>
  </si>
  <si>
    <t>Don Blankenship / William Mohr</t>
  </si>
  <si>
    <t>ACN</t>
  </si>
  <si>
    <t>Bill Hammons / Eric Bodenstab</t>
  </si>
  <si>
    <t>UNI</t>
  </si>
  <si>
    <t>Howie Hawkins / Angela Nicole Walker</t>
  </si>
  <si>
    <t>Blake Huber / Frank Atwood</t>
  </si>
  <si>
    <t>AVP</t>
  </si>
  <si>
    <t>Jo Jorgensen / Jeremy ''Spike'' Cohen</t>
  </si>
  <si>
    <t>LBR</t>
  </si>
  <si>
    <t>Brian Carroll / Amar Patel</t>
  </si>
  <si>
    <t>ASP</t>
  </si>
  <si>
    <t>Mark Charles / Adrian Wallace</t>
  </si>
  <si>
    <t>UAF</t>
  </si>
  <si>
    <t>Phil Collins / Billy Joe Parker</t>
  </si>
  <si>
    <t>PRO</t>
  </si>
  <si>
    <t>Roque ''Rocky'' De La Fuente / Darcy G. Richardson</t>
  </si>
  <si>
    <t>ALL</t>
  </si>
  <si>
    <t>Dario Hunter / Dawn Neptune Adams</t>
  </si>
  <si>
    <t>PRG</t>
  </si>
  <si>
    <t>Princess Khadijah Maryam Jacob-Fambro / Khadijah Maryam Jacob Sr.</t>
  </si>
  <si>
    <t>Alyson Kennedy / Malcolm Jarrett</t>
  </si>
  <si>
    <t>SWP</t>
  </si>
  <si>
    <t>Joseph Kishore / Norissa Santa Cruz</t>
  </si>
  <si>
    <t>SEP</t>
  </si>
  <si>
    <t>Kyle Kenley Kopitke / Nathan Re Vo Sorenson</t>
  </si>
  <si>
    <t>IAP</t>
  </si>
  <si>
    <t>Gloria La Riva / Sunil Freeman</t>
  </si>
  <si>
    <t>SAL</t>
  </si>
  <si>
    <t>Joe McHugh / Elizabeth Storm</t>
  </si>
  <si>
    <t>Brock Pierce / Karla Ballard</t>
  </si>
  <si>
    <t>Jordan ''Cancer'' Scott / Jennifer Tepool</t>
  </si>
  <si>
    <t>Kanye West / Michelle Tidball</t>
  </si>
  <si>
    <t>United States Senator (Vote For 1)</t>
  </si>
  <si>
    <t>John W. Hickenlooper</t>
  </si>
  <si>
    <t>Cory Gardner</t>
  </si>
  <si>
    <t>Daniel Doyle</t>
  </si>
  <si>
    <t>Stephan ''Seku'' Evans</t>
  </si>
  <si>
    <t>Raymon Anthony Doane</t>
  </si>
  <si>
    <t>Joe Neguse</t>
  </si>
  <si>
    <t>Charlie Winn</t>
  </si>
  <si>
    <t>Thom Atkinson</t>
  </si>
  <si>
    <t>Gary Swing</t>
  </si>
  <si>
    <t>Ike McCorkle</t>
  </si>
  <si>
    <t>Ken Buck</t>
  </si>
  <si>
    <t>Bruce Griffith</t>
  </si>
  <si>
    <t>Laura Ireland</t>
  </si>
  <si>
    <t>Doug Lamborn</t>
  </si>
  <si>
    <t>Jillian Freeland</t>
  </si>
  <si>
    <t>Ed Duffett</t>
  </si>
  <si>
    <t>Rebecca Keltie</t>
  </si>
  <si>
    <t>Marcus Allen Murphy</t>
  </si>
  <si>
    <t>Representative to the 117th United States Congress - District 7 (Vote For 1)</t>
  </si>
  <si>
    <t>Charles ''Casper'' Stockham</t>
  </si>
  <si>
    <t>Ed Perlmutter</t>
  </si>
  <si>
    <t>David Olszta</t>
  </si>
  <si>
    <t>Ken Biles</t>
  </si>
  <si>
    <t>State Board of Education Member - Congressional District 7 (Vote For 1)</t>
  </si>
  <si>
    <t>Karla Esser</t>
  </si>
  <si>
    <t>Nancy Pallozzi</t>
  </si>
  <si>
    <t>Regent of the University of Colorado - Congressional District 7 (Vote For 1)</t>
  </si>
  <si>
    <t>Nolbert Chavez</t>
  </si>
  <si>
    <t>State Senator - District 4 (Vote For 1)</t>
  </si>
  <si>
    <t>Jim Smallwood</t>
  </si>
  <si>
    <t>Elissa Flaumenhaft</t>
  </si>
  <si>
    <t>Wayne Harlos</t>
  </si>
  <si>
    <t>Larry G. Liston</t>
  </si>
  <si>
    <t>Randi McCallian</t>
  </si>
  <si>
    <t>Heather Johnson</t>
  </si>
  <si>
    <t>Bob Gardner</t>
  </si>
  <si>
    <t>Electra Johnson</t>
  </si>
  <si>
    <t>Zechariah L. Harris</t>
  </si>
  <si>
    <t>State Senator - District 14 (Vote For 1)</t>
  </si>
  <si>
    <t>Hans D. Hochheimer</t>
  </si>
  <si>
    <t>Joann Ginal</t>
  </si>
  <si>
    <t>Sonya Jaquez Lewis</t>
  </si>
  <si>
    <t>Matthew D. Menza</t>
  </si>
  <si>
    <t>Steve Fenberg</t>
  </si>
  <si>
    <t>Peg Cage</t>
  </si>
  <si>
    <t>State Senator - District 19 (Vote For 1)</t>
  </si>
  <si>
    <t>Rachel Zenzinger</t>
  </si>
  <si>
    <t>Lynn Gerber</t>
  </si>
  <si>
    <t>Dominick Moreno</t>
  </si>
  <si>
    <t>Martín Mendez</t>
  </si>
  <si>
    <t>Kevin Priola</t>
  </si>
  <si>
    <t>Paula Dickerson</t>
  </si>
  <si>
    <t>State Senator - District 26 (Vote For 1)</t>
  </si>
  <si>
    <t>Jeff Bridges</t>
  </si>
  <si>
    <t>Bob Roth</t>
  </si>
  <si>
    <t>Marc Solomon</t>
  </si>
  <si>
    <t>State Senator - District 27 (Vote For 1)</t>
  </si>
  <si>
    <t>Chris Kolker</t>
  </si>
  <si>
    <t>Suzanne Staiert</t>
  </si>
  <si>
    <t>State Senator - District 28 (Vote For 1)</t>
  </si>
  <si>
    <t>Karl Stecher</t>
  </si>
  <si>
    <t>Janet Buckner</t>
  </si>
  <si>
    <t>State Senator - District 29 (Vote For 1)</t>
  </si>
  <si>
    <t>Rhonda Fields</t>
  </si>
  <si>
    <t>Michele Poague</t>
  </si>
  <si>
    <t>State Senator - District 31 (Vote For 1)</t>
  </si>
  <si>
    <t>Chris Hansen</t>
  </si>
  <si>
    <t>Doug Townsend</t>
  </si>
  <si>
    <t>State Senator - District 33 (Vote For 1)</t>
  </si>
  <si>
    <t>James Rashad Coleman</t>
  </si>
  <si>
    <t>Jerry Burton</t>
  </si>
  <si>
    <t>State Representative - District 1 (Vote For 1)</t>
  </si>
  <si>
    <t>Susan Lontine</t>
  </si>
  <si>
    <t>Samantha Koch</t>
  </si>
  <si>
    <t>State Representative - District 2 (Vote For 1)</t>
  </si>
  <si>
    <t>Alec Garnett</t>
  </si>
  <si>
    <t>Victoria Partridge</t>
  </si>
  <si>
    <t>State Representative - District 3 (Vote For 1)</t>
  </si>
  <si>
    <t>Dean L. Titterington</t>
  </si>
  <si>
    <t>Meg Froelich</t>
  </si>
  <si>
    <t>David P. Jurist</t>
  </si>
  <si>
    <t>State Representative - District 4 (Vote For 1)</t>
  </si>
  <si>
    <t>Grant Price</t>
  </si>
  <si>
    <t>Serena Gonzales-Gutierrez</t>
  </si>
  <si>
    <t>State Representative - District 5 (Vote For 1)</t>
  </si>
  <si>
    <t>Jonathan Woodley</t>
  </si>
  <si>
    <t>Alex Valdez</t>
  </si>
  <si>
    <t>Joe Richardson</t>
  </si>
  <si>
    <t>State Representative - District 6 (Vote For 1)</t>
  </si>
  <si>
    <t>Bill McAleb</t>
  </si>
  <si>
    <t>Steven Woodrow</t>
  </si>
  <si>
    <t>Jeffrey Kennedy Crowe</t>
  </si>
  <si>
    <t>State Representative - District 7 (Vote For 1)</t>
  </si>
  <si>
    <t>Jennifer Bacon</t>
  </si>
  <si>
    <t>State Representative - District 8 (Vote For 1)</t>
  </si>
  <si>
    <t>Leslie Herod</t>
  </si>
  <si>
    <t>State Representative - District 9 (Vote For 1)</t>
  </si>
  <si>
    <t>Larry L. Braig</t>
  </si>
  <si>
    <t>Emily Sirota</t>
  </si>
  <si>
    <t>Wes Pinchot</t>
  </si>
  <si>
    <t>Edie Hooton</t>
  </si>
  <si>
    <t>Kenneth J. Stickney</t>
  </si>
  <si>
    <t>Mark Milliman</t>
  </si>
  <si>
    <t>Karen McCormick</t>
  </si>
  <si>
    <t>Tracey Bernett</t>
  </si>
  <si>
    <t>Eric J. Davila</t>
  </si>
  <si>
    <t>Kevin Sipple</t>
  </si>
  <si>
    <t>Judy Amabile</t>
  </si>
  <si>
    <t>John Foley</t>
  </si>
  <si>
    <t>Shane Sandridge</t>
  </si>
  <si>
    <t>David A. Thompson</t>
  </si>
  <si>
    <t>John Pyne IV</t>
  </si>
  <si>
    <t>Dave Williams</t>
  </si>
  <si>
    <t>Mike McRedmond</t>
  </si>
  <si>
    <t>Andres G. Pico</t>
  </si>
  <si>
    <t>Stephanie Vigil</t>
  </si>
  <si>
    <t>John Carl Hjersman</t>
  </si>
  <si>
    <t>Thomas ''Tony'' Exum Sr.</t>
  </si>
  <si>
    <t>Rob Blancken</t>
  </si>
  <si>
    <t>Susan Quilleash</t>
  </si>
  <si>
    <t>Marc Snyder</t>
  </si>
  <si>
    <t>George M. Rapko</t>
  </si>
  <si>
    <t>Nathan Foutch</t>
  </si>
  <si>
    <t>Tim Geitner</t>
  </si>
  <si>
    <t>Joe Thompson</t>
  </si>
  <si>
    <t>Terri Carver</t>
  </si>
  <si>
    <t>Meg Fossinger</t>
  </si>
  <si>
    <t>Judy Darcy</t>
  </si>
  <si>
    <t>Mary Bradfield</t>
  </si>
  <si>
    <t>Liz Rosenbaum</t>
  </si>
  <si>
    <t>Michael Seebeck</t>
  </si>
  <si>
    <t>State Representative - District 22 (Vote For 1)</t>
  </si>
  <si>
    <t>Mary Parker</t>
  </si>
  <si>
    <t>Colin Larson</t>
  </si>
  <si>
    <t>Margot Herzl</t>
  </si>
  <si>
    <t>State Representative - District 23 (Vote For 1)</t>
  </si>
  <si>
    <t>Chris Kennedy</t>
  </si>
  <si>
    <t>Fred Clifford</t>
  </si>
  <si>
    <t>Doug Anderson</t>
  </si>
  <si>
    <t>State Representative - District 24 (Vote For 1)</t>
  </si>
  <si>
    <t>Monica Duran</t>
  </si>
  <si>
    <t>Laurel Imer</t>
  </si>
  <si>
    <t>State Representative - District 25 (Vote For 1)</t>
  </si>
  <si>
    <t>Lisa A. Cutter</t>
  </si>
  <si>
    <t>Donald Rosier</t>
  </si>
  <si>
    <t>State Representative - District 27 (Vote For 1)</t>
  </si>
  <si>
    <t>Brianna Titone</t>
  </si>
  <si>
    <t>Vicki Pyne</t>
  </si>
  <si>
    <t>Cory Schaeffer</t>
  </si>
  <si>
    <t>State Representative - District 28 (Vote For 1)</t>
  </si>
  <si>
    <t>Kerry Tipper</t>
  </si>
  <si>
    <t>Pedro ''Pete'' Roybal</t>
  </si>
  <si>
    <t>Amara Hildebrand</t>
  </si>
  <si>
    <t>State Representative - District 29 (Vote For 1)</t>
  </si>
  <si>
    <t>Lindsey N. Daugherty</t>
  </si>
  <si>
    <t>Vanessa DeMott</t>
  </si>
  <si>
    <t>Ryan Van Gundy</t>
  </si>
  <si>
    <t>Kerrie Gutierrez</t>
  </si>
  <si>
    <t>Dafna Michaelson Jenet</t>
  </si>
  <si>
    <t>Yadira Caraveo</t>
  </si>
  <si>
    <t>Adrienne Benavidez</t>
  </si>
  <si>
    <t>Tony Caputo</t>
  </si>
  <si>
    <t>Jason Chapman</t>
  </si>
  <si>
    <t>Matt Gray</t>
  </si>
  <si>
    <t>Mindy Quiachon</t>
  </si>
  <si>
    <t>Kyle Mullica</t>
  </si>
  <si>
    <t>Mark Bromley</t>
  </si>
  <si>
    <t>Rob Stutz</t>
  </si>
  <si>
    <t>Shannon Bird</t>
  </si>
  <si>
    <t>Roger Lehman</t>
  </si>
  <si>
    <t>State Representative - District 36 (Vote For 1)</t>
  </si>
  <si>
    <t>Dustin Bishop</t>
  </si>
  <si>
    <t>Mike Weissman</t>
  </si>
  <si>
    <t>State Representative - District 37 (Vote For 1)</t>
  </si>
  <si>
    <t>Tom Sullivan</t>
  </si>
  <si>
    <t>Caroline Cornell</t>
  </si>
  <si>
    <t>State Representative - District 38 (Vote For 1)</t>
  </si>
  <si>
    <t>David Ortiz</t>
  </si>
  <si>
    <t>Richard Champion</t>
  </si>
  <si>
    <t>State Representative - District 39 (Vote For 1)</t>
  </si>
  <si>
    <t>Mark Baisley</t>
  </si>
  <si>
    <t>Ian Chapman</t>
  </si>
  <si>
    <t>Bonnie Pyle</t>
  </si>
  <si>
    <t>State Representative - District 40 (Vote For 1)</t>
  </si>
  <si>
    <t>Richard A. Bassett</t>
  </si>
  <si>
    <t>Naquetta Ricks</t>
  </si>
  <si>
    <t>Rob Harrison</t>
  </si>
  <si>
    <t>State Representative - District 41 (Vote For 1)</t>
  </si>
  <si>
    <t>Robert ''Bob'' Andrews</t>
  </si>
  <si>
    <t>Iman Jodeh</t>
  </si>
  <si>
    <t>State Representative - District 42 (Vote For 1)</t>
  </si>
  <si>
    <t>Dominique Jackson</t>
  </si>
  <si>
    <t>State Representative - District 43 (Vote For 1)</t>
  </si>
  <si>
    <t>Kevin Van Winkle</t>
  </si>
  <si>
    <t>Jennifer Mitkowski</t>
  </si>
  <si>
    <t>State Representative - District 44 (Vote For 1)</t>
  </si>
  <si>
    <t>Kyra D. Storojev</t>
  </si>
  <si>
    <t>Kim Ransom</t>
  </si>
  <si>
    <t>Brian Meyer</t>
  </si>
  <si>
    <t>State Representative - District 45 (Vote For 1)</t>
  </si>
  <si>
    <t>Patrick Neville</t>
  </si>
  <si>
    <t>Katie Barrett</t>
  </si>
  <si>
    <t>Caryn Ann Harlos</t>
  </si>
  <si>
    <t>State Representative - District 48 (Vote For 1)</t>
  </si>
  <si>
    <t>Tonya Van Beber</t>
  </si>
  <si>
    <t>Holly A. Herson</t>
  </si>
  <si>
    <t>State Representative - District 49 (Vote For 1)</t>
  </si>
  <si>
    <t>Yara Hanlin Zokaie</t>
  </si>
  <si>
    <t>Mike Lynch</t>
  </si>
  <si>
    <t>State Representative - District 50 (Vote For 1)</t>
  </si>
  <si>
    <t>Mary Young</t>
  </si>
  <si>
    <t>Sean Short</t>
  </si>
  <si>
    <t>State Representative - District 51 (Vote For 1)</t>
  </si>
  <si>
    <t>Hugh McKean</t>
  </si>
  <si>
    <t>State Representative - District 52 (Vote For 1)</t>
  </si>
  <si>
    <t>Donna Walter</t>
  </si>
  <si>
    <t>Cathy Kipp</t>
  </si>
  <si>
    <t>State Representative - District 53 (Vote For 1)</t>
  </si>
  <si>
    <t>Jeni Arndt</t>
  </si>
  <si>
    <t>Adam Shuknecht</t>
  </si>
  <si>
    <t>Rod Bockenfeld</t>
  </si>
  <si>
    <t>Giugi Carminati</t>
  </si>
  <si>
    <t>Kevin Gulbranson</t>
  </si>
  <si>
    <t>State Representative - District 63 (Vote For 1)</t>
  </si>
  <si>
    <t>Dan Woog</t>
  </si>
  <si>
    <t>Gen Schneider</t>
  </si>
  <si>
    <t>Joe Johnson</t>
  </si>
  <si>
    <t>District Attorney - 1st Judicial District (Vote For 1)</t>
  </si>
  <si>
    <t>Matthew Durkin</t>
  </si>
  <si>
    <t>Alexis King</t>
  </si>
  <si>
    <t>District Attorney - 2nd Judicial District (Vote For 1)</t>
  </si>
  <si>
    <t>Beth McCann</t>
  </si>
  <si>
    <t>William F. Robinson III</t>
  </si>
  <si>
    <t>Michael Allen</t>
  </si>
  <si>
    <t>District Attorney - 8th Judicial District (Vote For 1)</t>
  </si>
  <si>
    <t>Gordon McLaughlin</t>
  </si>
  <si>
    <t>Mitch Murray</t>
  </si>
  <si>
    <t>Tim McCormack</t>
  </si>
  <si>
    <t>Brian Mason</t>
  </si>
  <si>
    <t>District Attorney - 19th Judicial District (Vote For 1)</t>
  </si>
  <si>
    <t>Michael J. Rourke</t>
  </si>
  <si>
    <t>Michael Dougherty</t>
  </si>
  <si>
    <t>Regional Transportation District Director - District A (Vote For 1)</t>
  </si>
  <si>
    <t>Tim Nelson</t>
  </si>
  <si>
    <t>Kate Williams</t>
  </si>
  <si>
    <t>Kyle Bradell</t>
  </si>
  <si>
    <t>Regional Transportation District Director - District E (Vote For 1)</t>
  </si>
  <si>
    <t>Paul Rosenthal</t>
  </si>
  <si>
    <t>Regional Transportation District Director - District F (Vote For 1)</t>
  </si>
  <si>
    <t>Bob Broom</t>
  </si>
  <si>
    <t>Regional Transportation District Director - District G (Vote For 1)</t>
  </si>
  <si>
    <t>Julien Bouquet</t>
  </si>
  <si>
    <t>Ken Mihalik</t>
  </si>
  <si>
    <t>Regional Transportation District Director - District H (Vote For 1)</t>
  </si>
  <si>
    <t>Doug Tisdale</t>
  </si>
  <si>
    <t>Regan Byrd</t>
  </si>
  <si>
    <t>Roger Edwards</t>
  </si>
  <si>
    <t>Regional Transportation District Director - District M (Vote For 1)</t>
  </si>
  <si>
    <t>Marjorie Sloan</t>
  </si>
  <si>
    <t>Justice of the Colorado Supreme Court - Hart (Vote For 1)</t>
  </si>
  <si>
    <t>Justice of the Colorado Supreme Court - Samour (Vote For 1)</t>
  </si>
  <si>
    <t>Colorado Court of Appeals Judge - Tow (Vote For 1)</t>
  </si>
  <si>
    <t>Colorado Court of Appeals Judge - Welling (Vote For 1)</t>
  </si>
  <si>
    <t>District Court Judge - 1st Judicial District - Arp (Vote For 1)</t>
  </si>
  <si>
    <t>District Court Judge - 1st Judicial District - Meinster (Vote For 1)</t>
  </si>
  <si>
    <t>District Court Judge - 1st Judicial District - Oeffler (Vote For 1)</t>
  </si>
  <si>
    <t>District Court Judge - 1st Judicial District - Russell (Vote For 1)</t>
  </si>
  <si>
    <t>District Court Judge - 1st Judicial District - Zenisek (Vote For 1)</t>
  </si>
  <si>
    <t>District Court Judge - 2nd Judicial District - Baumann (Vote For 1)</t>
  </si>
  <si>
    <t>District Court Judge - 2nd Judicial District - Egelhoff (Vote For 1)</t>
  </si>
  <si>
    <t>District Court Judge - 2nd Judicial District - Elliff (Vote For 1)</t>
  </si>
  <si>
    <t>District Court Judge - 2nd Judicial District - Jones (Vote For 1)</t>
  </si>
  <si>
    <t>District Court Judge - 2nd Judicial District - Vallejos (Vote For 1)</t>
  </si>
  <si>
    <t>District Court Judge - 2nd Judicial District/Probate - Leith (Vote For 1)</t>
  </si>
  <si>
    <t>District Court Judge - 8th Judicial District - Blanco (Vote For 1)</t>
  </si>
  <si>
    <t>District Court Judge - 8th Judicial District - Field (Vote For 1)</t>
  </si>
  <si>
    <t>District Court Judge - 8th Judicial District - Jouard (Vote For 1)</t>
  </si>
  <si>
    <t>District Court Judge - 8th Judicial District - Villaseñor (Vote For 1)</t>
  </si>
  <si>
    <t>District Court Judge - 19th Judicial District - Kerns (Vote For 1)</t>
  </si>
  <si>
    <t>District Court Judge - 19th Judicial District - Kopcow (Vote For 1)</t>
  </si>
  <si>
    <t>Arapahoe County Court Judge - Contiguglia (Vote For 1)</t>
  </si>
  <si>
    <t>Arapahoe County Court Judge - Ollada (Vote For 1)</t>
  </si>
  <si>
    <t>Arapahoe County Court Judge - Williford (Vote For 1)</t>
  </si>
  <si>
    <t>Denver County Court Judge - Faragher (Vote For 1)</t>
  </si>
  <si>
    <t>Denver County Court Judge - Pallares (Vote For 1)</t>
  </si>
  <si>
    <t>Denver County Court Judge - Rodarte (Vote For 1)</t>
  </si>
  <si>
    <t>Denver County Court Judge - Rudolph (Vote For 1)</t>
  </si>
  <si>
    <t>Denver County Court Judge - Schwartz (Vote For 1)</t>
  </si>
  <si>
    <t>Denver County Court Judge - Simonet (Vote For 1)</t>
  </si>
  <si>
    <t>Denver County Court Judge - Spahn (Vote For 1)</t>
  </si>
  <si>
    <t>Jefferson County Court Judge - Burback (Vote For 1)</t>
  </si>
  <si>
    <t>Jefferson County Court Judge - Carpenter (Vote For 1)</t>
  </si>
  <si>
    <t>Jefferson County Court Judge - Moore (Vote For 1)</t>
  </si>
  <si>
    <t>Jefferson County Court Judge - Sargent (Vote For 1)</t>
  </si>
  <si>
    <t>Larimer County Court Judge - Berenato (Vote For 1)</t>
  </si>
  <si>
    <t>Larimer County Court Judge - Ecton (Vote For 1)</t>
  </si>
  <si>
    <t>Larimer County Court Judge - Lehman (Vote For 1)</t>
  </si>
  <si>
    <t>Amendment B (CONSTITUTIONAL) (Vote For 1)</t>
  </si>
  <si>
    <t>Yes/For</t>
  </si>
  <si>
    <t>No/Against</t>
  </si>
  <si>
    <t>Amendment C (CONSTITUTIONAL) (Vote For 1)</t>
  </si>
  <si>
    <t>Amendment 76 (CONSTITUTIONAL) (Vote For 1)</t>
  </si>
  <si>
    <t>Amendment 77 (CONSTITUTIONAL) (Vote For 1)</t>
  </si>
  <si>
    <t>Proposition EE (STATUTORY) (Vote For 1)</t>
  </si>
  <si>
    <t>Proposition 113 (STATUTORY) (Vote For 1)</t>
  </si>
  <si>
    <t>Proposition 114 (STATUTORY) (Vote For 1)</t>
  </si>
  <si>
    <t>Proposition 115 (STATUTORY) (Vote For 1)</t>
  </si>
  <si>
    <t>Proposition 116 (STATUTORY) (Vote For 1)</t>
  </si>
  <si>
    <t>Proposition 117 (STATUTORY) (Vote For 1)</t>
  </si>
  <si>
    <t>Proposition 118 (STATUTORY) (Vote For 1)</t>
  </si>
  <si>
    <t>Town of Berthoud Ballot Question 3B (Vote For 1)</t>
  </si>
  <si>
    <t>Town of Windsor Ballot Issue 3A (Vote For 1)</t>
  </si>
  <si>
    <t>Byers School District 32J Ballot Issue 5A (Vote For 1)</t>
  </si>
  <si>
    <t>Weld County School District RE-3J Ballot Issue 5C (Vote For 1)</t>
  </si>
  <si>
    <t>Weld RE-8 School District Ballot Issue 5D (Vote For 1)</t>
  </si>
  <si>
    <t>Weld County School District RE-5J Ballot Issue 5A (Vote For 1)</t>
  </si>
  <si>
    <t>Weld County School District RE-5J Ballot Issue 5B (Vote For 1)</t>
  </si>
  <si>
    <t>CO_state_2020g~Amendment 76 (CONSTITUTIONAL) (Vote For 1)</t>
  </si>
  <si>
    <t>CO_state_2020g~Amendment 77 (CONSTITUTIONAL) (Vote For 1)</t>
  </si>
  <si>
    <t>CO_state_2020g~Amendment B (CONSTITUTIONAL) (Vote For 1)</t>
  </si>
  <si>
    <t>CO_state_2020g~Amendment C (CONSTITUTIONAL) (Vote For 1)</t>
  </si>
  <si>
    <t>CO_state_2020g~Colorado Court of Appeals Judge - Tow (Vote For 1)</t>
  </si>
  <si>
    <t>CO_state_2020g~Colorado Court of Appeals Judge - Welling (Vote For 1)</t>
  </si>
  <si>
    <t>CO_state_2020g~Justice of the Colorado Supreme Court - Hart (Vote For 1)</t>
  </si>
  <si>
    <t>CO_state_2020g~Justice of the Colorado Supreme Court - Samour (Vote For 1)</t>
  </si>
  <si>
    <t>CO_state_2020g~Presidential Electors (Vote For 1)</t>
  </si>
  <si>
    <t>CO_state_2020g~Proposition 113 (STATUTORY) (Vote For 1)</t>
  </si>
  <si>
    <t>CO_state_2020g~Proposition 114 (STATUTORY) (Vote For 1)</t>
  </si>
  <si>
    <t>CO_state_2020g~Proposition 115 (STATUTORY) (Vote For 1)</t>
  </si>
  <si>
    <t>CO_state_2020g~Proposition 116 (STATUTORY) (Vote For 1)</t>
  </si>
  <si>
    <t>CO_state_2020g~Proposition 117 (STATUTORY) (Vote For 1)</t>
  </si>
  <si>
    <t>CO_state_2020g~Proposition 118 (STATUTORY) (Vote For 1)</t>
  </si>
  <si>
    <t>CO_state_2020g~Proposition EE (STATUTORY) (Vote For 1)</t>
  </si>
  <si>
    <t>CO_state_2020g~United States Senator (Vote For 1)</t>
  </si>
  <si>
    <t>state</t>
  </si>
  <si>
    <t>% with risk&gt;10%</t>
  </si>
  <si>
    <t>Contested contests</t>
  </si>
  <si>
    <t>Average sheets /ballot</t>
  </si>
  <si>
    <t>Number of ballots</t>
  </si>
  <si>
    <t>Number of sheets</t>
  </si>
  <si>
    <t>CO audit report, next tab</t>
  </si>
  <si>
    <t>ratio sheets / sample</t>
  </si>
  <si>
    <t>sheets/ ballot</t>
  </si>
  <si>
    <t>SOS audit report</t>
  </si>
  <si>
    <t>https://results.enr.clarityelections.com/CO/105975/web.276603/#/access-to-races</t>
  </si>
  <si>
    <t>Adams County Ballot Issue 1A (Vote for 1)</t>
  </si>
  <si>
    <t>Adams County Ballot Issue 1B (Vote for 1)</t>
  </si>
  <si>
    <t>Adams County Ballot Issue 1C (Vote for 1)</t>
  </si>
  <si>
    <t>Adams County Commissioner - District 1 (Vote for 1)</t>
  </si>
  <si>
    <t>Eva Henry</t>
  </si>
  <si>
    <t>Alexander ''Skinny'' Winkler</t>
  </si>
  <si>
    <t>Adams County Commissioner - District 2 (Vote for 1)</t>
  </si>
  <si>
    <t>Charles ''Chaz'' Tedesco</t>
  </si>
  <si>
    <t>James K. Treibert</t>
  </si>
  <si>
    <t>Adams County Commissioner - District 5 (Vote for 1)</t>
  </si>
  <si>
    <t>Lynn Baca</t>
  </si>
  <si>
    <t>Phil Covarrubias</t>
  </si>
  <si>
    <t>Adams County Court Judge - Flaum (Vote for 1)</t>
  </si>
  <si>
    <t>Adams County Court Judge - Kirby (Vote for 1)</t>
  </si>
  <si>
    <t>Arapahoe County Commissioner - District 1 (Vote For 1)</t>
  </si>
  <si>
    <t>Kathleen Conti</t>
  </si>
  <si>
    <t>Carrie Warren-Gully</t>
  </si>
  <si>
    <t>Joshua Lallement</t>
  </si>
  <si>
    <t>Arapahoe County Commissioner - District 3 (Vote For 1)</t>
  </si>
  <si>
    <t>Jeff Baker</t>
  </si>
  <si>
    <t>Idris Keith</t>
  </si>
  <si>
    <t>Arapahoe County Commissioner - District 5 (Vote For 1)</t>
  </si>
  <si>
    <t>Jim Parker</t>
  </si>
  <si>
    <t>Bill Holen</t>
  </si>
  <si>
    <t>Kathryn Martin</t>
  </si>
  <si>
    <t>Arapahoe County School District #6 Littleton Public Schools Ballot Issue 4C (Vote For 1)</t>
  </si>
  <si>
    <t>Ballot Issue 6A (Vote For 1)</t>
  </si>
  <si>
    <t>Baseline Water District Ballot Issue 6B (Vote for 1)</t>
  </si>
  <si>
    <t>NO/AGAINST</t>
  </si>
  <si>
    <t>YES/FOR</t>
  </si>
  <si>
    <t>Blue Mountain Water District Ballot Issue 6A (Vote For 1)</t>
  </si>
  <si>
    <t>Boulder County Commissioner - District 1 (Vote for 1)</t>
  </si>
  <si>
    <t>Cinda Kochen</t>
  </si>
  <si>
    <t>Claire Levy</t>
  </si>
  <si>
    <t>Boulder County Commissioner - District 2 (Vote for 1)</t>
  </si>
  <si>
    <t>James T Crowder</t>
  </si>
  <si>
    <t>Marta Loachamin</t>
  </si>
  <si>
    <t>Boulder County Court Judge - Jonathon P. Martin (Vote for 1)</t>
  </si>
  <si>
    <t>Calhan Fire Protection District Ballot Issue 7B (Vote for 1)</t>
  </si>
  <si>
    <t>Calhan Fire Protection District Ballot Issue 7B (Vote for 1) (Vote for 1)</t>
  </si>
  <si>
    <t>Cherry Creek School District No. 5 Ballot Issue 4A (Vote For 1)</t>
  </si>
  <si>
    <t>Cherry Creek School District No. 5 Ballot Issue 4B (Vote For 1)</t>
  </si>
  <si>
    <t>City and County of Denver Ballot Measure 2A (Vote For 1)</t>
  </si>
  <si>
    <t>City and County of Denver Ballot Measure 2B (Vote For 1)</t>
  </si>
  <si>
    <t>City and County of Denver Ballot Measure 2C (Vote For 1)</t>
  </si>
  <si>
    <t>City and County of Denver Ballot Measure 2D (Vote For 1)</t>
  </si>
  <si>
    <t>City and County of Denver Ballot Measure 2E (Vote For 1)</t>
  </si>
  <si>
    <t>City and County of Denver Ballot Measure 2F (Vote For 1)</t>
  </si>
  <si>
    <t>City and County of Denver Ballot Measure 2G (Vote For 1)</t>
  </si>
  <si>
    <t>City and County of Denver Ballot Measure 2H (Vote For 1)</t>
  </si>
  <si>
    <t>City and County of Denver Ballot Measure 2I (Vote For 1)</t>
  </si>
  <si>
    <t>City and County of Denver Ballot Measure 2J (Vote For 1)</t>
  </si>
  <si>
    <t>City Of Boulder Ballot Issue 2B (Vote for 1)</t>
  </si>
  <si>
    <t>City of Boulder Ballot Question 2C (Vote for 1)</t>
  </si>
  <si>
    <t>City of Boulder Ballot Question 2D (Vote for 1)</t>
  </si>
  <si>
    <t>City of Boulder Ballot Question 2E (Vote for 1)</t>
  </si>
  <si>
    <t>City of Boulder Ballot Question 2F (Vote for 1)</t>
  </si>
  <si>
    <t>City of Castle Pines Ballot Issue 2A (Vote For 1)</t>
  </si>
  <si>
    <t>City of Colorado Springs Ballot Issue 2A (Vote for 1)</t>
  </si>
  <si>
    <t>City of Colorado Springs Ballot Question 2B (Vote for 1)</t>
  </si>
  <si>
    <t>City of Colorado Springs Ballot Question 2C (Vote for 1)</t>
  </si>
  <si>
    <t>City of Dacono Council Members (Vote For 2)</t>
  </si>
  <si>
    <t>Kathryn Wittman</t>
  </si>
  <si>
    <t>Kevin Plain</t>
  </si>
  <si>
    <t>Adam Morehead</t>
  </si>
  <si>
    <t>Debbie Nasta</t>
  </si>
  <si>
    <t>City of Edgewater Ballot Question 2A (Vote For 1)</t>
  </si>
  <si>
    <t>City of Englewood Ballot Issue 2B (Vote For 1)</t>
  </si>
  <si>
    <t>City of Englewood Ballot Question 2A (Vote For 1)</t>
  </si>
  <si>
    <t>City of Fort Lupton Ballot Issue 2A (Vote For 1)</t>
  </si>
  <si>
    <t>City of Fort Lupton Ballot Issue 2B (Vote For 1)</t>
  </si>
  <si>
    <t>City of Fort Lupton Ballot Question 2C (Vote For 1)</t>
  </si>
  <si>
    <t>City of Greeley Ballot Issue 2I (Vote For 1)</t>
  </si>
  <si>
    <t>City of Lakewood Ballot Question 2B (Vote For 1)</t>
  </si>
  <si>
    <t>City of Louisville Ballot Issue 2A (Vote for 1)</t>
  </si>
  <si>
    <t>City of Louisville City Council Ward 3 (1-Year Term) (Vote for 1)</t>
  </si>
  <si>
    <t>Kyle Brown</t>
  </si>
  <si>
    <t>City of Loveland Ballot Issue 2A (Vote For 1)</t>
  </si>
  <si>
    <t>Colorado Court of Appeals Judge - Craig R. Welling (Vote for 1)</t>
  </si>
  <si>
    <t>Colorado Court of Appeals Judge - Ted C. Tow III (Vote for 1)</t>
  </si>
  <si>
    <t>Colorado Springs School District 11 Ballot Issue 4A (Vote for 1)</t>
  </si>
  <si>
    <t>Denver Public Schools (School District No. 1) Ballot Measure 4A (Vote For 1)</t>
  </si>
  <si>
    <t>Denver Public Schools (School District No. 1) Ballot Measure 4B (Vote For 1)</t>
  </si>
  <si>
    <t>District Attorney - 17th Judicial District (Vote for 1)</t>
  </si>
  <si>
    <t>District Attorney - 4th Judicial District (Vote for 1)</t>
  </si>
  <si>
    <t>District Attorney-20th Judicial District (Vote for 1)</t>
  </si>
  <si>
    <t>District Court Judge - 17th Judicial District - Crespin (Vote for 1)</t>
  </si>
  <si>
    <t>District Court Judge - 17th Judicial District - Datz (Vote for 1)</t>
  </si>
  <si>
    <t>District Court Judge - 17th Judicial District - Finn (Vote for 1)</t>
  </si>
  <si>
    <t>District Court Judge - 17th Judicial District - Kiesnowski (Vote for 1)</t>
  </si>
  <si>
    <t>District Court Judge - 17th Judicial District - Loew (Vote for 1)</t>
  </si>
  <si>
    <t>District Court Judge - 17th Judicial District - Ramirez (Vote for 1)</t>
  </si>
  <si>
    <t>District Court Judge - 17th Judicial District - Warner (Vote for 1)</t>
  </si>
  <si>
    <t>District Court Judge - 20th Judicial District - Judith L. LaBuda (Vote for 1)</t>
  </si>
  <si>
    <t>District Court Judge - 20th Judicial District - Nancy Woodruff Salomone (Vote for 1)</t>
  </si>
  <si>
    <t>District Court Judge - 20th Judicial District - Patrick D. Butler (Vote for 1)</t>
  </si>
  <si>
    <t>District Court Judge - 20th Judicial District - Ross Macdonald (Vote for 1)</t>
  </si>
  <si>
    <t>District Court Judge - 20th Judicial District - Seftar Bakke (Vote for 1)</t>
  </si>
  <si>
    <t>District Court Judge - 4th Judicial District - Bain (Vote for 1)</t>
  </si>
  <si>
    <t>District Court Judge - 4th Judicial District - DuBois (Vote for 1)</t>
  </si>
  <si>
    <t>District Court Judge - 4th Judicial District - Kane (Vote for 1)</t>
  </si>
  <si>
    <t>District Court Judge - 4th Judicial District - McHenry (Vote for 1)</t>
  </si>
  <si>
    <t>District Court Judge - 4th Judicial District - Prince (Vote for 1)</t>
  </si>
  <si>
    <t>District Court Judge - 4th Judicial District - Sokol (Vote for 1)</t>
  </si>
  <si>
    <t>District Court Judge - 4th Judicial District - Werner (Vote for 1)</t>
  </si>
  <si>
    <t>Donald Wescott Fire Protection District Ballot Issue 6B (Vote for 1)</t>
  </si>
  <si>
    <t>Donald Wescott Fire Protection District Northern Subdistrict Ballot Issue 6C (Vote for 1)</t>
  </si>
  <si>
    <t>Douglas County Commissioner - District 2 (Vote For 1)</t>
  </si>
  <si>
    <t>George Teal</t>
  </si>
  <si>
    <t>Lisa Neal-Graves</t>
  </si>
  <si>
    <t>Victoria Reynolds</t>
  </si>
  <si>
    <t>Douglas County Commissioner - District 3 (Vote For 1)</t>
  </si>
  <si>
    <t>Darien Wilson</t>
  </si>
  <si>
    <t>Lora Thomas</t>
  </si>
  <si>
    <t>El Paso County Commissioner - District 2 (Vote for 1)</t>
  </si>
  <si>
    <t>Carrie Geitner</t>
  </si>
  <si>
    <t>Tracey Johnson</t>
  </si>
  <si>
    <t>Robert Edward Berg</t>
  </si>
  <si>
    <t>El Paso County Commissioner - District 3 (Vote for 1)</t>
  </si>
  <si>
    <t>Stan Lee VanderWerf</t>
  </si>
  <si>
    <t>Ken Schauer</t>
  </si>
  <si>
    <t>El Paso County Commissioner - District 4 (Vote for 1)</t>
  </si>
  <si>
    <t>Longinos Gonzalez Jr.</t>
  </si>
  <si>
    <t>Andre Vigil</t>
  </si>
  <si>
    <t>Victoria Ciraolo</t>
  </si>
  <si>
    <t>El Paso County Court Judge - Findorff (Vote for 1)</t>
  </si>
  <si>
    <t>El Paso County Court Judge - Gerhart (Vote for 1)</t>
  </si>
  <si>
    <t>Foothills Park &amp; Recreation District Ballot Issue 6E (Vote For 1)</t>
  </si>
  <si>
    <t>Forest Hills Metropolitan District Ballot Issue 6C (Vote For 1)</t>
  </si>
  <si>
    <t>Forest Hills Metropolitan District Ballot Issue 6D (Vote For 1)</t>
  </si>
  <si>
    <t>Fort Lupton Fire Protection District Ballot Issue 6D (Vote For 1)</t>
  </si>
  <si>
    <t>Franktown Fire Protection District Ballot Issue 6A (Vote For 1)</t>
  </si>
  <si>
    <t>Frederick-Firestone Fire Protection District Ballot Issue 6B (Vote For 1)</t>
  </si>
  <si>
    <t>Frederick-Firestone Fire Protection District Ballot Question 6C (Vote For 1)</t>
  </si>
  <si>
    <t>Hudson Fire Protection District Ballot Issue 6A (Vote For 1)</t>
  </si>
  <si>
    <t>Jefferson County Commissioner - District 1 (Vote For 1)</t>
  </si>
  <si>
    <t>Tracy Kraft-Tharp</t>
  </si>
  <si>
    <t>Libby Szabo</t>
  </si>
  <si>
    <t>Hans V. Romer</t>
  </si>
  <si>
    <t>Jefferson County Commissioner - District 2 (Vote For 1)</t>
  </si>
  <si>
    <t>Joni Inman</t>
  </si>
  <si>
    <t>Andy Kerr</t>
  </si>
  <si>
    <t>Jefferson County Surveyor (Vote For 1)</t>
  </si>
  <si>
    <t>Robert Hennessy</t>
  </si>
  <si>
    <t>Justice of the Colorado Supreme Court - Carlos A. Samour Jr. (Vote for 1)</t>
  </si>
  <si>
    <t>Justice of the Colorado Supreme Court - Melissa Hart (Vote for 1)</t>
  </si>
  <si>
    <t>Larimer County Commissioner - District 2 (Vote For 1)</t>
  </si>
  <si>
    <t>Kristin Stephens</t>
  </si>
  <si>
    <t>Bob McCluskey</t>
  </si>
  <si>
    <t>Larimer County Commissioner - District 3 (Vote For 1)</t>
  </si>
  <si>
    <t>Jody Shadduck-McNally</t>
  </si>
  <si>
    <t>Ben Aste</t>
  </si>
  <si>
    <t>Larimer County Crystal View Public Improvement District No. 69 Ballot Issue 6I (Vote For 1)</t>
  </si>
  <si>
    <t>Larimer County Glenn Ridge Estates Public Improvement District No. 72 Ballot Issue 6D (Vote For 1)</t>
  </si>
  <si>
    <t>Larimer County Meadows at Rolling Hills Public Improvement District No. 73 Ballot Issue 6H (Vote For 1)</t>
  </si>
  <si>
    <t>Larimer County Rockview Wildflower Ridge Public Improvement District No. 71 Ballot Issue 6F (Vote For 1)</t>
  </si>
  <si>
    <t>Larimer County Trappers Point Public Improvement District No. 70 Ballot Issue 6E (Vote For 1)</t>
  </si>
  <si>
    <t>Larimer County Vine Drive Public Improvement District No. 29 Ballot Issue 6G (Vote For 1)</t>
  </si>
  <si>
    <t>Lookout Mountain Water District Ballot Issue 6B (Vote For 1)</t>
  </si>
  <si>
    <t>Loveland Rural Fire Protection District Ballot Issue 6A (Vote For 1)</t>
  </si>
  <si>
    <t>Loveland Rural Fire Protection District Ballot Issue 6B (Vote For 1)</t>
  </si>
  <si>
    <t>Miami Yoder School District JT 60 Ballot Question 5A (Vote for 1)</t>
  </si>
  <si>
    <t>Northeast Teller County Fire Protection District Ballot Issue 7A (Vote for 1)</t>
  </si>
  <si>
    <t>Poudre Canyon Fire Protection District Ballot Issue 6C (Vote For 1)</t>
  </si>
  <si>
    <t>Prairie School District RE-11J Ballot Question 5E (Vote For 1)</t>
  </si>
  <si>
    <t>Regional Transportation District Director - District I (Vote for 1)</t>
  </si>
  <si>
    <t>There are no candidates for this office</t>
  </si>
  <si>
    <t xml:space="preserve">-   </t>
  </si>
  <si>
    <t>Representative to the 117th United States Congress-District 2 (Vote for 1)</t>
  </si>
  <si>
    <t>Representative to the 117th United States Congress-District 4 (Vote for 1)</t>
  </si>
  <si>
    <t>South Adams County Fire Protection District No. 4 Ballot Issue 6A (Vote for 1)</t>
  </si>
  <si>
    <t>St. Vrain and Left Hand Water Conservancy District Ballot Issue 7A (Vote for 1)</t>
  </si>
  <si>
    <t>State Representative - District 10 (Vote for 1)</t>
  </si>
  <si>
    <t>State Representative - District 11 (Vote for 1)</t>
  </si>
  <si>
    <t>State Representative - District 12 (Vote for 1)</t>
  </si>
  <si>
    <t>State Representative - District 13 (Vote for 1)</t>
  </si>
  <si>
    <t>James E. "Jed" Gilman</t>
  </si>
  <si>
    <t>State Representative - District 14 (Vote for 1)</t>
  </si>
  <si>
    <t>State Representative - District 15 (Vote for 1)</t>
  </si>
  <si>
    <t>State Representative - District 16 (Vote for 1)</t>
  </si>
  <si>
    <t>State Representative - District 17 (Vote for 1)</t>
  </si>
  <si>
    <t>State Representative - District 18 (Vote for 1)</t>
  </si>
  <si>
    <t>State Representative - District 19 (Vote for 1)</t>
  </si>
  <si>
    <t>State Representative - District 20 (Vote for 1)</t>
  </si>
  <si>
    <t>State Representative - District 21 (Vote for 1)</t>
  </si>
  <si>
    <t>State Representative - District 30 (Vote for 1)</t>
  </si>
  <si>
    <t>State Representative - District 31 (Vote for 1)</t>
  </si>
  <si>
    <t>State Representative - District 32 (Vote for 1)</t>
  </si>
  <si>
    <t>State Representative - District 33 (Vote for 1)</t>
  </si>
  <si>
    <t>State Representative - District 34 (Vote for 1)</t>
  </si>
  <si>
    <t>State Representative - District 35 (Vote for 1)</t>
  </si>
  <si>
    <t>State Senator - District 10 (Vote for 1)</t>
  </si>
  <si>
    <t>State Senator - District 12 (Vote for 1)</t>
  </si>
  <si>
    <t>State Senator - District 17 (Vote for 1)</t>
  </si>
  <si>
    <t>Andrew J. O'Connor (Write-in)</t>
  </si>
  <si>
    <t>State Senator - District 18 (Vote for 1)</t>
  </si>
  <si>
    <t>State Senator - District 21 (Vote for 1)</t>
  </si>
  <si>
    <t>State Senator - District 25 (Vote for 1)</t>
  </si>
  <si>
    <t>Sundance Hills Metro District Ballot Issue 6B (Vote For 1)</t>
  </si>
  <si>
    <t>Sunshine Fire Protection District Ballot Issue 6A (Vote for 1)</t>
  </si>
  <si>
    <t>Town of Castle Rock Councilmember - District 1 (Vote For 1)</t>
  </si>
  <si>
    <t>Robert Wade</t>
  </si>
  <si>
    <t>Geneva Brier</t>
  </si>
  <si>
    <t>Ryan Hollingshead</t>
  </si>
  <si>
    <t>Town of Castle Rock Councilmember - District 2 (Vote For 1)</t>
  </si>
  <si>
    <t>Stephen Weaver</t>
  </si>
  <si>
    <t>Keegan Doheney</t>
  </si>
  <si>
    <t>Gary Godfrey</t>
  </si>
  <si>
    <t>Laura Cavey</t>
  </si>
  <si>
    <t>Town of Castle Rock Councilmember - District 4 (Vote For 1)</t>
  </si>
  <si>
    <t>Desiree LaFleur</t>
  </si>
  <si>
    <t>Preston Shepherd</t>
  </si>
  <si>
    <t>Town of Castle Rock Councilmember - District 6 (Vote For 1)</t>
  </si>
  <si>
    <t>Tim Dietz</t>
  </si>
  <si>
    <t>Gregory K. Hernandez</t>
  </si>
  <si>
    <t>Matt Katona</t>
  </si>
  <si>
    <t>Town of Eaton Ballot Issue 2H (Vote For 1)</t>
  </si>
  <si>
    <t>Town of Gilcrest Mayor (Vote For 1)</t>
  </si>
  <si>
    <t>Tyson Chavez</t>
  </si>
  <si>
    <t>Town of Gilcrest Trustee (Vote For 3)</t>
  </si>
  <si>
    <t>Karla Castro</t>
  </si>
  <si>
    <t>Tommy Lester</t>
  </si>
  <si>
    <t>Laura Fulton</t>
  </si>
  <si>
    <t>Carla Pyle</t>
  </si>
  <si>
    <t>Jessica Lester</t>
  </si>
  <si>
    <t>Jeff Nelson</t>
  </si>
  <si>
    <t>Cameron Howton</t>
  </si>
  <si>
    <t>Town of Hudson Town Council (Vote For 3)</t>
  </si>
  <si>
    <t>Truth Wright</t>
  </si>
  <si>
    <t>Michael Maestas</t>
  </si>
  <si>
    <t>Lisa Marie Buesgens</t>
  </si>
  <si>
    <t>Joseph P. Hammock</t>
  </si>
  <si>
    <t>Shannon Norgren</t>
  </si>
  <si>
    <t>Maria Chavez</t>
  </si>
  <si>
    <t>Town of Lochbuie Mayor (Vote For 1)</t>
  </si>
  <si>
    <t>Jamie Jeffery</t>
  </si>
  <si>
    <t>Michael Mahoney</t>
  </si>
  <si>
    <t>Larry James Strock</t>
  </si>
  <si>
    <t>Town of Lochbuie Trustee (Vote For 4)</t>
  </si>
  <si>
    <t>Solara Antonopulos</t>
  </si>
  <si>
    <t>James W. Kuemmerle</t>
  </si>
  <si>
    <t>Jacklyn White</t>
  </si>
  <si>
    <t>May Wescott</t>
  </si>
  <si>
    <t>Town of Mead Ballot Issue 2D (Vote For 1)</t>
  </si>
  <si>
    <t>Town of Mead Ballot Issue 2E (Vote For 1)</t>
  </si>
  <si>
    <t>Town of Milliken Ballot Question 2F (Vote For 1)</t>
  </si>
  <si>
    <t>Town of Monument Ballot Issue 2E (Vote for 1)</t>
  </si>
  <si>
    <t>Town of Monument Ballot Question 2F (Vote for 1)</t>
  </si>
  <si>
    <t>Town of Palmer Lake Ballot Question 2D (Vote for 1)</t>
  </si>
  <si>
    <t>Town of Palmer Lake Mayor (Vote for 1)</t>
  </si>
  <si>
    <t>Paul Banta</t>
  </si>
  <si>
    <t>Bill Bass</t>
  </si>
  <si>
    <t>Town of Palmer Lake Trustee (Vote for 1)</t>
  </si>
  <si>
    <t>Sam Padgett</t>
  </si>
  <si>
    <t>Shana Ball</t>
  </si>
  <si>
    <t>Nicole Currier</t>
  </si>
  <si>
    <t>Jessica Farr</t>
  </si>
  <si>
    <t>Meredith ''Kit'' Bromfield</t>
  </si>
  <si>
    <t>Karen L. Stuth</t>
  </si>
  <si>
    <t>Town of Parker Councilmember (Vote For 3)</t>
  </si>
  <si>
    <t>Kendra Sindelman</t>
  </si>
  <si>
    <t>Fritz Freund</t>
  </si>
  <si>
    <t>Mark Hall</t>
  </si>
  <si>
    <t>Nate Matthews</t>
  </si>
  <si>
    <t>Laura Hefta</t>
  </si>
  <si>
    <t>Lyndsey Quist</t>
  </si>
  <si>
    <t>Mike Drennan</t>
  </si>
  <si>
    <t>Todd Hendreks</t>
  </si>
  <si>
    <t>Anne Barrington</t>
  </si>
  <si>
    <t>Jeeva Senthilnathan</t>
  </si>
  <si>
    <t>John Diak</t>
  </si>
  <si>
    <t>Brandi Wilks</t>
  </si>
  <si>
    <t>Town of Parker Mayor (Vote For 1)</t>
  </si>
  <si>
    <t>Jonathan (JB) Bollefer</t>
  </si>
  <si>
    <t>Jeff Toborg</t>
  </si>
  <si>
    <t>Joshua Rivero</t>
  </si>
  <si>
    <t>Town of Severance Ballot Question 2G (Vote For 1)</t>
  </si>
  <si>
    <t>Town of Severance Charter Commissioner (Vote For 5)</t>
  </si>
  <si>
    <t>Rodney Simpson</t>
  </si>
  <si>
    <t>Joe Pirrone</t>
  </si>
  <si>
    <t>Donald McLeod</t>
  </si>
  <si>
    <t>Frank Baszler</t>
  </si>
  <si>
    <t>Dan Meyers</t>
  </si>
  <si>
    <t>Town of Superior - Trustee (Vote for 1)</t>
  </si>
  <si>
    <t>Chris Ochs</t>
  </si>
  <si>
    <t>Gladys M. Forshee</t>
  </si>
  <si>
    <t>Kevin Ryan</t>
  </si>
  <si>
    <t>Mark Lacis</t>
  </si>
  <si>
    <t>Paige Henchen</t>
  </si>
  <si>
    <t>Tim Howard</t>
  </si>
  <si>
    <t>Triview Metropolitan District Ballot Issue 6A (Vote for 1)</t>
  </si>
  <si>
    <t>State Representative - District 56 (Vote for 1)</t>
  </si>
  <si>
    <t>Strasburg School District 31J Ballot Issue 5B (Vote for 1)</t>
  </si>
  <si>
    <t>City of Longmont Ballot Question 3C (Vote for 1)</t>
  </si>
  <si>
    <t>City of Longmont Ballot Question 3D (Vote for 1)</t>
  </si>
  <si>
    <t>Greater Brighton Fire Protection District Ballot Issue 7B (Vote for 1)</t>
  </si>
  <si>
    <t>Weld County Commissioner - At-Large (Vote For 1)</t>
  </si>
  <si>
    <t>Paul N. Echternacht</t>
  </si>
  <si>
    <t>Perry L. Buck</t>
  </si>
  <si>
    <t>Weld County Commissioner - District 1 (Vote For 1)</t>
  </si>
  <si>
    <t>John Shull</t>
  </si>
  <si>
    <t>Mike Freeman</t>
  </si>
  <si>
    <t>Weld County Commissioner - District 3 (Vote For 1)</t>
  </si>
  <si>
    <t>Michael Welch</t>
  </si>
  <si>
    <t>Lori A. Saine</t>
  </si>
  <si>
    <t>Matthew Hess</t>
  </si>
  <si>
    <t>Weld County Council - At-Large (Vote For 1)</t>
  </si>
  <si>
    <t>Elijah Hatch</t>
  </si>
  <si>
    <t>Andrew L. Clark</t>
  </si>
  <si>
    <t>Weld County Council - District 1 (Vote For 1)</t>
  </si>
  <si>
    <t>David M. Huntwork</t>
  </si>
  <si>
    <t>Rupert Parchment</t>
  </si>
  <si>
    <t>Weld County School District RE-1 Ballot Question 4A (Vote For 1)</t>
  </si>
  <si>
    <t>CO_Adams_2020g</t>
  </si>
  <si>
    <t>CO_Arapa_2020g</t>
  </si>
  <si>
    <t>CO_Bould_2020g</t>
  </si>
  <si>
    <t>CO_Jeffe_2020g</t>
  </si>
  <si>
    <t>CO_El Pa_2020g</t>
  </si>
  <si>
    <t>CO_Denve_2020g</t>
  </si>
  <si>
    <t>CO_Dougl_2020g</t>
  </si>
  <si>
    <t>CO_Weld__2020g</t>
  </si>
  <si>
    <t>CO_Larim_2020g</t>
  </si>
  <si>
    <t>w/Adams_Byers School District 32J Ballot Issue 5A (Vote For 1)</t>
  </si>
  <si>
    <t>w/Adams_Regent of the University of Colorado - Congressional District 7 (Vote For 1)</t>
  </si>
  <si>
    <t>w/Adams_State Board of Education Member - Congressional District 7 (Vote For 1)</t>
  </si>
  <si>
    <t>w/Adams_Weld County School District RE-3J Ballot Issue 5C (Vote For 1)</t>
  </si>
  <si>
    <t>w/Arapa_Regional Transportation District Director - District A (Vote For 1)</t>
  </si>
  <si>
    <t>w/Arapa_State Representative - District 9 (Vote For 1)</t>
  </si>
  <si>
    <t>w/Larim_Town of Windsor Ballot Issue 3A (Vote For 1)</t>
  </si>
  <si>
    <t>w/Larim_Weld County School District RE-5J Ballot Issue 5A (Vote For 1)</t>
  </si>
  <si>
    <t>w/Larim_Weld County School District RE-5J Ballot Issue 5B (Vote For 1)</t>
  </si>
  <si>
    <t>w/Weld__City of Longmont Ballot Question 3C (Vote for 1)</t>
  </si>
  <si>
    <t>w/Weld__City of Longmont Ballot Question 3D (Vote for 1)</t>
  </si>
  <si>
    <t>w/Weld__State Representative - District 49 (Vote For 1)</t>
  </si>
  <si>
    <t>w/Weld__Town of Berthoud Ballot Question 3B (Vote For 1)</t>
  </si>
  <si>
    <t>CO_Adams_2020g~Adams County Ballot Issue 1A (Vote for 1)</t>
  </si>
  <si>
    <t>CO_Adams_2020g~Adams County Ballot Issue 1B (Vote for 1)</t>
  </si>
  <si>
    <t>CO_Adams_2020g~Adams County Ballot Issue 1C (Vote for 1)</t>
  </si>
  <si>
    <t>CO_Adams_2020g~Adams County Commissioner - District 1 (Vote for 1)</t>
  </si>
  <si>
    <t>CO_Adams_2020g~Adams County Commissioner - District 2 (Vote for 1)</t>
  </si>
  <si>
    <t>CO_Adams_2020g~Adams County Commissioner - District 5 (Vote for 1)</t>
  </si>
  <si>
    <t>CO_Adams_2020g~Adams County Court Judge - Flaum (Vote for 1)</t>
  </si>
  <si>
    <t>CO_Adams_2020g~Adams County Court Judge - Kirby (Vote for 1)</t>
  </si>
  <si>
    <t>CO_Adams_2020g~District Attorney - 17th Judicial District (Vote for 1)</t>
  </si>
  <si>
    <t>CO_Adams_2020g~District Court Judge - 17th Judicial District - Crespin (Vote for 1)</t>
  </si>
  <si>
    <t>CO_Adams_2020g~District Court Judge - 17th Judicial District - Datz (Vote for 1)</t>
  </si>
  <si>
    <t>CO_Adams_2020g~District Court Judge - 17th Judicial District - Finn (Vote for 1)</t>
  </si>
  <si>
    <t>CO_Adams_2020g~District Court Judge - 17th Judicial District - Kiesnowski (Vote for 1)</t>
  </si>
  <si>
    <t>CO_Adams_2020g~District Court Judge - 17th Judicial District - Loew (Vote for 1)</t>
  </si>
  <si>
    <t>CO_Adams_2020g~District Court Judge - 17th Judicial District - Ramirez (Vote for 1)</t>
  </si>
  <si>
    <t>CO_Adams_2020g~District Court Judge - 17th Judicial District - Warner (Vote for 1)</t>
  </si>
  <si>
    <t>CO_Adams_2020g~South Adams County Fire Protection District No. 4 Ballot Issue 6A (Vote for 1)</t>
  </si>
  <si>
    <t>CO_Adams_2020g~State Representative - District 30 (Vote for 1)</t>
  </si>
  <si>
    <t>CO_Adams_2020g~State Representative - District 32 (Vote for 1)</t>
  </si>
  <si>
    <t>CO_Adams_2020g~State Representative - District 34 (Vote for 1)</t>
  </si>
  <si>
    <t>CO_Adams_2020g~State Representative - District 35 (Vote for 1)</t>
  </si>
  <si>
    <t>CO_Adams_2020g~State Senator - District 21 (Vote for 1)</t>
  </si>
  <si>
    <t>CO_Adams_2020g~State Senator - District 25 (Vote for 1)</t>
  </si>
  <si>
    <t>CO_Arapa_2020g~Arapahoe County Commissioner - District 1 (Vote For 1)</t>
  </si>
  <si>
    <t>CO_Arapa_2020g~Arapahoe County Commissioner - District 3 (Vote For 1)</t>
  </si>
  <si>
    <t>CO_Arapa_2020g~Arapahoe County Commissioner - District 5 (Vote For 1)</t>
  </si>
  <si>
    <t>CO_Arapa_2020g~Arapahoe County Court Judge - Contiguglia (Vote For 1)</t>
  </si>
  <si>
    <t>CO_Arapa_2020g~Arapahoe County Court Judge - Ollada (Vote For 1)</t>
  </si>
  <si>
    <t>CO_Arapa_2020g~Arapahoe County Court Judge - Williford (Vote For 1)</t>
  </si>
  <si>
    <t>CO_Arapa_2020g~Arapahoe County School District #6 Littleton Public Schools Ballot Issue 4C (Vote For 1)</t>
  </si>
  <si>
    <t>CO_Arapa_2020g~Ballot Issue 6A (Vote For 1)</t>
  </si>
  <si>
    <t>CO_Arapa_2020g~Cherry Creek School District No. 5 Ballot Issue 4A (Vote For 1)</t>
  </si>
  <si>
    <t>CO_Arapa_2020g~Cherry Creek School District No. 5 Ballot Issue 4B (Vote For 1)</t>
  </si>
  <si>
    <t>CO_Arapa_2020g~City of Englewood Ballot Issue 2B (Vote For 1)</t>
  </si>
  <si>
    <t>CO_Arapa_2020g~City of Englewood Ballot Question 2A (Vote For 1)</t>
  </si>
  <si>
    <t>CO_Arapa_2020g~State Representative - District 3 (Vote For 1)</t>
  </si>
  <si>
    <t>CO_Arapa_2020g~State Representative - District 36 (Vote For 1)</t>
  </si>
  <si>
    <t>CO_Arapa_2020g~State Representative - District 37 (Vote For 1)</t>
  </si>
  <si>
    <t>CO_Arapa_2020g~State Representative - District 38 (Vote For 1)</t>
  </si>
  <si>
    <t>CO_Arapa_2020g~State Representative - District 40 (Vote For 1)</t>
  </si>
  <si>
    <t>CO_Arapa_2020g~State Representative - District 41 (Vote For 1)</t>
  </si>
  <si>
    <t>CO_Arapa_2020g~State Senator - District 26 (Vote For 1)</t>
  </si>
  <si>
    <t>CO_Arapa_2020g~State Senator - District 27 (Vote For 1)</t>
  </si>
  <si>
    <t>CO_Arapa_2020g~State Senator - District 28 (Vote For 1)</t>
  </si>
  <si>
    <t>CO_Arapa_2020g~State Senator - District 29 (Vote For 1)</t>
  </si>
  <si>
    <t>CO_Arapa_2020g~Sundance Hills Metro District Ballot Issue 6B (Vote For 1)</t>
  </si>
  <si>
    <t>CO_Arapa_2020g~w/Adams_Byers School District 32J Ballot Issue 5A (Vote For 1)</t>
  </si>
  <si>
    <t>CO_Bould_2020g~Baseline Water District Ballot Issue 6B (Vote for 1)</t>
  </si>
  <si>
    <t>CO_Bould_2020g~Boulder County Commissioner - District 1 (Vote for 1)</t>
  </si>
  <si>
    <t>CO_Bould_2020g~Boulder County Commissioner - District 2 (Vote for 1)</t>
  </si>
  <si>
    <t>CO_Bould_2020g~Boulder County Court Judge - Jonathon P. Martin (Vote for 1)</t>
  </si>
  <si>
    <t>CO_Bould_2020g~City Of Boulder Ballot Issue 2B (Vote for 1)</t>
  </si>
  <si>
    <t>CO_Bould_2020g~City of Boulder Ballot Question 2C (Vote for 1)</t>
  </si>
  <si>
    <t>CO_Bould_2020g~City of Boulder Ballot Question 2D (Vote for 1)</t>
  </si>
  <si>
    <t>CO_Bould_2020g~City of Boulder Ballot Question 2E (Vote for 1)</t>
  </si>
  <si>
    <t>CO_Bould_2020g~City of Boulder Ballot Question 2F (Vote for 1)</t>
  </si>
  <si>
    <t>CO_Bould_2020g~City of Louisville Ballot Issue 2A (Vote for 1)</t>
  </si>
  <si>
    <t>CO_Bould_2020g~Colorado Court of Appeals Judge - Craig R. Welling (Vote for 1)</t>
  </si>
  <si>
    <t>CO_Bould_2020g~Colorado Court of Appeals Judge - Ted C. Tow III (Vote for 1)</t>
  </si>
  <si>
    <t>CO_Bould_2020g~District Court Judge - 20th Judicial District - Judith L. LaBuda (Vote for 1)</t>
  </si>
  <si>
    <t>CO_Bould_2020g~District Court Judge - 20th Judicial District - Nancy Woodruff Salomone (Vote for 1)</t>
  </si>
  <si>
    <t>CO_Bould_2020g~District Court Judge - 20th Judicial District - Patrick D. Butler (Vote for 1)</t>
  </si>
  <si>
    <t>CO_Bould_2020g~District Court Judge - 20th Judicial District - Ross Macdonald (Vote for 1)</t>
  </si>
  <si>
    <t>CO_Bould_2020g~District Court Judge - 20th Judicial District - Seftar Bakke (Vote for 1)</t>
  </si>
  <si>
    <t>CO_Bould_2020g~Justice of the Colorado Supreme Court - Carlos A. Samour Jr. (Vote for 1)</t>
  </si>
  <si>
    <t>CO_Bould_2020g~Justice of the Colorado Supreme Court - Melissa Hart (Vote for 1)</t>
  </si>
  <si>
    <t>CO_Bould_2020g~Representative to the 117th United States Congress-District 2 (Vote for 1)</t>
  </si>
  <si>
    <t>CO_Bould_2020g~Representative to the 117th United States Congress-District 4 (Vote for 1)</t>
  </si>
  <si>
    <t>CO_Bould_2020g~St. Vrain and Left Hand Water Conservancy District Ballot Issue 7A (Vote for 1)</t>
  </si>
  <si>
    <t>CO_Bould_2020g~State Representative - District 10 (Vote for 1)</t>
  </si>
  <si>
    <t>CO_Bould_2020g~State Representative - District 11 (Vote for 1)</t>
  </si>
  <si>
    <t>CO_Bould_2020g~State Representative - District 12 (Vote for 1)</t>
  </si>
  <si>
    <t>CO_Bould_2020g~State Representative - District 13 (Vote for 1)</t>
  </si>
  <si>
    <t>CO_Bould_2020g~State Representative - District 33 (Vote for 1)</t>
  </si>
  <si>
    <t>CO_Bould_2020g~State Senator - District 17 (Vote for 1)</t>
  </si>
  <si>
    <t>CO_Bould_2020g~State Senator - District 18 (Vote for 1)</t>
  </si>
  <si>
    <t>CO_Bould_2020g~Sunshine Fire Protection District Ballot Issue 6A (Vote for 1)</t>
  </si>
  <si>
    <t>CO_Bould_2020g~Town of Superior - Trustee (Vote for 1)</t>
  </si>
  <si>
    <t>CO_Bould_2020g~w/Weld__City of Longmont Ballot Question 3C (Vote for 1)</t>
  </si>
  <si>
    <t>CO_Bould_2020g~w/Weld__City of Longmont Ballot Question 3D (Vote for 1)</t>
  </si>
  <si>
    <t>CO_Denve_2020g~City and County of Denver Ballot Measure 2A (Vote For 1)</t>
  </si>
  <si>
    <t>CO_Denve_2020g~City and County of Denver Ballot Measure 2B (Vote For 1)</t>
  </si>
  <si>
    <t>CO_Denve_2020g~City and County of Denver Ballot Measure 2C (Vote For 1)</t>
  </si>
  <si>
    <t>CO_Denve_2020g~City and County of Denver Ballot Measure 2D (Vote For 1)</t>
  </si>
  <si>
    <t>CO_Denve_2020g~City and County of Denver Ballot Measure 2E (Vote For 1)</t>
  </si>
  <si>
    <t>CO_Denve_2020g~City and County of Denver Ballot Measure 2F (Vote For 1)</t>
  </si>
  <si>
    <t>CO_Denve_2020g~City and County of Denver Ballot Measure 2G (Vote For 1)</t>
  </si>
  <si>
    <t>CO_Denve_2020g~City and County of Denver Ballot Measure 2H (Vote For 1)</t>
  </si>
  <si>
    <t>CO_Denve_2020g~City and County of Denver Ballot Measure 2I (Vote For 1)</t>
  </si>
  <si>
    <t>CO_Denve_2020g~City and County of Denver Ballot Measure 2J (Vote For 1)</t>
  </si>
  <si>
    <t>CO_Denve_2020g~Denver County Court Judge - Faragher (Vote For 1)</t>
  </si>
  <si>
    <t>CO_Denve_2020g~Denver County Court Judge - Pallares (Vote For 1)</t>
  </si>
  <si>
    <t>CO_Denve_2020g~Denver County Court Judge - Rodarte (Vote For 1)</t>
  </si>
  <si>
    <t>CO_Denve_2020g~Denver County Court Judge - Rudolph (Vote For 1)</t>
  </si>
  <si>
    <t>CO_Denve_2020g~Denver County Court Judge - Schwartz (Vote For 1)</t>
  </si>
  <si>
    <t>CO_Denve_2020g~Denver County Court Judge - Simonet (Vote For 1)</t>
  </si>
  <si>
    <t>CO_Denve_2020g~Denver County Court Judge - Spahn (Vote For 1)</t>
  </si>
  <si>
    <t>CO_Denve_2020g~Denver Public Schools (School District No. 1) Ballot Measure 4A (Vote For 1)</t>
  </si>
  <si>
    <t>CO_Denve_2020g~Denver Public Schools (School District No. 1) Ballot Measure 4B (Vote For 1)</t>
  </si>
  <si>
    <t>CO_Denve_2020g~District Attorney - 2nd Judicial District (Vote For 1)</t>
  </si>
  <si>
    <t>CO_Denve_2020g~District Court Judge - 2nd Judicial District - Baumann (Vote For 1)</t>
  </si>
  <si>
    <t>CO_Denve_2020g~District Court Judge - 2nd Judicial District - Egelhoff (Vote For 1)</t>
  </si>
  <si>
    <t>CO_Denve_2020g~District Court Judge - 2nd Judicial District - Elliff (Vote For 1)</t>
  </si>
  <si>
    <t>CO_Denve_2020g~District Court Judge - 2nd Judicial District - Jones (Vote For 1)</t>
  </si>
  <si>
    <t>CO_Denve_2020g~District Court Judge - 2nd Judicial District - Vallejos (Vote For 1)</t>
  </si>
  <si>
    <t>CO_Denve_2020g~District Court Judge - 2nd Judicial District/Probate - Leith (Vote For 1)</t>
  </si>
  <si>
    <t>CO_Denve_2020g~State Representative - District 2 (Vote For 1)</t>
  </si>
  <si>
    <t>CO_Denve_2020g~State Representative - District 4 (Vote For 1)</t>
  </si>
  <si>
    <t>CO_Denve_2020g~State Representative - District 5 (Vote For 1)</t>
  </si>
  <si>
    <t>CO_Denve_2020g~State Representative - District 6 (Vote For 1)</t>
  </si>
  <si>
    <t>CO_Denve_2020g~State Senator - District 31 (Vote For 1)</t>
  </si>
  <si>
    <t>CO_Denve_2020g~State Senator - District 33 (Vote For 1)</t>
  </si>
  <si>
    <t>CO_Denve_2020g~w/Arapa_Regional Transportation District Director - District A (Vote For 1)</t>
  </si>
  <si>
    <t>CO_Denve_2020g~w/Arapa_State Representative - District 9 (Vote For 1)</t>
  </si>
  <si>
    <t>CO_Dougl_2020g~City of Castle Pines Ballot Issue 2A (Vote For 1)</t>
  </si>
  <si>
    <t>CO_Dougl_2020g~Douglas County Commissioner - District 2 (Vote For 1)</t>
  </si>
  <si>
    <t>CO_Dougl_2020g~Douglas County Commissioner - District 3 (Vote For 1)</t>
  </si>
  <si>
    <t>CO_Dougl_2020g~Franktown Fire Protection District Ballot Issue 6A (Vote For 1)</t>
  </si>
  <si>
    <t>CO_Dougl_2020g~State Representative - District 39 (Vote For 1)</t>
  </si>
  <si>
    <t>CO_Dougl_2020g~State Representative - District 43 (Vote For 1)</t>
  </si>
  <si>
    <t>CO_Dougl_2020g~State Representative - District 44 (Vote For 1)</t>
  </si>
  <si>
    <t>CO_Dougl_2020g~State Representative - District 45 (Vote For 1)</t>
  </si>
  <si>
    <t>CO_Dougl_2020g~State Senator - District 4 (Vote For 1)</t>
  </si>
  <si>
    <t>CO_Dougl_2020g~Town of Castle Rock Councilmember - District 1 (Vote For 1)</t>
  </si>
  <si>
    <t>CO_Dougl_2020g~Town of Castle Rock Councilmember - District 2 (Vote For 1)</t>
  </si>
  <si>
    <t>CO_Dougl_2020g~Town of Castle Rock Councilmember - District 4 (Vote For 1)</t>
  </si>
  <si>
    <t>CO_Dougl_2020g~Town of Castle Rock Councilmember - District 6 (Vote For 1)</t>
  </si>
  <si>
    <t>CO_Dougl_2020g~Town of Parker Councilmember (Vote For 3)</t>
  </si>
  <si>
    <t>CO_Dougl_2020g~Town of Parker Mayor (Vote For 1)</t>
  </si>
  <si>
    <t>CO_El Pa_2020g~City of Colorado Springs Ballot Issue 2A (Vote for 1)</t>
  </si>
  <si>
    <t>CO_El Pa_2020g~City of Colorado Springs Ballot Question 2B (Vote for 1)</t>
  </si>
  <si>
    <t>CO_El Pa_2020g~City of Colorado Springs Ballot Question 2C (Vote for 1)</t>
  </si>
  <si>
    <t>CO_El Pa_2020g~Colorado Springs School District 11 Ballot Issue 4A (Vote for 1)</t>
  </si>
  <si>
    <t>CO_El Pa_2020g~District Court Judge - 4th Judicial District - Bain (Vote for 1)</t>
  </si>
  <si>
    <t>CO_El Pa_2020g~District Court Judge - 4th Judicial District - DuBois (Vote for 1)</t>
  </si>
  <si>
    <t>CO_El Pa_2020g~District Court Judge - 4th Judicial District - Kane (Vote for 1)</t>
  </si>
  <si>
    <t>CO_El Pa_2020g~District Court Judge - 4th Judicial District - McHenry (Vote for 1)</t>
  </si>
  <si>
    <t>CO_El Pa_2020g~District Court Judge - 4th Judicial District - Prince (Vote for 1)</t>
  </si>
  <si>
    <t>CO_El Pa_2020g~District Court Judge - 4th Judicial District - Sokol (Vote for 1)</t>
  </si>
  <si>
    <t>CO_El Pa_2020g~District Court Judge - 4th Judicial District - Werner (Vote for 1)</t>
  </si>
  <si>
    <t>CO_El Pa_2020g~Donald Wescott Fire Protection District Ballot Issue 6B (Vote for 1)</t>
  </si>
  <si>
    <t>CO_El Pa_2020g~Donald Wescott Fire Protection District Northern Subdistrict Ballot Issue 6C (Vote for 1)</t>
  </si>
  <si>
    <t>CO_El Pa_2020g~El Paso County Commissioner - District 2 (Vote for 1)</t>
  </si>
  <si>
    <t>CO_El Pa_2020g~El Paso County Commissioner - District 3 (Vote for 1)</t>
  </si>
  <si>
    <t>CO_El Pa_2020g~El Paso County Commissioner - District 4 (Vote for 1)</t>
  </si>
  <si>
    <t>CO_El Pa_2020g~El Paso County Court Judge - Findorff (Vote for 1)</t>
  </si>
  <si>
    <t>CO_El Pa_2020g~El Paso County Court Judge - Gerhart (Vote for 1)</t>
  </si>
  <si>
    <t>CO_El Pa_2020g~Miami Yoder School District JT 60 Ballot Question 5A (Vote for 1)</t>
  </si>
  <si>
    <t>CO_El Pa_2020g~Northeast Teller County Fire Protection District Ballot Issue 7A (Vote for 1)</t>
  </si>
  <si>
    <t>CO_El Pa_2020g~State Representative - District 14 (Vote for 1)</t>
  </si>
  <si>
    <t>CO_El Pa_2020g~State Representative - District 15 (Vote for 1)</t>
  </si>
  <si>
    <t>CO_El Pa_2020g~State Representative - District 16 (Vote for 1)</t>
  </si>
  <si>
    <t>CO_El Pa_2020g~State Representative - District 17 (Vote for 1)</t>
  </si>
  <si>
    <t>CO_El Pa_2020g~State Representative - District 18 (Vote for 1)</t>
  </si>
  <si>
    <t>CO_El Pa_2020g~State Representative - District 19 (Vote for 1)</t>
  </si>
  <si>
    <t>CO_El Pa_2020g~State Representative - District 20 (Vote for 1)</t>
  </si>
  <si>
    <t>CO_El Pa_2020g~State Representative - District 21 (Vote for 1)</t>
  </si>
  <si>
    <t>CO_El Pa_2020g~State Senator - District 10 (Vote for 1)</t>
  </si>
  <si>
    <t>CO_El Pa_2020g~State Senator - District 12 (Vote for 1)</t>
  </si>
  <si>
    <t>CO_El Pa_2020g~Town of Monument Ballot Issue 2E (Vote for 1)</t>
  </si>
  <si>
    <t>CO_El Pa_2020g~Town of Monument Ballot Question 2F (Vote for 1)</t>
  </si>
  <si>
    <t>CO_El Pa_2020g~Town of Palmer Lake Ballot Question 2D (Vote for 1)</t>
  </si>
  <si>
    <t>CO_El Pa_2020g~Town of Palmer Lake Mayor (Vote for 1)</t>
  </si>
  <si>
    <t>CO_El Pa_2020g~Town of Palmer Lake Trustee (Vote for 1)</t>
  </si>
  <si>
    <t>CO_El Pa_2020g~Triview Metropolitan District Ballot Issue 6A (Vote for 1)</t>
  </si>
  <si>
    <t>CO_Jeffe_2020g~Blue Mountain Water District Ballot Issue 6A (Vote For 1)</t>
  </si>
  <si>
    <t>CO_Jeffe_2020g~City of Edgewater Ballot Question 2A (Vote For 1)</t>
  </si>
  <si>
    <t>CO_Jeffe_2020g~City of Lakewood Ballot Question 2B (Vote For 1)</t>
  </si>
  <si>
    <t>CO_Jeffe_2020g~District Attorney - 1st Judicial District (Vote For 1)</t>
  </si>
  <si>
    <t>CO_Jeffe_2020g~District Court Judge - 1st Judicial District - Arp (Vote For 1)</t>
  </si>
  <si>
    <t>CO_Jeffe_2020g~District Court Judge - 1st Judicial District - Meinster (Vote For 1)</t>
  </si>
  <si>
    <t>CO_Jeffe_2020g~District Court Judge - 1st Judicial District - Oeffler (Vote For 1)</t>
  </si>
  <si>
    <t>CO_Jeffe_2020g~District Court Judge - 1st Judicial District - Russell (Vote For 1)</t>
  </si>
  <si>
    <t>CO_Jeffe_2020g~District Court Judge - 1st Judicial District - Zenisek (Vote For 1)</t>
  </si>
  <si>
    <t>CO_Jeffe_2020g~Foothills Park &amp; Recreation District Ballot Issue 6E (Vote For 1)</t>
  </si>
  <si>
    <t>CO_Jeffe_2020g~Forest Hills Metropolitan District Ballot Issue 6C (Vote For 1)</t>
  </si>
  <si>
    <t>CO_Jeffe_2020g~Forest Hills Metropolitan District Ballot Issue 6D (Vote For 1)</t>
  </si>
  <si>
    <t>CO_Jeffe_2020g~Jefferson County Commissioner - District 1 (Vote For 1)</t>
  </si>
  <si>
    <t>CO_Jeffe_2020g~Jefferson County Commissioner - District 2 (Vote For 1)</t>
  </si>
  <si>
    <t>CO_Jeffe_2020g~Jefferson County Court Judge - Burback (Vote For 1)</t>
  </si>
  <si>
    <t>CO_Jeffe_2020g~Jefferson County Court Judge - Carpenter (Vote For 1)</t>
  </si>
  <si>
    <t>CO_Jeffe_2020g~Jefferson County Court Judge - Moore (Vote For 1)</t>
  </si>
  <si>
    <t>CO_Jeffe_2020g~Jefferson County Court Judge - Sargent (Vote For 1)</t>
  </si>
  <si>
    <t>CO_Jeffe_2020g~Lookout Mountain Water District Ballot Issue 6B (Vote For 1)</t>
  </si>
  <si>
    <t>CO_Jeffe_2020g~State Representative - District 22 (Vote For 1)</t>
  </si>
  <si>
    <t>CO_Jeffe_2020g~State Representative - District 23 (Vote For 1)</t>
  </si>
  <si>
    <t>CO_Jeffe_2020g~State Representative - District 24 (Vote For 1)</t>
  </si>
  <si>
    <t>CO_Jeffe_2020g~State Representative - District 25 (Vote For 1)</t>
  </si>
  <si>
    <t>CO_Jeffe_2020g~State Representative - District 27 (Vote For 1)</t>
  </si>
  <si>
    <t>CO_Jeffe_2020g~State Representative - District 28 (Vote For 1)</t>
  </si>
  <si>
    <t>CO_Jeffe_2020g~State Representative - District 29 (Vote For 1)</t>
  </si>
  <si>
    <t>CO_Jeffe_2020g~State Senator - District 19 (Vote For 1)</t>
  </si>
  <si>
    <t>CO_Jeffe_2020g~w/Adams_State Board of Education Member - Congressional District 7 (Vote For 1)</t>
  </si>
  <si>
    <t>CO_Larim_2020g~City of Loveland Ballot Issue 2A (Vote For 1)</t>
  </si>
  <si>
    <t>CO_Larim_2020g~District Attorney - 8th Judicial District (Vote For 1)</t>
  </si>
  <si>
    <t>CO_Larim_2020g~District Court Judge - 8th Judicial District - Blanco (Vote For 1)</t>
  </si>
  <si>
    <t>CO_Larim_2020g~District Court Judge - 8th Judicial District - Field (Vote For 1)</t>
  </si>
  <si>
    <t>CO_Larim_2020g~District Court Judge - 8th Judicial District - Jouard (Vote For 1)</t>
  </si>
  <si>
    <t>CO_Larim_2020g~District Court Judge - 8th Judicial District - Villaseñor (Vote For 1)</t>
  </si>
  <si>
    <t>CO_Larim_2020g~Larimer County Commissioner - District 2 (Vote For 1)</t>
  </si>
  <si>
    <t>CO_Larim_2020g~Larimer County Commissioner - District 3 (Vote For 1)</t>
  </si>
  <si>
    <t>CO_Larim_2020g~Larimer County Court Judge - Berenato (Vote For 1)</t>
  </si>
  <si>
    <t>CO_Larim_2020g~Larimer County Court Judge - Ecton (Vote For 1)</t>
  </si>
  <si>
    <t>CO_Larim_2020g~Larimer County Court Judge - Lehman (Vote For 1)</t>
  </si>
  <si>
    <t>CO_Larim_2020g~Larimer County Crystal View Public Improvement District No. 69 Ballot Issue 6I (Vote For 1)</t>
  </si>
  <si>
    <t>CO_Larim_2020g~Larimer County Glenn Ridge Estates Public Improvement District No. 72 Ballot Issue 6D (Vote For 1)</t>
  </si>
  <si>
    <t>CO_Larim_2020g~Larimer County Rockview Wildflower Ridge Public Improvement District No. 71 Ballot Issue 6F (Vote For 1)</t>
  </si>
  <si>
    <t>CO_Larim_2020g~Larimer County Trappers Point Public Improvement District No. 70 Ballot Issue 6E (Vote For 1)</t>
  </si>
  <si>
    <t>CO_Larim_2020g~Larimer County Vine Drive Public Improvement District No. 29 Ballot Issue 6G (Vote For 1)</t>
  </si>
  <si>
    <t>CO_Larim_2020g~Loveland Rural Fire Protection District Ballot Issue 6A (Vote For 1)</t>
  </si>
  <si>
    <t>CO_Larim_2020g~Loveland Rural Fire Protection District Ballot Issue 6B (Vote For 1)</t>
  </si>
  <si>
    <t>CO_Larim_2020g~Poudre Canyon Fire Protection District Ballot Issue 6C (Vote For 1)</t>
  </si>
  <si>
    <t>CO_Larim_2020g~State Representative - District 52 (Vote For 1)</t>
  </si>
  <si>
    <t>CO_Larim_2020g~State Representative - District 53 (Vote For 1)</t>
  </si>
  <si>
    <t>CO_Larim_2020g~State Senator - District 14 (Vote For 1)</t>
  </si>
  <si>
    <t>CO_Larim_2020g~w/Weld__State Representative - District 49 (Vote For 1)</t>
  </si>
  <si>
    <t>CO_Larim_2020g~w/Weld__Town of Berthoud Ballot Question 3B (Vote For 1)</t>
  </si>
  <si>
    <t>CO_Weld__2020g~City of Dacono Council Members (Vote For 2)</t>
  </si>
  <si>
    <t>CO_Weld__2020g~City of Fort Lupton Ballot Issue 2A (Vote For 1)</t>
  </si>
  <si>
    <t>CO_Weld__2020g~City of Fort Lupton Ballot Issue 2B (Vote For 1)</t>
  </si>
  <si>
    <t>CO_Weld__2020g~City of Fort Lupton Ballot Question 2C (Vote For 1)</t>
  </si>
  <si>
    <t>CO_Weld__2020g~City of Greeley Ballot Issue 2I (Vote For 1)</t>
  </si>
  <si>
    <t>CO_Weld__2020g~District Court Judge - 19th Judicial District - Kerns (Vote For 1)</t>
  </si>
  <si>
    <t>CO_Weld__2020g~District Court Judge - 19th Judicial District - Kopcow (Vote For 1)</t>
  </si>
  <si>
    <t>CO_Weld__2020g~Fort Lupton Fire Protection District Ballot Issue 6D (Vote For 1)</t>
  </si>
  <si>
    <t>CO_Weld__2020g~Frederick-Firestone Fire Protection District Ballot Issue 6B (Vote For 1)</t>
  </si>
  <si>
    <t>CO_Weld__2020g~Frederick-Firestone Fire Protection District Ballot Question 6C (Vote For 1)</t>
  </si>
  <si>
    <t>CO_Weld__2020g~Hudson Fire Protection District Ballot Issue 6A (Vote For 1)</t>
  </si>
  <si>
    <t>CO_Weld__2020g~Prairie School District RE-11J Ballot Question 5E (Vote For 1)</t>
  </si>
  <si>
    <t>CO_Weld__2020g~State Representative - District 48 (Vote For 1)</t>
  </si>
  <si>
    <t>CO_Weld__2020g~State Representative - District 50 (Vote For 1)</t>
  </si>
  <si>
    <t>CO_Weld__2020g~State Representative - District 63 (Vote For 1)</t>
  </si>
  <si>
    <t>CO_Weld__2020g~Town of Eaton Ballot Issue 2H (Vote For 1)</t>
  </si>
  <si>
    <t>CO_Weld__2020g~Town of Gilcrest Trustee (Vote For 3)</t>
  </si>
  <si>
    <t>CO_Weld__2020g~Town of Hudson Town Council (Vote For 3)</t>
  </si>
  <si>
    <t>CO_Weld__2020g~Town of Lochbuie Mayor (Vote For 1)</t>
  </si>
  <si>
    <t>CO_Weld__2020g~Town of Mead Ballot Issue 2D (Vote For 1)</t>
  </si>
  <si>
    <t>CO_Weld__2020g~Town of Mead Ballot Issue 2E (Vote For 1)</t>
  </si>
  <si>
    <t>CO_Weld__2020g~Town of Milliken Ballot Question 2F (Vote For 1)</t>
  </si>
  <si>
    <t>CO_Weld__2020g~Town of Severance Ballot Question 2G (Vote For 1)</t>
  </si>
  <si>
    <t>CO_Weld__2020g~w/Adams_Weld County School District RE-3J Ballot Issue 5C (Vote For 1)</t>
  </si>
  <si>
    <t>CO_Weld__2020g~w/Larim_Town of Windsor Ballot Issue 3A (Vote For 1)</t>
  </si>
  <si>
    <t>CO_Weld__2020g~w/Larim_Weld County School District RE-5J Ballot Issue 5A (Vote For 1)</t>
  </si>
  <si>
    <t>CO_Weld__2020g~w/Larim_Weld County School District RE-5J Ballot Issue 5B (Vote For 1)</t>
  </si>
  <si>
    <t>CO_Weld__2020g~Weld County Commissioner - At-Large (Vote For 1)</t>
  </si>
  <si>
    <t>CO_Weld__2020g~Weld County Commissioner - District 1 (Vote For 1)</t>
  </si>
  <si>
    <t>CO_Weld__2020g~Weld County Commissioner - District 3 (Vote For 1)</t>
  </si>
  <si>
    <t>CO_Weld__2020g~Weld County Council - At-Large (Vote For 1)</t>
  </si>
  <si>
    <t>CO_Weld__2020g~Weld County Council - District 1 (Vote For 1)</t>
  </si>
  <si>
    <t>CO_Weld__2020g~Weld County School District RE-1 Ballot Question 4A (Vote For 1)</t>
  </si>
  <si>
    <t>CO_Weld__2020g~Weld RE-8 School District Ballot Issue 5D (Vote For 1)</t>
  </si>
  <si>
    <t>CO_Baca__2020g</t>
  </si>
  <si>
    <t>CO_Bent__2020g</t>
  </si>
  <si>
    <t>CO_Lake__2020g</t>
  </si>
  <si>
    <t>CO_Mesa__2020g</t>
  </si>
  <si>
    <t>CO_Park__2020g</t>
  </si>
  <si>
    <t>CO_Yuma__2020g</t>
  </si>
  <si>
    <t>CO_Delta_2020g</t>
  </si>
  <si>
    <t>CO_Eagle_2020g</t>
  </si>
  <si>
    <t>CO_Grand_2020g</t>
  </si>
  <si>
    <t>CO_Kiowa_2020g</t>
  </si>
  <si>
    <t>CO_Logan_2020g</t>
  </si>
  <si>
    <t>CO_Otero_2020g</t>
  </si>
  <si>
    <t>CO_Ouray_2020g</t>
  </si>
  <si>
    <t>CO_Routt_2020g</t>
  </si>
  <si>
    <t>CO_Custe_2020g</t>
  </si>
  <si>
    <t>CO_Elber_2020g</t>
  </si>
  <si>
    <t>CO_Gilpi_2020g</t>
  </si>
  <si>
    <t>CO_Moffa_2020g</t>
  </si>
  <si>
    <t>CO_Morga_2020g</t>
  </si>
  <si>
    <t>CO_Pitki_2020g</t>
  </si>
  <si>
    <t>CO_Puebl_2020g</t>
  </si>
  <si>
    <t>CO_Summi_2020g</t>
  </si>
  <si>
    <t>CO_Telle_2020g</t>
  </si>
  <si>
    <t>CO_Alamo_2020g</t>
  </si>
  <si>
    <t>CO_Chaff_2020g</t>
  </si>
  <si>
    <t>CO_Conej_2020g</t>
  </si>
  <si>
    <t>CO_Crowl_2020g</t>
  </si>
  <si>
    <t>CO_Dolor_2020g</t>
  </si>
  <si>
    <t>CO_Fremo_2020g</t>
  </si>
  <si>
    <t>CO_Jacks_2020g</t>
  </si>
  <si>
    <t>CO_Linco_2020g</t>
  </si>
  <si>
    <t>CO_Miner_2020g</t>
  </si>
  <si>
    <t>CO_Prowe_2020g</t>
  </si>
  <si>
    <t>CO_Cheye_2020g</t>
  </si>
  <si>
    <t>CO_Costi_2020g</t>
  </si>
  <si>
    <t>CO_Garfi_2020g</t>
  </si>
  <si>
    <t>CO_Gunni_2020g</t>
  </si>
  <si>
    <t>CO_Hinsd_2020g</t>
  </si>
  <si>
    <t>CO_Huerf_2020g</t>
  </si>
  <si>
    <t>CO_La Pl_2020g</t>
  </si>
  <si>
    <t>CO_Montr_2020g</t>
  </si>
  <si>
    <t>CO_Phill_2020g</t>
  </si>
  <si>
    <t>CO_Sagua_2020g</t>
  </si>
  <si>
    <t>CO_San J_2020g</t>
  </si>
  <si>
    <t>CO_Sedgw_2020g</t>
  </si>
  <si>
    <t>CO_Archu_2020g</t>
  </si>
  <si>
    <t>CO_Monte_2020g</t>
  </si>
  <si>
    <t>CO_Broom_2020g</t>
  </si>
  <si>
    <t>CO_Kit C_2020g</t>
  </si>
  <si>
    <t>CO_Las A_2020g</t>
  </si>
  <si>
    <t>CO_Rio B_2020g</t>
  </si>
  <si>
    <t>CO_Rio G_2020g</t>
  </si>
  <si>
    <t>CO_San M_2020g</t>
  </si>
  <si>
    <t>CO_Washi_2020g</t>
  </si>
  <si>
    <t>CO_Clear_2020g</t>
  </si>
  <si>
    <t>row of 2nd county if any</t>
  </si>
  <si>
    <t>Representative to the 117th United States Congress - District 5 (Vote for 1)</t>
  </si>
  <si>
    <t>w/Denve_Regional Transportation District Director - District E (Vote For 1)</t>
  </si>
  <si>
    <t>w/Dougl_Regional Transportation District Director - District H (Vote For 1)</t>
  </si>
  <si>
    <t>w/Adams_Representative to the 117th United States Congress - District 7 (Vote For 1)</t>
  </si>
  <si>
    <t>CO_Adams_2020g~Greater Brighton Fire Protection District Ballot Issue 7B (Vote for 1)</t>
  </si>
  <si>
    <t>CO_Adams_2020g~State Representative - District 56 (Vote for 1)</t>
  </si>
  <si>
    <t>CO_Adams_2020g~Strasburg School District 31J Ballot Issue 5B (Vote for 1)</t>
  </si>
  <si>
    <t>CO_Arapa_2020g~w/Dougl_Regional Transportation District Director - District H (Vote For 1)</t>
  </si>
  <si>
    <t>CO_Denve_2020g~State Representative - District 1 (Vote For 1)</t>
  </si>
  <si>
    <t>CO_Dougl_2020g~Regional Transportation District Director - District G (Vote For 1)</t>
  </si>
  <si>
    <t>CO_El Pa_2020g~Representative to the 117th United States Congress - District 5 (Vote for 1)</t>
  </si>
  <si>
    <t>CO_Jeffe_2020g~w/Adams_Representative to the 117th United States Congress - District 7 (Vote For 1)</t>
  </si>
  <si>
    <t>Column G "Total Votes" on each row shows the number of votes for the candidate on that row</t>
  </si>
  <si>
    <t>For the first row of each contest, Column R "Highest Loser" shows the votes for the loser of the contest. If the contest allows 2 winners, these are votes for the third highest, the "highest loser"</t>
  </si>
  <si>
    <t>Column S "Margin" shows the difference between the lowest winner and highest loser, if there were enough candidates to have both. Otherwise the margin is blank.</t>
  </si>
  <si>
    <t>Write-ins are not counted as winner or loser, since the votes for specific write-in candidates cannot be identified.</t>
  </si>
  <si>
    <t>Column T shows the county and contest again</t>
  </si>
  <si>
    <t>The chance that a random ballot misses the erroneous ones is (one minus the margin divided by all ballot sheets in the county)</t>
  </si>
  <si>
    <t>If there were enough errors, equal to the margin of victory, the chance that any random ballot is erroneous equals the margin as a percent of all ballot sheets in county</t>
  </si>
  <si>
    <t>The chance that n random ballots all miss the erroneous ones, is the chance for one, to the power n</t>
  </si>
  <si>
    <t>The chance that 2 random ballots both miss the erroneous ones, is the chance for one, squared</t>
  </si>
  <si>
    <t>For the first row of each contest, Column Q "Lowest winner" shows the votes for the winner of the contest. If the contest allows 2 winners, this is the lowest winner, ie the second highest vote</t>
  </si>
  <si>
    <t>For other rows, columns Q-R have intermediate steps to find the lowest winner and highest loser.</t>
  </si>
  <si>
    <t xml:space="preserve">Adams </t>
  </si>
  <si>
    <t xml:space="preserve">Arapahoe </t>
  </si>
  <si>
    <t xml:space="preserve">Archuleta </t>
  </si>
  <si>
    <t xml:space="preserve">Baca </t>
  </si>
  <si>
    <t xml:space="preserve">Boulder </t>
  </si>
  <si>
    <t xml:space="preserve">Broomfield </t>
  </si>
  <si>
    <t xml:space="preserve">Cheyenne </t>
  </si>
  <si>
    <t xml:space="preserve">Conejos </t>
  </si>
  <si>
    <t xml:space="preserve">Costilla </t>
  </si>
  <si>
    <t xml:space="preserve">Crowley </t>
  </si>
  <si>
    <t xml:space="preserve">Custer </t>
  </si>
  <si>
    <t xml:space="preserve">Delta </t>
  </si>
  <si>
    <t xml:space="preserve">Denver </t>
  </si>
  <si>
    <t xml:space="preserve">Dolores </t>
  </si>
  <si>
    <t xml:space="preserve">Douglas </t>
  </si>
  <si>
    <t>El Pa</t>
  </si>
  <si>
    <t xml:space="preserve">Gilpin </t>
  </si>
  <si>
    <t xml:space="preserve">Jefferson </t>
  </si>
  <si>
    <t xml:space="preserve">Lake </t>
  </si>
  <si>
    <t xml:space="preserve">Mineral </t>
  </si>
  <si>
    <t xml:space="preserve">Moffat </t>
  </si>
  <si>
    <t xml:space="preserve">Montezuma </t>
  </si>
  <si>
    <t xml:space="preserve">Park </t>
  </si>
  <si>
    <t xml:space="preserve">Pueblo </t>
  </si>
  <si>
    <t>Rio G</t>
  </si>
  <si>
    <t xml:space="preserve">Saguache </t>
  </si>
  <si>
    <t>San M</t>
  </si>
  <si>
    <t xml:space="preserve">Sedgwick </t>
  </si>
  <si>
    <t>Adjudication Error</t>
  </si>
  <si>
    <t>Ambiguous Voter Intent</t>
  </si>
  <si>
    <t>Audit Board Error</t>
  </si>
  <si>
    <t>Pulled wrong ballot</t>
  </si>
  <si>
    <t>RLA Software Mapping Issue ‐ False Discrepancy</t>
  </si>
  <si>
    <t>Voting System Limitation</t>
  </si>
  <si>
    <t>RLA Software Error</t>
  </si>
  <si>
    <t>Miscount, Reached Wrong Ballot</t>
  </si>
  <si>
    <t>Human Error in Original Interpretation</t>
  </si>
  <si>
    <t>Software Ignores Voter's Crossing Out of a Vote</t>
  </si>
  <si>
    <t>Error in Human Interpretation in RLA</t>
  </si>
  <si>
    <t>zGunnison</t>
  </si>
  <si>
    <t>zSan Juan</t>
  </si>
  <si>
    <t>sort name</t>
  </si>
  <si>
    <t>discrep name</t>
  </si>
  <si>
    <t>FORMATTED</t>
  </si>
  <si>
    <t/>
  </si>
  <si>
    <t>Colorado</t>
  </si>
  <si>
    <t>Percent, with labels re-worded</t>
  </si>
  <si>
    <t>RLA Sample</t>
  </si>
  <si>
    <t>Select: avg sheets/ballot =</t>
  </si>
  <si>
    <t>Select: avg sheets per batch =</t>
  </si>
  <si>
    <t>County Name</t>
  </si>
  <si>
    <t>Precincts</t>
  </si>
  <si>
    <t>Registered Voters</t>
  </si>
  <si>
    <t>% Turnout ***</t>
  </si>
  <si>
    <t>1st Report</t>
  </si>
  <si>
    <t>Last Report</t>
  </si>
  <si>
    <t>Report Type</t>
  </si>
  <si>
    <t>early as % of final</t>
  </si>
  <si>
    <t>Above % of early sheets</t>
  </si>
  <si>
    <t>Above % of all ballot sheets</t>
  </si>
  <si>
    <t>Registered</t>
  </si>
  <si>
    <t>2020 General early count Ballots</t>
  </si>
  <si>
    <t>Type</t>
  </si>
  <si>
    <t>Total
Precincts</t>
  </si>
  <si>
    <t>Registered
Voters</t>
  </si>
  <si>
    <t>Report
Type
****</t>
  </si>
  <si>
    <t>Alameda</t>
  </si>
  <si>
    <t>U</t>
  </si>
  <si>
    <t>8:21 p.m.</t>
  </si>
  <si>
    <t>11:11 p.m.</t>
  </si>
  <si>
    <t>Mar 3
8:39 p.m.</t>
  </si>
  <si>
    <t>Mar 24
2:59 p.m.</t>
  </si>
  <si>
    <t>Alpine</t>
  </si>
  <si>
    <t>9:14 p.m.</t>
  </si>
  <si>
    <t>SF</t>
  </si>
  <si>
    <t>Mar 3
8:51 p.m.</t>
  </si>
  <si>
    <t>Mar 24
4:22 p.m.</t>
  </si>
  <si>
    <t>Amador</t>
  </si>
  <si>
    <t>8:17 p.m.</t>
  </si>
  <si>
    <t>10:55 p.m.</t>
  </si>
  <si>
    <t>Mar 3
10:00 p.m.</t>
  </si>
  <si>
    <t>Mar 30
7:56 a.m.</t>
  </si>
  <si>
    <t>Butte</t>
  </si>
  <si>
    <t>8:42 p.m.</t>
  </si>
  <si>
    <t>2:39 a.m.</t>
  </si>
  <si>
    <t>Mar 3
10:11 p.m.</t>
  </si>
  <si>
    <t>Mar 26
11:16 a.m.</t>
  </si>
  <si>
    <t>Calaveras</t>
  </si>
  <si>
    <t>9:17 p.m.</t>
  </si>
  <si>
    <t>10:15 p.m.</t>
  </si>
  <si>
    <t>Mar 3
9:49 p.m.</t>
  </si>
  <si>
    <t>Mar 19
1:32 p.m.</t>
  </si>
  <si>
    <t>Colusa</t>
  </si>
  <si>
    <t>8:36 p.m.</t>
  </si>
  <si>
    <t>10:18 p.m.</t>
  </si>
  <si>
    <t>Mar 3
9:01 p.m.</t>
  </si>
  <si>
    <t>Mar 30
4:01 p.m.</t>
  </si>
  <si>
    <t>Contra Costa</t>
  </si>
  <si>
    <t>8:33 p.m.</t>
  </si>
  <si>
    <t>11:39 p.m.</t>
  </si>
  <si>
    <t>Mar 3
8:25 p.m.</t>
  </si>
  <si>
    <t>Mar 30
2:02 p.m.</t>
  </si>
  <si>
    <t>Del Norte</t>
  </si>
  <si>
    <t>8:28 p.m.</t>
  </si>
  <si>
    <t>10:00 p.m.</t>
  </si>
  <si>
    <t>Mar 3
8:50 p.m.</t>
  </si>
  <si>
    <t>Apr 16
9:45 a.m.</t>
  </si>
  <si>
    <t>El Dorado</t>
  </si>
  <si>
    <t>1:17 a.m.</t>
  </si>
  <si>
    <t>Mar 3
8:15 p.m.</t>
  </si>
  <si>
    <t>Mar 22
4:50 p.m.</t>
  </si>
  <si>
    <t>Fresno</t>
  </si>
  <si>
    <t>8:09 p.m.</t>
  </si>
  <si>
    <t>10:11 p.m.</t>
  </si>
  <si>
    <t>Mar 3
8:58 p.m.</t>
  </si>
  <si>
    <t>Apr 2
4:03 p.m.</t>
  </si>
  <si>
    <t>Glenn</t>
  </si>
  <si>
    <t>8:11 p.m.</t>
  </si>
  <si>
    <t>4:43 p.m.</t>
  </si>
  <si>
    <t>Mar 4
12:09 a.m.</t>
  </si>
  <si>
    <t>Apr 9
1:49 p.m.</t>
  </si>
  <si>
    <t>Humboldt</t>
  </si>
  <si>
    <t>9:31 p.m.</t>
  </si>
  <si>
    <t>3:39 a.m.</t>
  </si>
  <si>
    <t>Mar 3
8:59 p.m.</t>
  </si>
  <si>
    <t>Apr 21
6:10 p.m.</t>
  </si>
  <si>
    <t>Imperial</t>
  </si>
  <si>
    <t>8:43 p.m.</t>
  </si>
  <si>
    <t>3:12 a.m.</t>
  </si>
  <si>
    <t>Apr 21
5:15 p.m.</t>
  </si>
  <si>
    <t>Inyo</t>
  </si>
  <si>
    <t>8:27 p.m.</t>
  </si>
  <si>
    <t>10:35 p.m.</t>
  </si>
  <si>
    <t>Mar 3
8:49 p.m.</t>
  </si>
  <si>
    <t>Apr 16
4:31 p.m.</t>
  </si>
  <si>
    <t>Kern</t>
  </si>
  <si>
    <t>9:24 p.m.</t>
  </si>
  <si>
    <t>2:34 a.m.</t>
  </si>
  <si>
    <t>Mar 3
9:36 p.m.</t>
  </si>
  <si>
    <t>Apr 6
9:23 a.m.</t>
  </si>
  <si>
    <t>Kings</t>
  </si>
  <si>
    <t>11:31 p.m.</t>
  </si>
  <si>
    <t>Mar 3
8:43 p.m.</t>
  </si>
  <si>
    <t>Apr 7
2:50 p.m.</t>
  </si>
  <si>
    <t>Lake</t>
  </si>
  <si>
    <t>9:06 p.m.</t>
  </si>
  <si>
    <t>1:54 a.m.</t>
  </si>
  <si>
    <t>Mar 3
9:39 p.m.</t>
  </si>
  <si>
    <t>Apr 6
8:55 a.m.</t>
  </si>
  <si>
    <t>Lassen</t>
  </si>
  <si>
    <t>6:21 p.m.</t>
  </si>
  <si>
    <t>Mar 3
8:38 p.m.</t>
  </si>
  <si>
    <t>Mar 18
10:28 a.m.</t>
  </si>
  <si>
    <t>Los Angeles</t>
  </si>
  <si>
    <t>4:47 p.m.</t>
  </si>
  <si>
    <t>Mar 3
8:46 p.m.</t>
  </si>
  <si>
    <t>Apr 16
2:37 p.m.</t>
  </si>
  <si>
    <t>Madera</t>
  </si>
  <si>
    <t>8:16 p.m.</t>
  </si>
  <si>
    <t>11:16 p.m.</t>
  </si>
  <si>
    <t>Mar 3
9:18 p.m.</t>
  </si>
  <si>
    <t>Apr 16
2:48 p.m.</t>
  </si>
  <si>
    <t>Marin</t>
  </si>
  <si>
    <t>8:47 p.m.</t>
  </si>
  <si>
    <t>10:17 p.m.</t>
  </si>
  <si>
    <t>Mar 3
8:32 p.m.</t>
  </si>
  <si>
    <t>Apr 9
4:13 p.m.</t>
  </si>
  <si>
    <t>Mariposa</t>
  </si>
  <si>
    <t>8:35 p.m.</t>
  </si>
  <si>
    <t>9:40 p.m.</t>
  </si>
  <si>
    <t>Mar 3
9:19 p.m.</t>
  </si>
  <si>
    <t>Apr 21
9:40 a.m.</t>
  </si>
  <si>
    <t>Mendocino</t>
  </si>
  <si>
    <t>8:26 p.m.</t>
  </si>
  <si>
    <t>12:27 a.m.</t>
  </si>
  <si>
    <t>Mar 3
8:44 p.m.</t>
  </si>
  <si>
    <t>Apr 16
12:44 p.m.</t>
  </si>
  <si>
    <t>Merced</t>
  </si>
  <si>
    <t>8:01 p.m.</t>
  </si>
  <si>
    <t>9:43 p.m.</t>
  </si>
  <si>
    <t>Mar 3
8:06 p.m.</t>
  </si>
  <si>
    <t>Apr 2
2:26 p.m.</t>
  </si>
  <si>
    <t>Modoc</t>
  </si>
  <si>
    <t>8:30 p.m.</t>
  </si>
  <si>
    <t>1:28 a.m.</t>
  </si>
  <si>
    <t>Mar 3
8:35 p.m.</t>
  </si>
  <si>
    <t>Apr 1
3:58 p.m.</t>
  </si>
  <si>
    <t>Mono</t>
  </si>
  <si>
    <t>9:15 p.m.</t>
  </si>
  <si>
    <t>10:22 a.m.</t>
  </si>
  <si>
    <t>Mar 3
9:24 p.m.</t>
  </si>
  <si>
    <t>Apr 2
12:42 p.m.</t>
  </si>
  <si>
    <t>Monterey</t>
  </si>
  <si>
    <t>11:03 p.m.</t>
  </si>
  <si>
    <t>12:21 a.m.</t>
  </si>
  <si>
    <t>Mar 3
8:12 p.m.</t>
  </si>
  <si>
    <t>Apr 8
9:16 a.m.</t>
  </si>
  <si>
    <t>Napa</t>
  </si>
  <si>
    <t>8:03 p.m.</t>
  </si>
  <si>
    <t>Mar 3
8:03 p.m.</t>
  </si>
  <si>
    <t>Apr 9
7:09 p.m.</t>
  </si>
  <si>
    <t>Nevada</t>
  </si>
  <si>
    <t>11:25 p.m.</t>
  </si>
  <si>
    <t>Apr 2
2:23 p.m.</t>
  </si>
  <si>
    <t>Orange</t>
  </si>
  <si>
    <t>5:09 p.m.</t>
  </si>
  <si>
    <t>Mar 3
8:17 p.m.</t>
  </si>
  <si>
    <t>Mar 30
2:08 p.m.</t>
  </si>
  <si>
    <t>Placer</t>
  </si>
  <si>
    <t>Mar 3
9:20 p.m.</t>
  </si>
  <si>
    <t>Apr 2
5:28 p.m.</t>
  </si>
  <si>
    <t>Plumas</t>
  </si>
  <si>
    <t>8:08 p.m.</t>
  </si>
  <si>
    <t>Mar 3
8:29 p.m.</t>
  </si>
  <si>
    <t>Mar 26
3:40 p.m.</t>
  </si>
  <si>
    <t>Riverside</t>
  </si>
  <si>
    <t>5:13 p.m.</t>
  </si>
  <si>
    <t>Mar 3
8:22 p.m.</t>
  </si>
  <si>
    <t>Apr 16
11:00 p.m.</t>
  </si>
  <si>
    <t>Sacramento</t>
  </si>
  <si>
    <t>1:09 a.m.</t>
  </si>
  <si>
    <t>Mar 3
10:08 p.m.</t>
  </si>
  <si>
    <t>Mar 25
11:45 a.m.</t>
  </si>
  <si>
    <t>San Benito</t>
  </si>
  <si>
    <t>8:07 p.m.</t>
  </si>
  <si>
    <t>Mar 3
8:05 p.m.</t>
  </si>
  <si>
    <t>Apr 14
4:36 p.m.</t>
  </si>
  <si>
    <t>San Bernardino</t>
  </si>
  <si>
    <t>10:07 p.m.</t>
  </si>
  <si>
    <t>Mar 3
9:16 p.m.</t>
  </si>
  <si>
    <t>Apr 2
3:48 p.m.</t>
  </si>
  <si>
    <t>San Diego</t>
  </si>
  <si>
    <t>8:19 p.m.</t>
  </si>
  <si>
    <t>2:27 a.m.</t>
  </si>
  <si>
    <t>Mar 3
8:36 p.m.</t>
  </si>
  <si>
    <t>Apr 16
1:24 p.m.</t>
  </si>
  <si>
    <t>San Francisco</t>
  </si>
  <si>
    <t>8:53 p.m.</t>
  </si>
  <si>
    <t>11:52 p.m.</t>
  </si>
  <si>
    <t>Apr 1
12:19 p.m.</t>
  </si>
  <si>
    <t>San Joaquin</t>
  </si>
  <si>
    <t>11:04 a.m.</t>
  </si>
  <si>
    <t>Mar 3
9:13 p.m.</t>
  </si>
  <si>
    <t>Apr 22
9:27 a.m.</t>
  </si>
  <si>
    <t>San Luis Obispo</t>
  </si>
  <si>
    <t>Mar 3
8:40 p.m.</t>
  </si>
  <si>
    <t>Mar 27
10:37 a.m.</t>
  </si>
  <si>
    <t>San Mateo</t>
  </si>
  <si>
    <t>1:27 a.m.</t>
  </si>
  <si>
    <t>Mar 3
8:18 p.m.</t>
  </si>
  <si>
    <t>Apr 2
11:19 a.m.</t>
  </si>
  <si>
    <t>Santa Barbara</t>
  </si>
  <si>
    <t>12:47 a.m.</t>
  </si>
  <si>
    <t>Apr 16
8:47 a.m.</t>
  </si>
  <si>
    <t>Santa Clara</t>
  </si>
  <si>
    <t>8:25 p.m.</t>
  </si>
  <si>
    <t>5:37 p.m.</t>
  </si>
  <si>
    <t>Mar 3
10:43 p.m.</t>
  </si>
  <si>
    <t>Apr 21
6:49 p.m.</t>
  </si>
  <si>
    <t>Santa Cruz</t>
  </si>
  <si>
    <t>8:34 p.m.</t>
  </si>
  <si>
    <t>1:06 a.m.</t>
  </si>
  <si>
    <t>Apr 1
1:53 p.m.</t>
  </si>
  <si>
    <t>Shasta</t>
  </si>
  <si>
    <t>4:32 p.m.</t>
  </si>
  <si>
    <t>Apr 9
12:36 p.m.</t>
  </si>
  <si>
    <t>Sierra</t>
  </si>
  <si>
    <t>2:24 p.m.</t>
  </si>
  <si>
    <t>Mar 3
10:21 p.m.</t>
  </si>
  <si>
    <t>Apr 1
11:57 a.m.</t>
  </si>
  <si>
    <t>Siskiyou</t>
  </si>
  <si>
    <t>8:32 p.m.</t>
  </si>
  <si>
    <t>4:45 p.m.</t>
  </si>
  <si>
    <t>Mar 3
9:28 p.m.</t>
  </si>
  <si>
    <t>Mar 25
2:15 p.m.</t>
  </si>
  <si>
    <t>Solano</t>
  </si>
  <si>
    <t>8:15 p.m.</t>
  </si>
  <si>
    <t>5:53 p.m.</t>
  </si>
  <si>
    <t>Mar 3
8:16 p.m.</t>
  </si>
  <si>
    <t>Mar 20
5:33 p.m.</t>
  </si>
  <si>
    <t>Sonoma</t>
  </si>
  <si>
    <t>8:13 p.m.</t>
  </si>
  <si>
    <t>12:00 a.m.</t>
  </si>
  <si>
    <t>Mar 3
10:13 p.m.</t>
  </si>
  <si>
    <t>Apr 9
12:26 p.m.</t>
  </si>
  <si>
    <t>Stanislaus</t>
  </si>
  <si>
    <t>10:46 p.m.</t>
  </si>
  <si>
    <t>Mar 3
8:19 p.m.</t>
  </si>
  <si>
    <t>Apr 13
3:53 p.m.</t>
  </si>
  <si>
    <t>Sutter</t>
  </si>
  <si>
    <t>Mar 3
10:18 p.m.</t>
  </si>
  <si>
    <t>Mar 18
2:56 p.m.</t>
  </si>
  <si>
    <t>Tehama</t>
  </si>
  <si>
    <t>11:02 p.m.</t>
  </si>
  <si>
    <t>Mar 22
12:00 p.m.</t>
  </si>
  <si>
    <t>Trinity</t>
  </si>
  <si>
    <t>4:27 p.m.</t>
  </si>
  <si>
    <t>Mar 3
10:47 p.m.</t>
  </si>
  <si>
    <t>Apr 9
1:33 p.m.</t>
  </si>
  <si>
    <t>Tulare</t>
  </si>
  <si>
    <t>8:50 p.m.</t>
  </si>
  <si>
    <t>1:30 a.m.</t>
  </si>
  <si>
    <t>Mar 3
10:24 p.m.</t>
  </si>
  <si>
    <t>Mar 20
2:49 p.m.</t>
  </si>
  <si>
    <t>Tuolumne</t>
  </si>
  <si>
    <t>8:24 p.m.</t>
  </si>
  <si>
    <t>10:44 p.m.</t>
  </si>
  <si>
    <t>Mar 3
8:37 p.m.</t>
  </si>
  <si>
    <t>Mar 17
2:32 p.m.</t>
  </si>
  <si>
    <t>Ventura</t>
  </si>
  <si>
    <t>8:31 p.m.</t>
  </si>
  <si>
    <t>12:46 a.m.</t>
  </si>
  <si>
    <t>Mar 3
11:06 p.m.</t>
  </si>
  <si>
    <t>Apr 3
4:32 p.m.</t>
  </si>
  <si>
    <t>Yolo</t>
  </si>
  <si>
    <t>8:38 p.m.</t>
  </si>
  <si>
    <t>12:03 a.m.</t>
  </si>
  <si>
    <t>Mar 3
8:57 p.m.</t>
  </si>
  <si>
    <t>Apr 8
12:34 p.m.</t>
  </si>
  <si>
    <t>Yuba</t>
  </si>
  <si>
    <t>9:12 p.m.</t>
  </si>
  <si>
    <t>12:01 a.m.</t>
  </si>
  <si>
    <t>Mar 3
8:31 p.m.</t>
  </si>
  <si>
    <t>Apr 3
10:32 a.m.</t>
  </si>
  <si>
    <t>Statewide</t>
  </si>
  <si>
    <t>The "CA", "CO" and "PA" tabs have information on all counties in those states</t>
  </si>
  <si>
    <t>Ballot count day after 3/3/20: 5,518,805 https://web.archive.org/web/20200305070323/https://electionresults.sos.ca.gov/returns/status</t>
  </si>
  <si>
    <t>Ballot count at end of primary: 9,687,076 https://web.archive.org/web/20200424171200/https://electionresults.sos.ca.gov/returns/status</t>
  </si>
  <si>
    <t>Ballot count day after 11/3/20 election: 12,296,360 https://web.archive.org/web/20201105171748/https://electionresults.sos.ca.gov/returns/status</t>
  </si>
  <si>
    <t>Ballot count at end of general:17,783,784 https://web.archive.org/web/20210110095403/https://electionresults.sos.ca.gov/returns/status</t>
  </si>
  <si>
    <t>Sources at bottom</t>
  </si>
  <si>
    <t>Minimum number of batches in small counties =</t>
  </si>
  <si>
    <t>2020 Primary Ballots</t>
  </si>
  <si>
    <t>2020 General, All Ballots</t>
  </si>
  <si>
    <t>5% of ballots, in 1% of all batches</t>
  </si>
  <si>
    <t>average batch size</t>
  </si>
  <si>
    <t>number of batches</t>
  </si>
  <si>
    <t>Hypothetical error rate in creating ballot images or CVRs from the ballots</t>
  </si>
  <si>
    <t>When you examine one ballot, what is chance of missing the hypothetical error identified in the row above?</t>
  </si>
  <si>
    <t>number of erroneous cases</t>
  </si>
  <si>
    <t>total batches infected if error is concentrated in few batches</t>
  </si>
  <si>
    <t>batches infected with concentrated error, as % of all batches</t>
  </si>
  <si>
    <t>TRADITIONAL MANUAL TALLY, APPLIED TO ALL BATCHES</t>
  </si>
  <si>
    <t>Sample rate of traditional manual tally of batches:</t>
  </si>
  <si>
    <t>number of batches in traditional 1% sample, applied to all batches</t>
  </si>
  <si>
    <t>number of ballots examined in traditional sample</t>
  </si>
  <si>
    <t>batches in 1% manual tally as % of all batches</t>
  </si>
  <si>
    <t>IF ERRORS ARE CONCENTRATED IN FEWEST POSSIBLE BATCHES</t>
  </si>
  <si>
    <t>chance that 1 random batch detects concentrated error</t>
  </si>
  <si>
    <t>While looking at the number of batches in traditional sample, chance that 1 or more will detect concentrated error:</t>
  </si>
  <si>
    <t>IF ERRORS ARE SPREAD RANDOMLY</t>
  </si>
  <si>
    <t>Chance that all ballots in one batch miss randomly spread error</t>
  </si>
  <si>
    <t>Chance that at least one sample in a batch detects randomly spread error</t>
  </si>
  <si>
    <t>While looking at the number of batches in traditional sample, chance that 1 or more will detect randomly spread error:</t>
  </si>
  <si>
    <t>RLA BALLOT COMPARISON</t>
  </si>
  <si>
    <t>number of ballots examined, to give chance below of detecting 1 or more errors (concentrated or random)</t>
  </si>
  <si>
    <t>ALTERNATE SAMPLE</t>
  </si>
  <si>
    <r>
      <rPr>
        <b/>
        <sz val="10"/>
        <color theme="1"/>
        <rFont val="Arial Narrow"/>
        <family val="2"/>
      </rPr>
      <t>Alternate sample:</t>
    </r>
    <r>
      <rPr>
        <sz val="10"/>
        <color theme="1"/>
        <rFont val="Arial Narrow"/>
        <family val="2"/>
      </rPr>
      <t xml:space="preserve"> minimum number of ballots, and max batches</t>
    </r>
  </si>
  <si>
    <t>number of batches in alternate sample (all batches, up to max value)</t>
  </si>
  <si>
    <t>number of ballots examined in alternate sample</t>
  </si>
  <si>
    <t>odds that alternate sample batches include 1 or more batches with concentrated errors (hypergeometric distribution)</t>
  </si>
  <si>
    <t>chance that 1 random batch infected, if error is concentrated in few batches</t>
  </si>
  <si>
    <t>chance that one ballot is erroneous in a batch with concentrated errors</t>
  </si>
  <si>
    <t>chance that all samples in concentrated batch will miss errors</t>
  </si>
  <si>
    <t>combined chance for a random batch, that it has concentrated error, and audit sample detects it</t>
  </si>
  <si>
    <t>While looking at alternate sample batches, chance that 1 or more will detect concentrated error:</t>
  </si>
  <si>
    <t>chance that any one ballot is erroneous in a randomly spread batch</t>
  </si>
  <si>
    <t>chance that all samples in randomly spread batch will miss errors</t>
  </si>
  <si>
    <t>While looking at the sample batches, chance that 1 or more, will detect evenly spread error:</t>
  </si>
  <si>
    <t>20G-Alameda</t>
  </si>
  <si>
    <t>20G-Alpine</t>
  </si>
  <si>
    <t>20G-Amador</t>
  </si>
  <si>
    <t>20G-Butte</t>
  </si>
  <si>
    <t>20G-Calaveras</t>
  </si>
  <si>
    <t>20G-Colusa</t>
  </si>
  <si>
    <t>20G-Contra Costa</t>
  </si>
  <si>
    <t>20G-Del Norte</t>
  </si>
  <si>
    <t>20G-El Dorado</t>
  </si>
  <si>
    <t>20G-Fresno</t>
  </si>
  <si>
    <t>20G-Glenn</t>
  </si>
  <si>
    <t>20G-Humboldt</t>
  </si>
  <si>
    <t>20G-Imperial</t>
  </si>
  <si>
    <t>20G-Inyo</t>
  </si>
  <si>
    <t>20G-Kern</t>
  </si>
  <si>
    <t>20G-Kings</t>
  </si>
  <si>
    <t>20G-Lake</t>
  </si>
  <si>
    <t>20G-Lassen</t>
  </si>
  <si>
    <t>20G-Los Angeles</t>
  </si>
  <si>
    <t>20G-Madera</t>
  </si>
  <si>
    <t>20G-Marin</t>
  </si>
  <si>
    <t>20G-Mariposa</t>
  </si>
  <si>
    <t>20G-Mendocino</t>
  </si>
  <si>
    <t>20G-Merced</t>
  </si>
  <si>
    <t>20G-Modoc</t>
  </si>
  <si>
    <t>20G-Mono</t>
  </si>
  <si>
    <t>20G-Monterey</t>
  </si>
  <si>
    <t>20G-Napa</t>
  </si>
  <si>
    <t>20G-Nevada</t>
  </si>
  <si>
    <t>20G-Orange</t>
  </si>
  <si>
    <t>20G-Placer</t>
  </si>
  <si>
    <t>20G-Plumas</t>
  </si>
  <si>
    <t>20G-Riverside</t>
  </si>
  <si>
    <t>20G-Sacramento</t>
  </si>
  <si>
    <t>20G-San Benito</t>
  </si>
  <si>
    <t>20G-San Bernardino</t>
  </si>
  <si>
    <t>20G-San Diego</t>
  </si>
  <si>
    <t>20G-San Francisco</t>
  </si>
  <si>
    <t>20G-San Joaquin</t>
  </si>
  <si>
    <t>20G-San Luis Obispo</t>
  </si>
  <si>
    <t>20G-San Mateo</t>
  </si>
  <si>
    <t>20G-Santa Barbara</t>
  </si>
  <si>
    <t>20G-Santa Clara</t>
  </si>
  <si>
    <t>20G-Santa Cruz</t>
  </si>
  <si>
    <t>20G-Shasta</t>
  </si>
  <si>
    <t>20G-Sierra</t>
  </si>
  <si>
    <t>20G-Siskiyou</t>
  </si>
  <si>
    <t>20G-Solano</t>
  </si>
  <si>
    <t>20G-Sonoma</t>
  </si>
  <si>
    <t>20G-Stanislaus</t>
  </si>
  <si>
    <t>20G-Sutter</t>
  </si>
  <si>
    <t>20G-Tehama</t>
  </si>
  <si>
    <t>20G-Trinity</t>
  </si>
  <si>
    <t>20G-Tulare</t>
  </si>
  <si>
    <t>20G-Tuolumne</t>
  </si>
  <si>
    <t>20G-Ventura</t>
  </si>
  <si>
    <t>20G-Yolo</t>
  </si>
  <si>
    <t>20G-Yuba</t>
  </si>
  <si>
    <t>20P-Los Angeles</t>
  </si>
  <si>
    <t>20P-San Diego</t>
  </si>
  <si>
    <t>20P-Orange</t>
  </si>
  <si>
    <t>20P-Santa Clara</t>
  </si>
  <si>
    <t>20P-Riverside</t>
  </si>
  <si>
    <t>20P-Alameda</t>
  </si>
  <si>
    <t>20P-Sacramento</t>
  </si>
  <si>
    <t>20P-San Bernardino</t>
  </si>
  <si>
    <t>20P-Contra Costa</t>
  </si>
  <si>
    <t>20P-San Francisco</t>
  </si>
  <si>
    <t>20P-Ventura</t>
  </si>
  <si>
    <t>20P-San Mateo</t>
  </si>
  <si>
    <t>20P-Fresno</t>
  </si>
  <si>
    <t>20P-Sonoma</t>
  </si>
  <si>
    <t>20P-Kern</t>
  </si>
  <si>
    <t>20P-San Joaquin</t>
  </si>
  <si>
    <t>20P-Placer</t>
  </si>
  <si>
    <t>20P-Santa Barbara</t>
  </si>
  <si>
    <t>20P-Marin</t>
  </si>
  <si>
    <t>20P-Stanislaus</t>
  </si>
  <si>
    <t>20P-Solano</t>
  </si>
  <si>
    <t>20P-San Luis Obispo</t>
  </si>
  <si>
    <t>20P-Santa Cruz</t>
  </si>
  <si>
    <t>20P-Monterey</t>
  </si>
  <si>
    <t>20P-El Dorado</t>
  </si>
  <si>
    <t>20P-Tulare</t>
  </si>
  <si>
    <t>20P-Butte</t>
  </si>
  <si>
    <t>20P-Yolo</t>
  </si>
  <si>
    <t>20P-Shasta</t>
  </si>
  <si>
    <t>20P-Humboldt</t>
  </si>
  <si>
    <t>20P-Napa</t>
  </si>
  <si>
    <t>20P-Nevada</t>
  </si>
  <si>
    <t>20P-Merced</t>
  </si>
  <si>
    <t>20P-Madera</t>
  </si>
  <si>
    <t>20P-Mendocino</t>
  </si>
  <si>
    <t>20P-Sutter</t>
  </si>
  <si>
    <t>20P-Imperial</t>
  </si>
  <si>
    <t>20P-Tuolumne</t>
  </si>
  <si>
    <t>20P-Kings</t>
  </si>
  <si>
    <t>20P-Calaveras</t>
  </si>
  <si>
    <t>20P-Tehama</t>
  </si>
  <si>
    <t>20P-Lake</t>
  </si>
  <si>
    <t>20P-San Benito</t>
  </si>
  <si>
    <t>20P-Yuba</t>
  </si>
  <si>
    <t>20P-Amador</t>
  </si>
  <si>
    <t>20P-Siskiyou</t>
  </si>
  <si>
    <t>20P-Plumas</t>
  </si>
  <si>
    <t>20P-Lassen</t>
  </si>
  <si>
    <t>20P-Del Norte</t>
  </si>
  <si>
    <t>20P-Mariposa</t>
  </si>
  <si>
    <t>20P-Glenn</t>
  </si>
  <si>
    <t>20P-Inyo</t>
  </si>
  <si>
    <t>20P-Colusa</t>
  </si>
  <si>
    <t>20P-Trinity</t>
  </si>
  <si>
    <t>20P-Mono</t>
  </si>
  <si>
    <t>20P-Modoc</t>
  </si>
  <si>
    <t>20P-Sierra</t>
  </si>
  <si>
    <t>20P-Alpine</t>
  </si>
  <si>
    <t>Number of ballots in jurisdiction</t>
  </si>
  <si>
    <t>average number of ballots examined from an in-sample batch</t>
  </si>
  <si>
    <t>While looking at random ballots, chance that 1 or more will detect error:</t>
  </si>
  <si>
    <t>CA Counties of different sizes: Number of ballots, Alternate samples, Chances of detecting errors.</t>
  </si>
  <si>
    <t>The "CA-audits" tab calculates how well different types of audit detect errors</t>
  </si>
  <si>
    <r>
      <t>https://dced.pa.gov/local-government/municipal-statistics/</t>
    </r>
    <r>
      <rPr>
        <b/>
        <sz val="10"/>
        <color theme="1"/>
        <rFont val="Arial Narrow"/>
        <family val="2"/>
      </rPr>
      <t>municipalities/</t>
    </r>
  </si>
  <si>
    <t>Row Labels</t>
  </si>
  <si>
    <t>(blank)</t>
  </si>
  <si>
    <t>Grand Total</t>
  </si>
  <si>
    <t>Count of 300-vote batches: audit enough to reach  2% or 2,000 ballots</t>
  </si>
  <si>
    <t>Number of Counties</t>
  </si>
  <si>
    <t>Sample Size</t>
  </si>
  <si>
    <t>m</t>
  </si>
  <si>
    <t>s</t>
  </si>
  <si>
    <t>c</t>
  </si>
  <si>
    <t>j</t>
  </si>
  <si>
    <t>bq</t>
  </si>
  <si>
    <t>L</t>
  </si>
  <si>
    <t>p</t>
  </si>
  <si>
    <t>Column Labels</t>
  </si>
  <si>
    <t>Count of level</t>
  </si>
  <si>
    <r>
      <t>300-vote batches define old audit:</t>
    </r>
    <r>
      <rPr>
        <b/>
        <sz val="10"/>
        <color theme="1"/>
        <rFont val="Arial Narrow"/>
        <family val="2"/>
      </rPr>
      <t xml:space="preserve"> enough</t>
    </r>
    <r>
      <rPr>
        <sz val="10"/>
        <color theme="1"/>
        <rFont val="Arial Narrow"/>
        <family val="2"/>
      </rPr>
      <t xml:space="preserve"> batches to reach  2% or 2,000 ballots</t>
    </r>
  </si>
  <si>
    <t>2020 General  votes</t>
  </si>
  <si>
    <t>https://www.sos.state.co.us/pubs/elections/RLA/files/OverviewThreeYearsIn.pdf</t>
  </si>
  <si>
    <t>3 years</t>
  </si>
  <si>
    <t>risk</t>
  </si>
  <si>
    <t>x-axis</t>
  </si>
  <si>
    <t>level of gov't</t>
  </si>
  <si>
    <t>ballots in contest</t>
  </si>
  <si>
    <t>number of sheets in sample by law</t>
  </si>
  <si>
    <t>sample size by law</t>
  </si>
  <si>
    <t>sum of RLA samples</t>
  </si>
  <si>
    <t>LF</t>
  </si>
  <si>
    <t>LS</t>
  </si>
  <si>
    <t>LR</t>
  </si>
  <si>
    <t>m1</t>
  </si>
  <si>
    <t>m2</t>
  </si>
  <si>
    <t xml:space="preserve"> frazer</t>
  </si>
  <si>
    <t xml:space="preserve"> pittsburgh</t>
  </si>
  <si>
    <t>s1</t>
  </si>
  <si>
    <t xml:space="preserve"> ross</t>
  </si>
  <si>
    <t xml:space="preserve"> county2</t>
  </si>
  <si>
    <t xml:space="preserve"> bellevue</t>
  </si>
  <si>
    <t xml:space="preserve"> county6</t>
  </si>
  <si>
    <t xml:space="preserve"> bethel park (vote for 5)</t>
  </si>
  <si>
    <t xml:space="preserve"> county5</t>
  </si>
  <si>
    <t xml:space="preserve"> county</t>
  </si>
  <si>
    <t xml:space="preserve"> mckeesport</t>
  </si>
  <si>
    <t xml:space="preserve"> penn hills (vote for 5)</t>
  </si>
  <si>
    <t xml:space="preserve"> braddock</t>
  </si>
  <si>
    <t xml:space="preserve"> moon</t>
  </si>
  <si>
    <t xml:space="preserve"> state</t>
  </si>
  <si>
    <t xml:space="preserve"> countyj</t>
  </si>
  <si>
    <t>cp</t>
  </si>
  <si>
    <t>s2</t>
  </si>
  <si>
    <t xml:space="preserve"> crescent at large</t>
  </si>
  <si>
    <t xml:space="preserve"> neville at large</t>
  </si>
  <si>
    <t xml:space="preserve"> upper st clarir at large</t>
  </si>
  <si>
    <t>m1 = samples needed for closest municipal contests in each area</t>
  </si>
  <si>
    <t>s1 = samples needed for closest school contests in each area</t>
  </si>
  <si>
    <t>LR = samples needed for state representatives</t>
  </si>
  <si>
    <t>LS = samples needed for state senators</t>
  </si>
  <si>
    <t>margin as % of sheets in county</t>
  </si>
  <si>
    <t xml:space="preserve"> tarentum at large</t>
  </si>
  <si>
    <t>chance that legal sample misses errors</t>
  </si>
  <si>
    <t>Place</t>
  </si>
  <si>
    <t>chance that legal sample misses errors x100</t>
  </si>
  <si>
    <r>
      <rPr>
        <b/>
        <sz val="9"/>
        <color theme="1"/>
        <rFont val="Arial Narrow"/>
        <family val="2"/>
      </rPr>
      <t xml:space="preserve">VOTES for candidate </t>
    </r>
    <r>
      <rPr>
        <sz val="9"/>
        <color theme="1"/>
        <rFont val="Arial Narrow"/>
        <family val="2"/>
      </rPr>
      <t>(0 means candidate listed 2x)</t>
    </r>
  </si>
  <si>
    <t>Bloomington-Council Member at Large (vote for 1)</t>
  </si>
  <si>
    <t>Nathan Coulter</t>
  </si>
  <si>
    <t>NP</t>
  </si>
  <si>
    <t>Paul King</t>
  </si>
  <si>
    <t>Ricardo Oliva</t>
  </si>
  <si>
    <t>WI</t>
  </si>
  <si>
    <t>Bloomington-Council Member Ward 3 (vote for 1)</t>
  </si>
  <si>
    <t>Lona Dallessandro</t>
  </si>
  <si>
    <t>David Clark</t>
  </si>
  <si>
    <t>Laura Hunt</t>
  </si>
  <si>
    <t>Kevin Heinen</t>
  </si>
  <si>
    <t>Bloomington-Council Member Ward 4 (vote for 1)</t>
  </si>
  <si>
    <t>Patrick Martin</t>
  </si>
  <si>
    <t>Victor Rivas</t>
  </si>
  <si>
    <t>Becky Strohmeier</t>
  </si>
  <si>
    <t>Angella M. Coil</t>
  </si>
  <si>
    <t>Golden Valley-Council Member (vote for 2)</t>
  </si>
  <si>
    <t>Gillian Rosenquist</t>
  </si>
  <si>
    <t>Denise La Mere-Anderson</t>
  </si>
  <si>
    <t>Andy Johnson</t>
  </si>
  <si>
    <t>Joanie Clausen</t>
  </si>
  <si>
    <t>Loretta Arradondo</t>
  </si>
  <si>
    <t>Drew Peterson</t>
  </si>
  <si>
    <t>Orville Christian Satter</t>
  </si>
  <si>
    <t>Hopkins-Council Member (vote for 2)</t>
  </si>
  <si>
    <t>Gerard Balan</t>
  </si>
  <si>
    <t>Heidi Garrido</t>
  </si>
  <si>
    <t>Ben Goodlund</t>
  </si>
  <si>
    <t>Kristi Halverson</t>
  </si>
  <si>
    <t>Hopkins-Mayor (vote for 1)</t>
  </si>
  <si>
    <t>Patrick Hanlon</t>
  </si>
  <si>
    <t>Samuel O Stiele</t>
  </si>
  <si>
    <t>Jason Gadd</t>
  </si>
  <si>
    <t>Independence-Council Member (vote for 2)</t>
  </si>
  <si>
    <t>Brad Lee Spencer</t>
  </si>
  <si>
    <t>Linda Betts</t>
  </si>
  <si>
    <t>Margie Ritter</t>
  </si>
  <si>
    <t>ISD #11-School Board Member District 3 (vote for 1)</t>
  </si>
  <si>
    <t>Kacy Deschene</t>
  </si>
  <si>
    <t>Bill Harvey</t>
  </si>
  <si>
    <t>ISD #11-School Board Member District 4 (vote for 1)</t>
  </si>
  <si>
    <t>Matt Audette</t>
  </si>
  <si>
    <t>Dave Dirkswager</t>
  </si>
  <si>
    <t>ISD #11-School Board Member District 6 (vote for 1)</t>
  </si>
  <si>
    <t>Jeff Simon</t>
  </si>
  <si>
    <t>Jill Bornes</t>
  </si>
  <si>
    <t>ISD #11-SCHOOL DISTRICT QUESTION 1 (vote for 1)</t>
  </si>
  <si>
    <t>ISD #11-SCHOOL DISTRICT QUESTION 2 (vote for 1)</t>
  </si>
  <si>
    <t>ISD #11-SCHOOL DISTRICT QUESTION 3 (vote for 1)</t>
  </si>
  <si>
    <t>ISD #270-School Board Member (vote for 3)</t>
  </si>
  <si>
    <t>Jen Westmoreland Bouchard</t>
  </si>
  <si>
    <t>Jason Ross</t>
  </si>
  <si>
    <t>Rachel Hartland</t>
  </si>
  <si>
    <t>David (Dave) G. Larson</t>
  </si>
  <si>
    <t>Sarah Vaye</t>
  </si>
  <si>
    <t>ISD #271-School Board Member (vote for 4)</t>
  </si>
  <si>
    <t>Tom Bennett</t>
  </si>
  <si>
    <t>Dawn Steigauf</t>
  </si>
  <si>
    <t>Matthew Dymoke</t>
  </si>
  <si>
    <t>Beth Beebe</t>
  </si>
  <si>
    <t>Dani Indovino Cawley</t>
  </si>
  <si>
    <t>Natalie Marose</t>
  </si>
  <si>
    <t>Jeff Salovich</t>
  </si>
  <si>
    <t>Marquisha Fulford</t>
  </si>
  <si>
    <t>Patricia Riley</t>
  </si>
  <si>
    <t>Kat Eggers</t>
  </si>
  <si>
    <t>ISD #272-Special Election for School Board Member (vote for 1)</t>
  </si>
  <si>
    <t>Steven Bartz</t>
  </si>
  <si>
    <t>Francesca Pag├ín-Umar</t>
  </si>
  <si>
    <t>Albert J. Born</t>
  </si>
  <si>
    <t>Michelle Mattison</t>
  </si>
  <si>
    <t>Darryl Stanton</t>
  </si>
  <si>
    <t>ISD #273-School Board Member (vote for 4)</t>
  </si>
  <si>
    <t>Dan Arom</t>
  </si>
  <si>
    <t>Karen Gabler</t>
  </si>
  <si>
    <t>Erica Allenburg</t>
  </si>
  <si>
    <t>Michael Birdman</t>
  </si>
  <si>
    <t>Owen Michaelson</t>
  </si>
  <si>
    <t>Nicole Schnell</t>
  </si>
  <si>
    <t>ISD #276-School Board Member (vote for 3)</t>
  </si>
  <si>
    <t>Meghan Selinger</t>
  </si>
  <si>
    <t>Patrick Lee-O'Halloran</t>
  </si>
  <si>
    <t>Christian Vitale</t>
  </si>
  <si>
    <t>Jessica Reader</t>
  </si>
  <si>
    <t>Michael Salyards</t>
  </si>
  <si>
    <t>Dan Olson</t>
  </si>
  <si>
    <t>Michael Remucal</t>
  </si>
  <si>
    <t>Beth Robertson-Martin</t>
  </si>
  <si>
    <t>ISD #277-School Board Member (vote for 3)</t>
  </si>
  <si>
    <t>Gary W. Wollner</t>
  </si>
  <si>
    <t>Brian Carlson</t>
  </si>
  <si>
    <t>Loren D. Davis</t>
  </si>
  <si>
    <t>Rachael Myers</t>
  </si>
  <si>
    <t>Gregory Snyder</t>
  </si>
  <si>
    <t>Kathleen A. Olesinski</t>
  </si>
  <si>
    <t>Katie Holt</t>
  </si>
  <si>
    <t>ISD #280-School Board Member (vote for 3)</t>
  </si>
  <si>
    <t>Rachel Banks Kupcho</t>
  </si>
  <si>
    <t>Eric Carter</t>
  </si>
  <si>
    <t>Tim Pollis</t>
  </si>
  <si>
    <t>ISD #282-School Board Member (vote for 3)</t>
  </si>
  <si>
    <t>Laura Oksnevad</t>
  </si>
  <si>
    <t>Michael Overman</t>
  </si>
  <si>
    <t>Mageen Caines</t>
  </si>
  <si>
    <t>ISD #283-School Board Member (vote for 3)</t>
  </si>
  <si>
    <t>Anne Casey</t>
  </si>
  <si>
    <t>Mary K. Tomback</t>
  </si>
  <si>
    <t>Abdihakim Arabow Ibrahim</t>
  </si>
  <si>
    <t>ISD #284-School Board Member (vote for 3)</t>
  </si>
  <si>
    <t>Sarah Johansen</t>
  </si>
  <si>
    <t>Heidi Kader</t>
  </si>
  <si>
    <t>Milind Sohoni</t>
  </si>
  <si>
    <t>Nick DeVries</t>
  </si>
  <si>
    <t>Erin Shelton</t>
  </si>
  <si>
    <t>Bryan Kubes</t>
  </si>
  <si>
    <t>Daniel Sellers</t>
  </si>
  <si>
    <t>Muthu Periakaruppan</t>
  </si>
  <si>
    <t>Mariam Siddiqui</t>
  </si>
  <si>
    <t>Aaron Herzberg</t>
  </si>
  <si>
    <t>Justin Hibbits</t>
  </si>
  <si>
    <t>Derek Plymate</t>
  </si>
  <si>
    <t>ISD #879-SCHOOL DISTRICT QUESTION 1 (vote for 1)</t>
  </si>
  <si>
    <t>Minneapolis-Board of Estimate and Taxation (vote for 2)</t>
  </si>
  <si>
    <t>Steve Brandt</t>
  </si>
  <si>
    <t>Samantha "Sam" Pree-Stinson</t>
  </si>
  <si>
    <t>Pine Salica</t>
  </si>
  <si>
    <t>Kevin Nikiforakis</t>
  </si>
  <si>
    <t>Minneapolis-CITY QUESTION 1 (vote for 1)</t>
  </si>
  <si>
    <t>Minneapolis-CITY QUESTION 2 (vote for 1)</t>
  </si>
  <si>
    <t>Minneapolis-CITY QUESTION 3 (vote for 1)</t>
  </si>
  <si>
    <t>Minneapolis-Council Member Ward 1 (vote for 1)</t>
  </si>
  <si>
    <t>Elliott Payne</t>
  </si>
  <si>
    <t>N P</t>
  </si>
  <si>
    <t>Kevin Reich</t>
  </si>
  <si>
    <t>Calvin L Carpenter</t>
  </si>
  <si>
    <t>Thomas E Wortman</t>
  </si>
  <si>
    <t>Minneapolis-Council Member Ward 10 (vote for 1)</t>
  </si>
  <si>
    <t>Aisha Chughtai</t>
  </si>
  <si>
    <t>Katie Jones</t>
  </si>
  <si>
    <t>Alicia Gibson</t>
  </si>
  <si>
    <t>Chris Parsons</t>
  </si>
  <si>
    <t>David Wheeler</t>
  </si>
  <si>
    <t>Ubah Nur</t>
  </si>
  <si>
    <t>Minneapolis-Council Member Ward 11 (vote for 1)</t>
  </si>
  <si>
    <t>Emily Koski</t>
  </si>
  <si>
    <t>Jeremy Schroeder</t>
  </si>
  <si>
    <t>Kurt Michael Anderson</t>
  </si>
  <si>
    <t>Dillon Gherna</t>
  </si>
  <si>
    <t>Albert T. Ross</t>
  </si>
  <si>
    <t>Minneapolis-Council Member Ward 12 (vote for 1)</t>
  </si>
  <si>
    <t>Andrew Johnson</t>
  </si>
  <si>
    <t>Nancy Ford</t>
  </si>
  <si>
    <t>David Rosenfeld</t>
  </si>
  <si>
    <t>Minneapolis-Council Member Ward 13 (vote for 1)</t>
  </si>
  <si>
    <t>Linea Palmisano</t>
  </si>
  <si>
    <t>Mike Norton</t>
  </si>
  <si>
    <t>Ken Salway</t>
  </si>
  <si>
    <t>Kati Medford</t>
  </si>
  <si>
    <t>Bob Reuer</t>
  </si>
  <si>
    <t>Minneapolis-Council Member Ward 2 (vote for 1)</t>
  </si>
  <si>
    <t>Robin Wonsley Worlobah</t>
  </si>
  <si>
    <t>Yusra Arab</t>
  </si>
  <si>
    <t>Cam Gordon</t>
  </si>
  <si>
    <t>Tom Anderson</t>
  </si>
  <si>
    <t>Guy T Gaskin</t>
  </si>
  <si>
    <t>Minneapolis-Council Member Ward 3 (vote for 1)</t>
  </si>
  <si>
    <t>Michael Rainville</t>
  </si>
  <si>
    <t>Steve Fletcher</t>
  </si>
  <si>
    <t>Merv Moorhead</t>
  </si>
  <si>
    <t>Hope Hennessey</t>
  </si>
  <si>
    <t>Minneapolis-Council Member Ward 4 (vote for 1)</t>
  </si>
  <si>
    <t>LaTrisha Vetaw</t>
  </si>
  <si>
    <t>Phillipe M. Cunningham</t>
  </si>
  <si>
    <t>Leslie Davis</t>
  </si>
  <si>
    <t>Minneapolis-Council Member Ward 5 (vote for 1)</t>
  </si>
  <si>
    <t>Jeremiah Ellison</t>
  </si>
  <si>
    <t>Kristel Porter</t>
  </si>
  <si>
    <t>Victor Martinez</t>
  </si>
  <si>
    <t>Suleiman Isse</t>
  </si>
  <si>
    <t>Cathy Spann</t>
  </si>
  <si>
    <t>Elijah Norris-Holliday</t>
  </si>
  <si>
    <t>James "Jim" Seymour</t>
  </si>
  <si>
    <t>Minneapolis-Council Member Ward 6 (vote for 1)</t>
  </si>
  <si>
    <t>Jamal Osman</t>
  </si>
  <si>
    <t>A. Bihi</t>
  </si>
  <si>
    <t>Minneapolis-Council Member Ward 7 (vote for 1)</t>
  </si>
  <si>
    <t>Lisa Goodman</t>
  </si>
  <si>
    <t>Nick Kor</t>
  </si>
  <si>
    <t>Teqen Z├⌐a-Aida</t>
  </si>
  <si>
    <t>Joanna Diaz</t>
  </si>
  <si>
    <t>Minneapolis-Council Member Ward 8 (vote for 1)</t>
  </si>
  <si>
    <t>Andrea Jenkins</t>
  </si>
  <si>
    <t>Robert "Bob" Sullentrop</t>
  </si>
  <si>
    <t>Minneapolis-Council Member Ward 9 (vote for 1)</t>
  </si>
  <si>
    <t>Jason Chavez</t>
  </si>
  <si>
    <t>Mickey Moore</t>
  </si>
  <si>
    <t>Yussuf Haji</t>
  </si>
  <si>
    <t>Ross Tenneson</t>
  </si>
  <si>
    <t>Alfred "AJ" Flowers Jr.</t>
  </si>
  <si>
    <t>Brenda Short</t>
  </si>
  <si>
    <t>Carmen Means</t>
  </si>
  <si>
    <t>Jon Randall Denison</t>
  </si>
  <si>
    <t>Minneapolis-Mayor (vote for 1)</t>
  </si>
  <si>
    <t>Jacob Frey</t>
  </si>
  <si>
    <t>Sheila Nezhad</t>
  </si>
  <si>
    <t>Kate Knuth</t>
  </si>
  <si>
    <t>AJ Awed</t>
  </si>
  <si>
    <t>Laverne Turner</t>
  </si>
  <si>
    <t>Clint Conner</t>
  </si>
  <si>
    <t>Bob "Again" Carney Jr</t>
  </si>
  <si>
    <t>Marcus Harcus</t>
  </si>
  <si>
    <t>Nate "Honey Badger" Atkins</t>
  </si>
  <si>
    <t>Mark Globus</t>
  </si>
  <si>
    <t>Doug Nelson</t>
  </si>
  <si>
    <t>Perry, Jerrell</t>
  </si>
  <si>
    <t>Mike Winter</t>
  </si>
  <si>
    <t>Christopher W David</t>
  </si>
  <si>
    <t>Kevin "No Body" Ward</t>
  </si>
  <si>
    <t>Paul E. Johnson</t>
  </si>
  <si>
    <t>Troy Benjegerdes</t>
  </si>
  <si>
    <t>Minneapolis-Park and Recreation Commissioner at Large (vote for 2)</t>
  </si>
  <si>
    <t>Meg Forney</t>
  </si>
  <si>
    <t>Minneapolis-Park and Recreation Commissioner at Large (vote for 3)</t>
  </si>
  <si>
    <t>Tom Olsen</t>
  </si>
  <si>
    <t>Alicia D. Smith</t>
  </si>
  <si>
    <t>Mary McKelvey</t>
  </si>
  <si>
    <t>Londel French</t>
  </si>
  <si>
    <t>Charles Rucker</t>
  </si>
  <si>
    <t>Katherine Kelly</t>
  </si>
  <si>
    <t>Minneapolis-Park and Recreation Commissioner District 1 (vote for 1)</t>
  </si>
  <si>
    <t>Billy Menz</t>
  </si>
  <si>
    <t>Minneapolis-Park and Recreation Commissioner District 2 (vote for 1)</t>
  </si>
  <si>
    <t>Becka Thompson</t>
  </si>
  <si>
    <t>Mike Shelton</t>
  </si>
  <si>
    <t>Eric Moran</t>
  </si>
  <si>
    <t>Minneapolis-Park and Recreation Commissioner District 3 (vote for 1)</t>
  </si>
  <si>
    <t>Becky Alper</t>
  </si>
  <si>
    <t>AK Hassan</t>
  </si>
  <si>
    <t>Mohamoud Hassan</t>
  </si>
  <si>
    <t>Minneapolis-Park and Recreation Commissioner District 4 (vote for 1)</t>
  </si>
  <si>
    <t>Elizabeth Shaffer</t>
  </si>
  <si>
    <t>Jono Cowgill</t>
  </si>
  <si>
    <t>Minneapolis-Park and Recreation Commissioner District 5 (vote for 1)</t>
  </si>
  <si>
    <t>Steffanie Musich</t>
  </si>
  <si>
    <t>Charles Rodgers</t>
  </si>
  <si>
    <t>Justin Cermak</t>
  </si>
  <si>
    <t>Minneapolis-Park and Recreation Commissioner District 6 (vote for 1)</t>
  </si>
  <si>
    <t>Risa Hustad</t>
  </si>
  <si>
    <t>Cathy Abene</t>
  </si>
  <si>
    <t>Bob Fine</t>
  </si>
  <si>
    <t>Barb Schlaefer</t>
  </si>
  <si>
    <t>Minnetonka-Council Member Seat A (vote for 1)</t>
  </si>
  <si>
    <t>Deb Calvert</t>
  </si>
  <si>
    <t>Wyn Ray</t>
  </si>
  <si>
    <t>Iola Kostrzewski</t>
  </si>
  <si>
    <t>Karen Ahlbrecht</t>
  </si>
  <si>
    <t>Marshall Glynn</t>
  </si>
  <si>
    <t>Minnetonka-Council Member Seat B (vote for 1)</t>
  </si>
  <si>
    <t>Kimberly Wilburn</t>
  </si>
  <si>
    <t>Stacy Cranbrook</t>
  </si>
  <si>
    <t>Jim Hadley</t>
  </si>
  <si>
    <t>Ash Patel</t>
  </si>
  <si>
    <t>Daniel Kral</t>
  </si>
  <si>
    <t>Minnetonka-Mayor (vote for 1)</t>
  </si>
  <si>
    <t>Brad Wiersum</t>
  </si>
  <si>
    <t>John Kuhl</t>
  </si>
  <si>
    <t>St Louis Park-Council Member Ward 1 (vote for 1)</t>
  </si>
  <si>
    <t>Margaret Rog</t>
  </si>
  <si>
    <t>St Louis Park-Council Member Ward 2 (vote for 1)</t>
  </si>
  <si>
    <t>Lynette Lungay Dumalag</t>
  </si>
  <si>
    <t>St Louis Park-Council Member Ward 3 (vote for 1)</t>
  </si>
  <si>
    <t>Sue Budd</t>
  </si>
  <si>
    <t>Jim Leuthner</t>
  </si>
  <si>
    <t>Saul Eugene</t>
  </si>
  <si>
    <t>St Louis Park-Council Member Ward 4 (vote for 1)</t>
  </si>
  <si>
    <t>Tim Brausen</t>
  </si>
  <si>
    <t>MN_Henne_2021g~Bloomington-Council Member at Large (vote for 1)</t>
  </si>
  <si>
    <t>MN_Henne_2021g~Bloomington-Council Member Ward 3 (vote for 1)</t>
  </si>
  <si>
    <t>MN_Henne_2021g~Bloomington-Council Member Ward 4 (vote for 1)</t>
  </si>
  <si>
    <t>MN_Henne_2021g~Golden Valley-Council Member (vote for 2)</t>
  </si>
  <si>
    <t>MN_Henne_2021g~Hopkins-Council Member (vote for 2)</t>
  </si>
  <si>
    <t>MN_Henne_2021g~Hopkins-Mayor (vote for 1)</t>
  </si>
  <si>
    <t>MN_Henne_2021g~Independence-Council Member (vote for 2)</t>
  </si>
  <si>
    <t>MN_Henne_2021g~ISD #11-School Board Member District 3 (vote for 1)</t>
  </si>
  <si>
    <t>MN_Henne_2021g~ISD #11-School Board Member District 4 (vote for 1)</t>
  </si>
  <si>
    <t>MN_Henne_2021g~ISD #11-School Board Member District 6 (vote for 1)</t>
  </si>
  <si>
    <t>MN_Henne_2021g~ISD #11-SCHOOL DISTRICT QUESTION 1 (vote for 1)</t>
  </si>
  <si>
    <t>MN_Henne_2021g~ISD #11-SCHOOL DISTRICT QUESTION 2 (vote for 1)</t>
  </si>
  <si>
    <t>MN_Henne_2021g~ISD #11-SCHOOL DISTRICT QUESTION 3 (vote for 1)</t>
  </si>
  <si>
    <t>MN_Henne_2021g~ISD #270-School Board Member (vote for 3)</t>
  </si>
  <si>
    <t>MN_Henne_2021g~ISD #271-School Board Member (vote for 4)</t>
  </si>
  <si>
    <t>MN_Henne_2021g~ISD #272-Special Election for School Board Member (vote for 1)</t>
  </si>
  <si>
    <t>MN_Henne_2021g~ISD #273-School Board Member (vote for 4)</t>
  </si>
  <si>
    <t>MN_Henne_2021g~ISD #276-School Board Member (vote for 3)</t>
  </si>
  <si>
    <t>MN_Henne_2021g~ISD #277-School Board Member (vote for 3)</t>
  </si>
  <si>
    <t>MN_Henne_2021g~ISD #284-School Board Member (vote for 3)</t>
  </si>
  <si>
    <t>MN_Henne_2021g~ISD #879-SCHOOL DISTRICT QUESTION 1 (vote for 1)</t>
  </si>
  <si>
    <t>MN_Henne_2021g~Minneapolis-Board of Estimate and Taxation (vote for 2)</t>
  </si>
  <si>
    <t>MN_Henne_2021g~Minneapolis-CITY QUESTION 1 (vote for 1)</t>
  </si>
  <si>
    <t>MN_Henne_2021g~Minneapolis-CITY QUESTION 2 (vote for 1)</t>
  </si>
  <si>
    <t>MN_Henne_2021g~Minneapolis-CITY QUESTION 3 (vote for 1)</t>
  </si>
  <si>
    <t>MN_Henne_2021g~Minneapolis-Council Member Ward 1 (vote for 1)</t>
  </si>
  <si>
    <t>MN_Henne_2021g~Minneapolis-Council Member Ward 10 (vote for 1)</t>
  </si>
  <si>
    <t>MN_Henne_2021g~Minneapolis-Council Member Ward 11 (vote for 1)</t>
  </si>
  <si>
    <t>MN_Henne_2021g~Minneapolis-Council Member Ward 12 (vote for 1)</t>
  </si>
  <si>
    <t>MN_Henne_2021g~Minneapolis-Council Member Ward 13 (vote for 1)</t>
  </si>
  <si>
    <t>MN_Henne_2021g~Minneapolis-Council Member Ward 2 (vote for 1)</t>
  </si>
  <si>
    <t>MN_Henne_2021g~Minneapolis-Council Member Ward 3 (vote for 1)</t>
  </si>
  <si>
    <t>MN_Henne_2021g~Minneapolis-Council Member Ward 4 (vote for 1)</t>
  </si>
  <si>
    <t>MN_Henne_2021g~Minneapolis-Council Member Ward 5 (vote for 1)</t>
  </si>
  <si>
    <t>MN_Henne_2021g~Minneapolis-Council Member Ward 6 (vote for 1)</t>
  </si>
  <si>
    <t>MN_Henne_2021g~Minneapolis-Council Member Ward 7 (vote for 1)</t>
  </si>
  <si>
    <t>MN_Henne_2021g~Minneapolis-Council Member Ward 8 (vote for 1)</t>
  </si>
  <si>
    <t>MN_Henne_2021g~Minneapolis-Council Member Ward 9 (vote for 1)</t>
  </si>
  <si>
    <t>MN_Henne_2021g~Minneapolis-Mayor (vote for 1)</t>
  </si>
  <si>
    <t>MN_Henne_2021g~Minneapolis-Park and Recreation Commissioner at Large (vote for 3)</t>
  </si>
  <si>
    <t>MN_Henne_2021g~Minneapolis-Park and Recreation Commissioner District 2 (vote for 1)</t>
  </si>
  <si>
    <t>MN_Henne_2021g~Minneapolis-Park and Recreation Commissioner District 3 (vote for 1)</t>
  </si>
  <si>
    <t>MN_Henne_2021g~Minneapolis-Park and Recreation Commissioner District 4 (vote for 1)</t>
  </si>
  <si>
    <t>MN_Henne_2021g~Minneapolis-Park and Recreation Commissioner District 5 (vote for 1)</t>
  </si>
  <si>
    <t>MN_Henne_2021g~Minneapolis-Park and Recreation Commissioner District 6 (vote for 1)</t>
  </si>
  <si>
    <t>MN_Henne_2021g~Minnetonka-Council Member Seat A (vote for 1)</t>
  </si>
  <si>
    <t>MN_Henne_2021g~Minnetonka-Council Member Seat B (vote for 1)</t>
  </si>
  <si>
    <t>MN_Henne_2021g~Minnetonka-Mayor (vote for 1)</t>
  </si>
  <si>
    <t>MN_Henne_2021g~St Louis Park-Council Member Ward 3 (vote for 1)</t>
  </si>
  <si>
    <t xml:space="preserve"> district 2 (vote for 1)</t>
  </si>
  <si>
    <t xml:space="preserve"> woodland hills region 2 (vote for 2)</t>
  </si>
  <si>
    <t xml:space="preserve"> wilkinsburg (vote for 5)</t>
  </si>
  <si>
    <t xml:space="preserve"> district 3 (vote for 1)</t>
  </si>
  <si>
    <t xml:space="preserve"> district 1 (vote for 1)</t>
  </si>
  <si>
    <t xml:space="preserve"> baldwin whitehall (vote for 5)</t>
  </si>
  <si>
    <t xml:space="preserve"> district 9 (vote for 1)</t>
  </si>
  <si>
    <t xml:space="preserve"> carlynton (vote for 5)</t>
  </si>
  <si>
    <t xml:space="preserve"> whitehall (vote for 3)</t>
  </si>
  <si>
    <t xml:space="preserve"> baldwin borough (vote for 3)</t>
  </si>
  <si>
    <t xml:space="preserve"> west mifflin area (vote for 5)</t>
  </si>
  <si>
    <t xml:space="preserve"> mt lebanon ward 5 (vote for 1)</t>
  </si>
  <si>
    <t xml:space="preserve"> woodland hills region 1 (vote for 2)</t>
  </si>
  <si>
    <t xml:space="preserve"> gateway (vote for 1)</t>
  </si>
  <si>
    <t xml:space="preserve"> north hills (vote for 5)</t>
  </si>
  <si>
    <t xml:space="preserve"> west mifflin (vote for 3)</t>
  </si>
  <si>
    <t xml:space="preserve"> swissvale (vote for 3)</t>
  </si>
  <si>
    <t xml:space="preserve"> edgewood (vote for 3)</t>
  </si>
  <si>
    <t xml:space="preserve"> moon (vote for 2)</t>
  </si>
  <si>
    <t xml:space="preserve"> wilkinsburg ward 3 (vote for 1)</t>
  </si>
  <si>
    <t xml:space="preserve"> upper saint clair (vote for 5)</t>
  </si>
  <si>
    <t xml:space="preserve"> castle shannon (vote for 3)</t>
  </si>
  <si>
    <t xml:space="preserve"> elizabeth forward (vote for 5)</t>
  </si>
  <si>
    <t xml:space="preserve"> south park (vote for 1)</t>
  </si>
  <si>
    <t xml:space="preserve"> woodland hills region 3 (vote for 1)</t>
  </si>
  <si>
    <t xml:space="preserve"> collier (vote for 2)</t>
  </si>
  <si>
    <t xml:space="preserve"> ross ward 1 (vote for 1)</t>
  </si>
  <si>
    <t xml:space="preserve"> fox chapel region 2 (vote for 2)</t>
  </si>
  <si>
    <t xml:space="preserve"> franklin park ward 1 (vote for 1)</t>
  </si>
  <si>
    <t xml:space="preserve"> bellevue ward 2 (vote for 1)</t>
  </si>
  <si>
    <t xml:space="preserve"> ingram (vote for 3)</t>
  </si>
  <si>
    <t xml:space="preserve"> crafton (vote for 1)</t>
  </si>
  <si>
    <t xml:space="preserve"> sewickley ward 2 (vote for 2)</t>
  </si>
  <si>
    <t xml:space="preserve"> pitcairn (vote for 3)</t>
  </si>
  <si>
    <t xml:space="preserve"> ross ward 7 (vote for 1)</t>
  </si>
  <si>
    <t xml:space="preserve"> elizabeth township ward 7 (vote for 1)</t>
  </si>
  <si>
    <t xml:space="preserve"> pleasant hills (vote for 1)</t>
  </si>
  <si>
    <t xml:space="preserve"> oakmont (vote for 3)</t>
  </si>
  <si>
    <t xml:space="preserve"> white oak (vote for 1)</t>
  </si>
  <si>
    <t xml:space="preserve"> pine (vote for 3)</t>
  </si>
  <si>
    <t xml:space="preserve"> oakmont (vote for 1)</t>
  </si>
  <si>
    <t xml:space="preserve"> mccandless ward 5 (vote for 1)</t>
  </si>
  <si>
    <t xml:space="preserve"> scott ward 1 (vote for 1)</t>
  </si>
  <si>
    <t xml:space="preserve"> elizabeth township ward 1 (vote for 1)</t>
  </si>
  <si>
    <t xml:space="preserve"> east allegheny region 1 (vote for 1)</t>
  </si>
  <si>
    <t xml:space="preserve"> allegheny valley (vote for 5)</t>
  </si>
  <si>
    <t xml:space="preserve"> west allegheny region 2 (vote for 1)</t>
  </si>
  <si>
    <t xml:space="preserve"> bellevue ward 1 (vote for 1)</t>
  </si>
  <si>
    <t xml:space="preserve"> plum (vote for 5)</t>
  </si>
  <si>
    <t xml:space="preserve"> ross ward 3 (vote for 1)</t>
  </si>
  <si>
    <t xml:space="preserve"> south allegheny (vote for 5)</t>
  </si>
  <si>
    <t xml:space="preserve"> fawn (vote for 1)</t>
  </si>
  <si>
    <t xml:space="preserve"> springdale borough (vote for 3)</t>
  </si>
  <si>
    <t xml:space="preserve"> deer lakes (vote for 5)</t>
  </si>
  <si>
    <t xml:space="preserve"> sewickley ward 3 (vote for 1)</t>
  </si>
  <si>
    <t xml:space="preserve"> mccandless ward 3 (vote for 1)</t>
  </si>
  <si>
    <t xml:space="preserve"> pine richland region 3 (vote for 1)</t>
  </si>
  <si>
    <t xml:space="preserve"> shaler ward 1 (vote for 1)</t>
  </si>
  <si>
    <t xml:space="preserve"> upper st clair ward 3 (vote for 1)</t>
  </si>
  <si>
    <t xml:space="preserve"> south fayette (vote for 4)</t>
  </si>
  <si>
    <t xml:space="preserve"> ross ward 9 (vote for 1)</t>
  </si>
  <si>
    <t xml:space="preserve"> north allegheny (vote for 5)</t>
  </si>
  <si>
    <t xml:space="preserve"> franklin park ward 3 (vote for 1)</t>
  </si>
  <si>
    <t xml:space="preserve"> hampton (vote for 2)</t>
  </si>
  <si>
    <t xml:space="preserve"> sewickley ward 1 (vote for 1)</t>
  </si>
  <si>
    <t xml:space="preserve"> tarentum ward 1 (vote for 1)</t>
  </si>
  <si>
    <t xml:space="preserve"> springdale township (vote for 3)</t>
  </si>
  <si>
    <t xml:space="preserve"> scott ward 3 (vote for 1)</t>
  </si>
  <si>
    <t xml:space="preserve"> fox chapel (vote for 3)</t>
  </si>
  <si>
    <t xml:space="preserve"> bridgeville (vote for 3)</t>
  </si>
  <si>
    <t xml:space="preserve"> indiana district 1 (vote for 1)</t>
  </si>
  <si>
    <t xml:space="preserve"> glen osborne (vote for 3)</t>
  </si>
  <si>
    <t xml:space="preserve"> crafton (vote for 3)</t>
  </si>
  <si>
    <t xml:space="preserve"> plum (vote for 1)</t>
  </si>
  <si>
    <t xml:space="preserve"> quaker valley region 2 (vote for 2)</t>
  </si>
  <si>
    <t xml:space="preserve"> plum (vote for 3)</t>
  </si>
  <si>
    <t xml:space="preserve"> white oak (vote for 3)</t>
  </si>
  <si>
    <t xml:space="preserve"> glassport (vote for 4)</t>
  </si>
  <si>
    <t xml:space="preserve"> franklin park ward 2 (vote for 1)</t>
  </si>
  <si>
    <t xml:space="preserve"> fort cherry (vote for 5)</t>
  </si>
  <si>
    <t xml:space="preserve"> pleasant hills (vote for 3)</t>
  </si>
  <si>
    <t xml:space="preserve"> coraopolis ward 1 (vote for 1)</t>
  </si>
  <si>
    <t xml:space="preserve"> tarentum ward 3 (vote for 1)</t>
  </si>
  <si>
    <t xml:space="preserve"> clairton region 2 (vote for 1)</t>
  </si>
  <si>
    <t xml:space="preserve"> mccandless ward 1 (vote for 1)</t>
  </si>
  <si>
    <t xml:space="preserve"> mccandless ward 7 (vote for 1)</t>
  </si>
  <si>
    <t xml:space="preserve"> ross ward 5 (vote for 1)</t>
  </si>
  <si>
    <t xml:space="preserve"> duquesne (vote for 2)</t>
  </si>
  <si>
    <t xml:space="preserve"> dravosburg (vote for 2)</t>
  </si>
  <si>
    <t xml:space="preserve"> mckees rocks ward 3 (vote for 3)</t>
  </si>
  <si>
    <t xml:space="preserve"> leet (vote for 3)</t>
  </si>
  <si>
    <t xml:space="preserve"> hampton (vote for 5)</t>
  </si>
  <si>
    <t xml:space="preserve"> riverview (vote for 5)</t>
  </si>
  <si>
    <t xml:space="preserve"> rosslyn farms (vote for 3)</t>
  </si>
  <si>
    <t xml:space="preserve"> coraopolis ward 3 (vote for 1)</t>
  </si>
  <si>
    <t xml:space="preserve"> jefferson hills (vote for 3)</t>
  </si>
  <si>
    <t xml:space="preserve"> indiana district 4 (vote for 1)</t>
  </si>
  <si>
    <t xml:space="preserve"> bell acres (vote for 3)</t>
  </si>
  <si>
    <t xml:space="preserve"> mcdonald (vote for 4)</t>
  </si>
  <si>
    <t xml:space="preserve"> norwin (vote for 5)</t>
  </si>
  <si>
    <t xml:space="preserve"> trafford (vote for 3)</t>
  </si>
  <si>
    <t>MN_Henne_2021g</t>
  </si>
  <si>
    <t>ma</t>
  </si>
  <si>
    <t>ma=max in city</t>
  </si>
  <si>
    <t>Sources:</t>
  </si>
  <si>
    <t>California: see CA counties tab</t>
  </si>
  <si>
    <t>Colorado: see CO counties tab</t>
  </si>
  <si>
    <t>Minnesota: https://electionresults.sos.state.mn.us/20211102</t>
  </si>
  <si>
    <t>PA 2019 https://results.enr.clarityelections.com/PA/Allegheny/98378/web.258506/#/summary</t>
  </si>
  <si>
    <t>Pennsylvania: see PA counties tab and https://www.alleghenycounty.us/elections/election-results.aspx</t>
  </si>
  <si>
    <t>Greater of RLA or 6.9%</t>
  </si>
  <si>
    <t>m1 = sample public wants for closest municipal contests in each area</t>
  </si>
  <si>
    <t>s1 = sample public wants for closest municipal contests in each area</t>
  </si>
  <si>
    <t>Orig Voting System Ignores Voter's Crossing Out of a Vote</t>
  </si>
  <si>
    <t>https://www.sos.state.co.us/pubs/elections/RLA/2020/general/DiscrepancyReport.pdf</t>
  </si>
  <si>
    <t>https://www.sos.state.co.us/pubs/elections/RLA/files/2020/general/round_3/stateReport.xlsx</t>
  </si>
  <si>
    <t>Errors reported by https://www.sos.state.co.us/pubs/elections/RLA/2020/general/DiscrepancyReport.pdf, converted to xlsx &amp; pivot table summary</t>
  </si>
  <si>
    <t>county_name contest_name imprinted_id choice_per_voting_computer audit_board_selection</t>
  </si>
  <si>
    <t>type</t>
  </si>
  <si>
    <t>target</t>
  </si>
  <si>
    <t>start</t>
  </si>
  <si>
    <t>ballot</t>
  </si>
  <si>
    <t xml:space="preserve"> </t>
  </si>
  <si>
    <t>Adams Justice of the Colorado Supreme Court ‐ Hart 1‐122‐50 "No"</t>
  </si>
  <si>
    <t xml:space="preserve">Adams Justice of the Colorado Supreme Court - Hart </t>
  </si>
  <si>
    <t>'1-122-50</t>
  </si>
  <si>
    <t>'"No</t>
  </si>
  <si>
    <t>'"</t>
  </si>
  <si>
    <t>Adams Amendment 77 (CONSTITUTIONAL) 2‐129‐30 "No/Against"</t>
  </si>
  <si>
    <t xml:space="preserve">Adams Amendment 77 (CONSTITUTIONAL) </t>
  </si>
  <si>
    <t>'2-129-30</t>
  </si>
  <si>
    <t>'"No/Against</t>
  </si>
  <si>
    <t>Adams District Court Judge ‐ 17th Judicial District ‐ Warner 7‐222‐92 "No" "Yes"</t>
  </si>
  <si>
    <t xml:space="preserve">Adams District Court Judge - 17th Judicial District - Warner </t>
  </si>
  <si>
    <t>'7-222-92</t>
  </si>
  <si>
    <t xml:space="preserve">'" </t>
  </si>
  <si>
    <t>'"Yes</t>
  </si>
  <si>
    <t>Arapahoe District Attorney ‐ 18th Judicial District 4‐291‐20 "Amy L. Padden" "John Kellner"</t>
  </si>
  <si>
    <t xml:space="preserve">Arapahoe District Attorney - 18th Judicial District </t>
  </si>
  <si>
    <t>'4-291-20</t>
  </si>
  <si>
    <t>'"Amy L. Padden</t>
  </si>
  <si>
    <t>'"John Kellner</t>
  </si>
  <si>
    <t>Arapahoe Regent of the University of Colorado ‐ Congressional District 6 4‐362‐96 "Ilana Spiegel" "Richard Murray"</t>
  </si>
  <si>
    <t xml:space="preserve">Arapahoe Regent of the University of Colorado - Congressional District 6 </t>
  </si>
  <si>
    <t>'4-362-96</t>
  </si>
  <si>
    <t>'"Ilana Spiegel</t>
  </si>
  <si>
    <t>'"Richard Murray</t>
  </si>
  <si>
    <t>Arapahoe Proposition 114 (STATUTORY) 7‐80‐63 "Yes/For" "No/Against"</t>
  </si>
  <si>
    <t>X</t>
  </si>
  <si>
    <t xml:space="preserve">Arapahoe Proposition 114 (STATUTORY) </t>
  </si>
  <si>
    <t>'7-80-63</t>
  </si>
  <si>
    <t>'"Yes/For</t>
  </si>
  <si>
    <t>Arapahoe District Attorney ‐ 18th Judicial District 8‐295‐45 "John Kellner" "Amy L. Padden"</t>
  </si>
  <si>
    <t>'8-295-45</t>
  </si>
  <si>
    <t>Arapahoe Arapahoe County Court Judge ‐ Williford 8‐69‐89 "No" "Yes"</t>
  </si>
  <si>
    <t xml:space="preserve">Arapahoe Arapahoe County Court Judge - Williford </t>
  </si>
  <si>
    <t>'8-69-89</t>
  </si>
  <si>
    <t>Archuleta Amendment 77 (CONSTITUTIONAL) 2‐599‐13 "Yes/For"</t>
  </si>
  <si>
    <t xml:space="preserve">Archuleta Amendment 77 (CONSTITUTIONAL) </t>
  </si>
  <si>
    <t>'2-599-13</t>
  </si>
  <si>
    <t>Archuleta Archuleta County Commissioner ‐ District 1 2‐599‐13 "Matthew T. Witt"</t>
  </si>
  <si>
    <t xml:space="preserve">Archuleta Archuleta County Commissioner - District 1 </t>
  </si>
  <si>
    <t>'"Matthew T. Witt</t>
  </si>
  <si>
    <t>Archuleta Archuleta County Commissioner ‐ District 2 2‐599‐13 "Natalie Carpenter"</t>
  </si>
  <si>
    <t xml:space="preserve">Archuleta Archuleta County Commissioner - District 2 </t>
  </si>
  <si>
    <t>'"Natalie Carpenter</t>
  </si>
  <si>
    <t>Archuleta Archuleta County Surveyor 2‐599‐13 "Ron Sutcliffe"</t>
  </si>
  <si>
    <t xml:space="preserve">Archuleta Archuleta County Surveyor </t>
  </si>
  <si>
    <t>'"Ron Sutcliffe</t>
  </si>
  <si>
    <t>Archuleta District Attorney ‐ 6th Judicial District 2‐599‐13 "Christian Champagne"</t>
  </si>
  <si>
    <t xml:space="preserve">Archuleta District Attorney - 6th Judicial District </t>
  </si>
  <si>
    <t>'"Christian Champagne</t>
  </si>
  <si>
    <t>Archuleta District Court Judge ‐ 6th Judicial District ‐ Norvell 2‐599‐13 "Yes"</t>
  </si>
  <si>
    <t xml:space="preserve">Archuleta District Court Judge - 6th Judicial District - Norvell </t>
  </si>
  <si>
    <t>Archuleta Proposition 113 (STATUTORY) 2‐599‐13 "Yes/For"</t>
  </si>
  <si>
    <t xml:space="preserve">Archuleta Proposition 113 (STATUTORY) </t>
  </si>
  <si>
    <t>Archuleta Proposition 115 (STATUTORY) 2‐599‐13 "No/Against"</t>
  </si>
  <si>
    <t xml:space="preserve">Archuleta Proposition 115 (STATUTORY) </t>
  </si>
  <si>
    <t>Archuleta United States Senator 2‐599‐13 "John W. Hickenlooper"</t>
  </si>
  <si>
    <t xml:space="preserve">Archuleta United States Senator </t>
  </si>
  <si>
    <t>'"John W. Hickenlooper</t>
  </si>
  <si>
    <t>Baca Baca County Commissioner ‐ District 1 2‐11‐23 "Glen R "Spike" Ausmus" "Glen R. "Spike" Ausmus"</t>
  </si>
  <si>
    <t xml:space="preserve">Baca Baca County Commissioner - District 1 </t>
  </si>
  <si>
    <t>'2-11-23</t>
  </si>
  <si>
    <t xml:space="preserve">'"Glen R </t>
  </si>
  <si>
    <t>'"Spike</t>
  </si>
  <si>
    <t>'" Ausmus</t>
  </si>
  <si>
    <t xml:space="preserve">'"Glen R. </t>
  </si>
  <si>
    <t>Baca Baca County Commissioner ‐ District 1 2‐1‐6 "Glen R "Spike" Ausmus" "Glen R. "Spike" Ausmus"</t>
  </si>
  <si>
    <t>'2-1-6</t>
  </si>
  <si>
    <t>Baca Baca County Commissioner ‐ District 1 2‐23‐5 "Glen R "Spike" Ausmus" "Glen R. "Spike" Ausmus"</t>
  </si>
  <si>
    <t>'2-23-5</t>
  </si>
  <si>
    <t>Baca Baca County Commissioner ‐ District 1 2‐24‐18 "Glen R "Spike" Ausmus" "Glen R. "Spike" Ausmus"</t>
  </si>
  <si>
    <t>'2-24-18</t>
  </si>
  <si>
    <t>Baca Baca County Commissioner ‐ District 1 2‐32‐23 "Glen R "Spike" Ausmus" "Glen R. "Spike" Ausmus"</t>
  </si>
  <si>
    <t>'2-32-23</t>
  </si>
  <si>
    <t>Baca Baca County Commissioner ‐ District 1 2‐37‐9 "Glen R "Spike" Ausmus" "Glen R. "Spike" Ausmus"</t>
  </si>
  <si>
    <t>'2-37-9</t>
  </si>
  <si>
    <t>Baca Baca County Commissioner ‐ District 1 2‐40‐1 "Glen R "Spike" Ausmus" "Glen R. "Spike" Ausmus"</t>
  </si>
  <si>
    <t>'2-40-1</t>
  </si>
  <si>
    <t>Baca Baca County Commissioner ‐ District 1 2‐41‐5 "Glen R "Spike" Ausmus" "Glen R. "Spike" Ausmus"</t>
  </si>
  <si>
    <t>'2-41-5</t>
  </si>
  <si>
    <t>Baca Baca County Commissioner ‐ District 1 2‐4‐9 "Glen R "Spike" Ausmus" "Glen R. "Spike" Ausmus"</t>
  </si>
  <si>
    <t>'2-4-9</t>
  </si>
  <si>
    <t>Baca Baca County Commissioner ‐ District 1 4‐1‐15 "Glen R "Spike" Ausmus" "Glen R. "Spike" Ausmus"</t>
  </si>
  <si>
    <t>'4-1-15</t>
  </si>
  <si>
    <t>Baca Baca County Commissioner ‐ District 1 4‐15‐7 "Glen R "Spike" Ausmus" "Glen R. "Spike" Ausmus"</t>
  </si>
  <si>
    <t>'4-15-7</t>
  </si>
  <si>
    <t>Baca Baca County Commissioner ‐ District 1 4‐16‐17 "Glen R "Spike" Ausmus" "Glen R. "Spike" Ausmus"</t>
  </si>
  <si>
    <t>'4-16-17</t>
  </si>
  <si>
    <t>Baca Baca County Commissioner ‐ District 1 4‐16‐18 "Glen R "Spike" Ausmus" "Glen R. "Spike" Ausmus"</t>
  </si>
  <si>
    <t>'4-16-18</t>
  </si>
  <si>
    <t>Baca Baca County Commissioner ‐ District 1 4‐18‐7 "Glen R "Spike" Ausmus" "Glen R. "Spike" Ausmus"</t>
  </si>
  <si>
    <t>'4-18-7</t>
  </si>
  <si>
    <t>Baca Baca County Commissioner ‐ District 1 4‐25‐15 "Glen R "Spike" Ausmus" "Glen R. "Spike" Ausmus"</t>
  </si>
  <si>
    <t>'4-25-15</t>
  </si>
  <si>
    <t>Baca Baca County Commissioner ‐ District 1 4‐32‐22 "Glen R "Spike" Ausmus" "Glen R. "Spike" Ausmus"</t>
  </si>
  <si>
    <t>'4-32-22</t>
  </si>
  <si>
    <t>Baca Baca County Commissioner ‐ District 1 4‐36‐21 "Glen R "Spike" Ausmus" "Glen R. "Spike" Ausmus"</t>
  </si>
  <si>
    <t>'4-36-21</t>
  </si>
  <si>
    <t>Baca Baca County Commissioner ‐ District 1 4‐41‐6 "Glen R "Spike" Ausmus" "Glen R. "Spike" Ausmus"</t>
  </si>
  <si>
    <t>'4-41-6</t>
  </si>
  <si>
    <t>Baca Baca County Commissioner ‐ District 1 4‐43‐14 "Glen R "Spike" Ausmus" "Glen R. "Spike" Ausmus"</t>
  </si>
  <si>
    <t>'4-43-14</t>
  </si>
  <si>
    <t>Baca Baca County Commissioner ‐ District 1 4‐46‐18 "Glen R "Spike" Ausmus" "Glen R. "Spike" Ausmus"</t>
  </si>
  <si>
    <t>'4-46-18</t>
  </si>
  <si>
    <t>Baca Baca County Commissioner ‐ District 1 4‐48‐15 "Glen R "Spike" Ausmus" "Glen R. "Spike" Ausmus"</t>
  </si>
  <si>
    <t>'4-48-15</t>
  </si>
  <si>
    <t>Baca Baca County Commissioner ‐ District 1 4‐6‐25 "Glen R "Spike" Ausmus" "Glen R. "Spike" Ausmus"</t>
  </si>
  <si>
    <t>'4-6-25</t>
  </si>
  <si>
    <t>Baca Baca County Commissioner ‐ District 1 4‐9‐17 "Glen R "Spike" Ausmus" "Glen R. "Spike" Ausmus"</t>
  </si>
  <si>
    <t>'4-9-17</t>
  </si>
  <si>
    <t>Boulder Colorado Court of Appeals Judge ‐ Tow 3‐42‐1 "No"</t>
  </si>
  <si>
    <t xml:space="preserve">Boulder Colorado Court of Appeals Judge - Tow </t>
  </si>
  <si>
    <t>'3-42-1</t>
  </si>
  <si>
    <t>Boulder Proposition 118 (STATUTORY) 5‐46‐104 "Yes/For"</t>
  </si>
  <si>
    <t xml:space="preserve">Boulder Proposition 118 (STATUTORY) </t>
  </si>
  <si>
    <t>'5-46-104</t>
  </si>
  <si>
    <t>Boulder City of Louisville City Council Ward 3 7‐59‐77 "Kyle Brown"</t>
  </si>
  <si>
    <t xml:space="preserve">Boulder City of Louisville City Council Ward 3 </t>
  </si>
  <si>
    <t>'7-59-77</t>
  </si>
  <si>
    <t>'"Kyle Brown</t>
  </si>
  <si>
    <t>Boulder City of Louisville City Council Ward 3 7‐64‐16 "Kyle Brown"</t>
  </si>
  <si>
    <t>'7-64-16</t>
  </si>
  <si>
    <t>Boulder City of Louisville City Council Ward 3 8‐138‐65 "Kyle Brown"</t>
  </si>
  <si>
    <t>'8-138-65</t>
  </si>
  <si>
    <t>Boulder State Representative ‐ District 11 8‐268‐42 "Karen McCormick"</t>
  </si>
  <si>
    <t xml:space="preserve">Boulder State Representative - District 11 </t>
  </si>
  <si>
    <t>'8-268-42</t>
  </si>
  <si>
    <t>'"Karen McCormick</t>
  </si>
  <si>
    <t>Boulder Proposition 114 (STATUTORY) 8‐84‐36 "No/Against" "Yes/For"</t>
  </si>
  <si>
    <t xml:space="preserve">Boulder Proposition 114 (STATUTORY) </t>
  </si>
  <si>
    <t>'8-84-36</t>
  </si>
  <si>
    <t>Boulder Amendment C (CONSTITUTIONAL) 5‐17‐27 "Yes/For" "No/Against"</t>
  </si>
  <si>
    <t xml:space="preserve">Boulder Amendment C (CONSTITUTIONAL) </t>
  </si>
  <si>
    <t>'5-17-27</t>
  </si>
  <si>
    <t>Boulder City of Boulder Ballot Question 2C 5‐17‐27 "Yes/For" "No/Against"</t>
  </si>
  <si>
    <t xml:space="preserve">Boulder City of Boulder Ballot Question 2C </t>
  </si>
  <si>
    <t>Boulder District Court Judge ‐ 20th Judicial District ‐ Salomone 5‐17‐27 "Yes"</t>
  </si>
  <si>
    <t xml:space="preserve">Boulder District Court Judge - 20th Judicial District - Salomone </t>
  </si>
  <si>
    <t>Boulder Proposition 114 (STATUTORY) 5‐17‐27 "Yes/For" "No/Against"</t>
  </si>
  <si>
    <t>Boulder Proposition 116 (STATUTORY) 5‐17‐27 "Yes/For" "No/Against"</t>
  </si>
  <si>
    <t xml:space="preserve">Boulder Proposition 116 (STATUTORY) </t>
  </si>
  <si>
    <t>Boulder Proposition 117 (STATUTORY) 5‐17‐27 "Yes/For" "No/Against"</t>
  </si>
  <si>
    <t xml:space="preserve">Boulder Proposition 117 (STATUTORY) </t>
  </si>
  <si>
    <t>Boulder District Attorney ‐ 20th Judicial District 2‐18‐2 "Michael Dougherty"</t>
  </si>
  <si>
    <t xml:space="preserve">Boulder District Attorney - 20th Judicial District </t>
  </si>
  <si>
    <t>'2-18-2</t>
  </si>
  <si>
    <t>'"Michael Dougherty</t>
  </si>
  <si>
    <t>Broomfield District Attorney ‐ 17th Judicial District 4‐113‐8 "Brian Mason" "Tim McCormack"</t>
  </si>
  <si>
    <t xml:space="preserve">Broomfield District Attorney - 17th Judicial District </t>
  </si>
  <si>
    <t>'4-113-8</t>
  </si>
  <si>
    <t>'"Brian Mason</t>
  </si>
  <si>
    <t>'"Tim McCormack</t>
  </si>
  <si>
    <t>Broomfield Presidential Electors 4‐182‐11 "Donald J. Trump / Michael R. Pence" "Joseph R. Biden / Kamala D. Harris"</t>
  </si>
  <si>
    <t xml:space="preserve">Broomfield Presidential Electors </t>
  </si>
  <si>
    <t>'4-182-11</t>
  </si>
  <si>
    <t>'"Donald J. Trump / Michael R. Pence</t>
  </si>
  <si>
    <t>'"Joseph R. Biden / Kamala D. Harris</t>
  </si>
  <si>
    <t>Cheyenne Proposition 116 (STATUTORY) 4‐28‐24 "Yes/For"</t>
  </si>
  <si>
    <t xml:space="preserve">Cheyenne Proposition 116 (STATUTORY) </t>
  </si>
  <si>
    <t>'4-28-24</t>
  </si>
  <si>
    <t>Cheyenne Cheyenne County Commissioner ‐ District 3 4‐43‐11 "Rick Pelton"</t>
  </si>
  <si>
    <t xml:space="preserve">Cheyenne Cheyenne County Commissioner - District 3 </t>
  </si>
  <si>
    <t>'4-43-11</t>
  </si>
  <si>
    <t>'"Rick Pelton</t>
  </si>
  <si>
    <t>Conejos United States Senator 2‐93‐15 "Cory Gardner"</t>
  </si>
  <si>
    <t xml:space="preserve">Conejos United States Senator </t>
  </si>
  <si>
    <t>'2-93-15</t>
  </si>
  <si>
    <t>'"Cory Gardner</t>
  </si>
  <si>
    <t>Contest Discrepancy Remarks</t>
  </si>
  <si>
    <t>Costilla Costilla County Commissioner ‐ District 3 3‐21‐4 "Fidel Rodriguez"</t>
  </si>
  <si>
    <t xml:space="preserve">Costilla Costilla County Commissioner - District 3 </t>
  </si>
  <si>
    <t>'3-21-4</t>
  </si>
  <si>
    <t>'"Fidel Rodriguez</t>
  </si>
  <si>
    <t>Crowley State Representative ‐ District 64 2‐42‐10 "Dean Ormiston" "Richard Holtorf"</t>
  </si>
  <si>
    <t xml:space="preserve">Crowley State Representative - District 64 </t>
  </si>
  <si>
    <t>'2-42-10</t>
  </si>
  <si>
    <t>'"Dean Ormiston</t>
  </si>
  <si>
    <t>'"Richard Holtorf</t>
  </si>
  <si>
    <t>Custer Proposition 118 (STATUTORY) 2‐108‐5 "No/Against" "Yes/For"</t>
  </si>
  <si>
    <t xml:space="preserve">Custer Proposition 118 (STATUTORY) </t>
  </si>
  <si>
    <t>'2-108-5</t>
  </si>
  <si>
    <t>Delta Amendment 77 (CONSTITUTIONAL) 1‐59‐3 "No/Against"</t>
  </si>
  <si>
    <t xml:space="preserve">Delta Amendment 77 (CONSTITUTIONAL) </t>
  </si>
  <si>
    <t>'1-59-3</t>
  </si>
  <si>
    <t>Denver Proposition 115 (STATUTORY) 10‐802‐71 "No/Against" "Yes/For","No/Against"</t>
  </si>
  <si>
    <t>Denver Proposition 115 (STATUTORY) 1</t>
  </si>
  <si>
    <t>'0-802-71</t>
  </si>
  <si>
    <t>'",</t>
  </si>
  <si>
    <t>Denver Proposition 116 (STATUTORY) 10‐802‐71 "No/Against" "Yes/For","No/Against"</t>
  </si>
  <si>
    <t>Denver Proposition 116 (STATUTORY) 1</t>
  </si>
  <si>
    <t>Denver Proposition 117 (STATUTORY) 10‐802‐71 "No/Against" "Yes/For","No/Against"</t>
  </si>
  <si>
    <t>Denver Proposition 117 (STATUTORY) 1</t>
  </si>
  <si>
    <t>Denver City and County of Denver Ballot Measure 2J 8‐679‐87 "No/Against" "Yes/For"</t>
  </si>
  <si>
    <t xml:space="preserve">Denver City and County of Denver Ballot Measure 2J </t>
  </si>
  <si>
    <t>'8-679-87</t>
  </si>
  <si>
    <t>Denver Presidential Electors 6‐460‐99 "Jo Jorgensen / Jeremy ''Spike'' Cohen" "Jo Jorgensen / Jeremy "Spike" Cohen"</t>
  </si>
  <si>
    <t xml:space="preserve">Denver Presidential Electors </t>
  </si>
  <si>
    <t>'6-460-99</t>
  </si>
  <si>
    <t>'"Jo Jorgensen / Jeremy ''Spike'' Cohen</t>
  </si>
  <si>
    <t xml:space="preserve">'"Jo Jorgensen / Jeremy </t>
  </si>
  <si>
    <t>'" Cohen</t>
  </si>
  <si>
    <t>Dolores Amendment 76 (CONSTITUTIONAL) 2‐11‐15 "Yes/For" "No/Against"</t>
  </si>
  <si>
    <t xml:space="preserve">Dolores Amendment 76 (CONSTITUTIONAL) </t>
  </si>
  <si>
    <t>'2-11-15</t>
  </si>
  <si>
    <t>Dolores Colorado Court of Appeals Judge ‐ Tow 2‐41‐10 "No"</t>
  </si>
  <si>
    <t xml:space="preserve">Dolores Colorado Court of Appeals Judge - Tow </t>
  </si>
  <si>
    <t>'2-41-10</t>
  </si>
  <si>
    <t>Dolores Colorado Court of Appeals Judge ‐ Welling 2‐41‐10 "No"</t>
  </si>
  <si>
    <t xml:space="preserve">Dolores Colorado Court of Appeals Judge - Welling </t>
  </si>
  <si>
    <t>Dolores Justice of the Colorado Supreme Court ‐ Hart 2‐41‐10 "No"</t>
  </si>
  <si>
    <t xml:space="preserve">Dolores Justice of the Colorado Supreme Court - Hart </t>
  </si>
  <si>
    <t>Dolores Justice of the Colorado Supreme Court ‐ Samour 2‐41‐10 "No"</t>
  </si>
  <si>
    <t xml:space="preserve">Dolores Justice of the Colorado Supreme Court - Samour </t>
  </si>
  <si>
    <t>Dolores West Dolores County Cemetery District Ballot Issue 6C 2‐51‐23 "Yes/For" "No/Against"</t>
  </si>
  <si>
    <t xml:space="preserve">Dolores West Dolores County Cemetery District Ballot Issue 6C </t>
  </si>
  <si>
    <t>'2-51-23</t>
  </si>
  <si>
    <t>Dolores West Dolores County Cemetery District Ballot Issue 6C 2‐55‐23 "No/Against"</t>
  </si>
  <si>
    <t>'2-55-23</t>
  </si>
  <si>
    <t>Douglas Proposition 116 (STATUTORY) 1‐GEN‐2606‐108 "Yes/For"</t>
  </si>
  <si>
    <t xml:space="preserve">Douglas Proposition 116 (STATUTORY) </t>
  </si>
  <si>
    <t>'1-GEN-2606-108</t>
  </si>
  <si>
    <t>Douglas Proposition 116 (STATUTORY) 1‐GEN‐1946‐73 "Yes/For" "No/Against"</t>
  </si>
  <si>
    <t>'1-GEN-1946-73</t>
  </si>
  <si>
    <t>Douglas Proposition EE (STATUTORY) 1‐GEN‐1946‐73 "Yes/For" "No/Against"</t>
  </si>
  <si>
    <t xml:space="preserve">Douglas Proposition EE (STATUTORY) </t>
  </si>
  <si>
    <t>Douglas District Court Judge ‐ 18th Judicial District ‐ Mares 1‐GEN‐2143‐12 "No" "Yes"</t>
  </si>
  <si>
    <t xml:space="preserve">Douglas District Court Judge - 18th Judicial District - Mares </t>
  </si>
  <si>
    <t>'1-GEN-2143-12</t>
  </si>
  <si>
    <t>Douglas Colorado Court of Appeals Judge ‐ Tow 1‐GEN‐2319‐65 "No" "Yes"</t>
  </si>
  <si>
    <t xml:space="preserve">Douglas Colorado Court of Appeals Judge - Tow </t>
  </si>
  <si>
    <t>'1-GEN-2319-65</t>
  </si>
  <si>
    <t>El Paso City of Colorado Springs Ballot Question 2C 10‐174‐41 "No/Against"</t>
  </si>
  <si>
    <t>El Paso City of Colorado Springs Ballot Question 2C 1</t>
  </si>
  <si>
    <t>'0-174-41</t>
  </si>
  <si>
    <t>El Paso Amendment B (CONSTITUTIONAL) 30‐161‐52 "Yes/For" "No/Against"</t>
  </si>
  <si>
    <t>El Paso Amendment B (CONSTITUTIONAL) 3</t>
  </si>
  <si>
    <t>'0-161-52</t>
  </si>
  <si>
    <t>El Paso Proposition 113 (STATUTORY) 40‐291‐60 "No/Against" "Yes/For"</t>
  </si>
  <si>
    <t>El Paso Proposition 113 (STATUTORY) 4</t>
  </si>
  <si>
    <t>'0-291-60</t>
  </si>
  <si>
    <t>El Paso Proposition 115 (STATUTORY) 10‐297‐67 "No/Against"</t>
  </si>
  <si>
    <t>El Paso Proposition 115 (STATUTORY) 1</t>
  </si>
  <si>
    <t>'0-297-67</t>
  </si>
  <si>
    <t>El Paso District Attorney ‐ 4th Judicial District 30‐307‐68 "Michael Allen"</t>
  </si>
  <si>
    <t>El Paso District Attorney - 4th Judicial District 3</t>
  </si>
  <si>
    <t>'0-307-68</t>
  </si>
  <si>
    <t>'"Michael Allen</t>
  </si>
  <si>
    <t>El Paso District Attorney ‐ 4th Judicial District 30‐332‐6 "Michael Allen"</t>
  </si>
  <si>
    <t>'0-332-6</t>
  </si>
  <si>
    <t>El Paso District Attorney ‐ 4th Judicial District 50‐353‐41 "Michael Allen"</t>
  </si>
  <si>
    <t>El Paso District Attorney - 4th Judicial District 5</t>
  </si>
  <si>
    <t>'0-353-41</t>
  </si>
  <si>
    <t>El Paso City of Colorado Springs Ballot Question 2C 50‐54‐36 "Yes/For" "No/Against"</t>
  </si>
  <si>
    <t>El Paso City of Colorado Springs Ballot Question 2C 5</t>
  </si>
  <si>
    <t>'0-54-36</t>
  </si>
  <si>
    <t>El Paso Proposition 115 (STATUTORY) 80‐64‐45 "Yes/For" "No/Against"</t>
  </si>
  <si>
    <t>El Paso Proposition 115 (STATUTORY) 8</t>
  </si>
  <si>
    <t>'0-64-45</t>
  </si>
  <si>
    <t>El Paso Amendment 77 (CONSTITUTIONAL) 60‐100‐15 "No/Against" "Yes/For"</t>
  </si>
  <si>
    <t>El Paso Amendment 77 (CONSTITUTIONAL) 6</t>
  </si>
  <si>
    <t>'0-100-15</t>
  </si>
  <si>
    <t>El Paso Amendment C (CONSTITUTIONAL) 60‐100‐15 "No/Against" "Yes/For"</t>
  </si>
  <si>
    <t>El Paso Amendment C (CONSTITUTIONAL) 6</t>
  </si>
  <si>
    <t>El Paso City of Colorado Springs Ballot Question 2B 60‐100‐15 "No/Against" "Yes/For"</t>
  </si>
  <si>
    <t>El Paso City of Colorado Springs Ballot Question 2B 6</t>
  </si>
  <si>
    <t>El Paso Colorado Springs School District 11 Ballot Issue 4A 60‐100‐15 "No/Against" "Yes/For"</t>
  </si>
  <si>
    <t>El Paso Colorado Springs School District 11 Ballot Issue 4A 6</t>
  </si>
  <si>
    <t>El Paso District Attorney ‐ 4th Judicial District 60‐100‐15 "Michael Allen"</t>
  </si>
  <si>
    <t>El Paso District Attorney - 4th Judicial District 6</t>
  </si>
  <si>
    <t>El Paso El Paso County Commissioner ‐ District 3 60‐100‐15 "Stan Lee VanderWerf" "Timothy Campbell"</t>
  </si>
  <si>
    <t>El Paso El Paso County Commissioner - District 3 6</t>
  </si>
  <si>
    <t>'"Stan Lee VanderWerf</t>
  </si>
  <si>
    <t>'"Timothy Campbell</t>
  </si>
  <si>
    <t>El Paso Proposition 114 (STATUTORY) 60‐100‐15 "No/Against" "Yes/For"</t>
  </si>
  <si>
    <t>El Paso Proposition 114 (STATUTORY) 6</t>
  </si>
  <si>
    <t>El Paso Proposition 115 (STATUTORY) 60‐100‐15 "Yes/For" "No/Against"</t>
  </si>
  <si>
    <t>El Paso Proposition 115 (STATUTORY) 6</t>
  </si>
  <si>
    <t>El Paso Proposition 116 (STATUTORY) 60‐100‐15 "No/Against" "Yes/For"</t>
  </si>
  <si>
    <t>El Paso Proposition 116 (STATUTORY) 6</t>
  </si>
  <si>
    <t>El Paso Proposition 117 (STATUTORY) 60‐100‐15 "No/Against" "Yes/For"</t>
  </si>
  <si>
    <t>El Paso Proposition 117 (STATUTORY) 6</t>
  </si>
  <si>
    <t>El Paso Proposition 118 (STATUTORY) 60‐100‐15 "No/Against" "Yes/For"</t>
  </si>
  <si>
    <t>El Paso Proposition 118 (STATUTORY) 6</t>
  </si>
  <si>
    <t>El Paso Proposition EE (STATUTORY) 60‐100‐15 "No/Against" "Yes/For"</t>
  </si>
  <si>
    <t>El Paso Proposition EE (STATUTORY) 6</t>
  </si>
  <si>
    <t>El Paso Representative to the 117th United States Congress ‐ District 5 60‐100‐15 "Doug Lamborn" "Ed Duffett"</t>
  </si>
  <si>
    <t>El Paso Representative to the 117th United States Congress - District 5 6</t>
  </si>
  <si>
    <t>'"Doug Lamborn</t>
  </si>
  <si>
    <t>'"Ed Duffett</t>
  </si>
  <si>
    <t>El Paso State Representative ‐ District 18 60‐100‐15 "George M. Rapko" "Nathan Foutch"</t>
  </si>
  <si>
    <t>El Paso State Representative - District 18 6</t>
  </si>
  <si>
    <t>'"George M. Rapko</t>
  </si>
  <si>
    <t>'"Nathan Foutch</t>
  </si>
  <si>
    <t>El Paso Amendment 76 (CONSTITUTIONAL) 10‐151‐63 "No/Against" "Yes/For"</t>
  </si>
  <si>
    <t>El Paso Amendment 76 (CONSTITUTIONAL) 1</t>
  </si>
  <si>
    <t>'0-151-63</t>
  </si>
  <si>
    <t>El Paso Amendment B (CONSTITUTIONAL) 10‐151‐63 "Yes/For" "No/Against"</t>
  </si>
  <si>
    <t>El Paso Amendment B (CONSTITUTIONAL) 1</t>
  </si>
  <si>
    <t>El Paso Amendment C (CONSTITUTIONAL) 10‐151‐63 "Yes/For" "No/Against"</t>
  </si>
  <si>
    <t>El Paso Amendment C (CONSTITUTIONAL) 1</t>
  </si>
  <si>
    <t>El Paso City of Colorado Springs Ballot Issue 2A 10‐151‐63 "Yes/For" "No/Against"</t>
  </si>
  <si>
    <t>El Paso City of Colorado Springs Ballot Issue 2A 1</t>
  </si>
  <si>
    <t>El Paso City of Colorado Springs Ballot Question 2B 10‐151‐63 "Yes/For" "No/Against"</t>
  </si>
  <si>
    <t>El Paso City of Colorado Springs Ballot Question 2B 1</t>
  </si>
  <si>
    <t>El Paso District Court Judge ‐ 4th Judicial District ‐ DuBois 10‐151‐63 "Yes" "No"</t>
  </si>
  <si>
    <t>El Paso District Court Judge - 4th Judicial District - DuBois 1</t>
  </si>
  <si>
    <t>El Paso District Court Judge ‐ 4th Judicial District ‐ Sokol 10‐151‐63 "Yes" "No"</t>
  </si>
  <si>
    <t>El Paso District Court Judge - 4th Judicial District - Sokol 1</t>
  </si>
  <si>
    <t>El Paso El Paso County Commissioner ‐ District 2 10‐151‐63 "Tracey Johnson" "Carrie Geitner"</t>
  </si>
  <si>
    <t>El Paso El Paso County Commissioner - District 2 1</t>
  </si>
  <si>
    <t>'"Tracey Johnson</t>
  </si>
  <si>
    <t>'"Carrie Geitner</t>
  </si>
  <si>
    <t>El Paso Justice of the Colorado Supreme Court ‐ Samour 10‐151‐63 "Yes" "No"</t>
  </si>
  <si>
    <t>El Paso Justice of the Colorado Supreme Court - Samour 1</t>
  </si>
  <si>
    <t>El Paso Presidential Electors 10‐151‐63 "Joseph R. Biden / Kamala D. Harris" "Donald J. Trump / Michael R. Pence"</t>
  </si>
  <si>
    <t>El Paso Presidential Electors 1</t>
  </si>
  <si>
    <t>El Paso Proposition 114 (STATUTORY) 10‐151‐63 "Yes/For" "No/Against"</t>
  </si>
  <si>
    <t>El Paso Proposition 114 (STATUTORY) 1</t>
  </si>
  <si>
    <t>El Paso Proposition 117 (STATUTORY) 10‐151‐63 "Yes/For" "No/Against"</t>
  </si>
  <si>
    <t>El Paso Proposition 117 (STATUTORY) 1</t>
  </si>
  <si>
    <t>El Paso Proposition 118 (STATUTORY) 10‐151‐63 "Yes/For" "No/Against"</t>
  </si>
  <si>
    <t>El Paso Proposition 118 (STATUTORY) 1</t>
  </si>
  <si>
    <t>El Paso Proposition EE (STATUTORY) 10‐151‐63 "Yes/For" "No/Against"</t>
  </si>
  <si>
    <t>El Paso Proposition EE (STATUTORY) 1</t>
  </si>
  <si>
    <t>El Paso Representative to the 117th United States Congress ‐ District 5 10‐151‐63 "Jillian Freeland" "Doug Lamborn"</t>
  </si>
  <si>
    <t>El Paso Representative to the 117th United States Congress - District 5 1</t>
  </si>
  <si>
    <t>'"Jillian Freeland</t>
  </si>
  <si>
    <t>El Paso State Representative ‐ District 15 10‐151‐63 "John Pyne IV" "Dave Williams"</t>
  </si>
  <si>
    <t>El Paso State Representative - District 15 1</t>
  </si>
  <si>
    <t>'"John Pyne IV</t>
  </si>
  <si>
    <t>'"Dave Williams</t>
  </si>
  <si>
    <t>El Paso State Senator ‐ District 12 10‐151‐63 "Electra Johnson" "Bob Gardner"</t>
  </si>
  <si>
    <t>El Paso State Senator - District 12 1</t>
  </si>
  <si>
    <t>'"Electra Johnson</t>
  </si>
  <si>
    <t>'"Bob Gardner</t>
  </si>
  <si>
    <t>El Paso United States Senator 10‐151‐63 "John W. Hickenlooper" "Cory Gardner"</t>
  </si>
  <si>
    <t>El Paso United States Senator 1</t>
  </si>
  <si>
    <t>El Paso Amendment 76 (CONSTITUTIONAL) 10‐228‐46 "No/Against" "Yes/For"</t>
  </si>
  <si>
    <t>'0-228-46</t>
  </si>
  <si>
    <t>El Paso Amendment 77 (CONSTITUTIONAL) 10‐228‐46 "No/Against" "Yes/For"</t>
  </si>
  <si>
    <t>El Paso Amendment 77 (CONSTITUTIONAL) 1</t>
  </si>
  <si>
    <t>El Paso Amendment C (CONSTITUTIONAL) 10‐228‐46 "No/Against" "Yes/For"</t>
  </si>
  <si>
    <t>El Paso El Paso County Commissioner ‐ District 4 10‐228‐46 "Andre Vigil" "Longinos Gonzalez Jr."</t>
  </si>
  <si>
    <t>El Paso El Paso County Commissioner - District 4 1</t>
  </si>
  <si>
    <t>'"Andre Vigil</t>
  </si>
  <si>
    <t>'"Longinos Gonzalez Jr.</t>
  </si>
  <si>
    <t>El Paso Presidential Electors 10‐228‐46 "Joseph R. Biden / Kamala D. Harris" "Donald J. Trump / Michael R. Pence"</t>
  </si>
  <si>
    <t>El Paso Proposition 114 (STATUTORY) 10‐228‐46 "Yes/For" "No/Against"</t>
  </si>
  <si>
    <t>El Paso Proposition 115 (STATUTORY) 10‐228‐46 "No/Against" "Yes/For"</t>
  </si>
  <si>
    <t>El Paso Representative to the 117th United States Congress ‐ District 5 10‐228‐46 "Jillian Freeland" "Doug Lamborn"</t>
  </si>
  <si>
    <t>El Paso State Representative ‐ District 21 10‐228‐46 "Liz Rosenbaum" "Mary Bradfield"</t>
  </si>
  <si>
    <t>El Paso State Representative - District 21 1</t>
  </si>
  <si>
    <t>'"Liz Rosenbaum</t>
  </si>
  <si>
    <t>'"Mary Bradfield</t>
  </si>
  <si>
    <t>El Paso State Senator ‐ District 12 10‐228‐46 "Electra Johnson" "Bob Gardner"</t>
  </si>
  <si>
    <t>El Paso United States Senator 10‐228‐46 "John W. Hickenlooper" "Cory Gardner"</t>
  </si>
  <si>
    <t>El Paso Amendment 77 (CONSTITUTIONAL) 30‐260‐81 "No/Against" "Yes/For"</t>
  </si>
  <si>
    <t>El Paso Amendment 77 (CONSTITUTIONAL) 3</t>
  </si>
  <si>
    <t>'0-260-81</t>
  </si>
  <si>
    <t>El Paso Amendment B (CONSTITUTIONAL) 30‐260‐81 "Yes/For" "No/Against"</t>
  </si>
  <si>
    <t>El Paso Amendment C (CONSTITUTIONAL) 30‐260‐81 "No/Against" "Yes/For"</t>
  </si>
  <si>
    <t>El Paso Amendment C (CONSTITUTIONAL) 3</t>
  </si>
  <si>
    <t>El Paso City of Colorado Springs Ballot Question 2B 30‐260‐81 "Yes/For" "No/Against"</t>
  </si>
  <si>
    <t>El Paso City of Colorado Springs Ballot Question 2B 3</t>
  </si>
  <si>
    <t>El Paso City of Colorado Springs Ballot Question 2C 30‐260‐81 "Yes/For" "No/Against"</t>
  </si>
  <si>
    <t>El Paso City of Colorado Springs Ballot Question 2C 3</t>
  </si>
  <si>
    <t>El Paso El Paso County Commissioner ‐ District 4 30‐260‐81 "Longinos Gonzalez Jr." "Andre Vigil"</t>
  </si>
  <si>
    <t>El Paso El Paso County Commissioner - District 4 3</t>
  </si>
  <si>
    <t>El Paso Proposition 114 (STATUTORY) 30‐260‐81 "No/Against" "Yes/For"</t>
  </si>
  <si>
    <t>El Paso Proposition 114 (STATUTORY) 3</t>
  </si>
  <si>
    <t>El Paso Proposition 116 (STATUTORY) 30‐260‐81 "Yes/For" "No/Against"</t>
  </si>
  <si>
    <t>El Paso Proposition 116 (STATUTORY) 3</t>
  </si>
  <si>
    <t>El Paso Proposition 117 (STATUTORY) 30‐260‐81 "No/Against" "Yes/For"</t>
  </si>
  <si>
    <t>El Paso Proposition 117 (STATUTORY) 3</t>
  </si>
  <si>
    <t>El Paso Representative to the 117th United States Congress ‐ District 5 30‐260‐81 "Doug Lamborn" "Jillian Freeland"</t>
  </si>
  <si>
    <t>El Paso Representative to the 117th United States Congress - District 5 3</t>
  </si>
  <si>
    <t>El Paso Amendment B (CONSTITUTIONAL) 10‐283‐82 "No/Against" "Yes/For"</t>
  </si>
  <si>
    <t>'0-283-82</t>
  </si>
  <si>
    <t>El Paso Amendment C (CONSTITUTIONAL) 10‐283‐82 "Yes/For" "No/Against"</t>
  </si>
  <si>
    <t>El Paso City of Colorado Springs Ballot Issue 2A 10‐283‐82 "No/Against"</t>
  </si>
  <si>
    <t>El Paso City of Colorado Springs Ballot Question 2B 10‐283‐82 "Yes/For"</t>
  </si>
  <si>
    <t>El Paso City of Colorado Springs Ballot Question 2C 10‐283‐82 "Yes/For"</t>
  </si>
  <si>
    <t>El Paso Colorado Court of Appeals Judge ‐ Tow 10‐283‐82 "No"</t>
  </si>
  <si>
    <t>El Paso Colorado Court of Appeals Judge - Tow 1</t>
  </si>
  <si>
    <t>El Paso Colorado Court of Appeals Judge ‐ Welling 10‐283‐82 "No"</t>
  </si>
  <si>
    <t>El Paso Colorado Court of Appeals Judge - Welling 1</t>
  </si>
  <si>
    <t>El Paso District Attorney ‐ 4th Judicial District 10‐283‐82 "Michael Allen"</t>
  </si>
  <si>
    <t>El Paso District Attorney - 4th Judicial District 1</t>
  </si>
  <si>
    <t>El Paso District Court Judge ‐ 4th Judicial District ‐ Bain 10‐283‐82 "Yes"</t>
  </si>
  <si>
    <t>El Paso District Court Judge - 4th Judicial District - Bain 1</t>
  </si>
  <si>
    <t>El Paso District Court Judge ‐ 4th Judicial District ‐ DuBois 10‐283‐82 "Yes"</t>
  </si>
  <si>
    <t>El Paso District Court Judge ‐ 4th Judicial District ‐ Kane 10‐283‐82 "Yes"</t>
  </si>
  <si>
    <t>El Paso District Court Judge - 4th Judicial District - Kane 1</t>
  </si>
  <si>
    <t>El Paso District Court Judge ‐ 4th Judicial District ‐ McHenry 10‐283‐82 "Yes"</t>
  </si>
  <si>
    <t>El Paso District Court Judge - 4th Judicial District - McHenry 1</t>
  </si>
  <si>
    <t>El Paso District Court Judge ‐ 4th Judicial District ‐ Prince 10‐283‐82 "Yes"</t>
  </si>
  <si>
    <t>El Paso District Court Judge - 4th Judicial District - Prince 1</t>
  </si>
  <si>
    <t>El Paso District Court Judge ‐ 4th Judicial District ‐ Sokol 10‐283‐82 "Yes"</t>
  </si>
  <si>
    <t>El Paso District Court Judge ‐ 4th Judicial District ‐ Werner 10‐283‐82 "Yes"</t>
  </si>
  <si>
    <t>El Paso District Court Judge - 4th Judicial District - Werner 1</t>
  </si>
  <si>
    <t>El Paso El Paso County Court Judge ‐ Findorff 10‐283‐82 "Yes"</t>
  </si>
  <si>
    <t>El Paso El Paso County Court Judge - Findorff 1</t>
  </si>
  <si>
    <t>El Paso El Paso County Court Judge ‐ Gerhart 10‐283‐82 "Yes"</t>
  </si>
  <si>
    <t>El Paso El Paso County Court Judge - Gerhart 1</t>
  </si>
  <si>
    <t>El Paso Justice of the Colorado Supreme Court ‐ Hart 10‐283‐82 "No"</t>
  </si>
  <si>
    <t>El Paso Justice of the Colorado Supreme Court - Hart 1</t>
  </si>
  <si>
    <t>El Paso Justice of the Colorado Supreme Court ‐ Samour 10‐283‐82 "No"</t>
  </si>
  <si>
    <t>El Paso Presidential Electors 10‐283‐82 "Donald J. Trump / Michael R. Pence" "Joseph R. Biden / Kamala D. Harris"</t>
  </si>
  <si>
    <t>El Paso Proposition 113 (STATUTORY) 10‐283‐82 "No/Against"</t>
  </si>
  <si>
    <t>El Paso Proposition 113 (STATUTORY) 1</t>
  </si>
  <si>
    <t>El Paso Proposition 114 (STATUTORY) 10‐283‐82 "No/Against"</t>
  </si>
  <si>
    <t>El Paso Proposition 115 (STATUTORY) 10‐283‐82 "Yes/For"</t>
  </si>
  <si>
    <t>El Paso Proposition 116 (STATUTORY) 10‐283‐82 "Yes/For"</t>
  </si>
  <si>
    <t>El Paso Proposition 116 (STATUTORY) 1</t>
  </si>
  <si>
    <t>El Paso Proposition 117 (STATUTORY) 10‐283‐82 "No/Against"</t>
  </si>
  <si>
    <t>El Paso Proposition 118 (STATUTORY) 10‐283‐82 "No/Against"</t>
  </si>
  <si>
    <t>El Paso Representative to the 117th United States Congress ‐ District 5 10‐283‐82 "Doug Lamborn" "Jillian Freeland"</t>
  </si>
  <si>
    <t>El Paso State Representative ‐ District 14 10‐283‐82 "Shane Sandridge"</t>
  </si>
  <si>
    <t>El Paso State Representative - District 14 1</t>
  </si>
  <si>
    <t>'"Shane Sandridge</t>
  </si>
  <si>
    <t>El Paso United States Senator 10‐283‐82 "Cory Gardner" "John W. Hickenlooper"</t>
  </si>
  <si>
    <t>El Paso Amendment 76 (CONSTITUTIONAL) 20‐364‐29 "No/Against"</t>
  </si>
  <si>
    <t>El Paso Amendment 76 (CONSTITUTIONAL) 2</t>
  </si>
  <si>
    <t>'0-364-29</t>
  </si>
  <si>
    <t>El Paso Amendment 77 (CONSTITUTIONAL) 20‐364‐29 "Yes/For"</t>
  </si>
  <si>
    <t>El Paso Amendment 77 (CONSTITUTIONAL) 2</t>
  </si>
  <si>
    <t>El Paso Amendment B (CONSTITUTIONAL) 20‐364‐29 "Yes/For"</t>
  </si>
  <si>
    <t>El Paso Amendment B (CONSTITUTIONAL) 2</t>
  </si>
  <si>
    <t>El Paso Amendment C (CONSTITUTIONAL) 20‐364‐29 "Yes/For"</t>
  </si>
  <si>
    <t>El Paso Amendment C (CONSTITUTIONAL) 2</t>
  </si>
  <si>
    <t>El Paso City of Colorado Springs Ballot Issue 2A 20‐364‐29 "Yes/For"</t>
  </si>
  <si>
    <t>El Paso City of Colorado Springs Ballot Issue 2A 2</t>
  </si>
  <si>
    <t>El Paso City of Colorado Springs Ballot Question 2B 20‐364‐29 "Yes/For"</t>
  </si>
  <si>
    <t>El Paso City of Colorado Springs Ballot Question 2B 2</t>
  </si>
  <si>
    <t>El Paso City of Colorado Springs Ballot Question 2C 20‐364‐29 "No/Against"</t>
  </si>
  <si>
    <t>El Paso City of Colorado Springs Ballot Question 2C 2</t>
  </si>
  <si>
    <t>El Paso Colorado Court of Appeals Judge ‐ Tow 20‐364‐29 "Yes"</t>
  </si>
  <si>
    <t>El Paso Colorado Court of Appeals Judge - Tow 2</t>
  </si>
  <si>
    <t>El Paso Colorado Court of Appeals Judge ‐ Welling 20‐364‐29 "Yes"</t>
  </si>
  <si>
    <t>El Paso Colorado Court of Appeals Judge - Welling 2</t>
  </si>
  <si>
    <t>El Paso Colorado Springs School District 11 Ballot Issue 4A 20‐364‐29 "Yes/For"</t>
  </si>
  <si>
    <t>El Paso Colorado Springs School District 11 Ballot Issue 4A 2</t>
  </si>
  <si>
    <t>El Paso District Court Judge ‐ 4th Judicial District ‐ DuBois 20‐364‐29 "Yes"</t>
  </si>
  <si>
    <t>El Paso District Court Judge - 4th Judicial District - DuBois 2</t>
  </si>
  <si>
    <t>El Paso District Court Judge ‐ 4th Judicial District ‐ Kane 20‐364‐29 "Yes"</t>
  </si>
  <si>
    <t>El Paso District Court Judge - 4th Judicial District - Kane 2</t>
  </si>
  <si>
    <t>El Paso District Court Judge ‐ 4th Judicial District ‐ McHenry 20‐364‐29 "Yes"</t>
  </si>
  <si>
    <t>El Paso District Court Judge - 4th Judicial District - McHenry 2</t>
  </si>
  <si>
    <t>El Paso District Court Judge ‐ 4th Judicial District ‐ Prince 20‐364‐29 "Yes"</t>
  </si>
  <si>
    <t>El Paso District Court Judge - 4th Judicial District - Prince 2</t>
  </si>
  <si>
    <t>El Paso District Court Judge ‐ 4th Judicial District ‐ Sokol 20‐364‐29 "Yes"</t>
  </si>
  <si>
    <t>El Paso District Court Judge - 4th Judicial District - Sokol 2</t>
  </si>
  <si>
    <t>El Paso District Court Judge ‐ 4th Judicial District ‐ Werner 20‐364‐29 "Yes"</t>
  </si>
  <si>
    <t>El Paso District Court Judge - 4th Judicial District - Werner 2</t>
  </si>
  <si>
    <t>El Paso El Paso County Commissioner ‐ District 2 20‐364‐29 "Carrie Geitner"</t>
  </si>
  <si>
    <t>El Paso El Paso County Commissioner - District 2 2</t>
  </si>
  <si>
    <t>El Paso Justice of the Colorado Supreme Court ‐ Hart 20‐364‐29 "Yes"</t>
  </si>
  <si>
    <t>El Paso Justice of the Colorado Supreme Court - Hart 2</t>
  </si>
  <si>
    <t>El Paso Justice of the Colorado Supreme Court ‐ Samour 20‐364‐29 "Yes"</t>
  </si>
  <si>
    <t>El Paso Justice of the Colorado Supreme Court - Samour 2</t>
  </si>
  <si>
    <t>El Paso Proposition 113 (STATUTORY) 20‐364‐29 "Yes/For"</t>
  </si>
  <si>
    <t>El Paso Proposition 113 (STATUTORY) 2</t>
  </si>
  <si>
    <t>El Paso Proposition 114 (STATUTORY) 20‐364‐29 "Yes/For"</t>
  </si>
  <si>
    <t>El Paso Proposition 114 (STATUTORY) 2</t>
  </si>
  <si>
    <t>El Paso Proposition 115 (STATUTORY) 20‐364‐29 "No/Against"</t>
  </si>
  <si>
    <t>El Paso Proposition 115 (STATUTORY) 2</t>
  </si>
  <si>
    <t>El Paso Proposition 116 (STATUTORY) 20‐364‐29 "Yes/For"</t>
  </si>
  <si>
    <t>El Paso Proposition 116 (STATUTORY) 2</t>
  </si>
  <si>
    <t>El Paso Proposition 117 (STATUTORY) 20‐364‐29 "Yes/For"</t>
  </si>
  <si>
    <t>El Paso Proposition 117 (STATUTORY) 2</t>
  </si>
  <si>
    <t>El Paso Proposition 118 (STATUTORY) 20‐364‐29 "Yes/For"</t>
  </si>
  <si>
    <t>El Paso Proposition 118 (STATUTORY) 2</t>
  </si>
  <si>
    <t>El Paso Proposition EE (STATUTORY) 20‐364‐29 "Yes/For"</t>
  </si>
  <si>
    <t>El Paso Proposition EE (STATUTORY) 2</t>
  </si>
  <si>
    <t>El Paso Representative to the 117th United States Congress ‐ District 5 20‐364‐29 "Doug Lamborn"</t>
  </si>
  <si>
    <t>El Paso Representative to the 117th United States Congress - District 5 2</t>
  </si>
  <si>
    <t>El Paso Colorado Court of Appeals Judge ‐ Tow 40‐399‐12 "Yes"</t>
  </si>
  <si>
    <t>El Paso Colorado Court of Appeals Judge - Tow 4</t>
  </si>
  <si>
    <t>'0-399-12</t>
  </si>
  <si>
    <t>El Paso Colorado Court of Appeals Judge ‐ Welling 40‐399‐12 "Yes"</t>
  </si>
  <si>
    <t>El Paso Colorado Court of Appeals Judge - Welling 4</t>
  </si>
  <si>
    <t>El Paso District Court Judge ‐ 4th Judicial District ‐ Bain 40‐399‐12 "Yes"</t>
  </si>
  <si>
    <t>El Paso District Court Judge - 4th Judicial District - Bain 4</t>
  </si>
  <si>
    <t>El Paso District Court Judge ‐ 4th Judicial District ‐ DuBois 40‐399‐12 "Yes"</t>
  </si>
  <si>
    <t>El Paso District Court Judge - 4th Judicial District - DuBois 4</t>
  </si>
  <si>
    <t>El Paso District Court Judge ‐ 4th Judicial District ‐ Kane 40‐399‐12 "Yes"</t>
  </si>
  <si>
    <t>El Paso District Court Judge - 4th Judicial District - Kane 4</t>
  </si>
  <si>
    <t>El Paso District Court Judge ‐ 4th Judicial District ‐ McHenry 40‐399‐12 "Yes"</t>
  </si>
  <si>
    <t>El Paso District Court Judge - 4th Judicial District - McHenry 4</t>
  </si>
  <si>
    <t>El Paso District Court Judge ‐ 4th Judicial District ‐ Prince 40‐399‐12 "Yes"</t>
  </si>
  <si>
    <t>El Paso District Court Judge - 4th Judicial District - Prince 4</t>
  </si>
  <si>
    <t>El Paso District Court Judge ‐ 4th Judicial District ‐ Sokol 40‐399‐12 "Yes"</t>
  </si>
  <si>
    <t>El Paso District Court Judge - 4th Judicial District - Sokol 4</t>
  </si>
  <si>
    <t>El Paso District Court Judge ‐ 4th Judicial District ‐ Werner 40‐399‐12 "No"</t>
  </si>
  <si>
    <t>El Paso District Court Judge - 4th Judicial District - Werner 4</t>
  </si>
  <si>
    <t>El Paso El Paso County Court Judge ‐ Findorff 40‐399‐12 "Yes"</t>
  </si>
  <si>
    <t>El Paso El Paso County Court Judge - Findorff 4</t>
  </si>
  <si>
    <t>El Paso El Paso County Court Judge ‐ Gerhart 40‐399‐12 "Yes"</t>
  </si>
  <si>
    <t>El Paso El Paso County Court Judge - Gerhart 4</t>
  </si>
  <si>
    <t>El Paso Justice of the Colorado Supreme Court ‐ Hart 40‐399‐12 "Yes"</t>
  </si>
  <si>
    <t>El Paso Justice of the Colorado Supreme Court - Hart 4</t>
  </si>
  <si>
    <t>El Paso Justice of the Colorado Supreme Court ‐ Samour 40‐399‐12 "Yes"</t>
  </si>
  <si>
    <t>El Paso Justice of the Colorado Supreme Court - Samour 4</t>
  </si>
  <si>
    <t>El Paso Proposition 113 (STATUTORY) 40‐399‐12 "No/Against"</t>
  </si>
  <si>
    <t>El Paso Proposition 115 (STATUTORY) 40‐399‐12 "Yes/For" "No/Against"</t>
  </si>
  <si>
    <t>El Paso Proposition 115 (STATUTORY) 4</t>
  </si>
  <si>
    <t>El Paso Proposition EE (STATUTORY) 40‐399‐12 "Yes/For" "No/Against"</t>
  </si>
  <si>
    <t>El Paso Proposition EE (STATUTORY) 4</t>
  </si>
  <si>
    <t>El Paso Colorado Court of Appeals Judge ‐ Tow 40‐406‐20 "Yes"</t>
  </si>
  <si>
    <t>'0-406-20</t>
  </si>
  <si>
    <t>El Paso Colorado Court of Appeals Judge ‐ Welling 40‐406‐20 "Yes"</t>
  </si>
  <si>
    <t>El Paso District Court Judge ‐ 4th Judicial District ‐ Bain 40‐406‐20 "Yes"</t>
  </si>
  <si>
    <t>El Paso District Court Judge ‐ 4th Judicial District ‐ DuBois 40‐406‐20 "Yes"</t>
  </si>
  <si>
    <t>El Paso District Court Judge ‐ 4th Judicial District ‐ Kane 40‐406‐20 "Yes"</t>
  </si>
  <si>
    <t>El Paso District Court Judge ‐ 4th Judicial District ‐ McHenry 40‐406‐20 "Yes"</t>
  </si>
  <si>
    <t>El Paso District Court Judge ‐ 4th Judicial District ‐ Prince 40‐406‐20 "Yes"</t>
  </si>
  <si>
    <t>El Paso District Court Judge ‐ 4th Judicial District ‐ Sokol 40‐406‐20 "Yes"</t>
  </si>
  <si>
    <t>El Paso District Court Judge ‐ 4th Judicial District ‐ Werner 40‐406‐20 "No"</t>
  </si>
  <si>
    <t>El Paso El Paso County Court Judge ‐ Findorff 40‐406‐20 "Yes"</t>
  </si>
  <si>
    <t>El Paso El Paso County Court Judge ‐ Gerhart 40‐406‐20 "Yes"</t>
  </si>
  <si>
    <t>El Paso Justice of the Colorado Supreme Court ‐ Hart 40‐406‐20 "Yes"</t>
  </si>
  <si>
    <t>El Paso Justice of the Colorado Supreme Court ‐ Samour 40‐406‐20 "Yes"</t>
  </si>
  <si>
    <t>El Paso Proposition 113 (STATUTORY) 40‐406‐20 "No/Against"</t>
  </si>
  <si>
    <t>El Paso Proposition 115 (STATUTORY) 40‐406‐20 "No/Against" "Yes/For"</t>
  </si>
  <si>
    <t>El Paso Proposition EE (STATUTORY) 40‐406‐20 "No/Against" "Yes/For"</t>
  </si>
  <si>
    <t>El Paso Proposition 117 (STATUTORY) 10‐274‐74 "No/Against"</t>
  </si>
  <si>
    <t>'0-274-74</t>
  </si>
  <si>
    <t>El Paso District Attorney ‐ 4th Judicial District 40‐295‐7 "Michael Allen"</t>
  </si>
  <si>
    <t>El Paso District Attorney - 4th Judicial District 4</t>
  </si>
  <si>
    <t>'0-295-7</t>
  </si>
  <si>
    <t>El Paso Proposition 115 (STATUTORY) 60‐490‐7 "No/Against"</t>
  </si>
  <si>
    <t>'0-490-7</t>
  </si>
  <si>
    <t>El Paso District Attorney ‐ 4th Judicial District 40‐50‐86 "Michael Allen"</t>
  </si>
  <si>
    <t>'0-50-86</t>
  </si>
  <si>
    <t>El Paso State Representative ‐ District 15 82‐116‐95 "Mike McRedmond"</t>
  </si>
  <si>
    <t>El Paso State Representative - District 15 8</t>
  </si>
  <si>
    <t>'2-116-95</t>
  </si>
  <si>
    <t>'"Mike McRedmond</t>
  </si>
  <si>
    <t>Gilpin Proposition EE (STATUTORY) 2‐103‐5 "Yes/For"</t>
  </si>
  <si>
    <t xml:space="preserve">Gilpin Proposition EE (STATUTORY) </t>
  </si>
  <si>
    <t>'2-103-5</t>
  </si>
  <si>
    <t>Gilpin Amendment C (CONSTITUTIONAL) 2‐50‐13 "No/Against"</t>
  </si>
  <si>
    <t xml:space="preserve">Gilpin Amendment C (CONSTITUTIONAL) </t>
  </si>
  <si>
    <t>'2-50-13</t>
  </si>
  <si>
    <t>Gilpin District Attorney ‐ 1st Judicial District 2‐116‐11 "Alexis King" "Matthew Durkin"</t>
  </si>
  <si>
    <t xml:space="preserve">Gilpin District Attorney - 1st Judicial District </t>
  </si>
  <si>
    <t>'2-116-11</t>
  </si>
  <si>
    <t>'"Alexis King</t>
  </si>
  <si>
    <t>'"Matthew Durkin</t>
  </si>
  <si>
    <t>Gilpin State Representative ‐ District 13 2‐130‐2 "Kevin Sipple" "Judy Amabile"</t>
  </si>
  <si>
    <t xml:space="preserve">Gilpin State Representative - District 13 </t>
  </si>
  <si>
    <t>'2-130-2</t>
  </si>
  <si>
    <t>'"Kevin Sipple</t>
  </si>
  <si>
    <t>'"Judy Amabile</t>
  </si>
  <si>
    <t>Gilpin Proposition 117 (STATUTORY) 2‐20‐12 "No/Against"</t>
  </si>
  <si>
    <t xml:space="preserve">Gilpin Proposition 117 (STATUTORY) </t>
  </si>
  <si>
    <t>'2-20-12</t>
  </si>
  <si>
    <t>Gilpin City of Central Alderman 2‐30‐24 "Kara Tinucci","Michele E. Roussel" "Michele E. Roussel"</t>
  </si>
  <si>
    <t xml:space="preserve">Gilpin City of Central Alderman </t>
  </si>
  <si>
    <t>'2-30-24</t>
  </si>
  <si>
    <t>'"Kara Tinucci</t>
  </si>
  <si>
    <t>'"Michele E. Roussel</t>
  </si>
  <si>
    <t>Gilpin Amendment 76 (CONSTITUTIONAL) 2‐37‐21 "No/Against" "Yes/For"</t>
  </si>
  <si>
    <t xml:space="preserve">Gilpin Amendment 76 (CONSTITUTIONAL) </t>
  </si>
  <si>
    <t>'2-37-21</t>
  </si>
  <si>
    <t>Gilpin State Representative ‐ District 13 2‐47‐21 "Judy Amabile" "Kevin Sipple"</t>
  </si>
  <si>
    <t>'2-47-21</t>
  </si>
  <si>
    <t>Gilpin Gilpin County Commissioner ‐ District 1 2‐68‐24 "Web Sill" "Ronald E. Engels"</t>
  </si>
  <si>
    <t xml:space="preserve">Gilpin Gilpin County Commissioner - District 1 </t>
  </si>
  <si>
    <t>'2-68-24</t>
  </si>
  <si>
    <t>'"Web Sill</t>
  </si>
  <si>
    <t>'"Ronald E. Engels</t>
  </si>
  <si>
    <t>Gilpin Proposition 118 (STATUTORY) 2‐99‐10 "No/Against"</t>
  </si>
  <si>
    <t xml:space="preserve">Gilpin Proposition 118 (STATUTORY) </t>
  </si>
  <si>
    <t>'2-99-10</t>
  </si>
  <si>
    <t>Jefferson Proposition 118 (STATUTORY) 4‐7‐96 "Yes/For" "No/Against"</t>
  </si>
  <si>
    <t xml:space="preserve">Jefferson Proposition 118 (STATUTORY) </t>
  </si>
  <si>
    <t>'4-7-96</t>
  </si>
  <si>
    <t>Lake Amendment 76 (CONSTITUTIONAL) 2‐266‐2 "No/Against" "Yes/For"</t>
  </si>
  <si>
    <t xml:space="preserve">Lake Amendment 76 (CONSTITUTIONAL) </t>
  </si>
  <si>
    <t>'2-266-2</t>
  </si>
  <si>
    <t>Lake Lake County Court Judge ‐ Shamis 2‐266‐2 "Yes"</t>
  </si>
  <si>
    <t xml:space="preserve">Lake Lake County Court Judge - Shamis </t>
  </si>
  <si>
    <t>Mineral Amendment 77 (CONSTITUTIONAL) 1‐12‐10 "No/Against" "Yes/For"</t>
  </si>
  <si>
    <t xml:space="preserve">Mineral Amendment 77 (CONSTITUTIONAL) </t>
  </si>
  <si>
    <t>'1-12-10</t>
  </si>
  <si>
    <t>Mineral Amendment B (CONSTITUTIONAL) 1‐12‐10 "No/Against" "Yes/For"</t>
  </si>
  <si>
    <t xml:space="preserve">Mineral Amendment B (CONSTITUTIONAL) </t>
  </si>
  <si>
    <t>Mineral Amendment C (CONSTITUTIONAL) 1‐12‐10 "No/Against" "Yes/For"</t>
  </si>
  <si>
    <t xml:space="preserve">Mineral Amendment C (CONSTITUTIONAL) </t>
  </si>
  <si>
    <t>Mineral Colorado Court of Appeals Judge ‐ Tow 1‐12‐10 "Yes"</t>
  </si>
  <si>
    <t xml:space="preserve">Mineral Colorado Court of Appeals Judge - Tow </t>
  </si>
  <si>
    <t>Mineral Colorado Court of Appeals Judge ‐ Welling 1‐12‐10 "Yes"</t>
  </si>
  <si>
    <t xml:space="preserve">Mineral Colorado Court of Appeals Judge - Welling </t>
  </si>
  <si>
    <t>Mineral District Attorney ‐ 12th Judicial District 1‐12‐10 "Alonzo Christopher Payne"</t>
  </si>
  <si>
    <t xml:space="preserve">Mineral District Attorney - 12th Judicial District </t>
  </si>
  <si>
    <t>'"Alonzo Christopher Payne</t>
  </si>
  <si>
    <t>Mineral District Court Judge ‐ 12th Judicial District ‐ Gonzales 1‐12‐10 "Yes"</t>
  </si>
  <si>
    <t xml:space="preserve">Mineral District Court Judge - 12th Judicial District - Gonzales </t>
  </si>
  <si>
    <t>Mineral District Court Judge ‐ 12th Judicial District ‐ Hopkins 1‐12‐10 "No" "Yes"</t>
  </si>
  <si>
    <t xml:space="preserve">Mineral District Court Judge - 12th Judicial District - Hopkins </t>
  </si>
  <si>
    <t>Mineral Presidential Electors 1‐12‐10 "Donald J. Trump / Michael R. Pence" "Joseph R. Biden / Kamala D. Harris"</t>
  </si>
  <si>
    <t xml:space="preserve">Mineral Presidential Electors </t>
  </si>
  <si>
    <t>Mineral Proposition 113 (STATUTORY) 1‐12‐10 "No/Against" "Yes/For"</t>
  </si>
  <si>
    <t xml:space="preserve">Mineral Proposition 113 (STATUTORY) </t>
  </si>
  <si>
    <t>Mineral Proposition 114 (STATUTORY) 1‐12‐10 "No/Against" "Yes/For"</t>
  </si>
  <si>
    <t xml:space="preserve">Mineral Proposition 114 (STATUTORY) </t>
  </si>
  <si>
    <t>Mineral Proposition 118 (STATUTORY) 1‐12‐10 "No/Against" "Yes/For"</t>
  </si>
  <si>
    <t xml:space="preserve">Mineral Proposition 118 (STATUTORY) </t>
  </si>
  <si>
    <t>Mineral Representative to the 117th United States Congress ‐ District 3 1‐12‐10 "Lauren Boebert" "Diane E. Mitsch Bush"</t>
  </si>
  <si>
    <t xml:space="preserve">Mineral Representative to the 117th United States Congress - District 3 </t>
  </si>
  <si>
    <t>'"Lauren Boebert</t>
  </si>
  <si>
    <t>'"Diane E. Mitsch Bush</t>
  </si>
  <si>
    <t>Mineral State Board of Education Member ‐ Congressional District 3 1‐12‐10 "Joyce Rankin" "Mayling Simpson"</t>
  </si>
  <si>
    <t xml:space="preserve">Mineral State Board of Education Member - Congressional District 3 </t>
  </si>
  <si>
    <t>'"Joyce Rankin</t>
  </si>
  <si>
    <t>'"Mayling Simpson</t>
  </si>
  <si>
    <t>Mineral State Representative ‐ District 62 1‐12‐10 "Logan Taggart" "Donald E. Valdez"</t>
  </si>
  <si>
    <t xml:space="preserve">Mineral State Representative - District 62 </t>
  </si>
  <si>
    <t>'"Logan Taggart</t>
  </si>
  <si>
    <t>'"Donald E. Valdez</t>
  </si>
  <si>
    <t>Mineral State Senator ‐ District 35 1‐12‐10 "Cleave Simpson" "Carlos R. Lopez"</t>
  </si>
  <si>
    <t xml:space="preserve">Mineral State Senator - District 35 </t>
  </si>
  <si>
    <t>'"Cleave Simpson</t>
  </si>
  <si>
    <t>'"Carlos R. Lopez</t>
  </si>
  <si>
    <t>Mineral United States Senator 1‐12‐10 "Cory Gardner" "John W. Hickenlooper"</t>
  </si>
  <si>
    <t xml:space="preserve">Mineral United States Senator </t>
  </si>
  <si>
    <t>Mineral Amendment B (CONSTITUTIONAL) 1‐12‐3 "Yes/For" "No/Against"</t>
  </si>
  <si>
    <t>'1-12-3</t>
  </si>
  <si>
    <t>Mineral Amendment C (CONSTITUTIONAL) 1‐12‐3 "Yes/For" "No/Against"</t>
  </si>
  <si>
    <t>Mineral Colorado Court of Appeals Judge ‐ Welling 1‐12‐3 "Yes"</t>
  </si>
  <si>
    <t>Mineral Justice of the Colorado Supreme Court ‐ Hart 1‐12‐3 "No"</t>
  </si>
  <si>
    <t xml:space="preserve">Mineral Justice of the Colorado Supreme Court - Hart </t>
  </si>
  <si>
    <t>Mineral Justice of the Colorado Supreme Court ‐ Samour 1‐12‐3 "Yes"</t>
  </si>
  <si>
    <t xml:space="preserve">Mineral Justice of the Colorado Supreme Court - Samour </t>
  </si>
  <si>
    <t>Mineral Proposition 117 (STATUTORY) 1‐12‐3 "No/Against" "Yes/For"</t>
  </si>
  <si>
    <t xml:space="preserve">Mineral Proposition 117 (STATUTORY) </t>
  </si>
  <si>
    <t>Mineral State Representative ‐ District 62 1‐12‐3 "Donald E. Valdez" "Logan Taggart"</t>
  </si>
  <si>
    <t>Moffat Presidential Electors 1‐310‐2 "Donald J. Trump / Michael R. Pence"</t>
  </si>
  <si>
    <t xml:space="preserve">Moffat Presidential Electors </t>
  </si>
  <si>
    <t>'1-310-2</t>
  </si>
  <si>
    <t>Moffat United States Senator 1‐310‐2 "Cory Gardner"</t>
  </si>
  <si>
    <t xml:space="preserve">Moffat United States Senator </t>
  </si>
  <si>
    <t>Moffat City of Craig Ballot Question 2B 1‐58‐11 "Yes/For"</t>
  </si>
  <si>
    <t xml:space="preserve">Moffat City of Craig Ballot Question 2B </t>
  </si>
  <si>
    <t>'1-58-11</t>
  </si>
  <si>
    <t>Montezuma Proposition 114 (STATUTORY) 2‐503‐3 "No/Against" "Yes/For"</t>
  </si>
  <si>
    <t xml:space="preserve">Montezuma Proposition 114 (STATUTORY) </t>
  </si>
  <si>
    <t>'2-503-3</t>
  </si>
  <si>
    <t>Montezuma Colorado Court of Appeals Judge ‐ Welling 2‐606‐18 "Yes"</t>
  </si>
  <si>
    <t xml:space="preserve">Montezuma Colorado Court of Appeals Judge - Welling </t>
  </si>
  <si>
    <t>'2-606-18</t>
  </si>
  <si>
    <t>Montezuma Amendment 77 (CONSTITUTIONAL) 2‐143‐18 "Yes/For" "No/Against"</t>
  </si>
  <si>
    <t xml:space="preserve">Montezuma Amendment 77 (CONSTITUTIONAL) </t>
  </si>
  <si>
    <t>'2-143-18</t>
  </si>
  <si>
    <t>Montezuma Amendment B (CONSTITUTIONAL) 2‐143‐18 "Yes/For" "No/Against"</t>
  </si>
  <si>
    <t xml:space="preserve">Montezuma Amendment B (CONSTITUTIONAL) </t>
  </si>
  <si>
    <t>Montezuma Amendment C (CONSTITUTIONAL) 2‐143‐18 "Yes/For" "No/Against"</t>
  </si>
  <si>
    <t xml:space="preserve">Montezuma Amendment C (CONSTITUTIONAL) </t>
  </si>
  <si>
    <t>Montezuma Colorado Court of Appeals Judge ‐ Tow 2‐143‐18 "Yes"</t>
  </si>
  <si>
    <t xml:space="preserve">Montezuma Colorado Court of Appeals Judge - Tow </t>
  </si>
  <si>
    <t>Montezuma Colorado Court of Appeals Judge ‐ Welling 2‐143‐18 "Yes"</t>
  </si>
  <si>
    <t>Montezuma Justice of the Colorado Supreme Court ‐ Hart 2‐143‐18 "Yes"</t>
  </si>
  <si>
    <t xml:space="preserve">Montezuma Justice of the Colorado Supreme Court - Hart </t>
  </si>
  <si>
    <t>Montezuma Justice of the Colorado Supreme Court ‐ Samour 2‐143‐18 "Yes"</t>
  </si>
  <si>
    <t xml:space="preserve">Montezuma Justice of the Colorado Supreme Court - Samour </t>
  </si>
  <si>
    <t>Montezuma Proposition 115 (STATUTORY) 2‐143‐18 "Yes/For" "No/Against"</t>
  </si>
  <si>
    <t xml:space="preserve">Montezuma Proposition 115 (STATUTORY) </t>
  </si>
  <si>
    <t>Montezuma Proposition EE (STATUTORY) 2‐143‐18 "No/Against" "Yes/For"</t>
  </si>
  <si>
    <t xml:space="preserve">Montezuma Proposition EE (STATUTORY) </t>
  </si>
  <si>
    <t>Park Amendment 77 (CONSTITUTIONAL) 2‐339‐20 "Yes/For" "No/Against"</t>
  </si>
  <si>
    <t xml:space="preserve">Park Amendment 77 (CONSTITUTIONAL) </t>
  </si>
  <si>
    <t>'2-339-20</t>
  </si>
  <si>
    <t>Park State Representative ‐ District 60 2‐472‐11 "Ron Hanks" "Lori Boydston"</t>
  </si>
  <si>
    <t xml:space="preserve">Park State Representative - District 60 </t>
  </si>
  <si>
    <t>'2-472-11</t>
  </si>
  <si>
    <t>'"Ron Hanks</t>
  </si>
  <si>
    <t>'"Lori Boydston</t>
  </si>
  <si>
    <t>Park Park County Ballot Question 1A 2‐529‐7 "No/Against"</t>
  </si>
  <si>
    <t xml:space="preserve">Park Park County Ballot Question 1A </t>
  </si>
  <si>
    <t>'2-529-7</t>
  </si>
  <si>
    <t>Park Proposition 116 (STATUTORY) 2‐529‐7 "No/Against"</t>
  </si>
  <si>
    <t xml:space="preserve">Park Proposition 116 (STATUTORY) </t>
  </si>
  <si>
    <t>Park Proposition 117 (STATUTORY) 2‐529‐7 "No/Against"</t>
  </si>
  <si>
    <t xml:space="preserve">Park Proposition 117 (STATUTORY) </t>
  </si>
  <si>
    <t>Park Proposition 118 (STATUTORY) 2‐529‐7 "No/Against"</t>
  </si>
  <si>
    <t xml:space="preserve">Park Proposition 118 (STATUTORY) </t>
  </si>
  <si>
    <t>Pueblo Presidential Electors 101‐1039‐10 "Joseph R. Biden / Kamala D. Harris"</t>
  </si>
  <si>
    <t>Pueblo Presidential Electors 10</t>
  </si>
  <si>
    <t>'1-1039-10</t>
  </si>
  <si>
    <t>Pueblo Pueblo County Commissioner ‐ District 1 101‐1031‐1 "Adolph Vigil"</t>
  </si>
  <si>
    <t>Pueblo Pueblo County Commissioner - District 1 10</t>
  </si>
  <si>
    <t>'1-1031-1</t>
  </si>
  <si>
    <t>'"Adolph Vigil</t>
  </si>
  <si>
    <t>Pueblo Proposition 118 (STATUTORY) 201‐312‐44 "Yes/For"</t>
  </si>
  <si>
    <t>Pueblo Proposition 118 (STATUTORY) 20</t>
  </si>
  <si>
    <t>'1-312-44</t>
  </si>
  <si>
    <t>Rio Grande Amendment C (CONSTITUTIONAL) 2‐26‐24 "No/Against"</t>
  </si>
  <si>
    <t xml:space="preserve">Rio Grande Amendment C (CONSTITUTIONAL) </t>
  </si>
  <si>
    <t>'2-26-24</t>
  </si>
  <si>
    <t>Saguache District Attorney ‐ 12th Judicial District 2‐134‐7 "Alonzo Christopher Payne"</t>
  </si>
  <si>
    <t xml:space="preserve">Saguache District Attorney - 12th Judicial District </t>
  </si>
  <si>
    <t>'2-134-7</t>
  </si>
  <si>
    <t>San Miguel San Miguel County Commissioner ‐ District 3 2‐111‐2 "C."Kieffer" Parrino" "Chris "Kieffer" Parrino"</t>
  </si>
  <si>
    <t xml:space="preserve">San Miguel San Miguel County Commissioner - District 3 </t>
  </si>
  <si>
    <t>'2-111-2</t>
  </si>
  <si>
    <t>'"C.</t>
  </si>
  <si>
    <t>'"Kieffer</t>
  </si>
  <si>
    <t>'" Parrino</t>
  </si>
  <si>
    <t xml:space="preserve">'"Chris </t>
  </si>
  <si>
    <t>San Miguel San Miguel County Commissioner ‐ District 3 2‐200‐8 "C."Kieffer" Parrino" "Chris "Kieffer" Parrino"</t>
  </si>
  <si>
    <t>'2-200-8</t>
  </si>
  <si>
    <t>Sedgwick United States Senator 1‐34‐7 "Cory Gardner" "John W. Hickenlooper"</t>
  </si>
  <si>
    <t xml:space="preserve">Sedgwick United States Senator </t>
  </si>
  <si>
    <t>'1-34-7</t>
  </si>
  <si>
    <t>Sedgwick Proposition EE (STATUTORY) 1‐37‐8 "Yes/For" "No/Against"</t>
  </si>
  <si>
    <t xml:space="preserve">Sedgwick Proposition EE (STATUTORY) </t>
  </si>
  <si>
    <t>'1-37-8</t>
  </si>
  <si>
    <t>Sedgwick United States Senator 1‐31‐4 "Cory Gardner"</t>
  </si>
  <si>
    <t>'1-31-4</t>
  </si>
  <si>
    <t xml:space="preserve"> https://www.sos.state.co.us/pubs/elections/RLA/2020/general/DiscrepancyReport.pdf</t>
  </si>
  <si>
    <t>2020G county_name contest_name imprinted_id choice_per_voting_computer audit_board_selection</t>
  </si>
  <si>
    <t>Vote Type (FOR=1,AGAINST=2)</t>
  </si>
  <si>
    <t>Candidate Name, sort by election, county, office, district, total votes (descending)</t>
  </si>
  <si>
    <t>Party</t>
  </si>
  <si>
    <t>candidate total</t>
  </si>
  <si>
    <t>MD_2020g</t>
  </si>
  <si>
    <t>Brynja M. Booth</t>
  </si>
  <si>
    <t>BOT</t>
  </si>
  <si>
    <t>Jonathan Biran</t>
  </si>
  <si>
    <t>Mary Ellen Barbera</t>
  </si>
  <si>
    <t>Christopher B. Kehoe</t>
  </si>
  <si>
    <t>Kathryn Grill Graeff</t>
  </si>
  <si>
    <t>Steven B. Gould</t>
  </si>
  <si>
    <t>E. Gregory Wells</t>
  </si>
  <si>
    <t>Joe Biden</t>
  </si>
  <si>
    <t>Other Write-Ins</t>
  </si>
  <si>
    <t>Howie Gresham Hawkins</t>
  </si>
  <si>
    <t>Jerome M. Segal</t>
  </si>
  <si>
    <t>BAR</t>
  </si>
  <si>
    <t>Kanye West</t>
  </si>
  <si>
    <t>OTH</t>
  </si>
  <si>
    <t>Jade Simmons</t>
  </si>
  <si>
    <t xml:space="preserve">Gloria La Riva </t>
  </si>
  <si>
    <t>UNF</t>
  </si>
  <si>
    <t>Albert Raley</t>
  </si>
  <si>
    <t>Roque Rocky De La Fuente</t>
  </si>
  <si>
    <t>Barbara Bellar</t>
  </si>
  <si>
    <t>Shawn Howard</t>
  </si>
  <si>
    <t>Todd Cella</t>
  </si>
  <si>
    <t>Tom Hoefling</t>
  </si>
  <si>
    <t>Phil Collins</t>
  </si>
  <si>
    <t>Dennis Andrew Ball</t>
  </si>
  <si>
    <t>Deborah Rouse</t>
  </si>
  <si>
    <t>Kasey Wells</t>
  </si>
  <si>
    <t>President Boddie</t>
  </si>
  <si>
    <t>Peter W. Sherrill</t>
  </si>
  <si>
    <t>Benjamin Schwalb</t>
  </si>
  <si>
    <t>Johnson Lee</t>
  </si>
  <si>
    <t>Sharon Wallace</t>
  </si>
  <si>
    <t>Mary Ruth Caro Simmons</t>
  </si>
  <si>
    <t>Ryan Ehrenreich</t>
  </si>
  <si>
    <t>Randall Foltyniewkz</t>
  </si>
  <si>
    <t>Susan B. Lochocki</t>
  </si>
  <si>
    <t>Edward Shlikas</t>
  </si>
  <si>
    <t>Andy Harris</t>
  </si>
  <si>
    <t>Mia Mason</t>
  </si>
  <si>
    <t>C.A. Dutch Ruppersberger</t>
  </si>
  <si>
    <t>Johnny Ray Salling</t>
  </si>
  <si>
    <t>John Sarbanes</t>
  </si>
  <si>
    <t>Charles Anthony</t>
  </si>
  <si>
    <t>Anthony G. Brown</t>
  </si>
  <si>
    <t>George E. McDermott</t>
  </si>
  <si>
    <t>Steny H. Hoyer</t>
  </si>
  <si>
    <t>Chris Palombi</t>
  </si>
  <si>
    <t>David J. Trone</t>
  </si>
  <si>
    <t>Neil C. Parrott</t>
  </si>
  <si>
    <t>George Gluck</t>
  </si>
  <si>
    <t>Jason Herrick</t>
  </si>
  <si>
    <t>Kweisi Mfume</t>
  </si>
  <si>
    <t>Kimberly Klacik</t>
  </si>
  <si>
    <t>Charles U. Smith</t>
  </si>
  <si>
    <t>Ray Bly</t>
  </si>
  <si>
    <t>Jamie Raskin</t>
  </si>
  <si>
    <t>Gregory Thomas Coll</t>
  </si>
  <si>
    <t>Lih Young</t>
  </si>
  <si>
    <t>Crystal M. Bender</t>
  </si>
  <si>
    <t>Tammy Fraley</t>
  </si>
  <si>
    <t>David A. Bohn</t>
  </si>
  <si>
    <t>Edward L. Root</t>
  </si>
  <si>
    <t>Linda M. Widmyer</t>
  </si>
  <si>
    <t>Stephen M. Lewis</t>
  </si>
  <si>
    <t>Eugene Thomas Frazier</t>
  </si>
  <si>
    <t>Laurie Peskin Marchini</t>
  </si>
  <si>
    <t>Sylvester Young, III</t>
  </si>
  <si>
    <t>Robin Hood Constitution</t>
  </si>
  <si>
    <t>Robert A. Silkworth</t>
  </si>
  <si>
    <t>Raleigh Turnage, Jr.</t>
  </si>
  <si>
    <t>Corine Frank</t>
  </si>
  <si>
    <t>Ken Baughman</t>
  </si>
  <si>
    <t>Joanna Bache Tobin</t>
  </si>
  <si>
    <t>India L. Ochs</t>
  </si>
  <si>
    <t>Elizabeth Morris</t>
  </si>
  <si>
    <t>Pamela Alban</t>
  </si>
  <si>
    <t>Rob Thompson</t>
  </si>
  <si>
    <t>Richard Trunnell</t>
  </si>
  <si>
    <t>Bill Henry</t>
  </si>
  <si>
    <t>Althea M. Handy</t>
  </si>
  <si>
    <t>Sylvester Cox</t>
  </si>
  <si>
    <t>Robert Taylor</t>
  </si>
  <si>
    <t>Gregory Sampson</t>
  </si>
  <si>
    <t>Anthony F. Vittoria</t>
  </si>
  <si>
    <t>Brandon M. Scott</t>
  </si>
  <si>
    <t>Bob Wallace</t>
  </si>
  <si>
    <t>Shannon Wright</t>
  </si>
  <si>
    <t>David Harding</t>
  </si>
  <si>
    <t>WCP</t>
  </si>
  <si>
    <t>Steven H. Smith</t>
  </si>
  <si>
    <t>Zeke Cohen</t>
  </si>
  <si>
    <t>Donna L Rzepka</t>
  </si>
  <si>
    <t>Danielle McCray</t>
  </si>
  <si>
    <t>Brendon Joyner-El</t>
  </si>
  <si>
    <t>Ryan Dorsey</t>
  </si>
  <si>
    <t>David Marshall Wright</t>
  </si>
  <si>
    <t>Mark Conway</t>
  </si>
  <si>
    <t>John Richard Perkins</t>
  </si>
  <si>
    <t>Isaac Yitzy Schleifer</t>
  </si>
  <si>
    <t>Maria Mandela Vismale</t>
  </si>
  <si>
    <t>Sharon Green Middleton</t>
  </si>
  <si>
    <t>Michelle Y. Andrews</t>
  </si>
  <si>
    <t>James Torrence</t>
  </si>
  <si>
    <t>Christopher M. Anderson</t>
  </si>
  <si>
    <t>Kristerfer Burnett</t>
  </si>
  <si>
    <t>John T. Bullock</t>
  </si>
  <si>
    <t>Phylicia Porter</t>
  </si>
  <si>
    <t>Michael W. Nolet</t>
  </si>
  <si>
    <t>Eric Costello</t>
  </si>
  <si>
    <t>Robert Stokes, Sr.</t>
  </si>
  <si>
    <t>Franca Muller</t>
  </si>
  <si>
    <t>Eugene Z. Boikai</t>
  </si>
  <si>
    <t>Antonio Tony Glover</t>
  </si>
  <si>
    <t>Odette Ramos</t>
  </si>
  <si>
    <t>Charles A. Long</t>
  </si>
  <si>
    <t>Nick Mosby</t>
  </si>
  <si>
    <t>Jovani M. Patterson</t>
  </si>
  <si>
    <t>Vicki Ballou-Watts</t>
  </si>
  <si>
    <t>Andrew Martin Battista</t>
  </si>
  <si>
    <t>Dawn C. Balinski</t>
  </si>
  <si>
    <t>Chad Leo</t>
  </si>
  <si>
    <t>Antoine White</t>
  </si>
  <si>
    <t>Dawn Keen</t>
  </si>
  <si>
    <t>Jana Smith Post</t>
  </si>
  <si>
    <t>Inez N. Claggett</t>
  </si>
  <si>
    <t>Tiffany Thompson</t>
  </si>
  <si>
    <t>Andrew S. Rappaport</t>
  </si>
  <si>
    <t>Mark W. Carmean</t>
  </si>
  <si>
    <t>Donna Louise DiGiacomo</t>
  </si>
  <si>
    <t>Bryan C. Ebling</t>
  </si>
  <si>
    <t>David Porter</t>
  </si>
  <si>
    <t>Richard P. Barton</t>
  </si>
  <si>
    <t>Paul Schoonover</t>
  </si>
  <si>
    <t>Donna Sivigny</t>
  </si>
  <si>
    <t>Marsha B. Herbert</t>
  </si>
  <si>
    <t>Virginia R. Harrison</t>
  </si>
  <si>
    <t>Stephanie R. Brooks</t>
  </si>
  <si>
    <t>Richard R. Titus</t>
  </si>
  <si>
    <t>Laura Morton</t>
  </si>
  <si>
    <t>Dianne Racine Heath</t>
  </si>
  <si>
    <t>Sam Davis</t>
  </si>
  <si>
    <t>Tierney Farlan Davis</t>
  </si>
  <si>
    <t>Bob Meffley</t>
  </si>
  <si>
    <t>Jackie Gregory</t>
  </si>
  <si>
    <t>Danielle Hornberger</t>
  </si>
  <si>
    <t>Jeff Kase</t>
  </si>
  <si>
    <t>Makeba Gibbs</t>
  </si>
  <si>
    <t>Patrick Devine</t>
  </si>
  <si>
    <t>Mike D. Diaz</t>
  </si>
  <si>
    <t>Phil Bramble</t>
  </si>
  <si>
    <t>Susan Morgan</t>
  </si>
  <si>
    <t>Philip W. Rice</t>
  </si>
  <si>
    <t>Laura Hill Layton</t>
  </si>
  <si>
    <t>Voncia L. Molock</t>
  </si>
  <si>
    <t>Sue Johnson</t>
  </si>
  <si>
    <t>Jason Mr. J Johnson</t>
  </si>
  <si>
    <t>David Bass</t>
  </si>
  <si>
    <t>Rae M. Gallagher</t>
  </si>
  <si>
    <t>Lois Jarman</t>
  </si>
  <si>
    <t>Dean Rose</t>
  </si>
  <si>
    <t>Paulette Anders</t>
  </si>
  <si>
    <t>Theresa M. Adams</t>
  </si>
  <si>
    <t>Jason E. VanSickle</t>
  </si>
  <si>
    <t>Tom Woods</t>
  </si>
  <si>
    <t>Suzanne B. Sincell</t>
  </si>
  <si>
    <t>Christina Delmont-Small</t>
  </si>
  <si>
    <t>Matthew D. Molyett</t>
  </si>
  <si>
    <t>Antonia Barkley Watts</t>
  </si>
  <si>
    <t>Larry Pretlow, II</t>
  </si>
  <si>
    <t>Jolene Mosley</t>
  </si>
  <si>
    <t>Tom Heffner</t>
  </si>
  <si>
    <t>Jen Mallo</t>
  </si>
  <si>
    <t>Sezin Palmer</t>
  </si>
  <si>
    <t>Julie Hotopp</t>
  </si>
  <si>
    <t>Yun Lu</t>
  </si>
  <si>
    <t>Cindy Vaillancourt</t>
  </si>
  <si>
    <t>Quincy L. Coleman</t>
  </si>
  <si>
    <t>John J. Kuchno</t>
  </si>
  <si>
    <t>Joe Goetz</t>
  </si>
  <si>
    <t>Francoise Sullivan</t>
  </si>
  <si>
    <t>Rebecca K. Smondrowski</t>
  </si>
  <si>
    <t>Michael Fryar</t>
  </si>
  <si>
    <t>Shebra Evans</t>
  </si>
  <si>
    <t>Steve Solomon</t>
  </si>
  <si>
    <t>Lynne Harris</t>
  </si>
  <si>
    <t>Sunil Dasgupta</t>
  </si>
  <si>
    <t>Bibi M. Berry</t>
  </si>
  <si>
    <t>David A. Boynton</t>
  </si>
  <si>
    <t>Michael Joseph McAuliffe</t>
  </si>
  <si>
    <t>Christopher C. Fogleman</t>
  </si>
  <si>
    <t>Marylin Pierre</t>
  </si>
  <si>
    <t>Thomas P. Johnson, III</t>
  </si>
  <si>
    <t>David H. Murray</t>
  </si>
  <si>
    <t>Shayla Adams-Stafford</t>
  </si>
  <si>
    <t>Bryan M. Swann</t>
  </si>
  <si>
    <t>Raaheela Ahmed</t>
  </si>
  <si>
    <t>Kenneth F. Harris, II</t>
  </si>
  <si>
    <t>Alexis Nicole Branch</t>
  </si>
  <si>
    <t>Edward Burroughs, III</t>
  </si>
  <si>
    <t>Gary Lee Falls</t>
  </si>
  <si>
    <t>Gladys Weatherspoon</t>
  </si>
  <si>
    <t>Wytonja Curry</t>
  </si>
  <si>
    <t>ShaRon M. Grayson Kelsey</t>
  </si>
  <si>
    <t>Cathy H. Serrette</t>
  </si>
  <si>
    <t>April T. Ademiluyi</t>
  </si>
  <si>
    <t>Jared Michael McCarthy</t>
  </si>
  <si>
    <t>Richard Dick Smith</t>
  </si>
  <si>
    <t>Helen Bennett</t>
  </si>
  <si>
    <t>Pamela Turner-Tingle</t>
  </si>
  <si>
    <t>Buffy Cromwell</t>
  </si>
  <si>
    <t>Schif Schifanelli</t>
  </si>
  <si>
    <t>Nikki Kennedy</t>
  </si>
  <si>
    <t>Mark Anderson</t>
  </si>
  <si>
    <t>Sean Foley</t>
  </si>
  <si>
    <t>Carla Lynn Knight</t>
  </si>
  <si>
    <t>Jim Davis</t>
  </si>
  <si>
    <t>Heather Marin Earhart</t>
  </si>
  <si>
    <t>Mary M. Washington</t>
  </si>
  <si>
    <t>Cathy Allen</t>
  </si>
  <si>
    <t>Deforest Rathbone</t>
  </si>
  <si>
    <t>Joseph Michael Stanalonis</t>
  </si>
  <si>
    <t>Caleb Shores</t>
  </si>
  <si>
    <t>William Billy Walters</t>
  </si>
  <si>
    <t>Troy Brittingham, Jr.</t>
  </si>
  <si>
    <t>Matthew Warren Lankford</t>
  </si>
  <si>
    <t>Candace Henry</t>
  </si>
  <si>
    <t>Susan Delean-Botkin</t>
  </si>
  <si>
    <t>Mary E. Wheeler</t>
  </si>
  <si>
    <t>Melissa Williams</t>
  </si>
  <si>
    <t>Stan Stouffer</t>
  </si>
  <si>
    <t>Pieter Bickford</t>
  </si>
  <si>
    <t>April A. Zentmeyer</t>
  </si>
  <si>
    <t>William Bill Donahue</t>
  </si>
  <si>
    <t>Benjamin Forrest</t>
  </si>
  <si>
    <t>Ladetra Robinson</t>
  </si>
  <si>
    <t>DARRELL EVANS</t>
  </si>
  <si>
    <t>Tiara Burnett</t>
  </si>
  <si>
    <t>Kristin B. Aleshire</t>
  </si>
  <si>
    <t>Tekesha A. Martinez</t>
  </si>
  <si>
    <t>Shelley McIntire</t>
  </si>
  <si>
    <t>Bob Bruchey</t>
  </si>
  <si>
    <t>Peter E. Perini, Sr.</t>
  </si>
  <si>
    <t>Brooke Grossman</t>
  </si>
  <si>
    <t>Penny May Nigh</t>
  </si>
  <si>
    <t>Austin Heffernan</t>
  </si>
  <si>
    <t>Brenda J. Thiam</t>
  </si>
  <si>
    <t>Andrew F. Wilkinson</t>
  </si>
  <si>
    <t>Emily Keller</t>
  </si>
  <si>
    <t>Michael E. Barnes</t>
  </si>
  <si>
    <t>Tonya Laird Lewis</t>
  </si>
  <si>
    <t>Nicole Acle</t>
  </si>
  <si>
    <t>Alexander Scott</t>
  </si>
  <si>
    <t>Donald C. Smack, Sr.</t>
  </si>
  <si>
    <t>Rodney K. Bailey</t>
  </si>
  <si>
    <t>Jon Michael Andes</t>
  </si>
  <si>
    <t>Angie Phukan Chatelle</t>
  </si>
  <si>
    <t>Elena McComas</t>
  </si>
  <si>
    <t>MD_2020g~Cnty0:Judge Court of Appeals*1(vote 1)</t>
  </si>
  <si>
    <t>MD_2020g~Cnty0:Judge Court of Appeals*5(vote 1)</t>
  </si>
  <si>
    <t>MD_2020g~Cnty0:Judge Court of Appeals*7(vote 1)</t>
  </si>
  <si>
    <t>MD_2020g~Cnty0:Judge Special Appeals*1(vote 1)</t>
  </si>
  <si>
    <t>MD_2020g~Cnty0:Judge Special Appeals*3(vote 1)</t>
  </si>
  <si>
    <t>MD_2020g~Cnty0:Judge Special Appeals*7(vote 1)</t>
  </si>
  <si>
    <t>MD_2020g~Cnty0:Judge Special Appeals At Large*(vote 1)</t>
  </si>
  <si>
    <t>MD_2020g~Cnty0:President - Vice Pres*(vote 1)</t>
  </si>
  <si>
    <t>MD_2020g~Cnty0:Representative in Congress*1(vote 1)</t>
  </si>
  <si>
    <t>MD_2020g~Cnty0:Representative in Congress*2(vote 1)</t>
  </si>
  <si>
    <t>MD_2020g~Cnty0:Representative in Congress*3(vote 1)</t>
  </si>
  <si>
    <t>MD_2020g~Cnty0:Representative in Congress*4(vote 1)</t>
  </si>
  <si>
    <t>MD_2020g~Cnty0:Representative in Congress*5(vote 1)</t>
  </si>
  <si>
    <t>MD_2020g~Cnty0:Representative in Congress*6(vote 1)</t>
  </si>
  <si>
    <t>MD_2020g~Cnty0:Representative in Congress*7(vote 1)</t>
  </si>
  <si>
    <t>MD_2020g~Cnty0:Representative in Congress*8(vote 1)</t>
  </si>
  <si>
    <t>MD_2020g~Cnty1:Board of Education*(vote 3)</t>
  </si>
  <si>
    <t>MD_2020g~Cnty1:Council - City of Cumberland*CU(vote 2)</t>
  </si>
  <si>
    <t>MD_2020g~Cnty2:Board of Education*2(vote 1)</t>
  </si>
  <si>
    <t>MD_2020g~Cnty2:Board of Education*3(vote 1)</t>
  </si>
  <si>
    <t>MD_2020g~Cnty2:Board of Education*6(vote 1)</t>
  </si>
  <si>
    <t>MD_2020g~Cnty2:Judge of the Circuit Court*5(vote 4)</t>
  </si>
  <si>
    <t>MD_2020g~Cnty3:Comptroller*(vote 1)</t>
  </si>
  <si>
    <t>MD_2020g~Cnty3:Judge of the Circuit Court*8(vote 5)</t>
  </si>
  <si>
    <t>MD_2020g~Cnty3:Mayor*(vote 1)</t>
  </si>
  <si>
    <t>MD_2020g~Cnty3:Member City Council*1(vote 1)</t>
  </si>
  <si>
    <t>MD_2020g~Cnty3:Member City Council*2(vote 1)</t>
  </si>
  <si>
    <t>MD_2020g~Cnty3:Member City Council*3(vote 1)</t>
  </si>
  <si>
    <t>MD_2020g~Cnty3:Member City Council*4(vote 1)</t>
  </si>
  <si>
    <t>MD_2020g~Cnty3:Member City Council*5(vote 1)</t>
  </si>
  <si>
    <t>MD_2020g~Cnty3:Member City Council*6(vote 1)</t>
  </si>
  <si>
    <t>MD_2020g~Cnty3:Member City Council*7(vote 1)</t>
  </si>
  <si>
    <t>MD_2020g~Cnty3:Member City Council*8(vote 1)</t>
  </si>
  <si>
    <t>MD_2020g~Cnty3:Member City Council*9(vote 1)</t>
  </si>
  <si>
    <t>MD_2020g~Cnty3:Member City Council*10(vote 1)</t>
  </si>
  <si>
    <t>MD_2020g~Cnty3:Member City Council*11(vote 1)</t>
  </si>
  <si>
    <t>MD_2020g~Cnty3:Member City Council*12(vote 1)</t>
  </si>
  <si>
    <t>MD_2020g~Cnty3:Member City Council*13(vote 1)</t>
  </si>
  <si>
    <t>MD_2020g~Cnty3:Member City Council*14(vote 1)</t>
  </si>
  <si>
    <t>MD_2020g~Cnty3:President City Council*(vote 1)</t>
  </si>
  <si>
    <t>MD_2020g~Cnty4:Judge of the Circuit Court*3(vote 2)</t>
  </si>
  <si>
    <t>MD_2020g~Cnty5:Board of Education*1(vote 1)</t>
  </si>
  <si>
    <t>MD_2020g~Cnty5:Board of Education*2(vote 1)</t>
  </si>
  <si>
    <t>MD_2020g~Cnty5:Board of Education*3(vote 1)</t>
  </si>
  <si>
    <t>MD_2020g~Cnty5:Judge of the Circuit Court*7(vote 2)</t>
  </si>
  <si>
    <t>MD_2020g~Cnty6:Board of Education*1(vote 1)</t>
  </si>
  <si>
    <t>MD_2020g~Cnty6:Board of Education*2(vote 1)</t>
  </si>
  <si>
    <t>MD_2020g~Cnty7:Board of Education*(vote 2)</t>
  </si>
  <si>
    <t>MD_2020g~Cnty7:Judge of the Circuit Court*5(vote 1)</t>
  </si>
  <si>
    <t>MD_2020g~Cnty8:Board of Education*1(vote 1)</t>
  </si>
  <si>
    <t>MD_2020g~Cnty8:Board of Education*2(vote 1)</t>
  </si>
  <si>
    <t>MD_2020g~Cnty8:County Council*1(vote 1)</t>
  </si>
  <si>
    <t>MD_2020g~Cnty8:County Council*5(vote 1)</t>
  </si>
  <si>
    <t>MD_2020g~Cnty8:County Executive*(vote 1)</t>
  </si>
  <si>
    <t>MD_2020g~Cnty9:Judge of the Circuit Court*7(vote 1)</t>
  </si>
  <si>
    <t>MD_2020g~Cnty10:Board of Education*1(vote 1)</t>
  </si>
  <si>
    <t>MD_2020g~Cnty10:Board of Education*3(vote 1)</t>
  </si>
  <si>
    <t>MD_2020g~Cnty10:Board of Education*5(vote 1)</t>
  </si>
  <si>
    <t>MD_2020g~Cnty11:Board of Education*(vote 3)</t>
  </si>
  <si>
    <t>MD_2020g~Cnty11:Judge of the Circuit Court*6(vote 1)</t>
  </si>
  <si>
    <t>MD_2020g~Cnty12:Board of Education At Large*(vote 2)</t>
  </si>
  <si>
    <t>MD_2020g~Cnty14:Board of Education*1(vote 1)</t>
  </si>
  <si>
    <t>MD_2020g~Cnty14:Board of Education*2(vote 1)</t>
  </si>
  <si>
    <t>MD_2020g~Cnty14:Board of Education*3(vote 1)</t>
  </si>
  <si>
    <t>MD_2020g~Cnty14:Board of Education*4(vote 1)</t>
  </si>
  <si>
    <t>MD_2020g~Cnty14:Board of Education*5(vote 1)</t>
  </si>
  <si>
    <t>MD_2020g~Cnty14:Judge of the Circuit Court*5(vote 1)</t>
  </si>
  <si>
    <t>MD_2020g~Cnty15:Board of Education*(vote 2)</t>
  </si>
  <si>
    <t>MD_2020g~Cnty16:Board of Education*2(vote 1)</t>
  </si>
  <si>
    <t>MD_2020g~Cnty16:Board of Education*4(vote 1)</t>
  </si>
  <si>
    <t>MD_2020g~Cnty16:Board of Education At Large*(vote 1)</t>
  </si>
  <si>
    <t>MD_2020g~Cnty16:Judge of the Circuit Court*6(vote 4)</t>
  </si>
  <si>
    <t>MD_2020g~Cnty17:Board of Education*1(vote 1)</t>
  </si>
  <si>
    <t>MD_2020g~Cnty17:Board of Education*4(vote 1)</t>
  </si>
  <si>
    <t>MD_2020g~Cnty17:Board of Education*5(vote 1)</t>
  </si>
  <si>
    <t>MD_2020g~Cnty17:Board of Education*7(vote 1)</t>
  </si>
  <si>
    <t>MD_2020g~Cnty17:Board of Education*8(vote 1)</t>
  </si>
  <si>
    <t>MD_2020g~Cnty17:Judge of the Circuit Court*7(vote 5)</t>
  </si>
  <si>
    <t>MD_2020g~Cnty18:Board of Education*2(vote 1)</t>
  </si>
  <si>
    <t>MD_2020g~Cnty18:Board of Education*3(vote 1)</t>
  </si>
  <si>
    <t>MD_2020g~Cnty18:Board of Education*4(vote 1)</t>
  </si>
  <si>
    <t>MD_2020g~Cnty18:Judge of the Circuit Court*2(vote 1)</t>
  </si>
  <si>
    <t>MD_2020g~Cnty19:Board of Education*2(vote 1)</t>
  </si>
  <si>
    <t>MD_2020g~Cnty19:Board of Education*4(vote 1)</t>
  </si>
  <si>
    <t>MD_2020g~Cnty19:Board of Education At Large*(vote 1)</t>
  </si>
  <si>
    <t>MD_2020g~Cnty19:Judge of the Circuit Court*7(vote 1)</t>
  </si>
  <si>
    <t>MD_2020g~Cnty20:Board of Education*2(vote 1)</t>
  </si>
  <si>
    <t>MD_2020g~Cnty20:Board of Education*4(vote 1)</t>
  </si>
  <si>
    <t>MD_2020g~Cnty21:Board of Education*2(vote 1)</t>
  </si>
  <si>
    <t>MD_2020g~Cnty21:Board of Education*5(vote 1)</t>
  </si>
  <si>
    <t>MD_2020g~Cnty21:Board of Education*6(vote 1)</t>
  </si>
  <si>
    <t>MD_2020g~Cnty22:Board of Education*(vote 4)</t>
  </si>
  <si>
    <t>MD_2020g~Cnty22:Hagerstown Council*HG(vote 5)</t>
  </si>
  <si>
    <t>MD_2020g~Cnty22:Judge of the Circuit Court*4(vote 1)</t>
  </si>
  <si>
    <t>MD_2020g~Cnty22:Mayor of Hagerstown*HG(vote 1)</t>
  </si>
  <si>
    <t>MD_2020g~Cnty23:Board of Education*3(vote 1)</t>
  </si>
  <si>
    <t>MD_2020g~Cnty23:County Council*2(vote 1)</t>
  </si>
  <si>
    <t>MD_2020g~Cnty24:Board of Education*2(vote 1)</t>
  </si>
  <si>
    <t>MD_2020g~Cnty24:Board of Education*3(vote 1)</t>
  </si>
  <si>
    <t>MD_2020g~Cnty24:Board of Education*5(vote 1)</t>
  </si>
  <si>
    <t>As percent of sample</t>
  </si>
  <si>
    <t>Human Error, Tallying during  RLA</t>
  </si>
  <si>
    <t>RLA Software Mapping Issue ‐ False Discrepancy~During the audit definition process the RLA Software standardizes contest and choice names to ensure minor syntax differences between counties that share a contest do not result in incorrect data during the audit. In three counties the standardization function did not function correctly on a particular choice in a race, which caused a mismatch in the choice name between the audit board choice and the voting computer choice. This mismatch caused a discrepancy to be reported even though the selections matched in reality. The bug occurred in the Secretary of State’s RLA Software, not in any voting system, and did not affect tabulation in any way since it was in the RLA Software.</t>
  </si>
  <si>
    <t>Adjudication Error~An error made by the adjudication judges at the time of tabulation, according to the Colorado Secretary of State’s Voter Intent Guide. The audit board interpreted the voter intent correctly.</t>
  </si>
  <si>
    <t>Human Miscount during RLA, Reached Wrong Ballot</t>
  </si>
  <si>
    <t>Pulled wrong ballot~The audit board did not examine the ballot that the software instructed them to audit. We can infer this if many of the races have clear discrepancies on a ballot, based on ballot images examined by the state after the audit.</t>
  </si>
  <si>
    <t>Voting system software ignores voter's crossing out of a vote</t>
  </si>
  <si>
    <t xml:space="preserve">Voting System Limitation~A narrow circumstance where the voting system tabulates a vote for a selection the voter corrected because the voter did not choose a different choice in the contest. (A different selection would result in an overvote and the system would out-stack the ballot for adjudication by election judges.) In this case, the voting system is incapable of discerning true voter intent. </t>
  </si>
  <si>
    <t xml:space="preserve">Ambiguous Voter Intent~The voter marked their ballot in a way that is not easy to interpret. Because of this ambiguity the adjudication judges and audit board disagreed about how the voter’s intent should be interpreted. </t>
  </si>
  <si>
    <t>Sources: https://www.sos.state.co.us/pubs/elections/RLA/files/OverviewThreeYearsIn.pdf and https://www.sos.state.co.us/pubs/elections/RLA/2020/general/DiscrepancyReport.pdf</t>
  </si>
  <si>
    <t>errors during RLA</t>
  </si>
  <si>
    <t>Number of batches @ 200</t>
  </si>
  <si>
    <t>sheets in county</t>
  </si>
  <si>
    <t>batches in county @ 200</t>
  </si>
  <si>
    <t>if outcome wrong, N of batches over threshold of 0.5%, max= 0.6</t>
  </si>
  <si>
    <t>Column AE, "row of 2nd county if any" is usually empty. It handles some Colorado contests which cross borders into two counties</t>
  </si>
  <si>
    <t>Column V, in orange, is empty and separates different parts of the spreadsheet</t>
  </si>
  <si>
    <t>Column W is a sequence number in each county</t>
  </si>
  <si>
    <t>Column X, "RLA sample size, ballot comparison, 10% risk", is a formula from p.44 of a paper on RLAs, Why and How https://www.stat.berkeley.edu/~stark/Preprints/RLAwhitepaper12.pdf</t>
  </si>
  <si>
    <t>Column X's formula is 6.2 divided by the "diluted margin". Diluted margin is the vote margin in the election, divided by the number of ballots in the contest. It assumes efficient sampling from the cast vote records https://arxiv.org/abs/2012.03371</t>
  </si>
  <si>
    <t>Columns Z and AA show "chance that legal sample misses errors". These are the odds that the legally approved sample size, if it were simple random sample, wouldn't include any of a set of erroneous ballots</t>
  </si>
  <si>
    <t xml:space="preserve">Column AA's formula is (one minus the margin divided by the number of ballot sheets in the county), raised to the power n, where n is the sample size in column AA, </t>
  </si>
  <si>
    <t>Column Z is the same as column AA, but in whole numbers for graphing</t>
  </si>
  <si>
    <t>Also in the tallies tab, Columns AG-AL show the first line of each contest (from earlier columns), with calculations of sample size in columns W-AD, and several notes in AM-AQ</t>
  </si>
  <si>
    <t>Column AP shows the number of batches with bad machine tallies, if the apparent margin of victory came from switching votes from winner to loser,</t>
  </si>
  <si>
    <t>Column AP assumes up to half a percent can switch in each batch, and be ignored in hand couunts, and up to 60% in as few other batches as possible</t>
  </si>
  <si>
    <t>Column AD estimates the number of batches of ballots in each jurisdiction. Any batch size can be put in the last 4 characters of the title, and the column wil recalculate</t>
  </si>
  <si>
    <t>In the "tallies" tab, Columns A-U show each contest, with all the candidates (and Yes/No options) in column E</t>
  </si>
  <si>
    <t>Audit Board Error~The audit board reported the incorrect result into the software. This can occur because of a mis-click or because of a the audit board misinterpreted voter intent. (p.12)</t>
  </si>
  <si>
    <t>p.7 of Three years in</t>
  </si>
  <si>
    <t>NY_Catta_2021g</t>
  </si>
  <si>
    <t>~Councilman (To fill vacancy) (2-year term) (Vote for one) for Town of Ashford, Cattaraugus~Vote for 1,</t>
  </si>
  <si>
    <t>Angela M. Ghani (REP)</t>
  </si>
  <si>
    <t>~Councilman (To fill vacancy) (2-year term) (Vote for one) for Town of Lyndon, Cattaraugus~Vote for 1,</t>
  </si>
  <si>
    <t>Melissa Bedell (REP)</t>
  </si>
  <si>
    <t>Colette M. Schoening (DEM, ITG)</t>
  </si>
  <si>
    <t>~Councilman (To fill vacancy) (2-year term) (Vote for one) for Town of New Albion, Cattaraugus~Vote for 1,</t>
  </si>
  <si>
    <t>Michael R. Weishan (MST)</t>
  </si>
  <si>
    <t>~Councilman (To fill vacancy) (2-year term) (Vote for one) for Town of Portville, Cattaraugus~Vote for 1,</t>
  </si>
  <si>
    <t>Melinda S. Deyoe (REP)</t>
  </si>
  <si>
    <t>~Councilman (To fill vacancy) (2-year term) (Vote for up to two) for Town of Perrysburg, Cattaraugus~Vote for 2,</t>
  </si>
  <si>
    <t>Michael J. Sternisha (REP)</t>
  </si>
  <si>
    <t>Christopher J. Trybus (REP)</t>
  </si>
  <si>
    <t>Lisa M. Towne (DEM)</t>
  </si>
  <si>
    <t>Mary Jane Stuhr (DEM)</t>
  </si>
  <si>
    <t>~Councilman (Vote for up to two) (4-year term) for Town of Allegany, Cattaraugus~Vote for 2,</t>
  </si>
  <si>
    <t>Kathleen M. Martin (REP, CON)</t>
  </si>
  <si>
    <t>Alexander P. Nazemetz (REP, CON)</t>
  </si>
  <si>
    <t>~Councilman (Vote for up to two) (4-year term) for Town of Ashford, Cattaraugus~Vote for 2,</t>
  </si>
  <si>
    <t>James P. Boberg (REP)</t>
  </si>
  <si>
    <t>William J. Heim (REP)</t>
  </si>
  <si>
    <t>Richard L. Lundberg, Jr. (DEM)</t>
  </si>
  <si>
    <t>~Councilman (Vote for up to two) (4-year term) for Town of Carrollton, Cattaraugus~Vote for 2,</t>
  </si>
  <si>
    <t>Jay Little (REP)</t>
  </si>
  <si>
    <t>David Barger (REP)</t>
  </si>
  <si>
    <t>~Councilman (Vote for up to two) (4-year term) for Town of Coldspring, Cattaraugus~Vote for 2,</t>
  </si>
  <si>
    <t>Kenneth Dechow (REP)</t>
  </si>
  <si>
    <t>David J. Chapman (REP)</t>
  </si>
  <si>
    <t>~Councilman (Vote for up to two) (4-year term) for Town of Conewango, Cattaraugus~Vote for 2,</t>
  </si>
  <si>
    <t>Ronald D. Adams (REP)</t>
  </si>
  <si>
    <t>Willis H. Shaw (REP)</t>
  </si>
  <si>
    <t>~Councilman (Vote for up to two) (4-year term) for Town of Dayton, Cattaraugus~Vote for 2,</t>
  </si>
  <si>
    <t>Christine M. Rupp (REP, CON)</t>
  </si>
  <si>
    <t>Donald L. Bartlett, Jr. (REP)</t>
  </si>
  <si>
    <t>~Councilman (Vote for up to two) (4-year term) for Town of East Otto, Cattaraugus~Vote for 2,</t>
  </si>
  <si>
    <t>Angela J. Sherman (DEM, REP)</t>
  </si>
  <si>
    <t>Lisa M. Musall (PRF)</t>
  </si>
  <si>
    <t>William B. Spors (REP)</t>
  </si>
  <si>
    <t>~Councilman (Vote for up to two) (4-year term) for Town of Ellicottville, Cattaraugus~Vote for 2,</t>
  </si>
  <si>
    <t>John R. Zerfas (REP)</t>
  </si>
  <si>
    <t>Steven J. Crowley (DEM)</t>
  </si>
  <si>
    <t>~Councilman (Vote for up to two) (4-year term) for Town of Farmersville, Cattaraugus~Vote for 2,</t>
  </si>
  <si>
    <t>Pamela J. Tilton (DEM, REP)</t>
  </si>
  <si>
    <t>Dale E. Scurr (DEM, REP)</t>
  </si>
  <si>
    <t>Douglas M. Thompson (CON)</t>
  </si>
  <si>
    <t>James P. Karaszewski (CON)</t>
  </si>
  <si>
    <t>~Councilman (Vote for up to two) (4-year term) for Town of Franklinville, Cattaraugus~Vote for 2,</t>
  </si>
  <si>
    <t>Joseph M. Weaver (REP)</t>
  </si>
  <si>
    <t>Heather M. Stevens (REP)</t>
  </si>
  <si>
    <t>~Councilman (Vote for up to two) (4-year term) for Town of Freedom, Cattaraugus~Vote for 2,</t>
  </si>
  <si>
    <t>Robert N. Morgan (REP, CON)</t>
  </si>
  <si>
    <t>Joshua S. Aarum (REP, CON)</t>
  </si>
  <si>
    <t>Arthur J. Baker (DEM)</t>
  </si>
  <si>
    <t>Randy Clifford Lester (DEM)</t>
  </si>
  <si>
    <t>~Councilman (Vote for up to two) (4-year term) for Town of Great Valley, Cattaraugus~Vote for 2,</t>
  </si>
  <si>
    <t>Sandra J. Goode (REP, CON)</t>
  </si>
  <si>
    <t>Rebecca J. Kruszynski (DEM)</t>
  </si>
  <si>
    <t>~Councilman (Vote for up to two) (4-year term) for Town of Hinsdale, Cattaraugus~Vote for 2,</t>
  </si>
  <si>
    <t>Ronald D. Brown (REP)</t>
  </si>
  <si>
    <t>Douglas B. Wilson (REP)</t>
  </si>
  <si>
    <t>~Councilman (Vote for up to two) (4-year term) for Town of Humphrey, Cattaraugus~Vote for 2,</t>
  </si>
  <si>
    <t>Scott E. Andrews (REP)</t>
  </si>
  <si>
    <t>Alicia Pearl (REP)</t>
  </si>
  <si>
    <t>~Councilman (Vote for up to two) (4-year term) for Town of Ischua, Cattaraugus~Vote for 2,</t>
  </si>
  <si>
    <t>Theresa M. Lowe (REP)</t>
  </si>
  <si>
    <t>Rebecca S. Wetherby (DEM)</t>
  </si>
  <si>
    <t>~Councilman (Vote for up to two) (4-year term) for Town of Leon, Cattaraugus~Vote for 2,</t>
  </si>
  <si>
    <t>Jacqueline A. Ellis (DEM, REP)</t>
  </si>
  <si>
    <t>Calvin M. Milliman (REP)</t>
  </si>
  <si>
    <t>~Councilman (Vote for up to two) (4-year term) for Town of Little Valley, Cattaraugus~Vote for 2,</t>
  </si>
  <si>
    <t>Holly R. Urbanski (REP, CON)</t>
  </si>
  <si>
    <t>Timothy J. Zimbardi (REP)</t>
  </si>
  <si>
    <t>Jerry A. Titus, II (CON)</t>
  </si>
  <si>
    <t>~Councilman (Vote for up to two) (4-year term) for Town of Lyndon, Cattaraugus~Vote for 2,</t>
  </si>
  <si>
    <t>Leonard A. Kaluzny, Jr. (DEM, ITG)</t>
  </si>
  <si>
    <t>James Roll (REP)</t>
  </si>
  <si>
    <t>E. Paul Smith (DEM, ITG)</t>
  </si>
  <si>
    <t>Joey Farrand (REP)</t>
  </si>
  <si>
    <t>~Councilman (Vote for up to two) (4-year term) for Town of Machias, Cattaraugus~Vote for 2,</t>
  </si>
  <si>
    <t>Robert M. Shenk (REP)</t>
  </si>
  <si>
    <t>Thomas C. Reese (REP)</t>
  </si>
  <si>
    <t>~Councilman (Vote for up to two) (4-year term) for Town of Mansfield, Cattaraugus~Vote for 2,</t>
  </si>
  <si>
    <t>Michael D. Telaak (REP)</t>
  </si>
  <si>
    <t>Gregory L. Meyer, Sr. (REP)</t>
  </si>
  <si>
    <t>~Councilman (Vote for up to two) (4-year term) for Town of Napoli, Cattaraugus~Vote for 2,</t>
  </si>
  <si>
    <t>David M. Dechow (REP)</t>
  </si>
  <si>
    <t>Jeffery A. Stacey, Sr. (REP)</t>
  </si>
  <si>
    <t>~Councilman (Vote for up to two) (4-year term) for Town of New Albion, Cattaraugus~Vote for 2,</t>
  </si>
  <si>
    <t>Norman J. Kazmark (REP)</t>
  </si>
  <si>
    <t>~Councilman (Vote for up to two) (4-year term) for Town of Olean, Cattaraugus~Vote for 2,</t>
  </si>
  <si>
    <t>Donna L. Howard (REP)</t>
  </si>
  <si>
    <t>Joshua M. Torrey (REP)</t>
  </si>
  <si>
    <t>~Councilman (Vote for up to two) (4-year term) for Town of Otto, Cattaraugus~Vote for 2,</t>
  </si>
  <si>
    <t>Marlene A. Gregory (REP)</t>
  </si>
  <si>
    <t>Kevin P. Walker (REP)</t>
  </si>
  <si>
    <t>~Councilman (Vote for up to two) (4-year term) for Town of Perrysburg, Cattaraugus~Vote for 2,</t>
  </si>
  <si>
    <t>Edward D. York (REP)</t>
  </si>
  <si>
    <t>Andrew B. Lord (REP)</t>
  </si>
  <si>
    <t>~Councilman (Vote for up to two) (4-year term) for Town of Persia, Cattaraugus~Vote for 2,</t>
  </si>
  <si>
    <t>Gloria J. Tomaszewski (REP)</t>
  </si>
  <si>
    <t>Robert O. Dingman, Jr. (REP)</t>
  </si>
  <si>
    <t>~Councilman (Vote for up to two) (4-year term) for Town of Portville, Cattaraugus~Vote for 2,</t>
  </si>
  <si>
    <t>Stuart A. Frost (REP)</t>
  </si>
  <si>
    <t>David A. Suain (REP)</t>
  </si>
  <si>
    <t>~Councilman (Vote for up to two) (4-year term) for Town of Randolph, Cattaraugus~Vote for 2,</t>
  </si>
  <si>
    <t>Timothy W. Beach (REP)</t>
  </si>
  <si>
    <t>Nathan A. Root (REP)</t>
  </si>
  <si>
    <t>~Councilman (Vote for up to two) (4-year term) for Town of Red House, Cattaraugus~Vote for 2,</t>
  </si>
  <si>
    <t>Clifford E. Schaal (REP)</t>
  </si>
  <si>
    <t>~Councilman (Vote for up to two) (4-year term) for Town of Salamanca, Cattaraugus~Vote for 2,</t>
  </si>
  <si>
    <t>Larry M. Stewart (DEM, REP)</t>
  </si>
  <si>
    <t>Diana L. Brodie-Anderson (REP)</t>
  </si>
  <si>
    <t>~Councilman (Vote for up to two) (4-year term) for Town of South Valley, Cattaraugus~Vote for 2,</t>
  </si>
  <si>
    <t>Charles E. Ruth, II (REP)</t>
  </si>
  <si>
    <t>Kathy A. Burch (REP)</t>
  </si>
  <si>
    <t>~Councilman (Vote for up to two) (4-year term) for Town of Yorkshire, Cattaraugus~Vote for 2,</t>
  </si>
  <si>
    <t>Kenneth O. Fisher (REP)</t>
  </si>
  <si>
    <t>Christopher R. Edmunds (REP)</t>
  </si>
  <si>
    <t>~Highway Superintendent (To fill vacancy) (2-year term) (Vote for one) for Town of Ashford, Cattaraugus~Vote for 1,</t>
  </si>
  <si>
    <t>Keith R. Butcher (REP, CON)</t>
  </si>
  <si>
    <t>~Highway Superintendent (Vote for one) (2-year term) for Town of Dayton, Cattaraugus~Vote for 1,</t>
  </si>
  <si>
    <t>Thomas J. Chupa (REP, CON)</t>
  </si>
  <si>
    <t>~Highway Superintendent (Vote for one) (2-year term) for Town of Ischua, Cattaraugus~Vote for 1,</t>
  </si>
  <si>
    <t>Richard M. Michael, Jr. (DEM, REP, CON)</t>
  </si>
  <si>
    <t>~Highway Superintendent (Vote for one) (2-year term) for Town of Lyndon, Cattaraugus~Vote for 1,</t>
  </si>
  <si>
    <t>George S. Schneider, Jr. (DEM, REP)</t>
  </si>
  <si>
    <t>~Highway Superintendent (Vote for one) (2-year term) for Town of Mansfield, Cattaraugus~Vote for 1,</t>
  </si>
  <si>
    <t>Bradley D. Hurley (REP)</t>
  </si>
  <si>
    <t>~Highway Superintendent (Vote for one) (2-year term) for Town of Red House, Cattaraugus~Vote for 1,</t>
  </si>
  <si>
    <t>Brian R. Booth (DEM, REP)</t>
  </si>
  <si>
    <t>~Highway Superintendent (Vote for one) (2-year term) for Town of South Valley, Cattaraugus~Vote for 1,</t>
  </si>
  <si>
    <t>Warren Thomas (REP)</t>
  </si>
  <si>
    <t>~Highway Superintendent (Vote for one) (4-year term) for Town of Carrollton, Cattaraugus~Vote for 1,</t>
  </si>
  <si>
    <t>Michael P. Fox (REP)</t>
  </si>
  <si>
    <t>~Highway Superintendent (Vote for one) (4-year term) for Town of Coldspring, Cattaraugus~Vote for 1,</t>
  </si>
  <si>
    <t>Kirk A. Hayes (DEM, REP)</t>
  </si>
  <si>
    <t>~Highway Superintendent (Vote for one) (4-year term) for Town of East Otto, Cattaraugus~Vote for 1,</t>
  </si>
  <si>
    <t>Thomas M. Benz (DEM, CON)</t>
  </si>
  <si>
    <t>Michael D. Grey (REP)</t>
  </si>
  <si>
    <t>~Highway Superintendent (Vote for one) (4-year term) for Town of Freedom, Cattaraugus~Vote for 1,</t>
  </si>
  <si>
    <t>James B. Haggerty (DEM, REP)</t>
  </si>
  <si>
    <t>~Highway Superintendent (Vote for one) (4-year term) for Town of Humphrey, Cattaraugus~Vote for 1,</t>
  </si>
  <si>
    <t>Jason R. Pearl (DEM, REP)</t>
  </si>
  <si>
    <t>~Highway Superintendent (Vote for one) (4-year term) for Town of Napoli, Cattaraugus~Vote for 1,</t>
  </si>
  <si>
    <t>Dale R. Blood (REP)</t>
  </si>
  <si>
    <t>~Highway Superintendent (Vote for one) (4-year term) for Town of Olean, Cattaraugus~Vote for 1,</t>
  </si>
  <si>
    <t>Patrick W. Zink (REP)</t>
  </si>
  <si>
    <t>~Highway Superintendent (Vote for one) (4-year term) for Town of Otto, Cattaraugus~Vote for 1,</t>
  </si>
  <si>
    <t>Robert J. Barber, Jr. (REP)</t>
  </si>
  <si>
    <t>~Highway Superintendent (Vote for one) (4-year term) for Town of Portville, Cattaraugus~Vote for 1,</t>
  </si>
  <si>
    <t>Todd J. Shaw (REP, RTW)</t>
  </si>
  <si>
    <t>RTW</t>
  </si>
  <si>
    <t>~Highway Superintendent (Vote for one) (4-year term) for Town of Salamanca, Cattaraugus~Vote for 1,</t>
  </si>
  <si>
    <t>Frederick H. Light (DEM, REP)</t>
  </si>
  <si>
    <t>~Highway Superintenent (Vote for One) (4-year term) for Town of Hinsdale, Cattaraugus~Vote for 1,</t>
  </si>
  <si>
    <t>Theodore F. Mascho (REP)</t>
  </si>
  <si>
    <t>Daniel E. Zawatski (DEM, ITG)</t>
  </si>
  <si>
    <t>~Supervisor (To fill vacancy) (2-year term) for Town of Perrysburg, Cattaraugus~Vote for 1,</t>
  </si>
  <si>
    <t>Dennis K. Parker (REP)</t>
  </si>
  <si>
    <t>~Supervisor (Vote for one) (2-year term) for Town of Allegany, Cattaraugus~Vote for 1,</t>
  </si>
  <si>
    <t>Michael P. Higgins (REP, CON)</t>
  </si>
  <si>
    <t>~Supervisor (Vote for one) (2-year term) for Town of Dayton, Cattaraugus~Vote for 1,</t>
  </si>
  <si>
    <t>Angie M. Mardino-Miller (REP, CON)</t>
  </si>
  <si>
    <t>~Supervisor (Vote for one) (2-year term) for Town of Hinsdale, Cattaraugus~Vote for 1,</t>
  </si>
  <si>
    <t>Jeffrey M. VanDeCar (REP)</t>
  </si>
  <si>
    <t>~Supervisor (Vote for one) (2-year term) for Town of Ischua, Cattaraugus~Vote for 1,</t>
  </si>
  <si>
    <t>Jeffrey S. Goodyear (REP)</t>
  </si>
  <si>
    <t>~Supervisor (Vote for one) (2-year term) for Town of Leon, Cattaraugus~Vote for 1,</t>
  </si>
  <si>
    <t>Fred S. Filock (REP)</t>
  </si>
  <si>
    <t>~Supervisor (Vote for one) (2-year term) for Town of Lyndon, Cattaraugus~Vote for 1,</t>
  </si>
  <si>
    <t>Donald Hall (REP)</t>
  </si>
  <si>
    <t>Barbara Montante (DEM, ITG)</t>
  </si>
  <si>
    <t>~Supervisor (Vote for one) (2-year term) for Town of Mansfield, Cattaraugus~Vote for 1,</t>
  </si>
  <si>
    <t>Carl R. Calarco, Jr. (REP)</t>
  </si>
  <si>
    <t>~Supervisor (Vote for one) (2-year term) for Town of Napoli, Cattaraugus~Vote for 1,</t>
  </si>
  <si>
    <t>Daniel T. Martonis (REP)</t>
  </si>
  <si>
    <t>~Supervisor (Vote for one) (2-year term) for Town of Persia, Cattaraugus~Vote for 1,</t>
  </si>
  <si>
    <t>John T. Walgus (REP)</t>
  </si>
  <si>
    <t>~Supervisor (Vote for one) (2-year term) for Town of Portville, Cattaraugus~Vote for 1,</t>
  </si>
  <si>
    <t>Timothy D. Emley (REP)</t>
  </si>
  <si>
    <t>~Supervisor (Vote for one) (2-year term) for Town of Red House, Cattaraugus~Vote for 1,</t>
  </si>
  <si>
    <t>Tamara A. Booth (DEM, REP)</t>
  </si>
  <si>
    <t>~Supervisor (Vote for one) (2-year term) for Town of South Valley, Cattaraugus~Vote for 1,</t>
  </si>
  <si>
    <t>Heather M. Lamberson (DEM, REP)</t>
  </si>
  <si>
    <t>~Supervisor (Vote for one) (4-year term) for Town of Carrollton, Cattaraugus~Vote for 1,</t>
  </si>
  <si>
    <t>Robert Rinfrette (REP)</t>
  </si>
  <si>
    <t>~Supervisor (Vote for one) (4-year term) for Town of Coldspring, Cattaraugus~Vote for 1,</t>
  </si>
  <si>
    <t>Tina M. Hyde (DEM, REP)</t>
  </si>
  <si>
    <t>~Supervisor (Vote for one) (4-year term) for Town of East Otto, Cattaraugus~Vote for 1,</t>
  </si>
  <si>
    <t>Ann E. Rugg (REP)</t>
  </si>
  <si>
    <t>~Supervisor (Vote for one) (4-year term) for Town of Freedom, Cattaraugus~Vote for 1,</t>
  </si>
  <si>
    <t>Dustin E. Bliss (DEM)</t>
  </si>
  <si>
    <t>Geoffrey G. Milks (REP, CON)</t>
  </si>
  <si>
    <t>~Supervisor (Vote for one) (4-year term) for Town of Olean, Cattaraugus~Vote for 1,</t>
  </si>
  <si>
    <t>Annette M. Parker (REP)</t>
  </si>
  <si>
    <t>~Supervisor (Vote for one) (4-year term) for Town of Otto, Cattaraugus~Vote for 1,</t>
  </si>
  <si>
    <t>Ronald W. Wasmund (DEM, REP)</t>
  </si>
  <si>
    <t>~Supervisor (Vote for one) (4-year term) for Town of Salamanca, Cattaraugus~Vote for 1,</t>
  </si>
  <si>
    <t>Timothy L. Jackson, Sr. (DEM, REP)</t>
  </si>
  <si>
    <t>~Tax Collector (Vote for one) (2-year term) for Town of Ischua, Cattaraugus~Vote for 1,</t>
  </si>
  <si>
    <t>Julie A. McConnaughey-Goodyear (REP)</t>
  </si>
  <si>
    <t>~Town Clerk (Vote for one) (2-year term) for Town of Dayton, Cattaraugus~Vote for 1,</t>
  </si>
  <si>
    <t>Ruth V. Bennett (REP)</t>
  </si>
  <si>
    <t>~Town Clerk (Vote for one) (2-year term) for Town of Hinsdale, Cattaraugus~Vote for 1,</t>
  </si>
  <si>
    <t>Ann L. Carr (DEM, REP)</t>
  </si>
  <si>
    <t>~Town Clerk (Vote for one) (2-year term) for Town of Ischua, Cattaraugus~Vote for 1,</t>
  </si>
  <si>
    <t>Kelle J. Brisky (REP)</t>
  </si>
  <si>
    <t>~Town Clerk (Vote for one) (2-year term) for Town of Leon, Cattaraugus~Vote for 1,</t>
  </si>
  <si>
    <t>Sheila M. Fiebelkorn (DEM, REP)</t>
  </si>
  <si>
    <t>~Town Clerk (Vote for one) (2-year term) for Town of Lyndon, Cattaraugus~Vote for 1,</t>
  </si>
  <si>
    <t>Frank V. Puglisi (DEM, ITG)</t>
  </si>
  <si>
    <t>~Town Clerk (Vote for one) (2-year term) for Town of Machias, Cattaraugus~Vote for 1,</t>
  </si>
  <si>
    <t>Rebecca L. Grimmelt (REP)</t>
  </si>
  <si>
    <t>~Town Clerk (Vote for one) (2-year term) for Town of Mansfield, Cattaraugus~Vote for 1,</t>
  </si>
  <si>
    <t>Betty Jane Horning (REP)</t>
  </si>
  <si>
    <t>~Town Clerk (Vote for one) (2-year term) for Town of Napoli, Cattaraugus~Vote for 1,</t>
  </si>
  <si>
    <t>Victoria L. Bedell (DEM, REP)</t>
  </si>
  <si>
    <t>~Town Clerk (Vote for one) (2-year term) for Town of Red House, Cattaraugus~Vote for 1,</t>
  </si>
  <si>
    <t>Nancy J. Schaal (REP)</t>
  </si>
  <si>
    <t>~Town Clerk (Vote for one) (4-year term) for Town of Allegany, Cattaraugus~Vote for 1,</t>
  </si>
  <si>
    <t>Deryle L. Pinney (REP, CON)</t>
  </si>
  <si>
    <t>~Town Clerk (Vote for one) (4-year term) for Town of East Otto, Cattaraugus~Vote for 1,</t>
  </si>
  <si>
    <t>Deanna M. Bowen (DEM, REP)</t>
  </si>
  <si>
    <t>~Town Clerk (Vote for one) (4-year term) for Town of Humphrey, Cattaraugus~Vote for 1,</t>
  </si>
  <si>
    <t>Mary M. Weber (REP)</t>
  </si>
  <si>
    <t>~Town Clerk (Vote for one) (4-year term) for Town of Olean, Cattaraugus~Vote for 1,</t>
  </si>
  <si>
    <t>Sherry L. Lemon (REP)</t>
  </si>
  <si>
    <t>~Town Clerk (Vote for one) (4-year term) for Town of Otto, Cattaraugus~Vote for 1,</t>
  </si>
  <si>
    <t>Trisha A. Priest (REP)</t>
  </si>
  <si>
    <t>~Town Clerk (Vote for one) (4-year term) for Town of Randolph, Cattaraugus~Vote for 1,</t>
  </si>
  <si>
    <t>Gretchen A. Hind (REP)</t>
  </si>
  <si>
    <t>~Town Clerk (Vote for one) (4-year term) for Town of Salamanca, Cattaraugus~Vote for 1,</t>
  </si>
  <si>
    <t>Shelley L. Bryant (DEM, REP)</t>
  </si>
  <si>
    <t>~Town Clerk (Vote for one) (4-year term) for Town of South Valley, Cattaraugus~Vote for 1,</t>
  </si>
  <si>
    <t>Mary Ruth (REP)</t>
  </si>
  <si>
    <t>~Town Clerk (Vote for one) (4-year term) for Town of Yorkshire, Cattaraugus~Vote for 1,</t>
  </si>
  <si>
    <t>Donna M. Lavery (REP)</t>
  </si>
  <si>
    <t>~Town Justice (Vote for one) for Town of Allegany, Cattaraugus~Vote for 1,</t>
  </si>
  <si>
    <t>David F. Porter (REP, CON)</t>
  </si>
  <si>
    <t>~Town Justice (Vote for one) for Town of Carrollton, Cattaraugus~Vote for 1,</t>
  </si>
  <si>
    <t>Michael R. Soper (REP)</t>
  </si>
  <si>
    <t>~Town Justice (Vote for one) for Town of Coldspring, Cattaraugus~Vote for 1,</t>
  </si>
  <si>
    <t>Jason Steger (REP)</t>
  </si>
  <si>
    <t>~Town Justice (Vote for one) for Town of Farmersville, Cattaraugus~Vote for 1,</t>
  </si>
  <si>
    <t>Dorothy E. Lockridge (DEM, REP, CON, WOR)</t>
  </si>
  <si>
    <t>~Town Justice (Vote for one) for Town of Lyndon, Cattaraugus~Vote for 1,</t>
  </si>
  <si>
    <t>Wayne L. Holden (DEM, ITG)</t>
  </si>
  <si>
    <t>Russell A. Ward (REP)</t>
  </si>
  <si>
    <t>~Town Justice (Vote for one) for Town of Machias, Cattaraugus~Vote for 1,</t>
  </si>
  <si>
    <t>Francis L. Lounsbury (REP)</t>
  </si>
  <si>
    <t>~Town Justice (Vote for one) for Town of New Albion, Cattaraugus~Vote for 1,</t>
  </si>
  <si>
    <t>Shannon L. Goode (REP)</t>
  </si>
  <si>
    <t>~Town Justice (Vote for one) for Town of Olean, Cattaraugus~Vote for 1,</t>
  </si>
  <si>
    <t>Brian E. O'Connell, Jr. (DEM, REP)</t>
  </si>
  <si>
    <t>~Town Justice (Vote for one) for Town of Otto, Cattaraugus~Vote for 1,</t>
  </si>
  <si>
    <t>Warren S. Dickinson, Jr. (DEM, REP)</t>
  </si>
  <si>
    <t>Alderman for Ward 2, City of Olean~Vote for 1,</t>
  </si>
  <si>
    <t>Jason M. Panus (REP)</t>
  </si>
  <si>
    <t>Kristin Hinson (UPL)</t>
  </si>
  <si>
    <t>Alderman for Ward 4, City of Olean~Vote for 1,</t>
  </si>
  <si>
    <t>Sonya M. McCall (DEM, WOR)</t>
  </si>
  <si>
    <t>Linda M. Edstrom (REP, CON)</t>
  </si>
  <si>
    <t>Ezra L. Johnson (UPL)</t>
  </si>
  <si>
    <t>Alderman for Ward 6, City of Olean~Vote for 1,</t>
  </si>
  <si>
    <t>Vernon Robinson, Jr. (DEM, WOR)</t>
  </si>
  <si>
    <t>Nicholas A. Peterson (REP, FRN)</t>
  </si>
  <si>
    <t>FRN</t>
  </si>
  <si>
    <t>Alderman for Ward 7, City of Olean~Vote for 1,</t>
  </si>
  <si>
    <t>David J. Anastasia (DEM, WOR)</t>
  </si>
  <si>
    <t>County Coroner for Cattaraugus~Vote for 1,</t>
  </si>
  <si>
    <t>Kevin M. O'Rourke (REP, CON)</t>
  </si>
  <si>
    <t>County Sheriff for Cattaraugus~Vote for 1,</t>
  </si>
  <si>
    <t>Timothy S. Whitcomb (DEM, REP, CON)</t>
  </si>
  <si>
    <t>District Attorney for Cattaraugus~Vote for 1,</t>
  </si>
  <si>
    <t>Lori P. Rieman (REP, CON)</t>
  </si>
  <si>
    <t>Mayor for City of Olean, Cattaraugus~Vote for 1,</t>
  </si>
  <si>
    <t>William J. Aiello (REP, CON)</t>
  </si>
  <si>
    <t>Gary W. Harvey, Jr. (WOR, UPL)</t>
  </si>
  <si>
    <t>Proposal five, an amendment for Cattaraugus~Vote for 1,</t>
  </si>
  <si>
    <t>Proposal four, an amendment for Cattaraugus~Vote for 1,</t>
  </si>
  <si>
    <t>Proposal one, an amendment for Cattaraugus~Vote for 1,</t>
  </si>
  <si>
    <t>Proposal three, an amendment for Cattaraugus~Vote for 1,</t>
  </si>
  <si>
    <t>Proposal two, an amendment for Cattaraugus~Vote for 1,</t>
  </si>
  <si>
    <t>State Supreme Court Justice 8th Judicial District for Assembly 148, Cattaraugus~Vote for 4,</t>
  </si>
  <si>
    <t>Grace M. Hanlon (DEM, REP, CON, WOR)</t>
  </si>
  <si>
    <t>Frank Caruso (DEM, REP, CON)</t>
  </si>
  <si>
    <t>John B. Licata (DEM, REP, CON, WOR)</t>
  </si>
  <si>
    <t>Raymond W. Walter (DEM, REP, CON)</t>
  </si>
  <si>
    <t>Town Clerk/Tax Collector for Town of Coldspring, Cattaraugus~Vote for 1,</t>
  </si>
  <si>
    <t>Dakota Skinner (REP)</t>
  </si>
  <si>
    <t>NY_Catta_2021g~-~councilman (to fill vacancy) (2-year term) (vote for one) for town of lyndon, cattaraugus~vote for 1,</t>
  </si>
  <si>
    <t>NY_Catta_2021g~-~councilman (to fill vacancy) (2-year term) (vote for up to two) for town of perrysburg, cattaraugus~vote for 2,</t>
  </si>
  <si>
    <t>NY_Catta_2021g~-~councilman (vote for up to two) (4-year term) for town of ashford, cattaraugus~vote for 2,</t>
  </si>
  <si>
    <t>NY_Catta_2021g~-~councilman (vote for up to two) (4-year term) for town of east otto, cattaraugus~vote for 2,</t>
  </si>
  <si>
    <t>NY_Catta_2021g~-~councilman (vote for up to two) (4-year term) for town of farmersville, cattaraugus~vote for 2,</t>
  </si>
  <si>
    <t>NY_Catta_2021g~-~councilman (vote for up to two) (4-year term) for town of freedom, cattaraugus~vote for 2,</t>
  </si>
  <si>
    <t>NY_Catta_2021g~-~councilman (vote for up to two) (4-year term) for town of little valley, cattaraugus~vote for 2,</t>
  </si>
  <si>
    <t>NY_Catta_2021g~-~councilman (vote for up to two) (4-year term) for town of lyndon, cattaraugus~vote for 2,</t>
  </si>
  <si>
    <t>NY_Catta_2021g~-~highway superintendent (vote for one) (4-year term) for town of east otto, cattaraugus~vote for 1,</t>
  </si>
  <si>
    <t>NY_Catta_2021g~-~highway superintendent (vote for one) (4-year term) for town of portville, cattaraugus~vote for 1,</t>
  </si>
  <si>
    <t>NY_Catta_2021g~-~highway superintenent (vote for one) (4-year term) for town of hinsdale, cattaraugus~vote for 1,</t>
  </si>
  <si>
    <t>NY_Catta_2021g~-~supervisor (vote for one) (2-year term) for town of lyndon, cattaraugus~vote for 1,</t>
  </si>
  <si>
    <t>NY_Catta_2021g~-~supervisor (vote for one) (4-year term) for town of freedom, cattaraugus~vote for 1,</t>
  </si>
  <si>
    <t>NY_Catta_2021g~-~town justice (vote for one) for town of lyndon, cattaraugus~vote for 1,</t>
  </si>
  <si>
    <t>NY_Catta_2021g~-alderman for ward 2, city of olean~vote for 1,</t>
  </si>
  <si>
    <t>NY_Catta_2021g~-alderman for ward 4, city of olean~vote for 1,</t>
  </si>
  <si>
    <t>NY_Catta_2021g~-alderman for ward 6, city of olean~vote for 1,</t>
  </si>
  <si>
    <t>NY_Catta_2021g~-mayor for city of olean, cattaraugus~vote for 1,</t>
  </si>
  <si>
    <t>NY_Catta_2021g~-proposal five, an amendment for cattaraugus~vote for 1,</t>
  </si>
  <si>
    <t>NY_Catta_2021g~-proposal four, an amendment for cattaraugus~vote for 1,</t>
  </si>
  <si>
    <t>NY_Catta_2021g~-proposal one, an amendment for cattaraugus~vote for 1,</t>
  </si>
  <si>
    <t>NY_Catta_2021g~-proposal three, an amendment for cattaraugus~vote for 1,</t>
  </si>
  <si>
    <t>NY_Catta_2021g~-proposal two, an amendment for cattaraugus~vote for 1,</t>
  </si>
  <si>
    <t>Column AT, in orange, is empty and separates different parts of the spreadsheet</t>
  </si>
  <si>
    <t>Columns AU-BG are a third group of columns, showing totals for each county included in the spreadsheet</t>
  </si>
  <si>
    <t>Columns BH-BN show abbreviations used in column AO</t>
  </si>
  <si>
    <t>chance of catching a batch over threshold, sample = 0.01</t>
  </si>
  <si>
    <t>Average of chance of catching a batch over threshold, sample = 0.01</t>
  </si>
  <si>
    <t>Columns AQ-AS show probability that a sample will detect at least one of the bad batches in column AP. Sampling rate can be chosen in the last 4 characters of the first row. Summary in "pivot batch %s" tab</t>
  </si>
  <si>
    <t>Average of sheets in county</t>
  </si>
  <si>
    <t>chance of catching a batch over threshold, sample = 0.20</t>
  </si>
  <si>
    <t>Average of chance of catching a batch over threshold, sample = 0.20</t>
  </si>
  <si>
    <t>Count of election + contest</t>
  </si>
  <si>
    <t>chance of catching a batch over threshold, sample = 0.05</t>
  </si>
  <si>
    <t>Average of chance of catching a batch over threshold, sample = 0.05</t>
  </si>
  <si>
    <t>Sum of RLA sample size, ballot comparison, 10% risk</t>
  </si>
  <si>
    <t>votes 2018g</t>
  </si>
  <si>
    <t>2020g votes</t>
  </si>
  <si>
    <t>2018g votes</t>
  </si>
  <si>
    <t>sample</t>
  </si>
  <si>
    <t>sample rate</t>
  </si>
  <si>
    <t>Average Staff Minutes per Vote Checked</t>
  </si>
  <si>
    <t>Number of Contests Checked per Ballot</t>
  </si>
  <si>
    <t>Average Staff Minutes per Ballot Checked</t>
  </si>
  <si>
    <t>Full Precincts /Batches, or Random Ballots</t>
  </si>
  <si>
    <t>Number of Ballots Checked</t>
  </si>
  <si>
    <t>Team Sizes</t>
  </si>
  <si>
    <t>Year</t>
  </si>
  <si>
    <t>Type of Paper</t>
  </si>
  <si>
    <t>Overheads Excluded?</t>
  </si>
  <si>
    <t>Total staff time, minutes</t>
  </si>
  <si>
    <t>Total Cost</t>
  </si>
  <si>
    <t>Total staff time, hours</t>
  </si>
  <si>
    <t>Total number of staff</t>
  </si>
  <si>
    <t>Wall Clock Minutes, total</t>
  </si>
  <si>
    <t>Wall Clock Hours</t>
  </si>
  <si>
    <t>Machine</t>
  </si>
  <si>
    <t>Cost / hour</t>
  </si>
  <si>
    <t>source +notes</t>
  </si>
  <si>
    <t>punch cards for graph</t>
  </si>
  <si>
    <t>Arizona recount</t>
  </si>
  <si>
    <t>full</t>
  </si>
  <si>
    <t>&lt;ref name="polletta"&gt;{{Cite news |last=Polletta  |first=Maria and Piper Hansen |date=2021-04-28 |title=Here's what happened at the Arizona election audit of Maricopa County ballots |language=en-US |work=Arizona Republic |url=https://www.azcentral.com/story/news/politics/arizona/2021/04/28/arizona-election-audit-what-happened-ballot-counting-april-28/4876185001/ |access-date=2021-05-06}}&lt;/ref&gt;</t>
  </si>
  <si>
    <t>Sheets</t>
  </si>
  <si>
    <t>Organizing ballots for review, training, legal, supervision, adding tally sheets</t>
  </si>
  <si>
    <t>https://www.azcentral.com/story/news/politics/arizona/2021/04/28/arizona-election-audit-what-happened-ballot-counting-april-28/4876185001/</t>
  </si>
  <si>
    <t>-</t>
  </si>
  <si>
    <t>Provincetown, MA</t>
  </si>
  <si>
    <t>16 teams of 2+2 runners+4 tallies</t>
  </si>
  <si>
    <t>Email reports</t>
  </si>
  <si>
    <t>Hancock, MA</t>
  </si>
  <si>
    <t>Organizing ballots for review, training, legal, supervision, adding tally sheets (10 teams of 2</t>
  </si>
  <si>
    <t>Carlisle, MA</t>
  </si>
  <si>
    <t>8 teams of 2 plus 4 extra</t>
  </si>
  <si>
    <t>San Diego precincts</t>
  </si>
  <si>
    <t>&lt;ref name="sd-cops"&gt;{{Cite web |last=Lutz |first=Ray |date=2019-01-28 |title=White Paper: Election Audit Strategy |url=https://copswiki.org/w/pub/Common/M1879/WhitePaper-Election%20Audits%20Part%202-V0.4.pdf |access-date=2021-04-13 |website=Citizens' Oversight Projects}}&lt;/ref&gt;</t>
  </si>
  <si>
    <t>https://copswiki.org/w/pub/Common/M1879/WhitePaper-Election%20Audits%20Part%202-V0.4.pdf</t>
  </si>
  <si>
    <t>Butler Cnty, PA, Butler City</t>
  </si>
  <si>
    <t>1 reads to 4-7</t>
  </si>
  <si>
    <t>https://web.archive.org/web/20220829142351/https://www.post-gazette.com/news/politics-local/2022/08/17/butler-county-ballots-review-2020-election-vote-recount-elections-staff-scanners-pennsylvania/stories/202208170125</t>
  </si>
  <si>
    <t>Butler Cnty, PA, Donegal Twp</t>
  </si>
  <si>
    <t>Carroll County, MD</t>
  </si>
  <si>
    <t>Random images</t>
  </si>
  <si>
    <t>&lt;ref name="md-audit"&gt;{{Cite web |url=https://www.elections.maryland.gov/press_room/documents/Post%20Election%20Tabulation%20Audit%20Pilot%20Program%20Report.pdf |title=Post-Election Tabulation Audit Pilot Program Report |last=Maryland State Board of Elections |date=October 21, 2016 |website=elections.maryland.gov |access-date=June 29, 2019}}&lt;/ref&gt;</t>
  </si>
  <si>
    <t>Organizing ballot scans for review, training, legal, supervision</t>
  </si>
  <si>
    <t>https://www.elections.maryland.gov/press_room/documents/Post%20Election%20Tabulation%20Audit%20Pilot%20Program%20Report.pdf</t>
  </si>
  <si>
    <t>Montgomery County MD</t>
  </si>
  <si>
    <t>&lt;ref name="md-audit"/&gt;</t>
  </si>
  <si>
    <t>Dane County, WI</t>
  </si>
  <si>
    <t>Full sets of images</t>
  </si>
  <si>
    <t>&lt;ref name="wi-eo"&gt;{{Cite web |title=FOR ELECTION OFFICIALS |url=https://wisconsinelectionintegrity.org/for-election-officials/ |access-date=2020-06-25 |website=Wisconsin Election Integrity |language=en-US}}&lt;/ref&gt;&lt;ref name="wi-pdf"&gt;{{Cite web |last=McKim |first=Karen |date=January 2016 |title=Using automatically created digital ballot images to verify voting-machine output in Wisconsin |url=https://d3n8a8pro7vhmx.cloudfront.net/wiscgrassrootsnetwork/pages/1500/attachments/original/1452755405/DevelopmentReport-DigitalImageAudits.pdf?1452755405 |access-date=2020-06-25 |website=Wisconsin Election Integrity}}&lt;/ref&gt;</t>
  </si>
  <si>
    <t>https://d3n8a8pro7vhmx.cloudfront.net/wiscgrassrootsnetwork/pages/1500/attachments/original/1452755405/DevelopmentReport-DigitalImageAudits.pdf?1452755405</t>
  </si>
  <si>
    <t>Tolland, CT</t>
  </si>
  <si>
    <t>&lt;ref name="tigran"&gt;{{Cite journal |last=Antonyan |first=Tigran et al. |date=2013-06-21 |title=Computer Assisted Post Election Audits |url=https://voter.engr.uconn.edu/voter/wp-content/uploads/AS-2013.pdf |journal=State Certification Testing of Voting Systems National Conference |via=University of Connecticut}}&lt;/ref&gt;</t>
  </si>
  <si>
    <t>Bloomfield, CT</t>
  </si>
  <si>
    <t>Vernon, CT</t>
  </si>
  <si>
    <t>Sort &amp; Stack Experiment1</t>
  </si>
  <si>
    <t>Full</t>
  </si>
  <si>
    <t>Sort &amp; Stack Experiment2</t>
  </si>
  <si>
    <t>Read to Talliers Experiment1</t>
  </si>
  <si>
    <t>Read to Talliers Experiment2</t>
  </si>
  <si>
    <t>Humboldt County, CA</t>
  </si>
  <si>
    <t>Random</t>
  </si>
  <si>
    <t>&lt;ref name="ca"&gt;{{Cite web |last=Bowen |first=Debra |date=2011-03-01 |title=AB 2023 (Saldaña), Chapter 122, Statutes of 2010 Post-Election Risk-Limiting Audit Pilot Program March 1, 2012, Report to the Legislature |url=https://admin.cdn.sos.ca.gov/reports/2012/post-election-audit-report-20120301.pdf |access-date=2021-05-30 |website=California Secretary of State}} and {{Cite web |title=Post-Election Risk-Limiting Audit Pilot Program 2011-2013, Final Report to the United States Election Assistance Commission |last=California Secretary of State |date=July 30, 2014 |url=https://votingsystems.cdn.sos.ca.gov/oversight/risk-pilot/final-report-073014.pdf |archive-url=https://web.archive.org/web/20190602155902/https://votingsystems.cdn.sos.ca.gov/oversight/risk-pilot/final-report-073014.pdf |url-status=dead|website=Internet Archive|archive-date=2019-06-02 }} AND {{Cite journal |last=California Secretary of State |date=July 30, 2014 |title=Appendices, Post-Election Risk-Limiting Audit Pilot Program 2011-2013 Final Report to the United States Election Assistance Commission." Pages 81-90  |url=https://votingsystems.cdn.sos.ca.gov/oversight/risk-pilot/appendices-073014.pdf |archive-url=https://web.archive.org/web/20190602160636/https://votingsystems.cdn.sos.ca.gov/oversight/risk-pilot/appendices-073014.pdf |url-status=dead|journal=Internet Archive|archive-date=2019-06-02 }} AND [https://web.archive.org/web/20190602155902/http://www.sos.ca.gov/elections/voting-systems/oversight/post-election-auditing-regulations-and-reports/post-election-risk-limiting-audit-pilot-program/ Overview]. The time estimates of other California counties in the study included time to scan ballots to enable ballot comparison audits, so their costs were not comparable. None of the 11 California counties doing audits chose a close race or needed a 100% hand-count.&lt;/ref&gt;</t>
  </si>
  <si>
    <t>Independent count, done by graduate student on university computer</t>
  </si>
  <si>
    <t>https://admin.cdn.sos.ca.gov/reports/2012/post-election-audit-report-20120301.pdf</t>
  </si>
  <si>
    <t>Merced County, CA</t>
  </si>
  <si>
    <t>&lt;ref name="ca"/&gt;</t>
  </si>
  <si>
    <t>Orange County, CA</t>
  </si>
  <si>
    <t>Full, mostly</t>
  </si>
  <si>
    <t>Rolls mostly</t>
  </si>
  <si>
    <t>New Hampshire</t>
  </si>
  <si>
    <t>&lt;ref name="tobi"&gt;{{Cite web |last=Tobi |first=Nancy |date=2007-09-06 |title=Hands-on Elections: (Condensed Version) |url=https://web.archive.org/web/20080919152131/http://www.electiondefensealliance.org/files/Hand_Count_Elections_Steps_only_Sept_6_2007.pdf |access-date=2021-05-20 |website=web.archive.org}}&lt;/ref&gt;&lt;ref name="tobibook"&gt;{{Cite book |last=Tobi |first=Nancy |url=https://www.worldcat.org/oclc/816513645 |title=Hands-on elections : an informational handbook for running real elections, using real paper ballots, counted by real people : lessons from New Hampshire |date=2011 |publisher=Healing Mountain Publications |isbn=978-1-4528-0612-9 |edition=2nd |location=Wilton, N.H. |oclc=816513645}}&lt;/ref&gt;</t>
  </si>
  <si>
    <t>Add 60% to cover: supervision 43% + training 13% + sums 4%</t>
  </si>
  <si>
    <t>Bibb County, GA</t>
  </si>
  <si>
    <t>&lt;ref name="ga"&gt;{{Cite web |url=http://sos.georgia.gov/elections/VVPATreport.pdf |archive-url=https://web.archive.org/web/20081126235810/http:/sos.georgia.gov/elections/VVPATreport.pdf |url-status=dead |archive-date=November 26, 2008 |title=Voter Verified Paper Audit Trail Pilot Project Report. Pages 18-22, 42-63. |last=Georgia Secretary of State |first=Elections Division. (2007-04). " |date=April 1, 2007 |access-date=August 17, 2019}}&lt;/ref&gt;</t>
  </si>
  <si>
    <t>Rolls</t>
  </si>
  <si>
    <t>Diebold AccuVote TSX</t>
  </si>
  <si>
    <t>web.archive.org/web/20081126235810/http:/sos.georgia.gov/elections/VVPATreport.pdf</t>
  </si>
  <si>
    <t>Camden County, GA</t>
  </si>
  <si>
    <t>&lt;ref name="ga"/&gt;</t>
  </si>
  <si>
    <t>sheets</t>
  </si>
  <si>
    <t>Cobb County, GA</t>
  </si>
  <si>
    <t>Clark County, NV</t>
  </si>
  <si>
    <t>&lt;ref name="theisen"/&gt;</t>
  </si>
  <si>
    <t>Sequoia veri-vote</t>
  </si>
  <si>
    <t>Ellen Theisen, votersunite.org/info/CostEstimateforHandCounting.pdf</t>
  </si>
  <si>
    <t>Washington State scanned ballots</t>
  </si>
  <si>
    <t>&lt;ref name="theisen"&gt;{{Cite web |url=http://www.votersunite.org/info/CostEstimateforHandCounting.pdf |title=Cost Estimate for Hand Counting 2% of the Precincts in the U.S. |last=Theisen |first=Ellen |date=2004 |website=votersunite.org |access-date=May 4, 2018}}&lt;/ref&gt;</t>
  </si>
  <si>
    <t>Washington State, all</t>
  </si>
  <si>
    <t>ES&amp;S 150</t>
  </si>
  <si>
    <t>Asotin</t>
  </si>
  <si>
    <t>Cards</t>
  </si>
  <si>
    <t>BCCS Punch</t>
  </si>
  <si>
    <t>Benton</t>
  </si>
  <si>
    <t>ES&amp;S Punch</t>
  </si>
  <si>
    <t>Chelan</t>
  </si>
  <si>
    <t>Diebold OS</t>
  </si>
  <si>
    <t>Clallam</t>
  </si>
  <si>
    <t>Clark</t>
  </si>
  <si>
    <t>Columbia</t>
  </si>
  <si>
    <t>Cowlitz</t>
  </si>
  <si>
    <t>ES&amp;S 550</t>
  </si>
  <si>
    <t>Douglas</t>
  </si>
  <si>
    <t>Ferry VBM</t>
  </si>
  <si>
    <t>Franklin</t>
  </si>
  <si>
    <t>Sequoia punch</t>
  </si>
  <si>
    <t>Garfield</t>
  </si>
  <si>
    <t>Grant</t>
  </si>
  <si>
    <t>Grays Harbor</t>
  </si>
  <si>
    <t>ES&amp;S 150;650</t>
  </si>
  <si>
    <t>Island</t>
  </si>
  <si>
    <t>Jefferson</t>
  </si>
  <si>
    <t>Optech 4C-200</t>
  </si>
  <si>
    <t>King</t>
  </si>
  <si>
    <t>Kitsap</t>
  </si>
  <si>
    <t>Optech 4C-400</t>
  </si>
  <si>
    <t>Kittitas</t>
  </si>
  <si>
    <t>ES&amp;S 315</t>
  </si>
  <si>
    <t>Klickitat</t>
  </si>
  <si>
    <t>Lewis</t>
  </si>
  <si>
    <t>Lincoln</t>
  </si>
  <si>
    <t>Mason</t>
  </si>
  <si>
    <t>Okanogan</t>
  </si>
  <si>
    <t>eSlate</t>
  </si>
  <si>
    <t>Pacific</t>
  </si>
  <si>
    <t>Pend Oreille</t>
  </si>
  <si>
    <t>ES&amp;S 650</t>
  </si>
  <si>
    <t>Pierce</t>
  </si>
  <si>
    <t>Optech 4C-400;3P</t>
  </si>
  <si>
    <t>San Juan</t>
  </si>
  <si>
    <t>Skagit</t>
  </si>
  <si>
    <t>Skamania</t>
  </si>
  <si>
    <t>Snohomish</t>
  </si>
  <si>
    <t>Optech 4C-400;Edge</t>
  </si>
  <si>
    <t>Spokane</t>
  </si>
  <si>
    <t>ES&amp;S 150;100</t>
  </si>
  <si>
    <t>Stevens</t>
  </si>
  <si>
    <t>Thurston</t>
  </si>
  <si>
    <t>Wahkiakum</t>
  </si>
  <si>
    <t>ES&amp;S 115</t>
  </si>
  <si>
    <t>Walla Walla</t>
  </si>
  <si>
    <t>Whatcom</t>
  </si>
  <si>
    <t>BCCS Punch 312</t>
  </si>
  <si>
    <t>Whitman</t>
  </si>
  <si>
    <t>Yakima</t>
  </si>
  <si>
    <t>New Hampshire 2006</t>
  </si>
  <si>
    <t>https://web.archive.org/web/20080919152131/http://www.electiondefensealliance.org/files/Hand_Count_Elections_Steps_only_Sept_6_2007.pdf</t>
  </si>
  <si>
    <t>hours</t>
  </si>
  <si>
    <t>staff</t>
  </si>
  <si>
    <t>pay</t>
  </si>
  <si>
    <t>total cost</t>
  </si>
  <si>
    <t>team size</t>
  </si>
  <si>
    <t>time as % of counting time</t>
  </si>
  <si>
    <t>cost as % of counting cost</t>
  </si>
  <si>
    <t>cost as % of total</t>
  </si>
  <si>
    <t>counters p.22, includes training</t>
  </si>
  <si>
    <t>managers, includes trainers p.22</t>
  </si>
  <si>
    <t>training time of trainees pp.21,28</t>
  </si>
  <si>
    <t>counting time</t>
  </si>
  <si>
    <t>recruiting &amp; creating materials (described w/o hours in source)</t>
  </si>
  <si>
    <t>checking &amp; combining tally sheets, p.32</t>
  </si>
  <si>
    <t>total counting</t>
  </si>
  <si>
    <t>total recruiting, training, checking, managing</t>
  </si>
  <si>
    <t>total</t>
  </si>
  <si>
    <t>total that could be volunteer</t>
  </si>
  <si>
    <t>Team (wall clock) minutes per vote checked</t>
  </si>
  <si>
    <t xml:space="preserve">https://voter.engr.uconn.edu/voter/wp-content/uploads/AS-2013.pdf </t>
  </si>
  <si>
    <t>avg in efficient towns pp.21-22,44 https://web.archive.org/web/20080919152131/http://www.electiondefensealliance.org/files/Hand_Count_Elections_Steps_only_Sept_6_2007.pdf</t>
  </si>
  <si>
    <t>110150, San Diego</t>
  </si>
  <si>
    <t>Adams, WA</t>
  </si>
  <si>
    <t>Table 2. Costs of ballot image audits (BIAs), risk-limiting audits (RLAs), quality control and hand counts</t>
  </si>
  <si>
    <t>Number of Ballot Sheets Examined</t>
  </si>
  <si>
    <t>Fixed Costs per Jurisdiction per Election</t>
  </si>
  <si>
    <t>Number of Batches</t>
  </si>
  <si>
    <t>Staff Minutes per Batch</t>
  </si>
  <si>
    <t>BIA, existing images (Clackamas OR, 1 election)</t>
  </si>
  <si>
    <t>BIA, existing images (Montrose CO, 1 election)</t>
  </si>
  <si>
    <t>BIA, rescan (NY 12 yrs, 24 elections)</t>
  </si>
  <si>
    <t>BIA, rescan (Clackamas OR, 1 election)</t>
  </si>
  <si>
    <t>Ballot comparison RLA of 1-2 contests, 300 ballots</t>
  </si>
  <si>
    <t>Ballot comparison RLA of all contests, 1.8% of ballots</t>
  </si>
  <si>
    <t>Ballot comparison RLA of all contests, 7% of ballots</t>
  </si>
  <si>
    <t xml:space="preserve">    2% chance of 100% hand count of one contest</t>
  </si>
  <si>
    <t xml:space="preserve">    Rescan in-person batches to have in order for sampling</t>
  </si>
  <si>
    <t xml:space="preserve">    Statistics consultant, using free software</t>
  </si>
  <si>
    <t>Quality control (QC) while scanning for sample</t>
  </si>
  <si>
    <t xml:space="preserve">    Total QC cost</t>
  </si>
  <si>
    <t>Counts by volunteers, paid trainers &amp; supervisors</t>
  </si>
  <si>
    <t>voters</t>
  </si>
  <si>
    <t>sheets/batch (RI p.41)</t>
  </si>
  <si>
    <t>batches</t>
  </si>
  <si>
    <t>scanned in polling place as % of all batches</t>
  </si>
  <si>
    <t>people per team, except hand count &amp; adjudication</t>
  </si>
  <si>
    <t>people per hand count team: 1 reader, 1 checks reader, 2 talliers</t>
  </si>
  <si>
    <t>Batch count timing</t>
  </si>
  <si>
    <t>staff minutes to hand count 1 vote on one sheet (midrange at https://en.wikipedia.org/wiki/Vote_counting#Time_needed_&amp;_cost_of_manual_counts )</t>
  </si>
  <si>
    <t>Staff minutes to hand count 10, 1 or 6 votes on one sheet</t>
  </si>
  <si>
    <t>Random sampling</t>
  </si>
  <si>
    <t>clock minutes to roll dice &amp; record numbers, for team of 4</t>
  </si>
  <si>
    <r>
      <rPr>
        <sz val="10"/>
        <rFont val="Times New Roman"/>
      </rPr>
      <t xml:space="preserve">cost of statistician, based on MD 2016  </t>
    </r>
    <r>
      <rPr>
        <u/>
        <sz val="10"/>
        <color rgb="FF1155CC"/>
        <rFont val="Times New Roman"/>
      </rPr>
      <t>https://www.elections.maryland.gov/press_room/documents/Post%20Election%20Tabulation%20Audit%20Pilot%20Program%20Report.pdf</t>
    </r>
  </si>
  <si>
    <t>Staff Cost per hour</t>
  </si>
  <si>
    <t>dollars</t>
  </si>
  <si>
    <t>staff cost per hour conducting work above</t>
  </si>
  <si>
    <t>extra time at same pay for someone familiar with numbers to check &amp; total tally sheets, p.32 of Tobi</t>
  </si>
  <si>
    <t>extra cost at double pay for managers, p.22</t>
  </si>
  <si>
    <t>recruiting &amp; creating materials (described w/o hours in source), at double pay</t>
  </si>
  <si>
    <t>total extra charges beyond direct labor</t>
  </si>
  <si>
    <t>staff cost per hour @ $15 plus fringe, training, supervision</t>
  </si>
  <si>
    <t>cost that could be done by volunteers</t>
  </si>
  <si>
    <t>cost that could not be done by volunteers</t>
  </si>
  <si>
    <t>% cannot done by volunteers</t>
  </si>
  <si>
    <t>loaded staff cost per minute</t>
  </si>
  <si>
    <t>Central rescan</t>
  </si>
  <si>
    <t>clock hours to rescan &amp; batch &amp; manifest ballots (p.33)</t>
  </si>
  <si>
    <t>ballots per clock hour to rescan &amp; batch &amp; manifest (p.33)</t>
  </si>
  <si>
    <t>clock hours per ballot to rescan &amp; batch</t>
  </si>
  <si>
    <t>person hours per sheet to rescan &amp; batch &amp; manifest (p.57)</t>
  </si>
  <si>
    <t>implied team size</t>
  </si>
  <si>
    <t>staff minutes per sheet to rescan, batch, manifest</t>
  </si>
  <si>
    <t>dollars per sheet to rescan, put into batch, record on ballot manifest</t>
  </si>
  <si>
    <t>Scanner speed calcs</t>
  </si>
  <si>
    <t>Central scanner sheets/minute (DS850=300, DS450=75, Canon DR-X10C Scanner =130)</t>
  </si>
  <si>
    <t>minutes per batch, to pull sheets from box, put in scanner, set aside sheets which fail to scan, put back in box, seal, print &amp; distribute digital signature</t>
  </si>
  <si>
    <t>minutes of scanner per batch</t>
  </si>
  <si>
    <t>total clock minutes of scanning per batch</t>
  </si>
  <si>
    <t>staff minutes per batch of scanning</t>
  </si>
  <si>
    <t>staff cost/ballot to scan</t>
  </si>
  <si>
    <t>Get box from storage &amp; return</t>
  </si>
  <si>
    <r>
      <rPr>
        <u/>
        <sz val="10"/>
        <color rgb="FF1155CC"/>
        <rFont val="Times New Roman"/>
      </rPr>
      <t xml:space="preserve">Rhode Island estimates of 30 clock minutes to get &amp; return box, E6 on p.59 </t>
    </r>
    <r>
      <rPr>
        <u/>
        <sz val="10"/>
        <color rgb="FF1155CC"/>
        <rFont val="Times New Roman"/>
      </rPr>
      <t>https://verifiedvoting.org/wp-content/uploads/2020/07/RI-RLA-Report-2020.pdf</t>
    </r>
  </si>
  <si>
    <t>average clock minutes per box to retrieve &amp; return in a storage area of 9,000 ballots.</t>
  </si>
  <si>
    <t>average staff minutes per box to retrieve &amp; return in a storage area of 9,000 ballots.</t>
  </si>
  <si>
    <t>multiple for bigger storage area, proportional to square root of ballots, which reflects distance traveled</t>
  </si>
  <si>
    <t>average staff minutes per box to retrieve &amp; return in a storage area of 100,000 ballots.</t>
  </si>
  <si>
    <t>average clock minutes per box to put on and off pallet, regardless of storage size</t>
  </si>
  <si>
    <t>average staff minutes per box to put on and off pallet, regardless of storage size, and base time for handling first sheet</t>
  </si>
  <si>
    <t>total staff minutes per box to bring to tally team, for storage area of 100,000 ballots</t>
  </si>
  <si>
    <t>Get sheet from box &amp; return</t>
  </si>
  <si>
    <t>RI clock minutes 61 seconds to get &amp; return 1 sheet from box (p.33, E7 p.59), not staff minutes</t>
  </si>
  <si>
    <t>RI clock minutes 31 seconds to get &amp; return other sheet from box (p.33, E7 p.59), not staff minutes</t>
  </si>
  <si>
    <t>base clock minutes per batch for getting &amp; returning first sheet</t>
  </si>
  <si>
    <t>additional clock minutes per sheet for first &amp; other sheets</t>
  </si>
  <si>
    <t>election judges for this task (p.28)</t>
  </si>
  <si>
    <t>base staff minutes per batch for getting &amp; returning first sheet</t>
  </si>
  <si>
    <t>additional staff minutes per sheet for first &amp; other sheets</t>
  </si>
  <si>
    <t>Evaluate contests in ballot comparison RLA</t>
  </si>
  <si>
    <t>1 contest</t>
  </si>
  <si>
    <t>6 contests</t>
  </si>
  <si>
    <t>RI team size  to evaluate contests (p.28)</t>
  </si>
  <si>
    <t>team needed to evaluate contests: 2 read, 1 enter in computer, 1 enter on paper, then read back to check &amp; correct</t>
  </si>
  <si>
    <t>Quality control sample</t>
  </si>
  <si>
    <t>quality control sample</t>
  </si>
  <si>
    <t>samples per batch</t>
  </si>
  <si>
    <t>clock minutes to throw dice, per sampled sheet, to get random numbers for sample</t>
  </si>
  <si>
    <t>clock minutes: 104 clock seconds to count to each random sheet in stack (by hand); scale is faster (RI pp.34,84)</t>
  </si>
  <si>
    <t>clock minute to electronically project the random images, and use opaque projector to project the corresponding paper sheets, on screen for public comparison. 30"/side</t>
  </si>
  <si>
    <t>1% chance of 20 clock minutes to resolve problems</t>
  </si>
  <si>
    <t>total clock minutes per ballot to examine sample visually</t>
  </si>
  <si>
    <t>total staff minutes per ballot to examine sample visually</t>
  </si>
  <si>
    <t>total staff minutes per ballot to get &amp; examine sample by entering in software, as in RI RLA</t>
  </si>
  <si>
    <t>Contracts for BIAs</t>
  </si>
  <si>
    <r>
      <rPr>
        <sz val="10"/>
        <color rgb="FF000000"/>
        <rFont val="Times New Roman"/>
      </rPr>
      <t xml:space="preserve">marginal cost per ballot, for Clear Ballot </t>
    </r>
    <r>
      <rPr>
        <u/>
        <sz val="10"/>
        <color rgb="FF1155CC"/>
        <rFont val="Times New Roman"/>
      </rPr>
      <t xml:space="preserve">contract </t>
    </r>
    <r>
      <rPr>
        <sz val="10"/>
        <color rgb="FF000000"/>
        <rFont val="Times New Roman"/>
      </rPr>
      <t>with Montrose CO. Small Maryland elections cost more</t>
    </r>
  </si>
  <si>
    <r>
      <rPr>
        <sz val="10"/>
        <color rgb="FF000000"/>
        <rFont val="Times New Roman"/>
      </rPr>
      <t xml:space="preserve">cost per ballot for AuditEngine </t>
    </r>
    <r>
      <rPr>
        <u/>
        <sz val="10"/>
        <color rgb="FF1155CC"/>
        <rFont val="Times New Roman"/>
      </rPr>
      <t xml:space="preserve">offer </t>
    </r>
    <r>
      <rPr>
        <sz val="10"/>
        <color rgb="FF000000"/>
        <rFont val="Times New Roman"/>
      </rPr>
      <t>for Clackamas OR, including rescanning</t>
    </r>
  </si>
  <si>
    <r>
      <rPr>
        <sz val="10"/>
        <color rgb="FF000000"/>
        <rFont val="Times New Roman"/>
      </rPr>
      <t xml:space="preserve">cost per ballot for AuditEngine </t>
    </r>
    <r>
      <rPr>
        <u/>
        <sz val="10"/>
        <color rgb="FF1155CC"/>
        <rFont val="Times New Roman"/>
      </rPr>
      <t xml:space="preserve">offer </t>
    </r>
    <r>
      <rPr>
        <sz val="10"/>
        <color rgb="FF000000"/>
        <rFont val="Times New Roman"/>
      </rPr>
      <t>for Clackamas OR, using existing scans</t>
    </r>
  </si>
  <si>
    <r>
      <rPr>
        <sz val="10"/>
        <color rgb="FF000000"/>
        <rFont val="Times New Roman"/>
      </rPr>
      <t xml:space="preserve">fixed cost per election: Clear Ballot in </t>
    </r>
    <r>
      <rPr>
        <u/>
        <sz val="10"/>
        <color rgb="FF1155CC"/>
        <rFont val="Times New Roman"/>
      </rPr>
      <t>New York</t>
    </r>
    <r>
      <rPr>
        <sz val="10"/>
        <color rgb="FF000000"/>
        <rFont val="Times New Roman"/>
      </rPr>
      <t>, buy machines &amp; use for 12 years, 24 elections</t>
    </r>
  </si>
  <si>
    <r>
      <rPr>
        <sz val="10"/>
        <color rgb="FF000000"/>
        <rFont val="Times New Roman"/>
      </rPr>
      <t xml:space="preserve">marginal cost per ballot: Clear Ballot in </t>
    </r>
    <r>
      <rPr>
        <u/>
        <sz val="10"/>
        <color rgb="FF1155CC"/>
        <rFont val="Times New Roman"/>
      </rPr>
      <t>New York</t>
    </r>
    <r>
      <rPr>
        <sz val="10"/>
        <color rgb="FF000000"/>
        <rFont val="Times New Roman"/>
      </rPr>
      <t>: staff to rescan, software &amp; license, assume 50% average turnout</t>
    </r>
  </si>
  <si>
    <t>RLA samples needed for all contests</t>
  </si>
  <si>
    <r>
      <rPr>
        <b/>
        <sz val="10"/>
        <rFont val="Times New Roman"/>
      </rPr>
      <t xml:space="preserve">RLA sample size </t>
    </r>
    <r>
      <rPr>
        <sz val="10"/>
        <rFont val="Times New Roman"/>
      </rPr>
      <t xml:space="preserve">(from "MN,PA" tab of </t>
    </r>
    <r>
      <rPr>
        <u/>
        <sz val="10"/>
        <color rgb="FF1155CC"/>
        <rFont val="Times New Roman"/>
      </rPr>
      <t>sample costs spreadsheet</t>
    </r>
    <r>
      <rPr>
        <sz val="10"/>
        <rFont val="Times New Roman"/>
      </rPr>
      <t>)</t>
    </r>
  </si>
  <si>
    <t>Costs</t>
  </si>
  <si>
    <t>Election</t>
  </si>
  <si>
    <t>Total samples, 10% risk level</t>
  </si>
  <si>
    <t>Sort key in Column AN of tallies tab of votewell.net/tallies.xlsx</t>
  </si>
  <si>
    <t>Sample as % of Voters</t>
  </si>
  <si>
    <t>estimated sample</t>
  </si>
  <si>
    <t>estimated batches (boxes) accessed</t>
  </si>
  <si>
    <t>sample sheets / batch</t>
  </si>
  <si>
    <t>staff minutes per batch to get from storage &amp; return</t>
  </si>
  <si>
    <t>staff minutes per batch to take ballots from box, evaluate, return to box</t>
  </si>
  <si>
    <t>Total Staff minutes per batch</t>
  </si>
  <si>
    <t>sample as % of voters</t>
  </si>
  <si>
    <t>Greater of RLA or 6.9% of each contest</t>
  </si>
  <si>
    <t>Average samples per batch</t>
  </si>
  <si>
    <t>Municipal contests</t>
  </si>
  <si>
    <t>School contests</t>
  </si>
  <si>
    <t>State Representatives</t>
  </si>
  <si>
    <t>State Senators</t>
  </si>
  <si>
    <t>Staff minutes</t>
  </si>
  <si>
    <t>Average:</t>
  </si>
  <si>
    <t>Hypothetical 1 contest</t>
  </si>
  <si>
    <t>Hypothetical 10 contests</t>
  </si>
  <si>
    <t>expected number of batches with at least one sample</t>
  </si>
  <si>
    <t>https://en.wikipedia.org/wiki/Birthday_problem#Number_of_days_with_at_least_one_birthday</t>
  </si>
  <si>
    <t>https://math.stackexchange.com/questions/2193569/solution-conflict-expected-number-of-distinct-birthdays-for-100-people</t>
  </si>
  <si>
    <t>Staff Minutes per contest</t>
  </si>
  <si>
    <t>Number of Ballots, at 10 Contests per Ballot</t>
  </si>
  <si>
    <t>Staff Hours</t>
  </si>
  <si>
    <t>Staff Assigned</t>
  </si>
  <si>
    <t>Elapsed Hours</t>
  </si>
  <si>
    <t>Maricopa County</t>
  </si>
  <si>
    <t>Before changing any cell, examine it to see if it holds a number, or is calculated from elsewhere in the sheet.</t>
  </si>
  <si>
    <t>Cell A1 of tallies tab shows the date of the last revision</t>
  </si>
  <si>
    <t>The "costs" tab compares costs for different kinds of audits</t>
  </si>
  <si>
    <t>The "tallies" tab has election tallies from several counties for some recent elections</t>
  </si>
  <si>
    <t>The "hand counts" tab compares the time needed for hand counts in different places</t>
  </si>
  <si>
    <t>You can change assumptions below, and the table will change to match</t>
  </si>
  <si>
    <t>All contests, 1% of batches, based on 10 contests</t>
  </si>
  <si>
    <t>Batch RLA or percentage audit, 1 contest, 1% of batches</t>
  </si>
  <si>
    <t>6 contests, 5% of batches</t>
  </si>
  <si>
    <t>All contests, 5% of batches</t>
  </si>
  <si>
    <t>All contests, 20% of batches</t>
  </si>
  <si>
    <t>All contests, 20% of batches, and QC</t>
  </si>
  <si>
    <r>
      <t>100% hand count,</t>
    </r>
    <r>
      <rPr>
        <sz val="10"/>
        <color theme="1"/>
        <rFont val="Times New Roman"/>
        <family val="1"/>
      </rPr>
      <t xml:space="preserve"> based on 10 contests</t>
    </r>
  </si>
  <si>
    <t>Average contests per ballot sheet</t>
  </si>
  <si>
    <t>RI clock seconds to evaluate 10 or 1 contests (p.33: know they're clock time, since all other times on p.33 are clock times)</t>
  </si>
  <si>
    <t>RI clock minutes to evaluate 10 or 1 contests</t>
  </si>
  <si>
    <t>staff time needed to record &amp; evaluate 10 or 1  contests</t>
  </si>
  <si>
    <t>total staff minutes to get sheet from box &amp; evaluate 10 or 1 contests, not counting fixed cost on first sheet</t>
  </si>
  <si>
    <r>
      <rPr>
        <sz val="10"/>
        <rFont val="Arial Narrow"/>
        <family val="2"/>
      </rPr>
      <t xml:space="preserve">extra time at same pay for trainees being trained (20 minutes training for 2 hours 40 minutes of counting, total 3 hours, p.21 of Tobi: </t>
    </r>
    <r>
      <rPr>
        <u/>
        <sz val="10"/>
        <color theme="10"/>
        <rFont val="Arial Narrow"/>
        <family val="2"/>
      </rPr>
      <t>https://web.archive.org/web/20080919152131/http://www.electiondefensealliance.org/files/Hand_Count_Elections_Steps_only_Sept_6_2007.pdf</t>
    </r>
  </si>
  <si>
    <t>RLA software &amp; training, optional</t>
  </si>
  <si>
    <r>
      <rPr>
        <b/>
        <i/>
        <sz val="10"/>
        <color rgb="FF0000FF"/>
        <rFont val="Times New Roman"/>
        <family val="1"/>
      </rPr>
      <t>Dollars</t>
    </r>
    <r>
      <rPr>
        <i/>
        <sz val="10"/>
        <color rgb="FF000000"/>
        <rFont val="Times New Roman"/>
        <family val="1"/>
      </rPr>
      <t xml:space="preserve"> </t>
    </r>
    <r>
      <rPr>
        <sz val="10"/>
        <color rgb="FF000000"/>
        <rFont val="Times New Roman"/>
        <family val="1"/>
      </rPr>
      <t xml:space="preserve">or </t>
    </r>
    <r>
      <rPr>
        <b/>
        <sz val="10"/>
        <color rgb="FF9900FF"/>
        <rFont val="Times New Roman"/>
        <family val="1"/>
      </rPr>
      <t>Staff Minutes</t>
    </r>
    <r>
      <rPr>
        <b/>
        <sz val="10"/>
        <color rgb="FF000000"/>
        <rFont val="Times New Roman"/>
        <family val="1"/>
      </rPr>
      <t xml:space="preserve"> </t>
    </r>
    <r>
      <rPr>
        <sz val="10"/>
        <color rgb="FF000000"/>
        <rFont val="Times New Roman"/>
        <family val="1"/>
      </rPr>
      <t>per Ballot Sheet</t>
    </r>
  </si>
  <si>
    <r>
      <t>Source: votewell.net/tallies.xlsx.</t>
    </r>
    <r>
      <rPr>
        <sz val="10"/>
        <rFont val="Times New Roman"/>
        <family val="1"/>
      </rPr>
      <t xml:space="preserve"> Note: an RLA with quality control only pays to rescan once. "All contests" will cost more when there are more than 10 contests per ballot sheet.</t>
    </r>
  </si>
  <si>
    <t xml:space="preserve">    Rescan in-person batches to put in order for sampling</t>
  </si>
  <si>
    <t>RLA guidance</t>
  </si>
  <si>
    <t>fixed cost per county for Clear Ballot contract with Montrose CO. http://www.votewell.net/auditcosts.html</t>
  </si>
  <si>
    <t>RLA software &amp; training, optional http://www.votewell.net/auditcosts.html</t>
  </si>
  <si>
    <t>Ballot comparison RLA of 1-2 contests, 300 ballots, total</t>
  </si>
  <si>
    <t>Ballot comparison RLA of all contests, 1.8% of ballots, total</t>
  </si>
  <si>
    <t>Ballot comparison RLA of all contests, 7% of ballots, total</t>
  </si>
  <si>
    <t>$0-168,000</t>
  </si>
  <si>
    <t>estimated registered voters</t>
  </si>
  <si>
    <t>RLA software</t>
  </si>
  <si>
    <t>RLA software per registered voter per year, based on Georgia contract</t>
  </si>
  <si>
    <t>RLA process training webinar</t>
  </si>
  <si>
    <t>Ballot manifest webinar</t>
  </si>
  <si>
    <t>Ballot manifest support, 1 day, email &amp; phone</t>
  </si>
  <si>
    <t>Audit support, 1 day, email &amp; phone</t>
  </si>
  <si>
    <t>Total</t>
  </si>
  <si>
    <t>RLA software &amp; 1 session of each training &amp; 1 day of each support</t>
  </si>
  <si>
    <t>Staff hours</t>
  </si>
  <si>
    <t>1=costs from WA SOS via Theisen</t>
  </si>
  <si>
    <t>Total RLA sample</t>
  </si>
  <si>
    <t>rev. 9/9/2023 Election &amp; Contest</t>
  </si>
  <si>
    <t>Tabs are shown at the bottom of this window. Revised 9/9/2023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</si>
</sst>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_);[Red]\(&quot;$&quot;#,##0\)"/>
    <numFmt numFmtId="41" formatCode="_(* #,##0_);_(* \(#,##0\);_(* &quot;-&quot;_);_(@_)"/>
    <numFmt numFmtId="43" formatCode="_(* #,##0.00_);_(* \(#,##0.00\);_(* &quot;-&quot;??_);_(@_)"/>
    <numFmt numFmtId="164" formatCode="0.0%"/>
    <numFmt numFmtId="165" formatCode="_(* #,##0.0_);_(* \(#,##0.0\);_(* &quot;-&quot;??_);_(@_)"/>
    <numFmt numFmtId="166" formatCode="_(* #,##0_);_(* \(#,##0\);_(* &quot;-&quot;??_);_(@_)"/>
    <numFmt numFmtId="167" formatCode="0.0"/>
    <numFmt numFmtId="168" formatCode="_(* #,##0.0000_);_(* \(#,##0.0000\);_(* &quot;-&quot;??_);_(@_)"/>
    <numFmt numFmtId="169" formatCode="[$-F800]dddd\,\ mmmm\ dd\,\ yyyy"/>
    <numFmt numFmtId="170" formatCode="m/d/yy;@"/>
    <numFmt numFmtId="171" formatCode="0.000000%"/>
    <numFmt numFmtId="172" formatCode="0.000%"/>
    <numFmt numFmtId="173" formatCode="0.0000%"/>
    <numFmt numFmtId="174" formatCode="&quot;$&quot;#,##0"/>
    <numFmt numFmtId="175" formatCode="#,##0.0"/>
    <numFmt numFmtId="176" formatCode="&quot;$&quot;#,##0.00"/>
    <numFmt numFmtId="177" formatCode="&quot;$&quot;#,##0.000"/>
    <numFmt numFmtId="178" formatCode="#,###"/>
    <numFmt numFmtId="179" formatCode="#,###.0000"/>
    <numFmt numFmtId="180" formatCode="#,###.000000"/>
    <numFmt numFmtId="181" formatCode="#,###.000"/>
    <numFmt numFmtId="182" formatCode="#,##0.000"/>
    <numFmt numFmtId="183" formatCode="_(* #,##0.00_);_(* \(#,##0.00\);_(* &quot;-&quot;_);_(@_)"/>
    <numFmt numFmtId="184" formatCode="#,###.00"/>
    <numFmt numFmtId="185" formatCode="&quot;$&quot;#,##0.0000_);[Red]\(&quot;$&quot;#,##0.0000\)"/>
  </numFmts>
  <fonts count="93">
    <font>
      <sz val="10"/>
      <color theme="1"/>
      <name val="Arial Narrow"/>
      <family val="2"/>
    </font>
    <font>
      <sz val="10"/>
      <color theme="1"/>
      <name val="Arial Narrow"/>
      <family val="2"/>
    </font>
    <font>
      <sz val="18"/>
      <color theme="3"/>
      <name val="Calibri Light"/>
      <family val="2"/>
      <scheme val="major"/>
    </font>
    <font>
      <b/>
      <sz val="15"/>
      <color theme="3"/>
      <name val="Arial Narrow"/>
      <family val="2"/>
    </font>
    <font>
      <b/>
      <sz val="13"/>
      <color theme="3"/>
      <name val="Arial Narrow"/>
      <family val="2"/>
    </font>
    <font>
      <b/>
      <sz val="11"/>
      <color theme="3"/>
      <name val="Arial Narrow"/>
      <family val="2"/>
    </font>
    <font>
      <sz val="10"/>
      <color rgb="FF006100"/>
      <name val="Arial Narrow"/>
      <family val="2"/>
    </font>
    <font>
      <sz val="10"/>
      <color rgb="FF9C0006"/>
      <name val="Arial Narrow"/>
      <family val="2"/>
    </font>
    <font>
      <sz val="10"/>
      <color rgb="FF9C5700"/>
      <name val="Arial Narrow"/>
      <family val="2"/>
    </font>
    <font>
      <sz val="10"/>
      <color rgb="FF3F3F76"/>
      <name val="Arial Narrow"/>
      <family val="2"/>
    </font>
    <font>
      <b/>
      <sz val="10"/>
      <color rgb="FF3F3F3F"/>
      <name val="Arial Narrow"/>
      <family val="2"/>
    </font>
    <font>
      <b/>
      <sz val="10"/>
      <color rgb="FFFA7D00"/>
      <name val="Arial Narrow"/>
      <family val="2"/>
    </font>
    <font>
      <sz val="10"/>
      <color rgb="FFFA7D00"/>
      <name val="Arial Narrow"/>
      <family val="2"/>
    </font>
    <font>
      <b/>
      <sz val="10"/>
      <color theme="0"/>
      <name val="Arial Narrow"/>
      <family val="2"/>
    </font>
    <font>
      <sz val="10"/>
      <color rgb="FFFF0000"/>
      <name val="Arial Narrow"/>
      <family val="2"/>
    </font>
    <font>
      <i/>
      <sz val="10"/>
      <color rgb="FF7F7F7F"/>
      <name val="Arial Narrow"/>
      <family val="2"/>
    </font>
    <font>
      <b/>
      <sz val="10"/>
      <color theme="1"/>
      <name val="Arial Narrow"/>
      <family val="2"/>
    </font>
    <font>
      <sz val="10"/>
      <color theme="0"/>
      <name val="Arial Narrow"/>
      <family val="2"/>
    </font>
    <font>
      <b/>
      <sz val="9"/>
      <color theme="1"/>
      <name val="Arial Narrow"/>
      <family val="2"/>
    </font>
    <font>
      <sz val="9"/>
      <color theme="1"/>
      <name val="Arial Narrow"/>
      <family val="2"/>
    </font>
    <font>
      <sz val="8"/>
      <color theme="1"/>
      <name val="Arial Narrow"/>
      <family val="2"/>
    </font>
    <font>
      <b/>
      <sz val="8"/>
      <color theme="1"/>
      <name val="Arial Narrow"/>
      <family val="2"/>
    </font>
    <font>
      <sz val="9"/>
      <color theme="1"/>
      <name val="CIDFont+F2"/>
    </font>
    <font>
      <sz val="10"/>
      <name val="Calibri"/>
      <family val="2"/>
    </font>
    <font>
      <b/>
      <sz val="8"/>
      <name val="Arial Narrow"/>
      <family val="2"/>
    </font>
    <font>
      <sz val="11"/>
      <color theme="1"/>
      <name val="Arial Narrow"/>
      <family val="2"/>
    </font>
    <font>
      <b/>
      <sz val="12"/>
      <color theme="1"/>
      <name val="Times New Roman"/>
      <family val="1"/>
    </font>
    <font>
      <sz val="12"/>
      <color theme="1"/>
      <name val="Times New Roman"/>
      <family val="1"/>
    </font>
    <font>
      <sz val="12"/>
      <color rgb="FF990000"/>
      <name val="Georgia"/>
      <family val="1"/>
    </font>
    <font>
      <u/>
      <sz val="10"/>
      <color theme="10"/>
      <name val="Arial Narrow"/>
      <family val="2"/>
    </font>
    <font>
      <b/>
      <sz val="10"/>
      <color rgb="FFC00000"/>
      <name val="Arial Narrow"/>
      <family val="2"/>
    </font>
    <font>
      <sz val="10"/>
      <color rgb="FFC00000"/>
      <name val="Arial Narrow"/>
      <family val="2"/>
    </font>
    <font>
      <sz val="10"/>
      <color rgb="FF002060"/>
      <name val="Arial Narrow"/>
      <family val="2"/>
    </font>
    <font>
      <b/>
      <sz val="8"/>
      <color theme="1"/>
      <name val="Arial"/>
      <family val="2"/>
    </font>
    <font>
      <b/>
      <u/>
      <sz val="8"/>
      <color rgb="FF1155CC"/>
      <name val="Arial"/>
      <family val="2"/>
    </font>
    <font>
      <sz val="10"/>
      <color theme="1"/>
      <name val="Arial"/>
      <family val="2"/>
    </font>
    <font>
      <sz val="8"/>
      <color theme="1"/>
      <name val="Arial"/>
      <family val="2"/>
    </font>
    <font>
      <b/>
      <u/>
      <sz val="10"/>
      <color theme="10"/>
      <name val="Arial Narrow"/>
      <family val="2"/>
    </font>
    <font>
      <b/>
      <u/>
      <sz val="10"/>
      <color rgb="FFC00000"/>
      <name val="Arial Narrow"/>
      <family val="2"/>
    </font>
    <font>
      <b/>
      <sz val="8"/>
      <color rgb="FFC00000"/>
      <name val="Arial Narrow"/>
      <family val="2"/>
    </font>
    <font>
      <b/>
      <sz val="10"/>
      <color rgb="FFC00000"/>
      <name val="Arial"/>
      <family val="2"/>
    </font>
    <font>
      <b/>
      <sz val="12"/>
      <color theme="1"/>
      <name val="Arial Narrow"/>
      <family val="2"/>
    </font>
    <font>
      <sz val="12"/>
      <color theme="1"/>
      <name val="Arial Narrow"/>
      <family val="2"/>
    </font>
    <font>
      <b/>
      <sz val="12"/>
      <color rgb="FFC00000"/>
      <name val="Arial Narrow"/>
      <family val="2"/>
    </font>
    <font>
      <sz val="8"/>
      <color rgb="FFFF0000"/>
      <name val="Arial Narrow"/>
      <family val="2"/>
    </font>
    <font>
      <b/>
      <sz val="10"/>
      <color rgb="FFFF0000"/>
      <name val="Arial Narrow"/>
      <family val="2"/>
    </font>
    <font>
      <b/>
      <sz val="9"/>
      <color rgb="FF000000"/>
      <name val="Calibri"/>
      <family val="2"/>
    </font>
    <font>
      <b/>
      <sz val="11"/>
      <color theme="1"/>
      <name val="Times New Roman"/>
      <family val="1"/>
    </font>
    <font>
      <sz val="11"/>
      <color theme="1"/>
      <name val="Times New Roman"/>
      <family val="1"/>
    </font>
    <font>
      <sz val="9"/>
      <color rgb="FF000000"/>
      <name val="Calibri"/>
      <family val="2"/>
    </font>
    <font>
      <sz val="6.5"/>
      <color rgb="FF000000"/>
      <name val="Calibri"/>
      <family val="2"/>
    </font>
    <font>
      <sz val="9"/>
      <color rgb="FFFF0000"/>
      <name val="Calibri"/>
      <family val="2"/>
    </font>
    <font>
      <b/>
      <sz val="10"/>
      <color theme="1"/>
      <name val="Times New Roman"/>
      <family val="1"/>
    </font>
    <font>
      <sz val="10"/>
      <color theme="1"/>
      <name val="Times New Roman"/>
      <family val="1"/>
    </font>
    <font>
      <b/>
      <sz val="10"/>
      <color rgb="FF006400"/>
      <name val="Arial Narrow"/>
      <family val="2"/>
    </font>
    <font>
      <b/>
      <sz val="9"/>
      <color rgb="FFC00000"/>
      <name val="Arial Narrow"/>
      <family val="2"/>
    </font>
    <font>
      <u/>
      <sz val="10"/>
      <color rgb="FF0000FF"/>
      <name val="Arial Narrow"/>
      <family val="2"/>
    </font>
    <font>
      <b/>
      <sz val="10"/>
      <color theme="1"/>
      <name val="Times New Roman"/>
    </font>
    <font>
      <sz val="10"/>
      <color rgb="FF000000"/>
      <name val="Times New Roman"/>
    </font>
    <font>
      <sz val="10"/>
      <color theme="1"/>
      <name val="Calibri"/>
      <scheme val="minor"/>
    </font>
    <font>
      <sz val="10"/>
      <color theme="1"/>
      <name val="Arial Narrow"/>
    </font>
    <font>
      <sz val="10"/>
      <color theme="1"/>
      <name val="Times New Roman"/>
    </font>
    <font>
      <sz val="10"/>
      <color rgb="FF000000"/>
      <name val="&quot;Times New Roman&quot;"/>
    </font>
    <font>
      <u/>
      <sz val="10"/>
      <color rgb="FF0000FF"/>
      <name val="Times New Roman"/>
    </font>
    <font>
      <sz val="10"/>
      <name val="Times New Roman"/>
    </font>
    <font>
      <u/>
      <sz val="10"/>
      <color rgb="FF1155CC"/>
      <name val="Times New Roman"/>
    </font>
    <font>
      <sz val="10"/>
      <color theme="1"/>
      <name val="Arial"/>
    </font>
    <font>
      <b/>
      <sz val="14"/>
      <color theme="1"/>
      <name val="Times New Roman"/>
    </font>
    <font>
      <b/>
      <sz val="8"/>
      <color theme="1"/>
      <name val="Times New Roman"/>
    </font>
    <font>
      <b/>
      <u/>
      <sz val="10"/>
      <color theme="1"/>
      <name val="Times New Roman"/>
    </font>
    <font>
      <b/>
      <sz val="10"/>
      <color theme="1"/>
      <name val="Calibri"/>
      <scheme val="minor"/>
    </font>
    <font>
      <u/>
      <sz val="10"/>
      <color rgb="FF000000"/>
      <name val="Times New Roman"/>
    </font>
    <font>
      <b/>
      <u/>
      <sz val="10"/>
      <color rgb="FF0000FF"/>
      <name val="Times New Roman"/>
    </font>
    <font>
      <b/>
      <sz val="10"/>
      <name val="Times New Roman"/>
    </font>
    <font>
      <b/>
      <sz val="10"/>
      <color theme="1"/>
      <name val="Arial Narrow"/>
    </font>
    <font>
      <b/>
      <u/>
      <sz val="10"/>
      <color rgb="FF1155CC"/>
      <name val="Arial Narrow"/>
    </font>
    <font>
      <b/>
      <sz val="10"/>
      <color theme="1"/>
      <name val="Arial"/>
    </font>
    <font>
      <u/>
      <sz val="10"/>
      <color rgb="FF1155CC"/>
      <name val="Arial Narrow"/>
    </font>
    <font>
      <u/>
      <sz val="10"/>
      <color rgb="FF0000FF"/>
      <name val="Arial"/>
    </font>
    <font>
      <b/>
      <sz val="10"/>
      <color rgb="FF002060"/>
      <name val="&quot;Arial&quot;"/>
    </font>
    <font>
      <sz val="10"/>
      <color rgb="FF002060"/>
      <name val="&quot;Arial&quot;"/>
    </font>
    <font>
      <b/>
      <sz val="14"/>
      <color theme="1"/>
      <name val="Times New Roman"/>
      <family val="1"/>
    </font>
    <font>
      <sz val="10"/>
      <name val="Arial Narrow"/>
      <family val="2"/>
    </font>
    <font>
      <b/>
      <sz val="10"/>
      <color rgb="FF000000"/>
      <name val="Times New Roman"/>
      <family val="1"/>
    </font>
    <font>
      <sz val="10"/>
      <color rgb="FF000000"/>
      <name val="Times New Roman"/>
      <family val="1"/>
    </font>
    <font>
      <b/>
      <i/>
      <sz val="10"/>
      <color rgb="FF0000FF"/>
      <name val="Times New Roman"/>
      <family val="1"/>
    </font>
    <font>
      <i/>
      <sz val="10"/>
      <color rgb="FF000000"/>
      <name val="Times New Roman"/>
      <family val="1"/>
    </font>
    <font>
      <b/>
      <sz val="10"/>
      <color rgb="FF9900FF"/>
      <name val="Times New Roman"/>
      <family val="1"/>
    </font>
    <font>
      <i/>
      <sz val="10"/>
      <color theme="1"/>
      <name val="Times New Roman"/>
      <family val="1"/>
    </font>
    <font>
      <sz val="10"/>
      <color rgb="FF9900FF"/>
      <name val="Times New Roman"/>
      <family val="1"/>
    </font>
    <font>
      <u/>
      <sz val="10"/>
      <color rgb="FF0000FF"/>
      <name val="Times New Roman"/>
      <family val="1"/>
    </font>
    <font>
      <sz val="10"/>
      <name val="Times New Roman"/>
      <family val="1"/>
    </font>
    <font>
      <u/>
      <sz val="10"/>
      <color theme="1"/>
      <name val="Times New Roman"/>
      <family val="1"/>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66FFCC"/>
        <bgColor indexed="64"/>
      </patternFill>
    </fill>
    <fill>
      <patternFill patternType="solid">
        <fgColor rgb="FFF6F0FA"/>
        <bgColor indexed="64"/>
      </patternFill>
    </fill>
    <fill>
      <patternFill patternType="solid">
        <fgColor rgb="FFE1FFF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FFFF00"/>
        <bgColor theme="4" tint="0.79998168889431442"/>
      </patternFill>
    </fill>
    <fill>
      <patternFill patternType="solid">
        <fgColor rgb="FFFFC000"/>
        <bgColor rgb="FFFFC000"/>
      </patternFill>
    </fill>
    <fill>
      <patternFill patternType="solid">
        <fgColor rgb="FFE5DFEC"/>
        <bgColor rgb="FFE5DFEC"/>
      </patternFill>
    </fill>
    <fill>
      <patternFill patternType="solid">
        <fgColor rgb="FFFFFF00"/>
        <bgColor rgb="FFFFFF00"/>
      </patternFill>
    </fill>
    <fill>
      <patternFill patternType="solid">
        <fgColor rgb="FFD9EAD3"/>
        <bgColor rgb="FFD9EAD3"/>
      </patternFill>
    </fill>
    <fill>
      <patternFill patternType="solid">
        <fgColor rgb="FFDAEEF3"/>
        <bgColor rgb="FFDAEEF3"/>
      </patternFill>
    </fill>
    <fill>
      <patternFill patternType="solid">
        <fgColor rgb="FFEAF1DD"/>
        <bgColor rgb="FFEAF1DD"/>
      </patternFill>
    </fill>
    <fill>
      <patternFill patternType="solid">
        <fgColor rgb="FFB6D7A8"/>
        <bgColor rgb="FFB6D7A8"/>
      </patternFill>
    </fill>
    <fill>
      <patternFill patternType="solid">
        <fgColor rgb="FFFFC9C9"/>
        <bgColor rgb="FFFFC9C9"/>
      </patternFill>
    </fill>
    <fill>
      <patternFill patternType="solid">
        <fgColor rgb="FFF2DBDB"/>
        <bgColor rgb="FFF2DBDB"/>
      </patternFill>
    </fill>
    <fill>
      <patternFill patternType="solid">
        <fgColor rgb="FFD6E3BC"/>
        <bgColor rgb="FFD6E3BC"/>
      </patternFill>
    </fill>
    <fill>
      <patternFill patternType="solid">
        <fgColor rgb="FFFFF2CC"/>
        <bgColor rgb="FFFFF2CC"/>
      </patternFill>
    </fill>
    <fill>
      <patternFill patternType="solid">
        <fgColor rgb="FFCFE2F3"/>
        <bgColor rgb="FFCFE2F3"/>
      </patternFill>
    </fill>
    <fill>
      <patternFill patternType="solid">
        <fgColor rgb="FFFCE5CD"/>
        <bgColor rgb="FFFCE5CD"/>
      </patternFill>
    </fill>
    <fill>
      <patternFill patternType="solid">
        <fgColor rgb="FFD9D2E9"/>
        <bgColor rgb="FFD9D2E9"/>
      </patternFill>
    </fill>
    <fill>
      <patternFill patternType="solid">
        <fgColor rgb="FFFFF6E2"/>
        <bgColor rgb="FFFFF6E2"/>
      </patternFill>
    </fill>
    <fill>
      <patternFill patternType="solid">
        <fgColor theme="5" tint="0.79998168889431442"/>
        <bgColor rgb="FFFCE5CD"/>
      </patternFill>
    </fill>
    <fill>
      <patternFill patternType="solid">
        <fgColor theme="7" tint="0.79998168889431442"/>
        <bgColor rgb="FFFFF2CC"/>
      </patternFill>
    </fill>
    <fill>
      <patternFill patternType="solid">
        <fgColor rgb="FFFFF2CC"/>
        <bgColor indexed="64"/>
      </patternFill>
    </fill>
    <fill>
      <patternFill patternType="solid">
        <fgColor theme="7" tint="0.79998168889431442"/>
        <bgColor rgb="FFCFE2F3"/>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style="medium">
        <color rgb="FFCCCCCC"/>
      </left>
      <right style="medium">
        <color rgb="FFCCCCCC"/>
      </right>
      <top style="medium">
        <color rgb="FFCCCCCC"/>
      </top>
      <bottom style="medium">
        <color rgb="FFCCCCCC"/>
      </bottom>
      <diagonal/>
    </border>
    <border>
      <left style="medium">
        <color rgb="FFCCCCCC"/>
      </left>
      <right/>
      <top/>
      <bottom/>
      <diagonal/>
    </border>
    <border>
      <left style="thin">
        <color rgb="FFB45F06"/>
      </left>
      <right style="thin">
        <color rgb="FFB45F06"/>
      </right>
      <top style="thin">
        <color rgb="FFB45F06"/>
      </top>
      <bottom style="thin">
        <color rgb="FFB45F06"/>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4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9" fillId="0" borderId="0" applyNumberFormat="0" applyFill="0" applyBorder="0" applyAlignment="0" applyProtection="0"/>
  </cellStyleXfs>
  <cellXfs count="775">
    <xf numFmtId="0" fontId="0" fillId="0" borderId="0" xfId="0"/>
    <xf numFmtId="0" fontId="0" fillId="0" borderId="0" xfId="0" applyAlignment="1">
      <alignment horizontal="center"/>
    </xf>
    <xf numFmtId="165" fontId="0" fillId="0" borderId="0" xfId="1" applyNumberFormat="1" applyFont="1"/>
    <xf numFmtId="0" fontId="0" fillId="33" borderId="0" xfId="0" applyFill="1"/>
    <xf numFmtId="0" fontId="16" fillId="0" borderId="0" xfId="0" applyFont="1" applyAlignment="1">
      <alignment vertical="top" wrapText="1"/>
    </xf>
    <xf numFmtId="0" fontId="16" fillId="33" borderId="0" xfId="0" applyFont="1" applyFill="1" applyAlignment="1">
      <alignment vertical="top" wrapText="1"/>
    </xf>
    <xf numFmtId="0" fontId="18" fillId="0" borderId="0" xfId="0" applyFont="1" applyAlignment="1">
      <alignment vertical="top" wrapText="1"/>
    </xf>
    <xf numFmtId="0" fontId="19" fillId="0" borderId="0" xfId="0" applyFont="1"/>
    <xf numFmtId="166" fontId="20" fillId="0" borderId="0" xfId="1" applyNumberFormat="1" applyFont="1"/>
    <xf numFmtId="0" fontId="0" fillId="34" borderId="0" xfId="0" applyFill="1"/>
    <xf numFmtId="0" fontId="0" fillId="34" borderId="0" xfId="0" applyFill="1" applyAlignment="1">
      <alignment horizontal="center"/>
    </xf>
    <xf numFmtId="0" fontId="16" fillId="0" borderId="0" xfId="0" applyFont="1" applyAlignment="1">
      <alignment horizontal="center" vertical="center" wrapText="1"/>
    </xf>
    <xf numFmtId="0" fontId="0" fillId="0" borderId="0" xfId="0" applyAlignment="1">
      <alignment vertical="center"/>
    </xf>
    <xf numFmtId="3" fontId="0" fillId="0" borderId="0" xfId="0" applyNumberFormat="1" applyAlignment="1">
      <alignment vertical="center"/>
    </xf>
    <xf numFmtId="0" fontId="0" fillId="0" borderId="0" xfId="0" applyAlignment="1">
      <alignment wrapText="1"/>
    </xf>
    <xf numFmtId="0" fontId="0" fillId="0" borderId="0" xfId="0" applyAlignment="1">
      <alignment horizontal="center" vertical="center" wrapText="1"/>
    </xf>
    <xf numFmtId="164" fontId="16" fillId="0" borderId="0" xfId="2" applyNumberFormat="1" applyFont="1" applyAlignment="1">
      <alignment horizontal="center" vertical="center" wrapText="1"/>
    </xf>
    <xf numFmtId="164" fontId="0" fillId="0" borderId="0" xfId="2" applyNumberFormat="1" applyFont="1" applyAlignment="1">
      <alignment vertical="center"/>
    </xf>
    <xf numFmtId="164" fontId="0" fillId="0" borderId="0" xfId="2" applyNumberFormat="1" applyFont="1" applyAlignment="1"/>
    <xf numFmtId="166" fontId="0" fillId="0" borderId="0" xfId="1" applyNumberFormat="1" applyFont="1" applyAlignment="1"/>
    <xf numFmtId="166" fontId="0" fillId="0" borderId="0" xfId="1" applyNumberFormat="1" applyFont="1"/>
    <xf numFmtId="0" fontId="21" fillId="0" borderId="0" xfId="0" applyFont="1" applyAlignment="1">
      <alignment vertical="top" wrapText="1"/>
    </xf>
    <xf numFmtId="164" fontId="20" fillId="0" borderId="0" xfId="2" applyNumberFormat="1" applyFont="1"/>
    <xf numFmtId="0" fontId="20" fillId="0" borderId="0" xfId="0" applyFont="1"/>
    <xf numFmtId="165" fontId="16" fillId="0" borderId="0" xfId="1" applyNumberFormat="1" applyFont="1" applyFill="1" applyAlignment="1">
      <alignment vertical="top" wrapText="1"/>
    </xf>
    <xf numFmtId="165" fontId="0" fillId="0" borderId="0" xfId="1" applyNumberFormat="1" applyFont="1" applyFill="1"/>
    <xf numFmtId="164" fontId="20" fillId="0" borderId="0" xfId="2" applyNumberFormat="1" applyFont="1" applyFill="1"/>
    <xf numFmtId="164" fontId="16" fillId="33" borderId="0" xfId="0" applyNumberFormat="1" applyFont="1" applyFill="1" applyAlignment="1">
      <alignment vertical="top" wrapText="1"/>
    </xf>
    <xf numFmtId="0" fontId="0" fillId="0" borderId="0" xfId="0" applyAlignment="1">
      <alignment horizontal="left"/>
    </xf>
    <xf numFmtId="10" fontId="0" fillId="0" borderId="0" xfId="2" applyNumberFormat="1" applyFont="1"/>
    <xf numFmtId="0" fontId="0" fillId="0" borderId="0" xfId="0" quotePrefix="1"/>
    <xf numFmtId="0" fontId="16" fillId="0" borderId="0" xfId="0" applyFont="1" applyAlignment="1">
      <alignment horizontal="left"/>
    </xf>
    <xf numFmtId="0" fontId="16" fillId="0" borderId="0" xfId="0" applyFont="1" applyAlignment="1">
      <alignment horizontal="left" wrapText="1"/>
    </xf>
    <xf numFmtId="10" fontId="0" fillId="0" borderId="0" xfId="2" applyNumberFormat="1" applyFont="1" applyAlignment="1">
      <alignment horizontal="left"/>
    </xf>
    <xf numFmtId="1" fontId="0" fillId="0" borderId="0" xfId="0" applyNumberFormat="1" applyAlignment="1">
      <alignment horizontal="left"/>
    </xf>
    <xf numFmtId="37" fontId="1" fillId="0" borderId="0" xfId="1" applyNumberFormat="1" applyFont="1" applyAlignment="1">
      <alignment horizontal="left"/>
    </xf>
    <xf numFmtId="37" fontId="23" fillId="0" borderId="0" xfId="1" applyNumberFormat="1" applyFont="1" applyAlignment="1">
      <alignment horizontal="left"/>
    </xf>
    <xf numFmtId="37" fontId="23" fillId="0" borderId="0" xfId="1" applyNumberFormat="1" applyFont="1" applyFill="1" applyAlignment="1">
      <alignment horizontal="left"/>
    </xf>
    <xf numFmtId="166" fontId="0" fillId="34" borderId="0" xfId="1" applyNumberFormat="1" applyFont="1" applyFill="1"/>
    <xf numFmtId="0" fontId="16" fillId="0" borderId="0" xfId="0" applyFont="1" applyAlignment="1">
      <alignment horizontal="center" vertical="top" wrapText="1"/>
    </xf>
    <xf numFmtId="0" fontId="0" fillId="33" borderId="0" xfId="0" applyFill="1" applyAlignment="1">
      <alignment horizontal="center"/>
    </xf>
    <xf numFmtId="0" fontId="21" fillId="0" borderId="0" xfId="0" applyFont="1" applyAlignment="1">
      <alignment horizontal="center" vertical="top" wrapText="1"/>
    </xf>
    <xf numFmtId="167" fontId="21" fillId="0" borderId="0" xfId="1" applyNumberFormat="1" applyFont="1" applyFill="1" applyAlignment="1">
      <alignment horizontal="center" vertical="top" wrapText="1"/>
    </xf>
    <xf numFmtId="167" fontId="20" fillId="0" borderId="0" xfId="1" applyNumberFormat="1" applyFont="1" applyFill="1" applyAlignment="1">
      <alignment horizontal="center"/>
    </xf>
    <xf numFmtId="167" fontId="20" fillId="0" borderId="0" xfId="1" applyNumberFormat="1" applyFont="1" applyAlignment="1">
      <alignment horizontal="center"/>
    </xf>
    <xf numFmtId="0" fontId="16" fillId="34" borderId="0" xfId="0" applyFont="1" applyFill="1" applyAlignment="1">
      <alignment vertical="top" wrapText="1"/>
    </xf>
    <xf numFmtId="166" fontId="16" fillId="34" borderId="0" xfId="1" applyNumberFormat="1" applyFont="1" applyFill="1" applyAlignment="1">
      <alignment horizontal="right" vertical="top" wrapText="1"/>
    </xf>
    <xf numFmtId="0" fontId="16" fillId="34" borderId="0" xfId="0" applyFont="1" applyFill="1" applyAlignment="1">
      <alignment horizontal="right" vertical="top" wrapText="1"/>
    </xf>
    <xf numFmtId="10" fontId="16" fillId="34" borderId="0" xfId="2" applyNumberFormat="1" applyFont="1" applyFill="1" applyAlignment="1">
      <alignment horizontal="right" vertical="top" wrapText="1"/>
    </xf>
    <xf numFmtId="166" fontId="0" fillId="34" borderId="0" xfId="0" applyNumberFormat="1" applyFill="1"/>
    <xf numFmtId="10" fontId="0" fillId="34" borderId="0" xfId="2" applyNumberFormat="1" applyFont="1" applyFill="1"/>
    <xf numFmtId="0" fontId="21" fillId="37" borderId="0" xfId="0" applyFont="1" applyFill="1" applyAlignment="1">
      <alignment vertical="top" wrapText="1"/>
    </xf>
    <xf numFmtId="164" fontId="20" fillId="37" borderId="0" xfId="2" applyNumberFormat="1" applyFont="1" applyFill="1"/>
    <xf numFmtId="0" fontId="20" fillId="37" borderId="0" xfId="0" applyFont="1" applyFill="1"/>
    <xf numFmtId="0" fontId="0" fillId="36" borderId="0" xfId="0" applyFill="1" applyAlignment="1">
      <alignment vertical="center"/>
    </xf>
    <xf numFmtId="0" fontId="0" fillId="36" borderId="0" xfId="0" applyFill="1"/>
    <xf numFmtId="0" fontId="18" fillId="36" borderId="0" xfId="0" applyFont="1" applyFill="1" applyAlignment="1">
      <alignment horizontal="center" vertical="top" wrapText="1"/>
    </xf>
    <xf numFmtId="0" fontId="0" fillId="36" borderId="0" xfId="0" applyFill="1" applyAlignment="1">
      <alignment horizontal="center"/>
    </xf>
    <xf numFmtId="0" fontId="21" fillId="36" borderId="0" xfId="0" applyFont="1" applyFill="1" applyAlignment="1">
      <alignment vertical="top" wrapText="1"/>
    </xf>
    <xf numFmtId="166" fontId="19" fillId="36" borderId="0" xfId="1" applyNumberFormat="1" applyFont="1" applyFill="1" applyAlignment="1">
      <alignment vertical="center"/>
    </xf>
    <xf numFmtId="166" fontId="0" fillId="36" borderId="0" xfId="1" applyNumberFormat="1" applyFont="1" applyFill="1"/>
    <xf numFmtId="166" fontId="22" fillId="36" borderId="0" xfId="1" applyNumberFormat="1" applyFont="1" applyFill="1" applyAlignment="1">
      <alignment vertical="center"/>
    </xf>
    <xf numFmtId="166" fontId="19" fillId="36" borderId="0" xfId="1" applyNumberFormat="1" applyFont="1" applyFill="1"/>
    <xf numFmtId="0" fontId="19" fillId="36" borderId="0" xfId="1" applyNumberFormat="1" applyFont="1" applyFill="1" applyAlignment="1">
      <alignment vertical="top" wrapText="1"/>
    </xf>
    <xf numFmtId="0" fontId="24" fillId="36" borderId="0" xfId="0" applyFont="1" applyFill="1" applyAlignment="1">
      <alignment vertical="top" wrapText="1"/>
    </xf>
    <xf numFmtId="166" fontId="0" fillId="0" borderId="0" xfId="0" applyNumberFormat="1"/>
    <xf numFmtId="166" fontId="16" fillId="0" borderId="0" xfId="1" applyNumberFormat="1" applyFont="1" applyAlignment="1">
      <alignment vertical="top" wrapText="1"/>
    </xf>
    <xf numFmtId="0" fontId="16" fillId="0" borderId="0" xfId="0" applyFont="1" applyAlignment="1">
      <alignment horizontal="left" vertical="top" wrapText="1"/>
    </xf>
    <xf numFmtId="10" fontId="16" fillId="0" borderId="0" xfId="0" applyNumberFormat="1" applyFont="1" applyAlignment="1">
      <alignment vertical="top" wrapText="1"/>
    </xf>
    <xf numFmtId="166" fontId="21" fillId="0" borderId="0" xfId="1" applyNumberFormat="1" applyFont="1" applyFill="1" applyAlignment="1">
      <alignment horizontal="center" vertical="top" wrapText="1"/>
    </xf>
    <xf numFmtId="166" fontId="20" fillId="0" borderId="0" xfId="1" applyNumberFormat="1" applyFont="1" applyFill="1" applyAlignment="1">
      <alignment horizontal="center"/>
    </xf>
    <xf numFmtId="166" fontId="20" fillId="0" borderId="0" xfId="1" applyNumberFormat="1" applyFont="1" applyAlignment="1">
      <alignment horizontal="center"/>
    </xf>
    <xf numFmtId="166" fontId="20" fillId="33" borderId="0" xfId="1" applyNumberFormat="1" applyFont="1" applyFill="1" applyAlignment="1">
      <alignment horizontal="center"/>
    </xf>
    <xf numFmtId="3" fontId="20" fillId="0" borderId="0" xfId="1" applyNumberFormat="1" applyFont="1" applyFill="1" applyAlignment="1">
      <alignment horizontal="center"/>
    </xf>
    <xf numFmtId="0" fontId="0" fillId="34" borderId="0" xfId="0" applyFill="1" applyAlignment="1">
      <alignment horizontal="left"/>
    </xf>
    <xf numFmtId="9" fontId="0" fillId="34" borderId="0" xfId="2" applyFont="1" applyFill="1"/>
    <xf numFmtId="43" fontId="0" fillId="0" borderId="0" xfId="1" applyFont="1"/>
    <xf numFmtId="167" fontId="0" fillId="34" borderId="0" xfId="0" applyNumberFormat="1" applyFill="1"/>
    <xf numFmtId="43" fontId="0" fillId="0" borderId="0" xfId="0" applyNumberFormat="1"/>
    <xf numFmtId="0" fontId="25" fillId="0" borderId="0" xfId="0" applyFont="1"/>
    <xf numFmtId="166" fontId="25" fillId="34" borderId="0" xfId="1" applyNumberFormat="1" applyFont="1" applyFill="1"/>
    <xf numFmtId="0" fontId="25" fillId="0" borderId="0" xfId="0" applyFont="1" applyAlignment="1">
      <alignment vertical="center"/>
    </xf>
    <xf numFmtId="166" fontId="25" fillId="0" borderId="0" xfId="1" applyNumberFormat="1" applyFont="1"/>
    <xf numFmtId="168" fontId="25" fillId="0" borderId="0" xfId="1" applyNumberFormat="1" applyFont="1"/>
    <xf numFmtId="43" fontId="25" fillId="0" borderId="0" xfId="0" applyNumberFormat="1" applyFont="1"/>
    <xf numFmtId="3" fontId="25" fillId="0" borderId="0" xfId="0" applyNumberFormat="1" applyFont="1" applyAlignment="1">
      <alignment vertical="center"/>
    </xf>
    <xf numFmtId="168" fontId="25" fillId="0" borderId="0" xfId="0" applyNumberFormat="1" applyFont="1"/>
    <xf numFmtId="0" fontId="19" fillId="33" borderId="0" xfId="0" applyFont="1" applyFill="1"/>
    <xf numFmtId="37" fontId="0" fillId="0" borderId="0" xfId="1" applyNumberFormat="1" applyFont="1" applyFill="1" applyAlignment="1">
      <alignment horizontal="right"/>
    </xf>
    <xf numFmtId="37" fontId="0" fillId="0" borderId="0" xfId="1" applyNumberFormat="1" applyFont="1" applyAlignment="1">
      <alignment horizontal="right"/>
    </xf>
    <xf numFmtId="43" fontId="0" fillId="34" borderId="0" xfId="0" applyNumberFormat="1" applyFill="1"/>
    <xf numFmtId="43" fontId="0" fillId="34" borderId="0" xfId="1" applyFont="1" applyFill="1"/>
    <xf numFmtId="0" fontId="20" fillId="33" borderId="0" xfId="0" applyFont="1" applyFill="1"/>
    <xf numFmtId="0" fontId="26" fillId="0" borderId="0" xfId="0" applyFont="1"/>
    <xf numFmtId="0" fontId="27" fillId="0" borderId="0" xfId="0" applyFont="1"/>
    <xf numFmtId="0" fontId="28" fillId="0" borderId="0" xfId="0" applyFont="1"/>
    <xf numFmtId="0" fontId="27" fillId="33" borderId="0" xfId="0" applyFont="1" applyFill="1"/>
    <xf numFmtId="164" fontId="0" fillId="0" borderId="0" xfId="2" applyNumberFormat="1" applyFont="1"/>
    <xf numFmtId="0" fontId="21" fillId="38" borderId="10" xfId="0" applyFont="1" applyFill="1" applyBorder="1" applyAlignment="1">
      <alignment wrapText="1"/>
    </xf>
    <xf numFmtId="166" fontId="19" fillId="0" borderId="0" xfId="1" applyNumberFormat="1" applyFont="1"/>
    <xf numFmtId="166" fontId="19" fillId="0" borderId="0" xfId="1" applyNumberFormat="1" applyFont="1" applyAlignment="1">
      <alignment horizontal="left"/>
    </xf>
    <xf numFmtId="166" fontId="19" fillId="0" borderId="0" xfId="1" applyNumberFormat="1" applyFont="1" applyFill="1"/>
    <xf numFmtId="166" fontId="0" fillId="39" borderId="0" xfId="1" applyNumberFormat="1" applyFont="1" applyFill="1"/>
    <xf numFmtId="0" fontId="0" fillId="39" borderId="0" xfId="0" applyFill="1"/>
    <xf numFmtId="166" fontId="19" fillId="39" borderId="0" xfId="1" applyNumberFormat="1" applyFont="1" applyFill="1"/>
    <xf numFmtId="0" fontId="16" fillId="39" borderId="0" xfId="0" applyFont="1" applyFill="1" applyAlignment="1">
      <alignment horizontal="left" vertical="top" wrapText="1"/>
    </xf>
    <xf numFmtId="0" fontId="0" fillId="39" borderId="0" xfId="0" applyFill="1" applyAlignment="1">
      <alignment horizontal="left"/>
    </xf>
    <xf numFmtId="164" fontId="0" fillId="39" borderId="0" xfId="2" applyNumberFormat="1" applyFont="1" applyFill="1" applyAlignment="1">
      <alignment horizontal="left"/>
    </xf>
    <xf numFmtId="9" fontId="0" fillId="39" borderId="0" xfId="2" applyFont="1" applyFill="1" applyAlignment="1">
      <alignment horizontal="left"/>
    </xf>
    <xf numFmtId="166" fontId="20" fillId="39" borderId="0" xfId="1" applyNumberFormat="1" applyFont="1" applyFill="1" applyAlignment="1">
      <alignment wrapText="1"/>
    </xf>
    <xf numFmtId="0" fontId="20" fillId="39" borderId="0" xfId="0" applyFont="1" applyFill="1" applyAlignment="1">
      <alignment horizontal="left" wrapText="1"/>
    </xf>
    <xf numFmtId="0" fontId="20" fillId="39" borderId="0" xfId="0" applyFont="1" applyFill="1" applyAlignment="1">
      <alignment wrapText="1"/>
    </xf>
    <xf numFmtId="164" fontId="20" fillId="39" borderId="0" xfId="2" applyNumberFormat="1" applyFont="1" applyFill="1" applyAlignment="1">
      <alignment horizontal="left" wrapText="1"/>
    </xf>
    <xf numFmtId="0" fontId="0" fillId="39" borderId="0" xfId="0" applyFill="1" applyAlignment="1">
      <alignment wrapText="1"/>
    </xf>
    <xf numFmtId="166" fontId="1" fillId="39" borderId="0" xfId="1" applyNumberFormat="1" applyFont="1" applyFill="1"/>
    <xf numFmtId="164" fontId="21" fillId="0" borderId="0" xfId="2" applyNumberFormat="1" applyFont="1" applyAlignment="1">
      <alignment vertical="top" wrapText="1"/>
    </xf>
    <xf numFmtId="164" fontId="0" fillId="39" borderId="0" xfId="2" applyNumberFormat="1" applyFont="1" applyFill="1"/>
    <xf numFmtId="164" fontId="0" fillId="39" borderId="0" xfId="2" applyNumberFormat="1" applyFont="1" applyFill="1" applyAlignment="1">
      <alignment wrapText="1"/>
    </xf>
    <xf numFmtId="164" fontId="21" fillId="34" borderId="0" xfId="2" applyNumberFormat="1" applyFont="1" applyFill="1" applyAlignment="1">
      <alignment vertical="top" wrapText="1"/>
    </xf>
    <xf numFmtId="0" fontId="30" fillId="0" borderId="0" xfId="0" applyFont="1" applyAlignment="1">
      <alignment horizontal="right" vertical="top"/>
    </xf>
    <xf numFmtId="0" fontId="30" fillId="0" borderId="0" xfId="0" quotePrefix="1" applyFont="1" applyAlignment="1">
      <alignment horizontal="right" vertical="top"/>
    </xf>
    <xf numFmtId="0" fontId="16" fillId="0" borderId="0" xfId="0" applyFont="1" applyAlignment="1">
      <alignment horizontal="center" vertical="center"/>
    </xf>
    <xf numFmtId="0" fontId="29" fillId="0" borderId="0" xfId="44" applyAlignment="1">
      <alignment horizontal="center" vertical="center"/>
    </xf>
    <xf numFmtId="169" fontId="20" fillId="0" borderId="0" xfId="0" applyNumberFormat="1" applyFont="1"/>
    <xf numFmtId="0" fontId="20" fillId="0" borderId="0" xfId="0" applyFont="1" applyAlignment="1">
      <alignment wrapText="1"/>
    </xf>
    <xf numFmtId="0" fontId="29" fillId="0" borderId="0" xfId="44" applyAlignment="1">
      <alignment horizontal="center" vertical="center" wrapText="1"/>
    </xf>
    <xf numFmtId="0" fontId="32" fillId="0" borderId="0" xfId="44" applyFont="1" applyAlignment="1">
      <alignment horizontal="center" vertical="center" wrapText="1"/>
    </xf>
    <xf numFmtId="0" fontId="31" fillId="0" borderId="0" xfId="44" applyFont="1" applyAlignment="1">
      <alignment horizontal="center" vertical="center" wrapText="1"/>
    </xf>
    <xf numFmtId="0" fontId="33" fillId="0" borderId="11" xfId="0" applyFont="1" applyBorder="1" applyAlignment="1">
      <alignment horizontal="center" wrapText="1"/>
    </xf>
    <xf numFmtId="0" fontId="34" fillId="0" borderId="11" xfId="0" applyFont="1" applyBorder="1" applyAlignment="1">
      <alignment horizontal="center" wrapText="1"/>
    </xf>
    <xf numFmtId="0" fontId="29" fillId="0" borderId="0" xfId="44" applyAlignment="1">
      <alignment vertical="center"/>
    </xf>
    <xf numFmtId="9" fontId="0" fillId="0" borderId="0" xfId="0" applyNumberFormat="1" applyAlignment="1">
      <alignment vertical="center"/>
    </xf>
    <xf numFmtId="16" fontId="0" fillId="0" borderId="0" xfId="0" applyNumberFormat="1" applyAlignment="1">
      <alignment vertical="center"/>
    </xf>
    <xf numFmtId="9" fontId="0" fillId="0" borderId="0" xfId="2" applyFont="1" applyAlignment="1">
      <alignment vertical="center"/>
    </xf>
    <xf numFmtId="166" fontId="0" fillId="0" borderId="0" xfId="1" applyNumberFormat="1" applyFont="1" applyAlignment="1">
      <alignment vertical="center"/>
    </xf>
    <xf numFmtId="0" fontId="29" fillId="0" borderId="12" xfId="44" applyBorder="1" applyAlignment="1">
      <alignment vertical="center"/>
    </xf>
    <xf numFmtId="0" fontId="29" fillId="0" borderId="11" xfId="44" applyBorder="1" applyAlignment="1"/>
    <xf numFmtId="3" fontId="35" fillId="0" borderId="11" xfId="0" applyNumberFormat="1" applyFont="1" applyBorder="1" applyAlignment="1">
      <alignment horizontal="right"/>
    </xf>
    <xf numFmtId="9" fontId="35" fillId="0" borderId="11" xfId="0" applyNumberFormat="1" applyFont="1" applyBorder="1" applyAlignment="1">
      <alignment horizontal="right"/>
    </xf>
    <xf numFmtId="170" fontId="36" fillId="0" borderId="11" xfId="0" applyNumberFormat="1" applyFont="1" applyBorder="1"/>
    <xf numFmtId="169" fontId="36" fillId="0" borderId="11" xfId="0" applyNumberFormat="1" applyFont="1" applyBorder="1"/>
    <xf numFmtId="0" fontId="35" fillId="0" borderId="11" xfId="0" applyFont="1" applyBorder="1"/>
    <xf numFmtId="0" fontId="35" fillId="0" borderId="11" xfId="0" applyFont="1" applyBorder="1" applyAlignment="1">
      <alignment horizontal="right"/>
    </xf>
    <xf numFmtId="10" fontId="0" fillId="0" borderId="0" xfId="0" applyNumberFormat="1" applyAlignment="1">
      <alignment vertical="center"/>
    </xf>
    <xf numFmtId="0" fontId="16" fillId="34" borderId="0" xfId="0" applyFont="1" applyFill="1"/>
    <xf numFmtId="0" fontId="37" fillId="34" borderId="0" xfId="44" applyFont="1" applyFill="1" applyAlignment="1">
      <alignment vertical="center"/>
    </xf>
    <xf numFmtId="3" fontId="16" fillId="34" borderId="0" xfId="0" applyNumberFormat="1" applyFont="1" applyFill="1" applyAlignment="1">
      <alignment vertical="center"/>
    </xf>
    <xf numFmtId="9" fontId="16" fillId="34" borderId="0" xfId="0" applyNumberFormat="1" applyFont="1" applyFill="1" applyAlignment="1">
      <alignment vertical="center"/>
    </xf>
    <xf numFmtId="16" fontId="16" fillId="34" borderId="0" xfId="0" applyNumberFormat="1" applyFont="1" applyFill="1" applyAlignment="1">
      <alignment vertical="center"/>
    </xf>
    <xf numFmtId="166" fontId="16" fillId="34" borderId="0" xfId="1" applyNumberFormat="1" applyFont="1" applyFill="1" applyAlignment="1"/>
    <xf numFmtId="3" fontId="20" fillId="0" borderId="0" xfId="0" applyNumberFormat="1" applyFont="1" applyAlignment="1">
      <alignment vertical="center"/>
    </xf>
    <xf numFmtId="3" fontId="0" fillId="0" borderId="11" xfId="0" applyNumberFormat="1" applyBorder="1" applyAlignment="1">
      <alignment horizontal="right"/>
    </xf>
    <xf numFmtId="0" fontId="29" fillId="0" borderId="0" xfId="44"/>
    <xf numFmtId="0" fontId="30" fillId="0" borderId="0" xfId="0" applyFont="1" applyAlignment="1">
      <alignment vertical="top"/>
    </xf>
    <xf numFmtId="0" fontId="30" fillId="0" borderId="0" xfId="0" applyFont="1" applyAlignment="1">
      <alignment horizontal="center" vertical="top"/>
    </xf>
    <xf numFmtId="0" fontId="38" fillId="0" borderId="0" xfId="44" applyFont="1" applyAlignment="1">
      <alignment horizontal="center" vertical="top"/>
    </xf>
    <xf numFmtId="169" fontId="39" fillId="0" borderId="0" xfId="0" applyNumberFormat="1" applyFont="1" applyAlignment="1">
      <alignment vertical="top"/>
    </xf>
    <xf numFmtId="0" fontId="30" fillId="0" borderId="0" xfId="0" applyFont="1" applyAlignment="1">
      <alignment horizontal="center" vertical="top" wrapText="1"/>
    </xf>
    <xf numFmtId="0" fontId="39" fillId="0" borderId="0" xfId="0" applyFont="1" applyAlignment="1">
      <alignment horizontal="center" vertical="center" wrapText="1"/>
    </xf>
    <xf numFmtId="0" fontId="0" fillId="0" borderId="0" xfId="0" applyAlignment="1">
      <alignment horizontal="center" vertical="center"/>
    </xf>
    <xf numFmtId="0" fontId="16" fillId="34" borderId="0" xfId="0" applyFont="1" applyFill="1" applyAlignment="1">
      <alignment horizontal="center" vertical="center"/>
    </xf>
    <xf numFmtId="164" fontId="30" fillId="0" borderId="0" xfId="0" applyNumberFormat="1" applyFont="1" applyAlignment="1">
      <alignment horizontal="center" vertical="top"/>
    </xf>
    <xf numFmtId="164" fontId="30" fillId="0" borderId="0" xfId="44" applyNumberFormat="1" applyFont="1" applyAlignment="1">
      <alignment horizontal="center" vertical="top" wrapText="1"/>
    </xf>
    <xf numFmtId="0" fontId="0" fillId="41" borderId="0" xfId="0" applyFill="1" applyAlignment="1">
      <alignment horizontal="right" wrapText="1"/>
    </xf>
    <xf numFmtId="166" fontId="0" fillId="41" borderId="0" xfId="1" applyNumberFormat="1" applyFont="1" applyFill="1"/>
    <xf numFmtId="166" fontId="0" fillId="41" borderId="0" xfId="0" applyNumberFormat="1" applyFill="1"/>
    <xf numFmtId="0" fontId="0" fillId="41" borderId="0" xfId="0" applyFill="1"/>
    <xf numFmtId="164" fontId="0" fillId="41" borderId="0" xfId="2" applyNumberFormat="1" applyFont="1" applyFill="1" applyAlignment="1">
      <alignment horizontal="right" wrapText="1"/>
    </xf>
    <xf numFmtId="164" fontId="0" fillId="41" borderId="0" xfId="2" applyNumberFormat="1" applyFont="1" applyFill="1"/>
    <xf numFmtId="43" fontId="0" fillId="41" borderId="0" xfId="1" applyFont="1" applyFill="1" applyAlignment="1">
      <alignment horizontal="right" wrapText="1"/>
    </xf>
    <xf numFmtId="43" fontId="0" fillId="41" borderId="0" xfId="1" applyFont="1" applyFill="1"/>
    <xf numFmtId="43" fontId="41" fillId="42" borderId="0" xfId="1" applyFont="1" applyFill="1" applyAlignment="1">
      <alignment horizontal="left" wrapText="1"/>
    </xf>
    <xf numFmtId="166" fontId="0" fillId="42" borderId="0" xfId="1" applyNumberFormat="1" applyFont="1" applyFill="1"/>
    <xf numFmtId="43" fontId="0" fillId="42" borderId="0" xfId="1" applyFont="1" applyFill="1"/>
    <xf numFmtId="0" fontId="0" fillId="42" borderId="0" xfId="0" applyFill="1" applyAlignment="1">
      <alignment horizontal="right"/>
    </xf>
    <xf numFmtId="10" fontId="0" fillId="42" borderId="0" xfId="0" applyNumberFormat="1" applyFill="1"/>
    <xf numFmtId="0" fontId="0" fillId="42" borderId="0" xfId="0" applyFill="1"/>
    <xf numFmtId="164" fontId="1" fillId="42" borderId="0" xfId="2" applyNumberFormat="1" applyFont="1" applyFill="1" applyAlignment="1">
      <alignment horizontal="right" wrapText="1"/>
    </xf>
    <xf numFmtId="166" fontId="16" fillId="42" borderId="0" xfId="1" applyNumberFormat="1" applyFont="1" applyFill="1"/>
    <xf numFmtId="164" fontId="16" fillId="42" borderId="0" xfId="2" applyNumberFormat="1" applyFont="1" applyFill="1"/>
    <xf numFmtId="164" fontId="16" fillId="42" borderId="0" xfId="2" applyNumberFormat="1" applyFont="1" applyFill="1" applyAlignment="1">
      <alignment horizontal="right" wrapText="1"/>
    </xf>
    <xf numFmtId="164" fontId="0" fillId="42" borderId="0" xfId="2" applyNumberFormat="1" applyFont="1" applyFill="1"/>
    <xf numFmtId="164" fontId="16" fillId="42" borderId="0" xfId="2" applyNumberFormat="1" applyFont="1" applyFill="1" applyAlignment="1">
      <alignment horizontal="left" wrapText="1"/>
    </xf>
    <xf numFmtId="164" fontId="0" fillId="42" borderId="0" xfId="2" applyNumberFormat="1" applyFont="1" applyFill="1" applyAlignment="1">
      <alignment horizontal="right" wrapText="1"/>
    </xf>
    <xf numFmtId="0" fontId="0" fillId="42" borderId="0" xfId="0" applyFill="1" applyAlignment="1">
      <alignment horizontal="right" wrapText="1"/>
    </xf>
    <xf numFmtId="164" fontId="1" fillId="0" borderId="0" xfId="2" applyNumberFormat="1" applyFont="1" applyFill="1"/>
    <xf numFmtId="0" fontId="16" fillId="42" borderId="0" xfId="0" applyFont="1" applyFill="1" applyAlignment="1">
      <alignment horizontal="left" wrapText="1"/>
    </xf>
    <xf numFmtId="9" fontId="0" fillId="42" borderId="0" xfId="2" applyFont="1" applyFill="1"/>
    <xf numFmtId="166" fontId="41" fillId="36" borderId="0" xfId="1" applyNumberFormat="1" applyFont="1" applyFill="1" applyAlignment="1">
      <alignment horizontal="left" wrapText="1"/>
    </xf>
    <xf numFmtId="166" fontId="16" fillId="36" borderId="0" xfId="1" applyNumberFormat="1" applyFont="1" applyFill="1"/>
    <xf numFmtId="0" fontId="0" fillId="36" borderId="0" xfId="0" applyFill="1" applyAlignment="1">
      <alignment horizontal="right" wrapText="1"/>
    </xf>
    <xf numFmtId="166" fontId="1" fillId="36" borderId="0" xfId="1" applyNumberFormat="1" applyFont="1" applyFill="1"/>
    <xf numFmtId="43" fontId="1" fillId="36" borderId="0" xfId="1" applyFont="1" applyFill="1"/>
    <xf numFmtId="0" fontId="16" fillId="36" borderId="0" xfId="0" applyFont="1" applyFill="1" applyAlignment="1">
      <alignment horizontal="right" wrapText="1"/>
    </xf>
    <xf numFmtId="0" fontId="16" fillId="36" borderId="0" xfId="0" applyFont="1" applyFill="1"/>
    <xf numFmtId="164" fontId="16" fillId="36" borderId="0" xfId="0" applyNumberFormat="1" applyFont="1" applyFill="1" applyAlignment="1">
      <alignment horizontal="left" wrapText="1"/>
    </xf>
    <xf numFmtId="164" fontId="0" fillId="36" borderId="0" xfId="2" applyNumberFormat="1" applyFont="1" applyFill="1" applyAlignment="1">
      <alignment horizontal="right" wrapText="1"/>
    </xf>
    <xf numFmtId="9" fontId="42" fillId="36" borderId="0" xfId="2" applyFont="1" applyFill="1"/>
    <xf numFmtId="164" fontId="42" fillId="36" borderId="0" xfId="2" applyNumberFormat="1" applyFont="1" applyFill="1"/>
    <xf numFmtId="164" fontId="0" fillId="36" borderId="0" xfId="2" applyNumberFormat="1" applyFont="1" applyFill="1"/>
    <xf numFmtId="171" fontId="0" fillId="36" borderId="0" xfId="2" applyNumberFormat="1" applyFont="1" applyFill="1" applyAlignment="1">
      <alignment horizontal="right" wrapText="1"/>
    </xf>
    <xf numFmtId="10" fontId="0" fillId="36" borderId="0" xfId="2" applyNumberFormat="1" applyFont="1" applyFill="1"/>
    <xf numFmtId="171" fontId="0" fillId="36" borderId="0" xfId="2" applyNumberFormat="1" applyFont="1" applyFill="1"/>
    <xf numFmtId="9" fontId="0" fillId="36" borderId="0" xfId="2" applyFont="1" applyFill="1"/>
    <xf numFmtId="9" fontId="1" fillId="0" borderId="0" xfId="2" applyFont="1" applyFill="1"/>
    <xf numFmtId="0" fontId="16" fillId="36" borderId="0" xfId="0" applyFont="1" applyFill="1" applyAlignment="1">
      <alignment horizontal="left" wrapText="1"/>
    </xf>
    <xf numFmtId="9" fontId="16" fillId="36" borderId="0" xfId="2" applyFont="1" applyFill="1"/>
    <xf numFmtId="9" fontId="1" fillId="36" borderId="0" xfId="2" applyFont="1" applyFill="1"/>
    <xf numFmtId="166" fontId="16" fillId="0" borderId="0" xfId="1" applyNumberFormat="1" applyFont="1" applyFill="1" applyAlignment="1">
      <alignment horizontal="right" wrapText="1"/>
    </xf>
    <xf numFmtId="9" fontId="16" fillId="0" borderId="0" xfId="2" applyFont="1" applyFill="1"/>
    <xf numFmtId="0" fontId="0" fillId="0" borderId="0" xfId="0" applyAlignment="1">
      <alignment horizontal="right"/>
    </xf>
    <xf numFmtId="0" fontId="30" fillId="34" borderId="0" xfId="44" applyFont="1" applyFill="1" applyAlignment="1">
      <alignment horizontal="center" vertical="top" wrapText="1"/>
    </xf>
    <xf numFmtId="0" fontId="30" fillId="34" borderId="0" xfId="0" applyFont="1" applyFill="1" applyAlignment="1">
      <alignment horizontal="center" vertical="center" wrapText="1"/>
    </xf>
    <xf numFmtId="0" fontId="30" fillId="34" borderId="0" xfId="0" applyFont="1" applyFill="1" applyAlignment="1">
      <alignment vertical="top"/>
    </xf>
    <xf numFmtId="0" fontId="40" fillId="34" borderId="11" xfId="0" applyFont="1" applyFill="1" applyBorder="1" applyAlignment="1">
      <alignment horizontal="center" wrapText="1"/>
    </xf>
    <xf numFmtId="3" fontId="35" fillId="34" borderId="11" xfId="0" applyNumberFormat="1" applyFont="1" applyFill="1" applyBorder="1" applyAlignment="1">
      <alignment horizontal="right"/>
    </xf>
    <xf numFmtId="0" fontId="35" fillId="34" borderId="11" xfId="0" applyFont="1" applyFill="1" applyBorder="1" applyAlignment="1">
      <alignment horizontal="right"/>
    </xf>
    <xf numFmtId="3" fontId="0" fillId="34" borderId="11" xfId="0" applyNumberFormat="1" applyFill="1" applyBorder="1" applyAlignment="1">
      <alignment horizontal="right"/>
    </xf>
    <xf numFmtId="0" fontId="29" fillId="0" borderId="0" xfId="44" applyBorder="1" applyAlignment="1"/>
    <xf numFmtId="0" fontId="29" fillId="0" borderId="11" xfId="44" applyBorder="1" applyAlignment="1">
      <alignment vertical="center"/>
    </xf>
    <xf numFmtId="3" fontId="35" fillId="0" borderId="0" xfId="0" applyNumberFormat="1" applyFont="1" applyAlignment="1">
      <alignment horizontal="right"/>
    </xf>
    <xf numFmtId="0" fontId="0" fillId="0" borderId="11" xfId="0" applyBorder="1" applyAlignment="1">
      <alignment vertical="center"/>
    </xf>
    <xf numFmtId="0" fontId="35" fillId="0" borderId="0" xfId="0" applyFont="1" applyAlignment="1">
      <alignment horizontal="right"/>
    </xf>
    <xf numFmtId="3" fontId="0" fillId="0" borderId="11" xfId="0" applyNumberFormat="1" applyBorder="1" applyAlignment="1">
      <alignment vertical="center"/>
    </xf>
    <xf numFmtId="3" fontId="1" fillId="34" borderId="0" xfId="0" applyNumberFormat="1" applyFont="1" applyFill="1" applyAlignment="1">
      <alignment vertical="center"/>
    </xf>
    <xf numFmtId="0" fontId="1" fillId="34" borderId="0" xfId="0" applyFont="1" applyFill="1" applyAlignment="1">
      <alignment vertical="center"/>
    </xf>
    <xf numFmtId="0" fontId="1" fillId="34" borderId="0" xfId="0" applyFont="1" applyFill="1"/>
    <xf numFmtId="3" fontId="1" fillId="34" borderId="11" xfId="0" applyNumberFormat="1" applyFont="1" applyFill="1" applyBorder="1" applyAlignment="1">
      <alignment vertical="center"/>
    </xf>
    <xf numFmtId="0" fontId="1" fillId="34" borderId="11" xfId="0" applyFont="1" applyFill="1" applyBorder="1" applyAlignment="1">
      <alignment vertical="center"/>
    </xf>
    <xf numFmtId="3" fontId="1" fillId="34" borderId="0" xfId="0" applyNumberFormat="1" applyFont="1" applyFill="1" applyAlignment="1">
      <alignment horizontal="right"/>
    </xf>
    <xf numFmtId="3" fontId="1" fillId="34" borderId="11" xfId="0" applyNumberFormat="1" applyFont="1" applyFill="1" applyBorder="1" applyAlignment="1">
      <alignment horizontal="right"/>
    </xf>
    <xf numFmtId="0" fontId="1" fillId="34" borderId="11" xfId="0" applyFont="1" applyFill="1" applyBorder="1" applyAlignment="1">
      <alignment horizontal="right"/>
    </xf>
    <xf numFmtId="164" fontId="20" fillId="41" borderId="0" xfId="2" applyNumberFormat="1" applyFont="1" applyFill="1" applyAlignment="1">
      <alignment horizontal="right" wrapText="1"/>
    </xf>
    <xf numFmtId="164" fontId="20" fillId="41" borderId="0" xfId="2" applyNumberFormat="1" applyFont="1" applyFill="1"/>
    <xf numFmtId="166" fontId="20" fillId="40" borderId="0" xfId="1" applyNumberFormat="1" applyFont="1" applyFill="1" applyAlignment="1">
      <alignment wrapText="1"/>
    </xf>
    <xf numFmtId="0" fontId="20" fillId="40" borderId="0" xfId="0" applyFont="1" applyFill="1" applyAlignment="1">
      <alignment wrapText="1"/>
    </xf>
    <xf numFmtId="0" fontId="41" fillId="40" borderId="0" xfId="0" applyFont="1" applyFill="1" applyAlignment="1">
      <alignment horizontal="left"/>
    </xf>
    <xf numFmtId="166" fontId="19" fillId="41" borderId="0" xfId="1" applyNumberFormat="1" applyFont="1" applyFill="1" applyAlignment="1">
      <alignment horizontal="right" wrapText="1"/>
    </xf>
    <xf numFmtId="166" fontId="19" fillId="41" borderId="0" xfId="1" applyNumberFormat="1" applyFont="1" applyFill="1"/>
    <xf numFmtId="43" fontId="0" fillId="36" borderId="0" xfId="1" applyFont="1" applyFill="1" applyAlignment="1">
      <alignment horizontal="right" wrapText="1"/>
    </xf>
    <xf numFmtId="165" fontId="20" fillId="36" borderId="0" xfId="1" applyNumberFormat="1" applyFont="1" applyFill="1"/>
    <xf numFmtId="166" fontId="20" fillId="36" borderId="0" xfId="1" applyNumberFormat="1" applyFont="1" applyFill="1"/>
    <xf numFmtId="0" fontId="43" fillId="43" borderId="0" xfId="0" applyFont="1" applyFill="1" applyAlignment="1">
      <alignment horizontal="left" wrapText="1"/>
    </xf>
    <xf numFmtId="164" fontId="31" fillId="43" borderId="0" xfId="2" applyNumberFormat="1" applyFont="1" applyFill="1"/>
    <xf numFmtId="0" fontId="31" fillId="43" borderId="0" xfId="0" applyFont="1" applyFill="1"/>
    <xf numFmtId="0" fontId="31" fillId="43" borderId="0" xfId="0" applyFont="1" applyFill="1" applyAlignment="1">
      <alignment horizontal="right" wrapText="1"/>
    </xf>
    <xf numFmtId="9" fontId="31" fillId="0" borderId="0" xfId="2" applyFont="1" applyFill="1" applyAlignment="1">
      <alignment horizontal="right" wrapText="1"/>
    </xf>
    <xf numFmtId="166" fontId="39" fillId="43" borderId="0" xfId="1" applyNumberFormat="1" applyFont="1" applyFill="1"/>
    <xf numFmtId="166" fontId="30" fillId="43" borderId="0" xfId="1" applyNumberFormat="1" applyFont="1" applyFill="1"/>
    <xf numFmtId="0" fontId="16" fillId="0" borderId="0" xfId="0" applyFont="1" applyAlignment="1">
      <alignment wrapText="1"/>
    </xf>
    <xf numFmtId="0" fontId="16" fillId="0" borderId="0" xfId="0" pivotButton="1" applyFont="1" applyAlignment="1">
      <alignment wrapText="1"/>
    </xf>
    <xf numFmtId="0" fontId="0" fillId="0" borderId="0" xfId="0" pivotButton="1"/>
    <xf numFmtId="3" fontId="16" fillId="0" borderId="0" xfId="1" applyNumberFormat="1" applyFont="1" applyAlignment="1">
      <alignment horizontal="left" vertical="center" wrapText="1"/>
    </xf>
    <xf numFmtId="3" fontId="0" fillId="0" borderId="0" xfId="0" applyNumberFormat="1" applyAlignment="1">
      <alignment horizontal="left" wrapText="1"/>
    </xf>
    <xf numFmtId="3" fontId="0" fillId="0" borderId="0" xfId="1" applyNumberFormat="1" applyFont="1" applyAlignment="1">
      <alignment horizontal="left"/>
    </xf>
    <xf numFmtId="3" fontId="0" fillId="0" borderId="0" xfId="0" applyNumberFormat="1" applyAlignment="1">
      <alignment horizontal="left"/>
    </xf>
    <xf numFmtId="0" fontId="0" fillId="0" borderId="0" xfId="0" applyAlignment="1">
      <alignment horizontal="left" wrapText="1"/>
    </xf>
    <xf numFmtId="166" fontId="44" fillId="0" borderId="0" xfId="1" applyNumberFormat="1" applyFont="1"/>
    <xf numFmtId="164" fontId="44" fillId="0" borderId="0" xfId="2" applyNumberFormat="1" applyFont="1"/>
    <xf numFmtId="0" fontId="14" fillId="0" borderId="0" xfId="0" applyFont="1"/>
    <xf numFmtId="9" fontId="14" fillId="35" borderId="0" xfId="2" applyFont="1" applyFill="1" applyAlignment="1">
      <alignment horizontal="right"/>
    </xf>
    <xf numFmtId="0" fontId="44" fillId="0" borderId="0" xfId="0" applyFont="1"/>
    <xf numFmtId="37" fontId="45" fillId="35" borderId="0" xfId="1" applyNumberFormat="1" applyFont="1" applyFill="1" applyAlignment="1">
      <alignment horizontal="right"/>
    </xf>
    <xf numFmtId="10" fontId="45" fillId="35" borderId="0" xfId="2" applyNumberFormat="1" applyFont="1" applyFill="1" applyAlignment="1">
      <alignment horizontal="right"/>
    </xf>
    <xf numFmtId="173" fontId="45" fillId="35" borderId="0" xfId="2" applyNumberFormat="1" applyFont="1" applyFill="1" applyAlignment="1">
      <alignment horizontal="right"/>
    </xf>
    <xf numFmtId="173" fontId="14" fillId="35" borderId="0" xfId="2" applyNumberFormat="1" applyFont="1" applyFill="1" applyAlignment="1">
      <alignment horizontal="right"/>
    </xf>
    <xf numFmtId="10" fontId="14" fillId="35" borderId="0" xfId="1" applyNumberFormat="1" applyFont="1" applyFill="1" applyAlignment="1">
      <alignment horizontal="right"/>
    </xf>
    <xf numFmtId="166" fontId="20" fillId="36" borderId="0" xfId="0" applyNumberFormat="1" applyFont="1" applyFill="1" applyAlignment="1">
      <alignment horizontal="center"/>
    </xf>
    <xf numFmtId="0" fontId="21" fillId="36" borderId="0" xfId="0" applyFont="1" applyFill="1" applyAlignment="1">
      <alignment horizontal="center" vertical="top" wrapText="1"/>
    </xf>
    <xf numFmtId="166" fontId="21" fillId="0" borderId="0" xfId="1" applyNumberFormat="1" applyFont="1" applyFill="1" applyAlignment="1">
      <alignment vertical="top" wrapText="1"/>
    </xf>
    <xf numFmtId="166" fontId="21" fillId="0" borderId="0" xfId="1" applyNumberFormat="1" applyFont="1" applyFill="1" applyAlignment="1">
      <alignment horizontal="right" vertical="top" wrapText="1"/>
    </xf>
    <xf numFmtId="166" fontId="21" fillId="0" borderId="0" xfId="1" applyNumberFormat="1" applyFont="1" applyAlignment="1">
      <alignment horizontal="right" vertical="top" wrapText="1"/>
    </xf>
    <xf numFmtId="166" fontId="20" fillId="0" borderId="0" xfId="1" applyNumberFormat="1" applyFont="1" applyFill="1"/>
    <xf numFmtId="166" fontId="20" fillId="0" borderId="0" xfId="1" applyNumberFormat="1" applyFont="1" applyFill="1" applyAlignment="1">
      <alignment horizontal="right"/>
    </xf>
    <xf numFmtId="166" fontId="20" fillId="0" borderId="0" xfId="1" applyNumberFormat="1" applyFont="1" applyAlignment="1">
      <alignment horizontal="right"/>
    </xf>
    <xf numFmtId="166" fontId="20" fillId="36" borderId="0" xfId="1" applyNumberFormat="1" applyFont="1" applyFill="1" applyAlignment="1">
      <alignment horizontal="center"/>
    </xf>
    <xf numFmtId="166" fontId="44" fillId="0" borderId="0" xfId="1" applyNumberFormat="1" applyFont="1" applyFill="1"/>
    <xf numFmtId="166" fontId="44" fillId="0" borderId="0" xfId="1" applyNumberFormat="1" applyFont="1" applyFill="1" applyAlignment="1">
      <alignment horizontal="right"/>
    </xf>
    <xf numFmtId="166" fontId="44" fillId="0" borderId="0" xfId="1" applyNumberFormat="1" applyFont="1" applyAlignment="1">
      <alignment horizontal="right"/>
    </xf>
    <xf numFmtId="166" fontId="20" fillId="35" borderId="0" xfId="1" applyNumberFormat="1" applyFont="1" applyFill="1" applyAlignment="1">
      <alignment horizontal="right"/>
    </xf>
    <xf numFmtId="166" fontId="20" fillId="0" borderId="0" xfId="1" applyNumberFormat="1" applyFont="1" applyAlignment="1">
      <alignment horizontal="left"/>
    </xf>
    <xf numFmtId="0" fontId="0" fillId="44" borderId="0" xfId="0" applyFill="1"/>
    <xf numFmtId="0" fontId="0" fillId="44" borderId="0" xfId="0" applyFill="1" applyAlignment="1">
      <alignment horizontal="center"/>
    </xf>
    <xf numFmtId="0" fontId="20" fillId="44" borderId="0" xfId="0" applyFont="1" applyFill="1"/>
    <xf numFmtId="3" fontId="20" fillId="44" borderId="0" xfId="1" applyNumberFormat="1" applyFont="1" applyFill="1" applyAlignment="1">
      <alignment horizontal="center"/>
    </xf>
    <xf numFmtId="167" fontId="20" fillId="44" borderId="0" xfId="1" applyNumberFormat="1" applyFont="1" applyFill="1" applyAlignment="1">
      <alignment horizontal="center"/>
    </xf>
    <xf numFmtId="164" fontId="20" fillId="44" borderId="0" xfId="2" applyNumberFormat="1" applyFont="1" applyFill="1"/>
    <xf numFmtId="166" fontId="20" fillId="44" borderId="0" xfId="1" applyNumberFormat="1" applyFont="1" applyFill="1"/>
    <xf numFmtId="166" fontId="20" fillId="44" borderId="0" xfId="1" applyNumberFormat="1" applyFont="1" applyFill="1" applyAlignment="1">
      <alignment horizontal="right"/>
    </xf>
    <xf numFmtId="166" fontId="0" fillId="44" borderId="0" xfId="1" applyNumberFormat="1" applyFont="1" applyFill="1" applyAlignment="1">
      <alignment horizontal="right"/>
    </xf>
    <xf numFmtId="0" fontId="0" fillId="35" borderId="0" xfId="0" applyFill="1" applyAlignment="1">
      <alignment horizontal="center"/>
    </xf>
    <xf numFmtId="3" fontId="20" fillId="35" borderId="0" xfId="1" applyNumberFormat="1" applyFont="1" applyFill="1" applyAlignment="1">
      <alignment horizontal="center"/>
    </xf>
    <xf numFmtId="167" fontId="20" fillId="35" borderId="0" xfId="1" applyNumberFormat="1" applyFont="1" applyFill="1" applyAlignment="1">
      <alignment horizontal="center"/>
    </xf>
    <xf numFmtId="164" fontId="20" fillId="35" borderId="0" xfId="2" applyNumberFormat="1" applyFont="1" applyFill="1"/>
    <xf numFmtId="166" fontId="20" fillId="35" borderId="0" xfId="1" applyNumberFormat="1" applyFont="1" applyFill="1"/>
    <xf numFmtId="0" fontId="0" fillId="35" borderId="0" xfId="0" applyFill="1"/>
    <xf numFmtId="0" fontId="20" fillId="0" borderId="0" xfId="0" applyFont="1" applyAlignment="1">
      <alignment vertical="top" wrapText="1"/>
    </xf>
    <xf numFmtId="10" fontId="21" fillId="35" borderId="0" xfId="2" applyNumberFormat="1" applyFont="1" applyFill="1" applyAlignment="1">
      <alignment horizontal="right" vertical="top" wrapText="1"/>
    </xf>
    <xf numFmtId="3" fontId="20" fillId="45" borderId="0" xfId="1" applyNumberFormat="1" applyFont="1" applyFill="1" applyAlignment="1">
      <alignment horizontal="center"/>
    </xf>
    <xf numFmtId="167" fontId="20" fillId="45" borderId="0" xfId="1" applyNumberFormat="1" applyFont="1" applyFill="1" applyAlignment="1">
      <alignment horizontal="center"/>
    </xf>
    <xf numFmtId="164" fontId="20" fillId="45" borderId="0" xfId="2" applyNumberFormat="1" applyFont="1" applyFill="1"/>
    <xf numFmtId="166" fontId="20" fillId="45" borderId="0" xfId="1" applyNumberFormat="1" applyFont="1" applyFill="1"/>
    <xf numFmtId="0" fontId="0" fillId="45" borderId="0" xfId="0" applyFill="1"/>
    <xf numFmtId="166" fontId="20" fillId="45" borderId="0" xfId="1" applyNumberFormat="1" applyFont="1" applyFill="1" applyAlignment="1">
      <alignment horizontal="right"/>
    </xf>
    <xf numFmtId="0" fontId="20" fillId="45" borderId="0" xfId="0" applyFont="1" applyFill="1"/>
    <xf numFmtId="3" fontId="20" fillId="36" borderId="0" xfId="1" applyNumberFormat="1" applyFont="1" applyFill="1" applyAlignment="1">
      <alignment horizontal="center"/>
    </xf>
    <xf numFmtId="167" fontId="20" fillId="36" borderId="0" xfId="1" applyNumberFormat="1" applyFont="1" applyFill="1" applyAlignment="1">
      <alignment horizontal="center"/>
    </xf>
    <xf numFmtId="164" fontId="20" fillId="36" borderId="0" xfId="2" applyNumberFormat="1" applyFont="1" applyFill="1"/>
    <xf numFmtId="0" fontId="20" fillId="36" borderId="0" xfId="0" applyFont="1" applyFill="1"/>
    <xf numFmtId="166" fontId="20" fillId="36" borderId="0" xfId="1" applyNumberFormat="1" applyFont="1" applyFill="1" applyAlignment="1">
      <alignment horizontal="right"/>
    </xf>
    <xf numFmtId="3" fontId="20" fillId="46" borderId="0" xfId="1" applyNumberFormat="1" applyFont="1" applyFill="1" applyAlignment="1">
      <alignment horizontal="center"/>
    </xf>
    <xf numFmtId="167" fontId="20" fillId="46" borderId="0" xfId="1" applyNumberFormat="1" applyFont="1" applyFill="1" applyAlignment="1">
      <alignment horizontal="center"/>
    </xf>
    <xf numFmtId="164" fontId="20" fillId="46" borderId="0" xfId="2" applyNumberFormat="1" applyFont="1" applyFill="1"/>
    <xf numFmtId="166" fontId="20" fillId="46" borderId="0" xfId="1" applyNumberFormat="1" applyFont="1" applyFill="1"/>
    <xf numFmtId="0" fontId="0" fillId="46" borderId="0" xfId="0" applyFill="1"/>
    <xf numFmtId="166" fontId="20" fillId="46" borderId="0" xfId="1" applyNumberFormat="1" applyFont="1" applyFill="1" applyAlignment="1">
      <alignment horizontal="right"/>
    </xf>
    <xf numFmtId="0" fontId="20" fillId="46" borderId="0" xfId="0" applyFont="1" applyFill="1"/>
    <xf numFmtId="0" fontId="20" fillId="36" borderId="0" xfId="0" applyFont="1" applyFill="1" applyAlignment="1">
      <alignment vertical="center"/>
    </xf>
    <xf numFmtId="37" fontId="0" fillId="0" borderId="0" xfId="1" applyNumberFormat="1" applyFont="1"/>
    <xf numFmtId="0" fontId="0" fillId="0" borderId="0" xfId="2" applyNumberFormat="1" applyFont="1"/>
    <xf numFmtId="10" fontId="0" fillId="0" borderId="0" xfId="0" applyNumberFormat="1"/>
    <xf numFmtId="3" fontId="0" fillId="0" borderId="0" xfId="0" applyNumberFormat="1"/>
    <xf numFmtId="37" fontId="20" fillId="0" borderId="0" xfId="1" applyNumberFormat="1" applyFont="1" applyFill="1" applyAlignment="1">
      <alignment horizontal="center"/>
    </xf>
    <xf numFmtId="9" fontId="0" fillId="0" borderId="0" xfId="2" applyFont="1"/>
    <xf numFmtId="166" fontId="0" fillId="45" borderId="0" xfId="1" applyNumberFormat="1" applyFont="1" applyFill="1"/>
    <xf numFmtId="164" fontId="0" fillId="45" borderId="0" xfId="2" applyNumberFormat="1" applyFont="1" applyFill="1"/>
    <xf numFmtId="1" fontId="0" fillId="34" borderId="0" xfId="0" applyNumberFormat="1" applyFill="1" applyAlignment="1">
      <alignment horizontal="left"/>
    </xf>
    <xf numFmtId="10" fontId="0" fillId="34" borderId="0" xfId="2" applyNumberFormat="1" applyFont="1" applyFill="1" applyAlignment="1">
      <alignment horizontal="left"/>
    </xf>
    <xf numFmtId="166" fontId="18" fillId="0" borderId="0" xfId="1" applyNumberFormat="1" applyFont="1" applyAlignment="1">
      <alignment vertical="top" wrapText="1"/>
    </xf>
    <xf numFmtId="0" fontId="18" fillId="34" borderId="0" xfId="0" applyFont="1" applyFill="1" applyAlignment="1">
      <alignment vertical="top" wrapText="1"/>
    </xf>
    <xf numFmtId="0" fontId="16" fillId="0" borderId="0" xfId="0" applyFont="1"/>
    <xf numFmtId="0" fontId="48" fillId="0" borderId="0" xfId="0" applyFont="1" applyAlignment="1">
      <alignment vertical="center"/>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46" fillId="0" borderId="0" xfId="0" applyFont="1" applyAlignment="1">
      <alignment vertical="center" wrapText="1"/>
    </xf>
    <xf numFmtId="0" fontId="47" fillId="0" borderId="0" xfId="0" applyFont="1" applyAlignment="1">
      <alignment vertical="center" wrapText="1"/>
    </xf>
    <xf numFmtId="37" fontId="21" fillId="35" borderId="0" xfId="1" applyNumberFormat="1" applyFont="1" applyFill="1" applyAlignment="1">
      <alignment horizontal="right" vertical="top" wrapText="1"/>
    </xf>
    <xf numFmtId="0" fontId="21" fillId="0" borderId="0" xfId="0" applyFont="1" applyAlignment="1">
      <alignment horizontal="left" vertical="top" wrapText="1"/>
    </xf>
    <xf numFmtId="37" fontId="20" fillId="35" borderId="0" xfId="1" applyNumberFormat="1" applyFont="1" applyFill="1" applyAlignment="1">
      <alignment horizontal="right"/>
    </xf>
    <xf numFmtId="0" fontId="20" fillId="0" borderId="0" xfId="0" applyFont="1" applyAlignment="1">
      <alignment horizontal="left"/>
    </xf>
    <xf numFmtId="0" fontId="20" fillId="35" borderId="0" xfId="0" applyFont="1" applyFill="1" applyAlignment="1">
      <alignment horizontal="left"/>
    </xf>
    <xf numFmtId="37" fontId="20" fillId="45" borderId="0" xfId="1" applyNumberFormat="1" applyFont="1" applyFill="1" applyAlignment="1">
      <alignment horizontal="right"/>
    </xf>
    <xf numFmtId="0" fontId="20" fillId="45" borderId="0" xfId="0" applyFont="1" applyFill="1" applyAlignment="1">
      <alignment horizontal="left"/>
    </xf>
    <xf numFmtId="0" fontId="20" fillId="34" borderId="0" xfId="0" applyFont="1" applyFill="1" applyAlignment="1">
      <alignment horizontal="left"/>
    </xf>
    <xf numFmtId="37" fontId="20" fillId="46" borderId="0" xfId="1" applyNumberFormat="1" applyFont="1" applyFill="1" applyAlignment="1">
      <alignment horizontal="right"/>
    </xf>
    <xf numFmtId="0" fontId="20" fillId="46" borderId="0" xfId="0" applyFont="1" applyFill="1" applyAlignment="1">
      <alignment horizontal="left"/>
    </xf>
    <xf numFmtId="37" fontId="20" fillId="44" borderId="0" xfId="1" applyNumberFormat="1" applyFont="1" applyFill="1" applyAlignment="1">
      <alignment horizontal="right"/>
    </xf>
    <xf numFmtId="0" fontId="20" fillId="44" borderId="0" xfId="0" applyFont="1" applyFill="1" applyAlignment="1">
      <alignment horizontal="left"/>
    </xf>
    <xf numFmtId="37" fontId="20" fillId="36" borderId="0" xfId="1" applyNumberFormat="1" applyFont="1" applyFill="1" applyAlignment="1">
      <alignment horizontal="right"/>
    </xf>
    <xf numFmtId="0" fontId="20" fillId="36" borderId="0" xfId="0" applyFont="1" applyFill="1" applyAlignment="1">
      <alignment horizontal="left"/>
    </xf>
    <xf numFmtId="0" fontId="20" fillId="35" borderId="0" xfId="0" applyFont="1" applyFill="1"/>
    <xf numFmtId="173" fontId="21" fillId="35" borderId="0" xfId="2" applyNumberFormat="1" applyFont="1" applyFill="1" applyAlignment="1">
      <alignment horizontal="right" vertical="top" wrapText="1"/>
    </xf>
    <xf numFmtId="173" fontId="20" fillId="35" borderId="0" xfId="2" applyNumberFormat="1" applyFont="1" applyFill="1" applyAlignment="1">
      <alignment horizontal="right"/>
    </xf>
    <xf numFmtId="172" fontId="20" fillId="35" borderId="0" xfId="2" applyNumberFormat="1" applyFont="1" applyFill="1" applyAlignment="1">
      <alignment horizontal="right"/>
    </xf>
    <xf numFmtId="0" fontId="20" fillId="0" borderId="0" xfId="0" applyFont="1" applyAlignment="1">
      <alignment horizontal="center"/>
    </xf>
    <xf numFmtId="0" fontId="20" fillId="34" borderId="0" xfId="0" applyFont="1" applyFill="1" applyAlignment="1">
      <alignment horizontal="center"/>
    </xf>
    <xf numFmtId="10" fontId="20" fillId="35" borderId="0" xfId="2" applyNumberFormat="1" applyFont="1" applyFill="1" applyAlignment="1">
      <alignment horizontal="right"/>
    </xf>
    <xf numFmtId="173" fontId="20" fillId="45" borderId="0" xfId="2" applyNumberFormat="1" applyFont="1" applyFill="1" applyAlignment="1">
      <alignment horizontal="right"/>
    </xf>
    <xf numFmtId="10" fontId="20" fillId="35" borderId="0" xfId="2" applyNumberFormat="1" applyFont="1" applyFill="1" applyAlignment="1">
      <alignment horizontal="left"/>
    </xf>
    <xf numFmtId="0" fontId="20" fillId="35" borderId="0" xfId="0" applyFont="1" applyFill="1" applyAlignment="1">
      <alignment horizontal="center"/>
    </xf>
    <xf numFmtId="10" fontId="20" fillId="45" borderId="0" xfId="2" applyNumberFormat="1" applyFont="1" applyFill="1" applyAlignment="1">
      <alignment horizontal="left"/>
    </xf>
    <xf numFmtId="0" fontId="20" fillId="45" borderId="0" xfId="0" applyFont="1" applyFill="1" applyAlignment="1">
      <alignment horizontal="center"/>
    </xf>
    <xf numFmtId="173" fontId="20" fillId="46" borderId="0" xfId="2" applyNumberFormat="1" applyFont="1" applyFill="1" applyAlignment="1">
      <alignment horizontal="right"/>
    </xf>
    <xf numFmtId="173" fontId="20" fillId="36" borderId="0" xfId="2" applyNumberFormat="1" applyFont="1" applyFill="1" applyAlignment="1">
      <alignment horizontal="right"/>
    </xf>
    <xf numFmtId="10" fontId="20" fillId="46" borderId="0" xfId="2" applyNumberFormat="1" applyFont="1" applyFill="1" applyAlignment="1">
      <alignment horizontal="right"/>
    </xf>
    <xf numFmtId="0" fontId="20" fillId="46" borderId="0" xfId="0" applyFont="1" applyFill="1" applyAlignment="1">
      <alignment horizontal="center"/>
    </xf>
    <xf numFmtId="10" fontId="20" fillId="36" borderId="0" xfId="2" applyNumberFormat="1" applyFont="1" applyFill="1" applyAlignment="1">
      <alignment horizontal="right"/>
    </xf>
    <xf numFmtId="0" fontId="20" fillId="36" borderId="0" xfId="0" applyFont="1" applyFill="1" applyAlignment="1">
      <alignment horizontal="center"/>
    </xf>
    <xf numFmtId="10" fontId="20" fillId="44" borderId="0" xfId="2" applyNumberFormat="1" applyFont="1" applyFill="1" applyAlignment="1">
      <alignment horizontal="right"/>
    </xf>
    <xf numFmtId="0" fontId="20" fillId="44" borderId="0" xfId="0" applyFont="1" applyFill="1" applyAlignment="1">
      <alignment horizontal="center"/>
    </xf>
    <xf numFmtId="173" fontId="20" fillId="33" borderId="0" xfId="2" applyNumberFormat="1" applyFont="1" applyFill="1"/>
    <xf numFmtId="10" fontId="20" fillId="33" borderId="0" xfId="2" applyNumberFormat="1" applyFont="1" applyFill="1"/>
    <xf numFmtId="0" fontId="21" fillId="0" borderId="0" xfId="0" applyFont="1" applyAlignment="1">
      <alignment wrapText="1"/>
    </xf>
    <xf numFmtId="0" fontId="19" fillId="0" borderId="0" xfId="0" applyFont="1" applyAlignment="1">
      <alignment wrapText="1"/>
    </xf>
    <xf numFmtId="3" fontId="16" fillId="0" borderId="0" xfId="0" applyNumberFormat="1" applyFont="1" applyAlignment="1">
      <alignment horizontal="left" wrapText="1"/>
    </xf>
    <xf numFmtId="167" fontId="20" fillId="33" borderId="0" xfId="1" applyNumberFormat="1" applyFont="1" applyFill="1" applyAlignment="1">
      <alignment horizontal="center"/>
    </xf>
    <xf numFmtId="164" fontId="20" fillId="35" borderId="0" xfId="2" applyNumberFormat="1" applyFont="1" applyFill="1" applyAlignment="1">
      <alignment horizontal="right"/>
    </xf>
    <xf numFmtId="43" fontId="20" fillId="35" borderId="0" xfId="1" applyFont="1" applyFill="1" applyAlignment="1">
      <alignment horizontal="right"/>
    </xf>
    <xf numFmtId="0" fontId="52" fillId="0" borderId="0" xfId="0" applyFont="1" applyAlignment="1">
      <alignment vertical="top" wrapText="1"/>
    </xf>
    <xf numFmtId="0" fontId="53" fillId="0" borderId="0" xfId="0" applyFont="1" applyAlignment="1">
      <alignment vertical="top" wrapText="1"/>
    </xf>
    <xf numFmtId="164" fontId="53" fillId="38" borderId="0" xfId="2" applyNumberFormat="1" applyFont="1" applyFill="1" applyBorder="1" applyAlignment="1">
      <alignment vertical="top" wrapText="1"/>
    </xf>
    <xf numFmtId="9" fontId="52" fillId="0" borderId="0" xfId="2" applyFont="1" applyAlignment="1">
      <alignment vertical="top" wrapText="1"/>
    </xf>
    <xf numFmtId="166" fontId="52" fillId="0" borderId="0" xfId="1" applyNumberFormat="1" applyFont="1" applyBorder="1" applyAlignment="1">
      <alignment vertical="top" wrapText="1"/>
    </xf>
    <xf numFmtId="0" fontId="53" fillId="0" borderId="0" xfId="0" applyFont="1" applyAlignment="1">
      <alignment wrapText="1"/>
    </xf>
    <xf numFmtId="0" fontId="52" fillId="0" borderId="0" xfId="0" applyFont="1" applyAlignment="1">
      <alignment horizontal="center" vertical="top" wrapText="1"/>
    </xf>
    <xf numFmtId="0" fontId="53" fillId="38" borderId="0" xfId="0" applyFont="1" applyFill="1" applyAlignment="1">
      <alignment vertical="top" wrapText="1"/>
    </xf>
    <xf numFmtId="164" fontId="53" fillId="47" borderId="0" xfId="2" applyNumberFormat="1" applyFont="1" applyFill="1" applyBorder="1" applyAlignment="1">
      <alignment vertical="top" wrapText="1"/>
    </xf>
    <xf numFmtId="10" fontId="53" fillId="38" borderId="0" xfId="2" applyNumberFormat="1" applyFont="1" applyFill="1" applyBorder="1" applyAlignment="1">
      <alignment vertical="top" wrapText="1"/>
    </xf>
    <xf numFmtId="164" fontId="0" fillId="34" borderId="0" xfId="0" applyNumberFormat="1" applyFill="1"/>
    <xf numFmtId="0" fontId="53" fillId="34" borderId="0" xfId="0" applyFont="1" applyFill="1" applyAlignment="1">
      <alignment vertical="top" wrapText="1"/>
    </xf>
    <xf numFmtId="10" fontId="21" fillId="0" borderId="0" xfId="2" applyNumberFormat="1" applyFont="1" applyAlignment="1">
      <alignment horizontal="center" vertical="top" wrapText="1"/>
    </xf>
    <xf numFmtId="10" fontId="20" fillId="0" borderId="0" xfId="2" applyNumberFormat="1" applyFont="1"/>
    <xf numFmtId="10" fontId="20" fillId="0" borderId="0" xfId="2" applyNumberFormat="1" applyFont="1" applyAlignment="1">
      <alignment horizontal="center"/>
    </xf>
    <xf numFmtId="10" fontId="20" fillId="34" borderId="0" xfId="2" applyNumberFormat="1" applyFont="1" applyFill="1" applyAlignment="1">
      <alignment horizontal="center"/>
    </xf>
    <xf numFmtId="10" fontId="20" fillId="0" borderId="0" xfId="2" applyNumberFormat="1" applyFont="1" applyFill="1" applyAlignment="1">
      <alignment horizontal="center"/>
    </xf>
    <xf numFmtId="0" fontId="48" fillId="0" borderId="0" xfId="0" applyFont="1"/>
    <xf numFmtId="9" fontId="0" fillId="0" borderId="0" xfId="2" applyFont="1" applyAlignment="1">
      <alignment wrapText="1"/>
    </xf>
    <xf numFmtId="0" fontId="26" fillId="0" borderId="0" xfId="0" applyFont="1" applyAlignment="1">
      <alignment vertical="top" wrapText="1"/>
    </xf>
    <xf numFmtId="0" fontId="41" fillId="0" borderId="0" xfId="0" applyFont="1"/>
    <xf numFmtId="0" fontId="0" fillId="0" borderId="0" xfId="0" pivotButton="1" applyAlignment="1">
      <alignment wrapText="1"/>
    </xf>
    <xf numFmtId="166" fontId="0" fillId="0" borderId="0" xfId="1" applyNumberFormat="1" applyFont="1" applyAlignment="1">
      <alignment wrapText="1"/>
    </xf>
    <xf numFmtId="166" fontId="0" fillId="0" borderId="0" xfId="0" applyNumberFormat="1" applyAlignment="1">
      <alignment wrapText="1"/>
    </xf>
    <xf numFmtId="3" fontId="0" fillId="0" borderId="0" xfId="0" applyNumberFormat="1" applyAlignment="1">
      <alignment wrapText="1"/>
    </xf>
    <xf numFmtId="9" fontId="0" fillId="0" borderId="0" xfId="2" applyFont="1" applyAlignment="1"/>
    <xf numFmtId="10" fontId="0" fillId="0" borderId="0" xfId="2" applyNumberFormat="1" applyFont="1" applyAlignment="1"/>
    <xf numFmtId="174" fontId="21" fillId="0" borderId="0" xfId="0" applyNumberFormat="1" applyFont="1" applyAlignment="1">
      <alignment vertical="top" wrapText="1"/>
    </xf>
    <xf numFmtId="174" fontId="16" fillId="0" borderId="0" xfId="0" applyNumberFormat="1" applyFont="1" applyAlignment="1">
      <alignment horizontal="left" vertical="top" wrapText="1"/>
    </xf>
    <xf numFmtId="166" fontId="30" fillId="0" borderId="0" xfId="0" applyNumberFormat="1" applyFont="1" applyAlignment="1">
      <alignment horizontal="left" vertical="top" wrapText="1"/>
    </xf>
    <xf numFmtId="166" fontId="16" fillId="0" borderId="0" xfId="0" applyNumberFormat="1" applyFont="1" applyAlignment="1">
      <alignment horizontal="left" vertical="top" wrapText="1"/>
    </xf>
    <xf numFmtId="3" fontId="16" fillId="0" borderId="0" xfId="0" applyNumberFormat="1" applyFont="1" applyAlignment="1">
      <alignment horizontal="left" vertical="top" wrapText="1"/>
    </xf>
    <xf numFmtId="166" fontId="16" fillId="0" borderId="0" xfId="0" applyNumberFormat="1" applyFont="1" applyAlignment="1">
      <alignment vertical="top" wrapText="1"/>
    </xf>
    <xf numFmtId="43" fontId="16" fillId="0" borderId="0" xfId="0" applyNumberFormat="1" applyFont="1" applyAlignment="1">
      <alignment vertical="top" wrapText="1"/>
    </xf>
    <xf numFmtId="3" fontId="54" fillId="0" borderId="0" xfId="0" applyNumberFormat="1" applyFont="1" applyAlignment="1">
      <alignment horizontal="left" vertical="top" wrapText="1"/>
    </xf>
    <xf numFmtId="166" fontId="21" fillId="0" borderId="0" xfId="0" applyNumberFormat="1" applyFont="1" applyAlignment="1">
      <alignment horizontal="left" vertical="top" wrapText="1"/>
    </xf>
    <xf numFmtId="166" fontId="55" fillId="0" borderId="0" xfId="0" applyNumberFormat="1" applyFont="1" applyAlignment="1">
      <alignment horizontal="left" vertical="top" wrapText="1"/>
    </xf>
    <xf numFmtId="174" fontId="54" fillId="0" borderId="0" xfId="0" applyNumberFormat="1" applyFont="1" applyAlignment="1">
      <alignment horizontal="left" vertical="top" wrapText="1"/>
    </xf>
    <xf numFmtId="0" fontId="16" fillId="48" borderId="0" xfId="0" applyFont="1" applyFill="1" applyAlignment="1">
      <alignment vertical="top" wrapText="1"/>
    </xf>
    <xf numFmtId="0" fontId="1" fillId="0" borderId="0" xfId="0" applyFont="1"/>
    <xf numFmtId="2" fontId="1" fillId="0" borderId="0" xfId="0" applyNumberFormat="1" applyFont="1" applyAlignment="1">
      <alignment horizontal="left"/>
    </xf>
    <xf numFmtId="1" fontId="1" fillId="0" borderId="0" xfId="0" applyNumberFormat="1" applyFont="1" applyAlignment="1">
      <alignment horizontal="left"/>
    </xf>
    <xf numFmtId="167" fontId="1" fillId="49" borderId="0" xfId="0" applyNumberFormat="1" applyFont="1" applyFill="1" applyAlignment="1">
      <alignment horizontal="left"/>
    </xf>
    <xf numFmtId="167" fontId="1" fillId="0" borderId="0" xfId="0" applyNumberFormat="1" applyFont="1" applyAlignment="1">
      <alignment horizontal="left"/>
    </xf>
    <xf numFmtId="3" fontId="1" fillId="0" borderId="0" xfId="0" applyNumberFormat="1" applyFont="1" applyAlignment="1">
      <alignment horizontal="left"/>
    </xf>
    <xf numFmtId="0" fontId="1" fillId="0" borderId="0" xfId="0" applyFont="1" applyAlignment="1">
      <alignment horizontal="left"/>
    </xf>
    <xf numFmtId="166" fontId="1" fillId="0" borderId="0" xfId="0" applyNumberFormat="1" applyFont="1"/>
    <xf numFmtId="4" fontId="1" fillId="49" borderId="0" xfId="0" applyNumberFormat="1" applyFont="1" applyFill="1" applyAlignment="1">
      <alignment horizontal="left"/>
    </xf>
    <xf numFmtId="3" fontId="54" fillId="0" borderId="0" xfId="0" applyNumberFormat="1" applyFont="1" applyAlignment="1">
      <alignment horizontal="left"/>
    </xf>
    <xf numFmtId="174" fontId="54" fillId="0" borderId="0" xfId="0" applyNumberFormat="1" applyFont="1" applyAlignment="1">
      <alignment horizontal="left"/>
    </xf>
    <xf numFmtId="0" fontId="1" fillId="48" borderId="0" xfId="0" applyFont="1" applyFill="1"/>
    <xf numFmtId="0" fontId="1" fillId="49" borderId="0" xfId="0" applyFont="1" applyFill="1"/>
    <xf numFmtId="2" fontId="1" fillId="49" borderId="0" xfId="0" applyNumberFormat="1" applyFont="1" applyFill="1" applyAlignment="1">
      <alignment horizontal="left"/>
    </xf>
    <xf numFmtId="1" fontId="1" fillId="49" borderId="0" xfId="0" applyNumberFormat="1" applyFont="1" applyFill="1" applyAlignment="1">
      <alignment horizontal="left"/>
    </xf>
    <xf numFmtId="3" fontId="1" fillId="49" borderId="0" xfId="0" applyNumberFormat="1" applyFont="1" applyFill="1" applyAlignment="1">
      <alignment horizontal="left"/>
    </xf>
    <xf numFmtId="0" fontId="1" fillId="49" borderId="0" xfId="0" applyFont="1" applyFill="1" applyAlignment="1">
      <alignment horizontal="left"/>
    </xf>
    <xf numFmtId="166" fontId="1" fillId="49" borderId="0" xfId="0" applyNumberFormat="1" applyFont="1" applyFill="1"/>
    <xf numFmtId="174" fontId="54" fillId="49" borderId="0" xfId="0" applyNumberFormat="1" applyFont="1" applyFill="1" applyAlignment="1">
      <alignment horizontal="left"/>
    </xf>
    <xf numFmtId="0" fontId="1" fillId="50" borderId="0" xfId="0" applyFont="1" applyFill="1"/>
    <xf numFmtId="2" fontId="1" fillId="50" borderId="0" xfId="0" applyNumberFormat="1" applyFont="1" applyFill="1" applyAlignment="1">
      <alignment horizontal="left"/>
    </xf>
    <xf numFmtId="1" fontId="1" fillId="50" borderId="0" xfId="0" applyNumberFormat="1" applyFont="1" applyFill="1" applyAlignment="1">
      <alignment horizontal="left"/>
    </xf>
    <xf numFmtId="167" fontId="1" fillId="50" borderId="0" xfId="0" applyNumberFormat="1" applyFont="1" applyFill="1" applyAlignment="1">
      <alignment horizontal="left"/>
    </xf>
    <xf numFmtId="0" fontId="1" fillId="50" borderId="0" xfId="0" applyFont="1" applyFill="1" applyAlignment="1">
      <alignment horizontal="left"/>
    </xf>
    <xf numFmtId="166" fontId="1" fillId="50" borderId="0" xfId="0" applyNumberFormat="1" applyFont="1" applyFill="1"/>
    <xf numFmtId="3" fontId="54" fillId="50" borderId="0" xfId="0" applyNumberFormat="1" applyFont="1" applyFill="1" applyAlignment="1">
      <alignment horizontal="left"/>
    </xf>
    <xf numFmtId="174" fontId="54" fillId="50" borderId="0" xfId="0" applyNumberFormat="1" applyFont="1" applyFill="1" applyAlignment="1">
      <alignment horizontal="left"/>
    </xf>
    <xf numFmtId="1" fontId="1" fillId="50" borderId="0" xfId="0" applyNumberFormat="1" applyFont="1" applyFill="1"/>
    <xf numFmtId="0" fontId="1" fillId="51" borderId="0" xfId="0" applyFont="1" applyFill="1"/>
    <xf numFmtId="2" fontId="1" fillId="51" borderId="0" xfId="0" applyNumberFormat="1" applyFont="1" applyFill="1" applyAlignment="1">
      <alignment horizontal="left"/>
    </xf>
    <xf numFmtId="1" fontId="1" fillId="51" borderId="0" xfId="0" applyNumberFormat="1" applyFont="1" applyFill="1" applyAlignment="1">
      <alignment horizontal="left"/>
    </xf>
    <xf numFmtId="167" fontId="1" fillId="51" borderId="0" xfId="0" applyNumberFormat="1" applyFont="1" applyFill="1" applyAlignment="1">
      <alignment horizontal="left"/>
    </xf>
    <xf numFmtId="0" fontId="1" fillId="51" borderId="0" xfId="0" applyFont="1" applyFill="1" applyAlignment="1">
      <alignment horizontal="left"/>
    </xf>
    <xf numFmtId="3" fontId="1" fillId="51" borderId="0" xfId="0" applyNumberFormat="1" applyFont="1" applyFill="1" applyAlignment="1">
      <alignment horizontal="left"/>
    </xf>
    <xf numFmtId="3" fontId="54" fillId="51" borderId="0" xfId="0" applyNumberFormat="1" applyFont="1" applyFill="1" applyAlignment="1">
      <alignment horizontal="left"/>
    </xf>
    <xf numFmtId="175" fontId="1" fillId="51" borderId="0" xfId="0" applyNumberFormat="1" applyFont="1" applyFill="1" applyAlignment="1">
      <alignment horizontal="left"/>
    </xf>
    <xf numFmtId="174" fontId="54" fillId="51" borderId="0" xfId="0" applyNumberFormat="1" applyFont="1" applyFill="1" applyAlignment="1">
      <alignment horizontal="left"/>
    </xf>
    <xf numFmtId="43" fontId="56" fillId="51" borderId="0" xfId="0" applyNumberFormat="1" applyFont="1" applyFill="1"/>
    <xf numFmtId="43" fontId="1" fillId="51" borderId="0" xfId="0" applyNumberFormat="1" applyFont="1" applyFill="1"/>
    <xf numFmtId="166" fontId="1" fillId="51" borderId="0" xfId="0" applyNumberFormat="1" applyFont="1" applyFill="1"/>
    <xf numFmtId="0" fontId="1" fillId="52" borderId="0" xfId="0" applyFont="1" applyFill="1"/>
    <xf numFmtId="2" fontId="1" fillId="52" borderId="0" xfId="0" applyNumberFormat="1" applyFont="1" applyFill="1" applyAlignment="1">
      <alignment horizontal="left"/>
    </xf>
    <xf numFmtId="0" fontId="1" fillId="52" borderId="0" xfId="0" applyFont="1" applyFill="1" applyAlignment="1">
      <alignment horizontal="left"/>
    </xf>
    <xf numFmtId="167" fontId="1" fillId="53" borderId="0" xfId="0" applyNumberFormat="1" applyFont="1" applyFill="1" applyAlignment="1">
      <alignment horizontal="left"/>
    </xf>
    <xf numFmtId="166" fontId="1" fillId="52" borderId="0" xfId="0" applyNumberFormat="1" applyFont="1" applyFill="1"/>
    <xf numFmtId="3" fontId="1" fillId="53" borderId="0" xfId="0" applyNumberFormat="1" applyFont="1" applyFill="1" applyAlignment="1">
      <alignment horizontal="left"/>
    </xf>
    <xf numFmtId="174" fontId="54" fillId="52" borderId="0" xfId="0" applyNumberFormat="1" applyFont="1" applyFill="1" applyAlignment="1">
      <alignment horizontal="left"/>
    </xf>
    <xf numFmtId="43" fontId="1" fillId="52" borderId="0" xfId="0" applyNumberFormat="1" applyFont="1" applyFill="1"/>
    <xf numFmtId="43" fontId="1" fillId="0" borderId="0" xfId="0" applyNumberFormat="1" applyFont="1"/>
    <xf numFmtId="0" fontId="1" fillId="54" borderId="0" xfId="0" applyFont="1" applyFill="1"/>
    <xf numFmtId="2" fontId="1" fillId="54" borderId="0" xfId="0" applyNumberFormat="1" applyFont="1" applyFill="1" applyAlignment="1">
      <alignment horizontal="left"/>
    </xf>
    <xf numFmtId="0" fontId="1" fillId="54" borderId="0" xfId="0" applyFont="1" applyFill="1" applyAlignment="1">
      <alignment horizontal="left"/>
    </xf>
    <xf numFmtId="167" fontId="1" fillId="54" borderId="0" xfId="0" applyNumberFormat="1" applyFont="1" applyFill="1" applyAlignment="1">
      <alignment horizontal="left"/>
    </xf>
    <xf numFmtId="166" fontId="1" fillId="54" borderId="0" xfId="0" applyNumberFormat="1" applyFont="1" applyFill="1"/>
    <xf numFmtId="3" fontId="1" fillId="54" borderId="0" xfId="0" applyNumberFormat="1" applyFont="1" applyFill="1" applyAlignment="1">
      <alignment horizontal="left"/>
    </xf>
    <xf numFmtId="3" fontId="54" fillId="54" borderId="0" xfId="0" applyNumberFormat="1" applyFont="1" applyFill="1" applyAlignment="1">
      <alignment horizontal="left"/>
    </xf>
    <xf numFmtId="174" fontId="54" fillId="54" borderId="0" xfId="0" applyNumberFormat="1" applyFont="1" applyFill="1" applyAlignment="1">
      <alignment horizontal="left"/>
    </xf>
    <xf numFmtId="43" fontId="1" fillId="54" borderId="0" xfId="0" applyNumberFormat="1" applyFont="1" applyFill="1"/>
    <xf numFmtId="0" fontId="1" fillId="55" borderId="0" xfId="0" applyFont="1" applyFill="1"/>
    <xf numFmtId="2" fontId="1" fillId="55" borderId="0" xfId="0" applyNumberFormat="1" applyFont="1" applyFill="1" applyAlignment="1">
      <alignment horizontal="left"/>
    </xf>
    <xf numFmtId="0" fontId="1" fillId="55" borderId="0" xfId="0" applyFont="1" applyFill="1" applyAlignment="1">
      <alignment horizontal="left"/>
    </xf>
    <xf numFmtId="167" fontId="1" fillId="55" borderId="0" xfId="0" applyNumberFormat="1" applyFont="1" applyFill="1" applyAlignment="1">
      <alignment horizontal="left"/>
    </xf>
    <xf numFmtId="166" fontId="1" fillId="55" borderId="0" xfId="0" applyNumberFormat="1" applyFont="1" applyFill="1"/>
    <xf numFmtId="3" fontId="1" fillId="55" borderId="0" xfId="0" applyNumberFormat="1" applyFont="1" applyFill="1" applyAlignment="1">
      <alignment horizontal="left"/>
    </xf>
    <xf numFmtId="3" fontId="54" fillId="55" borderId="0" xfId="0" applyNumberFormat="1" applyFont="1" applyFill="1" applyAlignment="1">
      <alignment horizontal="left"/>
    </xf>
    <xf numFmtId="174" fontId="54" fillId="55" borderId="0" xfId="0" applyNumberFormat="1" applyFont="1" applyFill="1" applyAlignment="1">
      <alignment horizontal="left"/>
    </xf>
    <xf numFmtId="43" fontId="1" fillId="55" borderId="0" xfId="0" applyNumberFormat="1" applyFont="1" applyFill="1"/>
    <xf numFmtId="0" fontId="1" fillId="56" borderId="0" xfId="0" applyFont="1" applyFill="1"/>
    <xf numFmtId="2" fontId="1" fillId="56" borderId="0" xfId="0" applyNumberFormat="1" applyFont="1" applyFill="1" applyAlignment="1">
      <alignment horizontal="left"/>
    </xf>
    <xf numFmtId="1" fontId="1" fillId="56" borderId="0" xfId="0" applyNumberFormat="1" applyFont="1" applyFill="1" applyAlignment="1">
      <alignment horizontal="left"/>
    </xf>
    <xf numFmtId="167" fontId="1" fillId="56" borderId="0" xfId="0" applyNumberFormat="1" applyFont="1" applyFill="1" applyAlignment="1">
      <alignment horizontal="left"/>
    </xf>
    <xf numFmtId="0" fontId="1" fillId="56" borderId="0" xfId="0" applyFont="1" applyFill="1" applyAlignment="1">
      <alignment horizontal="left"/>
    </xf>
    <xf numFmtId="43" fontId="1" fillId="56" borderId="0" xfId="0" applyNumberFormat="1" applyFont="1" applyFill="1"/>
    <xf numFmtId="3" fontId="1" fillId="56" borderId="0" xfId="0" applyNumberFormat="1" applyFont="1" applyFill="1" applyAlignment="1">
      <alignment horizontal="left"/>
    </xf>
    <xf numFmtId="3" fontId="54" fillId="56" borderId="0" xfId="0" applyNumberFormat="1" applyFont="1" applyFill="1" applyAlignment="1">
      <alignment horizontal="left"/>
    </xf>
    <xf numFmtId="174" fontId="54" fillId="56" borderId="0" xfId="0" applyNumberFormat="1" applyFont="1" applyFill="1" applyAlignment="1">
      <alignment horizontal="left"/>
    </xf>
    <xf numFmtId="9" fontId="20" fillId="0" borderId="0" xfId="0" applyNumberFormat="1" applyFont="1"/>
    <xf numFmtId="0" fontId="1" fillId="53" borderId="0" xfId="0" applyFont="1" applyFill="1"/>
    <xf numFmtId="2" fontId="1" fillId="53" borderId="0" xfId="0" applyNumberFormat="1" applyFont="1" applyFill="1" applyAlignment="1">
      <alignment horizontal="left"/>
    </xf>
    <xf numFmtId="0" fontId="1" fillId="53" borderId="0" xfId="0" applyFont="1" applyFill="1" applyAlignment="1">
      <alignment horizontal="left"/>
    </xf>
    <xf numFmtId="1" fontId="1" fillId="53" borderId="0" xfId="0" applyNumberFormat="1" applyFont="1" applyFill="1" applyAlignment="1">
      <alignment horizontal="left"/>
    </xf>
    <xf numFmtId="3" fontId="1" fillId="57" borderId="0" xfId="0" applyNumberFormat="1" applyFont="1" applyFill="1" applyAlignment="1">
      <alignment horizontal="left"/>
    </xf>
    <xf numFmtId="166" fontId="1" fillId="53" borderId="0" xfId="0" applyNumberFormat="1" applyFont="1" applyFill="1"/>
    <xf numFmtId="3" fontId="54" fillId="53" borderId="0" xfId="0" applyNumberFormat="1" applyFont="1" applyFill="1" applyAlignment="1">
      <alignment horizontal="left"/>
    </xf>
    <xf numFmtId="0" fontId="1" fillId="57" borderId="0" xfId="0" applyFont="1" applyFill="1"/>
    <xf numFmtId="174" fontId="54" fillId="53" borderId="0" xfId="0" applyNumberFormat="1" applyFont="1" applyFill="1" applyAlignment="1">
      <alignment horizontal="left"/>
    </xf>
    <xf numFmtId="1" fontId="16" fillId="0" borderId="0" xfId="0" applyNumberFormat="1" applyFont="1" applyAlignment="1">
      <alignment horizontal="left" vertical="top" wrapText="1"/>
    </xf>
    <xf numFmtId="1" fontId="1" fillId="0" borderId="0" xfId="0" applyNumberFormat="1" applyFont="1" applyAlignment="1">
      <alignment horizontal="left" vertical="top" wrapText="1"/>
    </xf>
    <xf numFmtId="3" fontId="1" fillId="0" borderId="0" xfId="0" applyNumberFormat="1" applyFont="1" applyAlignment="1">
      <alignment horizontal="left" vertical="top" wrapText="1"/>
    </xf>
    <xf numFmtId="174" fontId="54" fillId="0" borderId="0" xfId="0" applyNumberFormat="1" applyFont="1"/>
    <xf numFmtId="0" fontId="54" fillId="0" borderId="0" xfId="0" applyFont="1"/>
    <xf numFmtId="43" fontId="1" fillId="0" borderId="0" xfId="0" applyNumberFormat="1" applyFont="1" applyAlignment="1">
      <alignment horizontal="left"/>
    </xf>
    <xf numFmtId="2" fontId="16" fillId="0" borderId="0" xfId="0" applyNumberFormat="1" applyFont="1" applyAlignment="1">
      <alignment horizontal="left"/>
    </xf>
    <xf numFmtId="1" fontId="16" fillId="0" borderId="0" xfId="0" applyNumberFormat="1" applyFont="1" applyAlignment="1">
      <alignment horizontal="left"/>
    </xf>
    <xf numFmtId="3" fontId="16" fillId="0" borderId="0" xfId="0" applyNumberFormat="1" applyFont="1" applyAlignment="1">
      <alignment horizontal="left"/>
    </xf>
    <xf numFmtId="43" fontId="16" fillId="0" borderId="0" xfId="0" applyNumberFormat="1" applyFont="1" applyAlignment="1">
      <alignment horizontal="left"/>
    </xf>
    <xf numFmtId="166" fontId="16" fillId="0" borderId="0" xfId="0" applyNumberFormat="1" applyFont="1"/>
    <xf numFmtId="0" fontId="16" fillId="48" borderId="0" xfId="0" applyFont="1" applyFill="1"/>
    <xf numFmtId="174" fontId="16" fillId="0" borderId="0" xfId="0" applyNumberFormat="1" applyFont="1" applyAlignment="1">
      <alignment horizontal="left" wrapText="1"/>
    </xf>
    <xf numFmtId="176" fontId="1" fillId="0" borderId="0" xfId="0" applyNumberFormat="1" applyFont="1"/>
    <xf numFmtId="174" fontId="1" fillId="0" borderId="0" xfId="0" applyNumberFormat="1" applyFont="1"/>
    <xf numFmtId="3" fontId="1" fillId="0" borderId="0" xfId="0" applyNumberFormat="1" applyFont="1"/>
    <xf numFmtId="174" fontId="1" fillId="0" borderId="0" xfId="0" applyNumberFormat="1" applyFont="1" applyAlignment="1">
      <alignment horizontal="left"/>
    </xf>
    <xf numFmtId="177" fontId="1" fillId="0" borderId="0" xfId="0" applyNumberFormat="1" applyFont="1"/>
    <xf numFmtId="3" fontId="1" fillId="0" borderId="0" xfId="0" applyNumberFormat="1" applyFont="1" applyAlignment="1">
      <alignment horizontal="left" vertical="top"/>
    </xf>
    <xf numFmtId="166" fontId="1" fillId="0" borderId="0" xfId="0" applyNumberFormat="1" applyFont="1" applyAlignment="1">
      <alignment horizontal="left"/>
    </xf>
    <xf numFmtId="164" fontId="1" fillId="0" borderId="0" xfId="0" applyNumberFormat="1" applyFont="1"/>
    <xf numFmtId="1" fontId="1" fillId="0" borderId="0" xfId="0" applyNumberFormat="1" applyFont="1" applyAlignment="1">
      <alignment horizontal="center" vertical="top" wrapText="1"/>
    </xf>
    <xf numFmtId="0" fontId="1" fillId="0" borderId="0" xfId="0" applyFont="1" applyAlignment="1">
      <alignment horizontal="left" vertical="top" wrapText="1"/>
    </xf>
    <xf numFmtId="0" fontId="1" fillId="0" borderId="0" xfId="0" applyFont="1" applyAlignment="1">
      <alignment horizontal="center"/>
    </xf>
    <xf numFmtId="0" fontId="54" fillId="0" borderId="0" xfId="0" applyFont="1" applyAlignment="1">
      <alignment horizontal="left"/>
    </xf>
    <xf numFmtId="174" fontId="1" fillId="48" borderId="0" xfId="0" applyNumberFormat="1" applyFont="1" applyFill="1"/>
    <xf numFmtId="0" fontId="56" fillId="0" borderId="0" xfId="0" applyFont="1"/>
    <xf numFmtId="174" fontId="16" fillId="0" borderId="0" xfId="0" applyNumberFormat="1" applyFont="1" applyAlignment="1">
      <alignment horizontal="center" wrapText="1"/>
    </xf>
    <xf numFmtId="166" fontId="16" fillId="0" borderId="0" xfId="0" applyNumberFormat="1" applyFont="1" applyAlignment="1">
      <alignment horizontal="left" wrapText="1"/>
    </xf>
    <xf numFmtId="174" fontId="16" fillId="0" borderId="0" xfId="0" applyNumberFormat="1" applyFont="1" applyAlignment="1">
      <alignment wrapText="1"/>
    </xf>
    <xf numFmtId="3" fontId="54" fillId="0" borderId="0" xfId="0" applyNumberFormat="1" applyFont="1" applyAlignment="1">
      <alignment horizontal="left" wrapText="1"/>
    </xf>
    <xf numFmtId="174" fontId="54" fillId="0" borderId="0" xfId="0" applyNumberFormat="1" applyFont="1" applyAlignment="1">
      <alignment horizontal="left" wrapText="1"/>
    </xf>
    <xf numFmtId="164" fontId="16" fillId="0" borderId="0" xfId="0" applyNumberFormat="1" applyFont="1" applyAlignment="1">
      <alignment wrapText="1"/>
    </xf>
    <xf numFmtId="0" fontId="16" fillId="48" borderId="0" xfId="0" applyFont="1" applyFill="1" applyAlignment="1">
      <alignment wrapText="1"/>
    </xf>
    <xf numFmtId="178" fontId="1" fillId="0" borderId="0" xfId="0" applyNumberFormat="1" applyFont="1" applyAlignment="1">
      <alignment horizontal="center"/>
    </xf>
    <xf numFmtId="174" fontId="1" fillId="0" borderId="0" xfId="0" applyNumberFormat="1" applyFont="1" applyAlignment="1">
      <alignment horizontal="center"/>
    </xf>
    <xf numFmtId="4" fontId="1" fillId="0" borderId="0" xfId="0" applyNumberFormat="1" applyFont="1" applyAlignment="1">
      <alignment horizontal="left"/>
    </xf>
    <xf numFmtId="164" fontId="1" fillId="0" borderId="0" xfId="0" applyNumberFormat="1" applyFont="1" applyAlignment="1">
      <alignment horizontal="left"/>
    </xf>
    <xf numFmtId="178" fontId="1" fillId="50" borderId="0" xfId="0" applyNumberFormat="1" applyFont="1" applyFill="1" applyAlignment="1">
      <alignment horizontal="center"/>
    </xf>
    <xf numFmtId="178" fontId="1" fillId="0" borderId="0" xfId="0" applyNumberFormat="1" applyFont="1" applyAlignment="1">
      <alignment horizontal="left"/>
    </xf>
    <xf numFmtId="178" fontId="1" fillId="50" borderId="0" xfId="0" applyNumberFormat="1" applyFont="1" applyFill="1" applyAlignment="1">
      <alignment horizontal="left"/>
    </xf>
    <xf numFmtId="10" fontId="1" fillId="0" borderId="0" xfId="0" applyNumberFormat="1" applyFont="1" applyAlignment="1">
      <alignment horizontal="left"/>
    </xf>
    <xf numFmtId="174" fontId="1" fillId="51" borderId="0" xfId="0" applyNumberFormat="1" applyFont="1" applyFill="1"/>
    <xf numFmtId="164" fontId="1" fillId="51" borderId="0" xfId="0" applyNumberFormat="1" applyFont="1" applyFill="1"/>
    <xf numFmtId="1" fontId="16" fillId="34" borderId="0" xfId="0" applyNumberFormat="1" applyFont="1" applyFill="1" applyAlignment="1">
      <alignment horizontal="left" vertical="top" wrapText="1"/>
    </xf>
    <xf numFmtId="3" fontId="1" fillId="34" borderId="0" xfId="0" applyNumberFormat="1" applyFont="1" applyFill="1" applyAlignment="1">
      <alignment horizontal="left" vertical="top" wrapText="1"/>
    </xf>
    <xf numFmtId="3" fontId="16" fillId="34" borderId="0" xfId="0" applyNumberFormat="1" applyFont="1" applyFill="1" applyAlignment="1">
      <alignment horizontal="left" vertical="top" wrapText="1"/>
    </xf>
    <xf numFmtId="174" fontId="1" fillId="54" borderId="0" xfId="0" applyNumberFormat="1" applyFont="1" applyFill="1"/>
    <xf numFmtId="164" fontId="1" fillId="54" borderId="0" xfId="0" applyNumberFormat="1" applyFont="1" applyFill="1"/>
    <xf numFmtId="0" fontId="45" fillId="0" borderId="0" xfId="0" applyFont="1"/>
    <xf numFmtId="0" fontId="59" fillId="58" borderId="0" xfId="0" applyFont="1" applyFill="1" applyAlignment="1">
      <alignment wrapText="1"/>
    </xf>
    <xf numFmtId="0" fontId="60" fillId="58" borderId="0" xfId="0" applyFont="1" applyFill="1" applyAlignment="1">
      <alignment wrapText="1"/>
    </xf>
    <xf numFmtId="0" fontId="59" fillId="59" borderId="0" xfId="0" applyFont="1" applyFill="1"/>
    <xf numFmtId="0" fontId="59" fillId="58" borderId="0" xfId="0" applyFont="1" applyFill="1"/>
    <xf numFmtId="0" fontId="59" fillId="51" borderId="0" xfId="0" applyFont="1" applyFill="1"/>
    <xf numFmtId="0" fontId="59" fillId="60" borderId="0" xfId="0" applyFont="1" applyFill="1"/>
    <xf numFmtId="0" fontId="59" fillId="61" borderId="0" xfId="0" applyFont="1" applyFill="1"/>
    <xf numFmtId="0" fontId="66" fillId="0" borderId="0" xfId="0" applyFont="1" applyAlignment="1">
      <alignment wrapText="1"/>
    </xf>
    <xf numFmtId="0" fontId="66" fillId="0" borderId="0" xfId="0" applyFont="1"/>
    <xf numFmtId="0" fontId="57" fillId="0" borderId="0" xfId="0" applyFont="1" applyAlignment="1">
      <alignment horizontal="center" wrapText="1"/>
    </xf>
    <xf numFmtId="0" fontId="68" fillId="0" borderId="0" xfId="0" applyFont="1" applyAlignment="1">
      <alignment horizontal="center" wrapText="1"/>
    </xf>
    <xf numFmtId="0" fontId="69" fillId="0" borderId="0" xfId="0" applyFont="1" applyAlignment="1">
      <alignment horizontal="center" wrapText="1"/>
    </xf>
    <xf numFmtId="0" fontId="58" fillId="0" borderId="0" xfId="0" applyFont="1" applyAlignment="1">
      <alignment horizontal="left" wrapText="1"/>
    </xf>
    <xf numFmtId="0" fontId="62" fillId="0" borderId="0" xfId="0" applyFont="1" applyAlignment="1">
      <alignment horizontal="left" wrapText="1"/>
    </xf>
    <xf numFmtId="0" fontId="61" fillId="0" borderId="0" xfId="0" applyFont="1"/>
    <xf numFmtId="0" fontId="58" fillId="0" borderId="0" xfId="0" applyFont="1" applyAlignment="1">
      <alignment horizontal="left"/>
    </xf>
    <xf numFmtId="0" fontId="58" fillId="61" borderId="0" xfId="0" applyFont="1" applyFill="1" applyAlignment="1">
      <alignment horizontal="left"/>
    </xf>
    <xf numFmtId="0" fontId="62" fillId="61" borderId="0" xfId="0" applyFont="1" applyFill="1" applyAlignment="1">
      <alignment horizontal="left" wrapText="1"/>
    </xf>
    <xf numFmtId="0" fontId="61" fillId="61" borderId="0" xfId="0" applyFont="1" applyFill="1"/>
    <xf numFmtId="0" fontId="61" fillId="58" borderId="0" xfId="0" applyFont="1" applyFill="1"/>
    <xf numFmtId="0" fontId="66" fillId="58" borderId="0" xfId="0" applyFont="1" applyFill="1"/>
    <xf numFmtId="0" fontId="61" fillId="54" borderId="0" xfId="0" applyFont="1" applyFill="1"/>
    <xf numFmtId="0" fontId="66" fillId="54" borderId="0" xfId="0" applyFont="1" applyFill="1"/>
    <xf numFmtId="176" fontId="61" fillId="54" borderId="0" xfId="0" applyNumberFormat="1" applyFont="1" applyFill="1" applyAlignment="1">
      <alignment horizontal="right"/>
    </xf>
    <xf numFmtId="176" fontId="61" fillId="54" borderId="0" xfId="0" applyNumberFormat="1" applyFont="1" applyFill="1"/>
    <xf numFmtId="0" fontId="59" fillId="54" borderId="0" xfId="0" applyFont="1" applyFill="1"/>
    <xf numFmtId="0" fontId="62" fillId="54" borderId="0" xfId="0" applyFont="1" applyFill="1" applyAlignment="1">
      <alignment horizontal="left" wrapText="1"/>
    </xf>
    <xf numFmtId="0" fontId="61" fillId="51" borderId="0" xfId="0" applyFont="1" applyFill="1"/>
    <xf numFmtId="0" fontId="62" fillId="51" borderId="0" xfId="0" applyFont="1" applyFill="1" applyAlignment="1">
      <alignment horizontal="left" wrapText="1"/>
    </xf>
    <xf numFmtId="0" fontId="65" fillId="58" borderId="0" xfId="0" applyFont="1" applyFill="1"/>
    <xf numFmtId="2" fontId="61" fillId="58" borderId="0" xfId="0" applyNumberFormat="1" applyFont="1" applyFill="1" applyAlignment="1">
      <alignment horizontal="right"/>
    </xf>
    <xf numFmtId="0" fontId="57" fillId="58" borderId="0" xfId="0" applyFont="1" applyFill="1" applyAlignment="1">
      <alignment horizontal="right"/>
    </xf>
    <xf numFmtId="183" fontId="61" fillId="58" borderId="0" xfId="0" applyNumberFormat="1" applyFont="1" applyFill="1" applyAlignment="1">
      <alignment horizontal="right"/>
    </xf>
    <xf numFmtId="0" fontId="58" fillId="51" borderId="0" xfId="0" applyFont="1" applyFill="1" applyAlignment="1">
      <alignment horizontal="left"/>
    </xf>
    <xf numFmtId="0" fontId="58" fillId="59" borderId="0" xfId="0" applyFont="1" applyFill="1" applyAlignment="1">
      <alignment horizontal="left"/>
    </xf>
    <xf numFmtId="0" fontId="62" fillId="59" borderId="0" xfId="0" applyFont="1" applyFill="1" applyAlignment="1">
      <alignment horizontal="left" wrapText="1"/>
    </xf>
    <xf numFmtId="0" fontId="71" fillId="59" borderId="0" xfId="0" applyFont="1" applyFill="1" applyAlignment="1">
      <alignment horizontal="left"/>
    </xf>
    <xf numFmtId="0" fontId="72" fillId="58" borderId="14" xfId="0" applyFont="1" applyFill="1" applyBorder="1" applyAlignment="1">
      <alignment horizontal="center" wrapText="1"/>
    </xf>
    <xf numFmtId="0" fontId="57" fillId="58" borderId="15" xfId="0" applyFont="1" applyFill="1" applyBorder="1" applyAlignment="1">
      <alignment horizontal="center" wrapText="1"/>
    </xf>
    <xf numFmtId="0" fontId="68" fillId="58" borderId="15" xfId="0" applyFont="1" applyFill="1" applyBorder="1" applyAlignment="1">
      <alignment horizontal="center" wrapText="1"/>
    </xf>
    <xf numFmtId="0" fontId="72" fillId="58" borderId="15" xfId="0" applyFont="1" applyFill="1" applyBorder="1" applyAlignment="1">
      <alignment horizontal="center" wrapText="1"/>
    </xf>
    <xf numFmtId="0" fontId="66" fillId="58" borderId="0" xfId="0" applyFont="1" applyFill="1" applyAlignment="1">
      <alignment wrapText="1"/>
    </xf>
    <xf numFmtId="0" fontId="66" fillId="50" borderId="0" xfId="0" applyFont="1" applyFill="1" applyAlignment="1">
      <alignment wrapText="1"/>
    </xf>
    <xf numFmtId="3" fontId="57" fillId="58" borderId="16" xfId="0" applyNumberFormat="1" applyFont="1" applyFill="1" applyBorder="1" applyAlignment="1">
      <alignment horizontal="center" wrapText="1"/>
    </xf>
    <xf numFmtId="174" fontId="66" fillId="58" borderId="17" xfId="0" applyNumberFormat="1" applyFont="1" applyFill="1" applyBorder="1" applyAlignment="1">
      <alignment vertical="top" wrapText="1"/>
    </xf>
    <xf numFmtId="0" fontId="57" fillId="58" borderId="17" xfId="0" applyFont="1" applyFill="1" applyBorder="1" applyAlignment="1">
      <alignment wrapText="1"/>
    </xf>
    <xf numFmtId="0" fontId="68" fillId="58" borderId="17" xfId="0" applyFont="1" applyFill="1" applyBorder="1" applyAlignment="1">
      <alignment wrapText="1"/>
    </xf>
    <xf numFmtId="0" fontId="61" fillId="58" borderId="17" xfId="0" applyFont="1" applyFill="1" applyBorder="1" applyAlignment="1">
      <alignment horizontal="center" wrapText="1"/>
    </xf>
    <xf numFmtId="3" fontId="61" fillId="58" borderId="17" xfId="0" applyNumberFormat="1" applyFont="1" applyFill="1" applyBorder="1" applyAlignment="1">
      <alignment horizontal="center" wrapText="1"/>
    </xf>
    <xf numFmtId="164" fontId="66" fillId="58" borderId="0" xfId="0" applyNumberFormat="1" applyFont="1" applyFill="1" applyAlignment="1">
      <alignment horizontal="right"/>
    </xf>
    <xf numFmtId="3" fontId="66" fillId="58" borderId="0" xfId="0" applyNumberFormat="1" applyFont="1" applyFill="1" applyAlignment="1">
      <alignment horizontal="right"/>
    </xf>
    <xf numFmtId="3" fontId="59" fillId="50" borderId="0" xfId="0" applyNumberFormat="1" applyFont="1" applyFill="1"/>
    <xf numFmtId="178" fontId="66" fillId="58" borderId="0" xfId="0" applyNumberFormat="1" applyFont="1" applyFill="1" applyAlignment="1">
      <alignment horizontal="right"/>
    </xf>
    <xf numFmtId="41" fontId="66" fillId="58" borderId="0" xfId="0" applyNumberFormat="1" applyFont="1" applyFill="1" applyAlignment="1">
      <alignment horizontal="right"/>
    </xf>
    <xf numFmtId="174" fontId="66" fillId="58" borderId="0" xfId="0" applyNumberFormat="1" applyFont="1" applyFill="1" applyAlignment="1">
      <alignment horizontal="right"/>
    </xf>
    <xf numFmtId="0" fontId="66" fillId="58" borderId="17" xfId="0" applyFont="1" applyFill="1" applyBorder="1" applyAlignment="1">
      <alignment vertical="top" wrapText="1"/>
    </xf>
    <xf numFmtId="164" fontId="66" fillId="58" borderId="0" xfId="0" applyNumberFormat="1" applyFont="1" applyFill="1"/>
    <xf numFmtId="3" fontId="66" fillId="58" borderId="0" xfId="0" applyNumberFormat="1" applyFont="1" applyFill="1"/>
    <xf numFmtId="3" fontId="66" fillId="50" borderId="0" xfId="0" applyNumberFormat="1" applyFont="1" applyFill="1" applyAlignment="1">
      <alignment horizontal="right"/>
    </xf>
    <xf numFmtId="0" fontId="57" fillId="58" borderId="16" xfId="0" applyFont="1" applyFill="1" applyBorder="1" applyAlignment="1">
      <alignment horizontal="center" wrapText="1"/>
    </xf>
    <xf numFmtId="0" fontId="66" fillId="58" borderId="0" xfId="0" applyFont="1" applyFill="1" applyAlignment="1">
      <alignment horizontal="right"/>
    </xf>
    <xf numFmtId="3" fontId="66" fillId="58" borderId="0" xfId="0" applyNumberFormat="1" applyFont="1" applyFill="1" applyAlignment="1">
      <alignment horizontal="center"/>
    </xf>
    <xf numFmtId="0" fontId="75" fillId="58" borderId="0" xfId="0" applyFont="1" applyFill="1"/>
    <xf numFmtId="0" fontId="76" fillId="58" borderId="0" xfId="0" applyFont="1" applyFill="1"/>
    <xf numFmtId="0" fontId="76" fillId="58" borderId="0" xfId="0" applyFont="1" applyFill="1" applyAlignment="1">
      <alignment horizontal="right"/>
    </xf>
    <xf numFmtId="178" fontId="76" fillId="58" borderId="0" xfId="0" applyNumberFormat="1" applyFont="1" applyFill="1" applyAlignment="1">
      <alignment horizontal="center"/>
    </xf>
    <xf numFmtId="10" fontId="76" fillId="58" borderId="0" xfId="0" applyNumberFormat="1" applyFont="1" applyFill="1"/>
    <xf numFmtId="3" fontId="76" fillId="58" borderId="0" xfId="0" applyNumberFormat="1" applyFont="1" applyFill="1" applyAlignment="1">
      <alignment horizontal="right"/>
    </xf>
    <xf numFmtId="41" fontId="76" fillId="58" borderId="0" xfId="0" applyNumberFormat="1" applyFont="1" applyFill="1" applyAlignment="1">
      <alignment horizontal="right"/>
    </xf>
    <xf numFmtId="174" fontId="76" fillId="58" borderId="0" xfId="0" applyNumberFormat="1" applyFont="1" applyFill="1" applyAlignment="1">
      <alignment horizontal="right"/>
    </xf>
    <xf numFmtId="164" fontId="76" fillId="58" borderId="0" xfId="0" applyNumberFormat="1" applyFont="1" applyFill="1" applyAlignment="1">
      <alignment horizontal="right"/>
    </xf>
    <xf numFmtId="178" fontId="66" fillId="58" borderId="0" xfId="0" applyNumberFormat="1" applyFont="1" applyFill="1"/>
    <xf numFmtId="0" fontId="77" fillId="58" borderId="0" xfId="0" applyFont="1" applyFill="1"/>
    <xf numFmtId="164" fontId="76" fillId="58" borderId="0" xfId="0" applyNumberFormat="1" applyFont="1" applyFill="1"/>
    <xf numFmtId="0" fontId="59" fillId="50" borderId="0" xfId="0" applyFont="1" applyFill="1"/>
    <xf numFmtId="0" fontId="78" fillId="50" borderId="0" xfId="0" applyFont="1" applyFill="1"/>
    <xf numFmtId="0" fontId="59" fillId="0" borderId="0" xfId="0" applyFont="1"/>
    <xf numFmtId="41" fontId="60" fillId="0" borderId="0" xfId="0" applyNumberFormat="1" applyFont="1"/>
    <xf numFmtId="9" fontId="59" fillId="0" borderId="0" xfId="0" applyNumberFormat="1" applyFont="1"/>
    <xf numFmtId="0" fontId="79" fillId="62" borderId="14" xfId="0" applyFont="1" applyFill="1" applyBorder="1" applyAlignment="1">
      <alignment horizontal="center" wrapText="1"/>
    </xf>
    <xf numFmtId="0" fontId="79" fillId="62" borderId="15" xfId="0" applyFont="1" applyFill="1" applyBorder="1" applyAlignment="1">
      <alignment horizontal="center" wrapText="1"/>
    </xf>
    <xf numFmtId="0" fontId="70" fillId="0" borderId="0" xfId="0" applyFont="1" applyAlignment="1">
      <alignment wrapText="1"/>
    </xf>
    <xf numFmtId="0" fontId="80" fillId="62" borderId="16" xfId="0" applyFont="1" applyFill="1" applyBorder="1" applyAlignment="1">
      <alignment horizontal="center" wrapText="1"/>
    </xf>
    <xf numFmtId="3" fontId="80" fillId="62" borderId="17" xfId="0" applyNumberFormat="1" applyFont="1" applyFill="1" applyBorder="1" applyAlignment="1">
      <alignment horizontal="center" wrapText="1"/>
    </xf>
    <xf numFmtId="41" fontId="59" fillId="62" borderId="17" xfId="0" applyNumberFormat="1" applyFont="1" applyFill="1" applyBorder="1" applyAlignment="1">
      <alignment horizontal="center" wrapText="1"/>
    </xf>
    <xf numFmtId="41" fontId="59" fillId="0" borderId="0" xfId="0" applyNumberFormat="1" applyFont="1"/>
    <xf numFmtId="0" fontId="62" fillId="0" borderId="0" xfId="0" applyFont="1" applyAlignment="1">
      <alignment horizontal="left"/>
    </xf>
    <xf numFmtId="0" fontId="67" fillId="0" borderId="0" xfId="0" applyFont="1" applyAlignment="1">
      <alignment horizontal="left" wrapText="1"/>
    </xf>
    <xf numFmtId="178" fontId="61" fillId="0" borderId="0" xfId="0" applyNumberFormat="1" applyFont="1" applyAlignment="1">
      <alignment wrapText="1"/>
    </xf>
    <xf numFmtId="0" fontId="61" fillId="0" borderId="0" xfId="0" applyFont="1" applyAlignment="1">
      <alignment horizontal="right" wrapText="1"/>
    </xf>
    <xf numFmtId="1" fontId="61" fillId="0" borderId="0" xfId="0" applyNumberFormat="1" applyFont="1" applyAlignment="1">
      <alignment wrapText="1"/>
    </xf>
    <xf numFmtId="9" fontId="61" fillId="0" borderId="0" xfId="0" applyNumberFormat="1" applyFont="1" applyAlignment="1">
      <alignment wrapText="1"/>
    </xf>
    <xf numFmtId="0" fontId="57" fillId="61" borderId="0" xfId="0" applyFont="1" applyFill="1" applyAlignment="1">
      <alignment wrapText="1"/>
    </xf>
    <xf numFmtId="0" fontId="61" fillId="61" borderId="0" xfId="0" applyFont="1" applyFill="1" applyAlignment="1">
      <alignment wrapText="1"/>
    </xf>
    <xf numFmtId="178" fontId="57" fillId="58" borderId="0" xfId="0" applyNumberFormat="1" applyFont="1" applyFill="1" applyAlignment="1">
      <alignment horizontal="left" wrapText="1"/>
    </xf>
    <xf numFmtId="178" fontId="61" fillId="58" borderId="0" xfId="0" applyNumberFormat="1" applyFont="1" applyFill="1" applyAlignment="1">
      <alignment horizontal="right" wrapText="1"/>
    </xf>
    <xf numFmtId="179" fontId="57" fillId="58" borderId="0" xfId="0" applyNumberFormat="1" applyFont="1" applyFill="1" applyAlignment="1">
      <alignment horizontal="left" wrapText="1"/>
    </xf>
    <xf numFmtId="176" fontId="61" fillId="54" borderId="0" xfId="0" applyNumberFormat="1" applyFont="1" applyFill="1" applyAlignment="1">
      <alignment horizontal="right" wrapText="1"/>
    </xf>
    <xf numFmtId="10" fontId="61" fillId="54" borderId="0" xfId="0" applyNumberFormat="1" applyFont="1" applyFill="1" applyAlignment="1">
      <alignment horizontal="right" wrapText="1"/>
    </xf>
    <xf numFmtId="10" fontId="59" fillId="54" borderId="0" xfId="0" applyNumberFormat="1" applyFont="1" applyFill="1" applyAlignment="1">
      <alignment wrapText="1"/>
    </xf>
    <xf numFmtId="180" fontId="61" fillId="58" borderId="0" xfId="0" applyNumberFormat="1" applyFont="1" applyFill="1" applyAlignment="1">
      <alignment horizontal="right" wrapText="1"/>
    </xf>
    <xf numFmtId="181" fontId="61" fillId="58" borderId="0" xfId="0" applyNumberFormat="1" applyFont="1" applyFill="1" applyAlignment="1">
      <alignment horizontal="right" wrapText="1"/>
    </xf>
    <xf numFmtId="4" fontId="61" fillId="58" borderId="0" xfId="0" applyNumberFormat="1" applyFont="1" applyFill="1" applyAlignment="1">
      <alignment horizontal="right" wrapText="1"/>
    </xf>
    <xf numFmtId="177" fontId="61" fillId="58" borderId="0" xfId="0" applyNumberFormat="1" applyFont="1" applyFill="1" applyAlignment="1">
      <alignment horizontal="right" wrapText="1"/>
    </xf>
    <xf numFmtId="0" fontId="70" fillId="0" borderId="0" xfId="0" applyFont="1" applyAlignment="1">
      <alignment horizontal="left" wrapText="1"/>
    </xf>
    <xf numFmtId="2" fontId="61" fillId="51" borderId="0" xfId="0" applyNumberFormat="1" applyFont="1" applyFill="1" applyAlignment="1">
      <alignment horizontal="right" wrapText="1"/>
    </xf>
    <xf numFmtId="3" fontId="61" fillId="51" borderId="0" xfId="0" applyNumberFormat="1" applyFont="1" applyFill="1" applyAlignment="1">
      <alignment horizontal="right" wrapText="1"/>
    </xf>
    <xf numFmtId="182" fontId="61" fillId="51" borderId="0" xfId="0" applyNumberFormat="1" applyFont="1" applyFill="1" applyAlignment="1">
      <alignment horizontal="right" wrapText="1"/>
    </xf>
    <xf numFmtId="0" fontId="57" fillId="58" borderId="0" xfId="0" applyFont="1" applyFill="1" applyAlignment="1">
      <alignment wrapText="1"/>
    </xf>
    <xf numFmtId="0" fontId="61" fillId="58" borderId="0" xfId="0" applyFont="1" applyFill="1" applyAlignment="1">
      <alignment wrapText="1"/>
    </xf>
    <xf numFmtId="2" fontId="61" fillId="58" borderId="0" xfId="0" applyNumberFormat="1" applyFont="1" applyFill="1" applyAlignment="1">
      <alignment wrapText="1"/>
    </xf>
    <xf numFmtId="2" fontId="61" fillId="58" borderId="0" xfId="0" applyNumberFormat="1" applyFont="1" applyFill="1" applyAlignment="1">
      <alignment horizontal="right" wrapText="1"/>
    </xf>
    <xf numFmtId="2" fontId="57" fillId="58" borderId="0" xfId="0" applyNumberFormat="1" applyFont="1" applyFill="1" applyAlignment="1">
      <alignment horizontal="left" wrapText="1"/>
    </xf>
    <xf numFmtId="183" fontId="61" fillId="58" borderId="0" xfId="0" applyNumberFormat="1" applyFont="1" applyFill="1" applyAlignment="1">
      <alignment horizontal="right" wrapText="1"/>
    </xf>
    <xf numFmtId="178" fontId="61" fillId="51" borderId="0" xfId="0" applyNumberFormat="1" applyFont="1" applyFill="1" applyAlignment="1">
      <alignment wrapText="1"/>
    </xf>
    <xf numFmtId="4" fontId="61" fillId="51" borderId="0" xfId="0" applyNumberFormat="1" applyFont="1" applyFill="1" applyAlignment="1">
      <alignment wrapText="1"/>
    </xf>
    <xf numFmtId="0" fontId="57" fillId="51" borderId="0" xfId="0" applyFont="1" applyFill="1" applyAlignment="1">
      <alignment wrapText="1"/>
    </xf>
    <xf numFmtId="184" fontId="57" fillId="51" borderId="0" xfId="0" applyNumberFormat="1" applyFont="1" applyFill="1" applyAlignment="1">
      <alignment wrapText="1"/>
    </xf>
    <xf numFmtId="184" fontId="61" fillId="51" borderId="0" xfId="0" applyNumberFormat="1" applyFont="1" applyFill="1" applyAlignment="1">
      <alignment wrapText="1"/>
    </xf>
    <xf numFmtId="175" fontId="57" fillId="51" borderId="0" xfId="0" applyNumberFormat="1" applyFont="1" applyFill="1" applyAlignment="1">
      <alignment wrapText="1"/>
    </xf>
    <xf numFmtId="174" fontId="57" fillId="59" borderId="0" xfId="0" applyNumberFormat="1" applyFont="1" applyFill="1" applyAlignment="1">
      <alignment wrapText="1"/>
    </xf>
    <xf numFmtId="174" fontId="61" fillId="59" borderId="0" xfId="0" applyNumberFormat="1" applyFont="1" applyFill="1" applyAlignment="1">
      <alignment wrapText="1"/>
    </xf>
    <xf numFmtId="176" fontId="61" fillId="59" borderId="0" xfId="0" applyNumberFormat="1" applyFont="1" applyFill="1" applyAlignment="1">
      <alignment wrapText="1"/>
    </xf>
    <xf numFmtId="178" fontId="61" fillId="59" borderId="0" xfId="0" applyNumberFormat="1" applyFont="1" applyFill="1" applyAlignment="1">
      <alignment wrapText="1"/>
    </xf>
    <xf numFmtId="177" fontId="61" fillId="59" borderId="0" xfId="0" applyNumberFormat="1" applyFont="1" applyFill="1" applyAlignment="1">
      <alignment wrapText="1"/>
    </xf>
    <xf numFmtId="0" fontId="66" fillId="58" borderId="0" xfId="0" applyFont="1" applyFill="1" applyAlignment="1">
      <alignment horizontal="right" wrapText="1"/>
    </xf>
    <xf numFmtId="167" fontId="74" fillId="58" borderId="0" xfId="0" applyNumberFormat="1" applyFont="1" applyFill="1" applyAlignment="1">
      <alignment horizontal="right" wrapText="1"/>
    </xf>
    <xf numFmtId="167" fontId="60" fillId="58" borderId="0" xfId="0" applyNumberFormat="1" applyFont="1" applyFill="1" applyAlignment="1">
      <alignment horizontal="right" wrapText="1"/>
    </xf>
    <xf numFmtId="9" fontId="59" fillId="0" borderId="0" xfId="0" applyNumberFormat="1" applyFont="1" applyAlignment="1">
      <alignment wrapText="1"/>
    </xf>
    <xf numFmtId="0" fontId="60" fillId="54" borderId="0" xfId="0" applyFont="1" applyFill="1"/>
    <xf numFmtId="0" fontId="59" fillId="54" borderId="0" xfId="0" applyFont="1" applyFill="1" applyAlignment="1">
      <alignment wrapText="1"/>
    </xf>
    <xf numFmtId="0" fontId="57" fillId="58" borderId="0" xfId="0" applyFont="1" applyFill="1" applyAlignment="1">
      <alignment horizontal="right" wrapText="1"/>
    </xf>
    <xf numFmtId="0" fontId="76" fillId="58" borderId="0" xfId="0" applyFont="1" applyFill="1" applyAlignment="1">
      <alignment wrapText="1"/>
    </xf>
    <xf numFmtId="0" fontId="59" fillId="0" borderId="0" xfId="0" applyFont="1" applyAlignment="1">
      <alignment wrapText="1"/>
    </xf>
    <xf numFmtId="0" fontId="81" fillId="0" borderId="0" xfId="0" applyFont="1" applyAlignment="1">
      <alignment horizontal="left"/>
    </xf>
    <xf numFmtId="0" fontId="52" fillId="61" borderId="13" xfId="0" applyFont="1" applyFill="1" applyBorder="1" applyAlignment="1">
      <alignment horizontal="left" wrapText="1"/>
    </xf>
    <xf numFmtId="0" fontId="35" fillId="58" borderId="0" xfId="0" applyFont="1" applyFill="1"/>
    <xf numFmtId="1" fontId="57" fillId="58" borderId="0" xfId="0" applyNumberFormat="1" applyFont="1" applyFill="1" applyAlignment="1">
      <alignment horizontal="right" wrapText="1"/>
    </xf>
    <xf numFmtId="0" fontId="53" fillId="58" borderId="0" xfId="0" applyFont="1" applyFill="1"/>
    <xf numFmtId="0" fontId="29" fillId="54" borderId="0" xfId="44" applyFill="1" applyAlignment="1"/>
    <xf numFmtId="0" fontId="52" fillId="0" borderId="13" xfId="0" applyFont="1" applyBorder="1" applyAlignment="1">
      <alignment horizontal="left" vertical="top" wrapText="1"/>
    </xf>
    <xf numFmtId="0" fontId="52" fillId="59" borderId="13" xfId="0" applyFont="1" applyFill="1" applyBorder="1" applyAlignment="1">
      <alignment horizontal="left" wrapText="1"/>
    </xf>
    <xf numFmtId="0" fontId="53" fillId="58" borderId="13" xfId="0" applyFont="1" applyFill="1" applyBorder="1" applyAlignment="1">
      <alignment horizontal="left" wrapText="1"/>
    </xf>
    <xf numFmtId="0" fontId="53" fillId="64" borderId="13" xfId="0" applyFont="1" applyFill="1" applyBorder="1" applyAlignment="1">
      <alignment horizontal="left" wrapText="1"/>
    </xf>
    <xf numFmtId="0" fontId="83" fillId="36" borderId="13" xfId="0" applyFont="1" applyFill="1" applyBorder="1" applyAlignment="1">
      <alignment horizontal="left" wrapText="1"/>
    </xf>
    <xf numFmtId="0" fontId="84" fillId="65" borderId="13" xfId="0" applyFont="1" applyFill="1" applyBorder="1" applyAlignment="1">
      <alignment vertical="center" wrapText="1"/>
    </xf>
    <xf numFmtId="0" fontId="84" fillId="0" borderId="13" xfId="0" applyFont="1" applyBorder="1" applyAlignment="1">
      <alignment horizontal="center" wrapText="1"/>
    </xf>
    <xf numFmtId="0" fontId="84" fillId="0" borderId="13" xfId="0" applyFont="1" applyBorder="1" applyAlignment="1">
      <alignment horizontal="left" wrapText="1"/>
    </xf>
    <xf numFmtId="3" fontId="53" fillId="59" borderId="13" xfId="0" applyNumberFormat="1" applyFont="1" applyFill="1" applyBorder="1" applyAlignment="1">
      <alignment horizontal="center"/>
    </xf>
    <xf numFmtId="176" fontId="88" fillId="59" borderId="13" xfId="0" applyNumberFormat="1" applyFont="1" applyFill="1" applyBorder="1" applyAlignment="1">
      <alignment horizontal="center" wrapText="1"/>
    </xf>
    <xf numFmtId="176" fontId="85" fillId="59" borderId="13" xfId="0" applyNumberFormat="1" applyFont="1" applyFill="1" applyBorder="1" applyAlignment="1">
      <alignment horizontal="left"/>
    </xf>
    <xf numFmtId="1" fontId="53" fillId="59" borderId="13" xfId="0" applyNumberFormat="1" applyFont="1" applyFill="1" applyBorder="1" applyAlignment="1">
      <alignment horizontal="center"/>
    </xf>
    <xf numFmtId="174" fontId="52" fillId="59" borderId="13" xfId="0" applyNumberFormat="1" applyFont="1" applyFill="1" applyBorder="1" applyAlignment="1">
      <alignment horizontal="left"/>
    </xf>
    <xf numFmtId="174" fontId="53" fillId="59" borderId="13" xfId="0" applyNumberFormat="1" applyFont="1" applyFill="1" applyBorder="1" applyAlignment="1">
      <alignment horizontal="center" wrapText="1"/>
    </xf>
    <xf numFmtId="177" fontId="85" fillId="59" borderId="13" xfId="0" applyNumberFormat="1" applyFont="1" applyFill="1" applyBorder="1" applyAlignment="1">
      <alignment horizontal="left"/>
    </xf>
    <xf numFmtId="3" fontId="53" fillId="58" borderId="13" xfId="0" applyNumberFormat="1" applyFont="1" applyFill="1" applyBorder="1" applyAlignment="1">
      <alignment horizontal="center"/>
    </xf>
    <xf numFmtId="4" fontId="53" fillId="58" borderId="13" xfId="0" applyNumberFormat="1" applyFont="1" applyFill="1" applyBorder="1" applyAlignment="1">
      <alignment horizontal="center" wrapText="1"/>
    </xf>
    <xf numFmtId="176" fontId="53" fillId="58" borderId="13" xfId="0" applyNumberFormat="1" applyFont="1" applyFill="1" applyBorder="1" applyAlignment="1">
      <alignment horizontal="left"/>
    </xf>
    <xf numFmtId="1" fontId="53" fillId="58" borderId="13" xfId="0" applyNumberFormat="1" applyFont="1" applyFill="1" applyBorder="1" applyAlignment="1">
      <alignment horizontal="center"/>
    </xf>
    <xf numFmtId="174" fontId="53" fillId="58" borderId="13" xfId="0" applyNumberFormat="1" applyFont="1" applyFill="1" applyBorder="1" applyAlignment="1">
      <alignment horizontal="left"/>
    </xf>
    <xf numFmtId="0" fontId="53" fillId="58" borderId="13" xfId="0" applyFont="1" applyFill="1" applyBorder="1" applyAlignment="1">
      <alignment horizontal="center"/>
    </xf>
    <xf numFmtId="0" fontId="53" fillId="58" borderId="13" xfId="0" applyFont="1" applyFill="1" applyBorder="1" applyAlignment="1">
      <alignment horizontal="center" wrapText="1"/>
    </xf>
    <xf numFmtId="176" fontId="85" fillId="58" borderId="13" xfId="0" applyNumberFormat="1" applyFont="1" applyFill="1" applyBorder="1" applyAlignment="1">
      <alignment horizontal="left"/>
    </xf>
    <xf numFmtId="3" fontId="53" fillId="64" borderId="13" xfId="0" applyNumberFormat="1" applyFont="1" applyFill="1" applyBorder="1" applyAlignment="1">
      <alignment horizontal="center"/>
    </xf>
    <xf numFmtId="174" fontId="53" fillId="58" borderId="13" xfId="0" applyNumberFormat="1" applyFont="1" applyFill="1" applyBorder="1" applyAlignment="1">
      <alignment horizontal="center" wrapText="1"/>
    </xf>
    <xf numFmtId="0" fontId="53" fillId="58" borderId="13" xfId="0" applyFont="1" applyFill="1" applyBorder="1"/>
    <xf numFmtId="176" fontId="53" fillId="58" borderId="13" xfId="0" applyNumberFormat="1" applyFont="1" applyFill="1" applyBorder="1" applyAlignment="1">
      <alignment horizontal="center" wrapText="1"/>
    </xf>
    <xf numFmtId="174" fontId="52" fillId="58" borderId="13" xfId="0" applyNumberFormat="1" applyFont="1" applyFill="1" applyBorder="1" applyAlignment="1">
      <alignment horizontal="left"/>
    </xf>
    <xf numFmtId="0" fontId="53" fillId="65" borderId="13" xfId="0" applyFont="1" applyFill="1" applyBorder="1" applyAlignment="1">
      <alignment wrapText="1"/>
    </xf>
    <xf numFmtId="0" fontId="52" fillId="51" borderId="13" xfId="0" applyFont="1" applyFill="1" applyBorder="1" applyAlignment="1">
      <alignment horizontal="left" wrapText="1"/>
    </xf>
    <xf numFmtId="178" fontId="53" fillId="51" borderId="13" xfId="0" applyNumberFormat="1" applyFont="1" applyFill="1" applyBorder="1" applyAlignment="1">
      <alignment horizontal="center"/>
    </xf>
    <xf numFmtId="0" fontId="53" fillId="51" borderId="13" xfId="0" applyFont="1" applyFill="1" applyBorder="1" applyAlignment="1">
      <alignment horizontal="center" wrapText="1"/>
    </xf>
    <xf numFmtId="167" fontId="87" fillId="51" borderId="13" xfId="0" applyNumberFormat="1" applyFont="1" applyFill="1" applyBorder="1" applyAlignment="1">
      <alignment horizontal="right"/>
    </xf>
    <xf numFmtId="1" fontId="53" fillId="51" borderId="13" xfId="0" applyNumberFormat="1" applyFont="1" applyFill="1" applyBorder="1" applyAlignment="1">
      <alignment horizontal="center"/>
    </xf>
    <xf numFmtId="0" fontId="53" fillId="51" borderId="13" xfId="0" applyFont="1" applyFill="1" applyBorder="1" applyAlignment="1">
      <alignment horizontal="center"/>
    </xf>
    <xf numFmtId="174" fontId="53" fillId="51" borderId="13" xfId="0" applyNumberFormat="1" applyFont="1" applyFill="1" applyBorder="1" applyAlignment="1">
      <alignment horizontal="left"/>
    </xf>
    <xf numFmtId="0" fontId="53" fillId="51" borderId="13" xfId="0" applyFont="1" applyFill="1" applyBorder="1" applyAlignment="1">
      <alignment horizontal="left" wrapText="1"/>
    </xf>
    <xf numFmtId="3" fontId="53" fillId="51" borderId="13" xfId="0" applyNumberFormat="1" applyFont="1" applyFill="1" applyBorder="1" applyAlignment="1">
      <alignment horizontal="center"/>
    </xf>
    <xf numFmtId="176" fontId="85" fillId="51" borderId="13" xfId="0" applyNumberFormat="1" applyFont="1" applyFill="1" applyBorder="1" applyAlignment="1">
      <alignment horizontal="left"/>
    </xf>
    <xf numFmtId="41" fontId="53" fillId="51" borderId="13" xfId="0" applyNumberFormat="1" applyFont="1" applyFill="1" applyBorder="1" applyAlignment="1">
      <alignment horizontal="center"/>
    </xf>
    <xf numFmtId="0" fontId="89" fillId="51" borderId="13" xfId="0" applyFont="1" applyFill="1" applyBorder="1" applyAlignment="1">
      <alignment horizontal="center"/>
    </xf>
    <xf numFmtId="174" fontId="52" fillId="51" borderId="13" xfId="0" applyNumberFormat="1" applyFont="1" applyFill="1" applyBorder="1" applyAlignment="1">
      <alignment horizontal="left"/>
    </xf>
    <xf numFmtId="0" fontId="83" fillId="60" borderId="13" xfId="0" applyFont="1" applyFill="1" applyBorder="1" applyAlignment="1">
      <alignment horizontal="left" wrapText="1"/>
    </xf>
    <xf numFmtId="3" fontId="53" fillId="60" borderId="13" xfId="0" applyNumberFormat="1" applyFont="1" applyFill="1" applyBorder="1" applyAlignment="1">
      <alignment horizontal="center"/>
    </xf>
    <xf numFmtId="0" fontId="53" fillId="60" borderId="13" xfId="0" applyFont="1" applyFill="1" applyBorder="1" applyAlignment="1">
      <alignment horizontal="center" wrapText="1"/>
    </xf>
    <xf numFmtId="167" fontId="87" fillId="60" borderId="13" xfId="0" applyNumberFormat="1" applyFont="1" applyFill="1" applyBorder="1" applyAlignment="1">
      <alignment horizontal="right"/>
    </xf>
    <xf numFmtId="1" fontId="53" fillId="60" borderId="13" xfId="0" applyNumberFormat="1" applyFont="1" applyFill="1" applyBorder="1" applyAlignment="1">
      <alignment horizontal="center"/>
    </xf>
    <xf numFmtId="174" fontId="52" fillId="60" borderId="13" xfId="0" applyNumberFormat="1" applyFont="1" applyFill="1" applyBorder="1" applyAlignment="1">
      <alignment horizontal="left"/>
    </xf>
    <xf numFmtId="0" fontId="84" fillId="60" borderId="13" xfId="0" applyFont="1" applyFill="1" applyBorder="1" applyAlignment="1">
      <alignment horizontal="left" wrapText="1"/>
    </xf>
    <xf numFmtId="0" fontId="84" fillId="63" borderId="13" xfId="0" applyFont="1" applyFill="1" applyBorder="1" applyAlignment="1">
      <alignment horizontal="left" wrapText="1"/>
    </xf>
    <xf numFmtId="0" fontId="84" fillId="44" borderId="13" xfId="0" applyFont="1" applyFill="1" applyBorder="1" applyAlignment="1">
      <alignment horizontal="left" wrapText="1"/>
    </xf>
    <xf numFmtId="0" fontId="52" fillId="61" borderId="13" xfId="0" applyFont="1" applyFill="1" applyBorder="1" applyAlignment="1">
      <alignment horizontal="center" wrapText="1"/>
    </xf>
    <xf numFmtId="167" fontId="87" fillId="61" borderId="13" xfId="0" applyNumberFormat="1" applyFont="1" applyFill="1" applyBorder="1" applyAlignment="1">
      <alignment horizontal="right"/>
    </xf>
    <xf numFmtId="1" fontId="53" fillId="61" borderId="13" xfId="0" applyNumberFormat="1" applyFont="1" applyFill="1" applyBorder="1" applyAlignment="1">
      <alignment horizontal="center"/>
    </xf>
    <xf numFmtId="174" fontId="52" fillId="61" borderId="13" xfId="0" applyNumberFormat="1" applyFont="1" applyFill="1" applyBorder="1" applyAlignment="1">
      <alignment horizontal="left"/>
    </xf>
    <xf numFmtId="0" fontId="53" fillId="61" borderId="13" xfId="0" applyFont="1" applyFill="1" applyBorder="1" applyAlignment="1">
      <alignment horizontal="center" wrapText="1"/>
    </xf>
    <xf numFmtId="1" fontId="53" fillId="61" borderId="13" xfId="0" applyNumberFormat="1" applyFont="1" applyFill="1" applyBorder="1" applyAlignment="1">
      <alignment horizontal="center" wrapText="1"/>
    </xf>
    <xf numFmtId="174" fontId="83" fillId="61" borderId="13" xfId="0" applyNumberFormat="1" applyFont="1" applyFill="1" applyBorder="1" applyAlignment="1">
      <alignment horizontal="center" wrapText="1"/>
    </xf>
    <xf numFmtId="0" fontId="90" fillId="0" borderId="13" xfId="44" applyFont="1" applyBorder="1" applyAlignment="1">
      <alignment horizontal="left"/>
    </xf>
    <xf numFmtId="0" fontId="53" fillId="0" borderId="13" xfId="0" applyFont="1" applyBorder="1" applyAlignment="1">
      <alignment horizontal="center" wrapText="1"/>
    </xf>
    <xf numFmtId="0" fontId="92" fillId="0" borderId="13" xfId="0" applyFont="1" applyBorder="1" applyAlignment="1">
      <alignment horizontal="center" wrapText="1"/>
    </xf>
    <xf numFmtId="178" fontId="53" fillId="0" borderId="13" xfId="0" applyNumberFormat="1" applyFont="1" applyBorder="1" applyAlignment="1">
      <alignment wrapText="1"/>
    </xf>
    <xf numFmtId="0" fontId="29" fillId="59" borderId="0" xfId="44" applyFill="1" applyAlignment="1">
      <alignment horizontal="left"/>
    </xf>
    <xf numFmtId="174" fontId="61" fillId="58" borderId="0" xfId="0" applyNumberFormat="1" applyFont="1" applyFill="1" applyAlignment="1">
      <alignment horizontal="right" wrapText="1"/>
    </xf>
    <xf numFmtId="0" fontId="63" fillId="58" borderId="0" xfId="0" applyFont="1" applyFill="1"/>
    <xf numFmtId="0" fontId="84" fillId="65" borderId="0" xfId="0" applyFont="1" applyFill="1" applyAlignment="1">
      <alignment horizontal="right" vertical="center" wrapText="1"/>
    </xf>
    <xf numFmtId="0" fontId="84" fillId="65" borderId="0" xfId="0" applyFont="1" applyFill="1" applyAlignment="1">
      <alignment vertical="center"/>
    </xf>
    <xf numFmtId="176" fontId="57" fillId="54" borderId="0" xfId="0" applyNumberFormat="1" applyFont="1" applyFill="1" applyAlignment="1">
      <alignment horizontal="left" wrapText="1"/>
    </xf>
    <xf numFmtId="176" fontId="57" fillId="54" borderId="0" xfId="0" applyNumberFormat="1" applyFont="1" applyFill="1" applyAlignment="1">
      <alignment horizontal="right"/>
    </xf>
    <xf numFmtId="0" fontId="83" fillId="36" borderId="13" xfId="0" applyFont="1" applyFill="1" applyBorder="1" applyAlignment="1">
      <alignment horizontal="left"/>
    </xf>
    <xf numFmtId="185" fontId="84" fillId="65" borderId="0" xfId="0" applyNumberFormat="1" applyFont="1" applyFill="1" applyAlignment="1">
      <alignment horizontal="right" vertical="center" wrapText="1"/>
    </xf>
    <xf numFmtId="0" fontId="29" fillId="65" borderId="0" xfId="44" applyFill="1" applyBorder="1" applyAlignment="1">
      <alignment vertical="center"/>
    </xf>
    <xf numFmtId="6" fontId="84" fillId="65" borderId="0" xfId="0" applyNumberFormat="1" applyFont="1" applyFill="1" applyAlignment="1">
      <alignment horizontal="right" vertical="center" wrapText="1"/>
    </xf>
    <xf numFmtId="6" fontId="84" fillId="36" borderId="13" xfId="0" applyNumberFormat="1" applyFont="1" applyFill="1" applyBorder="1" applyAlignment="1">
      <alignment horizontal="left" vertical="center" wrapText="1"/>
    </xf>
    <xf numFmtId="176" fontId="53" fillId="64" borderId="13" xfId="0" applyNumberFormat="1" applyFont="1" applyFill="1" applyBorder="1" applyAlignment="1">
      <alignment horizontal="left"/>
    </xf>
    <xf numFmtId="1" fontId="53" fillId="64" borderId="13" xfId="0" applyNumberFormat="1" applyFont="1" applyFill="1" applyBorder="1" applyAlignment="1">
      <alignment horizontal="left"/>
    </xf>
    <xf numFmtId="3" fontId="53" fillId="66" borderId="13" xfId="0" applyNumberFormat="1" applyFont="1" applyFill="1" applyBorder="1" applyAlignment="1">
      <alignment horizontal="center"/>
    </xf>
    <xf numFmtId="0" fontId="84" fillId="65" borderId="13" xfId="0" applyFont="1" applyFill="1" applyBorder="1" applyAlignment="1">
      <alignment vertical="center"/>
    </xf>
    <xf numFmtId="174" fontId="84" fillId="36" borderId="13" xfId="0" applyNumberFormat="1" applyFont="1" applyFill="1" applyBorder="1" applyAlignment="1">
      <alignment horizontal="left" vertical="center" wrapText="1"/>
    </xf>
    <xf numFmtId="0" fontId="0" fillId="39" borderId="0" xfId="0" applyFill="1" applyAlignment="1">
      <alignment horizontal="center" wrapText="1"/>
    </xf>
    <xf numFmtId="0" fontId="0" fillId="39" borderId="0" xfId="0" applyFill="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14">
    <dxf>
      <alignment wrapText="1"/>
    </dxf>
    <dxf>
      <font>
        <b/>
      </font>
    </dxf>
    <dxf>
      <font>
        <b/>
      </font>
    </dxf>
    <dxf>
      <alignment wrapText="1"/>
    </dxf>
    <dxf>
      <alignment wrapText="1"/>
    </dxf>
    <dxf>
      <numFmt numFmtId="166" formatCode="_(* #,##0_);_(* \(#,##0\);_(* &quot;-&quot;??_);_(@_)"/>
    </dxf>
    <dxf>
      <numFmt numFmtId="166" formatCode="_(* #,##0_);_(* \(#,##0\);_(* &quot;-&quot;??_);_(@_)"/>
    </dxf>
    <dxf>
      <alignment wrapText="1"/>
    </dxf>
    <dxf>
      <alignment wrapText="1"/>
    </dxf>
    <dxf>
      <alignment wrapText="1"/>
    </dxf>
    <dxf>
      <alignment wrapText="1"/>
    </dxf>
    <dxf>
      <numFmt numFmtId="166" formatCode="_(* #,##0_);_(* \(#,##0\);_(* &quot;-&quot;??_);_(@_)"/>
    </dxf>
    <dxf>
      <numFmt numFmtId="166" formatCode="_(* #,##0_);_(* \(#,##0\);_(* &quot;-&quot;??_);_(@_)"/>
    </dxf>
    <dxf>
      <alignment wrapText="1"/>
    </dxf>
  </dxfs>
  <tableStyles count="0" defaultTableStyle="TableStyleMedium2" defaultPivotStyle="PivotStyleLight16"/>
  <colors>
    <mruColors>
      <color rgb="FF0000FF"/>
      <color rgb="FF006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30876789867455E-2"/>
          <c:y val="0.20508042263947776"/>
          <c:w val="0.87546496446980271"/>
          <c:h val="0.58457799738119975"/>
        </c:manualLayout>
      </c:layout>
      <c:scatterChart>
        <c:scatterStyle val="lineMarker"/>
        <c:varyColors val="0"/>
        <c:ser>
          <c:idx val="11"/>
          <c:order val="1"/>
          <c:tx>
            <c:v>CA Batches on Rolls, RLA</c:v>
          </c:tx>
          <c:spPr>
            <a:ln w="25400" cap="rnd">
              <a:noFill/>
              <a:round/>
            </a:ln>
            <a:effectLst/>
          </c:spPr>
          <c:marker>
            <c:symbol val="circle"/>
            <c:size val="6"/>
            <c:spPr>
              <a:noFill/>
              <a:ln w="34925">
                <a:solidFill>
                  <a:srgbClr val="002060"/>
                </a:solidFill>
              </a:ln>
              <a:effectLst/>
            </c:spPr>
          </c:marker>
          <c:xVal>
            <c:numRef>
              <c:f>'hand counts'!$D$24</c:f>
              <c:numCache>
                <c:formatCode>0</c:formatCode>
                <c:ptCount val="1"/>
                <c:pt idx="0">
                  <c:v>1</c:v>
                </c:pt>
              </c:numCache>
            </c:numRef>
          </c:xVal>
          <c:yVal>
            <c:numRef>
              <c:f>'hand counts'!$B$24</c:f>
              <c:numCache>
                <c:formatCode>0.00</c:formatCode>
                <c:ptCount val="1"/>
                <c:pt idx="0">
                  <c:v>1.9271948608137044</c:v>
                </c:pt>
              </c:numCache>
            </c:numRef>
          </c:yVal>
          <c:smooth val="0"/>
          <c:extLst>
            <c:ext xmlns:c16="http://schemas.microsoft.com/office/drawing/2014/chart" uri="{C3380CC4-5D6E-409C-BE32-E72D297353CC}">
              <c16:uniqueId val="{00000001-14B1-4BC4-8948-17B2BE6AEF7A}"/>
            </c:ext>
          </c:extLst>
        </c:ser>
        <c:ser>
          <c:idx val="3"/>
          <c:order val="2"/>
          <c:tx>
            <c:v>CA, MD Random Ballots, RLA Pilots</c:v>
          </c:tx>
          <c:spPr>
            <a:ln w="25400" cap="rnd">
              <a:noFill/>
              <a:round/>
            </a:ln>
            <a:effectLst/>
          </c:spPr>
          <c:marker>
            <c:symbol val="diamond"/>
            <c:size val="10"/>
            <c:spPr>
              <a:noFill/>
              <a:ln w="25400">
                <a:solidFill>
                  <a:srgbClr val="002060"/>
                </a:solidFill>
              </a:ln>
              <a:effectLst/>
            </c:spPr>
          </c:marker>
          <c:xVal>
            <c:numRef>
              <c:f>'hand counts'!$D$20:$D$23</c:f>
              <c:numCache>
                <c:formatCode>General</c:formatCode>
                <c:ptCount val="4"/>
                <c:pt idx="0">
                  <c:v>3</c:v>
                </c:pt>
                <c:pt idx="1">
                  <c:v>3</c:v>
                </c:pt>
                <c:pt idx="2" formatCode="0">
                  <c:v>3</c:v>
                </c:pt>
                <c:pt idx="3" formatCode="0">
                  <c:v>2</c:v>
                </c:pt>
              </c:numCache>
            </c:numRef>
          </c:xVal>
          <c:yVal>
            <c:numRef>
              <c:f>'hand counts'!$B$20:$B$23</c:f>
              <c:numCache>
                <c:formatCode>0.00</c:formatCode>
                <c:ptCount val="4"/>
                <c:pt idx="0">
                  <c:v>2.0599190283400812</c:v>
                </c:pt>
                <c:pt idx="1">
                  <c:v>1.7560975609756098</c:v>
                </c:pt>
                <c:pt idx="2">
                  <c:v>5.8741258741258742</c:v>
                </c:pt>
                <c:pt idx="3">
                  <c:v>1.8181818181818181</c:v>
                </c:pt>
              </c:numCache>
            </c:numRef>
          </c:yVal>
          <c:smooth val="0"/>
          <c:extLst>
            <c:ext xmlns:c16="http://schemas.microsoft.com/office/drawing/2014/chart" uri="{C3380CC4-5D6E-409C-BE32-E72D297353CC}">
              <c16:uniqueId val="{00000002-14B1-4BC4-8948-17B2BE6AEF7A}"/>
            </c:ext>
          </c:extLst>
        </c:ser>
        <c:ser>
          <c:idx val="0"/>
          <c:order val="3"/>
          <c:tx>
            <c:v>San Diego Audit, by Precincts</c:v>
          </c:tx>
          <c:spPr>
            <a:ln w="25400" cap="rnd">
              <a:noFill/>
              <a:round/>
            </a:ln>
            <a:effectLst/>
          </c:spPr>
          <c:marker>
            <c:symbol val="square"/>
            <c:size val="5"/>
            <c:spPr>
              <a:solidFill>
                <a:srgbClr val="C00000"/>
              </a:solidFill>
              <a:ln w="9525">
                <a:noFill/>
              </a:ln>
              <a:effectLst/>
            </c:spPr>
          </c:marker>
          <c:xVal>
            <c:numRef>
              <c:f>'hand counts'!$D$69:$D$84</c:f>
              <c:numCache>
                <c:formatCode>0</c:formatCode>
                <c:ptCount val="16"/>
                <c:pt idx="0">
                  <c:v>25</c:v>
                </c:pt>
                <c:pt idx="1">
                  <c:v>26</c:v>
                </c:pt>
                <c:pt idx="2">
                  <c:v>27</c:v>
                </c:pt>
                <c:pt idx="3">
                  <c:v>27</c:v>
                </c:pt>
                <c:pt idx="4">
                  <c:v>12</c:v>
                </c:pt>
                <c:pt idx="5">
                  <c:v>11</c:v>
                </c:pt>
                <c:pt idx="6">
                  <c:v>13</c:v>
                </c:pt>
                <c:pt idx="7">
                  <c:v>12</c:v>
                </c:pt>
                <c:pt idx="8">
                  <c:v>11</c:v>
                </c:pt>
                <c:pt idx="9">
                  <c:v>16</c:v>
                </c:pt>
                <c:pt idx="10">
                  <c:v>15</c:v>
                </c:pt>
                <c:pt idx="11">
                  <c:v>12</c:v>
                </c:pt>
                <c:pt idx="12">
                  <c:v>13</c:v>
                </c:pt>
                <c:pt idx="13">
                  <c:v>13</c:v>
                </c:pt>
                <c:pt idx="14">
                  <c:v>14</c:v>
                </c:pt>
              </c:numCache>
            </c:numRef>
          </c:xVal>
          <c:yVal>
            <c:numRef>
              <c:f>'hand counts'!$B$69:$B$84</c:f>
              <c:numCache>
                <c:formatCode>0.00</c:formatCode>
                <c:ptCount val="16"/>
                <c:pt idx="0">
                  <c:v>0.71868131868131868</c:v>
                </c:pt>
                <c:pt idx="1">
                  <c:v>0.45471769609700641</c:v>
                </c:pt>
                <c:pt idx="2">
                  <c:v>0.88967971530249113</c:v>
                </c:pt>
                <c:pt idx="3">
                  <c:v>0.3662733529990167</c:v>
                </c:pt>
                <c:pt idx="4">
                  <c:v>0.7065217391304347</c:v>
                </c:pt>
                <c:pt idx="5">
                  <c:v>0.99350649350649356</c:v>
                </c:pt>
                <c:pt idx="6">
                  <c:v>0.71725571725571724</c:v>
                </c:pt>
                <c:pt idx="7">
                  <c:v>1.1416666666666666</c:v>
                </c:pt>
                <c:pt idx="8">
                  <c:v>0.75435203094777559</c:v>
                </c:pt>
                <c:pt idx="9">
                  <c:v>0.40683962264150941</c:v>
                </c:pt>
                <c:pt idx="10">
                  <c:v>0.96439790575916229</c:v>
                </c:pt>
                <c:pt idx="11">
                  <c:v>0.96715328467153283</c:v>
                </c:pt>
                <c:pt idx="12">
                  <c:v>0.81129807692307687</c:v>
                </c:pt>
                <c:pt idx="13">
                  <c:v>0.56438127090301005</c:v>
                </c:pt>
                <c:pt idx="14">
                  <c:v>0.59233449477351918</c:v>
                </c:pt>
              </c:numCache>
            </c:numRef>
          </c:yVal>
          <c:smooth val="0"/>
          <c:extLst>
            <c:ext xmlns:c16="http://schemas.microsoft.com/office/drawing/2014/chart" uri="{C3380CC4-5D6E-409C-BE32-E72D297353CC}">
              <c16:uniqueId val="{00000003-14B1-4BC4-8948-17B2BE6AEF7A}"/>
            </c:ext>
          </c:extLst>
        </c:ser>
        <c:ser>
          <c:idx val="6"/>
          <c:order val="4"/>
          <c:tx>
            <c:v>WA Recount, Handmarked, by County</c:v>
          </c:tx>
          <c:spPr>
            <a:ln w="25400" cap="rnd">
              <a:noFill/>
              <a:round/>
            </a:ln>
            <a:effectLst/>
          </c:spPr>
          <c:marker>
            <c:symbol val="triangle"/>
            <c:size val="5"/>
            <c:spPr>
              <a:solidFill>
                <a:srgbClr val="00B050"/>
              </a:solidFill>
              <a:ln w="9525">
                <a:solidFill>
                  <a:srgbClr val="00B050"/>
                </a:solidFill>
              </a:ln>
              <a:effectLst/>
            </c:spPr>
          </c:marker>
          <c:xVal>
            <c:strRef>
              <c:f>'hand counts'!$U$29:$U$65</c:f>
              <c:strCache>
                <c:ptCount val="37"/>
                <c:pt idx="0">
                  <c:v>1=costs from WA SOS via Theisen</c:v>
                </c:pt>
                <c:pt idx="3">
                  <c:v>1</c:v>
                </c:pt>
                <c:pt idx="6">
                  <c:v>1</c:v>
                </c:pt>
                <c:pt idx="7">
                  <c:v>1</c:v>
                </c:pt>
                <c:pt idx="8">
                  <c:v>1</c:v>
                </c:pt>
                <c:pt idx="9">
                  <c:v>1</c:v>
                </c:pt>
                <c:pt idx="11">
                  <c:v>1</c:v>
                </c:pt>
                <c:pt idx="12">
                  <c:v>1</c:v>
                </c:pt>
                <c:pt idx="14">
                  <c:v>1</c:v>
                </c:pt>
                <c:pt idx="15">
                  <c:v>1</c:v>
                </c:pt>
                <c:pt idx="16">
                  <c:v>1</c:v>
                </c:pt>
                <c:pt idx="17">
                  <c:v>1</c:v>
                </c:pt>
                <c:pt idx="18">
                  <c:v>1</c:v>
                </c:pt>
                <c:pt idx="22">
                  <c:v>1</c:v>
                </c:pt>
                <c:pt idx="24">
                  <c:v>1</c:v>
                </c:pt>
                <c:pt idx="25">
                  <c:v>1</c:v>
                </c:pt>
                <c:pt idx="26">
                  <c:v>1</c:v>
                </c:pt>
                <c:pt idx="27">
                  <c:v>1</c:v>
                </c:pt>
                <c:pt idx="28">
                  <c:v>1</c:v>
                </c:pt>
                <c:pt idx="29">
                  <c:v>1</c:v>
                </c:pt>
                <c:pt idx="30">
                  <c:v>1</c:v>
                </c:pt>
                <c:pt idx="33">
                  <c:v>1</c:v>
                </c:pt>
                <c:pt idx="34">
                  <c:v>1</c:v>
                </c:pt>
                <c:pt idx="36">
                  <c:v>1</c:v>
                </c:pt>
              </c:strCache>
            </c:strRef>
          </c:xVal>
          <c:yVal>
            <c:numRef>
              <c:f>'hand counts'!$B$29:$B$65</c:f>
              <c:numCache>
                <c:formatCode>0.00</c:formatCode>
                <c:ptCount val="37"/>
                <c:pt idx="0">
                  <c:v>0.13835511145272866</c:v>
                </c:pt>
                <c:pt idx="1">
                  <c:v>0.60261131570137261</c:v>
                </c:pt>
                <c:pt idx="2">
                  <c:v>0.22160828519508916</c:v>
                </c:pt>
                <c:pt idx="3">
                  <c:v>0.12965526555694365</c:v>
                </c:pt>
                <c:pt idx="4">
                  <c:v>0.66161710783395333</c:v>
                </c:pt>
                <c:pt idx="5">
                  <c:v>0.63656178050652346</c:v>
                </c:pt>
                <c:pt idx="6">
                  <c:v>0.83916083916083917</c:v>
                </c:pt>
                <c:pt idx="7">
                  <c:v>0.88615298193053083</c:v>
                </c:pt>
                <c:pt idx="8">
                  <c:v>0.39160424237929242</c:v>
                </c:pt>
                <c:pt idx="9">
                  <c:v>1.8212703101920236</c:v>
                </c:pt>
                <c:pt idx="10">
                  <c:v>0.51927616050354053</c:v>
                </c:pt>
                <c:pt idx="11">
                  <c:v>1.2396694214876034</c:v>
                </c:pt>
                <c:pt idx="12">
                  <c:v>1.077119184193754</c:v>
                </c:pt>
                <c:pt idx="13">
                  <c:v>0.2572306117225493</c:v>
                </c:pt>
                <c:pt idx="14">
                  <c:v>0.28926060089494993</c:v>
                </c:pt>
                <c:pt idx="15">
                  <c:v>2.2019597441723135</c:v>
                </c:pt>
                <c:pt idx="16">
                  <c:v>0.42190560699157864</c:v>
                </c:pt>
                <c:pt idx="17">
                  <c:v>0.31442663378545005</c:v>
                </c:pt>
                <c:pt idx="18">
                  <c:v>0.8440007642338555</c:v>
                </c:pt>
                <c:pt idx="19">
                  <c:v>0.26223935411418337</c:v>
                </c:pt>
                <c:pt idx="20">
                  <c:v>0.73220338983050848</c:v>
                </c:pt>
                <c:pt idx="21">
                  <c:v>0.72689270784951232</c:v>
                </c:pt>
                <c:pt idx="22">
                  <c:v>0.40808956301914051</c:v>
                </c:pt>
                <c:pt idx="23">
                  <c:v>0.68361581920903958</c:v>
                </c:pt>
                <c:pt idx="24">
                  <c:v>0.63</c:v>
                </c:pt>
                <c:pt idx="25">
                  <c:v>0.92474610058996254</c:v>
                </c:pt>
                <c:pt idx="26">
                  <c:v>0.37836240023647649</c:v>
                </c:pt>
                <c:pt idx="27">
                  <c:v>0.6964570214702982</c:v>
                </c:pt>
                <c:pt idx="28">
                  <c:v>3.119584055459272</c:v>
                </c:pt>
                <c:pt idx="29">
                  <c:v>1.0805249867506312</c:v>
                </c:pt>
                <c:pt idx="30">
                  <c:v>1.5545028539729346</c:v>
                </c:pt>
                <c:pt idx="31">
                  <c:v>0.20964767543433951</c:v>
                </c:pt>
                <c:pt idx="32">
                  <c:v>0.85121390436849698</c:v>
                </c:pt>
                <c:pt idx="33">
                  <c:v>0.4861111111111111</c:v>
                </c:pt>
                <c:pt idx="34">
                  <c:v>0.48218660019768789</c:v>
                </c:pt>
                <c:pt idx="35">
                  <c:v>0.72128400154698979</c:v>
                </c:pt>
                <c:pt idx="36">
                  <c:v>0.53057151004114222</c:v>
                </c:pt>
              </c:numCache>
            </c:numRef>
          </c:yVal>
          <c:smooth val="0"/>
          <c:extLst>
            <c:ext xmlns:c16="http://schemas.microsoft.com/office/drawing/2014/chart" uri="{C3380CC4-5D6E-409C-BE32-E72D297353CC}">
              <c16:uniqueId val="{00000004-14B1-4BC4-8948-17B2BE6AEF7A}"/>
            </c:ext>
          </c:extLst>
        </c:ser>
        <c:ser>
          <c:idx val="1"/>
          <c:order val="5"/>
          <c:tx>
            <c:v>WA Recount, Punched Cards, by County</c:v>
          </c:tx>
          <c:spPr>
            <a:ln w="25400" cap="rnd">
              <a:noFill/>
              <a:round/>
            </a:ln>
            <a:effectLst/>
          </c:spPr>
          <c:marker>
            <c:symbol val="triangle"/>
            <c:size val="5"/>
            <c:spPr>
              <a:noFill/>
              <a:ln w="9525">
                <a:solidFill>
                  <a:srgbClr val="00B050"/>
                </a:solidFill>
              </a:ln>
              <a:effectLst/>
            </c:spPr>
          </c:marker>
          <c:xVal>
            <c:numRef>
              <c:f>'hand counts'!$V$29:$V$67</c:f>
              <c:numCache>
                <c:formatCode>General</c:formatCode>
                <c:ptCount val="39"/>
                <c:pt idx="1">
                  <c:v>1</c:v>
                </c:pt>
                <c:pt idx="2">
                  <c:v>1</c:v>
                </c:pt>
                <c:pt idx="4">
                  <c:v>1</c:v>
                </c:pt>
                <c:pt idx="5">
                  <c:v>1</c:v>
                </c:pt>
                <c:pt idx="10">
                  <c:v>1</c:v>
                </c:pt>
                <c:pt idx="13">
                  <c:v>1</c:v>
                </c:pt>
                <c:pt idx="19">
                  <c:v>1</c:v>
                </c:pt>
                <c:pt idx="20">
                  <c:v>1</c:v>
                </c:pt>
                <c:pt idx="21">
                  <c:v>1</c:v>
                </c:pt>
                <c:pt idx="23">
                  <c:v>1</c:v>
                </c:pt>
                <c:pt idx="31">
                  <c:v>1</c:v>
                </c:pt>
                <c:pt idx="32">
                  <c:v>1</c:v>
                </c:pt>
                <c:pt idx="35">
                  <c:v>1</c:v>
                </c:pt>
              </c:numCache>
            </c:numRef>
          </c:xVal>
          <c:yVal>
            <c:numRef>
              <c:f>'hand counts'!$B$29:$B$67</c:f>
              <c:numCache>
                <c:formatCode>0.00</c:formatCode>
                <c:ptCount val="39"/>
                <c:pt idx="0">
                  <c:v>0.13835511145272866</c:v>
                </c:pt>
                <c:pt idx="1">
                  <c:v>0.60261131570137261</c:v>
                </c:pt>
                <c:pt idx="2">
                  <c:v>0.22160828519508916</c:v>
                </c:pt>
                <c:pt idx="3">
                  <c:v>0.12965526555694365</c:v>
                </c:pt>
                <c:pt idx="4">
                  <c:v>0.66161710783395333</c:v>
                </c:pt>
                <c:pt idx="5">
                  <c:v>0.63656178050652346</c:v>
                </c:pt>
                <c:pt idx="6">
                  <c:v>0.83916083916083917</c:v>
                </c:pt>
                <c:pt idx="7">
                  <c:v>0.88615298193053083</c:v>
                </c:pt>
                <c:pt idx="8">
                  <c:v>0.39160424237929242</c:v>
                </c:pt>
                <c:pt idx="9">
                  <c:v>1.8212703101920236</c:v>
                </c:pt>
                <c:pt idx="10">
                  <c:v>0.51927616050354053</c:v>
                </c:pt>
                <c:pt idx="11">
                  <c:v>1.2396694214876034</c:v>
                </c:pt>
                <c:pt idx="12">
                  <c:v>1.077119184193754</c:v>
                </c:pt>
                <c:pt idx="13">
                  <c:v>0.2572306117225493</c:v>
                </c:pt>
                <c:pt idx="14">
                  <c:v>0.28926060089494993</c:v>
                </c:pt>
                <c:pt idx="15">
                  <c:v>2.2019597441723135</c:v>
                </c:pt>
                <c:pt idx="16">
                  <c:v>0.42190560699157864</c:v>
                </c:pt>
                <c:pt idx="17">
                  <c:v>0.31442663378545005</c:v>
                </c:pt>
                <c:pt idx="18">
                  <c:v>0.8440007642338555</c:v>
                </c:pt>
                <c:pt idx="19">
                  <c:v>0.26223935411418337</c:v>
                </c:pt>
                <c:pt idx="20">
                  <c:v>0.73220338983050848</c:v>
                </c:pt>
                <c:pt idx="21">
                  <c:v>0.72689270784951232</c:v>
                </c:pt>
                <c:pt idx="22">
                  <c:v>0.40808956301914051</c:v>
                </c:pt>
                <c:pt idx="23">
                  <c:v>0.68361581920903958</c:v>
                </c:pt>
                <c:pt idx="24">
                  <c:v>0.63</c:v>
                </c:pt>
                <c:pt idx="25">
                  <c:v>0.92474610058996254</c:v>
                </c:pt>
                <c:pt idx="26">
                  <c:v>0.37836240023647649</c:v>
                </c:pt>
                <c:pt idx="27">
                  <c:v>0.6964570214702982</c:v>
                </c:pt>
                <c:pt idx="28">
                  <c:v>3.119584055459272</c:v>
                </c:pt>
                <c:pt idx="29">
                  <c:v>1.0805249867506312</c:v>
                </c:pt>
                <c:pt idx="30">
                  <c:v>1.5545028539729346</c:v>
                </c:pt>
                <c:pt idx="31">
                  <c:v>0.20964767543433951</c:v>
                </c:pt>
                <c:pt idx="32">
                  <c:v>0.85121390436849698</c:v>
                </c:pt>
                <c:pt idx="33">
                  <c:v>0.4861111111111111</c:v>
                </c:pt>
                <c:pt idx="34">
                  <c:v>0.48218660019768789</c:v>
                </c:pt>
                <c:pt idx="35">
                  <c:v>0.72128400154698979</c:v>
                </c:pt>
                <c:pt idx="36">
                  <c:v>0.53057151004114222</c:v>
                </c:pt>
              </c:numCache>
            </c:numRef>
          </c:yVal>
          <c:smooth val="0"/>
          <c:extLst>
            <c:ext xmlns:c16="http://schemas.microsoft.com/office/drawing/2014/chart" uri="{C3380CC4-5D6E-409C-BE32-E72D297353CC}">
              <c16:uniqueId val="{00000005-14B1-4BC4-8948-17B2BE6AEF7A}"/>
            </c:ext>
          </c:extLst>
        </c:ser>
        <c:ser>
          <c:idx val="2"/>
          <c:order val="7"/>
          <c:tx>
            <c:v>Georgia, Nevada Rolls of Thermal Paper</c:v>
          </c:tx>
          <c:spPr>
            <a:ln w="25400" cap="rnd">
              <a:noFill/>
              <a:round/>
            </a:ln>
            <a:effectLst/>
          </c:spPr>
          <c:marker>
            <c:symbol val="circle"/>
            <c:size val="9"/>
            <c:spPr>
              <a:solidFill>
                <a:srgbClr val="7030A0"/>
              </a:solidFill>
              <a:ln w="9525">
                <a:noFill/>
              </a:ln>
              <a:effectLst/>
            </c:spPr>
          </c:marker>
          <c:xVal>
            <c:numRef>
              <c:f>'hand counts'!$D$25:$D$28</c:f>
              <c:numCache>
                <c:formatCode>General</c:formatCode>
                <c:ptCount val="4"/>
                <c:pt idx="0">
                  <c:v>39</c:v>
                </c:pt>
                <c:pt idx="1">
                  <c:v>34</c:v>
                </c:pt>
                <c:pt idx="2">
                  <c:v>42</c:v>
                </c:pt>
                <c:pt idx="3" formatCode="0">
                  <c:v>21</c:v>
                </c:pt>
              </c:numCache>
            </c:numRef>
          </c:xVal>
          <c:yVal>
            <c:numRef>
              <c:f>'hand counts'!$B$25:$B$28</c:f>
              <c:numCache>
                <c:formatCode>0.00</c:formatCode>
                <c:ptCount val="4"/>
                <c:pt idx="0">
                  <c:v>0.54054054054054057</c:v>
                </c:pt>
                <c:pt idx="1">
                  <c:v>0.32665832290362956</c:v>
                </c:pt>
                <c:pt idx="2">
                  <c:v>0.59718969555035128</c:v>
                </c:pt>
                <c:pt idx="3">
                  <c:v>0.72104551599819744</c:v>
                </c:pt>
              </c:numCache>
            </c:numRef>
          </c:yVal>
          <c:smooth val="0"/>
          <c:extLst>
            <c:ext xmlns:c16="http://schemas.microsoft.com/office/drawing/2014/chart" uri="{C3380CC4-5D6E-409C-BE32-E72D297353CC}">
              <c16:uniqueId val="{00000007-14B1-4BC4-8948-17B2BE6AEF7A}"/>
            </c:ext>
          </c:extLst>
        </c:ser>
        <c:ser>
          <c:idx val="8"/>
          <c:order val="8"/>
          <c:tx>
            <c:v>AZ 2020 President &amp; Senate Recount</c:v>
          </c:tx>
          <c:spPr>
            <a:ln w="25400" cap="rnd">
              <a:noFill/>
              <a:round/>
            </a:ln>
            <a:effectLst/>
          </c:spPr>
          <c:marker>
            <c:symbol val="diamond"/>
            <c:size val="13"/>
            <c:spPr>
              <a:pattFill prst="dkVert">
                <a:fgClr>
                  <a:srgbClr val="BD92DE"/>
                </a:fgClr>
                <a:bgClr>
                  <a:schemeClr val="bg1"/>
                </a:bgClr>
              </a:pattFill>
              <a:ln w="12700">
                <a:solidFill>
                  <a:schemeClr val="accent2">
                    <a:lumMod val="50000"/>
                  </a:schemeClr>
                </a:solidFill>
              </a:ln>
              <a:effectLst/>
            </c:spPr>
          </c:marker>
          <c:xVal>
            <c:numRef>
              <c:f>'hand counts'!$D$5</c:f>
              <c:numCache>
                <c:formatCode>0</c:formatCode>
                <c:ptCount val="1"/>
                <c:pt idx="0">
                  <c:v>2</c:v>
                </c:pt>
              </c:numCache>
            </c:numRef>
          </c:xVal>
          <c:yVal>
            <c:numRef>
              <c:f>'hand counts'!$B$5</c:f>
              <c:numCache>
                <c:formatCode>0.00</c:formatCode>
                <c:ptCount val="1"/>
                <c:pt idx="0">
                  <c:v>0.41666666666666663</c:v>
                </c:pt>
              </c:numCache>
            </c:numRef>
          </c:yVal>
          <c:smooth val="0"/>
          <c:extLst>
            <c:ext xmlns:c16="http://schemas.microsoft.com/office/drawing/2014/chart" uri="{C3380CC4-5D6E-409C-BE32-E72D297353CC}">
              <c16:uniqueId val="{00000008-14B1-4BC4-8948-17B2BE6AEF7A}"/>
            </c:ext>
          </c:extLst>
        </c:ser>
        <c:ser>
          <c:idx val="7"/>
          <c:order val="10"/>
          <c:tx>
            <c:v>WI, varies with num.of candidates</c:v>
          </c:tx>
          <c:spPr>
            <a:ln w="25400" cap="rnd">
              <a:noFill/>
              <a:round/>
            </a:ln>
            <a:effectLst/>
          </c:spPr>
          <c:marker>
            <c:symbol val="diamond"/>
            <c:size val="10"/>
            <c:spPr>
              <a:solidFill>
                <a:srgbClr val="7030A0"/>
              </a:solidFill>
              <a:ln w="19050">
                <a:solidFill>
                  <a:schemeClr val="accent2">
                    <a:lumMod val="50000"/>
                  </a:schemeClr>
                </a:solidFill>
              </a:ln>
              <a:effectLst/>
            </c:spPr>
          </c:marker>
          <c:xVal>
            <c:numRef>
              <c:f>'hand counts'!$D$15</c:f>
              <c:numCache>
                <c:formatCode>General</c:formatCode>
                <c:ptCount val="1"/>
                <c:pt idx="0">
                  <c:v>1</c:v>
                </c:pt>
              </c:numCache>
            </c:numRef>
          </c:xVal>
          <c:yVal>
            <c:numRef>
              <c:f>'hand counts'!$B$15</c:f>
              <c:numCache>
                <c:formatCode>0.00</c:formatCode>
                <c:ptCount val="1"/>
                <c:pt idx="0">
                  <c:v>0.2</c:v>
                </c:pt>
              </c:numCache>
            </c:numRef>
          </c:yVal>
          <c:smooth val="0"/>
          <c:extLst>
            <c:ext xmlns:c16="http://schemas.microsoft.com/office/drawing/2014/chart" uri="{C3380CC4-5D6E-409C-BE32-E72D297353CC}">
              <c16:uniqueId val="{0000000A-14B1-4BC4-8948-17B2BE6AEF7A}"/>
            </c:ext>
          </c:extLst>
        </c:ser>
        <c:ser>
          <c:idx val="10"/>
          <c:order val="11"/>
          <c:tx>
            <c:v>CT, MA, NH</c:v>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'hand counts'!$D$6:$D$12</c:f>
              <c:numCache>
                <c:formatCode>0</c:formatCode>
                <c:ptCount val="7"/>
                <c:pt idx="0">
                  <c:v>11</c:v>
                </c:pt>
                <c:pt idx="1">
                  <c:v>9</c:v>
                </c:pt>
                <c:pt idx="2">
                  <c:v>9</c:v>
                </c:pt>
                <c:pt idx="3" formatCode="General">
                  <c:v>7</c:v>
                </c:pt>
                <c:pt idx="4" formatCode="General">
                  <c:v>7</c:v>
                </c:pt>
                <c:pt idx="5" formatCode="General">
                  <c:v>6</c:v>
                </c:pt>
                <c:pt idx="6">
                  <c:v>20</c:v>
                </c:pt>
              </c:numCache>
            </c:numRef>
          </c:xVal>
          <c:yVal>
            <c:numRef>
              <c:f>'hand counts'!$B$6:$B$12</c:f>
              <c:numCache>
                <c:formatCode>0.00</c:formatCode>
                <c:ptCount val="7"/>
                <c:pt idx="0">
                  <c:v>0.27731442869057549</c:v>
                </c:pt>
                <c:pt idx="1">
                  <c:v>0.25990903183885639</c:v>
                </c:pt>
                <c:pt idx="2">
                  <c:v>0.21798365122615804</c:v>
                </c:pt>
                <c:pt idx="3">
                  <c:v>0.10683681418555478</c:v>
                </c:pt>
                <c:pt idx="4">
                  <c:v>0.15090543259557343</c:v>
                </c:pt>
                <c:pt idx="5">
                  <c:v>0.31053459119496857</c:v>
                </c:pt>
                <c:pt idx="6">
                  <c:v>0.26794258373205743</c:v>
                </c:pt>
              </c:numCache>
            </c:numRef>
          </c:yVal>
          <c:smooth val="0"/>
          <c:extLst>
            <c:ext xmlns:c16="http://schemas.microsoft.com/office/drawing/2014/chart" uri="{C3380CC4-5D6E-409C-BE32-E72D297353CC}">
              <c16:uniqueId val="{0000000B-14B1-4BC4-8948-17B2BE6AEF7A}"/>
            </c:ext>
          </c:extLst>
        </c:ser>
        <c:ser>
          <c:idx val="12"/>
          <c:order val="12"/>
          <c:tx>
            <c:v>Sort &amp; Stack Experiment</c:v>
          </c:tx>
          <c:spPr>
            <a:ln w="25400" cap="rnd">
              <a:noFill/>
              <a:round/>
              <a:headEnd type="oval"/>
              <a:tailEnd type="arrow"/>
            </a:ln>
            <a:effectLst/>
          </c:spPr>
          <c:marker>
            <c:symbol val="dash"/>
            <c:size val="10"/>
            <c:spPr>
              <a:solidFill>
                <a:schemeClr val="tx1"/>
              </a:solidFill>
              <a:ln w="9525">
                <a:solidFill>
                  <a:schemeClr val="tx1"/>
                </a:solidFill>
              </a:ln>
              <a:effectLst/>
            </c:spPr>
          </c:marker>
          <c:xVal>
            <c:numRef>
              <c:f>'hand counts'!$D$16:$D$17</c:f>
              <c:numCache>
                <c:formatCode>General</c:formatCode>
                <c:ptCount val="2"/>
                <c:pt idx="0">
                  <c:v>1</c:v>
                </c:pt>
                <c:pt idx="1">
                  <c:v>1</c:v>
                </c:pt>
              </c:numCache>
            </c:numRef>
          </c:xVal>
          <c:yVal>
            <c:numRef>
              <c:f>'hand counts'!$B$16:$B$17</c:f>
              <c:numCache>
                <c:formatCode>0.00</c:formatCode>
                <c:ptCount val="2"/>
                <c:pt idx="0">
                  <c:v>0.71308016877637137</c:v>
                </c:pt>
                <c:pt idx="1">
                  <c:v>0.50632911392405067</c:v>
                </c:pt>
              </c:numCache>
            </c:numRef>
          </c:yVal>
          <c:smooth val="0"/>
          <c:extLst xmlns:c15="http://schemas.microsoft.com/office/drawing/2012/chart">
            <c:ext xmlns:c16="http://schemas.microsoft.com/office/drawing/2014/chart" uri="{C3380CC4-5D6E-409C-BE32-E72D297353CC}">
              <c16:uniqueId val="{0000000C-14B1-4BC4-8948-17B2BE6AEF7A}"/>
            </c:ext>
          </c:extLst>
        </c:ser>
        <c:ser>
          <c:idx val="13"/>
          <c:order val="13"/>
          <c:tx>
            <c:v>Read to Talliers Experiment</c:v>
          </c:tx>
          <c:spPr>
            <a:ln w="25400" cap="rnd" cmpd="sng">
              <a:noFill/>
              <a:round/>
              <a:headEnd type="diamond"/>
              <a:tailEnd type="arrow"/>
            </a:ln>
            <a:effectLst/>
          </c:spPr>
          <c:marker>
            <c:symbol val="circle"/>
            <c:size val="10"/>
            <c:spPr>
              <a:noFill/>
              <a:ln w="15875">
                <a:solidFill>
                  <a:schemeClr val="tx1">
                    <a:lumMod val="95000"/>
                    <a:lumOff val="5000"/>
                  </a:schemeClr>
                </a:solidFill>
              </a:ln>
              <a:effectLst/>
            </c:spPr>
          </c:marker>
          <c:xVal>
            <c:numRef>
              <c:f>'hand counts'!$D$18:$D$19</c:f>
              <c:numCache>
                <c:formatCode>General</c:formatCode>
                <c:ptCount val="2"/>
                <c:pt idx="0">
                  <c:v>1</c:v>
                </c:pt>
                <c:pt idx="1">
                  <c:v>1</c:v>
                </c:pt>
              </c:numCache>
            </c:numRef>
          </c:xVal>
          <c:yVal>
            <c:numRef>
              <c:f>'hand counts'!$B$18:$B$19</c:f>
              <c:numCache>
                <c:formatCode>0.00</c:formatCode>
                <c:ptCount val="2"/>
                <c:pt idx="0">
                  <c:v>0.47819971870604783</c:v>
                </c:pt>
                <c:pt idx="1">
                  <c:v>0.29817158931082988</c:v>
                </c:pt>
              </c:numCache>
            </c:numRef>
          </c:yVal>
          <c:smooth val="0"/>
          <c:extLst xmlns:c15="http://schemas.microsoft.com/office/drawing/2012/chart">
            <c:ext xmlns:c16="http://schemas.microsoft.com/office/drawing/2014/chart" uri="{C3380CC4-5D6E-409C-BE32-E72D297353CC}">
              <c16:uniqueId val="{0000000D-14B1-4BC4-8948-17B2BE6AEF7A}"/>
            </c:ext>
          </c:extLst>
        </c:ser>
        <c:dLbls>
          <c:showLegendKey val="0"/>
          <c:showVal val="0"/>
          <c:showCatName val="0"/>
          <c:showSerName val="0"/>
          <c:showPercent val="0"/>
          <c:showBubbleSize val="0"/>
        </c:dLbls>
        <c:axId val="1025891136"/>
        <c:axId val="1025891968"/>
        <c:extLst>
          <c:ext xmlns:c15="http://schemas.microsoft.com/office/drawing/2012/chart" uri="{02D57815-91ED-43cb-92C2-25804820EDAC}">
            <c15:filteredScatterSeries>
              <c15:ser>
                <c:idx val="4"/>
                <c:order val="0"/>
                <c:tx>
                  <c:v>CA Random Ballots, Risk Limiting Audit</c:v>
                </c:tx>
                <c:spPr>
                  <a:ln w="25400" cap="rnd">
                    <a:noFill/>
                    <a:round/>
                  </a:ln>
                  <a:effectLst/>
                </c:spPr>
                <c:marker>
                  <c:symbol val="square"/>
                  <c:size val="6"/>
                  <c:spPr>
                    <a:noFill/>
                    <a:ln w="34925">
                      <a:solidFill>
                        <a:srgbClr val="002060"/>
                      </a:solidFill>
                    </a:ln>
                    <a:effectLst/>
                  </c:spPr>
                </c:marker>
                <c:xVal>
                  <c:numRef>
                    <c:extLst>
                      <c:ext uri="{02D57815-91ED-43cb-92C2-25804820EDAC}">
                        <c15:formulaRef>
                          <c15:sqref>'hand counts'!$D$22:$D$23</c15:sqref>
                        </c15:formulaRef>
                      </c:ext>
                    </c:extLst>
                    <c:numCache>
                      <c:formatCode>0</c:formatCode>
                      <c:ptCount val="2"/>
                      <c:pt idx="0">
                        <c:v>3</c:v>
                      </c:pt>
                      <c:pt idx="1">
                        <c:v>2</c:v>
                      </c:pt>
                    </c:numCache>
                  </c:numRef>
                </c:xVal>
                <c:yVal>
                  <c:numRef>
                    <c:extLst>
                      <c:ext uri="{02D57815-91ED-43cb-92C2-25804820EDAC}">
                        <c15:formulaRef>
                          <c15:sqref>'hand counts'!$V$22:$V$23</c15:sqref>
                        </c15:formulaRef>
                      </c:ext>
                    </c:extLst>
                    <c:numCache>
                      <c:formatCode>_(* #,##0.00_);_(* \(#,##0.00\);_(* "-"??_);_(@_)</c:formatCode>
                      <c:ptCount val="2"/>
                      <c:pt idx="0">
                        <c:v>2.5</c:v>
                      </c:pt>
                      <c:pt idx="1">
                        <c:v>1.8181818181818181</c:v>
                      </c:pt>
                    </c:numCache>
                  </c:numRef>
                </c:yVal>
                <c:smooth val="0"/>
                <c:extLst>
                  <c:ext xmlns:c16="http://schemas.microsoft.com/office/drawing/2014/chart" uri="{C3380CC4-5D6E-409C-BE32-E72D297353CC}">
                    <c16:uniqueId val="{00000000-14B1-4BC4-8948-17B2BE6AEF7A}"/>
                  </c:ext>
                </c:extLst>
              </c15:ser>
            </c15:filteredScatterSeries>
            <c15:filteredScatterSeries>
              <c15:ser>
                <c:idx val="5"/>
                <c:order val="6"/>
                <c:tx>
                  <c:v>Clark Co. NV Rolls Thermal Paper</c:v>
                </c:tx>
                <c:spPr>
                  <a:ln w="25400" cap="rnd">
                    <a:noFill/>
                    <a:round/>
                  </a:ln>
                  <a:effectLst/>
                </c:spPr>
                <c:marker>
                  <c:symbol val="circle"/>
                  <c:size val="9"/>
                  <c:spPr>
                    <a:noFill/>
                    <a:ln w="25400">
                      <a:solidFill>
                        <a:srgbClr val="7030A0"/>
                      </a:solidFill>
                    </a:ln>
                    <a:effectLst/>
                  </c:spPr>
                </c:marker>
                <c:xVal>
                  <c:numRef>
                    <c:extLst xmlns:c15="http://schemas.microsoft.com/office/drawing/2012/chart">
                      <c:ext xmlns:c15="http://schemas.microsoft.com/office/drawing/2012/chart" uri="{02D57815-91ED-43cb-92C2-25804820EDAC}">
                        <c15:formulaRef>
                          <c15:sqref>'hand counts'!$D$28</c15:sqref>
                        </c15:formulaRef>
                      </c:ext>
                    </c:extLst>
                    <c:numCache>
                      <c:formatCode>0</c:formatCode>
                      <c:ptCount val="1"/>
                      <c:pt idx="0">
                        <c:v>21</c:v>
                      </c:pt>
                    </c:numCache>
                  </c:numRef>
                </c:xVal>
                <c:yVal>
                  <c:numRef>
                    <c:extLst xmlns:c15="http://schemas.microsoft.com/office/drawing/2012/chart">
                      <c:ext xmlns:c15="http://schemas.microsoft.com/office/drawing/2012/chart" uri="{02D57815-91ED-43cb-92C2-25804820EDAC}">
                        <c15:formulaRef>
                          <c15:sqref>'hand counts'!$B$28</c15:sqref>
                        </c15:formulaRef>
                      </c:ext>
                    </c:extLst>
                    <c:numCache>
                      <c:formatCode>0.00</c:formatCode>
                      <c:ptCount val="1"/>
                      <c:pt idx="0">
                        <c:v>0.72104551599819744</c:v>
                      </c:pt>
                    </c:numCache>
                  </c:numRef>
                </c:yVal>
                <c:smooth val="0"/>
                <c:extLst xmlns:c15="http://schemas.microsoft.com/office/drawing/2012/chart">
                  <c:ext xmlns:c16="http://schemas.microsoft.com/office/drawing/2014/chart" uri="{C3380CC4-5D6E-409C-BE32-E72D297353CC}">
                    <c16:uniqueId val="{00000006-14B1-4BC4-8948-17B2BE6AEF7A}"/>
                  </c:ext>
                </c:extLst>
              </c15:ser>
            </c15:filteredScatterSeries>
            <c15:filteredScatterSeries>
              <c15:ser>
                <c:idx val="9"/>
                <c:order val="9"/>
                <c:tx>
                  <c:strRef>
                    <c:extLst xmlns:c15="http://schemas.microsoft.com/office/drawing/2012/chart">
                      <c:ext xmlns:c15="http://schemas.microsoft.com/office/drawing/2012/chart" uri="{02D57815-91ED-43cb-92C2-25804820EDAC}">
                        <c15:formulaRef>
                          <c15:sqref>'hand counts'!$A$12</c15:sqref>
                        </c15:formulaRef>
                      </c:ext>
                    </c:extLst>
                    <c:strCache>
                      <c:ptCount val="1"/>
                      <c:pt idx="0">
                        <c:v>New Hampshire</c:v>
                      </c:pt>
                    </c:strCache>
                  </c:strRef>
                </c:tx>
                <c:spPr>
                  <a:ln w="25400" cap="rnd">
                    <a:noFill/>
                    <a:round/>
                  </a:ln>
                  <a:effectLst/>
                </c:spPr>
                <c:marker>
                  <c:symbol val="diamond"/>
                  <c:size val="13"/>
                  <c:spPr>
                    <a:pattFill prst="dkDnDiag">
                      <a:fgClr>
                        <a:srgbClr val="7030A0"/>
                      </a:fgClr>
                      <a:bgClr>
                        <a:schemeClr val="bg1"/>
                      </a:bgClr>
                    </a:pattFill>
                    <a:ln w="12700">
                      <a:solidFill>
                        <a:schemeClr val="accent2">
                          <a:lumMod val="50000"/>
                        </a:schemeClr>
                      </a:solidFill>
                    </a:ln>
                    <a:effectLst/>
                  </c:spPr>
                </c:marker>
                <c:xVal>
                  <c:numRef>
                    <c:extLst xmlns:c15="http://schemas.microsoft.com/office/drawing/2012/chart">
                      <c:ext xmlns:c15="http://schemas.microsoft.com/office/drawing/2012/chart" uri="{02D57815-91ED-43cb-92C2-25804820EDAC}">
                        <c15:formulaRef>
                          <c15:sqref>'hand counts'!$D$12</c15:sqref>
                        </c15:formulaRef>
                      </c:ext>
                    </c:extLst>
                    <c:numCache>
                      <c:formatCode>0</c:formatCode>
                      <c:ptCount val="1"/>
                      <c:pt idx="0">
                        <c:v>20</c:v>
                      </c:pt>
                    </c:numCache>
                  </c:numRef>
                </c:xVal>
                <c:yVal>
                  <c:numRef>
                    <c:extLst xmlns:c15="http://schemas.microsoft.com/office/drawing/2012/chart">
                      <c:ext xmlns:c15="http://schemas.microsoft.com/office/drawing/2012/chart" uri="{02D57815-91ED-43cb-92C2-25804820EDAC}">
                        <c15:formulaRef>
                          <c15:sqref>'hand counts'!$B$12</c15:sqref>
                        </c15:formulaRef>
                      </c:ext>
                    </c:extLst>
                    <c:numCache>
                      <c:formatCode>0.00</c:formatCode>
                      <c:ptCount val="1"/>
                      <c:pt idx="0">
                        <c:v>0.26794258373205743</c:v>
                      </c:pt>
                    </c:numCache>
                  </c:numRef>
                </c:yVal>
                <c:smooth val="0"/>
                <c:extLst xmlns:c15="http://schemas.microsoft.com/office/drawing/2012/chart">
                  <c:ext xmlns:c16="http://schemas.microsoft.com/office/drawing/2014/chart" uri="{C3380CC4-5D6E-409C-BE32-E72D297353CC}">
                    <c16:uniqueId val="{00000009-14B1-4BC4-8948-17B2BE6AEF7A}"/>
                  </c:ext>
                </c:extLst>
              </c15:ser>
            </c15:filteredScatterSeries>
          </c:ext>
        </c:extLst>
      </c:scatterChart>
      <c:valAx>
        <c:axId val="1025891136"/>
        <c:scaling>
          <c:orientation val="minMax"/>
          <c:max val="42"/>
          <c:min val="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mn-cs"/>
              </a:defRPr>
            </a:pPr>
            <a:endParaRPr lang="en-US"/>
          </a:p>
        </c:txPr>
        <c:crossAx val="1025891968"/>
        <c:crosses val="autoZero"/>
        <c:crossBetween val="midCat"/>
        <c:majorUnit val="5"/>
      </c:valAx>
      <c:valAx>
        <c:axId val="1025891968"/>
        <c:scaling>
          <c:orientation val="minMax"/>
          <c:max val="2.2200000000000002"/>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mn-cs"/>
              </a:defRPr>
            </a:pPr>
            <a:endParaRPr lang="en-US"/>
          </a:p>
        </c:txPr>
        <c:crossAx val="1025891136"/>
        <c:crosses val="autoZero"/>
        <c:crossBetween val="midCat"/>
        <c:majorUnit val="0.1"/>
      </c:valAx>
      <c:spPr>
        <a:noFill/>
        <a:ln>
          <a:noFill/>
        </a:ln>
        <a:effectLst/>
      </c:spPr>
    </c:plotArea>
    <c:legend>
      <c:legendPos val="r"/>
      <c:layout>
        <c:manualLayout>
          <c:xMode val="edge"/>
          <c:yMode val="edge"/>
          <c:x val="0.38245650328191727"/>
          <c:y val="0.15496043913513927"/>
          <c:w val="0.61754328122777746"/>
          <c:h val="0.34890300588015566"/>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6208267716535431"/>
          <c:y val="0.10270960921551471"/>
          <c:w val="0.61491732283464562"/>
          <c:h val="0.706557669874599"/>
        </c:manualLayout>
      </c:layout>
      <c:barChart>
        <c:barDir val="bar"/>
        <c:grouping val="clustered"/>
        <c:varyColors val="0"/>
        <c:ser>
          <c:idx val="0"/>
          <c:order val="0"/>
          <c:spPr>
            <a:solidFill>
              <a:schemeClr val="accent1"/>
            </a:solidFill>
            <a:ln>
              <a:noFill/>
            </a:ln>
            <a:effectLst/>
          </c:spPr>
          <c:invertIfNegative val="0"/>
          <c:cat>
            <c:strRef>
              <c:f>'hand counts'!$AC$2:$AC$74</c:f>
              <c:strCache>
                <c:ptCount val="73"/>
                <c:pt idx="0">
                  <c:v>Butler Cnty, PA, Donegal Twp</c:v>
                </c:pt>
                <c:pt idx="1">
                  <c:v>Butler Cnty, PA, Butler City</c:v>
                </c:pt>
                <c:pt idx="2">
                  <c:v>Tolland, CT</c:v>
                </c:pt>
                <c:pt idx="3">
                  <c:v>Chelan</c:v>
                </c:pt>
                <c:pt idx="4">
                  <c:v>Adams, WA</c:v>
                </c:pt>
                <c:pt idx="5">
                  <c:v>Bloomfield, CT</c:v>
                </c:pt>
                <c:pt idx="6">
                  <c:v>Dane County, WI</c:v>
                </c:pt>
                <c:pt idx="7">
                  <c:v>Stevens</c:v>
                </c:pt>
                <c:pt idx="8">
                  <c:v>Carlisle, MA</c:v>
                </c:pt>
                <c:pt idx="9">
                  <c:v>Benton</c:v>
                </c:pt>
                <c:pt idx="10">
                  <c:v>Island</c:v>
                </c:pt>
                <c:pt idx="11">
                  <c:v>Hancock, MA</c:v>
                </c:pt>
                <c:pt idx="12">
                  <c:v>Lewis</c:v>
                </c:pt>
                <c:pt idx="13">
                  <c:v>Jefferson</c:v>
                </c:pt>
                <c:pt idx="14">
                  <c:v>Read to Talliers Experiment2</c:v>
                </c:pt>
                <c:pt idx="15">
                  <c:v>Vernon, CT</c:v>
                </c:pt>
                <c:pt idx="16">
                  <c:v>Kittitas</c:v>
                </c:pt>
                <c:pt idx="17">
                  <c:v>Camden County, GA</c:v>
                </c:pt>
                <c:pt idx="18">
                  <c:v>New Hampshire</c:v>
                </c:pt>
                <c:pt idx="19">
                  <c:v>Provincetown, MA</c:v>
                </c:pt>
                <c:pt idx="20">
                  <c:v>376700</c:v>
                </c:pt>
                <c:pt idx="21">
                  <c:v>San Juan</c:v>
                </c:pt>
                <c:pt idx="22">
                  <c:v>Douglas</c:v>
                </c:pt>
                <c:pt idx="23">
                  <c:v>442800</c:v>
                </c:pt>
                <c:pt idx="24">
                  <c:v>Okanogan</c:v>
                </c:pt>
                <c:pt idx="25">
                  <c:v>Arizona recount</c:v>
                </c:pt>
                <c:pt idx="26">
                  <c:v>Kitsap</c:v>
                </c:pt>
                <c:pt idx="27">
                  <c:v>110150, San Diego</c:v>
                </c:pt>
                <c:pt idx="28">
                  <c:v>240000</c:v>
                </c:pt>
                <c:pt idx="29">
                  <c:v>Read to Talliers Experiment1</c:v>
                </c:pt>
                <c:pt idx="30">
                  <c:v>Walla Walla</c:v>
                </c:pt>
                <c:pt idx="31">
                  <c:v>Wahkiakum</c:v>
                </c:pt>
                <c:pt idx="32">
                  <c:v>Sort &amp; Stack Experiment2</c:v>
                </c:pt>
                <c:pt idx="33">
                  <c:v>Franklin</c:v>
                </c:pt>
                <c:pt idx="34">
                  <c:v>Yakima</c:v>
                </c:pt>
                <c:pt idx="35">
                  <c:v>Bibb County, GA</c:v>
                </c:pt>
                <c:pt idx="36">
                  <c:v>546600</c:v>
                </c:pt>
                <c:pt idx="37">
                  <c:v>549280</c:v>
                </c:pt>
                <c:pt idx="38">
                  <c:v>Cobb County, GA</c:v>
                </c:pt>
                <c:pt idx="39">
                  <c:v>Asotin</c:v>
                </c:pt>
                <c:pt idx="40">
                  <c:v>Pend Oreille</c:v>
                </c:pt>
                <c:pt idx="41">
                  <c:v>Clark</c:v>
                </c:pt>
                <c:pt idx="42">
                  <c:v>Clallam</c:v>
                </c:pt>
                <c:pt idx="43">
                  <c:v>Pacific</c:v>
                </c:pt>
                <c:pt idx="44">
                  <c:v>Skagit</c:v>
                </c:pt>
                <c:pt idx="45">
                  <c:v>403500</c:v>
                </c:pt>
                <c:pt idx="46">
                  <c:v>Sort &amp; Stack Experiment1</c:v>
                </c:pt>
                <c:pt idx="47">
                  <c:v>405400</c:v>
                </c:pt>
                <c:pt idx="48">
                  <c:v>237200</c:v>
                </c:pt>
                <c:pt idx="49">
                  <c:v>Clark County, NV</c:v>
                </c:pt>
                <c:pt idx="50">
                  <c:v>Whatcom</c:v>
                </c:pt>
                <c:pt idx="51">
                  <c:v>Mason</c:v>
                </c:pt>
                <c:pt idx="52">
                  <c:v>Lincoln</c:v>
                </c:pt>
                <c:pt idx="53">
                  <c:v>423900</c:v>
                </c:pt>
                <c:pt idx="54">
                  <c:v>538500</c:v>
                </c:pt>
                <c:pt idx="55">
                  <c:v>Columbia</c:v>
                </c:pt>
                <c:pt idx="56">
                  <c:v>Klickitat</c:v>
                </c:pt>
                <c:pt idx="57">
                  <c:v>Thurston</c:v>
                </c:pt>
                <c:pt idx="58">
                  <c:v>Cowlitz</c:v>
                </c:pt>
                <c:pt idx="59">
                  <c:v>270510</c:v>
                </c:pt>
                <c:pt idx="60">
                  <c:v>Pierce</c:v>
                </c:pt>
                <c:pt idx="61">
                  <c:v>487000</c:v>
                </c:pt>
                <c:pt idx="62">
                  <c:v>528200</c:v>
                </c:pt>
                <c:pt idx="63">
                  <c:v>404230</c:v>
                </c:pt>
                <c:pt idx="64">
                  <c:v>Grays Harbor</c:v>
                </c:pt>
                <c:pt idx="65">
                  <c:v>Snohomish</c:v>
                </c:pt>
                <c:pt idx="66">
                  <c:v>420520</c:v>
                </c:pt>
                <c:pt idx="67">
                  <c:v>Garfield</c:v>
                </c:pt>
                <c:pt idx="68">
                  <c:v>Spokane</c:v>
                </c:pt>
                <c:pt idx="69">
                  <c:v>Merced County, CA</c:v>
                </c:pt>
                <c:pt idx="70">
                  <c:v>Ferry VBM</c:v>
                </c:pt>
                <c:pt idx="71">
                  <c:v>King</c:v>
                </c:pt>
                <c:pt idx="72">
                  <c:v>Skamania</c:v>
                </c:pt>
              </c:strCache>
            </c:strRef>
          </c:cat>
          <c:val>
            <c:numRef>
              <c:f>'hand counts'!$AD$2:$AD$74</c:f>
              <c:numCache>
                <c:formatCode>General</c:formatCode>
                <c:ptCount val="73"/>
                <c:pt idx="0">
                  <c:v>7.7756833176248819E-2</c:v>
                </c:pt>
                <c:pt idx="1">
                  <c:v>9.375E-2</c:v>
                </c:pt>
                <c:pt idx="2">
                  <c:v>0.10683681418555478</c:v>
                </c:pt>
                <c:pt idx="3">
                  <c:v>0.12965526555694365</c:v>
                </c:pt>
                <c:pt idx="4">
                  <c:v>0.13835511145272866</c:v>
                </c:pt>
                <c:pt idx="5">
                  <c:v>0.15090543259557343</c:v>
                </c:pt>
                <c:pt idx="6">
                  <c:v>0.2</c:v>
                </c:pt>
                <c:pt idx="7">
                  <c:v>0.20964767543433951</c:v>
                </c:pt>
                <c:pt idx="8">
                  <c:v>0.21798365122615804</c:v>
                </c:pt>
                <c:pt idx="9">
                  <c:v>0.22160828519508916</c:v>
                </c:pt>
                <c:pt idx="10">
                  <c:v>0.2572306117225493</c:v>
                </c:pt>
                <c:pt idx="11">
                  <c:v>0.25990903183885639</c:v>
                </c:pt>
                <c:pt idx="12">
                  <c:v>0.26223935411418337</c:v>
                </c:pt>
                <c:pt idx="13">
                  <c:v>0.28926060089494993</c:v>
                </c:pt>
                <c:pt idx="14">
                  <c:v>0.29817158931082988</c:v>
                </c:pt>
                <c:pt idx="15">
                  <c:v>0.31053459119496857</c:v>
                </c:pt>
                <c:pt idx="16">
                  <c:v>0.31442663378545005</c:v>
                </c:pt>
                <c:pt idx="17">
                  <c:v>0.32665832290362956</c:v>
                </c:pt>
                <c:pt idx="18">
                  <c:v>0.26794258373205743</c:v>
                </c:pt>
                <c:pt idx="19">
                  <c:v>0.27731442869057549</c:v>
                </c:pt>
                <c:pt idx="20">
                  <c:v>0.3662733529990167</c:v>
                </c:pt>
                <c:pt idx="21">
                  <c:v>0.37836240023647649</c:v>
                </c:pt>
                <c:pt idx="22">
                  <c:v>0.39160424237929242</c:v>
                </c:pt>
                <c:pt idx="23">
                  <c:v>0.40683962264150941</c:v>
                </c:pt>
                <c:pt idx="24">
                  <c:v>0.40808956301914051</c:v>
                </c:pt>
                <c:pt idx="25">
                  <c:v>0.41666666666666663</c:v>
                </c:pt>
                <c:pt idx="26">
                  <c:v>0.42190560699157864</c:v>
                </c:pt>
                <c:pt idx="27">
                  <c:v>0.44230769230769229</c:v>
                </c:pt>
                <c:pt idx="28">
                  <c:v>0.45471769609700641</c:v>
                </c:pt>
                <c:pt idx="29">
                  <c:v>0.47819971870604783</c:v>
                </c:pt>
                <c:pt idx="30">
                  <c:v>0.48218660019768789</c:v>
                </c:pt>
                <c:pt idx="31">
                  <c:v>0.4861111111111111</c:v>
                </c:pt>
                <c:pt idx="32">
                  <c:v>0.50632911392405067</c:v>
                </c:pt>
                <c:pt idx="33">
                  <c:v>0.51927616050354053</c:v>
                </c:pt>
                <c:pt idx="34">
                  <c:v>0.53057151004114222</c:v>
                </c:pt>
                <c:pt idx="35">
                  <c:v>0.54054054054054057</c:v>
                </c:pt>
                <c:pt idx="36">
                  <c:v>0.56438127090301005</c:v>
                </c:pt>
                <c:pt idx="37">
                  <c:v>0.59233449477351918</c:v>
                </c:pt>
                <c:pt idx="38">
                  <c:v>0.59718969555035128</c:v>
                </c:pt>
                <c:pt idx="39">
                  <c:v>0.60261131570137261</c:v>
                </c:pt>
                <c:pt idx="40">
                  <c:v>0.63</c:v>
                </c:pt>
                <c:pt idx="41">
                  <c:v>0.63656178050652346</c:v>
                </c:pt>
                <c:pt idx="42">
                  <c:v>0.66161710783395333</c:v>
                </c:pt>
                <c:pt idx="43">
                  <c:v>0.68361581920903958</c:v>
                </c:pt>
                <c:pt idx="44">
                  <c:v>0.6964570214702982</c:v>
                </c:pt>
                <c:pt idx="45">
                  <c:v>0.7065217391304347</c:v>
                </c:pt>
                <c:pt idx="46">
                  <c:v>0.71308016877637137</c:v>
                </c:pt>
                <c:pt idx="47">
                  <c:v>0.71725571725571724</c:v>
                </c:pt>
                <c:pt idx="48">
                  <c:v>0.71868131868131868</c:v>
                </c:pt>
                <c:pt idx="49">
                  <c:v>0.72104551599819744</c:v>
                </c:pt>
                <c:pt idx="50">
                  <c:v>0.72128400154698979</c:v>
                </c:pt>
                <c:pt idx="51">
                  <c:v>0.72689270784951232</c:v>
                </c:pt>
                <c:pt idx="52">
                  <c:v>0.73220338983050848</c:v>
                </c:pt>
                <c:pt idx="53">
                  <c:v>0.75435203094777559</c:v>
                </c:pt>
                <c:pt idx="54">
                  <c:v>0.81129807692307687</c:v>
                </c:pt>
                <c:pt idx="55">
                  <c:v>0.83916083916083917</c:v>
                </c:pt>
                <c:pt idx="56">
                  <c:v>0.8440007642338555</c:v>
                </c:pt>
                <c:pt idx="57">
                  <c:v>0.85121390436849698</c:v>
                </c:pt>
                <c:pt idx="58">
                  <c:v>0.88615298193053083</c:v>
                </c:pt>
                <c:pt idx="59">
                  <c:v>0.88967971530249113</c:v>
                </c:pt>
                <c:pt idx="60">
                  <c:v>0.92474610058996254</c:v>
                </c:pt>
                <c:pt idx="61">
                  <c:v>0.96439790575916229</c:v>
                </c:pt>
                <c:pt idx="62">
                  <c:v>0.96715328467153283</c:v>
                </c:pt>
                <c:pt idx="63">
                  <c:v>0.99350649350649356</c:v>
                </c:pt>
                <c:pt idx="64">
                  <c:v>1.077119184193754</c:v>
                </c:pt>
                <c:pt idx="65">
                  <c:v>1.0805249867506312</c:v>
                </c:pt>
                <c:pt idx="66">
                  <c:v>1.1416666666666666</c:v>
                </c:pt>
                <c:pt idx="67">
                  <c:v>1.2396694214876034</c:v>
                </c:pt>
                <c:pt idx="68">
                  <c:v>1.5545028539729346</c:v>
                </c:pt>
                <c:pt idx="69">
                  <c:v>1.8181818181818181</c:v>
                </c:pt>
                <c:pt idx="70">
                  <c:v>1.8212703101920236</c:v>
                </c:pt>
                <c:pt idx="71">
                  <c:v>2.2019597441723135</c:v>
                </c:pt>
                <c:pt idx="72">
                  <c:v>3.119584055459272</c:v>
                </c:pt>
              </c:numCache>
            </c:numRef>
          </c:val>
          <c:extLst>
            <c:ext xmlns:c16="http://schemas.microsoft.com/office/drawing/2014/chart" uri="{C3380CC4-5D6E-409C-BE32-E72D297353CC}">
              <c16:uniqueId val="{00000000-8567-4D3B-9D2E-C8731C0B8CE3}"/>
            </c:ext>
          </c:extLst>
        </c:ser>
        <c:dLbls>
          <c:showLegendKey val="0"/>
          <c:showVal val="0"/>
          <c:showCatName val="0"/>
          <c:showSerName val="0"/>
          <c:showPercent val="0"/>
          <c:showBubbleSize val="0"/>
        </c:dLbls>
        <c:gapWidth val="150"/>
        <c:axId val="746268736"/>
        <c:axId val="746257504"/>
      </c:barChart>
      <c:catAx>
        <c:axId val="74626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6257504"/>
        <c:crosses val="autoZero"/>
        <c:auto val="1"/>
        <c:lblAlgn val="ctr"/>
        <c:lblOffset val="100"/>
        <c:noMultiLvlLbl val="0"/>
      </c:catAx>
      <c:valAx>
        <c:axId val="746257504"/>
        <c:scaling>
          <c:orientation val="minMax"/>
          <c:max val="2.2200000000000002"/>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626873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79516215935192"/>
          <c:y val="2.105143908293515E-2"/>
          <c:w val="0.80291392147410146"/>
          <c:h val="0.70088722883998478"/>
        </c:manualLayout>
      </c:layout>
      <c:scatterChart>
        <c:scatterStyle val="lineMarker"/>
        <c:varyColors val="0"/>
        <c:ser>
          <c:idx val="0"/>
          <c:order val="0"/>
          <c:tx>
            <c:strRef>
              <c:f>tallies!#REF!</c:f>
              <c:strCache>
                <c:ptCount val="1"/>
                <c:pt idx="0">
                  <c:v>#REF!</c:v>
                </c:pt>
              </c:strCache>
            </c:strRef>
          </c:tx>
          <c:spPr>
            <a:ln w="12700" cap="rnd">
              <a:noFill/>
              <a:round/>
            </a:ln>
            <a:effectLst/>
          </c:spPr>
          <c:marker>
            <c:symbol val="dash"/>
            <c:size val="3"/>
            <c:spPr>
              <a:solidFill>
                <a:schemeClr val="tx1">
                  <a:lumMod val="75000"/>
                  <a:lumOff val="25000"/>
                </a:schemeClr>
              </a:solidFill>
              <a:ln w="9525">
                <a:noFill/>
              </a:ln>
              <a:effectLst/>
            </c:spPr>
          </c:marker>
          <c:xVal>
            <c:numRef>
              <c:f>tallies!#REF!</c:f>
            </c:numRef>
          </c:xVal>
          <c:yVal>
            <c:numRef>
              <c:f>tallies!#REF!</c:f>
              <c:numCache>
                <c:formatCode>General</c:formatCode>
                <c:ptCount val="1"/>
                <c:pt idx="0">
                  <c:v>1</c:v>
                </c:pt>
              </c:numCache>
            </c:numRef>
          </c:yVal>
          <c:smooth val="0"/>
          <c:extLst>
            <c:ext xmlns:c16="http://schemas.microsoft.com/office/drawing/2014/chart" uri="{C3380CC4-5D6E-409C-BE32-E72D297353CC}">
              <c16:uniqueId val="{00000000-0558-466D-A7D5-393A298EAB70}"/>
            </c:ext>
          </c:extLst>
        </c:ser>
        <c:ser>
          <c:idx val="1"/>
          <c:order val="1"/>
          <c:tx>
            <c:strRef>
              <c:f>tallies!$Z$1</c:f>
              <c:strCache>
                <c:ptCount val="1"/>
                <c:pt idx="0">
                  <c:v>chance that legal sample misses errors x100</c:v>
                </c:pt>
              </c:strCache>
            </c:strRef>
          </c:tx>
          <c:spPr>
            <a:ln w="12700" cap="rnd">
              <a:noFill/>
              <a:round/>
            </a:ln>
            <a:effectLst/>
          </c:spPr>
          <c:marker>
            <c:symbol val="circle"/>
            <c:size val="3"/>
            <c:spPr>
              <a:solidFill>
                <a:srgbClr val="006400"/>
              </a:solidFill>
              <a:ln w="9525">
                <a:noFill/>
              </a:ln>
              <a:effectLst/>
            </c:spPr>
          </c:marker>
          <c:xVal>
            <c:numRef>
              <c:f>tallies!#REF!</c:f>
            </c:numRef>
          </c:xVal>
          <c:yVal>
            <c:numRef>
              <c:f>tallies!#REF!</c:f>
              <c:numCache>
                <c:formatCode>General</c:formatCode>
                <c:ptCount val="1"/>
                <c:pt idx="0">
                  <c:v>1</c:v>
                </c:pt>
              </c:numCache>
            </c:numRef>
          </c:yVal>
          <c:smooth val="0"/>
          <c:extLst>
            <c:ext xmlns:c16="http://schemas.microsoft.com/office/drawing/2014/chart" uri="{C3380CC4-5D6E-409C-BE32-E72D297353CC}">
              <c16:uniqueId val="{00000003-0558-466D-A7D5-393A298EAB70}"/>
            </c:ext>
          </c:extLst>
        </c:ser>
        <c:dLbls>
          <c:showLegendKey val="0"/>
          <c:showVal val="0"/>
          <c:showCatName val="0"/>
          <c:showSerName val="0"/>
          <c:showPercent val="0"/>
          <c:showBubbleSize val="0"/>
        </c:dLbls>
        <c:axId val="1006133919"/>
        <c:axId val="1006134335"/>
      </c:scatterChart>
      <c:valAx>
        <c:axId val="1006133919"/>
        <c:scaling>
          <c:logBase val="2"/>
          <c:orientation val="minMax"/>
          <c:max val="750000"/>
          <c:min val="125"/>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rgbClr val="C00000"/>
                </a:solidFill>
                <a:latin typeface="Arial Narrow" panose="020B0606020202030204" pitchFamily="34" charset="0"/>
                <a:ea typeface="+mn-ea"/>
                <a:cs typeface="+mn-cs"/>
              </a:defRPr>
            </a:pPr>
            <a:endParaRPr lang="en-US"/>
          </a:p>
        </c:txPr>
        <c:crossAx val="1006134335"/>
        <c:crosses val="autoZero"/>
        <c:crossBetween val="midCat"/>
        <c:majorUnit val="2"/>
      </c:valAx>
      <c:valAx>
        <c:axId val="1006134335"/>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006133919"/>
        <c:crosses val="autoZero"/>
        <c:crossBetween val="midCat"/>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en-US" sz="1300" b="1">
                <a:solidFill>
                  <a:srgbClr val="7030A0"/>
                </a:solidFill>
              </a:rPr>
              <a:t>Chance that 3% sample misses all the errors which would have</a:t>
            </a:r>
            <a:r>
              <a:rPr lang="en-US" sz="1300" b="1" baseline="0">
                <a:solidFill>
                  <a:srgbClr val="7030A0"/>
                </a:solidFill>
              </a:rPr>
              <a:t> had to happen to flip the contest</a:t>
            </a:r>
            <a:r>
              <a:rPr lang="en-US" sz="1300" b="1">
                <a:solidFill>
                  <a:srgbClr val="7030A0"/>
                </a:solidFill>
              </a:rPr>
              <a:t> </a:t>
            </a:r>
          </a:p>
        </c:rich>
      </c:tx>
      <c:layout>
        <c:manualLayout>
          <c:xMode val="edge"/>
          <c:yMode val="edge"/>
          <c:x val="0.14904845293391955"/>
          <c:y val="0"/>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7469816272965873E-2"/>
          <c:y val="0.23953703703703705"/>
          <c:w val="0.87197462817147853"/>
          <c:h val="0.54336468358121903"/>
        </c:manualLayout>
      </c:layout>
      <c:scatterChart>
        <c:scatterStyle val="lineMarker"/>
        <c:varyColors val="0"/>
        <c:ser>
          <c:idx val="0"/>
          <c:order val="0"/>
          <c:spPr>
            <a:ln w="12700" cap="rnd">
              <a:solidFill>
                <a:schemeClr val="tx1"/>
              </a:solidFill>
              <a:round/>
            </a:ln>
            <a:effectLst/>
          </c:spPr>
          <c:marker>
            <c:symbol val="none"/>
          </c:marker>
          <c:xVal>
            <c:numRef>
              <c:f>tallies!#REF!</c:f>
            </c:numRef>
          </c:xVal>
          <c:yVal>
            <c:numRef>
              <c:f>tallies!#REF!</c:f>
              <c:numCache>
                <c:formatCode>General</c:formatCode>
                <c:ptCount val="1"/>
                <c:pt idx="0">
                  <c:v>1</c:v>
                </c:pt>
              </c:numCache>
            </c:numRef>
          </c:yVal>
          <c:smooth val="0"/>
          <c:extLst>
            <c:ext xmlns:c16="http://schemas.microsoft.com/office/drawing/2014/chart" uri="{C3380CC4-5D6E-409C-BE32-E72D297353CC}">
              <c16:uniqueId val="{00000000-4E28-4F5A-9D1C-2F259484B6DF}"/>
            </c:ext>
          </c:extLst>
        </c:ser>
        <c:ser>
          <c:idx val="1"/>
          <c:order val="1"/>
          <c:spPr>
            <a:ln w="12700" cap="rnd">
              <a:solidFill>
                <a:schemeClr val="accent2"/>
              </a:solidFill>
              <a:round/>
            </a:ln>
            <a:effectLst/>
          </c:spPr>
          <c:marker>
            <c:symbol val="none"/>
          </c:marker>
          <c:xVal>
            <c:numRef>
              <c:f>tallies!#REF!</c:f>
            </c:numRef>
          </c:xVal>
          <c:yVal>
            <c:numRef>
              <c:f>tallies!#REF!</c:f>
              <c:numCache>
                <c:formatCode>General</c:formatCode>
                <c:ptCount val="1"/>
                <c:pt idx="0">
                  <c:v>1</c:v>
                </c:pt>
              </c:numCache>
            </c:numRef>
          </c:yVal>
          <c:smooth val="0"/>
          <c:extLst>
            <c:ext xmlns:c16="http://schemas.microsoft.com/office/drawing/2014/chart" uri="{C3380CC4-5D6E-409C-BE32-E72D297353CC}">
              <c16:uniqueId val="{00000001-4E28-4F5A-9D1C-2F259484B6DF}"/>
            </c:ext>
          </c:extLst>
        </c:ser>
        <c:dLbls>
          <c:showLegendKey val="0"/>
          <c:showVal val="0"/>
          <c:showCatName val="0"/>
          <c:showSerName val="0"/>
          <c:showPercent val="0"/>
          <c:showBubbleSize val="0"/>
        </c:dLbls>
        <c:axId val="1006133919"/>
        <c:axId val="1006134335"/>
      </c:scatterChart>
      <c:valAx>
        <c:axId val="1006133919"/>
        <c:scaling>
          <c:orientation val="minMax"/>
          <c:max val="140"/>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006134335"/>
        <c:crosses val="autoZero"/>
        <c:crossBetween val="midCat"/>
        <c:majorUnit val="10"/>
      </c:valAx>
      <c:valAx>
        <c:axId val="100613433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7030A0"/>
                </a:solidFill>
                <a:latin typeface="+mn-lt"/>
                <a:ea typeface="+mn-ea"/>
                <a:cs typeface="+mn-cs"/>
              </a:defRPr>
            </a:pPr>
            <a:endParaRPr lang="en-US"/>
          </a:p>
        </c:txPr>
        <c:crossAx val="10061339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i="0" baseline="0">
                <a:solidFill>
                  <a:sysClr val="windowText" lastClr="000000"/>
                </a:solidFill>
              </a:rPr>
              <a:t>Margin of Victory</a:t>
            </a:r>
          </a:p>
        </c:rich>
      </c:tx>
      <c:layout>
        <c:manualLayout>
          <c:xMode val="edge"/>
          <c:yMode val="edge"/>
          <c:x val="9.3744531933508308E-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99168853893262"/>
          <c:y val="0.11615740740740743"/>
          <c:w val="0.79211242344706911"/>
          <c:h val="0.69773950131233597"/>
        </c:manualLayout>
      </c:layout>
      <c:scatterChart>
        <c:scatterStyle val="lineMarker"/>
        <c:varyColors val="0"/>
        <c:ser>
          <c:idx val="2"/>
          <c:order val="0"/>
          <c:tx>
            <c:strRef>
              <c:f>tallies!$AF$274</c:f>
              <c:strCache>
                <c:ptCount val="1"/>
                <c:pt idx="0">
                  <c:v>CA_Orang_2020g</c:v>
                </c:pt>
              </c:strCache>
            </c:strRef>
          </c:tx>
          <c:spPr>
            <a:ln w="25400" cap="rnd">
              <a:noFill/>
              <a:round/>
            </a:ln>
            <a:effectLst/>
          </c:spPr>
          <c:marker>
            <c:symbol val="dot"/>
            <c:size val="5"/>
            <c:spPr>
              <a:solidFill>
                <a:schemeClr val="tx1"/>
              </a:solidFill>
              <a:ln w="9525">
                <a:solidFill>
                  <a:schemeClr val="tx1"/>
                </a:solidFill>
              </a:ln>
              <a:effectLst/>
            </c:spPr>
          </c:marker>
          <c:xVal>
            <c:numRef>
              <c:f>tallies!$W$274:$W$293</c:f>
              <c:numCache>
                <c:formatCode>General</c:formatCode>
                <c:ptCount val="20"/>
                <c:pt idx="0">
                  <c:v>72</c:v>
                </c:pt>
                <c:pt idx="1">
                  <c:v>73</c:v>
                </c:pt>
                <c:pt idx="2">
                  <c:v>74</c:v>
                </c:pt>
                <c:pt idx="3">
                  <c:v>75</c:v>
                </c:pt>
                <c:pt idx="4">
                  <c:v>76</c:v>
                </c:pt>
                <c:pt idx="5">
                  <c:v>77</c:v>
                </c:pt>
                <c:pt idx="6">
                  <c:v>78</c:v>
                </c:pt>
                <c:pt idx="7">
                  <c:v>79</c:v>
                </c:pt>
                <c:pt idx="8">
                  <c:v>80</c:v>
                </c:pt>
                <c:pt idx="9">
                  <c:v>81</c:v>
                </c:pt>
                <c:pt idx="10">
                  <c:v>82</c:v>
                </c:pt>
                <c:pt idx="11">
                  <c:v>83</c:v>
                </c:pt>
                <c:pt idx="12">
                  <c:v>84</c:v>
                </c:pt>
                <c:pt idx="13">
                  <c:v>85</c:v>
                </c:pt>
                <c:pt idx="14">
                  <c:v>86</c:v>
                </c:pt>
                <c:pt idx="15">
                  <c:v>87</c:v>
                </c:pt>
                <c:pt idx="16">
                  <c:v>88</c:v>
                </c:pt>
                <c:pt idx="17">
                  <c:v>89</c:v>
                </c:pt>
                <c:pt idx="18">
                  <c:v>90</c:v>
                </c:pt>
                <c:pt idx="19">
                  <c:v>91</c:v>
                </c:pt>
              </c:numCache>
            </c:numRef>
          </c:xVal>
          <c:yVal>
            <c:numRef>
              <c:f>tallies!$AK$274:$AK$293</c:f>
              <c:numCache>
                <c:formatCode>General</c:formatCode>
                <c:ptCount val="20"/>
                <c:pt idx="0" formatCode="#,##0_);\(#,##0\)">
                  <c:v>2615</c:v>
                </c:pt>
                <c:pt idx="1">
                  <c:v>2709</c:v>
                </c:pt>
                <c:pt idx="2" formatCode="#,##0_);\(#,##0\)">
                  <c:v>2862</c:v>
                </c:pt>
                <c:pt idx="3" formatCode="#,##0_);\(#,##0\)">
                  <c:v>2905</c:v>
                </c:pt>
                <c:pt idx="4">
                  <c:v>3118</c:v>
                </c:pt>
                <c:pt idx="5" formatCode="#,##0_);\(#,##0\)">
                  <c:v>3121</c:v>
                </c:pt>
                <c:pt idx="6">
                  <c:v>3159</c:v>
                </c:pt>
                <c:pt idx="7">
                  <c:v>3161</c:v>
                </c:pt>
                <c:pt idx="8" formatCode="#,##0_);\(#,##0\)">
                  <c:v>3203</c:v>
                </c:pt>
                <c:pt idx="9" formatCode="#,##0_);\(#,##0\)">
                  <c:v>3386</c:v>
                </c:pt>
                <c:pt idx="10">
                  <c:v>3438</c:v>
                </c:pt>
                <c:pt idx="11" formatCode="#,##0_);\(#,##0\)">
                  <c:v>3791</c:v>
                </c:pt>
                <c:pt idx="12" formatCode="#,##0_);\(#,##0\)">
                  <c:v>3875</c:v>
                </c:pt>
                <c:pt idx="13" formatCode="#,##0_);\(#,##0\)">
                  <c:v>3884</c:v>
                </c:pt>
                <c:pt idx="14" formatCode="#,##0_);\(#,##0\)">
                  <c:v>3910</c:v>
                </c:pt>
                <c:pt idx="15">
                  <c:v>3916</c:v>
                </c:pt>
                <c:pt idx="16">
                  <c:v>4147</c:v>
                </c:pt>
                <c:pt idx="17" formatCode="#,##0_);\(#,##0\)">
                  <c:v>4225</c:v>
                </c:pt>
                <c:pt idx="18" formatCode="#,##0_);\(#,##0\)">
                  <c:v>4320</c:v>
                </c:pt>
                <c:pt idx="19" formatCode="#,##0_);\(#,##0\)">
                  <c:v>4519</c:v>
                </c:pt>
              </c:numCache>
            </c:numRef>
          </c:yVal>
          <c:smooth val="0"/>
          <c:extLst>
            <c:ext xmlns:c16="http://schemas.microsoft.com/office/drawing/2014/chart" uri="{C3380CC4-5D6E-409C-BE32-E72D297353CC}">
              <c16:uniqueId val="{00000002-1305-423F-80EA-D76472CBCCD1}"/>
            </c:ext>
          </c:extLst>
        </c:ser>
        <c:ser>
          <c:idx val="0"/>
          <c:order val="1"/>
          <c:tx>
            <c:strRef>
              <c:f>tallies!#REF!</c:f>
              <c:strCache>
                <c:ptCount val="1"/>
                <c:pt idx="0">
                  <c:v>#REF!</c:v>
                </c:pt>
              </c:strCache>
            </c:strRef>
          </c:tx>
          <c:spPr>
            <a:ln w="19050" cap="rnd">
              <a:noFill/>
              <a:round/>
            </a:ln>
            <a:effectLst/>
          </c:spPr>
          <c:marker>
            <c:symbol val="circle"/>
            <c:size val="4"/>
            <c:spPr>
              <a:noFill/>
              <a:ln w="9525">
                <a:solidFill>
                  <a:schemeClr val="accent1"/>
                </a:solidFill>
              </a:ln>
              <a:effectLst/>
            </c:spPr>
          </c:marker>
          <c:xVal>
            <c:numRef>
              <c:f>tallies!$W$2:$W$135</c:f>
              <c:numCache>
                <c:formatCode>General</c:formatCode>
                <c:ptCount val="1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numCache>
            </c:numRef>
          </c:xVal>
          <c:yVal>
            <c:numRef>
              <c:f>tallies!$AK$2:$AK$135</c:f>
              <c:numCache>
                <c:formatCode>#,##0_);\(#,##0\)</c:formatCode>
                <c:ptCount val="134"/>
                <c:pt idx="0">
                  <c:v>1</c:v>
                </c:pt>
                <c:pt idx="1">
                  <c:v>8</c:v>
                </c:pt>
                <c:pt idx="2">
                  <c:v>9</c:v>
                </c:pt>
                <c:pt idx="3">
                  <c:v>32</c:v>
                </c:pt>
                <c:pt idx="4">
                  <c:v>76</c:v>
                </c:pt>
                <c:pt idx="5">
                  <c:v>104</c:v>
                </c:pt>
                <c:pt idx="6">
                  <c:v>116</c:v>
                </c:pt>
                <c:pt idx="7">
                  <c:v>121</c:v>
                </c:pt>
                <c:pt idx="8">
                  <c:v>147</c:v>
                </c:pt>
                <c:pt idx="9">
                  <c:v>169</c:v>
                </c:pt>
                <c:pt idx="10">
                  <c:v>179</c:v>
                </c:pt>
                <c:pt idx="11">
                  <c:v>197</c:v>
                </c:pt>
                <c:pt idx="12">
                  <c:v>251</c:v>
                </c:pt>
                <c:pt idx="13">
                  <c:v>290</c:v>
                </c:pt>
                <c:pt idx="14">
                  <c:v>383</c:v>
                </c:pt>
                <c:pt idx="15">
                  <c:v>403</c:v>
                </c:pt>
                <c:pt idx="16">
                  <c:v>413</c:v>
                </c:pt>
                <c:pt idx="17">
                  <c:v>461</c:v>
                </c:pt>
                <c:pt idx="18">
                  <c:v>488</c:v>
                </c:pt>
                <c:pt idx="19">
                  <c:v>497</c:v>
                </c:pt>
                <c:pt idx="20">
                  <c:v>575</c:v>
                </c:pt>
                <c:pt idx="21">
                  <c:v>588</c:v>
                </c:pt>
                <c:pt idx="22">
                  <c:v>590</c:v>
                </c:pt>
                <c:pt idx="23">
                  <c:v>620</c:v>
                </c:pt>
                <c:pt idx="24">
                  <c:v>632</c:v>
                </c:pt>
                <c:pt idx="25">
                  <c:v>787</c:v>
                </c:pt>
                <c:pt idx="26">
                  <c:v>835</c:v>
                </c:pt>
                <c:pt idx="27">
                  <c:v>943</c:v>
                </c:pt>
                <c:pt idx="28">
                  <c:v>1092</c:v>
                </c:pt>
                <c:pt idx="29">
                  <c:v>1110</c:v>
                </c:pt>
                <c:pt idx="30">
                  <c:v>1156</c:v>
                </c:pt>
                <c:pt idx="31">
                  <c:v>1189</c:v>
                </c:pt>
                <c:pt idx="32">
                  <c:v>1213</c:v>
                </c:pt>
                <c:pt idx="33">
                  <c:v>1338</c:v>
                </c:pt>
                <c:pt idx="34">
                  <c:v>1509</c:v>
                </c:pt>
                <c:pt idx="35">
                  <c:v>1703</c:v>
                </c:pt>
                <c:pt idx="36">
                  <c:v>1844</c:v>
                </c:pt>
                <c:pt idx="37">
                  <c:v>1874</c:v>
                </c:pt>
                <c:pt idx="38">
                  <c:v>2074</c:v>
                </c:pt>
                <c:pt idx="39">
                  <c:v>2174</c:v>
                </c:pt>
                <c:pt idx="40">
                  <c:v>2193</c:v>
                </c:pt>
                <c:pt idx="41">
                  <c:v>2229</c:v>
                </c:pt>
                <c:pt idx="42">
                  <c:v>2394</c:v>
                </c:pt>
                <c:pt idx="43">
                  <c:v>2442</c:v>
                </c:pt>
                <c:pt idx="44">
                  <c:v>2473</c:v>
                </c:pt>
                <c:pt idx="45">
                  <c:v>2568</c:v>
                </c:pt>
                <c:pt idx="46">
                  <c:v>2621</c:v>
                </c:pt>
                <c:pt idx="47">
                  <c:v>2895</c:v>
                </c:pt>
                <c:pt idx="48">
                  <c:v>3060</c:v>
                </c:pt>
                <c:pt idx="49">
                  <c:v>3069</c:v>
                </c:pt>
                <c:pt idx="50">
                  <c:v>3482</c:v>
                </c:pt>
                <c:pt idx="51">
                  <c:v>3500</c:v>
                </c:pt>
                <c:pt idx="52">
                  <c:v>3648</c:v>
                </c:pt>
                <c:pt idx="53">
                  <c:v>3957</c:v>
                </c:pt>
                <c:pt idx="54">
                  <c:v>4337</c:v>
                </c:pt>
                <c:pt idx="55">
                  <c:v>4599</c:v>
                </c:pt>
                <c:pt idx="56">
                  <c:v>4675</c:v>
                </c:pt>
                <c:pt idx="57">
                  <c:v>4753</c:v>
                </c:pt>
                <c:pt idx="58">
                  <c:v>4921</c:v>
                </c:pt>
                <c:pt idx="59">
                  <c:v>5305</c:v>
                </c:pt>
                <c:pt idx="60">
                  <c:v>5613</c:v>
                </c:pt>
                <c:pt idx="61">
                  <c:v>5644</c:v>
                </c:pt>
                <c:pt idx="62">
                  <c:v>5781</c:v>
                </c:pt>
                <c:pt idx="63">
                  <c:v>5896</c:v>
                </c:pt>
                <c:pt idx="64">
                  <c:v>6000</c:v>
                </c:pt>
                <c:pt idx="65">
                  <c:v>6002</c:v>
                </c:pt>
                <c:pt idx="66">
                  <c:v>6526</c:v>
                </c:pt>
                <c:pt idx="67">
                  <c:v>7145</c:v>
                </c:pt>
                <c:pt idx="68">
                  <c:v>7642</c:v>
                </c:pt>
                <c:pt idx="69">
                  <c:v>7653</c:v>
                </c:pt>
                <c:pt idx="70">
                  <c:v>7791</c:v>
                </c:pt>
                <c:pt idx="71">
                  <c:v>7993</c:v>
                </c:pt>
                <c:pt idx="72">
                  <c:v>9488</c:v>
                </c:pt>
                <c:pt idx="73">
                  <c:v>9511</c:v>
                </c:pt>
                <c:pt idx="74">
                  <c:v>9727</c:v>
                </c:pt>
                <c:pt idx="75">
                  <c:v>10593</c:v>
                </c:pt>
                <c:pt idx="76">
                  <c:v>11113</c:v>
                </c:pt>
                <c:pt idx="77">
                  <c:v>11223</c:v>
                </c:pt>
                <c:pt idx="78">
                  <c:v>11908</c:v>
                </c:pt>
                <c:pt idx="79">
                  <c:v>12074</c:v>
                </c:pt>
                <c:pt idx="80">
                  <c:v>12078</c:v>
                </c:pt>
                <c:pt idx="81">
                  <c:v>12509</c:v>
                </c:pt>
                <c:pt idx="82">
                  <c:v>12510</c:v>
                </c:pt>
                <c:pt idx="83">
                  <c:v>12540</c:v>
                </c:pt>
                <c:pt idx="84">
                  <c:v>13022</c:v>
                </c:pt>
                <c:pt idx="85">
                  <c:v>14735</c:v>
                </c:pt>
                <c:pt idx="86">
                  <c:v>15007</c:v>
                </c:pt>
                <c:pt idx="87">
                  <c:v>15551</c:v>
                </c:pt>
                <c:pt idx="88">
                  <c:v>16184</c:v>
                </c:pt>
                <c:pt idx="89">
                  <c:v>16264</c:v>
                </c:pt>
                <c:pt idx="90">
                  <c:v>16465</c:v>
                </c:pt>
                <c:pt idx="91">
                  <c:v>16895</c:v>
                </c:pt>
                <c:pt idx="92">
                  <c:v>17232</c:v>
                </c:pt>
                <c:pt idx="93">
                  <c:v>17305</c:v>
                </c:pt>
                <c:pt idx="94">
                  <c:v>17383</c:v>
                </c:pt>
                <c:pt idx="95">
                  <c:v>18139</c:v>
                </c:pt>
                <c:pt idx="96">
                  <c:v>18429</c:v>
                </c:pt>
                <c:pt idx="97">
                  <c:v>19667</c:v>
                </c:pt>
                <c:pt idx="98">
                  <c:v>19945</c:v>
                </c:pt>
                <c:pt idx="99">
                  <c:v>20947</c:v>
                </c:pt>
                <c:pt idx="100">
                  <c:v>22538</c:v>
                </c:pt>
                <c:pt idx="101">
                  <c:v>22665</c:v>
                </c:pt>
                <c:pt idx="102">
                  <c:v>23098</c:v>
                </c:pt>
                <c:pt idx="103">
                  <c:v>23967</c:v>
                </c:pt>
                <c:pt idx="104">
                  <c:v>25319</c:v>
                </c:pt>
                <c:pt idx="105">
                  <c:v>25421</c:v>
                </c:pt>
                <c:pt idx="106">
                  <c:v>25603</c:v>
                </c:pt>
                <c:pt idx="107">
                  <c:v>25849</c:v>
                </c:pt>
                <c:pt idx="108">
                  <c:v>27562</c:v>
                </c:pt>
                <c:pt idx="109">
                  <c:v>28899</c:v>
                </c:pt>
                <c:pt idx="110">
                  <c:v>29094</c:v>
                </c:pt>
                <c:pt idx="111">
                  <c:v>29752</c:v>
                </c:pt>
                <c:pt idx="112">
                  <c:v>33340</c:v>
                </c:pt>
                <c:pt idx="113">
                  <c:v>34134</c:v>
                </c:pt>
                <c:pt idx="114">
                  <c:v>34496</c:v>
                </c:pt>
                <c:pt idx="115">
                  <c:v>35491</c:v>
                </c:pt>
                <c:pt idx="116">
                  <c:v>35561</c:v>
                </c:pt>
                <c:pt idx="117">
                  <c:v>37287</c:v>
                </c:pt>
                <c:pt idx="118">
                  <c:v>37809</c:v>
                </c:pt>
                <c:pt idx="119">
                  <c:v>38583</c:v>
                </c:pt>
                <c:pt idx="120">
                  <c:v>38709</c:v>
                </c:pt>
                <c:pt idx="121">
                  <c:v>39317</c:v>
                </c:pt>
                <c:pt idx="122">
                  <c:v>39940</c:v>
                </c:pt>
                <c:pt idx="123">
                  <c:v>40866</c:v>
                </c:pt>
                <c:pt idx="124">
                  <c:v>41593</c:v>
                </c:pt>
                <c:pt idx="125">
                  <c:v>41733</c:v>
                </c:pt>
                <c:pt idx="126">
                  <c:v>45109</c:v>
                </c:pt>
                <c:pt idx="127">
                  <c:v>45592</c:v>
                </c:pt>
                <c:pt idx="128">
                  <c:v>57661</c:v>
                </c:pt>
                <c:pt idx="129">
                  <c:v>61019</c:v>
                </c:pt>
                <c:pt idx="130">
                  <c:v>63049</c:v>
                </c:pt>
                <c:pt idx="131">
                  <c:v>64047</c:v>
                </c:pt>
                <c:pt idx="132">
                  <c:v>73409</c:v>
                </c:pt>
                <c:pt idx="133">
                  <c:v>75618</c:v>
                </c:pt>
              </c:numCache>
            </c:numRef>
          </c:yVal>
          <c:smooth val="0"/>
          <c:extLst>
            <c:ext xmlns:c16="http://schemas.microsoft.com/office/drawing/2014/chart" uri="{C3380CC4-5D6E-409C-BE32-E72D297353CC}">
              <c16:uniqueId val="{00000000-A04F-4882-ACA7-7F6EC2E59910}"/>
            </c:ext>
          </c:extLst>
        </c:ser>
        <c:ser>
          <c:idx val="1"/>
          <c:order val="2"/>
          <c:tx>
            <c:strRef>
              <c:f>tallies!$AF$136</c:f>
              <c:strCache>
                <c:ptCount val="1"/>
                <c:pt idx="0">
                  <c:v>AZ_Maric_2020g</c:v>
                </c:pt>
              </c:strCache>
            </c:strRef>
          </c:tx>
          <c:spPr>
            <a:ln w="25400" cap="rnd">
              <a:noFill/>
              <a:round/>
            </a:ln>
            <a:effectLst/>
          </c:spPr>
          <c:marker>
            <c:symbol val="circle"/>
            <c:size val="2"/>
            <c:spPr>
              <a:solidFill>
                <a:schemeClr val="accent2"/>
              </a:solidFill>
              <a:ln w="9525">
                <a:solidFill>
                  <a:schemeClr val="accent2"/>
                </a:solidFill>
              </a:ln>
              <a:effectLst/>
            </c:spPr>
          </c:marker>
          <c:xVal>
            <c:numRef>
              <c:f>tallies!$W$136:$W$273</c:f>
              <c:numCache>
                <c:formatCode>General</c:formatCode>
                <c:ptCount val="138"/>
                <c:pt idx="0">
                  <c:v>135</c:v>
                </c:pt>
                <c:pt idx="1">
                  <c:v>136</c:v>
                </c:pt>
                <c:pt idx="2">
                  <c:v>137</c:v>
                </c:pt>
                <c:pt idx="3">
                  <c:v>138</c:v>
                </c:pt>
                <c:pt idx="4">
                  <c:v>139</c:v>
                </c:pt>
                <c:pt idx="5">
                  <c:v>140</c:v>
                </c:pt>
                <c:pt idx="6">
                  <c:v>141</c:v>
                </c:pt>
                <c:pt idx="7">
                  <c:v>142</c:v>
                </c:pt>
                <c:pt idx="8">
                  <c:v>143</c:v>
                </c:pt>
                <c:pt idx="9">
                  <c:v>144</c:v>
                </c:pt>
                <c:pt idx="10">
                  <c:v>145</c:v>
                </c:pt>
                <c:pt idx="11">
                  <c:v>146</c:v>
                </c:pt>
                <c:pt idx="12">
                  <c:v>147</c:v>
                </c:pt>
                <c:pt idx="13">
                  <c:v>148</c:v>
                </c:pt>
                <c:pt idx="14">
                  <c:v>149</c:v>
                </c:pt>
                <c:pt idx="15">
                  <c:v>150</c:v>
                </c:pt>
                <c:pt idx="16">
                  <c:v>151</c:v>
                </c:pt>
                <c:pt idx="17">
                  <c:v>152</c:v>
                </c:pt>
                <c:pt idx="18">
                  <c:v>153</c:v>
                </c:pt>
                <c:pt idx="19">
                  <c:v>154</c:v>
                </c:pt>
                <c:pt idx="20">
                  <c:v>155</c:v>
                </c:pt>
                <c:pt idx="21">
                  <c:v>156</c:v>
                </c:pt>
                <c:pt idx="22">
                  <c:v>157</c:v>
                </c:pt>
                <c:pt idx="23">
                  <c:v>158</c:v>
                </c:pt>
                <c:pt idx="24">
                  <c:v>159</c:v>
                </c:pt>
                <c:pt idx="25">
                  <c:v>160</c:v>
                </c:pt>
                <c:pt idx="26">
                  <c:v>161</c:v>
                </c:pt>
                <c:pt idx="27">
                  <c:v>162</c:v>
                </c:pt>
                <c:pt idx="28">
                  <c:v>163</c:v>
                </c:pt>
                <c:pt idx="29">
                  <c:v>164</c:v>
                </c:pt>
                <c:pt idx="30">
                  <c:v>165</c:v>
                </c:pt>
                <c:pt idx="31">
                  <c:v>166</c:v>
                </c:pt>
                <c:pt idx="32">
                  <c:v>167</c:v>
                </c:pt>
                <c:pt idx="33">
                  <c:v>168</c:v>
                </c:pt>
                <c:pt idx="34">
                  <c:v>169</c:v>
                </c:pt>
                <c:pt idx="35">
                  <c:v>170</c:v>
                </c:pt>
                <c:pt idx="36">
                  <c:v>171</c:v>
                </c:pt>
                <c:pt idx="37">
                  <c:v>172</c:v>
                </c:pt>
                <c:pt idx="38">
                  <c:v>173</c:v>
                </c:pt>
                <c:pt idx="39">
                  <c:v>174</c:v>
                </c:pt>
                <c:pt idx="40">
                  <c:v>175</c:v>
                </c:pt>
                <c:pt idx="41">
                  <c:v>176</c:v>
                </c:pt>
                <c:pt idx="42">
                  <c:v>177</c:v>
                </c:pt>
                <c:pt idx="43">
                  <c:v>178</c:v>
                </c:pt>
                <c:pt idx="44">
                  <c:v>179</c:v>
                </c:pt>
                <c:pt idx="45">
                  <c:v>180</c:v>
                </c:pt>
                <c:pt idx="46">
                  <c:v>181</c:v>
                </c:pt>
                <c:pt idx="47">
                  <c:v>182</c:v>
                </c:pt>
                <c:pt idx="48">
                  <c:v>183</c:v>
                </c:pt>
                <c:pt idx="49">
                  <c:v>184</c:v>
                </c:pt>
                <c:pt idx="50">
                  <c:v>185</c:v>
                </c:pt>
                <c:pt idx="51">
                  <c:v>186</c:v>
                </c:pt>
                <c:pt idx="52">
                  <c:v>187</c:v>
                </c:pt>
                <c:pt idx="53">
                  <c:v>188</c:v>
                </c:pt>
                <c:pt idx="54">
                  <c:v>189</c:v>
                </c:pt>
                <c:pt idx="55">
                  <c:v>190</c:v>
                </c:pt>
                <c:pt idx="56">
                  <c:v>191</c:v>
                </c:pt>
                <c:pt idx="57">
                  <c:v>192</c:v>
                </c:pt>
                <c:pt idx="58">
                  <c:v>193</c:v>
                </c:pt>
                <c:pt idx="59">
                  <c:v>194</c:v>
                </c:pt>
                <c:pt idx="60">
                  <c:v>195</c:v>
                </c:pt>
                <c:pt idx="61">
                  <c:v>196</c:v>
                </c:pt>
                <c:pt idx="62">
                  <c:v>197</c:v>
                </c:pt>
                <c:pt idx="63">
                  <c:v>198</c:v>
                </c:pt>
                <c:pt idx="64">
                  <c:v>199</c:v>
                </c:pt>
                <c:pt idx="65">
                  <c:v>200</c:v>
                </c:pt>
                <c:pt idx="66">
                  <c:v>201</c:v>
                </c:pt>
                <c:pt idx="67">
                  <c:v>1</c:v>
                </c:pt>
                <c:pt idx="68">
                  <c:v>2</c:v>
                </c:pt>
                <c:pt idx="69">
                  <c:v>3</c:v>
                </c:pt>
                <c:pt idx="70">
                  <c:v>4</c:v>
                </c:pt>
                <c:pt idx="71">
                  <c:v>5</c:v>
                </c:pt>
                <c:pt idx="72">
                  <c:v>6</c:v>
                </c:pt>
                <c:pt idx="73">
                  <c:v>7</c:v>
                </c:pt>
                <c:pt idx="74">
                  <c:v>8</c:v>
                </c:pt>
                <c:pt idx="75">
                  <c:v>9</c:v>
                </c:pt>
                <c:pt idx="76">
                  <c:v>10</c:v>
                </c:pt>
                <c:pt idx="77">
                  <c:v>11</c:v>
                </c:pt>
                <c:pt idx="78">
                  <c:v>12</c:v>
                </c:pt>
                <c:pt idx="79">
                  <c:v>13</c:v>
                </c:pt>
                <c:pt idx="80">
                  <c:v>14</c:v>
                </c:pt>
                <c:pt idx="81">
                  <c:v>15</c:v>
                </c:pt>
                <c:pt idx="82">
                  <c:v>16</c:v>
                </c:pt>
                <c:pt idx="83">
                  <c:v>17</c:v>
                </c:pt>
                <c:pt idx="84">
                  <c:v>18</c:v>
                </c:pt>
                <c:pt idx="85">
                  <c:v>19</c:v>
                </c:pt>
                <c:pt idx="86">
                  <c:v>20</c:v>
                </c:pt>
                <c:pt idx="87">
                  <c:v>21</c:v>
                </c:pt>
                <c:pt idx="88">
                  <c:v>22</c:v>
                </c:pt>
                <c:pt idx="89">
                  <c:v>23</c:v>
                </c:pt>
                <c:pt idx="90">
                  <c:v>24</c:v>
                </c:pt>
                <c:pt idx="91">
                  <c:v>25</c:v>
                </c:pt>
                <c:pt idx="92">
                  <c:v>26</c:v>
                </c:pt>
                <c:pt idx="93">
                  <c:v>27</c:v>
                </c:pt>
                <c:pt idx="94">
                  <c:v>28</c:v>
                </c:pt>
                <c:pt idx="95">
                  <c:v>29</c:v>
                </c:pt>
                <c:pt idx="96">
                  <c:v>30</c:v>
                </c:pt>
                <c:pt idx="97">
                  <c:v>31</c:v>
                </c:pt>
                <c:pt idx="98">
                  <c:v>32</c:v>
                </c:pt>
                <c:pt idx="99">
                  <c:v>33</c:v>
                </c:pt>
                <c:pt idx="100">
                  <c:v>34</c:v>
                </c:pt>
                <c:pt idx="101">
                  <c:v>35</c:v>
                </c:pt>
                <c:pt idx="102">
                  <c:v>36</c:v>
                </c:pt>
                <c:pt idx="103">
                  <c:v>37</c:v>
                </c:pt>
                <c:pt idx="104">
                  <c:v>38</c:v>
                </c:pt>
                <c:pt idx="105">
                  <c:v>39</c:v>
                </c:pt>
                <c:pt idx="106">
                  <c:v>40</c:v>
                </c:pt>
                <c:pt idx="107">
                  <c:v>41</c:v>
                </c:pt>
                <c:pt idx="108">
                  <c:v>42</c:v>
                </c:pt>
                <c:pt idx="109">
                  <c:v>43</c:v>
                </c:pt>
                <c:pt idx="110">
                  <c:v>44</c:v>
                </c:pt>
                <c:pt idx="111">
                  <c:v>45</c:v>
                </c:pt>
                <c:pt idx="112">
                  <c:v>46</c:v>
                </c:pt>
                <c:pt idx="113">
                  <c:v>47</c:v>
                </c:pt>
                <c:pt idx="114">
                  <c:v>48</c:v>
                </c:pt>
                <c:pt idx="115">
                  <c:v>49</c:v>
                </c:pt>
                <c:pt idx="116">
                  <c:v>50</c:v>
                </c:pt>
                <c:pt idx="117">
                  <c:v>51</c:v>
                </c:pt>
                <c:pt idx="118">
                  <c:v>52</c:v>
                </c:pt>
                <c:pt idx="119">
                  <c:v>53</c:v>
                </c:pt>
                <c:pt idx="120">
                  <c:v>54</c:v>
                </c:pt>
                <c:pt idx="121">
                  <c:v>55</c:v>
                </c:pt>
                <c:pt idx="122">
                  <c:v>56</c:v>
                </c:pt>
                <c:pt idx="123">
                  <c:v>57</c:v>
                </c:pt>
                <c:pt idx="124">
                  <c:v>58</c:v>
                </c:pt>
                <c:pt idx="125">
                  <c:v>59</c:v>
                </c:pt>
                <c:pt idx="126">
                  <c:v>60</c:v>
                </c:pt>
                <c:pt idx="127">
                  <c:v>61</c:v>
                </c:pt>
                <c:pt idx="128">
                  <c:v>62</c:v>
                </c:pt>
                <c:pt idx="129">
                  <c:v>63</c:v>
                </c:pt>
                <c:pt idx="130">
                  <c:v>64</c:v>
                </c:pt>
                <c:pt idx="131">
                  <c:v>65</c:v>
                </c:pt>
                <c:pt idx="132">
                  <c:v>66</c:v>
                </c:pt>
                <c:pt idx="133">
                  <c:v>67</c:v>
                </c:pt>
                <c:pt idx="134">
                  <c:v>68</c:v>
                </c:pt>
                <c:pt idx="135">
                  <c:v>69</c:v>
                </c:pt>
                <c:pt idx="136">
                  <c:v>70</c:v>
                </c:pt>
                <c:pt idx="137">
                  <c:v>71</c:v>
                </c:pt>
              </c:numCache>
            </c:numRef>
          </c:xVal>
          <c:yVal>
            <c:numRef>
              <c:f>tallies!$AK$136:$AK$273</c:f>
              <c:numCache>
                <c:formatCode>#,##0_);\(#,##0\)</c:formatCode>
                <c:ptCount val="138"/>
                <c:pt idx="0">
                  <c:v>78766</c:v>
                </c:pt>
                <c:pt idx="1">
                  <c:v>79243</c:v>
                </c:pt>
                <c:pt idx="2">
                  <c:v>80193</c:v>
                </c:pt>
                <c:pt idx="3">
                  <c:v>80817</c:v>
                </c:pt>
                <c:pt idx="4">
                  <c:v>81914</c:v>
                </c:pt>
                <c:pt idx="5">
                  <c:v>84432</c:v>
                </c:pt>
                <c:pt idx="6">
                  <c:v>86190</c:v>
                </c:pt>
                <c:pt idx="7">
                  <c:v>87116</c:v>
                </c:pt>
                <c:pt idx="8">
                  <c:v>87668</c:v>
                </c:pt>
                <c:pt idx="9">
                  <c:v>89138</c:v>
                </c:pt>
                <c:pt idx="10">
                  <c:v>89907</c:v>
                </c:pt>
                <c:pt idx="11">
                  <c:v>115226</c:v>
                </c:pt>
                <c:pt idx="12">
                  <c:v>134489</c:v>
                </c:pt>
                <c:pt idx="13">
                  <c:v>197787</c:v>
                </c:pt>
                <c:pt idx="14">
                  <c:v>226207</c:v>
                </c:pt>
                <c:pt idx="15">
                  <c:v>254885</c:v>
                </c:pt>
                <c:pt idx="16">
                  <c:v>315064</c:v>
                </c:pt>
                <c:pt idx="17">
                  <c:v>327785</c:v>
                </c:pt>
                <c:pt idx="18">
                  <c:v>384451</c:v>
                </c:pt>
                <c:pt idx="19">
                  <c:v>384897</c:v>
                </c:pt>
                <c:pt idx="20">
                  <c:v>391496</c:v>
                </c:pt>
                <c:pt idx="21">
                  <c:v>411600</c:v>
                </c:pt>
                <c:pt idx="22">
                  <c:v>419484</c:v>
                </c:pt>
                <c:pt idx="23">
                  <c:v>429652</c:v>
                </c:pt>
                <c:pt idx="24">
                  <c:v>431148</c:v>
                </c:pt>
                <c:pt idx="25">
                  <c:v>448423</c:v>
                </c:pt>
                <c:pt idx="26">
                  <c:v>483837</c:v>
                </c:pt>
                <c:pt idx="27">
                  <c:v>503832</c:v>
                </c:pt>
                <c:pt idx="28">
                  <c:v>510501</c:v>
                </c:pt>
                <c:pt idx="29">
                  <c:v>544103</c:v>
                </c:pt>
                <c:pt idx="30">
                  <c:v>545572</c:v>
                </c:pt>
                <c:pt idx="31">
                  <c:v>550540</c:v>
                </c:pt>
                <c:pt idx="32">
                  <c:v>554128</c:v>
                </c:pt>
                <c:pt idx="33">
                  <c:v>560569</c:v>
                </c:pt>
                <c:pt idx="34">
                  <c:v>574600</c:v>
                </c:pt>
                <c:pt idx="35">
                  <c:v>574976</c:v>
                </c:pt>
                <c:pt idx="36">
                  <c:v>575349</c:v>
                </c:pt>
                <c:pt idx="37">
                  <c:v>583844</c:v>
                </c:pt>
                <c:pt idx="38">
                  <c:v>599928</c:v>
                </c:pt>
                <c:pt idx="39">
                  <c:v>602376</c:v>
                </c:pt>
                <c:pt idx="40">
                  <c:v>607921</c:v>
                </c:pt>
                <c:pt idx="41">
                  <c:v>608057</c:v>
                </c:pt>
                <c:pt idx="42">
                  <c:v>616787</c:v>
                </c:pt>
                <c:pt idx="43">
                  <c:v>621486</c:v>
                </c:pt>
                <c:pt idx="44">
                  <c:v>626555</c:v>
                </c:pt>
                <c:pt idx="45">
                  <c:v>634096</c:v>
                </c:pt>
                <c:pt idx="46">
                  <c:v>634939</c:v>
                </c:pt>
                <c:pt idx="47">
                  <c:v>638484</c:v>
                </c:pt>
                <c:pt idx="48">
                  <c:v>641399</c:v>
                </c:pt>
                <c:pt idx="49">
                  <c:v>642938</c:v>
                </c:pt>
                <c:pt idx="50">
                  <c:v>647514</c:v>
                </c:pt>
                <c:pt idx="51">
                  <c:v>654454</c:v>
                </c:pt>
                <c:pt idx="52">
                  <c:v>655996</c:v>
                </c:pt>
                <c:pt idx="53">
                  <c:v>656940</c:v>
                </c:pt>
                <c:pt idx="54">
                  <c:v>659839</c:v>
                </c:pt>
                <c:pt idx="55">
                  <c:v>663785</c:v>
                </c:pt>
                <c:pt idx="56">
                  <c:v>664036</c:v>
                </c:pt>
                <c:pt idx="57">
                  <c:v>664158</c:v>
                </c:pt>
                <c:pt idx="58">
                  <c:v>668811</c:v>
                </c:pt>
                <c:pt idx="59">
                  <c:v>669944</c:v>
                </c:pt>
                <c:pt idx="60">
                  <c:v>687917</c:v>
                </c:pt>
                <c:pt idx="61">
                  <c:v>708506</c:v>
                </c:pt>
                <c:pt idx="62">
                  <c:v>710303</c:v>
                </c:pt>
                <c:pt idx="63">
                  <c:v>712935</c:v>
                </c:pt>
                <c:pt idx="64">
                  <c:v>714469</c:v>
                </c:pt>
                <c:pt idx="65">
                  <c:v>735090</c:v>
                </c:pt>
                <c:pt idx="66">
                  <c:v>737185</c:v>
                </c:pt>
                <c:pt idx="67">
                  <c:v>0</c:v>
                </c:pt>
                <c:pt idx="68" formatCode="General">
                  <c:v>2</c:v>
                </c:pt>
                <c:pt idx="69">
                  <c:v>16</c:v>
                </c:pt>
                <c:pt idx="70">
                  <c:v>17</c:v>
                </c:pt>
                <c:pt idx="71">
                  <c:v>22</c:v>
                </c:pt>
                <c:pt idx="72" formatCode="General">
                  <c:v>26</c:v>
                </c:pt>
                <c:pt idx="73" formatCode="General">
                  <c:v>43</c:v>
                </c:pt>
                <c:pt idx="74" formatCode="General">
                  <c:v>62</c:v>
                </c:pt>
                <c:pt idx="75" formatCode="General">
                  <c:v>114</c:v>
                </c:pt>
                <c:pt idx="76" formatCode="General">
                  <c:v>141</c:v>
                </c:pt>
                <c:pt idx="77" formatCode="General">
                  <c:v>156</c:v>
                </c:pt>
                <c:pt idx="78">
                  <c:v>160</c:v>
                </c:pt>
                <c:pt idx="79">
                  <c:v>208</c:v>
                </c:pt>
                <c:pt idx="80" formatCode="General">
                  <c:v>225</c:v>
                </c:pt>
                <c:pt idx="81" formatCode="General">
                  <c:v>312</c:v>
                </c:pt>
                <c:pt idx="82">
                  <c:v>315</c:v>
                </c:pt>
                <c:pt idx="83">
                  <c:v>317</c:v>
                </c:pt>
                <c:pt idx="84">
                  <c:v>323</c:v>
                </c:pt>
                <c:pt idx="85">
                  <c:v>387</c:v>
                </c:pt>
                <c:pt idx="86">
                  <c:v>420</c:v>
                </c:pt>
                <c:pt idx="87">
                  <c:v>427</c:v>
                </c:pt>
                <c:pt idx="88">
                  <c:v>438</c:v>
                </c:pt>
                <c:pt idx="89">
                  <c:v>486</c:v>
                </c:pt>
                <c:pt idx="90">
                  <c:v>495</c:v>
                </c:pt>
                <c:pt idx="91">
                  <c:v>534</c:v>
                </c:pt>
                <c:pt idx="92">
                  <c:v>548</c:v>
                </c:pt>
                <c:pt idx="93">
                  <c:v>682</c:v>
                </c:pt>
                <c:pt idx="94">
                  <c:v>713</c:v>
                </c:pt>
                <c:pt idx="95">
                  <c:v>776</c:v>
                </c:pt>
                <c:pt idx="96">
                  <c:v>777</c:v>
                </c:pt>
                <c:pt idx="97">
                  <c:v>794</c:v>
                </c:pt>
                <c:pt idx="98">
                  <c:v>800</c:v>
                </c:pt>
                <c:pt idx="99">
                  <c:v>819</c:v>
                </c:pt>
                <c:pt idx="100">
                  <c:v>821</c:v>
                </c:pt>
                <c:pt idx="101" formatCode="General">
                  <c:v>842</c:v>
                </c:pt>
                <c:pt idx="102">
                  <c:v>916</c:v>
                </c:pt>
                <c:pt idx="103" formatCode="General">
                  <c:v>941</c:v>
                </c:pt>
                <c:pt idx="104">
                  <c:v>956</c:v>
                </c:pt>
                <c:pt idx="105">
                  <c:v>1009</c:v>
                </c:pt>
                <c:pt idx="106" formatCode="General">
                  <c:v>1089</c:v>
                </c:pt>
                <c:pt idx="107">
                  <c:v>1101</c:v>
                </c:pt>
                <c:pt idx="108">
                  <c:v>1115</c:v>
                </c:pt>
                <c:pt idx="109">
                  <c:v>1134</c:v>
                </c:pt>
                <c:pt idx="110">
                  <c:v>1182</c:v>
                </c:pt>
                <c:pt idx="111" formatCode="General">
                  <c:v>1216</c:v>
                </c:pt>
                <c:pt idx="112">
                  <c:v>1224</c:v>
                </c:pt>
                <c:pt idx="113">
                  <c:v>1226</c:v>
                </c:pt>
                <c:pt idx="114">
                  <c:v>1270</c:v>
                </c:pt>
                <c:pt idx="115">
                  <c:v>1290</c:v>
                </c:pt>
                <c:pt idx="116">
                  <c:v>1308</c:v>
                </c:pt>
                <c:pt idx="117">
                  <c:v>1469</c:v>
                </c:pt>
                <c:pt idx="118">
                  <c:v>1475</c:v>
                </c:pt>
                <c:pt idx="119">
                  <c:v>1485</c:v>
                </c:pt>
                <c:pt idx="120">
                  <c:v>1526</c:v>
                </c:pt>
                <c:pt idx="121">
                  <c:v>1528</c:v>
                </c:pt>
                <c:pt idx="122">
                  <c:v>1544</c:v>
                </c:pt>
                <c:pt idx="123">
                  <c:v>1569</c:v>
                </c:pt>
                <c:pt idx="124">
                  <c:v>1586</c:v>
                </c:pt>
                <c:pt idx="125" formatCode="General">
                  <c:v>1701</c:v>
                </c:pt>
                <c:pt idx="126">
                  <c:v>1777</c:v>
                </c:pt>
                <c:pt idx="127" formatCode="General">
                  <c:v>1780</c:v>
                </c:pt>
                <c:pt idx="128">
                  <c:v>1964</c:v>
                </c:pt>
                <c:pt idx="129">
                  <c:v>1981</c:v>
                </c:pt>
                <c:pt idx="130" formatCode="General">
                  <c:v>2070</c:v>
                </c:pt>
                <c:pt idx="131">
                  <c:v>2133</c:v>
                </c:pt>
                <c:pt idx="132" formatCode="General">
                  <c:v>2182</c:v>
                </c:pt>
                <c:pt idx="133">
                  <c:v>2340</c:v>
                </c:pt>
                <c:pt idx="134" formatCode="General">
                  <c:v>2393</c:v>
                </c:pt>
                <c:pt idx="135">
                  <c:v>2584</c:v>
                </c:pt>
                <c:pt idx="136">
                  <c:v>2589</c:v>
                </c:pt>
                <c:pt idx="137" formatCode="General">
                  <c:v>2602</c:v>
                </c:pt>
              </c:numCache>
            </c:numRef>
          </c:yVal>
          <c:smooth val="0"/>
          <c:extLst>
            <c:ext xmlns:c16="http://schemas.microsoft.com/office/drawing/2014/chart" uri="{C3380CC4-5D6E-409C-BE32-E72D297353CC}">
              <c16:uniqueId val="{00000001-1305-423F-80EA-D76472CBCCD1}"/>
            </c:ext>
          </c:extLst>
        </c:ser>
        <c:dLbls>
          <c:showLegendKey val="0"/>
          <c:showVal val="0"/>
          <c:showCatName val="0"/>
          <c:showSerName val="0"/>
          <c:showPercent val="0"/>
          <c:showBubbleSize val="0"/>
        </c:dLbls>
        <c:axId val="404926448"/>
        <c:axId val="404928944"/>
      </c:scatterChart>
      <c:valAx>
        <c:axId val="404926448"/>
        <c:scaling>
          <c:orientation val="minMax"/>
          <c:max val="14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404928944"/>
        <c:crosses val="autoZero"/>
        <c:crossBetween val="midCat"/>
        <c:majorUnit val="20"/>
      </c:valAx>
      <c:valAx>
        <c:axId val="404928944"/>
        <c:scaling>
          <c:logBase val="2"/>
          <c:orientation val="minMax"/>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404926448"/>
        <c:crosses val="autoZero"/>
        <c:crossBetween val="midCat"/>
      </c:valAx>
      <c:spPr>
        <a:noFill/>
        <a:ln>
          <a:noFill/>
        </a:ln>
        <a:effectLst/>
      </c:spPr>
    </c:plotArea>
    <c:legend>
      <c:legendPos val="r"/>
      <c:layout>
        <c:manualLayout>
          <c:xMode val="edge"/>
          <c:yMode val="edge"/>
          <c:x val="0.30352318460192473"/>
          <c:y val="6.3575386410032075E-2"/>
          <c:w val="0.48258792650918636"/>
          <c:h val="0.2801418051910178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99168853893262"/>
          <c:y val="9.0250635768974477E-2"/>
          <c:w val="0.79211242344706911"/>
          <c:h val="0.74667450895063003"/>
        </c:manualLayout>
      </c:layout>
      <c:scatterChart>
        <c:scatterStyle val="lineMarker"/>
        <c:varyColors val="0"/>
        <c:ser>
          <c:idx val="2"/>
          <c:order val="0"/>
          <c:tx>
            <c:strRef>
              <c:f>tallies!$AF$274</c:f>
              <c:strCache>
                <c:ptCount val="1"/>
                <c:pt idx="0">
                  <c:v>CA_Orang_2020g</c:v>
                </c:pt>
              </c:strCache>
            </c:strRef>
          </c:tx>
          <c:spPr>
            <a:ln w="25400" cap="rnd">
              <a:noFill/>
              <a:round/>
            </a:ln>
            <a:effectLst/>
          </c:spPr>
          <c:marker>
            <c:symbol val="square"/>
            <c:size val="5"/>
            <c:spPr>
              <a:solidFill>
                <a:schemeClr val="tx1"/>
              </a:solidFill>
              <a:ln w="9525">
                <a:noFill/>
              </a:ln>
              <a:effectLst/>
            </c:spPr>
          </c:marker>
          <c:xVal>
            <c:numRef>
              <c:f>tallies!$W$274:$W$293</c:f>
              <c:numCache>
                <c:formatCode>General</c:formatCode>
                <c:ptCount val="20"/>
                <c:pt idx="0">
                  <c:v>72</c:v>
                </c:pt>
                <c:pt idx="1">
                  <c:v>73</c:v>
                </c:pt>
                <c:pt idx="2">
                  <c:v>74</c:v>
                </c:pt>
                <c:pt idx="3">
                  <c:v>75</c:v>
                </c:pt>
                <c:pt idx="4">
                  <c:v>76</c:v>
                </c:pt>
                <c:pt idx="5">
                  <c:v>77</c:v>
                </c:pt>
                <c:pt idx="6">
                  <c:v>78</c:v>
                </c:pt>
                <c:pt idx="7">
                  <c:v>79</c:v>
                </c:pt>
                <c:pt idx="8">
                  <c:v>80</c:v>
                </c:pt>
                <c:pt idx="9">
                  <c:v>81</c:v>
                </c:pt>
                <c:pt idx="10">
                  <c:v>82</c:v>
                </c:pt>
                <c:pt idx="11">
                  <c:v>83</c:v>
                </c:pt>
                <c:pt idx="12">
                  <c:v>84</c:v>
                </c:pt>
                <c:pt idx="13">
                  <c:v>85</c:v>
                </c:pt>
                <c:pt idx="14">
                  <c:v>86</c:v>
                </c:pt>
                <c:pt idx="15">
                  <c:v>87</c:v>
                </c:pt>
                <c:pt idx="16">
                  <c:v>88</c:v>
                </c:pt>
                <c:pt idx="17">
                  <c:v>89</c:v>
                </c:pt>
                <c:pt idx="18">
                  <c:v>90</c:v>
                </c:pt>
                <c:pt idx="19">
                  <c:v>91</c:v>
                </c:pt>
              </c:numCache>
            </c:numRef>
          </c:xVal>
          <c:yVal>
            <c:numRef>
              <c:f>tallies!$AM$274:$AM$293</c:f>
              <c:numCache>
                <c:formatCode>0.0000%</c:formatCode>
                <c:ptCount val="20"/>
                <c:pt idx="0">
                  <c:v>1.6908384360229411E-3</c:v>
                </c:pt>
                <c:pt idx="1">
                  <c:v>1.7516180968207065E-3</c:v>
                </c:pt>
                <c:pt idx="2">
                  <c:v>1.8505466936511118E-3</c:v>
                </c:pt>
                <c:pt idx="3">
                  <c:v>1.8783501555054087E-3</c:v>
                </c:pt>
                <c:pt idx="4">
                  <c:v>2.0160742805046005E-3</c:v>
                </c:pt>
                <c:pt idx="5">
                  <c:v>2.0180140569130397E-3</c:v>
                </c:pt>
                <c:pt idx="6">
                  <c:v>2.0425845580866043E-3</c:v>
                </c:pt>
                <c:pt idx="7">
                  <c:v>2.0438777423588974E-3</c:v>
                </c:pt>
                <c:pt idx="8">
                  <c:v>2.0710346120770477E-3</c:v>
                </c:pt>
                <c:pt idx="9">
                  <c:v>2.1893609729918464E-3</c:v>
                </c:pt>
                <c:pt idx="10">
                  <c:v>2.2229837640714615E-3</c:v>
                </c:pt>
                <c:pt idx="11">
                  <c:v>2.4512307881311549E-3</c:v>
                </c:pt>
                <c:pt idx="12">
                  <c:v>2.5055445275674556E-3</c:v>
                </c:pt>
                <c:pt idx="13">
                  <c:v>2.5113638567927738E-3</c:v>
                </c:pt>
                <c:pt idx="14">
                  <c:v>2.5281752523325812E-3</c:v>
                </c:pt>
                <c:pt idx="15">
                  <c:v>2.5320548051494599E-3</c:v>
                </c:pt>
                <c:pt idx="16">
                  <c:v>2.6814175885992875E-3</c:v>
                </c:pt>
                <c:pt idx="17">
                  <c:v>2.73185177521871E-3</c:v>
                </c:pt>
                <c:pt idx="18">
                  <c:v>2.7932780281526215E-3</c:v>
                </c:pt>
                <c:pt idx="19">
                  <c:v>2.9219498632457631E-3</c:v>
                </c:pt>
              </c:numCache>
            </c:numRef>
          </c:yVal>
          <c:smooth val="0"/>
          <c:extLst>
            <c:ext xmlns:c16="http://schemas.microsoft.com/office/drawing/2014/chart" uri="{C3380CC4-5D6E-409C-BE32-E72D297353CC}">
              <c16:uniqueId val="{00000000-4BDE-4F55-A20C-A8062D567831}"/>
            </c:ext>
          </c:extLst>
        </c:ser>
        <c:ser>
          <c:idx val="0"/>
          <c:order val="1"/>
          <c:tx>
            <c:strRef>
              <c:f>tallies!#REF!</c:f>
              <c:strCache>
                <c:ptCount val="1"/>
                <c:pt idx="0">
                  <c:v>#REF!</c:v>
                </c:pt>
              </c:strCache>
            </c:strRef>
          </c:tx>
          <c:spPr>
            <a:ln w="19050" cap="rnd">
              <a:noFill/>
              <a:round/>
            </a:ln>
            <a:effectLst/>
          </c:spPr>
          <c:marker>
            <c:symbol val="circle"/>
            <c:size val="4"/>
            <c:spPr>
              <a:noFill/>
              <a:ln w="9525">
                <a:solidFill>
                  <a:schemeClr val="accent1"/>
                </a:solidFill>
              </a:ln>
              <a:effectLst/>
            </c:spPr>
          </c:marker>
          <c:xVal>
            <c:numRef>
              <c:f>tallies!$W$2:$W$135</c:f>
              <c:numCache>
                <c:formatCode>General</c:formatCode>
                <c:ptCount val="1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numCache>
            </c:numRef>
          </c:xVal>
          <c:yVal>
            <c:numRef>
              <c:f>tallies!$AM$2:$AM$135</c:f>
              <c:numCache>
                <c:formatCode>0.0000%</c:formatCode>
                <c:ptCount val="134"/>
                <c:pt idx="0">
                  <c:v>4.7856896394126422E-7</c:v>
                </c:pt>
                <c:pt idx="1">
                  <c:v>3.8285517115301138E-6</c:v>
                </c:pt>
                <c:pt idx="2">
                  <c:v>4.3071206754713784E-6</c:v>
                </c:pt>
                <c:pt idx="3">
                  <c:v>1.5314206846120455E-5</c:v>
                </c:pt>
                <c:pt idx="4">
                  <c:v>3.6371241259536086E-5</c:v>
                </c:pt>
                <c:pt idx="5">
                  <c:v>4.9771172249891483E-5</c:v>
                </c:pt>
                <c:pt idx="6">
                  <c:v>5.5513999817186659E-5</c:v>
                </c:pt>
                <c:pt idx="7">
                  <c:v>5.7906844636892977E-5</c:v>
                </c:pt>
                <c:pt idx="8">
                  <c:v>7.0349637699365847E-5</c:v>
                </c:pt>
                <c:pt idx="9">
                  <c:v>8.0878154906073666E-5</c:v>
                </c:pt>
                <c:pt idx="10">
                  <c:v>8.5663844545486303E-5</c:v>
                </c:pt>
                <c:pt idx="11">
                  <c:v>9.4278085896429056E-5</c:v>
                </c:pt>
                <c:pt idx="12">
                  <c:v>1.2012080994925733E-4</c:v>
                </c:pt>
                <c:pt idx="13">
                  <c:v>1.3878499954296663E-4</c:v>
                </c:pt>
                <c:pt idx="14">
                  <c:v>1.8329191318950422E-4</c:v>
                </c:pt>
                <c:pt idx="15">
                  <c:v>1.9286329246832949E-4</c:v>
                </c:pt>
                <c:pt idx="16">
                  <c:v>1.9764898210774214E-4</c:v>
                </c:pt>
                <c:pt idx="17">
                  <c:v>2.2062029237692284E-4</c:v>
                </c:pt>
                <c:pt idx="18">
                  <c:v>2.3354165440333697E-4</c:v>
                </c:pt>
                <c:pt idx="19">
                  <c:v>2.3784877507880835E-4</c:v>
                </c:pt>
                <c:pt idx="20">
                  <c:v>2.7517715426622695E-4</c:v>
                </c:pt>
                <c:pt idx="21">
                  <c:v>2.8139855079746339E-4</c:v>
                </c:pt>
                <c:pt idx="22">
                  <c:v>2.8235568872534594E-4</c:v>
                </c:pt>
                <c:pt idx="23">
                  <c:v>2.9671275764358386E-4</c:v>
                </c:pt>
                <c:pt idx="24">
                  <c:v>3.0245558521087903E-4</c:v>
                </c:pt>
                <c:pt idx="25">
                  <c:v>3.7663377462177501E-4</c:v>
                </c:pt>
                <c:pt idx="26">
                  <c:v>3.9960508489095568E-4</c:v>
                </c:pt>
                <c:pt idx="27">
                  <c:v>4.512905329966122E-4</c:v>
                </c:pt>
                <c:pt idx="28">
                  <c:v>5.225973086238606E-4</c:v>
                </c:pt>
                <c:pt idx="29">
                  <c:v>5.312115499748033E-4</c:v>
                </c:pt>
                <c:pt idx="30">
                  <c:v>5.5322572231610153E-4</c:v>
                </c:pt>
                <c:pt idx="31">
                  <c:v>5.6901849812616328E-4</c:v>
                </c:pt>
                <c:pt idx="32">
                  <c:v>5.8050415326075361E-4</c:v>
                </c:pt>
                <c:pt idx="33">
                  <c:v>6.4032527375341161E-4</c:v>
                </c:pt>
                <c:pt idx="34">
                  <c:v>7.2216056658736775E-4</c:v>
                </c:pt>
                <c:pt idx="35">
                  <c:v>8.150029455919731E-4</c:v>
                </c:pt>
                <c:pt idx="36">
                  <c:v>8.8248116950769137E-4</c:v>
                </c:pt>
                <c:pt idx="37">
                  <c:v>8.9683823842592924E-4</c:v>
                </c:pt>
                <c:pt idx="38">
                  <c:v>9.9255203121418212E-4</c:v>
                </c:pt>
                <c:pt idx="39">
                  <c:v>1.0404089276083086E-3</c:v>
                </c:pt>
                <c:pt idx="40">
                  <c:v>1.0495017379231926E-3</c:v>
                </c:pt>
                <c:pt idx="41">
                  <c:v>1.066730220625078E-3</c:v>
                </c:pt>
                <c:pt idx="42">
                  <c:v>1.1456940996753867E-3</c:v>
                </c:pt>
                <c:pt idx="43">
                  <c:v>1.1686654099445674E-3</c:v>
                </c:pt>
                <c:pt idx="44">
                  <c:v>1.1835010478267465E-3</c:v>
                </c:pt>
                <c:pt idx="45">
                  <c:v>1.2289650994011666E-3</c:v>
                </c:pt>
                <c:pt idx="46">
                  <c:v>1.2543292544900536E-3</c:v>
                </c:pt>
                <c:pt idx="47">
                  <c:v>1.3854571506099601E-3</c:v>
                </c:pt>
                <c:pt idx="48">
                  <c:v>1.4644210296602686E-3</c:v>
                </c:pt>
                <c:pt idx="49">
                  <c:v>1.46872815033574E-3</c:v>
                </c:pt>
                <c:pt idx="50">
                  <c:v>1.6663771324434821E-3</c:v>
                </c:pt>
                <c:pt idx="51">
                  <c:v>1.6749913737944249E-3</c:v>
                </c:pt>
                <c:pt idx="52">
                  <c:v>1.745819580457732E-3</c:v>
                </c:pt>
                <c:pt idx="53">
                  <c:v>1.8936973903155828E-3</c:v>
                </c:pt>
                <c:pt idx="54">
                  <c:v>2.0755535966132631E-3</c:v>
                </c:pt>
                <c:pt idx="55">
                  <c:v>2.2009386651658746E-3</c:v>
                </c:pt>
                <c:pt idx="56">
                  <c:v>2.2373099064254107E-3</c:v>
                </c:pt>
                <c:pt idx="57">
                  <c:v>2.2746382856128292E-3</c:v>
                </c:pt>
                <c:pt idx="58">
                  <c:v>2.3550378715549614E-3</c:v>
                </c:pt>
                <c:pt idx="59">
                  <c:v>2.5388083537084068E-3</c:v>
                </c:pt>
                <c:pt idx="60">
                  <c:v>2.6862075946023165E-3</c:v>
                </c:pt>
                <c:pt idx="61">
                  <c:v>2.7010432324844954E-3</c:v>
                </c:pt>
                <c:pt idx="62">
                  <c:v>2.7666071805444487E-3</c:v>
                </c:pt>
                <c:pt idx="63">
                  <c:v>2.8216426113976943E-3</c:v>
                </c:pt>
                <c:pt idx="64">
                  <c:v>2.8714137836475858E-3</c:v>
                </c:pt>
                <c:pt idx="65">
                  <c:v>2.8723709215754682E-3</c:v>
                </c:pt>
                <c:pt idx="66">
                  <c:v>3.1231410586806908E-3</c:v>
                </c:pt>
                <c:pt idx="67">
                  <c:v>3.4193752473603333E-3</c:v>
                </c:pt>
                <c:pt idx="68">
                  <c:v>3.6572240224391414E-3</c:v>
                </c:pt>
                <c:pt idx="69">
                  <c:v>3.6624882810424955E-3</c:v>
                </c:pt>
                <c:pt idx="70">
                  <c:v>3.7285307980663897E-3</c:v>
                </c:pt>
                <c:pt idx="71">
                  <c:v>3.8252017287825255E-3</c:v>
                </c:pt>
                <c:pt idx="72">
                  <c:v>4.5406623298747152E-3</c:v>
                </c:pt>
                <c:pt idx="73">
                  <c:v>4.5516694160453643E-3</c:v>
                </c:pt>
                <c:pt idx="74">
                  <c:v>4.655040312256678E-3</c:v>
                </c:pt>
                <c:pt idx="75">
                  <c:v>5.0694810350298122E-3</c:v>
                </c:pt>
                <c:pt idx="76">
                  <c:v>5.3183368962792694E-3</c:v>
                </c:pt>
                <c:pt idx="77">
                  <c:v>5.3709794823128092E-3</c:v>
                </c:pt>
                <c:pt idx="78">
                  <c:v>5.6987992226125751E-3</c:v>
                </c:pt>
                <c:pt idx="79">
                  <c:v>5.7782416706268248E-3</c:v>
                </c:pt>
                <c:pt idx="80">
                  <c:v>5.7801559464825897E-3</c:v>
                </c:pt>
                <c:pt idx="81">
                  <c:v>5.9864191699412752E-3</c:v>
                </c:pt>
                <c:pt idx="82">
                  <c:v>5.9868977389052162E-3</c:v>
                </c:pt>
                <c:pt idx="83">
                  <c:v>6.0012548078234541E-3</c:v>
                </c:pt>
                <c:pt idx="84">
                  <c:v>6.2319250484431437E-3</c:v>
                </c:pt>
                <c:pt idx="85">
                  <c:v>7.0517136836745287E-3</c:v>
                </c:pt>
                <c:pt idx="86">
                  <c:v>7.1818844418665533E-3</c:v>
                </c:pt>
                <c:pt idx="87">
                  <c:v>7.4422259582506006E-3</c:v>
                </c:pt>
                <c:pt idx="88">
                  <c:v>7.7451601124254206E-3</c:v>
                </c:pt>
                <c:pt idx="89">
                  <c:v>7.7834456295407225E-3</c:v>
                </c:pt>
                <c:pt idx="90">
                  <c:v>7.8796379912929159E-3</c:v>
                </c:pt>
                <c:pt idx="91">
                  <c:v>8.0854226457876596E-3</c:v>
                </c:pt>
                <c:pt idx="92">
                  <c:v>8.2467003866358666E-3</c:v>
                </c:pt>
                <c:pt idx="93">
                  <c:v>8.281635921003578E-3</c:v>
                </c:pt>
                <c:pt idx="94">
                  <c:v>8.3189643001909969E-3</c:v>
                </c:pt>
                <c:pt idx="95">
                  <c:v>8.6807624369305923E-3</c:v>
                </c:pt>
                <c:pt idx="96">
                  <c:v>8.8195474364735592E-3</c:v>
                </c:pt>
                <c:pt idx="97">
                  <c:v>9.4120158138328441E-3</c:v>
                </c:pt>
                <c:pt idx="98">
                  <c:v>9.5450579858085156E-3</c:v>
                </c:pt>
                <c:pt idx="99">
                  <c:v>1.0024584087677663E-2</c:v>
                </c:pt>
                <c:pt idx="100">
                  <c:v>1.0785987309308215E-2</c:v>
                </c:pt>
                <c:pt idx="101">
                  <c:v>1.0846765567728754E-2</c:v>
                </c:pt>
                <c:pt idx="102">
                  <c:v>1.1053985929115322E-2</c:v>
                </c:pt>
                <c:pt idx="103">
                  <c:v>1.1469862358780281E-2</c:v>
                </c:pt>
                <c:pt idx="104">
                  <c:v>1.2116887598028871E-2</c:v>
                </c:pt>
                <c:pt idx="105">
                  <c:v>1.2165701632350879E-2</c:v>
                </c:pt>
                <c:pt idx="106">
                  <c:v>1.2252801183788188E-2</c:v>
                </c:pt>
                <c:pt idx="107">
                  <c:v>1.2370529148917741E-2</c:v>
                </c:pt>
                <c:pt idx="108">
                  <c:v>1.3190317784149126E-2</c:v>
                </c:pt>
                <c:pt idx="109">
                  <c:v>1.3830164488938597E-2</c:v>
                </c:pt>
                <c:pt idx="110">
                  <c:v>1.3923485436907143E-2</c:v>
                </c:pt>
                <c:pt idx="111">
                  <c:v>1.4238383815180495E-2</c:v>
                </c:pt>
                <c:pt idx="112">
                  <c:v>1.5955489257801752E-2</c:v>
                </c:pt>
                <c:pt idx="113">
                  <c:v>1.6335473015171114E-2</c:v>
                </c:pt>
                <c:pt idx="114">
                  <c:v>1.6508714980117852E-2</c:v>
                </c:pt>
                <c:pt idx="115">
                  <c:v>1.698489109923941E-2</c:v>
                </c:pt>
                <c:pt idx="116">
                  <c:v>1.70183909267153E-2</c:v>
                </c:pt>
                <c:pt idx="117">
                  <c:v>1.7844400958477922E-2</c:v>
                </c:pt>
                <c:pt idx="118">
                  <c:v>1.8094213957655262E-2</c:v>
                </c:pt>
                <c:pt idx="119">
                  <c:v>1.8464626335745801E-2</c:v>
                </c:pt>
                <c:pt idx="120">
                  <c:v>1.85249260252024E-2</c:v>
                </c:pt>
                <c:pt idx="121">
                  <c:v>1.8815895955278689E-2</c:v>
                </c:pt>
                <c:pt idx="122">
                  <c:v>1.9114044419814093E-2</c:v>
                </c:pt>
                <c:pt idx="123">
                  <c:v>1.9557199280423706E-2</c:v>
                </c:pt>
                <c:pt idx="124">
                  <c:v>1.9905118917209006E-2</c:v>
                </c:pt>
                <c:pt idx="125">
                  <c:v>1.9972118572160781E-2</c:v>
                </c:pt>
                <c:pt idx="126">
                  <c:v>2.1587767394426489E-2</c:v>
                </c:pt>
                <c:pt idx="127">
                  <c:v>2.1818916204010122E-2</c:v>
                </c:pt>
                <c:pt idx="128">
                  <c:v>2.7594765029817239E-2</c:v>
                </c:pt>
                <c:pt idx="129">
                  <c:v>2.9201799610732004E-2</c:v>
                </c:pt>
                <c:pt idx="130">
                  <c:v>3.017329460753277E-2</c:v>
                </c:pt>
                <c:pt idx="131">
                  <c:v>3.0650906433546152E-2</c:v>
                </c:pt>
                <c:pt idx="132">
                  <c:v>3.5131269073964272E-2</c:v>
                </c:pt>
                <c:pt idx="133">
                  <c:v>3.6188427915310524E-2</c:v>
                </c:pt>
              </c:numCache>
            </c:numRef>
          </c:yVal>
          <c:smooth val="0"/>
          <c:extLst>
            <c:ext xmlns:c16="http://schemas.microsoft.com/office/drawing/2014/chart" uri="{C3380CC4-5D6E-409C-BE32-E72D297353CC}">
              <c16:uniqueId val="{00000001-4BDE-4F55-A20C-A8062D567831}"/>
            </c:ext>
          </c:extLst>
        </c:ser>
        <c:ser>
          <c:idx val="1"/>
          <c:order val="2"/>
          <c:tx>
            <c:strRef>
              <c:f>tallies!$AF$136</c:f>
              <c:strCache>
                <c:ptCount val="1"/>
                <c:pt idx="0">
                  <c:v>AZ_Maric_2020g</c:v>
                </c:pt>
              </c:strCache>
            </c:strRef>
          </c:tx>
          <c:spPr>
            <a:ln w="25400" cap="rnd">
              <a:noFill/>
              <a:round/>
            </a:ln>
            <a:effectLst/>
          </c:spPr>
          <c:marker>
            <c:symbol val="circle"/>
            <c:size val="2"/>
            <c:spPr>
              <a:solidFill>
                <a:schemeClr val="accent2">
                  <a:lumMod val="50000"/>
                </a:schemeClr>
              </a:solidFill>
              <a:ln w="9525">
                <a:solidFill>
                  <a:schemeClr val="accent2"/>
                </a:solidFill>
              </a:ln>
              <a:effectLst/>
            </c:spPr>
          </c:marker>
          <c:xVal>
            <c:numRef>
              <c:f>tallies!$W$136:$W$273</c:f>
              <c:numCache>
                <c:formatCode>General</c:formatCode>
                <c:ptCount val="138"/>
                <c:pt idx="0">
                  <c:v>135</c:v>
                </c:pt>
                <c:pt idx="1">
                  <c:v>136</c:v>
                </c:pt>
                <c:pt idx="2">
                  <c:v>137</c:v>
                </c:pt>
                <c:pt idx="3">
                  <c:v>138</c:v>
                </c:pt>
                <c:pt idx="4">
                  <c:v>139</c:v>
                </c:pt>
                <c:pt idx="5">
                  <c:v>140</c:v>
                </c:pt>
                <c:pt idx="6">
                  <c:v>141</c:v>
                </c:pt>
                <c:pt idx="7">
                  <c:v>142</c:v>
                </c:pt>
                <c:pt idx="8">
                  <c:v>143</c:v>
                </c:pt>
                <c:pt idx="9">
                  <c:v>144</c:v>
                </c:pt>
                <c:pt idx="10">
                  <c:v>145</c:v>
                </c:pt>
                <c:pt idx="11">
                  <c:v>146</c:v>
                </c:pt>
                <c:pt idx="12">
                  <c:v>147</c:v>
                </c:pt>
                <c:pt idx="13">
                  <c:v>148</c:v>
                </c:pt>
                <c:pt idx="14">
                  <c:v>149</c:v>
                </c:pt>
                <c:pt idx="15">
                  <c:v>150</c:v>
                </c:pt>
                <c:pt idx="16">
                  <c:v>151</c:v>
                </c:pt>
                <c:pt idx="17">
                  <c:v>152</c:v>
                </c:pt>
                <c:pt idx="18">
                  <c:v>153</c:v>
                </c:pt>
                <c:pt idx="19">
                  <c:v>154</c:v>
                </c:pt>
                <c:pt idx="20">
                  <c:v>155</c:v>
                </c:pt>
                <c:pt idx="21">
                  <c:v>156</c:v>
                </c:pt>
                <c:pt idx="22">
                  <c:v>157</c:v>
                </c:pt>
                <c:pt idx="23">
                  <c:v>158</c:v>
                </c:pt>
                <c:pt idx="24">
                  <c:v>159</c:v>
                </c:pt>
                <c:pt idx="25">
                  <c:v>160</c:v>
                </c:pt>
                <c:pt idx="26">
                  <c:v>161</c:v>
                </c:pt>
                <c:pt idx="27">
                  <c:v>162</c:v>
                </c:pt>
                <c:pt idx="28">
                  <c:v>163</c:v>
                </c:pt>
                <c:pt idx="29">
                  <c:v>164</c:v>
                </c:pt>
                <c:pt idx="30">
                  <c:v>165</c:v>
                </c:pt>
                <c:pt idx="31">
                  <c:v>166</c:v>
                </c:pt>
                <c:pt idx="32">
                  <c:v>167</c:v>
                </c:pt>
                <c:pt idx="33">
                  <c:v>168</c:v>
                </c:pt>
                <c:pt idx="34">
                  <c:v>169</c:v>
                </c:pt>
                <c:pt idx="35">
                  <c:v>170</c:v>
                </c:pt>
                <c:pt idx="36">
                  <c:v>171</c:v>
                </c:pt>
                <c:pt idx="37">
                  <c:v>172</c:v>
                </c:pt>
                <c:pt idx="38">
                  <c:v>173</c:v>
                </c:pt>
                <c:pt idx="39">
                  <c:v>174</c:v>
                </c:pt>
                <c:pt idx="40">
                  <c:v>175</c:v>
                </c:pt>
                <c:pt idx="41">
                  <c:v>176</c:v>
                </c:pt>
                <c:pt idx="42">
                  <c:v>177</c:v>
                </c:pt>
                <c:pt idx="43">
                  <c:v>178</c:v>
                </c:pt>
                <c:pt idx="44">
                  <c:v>179</c:v>
                </c:pt>
                <c:pt idx="45">
                  <c:v>180</c:v>
                </c:pt>
                <c:pt idx="46">
                  <c:v>181</c:v>
                </c:pt>
                <c:pt idx="47">
                  <c:v>182</c:v>
                </c:pt>
                <c:pt idx="48">
                  <c:v>183</c:v>
                </c:pt>
                <c:pt idx="49">
                  <c:v>184</c:v>
                </c:pt>
                <c:pt idx="50">
                  <c:v>185</c:v>
                </c:pt>
                <c:pt idx="51">
                  <c:v>186</c:v>
                </c:pt>
                <c:pt idx="52">
                  <c:v>187</c:v>
                </c:pt>
                <c:pt idx="53">
                  <c:v>188</c:v>
                </c:pt>
                <c:pt idx="54">
                  <c:v>189</c:v>
                </c:pt>
                <c:pt idx="55">
                  <c:v>190</c:v>
                </c:pt>
                <c:pt idx="56">
                  <c:v>191</c:v>
                </c:pt>
                <c:pt idx="57">
                  <c:v>192</c:v>
                </c:pt>
                <c:pt idx="58">
                  <c:v>193</c:v>
                </c:pt>
                <c:pt idx="59">
                  <c:v>194</c:v>
                </c:pt>
                <c:pt idx="60">
                  <c:v>195</c:v>
                </c:pt>
                <c:pt idx="61">
                  <c:v>196</c:v>
                </c:pt>
                <c:pt idx="62">
                  <c:v>197</c:v>
                </c:pt>
                <c:pt idx="63">
                  <c:v>198</c:v>
                </c:pt>
                <c:pt idx="64">
                  <c:v>199</c:v>
                </c:pt>
                <c:pt idx="65">
                  <c:v>200</c:v>
                </c:pt>
                <c:pt idx="66">
                  <c:v>201</c:v>
                </c:pt>
                <c:pt idx="67">
                  <c:v>1</c:v>
                </c:pt>
                <c:pt idx="68">
                  <c:v>2</c:v>
                </c:pt>
                <c:pt idx="69">
                  <c:v>3</c:v>
                </c:pt>
                <c:pt idx="70">
                  <c:v>4</c:v>
                </c:pt>
                <c:pt idx="71">
                  <c:v>5</c:v>
                </c:pt>
                <c:pt idx="72">
                  <c:v>6</c:v>
                </c:pt>
                <c:pt idx="73">
                  <c:v>7</c:v>
                </c:pt>
                <c:pt idx="74">
                  <c:v>8</c:v>
                </c:pt>
                <c:pt idx="75">
                  <c:v>9</c:v>
                </c:pt>
                <c:pt idx="76">
                  <c:v>10</c:v>
                </c:pt>
                <c:pt idx="77">
                  <c:v>11</c:v>
                </c:pt>
                <c:pt idx="78">
                  <c:v>12</c:v>
                </c:pt>
                <c:pt idx="79">
                  <c:v>13</c:v>
                </c:pt>
                <c:pt idx="80">
                  <c:v>14</c:v>
                </c:pt>
                <c:pt idx="81">
                  <c:v>15</c:v>
                </c:pt>
                <c:pt idx="82">
                  <c:v>16</c:v>
                </c:pt>
                <c:pt idx="83">
                  <c:v>17</c:v>
                </c:pt>
                <c:pt idx="84">
                  <c:v>18</c:v>
                </c:pt>
                <c:pt idx="85">
                  <c:v>19</c:v>
                </c:pt>
                <c:pt idx="86">
                  <c:v>20</c:v>
                </c:pt>
                <c:pt idx="87">
                  <c:v>21</c:v>
                </c:pt>
                <c:pt idx="88">
                  <c:v>22</c:v>
                </c:pt>
                <c:pt idx="89">
                  <c:v>23</c:v>
                </c:pt>
                <c:pt idx="90">
                  <c:v>24</c:v>
                </c:pt>
                <c:pt idx="91">
                  <c:v>25</c:v>
                </c:pt>
                <c:pt idx="92">
                  <c:v>26</c:v>
                </c:pt>
                <c:pt idx="93">
                  <c:v>27</c:v>
                </c:pt>
                <c:pt idx="94">
                  <c:v>28</c:v>
                </c:pt>
                <c:pt idx="95">
                  <c:v>29</c:v>
                </c:pt>
                <c:pt idx="96">
                  <c:v>30</c:v>
                </c:pt>
                <c:pt idx="97">
                  <c:v>31</c:v>
                </c:pt>
                <c:pt idx="98">
                  <c:v>32</c:v>
                </c:pt>
                <c:pt idx="99">
                  <c:v>33</c:v>
                </c:pt>
                <c:pt idx="100">
                  <c:v>34</c:v>
                </c:pt>
                <c:pt idx="101">
                  <c:v>35</c:v>
                </c:pt>
                <c:pt idx="102">
                  <c:v>36</c:v>
                </c:pt>
                <c:pt idx="103">
                  <c:v>37</c:v>
                </c:pt>
                <c:pt idx="104">
                  <c:v>38</c:v>
                </c:pt>
                <c:pt idx="105">
                  <c:v>39</c:v>
                </c:pt>
                <c:pt idx="106">
                  <c:v>40</c:v>
                </c:pt>
                <c:pt idx="107">
                  <c:v>41</c:v>
                </c:pt>
                <c:pt idx="108">
                  <c:v>42</c:v>
                </c:pt>
                <c:pt idx="109">
                  <c:v>43</c:v>
                </c:pt>
                <c:pt idx="110">
                  <c:v>44</c:v>
                </c:pt>
                <c:pt idx="111">
                  <c:v>45</c:v>
                </c:pt>
                <c:pt idx="112">
                  <c:v>46</c:v>
                </c:pt>
                <c:pt idx="113">
                  <c:v>47</c:v>
                </c:pt>
                <c:pt idx="114">
                  <c:v>48</c:v>
                </c:pt>
                <c:pt idx="115">
                  <c:v>49</c:v>
                </c:pt>
                <c:pt idx="116">
                  <c:v>50</c:v>
                </c:pt>
                <c:pt idx="117">
                  <c:v>51</c:v>
                </c:pt>
                <c:pt idx="118">
                  <c:v>52</c:v>
                </c:pt>
                <c:pt idx="119">
                  <c:v>53</c:v>
                </c:pt>
                <c:pt idx="120">
                  <c:v>54</c:v>
                </c:pt>
                <c:pt idx="121">
                  <c:v>55</c:v>
                </c:pt>
                <c:pt idx="122">
                  <c:v>56</c:v>
                </c:pt>
                <c:pt idx="123">
                  <c:v>57</c:v>
                </c:pt>
                <c:pt idx="124">
                  <c:v>58</c:v>
                </c:pt>
                <c:pt idx="125">
                  <c:v>59</c:v>
                </c:pt>
                <c:pt idx="126">
                  <c:v>60</c:v>
                </c:pt>
                <c:pt idx="127">
                  <c:v>61</c:v>
                </c:pt>
                <c:pt idx="128">
                  <c:v>62</c:v>
                </c:pt>
                <c:pt idx="129">
                  <c:v>63</c:v>
                </c:pt>
                <c:pt idx="130">
                  <c:v>64</c:v>
                </c:pt>
                <c:pt idx="131">
                  <c:v>65</c:v>
                </c:pt>
                <c:pt idx="132">
                  <c:v>66</c:v>
                </c:pt>
                <c:pt idx="133">
                  <c:v>67</c:v>
                </c:pt>
                <c:pt idx="134">
                  <c:v>68</c:v>
                </c:pt>
                <c:pt idx="135">
                  <c:v>69</c:v>
                </c:pt>
                <c:pt idx="136">
                  <c:v>70</c:v>
                </c:pt>
                <c:pt idx="137">
                  <c:v>71</c:v>
                </c:pt>
              </c:numCache>
            </c:numRef>
          </c:xVal>
          <c:yVal>
            <c:numRef>
              <c:f>tallies!$AM$136:$AM$273</c:f>
              <c:numCache>
                <c:formatCode>0.0000%</c:formatCode>
                <c:ptCount val="138"/>
                <c:pt idx="0">
                  <c:v>3.7694963013797621E-2</c:v>
                </c:pt>
                <c:pt idx="1">
                  <c:v>3.7923240409597603E-2</c:v>
                </c:pt>
                <c:pt idx="2">
                  <c:v>3.8377880925341806E-2</c:v>
                </c:pt>
                <c:pt idx="3">
                  <c:v>3.8676507958841158E-2</c:v>
                </c:pt>
                <c:pt idx="4">
                  <c:v>3.9201498112284724E-2</c:v>
                </c:pt>
                <c:pt idx="5">
                  <c:v>4.0406534763488829E-2</c:v>
                </c:pt>
                <c:pt idx="6">
                  <c:v>4.124785900209757E-2</c:v>
                </c:pt>
                <c:pt idx="7">
                  <c:v>4.1691013862707176E-2</c:v>
                </c:pt>
                <c:pt idx="8">
                  <c:v>4.1955183930802754E-2</c:v>
                </c:pt>
                <c:pt idx="9">
                  <c:v>4.2658680307796418E-2</c:v>
                </c:pt>
                <c:pt idx="10">
                  <c:v>4.3026699841067245E-2</c:v>
                </c:pt>
                <c:pt idx="11">
                  <c:v>5.5143587439096114E-2</c:v>
                </c:pt>
                <c:pt idx="12">
                  <c:v>6.4362261391496686E-2</c:v>
                </c:pt>
                <c:pt idx="13">
                  <c:v>9.4654719671050838E-2</c:v>
                </c:pt>
                <c:pt idx="14">
                  <c:v>0.10825564962626157</c:v>
                </c:pt>
                <c:pt idx="15">
                  <c:v>0.12198005037416915</c:v>
                </c:pt>
                <c:pt idx="16">
                  <c:v>0.15077985205519048</c:v>
                </c:pt>
                <c:pt idx="17">
                  <c:v>0.1568677278454873</c:v>
                </c:pt>
                <c:pt idx="18">
                  <c:v>0.18398631675618299</c:v>
                </c:pt>
                <c:pt idx="19">
                  <c:v>0.18419975851410081</c:v>
                </c:pt>
                <c:pt idx="20">
                  <c:v>0.18735783510714921</c:v>
                </c:pt>
                <c:pt idx="21">
                  <c:v>0.19697898555822438</c:v>
                </c:pt>
                <c:pt idx="22">
                  <c:v>0.2007520232699373</c:v>
                </c:pt>
                <c:pt idx="23">
                  <c:v>0.20561811249529208</c:v>
                </c:pt>
                <c:pt idx="24">
                  <c:v>0.20633405166534821</c:v>
                </c:pt>
                <c:pt idx="25">
                  <c:v>0.21460133051743355</c:v>
                </c:pt>
                <c:pt idx="26">
                  <c:v>0.23154937180644949</c:v>
                </c:pt>
                <c:pt idx="27">
                  <c:v>0.24111835824045505</c:v>
                </c:pt>
                <c:pt idx="28">
                  <c:v>0.24430993466097936</c:v>
                </c:pt>
                <c:pt idx="29">
                  <c:v>0.26039080898733369</c:v>
                </c:pt>
                <c:pt idx="30">
                  <c:v>0.26109382679536342</c:v>
                </c:pt>
                <c:pt idx="31">
                  <c:v>0.26347135740822364</c:v>
                </c:pt>
                <c:pt idx="32">
                  <c:v>0.26518846285084491</c:v>
                </c:pt>
                <c:pt idx="33">
                  <c:v>0.26827092554759058</c:v>
                </c:pt>
                <c:pt idx="34">
                  <c:v>0.27498572668065047</c:v>
                </c:pt>
                <c:pt idx="35">
                  <c:v>0.27516566861109237</c:v>
                </c:pt>
                <c:pt idx="36">
                  <c:v>0.27534417483464246</c:v>
                </c:pt>
                <c:pt idx="37">
                  <c:v>0.27940961818332349</c:v>
                </c:pt>
                <c:pt idx="38">
                  <c:v>0.28710692139935479</c:v>
                </c:pt>
                <c:pt idx="39">
                  <c:v>0.28827845822308301</c:v>
                </c:pt>
                <c:pt idx="40">
                  <c:v>0.29093212312813732</c:v>
                </c:pt>
                <c:pt idx="41">
                  <c:v>0.29099720850723332</c:v>
                </c:pt>
                <c:pt idx="42">
                  <c:v>0.29517511556244058</c:v>
                </c:pt>
                <c:pt idx="43">
                  <c:v>0.29742391112400057</c:v>
                </c:pt>
                <c:pt idx="44">
                  <c:v>0.29984977720221884</c:v>
                </c:pt>
                <c:pt idx="45">
                  <c:v>0.30345866575929992</c:v>
                </c:pt>
                <c:pt idx="46">
                  <c:v>0.30386209939590242</c:v>
                </c:pt>
                <c:pt idx="47">
                  <c:v>0.30555862637307418</c:v>
                </c:pt>
                <c:pt idx="48">
                  <c:v>0.30695365490296295</c:v>
                </c:pt>
                <c:pt idx="49">
                  <c:v>0.30769017253846859</c:v>
                </c:pt>
                <c:pt idx="50">
                  <c:v>0.30988010411746381</c:v>
                </c:pt>
                <c:pt idx="51">
                  <c:v>0.31320137272721615</c:v>
                </c:pt>
                <c:pt idx="52">
                  <c:v>0.31393932606961361</c:v>
                </c:pt>
                <c:pt idx="53">
                  <c:v>0.31439109517157415</c:v>
                </c:pt>
                <c:pt idx="54">
                  <c:v>0.31577846659803988</c:v>
                </c:pt>
                <c:pt idx="55">
                  <c:v>0.31766689972975209</c:v>
                </c:pt>
                <c:pt idx="56">
                  <c:v>0.31778702053970137</c:v>
                </c:pt>
                <c:pt idx="57">
                  <c:v>0.31784540595330218</c:v>
                </c:pt>
                <c:pt idx="58">
                  <c:v>0.32007218734252091</c:v>
                </c:pt>
                <c:pt idx="59">
                  <c:v>0.32061440597866636</c:v>
                </c:pt>
                <c:pt idx="60">
                  <c:v>0.3292157259675827</c:v>
                </c:pt>
                <c:pt idx="61">
                  <c:v>0.33906898236616939</c:v>
                </c:pt>
                <c:pt idx="62">
                  <c:v>0.33992897079437184</c:v>
                </c:pt>
                <c:pt idx="63">
                  <c:v>0.34118856430746525</c:v>
                </c:pt>
                <c:pt idx="64">
                  <c:v>0.34192268909815116</c:v>
                </c:pt>
                <c:pt idx="65">
                  <c:v>0.35179125970358394</c:v>
                </c:pt>
                <c:pt idx="66">
                  <c:v>0.35279386168304089</c:v>
                </c:pt>
                <c:pt idx="67">
                  <c:v>0</c:v>
                </c:pt>
                <c:pt idx="68">
                  <c:v>1.2931842722928804E-6</c:v>
                </c:pt>
                <c:pt idx="69">
                  <c:v>1.0345474178343043E-5</c:v>
                </c:pt>
                <c:pt idx="70">
                  <c:v>1.0992066314489484E-5</c:v>
                </c:pt>
                <c:pt idx="71">
                  <c:v>1.4225026995221685E-5</c:v>
                </c:pt>
                <c:pt idx="72">
                  <c:v>1.6811395539807446E-5</c:v>
                </c:pt>
                <c:pt idx="73">
                  <c:v>2.7803461854296928E-5</c:v>
                </c:pt>
                <c:pt idx="74">
                  <c:v>4.0088712441079289E-5</c:v>
                </c:pt>
                <c:pt idx="75">
                  <c:v>7.3711503520694187E-5</c:v>
                </c:pt>
                <c:pt idx="76">
                  <c:v>9.1169491196648061E-5</c:v>
                </c:pt>
                <c:pt idx="77">
                  <c:v>1.0086837323884467E-4</c:v>
                </c:pt>
                <c:pt idx="78">
                  <c:v>1.0345474178343043E-4</c:v>
                </c:pt>
                <c:pt idx="79">
                  <c:v>1.3449116431845957E-4</c:v>
                </c:pt>
                <c:pt idx="80">
                  <c:v>1.4548323063294903E-4</c:v>
                </c:pt>
                <c:pt idx="81">
                  <c:v>2.0173674647768933E-4</c:v>
                </c:pt>
                <c:pt idx="82">
                  <c:v>2.0367652288612865E-4</c:v>
                </c:pt>
                <c:pt idx="83">
                  <c:v>2.0496970715842155E-4</c:v>
                </c:pt>
                <c:pt idx="84">
                  <c:v>2.0884925997530018E-4</c:v>
                </c:pt>
                <c:pt idx="85">
                  <c:v>2.5023115668867236E-4</c:v>
                </c:pt>
                <c:pt idx="86">
                  <c:v>2.7156869718150488E-4</c:v>
                </c:pt>
                <c:pt idx="87">
                  <c:v>2.7609484213452997E-4</c:v>
                </c:pt>
                <c:pt idx="88">
                  <c:v>2.8320735563214082E-4</c:v>
                </c:pt>
                <c:pt idx="89">
                  <c:v>3.1424377816716994E-4</c:v>
                </c:pt>
                <c:pt idx="90">
                  <c:v>3.200631073924879E-4</c:v>
                </c:pt>
                <c:pt idx="91">
                  <c:v>3.4528020070219906E-4</c:v>
                </c:pt>
                <c:pt idx="92">
                  <c:v>3.5433249060824924E-4</c:v>
                </c:pt>
                <c:pt idx="93">
                  <c:v>4.4097583685187222E-4</c:v>
                </c:pt>
                <c:pt idx="94">
                  <c:v>4.6102019307241187E-4</c:v>
                </c:pt>
                <c:pt idx="95">
                  <c:v>5.0175549764963753E-4</c:v>
                </c:pt>
                <c:pt idx="96">
                  <c:v>5.0240208978578405E-4</c:v>
                </c:pt>
                <c:pt idx="97">
                  <c:v>5.1339415610027347E-4</c:v>
                </c:pt>
                <c:pt idx="98">
                  <c:v>5.1727370891715215E-4</c:v>
                </c:pt>
                <c:pt idx="99">
                  <c:v>5.2955895950393449E-4</c:v>
                </c:pt>
                <c:pt idx="100">
                  <c:v>5.3085214377622742E-4</c:v>
                </c:pt>
                <c:pt idx="101">
                  <c:v>5.4443057863530259E-4</c:v>
                </c:pt>
                <c:pt idx="102">
                  <c:v>5.9227839671013925E-4</c:v>
                </c:pt>
                <c:pt idx="103">
                  <c:v>6.0844320011380017E-4</c:v>
                </c:pt>
                <c:pt idx="104">
                  <c:v>6.1814208215599687E-4</c:v>
                </c:pt>
                <c:pt idx="105">
                  <c:v>6.5241146537175815E-4</c:v>
                </c:pt>
                <c:pt idx="106">
                  <c:v>7.0413883626347339E-4</c:v>
                </c:pt>
                <c:pt idx="107">
                  <c:v>7.1189794189723064E-4</c:v>
                </c:pt>
                <c:pt idx="108">
                  <c:v>7.2095023180328082E-4</c:v>
                </c:pt>
                <c:pt idx="109">
                  <c:v>7.3323548239006317E-4</c:v>
                </c:pt>
                <c:pt idx="110">
                  <c:v>7.6427190492509229E-4</c:v>
                </c:pt>
                <c:pt idx="111">
                  <c:v>7.8625603755407122E-4</c:v>
                </c:pt>
                <c:pt idx="112">
                  <c:v>7.9142877464324283E-4</c:v>
                </c:pt>
                <c:pt idx="113">
                  <c:v>7.9272195891553566E-4</c:v>
                </c:pt>
                <c:pt idx="114">
                  <c:v>8.2117201290597902E-4</c:v>
                </c:pt>
                <c:pt idx="115">
                  <c:v>8.3410385562890789E-4</c:v>
                </c:pt>
                <c:pt idx="116">
                  <c:v>8.4574251407954371E-4</c:v>
                </c:pt>
                <c:pt idx="117">
                  <c:v>9.498438479991206E-4</c:v>
                </c:pt>
                <c:pt idx="118">
                  <c:v>9.5372340081599928E-4</c:v>
                </c:pt>
                <c:pt idx="119">
                  <c:v>9.6018932217746371E-4</c:v>
                </c:pt>
                <c:pt idx="120">
                  <c:v>9.8669959975946774E-4</c:v>
                </c:pt>
                <c:pt idx="121">
                  <c:v>9.8799278403176056E-4</c:v>
                </c:pt>
                <c:pt idx="122">
                  <c:v>9.9833825821010356E-4</c:v>
                </c:pt>
                <c:pt idx="123">
                  <c:v>1.0145030616137646E-3</c:v>
                </c:pt>
                <c:pt idx="124">
                  <c:v>1.0254951279282541E-3</c:v>
                </c:pt>
                <c:pt idx="125">
                  <c:v>1.0998532235850947E-3</c:v>
                </c:pt>
                <c:pt idx="126">
                  <c:v>1.1489942259322243E-3</c:v>
                </c:pt>
                <c:pt idx="127">
                  <c:v>1.1509340023406636E-3</c:v>
                </c:pt>
                <c:pt idx="128">
                  <c:v>1.2699069553916086E-3</c:v>
                </c:pt>
                <c:pt idx="129">
                  <c:v>1.2808990217060979E-3</c:v>
                </c:pt>
                <c:pt idx="130">
                  <c:v>1.3384457218231312E-3</c:v>
                </c:pt>
                <c:pt idx="131">
                  <c:v>1.3791810264003569E-3</c:v>
                </c:pt>
                <c:pt idx="132">
                  <c:v>1.4108640410715324E-3</c:v>
                </c:pt>
                <c:pt idx="133">
                  <c:v>1.5130255985826701E-3</c:v>
                </c:pt>
                <c:pt idx="134">
                  <c:v>1.5472949817984315E-3</c:v>
                </c:pt>
                <c:pt idx="135">
                  <c:v>1.6707940798024014E-3</c:v>
                </c:pt>
                <c:pt idx="136">
                  <c:v>1.6740270404831336E-3</c:v>
                </c:pt>
                <c:pt idx="137">
                  <c:v>1.6824327382530375E-3</c:v>
                </c:pt>
              </c:numCache>
            </c:numRef>
          </c:yVal>
          <c:smooth val="0"/>
          <c:extLst>
            <c:ext xmlns:c16="http://schemas.microsoft.com/office/drawing/2014/chart" uri="{C3380CC4-5D6E-409C-BE32-E72D297353CC}">
              <c16:uniqueId val="{00000002-4BDE-4F55-A20C-A8062D567831}"/>
            </c:ext>
          </c:extLst>
        </c:ser>
        <c:ser>
          <c:idx val="3"/>
          <c:order val="3"/>
          <c:tx>
            <c:v>Risk Levels 10%, 20%, 40% for sample of 2,000</c:v>
          </c:tx>
          <c:spPr>
            <a:ln w="12700" cap="rnd">
              <a:solidFill>
                <a:srgbClr val="FF0000"/>
              </a:solidFill>
              <a:round/>
            </a:ln>
            <a:effectLst/>
          </c:spPr>
          <c:marker>
            <c:symbol val="square"/>
            <c:size val="5"/>
            <c:spPr>
              <a:solidFill>
                <a:srgbClr val="FF0000"/>
              </a:solidFill>
              <a:ln w="9525">
                <a:noFill/>
              </a:ln>
              <a:effectLst/>
            </c:spPr>
          </c:marker>
          <c:xVal>
            <c:numRef>
              <c:f>tallies!$AX$1115:$AX$1122</c:f>
              <c:numCache>
                <c:formatCode>0.00%</c:formatCode>
                <c:ptCount val="8"/>
                <c:pt idx="2">
                  <c:v>140</c:v>
                </c:pt>
                <c:pt idx="3">
                  <c:v>0</c:v>
                </c:pt>
                <c:pt idx="4">
                  <c:v>0</c:v>
                </c:pt>
                <c:pt idx="5">
                  <c:v>140</c:v>
                </c:pt>
                <c:pt idx="6">
                  <c:v>140</c:v>
                </c:pt>
                <c:pt idx="7">
                  <c:v>0</c:v>
                </c:pt>
              </c:numCache>
            </c:numRef>
          </c:xVal>
          <c:yVal>
            <c:numRef>
              <c:f>tallies!$AW$1115:$AW$1122</c:f>
              <c:numCache>
                <c:formatCode>0.0000%</c:formatCode>
                <c:ptCount val="8"/>
                <c:pt idx="2">
                  <c:v>1.4887225881909938E-4</c:v>
                </c:pt>
                <c:pt idx="3">
                  <c:v>1.4887225881909938E-4</c:v>
                </c:pt>
                <c:pt idx="4">
                  <c:v>1.040595752063167E-4</c:v>
                </c:pt>
                <c:pt idx="5">
                  <c:v>1.040595752063167E-4</c:v>
                </c:pt>
                <c:pt idx="6">
                  <c:v>5.9244883117925973E-5</c:v>
                </c:pt>
                <c:pt idx="7">
                  <c:v>5.9244883117925973E-5</c:v>
                </c:pt>
              </c:numCache>
            </c:numRef>
          </c:yVal>
          <c:smooth val="0"/>
          <c:extLst>
            <c:ext xmlns:c16="http://schemas.microsoft.com/office/drawing/2014/chart" uri="{C3380CC4-5D6E-409C-BE32-E72D297353CC}">
              <c16:uniqueId val="{00000004-4BDE-4F55-A20C-A8062D567831}"/>
            </c:ext>
          </c:extLst>
        </c:ser>
        <c:dLbls>
          <c:showLegendKey val="0"/>
          <c:showVal val="0"/>
          <c:showCatName val="0"/>
          <c:showSerName val="0"/>
          <c:showPercent val="0"/>
          <c:showBubbleSize val="0"/>
        </c:dLbls>
        <c:axId val="404926448"/>
        <c:axId val="404928944"/>
      </c:scatterChart>
      <c:valAx>
        <c:axId val="404926448"/>
        <c:scaling>
          <c:orientation val="minMax"/>
          <c:max val="14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404928944"/>
        <c:crossesAt val="2.0000000000000008E-6"/>
        <c:crossBetween val="midCat"/>
        <c:majorUnit val="20"/>
      </c:valAx>
      <c:valAx>
        <c:axId val="404928944"/>
        <c:scaling>
          <c:logBase val="2"/>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006400"/>
                </a:solidFill>
                <a:latin typeface="+mn-lt"/>
                <a:ea typeface="+mn-ea"/>
                <a:cs typeface="+mn-cs"/>
              </a:defRPr>
            </a:pPr>
            <a:endParaRPr lang="en-US"/>
          </a:p>
        </c:txPr>
        <c:crossAx val="404926448"/>
        <c:crosses val="autoZero"/>
        <c:crossBetween val="midCat"/>
      </c:valAx>
      <c:spPr>
        <a:noFill/>
        <a:ln>
          <a:noFill/>
        </a:ln>
        <a:effectLst/>
      </c:spPr>
    </c:plotArea>
    <c:legend>
      <c:legendPos val="r"/>
      <c:legendEntry>
        <c:idx val="1"/>
        <c:txPr>
          <a:bodyPr rot="0" spcFirstLastPara="1" vertOverflow="ellipsis" vert="horz" wrap="square" anchor="ctr" anchorCtr="1"/>
          <a:lstStyle/>
          <a:p>
            <a:pPr>
              <a:defRPr sz="1200" b="1" i="0" u="none" strike="noStrike" kern="1200" baseline="0">
                <a:solidFill>
                  <a:srgbClr val="0070C0"/>
                </a:solidFill>
                <a:latin typeface="+mn-lt"/>
                <a:ea typeface="+mn-ea"/>
                <a:cs typeface="+mn-cs"/>
              </a:defRPr>
            </a:pPr>
            <a:endParaRPr lang="en-US"/>
          </a:p>
        </c:txPr>
      </c:legendEntry>
      <c:legendEntry>
        <c:idx val="2"/>
        <c:txPr>
          <a:bodyPr rot="0" spcFirstLastPara="1" vertOverflow="ellipsis" vert="horz" wrap="square" anchor="ctr" anchorCtr="1"/>
          <a:lstStyle/>
          <a:p>
            <a:pPr>
              <a:defRPr sz="1200" b="1" i="0" u="none" strike="noStrike" kern="1200" baseline="0">
                <a:solidFill>
                  <a:schemeClr val="accent2">
                    <a:lumMod val="50000"/>
                  </a:schemeClr>
                </a:solidFill>
                <a:latin typeface="+mn-lt"/>
                <a:ea typeface="+mn-ea"/>
                <a:cs typeface="+mn-cs"/>
              </a:defRPr>
            </a:pPr>
            <a:endParaRPr lang="en-US"/>
          </a:p>
        </c:txPr>
      </c:legendEntry>
      <c:legendEntry>
        <c:idx val="3"/>
        <c:txPr>
          <a:bodyPr rot="0" spcFirstLastPara="1" vertOverflow="ellipsis" vert="horz" wrap="square" anchor="ctr" anchorCtr="1"/>
          <a:lstStyle/>
          <a:p>
            <a:pPr>
              <a:defRPr sz="1200" b="1" i="0" u="none" strike="noStrike" kern="1200" baseline="0">
                <a:solidFill>
                  <a:srgbClr val="FF0000"/>
                </a:solidFill>
                <a:latin typeface="+mn-lt"/>
                <a:ea typeface="+mn-ea"/>
                <a:cs typeface="+mn-cs"/>
              </a:defRPr>
            </a:pPr>
            <a:endParaRPr lang="en-US"/>
          </a:p>
        </c:txPr>
      </c:legendEntry>
      <c:layout>
        <c:manualLayout>
          <c:xMode val="edge"/>
          <c:yMode val="edge"/>
          <c:x val="0.34015308829368218"/>
          <c:y val="0.11826730855534251"/>
          <c:w val="0.37375274004211012"/>
          <c:h val="0.2965697940607164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01527923344053"/>
          <c:y val="0.20723331991171559"/>
          <c:w val="0.79516675176695062"/>
          <c:h val="0.57170816183488415"/>
        </c:manualLayout>
      </c:layout>
      <c:scatterChart>
        <c:scatterStyle val="lineMarker"/>
        <c:varyColors val="0"/>
        <c:ser>
          <c:idx val="0"/>
          <c:order val="0"/>
          <c:tx>
            <c:strRef>
              <c:f>'CA-audits'!$B$37</c:f>
              <c:strCache>
                <c:ptCount val="1"/>
                <c:pt idx="0">
                  <c:v>86%</c:v>
                </c:pt>
              </c:strCache>
            </c:strRef>
          </c:tx>
          <c:spPr>
            <a:ln w="0" cap="rnd">
              <a:solidFill>
                <a:schemeClr val="accent1"/>
              </a:solidFill>
              <a:round/>
            </a:ln>
            <a:effectLst/>
          </c:spPr>
          <c:marker>
            <c:symbol val="circle"/>
            <c:size val="2"/>
            <c:spPr>
              <a:solidFill>
                <a:schemeClr val="tx1"/>
              </a:solidFill>
              <a:ln w="9525">
                <a:solidFill>
                  <a:schemeClr val="accent1"/>
                </a:solidFill>
              </a:ln>
              <a:effectLst/>
            </c:spPr>
          </c:marker>
          <c:xVal>
            <c:numRef>
              <c:f>'CA-audits'!$M$2:$DX$2</c:f>
              <c:numCache>
                <c:formatCode>_(* #,##0_);_(* \(#,##0\);_(* "-"??_);_(@_)</c:formatCode>
                <c:ptCount val="116"/>
                <c:pt idx="0">
                  <c:v>4338191</c:v>
                </c:pt>
                <c:pt idx="1">
                  <c:v>2122469</c:v>
                </c:pt>
                <c:pt idx="2">
                  <c:v>1627753</c:v>
                </c:pt>
                <c:pt idx="3">
                  <c:v>1546570</c:v>
                </c:pt>
                <c:pt idx="4">
                  <c:v>1016027</c:v>
                </c:pt>
                <c:pt idx="5">
                  <c:v>907602</c:v>
                </c:pt>
                <c:pt idx="6">
                  <c:v>863964</c:v>
                </c:pt>
                <c:pt idx="7">
                  <c:v>852636</c:v>
                </c:pt>
                <c:pt idx="8">
                  <c:v>818021</c:v>
                </c:pt>
                <c:pt idx="9">
                  <c:v>785215</c:v>
                </c:pt>
                <c:pt idx="10">
                  <c:v>729569</c:v>
                </c:pt>
                <c:pt idx="11">
                  <c:v>591143</c:v>
                </c:pt>
                <c:pt idx="12">
                  <c:v>495791</c:v>
                </c:pt>
                <c:pt idx="13">
                  <c:v>482272</c:v>
                </c:pt>
                <c:pt idx="14">
                  <c:v>469968</c:v>
                </c:pt>
                <c:pt idx="15">
                  <c:v>449866</c:v>
                </c:pt>
                <c:pt idx="16">
                  <c:v>429922</c:v>
                </c:pt>
                <c:pt idx="17">
                  <c:v>409351</c:v>
                </c:pt>
                <c:pt idx="18">
                  <c:v>391935</c:v>
                </c:pt>
                <c:pt idx="19">
                  <c:v>380077</c:v>
                </c:pt>
                <c:pt idx="20">
                  <c:v>370068</c:v>
                </c:pt>
                <c:pt idx="21">
                  <c:v>330514</c:v>
                </c:pt>
                <c:pt idx="22">
                  <c:v>309143</c:v>
                </c:pt>
                <c:pt idx="23">
                  <c:v>305184</c:v>
                </c:pt>
                <c:pt idx="24">
                  <c:v>292818</c:v>
                </c:pt>
                <c:pt idx="25">
                  <c:v>272244</c:v>
                </c:pt>
                <c:pt idx="26">
                  <c:v>239396</c:v>
                </c:pt>
                <c:pt idx="27">
                  <c:v>239315</c:v>
                </c:pt>
                <c:pt idx="28">
                  <c:v>228291</c:v>
                </c:pt>
                <c:pt idx="29">
                  <c:v>217517</c:v>
                </c:pt>
                <c:pt idx="30">
                  <c:v>209002</c:v>
                </c:pt>
                <c:pt idx="31">
                  <c:v>203506</c:v>
                </c:pt>
                <c:pt idx="32">
                  <c:v>199118</c:v>
                </c:pt>
                <c:pt idx="33">
                  <c:v>187208</c:v>
                </c:pt>
                <c:pt idx="34">
                  <c:v>165976</c:v>
                </c:pt>
                <c:pt idx="35">
                  <c:v>162615</c:v>
                </c:pt>
                <c:pt idx="36">
                  <c:v>162116</c:v>
                </c:pt>
                <c:pt idx="37">
                  <c:v>158103</c:v>
                </c:pt>
                <c:pt idx="38">
                  <c:v>150482</c:v>
                </c:pt>
                <c:pt idx="39">
                  <c:v>148677</c:v>
                </c:pt>
                <c:pt idx="40">
                  <c:v>146857</c:v>
                </c:pt>
                <c:pt idx="41">
                  <c:v>142604</c:v>
                </c:pt>
                <c:pt idx="42">
                  <c:v>133274</c:v>
                </c:pt>
                <c:pt idx="43">
                  <c:v>118133</c:v>
                </c:pt>
                <c:pt idx="44">
                  <c:v>115923</c:v>
                </c:pt>
                <c:pt idx="45">
                  <c:v>113666</c:v>
                </c:pt>
                <c:pt idx="46">
                  <c:v>111578</c:v>
                </c:pt>
                <c:pt idx="47">
                  <c:v>111239</c:v>
                </c:pt>
                <c:pt idx="48">
                  <c:v>103900</c:v>
                </c:pt>
                <c:pt idx="49">
                  <c:v>103635</c:v>
                </c:pt>
                <c:pt idx="50">
                  <c:v>99040</c:v>
                </c:pt>
                <c:pt idx="51">
                  <c:v>94084</c:v>
                </c:pt>
                <c:pt idx="52">
                  <c:v>92424</c:v>
                </c:pt>
                <c:pt idx="53">
                  <c:v>91603</c:v>
                </c:pt>
                <c:pt idx="54">
                  <c:v>75708</c:v>
                </c:pt>
                <c:pt idx="55">
                  <c:v>73605</c:v>
                </c:pt>
                <c:pt idx="56">
                  <c:v>73269</c:v>
                </c:pt>
                <c:pt idx="57">
                  <c:v>69932</c:v>
                </c:pt>
                <c:pt idx="58">
                  <c:v>67539</c:v>
                </c:pt>
                <c:pt idx="59">
                  <c:v>65800</c:v>
                </c:pt>
                <c:pt idx="60">
                  <c:v>64858</c:v>
                </c:pt>
                <c:pt idx="61">
                  <c:v>58362</c:v>
                </c:pt>
                <c:pt idx="62">
                  <c:v>57366</c:v>
                </c:pt>
                <c:pt idx="63">
                  <c:v>54392</c:v>
                </c:pt>
                <c:pt idx="64">
                  <c:v>47969</c:v>
                </c:pt>
                <c:pt idx="65">
                  <c:v>47314</c:v>
                </c:pt>
                <c:pt idx="66">
                  <c:v>46275</c:v>
                </c:pt>
                <c:pt idx="67">
                  <c:v>45265</c:v>
                </c:pt>
                <c:pt idx="68">
                  <c:v>44442</c:v>
                </c:pt>
                <c:pt idx="69">
                  <c:v>44135</c:v>
                </c:pt>
                <c:pt idx="70">
                  <c:v>43264</c:v>
                </c:pt>
                <c:pt idx="71">
                  <c:v>31373</c:v>
                </c:pt>
                <c:pt idx="72">
                  <c:v>30829</c:v>
                </c:pt>
                <c:pt idx="73">
                  <c:v>30201</c:v>
                </c:pt>
                <c:pt idx="74">
                  <c:v>29527</c:v>
                </c:pt>
                <c:pt idx="75">
                  <c:v>29207</c:v>
                </c:pt>
                <c:pt idx="76">
                  <c:v>29078</c:v>
                </c:pt>
                <c:pt idx="77">
                  <c:v>28812</c:v>
                </c:pt>
                <c:pt idx="78">
                  <c:v>27524</c:v>
                </c:pt>
                <c:pt idx="79">
                  <c:v>25593</c:v>
                </c:pt>
                <c:pt idx="80">
                  <c:v>23885</c:v>
                </c:pt>
                <c:pt idx="81">
                  <c:v>23796</c:v>
                </c:pt>
                <c:pt idx="82">
                  <c:v>22620</c:v>
                </c:pt>
                <c:pt idx="83">
                  <c:v>21486</c:v>
                </c:pt>
                <c:pt idx="84">
                  <c:v>21248</c:v>
                </c:pt>
                <c:pt idx="85">
                  <c:v>19089</c:v>
                </c:pt>
                <c:pt idx="86">
                  <c:v>18285</c:v>
                </c:pt>
                <c:pt idx="87">
                  <c:v>17902</c:v>
                </c:pt>
                <c:pt idx="88">
                  <c:v>17346</c:v>
                </c:pt>
                <c:pt idx="89">
                  <c:v>16659</c:v>
                </c:pt>
                <c:pt idx="90">
                  <c:v>15703</c:v>
                </c:pt>
                <c:pt idx="91">
                  <c:v>15364</c:v>
                </c:pt>
                <c:pt idx="92">
                  <c:v>12122</c:v>
                </c:pt>
                <c:pt idx="93">
                  <c:v>11624</c:v>
                </c:pt>
                <c:pt idx="94">
                  <c:v>11455</c:v>
                </c:pt>
                <c:pt idx="95">
                  <c:v>11422</c:v>
                </c:pt>
                <c:pt idx="96">
                  <c:v>10410</c:v>
                </c:pt>
                <c:pt idx="97">
                  <c:v>9624</c:v>
                </c:pt>
                <c:pt idx="98">
                  <c:v>8218</c:v>
                </c:pt>
                <c:pt idx="99">
                  <c:v>8039</c:v>
                </c:pt>
                <c:pt idx="100">
                  <c:v>7762</c:v>
                </c:pt>
                <c:pt idx="101">
                  <c:v>7254</c:v>
                </c:pt>
                <c:pt idx="102">
                  <c:v>7214</c:v>
                </c:pt>
                <c:pt idx="103">
                  <c:v>6986</c:v>
                </c:pt>
                <c:pt idx="104">
                  <c:v>6833</c:v>
                </c:pt>
                <c:pt idx="105">
                  <c:v>6828</c:v>
                </c:pt>
                <c:pt idx="106">
                  <c:v>6387</c:v>
                </c:pt>
                <c:pt idx="107">
                  <c:v>4883</c:v>
                </c:pt>
                <c:pt idx="108">
                  <c:v>4878</c:v>
                </c:pt>
                <c:pt idx="109">
                  <c:v>4403</c:v>
                </c:pt>
                <c:pt idx="110">
                  <c:v>4267</c:v>
                </c:pt>
                <c:pt idx="111">
                  <c:v>3022</c:v>
                </c:pt>
                <c:pt idx="112">
                  <c:v>1964</c:v>
                </c:pt>
                <c:pt idx="113">
                  <c:v>1389</c:v>
                </c:pt>
                <c:pt idx="114">
                  <c:v>749</c:v>
                </c:pt>
                <c:pt idx="115">
                  <c:v>510</c:v>
                </c:pt>
              </c:numCache>
            </c:numRef>
          </c:xVal>
          <c:yVal>
            <c:numRef>
              <c:f>'CA-audits'!$M$38:$DX$38</c:f>
              <c:numCache>
                <c:formatCode>0.0%</c:formatCode>
                <c:ptCount val="116"/>
                <c:pt idx="0">
                  <c:v>0.90089518448112549</c:v>
                </c:pt>
                <c:pt idx="1">
                  <c:v>0.90089518448112549</c:v>
                </c:pt>
                <c:pt idx="2">
                  <c:v>0.90089518448112549</c:v>
                </c:pt>
                <c:pt idx="3">
                  <c:v>0.90089518448112549</c:v>
                </c:pt>
                <c:pt idx="4">
                  <c:v>0.90089518448112549</c:v>
                </c:pt>
                <c:pt idx="5">
                  <c:v>0.90089518448112549</c:v>
                </c:pt>
                <c:pt idx="6">
                  <c:v>0.90089518448112549</c:v>
                </c:pt>
                <c:pt idx="7">
                  <c:v>0.90089518448112549</c:v>
                </c:pt>
                <c:pt idx="8">
                  <c:v>0.90089518448112549</c:v>
                </c:pt>
                <c:pt idx="9">
                  <c:v>0.90089518448112549</c:v>
                </c:pt>
                <c:pt idx="10">
                  <c:v>0.90089518448112549</c:v>
                </c:pt>
                <c:pt idx="11">
                  <c:v>0.90089518448112549</c:v>
                </c:pt>
                <c:pt idx="12">
                  <c:v>0.90089518448112549</c:v>
                </c:pt>
                <c:pt idx="13">
                  <c:v>0.90089518448112549</c:v>
                </c:pt>
                <c:pt idx="14">
                  <c:v>0.90089518448112549</c:v>
                </c:pt>
                <c:pt idx="15">
                  <c:v>0.90089518448112549</c:v>
                </c:pt>
                <c:pt idx="16">
                  <c:v>0.90089518448112549</c:v>
                </c:pt>
                <c:pt idx="17">
                  <c:v>0.90089518448112549</c:v>
                </c:pt>
                <c:pt idx="18">
                  <c:v>0.90089518448112549</c:v>
                </c:pt>
                <c:pt idx="19">
                  <c:v>0.90089518448112549</c:v>
                </c:pt>
                <c:pt idx="20">
                  <c:v>0.90089518448112549</c:v>
                </c:pt>
                <c:pt idx="21">
                  <c:v>0.90089518448112549</c:v>
                </c:pt>
                <c:pt idx="22">
                  <c:v>0.90089518448112549</c:v>
                </c:pt>
                <c:pt idx="23">
                  <c:v>0.90089518448112549</c:v>
                </c:pt>
                <c:pt idx="24">
                  <c:v>0.90089518448112549</c:v>
                </c:pt>
                <c:pt idx="25">
                  <c:v>0.90089518448112549</c:v>
                </c:pt>
                <c:pt idx="26">
                  <c:v>0.90089518448112549</c:v>
                </c:pt>
                <c:pt idx="27">
                  <c:v>0.90089518448112549</c:v>
                </c:pt>
                <c:pt idx="28">
                  <c:v>0.90089518448112549</c:v>
                </c:pt>
                <c:pt idx="29">
                  <c:v>0.90089518448112549</c:v>
                </c:pt>
                <c:pt idx="30">
                  <c:v>0.90089518448112549</c:v>
                </c:pt>
                <c:pt idx="31">
                  <c:v>0.90089518448112549</c:v>
                </c:pt>
                <c:pt idx="32">
                  <c:v>0.90089518448112549</c:v>
                </c:pt>
                <c:pt idx="33">
                  <c:v>0.90089518448112549</c:v>
                </c:pt>
                <c:pt idx="34">
                  <c:v>0.90089518448112549</c:v>
                </c:pt>
                <c:pt idx="35">
                  <c:v>0.90089518448112549</c:v>
                </c:pt>
                <c:pt idx="36">
                  <c:v>0.90089518448112549</c:v>
                </c:pt>
                <c:pt idx="37">
                  <c:v>0.90089518448112549</c:v>
                </c:pt>
                <c:pt idx="38">
                  <c:v>0.90089518448112549</c:v>
                </c:pt>
                <c:pt idx="39">
                  <c:v>0.90089518448112549</c:v>
                </c:pt>
                <c:pt idx="40">
                  <c:v>0.90089518448112549</c:v>
                </c:pt>
                <c:pt idx="41">
                  <c:v>0.90089518448112549</c:v>
                </c:pt>
                <c:pt idx="42">
                  <c:v>0.90089518448112549</c:v>
                </c:pt>
                <c:pt idx="43">
                  <c:v>0.90089518448112549</c:v>
                </c:pt>
                <c:pt idx="44">
                  <c:v>0.90089518448112549</c:v>
                </c:pt>
                <c:pt idx="45">
                  <c:v>0.90089518448112549</c:v>
                </c:pt>
                <c:pt idx="46">
                  <c:v>0.90089518448112549</c:v>
                </c:pt>
                <c:pt idx="47">
                  <c:v>0.90089518448112549</c:v>
                </c:pt>
                <c:pt idx="48">
                  <c:v>0.90089518448112549</c:v>
                </c:pt>
                <c:pt idx="49">
                  <c:v>0.90089518448112549</c:v>
                </c:pt>
                <c:pt idx="50">
                  <c:v>0.90089518448112549</c:v>
                </c:pt>
                <c:pt idx="51">
                  <c:v>0.90089518448112549</c:v>
                </c:pt>
                <c:pt idx="52">
                  <c:v>0.90089518448112549</c:v>
                </c:pt>
                <c:pt idx="53">
                  <c:v>0.90089518448112549</c:v>
                </c:pt>
                <c:pt idx="54">
                  <c:v>0.90089518448112549</c:v>
                </c:pt>
                <c:pt idx="55">
                  <c:v>0.90089518448112549</c:v>
                </c:pt>
                <c:pt idx="56">
                  <c:v>0.90089518448112549</c:v>
                </c:pt>
                <c:pt idx="57">
                  <c:v>0.90089518448112549</c:v>
                </c:pt>
                <c:pt idx="58">
                  <c:v>0.90089518448112549</c:v>
                </c:pt>
                <c:pt idx="59">
                  <c:v>0.90089518448112549</c:v>
                </c:pt>
                <c:pt idx="60">
                  <c:v>0.90089518448112549</c:v>
                </c:pt>
                <c:pt idx="61">
                  <c:v>0.90089518448112549</c:v>
                </c:pt>
                <c:pt idx="62">
                  <c:v>0.90089518448112549</c:v>
                </c:pt>
                <c:pt idx="63">
                  <c:v>0.90089518448112549</c:v>
                </c:pt>
                <c:pt idx="64">
                  <c:v>0.90089518448112549</c:v>
                </c:pt>
                <c:pt idx="65">
                  <c:v>0.90089518448112549</c:v>
                </c:pt>
                <c:pt idx="66">
                  <c:v>0.90089518448112549</c:v>
                </c:pt>
                <c:pt idx="67">
                  <c:v>0.90089518448112549</c:v>
                </c:pt>
                <c:pt idx="68">
                  <c:v>0.90089518448112549</c:v>
                </c:pt>
                <c:pt idx="69">
                  <c:v>0.90089518448112549</c:v>
                </c:pt>
                <c:pt idx="70">
                  <c:v>0.90089518448112549</c:v>
                </c:pt>
                <c:pt idx="71">
                  <c:v>0.90089518448112549</c:v>
                </c:pt>
                <c:pt idx="72">
                  <c:v>0.90089518448112549</c:v>
                </c:pt>
                <c:pt idx="73">
                  <c:v>0.90089518448112549</c:v>
                </c:pt>
                <c:pt idx="74">
                  <c:v>0.90089518448112549</c:v>
                </c:pt>
                <c:pt idx="75">
                  <c:v>0.90089518448112549</c:v>
                </c:pt>
                <c:pt idx="76">
                  <c:v>0.90089518448112549</c:v>
                </c:pt>
                <c:pt idx="77">
                  <c:v>0.90089518448112549</c:v>
                </c:pt>
                <c:pt idx="78">
                  <c:v>0.90089518448112549</c:v>
                </c:pt>
                <c:pt idx="79">
                  <c:v>0.90089518448112549</c:v>
                </c:pt>
                <c:pt idx="80">
                  <c:v>0.90089518448112549</c:v>
                </c:pt>
                <c:pt idx="81">
                  <c:v>0.90089518448112549</c:v>
                </c:pt>
                <c:pt idx="82">
                  <c:v>0.90089518448112549</c:v>
                </c:pt>
                <c:pt idx="83">
                  <c:v>0.90089518448112549</c:v>
                </c:pt>
                <c:pt idx="84">
                  <c:v>0.90089518448112549</c:v>
                </c:pt>
                <c:pt idx="85">
                  <c:v>0.90089518448112549</c:v>
                </c:pt>
                <c:pt idx="86">
                  <c:v>0.90089518448112549</c:v>
                </c:pt>
                <c:pt idx="87">
                  <c:v>0.90089518448112549</c:v>
                </c:pt>
                <c:pt idx="88">
                  <c:v>0.90089518448112549</c:v>
                </c:pt>
                <c:pt idx="89">
                  <c:v>0.90089518448112549</c:v>
                </c:pt>
                <c:pt idx="90">
                  <c:v>0.90089518448112549</c:v>
                </c:pt>
                <c:pt idx="91">
                  <c:v>0.90089518448112549</c:v>
                </c:pt>
                <c:pt idx="92">
                  <c:v>0.90089518448112549</c:v>
                </c:pt>
                <c:pt idx="93">
                  <c:v>0.90089518448112549</c:v>
                </c:pt>
                <c:pt idx="94">
                  <c:v>0.90089518448112549</c:v>
                </c:pt>
                <c:pt idx="95">
                  <c:v>0.90089518448112549</c:v>
                </c:pt>
                <c:pt idx="96">
                  <c:v>0.90089518448112549</c:v>
                </c:pt>
                <c:pt idx="97">
                  <c:v>0.90089518448112549</c:v>
                </c:pt>
                <c:pt idx="98">
                  <c:v>0.90089518448112549</c:v>
                </c:pt>
                <c:pt idx="99">
                  <c:v>0.90089518448112549</c:v>
                </c:pt>
                <c:pt idx="100">
                  <c:v>0.90089518448112549</c:v>
                </c:pt>
                <c:pt idx="101">
                  <c:v>0.90089518448112549</c:v>
                </c:pt>
                <c:pt idx="102">
                  <c:v>0.90089518448112549</c:v>
                </c:pt>
                <c:pt idx="103">
                  <c:v>0.90089518448112549</c:v>
                </c:pt>
                <c:pt idx="104">
                  <c:v>0.90089518448112549</c:v>
                </c:pt>
                <c:pt idx="105">
                  <c:v>0.90089518448112549</c:v>
                </c:pt>
                <c:pt idx="106">
                  <c:v>0.90089518448112549</c:v>
                </c:pt>
                <c:pt idx="107">
                  <c:v>0.90089518448112549</c:v>
                </c:pt>
                <c:pt idx="108">
                  <c:v>0.90089518448112549</c:v>
                </c:pt>
                <c:pt idx="109">
                  <c:v>0.90089518448112549</c:v>
                </c:pt>
                <c:pt idx="110">
                  <c:v>0.90089518448112549</c:v>
                </c:pt>
                <c:pt idx="111">
                  <c:v>0.90089518448112549</c:v>
                </c:pt>
                <c:pt idx="112">
                  <c:v>0.90089518448112549</c:v>
                </c:pt>
                <c:pt idx="113">
                  <c:v>0.90089518448112549</c:v>
                </c:pt>
                <c:pt idx="114">
                  <c:v>0.90089518448112549</c:v>
                </c:pt>
                <c:pt idx="115">
                  <c:v>0.90089518448112549</c:v>
                </c:pt>
              </c:numCache>
            </c:numRef>
          </c:yVal>
          <c:smooth val="0"/>
          <c:extLst>
            <c:ext xmlns:c16="http://schemas.microsoft.com/office/drawing/2014/chart" uri="{C3380CC4-5D6E-409C-BE32-E72D297353CC}">
              <c16:uniqueId val="{00000000-0A15-48CB-84CF-F0E9A8C015A8}"/>
            </c:ext>
          </c:extLst>
        </c:ser>
        <c:ser>
          <c:idx val="1"/>
          <c:order val="1"/>
          <c:tx>
            <c:v>traditional</c:v>
          </c:tx>
          <c:spPr>
            <a:ln w="0" cap="rnd">
              <a:solidFill>
                <a:schemeClr val="accent2"/>
              </a:solidFill>
              <a:round/>
            </a:ln>
            <a:effectLst/>
          </c:spPr>
          <c:marker>
            <c:symbol val="circle"/>
            <c:size val="2"/>
            <c:spPr>
              <a:solidFill>
                <a:schemeClr val="accent2"/>
              </a:solidFill>
              <a:ln w="9525">
                <a:solidFill>
                  <a:schemeClr val="accent2"/>
                </a:solidFill>
              </a:ln>
              <a:effectLst/>
            </c:spPr>
          </c:marker>
          <c:xVal>
            <c:numRef>
              <c:f>'CA-audits'!$M$2:$DX$2</c:f>
              <c:numCache>
                <c:formatCode>_(* #,##0_);_(* \(#,##0\);_(* "-"??_);_(@_)</c:formatCode>
                <c:ptCount val="116"/>
                <c:pt idx="0">
                  <c:v>4338191</c:v>
                </c:pt>
                <c:pt idx="1">
                  <c:v>2122469</c:v>
                </c:pt>
                <c:pt idx="2">
                  <c:v>1627753</c:v>
                </c:pt>
                <c:pt idx="3">
                  <c:v>1546570</c:v>
                </c:pt>
                <c:pt idx="4">
                  <c:v>1016027</c:v>
                </c:pt>
                <c:pt idx="5">
                  <c:v>907602</c:v>
                </c:pt>
                <c:pt idx="6">
                  <c:v>863964</c:v>
                </c:pt>
                <c:pt idx="7">
                  <c:v>852636</c:v>
                </c:pt>
                <c:pt idx="8">
                  <c:v>818021</c:v>
                </c:pt>
                <c:pt idx="9">
                  <c:v>785215</c:v>
                </c:pt>
                <c:pt idx="10">
                  <c:v>729569</c:v>
                </c:pt>
                <c:pt idx="11">
                  <c:v>591143</c:v>
                </c:pt>
                <c:pt idx="12">
                  <c:v>495791</c:v>
                </c:pt>
                <c:pt idx="13">
                  <c:v>482272</c:v>
                </c:pt>
                <c:pt idx="14">
                  <c:v>469968</c:v>
                </c:pt>
                <c:pt idx="15">
                  <c:v>449866</c:v>
                </c:pt>
                <c:pt idx="16">
                  <c:v>429922</c:v>
                </c:pt>
                <c:pt idx="17">
                  <c:v>409351</c:v>
                </c:pt>
                <c:pt idx="18">
                  <c:v>391935</c:v>
                </c:pt>
                <c:pt idx="19">
                  <c:v>380077</c:v>
                </c:pt>
                <c:pt idx="20">
                  <c:v>370068</c:v>
                </c:pt>
                <c:pt idx="21">
                  <c:v>330514</c:v>
                </c:pt>
                <c:pt idx="22">
                  <c:v>309143</c:v>
                </c:pt>
                <c:pt idx="23">
                  <c:v>305184</c:v>
                </c:pt>
                <c:pt idx="24">
                  <c:v>292818</c:v>
                </c:pt>
                <c:pt idx="25">
                  <c:v>272244</c:v>
                </c:pt>
                <c:pt idx="26">
                  <c:v>239396</c:v>
                </c:pt>
                <c:pt idx="27">
                  <c:v>239315</c:v>
                </c:pt>
                <c:pt idx="28">
                  <c:v>228291</c:v>
                </c:pt>
                <c:pt idx="29">
                  <c:v>217517</c:v>
                </c:pt>
                <c:pt idx="30">
                  <c:v>209002</c:v>
                </c:pt>
                <c:pt idx="31">
                  <c:v>203506</c:v>
                </c:pt>
                <c:pt idx="32">
                  <c:v>199118</c:v>
                </c:pt>
                <c:pt idx="33">
                  <c:v>187208</c:v>
                </c:pt>
                <c:pt idx="34">
                  <c:v>165976</c:v>
                </c:pt>
                <c:pt idx="35">
                  <c:v>162615</c:v>
                </c:pt>
                <c:pt idx="36">
                  <c:v>162116</c:v>
                </c:pt>
                <c:pt idx="37">
                  <c:v>158103</c:v>
                </c:pt>
                <c:pt idx="38">
                  <c:v>150482</c:v>
                </c:pt>
                <c:pt idx="39">
                  <c:v>148677</c:v>
                </c:pt>
                <c:pt idx="40">
                  <c:v>146857</c:v>
                </c:pt>
                <c:pt idx="41">
                  <c:v>142604</c:v>
                </c:pt>
                <c:pt idx="42">
                  <c:v>133274</c:v>
                </c:pt>
                <c:pt idx="43">
                  <c:v>118133</c:v>
                </c:pt>
                <c:pt idx="44">
                  <c:v>115923</c:v>
                </c:pt>
                <c:pt idx="45">
                  <c:v>113666</c:v>
                </c:pt>
                <c:pt idx="46">
                  <c:v>111578</c:v>
                </c:pt>
                <c:pt idx="47">
                  <c:v>111239</c:v>
                </c:pt>
                <c:pt idx="48">
                  <c:v>103900</c:v>
                </c:pt>
                <c:pt idx="49">
                  <c:v>103635</c:v>
                </c:pt>
                <c:pt idx="50">
                  <c:v>99040</c:v>
                </c:pt>
                <c:pt idx="51">
                  <c:v>94084</c:v>
                </c:pt>
                <c:pt idx="52">
                  <c:v>92424</c:v>
                </c:pt>
                <c:pt idx="53">
                  <c:v>91603</c:v>
                </c:pt>
                <c:pt idx="54">
                  <c:v>75708</c:v>
                </c:pt>
                <c:pt idx="55">
                  <c:v>73605</c:v>
                </c:pt>
                <c:pt idx="56">
                  <c:v>73269</c:v>
                </c:pt>
                <c:pt idx="57">
                  <c:v>69932</c:v>
                </c:pt>
                <c:pt idx="58">
                  <c:v>67539</c:v>
                </c:pt>
                <c:pt idx="59">
                  <c:v>65800</c:v>
                </c:pt>
                <c:pt idx="60">
                  <c:v>64858</c:v>
                </c:pt>
                <c:pt idx="61">
                  <c:v>58362</c:v>
                </c:pt>
                <c:pt idx="62">
                  <c:v>57366</c:v>
                </c:pt>
                <c:pt idx="63">
                  <c:v>54392</c:v>
                </c:pt>
                <c:pt idx="64">
                  <c:v>47969</c:v>
                </c:pt>
                <c:pt idx="65">
                  <c:v>47314</c:v>
                </c:pt>
                <c:pt idx="66">
                  <c:v>46275</c:v>
                </c:pt>
                <c:pt idx="67">
                  <c:v>45265</c:v>
                </c:pt>
                <c:pt idx="68">
                  <c:v>44442</c:v>
                </c:pt>
                <c:pt idx="69">
                  <c:v>44135</c:v>
                </c:pt>
                <c:pt idx="70">
                  <c:v>43264</c:v>
                </c:pt>
                <c:pt idx="71">
                  <c:v>31373</c:v>
                </c:pt>
                <c:pt idx="72">
                  <c:v>30829</c:v>
                </c:pt>
                <c:pt idx="73">
                  <c:v>30201</c:v>
                </c:pt>
                <c:pt idx="74">
                  <c:v>29527</c:v>
                </c:pt>
                <c:pt idx="75">
                  <c:v>29207</c:v>
                </c:pt>
                <c:pt idx="76">
                  <c:v>29078</c:v>
                </c:pt>
                <c:pt idx="77">
                  <c:v>28812</c:v>
                </c:pt>
                <c:pt idx="78">
                  <c:v>27524</c:v>
                </c:pt>
                <c:pt idx="79">
                  <c:v>25593</c:v>
                </c:pt>
                <c:pt idx="80">
                  <c:v>23885</c:v>
                </c:pt>
                <c:pt idx="81">
                  <c:v>23796</c:v>
                </c:pt>
                <c:pt idx="82">
                  <c:v>22620</c:v>
                </c:pt>
                <c:pt idx="83">
                  <c:v>21486</c:v>
                </c:pt>
                <c:pt idx="84">
                  <c:v>21248</c:v>
                </c:pt>
                <c:pt idx="85">
                  <c:v>19089</c:v>
                </c:pt>
                <c:pt idx="86">
                  <c:v>18285</c:v>
                </c:pt>
                <c:pt idx="87">
                  <c:v>17902</c:v>
                </c:pt>
                <c:pt idx="88">
                  <c:v>17346</c:v>
                </c:pt>
                <c:pt idx="89">
                  <c:v>16659</c:v>
                </c:pt>
                <c:pt idx="90">
                  <c:v>15703</c:v>
                </c:pt>
                <c:pt idx="91">
                  <c:v>15364</c:v>
                </c:pt>
                <c:pt idx="92">
                  <c:v>12122</c:v>
                </c:pt>
                <c:pt idx="93">
                  <c:v>11624</c:v>
                </c:pt>
                <c:pt idx="94">
                  <c:v>11455</c:v>
                </c:pt>
                <c:pt idx="95">
                  <c:v>11422</c:v>
                </c:pt>
                <c:pt idx="96">
                  <c:v>10410</c:v>
                </c:pt>
                <c:pt idx="97">
                  <c:v>9624</c:v>
                </c:pt>
                <c:pt idx="98">
                  <c:v>8218</c:v>
                </c:pt>
                <c:pt idx="99">
                  <c:v>8039</c:v>
                </c:pt>
                <c:pt idx="100">
                  <c:v>7762</c:v>
                </c:pt>
                <c:pt idx="101">
                  <c:v>7254</c:v>
                </c:pt>
                <c:pt idx="102">
                  <c:v>7214</c:v>
                </c:pt>
                <c:pt idx="103">
                  <c:v>6986</c:v>
                </c:pt>
                <c:pt idx="104">
                  <c:v>6833</c:v>
                </c:pt>
                <c:pt idx="105">
                  <c:v>6828</c:v>
                </c:pt>
                <c:pt idx="106">
                  <c:v>6387</c:v>
                </c:pt>
                <c:pt idx="107">
                  <c:v>4883</c:v>
                </c:pt>
                <c:pt idx="108">
                  <c:v>4878</c:v>
                </c:pt>
                <c:pt idx="109">
                  <c:v>4403</c:v>
                </c:pt>
                <c:pt idx="110">
                  <c:v>4267</c:v>
                </c:pt>
                <c:pt idx="111">
                  <c:v>3022</c:v>
                </c:pt>
                <c:pt idx="112">
                  <c:v>1964</c:v>
                </c:pt>
                <c:pt idx="113">
                  <c:v>1389</c:v>
                </c:pt>
                <c:pt idx="114">
                  <c:v>749</c:v>
                </c:pt>
                <c:pt idx="115">
                  <c:v>510</c:v>
                </c:pt>
              </c:numCache>
            </c:numRef>
          </c:xVal>
          <c:yVal>
            <c:numRef>
              <c:f>'CA-audits'!$M$17:$DX$17</c:f>
              <c:numCache>
                <c:formatCode>0.0%</c:formatCode>
                <c:ptCount val="116"/>
                <c:pt idx="0">
                  <c:v>0.76714015159168281</c:v>
                </c:pt>
                <c:pt idx="1">
                  <c:v>0.51011595523957132</c:v>
                </c:pt>
                <c:pt idx="2">
                  <c:v>0.42466712105277105</c:v>
                </c:pt>
                <c:pt idx="3">
                  <c:v>0.40704719393640565</c:v>
                </c:pt>
                <c:pt idx="4">
                  <c:v>0.28945147167720287</c:v>
                </c:pt>
                <c:pt idx="5">
                  <c:v>0.2677251562824513</c:v>
                </c:pt>
                <c:pt idx="6">
                  <c:v>0.25283553104916279</c:v>
                </c:pt>
                <c:pt idx="7">
                  <c:v>0.25285031675924075</c:v>
                </c:pt>
                <c:pt idx="8">
                  <c:v>0.24530938350932152</c:v>
                </c:pt>
                <c:pt idx="9">
                  <c:v>0.23769037277241334</c:v>
                </c:pt>
                <c:pt idx="10">
                  <c:v>0.22220619725868707</c:v>
                </c:pt>
                <c:pt idx="11">
                  <c:v>0.18210568699543661</c:v>
                </c:pt>
                <c:pt idx="12">
                  <c:v>0.15707745743680646</c:v>
                </c:pt>
                <c:pt idx="13">
                  <c:v>0.15709836827162371</c:v>
                </c:pt>
                <c:pt idx="14">
                  <c:v>0.14855676919894434</c:v>
                </c:pt>
                <c:pt idx="15">
                  <c:v>0.13994164535871167</c:v>
                </c:pt>
                <c:pt idx="16">
                  <c:v>0.13997222018713162</c:v>
                </c:pt>
                <c:pt idx="17">
                  <c:v>0.13126999295684616</c:v>
                </c:pt>
                <c:pt idx="18">
                  <c:v>0.13129856771505488</c:v>
                </c:pt>
                <c:pt idx="19">
                  <c:v>0.12249403606248188</c:v>
                </c:pt>
                <c:pt idx="20">
                  <c:v>0.12250990598366995</c:v>
                </c:pt>
                <c:pt idx="21">
                  <c:v>0.1136630887701493</c:v>
                </c:pt>
                <c:pt idx="22">
                  <c:v>0.10469567843719563</c:v>
                </c:pt>
                <c:pt idx="23">
                  <c:v>0.10470249811883192</c:v>
                </c:pt>
                <c:pt idx="24">
                  <c:v>9.5629196182841714E-2</c:v>
                </c:pt>
                <c:pt idx="25">
                  <c:v>9.5664947237701248E-2</c:v>
                </c:pt>
                <c:pt idx="26">
                  <c:v>7.7256243119103507E-2</c:v>
                </c:pt>
                <c:pt idx="27">
                  <c:v>7.7256243119103507E-2</c:v>
                </c:pt>
                <c:pt idx="28">
                  <c:v>7.7274482722475279E-2</c:v>
                </c:pt>
                <c:pt idx="29">
                  <c:v>7.7294029144246768E-2</c:v>
                </c:pt>
                <c:pt idx="30">
                  <c:v>6.7936075183226419E-2</c:v>
                </c:pt>
                <c:pt idx="31">
                  <c:v>6.794538252058635E-2</c:v>
                </c:pt>
                <c:pt idx="32">
                  <c:v>6.7952583749769202E-2</c:v>
                </c:pt>
                <c:pt idx="33">
                  <c:v>6.7974952311671499E-2</c:v>
                </c:pt>
                <c:pt idx="34">
                  <c:v>5.8544193104610676E-2</c:v>
                </c:pt>
                <c:pt idx="35">
                  <c:v>5.8550504390585734E-2</c:v>
                </c:pt>
                <c:pt idx="36">
                  <c:v>5.8551679724343164E-2</c:v>
                </c:pt>
                <c:pt idx="37">
                  <c:v>5.8559538471746109E-2</c:v>
                </c:pt>
                <c:pt idx="38">
                  <c:v>5.8575804464776726E-2</c:v>
                </c:pt>
                <c:pt idx="39">
                  <c:v>4.9011893377055249E-2</c:v>
                </c:pt>
                <c:pt idx="40">
                  <c:v>4.9014868181510685E-2</c:v>
                </c:pt>
                <c:pt idx="41">
                  <c:v>4.9022636272616604E-2</c:v>
                </c:pt>
                <c:pt idx="42">
                  <c:v>4.9040365963143207E-2</c:v>
                </c:pt>
                <c:pt idx="43">
                  <c:v>3.9406955424955203E-2</c:v>
                </c:pt>
                <c:pt idx="44">
                  <c:v>3.94110537156942E-2</c:v>
                </c:pt>
                <c:pt idx="45">
                  <c:v>3.9414782639504931E-2</c:v>
                </c:pt>
                <c:pt idx="46">
                  <c:v>3.9418652899808948E-2</c:v>
                </c:pt>
                <c:pt idx="47">
                  <c:v>3.9419217801632045E-2</c:v>
                </c:pt>
                <c:pt idx="48">
                  <c:v>3.9434409719946828E-2</c:v>
                </c:pt>
                <c:pt idx="49">
                  <c:v>3.9435063544971283E-2</c:v>
                </c:pt>
                <c:pt idx="50">
                  <c:v>3.9445350256200329E-2</c:v>
                </c:pt>
                <c:pt idx="51">
                  <c:v>3.9457415186430866E-2</c:v>
                </c:pt>
                <c:pt idx="52">
                  <c:v>3.9462265491785442E-2</c:v>
                </c:pt>
                <c:pt idx="53">
                  <c:v>3.9464762830061284E-2</c:v>
                </c:pt>
                <c:pt idx="54">
                  <c:v>2.9729132322237284E-2</c:v>
                </c:pt>
                <c:pt idx="55">
                  <c:v>2.9734163467313723E-2</c:v>
                </c:pt>
                <c:pt idx="56">
                  <c:v>2.9734905960549729E-2</c:v>
                </c:pt>
                <c:pt idx="57">
                  <c:v>2.9743497638180849E-2</c:v>
                </c:pt>
                <c:pt idx="58">
                  <c:v>2.9750278475482839E-2</c:v>
                </c:pt>
                <c:pt idx="59">
                  <c:v>2.9755692184580296E-2</c:v>
                </c:pt>
                <c:pt idx="60">
                  <c:v>2.9758512870484588E-2</c:v>
                </c:pt>
                <c:pt idx="61">
                  <c:v>1.9902547401823178E-2</c:v>
                </c:pt>
                <c:pt idx="62">
                  <c:v>1.9904682022706899E-2</c:v>
                </c:pt>
                <c:pt idx="63">
                  <c:v>1.9910434395214893E-2</c:v>
                </c:pt>
                <c:pt idx="64">
                  <c:v>1.9924874449820273E-2</c:v>
                </c:pt>
                <c:pt idx="65">
                  <c:v>1.9926451582858662E-2</c:v>
                </c:pt>
                <c:pt idx="66">
                  <c:v>1.9929729811063668E-2</c:v>
                </c:pt>
                <c:pt idx="67">
                  <c:v>1.9932303471399626E-2</c:v>
                </c:pt>
                <c:pt idx="68">
                  <c:v>1.9934982413848723E-2</c:v>
                </c:pt>
                <c:pt idx="69">
                  <c:v>1.9935899914953259E-2</c:v>
                </c:pt>
                <c:pt idx="70">
                  <c:v>1.993872958832521E-2</c:v>
                </c:pt>
                <c:pt idx="71">
                  <c:v>1.9990418205785399E-2</c:v>
                </c:pt>
                <c:pt idx="72">
                  <c:v>1.9994137830724901E-2</c:v>
                </c:pt>
                <c:pt idx="73">
                  <c:v>1.9998006733065399E-2</c:v>
                </c:pt>
                <c:pt idx="74">
                  <c:v>1.0204081632653073E-2</c:v>
                </c:pt>
                <c:pt idx="75">
                  <c:v>1.0309278350515427E-2</c:v>
                </c:pt>
                <c:pt idx="76">
                  <c:v>1.0309278350515427E-2</c:v>
                </c:pt>
                <c:pt idx="77">
                  <c:v>1.041666666666663E-2</c:v>
                </c:pt>
                <c:pt idx="78">
                  <c:v>1.0869565217391353E-2</c:v>
                </c:pt>
                <c:pt idx="79">
                  <c:v>1.1764705882352899E-2</c:v>
                </c:pt>
                <c:pt idx="80">
                  <c:v>1.2499999999999956E-2</c:v>
                </c:pt>
                <c:pt idx="81">
                  <c:v>1.2658227848101222E-2</c:v>
                </c:pt>
                <c:pt idx="82">
                  <c:v>1.3333333333333308E-2</c:v>
                </c:pt>
                <c:pt idx="83">
                  <c:v>1.388888888888884E-2</c:v>
                </c:pt>
                <c:pt idx="84">
                  <c:v>1.4084507042253502E-2</c:v>
                </c:pt>
                <c:pt idx="85">
                  <c:v>1.5625E-2</c:v>
                </c:pt>
                <c:pt idx="86">
                  <c:v>1.6393442622950838E-2</c:v>
                </c:pt>
                <c:pt idx="87">
                  <c:v>1.6666666666666718E-2</c:v>
                </c:pt>
                <c:pt idx="88">
                  <c:v>1.7241379310344862E-2</c:v>
                </c:pt>
                <c:pt idx="89">
                  <c:v>1.7857142857142905E-2</c:v>
                </c:pt>
                <c:pt idx="90">
                  <c:v>1.9230769230769273E-2</c:v>
                </c:pt>
                <c:pt idx="91">
                  <c:v>1.9607843137254943E-2</c:v>
                </c:pt>
                <c:pt idx="92">
                  <c:v>2.5000000000000022E-2</c:v>
                </c:pt>
                <c:pt idx="93">
                  <c:v>2.5641025641025661E-2</c:v>
                </c:pt>
                <c:pt idx="94">
                  <c:v>2.6315789473684181E-2</c:v>
                </c:pt>
                <c:pt idx="95">
                  <c:v>2.6315789473684181E-2</c:v>
                </c:pt>
                <c:pt idx="96">
                  <c:v>2.8571428571428581E-2</c:v>
                </c:pt>
                <c:pt idx="97">
                  <c:v>3.125E-2</c:v>
                </c:pt>
                <c:pt idx="98">
                  <c:v>3.7037037037036979E-2</c:v>
                </c:pt>
                <c:pt idx="99">
                  <c:v>3.7037037037036979E-2</c:v>
                </c:pt>
                <c:pt idx="100">
                  <c:v>3.8461538461538436E-2</c:v>
                </c:pt>
                <c:pt idx="101">
                  <c:v>4.166666666666663E-2</c:v>
                </c:pt>
                <c:pt idx="102">
                  <c:v>4.166666666666663E-2</c:v>
                </c:pt>
                <c:pt idx="103">
                  <c:v>4.3478260869565188E-2</c:v>
                </c:pt>
                <c:pt idx="104">
                  <c:v>4.3478260869565188E-2</c:v>
                </c:pt>
                <c:pt idx="105">
                  <c:v>4.3478260869565188E-2</c:v>
                </c:pt>
                <c:pt idx="106">
                  <c:v>4.7619047619047672E-2</c:v>
                </c:pt>
                <c:pt idx="107">
                  <c:v>6.25E-2</c:v>
                </c:pt>
                <c:pt idx="108">
                  <c:v>6.25E-2</c:v>
                </c:pt>
                <c:pt idx="109">
                  <c:v>6.6666666666666652E-2</c:v>
                </c:pt>
                <c:pt idx="110">
                  <c:v>7.1428571428571397E-2</c:v>
                </c:pt>
                <c:pt idx="111">
                  <c:v>9.9999999999999978E-2</c:v>
                </c:pt>
                <c:pt idx="112">
                  <c:v>0.14285714285714279</c:v>
                </c:pt>
                <c:pt idx="113">
                  <c:v>0.19999999999999996</c:v>
                </c:pt>
                <c:pt idx="114">
                  <c:v>0.5</c:v>
                </c:pt>
                <c:pt idx="115">
                  <c:v>0.5</c:v>
                </c:pt>
              </c:numCache>
            </c:numRef>
          </c:yVal>
          <c:smooth val="0"/>
          <c:extLst>
            <c:ext xmlns:c16="http://schemas.microsoft.com/office/drawing/2014/chart" uri="{C3380CC4-5D6E-409C-BE32-E72D297353CC}">
              <c16:uniqueId val="{00000002-0A15-48CB-84CF-F0E9A8C015A8}"/>
            </c:ext>
          </c:extLst>
        </c:ser>
        <c:dLbls>
          <c:showLegendKey val="0"/>
          <c:showVal val="0"/>
          <c:showCatName val="0"/>
          <c:showSerName val="0"/>
          <c:showPercent val="0"/>
          <c:showBubbleSize val="0"/>
        </c:dLbls>
        <c:axId val="1499969376"/>
        <c:axId val="1499955648"/>
      </c:scatterChart>
      <c:valAx>
        <c:axId val="1499969376"/>
        <c:scaling>
          <c:logBase val="2"/>
          <c:orientation val="minMax"/>
          <c:max val="4340000"/>
          <c:min val="500"/>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en-US"/>
          </a:p>
        </c:txPr>
        <c:crossAx val="1499955648"/>
        <c:crosses val="autoZero"/>
        <c:crossBetween val="midCat"/>
        <c:majorUnit val="4"/>
      </c:valAx>
      <c:valAx>
        <c:axId val="1499955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rgbClr val="C00000"/>
                </a:solidFill>
                <a:latin typeface="Arial" panose="020B0604020202020204" pitchFamily="34" charset="0"/>
                <a:ea typeface="+mn-ea"/>
                <a:cs typeface="+mn-cs"/>
              </a:defRPr>
            </a:pPr>
            <a:endParaRPr lang="en-US"/>
          </a:p>
        </c:txPr>
        <c:crossAx val="1499969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horizontalDpi="0" verticalDpi="0"/>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01530531575119"/>
          <c:y val="0.11832269277151167"/>
          <c:w val="0.79516675626390076"/>
          <c:h val="0.65245106693501875"/>
        </c:manualLayout>
      </c:layout>
      <c:scatterChart>
        <c:scatterStyle val="lineMarker"/>
        <c:varyColors val="0"/>
        <c:ser>
          <c:idx val="0"/>
          <c:order val="0"/>
          <c:tx>
            <c:v>Alternate</c:v>
          </c:tx>
          <c:spPr>
            <a:ln w="0" cap="rnd">
              <a:solidFill>
                <a:schemeClr val="accent1"/>
              </a:solidFill>
              <a:round/>
            </a:ln>
            <a:effectLst/>
          </c:spPr>
          <c:marker>
            <c:symbol val="circle"/>
            <c:size val="2"/>
            <c:spPr>
              <a:solidFill>
                <a:schemeClr val="tx1"/>
              </a:solidFill>
              <a:ln w="9525">
                <a:solidFill>
                  <a:schemeClr val="accent1"/>
                </a:solidFill>
              </a:ln>
              <a:effectLst/>
            </c:spPr>
          </c:marker>
          <c:xVal>
            <c:numRef>
              <c:f>'CA-audits'!$M$2:$DX$2</c:f>
              <c:numCache>
                <c:formatCode>_(* #,##0_);_(* \(#,##0\);_(* "-"??_);_(@_)</c:formatCode>
                <c:ptCount val="116"/>
                <c:pt idx="0">
                  <c:v>4338191</c:v>
                </c:pt>
                <c:pt idx="1">
                  <c:v>2122469</c:v>
                </c:pt>
                <c:pt idx="2">
                  <c:v>1627753</c:v>
                </c:pt>
                <c:pt idx="3">
                  <c:v>1546570</c:v>
                </c:pt>
                <c:pt idx="4">
                  <c:v>1016027</c:v>
                </c:pt>
                <c:pt idx="5">
                  <c:v>907602</c:v>
                </c:pt>
                <c:pt idx="6">
                  <c:v>863964</c:v>
                </c:pt>
                <c:pt idx="7">
                  <c:v>852636</c:v>
                </c:pt>
                <c:pt idx="8">
                  <c:v>818021</c:v>
                </c:pt>
                <c:pt idx="9">
                  <c:v>785215</c:v>
                </c:pt>
                <c:pt idx="10">
                  <c:v>729569</c:v>
                </c:pt>
                <c:pt idx="11">
                  <c:v>591143</c:v>
                </c:pt>
                <c:pt idx="12">
                  <c:v>495791</c:v>
                </c:pt>
                <c:pt idx="13">
                  <c:v>482272</c:v>
                </c:pt>
                <c:pt idx="14">
                  <c:v>469968</c:v>
                </c:pt>
                <c:pt idx="15">
                  <c:v>449866</c:v>
                </c:pt>
                <c:pt idx="16">
                  <c:v>429922</c:v>
                </c:pt>
                <c:pt idx="17">
                  <c:v>409351</c:v>
                </c:pt>
                <c:pt idx="18">
                  <c:v>391935</c:v>
                </c:pt>
                <c:pt idx="19">
                  <c:v>380077</c:v>
                </c:pt>
                <c:pt idx="20">
                  <c:v>370068</c:v>
                </c:pt>
                <c:pt idx="21">
                  <c:v>330514</c:v>
                </c:pt>
                <c:pt idx="22">
                  <c:v>309143</c:v>
                </c:pt>
                <c:pt idx="23">
                  <c:v>305184</c:v>
                </c:pt>
                <c:pt idx="24">
                  <c:v>292818</c:v>
                </c:pt>
                <c:pt idx="25">
                  <c:v>272244</c:v>
                </c:pt>
                <c:pt idx="26">
                  <c:v>239396</c:v>
                </c:pt>
                <c:pt idx="27">
                  <c:v>239315</c:v>
                </c:pt>
                <c:pt idx="28">
                  <c:v>228291</c:v>
                </c:pt>
                <c:pt idx="29">
                  <c:v>217517</c:v>
                </c:pt>
                <c:pt idx="30">
                  <c:v>209002</c:v>
                </c:pt>
                <c:pt idx="31">
                  <c:v>203506</c:v>
                </c:pt>
                <c:pt idx="32">
                  <c:v>199118</c:v>
                </c:pt>
                <c:pt idx="33">
                  <c:v>187208</c:v>
                </c:pt>
                <c:pt idx="34">
                  <c:v>165976</c:v>
                </c:pt>
                <c:pt idx="35">
                  <c:v>162615</c:v>
                </c:pt>
                <c:pt idx="36">
                  <c:v>162116</c:v>
                </c:pt>
                <c:pt idx="37">
                  <c:v>158103</c:v>
                </c:pt>
                <c:pt idx="38">
                  <c:v>150482</c:v>
                </c:pt>
                <c:pt idx="39">
                  <c:v>148677</c:v>
                </c:pt>
                <c:pt idx="40">
                  <c:v>146857</c:v>
                </c:pt>
                <c:pt idx="41">
                  <c:v>142604</c:v>
                </c:pt>
                <c:pt idx="42">
                  <c:v>133274</c:v>
                </c:pt>
                <c:pt idx="43">
                  <c:v>118133</c:v>
                </c:pt>
                <c:pt idx="44">
                  <c:v>115923</c:v>
                </c:pt>
                <c:pt idx="45">
                  <c:v>113666</c:v>
                </c:pt>
                <c:pt idx="46">
                  <c:v>111578</c:v>
                </c:pt>
                <c:pt idx="47">
                  <c:v>111239</c:v>
                </c:pt>
                <c:pt idx="48">
                  <c:v>103900</c:v>
                </c:pt>
                <c:pt idx="49">
                  <c:v>103635</c:v>
                </c:pt>
                <c:pt idx="50">
                  <c:v>99040</c:v>
                </c:pt>
                <c:pt idx="51">
                  <c:v>94084</c:v>
                </c:pt>
                <c:pt idx="52">
                  <c:v>92424</c:v>
                </c:pt>
                <c:pt idx="53">
                  <c:v>91603</c:v>
                </c:pt>
                <c:pt idx="54">
                  <c:v>75708</c:v>
                </c:pt>
                <c:pt idx="55">
                  <c:v>73605</c:v>
                </c:pt>
                <c:pt idx="56">
                  <c:v>73269</c:v>
                </c:pt>
                <c:pt idx="57">
                  <c:v>69932</c:v>
                </c:pt>
                <c:pt idx="58">
                  <c:v>67539</c:v>
                </c:pt>
                <c:pt idx="59">
                  <c:v>65800</c:v>
                </c:pt>
                <c:pt idx="60">
                  <c:v>64858</c:v>
                </c:pt>
                <c:pt idx="61">
                  <c:v>58362</c:v>
                </c:pt>
                <c:pt idx="62">
                  <c:v>57366</c:v>
                </c:pt>
                <c:pt idx="63">
                  <c:v>54392</c:v>
                </c:pt>
                <c:pt idx="64">
                  <c:v>47969</c:v>
                </c:pt>
                <c:pt idx="65">
                  <c:v>47314</c:v>
                </c:pt>
                <c:pt idx="66">
                  <c:v>46275</c:v>
                </c:pt>
                <c:pt idx="67">
                  <c:v>45265</c:v>
                </c:pt>
                <c:pt idx="68">
                  <c:v>44442</c:v>
                </c:pt>
                <c:pt idx="69">
                  <c:v>44135</c:v>
                </c:pt>
                <c:pt idx="70">
                  <c:v>43264</c:v>
                </c:pt>
                <c:pt idx="71">
                  <c:v>31373</c:v>
                </c:pt>
                <c:pt idx="72">
                  <c:v>30829</c:v>
                </c:pt>
                <c:pt idx="73">
                  <c:v>30201</c:v>
                </c:pt>
                <c:pt idx="74">
                  <c:v>29527</c:v>
                </c:pt>
                <c:pt idx="75">
                  <c:v>29207</c:v>
                </c:pt>
                <c:pt idx="76">
                  <c:v>29078</c:v>
                </c:pt>
                <c:pt idx="77">
                  <c:v>28812</c:v>
                </c:pt>
                <c:pt idx="78">
                  <c:v>27524</c:v>
                </c:pt>
                <c:pt idx="79">
                  <c:v>25593</c:v>
                </c:pt>
                <c:pt idx="80">
                  <c:v>23885</c:v>
                </c:pt>
                <c:pt idx="81">
                  <c:v>23796</c:v>
                </c:pt>
                <c:pt idx="82">
                  <c:v>22620</c:v>
                </c:pt>
                <c:pt idx="83">
                  <c:v>21486</c:v>
                </c:pt>
                <c:pt idx="84">
                  <c:v>21248</c:v>
                </c:pt>
                <c:pt idx="85">
                  <c:v>19089</c:v>
                </c:pt>
                <c:pt idx="86">
                  <c:v>18285</c:v>
                </c:pt>
                <c:pt idx="87">
                  <c:v>17902</c:v>
                </c:pt>
                <c:pt idx="88">
                  <c:v>17346</c:v>
                </c:pt>
                <c:pt idx="89">
                  <c:v>16659</c:v>
                </c:pt>
                <c:pt idx="90">
                  <c:v>15703</c:v>
                </c:pt>
                <c:pt idx="91">
                  <c:v>15364</c:v>
                </c:pt>
                <c:pt idx="92">
                  <c:v>12122</c:v>
                </c:pt>
                <c:pt idx="93">
                  <c:v>11624</c:v>
                </c:pt>
                <c:pt idx="94">
                  <c:v>11455</c:v>
                </c:pt>
                <c:pt idx="95">
                  <c:v>11422</c:v>
                </c:pt>
                <c:pt idx="96">
                  <c:v>10410</c:v>
                </c:pt>
                <c:pt idx="97">
                  <c:v>9624</c:v>
                </c:pt>
                <c:pt idx="98">
                  <c:v>8218</c:v>
                </c:pt>
                <c:pt idx="99">
                  <c:v>8039</c:v>
                </c:pt>
                <c:pt idx="100">
                  <c:v>7762</c:v>
                </c:pt>
                <c:pt idx="101">
                  <c:v>7254</c:v>
                </c:pt>
                <c:pt idx="102">
                  <c:v>7214</c:v>
                </c:pt>
                <c:pt idx="103">
                  <c:v>6986</c:v>
                </c:pt>
                <c:pt idx="104">
                  <c:v>6833</c:v>
                </c:pt>
                <c:pt idx="105">
                  <c:v>6828</c:v>
                </c:pt>
                <c:pt idx="106">
                  <c:v>6387</c:v>
                </c:pt>
                <c:pt idx="107">
                  <c:v>4883</c:v>
                </c:pt>
                <c:pt idx="108">
                  <c:v>4878</c:v>
                </c:pt>
                <c:pt idx="109">
                  <c:v>4403</c:v>
                </c:pt>
                <c:pt idx="110">
                  <c:v>4267</c:v>
                </c:pt>
                <c:pt idx="111">
                  <c:v>3022</c:v>
                </c:pt>
                <c:pt idx="112">
                  <c:v>1964</c:v>
                </c:pt>
                <c:pt idx="113">
                  <c:v>1389</c:v>
                </c:pt>
                <c:pt idx="114">
                  <c:v>749</c:v>
                </c:pt>
                <c:pt idx="115">
                  <c:v>510</c:v>
                </c:pt>
              </c:numCache>
            </c:numRef>
          </c:xVal>
          <c:yVal>
            <c:numRef>
              <c:f>'CA-audits'!$M$27:$DX$27</c:f>
              <c:numCache>
                <c:formatCode>_(* #,##0_);_(* \(#,##0\);_(* "-"??_);_(@_)</c:formatCode>
                <c:ptCount val="116"/>
                <c:pt idx="0">
                  <c:v>230</c:v>
                </c:pt>
                <c:pt idx="1">
                  <c:v>230</c:v>
                </c:pt>
                <c:pt idx="2">
                  <c:v>230</c:v>
                </c:pt>
                <c:pt idx="3">
                  <c:v>230</c:v>
                </c:pt>
                <c:pt idx="4">
                  <c:v>230</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pt idx="19">
                  <c:v>230</c:v>
                </c:pt>
                <c:pt idx="20">
                  <c:v>230</c:v>
                </c:pt>
                <c:pt idx="21">
                  <c:v>230</c:v>
                </c:pt>
                <c:pt idx="22">
                  <c:v>230</c:v>
                </c:pt>
                <c:pt idx="23">
                  <c:v>230</c:v>
                </c:pt>
                <c:pt idx="24">
                  <c:v>230</c:v>
                </c:pt>
                <c:pt idx="25">
                  <c:v>230</c:v>
                </c:pt>
                <c:pt idx="26">
                  <c:v>230</c:v>
                </c:pt>
                <c:pt idx="27">
                  <c:v>230</c:v>
                </c:pt>
                <c:pt idx="28">
                  <c:v>230</c:v>
                </c:pt>
                <c:pt idx="29">
                  <c:v>230</c:v>
                </c:pt>
                <c:pt idx="30">
                  <c:v>230</c:v>
                </c:pt>
                <c:pt idx="31">
                  <c:v>230</c:v>
                </c:pt>
                <c:pt idx="32">
                  <c:v>230</c:v>
                </c:pt>
                <c:pt idx="33">
                  <c:v>230</c:v>
                </c:pt>
                <c:pt idx="34">
                  <c:v>230</c:v>
                </c:pt>
                <c:pt idx="35">
                  <c:v>230</c:v>
                </c:pt>
                <c:pt idx="36">
                  <c:v>230</c:v>
                </c:pt>
                <c:pt idx="37">
                  <c:v>230</c:v>
                </c:pt>
                <c:pt idx="38">
                  <c:v>230</c:v>
                </c:pt>
                <c:pt idx="39">
                  <c:v>230</c:v>
                </c:pt>
                <c:pt idx="40">
                  <c:v>230</c:v>
                </c:pt>
                <c:pt idx="41">
                  <c:v>230</c:v>
                </c:pt>
                <c:pt idx="42">
                  <c:v>230</c:v>
                </c:pt>
                <c:pt idx="43">
                  <c:v>230</c:v>
                </c:pt>
                <c:pt idx="44">
                  <c:v>230</c:v>
                </c:pt>
                <c:pt idx="45">
                  <c:v>230</c:v>
                </c:pt>
                <c:pt idx="46">
                  <c:v>230</c:v>
                </c:pt>
                <c:pt idx="47">
                  <c:v>230</c:v>
                </c:pt>
                <c:pt idx="48">
                  <c:v>230</c:v>
                </c:pt>
                <c:pt idx="49">
                  <c:v>230</c:v>
                </c:pt>
                <c:pt idx="50">
                  <c:v>230</c:v>
                </c:pt>
                <c:pt idx="51">
                  <c:v>230</c:v>
                </c:pt>
                <c:pt idx="52">
                  <c:v>230</c:v>
                </c:pt>
                <c:pt idx="53">
                  <c:v>230</c:v>
                </c:pt>
                <c:pt idx="54">
                  <c:v>230</c:v>
                </c:pt>
                <c:pt idx="55">
                  <c:v>230</c:v>
                </c:pt>
                <c:pt idx="56">
                  <c:v>230</c:v>
                </c:pt>
                <c:pt idx="57">
                  <c:v>230</c:v>
                </c:pt>
                <c:pt idx="58">
                  <c:v>230</c:v>
                </c:pt>
                <c:pt idx="59">
                  <c:v>230</c:v>
                </c:pt>
                <c:pt idx="60">
                  <c:v>230</c:v>
                </c:pt>
                <c:pt idx="61">
                  <c:v>230</c:v>
                </c:pt>
                <c:pt idx="62">
                  <c:v>230</c:v>
                </c:pt>
                <c:pt idx="63">
                  <c:v>230</c:v>
                </c:pt>
                <c:pt idx="64">
                  <c:v>230</c:v>
                </c:pt>
                <c:pt idx="65">
                  <c:v>230</c:v>
                </c:pt>
                <c:pt idx="66">
                  <c:v>230</c:v>
                </c:pt>
                <c:pt idx="67">
                  <c:v>230</c:v>
                </c:pt>
                <c:pt idx="68">
                  <c:v>230</c:v>
                </c:pt>
                <c:pt idx="69">
                  <c:v>230</c:v>
                </c:pt>
                <c:pt idx="70">
                  <c:v>230</c:v>
                </c:pt>
                <c:pt idx="71">
                  <c:v>230</c:v>
                </c:pt>
                <c:pt idx="72">
                  <c:v>230</c:v>
                </c:pt>
                <c:pt idx="73">
                  <c:v>230</c:v>
                </c:pt>
                <c:pt idx="74">
                  <c:v>230</c:v>
                </c:pt>
                <c:pt idx="75">
                  <c:v>230</c:v>
                </c:pt>
                <c:pt idx="76">
                  <c:v>230</c:v>
                </c:pt>
                <c:pt idx="77">
                  <c:v>230</c:v>
                </c:pt>
                <c:pt idx="78">
                  <c:v>230</c:v>
                </c:pt>
                <c:pt idx="79">
                  <c:v>230</c:v>
                </c:pt>
                <c:pt idx="80">
                  <c:v>230</c:v>
                </c:pt>
                <c:pt idx="81">
                  <c:v>230</c:v>
                </c:pt>
                <c:pt idx="82">
                  <c:v>230</c:v>
                </c:pt>
                <c:pt idx="83">
                  <c:v>230</c:v>
                </c:pt>
                <c:pt idx="84">
                  <c:v>230</c:v>
                </c:pt>
                <c:pt idx="85">
                  <c:v>230</c:v>
                </c:pt>
                <c:pt idx="86">
                  <c:v>230</c:v>
                </c:pt>
                <c:pt idx="87">
                  <c:v>230</c:v>
                </c:pt>
                <c:pt idx="88">
                  <c:v>230</c:v>
                </c:pt>
                <c:pt idx="89">
                  <c:v>230</c:v>
                </c:pt>
                <c:pt idx="90">
                  <c:v>230</c:v>
                </c:pt>
                <c:pt idx="91">
                  <c:v>230</c:v>
                </c:pt>
                <c:pt idx="92">
                  <c:v>230</c:v>
                </c:pt>
                <c:pt idx="93">
                  <c:v>230</c:v>
                </c:pt>
                <c:pt idx="94">
                  <c:v>230</c:v>
                </c:pt>
                <c:pt idx="95">
                  <c:v>230</c:v>
                </c:pt>
                <c:pt idx="96">
                  <c:v>230</c:v>
                </c:pt>
                <c:pt idx="97">
                  <c:v>230</c:v>
                </c:pt>
                <c:pt idx="98">
                  <c:v>230</c:v>
                </c:pt>
                <c:pt idx="99">
                  <c:v>230</c:v>
                </c:pt>
                <c:pt idx="100">
                  <c:v>230</c:v>
                </c:pt>
                <c:pt idx="101">
                  <c:v>230</c:v>
                </c:pt>
                <c:pt idx="102">
                  <c:v>230</c:v>
                </c:pt>
                <c:pt idx="103">
                  <c:v>230</c:v>
                </c:pt>
                <c:pt idx="104">
                  <c:v>230</c:v>
                </c:pt>
                <c:pt idx="105">
                  <c:v>230</c:v>
                </c:pt>
                <c:pt idx="106">
                  <c:v>230</c:v>
                </c:pt>
                <c:pt idx="107">
                  <c:v>230</c:v>
                </c:pt>
                <c:pt idx="108">
                  <c:v>230</c:v>
                </c:pt>
                <c:pt idx="109">
                  <c:v>230</c:v>
                </c:pt>
                <c:pt idx="110">
                  <c:v>230</c:v>
                </c:pt>
                <c:pt idx="111">
                  <c:v>230</c:v>
                </c:pt>
                <c:pt idx="112">
                  <c:v>230</c:v>
                </c:pt>
                <c:pt idx="113">
                  <c:v>230</c:v>
                </c:pt>
                <c:pt idx="114">
                  <c:v>230</c:v>
                </c:pt>
                <c:pt idx="115">
                  <c:v>230</c:v>
                </c:pt>
              </c:numCache>
            </c:numRef>
          </c:yVal>
          <c:smooth val="0"/>
          <c:extLst>
            <c:ext xmlns:c16="http://schemas.microsoft.com/office/drawing/2014/chart" uri="{C3380CC4-5D6E-409C-BE32-E72D297353CC}">
              <c16:uniqueId val="{00000000-78DB-4784-90CA-CD820821787B}"/>
            </c:ext>
          </c:extLst>
        </c:ser>
        <c:ser>
          <c:idx val="1"/>
          <c:order val="1"/>
          <c:tx>
            <c:v>traditional</c:v>
          </c:tx>
          <c:spPr>
            <a:ln w="0" cap="rnd">
              <a:solidFill>
                <a:schemeClr val="accent2"/>
              </a:solidFill>
              <a:round/>
            </a:ln>
            <a:effectLst/>
          </c:spPr>
          <c:marker>
            <c:symbol val="circle"/>
            <c:size val="2"/>
            <c:spPr>
              <a:solidFill>
                <a:schemeClr val="accent2"/>
              </a:solidFill>
              <a:ln w="9525">
                <a:solidFill>
                  <a:schemeClr val="accent2"/>
                </a:solidFill>
              </a:ln>
              <a:effectLst/>
            </c:spPr>
          </c:marker>
          <c:xVal>
            <c:numRef>
              <c:f>'CA-audits'!$M$2:$DX$2</c:f>
              <c:numCache>
                <c:formatCode>_(* #,##0_);_(* \(#,##0\);_(* "-"??_);_(@_)</c:formatCode>
                <c:ptCount val="116"/>
                <c:pt idx="0">
                  <c:v>4338191</c:v>
                </c:pt>
                <c:pt idx="1">
                  <c:v>2122469</c:v>
                </c:pt>
                <c:pt idx="2">
                  <c:v>1627753</c:v>
                </c:pt>
                <c:pt idx="3">
                  <c:v>1546570</c:v>
                </c:pt>
                <c:pt idx="4">
                  <c:v>1016027</c:v>
                </c:pt>
                <c:pt idx="5">
                  <c:v>907602</c:v>
                </c:pt>
                <c:pt idx="6">
                  <c:v>863964</c:v>
                </c:pt>
                <c:pt idx="7">
                  <c:v>852636</c:v>
                </c:pt>
                <c:pt idx="8">
                  <c:v>818021</c:v>
                </c:pt>
                <c:pt idx="9">
                  <c:v>785215</c:v>
                </c:pt>
                <c:pt idx="10">
                  <c:v>729569</c:v>
                </c:pt>
                <c:pt idx="11">
                  <c:v>591143</c:v>
                </c:pt>
                <c:pt idx="12">
                  <c:v>495791</c:v>
                </c:pt>
                <c:pt idx="13">
                  <c:v>482272</c:v>
                </c:pt>
                <c:pt idx="14">
                  <c:v>469968</c:v>
                </c:pt>
                <c:pt idx="15">
                  <c:v>449866</c:v>
                </c:pt>
                <c:pt idx="16">
                  <c:v>429922</c:v>
                </c:pt>
                <c:pt idx="17">
                  <c:v>409351</c:v>
                </c:pt>
                <c:pt idx="18">
                  <c:v>391935</c:v>
                </c:pt>
                <c:pt idx="19">
                  <c:v>380077</c:v>
                </c:pt>
                <c:pt idx="20">
                  <c:v>370068</c:v>
                </c:pt>
                <c:pt idx="21">
                  <c:v>330514</c:v>
                </c:pt>
                <c:pt idx="22">
                  <c:v>309143</c:v>
                </c:pt>
                <c:pt idx="23">
                  <c:v>305184</c:v>
                </c:pt>
                <c:pt idx="24">
                  <c:v>292818</c:v>
                </c:pt>
                <c:pt idx="25">
                  <c:v>272244</c:v>
                </c:pt>
                <c:pt idx="26">
                  <c:v>239396</c:v>
                </c:pt>
                <c:pt idx="27">
                  <c:v>239315</c:v>
                </c:pt>
                <c:pt idx="28">
                  <c:v>228291</c:v>
                </c:pt>
                <c:pt idx="29">
                  <c:v>217517</c:v>
                </c:pt>
                <c:pt idx="30">
                  <c:v>209002</c:v>
                </c:pt>
                <c:pt idx="31">
                  <c:v>203506</c:v>
                </c:pt>
                <c:pt idx="32">
                  <c:v>199118</c:v>
                </c:pt>
                <c:pt idx="33">
                  <c:v>187208</c:v>
                </c:pt>
                <c:pt idx="34">
                  <c:v>165976</c:v>
                </c:pt>
                <c:pt idx="35">
                  <c:v>162615</c:v>
                </c:pt>
                <c:pt idx="36">
                  <c:v>162116</c:v>
                </c:pt>
                <c:pt idx="37">
                  <c:v>158103</c:v>
                </c:pt>
                <c:pt idx="38">
                  <c:v>150482</c:v>
                </c:pt>
                <c:pt idx="39">
                  <c:v>148677</c:v>
                </c:pt>
                <c:pt idx="40">
                  <c:v>146857</c:v>
                </c:pt>
                <c:pt idx="41">
                  <c:v>142604</c:v>
                </c:pt>
                <c:pt idx="42">
                  <c:v>133274</c:v>
                </c:pt>
                <c:pt idx="43">
                  <c:v>118133</c:v>
                </c:pt>
                <c:pt idx="44">
                  <c:v>115923</c:v>
                </c:pt>
                <c:pt idx="45">
                  <c:v>113666</c:v>
                </c:pt>
                <c:pt idx="46">
                  <c:v>111578</c:v>
                </c:pt>
                <c:pt idx="47">
                  <c:v>111239</c:v>
                </c:pt>
                <c:pt idx="48">
                  <c:v>103900</c:v>
                </c:pt>
                <c:pt idx="49">
                  <c:v>103635</c:v>
                </c:pt>
                <c:pt idx="50">
                  <c:v>99040</c:v>
                </c:pt>
                <c:pt idx="51">
                  <c:v>94084</c:v>
                </c:pt>
                <c:pt idx="52">
                  <c:v>92424</c:v>
                </c:pt>
                <c:pt idx="53">
                  <c:v>91603</c:v>
                </c:pt>
                <c:pt idx="54">
                  <c:v>75708</c:v>
                </c:pt>
                <c:pt idx="55">
                  <c:v>73605</c:v>
                </c:pt>
                <c:pt idx="56">
                  <c:v>73269</c:v>
                </c:pt>
                <c:pt idx="57">
                  <c:v>69932</c:v>
                </c:pt>
                <c:pt idx="58">
                  <c:v>67539</c:v>
                </c:pt>
                <c:pt idx="59">
                  <c:v>65800</c:v>
                </c:pt>
                <c:pt idx="60">
                  <c:v>64858</c:v>
                </c:pt>
                <c:pt idx="61">
                  <c:v>58362</c:v>
                </c:pt>
                <c:pt idx="62">
                  <c:v>57366</c:v>
                </c:pt>
                <c:pt idx="63">
                  <c:v>54392</c:v>
                </c:pt>
                <c:pt idx="64">
                  <c:v>47969</c:v>
                </c:pt>
                <c:pt idx="65">
                  <c:v>47314</c:v>
                </c:pt>
                <c:pt idx="66">
                  <c:v>46275</c:v>
                </c:pt>
                <c:pt idx="67">
                  <c:v>45265</c:v>
                </c:pt>
                <c:pt idx="68">
                  <c:v>44442</c:v>
                </c:pt>
                <c:pt idx="69">
                  <c:v>44135</c:v>
                </c:pt>
                <c:pt idx="70">
                  <c:v>43264</c:v>
                </c:pt>
                <c:pt idx="71">
                  <c:v>31373</c:v>
                </c:pt>
                <c:pt idx="72">
                  <c:v>30829</c:v>
                </c:pt>
                <c:pt idx="73">
                  <c:v>30201</c:v>
                </c:pt>
                <c:pt idx="74">
                  <c:v>29527</c:v>
                </c:pt>
                <c:pt idx="75">
                  <c:v>29207</c:v>
                </c:pt>
                <c:pt idx="76">
                  <c:v>29078</c:v>
                </c:pt>
                <c:pt idx="77">
                  <c:v>28812</c:v>
                </c:pt>
                <c:pt idx="78">
                  <c:v>27524</c:v>
                </c:pt>
                <c:pt idx="79">
                  <c:v>25593</c:v>
                </c:pt>
                <c:pt idx="80">
                  <c:v>23885</c:v>
                </c:pt>
                <c:pt idx="81">
                  <c:v>23796</c:v>
                </c:pt>
                <c:pt idx="82">
                  <c:v>22620</c:v>
                </c:pt>
                <c:pt idx="83">
                  <c:v>21486</c:v>
                </c:pt>
                <c:pt idx="84">
                  <c:v>21248</c:v>
                </c:pt>
                <c:pt idx="85">
                  <c:v>19089</c:v>
                </c:pt>
                <c:pt idx="86">
                  <c:v>18285</c:v>
                </c:pt>
                <c:pt idx="87">
                  <c:v>17902</c:v>
                </c:pt>
                <c:pt idx="88">
                  <c:v>17346</c:v>
                </c:pt>
                <c:pt idx="89">
                  <c:v>16659</c:v>
                </c:pt>
                <c:pt idx="90">
                  <c:v>15703</c:v>
                </c:pt>
                <c:pt idx="91">
                  <c:v>15364</c:v>
                </c:pt>
                <c:pt idx="92">
                  <c:v>12122</c:v>
                </c:pt>
                <c:pt idx="93">
                  <c:v>11624</c:v>
                </c:pt>
                <c:pt idx="94">
                  <c:v>11455</c:v>
                </c:pt>
                <c:pt idx="95">
                  <c:v>11422</c:v>
                </c:pt>
                <c:pt idx="96">
                  <c:v>10410</c:v>
                </c:pt>
                <c:pt idx="97">
                  <c:v>9624</c:v>
                </c:pt>
                <c:pt idx="98">
                  <c:v>8218</c:v>
                </c:pt>
                <c:pt idx="99">
                  <c:v>8039</c:v>
                </c:pt>
                <c:pt idx="100">
                  <c:v>7762</c:v>
                </c:pt>
                <c:pt idx="101">
                  <c:v>7254</c:v>
                </c:pt>
                <c:pt idx="102">
                  <c:v>7214</c:v>
                </c:pt>
                <c:pt idx="103">
                  <c:v>6986</c:v>
                </c:pt>
                <c:pt idx="104">
                  <c:v>6833</c:v>
                </c:pt>
                <c:pt idx="105">
                  <c:v>6828</c:v>
                </c:pt>
                <c:pt idx="106">
                  <c:v>6387</c:v>
                </c:pt>
                <c:pt idx="107">
                  <c:v>4883</c:v>
                </c:pt>
                <c:pt idx="108">
                  <c:v>4878</c:v>
                </c:pt>
                <c:pt idx="109">
                  <c:v>4403</c:v>
                </c:pt>
                <c:pt idx="110">
                  <c:v>4267</c:v>
                </c:pt>
                <c:pt idx="111">
                  <c:v>3022</c:v>
                </c:pt>
                <c:pt idx="112">
                  <c:v>1964</c:v>
                </c:pt>
                <c:pt idx="113">
                  <c:v>1389</c:v>
                </c:pt>
                <c:pt idx="114">
                  <c:v>749</c:v>
                </c:pt>
                <c:pt idx="115">
                  <c:v>510</c:v>
                </c:pt>
              </c:numCache>
            </c:numRef>
          </c:xVal>
          <c:yVal>
            <c:numRef>
              <c:f>'CA-audits'!$M$13:$DX$13</c:f>
              <c:numCache>
                <c:formatCode>_(* #,##0_);_(* \(#,##0\);_(* "-"??_);_(@_)</c:formatCode>
                <c:ptCount val="116"/>
                <c:pt idx="0">
                  <c:v>43383.000000000007</c:v>
                </c:pt>
                <c:pt idx="1">
                  <c:v>21225</c:v>
                </c:pt>
                <c:pt idx="2">
                  <c:v>16278</c:v>
                </c:pt>
                <c:pt idx="3">
                  <c:v>15465.000000000002</c:v>
                </c:pt>
                <c:pt idx="4">
                  <c:v>10161</c:v>
                </c:pt>
                <c:pt idx="5">
                  <c:v>9075</c:v>
                </c:pt>
                <c:pt idx="6">
                  <c:v>8640</c:v>
                </c:pt>
                <c:pt idx="7">
                  <c:v>8526</c:v>
                </c:pt>
                <c:pt idx="8">
                  <c:v>8181</c:v>
                </c:pt>
                <c:pt idx="9">
                  <c:v>7851.0000000000009</c:v>
                </c:pt>
                <c:pt idx="10">
                  <c:v>7296</c:v>
                </c:pt>
                <c:pt idx="11">
                  <c:v>5910</c:v>
                </c:pt>
                <c:pt idx="12">
                  <c:v>4959</c:v>
                </c:pt>
                <c:pt idx="13">
                  <c:v>4824.0000000000009</c:v>
                </c:pt>
                <c:pt idx="14">
                  <c:v>4701</c:v>
                </c:pt>
                <c:pt idx="15">
                  <c:v>4500</c:v>
                </c:pt>
                <c:pt idx="16">
                  <c:v>4299</c:v>
                </c:pt>
                <c:pt idx="17">
                  <c:v>4095</c:v>
                </c:pt>
                <c:pt idx="18">
                  <c:v>3918</c:v>
                </c:pt>
                <c:pt idx="19">
                  <c:v>3801</c:v>
                </c:pt>
                <c:pt idx="20">
                  <c:v>3702</c:v>
                </c:pt>
                <c:pt idx="21">
                  <c:v>3306</c:v>
                </c:pt>
                <c:pt idx="22">
                  <c:v>3090</c:v>
                </c:pt>
                <c:pt idx="23">
                  <c:v>3051</c:v>
                </c:pt>
                <c:pt idx="24">
                  <c:v>2928</c:v>
                </c:pt>
                <c:pt idx="25">
                  <c:v>2721</c:v>
                </c:pt>
                <c:pt idx="26">
                  <c:v>2394</c:v>
                </c:pt>
                <c:pt idx="27">
                  <c:v>2394</c:v>
                </c:pt>
                <c:pt idx="28">
                  <c:v>2283</c:v>
                </c:pt>
                <c:pt idx="29">
                  <c:v>2175</c:v>
                </c:pt>
                <c:pt idx="30">
                  <c:v>2091</c:v>
                </c:pt>
                <c:pt idx="31">
                  <c:v>2034</c:v>
                </c:pt>
                <c:pt idx="32">
                  <c:v>1992.0000000000002</c:v>
                </c:pt>
                <c:pt idx="33">
                  <c:v>1872</c:v>
                </c:pt>
                <c:pt idx="34">
                  <c:v>1659</c:v>
                </c:pt>
                <c:pt idx="35">
                  <c:v>1626</c:v>
                </c:pt>
                <c:pt idx="36">
                  <c:v>1620</c:v>
                </c:pt>
                <c:pt idx="37">
                  <c:v>1581.0000000000002</c:v>
                </c:pt>
                <c:pt idx="38">
                  <c:v>1506.0000000000002</c:v>
                </c:pt>
                <c:pt idx="39">
                  <c:v>1488</c:v>
                </c:pt>
                <c:pt idx="40">
                  <c:v>1470</c:v>
                </c:pt>
                <c:pt idx="41">
                  <c:v>1425</c:v>
                </c:pt>
                <c:pt idx="42">
                  <c:v>1332.0000000000002</c:v>
                </c:pt>
                <c:pt idx="43">
                  <c:v>1182</c:v>
                </c:pt>
                <c:pt idx="44">
                  <c:v>1158</c:v>
                </c:pt>
                <c:pt idx="45">
                  <c:v>1137</c:v>
                </c:pt>
                <c:pt idx="46">
                  <c:v>1116</c:v>
                </c:pt>
                <c:pt idx="47">
                  <c:v>1113</c:v>
                </c:pt>
                <c:pt idx="48">
                  <c:v>1038</c:v>
                </c:pt>
                <c:pt idx="49">
                  <c:v>1035</c:v>
                </c:pt>
                <c:pt idx="50">
                  <c:v>990.00000000000011</c:v>
                </c:pt>
                <c:pt idx="51">
                  <c:v>942</c:v>
                </c:pt>
                <c:pt idx="52">
                  <c:v>924</c:v>
                </c:pt>
                <c:pt idx="53">
                  <c:v>915.00000000000011</c:v>
                </c:pt>
                <c:pt idx="54">
                  <c:v>756</c:v>
                </c:pt>
                <c:pt idx="55">
                  <c:v>735</c:v>
                </c:pt>
                <c:pt idx="56">
                  <c:v>732</c:v>
                </c:pt>
                <c:pt idx="57">
                  <c:v>699</c:v>
                </c:pt>
                <c:pt idx="58">
                  <c:v>675</c:v>
                </c:pt>
                <c:pt idx="59">
                  <c:v>657</c:v>
                </c:pt>
                <c:pt idx="60">
                  <c:v>648</c:v>
                </c:pt>
                <c:pt idx="61">
                  <c:v>585</c:v>
                </c:pt>
                <c:pt idx="62">
                  <c:v>573</c:v>
                </c:pt>
                <c:pt idx="63">
                  <c:v>543</c:v>
                </c:pt>
                <c:pt idx="64">
                  <c:v>480</c:v>
                </c:pt>
                <c:pt idx="65">
                  <c:v>474</c:v>
                </c:pt>
                <c:pt idx="66">
                  <c:v>462</c:v>
                </c:pt>
                <c:pt idx="67">
                  <c:v>453</c:v>
                </c:pt>
                <c:pt idx="68">
                  <c:v>444</c:v>
                </c:pt>
                <c:pt idx="69">
                  <c:v>441</c:v>
                </c:pt>
                <c:pt idx="70">
                  <c:v>432</c:v>
                </c:pt>
                <c:pt idx="71">
                  <c:v>315</c:v>
                </c:pt>
                <c:pt idx="72">
                  <c:v>309</c:v>
                </c:pt>
                <c:pt idx="73">
                  <c:v>303</c:v>
                </c:pt>
                <c:pt idx="74">
                  <c:v>300</c:v>
                </c:pt>
                <c:pt idx="75">
                  <c:v>300</c:v>
                </c:pt>
                <c:pt idx="76">
                  <c:v>300</c:v>
                </c:pt>
                <c:pt idx="77">
                  <c:v>300</c:v>
                </c:pt>
                <c:pt idx="78">
                  <c:v>300</c:v>
                </c:pt>
                <c:pt idx="79">
                  <c:v>300</c:v>
                </c:pt>
                <c:pt idx="80">
                  <c:v>300</c:v>
                </c:pt>
                <c:pt idx="81">
                  <c:v>300</c:v>
                </c:pt>
                <c:pt idx="82">
                  <c:v>300</c:v>
                </c:pt>
                <c:pt idx="83">
                  <c:v>300</c:v>
                </c:pt>
                <c:pt idx="84">
                  <c:v>300</c:v>
                </c:pt>
                <c:pt idx="85">
                  <c:v>300</c:v>
                </c:pt>
                <c:pt idx="86">
                  <c:v>300</c:v>
                </c:pt>
                <c:pt idx="87">
                  <c:v>300</c:v>
                </c:pt>
                <c:pt idx="88">
                  <c:v>300</c:v>
                </c:pt>
                <c:pt idx="89">
                  <c:v>300</c:v>
                </c:pt>
                <c:pt idx="90">
                  <c:v>300</c:v>
                </c:pt>
                <c:pt idx="91">
                  <c:v>300</c:v>
                </c:pt>
                <c:pt idx="92">
                  <c:v>300</c:v>
                </c:pt>
                <c:pt idx="93">
                  <c:v>300</c:v>
                </c:pt>
                <c:pt idx="94">
                  <c:v>300</c:v>
                </c:pt>
                <c:pt idx="95">
                  <c:v>300</c:v>
                </c:pt>
                <c:pt idx="96">
                  <c:v>300</c:v>
                </c:pt>
                <c:pt idx="97">
                  <c:v>300</c:v>
                </c:pt>
                <c:pt idx="98">
                  <c:v>300</c:v>
                </c:pt>
                <c:pt idx="99">
                  <c:v>300</c:v>
                </c:pt>
                <c:pt idx="100">
                  <c:v>300</c:v>
                </c:pt>
                <c:pt idx="101">
                  <c:v>300</c:v>
                </c:pt>
                <c:pt idx="102">
                  <c:v>300</c:v>
                </c:pt>
                <c:pt idx="103">
                  <c:v>300</c:v>
                </c:pt>
                <c:pt idx="104">
                  <c:v>300</c:v>
                </c:pt>
                <c:pt idx="105">
                  <c:v>300</c:v>
                </c:pt>
                <c:pt idx="106">
                  <c:v>300</c:v>
                </c:pt>
                <c:pt idx="107">
                  <c:v>300</c:v>
                </c:pt>
                <c:pt idx="108">
                  <c:v>300</c:v>
                </c:pt>
                <c:pt idx="109">
                  <c:v>300</c:v>
                </c:pt>
                <c:pt idx="110">
                  <c:v>300</c:v>
                </c:pt>
                <c:pt idx="111">
                  <c:v>300</c:v>
                </c:pt>
                <c:pt idx="112">
                  <c:v>300</c:v>
                </c:pt>
                <c:pt idx="113">
                  <c:v>300</c:v>
                </c:pt>
                <c:pt idx="114">
                  <c:v>300</c:v>
                </c:pt>
                <c:pt idx="115">
                  <c:v>300</c:v>
                </c:pt>
              </c:numCache>
            </c:numRef>
          </c:yVal>
          <c:smooth val="0"/>
          <c:extLst>
            <c:ext xmlns:c16="http://schemas.microsoft.com/office/drawing/2014/chart" uri="{C3380CC4-5D6E-409C-BE32-E72D297353CC}">
              <c16:uniqueId val="{00000001-78DB-4784-90CA-CD820821787B}"/>
            </c:ext>
          </c:extLst>
        </c:ser>
        <c:dLbls>
          <c:showLegendKey val="0"/>
          <c:showVal val="0"/>
          <c:showCatName val="0"/>
          <c:showSerName val="0"/>
          <c:showPercent val="0"/>
          <c:showBubbleSize val="0"/>
        </c:dLbls>
        <c:axId val="1499969376"/>
        <c:axId val="1499955648"/>
      </c:scatterChart>
      <c:valAx>
        <c:axId val="1499969376"/>
        <c:scaling>
          <c:logBase val="2"/>
          <c:orientation val="minMax"/>
          <c:max val="4340000"/>
          <c:min val="500"/>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en-US"/>
          </a:p>
        </c:txPr>
        <c:crossAx val="1499955648"/>
        <c:crosses val="autoZero"/>
        <c:crossBetween val="midCat"/>
        <c:majorUnit val="4"/>
      </c:valAx>
      <c:valAx>
        <c:axId val="1499955648"/>
        <c:scaling>
          <c:logBase val="2"/>
          <c:orientation val="minMax"/>
          <c:max val="52000"/>
          <c:min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rgbClr val="006400"/>
                </a:solidFill>
                <a:latin typeface="Arial" panose="020B0604020202020204" pitchFamily="34" charset="0"/>
                <a:ea typeface="+mn-ea"/>
                <a:cs typeface="+mn-cs"/>
              </a:defRPr>
            </a:pPr>
            <a:endParaRPr lang="en-US"/>
          </a:p>
        </c:txPr>
        <c:crossAx val="1499969376"/>
        <c:crosses val="autoZero"/>
        <c:crossBetween val="midCat"/>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20370370370370369"/>
          <c:w val="0.87441207349081362"/>
          <c:h val="0.58299358413531654"/>
        </c:manualLayout>
      </c:layout>
      <c:scatterChart>
        <c:scatterStyle val="lineMarker"/>
        <c:varyColors val="0"/>
        <c:ser>
          <c:idx val="0"/>
          <c:order val="0"/>
          <c:tx>
            <c:strRef>
              <c:f>'PA counties'!$P$1</c:f>
              <c:strCache>
                <c:ptCount val="1"/>
                <c:pt idx="0">
                  <c:v>Sample Size</c:v>
                </c:pt>
              </c:strCache>
            </c:strRef>
          </c:tx>
          <c:spPr>
            <a:ln w="25400" cap="rnd">
              <a:noFill/>
              <a:round/>
            </a:ln>
            <a:effectLst/>
          </c:spPr>
          <c:marker>
            <c:symbol val="dash"/>
            <c:size val="39"/>
            <c:spPr>
              <a:solidFill>
                <a:schemeClr val="accent1"/>
              </a:solidFill>
              <a:ln w="9525">
                <a:noFill/>
              </a:ln>
              <a:effectLst/>
            </c:spPr>
          </c:marker>
          <c:xVal>
            <c:numRef>
              <c:f>'PA counties'!$P$2:$P$8</c:f>
              <c:numCache>
                <c:formatCode>General</c:formatCode>
                <c:ptCount val="7"/>
                <c:pt idx="0">
                  <c:v>300</c:v>
                </c:pt>
                <c:pt idx="1">
                  <c:v>600</c:v>
                </c:pt>
                <c:pt idx="2">
                  <c:v>900</c:v>
                </c:pt>
                <c:pt idx="3">
                  <c:v>1200</c:v>
                </c:pt>
                <c:pt idx="4">
                  <c:v>1500</c:v>
                </c:pt>
                <c:pt idx="5">
                  <c:v>1800</c:v>
                </c:pt>
                <c:pt idx="6">
                  <c:v>2000</c:v>
                </c:pt>
              </c:numCache>
            </c:numRef>
          </c:xVal>
          <c:yVal>
            <c:numRef>
              <c:f>'PA counties'!$Q$2:$Q$8</c:f>
              <c:numCache>
                <c:formatCode>General</c:formatCode>
                <c:ptCount val="7"/>
                <c:pt idx="0">
                  <c:v>8</c:v>
                </c:pt>
                <c:pt idx="1">
                  <c:v>17</c:v>
                </c:pt>
                <c:pt idx="2">
                  <c:v>10</c:v>
                </c:pt>
                <c:pt idx="3">
                  <c:v>4</c:v>
                </c:pt>
                <c:pt idx="4">
                  <c:v>5</c:v>
                </c:pt>
                <c:pt idx="5">
                  <c:v>3</c:v>
                </c:pt>
                <c:pt idx="6">
                  <c:v>20</c:v>
                </c:pt>
              </c:numCache>
            </c:numRef>
          </c:yVal>
          <c:smooth val="0"/>
          <c:extLst>
            <c:ext xmlns:c16="http://schemas.microsoft.com/office/drawing/2014/chart" uri="{C3380CC4-5D6E-409C-BE32-E72D297353CC}">
              <c16:uniqueId val="{00000000-4CA2-4DB3-A856-2BB135AA1FC0}"/>
            </c:ext>
          </c:extLst>
        </c:ser>
        <c:dLbls>
          <c:showLegendKey val="0"/>
          <c:showVal val="0"/>
          <c:showCatName val="0"/>
          <c:showSerName val="0"/>
          <c:showPercent val="0"/>
          <c:showBubbleSize val="0"/>
        </c:dLbls>
        <c:axId val="1260874767"/>
        <c:axId val="1260880591"/>
      </c:scatterChart>
      <c:valAx>
        <c:axId val="126087476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0880591"/>
        <c:crosses val="autoZero"/>
        <c:crossBetween val="midCat"/>
        <c:majorUnit val="300"/>
      </c:valAx>
      <c:valAx>
        <c:axId val="1260880591"/>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260874767"/>
        <c:crosses val="autoZero"/>
        <c:crossBetween val="midCat"/>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horizontalDpi="0" verticalDpi="0"/>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30</xdr:col>
      <xdr:colOff>220980</xdr:colOff>
      <xdr:row>1</xdr:row>
      <xdr:rowOff>129540</xdr:rowOff>
    </xdr:from>
    <xdr:to>
      <xdr:col>38</xdr:col>
      <xdr:colOff>472440</xdr:colOff>
      <xdr:row>40</xdr:row>
      <xdr:rowOff>144780</xdr:rowOff>
    </xdr:to>
    <xdr:graphicFrame macro="">
      <xdr:nvGraphicFramePr>
        <xdr:cNvPr id="3" name="Chart 2">
          <a:extLst>
            <a:ext uri="{FF2B5EF4-FFF2-40B4-BE49-F238E27FC236}">
              <a16:creationId xmlns:a16="http://schemas.microsoft.com/office/drawing/2014/main" id="{3A56EF24-77C3-4D81-83E6-BA93AF458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175260</xdr:colOff>
      <xdr:row>48</xdr:row>
      <xdr:rowOff>114300</xdr:rowOff>
    </xdr:from>
    <xdr:to>
      <xdr:col>37</xdr:col>
      <xdr:colOff>541020</xdr:colOff>
      <xdr:row>70</xdr:row>
      <xdr:rowOff>30480</xdr:rowOff>
    </xdr:to>
    <xdr:graphicFrame macro="">
      <xdr:nvGraphicFramePr>
        <xdr:cNvPr id="4" name="Chart 3">
          <a:extLst>
            <a:ext uri="{FF2B5EF4-FFF2-40B4-BE49-F238E27FC236}">
              <a16:creationId xmlns:a16="http://schemas.microsoft.com/office/drawing/2014/main" id="{A071DA96-E2D2-EE1D-1D29-B754021527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0.30321</cdr:x>
      <cdr:y>0.88219</cdr:y>
    </cdr:from>
    <cdr:to>
      <cdr:x>1</cdr:x>
      <cdr:y>1</cdr:y>
    </cdr:to>
    <cdr:sp macro="" textlink="">
      <cdr:nvSpPr>
        <cdr:cNvPr id="2" name="TextBox 1">
          <a:extLst xmlns:a="http://schemas.openxmlformats.org/drawingml/2006/main">
            <a:ext uri="{FF2B5EF4-FFF2-40B4-BE49-F238E27FC236}">
              <a16:creationId xmlns:a16="http://schemas.microsoft.com/office/drawing/2014/main" id="{9C639BFE-C946-447F-930B-6D8EC5DE8362}"/>
            </a:ext>
          </a:extLst>
        </cdr:cNvPr>
        <cdr:cNvSpPr txBox="1"/>
      </cdr:nvSpPr>
      <cdr:spPr>
        <a:xfrm xmlns:a="http://schemas.openxmlformats.org/drawingml/2006/main">
          <a:off x="1150621" y="2453630"/>
          <a:ext cx="2644139" cy="3276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Number of Ballots in County</a:t>
          </a:r>
        </a:p>
      </cdr:txBody>
    </cdr:sp>
  </cdr:relSizeAnchor>
  <cdr:relSizeAnchor xmlns:cdr="http://schemas.openxmlformats.org/drawingml/2006/chartDrawing">
    <cdr:from>
      <cdr:x>0</cdr:x>
      <cdr:y>0</cdr:y>
    </cdr:from>
    <cdr:to>
      <cdr:x>0.63454</cdr:x>
      <cdr:y>0.14247</cdr:y>
    </cdr:to>
    <cdr:sp macro="" textlink="">
      <cdr:nvSpPr>
        <cdr:cNvPr id="3" name="TextBox 2">
          <a:extLst xmlns:a="http://schemas.openxmlformats.org/drawingml/2006/main">
            <a:ext uri="{FF2B5EF4-FFF2-40B4-BE49-F238E27FC236}">
              <a16:creationId xmlns:a16="http://schemas.microsoft.com/office/drawing/2014/main" id="{E9F9E006-D52E-40D5-9D51-518347427F6B}"/>
            </a:ext>
          </a:extLst>
        </cdr:cNvPr>
        <cdr:cNvSpPr txBox="1"/>
      </cdr:nvSpPr>
      <cdr:spPr>
        <a:xfrm xmlns:a="http://schemas.openxmlformats.org/drawingml/2006/main">
          <a:off x="0" y="0"/>
          <a:ext cx="2407920" cy="3962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solidFill>
                <a:srgbClr val="006400"/>
              </a:solidFill>
              <a:latin typeface="Arial" panose="020B0604020202020204" pitchFamily="34" charset="0"/>
              <a:cs typeface="Arial" panose="020B0604020202020204" pitchFamily="34" charset="0"/>
            </a:rPr>
            <a:t>Number</a:t>
          </a:r>
          <a:r>
            <a:rPr lang="en-US" sz="1600" baseline="0">
              <a:solidFill>
                <a:srgbClr val="006400"/>
              </a:solidFill>
              <a:latin typeface="Arial" panose="020B0604020202020204" pitchFamily="34" charset="0"/>
              <a:cs typeface="Arial" panose="020B0604020202020204" pitchFamily="34" charset="0"/>
            </a:rPr>
            <a:t> of Ballots Examined</a:t>
          </a:r>
          <a:endParaRPr lang="en-US" sz="1600">
            <a:solidFill>
              <a:srgbClr val="0064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0.47189</cdr:x>
      <cdr:y>0.32877</cdr:y>
    </cdr:from>
    <cdr:to>
      <cdr:x>0.88554</cdr:x>
      <cdr:y>0.43014</cdr:y>
    </cdr:to>
    <cdr:sp macro="" textlink="">
      <cdr:nvSpPr>
        <cdr:cNvPr id="4" name="TextBox 3">
          <a:extLst xmlns:a="http://schemas.openxmlformats.org/drawingml/2006/main">
            <a:ext uri="{FF2B5EF4-FFF2-40B4-BE49-F238E27FC236}">
              <a16:creationId xmlns:a16="http://schemas.microsoft.com/office/drawing/2014/main" id="{775B790B-E785-464D-A7E8-9E98AEAFEED2}"/>
            </a:ext>
          </a:extLst>
        </cdr:cNvPr>
        <cdr:cNvSpPr txBox="1"/>
      </cdr:nvSpPr>
      <cdr:spPr>
        <a:xfrm xmlns:a="http://schemas.openxmlformats.org/drawingml/2006/main">
          <a:off x="1790700" y="914400"/>
          <a:ext cx="1569720" cy="2819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accent2">
                  <a:lumMod val="50000"/>
                </a:schemeClr>
              </a:solidFill>
              <a:effectLst/>
              <a:latin typeface="Arial" panose="020B0604020202020204" pitchFamily="34" charset="0"/>
              <a:ea typeface="+mn-ea"/>
              <a:cs typeface="Arial" panose="020B0604020202020204" pitchFamily="34" charset="0"/>
            </a:rPr>
            <a:t>Traditional 1% Sample</a:t>
          </a:r>
          <a:endParaRPr lang="en-US" sz="1400">
            <a:solidFill>
              <a:schemeClr val="accent2">
                <a:lumMod val="50000"/>
              </a:schemeClr>
            </a:solidFill>
            <a:effectLst/>
            <a:latin typeface="Arial" panose="020B0604020202020204" pitchFamily="34" charset="0"/>
            <a:cs typeface="Arial" panose="020B0604020202020204" pitchFamily="34" charset="0"/>
          </a:endParaRPr>
        </a:p>
        <a:p xmlns:a="http://schemas.openxmlformats.org/drawingml/2006/main">
          <a:endParaRPr lang="en-US" sz="1100">
            <a:solidFill>
              <a:schemeClr val="accent2">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0.57028</cdr:x>
      <cdr:y>0.58969</cdr:y>
    </cdr:from>
    <cdr:to>
      <cdr:x>0.88755</cdr:x>
      <cdr:y>0.8139</cdr:y>
    </cdr:to>
    <cdr:sp macro="" textlink="">
      <cdr:nvSpPr>
        <cdr:cNvPr id="5" name="TextBox 4">
          <a:extLst xmlns:a="http://schemas.openxmlformats.org/drawingml/2006/main">
            <a:ext uri="{FF2B5EF4-FFF2-40B4-BE49-F238E27FC236}">
              <a16:creationId xmlns:a16="http://schemas.microsoft.com/office/drawing/2014/main" id="{1A116FD6-BE66-4FDB-964D-C9C3A1A17529}"/>
            </a:ext>
          </a:extLst>
        </cdr:cNvPr>
        <cdr:cNvSpPr txBox="1"/>
      </cdr:nvSpPr>
      <cdr:spPr>
        <a:xfrm xmlns:a="http://schemas.openxmlformats.org/drawingml/2006/main">
          <a:off x="3419935" y="2004060"/>
          <a:ext cx="1902649" cy="7619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rgbClr val="002060"/>
              </a:solidFill>
              <a:effectLst/>
              <a:latin typeface="Arial" panose="020B0604020202020204" pitchFamily="34" charset="0"/>
              <a:ea typeface="+mn-ea"/>
              <a:cs typeface="Arial" panose="020B0604020202020204" pitchFamily="34" charset="0"/>
            </a:rPr>
            <a:t>Alternate Sample</a:t>
          </a:r>
          <a:endParaRPr lang="en-US" sz="1400">
            <a:solidFill>
              <a:srgbClr val="002060"/>
            </a:solidFill>
            <a:effectLst/>
            <a:latin typeface="Arial" panose="020B0604020202020204" pitchFamily="34" charset="0"/>
            <a:cs typeface="Arial" panose="020B0604020202020204" pitchFamily="34" charset="0"/>
          </a:endParaRPr>
        </a:p>
        <a:p xmlns:a="http://schemas.openxmlformats.org/drawingml/2006/main">
          <a:endParaRPr lang="en-US" sz="1100"/>
        </a:p>
      </cdr:txBody>
    </cdr:sp>
  </cdr:relSizeAnchor>
</c:userShapes>
</file>

<file path=xl/drawings/drawing11.xml><?xml version="1.0" encoding="utf-8"?>
<xdr:wsDr xmlns:xdr="http://schemas.openxmlformats.org/drawingml/2006/spreadsheetDrawing" xmlns:a="http://schemas.openxmlformats.org/drawingml/2006/main">
  <xdr:twoCellAnchor>
    <xdr:from>
      <xdr:col>12</xdr:col>
      <xdr:colOff>15240</xdr:colOff>
      <xdr:row>11</xdr:row>
      <xdr:rowOff>129546</xdr:rowOff>
    </xdr:from>
    <xdr:to>
      <xdr:col>20</xdr:col>
      <xdr:colOff>22860</xdr:colOff>
      <xdr:row>27</xdr:row>
      <xdr:rowOff>68586</xdr:rowOff>
    </xdr:to>
    <xdr:graphicFrame macro="">
      <xdr:nvGraphicFramePr>
        <xdr:cNvPr id="4" name="Chart 3">
          <a:extLst>
            <a:ext uri="{FF2B5EF4-FFF2-40B4-BE49-F238E27FC236}">
              <a16:creationId xmlns:a16="http://schemas.microsoft.com/office/drawing/2014/main" id="{5D815E57-E534-4DFA-8614-4009D59296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1</cdr:x>
      <cdr:y>0.33333</cdr:y>
    </cdr:to>
    <cdr:sp macro="" textlink="">
      <cdr:nvSpPr>
        <cdr:cNvPr id="2" name="TextBox 1">
          <a:extLst xmlns:a="http://schemas.openxmlformats.org/drawingml/2006/main">
            <a:ext uri="{FF2B5EF4-FFF2-40B4-BE49-F238E27FC236}">
              <a16:creationId xmlns:a16="http://schemas.microsoft.com/office/drawing/2014/main" id="{33029D8D-725A-4DD4-928D-CEBFAA0C9BBD}"/>
            </a:ext>
          </a:extLst>
        </cdr:cNvPr>
        <cdr:cNvSpPr txBox="1"/>
      </cdr:nvSpPr>
      <cdr:spPr>
        <a:xfrm xmlns:a="http://schemas.openxmlformats.org/drawingml/2006/main">
          <a:off x="0" y="0"/>
          <a:ext cx="4572000" cy="9143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b="1"/>
            <a:t>Number of PA Counties, by Approximate Sample Size, </a:t>
          </a:r>
        </a:p>
        <a:p xmlns:a="http://schemas.openxmlformats.org/drawingml/2006/main">
          <a:r>
            <a:rPr lang="en-US" sz="1400" b="0"/>
            <a:t>2020 general, made up of batches of about 300 ballots</a:t>
          </a:r>
        </a:p>
        <a:p xmlns:a="http://schemas.openxmlformats.org/drawingml/2006/main">
          <a:endParaRPr lang="en-US" sz="1400" b="1"/>
        </a:p>
        <a:p xmlns:a="http://schemas.openxmlformats.org/drawingml/2006/main">
          <a:endParaRPr lang="en-US" sz="1100"/>
        </a:p>
      </cdr:txBody>
    </cdr:sp>
  </cdr:relSizeAnchor>
</c:userShapes>
</file>

<file path=xl/drawings/drawing2.xml><?xml version="1.0" encoding="utf-8"?>
<c:userShapes xmlns:c="http://schemas.openxmlformats.org/drawingml/2006/chart">
  <cdr:relSizeAnchor xmlns:cdr="http://schemas.openxmlformats.org/drawingml/2006/chartDrawing">
    <cdr:from>
      <cdr:x>0.07004</cdr:x>
      <cdr:y>0.90139</cdr:y>
    </cdr:from>
    <cdr:to>
      <cdr:x>0.99553</cdr:x>
      <cdr:y>1</cdr:y>
    </cdr:to>
    <cdr:sp macro="" textlink="">
      <cdr:nvSpPr>
        <cdr:cNvPr id="2" name="TextBox 1">
          <a:extLst xmlns:a="http://schemas.openxmlformats.org/drawingml/2006/main">
            <a:ext uri="{FF2B5EF4-FFF2-40B4-BE49-F238E27FC236}">
              <a16:creationId xmlns:a16="http://schemas.microsoft.com/office/drawing/2014/main" id="{5003FC5A-17A6-4066-95C9-7CB78A9C07DD}"/>
            </a:ext>
          </a:extLst>
        </cdr:cNvPr>
        <cdr:cNvSpPr txBox="1"/>
      </cdr:nvSpPr>
      <cdr:spPr>
        <a:xfrm xmlns:a="http://schemas.openxmlformats.org/drawingml/2006/main" rot="20333701">
          <a:off x="358116" y="4049035"/>
          <a:ext cx="4732049" cy="4429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b="0">
            <a:latin typeface="Arial Narrow" panose="020B0606020202030204" pitchFamily="34" charset="0"/>
          </a:endParaRPr>
        </a:p>
      </cdr:txBody>
    </cdr:sp>
  </cdr:relSizeAnchor>
  <cdr:relSizeAnchor xmlns:cdr="http://schemas.openxmlformats.org/drawingml/2006/chartDrawing">
    <cdr:from>
      <cdr:x>0</cdr:x>
      <cdr:y>0</cdr:y>
    </cdr:from>
    <cdr:to>
      <cdr:x>0.14605</cdr:x>
      <cdr:y>0.84074</cdr:y>
    </cdr:to>
    <cdr:sp macro="" textlink="">
      <cdr:nvSpPr>
        <cdr:cNvPr id="3" name="TextBox 2">
          <a:extLst xmlns:a="http://schemas.openxmlformats.org/drawingml/2006/main">
            <a:ext uri="{FF2B5EF4-FFF2-40B4-BE49-F238E27FC236}">
              <a16:creationId xmlns:a16="http://schemas.microsoft.com/office/drawing/2014/main" id="{7E40DDEC-AE96-471A-9A98-4F9415CD7A4F}"/>
            </a:ext>
          </a:extLst>
        </cdr:cNvPr>
        <cdr:cNvSpPr txBox="1"/>
      </cdr:nvSpPr>
      <cdr:spPr>
        <a:xfrm xmlns:a="http://schemas.openxmlformats.org/drawingml/2006/main" rot="16200000">
          <a:off x="-2804213" y="2804212"/>
          <a:ext cx="6355187" cy="7467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400">
            <a:effectLst/>
          </a:endParaRPr>
        </a:p>
      </cdr:txBody>
    </cdr:sp>
  </cdr:relSizeAnchor>
  <cdr:relSizeAnchor xmlns:cdr="http://schemas.openxmlformats.org/drawingml/2006/chartDrawing">
    <cdr:from>
      <cdr:x>0</cdr:x>
      <cdr:y>0.81655</cdr:y>
    </cdr:from>
    <cdr:to>
      <cdr:x>1</cdr:x>
      <cdr:y>1</cdr:y>
    </cdr:to>
    <cdr:sp macro="" textlink="">
      <cdr:nvSpPr>
        <cdr:cNvPr id="4" name="TextBox 3">
          <a:extLst xmlns:a="http://schemas.openxmlformats.org/drawingml/2006/main">
            <a:ext uri="{FF2B5EF4-FFF2-40B4-BE49-F238E27FC236}">
              <a16:creationId xmlns:a16="http://schemas.microsoft.com/office/drawing/2014/main" id="{A72358A6-2DE8-4135-9F3D-A42D6E112DCD}"/>
            </a:ext>
          </a:extLst>
        </cdr:cNvPr>
        <cdr:cNvSpPr txBox="1"/>
      </cdr:nvSpPr>
      <cdr:spPr>
        <a:xfrm xmlns:a="http://schemas.openxmlformats.org/drawingml/2006/main">
          <a:off x="0" y="5562600"/>
          <a:ext cx="4640580" cy="12496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t>Number of Contests Hand-Tallied per Ballot</a:t>
          </a:r>
        </a:p>
        <a:p xmlns:a="http://schemas.openxmlformats.org/drawingml/2006/main">
          <a:pPr algn="ctr"/>
          <a:r>
            <a:rPr lang="en-US" sz="800" b="1"/>
            <a:t> </a:t>
          </a:r>
        </a:p>
        <a:p xmlns:a="http://schemas.openxmlformats.org/drawingml/2006/main">
          <a:pPr algn="ctr"/>
          <a:r>
            <a:rPr lang="en-US" sz="1400" b="0">
              <a:latin typeface="Arial Narrow" panose="020B0606020202030204" pitchFamily="34" charset="0"/>
            </a:rPr>
            <a:t>Total staff-minutes = ballots X contests/ballot X minutes/vote</a:t>
          </a:r>
        </a:p>
        <a:p xmlns:a="http://schemas.openxmlformats.org/drawingml/2006/main">
          <a:pPr algn="ctr"/>
          <a:r>
            <a:rPr lang="en-US" sz="1400" b="0">
              <a:latin typeface="Arial Narrow" panose="020B0606020202030204" pitchFamily="34" charset="0"/>
            </a:rPr>
            <a:t>Cost = (pay/hour + cost-of-training&amp;admin/hour) X staff-minutes/60</a:t>
          </a:r>
        </a:p>
        <a:p xmlns:a="http://schemas.openxmlformats.org/drawingml/2006/main">
          <a:pPr algn="ctr"/>
          <a:r>
            <a:rPr lang="en-US" sz="1400" b="0">
              <a:latin typeface="Arial Narrow" panose="020B0606020202030204" pitchFamily="34" charset="0"/>
            </a:rPr>
            <a:t>Clock-minutes</a:t>
          </a:r>
          <a:r>
            <a:rPr lang="en-US" sz="1400" b="0" baseline="0">
              <a:latin typeface="Arial Narrow" panose="020B0606020202030204" pitchFamily="34" charset="0"/>
            </a:rPr>
            <a:t> needed = staff-minutes / </a:t>
          </a:r>
          <a:r>
            <a:rPr lang="en-US" sz="1400" b="0">
              <a:latin typeface="Arial Narrow" panose="020B0606020202030204" pitchFamily="34" charset="0"/>
            </a:rPr>
            <a:t>number-of-staff</a:t>
          </a:r>
        </a:p>
        <a:p xmlns:a="http://schemas.openxmlformats.org/drawingml/2006/main">
          <a:pPr algn="ctr"/>
          <a:r>
            <a:rPr lang="en-US" sz="1400" b="0">
              <a:latin typeface="Arial Narrow" panose="020B0606020202030204" pitchFamily="34" charset="0"/>
            </a:rPr>
            <a:t>Source: </a:t>
          </a:r>
          <a:r>
            <a:rPr lang="en-US" sz="1400">
              <a:latin typeface="Arial Narrow" panose="020B0606020202030204" pitchFamily="34" charset="0"/>
            </a:rPr>
            <a:t>commons.wikimedia.org/wiki/File:Time_for_hand_counts.png</a:t>
          </a:r>
          <a:endParaRPr lang="en-US" sz="1400" b="0">
            <a:latin typeface="Arial Narrow" panose="020B0606020202030204" pitchFamily="34" charset="0"/>
          </a:endParaRPr>
        </a:p>
      </cdr:txBody>
    </cdr:sp>
  </cdr:relSizeAnchor>
  <cdr:relSizeAnchor xmlns:cdr="http://schemas.openxmlformats.org/drawingml/2006/chartDrawing">
    <cdr:from>
      <cdr:x>0.30849</cdr:x>
      <cdr:y>0.00202</cdr:y>
    </cdr:from>
    <cdr:to>
      <cdr:x>0.4918</cdr:x>
      <cdr:y>0.14516</cdr:y>
    </cdr:to>
    <cdr:sp macro="" textlink="">
      <cdr:nvSpPr>
        <cdr:cNvPr id="5" name="TextBox 4">
          <a:extLst xmlns:a="http://schemas.openxmlformats.org/drawingml/2006/main">
            <a:ext uri="{FF2B5EF4-FFF2-40B4-BE49-F238E27FC236}">
              <a16:creationId xmlns:a16="http://schemas.microsoft.com/office/drawing/2014/main" id="{F6BD3D97-2828-484B-AF9A-AAA375E73A42}"/>
            </a:ext>
          </a:extLst>
        </cdr:cNvPr>
        <cdr:cNvSpPr txBox="1"/>
      </cdr:nvSpPr>
      <cdr:spPr>
        <a:xfrm xmlns:a="http://schemas.openxmlformats.org/drawingml/2006/main">
          <a:off x="1577340" y="15240"/>
          <a:ext cx="937260" cy="10820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0.03941</cdr:x>
      <cdr:y>0</cdr:y>
    </cdr:from>
    <cdr:to>
      <cdr:x>1</cdr:x>
      <cdr:y>0.12876</cdr:y>
    </cdr:to>
    <cdr:sp macro="" textlink="">
      <cdr:nvSpPr>
        <cdr:cNvPr id="6" name="TextBox 5">
          <a:extLst xmlns:a="http://schemas.openxmlformats.org/drawingml/2006/main">
            <a:ext uri="{FF2B5EF4-FFF2-40B4-BE49-F238E27FC236}">
              <a16:creationId xmlns:a16="http://schemas.microsoft.com/office/drawing/2014/main" id="{98DE1BB7-20DA-4521-932A-E284F77074C1}"/>
            </a:ext>
          </a:extLst>
        </cdr:cNvPr>
        <cdr:cNvSpPr txBox="1"/>
      </cdr:nvSpPr>
      <cdr:spPr>
        <a:xfrm xmlns:a="http://schemas.openxmlformats.org/drawingml/2006/main">
          <a:off x="182880" y="0"/>
          <a:ext cx="4457700" cy="9448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b="1">
              <a:latin typeface="Arial Narrow" panose="020B0606020202030204" pitchFamily="34" charset="0"/>
            </a:rPr>
            <a:t>Figure</a:t>
          </a:r>
          <a:r>
            <a:rPr lang="en-US" sz="1600" b="1" baseline="0">
              <a:latin typeface="Arial Narrow" panose="020B0606020202030204" pitchFamily="34" charset="0"/>
            </a:rPr>
            <a:t> 6</a:t>
          </a:r>
        </a:p>
        <a:p xmlns:a="http://schemas.openxmlformats.org/drawingml/2006/main">
          <a:r>
            <a:rPr lang="en-US" sz="1600" b="1">
              <a:latin typeface="Arial Narrow" panose="020B0606020202030204" pitchFamily="34" charset="0"/>
            </a:rPr>
            <a:t>Hand Tallies Usually Need 1/3 to 1 Minute per Vote</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0">
              <a:latin typeface="Arial Narrow" panose="020B0606020202030204" pitchFamily="34" charset="0"/>
            </a:rPr>
            <a:t>Staff-minutes</a:t>
          </a:r>
          <a:r>
            <a:rPr lang="en-US" sz="1400" b="0" baseline="0">
              <a:latin typeface="Arial Narrow" panose="020B0606020202030204" pitchFamily="34" charset="0"/>
            </a:rPr>
            <a:t> per vote, </a:t>
          </a:r>
          <a:r>
            <a:rPr lang="en-US" sz="1400" b="0">
              <a:effectLst/>
              <a:latin typeface="Arial Narrow" panose="020B0606020202030204" pitchFamily="34" charset="0"/>
              <a:ea typeface="+mn-ea"/>
              <a:cs typeface="+mn-cs"/>
            </a:rPr>
            <a:t>excludes training,</a:t>
          </a:r>
          <a:r>
            <a:rPr lang="en-US" sz="1400" b="0" baseline="0">
              <a:effectLst/>
              <a:latin typeface="Arial Narrow" panose="020B0606020202030204" pitchFamily="34" charset="0"/>
              <a:ea typeface="+mn-ea"/>
              <a:cs typeface="+mn-cs"/>
            </a:rPr>
            <a:t> setup, administration</a:t>
          </a:r>
          <a:endParaRPr lang="en-US" sz="1400">
            <a:effectLst/>
            <a:latin typeface="Arial Narrow" panose="020B0606020202030204" pitchFamily="34" charset="0"/>
          </a:endParaRPr>
        </a:p>
        <a:p xmlns:a="http://schemas.openxmlformats.org/drawingml/2006/main">
          <a:endParaRPr lang="en-US" sz="1200" b="0"/>
        </a:p>
      </cdr:txBody>
    </cdr:sp>
  </cdr:relSizeAnchor>
</c:userShapes>
</file>

<file path=xl/drawings/drawing3.xml><?xml version="1.0" encoding="utf-8"?>
<xdr:wsDr xmlns:xdr="http://schemas.openxmlformats.org/drawingml/2006/spreadsheetDrawing" xmlns:a="http://schemas.openxmlformats.org/drawingml/2006/main">
  <xdr:twoCellAnchor>
    <xdr:from>
      <xdr:col>65</xdr:col>
      <xdr:colOff>491490</xdr:colOff>
      <xdr:row>22</xdr:row>
      <xdr:rowOff>15240</xdr:rowOff>
    </xdr:from>
    <xdr:to>
      <xdr:col>72</xdr:col>
      <xdr:colOff>60960</xdr:colOff>
      <xdr:row>47</xdr:row>
      <xdr:rowOff>91440</xdr:rowOff>
    </xdr:to>
    <xdr:graphicFrame macro="">
      <xdr:nvGraphicFramePr>
        <xdr:cNvPr id="2" name="Chart 1">
          <a:extLst>
            <a:ext uri="{FF2B5EF4-FFF2-40B4-BE49-F238E27FC236}">
              <a16:creationId xmlns:a16="http://schemas.microsoft.com/office/drawing/2014/main" id="{E179C5F5-5272-466B-8CE0-60DE773F5A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121920</xdr:colOff>
      <xdr:row>0</xdr:row>
      <xdr:rowOff>0</xdr:rowOff>
    </xdr:from>
    <xdr:to>
      <xdr:col>75</xdr:col>
      <xdr:colOff>15240</xdr:colOff>
      <xdr:row>21</xdr:row>
      <xdr:rowOff>76200</xdr:rowOff>
    </xdr:to>
    <xdr:graphicFrame macro="">
      <xdr:nvGraphicFramePr>
        <xdr:cNvPr id="3" name="Chart 2">
          <a:extLst>
            <a:ext uri="{FF2B5EF4-FFF2-40B4-BE49-F238E27FC236}">
              <a16:creationId xmlns:a16="http://schemas.microsoft.com/office/drawing/2014/main" id="{C7F2096B-F57D-44AA-B908-B4BA7F5E5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243840</xdr:colOff>
      <xdr:row>1068</xdr:row>
      <xdr:rowOff>102870</xdr:rowOff>
    </xdr:from>
    <xdr:to>
      <xdr:col>56</xdr:col>
      <xdr:colOff>312420</xdr:colOff>
      <xdr:row>1084</xdr:row>
      <xdr:rowOff>41910</xdr:rowOff>
    </xdr:to>
    <xdr:graphicFrame macro="">
      <xdr:nvGraphicFramePr>
        <xdr:cNvPr id="4" name="Chart 3">
          <a:extLst>
            <a:ext uri="{FF2B5EF4-FFF2-40B4-BE49-F238E27FC236}">
              <a16:creationId xmlns:a16="http://schemas.microsoft.com/office/drawing/2014/main" id="{4949B6A6-79DF-4C5C-BB3B-A1E90049BB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190500</xdr:colOff>
      <xdr:row>1086</xdr:row>
      <xdr:rowOff>7620</xdr:rowOff>
    </xdr:from>
    <xdr:to>
      <xdr:col>59</xdr:col>
      <xdr:colOff>381000</xdr:colOff>
      <xdr:row>1111</xdr:row>
      <xdr:rowOff>38100</xdr:rowOff>
    </xdr:to>
    <xdr:graphicFrame macro="">
      <xdr:nvGraphicFramePr>
        <xdr:cNvPr id="5" name="Chart 4">
          <a:extLst>
            <a:ext uri="{FF2B5EF4-FFF2-40B4-BE49-F238E27FC236}">
              <a16:creationId xmlns:a16="http://schemas.microsoft.com/office/drawing/2014/main" id="{3E2949A0-97B0-4D71-8BF4-EC2AC7C99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0.23409</cdr:x>
      <cdr:y>0.2188</cdr:y>
    </cdr:from>
    <cdr:to>
      <cdr:x>0.67347</cdr:x>
      <cdr:y>0.37656</cdr:y>
    </cdr:to>
    <cdr:sp macro="" textlink="">
      <cdr:nvSpPr>
        <cdr:cNvPr id="2" name="TextBox 1">
          <a:extLst xmlns:a="http://schemas.openxmlformats.org/drawingml/2006/main">
            <a:ext uri="{FF2B5EF4-FFF2-40B4-BE49-F238E27FC236}">
              <a16:creationId xmlns:a16="http://schemas.microsoft.com/office/drawing/2014/main" id="{05D453BF-7917-4597-9362-85CBDBB933EF}"/>
            </a:ext>
          </a:extLst>
        </cdr:cNvPr>
        <cdr:cNvSpPr txBox="1"/>
      </cdr:nvSpPr>
      <cdr:spPr>
        <a:xfrm xmlns:a="http://schemas.openxmlformats.org/drawingml/2006/main">
          <a:off x="742950" y="975360"/>
          <a:ext cx="1394460" cy="7032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latin typeface="Arial Narrow" panose="020B0606020202030204" pitchFamily="34" charset="0"/>
            </a:rPr>
            <a:t>Maricopa November 2020</a:t>
          </a:r>
        </a:p>
        <a:p xmlns:a="http://schemas.openxmlformats.org/drawingml/2006/main">
          <a:r>
            <a:rPr lang="en-US" sz="1100" b="1">
              <a:latin typeface="Arial Narrow" panose="020B0606020202030204" pitchFamily="34" charset="0"/>
            </a:rPr>
            <a:t>Number of contests at </a:t>
          </a:r>
        </a:p>
        <a:p xmlns:a="http://schemas.openxmlformats.org/drawingml/2006/main">
          <a:r>
            <a:rPr lang="en-US" sz="1100" b="1">
              <a:latin typeface="Arial Narrow" panose="020B0606020202030204" pitchFamily="34" charset="0"/>
            </a:rPr>
            <a:t>or below each </a:t>
          </a:r>
          <a:r>
            <a:rPr lang="en-US" sz="1100" b="1">
              <a:solidFill>
                <a:srgbClr val="C00000"/>
              </a:solidFill>
              <a:latin typeface="Arial Narrow" panose="020B0606020202030204" pitchFamily="34" charset="0"/>
            </a:rPr>
            <a:t>Gap</a:t>
          </a:r>
        </a:p>
        <a:p xmlns:a="http://schemas.openxmlformats.org/drawingml/2006/main">
          <a:endParaRPr lang="en-US" sz="1100" b="1">
            <a:latin typeface="Arial Narrow" panose="020B0606020202030204" pitchFamily="34" charset="0"/>
          </a:endParaRPr>
        </a:p>
        <a:p xmlns:a="http://schemas.openxmlformats.org/drawingml/2006/main">
          <a:endParaRPr lang="en-US" sz="1100" b="1">
            <a:latin typeface="Arial Narrow" panose="020B0606020202030204" pitchFamily="34" charset="0"/>
          </a:endParaRPr>
        </a:p>
        <a:p xmlns:a="http://schemas.openxmlformats.org/drawingml/2006/main">
          <a:endParaRPr lang="en-US" sz="1100" b="1">
            <a:latin typeface="Arial Narrow" panose="020B0606020202030204" pitchFamily="34" charset="0"/>
          </a:endParaRPr>
        </a:p>
        <a:p xmlns:a="http://schemas.openxmlformats.org/drawingml/2006/main">
          <a:endParaRPr lang="en-US" sz="1100" b="1">
            <a:latin typeface="Arial Narrow" panose="020B0606020202030204" pitchFamily="34" charset="0"/>
          </a:endParaRPr>
        </a:p>
        <a:p xmlns:a="http://schemas.openxmlformats.org/drawingml/2006/main">
          <a:endParaRPr lang="en-US" sz="1100" b="1">
            <a:latin typeface="Arial Narrow" panose="020B0606020202030204" pitchFamily="34" charset="0"/>
          </a:endParaRPr>
        </a:p>
      </cdr:txBody>
    </cdr:sp>
  </cdr:relSizeAnchor>
  <cdr:relSizeAnchor xmlns:cdr="http://schemas.openxmlformats.org/drawingml/2006/chartDrawing">
    <cdr:from>
      <cdr:x>0.21248</cdr:x>
      <cdr:y>0.57607</cdr:y>
    </cdr:from>
    <cdr:to>
      <cdr:x>0.988</cdr:x>
      <cdr:y>0.75385</cdr:y>
    </cdr:to>
    <cdr:sp macro="" textlink="">
      <cdr:nvSpPr>
        <cdr:cNvPr id="4" name="TextBox 3">
          <a:extLst xmlns:a="http://schemas.openxmlformats.org/drawingml/2006/main">
            <a:ext uri="{FF2B5EF4-FFF2-40B4-BE49-F238E27FC236}">
              <a16:creationId xmlns:a16="http://schemas.microsoft.com/office/drawing/2014/main" id="{F70DFF84-6252-4F7A-B37C-37EC6102BD68}"/>
            </a:ext>
          </a:extLst>
        </cdr:cNvPr>
        <cdr:cNvSpPr txBox="1"/>
      </cdr:nvSpPr>
      <cdr:spPr>
        <a:xfrm xmlns:a="http://schemas.openxmlformats.org/drawingml/2006/main">
          <a:off x="674370" y="2567940"/>
          <a:ext cx="2461260" cy="7924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US" sz="1100" b="1" i="0" baseline="0">
              <a:solidFill>
                <a:srgbClr val="006400"/>
              </a:solidFill>
              <a:effectLst/>
              <a:latin typeface="Arial Narrow" panose="020B0606020202030204" pitchFamily="34" charset="0"/>
              <a:ea typeface="+mn-ea"/>
              <a:cs typeface="+mn-cs"/>
            </a:rPr>
            <a:t>Chance that half percent sample misses </a:t>
          </a:r>
        </a:p>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US" sz="1100" b="1" i="0" baseline="0">
              <a:solidFill>
                <a:srgbClr val="006400"/>
              </a:solidFill>
              <a:effectLst/>
              <a:latin typeface="Arial Narrow" panose="020B0606020202030204" pitchFamily="34" charset="0"/>
              <a:ea typeface="+mn-ea"/>
              <a:cs typeface="+mn-cs"/>
            </a:rPr>
            <a:t>all the errors which would have had </a:t>
          </a:r>
        </a:p>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US" sz="1100" b="1" i="0" baseline="0">
              <a:solidFill>
                <a:srgbClr val="006400"/>
              </a:solidFill>
              <a:effectLst/>
              <a:latin typeface="Arial Narrow" panose="020B0606020202030204" pitchFamily="34" charset="0"/>
              <a:ea typeface="+mn-ea"/>
              <a:cs typeface="+mn-cs"/>
            </a:rPr>
            <a:t>to happen to flip each contest </a:t>
          </a:r>
          <a:endParaRPr lang="en-US" sz="1100">
            <a:solidFill>
              <a:srgbClr val="006400"/>
            </a:solidFill>
            <a:effectLst/>
            <a:latin typeface="Arial Narrow" panose="020B0606020202030204" pitchFamily="34" charset="0"/>
          </a:endParaRPr>
        </a:p>
        <a:p xmlns:a="http://schemas.openxmlformats.org/drawingml/2006/main">
          <a:pPr algn="ctr"/>
          <a:endParaRPr lang="en-US" sz="1100">
            <a:solidFill>
              <a:srgbClr val="006400"/>
            </a:solidFill>
            <a:latin typeface="Arial Narrow" panose="020B0606020202030204" pitchFamily="34" charset="0"/>
          </a:endParaRPr>
        </a:p>
      </cdr:txBody>
    </cdr:sp>
  </cdr:relSizeAnchor>
  <cdr:relSizeAnchor xmlns:cdr="http://schemas.openxmlformats.org/drawingml/2006/chartDrawing">
    <cdr:from>
      <cdr:x>0.03481</cdr:x>
      <cdr:y>0.82051</cdr:y>
    </cdr:from>
    <cdr:to>
      <cdr:x>1</cdr:x>
      <cdr:y>1</cdr:y>
    </cdr:to>
    <cdr:sp macro="" textlink="">
      <cdr:nvSpPr>
        <cdr:cNvPr id="3" name="TextBox 2">
          <a:extLst xmlns:a="http://schemas.openxmlformats.org/drawingml/2006/main">
            <a:ext uri="{FF2B5EF4-FFF2-40B4-BE49-F238E27FC236}">
              <a16:creationId xmlns:a16="http://schemas.microsoft.com/office/drawing/2014/main" id="{28198B35-07D4-422F-8616-2E113109AFFC}"/>
            </a:ext>
          </a:extLst>
        </cdr:cNvPr>
        <cdr:cNvSpPr txBox="1"/>
      </cdr:nvSpPr>
      <cdr:spPr>
        <a:xfrm xmlns:a="http://schemas.openxmlformats.org/drawingml/2006/main">
          <a:off x="110490" y="3657600"/>
          <a:ext cx="3063240" cy="800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C00000"/>
              </a:solidFill>
              <a:effectLst/>
              <a:latin typeface="Arial Narrow" panose="020B0606020202030204" pitchFamily="34" charset="0"/>
              <a:ea typeface="+mn-ea"/>
              <a:cs typeface="+mn-cs"/>
            </a:rPr>
            <a:t>Gap in Votes,</a:t>
          </a:r>
          <a:r>
            <a:rPr lang="en-US" sz="1100" b="1" baseline="0">
              <a:solidFill>
                <a:srgbClr val="C00000"/>
              </a:solidFill>
              <a:effectLst/>
              <a:latin typeface="Arial Narrow" panose="020B0606020202030204" pitchFamily="34" charset="0"/>
              <a:ea typeface="+mn-ea"/>
              <a:cs typeface="+mn-cs"/>
            </a:rPr>
            <a:t> between Winner &amp; Loser</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rgbClr val="C00000"/>
              </a:solidFill>
              <a:effectLst/>
              <a:latin typeface="Arial Narrow" panose="020B0606020202030204" pitchFamily="34" charset="0"/>
              <a:ea typeface="+mn-ea"/>
              <a:cs typeface="+mn-cs"/>
            </a:rPr>
            <a:t>17 of 201 contests had gaps up to 413 votes, where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rgbClr val="C00000"/>
              </a:solidFill>
              <a:effectLst/>
              <a:latin typeface="Arial Narrow" panose="020B0606020202030204" pitchFamily="34" charset="0"/>
              <a:ea typeface="+mn-ea"/>
              <a:cs typeface="+mn-cs"/>
            </a:rPr>
            <a:t>sample has over 10% chance of mistake. Extra samples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rgbClr val="C00000"/>
              </a:solidFill>
              <a:effectLst/>
              <a:latin typeface="Arial Narrow" panose="020B0606020202030204" pitchFamily="34" charset="0"/>
              <a:ea typeface="+mn-ea"/>
              <a:cs typeface="+mn-cs"/>
            </a:rPr>
            <a:t>could check those better.</a:t>
          </a:r>
          <a:endParaRPr lang="en-US" sz="1100" b="0" baseline="0">
            <a:solidFill>
              <a:srgbClr val="002060"/>
            </a:solidFill>
            <a:effectLst/>
            <a:latin typeface="Arial Narrow" panose="020B0606020202030204" pitchFamily="34" charset="0"/>
            <a:ea typeface="+mn-ea"/>
            <a:cs typeface="+mn-cs"/>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100" b="0">
            <a:solidFill>
              <a:srgbClr val="002060"/>
            </a:solidFill>
            <a:effectLst/>
            <a:latin typeface="Arial Narrow" panose="020B0606020202030204" pitchFamily="34" charset="0"/>
          </a:endParaRPr>
        </a:p>
        <a:p xmlns:a="http://schemas.openxmlformats.org/drawingml/2006/main">
          <a:endParaRPr lang="en-US" sz="1100">
            <a:solidFill>
              <a:srgbClr val="002060"/>
            </a:solidFill>
            <a:latin typeface="Arial Narrow" panose="020B060602020203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0.2075</cdr:x>
      <cdr:y>0.88472</cdr:y>
    </cdr:from>
    <cdr:to>
      <cdr:x>1</cdr:x>
      <cdr:y>1</cdr:y>
    </cdr:to>
    <cdr:sp macro="" textlink="">
      <cdr:nvSpPr>
        <cdr:cNvPr id="2" name="TextBox 1">
          <a:extLst xmlns:a="http://schemas.openxmlformats.org/drawingml/2006/main">
            <a:ext uri="{FF2B5EF4-FFF2-40B4-BE49-F238E27FC236}">
              <a16:creationId xmlns:a16="http://schemas.microsoft.com/office/drawing/2014/main" id="{05D453BF-7917-4597-9362-85CBDBB933EF}"/>
            </a:ext>
          </a:extLst>
        </cdr:cNvPr>
        <cdr:cNvSpPr txBox="1"/>
      </cdr:nvSpPr>
      <cdr:spPr>
        <a:xfrm xmlns:a="http://schemas.openxmlformats.org/drawingml/2006/main">
          <a:off x="948690" y="2426970"/>
          <a:ext cx="3623310" cy="3162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t>Number of contests at or above each risk level</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0.89306</cdr:y>
    </cdr:from>
    <cdr:to>
      <cdr:x>1</cdr:x>
      <cdr:y>1</cdr:y>
    </cdr:to>
    <cdr:sp macro="" textlink="">
      <cdr:nvSpPr>
        <cdr:cNvPr id="2" name="TextBox 1">
          <a:extLst xmlns:a="http://schemas.openxmlformats.org/drawingml/2006/main">
            <a:ext uri="{FF2B5EF4-FFF2-40B4-BE49-F238E27FC236}">
              <a16:creationId xmlns:a16="http://schemas.microsoft.com/office/drawing/2014/main" id="{4E731EF8-E5BE-4192-B845-49ACB3E38026}"/>
            </a:ext>
          </a:extLst>
        </cdr:cNvPr>
        <cdr:cNvSpPr txBox="1"/>
      </cdr:nvSpPr>
      <cdr:spPr>
        <a:xfrm xmlns:a="http://schemas.openxmlformats.org/drawingml/2006/main">
          <a:off x="0" y="2449830"/>
          <a:ext cx="4572000" cy="2933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latin typeface="Arial Narrow" panose="020B0606020202030204" pitchFamily="34" charset="0"/>
            </a:rPr>
            <a:t>Number of contested contests below each margin, excluding statewide</a:t>
          </a:r>
        </a:p>
      </cdr:txBody>
    </cdr:sp>
  </cdr:relSizeAnchor>
</c:userShapes>
</file>

<file path=xl/drawings/drawing7.xml><?xml version="1.0" encoding="utf-8"?>
<c:userShapes xmlns:c="http://schemas.openxmlformats.org/drawingml/2006/chart">
  <cdr:relSizeAnchor xmlns:cdr="http://schemas.openxmlformats.org/drawingml/2006/chartDrawing">
    <cdr:from>
      <cdr:x>0.15659</cdr:x>
      <cdr:y>0.89306</cdr:y>
    </cdr:from>
    <cdr:to>
      <cdr:x>1</cdr:x>
      <cdr:y>1</cdr:y>
    </cdr:to>
    <cdr:sp macro="" textlink="">
      <cdr:nvSpPr>
        <cdr:cNvPr id="2" name="TextBox 1">
          <a:extLst xmlns:a="http://schemas.openxmlformats.org/drawingml/2006/main">
            <a:ext uri="{FF2B5EF4-FFF2-40B4-BE49-F238E27FC236}">
              <a16:creationId xmlns:a16="http://schemas.microsoft.com/office/drawing/2014/main" id="{4E731EF8-E5BE-4192-B845-49ACB3E38026}"/>
            </a:ext>
          </a:extLst>
        </cdr:cNvPr>
        <cdr:cNvSpPr txBox="1"/>
      </cdr:nvSpPr>
      <cdr:spPr>
        <a:xfrm xmlns:a="http://schemas.openxmlformats.org/drawingml/2006/main">
          <a:off x="868680" y="3940163"/>
          <a:ext cx="4678680" cy="4718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latin typeface="Arial Narrow" panose="020B0606020202030204" pitchFamily="34" charset="0"/>
            </a:rPr>
            <a:t>Number of contested contests below each margin, excluding statewide</a:t>
          </a:r>
        </a:p>
      </cdr:txBody>
    </cdr:sp>
  </cdr:relSizeAnchor>
  <cdr:relSizeAnchor xmlns:cdr="http://schemas.openxmlformats.org/drawingml/2006/chartDrawing">
    <cdr:from>
      <cdr:x>0</cdr:x>
      <cdr:y>0</cdr:y>
    </cdr:from>
    <cdr:to>
      <cdr:x>0.23352</cdr:x>
      <cdr:y>0.24698</cdr:y>
    </cdr:to>
    <cdr:sp macro="" textlink="">
      <cdr:nvSpPr>
        <cdr:cNvPr id="3" name="TextBox 2">
          <a:extLst xmlns:a="http://schemas.openxmlformats.org/drawingml/2006/main">
            <a:ext uri="{FF2B5EF4-FFF2-40B4-BE49-F238E27FC236}">
              <a16:creationId xmlns:a16="http://schemas.microsoft.com/office/drawing/2014/main" id="{A838B082-C835-4B53-AECC-86AB867CD8B1}"/>
            </a:ext>
          </a:extLst>
        </cdr:cNvPr>
        <cdr:cNvSpPr txBox="1"/>
      </cdr:nvSpPr>
      <cdr:spPr>
        <a:xfrm xmlns:a="http://schemas.openxmlformats.org/drawingml/2006/main">
          <a:off x="0" y="0"/>
          <a:ext cx="1295400" cy="10896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300" b="1" i="0" baseline="0">
              <a:solidFill>
                <a:srgbClr val="006400"/>
              </a:solidFill>
              <a:effectLst/>
              <a:latin typeface="+mn-lt"/>
              <a:ea typeface="+mn-ea"/>
              <a:cs typeface="+mn-cs"/>
            </a:rPr>
            <a:t>Margin of Victory for Each Contest in Allegheny County, as % of All Ballot Sheets</a:t>
          </a:r>
          <a:endParaRPr lang="en-US" sz="1300">
            <a:solidFill>
              <a:srgbClr val="006400"/>
            </a:solidFill>
            <a:effectLst/>
          </a:endParaRPr>
        </a:p>
        <a:p xmlns:a="http://schemas.openxmlformats.org/drawingml/2006/main">
          <a:endParaRPr lang="en-US" sz="1400">
            <a:solidFill>
              <a:srgbClr val="006400"/>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198120</xdr:colOff>
      <xdr:row>45</xdr:row>
      <xdr:rowOff>121920</xdr:rowOff>
    </xdr:from>
    <xdr:to>
      <xdr:col>5</xdr:col>
      <xdr:colOff>198120</xdr:colOff>
      <xdr:row>76</xdr:row>
      <xdr:rowOff>53340</xdr:rowOff>
    </xdr:to>
    <xdr:graphicFrame macro="">
      <xdr:nvGraphicFramePr>
        <xdr:cNvPr id="2" name="Chart 1">
          <a:extLst>
            <a:ext uri="{FF2B5EF4-FFF2-40B4-BE49-F238E27FC236}">
              <a16:creationId xmlns:a16="http://schemas.microsoft.com/office/drawing/2014/main" id="{91D043D9-DBAA-4582-9A3C-E7C076CECF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198120</xdr:colOff>
      <xdr:row>73</xdr:row>
      <xdr:rowOff>121920</xdr:rowOff>
    </xdr:from>
    <xdr:to>
      <xdr:col>5</xdr:col>
      <xdr:colOff>198120</xdr:colOff>
      <xdr:row>93</xdr:row>
      <xdr:rowOff>15240</xdr:rowOff>
    </xdr:to>
    <xdr:graphicFrame macro="">
      <xdr:nvGraphicFramePr>
        <xdr:cNvPr id="3" name="Chart 2">
          <a:extLst>
            <a:ext uri="{FF2B5EF4-FFF2-40B4-BE49-F238E27FC236}">
              <a16:creationId xmlns:a16="http://schemas.microsoft.com/office/drawing/2014/main" id="{F6D00C14-3DF3-47A9-A1DC-8600E7DE8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0.35141</cdr:x>
      <cdr:y>0.91463</cdr:y>
    </cdr:from>
    <cdr:to>
      <cdr:x>1</cdr:x>
      <cdr:y>1</cdr:y>
    </cdr:to>
    <cdr:sp macro="" textlink="">
      <cdr:nvSpPr>
        <cdr:cNvPr id="2" name="TextBox 1">
          <a:extLst xmlns:a="http://schemas.openxmlformats.org/drawingml/2006/main">
            <a:ext uri="{FF2B5EF4-FFF2-40B4-BE49-F238E27FC236}">
              <a16:creationId xmlns:a16="http://schemas.microsoft.com/office/drawing/2014/main" id="{9C639BFE-C946-447F-930B-6D8EC5DE8362}"/>
            </a:ext>
          </a:extLst>
        </cdr:cNvPr>
        <cdr:cNvSpPr txBox="1"/>
      </cdr:nvSpPr>
      <cdr:spPr>
        <a:xfrm xmlns:a="http://schemas.openxmlformats.org/drawingml/2006/main">
          <a:off x="1333500" y="2857494"/>
          <a:ext cx="246126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a:t>Number of Ballots</a:t>
          </a:r>
        </a:p>
      </cdr:txBody>
    </cdr:sp>
  </cdr:relSizeAnchor>
  <cdr:relSizeAnchor xmlns:cdr="http://schemas.openxmlformats.org/drawingml/2006/chartDrawing">
    <cdr:from>
      <cdr:x>0.01652</cdr:x>
      <cdr:y>0</cdr:y>
    </cdr:from>
    <cdr:to>
      <cdr:x>0.93139</cdr:x>
      <cdr:y>0.22585</cdr:y>
    </cdr:to>
    <cdr:sp macro="" textlink="">
      <cdr:nvSpPr>
        <cdr:cNvPr id="3" name="TextBox 2">
          <a:extLst xmlns:a="http://schemas.openxmlformats.org/drawingml/2006/main">
            <a:ext uri="{FF2B5EF4-FFF2-40B4-BE49-F238E27FC236}">
              <a16:creationId xmlns:a16="http://schemas.microsoft.com/office/drawing/2014/main" id="{E9F9E006-D52E-40D5-9D51-518347427F6B}"/>
            </a:ext>
          </a:extLst>
        </cdr:cNvPr>
        <cdr:cNvSpPr txBox="1"/>
      </cdr:nvSpPr>
      <cdr:spPr>
        <a:xfrm xmlns:a="http://schemas.openxmlformats.org/drawingml/2006/main">
          <a:off x="99060" y="0"/>
          <a:ext cx="5486430" cy="12115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b="1">
              <a:solidFill>
                <a:sysClr val="windowText" lastClr="000000"/>
              </a:solidFill>
              <a:latin typeface="Arial" panose="020B0604020202020204" pitchFamily="34" charset="0"/>
              <a:cs typeface="Arial" panose="020B0604020202020204" pitchFamily="34" charset="0"/>
            </a:rPr>
            <a:t>                         California's</a:t>
          </a:r>
          <a:r>
            <a:rPr lang="en-US" sz="1600" b="1" baseline="0">
              <a:solidFill>
                <a:sysClr val="windowText" lastClr="000000"/>
              </a:solidFill>
              <a:latin typeface="Arial" panose="020B0604020202020204" pitchFamily="34" charset="0"/>
              <a:cs typeface="Arial" panose="020B0604020202020204" pitchFamily="34" charset="0"/>
            </a:rPr>
            <a:t> Election Audits</a:t>
          </a:r>
          <a:endParaRPr lang="en-US" sz="1400" b="1">
            <a:solidFill>
              <a:sysClr val="windowText" lastClr="000000"/>
            </a:solidFill>
            <a:latin typeface="Arial" panose="020B0604020202020204" pitchFamily="34" charset="0"/>
            <a:cs typeface="Arial" panose="020B0604020202020204" pitchFamily="34" charset="0"/>
          </a:endParaRPr>
        </a:p>
        <a:p xmlns:a="http://schemas.openxmlformats.org/drawingml/2006/main">
          <a:endParaRPr lang="en-US" sz="1400">
            <a:solidFill>
              <a:srgbClr val="C00000"/>
            </a:solidFill>
            <a:latin typeface="Arial" panose="020B0604020202020204" pitchFamily="34" charset="0"/>
            <a:cs typeface="Arial" panose="020B0604020202020204" pitchFamily="34" charset="0"/>
          </a:endParaRPr>
        </a:p>
        <a:p xmlns:a="http://schemas.openxmlformats.org/drawingml/2006/main">
          <a:endParaRPr lang="en-US" sz="1400">
            <a:solidFill>
              <a:srgbClr val="C00000"/>
            </a:solidFill>
            <a:latin typeface="Arial" panose="020B0604020202020204" pitchFamily="34" charset="0"/>
            <a:cs typeface="Arial" panose="020B0604020202020204" pitchFamily="34" charset="0"/>
          </a:endParaRPr>
        </a:p>
        <a:p xmlns:a="http://schemas.openxmlformats.org/drawingml/2006/main">
          <a:r>
            <a:rPr lang="en-US" sz="1600">
              <a:solidFill>
                <a:srgbClr val="C00000"/>
              </a:solidFill>
              <a:latin typeface="Arial" panose="020B0604020202020204" pitchFamily="34" charset="0"/>
              <a:cs typeface="Arial" panose="020B0604020202020204" pitchFamily="34" charset="0"/>
            </a:rPr>
            <a:t>Chance of Detecting 1% Error</a:t>
          </a:r>
        </a:p>
      </cdr:txBody>
    </cdr:sp>
  </cdr:relSizeAnchor>
  <cdr:relSizeAnchor xmlns:cdr="http://schemas.openxmlformats.org/drawingml/2006/chartDrawing">
    <cdr:from>
      <cdr:x>0.32402</cdr:x>
      <cdr:y>0.26847</cdr:y>
    </cdr:from>
    <cdr:to>
      <cdr:x>0.84755</cdr:x>
      <cdr:y>0.35227</cdr:y>
    </cdr:to>
    <cdr:sp macro="" textlink="">
      <cdr:nvSpPr>
        <cdr:cNvPr id="4" name="TextBox 3">
          <a:extLst xmlns:a="http://schemas.openxmlformats.org/drawingml/2006/main">
            <a:ext uri="{FF2B5EF4-FFF2-40B4-BE49-F238E27FC236}">
              <a16:creationId xmlns:a16="http://schemas.microsoft.com/office/drawing/2014/main" id="{86D8B9CF-B620-40F8-934A-0DD8934F1DE9}"/>
            </a:ext>
          </a:extLst>
        </cdr:cNvPr>
        <cdr:cNvSpPr txBox="1"/>
      </cdr:nvSpPr>
      <cdr:spPr>
        <a:xfrm xmlns:a="http://schemas.openxmlformats.org/drawingml/2006/main">
          <a:off x="1943100" y="1440180"/>
          <a:ext cx="3139606" cy="4495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a:solidFill>
                <a:srgbClr val="002060"/>
              </a:solidFill>
              <a:latin typeface="Arial" panose="020B0604020202020204" pitchFamily="34" charset="0"/>
              <a:cs typeface="Arial" panose="020B0604020202020204" pitchFamily="34" charset="0"/>
            </a:rPr>
            <a:t>Alternate Sample</a:t>
          </a:r>
        </a:p>
      </cdr:txBody>
    </cdr:sp>
  </cdr:relSizeAnchor>
  <cdr:relSizeAnchor xmlns:cdr="http://schemas.openxmlformats.org/drawingml/2006/chartDrawing">
    <cdr:from>
      <cdr:x>0.27711</cdr:x>
      <cdr:y>0.63836</cdr:y>
    </cdr:from>
    <cdr:to>
      <cdr:x>0.67068</cdr:x>
      <cdr:y>0.73973</cdr:y>
    </cdr:to>
    <cdr:sp macro="" textlink="">
      <cdr:nvSpPr>
        <cdr:cNvPr id="5" name="TextBox 4">
          <a:extLst xmlns:a="http://schemas.openxmlformats.org/drawingml/2006/main">
            <a:ext uri="{FF2B5EF4-FFF2-40B4-BE49-F238E27FC236}">
              <a16:creationId xmlns:a16="http://schemas.microsoft.com/office/drawing/2014/main" id="{BAE61C3B-3CDD-453D-8B8B-3D70BD9D5B01}"/>
            </a:ext>
          </a:extLst>
        </cdr:cNvPr>
        <cdr:cNvSpPr txBox="1"/>
      </cdr:nvSpPr>
      <cdr:spPr>
        <a:xfrm xmlns:a="http://schemas.openxmlformats.org/drawingml/2006/main">
          <a:off x="1051560" y="1775454"/>
          <a:ext cx="1493520" cy="2819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a:solidFill>
                <a:schemeClr val="accent2">
                  <a:lumMod val="50000"/>
                </a:schemeClr>
              </a:solidFill>
              <a:latin typeface="Arial" panose="020B0604020202020204" pitchFamily="34" charset="0"/>
              <a:cs typeface="Arial" panose="020B0604020202020204" pitchFamily="34" charset="0"/>
            </a:rPr>
            <a:t>Traditional 1% Sample</a:t>
          </a:r>
        </a:p>
      </cdr:txBody>
    </cdr:sp>
  </cdr:relSizeAnchor>
  <cdr:relSizeAnchor xmlns:cdr="http://schemas.openxmlformats.org/drawingml/2006/chartDrawing">
    <cdr:from>
      <cdr:x>0.20839</cdr:x>
      <cdr:y>0.35511</cdr:y>
    </cdr:from>
    <cdr:to>
      <cdr:x>0.78907</cdr:x>
      <cdr:y>0.52969</cdr:y>
    </cdr:to>
    <cdr:sp macro="" textlink="">
      <cdr:nvSpPr>
        <cdr:cNvPr id="6" name="TextBox 5">
          <a:extLst xmlns:a="http://schemas.openxmlformats.org/drawingml/2006/main">
            <a:ext uri="{FF2B5EF4-FFF2-40B4-BE49-F238E27FC236}">
              <a16:creationId xmlns:a16="http://schemas.microsoft.com/office/drawing/2014/main" id="{23F17345-33A2-402B-9194-8C2B43B72516}"/>
            </a:ext>
          </a:extLst>
        </cdr:cNvPr>
        <cdr:cNvSpPr txBox="1"/>
      </cdr:nvSpPr>
      <cdr:spPr>
        <a:xfrm xmlns:a="http://schemas.openxmlformats.org/drawingml/2006/main">
          <a:off x="1249680" y="1904999"/>
          <a:ext cx="3482340" cy="9365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a:latin typeface="Arial" panose="020B0604020202020204" pitchFamily="34" charset="0"/>
              <a:cs typeface="Arial" panose="020B0604020202020204" pitchFamily="34" charset="0"/>
            </a:rPr>
            <a:t>  There are dots for each</a:t>
          </a:r>
          <a:r>
            <a:rPr lang="en-US" sz="1400" baseline="0">
              <a:latin typeface="Arial" panose="020B0604020202020204" pitchFamily="34" charset="0"/>
              <a:cs typeface="Arial" panose="020B0604020202020204" pitchFamily="34" charset="0"/>
            </a:rPr>
            <a:t> county's </a:t>
          </a:r>
        </a:p>
        <a:p xmlns:a="http://schemas.openxmlformats.org/drawingml/2006/main">
          <a:r>
            <a:rPr lang="en-US" sz="1400" baseline="0">
              <a:latin typeface="Arial" panose="020B0604020202020204" pitchFamily="34" charset="0"/>
              <a:cs typeface="Arial" panose="020B0604020202020204" pitchFamily="34" charset="0"/>
            </a:rPr>
            <a:t>2020 primary and general elections.</a:t>
          </a:r>
          <a:endParaRPr lang="en-US" sz="1400">
            <a:latin typeface="Arial" panose="020B0604020202020204" pitchFamily="34" charset="0"/>
            <a:cs typeface="Arial" panose="020B0604020202020204" pitchFamily="34" charset="0"/>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 refreshedDate="44540.616205208331" createdVersion="7" refreshedVersion="7" minRefreshableVersion="3" recordCount="68" xr:uid="{079AEEA0-DE5C-49DC-9DF4-6A0B52212247}">
  <cacheSource type="worksheet">
    <worksheetSource ref="B1:B1048576" sheet="PA counties"/>
  </cacheSource>
  <cacheFields count="1">
    <cacheField name="300-vote batches: audit enough to reach  2% or 2,000 ballots" numFmtId="0">
      <sharedItems containsString="0" containsBlank="1" containsNumber="1" containsInteger="1" minValue="300" maxValue="2000" count="8">
        <n v="300"/>
        <n v="600"/>
        <n v="900"/>
        <n v="1200"/>
        <n v="1500"/>
        <n v="1800"/>
        <n v="2000"/>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 refreshedDate="44547.718841203707" createdVersion="7" refreshedVersion="7" minRefreshableVersion="3" recordCount="7330" xr:uid="{89E7FD5B-68FB-48F4-9240-5B0B21B844DC}">
  <cacheSource type="worksheet">
    <worksheetSource ref="AF1:AO1048576" sheet="tallies"/>
  </cacheSource>
  <cacheFields count="7">
    <cacheField name="CONTEST SUMMARIES sorted by election + margin" numFmtId="0">
      <sharedItems containsBlank="1" count="20">
        <s v="AZ_Maric_2020g"/>
        <s v="CA_Orang_2020g"/>
        <s v="CA_Orang_2020p"/>
        <s v="CA_Ventu_2020g"/>
        <s v="CO_Adams_2020g"/>
        <s v="CO_Arapa_2020g"/>
        <s v="CO_Bould_2020g"/>
        <s v="CO_Denve_2020g"/>
        <s v="CO_Dougl_2020g"/>
        <s v="CO_El Pa_2020g"/>
        <s v="CO_Jeffe_2020g"/>
        <s v="CO_Larim_2020g"/>
        <s v="CO_state_2020g"/>
        <s v="CO_Weld__2020g"/>
        <s v="PA_Alleg_2019g"/>
        <s v="PA_Alleg_2019p"/>
        <s v="PA_Alleg_2020g"/>
        <s v="PA_Merce_2018g"/>
        <s v="PA_Merce_2018p"/>
        <m/>
      </sharedItems>
    </cacheField>
    <cacheField name="vote for" numFmtId="0">
      <sharedItems containsString="0" containsBlank="1" containsNumber="1" containsInteger="1" minValue="1" maxValue="7"/>
    </cacheField>
    <cacheField name="lowest winner" numFmtId="37">
      <sharedItems containsString="0" containsBlank="1" containsNumber="1" containsInteger="1" minValue="3" maxValue="2134608"/>
    </cacheField>
    <cacheField name="highest loser" numFmtId="0">
      <sharedItems containsString="0" containsBlank="1" containsNumber="1" containsInteger="1" minValue="2" maxValue="1533313"/>
    </cacheField>
    <cacheField name="margin" numFmtId="0">
      <sharedItems containsString="0" containsBlank="1" containsNumber="1" containsInteger="1" minValue="0" maxValue="1331756"/>
    </cacheField>
    <cacheField name="election + contest" numFmtId="0">
      <sharedItems containsBlank="1"/>
    </cacheField>
    <cacheField name="level" numFmtId="0">
      <sharedItems containsBlank="1" count="9">
        <m/>
        <s v="m"/>
        <s v="bq"/>
        <s v="c"/>
        <s v="j"/>
        <s v="L"/>
        <s v="s"/>
        <s v="p"/>
        <s v="bj"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 refreshedDate="44840.604530439814" createdVersion="8" refreshedVersion="8" minRefreshableVersion="3" recordCount="7328" xr:uid="{00632972-2993-4D9D-9E93-FEFBCD8AAC38}">
  <cacheSource type="worksheet">
    <worksheetSource ref="X1:AS1048576" sheet="tallies"/>
  </cacheSource>
  <cacheFields count="22">
    <cacheField name="RLA sample size, ballot comparison, 10% risk" numFmtId="0">
      <sharedItems containsString="0" containsBlank="1" containsNumber="1" minValue="5" maxValue="7387.5431372549019"/>
    </cacheField>
    <cacheField name="Greater of RLA or 6.9%" numFmtId="0">
      <sharedItems containsString="0" containsBlank="1" containsNumber="1" minValue="5" maxValue="224729.68800000002"/>
    </cacheField>
    <cacheField name="chance that legal sample misses errors x100" numFmtId="0">
      <sharedItems containsBlank="1" containsMixedTypes="1" containsNumber="1" minValue="0" maxValue="100"/>
    </cacheField>
    <cacheField name="chance that legal sample misses errors" numFmtId="0">
      <sharedItems containsBlank="1" containsMixedTypes="1" containsNumber="1" minValue="0" maxValue="1"/>
    </cacheField>
    <cacheField name="sample size by law" numFmtId="0">
      <sharedItems containsBlank="1" containsMixedTypes="1" containsNumber="1" minValue="151" maxValue="20895.63"/>
    </cacheField>
    <cacheField name="sheets in county" numFmtId="0">
      <sharedItems containsBlank="1" containsMixedTypes="1" containsNumber="1" minValue="13512" maxValue="4177926.896353045"/>
    </cacheField>
    <cacheField name="batches in county @ 200" numFmtId="0">
      <sharedItems containsBlank="1" containsMixedTypes="1" containsNumber="1" minValue="67.56" maxValue="20889.634481765224"/>
    </cacheField>
    <cacheField name="row of 2nd county if any" numFmtId="0">
      <sharedItems containsBlank="1" containsMixedTypes="1" containsNumber="1" containsInteger="1" minValue="5" maxValue="68"/>
    </cacheField>
    <cacheField name="CONTEST SUMMARIES sorted by election + margin" numFmtId="0">
      <sharedItems containsBlank="1" count="33">
        <s v="AZ_Maric_2020g"/>
        <s v="CA_Orang_2020g"/>
        <s v="CA_Orang_2020p"/>
        <s v="CA_Ventu_2020g"/>
        <s v="CO_Adams_2020g"/>
        <s v="CO_Arapa_2020g"/>
        <s v="CO_Bould_2020g"/>
        <s v="CO_Denve_2020g"/>
        <s v="CO_Dougl_2020g"/>
        <s v="CO_El Pa_2020g"/>
        <s v="CO_Jeffe_2020g"/>
        <s v="CO_Larim_2020g"/>
        <s v="CO_state_2020g"/>
        <s v="CO_Weld__2020g"/>
        <s v="MN_Henne_2021g"/>
        <s v="PA_Alleg_2019g"/>
        <s v="PA_Alleg_2019p"/>
        <s v="PA_Alleg_2020g"/>
        <s v="PA_Merce_2018g"/>
        <s v="PA_Merce_2018p"/>
        <s v="MD_2020g~Cnty2"/>
        <s v="MD_2020g~Cnty1"/>
        <s v="MD_2020g~Cnty6"/>
        <s v="MD_2020g~Cnty5"/>
        <s v="MD_2020g~Cnty7"/>
        <s v="MD_2020g~Cnty8"/>
        <s v="MD_2020g~Cnty9"/>
        <s v="MD_2020g~Cnty0"/>
        <s v="MD_2020g~Cnty3"/>
        <s v="MD_2020g~Cnty4"/>
        <s v="NY_Catta_2021g"/>
        <m/>
        <s v=""/>
      </sharedItems>
    </cacheField>
    <cacheField name="vote for" numFmtId="0">
      <sharedItems containsString="0" containsBlank="1" containsNumber="1" containsInteger="1" minValue="1" maxValue="7"/>
    </cacheField>
    <cacheField name="ballots in contest" numFmtId="0">
      <sharedItems containsString="0" containsBlank="1" containsNumber="1" minValue="5" maxValue="3256952"/>
    </cacheField>
    <cacheField name="lowest winner" numFmtId="0">
      <sharedItems containsString="0" containsBlank="1" containsNumber="1" containsInteger="1" minValue="3" maxValue="2134608"/>
    </cacheField>
    <cacheField name="highest loser" numFmtId="0">
      <sharedItems containsString="0" containsBlank="1" containsNumber="1" containsInteger="1" minValue="2" maxValue="1533313"/>
    </cacheField>
    <cacheField name="margin" numFmtId="0">
      <sharedItems containsString="0" containsBlank="1" containsNumber="1" containsInteger="1" minValue="0" maxValue="1738886"/>
    </cacheField>
    <cacheField name="election + contest" numFmtId="0">
      <sharedItems containsBlank="1"/>
    </cacheField>
    <cacheField name="margin as % of sheets in county" numFmtId="0">
      <sharedItems containsString="0" containsBlank="1" containsNumber="1" minValue="0" maxValue="0.98493975903614461"/>
    </cacheField>
    <cacheField name="Place" numFmtId="0">
      <sharedItems containsBlank="1" containsMixedTypes="1" containsNumber="1" containsInteger="1" minValue="1" maxValue="94"/>
    </cacheField>
    <cacheField name="level of gov't" numFmtId="0">
      <sharedItems containsBlank="1"/>
    </cacheField>
    <cacheField name="if outcome wrong, N of batches over threshold of 0.5%, max= 0.6" numFmtId="0">
      <sharedItems containsBlank="1" containsMixedTypes="1" containsNumber="1" containsInteger="1" minValue="0" maxValue="5421"/>
    </cacheField>
    <cacheField name="chance of catching a batch over threshold, sample = 0.01" numFmtId="10">
      <sharedItems containsBlank="1" containsMixedTypes="1" containsNumber="1" minValue="0" maxValue="1"/>
    </cacheField>
    <cacheField name="chance of catching a batch over threshold, sample = 0.05" numFmtId="10">
      <sharedItems containsBlank="1" containsMixedTypes="1" containsNumber="1" minValue="0" maxValue="1"/>
    </cacheField>
    <cacheField name="chance of catching a batch over threshold, sample = 0.20" numFmtId="10">
      <sharedItems containsBlank="1" containsMixedTypes="1"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
  <r>
    <x v="0"/>
  </r>
  <r>
    <x v="0"/>
  </r>
  <r>
    <x v="0"/>
  </r>
  <r>
    <x v="0"/>
  </r>
  <r>
    <x v="0"/>
  </r>
  <r>
    <x v="0"/>
  </r>
  <r>
    <x v="0"/>
  </r>
  <r>
    <x v="0"/>
  </r>
  <r>
    <x v="1"/>
  </r>
  <r>
    <x v="1"/>
  </r>
  <r>
    <x v="1"/>
  </r>
  <r>
    <x v="1"/>
  </r>
  <r>
    <x v="1"/>
  </r>
  <r>
    <x v="1"/>
  </r>
  <r>
    <x v="1"/>
  </r>
  <r>
    <x v="1"/>
  </r>
  <r>
    <x v="1"/>
  </r>
  <r>
    <x v="1"/>
  </r>
  <r>
    <x v="1"/>
  </r>
  <r>
    <x v="1"/>
  </r>
  <r>
    <x v="1"/>
  </r>
  <r>
    <x v="1"/>
  </r>
  <r>
    <x v="1"/>
  </r>
  <r>
    <x v="1"/>
  </r>
  <r>
    <x v="1"/>
  </r>
  <r>
    <x v="2"/>
  </r>
  <r>
    <x v="2"/>
  </r>
  <r>
    <x v="2"/>
  </r>
  <r>
    <x v="2"/>
  </r>
  <r>
    <x v="2"/>
  </r>
  <r>
    <x v="2"/>
  </r>
  <r>
    <x v="2"/>
  </r>
  <r>
    <x v="2"/>
  </r>
  <r>
    <x v="2"/>
  </r>
  <r>
    <x v="2"/>
  </r>
  <r>
    <x v="3"/>
  </r>
  <r>
    <x v="3"/>
  </r>
  <r>
    <x v="3"/>
  </r>
  <r>
    <x v="3"/>
  </r>
  <r>
    <x v="4"/>
  </r>
  <r>
    <x v="4"/>
  </r>
  <r>
    <x v="4"/>
  </r>
  <r>
    <x v="4"/>
  </r>
  <r>
    <x v="4"/>
  </r>
  <r>
    <x v="5"/>
  </r>
  <r>
    <x v="5"/>
  </r>
  <r>
    <x v="5"/>
  </r>
  <r>
    <x v="6"/>
  </r>
  <r>
    <x v="6"/>
  </r>
  <r>
    <x v="6"/>
  </r>
  <r>
    <x v="6"/>
  </r>
  <r>
    <x v="6"/>
  </r>
  <r>
    <x v="6"/>
  </r>
  <r>
    <x v="6"/>
  </r>
  <r>
    <x v="6"/>
  </r>
  <r>
    <x v="6"/>
  </r>
  <r>
    <x v="6"/>
  </r>
  <r>
    <x v="6"/>
  </r>
  <r>
    <x v="6"/>
  </r>
  <r>
    <x v="6"/>
  </r>
  <r>
    <x v="6"/>
  </r>
  <r>
    <x v="6"/>
  </r>
  <r>
    <x v="6"/>
  </r>
  <r>
    <x v="6"/>
  </r>
  <r>
    <x v="6"/>
  </r>
  <r>
    <x v="6"/>
  </r>
  <r>
    <x v="6"/>
  </r>
  <r>
    <x v="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30">
  <r>
    <x v="0"/>
    <n v="2"/>
    <n v="279"/>
    <n v="278"/>
    <n v="1"/>
    <s v="AZ_Maric_2020g~Gen-gila bend usd #24-gbm-4yr (vote for2)"/>
    <x v="0"/>
  </r>
  <r>
    <x v="0"/>
    <n v="1"/>
    <n v="79"/>
    <n v="71"/>
    <n v="8"/>
    <s v="AZ_Maric_2020g~Gen-apache junction-mayor (vote for1)"/>
    <x v="0"/>
  </r>
  <r>
    <x v="0"/>
    <n v="3"/>
    <n v="186"/>
    <n v="177"/>
    <n v="9"/>
    <s v="AZ_Maric_2020g~Gen-arlington esd #47-gbm-4yr (vote for3)"/>
    <x v="0"/>
  </r>
  <r>
    <x v="0"/>
    <n v="3"/>
    <n v="70"/>
    <n v="38"/>
    <n v="32"/>
    <s v="AZ_Maric_2020g~Gen-littleton esd #65-gbm-4yr (vote for3)"/>
    <x v="0"/>
  </r>
  <r>
    <x v="0"/>
    <n v="1"/>
    <n v="292"/>
    <n v="216"/>
    <n v="76"/>
    <s v="AZ_Maric_2020g~Gen-westmec - dist 5 (vote for1)"/>
    <x v="0"/>
  </r>
  <r>
    <x v="0"/>
    <n v="1"/>
    <n v="570"/>
    <n v="466"/>
    <n v="104"/>
    <s v="AZ_Maric_2020g~Gen-palo verde esd #49-question  (vote for1)"/>
    <x v="0"/>
  </r>
  <r>
    <x v="0"/>
    <n v="1"/>
    <n v="15929"/>
    <n v="15813"/>
    <n v="116"/>
    <s v="AZ_Maric_2020g~Gen-phoenix dist 7-councilmember (vote for1)"/>
    <x v="0"/>
  </r>
  <r>
    <x v="0"/>
    <n v="1"/>
    <n v="323"/>
    <n v="202"/>
    <n v="121"/>
    <s v="AZ_Maric_2020g~Gen-gila bend usd #24-gbm-2yr (vote for1)"/>
    <x v="0"/>
  </r>
  <r>
    <x v="0"/>
    <n v="3"/>
    <n v="6254"/>
    <n v="6107"/>
    <n v="147"/>
    <s v="AZ_Maric_2020g~Gen-creighton esd #14-gbm-4yr (vote for3)"/>
    <x v="0"/>
  </r>
  <r>
    <x v="0"/>
    <n v="3"/>
    <n v="474"/>
    <n v="305"/>
    <n v="169"/>
    <s v="AZ_Maric_2020g~Gen-buckeye uhsd #201-gbm-4yr (vote for3)"/>
    <x v="0"/>
  </r>
  <r>
    <x v="0"/>
    <n v="3"/>
    <n v="3386"/>
    <n v="3207"/>
    <n v="179"/>
    <s v="AZ_Maric_2020g~Gen-balsz esd #31-gbm-4yr (vote for3)"/>
    <x v="0"/>
  </r>
  <r>
    <x v="0"/>
    <n v="1"/>
    <n v="338"/>
    <n v="141"/>
    <n v="197"/>
    <s v="AZ_Maric_2020g~Gen-wilson esd #7-question (vote for1)"/>
    <x v="0"/>
  </r>
  <r>
    <x v="0"/>
    <n v="1"/>
    <n v="1010"/>
    <n v="759"/>
    <n v="251"/>
    <s v="AZ_Maric_2020g~Gen-riverside esd #2-question 1 (vote for1)"/>
    <x v="0"/>
  </r>
  <r>
    <x v="0"/>
    <n v="3"/>
    <n v="32298"/>
    <n v="32008"/>
    <n v="290"/>
    <s v="AZ_Maric_2020g~Gen-peoria usd #11-gbm-4yr (vote for3)"/>
    <x v="0"/>
  </r>
  <r>
    <x v="0"/>
    <n v="3"/>
    <n v="41853"/>
    <n v="41470"/>
    <n v="383"/>
    <s v="AZ_Maric_2020g~Gen-scottsdale usd #48-gbm-4yr (vote for3)"/>
    <x v="0"/>
  </r>
  <r>
    <x v="0"/>
    <n v="1"/>
    <n v="212252"/>
    <n v="211849"/>
    <n v="403"/>
    <s v="AZ_Maric_2020g~Gen-board of supervisors dist 1 (vote for1)"/>
    <x v="0"/>
  </r>
  <r>
    <x v="0"/>
    <n v="3"/>
    <n v="13104"/>
    <n v="12691"/>
    <n v="413"/>
    <s v="AZ_Maric_2020g~Gen-madison esd #38-gbm-4yr (vote for3)"/>
    <x v="0"/>
  </r>
  <r>
    <x v="0"/>
    <n v="1"/>
    <n v="554"/>
    <n v="93"/>
    <n v="461"/>
    <s v="AZ_Maric_2020g~Gen-us rep dist cd-1 (vote for1)"/>
    <x v="0"/>
  </r>
  <r>
    <x v="0"/>
    <n v="3"/>
    <n v="33212"/>
    <n v="32724"/>
    <n v="488"/>
    <s v="AZ_Maric_2020g~Gen-kyrene esd #28-gbm-4yr (vote for3)"/>
    <x v="0"/>
  </r>
  <r>
    <x v="0"/>
    <n v="1"/>
    <n v="60339"/>
    <n v="59842"/>
    <n v="497"/>
    <s v="AZ_Maric_2020g~Gen-state senator dist-28 (vote for1)"/>
    <x v="0"/>
  </r>
  <r>
    <x v="0"/>
    <n v="3"/>
    <n v="25426"/>
    <n v="24851"/>
    <n v="575"/>
    <s v="AZ_Maric_2020g~Gen-dysart usd #89-gbm-4yr (vote for3)"/>
    <x v="0"/>
  </r>
  <r>
    <x v="0"/>
    <n v="1"/>
    <n v="2954"/>
    <n v="2366"/>
    <n v="588"/>
    <s v="AZ_Maric_2020g~Gen-saddle mtn usd #90-question (vote for1)"/>
    <x v="0"/>
  </r>
  <r>
    <x v="0"/>
    <n v="1"/>
    <n v="1334"/>
    <n v="744"/>
    <n v="590"/>
    <s v="AZ_Maric_2020g~Gen-tolleson-proposition 435 (vote for1)"/>
    <x v="0"/>
  </r>
  <r>
    <x v="0"/>
    <n v="1"/>
    <n v="1190"/>
    <n v="570"/>
    <n v="620"/>
    <s v="AZ_Maric_2020g~Gen-riverside esd #2-question 2 (vote for1)"/>
    <x v="0"/>
  </r>
  <r>
    <x v="0"/>
    <n v="3"/>
    <n v="5980"/>
    <n v="5348"/>
    <n v="632"/>
    <s v="AZ_Maric_2020g~Gen-phoenix esd #1-gbm-4yr (vote for3)"/>
    <x v="0"/>
  </r>
  <r>
    <x v="0"/>
    <n v="3"/>
    <n v="6234"/>
    <n v="5447"/>
    <n v="787"/>
    <s v="AZ_Maric_2020g~Gen-buckeye esd #33-gbm-4yr (vote for3)"/>
    <x v="0"/>
  </r>
  <r>
    <x v="0"/>
    <n v="3"/>
    <n v="14349"/>
    <n v="13514"/>
    <n v="835"/>
    <s v="AZ_Maric_2020g~Gen-cave creek usd #93-gbm-4yr (vote for3)"/>
    <x v="0"/>
  </r>
  <r>
    <x v="0"/>
    <n v="1"/>
    <n v="9463"/>
    <n v="8520"/>
    <n v="943"/>
    <s v="AZ_Maric_2020g~Gen-liberty esd #25-question (vote for1)"/>
    <x v="0"/>
  </r>
  <r>
    <x v="0"/>
    <n v="2"/>
    <n v="64501"/>
    <n v="63409"/>
    <n v="1092"/>
    <s v="AZ_Maric_2020g~Gen-state rep dist-17 (vote for2)"/>
    <x v="0"/>
  </r>
  <r>
    <x v="0"/>
    <n v="3"/>
    <n v="18260"/>
    <n v="17150"/>
    <n v="1110"/>
    <s v="AZ_Maric_2020g~Gen-higley usd #60-gbm-4yr (vote for3)"/>
    <x v="0"/>
  </r>
  <r>
    <x v="0"/>
    <n v="3"/>
    <n v="1851"/>
    <n v="695"/>
    <n v="1156"/>
    <s v="AZ_Maric_2020g~Gen-roosevelt esd #66-gbm-4yr (vote for3)"/>
    <x v="0"/>
  </r>
  <r>
    <x v="0"/>
    <n v="1"/>
    <n v="1602"/>
    <n v="413"/>
    <n v="1189"/>
    <s v="AZ_Maric_2020g~Gen-tolleson-proposition 436 (vote for1)"/>
    <x v="0"/>
  </r>
  <r>
    <x v="0"/>
    <n v="3"/>
    <n v="41361"/>
    <n v="40148"/>
    <n v="1213"/>
    <s v="AZ_Maric_2020g~Gen-tempe uhsd #213-gbm-4yr (vote for3)"/>
    <x v="0"/>
  </r>
  <r>
    <x v="0"/>
    <n v="1"/>
    <n v="1703"/>
    <n v="365"/>
    <n v="1338"/>
    <s v="AZ_Maric_2020g~Gen-rio verde fire dist-question (vote for1)"/>
    <x v="0"/>
  </r>
  <r>
    <x v="0"/>
    <n v="1"/>
    <n v="1784"/>
    <n v="275"/>
    <n v="1509"/>
    <s v="AZ_Maric_2020g~Gen-tolleson-proposition 434 (vote for1)"/>
    <x v="0"/>
  </r>
  <r>
    <x v="0"/>
    <n v="3"/>
    <n v="7451"/>
    <n v="5748"/>
    <n v="1703"/>
    <s v="AZ_Maric_2020g~Gen-laveen esd #59-gbm-4yr (vote for3)"/>
    <x v="0"/>
  </r>
  <r>
    <x v="0"/>
    <n v="3"/>
    <n v="2498"/>
    <n v="654"/>
    <n v="1844"/>
    <s v="AZ_Maric_2020g~Gen-tempe esd #3-gbm-4yr (vote for3)"/>
    <x v="0"/>
  </r>
  <r>
    <x v="0"/>
    <n v="3"/>
    <n v="70788"/>
    <n v="68914"/>
    <n v="1874"/>
    <s v="AZ_Maric_2020g~Gen-mesa usd #4-gbm-4yr (vote for3)"/>
    <x v="0"/>
  </r>
  <r>
    <x v="0"/>
    <n v="3"/>
    <n v="3923"/>
    <n v="1849"/>
    <n v="2074"/>
    <s v="AZ_Maric_2020g~Gen-isaac esd #5-gbm-4yr (vote for3)"/>
    <x v="0"/>
  </r>
  <r>
    <x v="0"/>
    <n v="2"/>
    <n v="49268"/>
    <n v="47094"/>
    <n v="2174"/>
    <s v="AZ_Maric_2020g~Gen-state rep dist-20 (vote for2)"/>
    <x v="0"/>
  </r>
  <r>
    <x v="0"/>
    <n v="1"/>
    <n v="3319"/>
    <n v="1126"/>
    <n v="2193"/>
    <s v="AZ_Maric_2020g~Gen-tolleson esd #17-question (vote for1)"/>
    <x v="0"/>
  </r>
  <r>
    <x v="0"/>
    <n v="3"/>
    <n v="13884"/>
    <n v="11655"/>
    <n v="2229"/>
    <s v="AZ_Maric_2020g~Gen-queen creek esd #95-gbm-4yr (vote for3)"/>
    <x v="0"/>
  </r>
  <r>
    <x v="0"/>
    <n v="2"/>
    <n v="53441"/>
    <n v="51047"/>
    <n v="2394"/>
    <s v="AZ_Maric_2020g~Gen-state rep dist-21 (vote for2)"/>
    <x v="0"/>
  </r>
  <r>
    <x v="0"/>
    <n v="3"/>
    <n v="31133"/>
    <n v="28691"/>
    <n v="2442"/>
    <s v="AZ_Maric_2020g~Gen-washington esd #6-gbm-4yr (vote for3)"/>
    <x v="0"/>
  </r>
  <r>
    <x v="0"/>
    <n v="3"/>
    <n v="13745"/>
    <n v="11272"/>
    <n v="2473"/>
    <s v="AZ_Maric_2020g~Gen-glendale esd #40-gbm-4yr (vote for3)"/>
    <x v="0"/>
  </r>
  <r>
    <x v="0"/>
    <n v="2"/>
    <n v="13408"/>
    <n v="10840"/>
    <n v="2568"/>
    <s v="AZ_Maric_2020g~Gen-state rep dist-4 (vote for2)"/>
    <x v="0"/>
  </r>
  <r>
    <x v="0"/>
    <n v="1"/>
    <n v="6203"/>
    <n v="3582"/>
    <n v="2621"/>
    <s v="AZ_Maric_2020g~Gen-balsz esd #31-question 2 (vote for1)"/>
    <x v="0"/>
  </r>
  <r>
    <x v="0"/>
    <n v="3"/>
    <n v="58194"/>
    <n v="55299"/>
    <n v="2895"/>
    <s v="AZ_Maric_2020g~Gen-scottsdale-councilmember (vote for3)"/>
    <x v="0"/>
  </r>
  <r>
    <x v="0"/>
    <n v="1"/>
    <n v="19595"/>
    <n v="16535"/>
    <n v="3060"/>
    <s v="AZ_Maric_2020g~Gen-roosevelt esd #66-question (vote for1)"/>
    <x v="0"/>
  </r>
  <r>
    <x v="0"/>
    <n v="1"/>
    <n v="6469"/>
    <n v="3400"/>
    <n v="3069"/>
    <s v="AZ_Maric_2020g~Gen-balsz esd #31-question 1 (vote for1)"/>
    <x v="0"/>
  </r>
  <r>
    <x v="0"/>
    <n v="1"/>
    <n v="13082"/>
    <n v="9600"/>
    <n v="3482"/>
    <s v="AZ_Maric_2020g~Gen-cartwright esd #83-question (vote for1)"/>
    <x v="0"/>
  </r>
  <r>
    <x v="0"/>
    <n v="1"/>
    <n v="16963"/>
    <n v="13463"/>
    <n v="3500"/>
    <s v="AZ_Maric_2020g~Gen-state senator dist-4 (vote for1)"/>
    <x v="0"/>
  </r>
  <r>
    <x v="0"/>
    <n v="1"/>
    <n v="24395"/>
    <n v="20747"/>
    <n v="3648"/>
    <s v="AZ_Maric_2020g~Gen-jp-moon valley (vote for1)"/>
    <x v="0"/>
  </r>
  <r>
    <x v="0"/>
    <n v="1"/>
    <n v="35286"/>
    <n v="31329"/>
    <n v="3957"/>
    <s v="AZ_Maric_2020g~Gen-phoenix dist 1-councilmember (vote for1)"/>
    <x v="0"/>
  </r>
  <r>
    <x v="0"/>
    <n v="3"/>
    <n v="56164"/>
    <n v="51827"/>
    <n v="4337"/>
    <s v="AZ_Maric_2020g~Gen-deer valley usd #97-gbm-4yr (vote for3)"/>
    <x v="0"/>
  </r>
  <r>
    <x v="0"/>
    <n v="1"/>
    <n v="944953"/>
    <n v="940354"/>
    <n v="4599"/>
    <s v="AZ_Maric_2020g~Gen-county recorder (vote for1)"/>
    <x v="0"/>
  </r>
  <r>
    <x v="0"/>
    <n v="1"/>
    <n v="52734"/>
    <n v="48059"/>
    <n v="4675"/>
    <s v="AZ_Maric_2020g~Gen-state senator dist-20 (vote for1)"/>
    <x v="0"/>
  </r>
  <r>
    <x v="0"/>
    <n v="1"/>
    <n v="10688"/>
    <n v="5935"/>
    <n v="4753"/>
    <s v="AZ_Maric_2020g~Gen-alhambra esd #68-question 2 (vote for1)"/>
    <x v="0"/>
  </r>
  <r>
    <x v="0"/>
    <n v="2"/>
    <n v="57760"/>
    <n v="52839"/>
    <n v="4921"/>
    <s v="AZ_Maric_2020g~Gen-state rep dist-28 (vote for2)"/>
    <x v="0"/>
  </r>
  <r>
    <x v="0"/>
    <n v="1"/>
    <n v="11912"/>
    <n v="6607"/>
    <n v="5305"/>
    <s v="AZ_Maric_2020g~Gen-avondale esd #44-question (vote for1)"/>
    <x v="0"/>
  </r>
  <r>
    <x v="0"/>
    <n v="1"/>
    <n v="186478"/>
    <n v="180865"/>
    <n v="5613"/>
    <s v="AZ_Maric_2020g~Gen-board of supervisors dist 3 (vote for1)"/>
    <x v="0"/>
  </r>
  <r>
    <x v="0"/>
    <n v="1"/>
    <n v="13088"/>
    <n v="7444"/>
    <n v="5644"/>
    <s v="AZ_Maric_2020g~Gen-creighton esd #14-question (vote for1)"/>
    <x v="0"/>
  </r>
  <r>
    <x v="0"/>
    <n v="1"/>
    <n v="7862"/>
    <n v="2081"/>
    <n v="5781"/>
    <s v="AZ_Maric_2020g~Gen-el mirage-question 1 (vote for1)"/>
    <x v="0"/>
  </r>
  <r>
    <x v="0"/>
    <n v="1"/>
    <n v="72467"/>
    <n v="66571"/>
    <n v="5896"/>
    <s v="AZ_Maric_2020g~Gen-scottsdale-mayor (vote for1)"/>
    <x v="0"/>
  </r>
  <r>
    <x v="0"/>
    <n v="1"/>
    <n v="10244"/>
    <n v="4244"/>
    <n v="6000"/>
    <s v="AZ_Maric_2020g~Gen-fountain hills-propsition 450 (vote for1)"/>
    <x v="0"/>
  </r>
  <r>
    <x v="0"/>
    <n v="1"/>
    <n v="11442"/>
    <n v="5440"/>
    <n v="6002"/>
    <s v="AZ_Maric_2020g~Gen-alhambra esd #68-question 1 (vote for1)"/>
    <x v="0"/>
  </r>
  <r>
    <x v="0"/>
    <n v="1"/>
    <n v="67889"/>
    <n v="61363"/>
    <n v="6526"/>
    <s v="AZ_Maric_2020g~Gen-state senator dist-17 (vote for1)"/>
    <x v="0"/>
  </r>
  <r>
    <x v="0"/>
    <n v="1"/>
    <n v="46152"/>
    <n v="39007"/>
    <n v="7145"/>
    <s v="AZ_Maric_2020g~Gen-glendale-question 2  (vote for1)"/>
    <x v="0"/>
  </r>
  <r>
    <x v="0"/>
    <n v="1"/>
    <n v="31600"/>
    <n v="23958"/>
    <n v="7642"/>
    <s v="AZ_Maric_2020g~Gen-phoenix dist 3-councilmember (vote for1)"/>
    <x v="0"/>
  </r>
  <r>
    <x v="0"/>
    <n v="1"/>
    <n v="21391"/>
    <n v="13738"/>
    <n v="7653"/>
    <s v="AZ_Maric_2020g~Gen-buckeye uhsd #201-question (vote for1)"/>
    <x v="0"/>
  </r>
  <r>
    <x v="0"/>
    <n v="1"/>
    <n v="13321"/>
    <n v="5530"/>
    <n v="7791"/>
    <s v="AZ_Maric_2020g~Gen-laveen esd #59-question (vote for1)"/>
    <x v="0"/>
  </r>
  <r>
    <x v="0"/>
    <n v="1"/>
    <n v="46025"/>
    <n v="38032"/>
    <n v="7993"/>
    <s v="AZ_Maric_2020g~Gen-dysart usd #89-question (vote for1)"/>
    <x v="0"/>
  </r>
  <r>
    <x v="0"/>
    <n v="1"/>
    <n v="47111"/>
    <n v="37623"/>
    <n v="9488"/>
    <s v="AZ_Maric_2020g~Gen-peoria-proposition 446 (vote for1)"/>
    <x v="0"/>
  </r>
  <r>
    <x v="0"/>
    <n v="1"/>
    <n v="61149"/>
    <n v="51638"/>
    <n v="9511"/>
    <s v="AZ_Maric_2020g~Gen-glendale uhsd #205-question (vote for1)"/>
    <x v="0"/>
  </r>
  <r>
    <x v="0"/>
    <n v="1"/>
    <n v="46711"/>
    <n v="36984"/>
    <n v="9727"/>
    <s v="AZ_Maric_2020g~Gen-glendale-proposition 437 (vote for1)"/>
    <x v="0"/>
  </r>
  <r>
    <x v="0"/>
    <n v="1"/>
    <n v="20217"/>
    <n v="9624"/>
    <n v="10593"/>
    <s v="AZ_Maric_2020g~Gen-avondale-proposition 443 (vote for1)"/>
    <x v="0"/>
  </r>
  <r>
    <x v="0"/>
    <n v="2"/>
    <n v="25906"/>
    <n v="14793"/>
    <n v="11113"/>
    <s v="AZ_Maric_2020g~Gen-state rep dist-1 (vote for2)"/>
    <x v="0"/>
  </r>
  <r>
    <x v="0"/>
    <n v="2"/>
    <n v="66482"/>
    <n v="55259"/>
    <n v="11223"/>
    <s v="AZ_Maric_2020g~Gen-state rep dist-15 (vote for2)"/>
    <x v="0"/>
  </r>
  <r>
    <x v="0"/>
    <n v="1"/>
    <n v="946409"/>
    <n v="934501"/>
    <n v="11908"/>
    <s v="AZ_Maric_2020g~Gen-county school superintendent (vote for1)"/>
    <x v="0"/>
  </r>
  <r>
    <x v="0"/>
    <n v="2"/>
    <n v="43110"/>
    <n v="31036"/>
    <n v="12074"/>
    <s v="AZ_Maric_2020g~Gen-state rep dist-16 (vote for2)"/>
    <x v="0"/>
  </r>
  <r>
    <x v="0"/>
    <n v="1"/>
    <n v="23060"/>
    <n v="10982"/>
    <n v="12078"/>
    <s v="AZ_Maric_2020g~Gen-us rep dist cd-4 (vote for1)"/>
    <x v="0"/>
  </r>
  <r>
    <x v="0"/>
    <n v="2"/>
    <n v="67649"/>
    <n v="55140"/>
    <n v="12509"/>
    <s v="AZ_Maric_2020g~Gen-state rep dist-18 (vote for2)"/>
    <x v="0"/>
  </r>
  <r>
    <x v="0"/>
    <n v="1"/>
    <n v="63318"/>
    <n v="50808"/>
    <n v="12510"/>
    <s v="AZ_Maric_2020g~Gen-peoria usd #11-question 2  (vote for1)"/>
    <x v="0"/>
  </r>
  <r>
    <x v="0"/>
    <n v="1"/>
    <n v="64391"/>
    <n v="51851"/>
    <n v="12540"/>
    <s v="AZ_Maric_2020g~Gen-peoria usd #11-question 1 (vote for1)"/>
    <x v="0"/>
  </r>
  <r>
    <x v="0"/>
    <n v="2"/>
    <n v="48202"/>
    <n v="35180"/>
    <n v="13022"/>
    <s v="AZ_Maric_2020g~Gen-state rep dist-13 (vote for2)"/>
    <x v="0"/>
  </r>
  <r>
    <x v="0"/>
    <n v="1"/>
    <n v="14892"/>
    <n v="157"/>
    <n v="14735"/>
    <s v="AZ_Maric_2020g~Gen-creighton esd #14-gbm-2yr (vote for1)"/>
    <x v="0"/>
  </r>
  <r>
    <x v="0"/>
    <n v="2"/>
    <n v="80264"/>
    <n v="65257"/>
    <n v="15007"/>
    <s v="AZ_Maric_2020g~Gen-state rep dist-23 (vote for2)"/>
    <x v="0"/>
  </r>
  <r>
    <x v="0"/>
    <n v="1"/>
    <n v="65198"/>
    <n v="49647"/>
    <n v="15551"/>
    <s v="AZ_Maric_2020g~Gen-phoenix uhsd #210-gbm-4yr (vote for1)"/>
    <x v="0"/>
  </r>
  <r>
    <x v="0"/>
    <n v="1"/>
    <n v="50214"/>
    <n v="34030"/>
    <n v="16184"/>
    <s v="AZ_Maric_2020g~Gen-glendale-question 3 (vote for1)"/>
    <x v="0"/>
  </r>
  <r>
    <x v="0"/>
    <n v="2"/>
    <n v="32075"/>
    <n v="15811"/>
    <n v="16264"/>
    <s v="AZ_Maric_2020g~Gen-state rep dist-29 (vote for2)"/>
    <x v="0"/>
  </r>
  <r>
    <x v="0"/>
    <n v="1"/>
    <n v="56986"/>
    <n v="40521"/>
    <n v="16465"/>
    <s v="AZ_Maric_2020g~Gen-us rep dist cd-3 (vote for1)"/>
    <x v="0"/>
  </r>
  <r>
    <x v="0"/>
    <n v="1"/>
    <n v="51272"/>
    <n v="34377"/>
    <n v="16895"/>
    <s v="AZ_Maric_2020g~Gen-glendale-question 1 (vote for1)"/>
    <x v="0"/>
  </r>
  <r>
    <x v="0"/>
    <n v="2"/>
    <n v="63412"/>
    <n v="46180"/>
    <n v="17232"/>
    <s v="AZ_Maric_2020g~Gen-state rep dist-25 (vote for2)"/>
    <x v="0"/>
  </r>
  <r>
    <x v="0"/>
    <n v="1"/>
    <n v="70426"/>
    <n v="53121"/>
    <n v="17305"/>
    <s v="AZ_Maric_2020g~Gen-gilbert-mayor (vote for1)"/>
    <x v="0"/>
  </r>
  <r>
    <x v="0"/>
    <n v="1"/>
    <n v="50041"/>
    <n v="32658"/>
    <n v="17383"/>
    <s v="AZ_Maric_2020g~Gen-glendale-question 4 (vote for1)"/>
    <x v="0"/>
  </r>
  <r>
    <x v="0"/>
    <n v="1"/>
    <n v="217783"/>
    <n v="199644"/>
    <n v="18139"/>
    <s v="AZ_Maric_2020g~Gen-us rep dist cd-6 (vote for1)"/>
    <x v="0"/>
  </r>
  <r>
    <x v="0"/>
    <n v="1"/>
    <n v="31382"/>
    <n v="12953"/>
    <n v="18429"/>
    <s v="AZ_Maric_2020g~Gen-state senator dist-1 (vote for1)"/>
    <x v="0"/>
  </r>
  <r>
    <x v="0"/>
    <n v="3"/>
    <n v="866823"/>
    <n v="847156"/>
    <n v="19667"/>
    <s v="AZ_Maric_2020g~Gen-corporation commission (vote for3)"/>
    <x v="0"/>
  </r>
  <r>
    <x v="0"/>
    <n v="1"/>
    <n v="38469"/>
    <n v="18524"/>
    <n v="19945"/>
    <s v="AZ_Maric_2020g~Gen-tolleson uhsd #214-question (vote for1)"/>
    <x v="0"/>
  </r>
  <r>
    <x v="0"/>
    <n v="1"/>
    <n v="75013"/>
    <n v="54066"/>
    <n v="20947"/>
    <s v="AZ_Maric_2020g~Gen-state senator dist-18 (vote for1)"/>
    <x v="0"/>
  </r>
  <r>
    <x v="0"/>
    <n v="1"/>
    <n v="31093"/>
    <n v="8555"/>
    <n v="22538"/>
    <s v="AZ_Maric_2020g~Gen-phoenix dist 5-councilmember (vote for1)"/>
    <x v="0"/>
  </r>
  <r>
    <x v="0"/>
    <n v="2"/>
    <n v="44981"/>
    <n v="22316"/>
    <n v="22665"/>
    <s v="AZ_Maric_2020g~Gen-state rep dist-26 (vote for2)"/>
    <x v="0"/>
  </r>
  <r>
    <x v="0"/>
    <n v="2"/>
    <n v="43334"/>
    <n v="20236"/>
    <n v="23098"/>
    <s v="AZ_Maric_2020g~Gen-state rep dist-27 (vote for2)"/>
    <x v="0"/>
  </r>
  <r>
    <x v="0"/>
    <n v="1"/>
    <n v="41272"/>
    <n v="17305"/>
    <n v="23967"/>
    <s v="AZ_Maric_2020g~Gen-state senator dist-29 (vote for1)"/>
    <x v="0"/>
  </r>
  <r>
    <x v="0"/>
    <n v="1"/>
    <n v="48262"/>
    <n v="22943"/>
    <n v="25319"/>
    <s v="AZ_Maric_2020g~Gen-tempe-question 5 (vote for1)"/>
    <x v="0"/>
  </r>
  <r>
    <x v="0"/>
    <n v="1"/>
    <n v="49806"/>
    <n v="24385"/>
    <n v="25421"/>
    <s v="AZ_Maric_2020g~Gen-state senator dist-26 (vote for1)"/>
    <x v="0"/>
  </r>
  <r>
    <x v="0"/>
    <n v="1"/>
    <n v="70046"/>
    <n v="44443"/>
    <n v="25603"/>
    <s v="AZ_Maric_2020g~Gen-state senator dist-25 (vote for1)"/>
    <x v="0"/>
  </r>
  <r>
    <x v="0"/>
    <n v="3"/>
    <n v="26033"/>
    <n v="184"/>
    <n v="25849"/>
    <s v="AZ_Maric_2020g~Gen-litchfield esd #79-gbm-4yr (vote for3)"/>
    <x v="0"/>
  </r>
  <r>
    <x v="0"/>
    <n v="1"/>
    <n v="89677"/>
    <n v="62115"/>
    <n v="27562"/>
    <s v="AZ_Maric_2020g~Gen-state senator dist-23 (vote for1)"/>
    <x v="0"/>
  </r>
  <r>
    <x v="0"/>
    <n v="1"/>
    <n v="57610"/>
    <n v="28711"/>
    <n v="28899"/>
    <s v="AZ_Maric_2020g~Gen-peoria-proposition 445 (vote for1)"/>
    <x v="0"/>
  </r>
  <r>
    <x v="0"/>
    <n v="1"/>
    <n v="50689"/>
    <n v="21595"/>
    <n v="29094"/>
    <s v="AZ_Maric_2020g~Gen-tempe-question 3 (vote for1)"/>
    <x v="0"/>
  </r>
  <r>
    <x v="0"/>
    <n v="1"/>
    <n v="57695"/>
    <n v="27943"/>
    <n v="29752"/>
    <s v="AZ_Maric_2020g~Gen-peoria-proposition 447 (vote for1)"/>
    <x v="0"/>
  </r>
  <r>
    <x v="0"/>
    <n v="1"/>
    <n v="73402"/>
    <n v="40062"/>
    <n v="33340"/>
    <s v="AZ_Maric_2020g~Gen-chandler-question 1 (vote for1)"/>
    <x v="0"/>
  </r>
  <r>
    <x v="0"/>
    <n v="2"/>
    <n v="60233"/>
    <n v="26099"/>
    <n v="34134"/>
    <s v="AZ_Maric_2020g~Gen-state rep dist-24 (vote for2)"/>
    <x v="0"/>
  </r>
  <r>
    <x v="0"/>
    <n v="1"/>
    <n v="177554"/>
    <n v="143058"/>
    <n v="34496"/>
    <s v="AZ_Maric_2020g~Gen-mcccd - dist 1 (vote for1)"/>
    <x v="0"/>
  </r>
  <r>
    <x v="0"/>
    <n v="1"/>
    <n v="71839"/>
    <n v="36348"/>
    <n v="35491"/>
    <s v="AZ_Maric_2020g~Gen-westmec - dist 4 (vote for1)"/>
    <x v="0"/>
  </r>
  <r>
    <x v="0"/>
    <n v="1"/>
    <n v="94983"/>
    <n v="59422"/>
    <n v="35561"/>
    <s v="AZ_Maric_2020g~Gen-state senator dist-12 (vote for1)"/>
    <x v="0"/>
  </r>
  <r>
    <x v="0"/>
    <n v="1"/>
    <n v="55050"/>
    <n v="17763"/>
    <n v="37287"/>
    <s v="AZ_Maric_2020g~Gen-tempe-question 4 (vote for1)"/>
    <x v="0"/>
  </r>
  <r>
    <x v="0"/>
    <n v="1"/>
    <n v="966759"/>
    <n v="928950"/>
    <n v="37809"/>
    <s v="AZ_Maric_2020g~Gen-county attorney (vote for1)"/>
    <x v="0"/>
  </r>
  <r>
    <x v="0"/>
    <n v="2"/>
    <n v="38617"/>
    <n v="34"/>
    <n v="38583"/>
    <s v="AZ_Maric_2020g~Gen-state rep dist-19 (vote for2)"/>
    <x v="0"/>
  </r>
  <r>
    <x v="0"/>
    <n v="2"/>
    <n v="92231"/>
    <n v="53522"/>
    <n v="38709"/>
    <s v="AZ_Maric_2020g~Gen-state rep dist-22 (vote for2)"/>
    <x v="0"/>
  </r>
  <r>
    <x v="0"/>
    <n v="1"/>
    <n v="66719"/>
    <n v="27402"/>
    <n v="39317"/>
    <s v="AZ_Maric_2020g~Gen-state senator dist-24 (vote for1)"/>
    <x v="0"/>
  </r>
  <r>
    <x v="0"/>
    <n v="1"/>
    <n v="57027"/>
    <n v="17087"/>
    <n v="39940"/>
    <s v="AZ_Maric_2020g~Gen-state senator dist-27 (vote for1)"/>
    <x v="0"/>
  </r>
  <r>
    <x v="0"/>
    <n v="1"/>
    <n v="56808"/>
    <n v="15942"/>
    <n v="40866"/>
    <s v="AZ_Maric_2020g~Gen-tempe-question 2 (vote for1)"/>
    <x v="0"/>
  </r>
  <r>
    <x v="0"/>
    <n v="1"/>
    <n v="57091"/>
    <n v="15498"/>
    <n v="41593"/>
    <s v="AZ_Maric_2020g~Gen-tempe-question 1 (vote for1)"/>
    <x v="0"/>
  </r>
  <r>
    <x v="0"/>
    <n v="1"/>
    <n v="97386"/>
    <n v="55653"/>
    <n v="41733"/>
    <s v="AZ_Maric_2020g~Gen-state senator dist-22 (vote for1)"/>
    <x v="0"/>
  </r>
  <r>
    <x v="0"/>
    <n v="1"/>
    <n v="1040774"/>
    <n v="995665"/>
    <n v="45109"/>
    <s v="AZ_Maric_2020g~Gen-presidential electors (vote for1)"/>
    <x v="0"/>
  </r>
  <r>
    <x v="0"/>
    <n v="1"/>
    <n v="65138"/>
    <n v="19546"/>
    <n v="45592"/>
    <s v="AZ_Maric_2020g~Gen-peoria-proposition 448 (vote for1)"/>
    <x v="0"/>
  </r>
  <r>
    <x v="0"/>
    <n v="1"/>
    <n v="58735"/>
    <n v="1074"/>
    <n v="57661"/>
    <s v="AZ_Maric_2020g~Gen-state senator dist-16 (vote for1)"/>
    <x v="0"/>
  </r>
  <r>
    <x v="0"/>
    <n v="3"/>
    <n v="65303"/>
    <n v="4284"/>
    <n v="61019"/>
    <s v="AZ_Maric_2020g~Gen-paradise valley usd #69-gbm-4yr (vote for3)"/>
    <x v="0"/>
  </r>
  <r>
    <x v="0"/>
    <n v="3"/>
    <n v="68402"/>
    <n v="5353"/>
    <n v="63049"/>
    <s v="AZ_Maric_2020g~Gen-chandler usd #80-gbm-4yr (vote for3)"/>
    <x v="0"/>
  </r>
  <r>
    <x v="0"/>
    <n v="1"/>
    <n v="64192"/>
    <n v="145"/>
    <n v="64047"/>
    <s v="AZ_Maric_2020g~Gen-state senator dist-13 (vote for1)"/>
    <x v="0"/>
  </r>
  <r>
    <x v="0"/>
    <n v="1"/>
    <n v="1031783"/>
    <n v="958374"/>
    <n v="73409"/>
    <s v="AZ_Maric_2020g~Gen-proposition 208 (vote for1)"/>
    <x v="0"/>
  </r>
  <r>
    <x v="0"/>
    <n v="1"/>
    <n v="257774"/>
    <n v="182156"/>
    <n v="75618"/>
    <s v="AZ_Maric_2020g~Gen-board of supervisors dist 4 (vote for1)"/>
    <x v="0"/>
  </r>
  <r>
    <x v="0"/>
    <n v="1"/>
    <n v="144671"/>
    <n v="65905"/>
    <n v="78766"/>
    <s v="AZ_Maric_2020g~Gen-mesa-question 1 (vote for1)"/>
    <x v="0"/>
  </r>
  <r>
    <x v="0"/>
    <n v="1"/>
    <n v="262414"/>
    <n v="183171"/>
    <n v="79243"/>
    <s v="AZ_Maric_2020g~Gen-us rep dist cd-5 (vote for1)"/>
    <x v="0"/>
  </r>
  <r>
    <x v="0"/>
    <n v="1"/>
    <n v="1064396"/>
    <n v="984203"/>
    <n v="80193"/>
    <s v="AZ_Maric_2020g~Gen-us senate-term expires  january 3, 2023 (vote for1)"/>
    <x v="0"/>
  </r>
  <r>
    <x v="0"/>
    <n v="1"/>
    <n v="251633"/>
    <n v="170816"/>
    <n v="80817"/>
    <s v="AZ_Maric_2020g~Gen-us rep dist cd-8 (vote for1)"/>
    <x v="0"/>
  </r>
  <r>
    <x v="0"/>
    <n v="1"/>
    <n v="217094"/>
    <n v="135180"/>
    <n v="81914"/>
    <s v="AZ_Maric_2020g~Gen-us rep dist cd-9 (vote for1)"/>
    <x v="0"/>
  </r>
  <r>
    <x v="0"/>
    <n v="2"/>
    <n v="91965"/>
    <n v="7533"/>
    <n v="84432"/>
    <s v="AZ_Maric_2020g~Gen-state rep dist-12 (vote for2)"/>
    <x v="0"/>
  </r>
  <r>
    <x v="0"/>
    <n v="1"/>
    <n v="690431"/>
    <n v="604241"/>
    <n v="86190"/>
    <s v="AZ_Maric_2020g~Gen-superior court gentry, jo lynn (vote for1)"/>
    <x v="0"/>
  </r>
  <r>
    <x v="0"/>
    <n v="1"/>
    <n v="970986"/>
    <n v="883870"/>
    <n v="87116"/>
    <s v="AZ_Maric_2020g~Gen-county treasurer (vote for1)"/>
    <x v="0"/>
  </r>
  <r>
    <x v="0"/>
    <n v="1"/>
    <n v="255790"/>
    <n v="168122"/>
    <n v="87668"/>
    <s v="AZ_Maric_2020g~Gen-board of supervisors dist 2 (vote for1)"/>
    <x v="0"/>
  </r>
  <r>
    <x v="0"/>
    <n v="1"/>
    <n v="987860"/>
    <n v="898722"/>
    <n v="89138"/>
    <s v="AZ_Maric_2020g~Gen-county assessor (vote for1)"/>
    <x v="0"/>
  </r>
  <r>
    <x v="0"/>
    <n v="1"/>
    <n v="91249"/>
    <n v="1342"/>
    <n v="89907"/>
    <s v="AZ_Maric_2020g~Gen-state senator dist-15 (vote for1)"/>
    <x v="0"/>
  </r>
  <r>
    <x v="0"/>
    <n v="1"/>
    <n v="165452"/>
    <n v="50226"/>
    <n v="115226"/>
    <s v="AZ_Maric_2020g~Gen-us rep dist cd-7 (vote for1)"/>
    <x v="0"/>
  </r>
  <r>
    <x v="0"/>
    <n v="1"/>
    <n v="229581"/>
    <n v="95092"/>
    <n v="134489"/>
    <s v="AZ_Maric_2020g~Gen-mc special healthcare dist 1 (vote for1)"/>
    <x v="0"/>
  </r>
  <r>
    <x v="0"/>
    <n v="1"/>
    <n v="349959"/>
    <n v="152172"/>
    <n v="197787"/>
    <s v="AZ_Maric_2020g~Gen-phoenix-mayor (vote for1)"/>
    <x v="0"/>
  </r>
  <r>
    <x v="0"/>
    <n v="1"/>
    <n v="1095955"/>
    <n v="869748"/>
    <n v="226207"/>
    <s v="AZ_Maric_2020g~Gen-sheriff (vote for1)"/>
    <x v="0"/>
  </r>
  <r>
    <x v="0"/>
    <n v="1"/>
    <n v="406844"/>
    <n v="151959"/>
    <n v="254885"/>
    <s v="AZ_Maric_2020g~Gen-phoenix-proposition 444 (vote for1)"/>
    <x v="0"/>
  </r>
  <r>
    <x v="0"/>
    <n v="1"/>
    <n v="793073"/>
    <n v="478009"/>
    <n v="315064"/>
    <s v="AZ_Maric_2020g~Gen-superior court driggs, adam (vote for1)"/>
    <x v="0"/>
  </r>
  <r>
    <x v="0"/>
    <n v="1"/>
    <n v="831025"/>
    <n v="503240"/>
    <n v="327785"/>
    <s v="AZ_Maric_2020g~Gen-appeals court weinzweig, david (vote for1)"/>
    <x v="0"/>
  </r>
  <r>
    <x v="0"/>
    <n v="1"/>
    <n v="908819"/>
    <n v="524368"/>
    <n v="384451"/>
    <s v="AZ_Maric_2020g~Gen-mcccd at-large (vote for1)"/>
    <x v="0"/>
  </r>
  <r>
    <x v="0"/>
    <n v="1"/>
    <n v="821071"/>
    <n v="436174"/>
    <n v="384897"/>
    <s v="AZ_Maric_2020g~Gen-superior court hannah, john r. (vote for1)"/>
    <x v="0"/>
  </r>
  <r>
    <x v="0"/>
    <n v="1"/>
    <n v="840792"/>
    <n v="449296"/>
    <n v="391496"/>
    <s v="AZ_Maric_2020g~Gen-superior court coury, christopher a. (vote for1)"/>
    <x v="0"/>
  </r>
  <r>
    <x v="0"/>
    <n v="1"/>
    <n v="922166"/>
    <n v="510566"/>
    <n v="411600"/>
    <s v="AZ_Maric_2020g~Gen-supreme court gould, andrew w. (vote for1)"/>
    <x v="0"/>
  </r>
  <r>
    <x v="0"/>
    <n v="1"/>
    <n v="849829"/>
    <n v="430345"/>
    <n v="419484"/>
    <s v="AZ_Maric_2020g~Gen-superior court cohen, suzanne e. (vote for1)"/>
    <x v="0"/>
  </r>
  <r>
    <x v="0"/>
    <n v="1"/>
    <n v="1217089"/>
    <n v="787437"/>
    <n v="429652"/>
    <s v="AZ_Maric_2020g~Gen-proposition 207 (vote for1)"/>
    <x v="0"/>
  </r>
  <r>
    <x v="0"/>
    <n v="1"/>
    <n v="893308"/>
    <n v="462160"/>
    <n v="431148"/>
    <s v="AZ_Maric_2020g~Gen-appeals court perkins, jennifer (vote for1)"/>
    <x v="0"/>
  </r>
  <r>
    <x v="0"/>
    <n v="1"/>
    <n v="1142266"/>
    <n v="693843"/>
    <n v="448423"/>
    <s v="AZ_Maric_2020g~Gen-mc special healthcare proposition 449 (vote for1)"/>
    <x v="0"/>
  </r>
  <r>
    <x v="0"/>
    <n v="1"/>
    <n v="914505"/>
    <n v="430668"/>
    <n v="483837"/>
    <s v="AZ_Maric_2020g~Gen-appeals court morse jr., james (vote for1)"/>
    <x v="0"/>
  </r>
  <r>
    <x v="0"/>
    <n v="1"/>
    <n v="880669"/>
    <n v="376837"/>
    <n v="503832"/>
    <s v="AZ_Maric_2020g~Gen-superior court ponce, adele g. (vote for1)"/>
    <x v="0"/>
  </r>
  <r>
    <x v="0"/>
    <n v="1"/>
    <n v="879833"/>
    <n v="369332"/>
    <n v="510501"/>
    <s v="AZ_Maric_2020g~Gen-superior court ryan, timothy j. (vote for1)"/>
    <x v="0"/>
  </r>
  <r>
    <x v="0"/>
    <n v="1"/>
    <n v="892586"/>
    <n v="348483"/>
    <n v="544103"/>
    <s v="AZ_Maric_2020g~Gen-superior court whitten, christopher t. (vote for1)"/>
    <x v="0"/>
  </r>
  <r>
    <x v="0"/>
    <n v="1"/>
    <n v="896807"/>
    <n v="351235"/>
    <n v="545572"/>
    <s v="AZ_Maric_2020g~Gen-superior court mandell, michael (vote for1)"/>
    <x v="0"/>
  </r>
  <r>
    <x v="0"/>
    <n v="1"/>
    <n v="899945"/>
    <n v="349405"/>
    <n v="550540"/>
    <s v="AZ_Maric_2020g~Gen-superior court vandenberg, lisa a. (vote for1)"/>
    <x v="0"/>
  </r>
  <r>
    <x v="0"/>
    <n v="1"/>
    <n v="912543"/>
    <n v="358415"/>
    <n v="554128"/>
    <s v="AZ_Maric_2020g~Gen-superior court blaney, scott allen (vote for1)"/>
    <x v="0"/>
  </r>
  <r>
    <x v="0"/>
    <n v="1"/>
    <n v="916776"/>
    <n v="356207"/>
    <n v="560569"/>
    <s v="AZ_Maric_2020g~Gen-superior court beresky, justin (vote for1)"/>
    <x v="0"/>
  </r>
  <r>
    <x v="0"/>
    <n v="1"/>
    <n v="1007257"/>
    <n v="432657"/>
    <n v="574600"/>
    <s v="AZ_Maric_2020g~Gen-supreme court lopez iv, john (vote for1)"/>
    <x v="0"/>
  </r>
  <r>
    <x v="0"/>
    <n v="1"/>
    <n v="915870"/>
    <n v="340894"/>
    <n v="574976"/>
    <s v="AZ_Maric_2020g~Gen-superior court mahoney, margaret r. (vote for1)"/>
    <x v="0"/>
  </r>
  <r>
    <x v="0"/>
    <n v="1"/>
    <n v="922849"/>
    <n v="347500"/>
    <n v="575349"/>
    <s v="AZ_Maric_2020g~Gen-superior court cohen, bruce r. (vote for1)"/>
    <x v="0"/>
  </r>
  <r>
    <x v="0"/>
    <n v="1"/>
    <n v="918935"/>
    <n v="335091"/>
    <n v="583844"/>
    <s v="AZ_Maric_2020g~Gen-superior court mullins, karen a. (vote for1)"/>
    <x v="0"/>
  </r>
  <r>
    <x v="0"/>
    <n v="1"/>
    <n v="924088"/>
    <n v="324160"/>
    <n v="599928"/>
    <s v="AZ_Maric_2020g~Gen-superior court lang, todd f. (vote for1)"/>
    <x v="0"/>
  </r>
  <r>
    <x v="0"/>
    <n v="1"/>
    <n v="928165"/>
    <n v="325789"/>
    <n v="602376"/>
    <s v="AZ_Maric_2020g~Gen-superior court gordon, michael d. (vote for1)"/>
    <x v="0"/>
  </r>
  <r>
    <x v="0"/>
    <n v="1"/>
    <n v="931260"/>
    <n v="323339"/>
    <n v="607921"/>
    <s v="AZ_Maric_2020g~Gen-superior court stephens, sherry k. (vote for1)"/>
    <x v="0"/>
  </r>
  <r>
    <x v="0"/>
    <n v="1"/>
    <n v="927207"/>
    <n v="319150"/>
    <n v="608057"/>
    <s v="AZ_Maric_2020g~Gen-superior court mikitish, joseph p. (vote for1)"/>
    <x v="0"/>
  </r>
  <r>
    <x v="0"/>
    <n v="1"/>
    <n v="940138"/>
    <n v="323351"/>
    <n v="616787"/>
    <s v="AZ_Maric_2020g~Gen-superior court coffey, rodrick j. (vote for1)"/>
    <x v="0"/>
  </r>
  <r>
    <x v="0"/>
    <n v="1"/>
    <n v="941069"/>
    <n v="319583"/>
    <n v="621486"/>
    <s v="AZ_Maric_2020g~Gen-superior court fisk, ronda r. (vote for1)"/>
    <x v="0"/>
  </r>
  <r>
    <x v="0"/>
    <n v="1"/>
    <n v="933800"/>
    <n v="307245"/>
    <n v="626555"/>
    <s v="AZ_Maric_2020g~Gen-superior court wein, kevin (vote for1)"/>
    <x v="0"/>
  </r>
  <r>
    <x v="0"/>
    <n v="1"/>
    <n v="943647"/>
    <n v="309551"/>
    <n v="634096"/>
    <s v="AZ_Maric_2020g~Gen-superior court marwil, suzanne sheiner (vote for1)"/>
    <x v="0"/>
  </r>
  <r>
    <x v="0"/>
    <n v="1"/>
    <n v="943688"/>
    <n v="308749"/>
    <n v="634939"/>
    <s v="AZ_Maric_2020g~Gen-superior court kemp, michael (vote for1)"/>
    <x v="0"/>
  </r>
  <r>
    <x v="0"/>
    <n v="1"/>
    <n v="939433"/>
    <n v="300949"/>
    <n v="638484"/>
    <s v="AZ_Maric_2020g~Gen-superior court thompson, peter allen (vote for1)"/>
    <x v="0"/>
  </r>
  <r>
    <x v="0"/>
    <n v="1"/>
    <n v="995970"/>
    <n v="354571"/>
    <n v="641399"/>
    <s v="AZ_Maric_2020g~Gen-appeals court howe, randall (vote for1)"/>
    <x v="0"/>
  </r>
  <r>
    <x v="0"/>
    <n v="1"/>
    <n v="944044"/>
    <n v="301106"/>
    <n v="642938"/>
    <s v="AZ_Maric_2020g~Gen-superior court minder, scott s. (vote for1)"/>
    <x v="0"/>
  </r>
  <r>
    <x v="0"/>
    <n v="1"/>
    <n v="947532"/>
    <n v="300018"/>
    <n v="647514"/>
    <s v="AZ_Maric_2020g~Gen-superior court mccoy, michael scott (vote for1)"/>
    <x v="0"/>
  </r>
  <r>
    <x v="0"/>
    <n v="1"/>
    <n v="951194"/>
    <n v="296740"/>
    <n v="654454"/>
    <s v="AZ_Maric_2020g~Gen-superior court kiley, daniel j. (vote for1)"/>
    <x v="0"/>
  </r>
  <r>
    <x v="0"/>
    <n v="1"/>
    <n v="950087"/>
    <n v="294091"/>
    <n v="655996"/>
    <s v="AZ_Maric_2020g~Gen-superior court thomason, timothy j. (vote for1)"/>
    <x v="0"/>
  </r>
  <r>
    <x v="0"/>
    <n v="1"/>
    <n v="999481"/>
    <n v="342541"/>
    <n v="656940"/>
    <s v="AZ_Maric_2020g~Gen-appeals court mcmurdie, paul (vote for1)"/>
    <x v="0"/>
  </r>
  <r>
    <x v="0"/>
    <n v="1"/>
    <n v="954507"/>
    <n v="294668"/>
    <n v="659839"/>
    <s v="AZ_Maric_2020g~Gen-superior court palmer, david j. (vote for1)"/>
    <x v="0"/>
  </r>
  <r>
    <x v="0"/>
    <n v="1"/>
    <n v="957538"/>
    <n v="293753"/>
    <n v="663785"/>
    <s v="AZ_Maric_2020g~Gen-superior court udall, david k. (vote for1)"/>
    <x v="0"/>
  </r>
  <r>
    <x v="0"/>
    <n v="1"/>
    <n v="965397"/>
    <n v="301361"/>
    <n v="664036"/>
    <s v="AZ_Maric_2020g~Gen-superior court contes, connie coin (vote for1)"/>
    <x v="0"/>
  </r>
  <r>
    <x v="0"/>
    <n v="1"/>
    <n v="1045779"/>
    <n v="381621"/>
    <n v="664158"/>
    <s v="AZ_Maric_2020g~Gen-supreme court brutinel, robert (vote for1)"/>
    <x v="0"/>
  </r>
  <r>
    <x v="0"/>
    <n v="1"/>
    <n v="996592"/>
    <n v="327781"/>
    <n v="668811"/>
    <s v="AZ_Maric_2020g~Gen-appeals court thumma, samuel (vote for1)"/>
    <x v="0"/>
  </r>
  <r>
    <x v="0"/>
    <n v="1"/>
    <n v="961495"/>
    <n v="291551"/>
    <n v="669944"/>
    <s v="AZ_Maric_2020g~Gen-superior court sanders, teresa a. (vote for1)"/>
    <x v="0"/>
  </r>
  <r>
    <x v="0"/>
    <n v="1"/>
    <n v="975233"/>
    <n v="287316"/>
    <n v="687917"/>
    <s v="AZ_Maric_2020g~Gen-superior court gates, pamela frasher (vote for1)"/>
    <x v="0"/>
  </r>
  <r>
    <x v="0"/>
    <n v="1"/>
    <n v="980218"/>
    <n v="271712"/>
    <n v="708506"/>
    <s v="AZ_Maric_2020g~Gen-superior court starr, patricia ann (vote for1)"/>
    <x v="0"/>
  </r>
  <r>
    <x v="0"/>
    <n v="1"/>
    <n v="983932"/>
    <n v="273629"/>
    <n v="710303"/>
    <s v="AZ_Maric_2020g~Gen-superior court labianca, margaret b. (vote for1)"/>
    <x v="0"/>
  </r>
  <r>
    <x v="0"/>
    <n v="1"/>
    <n v="1004088"/>
    <n v="291153"/>
    <n v="712935"/>
    <s v="AZ_Maric_2020g~Gen-superior court agne, sara j. (vote for1)"/>
    <x v="0"/>
  </r>
  <r>
    <x v="0"/>
    <n v="1"/>
    <n v="1003676"/>
    <n v="289207"/>
    <n v="714469"/>
    <s v="AZ_Maric_2020g~Gen-superior court adleman, jay r. (vote for1)"/>
    <x v="0"/>
  </r>
  <r>
    <x v="0"/>
    <n v="1"/>
    <n v="1007260"/>
    <n v="272170"/>
    <n v="735090"/>
    <s v="AZ_Maric_2020g~Gen-superior court bustamante, lori horn (vote for1)"/>
    <x v="0"/>
  </r>
  <r>
    <x v="0"/>
    <n v="1"/>
    <n v="995843"/>
    <n v="258658"/>
    <n v="737185"/>
    <s v="AZ_Maric_2020g~Gen-superior court mead, kathleen (vote for1)"/>
    <x v="0"/>
  </r>
  <r>
    <x v="1"/>
    <n v="1"/>
    <n v="1805"/>
    <n v="1805"/>
    <n v="0"/>
    <s v="CA_Orang_2020g~brea olinda unified school district governing board member, trustee area 5 (vote 1)"/>
    <x v="0"/>
  </r>
  <r>
    <x v="1"/>
    <n v="1"/>
    <n v="161"/>
    <n v="159"/>
    <n v="2"/>
    <s v="CA_Orang_2020g~surfside colony storm water protection district trustee (vote 1)"/>
    <x v="0"/>
  </r>
  <r>
    <x v="1"/>
    <n v="1"/>
    <n v="517"/>
    <n v="501"/>
    <n v="16"/>
    <s v="CA_Orang_2020g~city of los alamitos member, city council, district 1 (vote 1)"/>
    <x v="0"/>
  </r>
  <r>
    <x v="1"/>
    <n v="1"/>
    <n v="72"/>
    <n v="55"/>
    <n v="17"/>
    <s v="CA_Orang_2020g~capistrano bay community services district director (vote 1)"/>
    <x v="0"/>
  </r>
  <r>
    <x v="1"/>
    <n v="1"/>
    <n v="1976"/>
    <n v="1954"/>
    <n v="22"/>
    <s v="CA_Orang_2020g~city of lake forest member, city council, district 1 (vote 1)"/>
    <x v="0"/>
  </r>
  <r>
    <x v="1"/>
    <n v="1"/>
    <n v="548"/>
    <n v="522"/>
    <n v="26"/>
    <s v="CA_Orang_2020g~silverado-modjeska recreation and park district director (vote 1)"/>
    <x v="0"/>
  </r>
  <r>
    <x v="1"/>
    <n v="1"/>
    <n v="248"/>
    <n v="205"/>
    <n v="43"/>
    <s v="CA_Orang_2020g~santiago geologic hazard abatement district director, full term (vote 1)"/>
    <x v="0"/>
  </r>
  <r>
    <x v="1"/>
    <n v="1"/>
    <n v="492"/>
    <n v="430"/>
    <n v="62"/>
    <s v="CA_Orang_2020g~sunset beach sanitary district director, full term (vote 1)"/>
    <x v="0"/>
  </r>
  <r>
    <x v="1"/>
    <n v="1"/>
    <n v="1437"/>
    <n v="1339"/>
    <n v="98"/>
    <s v="CA_Orang_2020g~city of stanton member, city council, district 2 (vote 1)"/>
    <x v="0"/>
  </r>
  <r>
    <x v="1"/>
    <n v="1"/>
    <n v="3060"/>
    <n v="2946"/>
    <n v="114"/>
    <s v="CA_Orang_2020g~y-city of los alamitos, quality of life, 911 police response, business/job protection measure (vote 1)"/>
    <x v="0"/>
  </r>
  <r>
    <x v="1"/>
    <n v="1"/>
    <n v="3242"/>
    <n v="3101"/>
    <n v="141"/>
    <s v="CA_Orang_2020g~rossmoor community services district director, full term (vote 1)"/>
    <x v="0"/>
  </r>
  <r>
    <x v="1"/>
    <n v="1"/>
    <n v="10199"/>
    <n v="10043"/>
    <n v="156"/>
    <s v="CA_Orang_2020g~la habra city school district governing board member, full term (vote 1)"/>
    <x v="0"/>
  </r>
  <r>
    <x v="1"/>
    <n v="1"/>
    <n v="1311"/>
    <n v="1151"/>
    <n v="160"/>
    <s v="CA_Orang_2020g~city of placentia member, city council, district 1 (vote 1)"/>
    <x v="0"/>
  </r>
  <r>
    <x v="1"/>
    <n v="1"/>
    <n v="10901"/>
    <n v="10693"/>
    <n v="208"/>
    <s v="CA_Orang_2020g~city of san clemente member, city council, full term (vote 1)"/>
    <x v="0"/>
  </r>
  <r>
    <x v="1"/>
    <n v="1"/>
    <n v="6651"/>
    <n v="6426"/>
    <n v="225"/>
    <s v="CA_Orang_2020g~v-city of laguna woods, advisory measure on marijuana dispensaries (vote 1)"/>
    <x v="0"/>
  </r>
  <r>
    <x v="1"/>
    <n v="1"/>
    <n v="4951"/>
    <n v="4702"/>
    <n v="249"/>
    <s v="CA_Orang_2020g~city of fullerton member, city council, district 4 (vote 1)"/>
    <x v="0"/>
  </r>
  <r>
    <x v="1"/>
    <n v="1"/>
    <n v="2949"/>
    <n v="2637"/>
    <n v="312"/>
    <s v="CA_Orang_2020g~placentia-yorba linda unified school district governing board member, trustee area 2 (vote 1)"/>
    <x v="0"/>
  </r>
  <r>
    <x v="1"/>
    <n v="1"/>
    <n v="2580"/>
    <n v="2265"/>
    <n v="315"/>
    <s v="CA_Orang_2020g~los alamitos unified school district governing board member, trustee area 2 (vote 1)"/>
    <x v="0"/>
  </r>
  <r>
    <x v="1"/>
    <n v="1"/>
    <n v="6400"/>
    <n v="6083"/>
    <n v="317"/>
    <s v="CA_Orang_2020g~city of fullerton member, city council, district 1 (vote 1)"/>
    <x v="0"/>
  </r>
  <r>
    <x v="1"/>
    <n v="1"/>
    <n v="4437"/>
    <n v="4114"/>
    <n v="323"/>
    <s v="CA_Orang_2020g~city of costa mesa member, city council, district 1 (vote 1)"/>
    <x v="0"/>
  </r>
  <r>
    <x v="1"/>
    <n v="1"/>
    <n v="750"/>
    <n v="363"/>
    <n v="387"/>
    <s v="CA_Orang_2020g~city of los alamitos member, city council, district 2 (vote 1)"/>
    <x v="0"/>
  </r>
  <r>
    <x v="1"/>
    <n v="1"/>
    <n v="6626"/>
    <n v="6206"/>
    <n v="420"/>
    <s v="CA_Orang_2020g~city of laguna beach city clerk (vote 1)"/>
    <x v="0"/>
  </r>
  <r>
    <x v="1"/>
    <n v="1"/>
    <n v="6343"/>
    <n v="5916"/>
    <n v="427"/>
    <s v="CA_Orang_2020g~city of laguna woods member, city council (vote 1)"/>
    <x v="0"/>
  </r>
  <r>
    <x v="1"/>
    <n v="1"/>
    <n v="4448"/>
    <n v="3962"/>
    <n v="486"/>
    <s v="CA_Orang_2020g~city of orange member, city council, district 5 (vote 1)"/>
    <x v="0"/>
  </r>
  <r>
    <x v="1"/>
    <n v="1"/>
    <n v="11459"/>
    <n v="10964"/>
    <n v="495"/>
    <s v="CA_Orang_2020g~capistrano unified school district governing board member, trustee area 3 (vote 1)"/>
    <x v="0"/>
  </r>
  <r>
    <x v="1"/>
    <n v="1"/>
    <n v="1469"/>
    <n v="947"/>
    <n v="522"/>
    <s v="CA_Orang_2020g~city of stanton member, city council, district 4 (vote 1)"/>
    <x v="0"/>
  </r>
  <r>
    <x v="1"/>
    <n v="1"/>
    <n v="9484"/>
    <n v="8936"/>
    <n v="548"/>
    <s v="CA_Orang_2020g~city of laguna hills member, city council (vote 1)"/>
    <x v="0"/>
  </r>
  <r>
    <x v="1"/>
    <n v="1"/>
    <n v="8040"/>
    <n v="7358"/>
    <n v="682"/>
    <s v="CA_Orang_2020g~city of san clemente member, city council, short term (vote 1)"/>
    <x v="0"/>
  </r>
  <r>
    <x v="1"/>
    <n v="1"/>
    <n v="6689"/>
    <n v="5976"/>
    <n v="713"/>
    <s v="CA_Orang_2020g~newport-mesa unified school district governing board member, trustee area 1 (vote 1)"/>
    <x v="0"/>
  </r>
  <r>
    <x v="1"/>
    <n v="1"/>
    <n v="8129"/>
    <n v="7353"/>
    <n v="776"/>
    <s v="CA_Orang_2020g~city of cypress member, city council (vote 1)"/>
    <x v="0"/>
  </r>
  <r>
    <x v="1"/>
    <n v="1"/>
    <n v="6442"/>
    <n v="5665"/>
    <n v="777"/>
    <s v="CA_Orang_2020g~city of laguna beach member, city council (vote 1)"/>
    <x v="0"/>
  </r>
  <r>
    <x v="1"/>
    <n v="1"/>
    <n v="7791"/>
    <n v="6997"/>
    <n v="794"/>
    <s v="CA_Orang_2020g~city of anaheim member, city council, district 1 (vote 1)"/>
    <x v="0"/>
  </r>
  <r>
    <x v="1"/>
    <n v="1"/>
    <n v="3439"/>
    <n v="2639"/>
    <n v="800"/>
    <s v="CA_Orang_2020g~city of westminster member, city council, district 2 (vote 1)"/>
    <x v="0"/>
  </r>
  <r>
    <x v="1"/>
    <n v="1"/>
    <n v="6159"/>
    <n v="5340"/>
    <n v="819"/>
    <s v="CA_Orang_2020g~city of garden grove member, city council, district 2 (vote 1)"/>
    <x v="0"/>
  </r>
  <r>
    <x v="1"/>
    <n v="1"/>
    <n v="2135"/>
    <n v="1314"/>
    <n v="821"/>
    <s v="CA_Orang_2020g~city of dana point member, city council, district 4 (vote 1)"/>
    <x v="0"/>
  </r>
  <r>
    <x v="1"/>
    <n v="1"/>
    <n v="7679"/>
    <n v="6837"/>
    <n v="842"/>
    <s v="CA_Orang_2020g~placentia-yorba linda unified school district governing board member, trustee area 1 (vote 1)"/>
    <x v="0"/>
  </r>
  <r>
    <x v="1"/>
    <n v="1"/>
    <n v="4179"/>
    <n v="3263"/>
    <n v="916"/>
    <s v="CA_Orang_2020g~city of santa ana member, city council, ward 5 (vote 1)"/>
    <x v="0"/>
  </r>
  <r>
    <x v="1"/>
    <n v="1"/>
    <n v="7459"/>
    <n v="6518"/>
    <n v="941"/>
    <s v="CA_Orang_2020g~placentia-yorba linda unified school district governing board member, trustee area 3 (vote 1)"/>
    <x v="0"/>
  </r>
  <r>
    <x v="1"/>
    <n v="1"/>
    <n v="6332"/>
    <n v="5376"/>
    <n v="956"/>
    <s v="CA_Orang_2020g~costa mesa sanitary district director, division 2 (vote 1)"/>
    <x v="0"/>
  </r>
  <r>
    <x v="1"/>
    <n v="1"/>
    <n v="25865"/>
    <n v="24856"/>
    <n v="1009"/>
    <s v="CA_Orang_2020g~city of mission viejo member, city council, two-year term (vote 1)"/>
    <x v="0"/>
  </r>
  <r>
    <x v="1"/>
    <n v="1"/>
    <n v="8111"/>
    <n v="7022"/>
    <n v="1089"/>
    <s v="CA_Orang_2020g~south coast water district director (vote 1)"/>
    <x v="0"/>
  </r>
  <r>
    <x v="1"/>
    <n v="1"/>
    <n v="4696"/>
    <n v="3595"/>
    <n v="1101"/>
    <s v="CA_Orang_2020g~city of la palma member, city council (vote 1)"/>
    <x v="0"/>
  </r>
  <r>
    <x v="1"/>
    <n v="1"/>
    <n v="1792"/>
    <n v="677"/>
    <n v="1115"/>
    <s v="CA_Orang_2020g~buena park school district governing board member, trustee area 4 (vote 1)"/>
    <x v="0"/>
  </r>
  <r>
    <x v="1"/>
    <n v="1"/>
    <n v="16791"/>
    <n v="15657"/>
    <n v="1134"/>
    <s v="CA_Orang_2020g~city of laguna niguel member, city council (vote 1)"/>
    <x v="0"/>
  </r>
  <r>
    <x v="1"/>
    <n v="1"/>
    <n v="11067"/>
    <n v="9885"/>
    <n v="1182"/>
    <s v="CA_Orang_2020g~city of aliso viejo member, city council (vote 1)"/>
    <x v="0"/>
  </r>
  <r>
    <x v="1"/>
    <n v="1"/>
    <n v="6297"/>
    <n v="5081"/>
    <n v="1216"/>
    <s v="CA_Orang_2020g~tustin unified school district governing board member, trustee area 1 (vote 1)"/>
    <x v="0"/>
  </r>
  <r>
    <x v="1"/>
    <n v="1"/>
    <n v="2654"/>
    <n v="1430"/>
    <n v="1224"/>
    <s v="CA_Orang_2020g~city of orange member, city council, district 2 (vote 1)"/>
    <x v="0"/>
  </r>
  <r>
    <x v="1"/>
    <n v="1"/>
    <n v="10444"/>
    <n v="9218"/>
    <n v="1226"/>
    <s v="CA_Orang_2020g~city of fountain valley member, city council (vote 1)"/>
    <x v="0"/>
  </r>
  <r>
    <x v="1"/>
    <n v="1"/>
    <n v="2292"/>
    <n v="1022"/>
    <n v="1270"/>
    <s v="CA_Orang_2020g~city of seal beach member, city council, district 2 (vote 1)"/>
    <x v="0"/>
  </r>
  <r>
    <x v="1"/>
    <n v="1"/>
    <n v="4087"/>
    <n v="2797"/>
    <n v="1290"/>
    <s v="CA_Orang_2020g~city of buena park member, city council, district 4 (vote 1)"/>
    <x v="0"/>
  </r>
  <r>
    <x v="1"/>
    <n v="1"/>
    <n v="5158"/>
    <n v="3850"/>
    <n v="1308"/>
    <s v="CA_Orang_2020g~mesa water district director, division 2 (vote 1)"/>
    <x v="0"/>
  </r>
  <r>
    <x v="1"/>
    <n v="1"/>
    <n v="3698"/>
    <n v="2229"/>
    <n v="1469"/>
    <s v="CA_Orang_2020g~los alamitos unified school district governing board member, trustee area 5 (vote 1)"/>
    <x v="0"/>
  </r>
  <r>
    <x v="1"/>
    <n v="1"/>
    <n v="3730"/>
    <n v="2255"/>
    <n v="1475"/>
    <s v="CA_Orang_2020g~city of buena park member, city council, district 3 (vote 1)"/>
    <x v="0"/>
  </r>
  <r>
    <x v="1"/>
    <n v="1"/>
    <n v="4096"/>
    <n v="2611"/>
    <n v="1485"/>
    <s v="CA_Orang_2020g~city of orange member, city council, district 1 (vote 1)"/>
    <x v="0"/>
  </r>
  <r>
    <x v="1"/>
    <n v="1"/>
    <n v="3962"/>
    <n v="2436"/>
    <n v="1526"/>
    <s v="CA_Orang_2020g~city of costa mesa  member, city council, district 2 (vote 1)"/>
    <x v="0"/>
  </r>
  <r>
    <x v="1"/>
    <n v="1"/>
    <n v="11755"/>
    <n v="10227"/>
    <n v="1528"/>
    <s v="CA_Orang_2020g~city of brea city treasurer (vote 1)"/>
    <x v="0"/>
  </r>
  <r>
    <x v="1"/>
    <n v="1"/>
    <n v="6786"/>
    <n v="5242"/>
    <n v="1544"/>
    <s v="CA_Orang_2020g~city of santa ana member, city council, ward 3 (vote 1)"/>
    <x v="0"/>
  </r>
  <r>
    <x v="1"/>
    <n v="1"/>
    <n v="13107"/>
    <n v="11538"/>
    <n v="1569"/>
    <s v="CA_Orang_2020g~city of brea member, city council (vote 1)"/>
    <x v="0"/>
  </r>
  <r>
    <x v="1"/>
    <n v="1"/>
    <n v="3262"/>
    <n v="1676"/>
    <n v="1586"/>
    <s v="CA_Orang_2020g~city of san juan capistrano member, city council, district 5 (vote 1)"/>
    <x v="0"/>
  </r>
  <r>
    <x v="1"/>
    <n v="1"/>
    <n v="11024"/>
    <n v="9323"/>
    <n v="1701"/>
    <s v="CA_Orang_2020g~saddleback valley unified school district governing board member, trustee area 2 (vote 1)"/>
    <x v="0"/>
  </r>
  <r>
    <x v="1"/>
    <n v="1"/>
    <n v="7279"/>
    <n v="5502"/>
    <n v="1777"/>
    <s v="CA_Orang_2020g~newport-mesa unified school district governing board member, trustee area 6 (vote 1)"/>
    <x v="0"/>
  </r>
  <r>
    <x v="1"/>
    <n v="1"/>
    <n v="17347"/>
    <n v="15567"/>
    <n v="1780"/>
    <s v="CA_Orang_2020g~east orange county water district director (vote 1)"/>
    <x v="0"/>
  </r>
  <r>
    <x v="1"/>
    <n v="1"/>
    <n v="6909"/>
    <n v="4945"/>
    <n v="1964"/>
    <s v="CA_Orang_2020g~city of santa ana member, city council, ward 1 (vote 1)"/>
    <x v="0"/>
  </r>
  <r>
    <x v="1"/>
    <n v="1"/>
    <n v="3768"/>
    <n v="1787"/>
    <n v="1981"/>
    <s v="CA_Orang_2020g~city of placentia member, city council, district 5 (vote 1)"/>
    <x v="0"/>
  </r>
  <r>
    <x v="1"/>
    <n v="1"/>
    <n v="4620"/>
    <n v="2550"/>
    <n v="2070"/>
    <s v="CA_Orang_2020g~westminster school district governing board member, trustee area 1 (vote 1)"/>
    <x v="0"/>
  </r>
  <r>
    <x v="1"/>
    <n v="1"/>
    <n v="3133"/>
    <n v="1000"/>
    <n v="2133"/>
    <s v="CA_Orang_2020g~city of lake forest member, city council, district 5 (vote 1)"/>
    <x v="0"/>
  </r>
  <r>
    <x v="1"/>
    <n v="1"/>
    <n v="8365"/>
    <n v="6183"/>
    <n v="2182"/>
    <s v="CA_Orang_2020g~laguna beach unified school district governing board member (vote 1)"/>
    <x v="0"/>
  </r>
  <r>
    <x v="1"/>
    <n v="1"/>
    <n v="2990"/>
    <n v="650"/>
    <n v="2340"/>
    <s v="CA_Orang_2020g~city of dana point member, city council, district 5 (vote 1)"/>
    <x v="0"/>
  </r>
  <r>
    <x v="1"/>
    <n v="1"/>
    <n v="4504"/>
    <n v="2111"/>
    <n v="2393"/>
    <s v="CA_Orang_2020g~united states representative 38th district (vote 1)"/>
    <x v="0"/>
  </r>
  <r>
    <x v="1"/>
    <n v="1"/>
    <n v="133607"/>
    <n v="131023"/>
    <n v="2584"/>
    <s v="CA_Orang_2020g~member of the state assembly 74th district (vote 1)"/>
    <x v="0"/>
  </r>
  <r>
    <x v="1"/>
    <n v="1"/>
    <n v="5482"/>
    <n v="2893"/>
    <n v="2589"/>
    <s v="CA_Orang_2020g~city of orange member, city council, district 3 (vote 1)"/>
    <x v="0"/>
  </r>
  <r>
    <x v="1"/>
    <n v="1"/>
    <n v="47165"/>
    <n v="44563"/>
    <n v="2602"/>
    <s v="CA_Orang_2020g~santa margarita water district director (vote 1)"/>
    <x v="0"/>
  </r>
  <r>
    <x v="1"/>
    <n v="1"/>
    <n v="4612"/>
    <n v="1997"/>
    <n v="2615"/>
    <s v="CA_Orang_2020g~city of costa mesa member, city council, district 6 (vote 1)"/>
    <x v="0"/>
  </r>
  <r>
    <x v="1"/>
    <n v="1"/>
    <n v="13392"/>
    <n v="10683"/>
    <n v="2709"/>
    <s v="CA_Orang_2020g~garden grove unified school district governing board member, trustee area 1 (vote 1)"/>
    <x v="0"/>
  </r>
  <r>
    <x v="1"/>
    <n v="1"/>
    <n v="6285"/>
    <n v="3423"/>
    <n v="2862"/>
    <s v="CA_Orang_2020g~city of westminster member, city council, district 3 (vote 1)"/>
    <x v="0"/>
  </r>
  <r>
    <x v="1"/>
    <n v="1"/>
    <n v="15685"/>
    <n v="12780"/>
    <n v="2905"/>
    <s v="CA_Orang_2020g~city of tustin member, city council (vote 1)"/>
    <x v="0"/>
  </r>
  <r>
    <x v="1"/>
    <n v="1"/>
    <n v="18983"/>
    <n v="15865"/>
    <n v="3118"/>
    <s v="CA_Orang_2020g~rancho santiago community college district governing board member, trustee area 7 (vote 1)"/>
    <x v="0"/>
  </r>
  <r>
    <x v="1"/>
    <n v="1"/>
    <n v="15461"/>
    <n v="12340"/>
    <n v="3121"/>
    <s v="CA_Orang_2020g~city of la habra member, city council (vote 1)"/>
    <x v="0"/>
  </r>
  <r>
    <x v="1"/>
    <n v="1"/>
    <n v="7562"/>
    <n v="4403"/>
    <n v="3159"/>
    <s v="CA_Orang_2020g~tustin unified school district governing board member, trustee area 2 (vote 1)"/>
    <x v="0"/>
  </r>
  <r>
    <x v="1"/>
    <n v="1"/>
    <n v="6359"/>
    <n v="3198"/>
    <n v="3161"/>
    <s v="CA_Orang_2020g~irvine unified school district governing board member, trustee area 3 (vote 1)"/>
    <x v="0"/>
  </r>
  <r>
    <x v="1"/>
    <n v="1"/>
    <n v="5623"/>
    <n v="2420"/>
    <n v="3203"/>
    <s v="CA_Orang_2020g~costa mesa sanitary district director, division 4 (vote 1)"/>
    <x v="0"/>
  </r>
  <r>
    <x v="1"/>
    <n v="1"/>
    <n v="8152"/>
    <n v="4766"/>
    <n v="3386"/>
    <s v="CA_Orang_2020g~city of fullerton member, city council, district 2 (vote 1)"/>
    <x v="0"/>
  </r>
  <r>
    <x v="1"/>
    <n v="1"/>
    <n v="12223"/>
    <n v="8785"/>
    <n v="3438"/>
    <s v="CA_Orang_2020g~rancho santa margarita member, city council (vote 1)"/>
    <x v="0"/>
  </r>
  <r>
    <x v="1"/>
    <n v="1"/>
    <n v="5652"/>
    <n v="1861"/>
    <n v="3791"/>
    <s v="CA_Orang_2020g~city of garden grove member, city council, district 6 (vote 1)"/>
    <x v="0"/>
  </r>
  <r>
    <x v="1"/>
    <n v="1"/>
    <n v="19426"/>
    <n v="15551"/>
    <n v="3875"/>
    <s v="CA_Orang_2020g~midway city sanitary district director (vote 1)"/>
    <x v="0"/>
  </r>
  <r>
    <x v="1"/>
    <n v="1"/>
    <n v="17483"/>
    <n v="13599"/>
    <n v="3884"/>
    <s v="CA_Orang_2020g~capistrano unified school district governing board member, trustee area 2 (vote 1)"/>
    <x v="0"/>
  </r>
  <r>
    <x v="1"/>
    <n v="1"/>
    <n v="8840"/>
    <n v="4930"/>
    <n v="3910"/>
    <s v="CA_Orang_2020g~anaheim elementary school district governing board member, trustee area 3 (vote 1)"/>
    <x v="0"/>
  </r>
  <r>
    <x v="1"/>
    <n v="1"/>
    <n v="5947"/>
    <n v="2031"/>
    <n v="3916"/>
    <s v="CA_Orang_2020g~huntington beach city school district governing board member, trustee area 1 (vote 1)"/>
    <x v="0"/>
  </r>
  <r>
    <x v="1"/>
    <n v="1"/>
    <n v="16386"/>
    <n v="12239"/>
    <n v="4147"/>
    <s v="CA_Orang_2020g~fountain valley school district governing board member (vote 1)"/>
    <x v="0"/>
  </r>
  <r>
    <x v="1"/>
    <n v="1"/>
    <n v="7267"/>
    <n v="3042"/>
    <n v="4225"/>
    <s v="CA_Orang_2020g~city of garden grove member, city council, district 5 (vote 1)"/>
    <x v="0"/>
  </r>
  <r>
    <x v="1"/>
    <n v="1"/>
    <n v="7861"/>
    <n v="3541"/>
    <n v="4320"/>
    <s v="CA_Orang_2020g~city of anaheim member, city council, district 4 (vote 1)"/>
    <x v="0"/>
  </r>
  <r>
    <x v="1"/>
    <n v="1"/>
    <n v="9814"/>
    <n v="5295"/>
    <n v="4519"/>
    <s v="CA_Orang_2020g~newport-mesa unified school district governing board member, trustee area 3 (vote 1)"/>
    <x v="0"/>
  </r>
  <r>
    <x v="1"/>
    <n v="1"/>
    <n v="16596"/>
    <n v="12054"/>
    <n v="4542"/>
    <s v="CA_Orang_2020g~irvine ranch water district director, division 4 (vote 1)"/>
    <x v="0"/>
  </r>
  <r>
    <x v="1"/>
    <n v="1"/>
    <n v="11160"/>
    <n v="6440"/>
    <n v="4720"/>
    <s v="CA_Orang_2020g~city of anaheim member, city council, district 5 (vote 1)"/>
    <x v="0"/>
  </r>
  <r>
    <x v="1"/>
    <n v="1"/>
    <n v="67043"/>
    <n v="62220"/>
    <n v="4823"/>
    <s v="CA_Orang_2020g~united states representative 47th district (vote 1)"/>
    <x v="0"/>
  </r>
  <r>
    <x v="1"/>
    <n v="1"/>
    <n v="26131"/>
    <n v="21236"/>
    <n v="4895"/>
    <s v="CA_Orang_2020g~z-city of newport beach,  addition of harbor commission to the newport beach city charter (vote 1)"/>
    <x v="0"/>
  </r>
  <r>
    <x v="1"/>
    <n v="1"/>
    <n v="13056"/>
    <n v="8132"/>
    <n v="4924"/>
    <s v="CA_Orang_2020g~rancho santiago community college district governing board member, trustee area 5 (vote 1)"/>
    <x v="0"/>
  </r>
  <r>
    <x v="1"/>
    <n v="1"/>
    <n v="34452"/>
    <n v="29406"/>
    <n v="5046"/>
    <s v="CA_Orang_2020g~santa ana unified school district governing board member (vote 1)"/>
    <x v="0"/>
  </r>
  <r>
    <x v="1"/>
    <n v="1"/>
    <n v="12182"/>
    <n v="7116"/>
    <n v="5066"/>
    <s v="CA_Orang_2020g~rancho santiago community college district governing board member, trustee area 3 (vote 1)"/>
    <x v="0"/>
  </r>
  <r>
    <x v="1"/>
    <n v="1"/>
    <n v="13846"/>
    <n v="8764"/>
    <n v="5082"/>
    <s v="CA_Orang_2020g~saddleback valley unified school district governing board member, trustee area 4 (vote 1)"/>
    <x v="0"/>
  </r>
  <r>
    <x v="1"/>
    <n v="1"/>
    <n v="43744"/>
    <n v="38615"/>
    <n v="5129"/>
    <s v="CA_Orang_2020g~city of irvine member, city council (vote 1)"/>
    <x v="0"/>
  </r>
  <r>
    <x v="1"/>
    <n v="1"/>
    <n v="12799"/>
    <n v="6585"/>
    <n v="6214"/>
    <s v="CA_Orang_2020g~capistrano unified school district governing board member, trustee area 5 (vote 1)"/>
    <x v="0"/>
  </r>
  <r>
    <x v="1"/>
    <n v="1"/>
    <n v="11074"/>
    <n v="4587"/>
    <n v="6487"/>
    <s v="CA_Orang_2020g~irvine unified school district governing board member, trustee area 5 (vote 1)"/>
    <x v="0"/>
  </r>
  <r>
    <x v="1"/>
    <n v="1"/>
    <n v="26023"/>
    <n v="19497"/>
    <n v="6526"/>
    <s v="CA_Orang_2020g~north orange county community college district governing board member, trustee area 4 (vote 1)"/>
    <x v="0"/>
  </r>
  <r>
    <x v="1"/>
    <n v="1"/>
    <n v="746652"/>
    <n v="740077"/>
    <n v="6575"/>
    <s v="CA_Orang_2020g~proposition 17 - restores right to vote after completion of prison term (vote 1)"/>
    <x v="0"/>
  </r>
  <r>
    <x v="1"/>
    <n v="1"/>
    <n v="64844"/>
    <n v="57920"/>
    <n v="6924"/>
    <s v="CA_Orang_2020g~huntington beach union high school district governing board member (vote 1)"/>
    <x v="0"/>
  </r>
  <r>
    <x v="1"/>
    <n v="1"/>
    <n v="36941"/>
    <n v="29876"/>
    <n v="7065"/>
    <s v="CA_Orang_2020g~north orange county community college district governing board member, trustee area 7 (vote 1)"/>
    <x v="0"/>
  </r>
  <r>
    <x v="1"/>
    <n v="1"/>
    <n v="106252"/>
    <n v="98693"/>
    <n v="7559"/>
    <s v="CA_Orang_2020g~county supervisor, 1st district (vote 1)"/>
    <x v="0"/>
  </r>
  <r>
    <x v="1"/>
    <n v="1"/>
    <n v="42987"/>
    <n v="35112"/>
    <n v="7875"/>
    <s v="CA_Orang_2020g~orange unified school district governing board member, trustee area 6 (vote 1)"/>
    <x v="0"/>
  </r>
  <r>
    <x v="1"/>
    <n v="1"/>
    <n v="21242"/>
    <n v="13186"/>
    <n v="8056"/>
    <s v="CA_Orang_2020g~buena park library district trustee (vote 1)"/>
    <x v="0"/>
  </r>
  <r>
    <x v="1"/>
    <n v="1"/>
    <n v="51529"/>
    <n v="43413"/>
    <n v="8116"/>
    <s v="CA_Orang_2020g~orange unified school district governing board member, trustee area 2 (vote 1)"/>
    <x v="0"/>
  </r>
  <r>
    <x v="1"/>
    <n v="1"/>
    <n v="201738"/>
    <n v="193362"/>
    <n v="8376"/>
    <s v="CA_Orang_2020g~united states representative 48th district (vote 1)"/>
    <x v="0"/>
  </r>
  <r>
    <x v="1"/>
    <n v="1"/>
    <n v="16050"/>
    <n v="7155"/>
    <n v="8895"/>
    <s v="CA_Orang_2020g~p-city of cypress, amend city charter to update noticing, election procedures, and process for filling a council vacancy (vote 1)"/>
    <x v="0"/>
  </r>
  <r>
    <x v="1"/>
    <n v="1"/>
    <n v="12884"/>
    <n v="3937"/>
    <n v="8947"/>
    <s v="CA_Orang_2020g~garden grove unified school district governing board member, trustee area 5 (vote 1)"/>
    <x v="0"/>
  </r>
  <r>
    <x v="1"/>
    <n v="1"/>
    <n v="35901"/>
    <n v="26903"/>
    <n v="8998"/>
    <s v="CA_Orang_2020g~s-city of fullerton, community services, street repair, and emergency response measure (vote 1)"/>
    <x v="0"/>
  </r>
  <r>
    <x v="1"/>
    <n v="1"/>
    <n v="17726"/>
    <n v="8550"/>
    <n v="9176"/>
    <s v="CA_Orang_2020g~w-city of la habra, cannabis business tax/regulation ordinance of 2020 (vote 1)"/>
    <x v="0"/>
  </r>
  <r>
    <x v="1"/>
    <n v="1"/>
    <n v="28470"/>
    <n v="19290"/>
    <n v="9180"/>
    <s v="CA_Orang_2020g~city of newport beach member, city council, district 5 (vote 1)"/>
    <x v="0"/>
  </r>
  <r>
    <x v="1"/>
    <n v="1"/>
    <n v="28538"/>
    <n v="19159"/>
    <n v="9379"/>
    <s v="CA_Orang_2020g~city of newport beach member, city council, district 2 (vote 1)"/>
    <x v="0"/>
  </r>
  <r>
    <x v="1"/>
    <n v="1"/>
    <n v="159845"/>
    <n v="150035"/>
    <n v="9810"/>
    <s v="CA_Orang_2020g~state senator 29th district (vote 1)"/>
    <x v="0"/>
  </r>
  <r>
    <x v="1"/>
    <n v="1"/>
    <n v="115034"/>
    <n v="105133"/>
    <n v="9901"/>
    <s v="CA_Orang_2020g~united states representative 39th district (vote 1)"/>
    <x v="0"/>
  </r>
  <r>
    <x v="1"/>
    <n v="1"/>
    <n v="29493"/>
    <n v="19247"/>
    <n v="10246"/>
    <s v="CA_Orang_2020g~city of santa ana mayor (vote 1)"/>
    <x v="0"/>
  </r>
  <r>
    <x v="1"/>
    <n v="1"/>
    <n v="24420"/>
    <n v="13459"/>
    <n v="10961"/>
    <s v="CA_Orang_2020g~coast community college district governing board member, trustee area 2 (vote 1)"/>
    <x v="0"/>
  </r>
  <r>
    <x v="1"/>
    <n v="1"/>
    <n v="25278"/>
    <n v="14146"/>
    <n v="11132"/>
    <s v="CA_Orang_2020g~north orange county community college district governing board member, trustee area 5 (vote 1)"/>
    <x v="0"/>
  </r>
  <r>
    <x v="1"/>
    <n v="1"/>
    <n v="36299"/>
    <n v="24846"/>
    <n v="11453"/>
    <s v="CA_Orang_2020g~city of orange mayor (vote 1)"/>
    <x v="0"/>
  </r>
  <r>
    <x v="1"/>
    <n v="1"/>
    <n v="42246"/>
    <n v="30310"/>
    <n v="11936"/>
    <s v="CA_Orang_2020g~city of huntington beach member, city council (vote 1)"/>
    <x v="0"/>
  </r>
  <r>
    <x v="1"/>
    <n v="1"/>
    <n v="270522"/>
    <n v="258421"/>
    <n v="12101"/>
    <s v="CA_Orang_2020g~state senator 37th district (vote 1)"/>
    <x v="0"/>
  </r>
  <r>
    <x v="1"/>
    <n v="1"/>
    <n v="37646"/>
    <n v="25276"/>
    <n v="12370"/>
    <s v="CA_Orang_2020g~u-city of fullerton, fireworks ballot measure (vote 1)"/>
    <x v="0"/>
  </r>
  <r>
    <x v="1"/>
    <n v="1"/>
    <n v="57423"/>
    <n v="44853"/>
    <n v="12570"/>
    <s v="CA_Orang_2020g~united states representative 49th district (vote 1)"/>
    <x v="0"/>
  </r>
  <r>
    <x v="1"/>
    <n v="1"/>
    <n v="19649"/>
    <n v="6535"/>
    <n v="13114"/>
    <s v="CA_Orang_2020g~x-city of la habra,  citizensâ€™ initiative for preservation of open space in la habra (vote 1)"/>
    <x v="0"/>
  </r>
  <r>
    <x v="1"/>
    <n v="1"/>
    <n v="59829"/>
    <n v="46619"/>
    <n v="13210"/>
    <s v="CA_Orang_2020g~municipal water district of orange county director, division 4 (vote 1)"/>
    <x v="0"/>
  </r>
  <r>
    <x v="1"/>
    <n v="1"/>
    <n v="56304"/>
    <n v="42738"/>
    <n v="13566"/>
    <s v="CA_Orang_2020g~city of irvine mayor (vote 1)"/>
    <x v="0"/>
  </r>
  <r>
    <x v="1"/>
    <n v="1"/>
    <n v="54061"/>
    <n v="39391"/>
    <n v="14670"/>
    <s v="CA_Orang_2020g~orange unified school district governing board member, trustee area 3 (vote 1)"/>
    <x v="0"/>
  </r>
  <r>
    <x v="1"/>
    <n v="1"/>
    <n v="25833"/>
    <n v="11158"/>
    <n v="14675"/>
    <s v="CA_Orang_2020g~city of costa mesa mayor (vote 1)"/>
    <x v="0"/>
  </r>
  <r>
    <x v="1"/>
    <n v="1"/>
    <n v="33291"/>
    <n v="17793"/>
    <n v="15498"/>
    <s v="CA_Orang_2020g~q-city of costa mesa, retail cannabis tax and regulation measure (vote 1)"/>
    <x v="0"/>
  </r>
  <r>
    <x v="1"/>
    <n v="1"/>
    <n v="23540"/>
    <n v="7815"/>
    <n v="15725"/>
    <s v="CA_Orang_2020g~cc-city of tustin, limited council compensation (vote 1)"/>
    <x v="0"/>
  </r>
  <r>
    <x v="1"/>
    <n v="1"/>
    <n v="136841"/>
    <n v="120965"/>
    <n v="15876"/>
    <s v="CA_Orang_2020g~member of the state assembly 68th district (vote 1)"/>
    <x v="0"/>
  </r>
  <r>
    <x v="1"/>
    <n v="1"/>
    <n v="39877"/>
    <n v="23290"/>
    <n v="16587"/>
    <s v="CA_Orang_2020g~aa-city of orange, the trails at santiago creek open space and residential project (vote 1)"/>
    <x v="0"/>
  </r>
  <r>
    <x v="1"/>
    <n v="1"/>
    <n v="122483"/>
    <n v="103707"/>
    <n v="18776"/>
    <s v="CA_Orang_2020g~member of the state assembly 72nd district (vote 1)"/>
    <x v="0"/>
  </r>
  <r>
    <x v="1"/>
    <n v="1"/>
    <n v="28141"/>
    <n v="8157"/>
    <n v="19984"/>
    <s v="CA_Orang_2020g~bb-city of san clemente, city council term limits (vote 1)"/>
    <x v="0"/>
  </r>
  <r>
    <x v="1"/>
    <n v="1"/>
    <n v="29576"/>
    <n v="9031"/>
    <n v="20545"/>
    <s v="CA_Orang_2020g~dd-city of westminster, term limits (vote 1)"/>
    <x v="0"/>
  </r>
  <r>
    <x v="1"/>
    <n v="1"/>
    <n v="80109"/>
    <n v="59445"/>
    <n v="20664"/>
    <s v="CA_Orang_2020g~municipal water district of orange county director, division 7 (vote 1)"/>
    <x v="0"/>
  </r>
  <r>
    <x v="1"/>
    <n v="1"/>
    <n v="70684"/>
    <n v="49914"/>
    <n v="20770"/>
    <s v="CA_Orang_2020g~member of the state assembly 55th district (vote 1)"/>
    <x v="0"/>
  </r>
  <r>
    <x v="1"/>
    <n v="1"/>
    <n v="40388"/>
    <n v="18701"/>
    <n v="21687"/>
    <s v="CA_Orang_2020g~city of garden grove mayor (vote 1)"/>
    <x v="0"/>
  </r>
  <r>
    <x v="1"/>
    <n v="1"/>
    <n v="45913"/>
    <n v="23678"/>
    <n v="22235"/>
    <s v="CA_Orang_2020g~orange county water district director, division 4 (vote 1)"/>
    <x v="0"/>
  </r>
  <r>
    <x v="1"/>
    <n v="1"/>
    <n v="66290"/>
    <n v="43506"/>
    <n v="22784"/>
    <s v="CA_Orang_2020g~orange county water district director, division 6 (vote 1)"/>
    <x v="0"/>
  </r>
  <r>
    <x v="1"/>
    <n v="1"/>
    <n v="60918"/>
    <n v="37946"/>
    <n v="22972"/>
    <s v="CA_Orang_2020g~municipal water district of orange county director, division 3 (vote 1)"/>
    <x v="0"/>
  </r>
  <r>
    <x v="1"/>
    <n v="1"/>
    <n v="39047"/>
    <n v="14728"/>
    <n v="24319"/>
    <s v="CA_Orang_2020g~coast community college district governing board member, trustee area 4 (vote 1)"/>
    <x v="0"/>
  </r>
  <r>
    <x v="1"/>
    <n v="1"/>
    <n v="221843"/>
    <n v="193096"/>
    <n v="28747"/>
    <s v="CA_Orang_2020g~united states representative 45th district (vote 1)"/>
    <x v="0"/>
  </r>
  <r>
    <x v="1"/>
    <n v="1"/>
    <n v="112333"/>
    <n v="80468"/>
    <n v="31865"/>
    <s v="CA_Orang_2020g~member of the state assembly 65th district (vote 1)"/>
    <x v="0"/>
  </r>
  <r>
    <x v="1"/>
    <n v="1"/>
    <n v="161650"/>
    <n v="114578"/>
    <n v="47072"/>
    <s v="CA_Orang_2020g~member of the state assembly 73rd district (vote 1)"/>
    <x v="0"/>
  </r>
  <r>
    <x v="1"/>
    <n v="1"/>
    <n v="82669"/>
    <n v="27408"/>
    <n v="55261"/>
    <s v="CA_Orang_2020g~municipal water district of orange county director, division 1, short term (vote 1)"/>
    <x v="0"/>
  </r>
  <r>
    <x v="1"/>
    <n v="1"/>
    <n v="99731"/>
    <n v="37065"/>
    <n v="62666"/>
    <s v="CA_Orang_2020g~member of the state assembly 69th district (vote 1)"/>
    <x v="0"/>
  </r>
  <r>
    <x v="1"/>
    <n v="1"/>
    <n v="241398"/>
    <n v="168917"/>
    <n v="72481"/>
    <s v="CA_Orang_2020g~south orange county community college district governing board member, trustee area 6 (vote 1)"/>
    <x v="0"/>
  </r>
  <r>
    <x v="1"/>
    <n v="1"/>
    <n v="194719"/>
    <n v="121487"/>
    <n v="73232"/>
    <s v="CA_Orang_2020g~south orange county community college district governing board member, trustee area 1 (vote 1)"/>
    <x v="0"/>
  </r>
  <r>
    <x v="1"/>
    <n v="1"/>
    <n v="157803"/>
    <n v="71716"/>
    <n v="86087"/>
    <s v="CA_Orang_2020g~united states representative 46th district (vote 1)"/>
    <x v="0"/>
  </r>
  <r>
    <x v="1"/>
    <n v="1"/>
    <n v="210367"/>
    <n v="119125"/>
    <n v="91242"/>
    <s v="CA_Orang_2020g~south orange county community college district governing board member, trustee area 7 (vote 1)"/>
    <x v="0"/>
  </r>
  <r>
    <x v="1"/>
    <n v="1"/>
    <n v="779400"/>
    <n v="681928"/>
    <n v="97472"/>
    <s v="CA_Orang_2020g~proposition 19 - changes certain property tax rules (vote 1)"/>
    <x v="0"/>
  </r>
  <r>
    <x v="1"/>
    <n v="1"/>
    <n v="791668"/>
    <n v="674063"/>
    <n v="117605"/>
    <s v="CA_Orang_2020g~proposition 24 - amends consumer privacy laws (vote 1)"/>
    <x v="0"/>
  </r>
  <r>
    <x v="1"/>
    <n v="1"/>
    <n v="795327"/>
    <n v="677182"/>
    <n v="118145"/>
    <s v="CA_Orang_2020g~proposition 14 - authorizes bonds continuing stem cell research (vote 1)"/>
    <x v="0"/>
  </r>
  <r>
    <x v="1"/>
    <n v="1"/>
    <n v="814009"/>
    <n v="676498"/>
    <n v="137511"/>
    <s v="CA_Orang_2020g~president and vice president (vote 1)"/>
    <x v="0"/>
  </r>
  <r>
    <x v="1"/>
    <n v="1"/>
    <n v="845282"/>
    <n v="614584"/>
    <n v="230698"/>
    <s v="CA_Orang_2020g~proposition 20 - restricts parole for certain offenses currently considered to be nonviolent (vote 1)"/>
    <x v="0"/>
  </r>
  <r>
    <x v="1"/>
    <n v="1"/>
    <n v="904209"/>
    <n v="590076"/>
    <n v="314133"/>
    <s v="CA_Orang_2020g~proposition 15 - increases funding sources for public schools, community colleges, and local government services  (vote 1)"/>
    <x v="0"/>
  </r>
  <r>
    <x v="1"/>
    <n v="1"/>
    <n v="886844"/>
    <n v="571814"/>
    <n v="315030"/>
    <s v="CA_Orang_2020g~proposition 25 - referendum on law that replaced money bail with system based on public safety and flight risk (vote 1)"/>
    <x v="0"/>
  </r>
  <r>
    <x v="1"/>
    <n v="1"/>
    <n v="957192"/>
    <n v="531850"/>
    <n v="425342"/>
    <s v="CA_Orang_2020g~proposition 18 - amends california constitution to permit 17- year-olds to vote in primary and special elections (vote 1)"/>
    <x v="0"/>
  </r>
  <r>
    <x v="1"/>
    <n v="1"/>
    <n v="964110"/>
    <n v="511320"/>
    <n v="452790"/>
    <s v="CA_Orang_2020g~proposition 16 - allows diversity as a factor in public employment, education, and contracting decisions (vote 1)"/>
    <x v="0"/>
  </r>
  <r>
    <x v="1"/>
    <n v="1"/>
    <n v="973783"/>
    <n v="501462"/>
    <n v="472321"/>
    <s v="CA_Orang_2020g~proposition 21 - expands local governments' authority to enact rent control on residential property (vote 1)"/>
    <x v="0"/>
  </r>
  <r>
    <x v="1"/>
    <n v="1"/>
    <n v="980065"/>
    <n v="506631"/>
    <n v="473434"/>
    <s v="CA_Orang_2020g~proposition 22 - exempts app-based transportation and delivery companies from providing employee benefits to certain drivers (vote 1)"/>
    <x v="0"/>
  </r>
  <r>
    <x v="1"/>
    <n v="1"/>
    <n v="984586"/>
    <n v="486724"/>
    <n v="497862"/>
    <s v="CA_Orang_2020g~proposition 23 - establishes state requirements for kidney dialysis clinics (vote 1)"/>
    <x v="0"/>
  </r>
  <r>
    <x v="2"/>
    <n v="6"/>
    <n v="9189"/>
    <n v="9172"/>
    <n v="17"/>
    <s v="CA_Orang_2020p~member, county central committee 69th assembly district - dem (vote for 6)"/>
    <x v="0"/>
  </r>
  <r>
    <x v="2"/>
    <n v="1"/>
    <n v="209"/>
    <n v="148"/>
    <n v="61"/>
    <s v="CA_Orang_2020p~president of the united states - p/f (vote 1)"/>
    <x v="0"/>
  </r>
  <r>
    <x v="2"/>
    <n v="1"/>
    <n v="220"/>
    <n v="132"/>
    <n v="88"/>
    <s v="CA_Orang_2020p~presidential candidate preference - grn (vote 1)"/>
    <x v="0"/>
  </r>
  <r>
    <x v="2"/>
    <n v="6"/>
    <n v="11284"/>
    <n v="11142"/>
    <n v="142"/>
    <s v="CA_Orang_2020p~member, county central committee 65th assembly district - rep (vote for 6)"/>
    <x v="0"/>
  </r>
  <r>
    <x v="2"/>
    <n v="6"/>
    <n v="9191"/>
    <n v="9024"/>
    <n v="167"/>
    <s v="CA_Orang_2020p~member, county central committee 68th assembly district - dem (vote for 6)"/>
    <x v="0"/>
  </r>
  <r>
    <x v="2"/>
    <n v="6"/>
    <n v="15464"/>
    <n v="15264"/>
    <n v="200"/>
    <s v="CA_Orang_2020p~member, county central committee 68th assembly district - rep (vote for 6)"/>
    <x v="0"/>
  </r>
  <r>
    <x v="2"/>
    <n v="1"/>
    <n v="539"/>
    <n v="317"/>
    <n v="222"/>
    <s v="CA_Orang_2020p~president of the united states - lib (vote 1)"/>
    <x v="0"/>
  </r>
  <r>
    <x v="2"/>
    <n v="6"/>
    <n v="6648"/>
    <n v="6388"/>
    <n v="260"/>
    <s v="CA_Orang_2020p~member, county central committee 55th assembly district - dem (vote for 6)"/>
    <x v="0"/>
  </r>
  <r>
    <x v="2"/>
    <n v="1"/>
    <n v="1094"/>
    <n v="718"/>
    <n v="376"/>
    <s v="CA_Orang_2020p~president of the united states - ai (vote 1)"/>
    <x v="0"/>
  </r>
  <r>
    <x v="2"/>
    <n v="6"/>
    <n v="13952"/>
    <n v="13548"/>
    <n v="404"/>
    <s v="CA_Orang_2020p~member, county central committee 72nd assembly district - rep (vote for 6)"/>
    <x v="0"/>
  </r>
  <r>
    <x v="2"/>
    <n v="2"/>
    <n v="13794"/>
    <n v="13375"/>
    <n v="419"/>
    <s v="CA_Orang_2020p~united states representative 47th district (top 2)"/>
    <x v="0"/>
  </r>
  <r>
    <x v="2"/>
    <n v="6"/>
    <n v="4736"/>
    <n v="4225"/>
    <n v="511"/>
    <s v="CA_Orang_2020p~member, county central committee 69th assembly district - rep (vote for 6)"/>
    <x v="0"/>
  </r>
  <r>
    <x v="2"/>
    <n v="6"/>
    <n v="15001"/>
    <n v="14322"/>
    <n v="679"/>
    <s v="CA_Orang_2020p~member, county central committee 73rd assembly district - dem (vote for 6)"/>
    <x v="0"/>
  </r>
  <r>
    <x v="2"/>
    <n v="2"/>
    <n v="30021"/>
    <n v="29186"/>
    <n v="835"/>
    <s v="CA_Orang_2020p~member of the state assembly 72nd district (top 2)"/>
    <x v="0"/>
  </r>
  <r>
    <x v="2"/>
    <n v="1"/>
    <n v="15476"/>
    <n v="14522"/>
    <n v="954"/>
    <s v="CA_Orang_2020p~j-fullerton elementary school district (vote 1)"/>
    <x v="0"/>
  </r>
  <r>
    <x v="2"/>
    <n v="1"/>
    <n v="6694"/>
    <n v="5705"/>
    <n v="989"/>
    <s v="CA_Orang_2020p~g-brea olinda unified school district (vote 1)"/>
    <x v="0"/>
  </r>
  <r>
    <x v="2"/>
    <n v="6"/>
    <n v="15078"/>
    <n v="14082"/>
    <n v="996"/>
    <s v="CA_Orang_2020p~member, county central committee 74th assembly district - dem (vote for 6)"/>
    <x v="0"/>
  </r>
  <r>
    <x v="2"/>
    <n v="6"/>
    <n v="14822"/>
    <n v="13436"/>
    <n v="1386"/>
    <s v="CA_Orang_2020p~member, county central committee 74th assembly district - rep (vote for 6)"/>
    <x v="0"/>
  </r>
  <r>
    <x v="2"/>
    <n v="6"/>
    <n v="12406"/>
    <n v="10784"/>
    <n v="1622"/>
    <s v="CA_Orang_2020p~member, county central committee 72nd assembly district - dem (vote for 6)"/>
    <x v="0"/>
  </r>
  <r>
    <x v="2"/>
    <n v="1"/>
    <n v="12541"/>
    <n v="10808"/>
    <n v="1733"/>
    <s v="CA_Orang_2020p~n-tustin unified school district (vote 1)"/>
    <x v="0"/>
  </r>
  <r>
    <x v="2"/>
    <n v="1"/>
    <n v="27209"/>
    <n v="25253"/>
    <n v="1956"/>
    <s v="CA_Orang_2020p~k-fullerton joint union high school district (vote 1)"/>
    <x v="0"/>
  </r>
  <r>
    <x v="2"/>
    <n v="6"/>
    <n v="8402"/>
    <n v="6415"/>
    <n v="1987"/>
    <s v="CA_Orang_2020p~member, county central committee 55th assembly district - rep (vote for 6)"/>
    <x v="0"/>
  </r>
  <r>
    <x v="2"/>
    <n v="2"/>
    <n v="21721"/>
    <n v="19616"/>
    <n v="2105"/>
    <s v="CA_Orang_2020p~county supervisor 1st district (top 2)"/>
    <x v="0"/>
  </r>
  <r>
    <x v="2"/>
    <n v="1"/>
    <n v="3021"/>
    <n v="637"/>
    <n v="2384"/>
    <s v="CA_Orang_2020p~o-lowell joint school district (vote 1)"/>
    <x v="0"/>
  </r>
  <r>
    <x v="2"/>
    <n v="1"/>
    <n v="12318"/>
    <n v="9741"/>
    <n v="2577"/>
    <s v="CA_Orang_2020p~h-capistrano unified school district (vote 1)"/>
    <x v="0"/>
  </r>
  <r>
    <x v="2"/>
    <n v="6"/>
    <n v="12252"/>
    <n v="9179"/>
    <n v="3073"/>
    <s v="CA_Orang_2020p~member, county central committee 65th assembly district - dem (vote for 6)"/>
    <x v="0"/>
  </r>
  <r>
    <x v="2"/>
    <n v="1"/>
    <n v="35011"/>
    <n v="31916"/>
    <n v="3095"/>
    <s v="CA_Orang_2020p~b-anaheim union high school district (vote 1)"/>
    <x v="0"/>
  </r>
  <r>
    <x v="2"/>
    <n v="1"/>
    <n v="53927"/>
    <n v="50112"/>
    <n v="3815"/>
    <s v="CA_Orang_2020p~l-rancho santiago community college district (vote 1)"/>
    <x v="0"/>
  </r>
  <r>
    <x v="2"/>
    <n v="1"/>
    <n v="24888"/>
    <n v="21003"/>
    <n v="3885"/>
    <s v="CA_Orang_2020p~i-capistrano unified school district (vote 1)"/>
    <x v="0"/>
  </r>
  <r>
    <x v="2"/>
    <n v="2"/>
    <n v="36683"/>
    <n v="32602"/>
    <n v="4081"/>
    <s v="CA_Orang_2020p~member of the state assembly 74th district (top 2)"/>
    <x v="0"/>
  </r>
  <r>
    <x v="2"/>
    <n v="1"/>
    <n v="34998"/>
    <n v="28779"/>
    <n v="6219"/>
    <s v="CA_Orang_2020p~member, county board of education trustee area 4 (vote 1)"/>
    <x v="0"/>
  </r>
  <r>
    <x v="2"/>
    <n v="6"/>
    <n v="26485"/>
    <n v="20125"/>
    <n v="6360"/>
    <s v="CA_Orang_2020p~member, county central committee 73rd assembly district - rep (vote for 6)"/>
    <x v="0"/>
  </r>
  <r>
    <x v="2"/>
    <n v="1"/>
    <n v="80544"/>
    <n v="73334"/>
    <n v="7210"/>
    <s v="CA_Orang_2020p~county supervisor 3rd district (vote 1)"/>
    <x v="0"/>
  </r>
  <r>
    <x v="2"/>
    <n v="2"/>
    <n v="36170"/>
    <n v="27993"/>
    <n v="8177"/>
    <s v="CA_Orang_2020p~member of the state assembly 73rd district (top 2)"/>
    <x v="0"/>
  </r>
  <r>
    <x v="2"/>
    <n v="2"/>
    <n v="78293"/>
    <n v="68952"/>
    <n v="9341"/>
    <s v="CA_Orang_2020p~state senator 37th district (top 2)"/>
    <x v="0"/>
  </r>
  <r>
    <x v="2"/>
    <n v="2"/>
    <n v="39942"/>
    <n v="28465"/>
    <n v="11477"/>
    <s v="CA_Orang_2020p~united states representative 45th district (top 2)"/>
    <x v="0"/>
  </r>
  <r>
    <x v="2"/>
    <n v="1"/>
    <n v="44978"/>
    <n v="27026"/>
    <n v="17952"/>
    <s v="CA_Orang_2020p~m-saddleback valley unified school district (vote 1)"/>
    <x v="0"/>
  </r>
  <r>
    <x v="2"/>
    <n v="2"/>
    <n v="28302"/>
    <n v="9257"/>
    <n v="19045"/>
    <s v="CA_Orang_2020p~united states representative  46th district (top 2)"/>
    <x v="0"/>
  </r>
  <r>
    <x v="2"/>
    <n v="1"/>
    <n v="49576"/>
    <n v="28312"/>
    <n v="21264"/>
    <s v="CA_Orang_2020p~member, county board of education trustee area 1 (vote 1)"/>
    <x v="0"/>
  </r>
  <r>
    <x v="2"/>
    <n v="2"/>
    <n v="44033"/>
    <n v="17332"/>
    <n v="26701"/>
    <s v="CA_Orang_2020p~member of the state assembly 68th district (top 2)"/>
    <x v="0"/>
  </r>
  <r>
    <x v="2"/>
    <n v="2"/>
    <n v="54469"/>
    <n v="27461"/>
    <n v="27008"/>
    <s v="CA_Orang_2020p~state senator 29th district (top 2)"/>
    <x v="0"/>
  </r>
  <r>
    <x v="2"/>
    <n v="1"/>
    <n v="93446"/>
    <n v="64395"/>
    <n v="29051"/>
    <s v="CA_Orang_2020p~member, county board of education trustee area 3 (vote 1)"/>
    <x v="0"/>
  </r>
  <r>
    <x v="2"/>
    <n v="1"/>
    <n v="141143"/>
    <n v="107111"/>
    <n v="34032"/>
    <s v="CA_Orang_2020p~president of the united states - dem (vote 1)"/>
    <x v="0"/>
  </r>
  <r>
    <x v="2"/>
    <n v="2"/>
    <n v="51630"/>
    <n v="5766"/>
    <n v="45864"/>
    <s v="CA_Orang_2020p~united states representative 39th district (top 2)"/>
    <x v="0"/>
  </r>
  <r>
    <x v="2"/>
    <n v="2"/>
    <n v="74418"/>
    <n v="25884"/>
    <n v="48534"/>
    <s v="CA_Orang_2020p~united states representative 48th district (top 2)"/>
    <x v="0"/>
  </r>
  <r>
    <x v="2"/>
    <n v="1"/>
    <n v="494475"/>
    <n v="290013"/>
    <n v="204462"/>
    <s v="CA_Orang_2020p~proposition 13 (vote 1)"/>
    <x v="0"/>
  </r>
  <r>
    <x v="2"/>
    <n v="1"/>
    <n v="276714"/>
    <n v="7484"/>
    <n v="269230"/>
    <s v="CA_Orang_2020p~president of the united states - rep (vote 1)"/>
    <x v="0"/>
  </r>
  <r>
    <x v="2"/>
    <n v="1"/>
    <n v="593548"/>
    <n v="163430"/>
    <n v="430118"/>
    <s v="CA_Orang_2020p~a-county of orange (vote 1)"/>
    <x v="0"/>
  </r>
  <r>
    <x v="3"/>
    <n v="1"/>
    <n v="6"/>
    <n v="4"/>
    <n v="2"/>
    <s v="CA_Ventu_2020g~santa clarita valley water agency division 3 (vote 1)"/>
    <x v="0"/>
  </r>
  <r>
    <x v="3"/>
    <n v="1"/>
    <n v="27"/>
    <n v="11"/>
    <n v="16"/>
    <s v="CA_Ventu_2020g~sb county board of education area 4 (vote 1)"/>
    <x v="0"/>
  </r>
  <r>
    <x v="3"/>
    <n v="1"/>
    <n v="662"/>
    <n v="617"/>
    <n v="45"/>
    <s v="CA_Ventu_2020g~bell canyon cmmnty srvs dist (vote 1)"/>
    <x v="0"/>
  </r>
  <r>
    <x v="3"/>
    <n v="1"/>
    <n v="660"/>
    <n v="584"/>
    <n v="76"/>
    <s v="CA_Ventu_2020g~member of the assembly 45th district (vote 1)"/>
    <x v="0"/>
  </r>
  <r>
    <x v="3"/>
    <n v="1"/>
    <n v="3069"/>
    <n v="2950"/>
    <n v="119"/>
    <s v="CA_Ventu_2020g~san buenaventura city council district 7 (vote 1)"/>
    <x v="0"/>
  </r>
  <r>
    <x v="3"/>
    <n v="1"/>
    <n v="717"/>
    <n v="558"/>
    <n v="159"/>
    <s v="CA_Ventu_2020g~30th congressional district (vote 1)"/>
    <x v="0"/>
  </r>
  <r>
    <x v="3"/>
    <n v="1"/>
    <n v="681"/>
    <n v="506"/>
    <n v="175"/>
    <s v="CA_Ventu_2020g~ojai city council district 4 (vote 1)"/>
    <x v="0"/>
  </r>
  <r>
    <x v="3"/>
    <n v="1"/>
    <n v="1000"/>
    <n v="799"/>
    <n v="201"/>
    <s v="CA_Ventu_2020g~ojai valley sanitary dist div 5 (vote 1)"/>
    <x v="0"/>
  </r>
  <r>
    <x v="3"/>
    <n v="1"/>
    <n v="3735"/>
    <n v="3529"/>
    <n v="206"/>
    <s v="CA_Ventu_2020g~san buenaventura city council district 2 (vote 1)"/>
    <x v="0"/>
  </r>
  <r>
    <x v="3"/>
    <n v="1"/>
    <n v="2903"/>
    <n v="2660"/>
    <n v="243"/>
    <s v="CA_Ventu_2020g~port hueneme city council (vote 1)"/>
    <x v="0"/>
  </r>
  <r>
    <x v="3"/>
    <n v="1"/>
    <n v="8793"/>
    <n v="8536"/>
    <n v="257"/>
    <s v="CA_Ventu_2020g~simi valley city council district 1 (vote 1)"/>
    <x v="0"/>
  </r>
  <r>
    <x v="3"/>
    <n v="1"/>
    <n v="3216"/>
    <n v="2932"/>
    <n v="284"/>
    <s v="CA_Ventu_2020g~fillmore city council (vote 1)"/>
    <x v="0"/>
  </r>
  <r>
    <x v="3"/>
    <n v="1"/>
    <n v="1197"/>
    <n v="845"/>
    <n v="352"/>
    <s v="CA_Ventu_2020g~meiners oaks water dist (vote 1)"/>
    <x v="0"/>
  </r>
  <r>
    <x v="3"/>
    <n v="1"/>
    <n v="2384"/>
    <n v="1998"/>
    <n v="386"/>
    <s v="CA_Ventu_2020g~camarillo city council district 3 (vote 1)"/>
    <x v="0"/>
  </r>
  <r>
    <x v="3"/>
    <n v="1"/>
    <n v="1592"/>
    <n v="1141"/>
    <n v="451"/>
    <s v="CA_Ventu_2020g~moorpark unified school district area 5 (vote 1)"/>
    <x v="0"/>
  </r>
  <r>
    <x v="3"/>
    <n v="1"/>
    <n v="1178"/>
    <n v="725"/>
    <n v="453"/>
    <s v="CA_Ventu_2020g~ojai valley sanitary dist div 3 (vote 1)"/>
    <x v="0"/>
  </r>
  <r>
    <x v="3"/>
    <n v="1"/>
    <n v="2827"/>
    <n v="2372"/>
    <n v="455"/>
    <s v="CA_Ventu_2020g~oxnard city council district 4 (vote 1)"/>
    <x v="0"/>
  </r>
  <r>
    <x v="3"/>
    <n v="1"/>
    <n v="4155"/>
    <n v="3672"/>
    <n v="483"/>
    <s v="CA_Ventu_2020g~oak park mac (vote 1)"/>
    <x v="0"/>
  </r>
  <r>
    <x v="3"/>
    <n v="1"/>
    <n v="1356"/>
    <n v="849"/>
    <n v="507"/>
    <s v="CA_Ventu_2020g~ojai unified school district area 2 (vote 1)"/>
    <x v="0"/>
  </r>
  <r>
    <x v="3"/>
    <n v="1"/>
    <n v="8511"/>
    <n v="7999"/>
    <n v="512"/>
    <s v="CA_Ventu_2020g~conejo valley unified school district area 5 (vote 1)"/>
    <x v="0"/>
  </r>
  <r>
    <x v="3"/>
    <n v="1"/>
    <n v="969"/>
    <n v="454"/>
    <n v="515"/>
    <s v="CA_Ventu_2020g~santa paula unified school district area 4 (vote 1)"/>
    <x v="0"/>
  </r>
  <r>
    <x v="3"/>
    <n v="1"/>
    <n v="6666"/>
    <n v="6131"/>
    <n v="535"/>
    <s v="CA_Ventu_2020g~ventura unified school district area 3 (vote 1)"/>
    <x v="0"/>
  </r>
  <r>
    <x v="3"/>
    <n v="1"/>
    <n v="908"/>
    <n v="328"/>
    <n v="580"/>
    <s v="CA_Ventu_2020g~las virgenes unified school district (vote 1)"/>
    <x v="0"/>
  </r>
  <r>
    <x v="3"/>
    <n v="1"/>
    <n v="1484"/>
    <n v="896"/>
    <n v="588"/>
    <s v="CA_Ventu_2020g~santa rosa valley mac (vote 1)"/>
    <x v="0"/>
  </r>
  <r>
    <x v="3"/>
    <n v="1"/>
    <n v="5598"/>
    <n v="4981"/>
    <n v="617"/>
    <s v="CA_Ventu_2020g~simi valley unified school district area c (vote 1)"/>
    <x v="0"/>
  </r>
  <r>
    <x v="3"/>
    <n v="1"/>
    <n v="1678"/>
    <n v="963"/>
    <n v="715"/>
    <s v="CA_Ventu_2020g~ojai unified school district area 4 (vote 1)"/>
    <x v="0"/>
  </r>
  <r>
    <x v="3"/>
    <n v="1"/>
    <n v="5013"/>
    <n v="4225"/>
    <n v="788"/>
    <s v="CA_Ventu_2020g~santa paula city council (vote 1)"/>
    <x v="0"/>
  </r>
  <r>
    <x v="3"/>
    <n v="1"/>
    <n v="3349"/>
    <n v="2538"/>
    <n v="811"/>
    <s v="CA_Ventu_2020g~san buenaventura city council district 3 (vote 1)"/>
    <x v="0"/>
  </r>
  <r>
    <x v="3"/>
    <n v="1"/>
    <n v="33248"/>
    <n v="32314"/>
    <n v="934"/>
    <s v="CA_Ventu_2020g~measure f - city of oxnard (vote 1)"/>
    <x v="0"/>
  </r>
  <r>
    <x v="3"/>
    <n v="1"/>
    <n v="6343"/>
    <n v="5378"/>
    <n v="965"/>
    <s v="CA_Ventu_2020g~simi valley city council district 3 (vote 1)"/>
    <x v="0"/>
  </r>
  <r>
    <x v="3"/>
    <n v="1"/>
    <n v="2877"/>
    <n v="1610"/>
    <n v="1267"/>
    <s v="CA_Ventu_2020g~ojai city mayor (vote 1)"/>
    <x v="0"/>
  </r>
  <r>
    <x v="3"/>
    <n v="1"/>
    <n v="24909"/>
    <n v="23609"/>
    <n v="1300"/>
    <s v="CA_Ventu_2020g~community college district area 3 (vote 1)"/>
    <x v="0"/>
  </r>
  <r>
    <x v="3"/>
    <n v="1"/>
    <n v="2273"/>
    <n v="921"/>
    <n v="1352"/>
    <s v="CA_Ventu_2020g~casitas muni water dist div 2 (vote 1)"/>
    <x v="0"/>
  </r>
  <r>
    <x v="3"/>
    <n v="1"/>
    <n v="2888"/>
    <n v="1482"/>
    <n v="1406"/>
    <s v="CA_Ventu_2020g~moorpark city council district 2 (vote 1)"/>
    <x v="0"/>
  </r>
  <r>
    <x v="3"/>
    <n v="1"/>
    <n v="4860"/>
    <n v="3449"/>
    <n v="1411"/>
    <s v="CA_Ventu_2020g~oxnard city council district 3 (vote 1)"/>
    <x v="0"/>
  </r>
  <r>
    <x v="3"/>
    <n v="1"/>
    <n v="3654"/>
    <n v="2147"/>
    <n v="1507"/>
    <s v="CA_Ventu_2020g~oxnard city council district 6 (vote 1)"/>
    <x v="0"/>
  </r>
  <r>
    <x v="3"/>
    <n v="1"/>
    <n v="3372"/>
    <n v="1828"/>
    <n v="1544"/>
    <s v="CA_Ventu_2020g~24th congressional district (vote 1)"/>
    <x v="0"/>
  </r>
  <r>
    <x v="3"/>
    <n v="1"/>
    <n v="6113"/>
    <n v="4541"/>
    <n v="1572"/>
    <s v="CA_Ventu_2020g~rio school district (vote 1)"/>
    <x v="0"/>
  </r>
  <r>
    <x v="3"/>
    <n v="1"/>
    <n v="2253"/>
    <n v="651"/>
    <n v="1602"/>
    <s v="CA_Ventu_2020g~santa paula unified school district area 5 (vote 1)"/>
    <x v="0"/>
  </r>
  <r>
    <x v="3"/>
    <n v="1"/>
    <n v="31637"/>
    <n v="30005"/>
    <n v="1632"/>
    <s v="CA_Ventu_2020g~rancho simi rec &amp; park district (vote 1)"/>
    <x v="0"/>
  </r>
  <r>
    <x v="3"/>
    <n v="1"/>
    <n v="3165"/>
    <n v="1408"/>
    <n v="1757"/>
    <s v="CA_Ventu_2020g~measure g - city of ojai (vote 1)"/>
    <x v="0"/>
  </r>
  <r>
    <x v="3"/>
    <n v="1"/>
    <n v="3365"/>
    <n v="1452"/>
    <n v="1913"/>
    <s v="CA_Ventu_2020g~casitas muni water dist div 3 (vote 1)"/>
    <x v="0"/>
  </r>
  <r>
    <x v="3"/>
    <n v="1"/>
    <n v="33492"/>
    <n v="31215"/>
    <n v="2277"/>
    <s v="CA_Ventu_2020g~measure n - city of oxnard (vote 1)"/>
    <x v="0"/>
  </r>
  <r>
    <x v="3"/>
    <n v="1"/>
    <n v="205630"/>
    <n v="203320"/>
    <n v="2310"/>
    <s v="CA_Ventu_2020g~legislative constitutional amendment. (vote 1)"/>
    <x v="0"/>
  </r>
  <r>
    <x v="3"/>
    <n v="1"/>
    <n v="14139"/>
    <n v="11827"/>
    <n v="2312"/>
    <s v="CA_Ventu_2020g~united water cons dist div. 3 (short term vote 1)"/>
    <x v="0"/>
  </r>
  <r>
    <x v="3"/>
    <n v="1"/>
    <n v="7838"/>
    <n v="5119"/>
    <n v="2719"/>
    <s v="CA_Ventu_2020g~measure (vote 1)"/>
    <x v="0"/>
  </r>
  <r>
    <x v="3"/>
    <n v="1"/>
    <n v="23543"/>
    <n v="20733"/>
    <n v="2810"/>
    <s v="CA_Ventu_2020g~pleasant valley school district (vote 1)"/>
    <x v="0"/>
  </r>
  <r>
    <x v="3"/>
    <n v="1"/>
    <n v="9449"/>
    <n v="6622"/>
    <n v="2827"/>
    <s v="CA_Ventu_2020g~moorpark city mayor (vote 1)"/>
    <x v="0"/>
  </r>
  <r>
    <x v="3"/>
    <n v="1"/>
    <n v="206686"/>
    <n v="203751"/>
    <n v="2935"/>
    <s v="CA_Ventu_2020g~cell research. initiative statute. (vote 1)"/>
    <x v="0"/>
  </r>
  <r>
    <x v="3"/>
    <n v="1"/>
    <n v="24676"/>
    <n v="20288"/>
    <n v="4388"/>
    <s v="CA_Ventu_2020g~calleguas muni wtr dist div 1 (vote 1)"/>
    <x v="0"/>
  </r>
  <r>
    <x v="3"/>
    <n v="1"/>
    <n v="6255"/>
    <n v="1810"/>
    <n v="4445"/>
    <s v="CA_Ventu_2020g~camarillo city council district 4 (vote 1)"/>
    <x v="0"/>
  </r>
  <r>
    <x v="3"/>
    <n v="1"/>
    <n v="48542"/>
    <n v="43942"/>
    <n v="4600"/>
    <s v="CA_Ventu_2020g~conejo recreation &amp; park district (vote 1)"/>
    <x v="0"/>
  </r>
  <r>
    <x v="3"/>
    <n v="1"/>
    <n v="19786"/>
    <n v="15070"/>
    <n v="4716"/>
    <s v="CA_Ventu_2020g~pleasant valley rec &amp; park district (vote 1)"/>
    <x v="0"/>
  </r>
  <r>
    <x v="3"/>
    <n v="1"/>
    <n v="27133"/>
    <n v="22009"/>
    <n v="5124"/>
    <s v="CA_Ventu_2020g~thousand oaks city council (vote 1)"/>
    <x v="0"/>
  </r>
  <r>
    <x v="3"/>
    <n v="1"/>
    <n v="36197"/>
    <n v="30931"/>
    <n v="5266"/>
    <s v="CA_Ventu_2020g~measure e - city of oxnard (vote 1)"/>
    <x v="0"/>
  </r>
  <r>
    <x v="3"/>
    <n v="1"/>
    <n v="10246"/>
    <n v="4778"/>
    <n v="5468"/>
    <s v="CA_Ventu_2020g~conejo valley unified school district area 1 (vote 1)"/>
    <x v="0"/>
  </r>
  <r>
    <x v="3"/>
    <n v="1"/>
    <n v="36572"/>
    <n v="30864"/>
    <n v="5708"/>
    <s v="CA_Ventu_2020g~25th congressional district (vote 1)"/>
    <x v="0"/>
  </r>
  <r>
    <x v="3"/>
    <n v="1"/>
    <n v="30734"/>
    <n v="23753"/>
    <n v="6981"/>
    <s v="CA_Ventu_2020g~supervisor-5th district (vote 1)"/>
    <x v="0"/>
  </r>
  <r>
    <x v="3"/>
    <n v="1"/>
    <n v="53037"/>
    <n v="44788"/>
    <n v="8249"/>
    <s v="CA_Ventu_2020g~oxnard union high school district (vote 1)"/>
    <x v="0"/>
  </r>
  <r>
    <x v="3"/>
    <n v="1"/>
    <n v="44748"/>
    <n v="36258"/>
    <n v="8490"/>
    <s v="CA_Ventu_2020g~oxnard harbor district (vote 1)"/>
    <x v="0"/>
  </r>
  <r>
    <x v="3"/>
    <n v="1"/>
    <n v="36549"/>
    <n v="27318"/>
    <n v="9231"/>
    <s v="CA_Ventu_2020g~measure m - city of oxnard (vote 1)"/>
    <x v="0"/>
  </r>
  <r>
    <x v="3"/>
    <n v="1"/>
    <n v="96521"/>
    <n v="85058"/>
    <n v="11463"/>
    <s v="CA_Ventu_2020g~27th senatorial district (vote 1)"/>
    <x v="0"/>
  </r>
  <r>
    <x v="3"/>
    <n v="1"/>
    <n v="39862"/>
    <n v="24774"/>
    <n v="15088"/>
    <s v="CA_Ventu_2020g~measure l - city of oxnard (vote 1)"/>
    <x v="0"/>
  </r>
  <r>
    <x v="3"/>
    <n v="1"/>
    <n v="38940"/>
    <n v="23050"/>
    <n v="15890"/>
    <s v="CA_Ventu_2020g~oxnard city treasurer (vote 1)"/>
    <x v="0"/>
  </r>
  <r>
    <x v="3"/>
    <n v="1"/>
    <n v="37761"/>
    <n v="20507"/>
    <n v="17254"/>
    <s v="CA_Ventu_2020g~simi valley city mayor (vote 1)"/>
    <x v="0"/>
  </r>
  <r>
    <x v="3"/>
    <n v="1"/>
    <n v="49547"/>
    <n v="31152"/>
    <n v="18395"/>
    <s v="CA_Ventu_2020g~community college district area 4 (vote 1)"/>
    <x v="0"/>
  </r>
  <r>
    <x v="3"/>
    <n v="1"/>
    <n v="41666"/>
    <n v="17697"/>
    <n v="23969"/>
    <s v="CA_Ventu_2020g~member of the assembly 38th district (vote 1)"/>
    <x v="0"/>
  </r>
  <r>
    <x v="3"/>
    <n v="1"/>
    <n v="42321"/>
    <n v="16583"/>
    <n v="25738"/>
    <s v="CA_Ventu_2020g~measure i - city of san buenaventura (vote 1)"/>
    <x v="0"/>
  </r>
  <r>
    <x v="3"/>
    <n v="1"/>
    <n v="42134"/>
    <n v="15086"/>
    <n v="27048"/>
    <s v="CA_Ventu_2020g~measure j - city of san buenaventura (vote 1)"/>
    <x v="0"/>
  </r>
  <r>
    <x v="3"/>
    <n v="1"/>
    <n v="41512"/>
    <n v="13167"/>
    <n v="28345"/>
    <s v="CA_Ventu_2020g~oxnard city mayor (vote 1)"/>
    <x v="0"/>
  </r>
  <r>
    <x v="3"/>
    <n v="1"/>
    <n v="47075"/>
    <n v="17264"/>
    <n v="29811"/>
    <s v="CA_Ventu_2020g~measure h - ventura unified school district (vote 1)"/>
    <x v="0"/>
  </r>
  <r>
    <x v="3"/>
    <n v="1"/>
    <n v="223156"/>
    <n v="192541"/>
    <n v="30615"/>
    <s v="CA_Ventu_2020g~constitutional amendment. (vote 1)"/>
    <x v="0"/>
  </r>
  <r>
    <x v="3"/>
    <n v="1"/>
    <n v="79907"/>
    <n v="43834"/>
    <n v="36073"/>
    <s v="CA_Ventu_2020g~member of the assembly 37th district (vote 1)"/>
    <x v="0"/>
  </r>
  <r>
    <x v="3"/>
    <n v="1"/>
    <n v="225508"/>
    <n v="182082"/>
    <n v="43426"/>
    <s v="CA_Ventu_2020g~initiative statute. (vote 1)"/>
    <x v="0"/>
  </r>
  <r>
    <x v="3"/>
    <n v="1"/>
    <n v="129799"/>
    <n v="83731"/>
    <n v="46068"/>
    <s v="CA_Ventu_2020g~member of the assembly 44th district (vote 1)"/>
    <x v="0"/>
  </r>
  <r>
    <x v="3"/>
    <n v="1"/>
    <n v="227964"/>
    <n v="170437"/>
    <n v="57527"/>
    <s v="CA_Ventu_2020g~cultivation program (vote 1)"/>
    <x v="0"/>
  </r>
  <r>
    <x v="3"/>
    <n v="1"/>
    <n v="239293"/>
    <n v="177491"/>
    <n v="61802"/>
    <s v="CA_Ventu_2020g~changing tax asssesments (vote 1)"/>
    <x v="0"/>
  </r>
  <r>
    <x v="3"/>
    <n v="1"/>
    <n v="145078"/>
    <n v="80630"/>
    <n v="64448"/>
    <s v="CA_Ventu_2020g~19th senatorial district (vote 1)"/>
    <x v="0"/>
  </r>
  <r>
    <x v="3"/>
    <n v="1"/>
    <n v="237386"/>
    <n v="168800"/>
    <n v="68586"/>
    <s v="CA_Ventu_2020g~and flight risk. (vote 1)"/>
    <x v="0"/>
  </r>
  <r>
    <x v="3"/>
    <n v="1"/>
    <n v="206051"/>
    <n v="133457"/>
    <n v="72594"/>
    <s v="CA_Ventu_2020g~26th congressional district (vote 1)"/>
    <x v="0"/>
  </r>
  <r>
    <x v="3"/>
    <n v="1"/>
    <n v="246270"/>
    <n v="170142"/>
    <n v="76128"/>
    <s v="CA_Ventu_2020g~special elections (vote 1)"/>
    <x v="0"/>
  </r>
  <r>
    <x v="3"/>
    <n v="1"/>
    <n v="243597"/>
    <n v="162659"/>
    <n v="80938"/>
    <s v="CA_Ventu_2020g~certain offenses treated as misdemeanors (vote 1)"/>
    <x v="0"/>
  </r>
  <r>
    <x v="3"/>
    <n v="1"/>
    <n v="246905"/>
    <n v="165792"/>
    <n v="81113"/>
    <s v="CA_Ventu_2020g~benefits to certain drivers. (vote 1)"/>
    <x v="0"/>
  </r>
  <r>
    <x v="3"/>
    <n v="1"/>
    <n v="251388"/>
    <n v="162207"/>
    <n v="89181"/>
    <s v="CA_Ventu_2020g~president and vice president (vote 1)"/>
    <x v="0"/>
  </r>
  <r>
    <x v="3"/>
    <n v="1"/>
    <n v="255527"/>
    <n v="156839"/>
    <n v="98688"/>
    <s v="CA_Ventu_2020g~decisions. legislative constitutiona... (vote 1)"/>
    <x v="0"/>
  </r>
  <r>
    <x v="3"/>
    <n v="1"/>
    <n v="257866"/>
    <n v="152074"/>
    <n v="105792"/>
    <s v="CA_Ventu_2020g~residential property. initiative statute. (vote 1)"/>
    <x v="0"/>
  </r>
  <r>
    <x v="3"/>
    <n v="1"/>
    <n v="270965"/>
    <n v="140977"/>
    <n v="129988"/>
    <s v="CA_Ventu_2020g~medical professional. (vote 1)"/>
    <x v="0"/>
  </r>
  <r>
    <x v="4"/>
    <n v="1"/>
    <n v="1368"/>
    <n v="1108"/>
    <n v="260"/>
    <s v="CO_Adams_2020g~Strasburg School District 31J Ballot Issue 5B (Vote for 1)"/>
    <x v="0"/>
  </r>
  <r>
    <x v="4"/>
    <n v="1"/>
    <n v="12677"/>
    <n v="12383"/>
    <n v="294"/>
    <s v="CO_Adams_2020g~Greater Brighton Fire Protection District Ballot Issue 7B (Vote for 1)"/>
    <x v="0"/>
  </r>
  <r>
    <x v="4"/>
    <n v="1"/>
    <n v="37195"/>
    <n v="35968"/>
    <n v="1227"/>
    <s v="CO_Adams_2020g~State Senator - District 25 (Vote for 1)"/>
    <x v="0"/>
  </r>
  <r>
    <x v="4"/>
    <n v="1"/>
    <n v="22445"/>
    <n v="17036"/>
    <n v="5409"/>
    <s v="CO_Adams_2020g~State Representative - District 30 (Vote for 1)"/>
    <x v="0"/>
  </r>
  <r>
    <x v="4"/>
    <n v="1"/>
    <n v="19845"/>
    <n v="13694"/>
    <n v="6151"/>
    <s v="CO_Adams_2020g~State Representative - District 34 (Vote for 1)"/>
    <x v="0"/>
  </r>
  <r>
    <x v="4"/>
    <n v="1"/>
    <n v="20786"/>
    <n v="13081"/>
    <n v="7705"/>
    <s v="CO_Adams_2020g~State Representative - District 56 (Vote for 1)"/>
    <x v="0"/>
  </r>
  <r>
    <x v="4"/>
    <n v="1"/>
    <n v="19597"/>
    <n v="9368"/>
    <n v="10229"/>
    <s v="CO_Adams_2020g~State Representative - District 32 (Vote for 1)"/>
    <x v="0"/>
  </r>
  <r>
    <x v="4"/>
    <n v="1"/>
    <n v="27019"/>
    <n v="16248"/>
    <n v="10771"/>
    <s v="CO_Adams_2020g~State Representative - District 35 (Vote for 1)"/>
    <x v="0"/>
  </r>
  <r>
    <x v="4"/>
    <n v="1"/>
    <n v="19417"/>
    <n v="7436"/>
    <n v="11981"/>
    <s v="CO_Adams_2020g~South Adams County Fire Protection District No. 4 Ballot Issue 6A (Vote for 1)"/>
    <x v="0"/>
  </r>
  <r>
    <x v="4"/>
    <n v="1"/>
    <n v="103109"/>
    <n v="89798"/>
    <n v="13311"/>
    <s v="CO_Adams_2020g~District Court Judge - 17th Judicial District - Crespin (Vote for 1)"/>
    <x v="0"/>
  </r>
  <r>
    <x v="4"/>
    <n v="1"/>
    <n v="41438"/>
    <n v="23769"/>
    <n v="17669"/>
    <s v="CO_Adams_2020g~State Senator - District 21 (Vote for 1)"/>
    <x v="0"/>
  </r>
  <r>
    <x v="4"/>
    <n v="1"/>
    <n v="122162"/>
    <n v="99621"/>
    <n v="22541"/>
    <s v="CO_Adams_2020g~District Attorney - 17th Judicial District (Vote for 1)"/>
    <x v="0"/>
  </r>
  <r>
    <x v="4"/>
    <n v="1"/>
    <n v="125674"/>
    <n v="94103"/>
    <n v="31571"/>
    <s v="CO_Adams_2020g~Adams County Commissioner - District 5 (Vote for 1)"/>
    <x v="0"/>
  </r>
  <r>
    <x v="4"/>
    <n v="1"/>
    <n v="130556"/>
    <n v="89848"/>
    <n v="40708"/>
    <s v="CO_Adams_2020g~Adams County Ballot Issue 1C (Vote for 1)"/>
    <x v="0"/>
  </r>
  <r>
    <x v="4"/>
    <n v="1"/>
    <n v="131863"/>
    <n v="90069"/>
    <n v="41794"/>
    <s v="CO_Adams_2020g~Adams County Commissioner - District 1 (Vote for 1)"/>
    <x v="0"/>
  </r>
  <r>
    <x v="4"/>
    <n v="1"/>
    <n v="128073"/>
    <n v="61805"/>
    <n v="66268"/>
    <s v="CO_Adams_2020g~District Court Judge - 17th Judicial District - Warner (Vote for 1)"/>
    <x v="0"/>
  </r>
  <r>
    <x v="4"/>
    <n v="1"/>
    <n v="133552"/>
    <n v="57449"/>
    <n v="76103"/>
    <s v="CO_Adams_2020g~District Court Judge - 17th Judicial District - Ramirez (Vote for 1)"/>
    <x v="0"/>
  </r>
  <r>
    <x v="4"/>
    <n v="1"/>
    <n v="134546"/>
    <n v="55649"/>
    <n v="78897"/>
    <s v="CO_Adams_2020g~District Court Judge - 17th Judicial District - Kiesnowski (Vote for 1)"/>
    <x v="0"/>
  </r>
  <r>
    <x v="4"/>
    <n v="1"/>
    <n v="135783"/>
    <n v="55152"/>
    <n v="80631"/>
    <s v="CO_Adams_2020g~District Court Judge - 17th Judicial District - Datz (Vote for 1)"/>
    <x v="0"/>
  </r>
  <r>
    <x v="4"/>
    <n v="1"/>
    <n v="139855"/>
    <n v="57387"/>
    <n v="82468"/>
    <s v="CO_Adams_2020g~Adams County Commissioner - District 2 (Vote for 1)"/>
    <x v="0"/>
  </r>
  <r>
    <x v="4"/>
    <n v="1"/>
    <n v="137561"/>
    <n v="54242"/>
    <n v="83319"/>
    <s v="CO_Adams_2020g~Adams County Court Judge - Flaum (Vote for 1)"/>
    <x v="0"/>
  </r>
  <r>
    <x v="4"/>
    <n v="1"/>
    <n v="137503"/>
    <n v="52821"/>
    <n v="84682"/>
    <s v="CO_Adams_2020g~District Court Judge - 17th Judicial District - Finn (Vote for 1)"/>
    <x v="0"/>
  </r>
  <r>
    <x v="4"/>
    <n v="1"/>
    <n v="139555"/>
    <n v="50913"/>
    <n v="88642"/>
    <s v="CO_Adams_2020g~District Court Judge - 17th Judicial District - Loew (Vote for 1)"/>
    <x v="0"/>
  </r>
  <r>
    <x v="4"/>
    <n v="1"/>
    <n v="141310"/>
    <n v="50111"/>
    <n v="91199"/>
    <s v="CO_Adams_2020g~Adams County Court Judge - Kirby (Vote for 1)"/>
    <x v="0"/>
  </r>
  <r>
    <x v="4"/>
    <n v="1"/>
    <n v="165988"/>
    <n v="55437"/>
    <n v="110551"/>
    <s v="CO_Adams_2020g~Adams County Ballot Issue 1B (Vote for 1)"/>
    <x v="0"/>
  </r>
  <r>
    <x v="4"/>
    <n v="1"/>
    <n v="184711"/>
    <n v="38821"/>
    <n v="145890"/>
    <s v="CO_Adams_2020g~Adams County Ballot Issue 1A (Vote for 1)"/>
    <x v="0"/>
  </r>
  <r>
    <x v="5"/>
    <n v="1"/>
    <n v="664"/>
    <n v="611"/>
    <n v="53"/>
    <s v="CO_Arapa_2020g~w/Adams_Byers School District 32J Ballot Issue 5A (Vote For 1)"/>
    <x v="0"/>
  </r>
  <r>
    <x v="5"/>
    <n v="1"/>
    <n v="390"/>
    <n v="300"/>
    <n v="90"/>
    <s v="CO_Arapa_2020g~Sundance Hills Metro District Ballot Issue 6B (Vote For 1)"/>
    <x v="0"/>
  </r>
  <r>
    <x v="5"/>
    <n v="1"/>
    <n v="40896"/>
    <n v="40729"/>
    <n v="167"/>
    <s v="CO_Arapa_2020g~Arapahoe County Commissioner - District 3 (Vote For 1)"/>
    <x v="0"/>
  </r>
  <r>
    <x v="5"/>
    <n v="1"/>
    <n v="439"/>
    <n v="259"/>
    <n v="180"/>
    <s v="CO_Arapa_2020g~Ballot Issue 6A (Vote For 1)"/>
    <x v="0"/>
  </r>
  <r>
    <x v="5"/>
    <n v="1"/>
    <n v="21053"/>
    <n v="15932"/>
    <n v="5121"/>
    <s v="CO_Arapa_2020g~w/Dougl_Regional Transportation District Director - District H (Vote For 1)"/>
    <x v="0"/>
  </r>
  <r>
    <x v="5"/>
    <n v="1"/>
    <n v="11722"/>
    <n v="6426"/>
    <n v="5296"/>
    <s v="CO_Arapa_2020g~City of Englewood Ballot Issue 2B (Vote For 1)"/>
    <x v="0"/>
  </r>
  <r>
    <x v="5"/>
    <n v="1"/>
    <n v="27829"/>
    <n v="22242"/>
    <n v="5587"/>
    <s v="CO_Arapa_2020g~State Representative - District 37 (Vote For 1)"/>
    <x v="0"/>
  </r>
  <r>
    <x v="5"/>
    <n v="1"/>
    <n v="31504"/>
    <n v="25191"/>
    <n v="6313"/>
    <s v="CO_Arapa_2020g~State Representative - District 38 (Vote For 1)"/>
    <x v="0"/>
  </r>
  <r>
    <x v="5"/>
    <n v="1"/>
    <n v="40434"/>
    <n v="31917"/>
    <n v="8517"/>
    <s v="CO_Arapa_2020g~Arapahoe County Commissioner - District 1 (Vote For 1)"/>
    <x v="0"/>
  </r>
  <r>
    <x v="5"/>
    <n v="1"/>
    <n v="36080"/>
    <n v="26492"/>
    <n v="9588"/>
    <s v="CO_Arapa_2020g~Arapahoe County School District #6 Littleton Public Schools Ballot Issue 4C (Vote For 1)"/>
    <x v="0"/>
  </r>
  <r>
    <x v="5"/>
    <n v="1"/>
    <n v="25508"/>
    <n v="15807"/>
    <n v="9701"/>
    <s v="CO_Arapa_2020g~State Representative - District 40 (Vote For 1)"/>
    <x v="0"/>
  </r>
  <r>
    <x v="5"/>
    <n v="1"/>
    <n v="26687"/>
    <n v="16935"/>
    <n v="9752"/>
    <s v="CO_Arapa_2020g~State Representative - District 36 (Vote For 1)"/>
    <x v="0"/>
  </r>
  <r>
    <x v="5"/>
    <n v="1"/>
    <n v="51005"/>
    <n v="41222"/>
    <n v="9783"/>
    <s v="CO_Arapa_2020g~State Senator - District 27 (Vote For 1)"/>
    <x v="0"/>
  </r>
  <r>
    <x v="5"/>
    <n v="1"/>
    <n v="28071"/>
    <n v="18008"/>
    <n v="10063"/>
    <s v="CO_Arapa_2020g~State Representative - District 3 (Vote For 1)"/>
    <x v="0"/>
  </r>
  <r>
    <x v="5"/>
    <n v="1"/>
    <n v="14494"/>
    <n v="3824"/>
    <n v="10670"/>
    <s v="CO_Arapa_2020g~City of Englewood Ballot Question 2A (Vote For 1)"/>
    <x v="0"/>
  </r>
  <r>
    <x v="5"/>
    <n v="1"/>
    <n v="26167"/>
    <n v="13501"/>
    <n v="12666"/>
    <s v="CO_Arapa_2020g~State Representative - District 41 (Vote For 1)"/>
    <x v="0"/>
  </r>
  <r>
    <x v="5"/>
    <n v="1"/>
    <n v="28215"/>
    <n v="10697"/>
    <n v="17518"/>
    <s v="CO_Arapa_2020g~Arapahoe County Commissioner - District 5 (Vote For 1)"/>
    <x v="0"/>
  </r>
  <r>
    <x v="5"/>
    <n v="1"/>
    <n v="51028"/>
    <n v="31387"/>
    <n v="19641"/>
    <s v="CO_Arapa_2020g~State Senator - District 28 (Vote For 1)"/>
    <x v="0"/>
  </r>
  <r>
    <x v="5"/>
    <n v="1"/>
    <n v="54275"/>
    <n v="32984"/>
    <n v="21291"/>
    <s v="CO_Arapa_2020g~State Senator - District 26 (Vote For 1)"/>
    <x v="0"/>
  </r>
  <r>
    <x v="5"/>
    <n v="1"/>
    <n v="45828"/>
    <n v="20914"/>
    <n v="24914"/>
    <s v="CO_Arapa_2020g~State Senator - District 29 (Vote For 1)"/>
    <x v="0"/>
  </r>
  <r>
    <x v="5"/>
    <n v="1"/>
    <n v="110401"/>
    <n v="64016"/>
    <n v="46385"/>
    <s v="CO_Arapa_2020g~Cherry Creek School District No. 5 Ballot Issue 4A (Vote For 1)"/>
    <x v="0"/>
  </r>
  <r>
    <x v="5"/>
    <n v="1"/>
    <n v="120802"/>
    <n v="51972"/>
    <n v="68830"/>
    <s v="CO_Arapa_2020g~Cherry Creek School District No. 5 Ballot Issue 4B (Vote For 1)"/>
    <x v="0"/>
  </r>
  <r>
    <x v="5"/>
    <n v="1"/>
    <n v="216841"/>
    <n v="66387"/>
    <n v="150454"/>
    <s v="CO_Arapa_2020g~Arapahoe County Court Judge - Ollada (Vote For 1)"/>
    <x v="0"/>
  </r>
  <r>
    <x v="5"/>
    <n v="1"/>
    <n v="218288"/>
    <n v="65015"/>
    <n v="153273"/>
    <s v="CO_Arapa_2020g~Arapahoe County Court Judge - Contiguglia (Vote For 1)"/>
    <x v="0"/>
  </r>
  <r>
    <x v="5"/>
    <n v="1"/>
    <n v="218531"/>
    <n v="64319"/>
    <n v="154212"/>
    <s v="CO_Arapa_2020g~Arapahoe County Court Judge - Williford (Vote For 1)"/>
    <x v="0"/>
  </r>
  <r>
    <x v="6"/>
    <n v="1"/>
    <n v="184"/>
    <n v="99"/>
    <n v="85"/>
    <s v="CO_Bould_2020g~Baseline Water District Ballot Issue 6B (Vote for 1)"/>
    <x v="0"/>
  </r>
  <r>
    <x v="6"/>
    <n v="1"/>
    <n v="185"/>
    <n v="52"/>
    <n v="133"/>
    <s v="CO_Bould_2020g~Sunshine Fire Protection District Ballot Issue 6A (Vote for 1)"/>
    <x v="0"/>
  </r>
  <r>
    <x v="6"/>
    <n v="1"/>
    <n v="4344"/>
    <n v="3432"/>
    <n v="912"/>
    <s v="CO_Bould_2020g~Town of Superior - Trustee (Vote for 1)"/>
    <x v="0"/>
  </r>
  <r>
    <x v="6"/>
    <n v="1"/>
    <n v="8891"/>
    <n v="5394"/>
    <n v="3497"/>
    <s v="CO_Bould_2020g~City of Louisville Ballot Issue 2A (Vote for 1)"/>
    <x v="0"/>
  </r>
  <r>
    <x v="6"/>
    <n v="1"/>
    <n v="29456"/>
    <n v="25821"/>
    <n v="3635"/>
    <s v="CO_Bould_2020g~City of Boulder Ballot Question 2C (Vote for 1)"/>
    <x v="0"/>
  </r>
  <r>
    <x v="6"/>
    <n v="1"/>
    <n v="27763"/>
    <n v="23609"/>
    <n v="4154"/>
    <s v="CO_Bould_2020g~w/Weld__City of Longmont Ballot Question 3D (Vote for 1)"/>
    <x v="0"/>
  </r>
  <r>
    <x v="6"/>
    <n v="1"/>
    <n v="10957"/>
    <n v="5374"/>
    <n v="5583"/>
    <s v="CO_Bould_2020g~State Representative - District 33 (Vote for 1)"/>
    <x v="0"/>
  </r>
  <r>
    <x v="6"/>
    <n v="1"/>
    <n v="31751"/>
    <n v="23988"/>
    <n v="7763"/>
    <s v="CO_Bould_2020g~City of Boulder Ballot Question 2D (Vote for 1)"/>
    <x v="0"/>
  </r>
  <r>
    <x v="6"/>
    <n v="1"/>
    <n v="33613"/>
    <n v="23736"/>
    <n v="9877"/>
    <s v="CO_Bould_2020g~City Of Boulder Ballot Issue 2B (Vote for 1)"/>
    <x v="0"/>
  </r>
  <r>
    <x v="6"/>
    <n v="1"/>
    <n v="35540"/>
    <n v="19184"/>
    <n v="16356"/>
    <s v="CO_Bould_2020g~Representative to the 117th United States Congress-District 4 (Vote for 1)"/>
    <x v="0"/>
  </r>
  <r>
    <x v="6"/>
    <n v="1"/>
    <n v="32803"/>
    <n v="16171"/>
    <n v="16632"/>
    <s v="CO_Bould_2020g~State Representative - District 11 (Vote for 1)"/>
    <x v="0"/>
  </r>
  <r>
    <x v="6"/>
    <n v="1"/>
    <n v="25217"/>
    <n v="4466"/>
    <n v="20751"/>
    <s v="CO_Bould_2020g~State Representative - District 13 (Vote for 1)"/>
    <x v="0"/>
  </r>
  <r>
    <x v="6"/>
    <n v="1"/>
    <n v="39674"/>
    <n v="14227"/>
    <n v="25447"/>
    <s v="CO_Bould_2020g~State Representative - District 12 (Vote for 1)"/>
    <x v="0"/>
  </r>
  <r>
    <x v="6"/>
    <n v="1"/>
    <n v="45280"/>
    <n v="19633"/>
    <n v="25647"/>
    <s v="CO_Bould_2020g~St. Vrain and Left Hand Water Conservancy District Ballot Issue 7A (Vote for 1)"/>
    <x v="0"/>
  </r>
  <r>
    <x v="6"/>
    <n v="1"/>
    <n v="42784"/>
    <n v="11972"/>
    <n v="30812"/>
    <s v="CO_Bould_2020g~City of Boulder Ballot Question 2E (Vote for 1)"/>
    <x v="0"/>
  </r>
  <r>
    <x v="6"/>
    <n v="1"/>
    <n v="42022"/>
    <n v="11072"/>
    <n v="30950"/>
    <s v="CO_Bould_2020g~w/Weld__City of Longmont Ballot Question 3C (Vote for 1)"/>
    <x v="0"/>
  </r>
  <r>
    <x v="6"/>
    <n v="1"/>
    <n v="39269"/>
    <n v="6733"/>
    <n v="32536"/>
    <s v="CO_Bould_2020g~State Representative - District 10 (Vote for 1)"/>
    <x v="0"/>
  </r>
  <r>
    <x v="6"/>
    <n v="1"/>
    <n v="65226"/>
    <n v="30848"/>
    <n v="34378"/>
    <s v="CO_Bould_2020g~State Senator - District 17 (Vote for 1)"/>
    <x v="0"/>
  </r>
  <r>
    <x v="6"/>
    <n v="1"/>
    <n v="46257"/>
    <n v="8268"/>
    <n v="37989"/>
    <s v="CO_Bould_2020g~City of Boulder Ballot Question 2F (Vote for 1)"/>
    <x v="0"/>
  </r>
  <r>
    <x v="6"/>
    <n v="1"/>
    <n v="75261"/>
    <n v="15524"/>
    <n v="59737"/>
    <s v="CO_Bould_2020g~State Senator - District 18 (Vote for 1)"/>
    <x v="0"/>
  </r>
  <r>
    <x v="6"/>
    <n v="1"/>
    <n v="119160"/>
    <n v="39255"/>
    <n v="79905"/>
    <s v="CO_Bould_2020g~District Court Judge - 20th Judicial District - Patrick D. Butler (Vote for 1)"/>
    <x v="0"/>
  </r>
  <r>
    <x v="6"/>
    <n v="1"/>
    <n v="114509"/>
    <n v="26505"/>
    <n v="88004"/>
    <s v="CO_Bould_2020g~Representative to the 117th United States Congress-District 2 (Vote for 1)"/>
    <x v="0"/>
  </r>
  <r>
    <x v="6"/>
    <n v="1"/>
    <n v="138532"/>
    <n v="50372"/>
    <n v="88160"/>
    <s v="CO_Bould_2020g~Boulder County Commissioner - District 1 (Vote for 1)"/>
    <x v="0"/>
  </r>
  <r>
    <x v="6"/>
    <n v="1"/>
    <n v="140100"/>
    <n v="48426"/>
    <n v="91674"/>
    <s v="CO_Bould_2020g~Boulder County Commissioner - District 2 (Vote for 1)"/>
    <x v="0"/>
  </r>
  <r>
    <x v="6"/>
    <n v="1"/>
    <n v="128500"/>
    <n v="30399"/>
    <n v="98101"/>
    <s v="CO_Bould_2020g~Colorado Court of Appeals Judge - Ted C. Tow III (Vote for 1)"/>
    <x v="0"/>
  </r>
  <r>
    <x v="6"/>
    <n v="1"/>
    <n v="127540"/>
    <n v="28305"/>
    <n v="99235"/>
    <s v="CO_Bould_2020g~District Court Judge - 20th Judicial District - Ross Macdonald (Vote for 1)"/>
    <x v="0"/>
  </r>
  <r>
    <x v="6"/>
    <n v="1"/>
    <n v="129435"/>
    <n v="29703"/>
    <n v="99732"/>
    <s v="CO_Bould_2020g~Colorado Court of Appeals Judge - Craig R. Welling (Vote for 1)"/>
    <x v="0"/>
  </r>
  <r>
    <x v="6"/>
    <n v="1"/>
    <n v="128577"/>
    <n v="28406"/>
    <n v="100171"/>
    <s v="CO_Bould_2020g~District Court Judge - 20th Judicial District - Judith L. LaBuda (Vote for 1)"/>
    <x v="0"/>
  </r>
  <r>
    <x v="6"/>
    <n v="1"/>
    <n v="132007"/>
    <n v="23994"/>
    <n v="108013"/>
    <s v="CO_Bould_2020g~Boulder County Court Judge - Jonathon P. Martin (Vote for 1)"/>
    <x v="0"/>
  </r>
  <r>
    <x v="6"/>
    <n v="1"/>
    <n v="133198"/>
    <n v="22437"/>
    <n v="110761"/>
    <s v="CO_Bould_2020g~District Court Judge - 20th Judicial District - Nancy Woodruff Salomone (Vote for 1)"/>
    <x v="0"/>
  </r>
  <r>
    <x v="6"/>
    <n v="1"/>
    <n v="135866"/>
    <n v="25097"/>
    <n v="110769"/>
    <s v="CO_Bould_2020g~Justice of the Colorado Supreme Court - Carlos A. Samour Jr. (Vote for 1)"/>
    <x v="0"/>
  </r>
  <r>
    <x v="6"/>
    <n v="1"/>
    <n v="136766"/>
    <n v="21156"/>
    <n v="115610"/>
    <s v="CO_Bould_2020g~District Court Judge - 20th Judicial District - Seftar Bakke (Vote for 1)"/>
    <x v="0"/>
  </r>
  <r>
    <x v="6"/>
    <n v="1"/>
    <n v="142903"/>
    <n v="20990"/>
    <n v="121913"/>
    <s v="CO_Bould_2020g~Justice of the Colorado Supreme Court - Melissa Hart (Vote for 1)"/>
    <x v="0"/>
  </r>
  <r>
    <x v="7"/>
    <n v="1"/>
    <n v="22483"/>
    <n v="11347"/>
    <n v="11136"/>
    <s v="CO_Denve_2020g~State Representative - District 1 (Vote For 1)"/>
    <x v="0"/>
  </r>
  <r>
    <x v="7"/>
    <n v="1"/>
    <n v="44968"/>
    <n v="28613"/>
    <n v="16355"/>
    <s v="CO_Denve_2020g~w/Arapa_Regional Transportation District Director - District A (Vote For 1)"/>
    <x v="0"/>
  </r>
  <r>
    <x v="7"/>
    <n v="1"/>
    <n v="29151"/>
    <n v="11390"/>
    <n v="17761"/>
    <s v="CO_Denve_2020g~w/Arapa_State Representative - District 9 (Vote For 1)"/>
    <x v="0"/>
  </r>
  <r>
    <x v="7"/>
    <n v="1"/>
    <n v="190324"/>
    <n v="170352"/>
    <n v="19972"/>
    <s v="CO_Denve_2020g~City and County of Denver Ballot Measure 2C (Vote For 1)"/>
    <x v="0"/>
  </r>
  <r>
    <x v="7"/>
    <n v="1"/>
    <n v="36302"/>
    <n v="12711"/>
    <n v="23591"/>
    <s v="CO_Denve_2020g~State Representative - District 6 (Vote For 1)"/>
    <x v="0"/>
  </r>
  <r>
    <x v="7"/>
    <n v="1"/>
    <n v="34501"/>
    <n v="7651"/>
    <n v="26850"/>
    <s v="CO_Denve_2020g~State Representative - District 4 (Vote For 1)"/>
    <x v="0"/>
  </r>
  <r>
    <x v="7"/>
    <n v="1"/>
    <n v="37132"/>
    <n v="9203"/>
    <n v="27929"/>
    <s v="CO_Denve_2020g~State Representative - District 5 (Vote For 1)"/>
    <x v="0"/>
  </r>
  <r>
    <x v="7"/>
    <n v="1"/>
    <n v="188713"/>
    <n v="160737"/>
    <n v="27976"/>
    <s v="CO_Denve_2020g~City and County of Denver Ballot Measure 2G (Vote For 1)"/>
    <x v="0"/>
  </r>
  <r>
    <x v="7"/>
    <n v="1"/>
    <n v="189272"/>
    <n v="156105"/>
    <n v="33167"/>
    <s v="CO_Denve_2020g~City and County of Denver Ballot Measure 2I (Vote For 1)"/>
    <x v="0"/>
  </r>
  <r>
    <x v="7"/>
    <n v="1"/>
    <n v="45369"/>
    <n v="10935"/>
    <n v="34434"/>
    <s v="CO_Denve_2020g~State Representative - District 2 (Vote For 1)"/>
    <x v="0"/>
  </r>
  <r>
    <x v="7"/>
    <n v="1"/>
    <n v="71265"/>
    <n v="21462"/>
    <n v="49803"/>
    <s v="CO_Denve_2020g~State Senator - District 31 (Vote For 1)"/>
    <x v="0"/>
  </r>
  <r>
    <x v="7"/>
    <n v="1"/>
    <n v="205975"/>
    <n v="148591"/>
    <n v="57384"/>
    <s v="CO_Denve_2020g~City and County of Denver Ballot Measure 2E (Vote For 1)"/>
    <x v="0"/>
  </r>
  <r>
    <x v="7"/>
    <n v="1"/>
    <n v="75702"/>
    <n v="7482"/>
    <n v="68220"/>
    <s v="CO_Denve_2020g~State Senator - District 33 (Vote For 1)"/>
    <x v="0"/>
  </r>
  <r>
    <x v="7"/>
    <n v="1"/>
    <n v="188696"/>
    <n v="112692"/>
    <n v="76004"/>
    <s v="CO_Denve_2020g~Denver County Court Judge - Schwartz (Vote For 1)"/>
    <x v="0"/>
  </r>
  <r>
    <x v="7"/>
    <n v="1"/>
    <n v="231174"/>
    <n v="139683"/>
    <n v="91491"/>
    <s v="CO_Denve_2020g~City and County of Denver Ballot Measure 2A (Vote For 1)"/>
    <x v="0"/>
  </r>
  <r>
    <x v="7"/>
    <n v="1"/>
    <n v="233300"/>
    <n v="138153"/>
    <n v="95147"/>
    <s v="CO_Denve_2020g~City and County of Denver Ballot Measure 2B (Vote For 1)"/>
    <x v="0"/>
  </r>
  <r>
    <x v="7"/>
    <n v="1"/>
    <n v="244006"/>
    <n v="124399"/>
    <n v="119607"/>
    <s v="CO_Denve_2020g~City and County of Denver Ballot Measure 2J (Vote For 1)"/>
    <x v="0"/>
  </r>
  <r>
    <x v="7"/>
    <n v="1"/>
    <n v="218050"/>
    <n v="85293"/>
    <n v="132757"/>
    <s v="CO_Denve_2020g~Denver County Court Judge - Pallares (Vote For 1)"/>
    <x v="0"/>
  </r>
  <r>
    <x v="7"/>
    <n v="1"/>
    <n v="230301"/>
    <n v="79642"/>
    <n v="150659"/>
    <s v="CO_Denve_2020g~District Court Judge - 2nd Judicial District - Elliff (Vote For 1)"/>
    <x v="0"/>
  </r>
  <r>
    <x v="7"/>
    <n v="1"/>
    <n v="231262"/>
    <n v="78352"/>
    <n v="152910"/>
    <s v="CO_Denve_2020g~District Court Judge - 2nd Judicial District - Jones (Vote For 1)"/>
    <x v="0"/>
  </r>
  <r>
    <x v="7"/>
    <n v="1"/>
    <n v="238031"/>
    <n v="72970"/>
    <n v="165061"/>
    <s v="CO_Denve_2020g~District Court Judge - 2nd Judicial District - Egelhoff (Vote For 1)"/>
    <x v="0"/>
  </r>
  <r>
    <x v="7"/>
    <n v="1"/>
    <n v="268413"/>
    <n v="102612"/>
    <n v="165801"/>
    <s v="CO_Denve_2020g~Denver Public Schools (School District No. 1) Ballot Measure 4A (Vote For 1)"/>
    <x v="0"/>
  </r>
  <r>
    <x v="7"/>
    <n v="1"/>
    <n v="268129"/>
    <n v="88379"/>
    <n v="179750"/>
    <s v="CO_Denve_2020g~City and County of Denver Ballot Measure 2D (Vote For 1)"/>
    <x v="0"/>
  </r>
  <r>
    <x v="7"/>
    <n v="1"/>
    <n v="243861"/>
    <n v="58370"/>
    <n v="185491"/>
    <s v="CO_Denve_2020g~Denver County Court Judge - Rudolph (Vote For 1)"/>
    <x v="0"/>
  </r>
  <r>
    <x v="7"/>
    <n v="1"/>
    <n v="248665"/>
    <n v="62826"/>
    <n v="185839"/>
    <s v="CO_Denve_2020g~District Court Judge - 2nd Judicial District - Vallejos (Vote For 1)"/>
    <x v="0"/>
  </r>
  <r>
    <x v="7"/>
    <n v="1"/>
    <n v="245061"/>
    <n v="57007"/>
    <n v="188054"/>
    <s v="CO_Denve_2020g~Denver County Court Judge - Spahn (Vote For 1)"/>
    <x v="0"/>
  </r>
  <r>
    <x v="7"/>
    <n v="1"/>
    <n v="245738"/>
    <n v="57313"/>
    <n v="188425"/>
    <s v="CO_Denve_2020g~Denver County Court Judge - Rodarte (Vote For 1)"/>
    <x v="0"/>
  </r>
  <r>
    <x v="7"/>
    <n v="1"/>
    <n v="250434"/>
    <n v="61672"/>
    <n v="188762"/>
    <s v="CO_Denve_2020g~District Court Judge - 2nd Judicial District - Baumann (Vote For 1)"/>
    <x v="0"/>
  </r>
  <r>
    <x v="7"/>
    <n v="1"/>
    <n v="248984"/>
    <n v="55306"/>
    <n v="193678"/>
    <s v="CO_Denve_2020g~Denver County Court Judge - Faragher (Vote For 1)"/>
    <x v="0"/>
  </r>
  <r>
    <x v="7"/>
    <n v="1"/>
    <n v="251030"/>
    <n v="51033"/>
    <n v="199997"/>
    <s v="CO_Denve_2020g~Denver County Court Judge - Simonet (Vote For 1)"/>
    <x v="0"/>
  </r>
  <r>
    <x v="7"/>
    <n v="1"/>
    <n v="259805"/>
    <n v="52501"/>
    <n v="207304"/>
    <s v="CO_Denve_2020g~District Court Judge - 2nd Judicial District/Probate - Leith (Vote For 1)"/>
    <x v="0"/>
  </r>
  <r>
    <x v="7"/>
    <n v="1"/>
    <n v="288962"/>
    <n v="81184"/>
    <n v="207778"/>
    <s v="CO_Denve_2020g~Denver Public Schools (School District No. 1) Ballot Measure 4B (Vote For 1)"/>
    <x v="0"/>
  </r>
  <r>
    <x v="7"/>
    <n v="1"/>
    <n v="292961"/>
    <n v="61709"/>
    <n v="231252"/>
    <s v="CO_Denve_2020g~District Attorney - 2nd Judicial District (Vote For 1)"/>
    <x v="0"/>
  </r>
  <r>
    <x v="7"/>
    <n v="1"/>
    <n v="296532"/>
    <n v="64863"/>
    <n v="231669"/>
    <s v="CO_Denve_2020g~City and County of Denver Ballot Measure 2H (Vote For 1)"/>
    <x v="0"/>
  </r>
  <r>
    <x v="7"/>
    <n v="1"/>
    <n v="300304"/>
    <n v="61313"/>
    <n v="238991"/>
    <s v="CO_Denve_2020g~City and County of Denver Ballot Measure 2F (Vote For 1)"/>
    <x v="0"/>
  </r>
  <r>
    <x v="8"/>
    <n v="3"/>
    <n v="8590"/>
    <n v="8315"/>
    <n v="275"/>
    <s v="CO_Dougl_2020g~Town of Parker Councilmember (Vote For 3)"/>
    <x v="0"/>
  </r>
  <r>
    <x v="8"/>
    <n v="1"/>
    <n v="2782"/>
    <n v="2310"/>
    <n v="472"/>
    <s v="CO_Dougl_2020g~Town of Castle Rock Councilmember - District 4 (Vote For 1)"/>
    <x v="0"/>
  </r>
  <r>
    <x v="8"/>
    <n v="1"/>
    <n v="13233"/>
    <n v="12505"/>
    <n v="728"/>
    <s v="CO_Dougl_2020g~Town of Parker Mayor (Vote For 1)"/>
    <x v="0"/>
  </r>
  <r>
    <x v="8"/>
    <n v="1"/>
    <n v="2995"/>
    <n v="2003"/>
    <n v="992"/>
    <s v="CO_Dougl_2020g~Town of Castle Rock Councilmember - District 6 (Vote For 1)"/>
    <x v="0"/>
  </r>
  <r>
    <x v="8"/>
    <n v="1"/>
    <n v="2882"/>
    <n v="1778"/>
    <n v="1104"/>
    <s v="CO_Dougl_2020g~Town of Castle Rock Councilmember - District 2 (Vote For 1)"/>
    <x v="0"/>
  </r>
  <r>
    <x v="8"/>
    <n v="1"/>
    <n v="4453"/>
    <n v="3258"/>
    <n v="1195"/>
    <s v="CO_Dougl_2020g~City of Castle Pines Ballot Issue 2A (Vote For 1)"/>
    <x v="0"/>
  </r>
  <r>
    <x v="8"/>
    <n v="1"/>
    <n v="3291"/>
    <n v="1919"/>
    <n v="1372"/>
    <s v="CO_Dougl_2020g~Town of Castle Rock Councilmember - District 1 (Vote For 1)"/>
    <x v="0"/>
  </r>
  <r>
    <x v="8"/>
    <n v="1"/>
    <n v="4500"/>
    <n v="2684"/>
    <n v="1816"/>
    <s v="CO_Dougl_2020g~Franktown Fire Protection District Ballot Issue 6A (Vote For 1)"/>
    <x v="0"/>
  </r>
  <r>
    <x v="8"/>
    <n v="1"/>
    <n v="29053"/>
    <n v="26930"/>
    <n v="2123"/>
    <s v="CO_Dougl_2020g~Regional Transportation District Director - District G (Vote For 1)"/>
    <x v="0"/>
  </r>
  <r>
    <x v="8"/>
    <n v="1"/>
    <n v="26758"/>
    <n v="23859"/>
    <n v="2899"/>
    <s v="CO_Dougl_2020g~State Representative - District 43 (Vote For 1)"/>
    <x v="0"/>
  </r>
  <r>
    <x v="8"/>
    <n v="1"/>
    <n v="32963"/>
    <n v="24795"/>
    <n v="8168"/>
    <s v="CO_Dougl_2020g~State Representative - District 44 (Vote For 1)"/>
    <x v="0"/>
  </r>
  <r>
    <x v="8"/>
    <n v="1"/>
    <n v="26509"/>
    <n v="15619"/>
    <n v="10890"/>
    <s v="CO_Dougl_2020g~State Representative - District 39 (Vote For 1)"/>
    <x v="0"/>
  </r>
  <r>
    <x v="8"/>
    <n v="1"/>
    <n v="40418"/>
    <n v="24779"/>
    <n v="15639"/>
    <s v="CO_Dougl_2020g~State Representative - District 45 (Vote For 1)"/>
    <x v="0"/>
  </r>
  <r>
    <x v="8"/>
    <n v="1"/>
    <n v="120650"/>
    <n v="91359"/>
    <n v="29291"/>
    <s v="CO_Dougl_2020g~Douglas County Commissioner - District 2 (Vote For 1)"/>
    <x v="0"/>
  </r>
  <r>
    <x v="8"/>
    <n v="1"/>
    <n v="73832"/>
    <n v="41526"/>
    <n v="32306"/>
    <s v="CO_Dougl_2020g~State Senator - District 4 (Vote For 1)"/>
    <x v="0"/>
  </r>
  <r>
    <x v="8"/>
    <n v="1"/>
    <n v="128094"/>
    <n v="89881"/>
    <n v="38213"/>
    <s v="CO_Dougl_2020g~Douglas County Commissioner - District 3 (Vote For 1)"/>
    <x v="0"/>
  </r>
  <r>
    <x v="9"/>
    <n v="1"/>
    <n v="23"/>
    <n v="6"/>
    <n v="17"/>
    <s v="CO_El Pa_2020g~Northeast Teller County Fire Protection District Ballot Issue 7A (Vote for 1)"/>
    <x v="0"/>
  </r>
  <r>
    <x v="9"/>
    <n v="1"/>
    <n v="846"/>
    <n v="827"/>
    <n v="19"/>
    <s v="CO_El Pa_2020g~Town of Palmer Lake Trustee (Vote for 1)"/>
    <x v="0"/>
  </r>
  <r>
    <x v="9"/>
    <n v="1"/>
    <n v="1027"/>
    <n v="743"/>
    <n v="284"/>
    <s v="CO_El Pa_2020g~Town of Palmer Lake Ballot Question 2D (Vote for 1)"/>
    <x v="0"/>
  </r>
  <r>
    <x v="9"/>
    <n v="1"/>
    <n v="1020"/>
    <n v="623"/>
    <n v="397"/>
    <s v="CO_El Pa_2020g~Town of Palmer Lake Mayor (Vote for 1)"/>
    <x v="0"/>
  </r>
  <r>
    <x v="9"/>
    <n v="1"/>
    <n v="859"/>
    <n v="293"/>
    <n v="566"/>
    <s v="CO_El Pa_2020g~Miami Yoder School District JT 60 Ballot Question 5A (Vote for 1)"/>
    <x v="0"/>
  </r>
  <r>
    <x v="9"/>
    <n v="1"/>
    <n v="2095"/>
    <n v="1454"/>
    <n v="641"/>
    <s v="CO_El Pa_2020g~Triview Metropolitan District Ballot Issue 6A (Vote for 1)"/>
    <x v="0"/>
  </r>
  <r>
    <x v="9"/>
    <n v="1"/>
    <n v="3568"/>
    <n v="2643"/>
    <n v="925"/>
    <s v="CO_El Pa_2020g~Town of Monument Ballot Issue 2E (Vote for 1)"/>
    <x v="0"/>
  </r>
  <r>
    <x v="9"/>
    <n v="1"/>
    <n v="3569"/>
    <n v="2123"/>
    <n v="1446"/>
    <s v="CO_El Pa_2020g~Donald Wescott Fire Protection District Northern Subdistrict Ballot Issue 6C (Vote for 1)"/>
    <x v="0"/>
  </r>
  <r>
    <x v="9"/>
    <n v="1"/>
    <n v="3664"/>
    <n v="2211"/>
    <n v="1453"/>
    <s v="CO_El Pa_2020g~Donald Wescott Fire Protection District Ballot Issue 6B (Vote for 1)"/>
    <x v="0"/>
  </r>
  <r>
    <x v="9"/>
    <n v="1"/>
    <n v="3713"/>
    <n v="2221"/>
    <n v="1492"/>
    <s v="CO_El Pa_2020g~Town of Monument Ballot Question 2F (Vote for 1)"/>
    <x v="0"/>
  </r>
  <r>
    <x v="9"/>
    <n v="1"/>
    <n v="17448"/>
    <n v="12999"/>
    <n v="4449"/>
    <s v="CO_El Pa_2020g~State Representative - District 21 (Vote for 1)"/>
    <x v="0"/>
  </r>
  <r>
    <x v="9"/>
    <n v="1"/>
    <n v="15780"/>
    <n v="10398"/>
    <n v="5382"/>
    <s v="CO_El Pa_2020g~State Representative - District 17 (Vote for 1)"/>
    <x v="0"/>
  </r>
  <r>
    <x v="9"/>
    <n v="1"/>
    <n v="23842"/>
    <n v="18070"/>
    <n v="5772"/>
    <s v="CO_El Pa_2020g~State Representative - District 16 (Vote for 1)"/>
    <x v="0"/>
  </r>
  <r>
    <x v="9"/>
    <n v="1"/>
    <n v="113748"/>
    <n v="106105"/>
    <n v="7643"/>
    <s v="CO_El Pa_2020g~City of Colorado Springs Ballot Question 2C (Vote for 1)"/>
    <x v="0"/>
  </r>
  <r>
    <x v="9"/>
    <n v="1"/>
    <n v="42303"/>
    <n v="34640"/>
    <n v="7663"/>
    <s v="CO_El Pa_2020g~El Paso County Commissioner - District 3 (Vote for 1)"/>
    <x v="0"/>
  </r>
  <r>
    <x v="9"/>
    <n v="1"/>
    <n v="29036"/>
    <n v="19601"/>
    <n v="9435"/>
    <s v="CO_El Pa_2020g~El Paso County Commissioner - District 4 (Vote for 1)"/>
    <x v="0"/>
  </r>
  <r>
    <x v="9"/>
    <n v="1"/>
    <n v="27376"/>
    <n v="17799"/>
    <n v="9577"/>
    <s v="CO_El Pa_2020g~State Representative - District 20 (Vote for 1)"/>
    <x v="0"/>
  </r>
  <r>
    <x v="9"/>
    <n v="1"/>
    <n v="26325"/>
    <n v="16331"/>
    <n v="9994"/>
    <s v="CO_El Pa_2020g~State Representative - District 18 (Vote for 1)"/>
    <x v="0"/>
  </r>
  <r>
    <x v="9"/>
    <n v="1"/>
    <n v="28944"/>
    <n v="17535"/>
    <n v="11409"/>
    <s v="CO_El Pa_2020g~State Representative - District 15 (Vote for 1)"/>
    <x v="0"/>
  </r>
  <r>
    <x v="9"/>
    <n v="1"/>
    <n v="34013"/>
    <n v="19688"/>
    <n v="14325"/>
    <s v="CO_El Pa_2020g~State Representative - District 14 (Vote for 1)"/>
    <x v="0"/>
  </r>
  <r>
    <x v="9"/>
    <n v="1"/>
    <n v="47463"/>
    <n v="32114"/>
    <n v="15349"/>
    <s v="CO_El Pa_2020g~State Senator - District 10 (Vote for 1)"/>
    <x v="0"/>
  </r>
  <r>
    <x v="9"/>
    <n v="1"/>
    <n v="45808"/>
    <n v="29656"/>
    <n v="16152"/>
    <s v="CO_El Pa_2020g~State Senator - District 12 (Vote for 1)"/>
    <x v="0"/>
  </r>
  <r>
    <x v="9"/>
    <n v="1"/>
    <n v="48904"/>
    <n v="25124"/>
    <n v="23780"/>
    <s v="CO_El Pa_2020g~El Paso County Commissioner - District 2 (Vote for 1)"/>
    <x v="0"/>
  </r>
  <r>
    <x v="9"/>
    <n v="1"/>
    <n v="48521"/>
    <n v="16198"/>
    <n v="32323"/>
    <s v="CO_El Pa_2020g~State Representative - District 19 (Vote for 1)"/>
    <x v="0"/>
  </r>
  <r>
    <x v="9"/>
    <n v="1"/>
    <n v="137557"/>
    <n v="96232"/>
    <n v="41325"/>
    <s v="CO_El Pa_2020g~City of Colorado Springs Ballot Issue 2A (Vote for 1)"/>
    <x v="0"/>
  </r>
  <r>
    <x v="9"/>
    <n v="1"/>
    <n v="132595"/>
    <n v="90865"/>
    <n v="41730"/>
    <s v="CO_El Pa_2020g~City of Colorado Springs Ballot Question 2B (Vote for 1)"/>
    <x v="0"/>
  </r>
  <r>
    <x v="9"/>
    <n v="1"/>
    <n v="173740"/>
    <n v="131595"/>
    <n v="42145"/>
    <s v="CO_El Pa_2020g~District Court Judge - 4th Judicial District - Werner (Vote for 1)"/>
    <x v="0"/>
  </r>
  <r>
    <x v="9"/>
    <n v="1"/>
    <n v="88193"/>
    <n v="30636"/>
    <n v="57557"/>
    <s v="CO_El Pa_2020g~Colorado Springs School District 11 Ballot Issue 4A (Vote for 1)"/>
    <x v="0"/>
  </r>
  <r>
    <x v="9"/>
    <n v="1"/>
    <n v="210639"/>
    <n v="141402"/>
    <n v="69237"/>
    <s v="CO_El Pa_2020g~Representative to the 117th United States Congress - District 5 (Vote for 1)"/>
    <x v="0"/>
  </r>
  <r>
    <x v="9"/>
    <n v="1"/>
    <n v="224278"/>
    <n v="81441"/>
    <n v="142837"/>
    <s v="CO_El Pa_2020g~District Court Judge - 4th Judicial District - McHenry (Vote for 1)"/>
    <x v="0"/>
  </r>
  <r>
    <x v="9"/>
    <n v="1"/>
    <n v="226952"/>
    <n v="78871"/>
    <n v="148081"/>
    <s v="CO_El Pa_2020g~District Court Judge - 4th Judicial District - Kane (Vote for 1)"/>
    <x v="0"/>
  </r>
  <r>
    <x v="9"/>
    <n v="1"/>
    <n v="230843"/>
    <n v="75091"/>
    <n v="155752"/>
    <s v="CO_El Pa_2020g~District Court Judge - 4th Judicial District - Sokol (Vote for 1)"/>
    <x v="0"/>
  </r>
  <r>
    <x v="9"/>
    <n v="1"/>
    <n v="232676"/>
    <n v="74956"/>
    <n v="157720"/>
    <s v="CO_El Pa_2020g~District Court Judge - 4th Judicial District - Bain (Vote for 1)"/>
    <x v="0"/>
  </r>
  <r>
    <x v="9"/>
    <n v="1"/>
    <n v="232063"/>
    <n v="73334"/>
    <n v="158729"/>
    <s v="CO_El Pa_2020g~District Court Judge - 4th Judicial District - Prince (Vote for 1)"/>
    <x v="0"/>
  </r>
  <r>
    <x v="9"/>
    <n v="1"/>
    <n v="235983"/>
    <n v="71298"/>
    <n v="164685"/>
    <s v="CO_El Pa_2020g~District Court Judge - 4th Judicial District - DuBois (Vote for 1)"/>
    <x v="0"/>
  </r>
  <r>
    <x v="9"/>
    <n v="1"/>
    <n v="237028"/>
    <n v="69517"/>
    <n v="167511"/>
    <s v="CO_El Pa_2020g~El Paso County Court Judge - Findorff (Vote for 1)"/>
    <x v="0"/>
  </r>
  <r>
    <x v="9"/>
    <n v="1"/>
    <n v="236961"/>
    <n v="69274"/>
    <n v="167687"/>
    <s v="CO_El Pa_2020g~El Paso County Court Judge - Gerhart (Vote for 1)"/>
    <x v="0"/>
  </r>
  <r>
    <x v="10"/>
    <n v="1"/>
    <n v="139"/>
    <n v="131"/>
    <n v="8"/>
    <s v="CO_Jeffe_2020g~Forest Hills Metropolitan District Ballot Issue 6C (Vote For 1)"/>
    <x v="0"/>
  </r>
  <r>
    <x v="10"/>
    <n v="1"/>
    <n v="168"/>
    <n v="101"/>
    <n v="67"/>
    <s v="CO_Jeffe_2020g~Forest Hills Metropolitan District Ballot Issue 6D (Vote For 1)"/>
    <x v="0"/>
  </r>
  <r>
    <x v="10"/>
    <n v="1"/>
    <n v="219"/>
    <n v="23"/>
    <n v="196"/>
    <s v="CO_Jeffe_2020g~Blue Mountain Water District Ballot Issue 6A (Vote For 1)"/>
    <x v="0"/>
  </r>
  <r>
    <x v="10"/>
    <n v="1"/>
    <n v="585"/>
    <n v="304"/>
    <n v="281"/>
    <s v="CO_Jeffe_2020g~Lookout Mountain Water District Ballot Issue 6B (Vote For 1)"/>
    <x v="0"/>
  </r>
  <r>
    <x v="10"/>
    <n v="1"/>
    <n v="1514"/>
    <n v="881"/>
    <n v="633"/>
    <s v="CO_Jeffe_2020g~City of Edgewater Ballot Question 2A (Vote For 1)"/>
    <x v="0"/>
  </r>
  <r>
    <x v="10"/>
    <n v="1"/>
    <n v="29566"/>
    <n v="27674"/>
    <n v="1892"/>
    <s v="CO_Jeffe_2020g~State Representative - District 27 (Vote For 1)"/>
    <x v="0"/>
  </r>
  <r>
    <x v="10"/>
    <n v="1"/>
    <n v="26421"/>
    <n v="23467"/>
    <n v="2954"/>
    <s v="CO_Jeffe_2020g~State Representative - District 22 (Vote For 1)"/>
    <x v="0"/>
  </r>
  <r>
    <x v="10"/>
    <n v="1"/>
    <n v="30249"/>
    <n v="27023"/>
    <n v="3226"/>
    <s v="CO_Jeffe_2020g~State Representative - District 25 (Vote For 1)"/>
    <x v="0"/>
  </r>
  <r>
    <x v="10"/>
    <n v="1"/>
    <n v="26226"/>
    <n v="17931"/>
    <n v="8295"/>
    <s v="CO_Jeffe_2020g~State Representative - District 29 (Vote For 1)"/>
    <x v="0"/>
  </r>
  <r>
    <x v="10"/>
    <n v="1"/>
    <n v="26592"/>
    <n v="17030"/>
    <n v="9562"/>
    <s v="CO_Jeffe_2020g~State Representative - District 28 (Vote For 1)"/>
    <x v="0"/>
  </r>
  <r>
    <x v="10"/>
    <n v="1"/>
    <n v="29615"/>
    <n v="17126"/>
    <n v="12489"/>
    <s v="CO_Jeffe_2020g~State Representative - District 23 (Vote For 1)"/>
    <x v="0"/>
  </r>
  <r>
    <x v="10"/>
    <n v="1"/>
    <n v="30671"/>
    <n v="17228"/>
    <n v="13443"/>
    <s v="CO_Jeffe_2020g~State Representative - District 24 (Vote For 1)"/>
    <x v="0"/>
  </r>
  <r>
    <x v="10"/>
    <n v="1"/>
    <n v="54694"/>
    <n v="37740"/>
    <n v="16954"/>
    <s v="CO_Jeffe_2020g~State Senator - District 19 (Vote For 1)"/>
    <x v="0"/>
  </r>
  <r>
    <x v="10"/>
    <n v="1"/>
    <n v="58178"/>
    <n v="29960"/>
    <n v="28218"/>
    <s v="CO_Jeffe_2020g~City of Lakewood Ballot Question 2B (Vote For 1)"/>
    <x v="0"/>
  </r>
  <r>
    <x v="10"/>
    <n v="1"/>
    <n v="185307"/>
    <n v="155443"/>
    <n v="29864"/>
    <s v="CO_Jeffe_2020g~Jefferson County Commissioner - District 1 (Vote For 1)"/>
    <x v="0"/>
  </r>
  <r>
    <x v="10"/>
    <n v="1"/>
    <n v="47809"/>
    <n v="13873"/>
    <n v="33936"/>
    <s v="CO_Jeffe_2020g~Foothills Park &amp; Recreation District Ballot Issue 6E (Vote For 1)"/>
    <x v="0"/>
  </r>
  <r>
    <x v="10"/>
    <n v="1"/>
    <n v="194099"/>
    <n v="159715"/>
    <n v="34384"/>
    <s v="CO_Jeffe_2020g~District Attorney - 1st Judicial District (Vote For 1)"/>
    <x v="0"/>
  </r>
  <r>
    <x v="10"/>
    <n v="1"/>
    <n v="196236"/>
    <n v="157048"/>
    <n v="39188"/>
    <s v="CO_Jeffe_2020g~Jefferson County Commissioner - District 2 (Vote For 1)"/>
    <x v="0"/>
  </r>
  <r>
    <x v="10"/>
    <n v="1"/>
    <n v="155764"/>
    <n v="99044"/>
    <n v="56720"/>
    <s v="CO_Jeffe_2020g~w/Adams_Representative to the 117th United States Congress - District 7 (Vote For 1)"/>
    <x v="0"/>
  </r>
  <r>
    <x v="10"/>
    <n v="1"/>
    <n v="157661"/>
    <n v="97987"/>
    <n v="59674"/>
    <s v="CO_Jeffe_2020g~w/Adams_State Board of Education Member - Congressional District 7 (Vote For 1)"/>
    <x v="0"/>
  </r>
  <r>
    <x v="10"/>
    <n v="1"/>
    <n v="213882"/>
    <n v="83874"/>
    <n v="130008"/>
    <s v="CO_Jeffe_2020g~Jefferson County Court Judge - Burback (Vote For 1)"/>
    <x v="0"/>
  </r>
  <r>
    <x v="10"/>
    <n v="1"/>
    <n v="219449"/>
    <n v="78664"/>
    <n v="140785"/>
    <s v="CO_Jeffe_2020g~Jefferson County Court Judge - Carpenter (Vote For 1)"/>
    <x v="0"/>
  </r>
  <r>
    <x v="10"/>
    <n v="1"/>
    <n v="219200"/>
    <n v="76992"/>
    <n v="142208"/>
    <s v="CO_Jeffe_2020g~District Court Judge - 1st Judicial District - Zenisek (Vote For 1)"/>
    <x v="0"/>
  </r>
  <r>
    <x v="10"/>
    <n v="1"/>
    <n v="220237"/>
    <n v="77462"/>
    <n v="142775"/>
    <s v="CO_Jeffe_2020g~Jefferson County Court Judge - Sargent (Vote For 1)"/>
    <x v="0"/>
  </r>
  <r>
    <x v="10"/>
    <n v="1"/>
    <n v="221886"/>
    <n v="76195"/>
    <n v="145691"/>
    <s v="CO_Jeffe_2020g~District Court Judge - 1st Judicial District - Russell (Vote For 1)"/>
    <x v="0"/>
  </r>
  <r>
    <x v="10"/>
    <n v="1"/>
    <n v="225064"/>
    <n v="74407"/>
    <n v="150657"/>
    <s v="CO_Jeffe_2020g~District Court Judge - 1st Judicial District - Arp (Vote For 1)"/>
    <x v="0"/>
  </r>
  <r>
    <x v="10"/>
    <n v="1"/>
    <n v="224678"/>
    <n v="73492"/>
    <n v="151186"/>
    <s v="CO_Jeffe_2020g~District Court Judge - 1st Judicial District - Oeffler (Vote For 1)"/>
    <x v="0"/>
  </r>
  <r>
    <x v="10"/>
    <n v="1"/>
    <n v="225206"/>
    <n v="73100"/>
    <n v="152106"/>
    <s v="CO_Jeffe_2020g~District Court Judge - 1st Judicial District - Meinster (Vote For 1)"/>
    <x v="0"/>
  </r>
  <r>
    <x v="10"/>
    <n v="1"/>
    <n v="227583"/>
    <n v="70661"/>
    <n v="156922"/>
    <s v="CO_Jeffe_2020g~Jefferson County Court Judge - Moore (Vote For 1)"/>
    <x v="0"/>
  </r>
  <r>
    <x v="11"/>
    <n v="1"/>
    <n v="18"/>
    <n v="18"/>
    <n v="0"/>
    <s v="CO_Larim_2020g~Larimer County Glenn Ridge Estates Public Improvement District No. 72 Ballot Issue 6D (Vote For 1)"/>
    <x v="0"/>
  </r>
  <r>
    <x v="11"/>
    <n v="1"/>
    <n v="37"/>
    <n v="34"/>
    <n v="3"/>
    <s v="CO_Larim_2020g~Larimer County Vine Drive Public Improvement District No. 29 Ballot Issue 6G (Vote For 1)"/>
    <x v="0"/>
  </r>
  <r>
    <x v="11"/>
    <n v="1"/>
    <n v="42"/>
    <n v="27"/>
    <n v="15"/>
    <s v="CO_Larim_2020g~Larimer County Crystal View Public Improvement District No. 69 Ballot Issue 6I (Vote For 1)"/>
    <x v="0"/>
  </r>
  <r>
    <x v="11"/>
    <n v="1"/>
    <n v="51"/>
    <n v="22"/>
    <n v="29"/>
    <s v="CO_Larim_2020g~Larimer County Trappers Point Public Improvement District No. 70 Ballot Issue 6E (Vote For 1)"/>
    <x v="0"/>
  </r>
  <r>
    <x v="11"/>
    <n v="1"/>
    <n v="68"/>
    <n v="30"/>
    <n v="38"/>
    <s v="CO_Larim_2020g~Larimer County Rockview Wildflower Ridge Public Improvement District No. 71 Ballot Issue 6F (Vote For 1)"/>
    <x v="0"/>
  </r>
  <r>
    <x v="11"/>
    <n v="1"/>
    <n v="262"/>
    <n v="134"/>
    <n v="128"/>
    <s v="CO_Larim_2020g~Poudre Canyon Fire Protection District Ballot Issue 6C (Vote For 1)"/>
    <x v="0"/>
  </r>
  <r>
    <x v="11"/>
    <n v="1"/>
    <n v="5022"/>
    <n v="1461"/>
    <n v="3561"/>
    <s v="CO_Larim_2020g~w/Weld__Town of Berthoud Ballot Question 3B (Vote For 1)"/>
    <x v="0"/>
  </r>
  <r>
    <x v="11"/>
    <n v="1"/>
    <n v="9673"/>
    <n v="4177"/>
    <n v="5496"/>
    <s v="CO_Larim_2020g~Loveland Rural Fire Protection District Ballot Issue 6B (Vote For 1)"/>
    <x v="0"/>
  </r>
  <r>
    <x v="11"/>
    <n v="1"/>
    <n v="27608"/>
    <n v="19018"/>
    <n v="8590"/>
    <s v="CO_Larim_2020g~City of Loveland Ballot Issue 2A (Vote For 1)"/>
    <x v="0"/>
  </r>
  <r>
    <x v="11"/>
    <n v="1"/>
    <n v="11930"/>
    <n v="1989"/>
    <n v="9941"/>
    <s v="CO_Larim_2020g~Loveland Rural Fire Protection District Ballot Issue 6A (Vote For 1)"/>
    <x v="0"/>
  </r>
  <r>
    <x v="11"/>
    <n v="1"/>
    <n v="33467"/>
    <n v="23419"/>
    <n v="10048"/>
    <s v="CO_Larim_2020g~w/Weld__State Representative - District 49 (Vote For 1)"/>
    <x v="0"/>
  </r>
  <r>
    <x v="11"/>
    <n v="1"/>
    <n v="111030"/>
    <n v="99920"/>
    <n v="11110"/>
    <s v="CO_Larim_2020g~Larimer County Commissioner - District 3 (Vote For 1)"/>
    <x v="0"/>
  </r>
  <r>
    <x v="11"/>
    <n v="1"/>
    <n v="113409"/>
    <n v="99793"/>
    <n v="13616"/>
    <s v="CO_Larim_2020g~Larimer County Commissioner - District 2 (Vote For 1)"/>
    <x v="0"/>
  </r>
  <r>
    <x v="11"/>
    <n v="1"/>
    <n v="112394"/>
    <n v="98250"/>
    <n v="14144"/>
    <s v="CO_Larim_2020g~District Attorney - 8th Judicial District (Vote For 1)"/>
    <x v="0"/>
  </r>
  <r>
    <x v="11"/>
    <n v="1"/>
    <n v="36140"/>
    <n v="20528"/>
    <n v="15612"/>
    <s v="CO_Larim_2020g~State Representative - District 52 (Vote For 1)"/>
    <x v="0"/>
  </r>
  <r>
    <x v="11"/>
    <n v="1"/>
    <n v="32184"/>
    <n v="10543"/>
    <n v="21641"/>
    <s v="CO_Larim_2020g~State Representative - District 53 (Vote For 1)"/>
    <x v="0"/>
  </r>
  <r>
    <x v="11"/>
    <n v="1"/>
    <n v="104777"/>
    <n v="75187"/>
    <n v="29590"/>
    <s v="CO_Larim_2020g~District Court Judge - 8th Judicial District - Villaseñor (Vote For 1)"/>
    <x v="0"/>
  </r>
  <r>
    <x v="11"/>
    <n v="1"/>
    <n v="63409"/>
    <n v="31724"/>
    <n v="31685"/>
    <s v="CO_Larim_2020g~State Senator - District 14 (Vote For 1)"/>
    <x v="0"/>
  </r>
  <r>
    <x v="11"/>
    <n v="1"/>
    <n v="133273"/>
    <n v="44042"/>
    <n v="89231"/>
    <s v="CO_Larim_2020g~Larimer County Court Judge - Ecton (Vote For 1)"/>
    <x v="0"/>
  </r>
  <r>
    <x v="11"/>
    <n v="1"/>
    <n v="137294"/>
    <n v="42974"/>
    <n v="94320"/>
    <s v="CO_Larim_2020g~District Court Judge - 8th Judicial District - Blanco (Vote For 1)"/>
    <x v="0"/>
  </r>
  <r>
    <x v="11"/>
    <n v="1"/>
    <n v="138045"/>
    <n v="41260"/>
    <n v="96785"/>
    <s v="CO_Larim_2020g~Larimer County Court Judge - Berenato (Vote For 1)"/>
    <x v="0"/>
  </r>
  <r>
    <x v="11"/>
    <n v="1"/>
    <n v="138371"/>
    <n v="41176"/>
    <n v="97195"/>
    <s v="CO_Larim_2020g~District Court Judge - 8th Judicial District - Jouard (Vote For 1)"/>
    <x v="0"/>
  </r>
  <r>
    <x v="11"/>
    <n v="1"/>
    <n v="139537"/>
    <n v="40620"/>
    <n v="98917"/>
    <s v="CO_Larim_2020g~District Court Judge - 8th Judicial District - Field (Vote For 1)"/>
    <x v="0"/>
  </r>
  <r>
    <x v="11"/>
    <n v="1"/>
    <n v="139207"/>
    <n v="38459"/>
    <n v="100748"/>
    <s v="CO_Larim_2020g~Larimer County Court Judge - Lehman (Vote For 1)"/>
    <x v="0"/>
  </r>
  <r>
    <x v="12"/>
    <n v="1"/>
    <n v="1590299"/>
    <n v="1533313"/>
    <n v="56986"/>
    <s v="CO_state_2020g~Proposition 114 (STATUTORY) (Vote For 1)"/>
    <x v="0"/>
  </r>
  <r>
    <x v="12"/>
    <n v="1"/>
    <n v="1586973"/>
    <n v="1444553"/>
    <n v="142420"/>
    <s v="CO_state_2020g~Amendment C (CONSTITUTIONAL) (Vote For 1)"/>
    <x v="0"/>
  </r>
  <r>
    <x v="12"/>
    <n v="1"/>
    <n v="1644716"/>
    <n v="1498500"/>
    <n v="146216"/>
    <s v="CO_state_2020g~Proposition 113 (STATUTORY) (Vote For 1)"/>
    <x v="0"/>
  </r>
  <r>
    <x v="12"/>
    <n v="1"/>
    <n v="1573114"/>
    <n v="1420445"/>
    <n v="152669"/>
    <s v="CO_state_2020g~Proposition 117 (STATUTORY) (Vote For 1)"/>
    <x v="0"/>
  </r>
  <r>
    <x v="12"/>
    <n v="1"/>
    <n v="1731114"/>
    <n v="1429492"/>
    <n v="301622"/>
    <s v="CO_state_2020g~United States Senator (Vote For 1)"/>
    <x v="0"/>
  </r>
  <r>
    <x v="12"/>
    <n v="1"/>
    <n v="1804352"/>
    <n v="1364607"/>
    <n v="439745"/>
    <s v="CO_state_2020g~Presidential Electors (Vote For 1)"/>
    <x v="0"/>
  </r>
  <r>
    <x v="12"/>
    <n v="1"/>
    <n v="1740395"/>
    <n v="1285136"/>
    <n v="455259"/>
    <s v="CO_state_2020g~Amendment B (CONSTITUTIONAL) (Vote For 1)"/>
    <x v="0"/>
  </r>
  <r>
    <x v="12"/>
    <n v="1"/>
    <n v="1804546"/>
    <n v="1320386"/>
    <n v="484160"/>
    <s v="CO_state_2020g~Proposition 118 (STATUTORY) (Vote For 1)"/>
    <x v="0"/>
  </r>
  <r>
    <x v="12"/>
    <n v="1"/>
    <n v="1821702"/>
    <n v="1327025"/>
    <n v="494677"/>
    <s v="CO_state_2020g~Proposition 116 (STATUTORY) (Vote For 1)"/>
    <x v="0"/>
  </r>
  <r>
    <x v="12"/>
    <n v="1"/>
    <n v="1859479"/>
    <n v="1292787"/>
    <n v="566692"/>
    <s v="CO_state_2020g~Proposition 115 (STATUTORY) (Vote For 1)"/>
    <x v="0"/>
  </r>
  <r>
    <x v="12"/>
    <n v="1"/>
    <n v="1854153"/>
    <n v="1208414"/>
    <n v="645739"/>
    <s v="CO_state_2020g~Amendment 77 (CONSTITUTIONAL) (Vote For 1)"/>
    <x v="0"/>
  </r>
  <r>
    <x v="12"/>
    <n v="1"/>
    <n v="1985239"/>
    <n v="1171137"/>
    <n v="814102"/>
    <s v="CO_state_2020g~Amendment 76 (CONSTITUTIONAL) (Vote For 1)"/>
    <x v="0"/>
  </r>
  <r>
    <x v="12"/>
    <n v="1"/>
    <n v="1851374"/>
    <n v="790501"/>
    <n v="1060873"/>
    <s v="CO_state_2020g~Colorado Court of Appeals Judge - Welling (Vote For 1)"/>
    <x v="0"/>
  </r>
  <r>
    <x v="12"/>
    <n v="1"/>
    <n v="1874419"/>
    <n v="773366"/>
    <n v="1101053"/>
    <s v="CO_state_2020g~Colorado Court of Appeals Judge - Tow (Vote For 1)"/>
    <x v="0"/>
  </r>
  <r>
    <x v="12"/>
    <n v="1"/>
    <n v="2134608"/>
    <n v="1025182"/>
    <n v="1109426"/>
    <s v="CO_state_2020g~Proposition EE (STATUTORY) (Vote For 1)"/>
    <x v="0"/>
  </r>
  <r>
    <x v="12"/>
    <n v="1"/>
    <n v="1966512"/>
    <n v="710863"/>
    <n v="1255649"/>
    <s v="CO_state_2020g~Justice of the Colorado Supreme Court - Samour (Vote For 1)"/>
    <x v="0"/>
  </r>
  <r>
    <x v="12"/>
    <n v="1"/>
    <n v="2021131"/>
    <n v="689375"/>
    <n v="1331756"/>
    <s v="CO_state_2020g~Justice of the Colorado Supreme Court - Hart (Vote For 1)"/>
    <x v="0"/>
  </r>
  <r>
    <x v="13"/>
    <n v="3"/>
    <n v="114"/>
    <n v="113"/>
    <n v="1"/>
    <s v="CO_Weld__2020g~Town of Gilcrest Trustee (Vote For 3)"/>
    <x v="0"/>
  </r>
  <r>
    <x v="13"/>
    <n v="3"/>
    <n v="311"/>
    <n v="297"/>
    <n v="14"/>
    <s v="CO_Weld__2020g~Town of Hudson Town Council (Vote For 3)"/>
    <x v="0"/>
  </r>
  <r>
    <x v="13"/>
    <n v="1"/>
    <n v="1713"/>
    <n v="1692"/>
    <n v="21"/>
    <s v="CO_Weld__2020g~Town of Eaton Ballot Issue 2H (Vote For 1)"/>
    <x v="0"/>
  </r>
  <r>
    <x v="13"/>
    <n v="1"/>
    <n v="139"/>
    <n v="112"/>
    <n v="27"/>
    <s v="CO_Weld__2020g~Prairie School District RE-11J Ballot Question 5E (Vote For 1)"/>
    <x v="0"/>
  </r>
  <r>
    <x v="13"/>
    <n v="1"/>
    <n v="2691"/>
    <n v="2614"/>
    <n v="77"/>
    <s v="CO_Weld__2020g~Fort Lupton Fire Protection District Ballot Issue 6D (Vote For 1)"/>
    <x v="0"/>
  </r>
  <r>
    <x v="13"/>
    <n v="1"/>
    <n v="2296"/>
    <n v="2175"/>
    <n v="121"/>
    <s v="CO_Weld__2020g~Hudson Fire Protection District Ballot Issue 6A (Vote For 1)"/>
    <x v="0"/>
  </r>
  <r>
    <x v="13"/>
    <n v="1"/>
    <n v="1183"/>
    <n v="907"/>
    <n v="276"/>
    <s v="CO_Weld__2020g~Town of Lochbuie Mayor (Vote For 1)"/>
    <x v="0"/>
  </r>
  <r>
    <x v="13"/>
    <n v="1"/>
    <n v="1643"/>
    <n v="1345"/>
    <n v="298"/>
    <s v="CO_Weld__2020g~Town of Mead Ballot Issue 2E (Vote For 1)"/>
    <x v="0"/>
  </r>
  <r>
    <x v="13"/>
    <n v="1"/>
    <n v="1653"/>
    <n v="1319"/>
    <n v="334"/>
    <s v="CO_Weld__2020g~Town of Mead Ballot Issue 2D (Vote For 1)"/>
    <x v="0"/>
  </r>
  <r>
    <x v="13"/>
    <n v="2"/>
    <n v="1172"/>
    <n v="802"/>
    <n v="370"/>
    <s v="CO_Weld__2020g~City of Dacono Council Members (Vote For 2)"/>
    <x v="0"/>
  </r>
  <r>
    <x v="13"/>
    <n v="1"/>
    <n v="1864"/>
    <n v="1490"/>
    <n v="374"/>
    <s v="CO_Weld__2020g~City of Fort Lupton Ballot Issue 2B (Vote For 1)"/>
    <x v="0"/>
  </r>
  <r>
    <x v="13"/>
    <n v="1"/>
    <n v="2029"/>
    <n v="1355"/>
    <n v="674"/>
    <s v="CO_Weld__2020g~City of Fort Lupton Ballot Question 2C (Vote For 1)"/>
    <x v="0"/>
  </r>
  <r>
    <x v="13"/>
    <n v="1"/>
    <n v="6823"/>
    <n v="5781"/>
    <n v="1042"/>
    <s v="CO_Weld__2020g~w/Larim_Weld County School District RE-5J Ballot Issue 5A (Vote For 1)"/>
    <x v="0"/>
  </r>
  <r>
    <x v="13"/>
    <n v="1"/>
    <n v="2340"/>
    <n v="985"/>
    <n v="1355"/>
    <s v="CO_Weld__2020g~City of Fort Lupton Ballot Issue 2A (Vote For 1)"/>
    <x v="0"/>
  </r>
  <r>
    <x v="13"/>
    <n v="1"/>
    <n v="6988"/>
    <n v="5616"/>
    <n v="1372"/>
    <s v="CO_Weld__2020g~w/Larim_Weld County School District RE-5J Ballot Issue 5B (Vote For 1)"/>
    <x v="0"/>
  </r>
  <r>
    <x v="13"/>
    <n v="1"/>
    <n v="3146"/>
    <n v="1748"/>
    <n v="1398"/>
    <s v="CO_Weld__2020g~Weld County School District RE-1 Ballot Question 4A (Vote For 1)"/>
    <x v="0"/>
  </r>
  <r>
    <x v="13"/>
    <n v="1"/>
    <n v="9305"/>
    <n v="7810"/>
    <n v="1495"/>
    <s v="CO_Weld__2020g~Frederick-Firestone Fire Protection District Ballot Issue 6B (Vote For 1)"/>
    <x v="0"/>
  </r>
  <r>
    <x v="13"/>
    <n v="1"/>
    <n v="8237"/>
    <n v="6386"/>
    <n v="1851"/>
    <s v="CO_Weld__2020g~w/Larim_Town of Windsor Ballot Issue 3A (Vote For 1)"/>
    <x v="0"/>
  </r>
  <r>
    <x v="13"/>
    <n v="1"/>
    <n v="19960"/>
    <n v="17880"/>
    <n v="2080"/>
    <s v="CO_Weld__2020g~Weld County Council - District 1 (Vote For 1)"/>
    <x v="0"/>
  </r>
  <r>
    <x v="13"/>
    <n v="1"/>
    <n v="3128"/>
    <n v="818"/>
    <n v="2310"/>
    <s v="CO_Weld__2020g~Town of Milliken Ballot Question 2F (Vote For 1)"/>
    <x v="0"/>
  </r>
  <r>
    <x v="13"/>
    <n v="1"/>
    <n v="3364"/>
    <n v="972"/>
    <n v="2392"/>
    <s v="CO_Weld__2020g~Town of Severance Ballot Question 2G (Vote For 1)"/>
    <x v="0"/>
  </r>
  <r>
    <x v="13"/>
    <n v="1"/>
    <n v="4455"/>
    <n v="2047"/>
    <n v="2408"/>
    <s v="CO_Weld__2020g~Weld RE-8 School District Ballot Issue 5D (Vote For 1)"/>
    <x v="0"/>
  </r>
  <r>
    <x v="13"/>
    <n v="1"/>
    <n v="5170"/>
    <n v="2434"/>
    <n v="2736"/>
    <s v="CO_Weld__2020g~w/Adams_Weld County School District RE-3J Ballot Issue 5C (Vote For 1)"/>
    <x v="0"/>
  </r>
  <r>
    <x v="13"/>
    <n v="1"/>
    <n v="16402"/>
    <n v="9992"/>
    <n v="6410"/>
    <s v="CO_Weld__2020g~State Representative - District 50 (Vote For 1)"/>
    <x v="0"/>
  </r>
  <r>
    <x v="13"/>
    <n v="1"/>
    <n v="26358"/>
    <n v="18819"/>
    <n v="7539"/>
    <s v="CO_Weld__2020g~Weld County Commissioner - District 3 (Vote For 1)"/>
    <x v="0"/>
  </r>
  <r>
    <x v="13"/>
    <n v="1"/>
    <n v="66215"/>
    <n v="55239"/>
    <n v="10976"/>
    <s v="CO_Weld__2020g~Weld County Council - At-Large (Vote For 1)"/>
    <x v="0"/>
  </r>
  <r>
    <x v="13"/>
    <n v="1"/>
    <n v="14193"/>
    <n v="3142"/>
    <n v="11051"/>
    <s v="CO_Weld__2020g~Frederick-Firestone Fire Protection District Ballot Question 6C (Vote For 1)"/>
    <x v="0"/>
  </r>
  <r>
    <x v="13"/>
    <n v="1"/>
    <n v="35064"/>
    <n v="20906"/>
    <n v="14158"/>
    <s v="CO_Weld__2020g~State Representative - District 63 (Vote For 1)"/>
    <x v="0"/>
  </r>
  <r>
    <x v="13"/>
    <n v="1"/>
    <n v="33669"/>
    <n v="17564"/>
    <n v="16105"/>
    <s v="CO_Weld__2020g~Weld County Commissioner - District 1 (Vote For 1)"/>
    <x v="0"/>
  </r>
  <r>
    <x v="13"/>
    <n v="1"/>
    <n v="37670"/>
    <n v="18802"/>
    <n v="18868"/>
    <s v="CO_Weld__2020g~State Representative - District 48 (Vote For 1)"/>
    <x v="0"/>
  </r>
  <r>
    <x v="13"/>
    <n v="1"/>
    <n v="31577"/>
    <n v="11992"/>
    <n v="19585"/>
    <s v="CO_Weld__2020g~City of Greeley Ballot Issue 2I (Vote For 1)"/>
    <x v="0"/>
  </r>
  <r>
    <x v="13"/>
    <n v="1"/>
    <n v="99460"/>
    <n v="59782"/>
    <n v="39678"/>
    <s v="CO_Weld__2020g~Weld County Commissioner - At-Large (Vote For 1)"/>
    <x v="0"/>
  </r>
  <r>
    <x v="13"/>
    <n v="1"/>
    <n v="99100"/>
    <n v="37886"/>
    <n v="61214"/>
    <s v="CO_Weld__2020g~District Court Judge - 19th Judicial District - Kerns (Vote For 1)"/>
    <x v="0"/>
  </r>
  <r>
    <x v="13"/>
    <n v="1"/>
    <n v="100730"/>
    <n v="36667"/>
    <n v="64063"/>
    <s v="CO_Weld__2020g~District Court Judge - 19th Judicial District - Kopcow (Vote For 1)"/>
    <x v="0"/>
  </r>
  <r>
    <x v="14"/>
    <n v="3"/>
    <n v="5"/>
    <n v="5"/>
    <n v="0"/>
    <s v="PA_Alleg_2019g~Gen-member of council trafford (vote for 3)"/>
    <x v="1"/>
  </r>
  <r>
    <x v="14"/>
    <n v="3"/>
    <n v="190"/>
    <n v="189"/>
    <n v="1"/>
    <s v="PA_Alleg_2019g~Gen-member of council bell acres (vote for 3)"/>
    <x v="1"/>
  </r>
  <r>
    <x v="14"/>
    <n v="3"/>
    <n v="1174"/>
    <n v="1173"/>
    <n v="1"/>
    <s v="PA_Alleg_2019g~Gen-member of council jefferson hills (vote for 3)"/>
    <x v="1"/>
  </r>
  <r>
    <x v="14"/>
    <n v="4"/>
    <n v="25"/>
    <n v="24"/>
    <n v="1"/>
    <s v="PA_Alleg_2019g~Gen-member of council mcdonald (vote for 4)"/>
    <x v="1"/>
  </r>
  <r>
    <x v="14"/>
    <n v="5"/>
    <n v="3"/>
    <n v="2"/>
    <n v="1"/>
    <s v="PA_Alleg_2019g~Gen-school director norwin (vote for 5)"/>
    <x v="1"/>
  </r>
  <r>
    <x v="14"/>
    <n v="1"/>
    <n v="201"/>
    <n v="200"/>
    <n v="1"/>
    <s v="PA_Alleg_2019g~Gen-supervisor indiana district 4 (vote for 1)"/>
    <x v="1"/>
  </r>
  <r>
    <x v="14"/>
    <n v="1"/>
    <n v="132"/>
    <n v="130"/>
    <n v="2"/>
    <s v="PA_Alleg_2019g~Gen-auditor frazer (vote for 1)"/>
    <x v="1"/>
  </r>
  <r>
    <x v="14"/>
    <n v="1"/>
    <n v="248"/>
    <n v="246"/>
    <n v="2"/>
    <s v="PA_Alleg_2019g~Gen-member of council coraopolis ward 3 (vote for 1)"/>
    <x v="1"/>
  </r>
  <r>
    <x v="14"/>
    <n v="2"/>
    <n v="224"/>
    <n v="221"/>
    <n v="3"/>
    <s v="PA_Alleg_2019g~Gen-commissioner at-large crescent (vote for 2)"/>
    <x v="1"/>
  </r>
  <r>
    <x v="14"/>
    <n v="3"/>
    <n v="134"/>
    <n v="131"/>
    <n v="3"/>
    <s v="PA_Alleg_2019g~Gen-member of council rosslyn farms (vote for 3)"/>
    <x v="1"/>
  </r>
  <r>
    <x v="14"/>
    <n v="3"/>
    <n v="208"/>
    <n v="204"/>
    <n v="4"/>
    <s v="PA_Alleg_2019g~Gen-commissioner leet (vote for 3)"/>
    <x v="1"/>
  </r>
  <r>
    <x v="14"/>
    <n v="5"/>
    <n v="2265"/>
    <n v="2261"/>
    <n v="4"/>
    <s v="PA_Alleg_2019g~Gen-school director hampton (vote for 5)"/>
    <x v="1"/>
  </r>
  <r>
    <x v="14"/>
    <n v="5"/>
    <n v="1234"/>
    <n v="1230"/>
    <n v="4"/>
    <s v="PA_Alleg_2019g~Gen-school director riverview (vote for 5)"/>
    <x v="1"/>
  </r>
  <r>
    <x v="14"/>
    <n v="3"/>
    <n v="239"/>
    <n v="234"/>
    <n v="5"/>
    <s v="PA_Alleg_2019g~Gen-member of council mckees rocks ward 3 (vote for 3)"/>
    <x v="1"/>
  </r>
  <r>
    <x v="14"/>
    <n v="2"/>
    <n v="207"/>
    <n v="199"/>
    <n v="8"/>
    <s v="PA_Alleg_2019g~Gen-member of council dravosburg (vote for 2)"/>
    <x v="1"/>
  </r>
  <r>
    <x v="14"/>
    <n v="2"/>
    <n v="569"/>
    <n v="559"/>
    <n v="10"/>
    <s v="PA_Alleg_2019g~Gen-member of council duquesne (vote for 2)"/>
    <x v="1"/>
  </r>
  <r>
    <x v="14"/>
    <n v="1"/>
    <n v="457"/>
    <n v="445"/>
    <n v="12"/>
    <s v="PA_Alleg_2019g~Gen-commissioner ross ward 5 (vote for 1)"/>
    <x v="1"/>
  </r>
  <r>
    <x v="14"/>
    <n v="1"/>
    <n v="507"/>
    <n v="495"/>
    <n v="12"/>
    <s v="PA_Alleg_2019g~Gen-member of council mccandless ward 1 (vote for 1)"/>
    <x v="1"/>
  </r>
  <r>
    <x v="14"/>
    <n v="1"/>
    <n v="505"/>
    <n v="493"/>
    <n v="12"/>
    <s v="PA_Alleg_2019g~Gen-member of council mccandless ward 7 (vote for 1)"/>
    <x v="1"/>
  </r>
  <r>
    <x v="14"/>
    <n v="1"/>
    <n v="180"/>
    <n v="166"/>
    <n v="14"/>
    <s v="PA_Alleg_2019g~Gen-school director clairton region 2 (vote for 1)"/>
    <x v="1"/>
  </r>
  <r>
    <x v="14"/>
    <n v="1"/>
    <n v="232"/>
    <n v="217"/>
    <n v="15"/>
    <s v="PA_Alleg_2019g~Gen-member of council coraopolis ward 1 (vote for 1)"/>
    <x v="1"/>
  </r>
  <r>
    <x v="14"/>
    <n v="3"/>
    <n v="998"/>
    <n v="983"/>
    <n v="15"/>
    <s v="PA_Alleg_2019g~Gen-member of council pleasant hills (vote for 3)"/>
    <x v="1"/>
  </r>
  <r>
    <x v="14"/>
    <n v="1"/>
    <n v="135"/>
    <n v="120"/>
    <n v="15"/>
    <s v="PA_Alleg_2019g~Gen-member of council tarentum ward 3 (vote for 1)"/>
    <x v="1"/>
  </r>
  <r>
    <x v="14"/>
    <n v="5"/>
    <n v="34"/>
    <n v="18"/>
    <n v="16"/>
    <s v="PA_Alleg_2019g~Gen-school director fort cherry (vote for 5)"/>
    <x v="1"/>
  </r>
  <r>
    <x v="14"/>
    <n v="1"/>
    <n v="718"/>
    <n v="700"/>
    <n v="18"/>
    <s v="PA_Alleg_2019g~Gen-member of council franklin park ward 2 (vote for 1)"/>
    <x v="1"/>
  </r>
  <r>
    <x v="14"/>
    <n v="4"/>
    <n v="419"/>
    <n v="393"/>
    <n v="26"/>
    <s v="PA_Alleg_2019g~Gen-member of council glassport (vote for 4)"/>
    <x v="1"/>
  </r>
  <r>
    <x v="14"/>
    <n v="3"/>
    <n v="989"/>
    <n v="960"/>
    <n v="29"/>
    <s v="PA_Alleg_2019g~Gen-member of council white oak (vote for 3)"/>
    <x v="1"/>
  </r>
  <r>
    <x v="14"/>
    <n v="3"/>
    <n v="2771"/>
    <n v="2739"/>
    <n v="32"/>
    <s v="PA_Alleg_2019g~Gen-member of council plum (vote for 3)"/>
    <x v="1"/>
  </r>
  <r>
    <x v="14"/>
    <n v="1"/>
    <n v="2816"/>
    <n v="2783"/>
    <n v="33"/>
    <s v="PA_Alleg_2019g~Gen-school director plum (vote for 1)"/>
    <x v="1"/>
  </r>
  <r>
    <x v="14"/>
    <n v="2"/>
    <n v="569"/>
    <n v="536"/>
    <n v="33"/>
    <s v="PA_Alleg_2019g~Gen-school director quaker valley region 2 (vote for 2)"/>
    <x v="1"/>
  </r>
  <r>
    <x v="14"/>
    <n v="3"/>
    <n v="719"/>
    <n v="685"/>
    <n v="34"/>
    <s v="PA_Alleg_2019g~Gen-member of council crafton (vote for 3)"/>
    <x v="1"/>
  </r>
  <r>
    <x v="14"/>
    <n v="3"/>
    <n v="86"/>
    <n v="49"/>
    <n v="37"/>
    <s v="PA_Alleg_2019g~Gen-member of council glen osborne (vote for 3)"/>
    <x v="1"/>
  </r>
  <r>
    <x v="14"/>
    <n v="1"/>
    <n v="173"/>
    <n v="136"/>
    <n v="37"/>
    <s v="PA_Alleg_2019g~Gen-supervisor indiana district 1 (vote for 1)"/>
    <x v="1"/>
  </r>
  <r>
    <x v="14"/>
    <n v="3"/>
    <n v="564"/>
    <n v="526"/>
    <n v="38"/>
    <s v="PA_Alleg_2019g~Gen-member of council bridgeville (vote for 3)"/>
    <x v="1"/>
  </r>
  <r>
    <x v="14"/>
    <n v="3"/>
    <n v="896"/>
    <n v="858"/>
    <n v="38"/>
    <s v="PA_Alleg_2019g~Gen-member of council fox chapel (vote for 3)"/>
    <x v="1"/>
  </r>
  <r>
    <x v="14"/>
    <n v="1"/>
    <n v="242"/>
    <n v="202"/>
    <n v="40"/>
    <s v="PA_Alleg_2019g~Gen-commissioner scott ward 3 (vote for 1)"/>
    <x v="1"/>
  </r>
  <r>
    <x v="14"/>
    <n v="3"/>
    <n v="265"/>
    <n v="218"/>
    <n v="47"/>
    <s v="PA_Alleg_2019g~Gen-commissioner springdale township (vote for 3)"/>
    <x v="1"/>
  </r>
  <r>
    <x v="14"/>
    <n v="1"/>
    <n v="160"/>
    <n v="111"/>
    <n v="49"/>
    <s v="PA_Alleg_2019g~Gen-member of council tarentum ward 1 (vote for 1)"/>
    <x v="1"/>
  </r>
  <r>
    <x v="14"/>
    <n v="1"/>
    <n v="207"/>
    <n v="157"/>
    <n v="50"/>
    <s v="PA_Alleg_2019g~Gen-member of council sewickley ward 1 (vote for 1)"/>
    <x v="1"/>
  </r>
  <r>
    <x v="14"/>
    <n v="2"/>
    <n v="2119"/>
    <n v="2068"/>
    <n v="51"/>
    <s v="PA_Alleg_2019g~Gen-member of council hampton (vote for 2)"/>
    <x v="1"/>
  </r>
  <r>
    <x v="14"/>
    <n v="1"/>
    <n v="582"/>
    <n v="528"/>
    <n v="54"/>
    <s v="PA_Alleg_2019g~Gen-member of council franklin park ward 3 (vote for 1)"/>
    <x v="1"/>
  </r>
  <r>
    <x v="14"/>
    <n v="1"/>
    <n v="183"/>
    <n v="128"/>
    <n v="55"/>
    <s v="PA_Alleg_2019g~Gen-commissioner at-large neville (vote for 1)"/>
    <x v="1"/>
  </r>
  <r>
    <x v="14"/>
    <n v="5"/>
    <n v="6604"/>
    <n v="6544"/>
    <n v="60"/>
    <s v="PA_Alleg_2019g~Gen-school director north allegheny (vote for 5)"/>
    <x v="1"/>
  </r>
  <r>
    <x v="14"/>
    <n v="1"/>
    <n v="511"/>
    <n v="446"/>
    <n v="65"/>
    <s v="PA_Alleg_2019g~Gen-commissioner ross ward 9 (vote for 1)"/>
    <x v="1"/>
  </r>
  <r>
    <x v="14"/>
    <n v="4"/>
    <n v="1447"/>
    <n v="1382"/>
    <n v="65"/>
    <s v="PA_Alleg_2019g~Gen-commissioner south fayette (vote for 4)"/>
    <x v="1"/>
  </r>
  <r>
    <x v="14"/>
    <n v="1"/>
    <n v="595"/>
    <n v="529"/>
    <n v="66"/>
    <s v="PA_Alleg_2019g~Gen-commissioner upper st clair ward 3 (vote for 1)"/>
    <x v="1"/>
  </r>
  <r>
    <x v="14"/>
    <n v="1"/>
    <n v="512"/>
    <n v="442"/>
    <n v="70"/>
    <s v="PA_Alleg_2019g~Gen-commissioner shaler ward 1 (vote for 1)"/>
    <x v="1"/>
  </r>
  <r>
    <x v="14"/>
    <n v="1"/>
    <n v="614"/>
    <n v="539"/>
    <n v="75"/>
    <s v="PA_Alleg_2019g~Gen-member of council mccandless ward 3 (vote for 1)"/>
    <x v="1"/>
  </r>
  <r>
    <x v="14"/>
    <n v="1"/>
    <n v="708"/>
    <n v="633"/>
    <n v="75"/>
    <s v="PA_Alleg_2019g~Gen-school director pine richland region 3 (vote for 1)"/>
    <x v="1"/>
  </r>
  <r>
    <x v="14"/>
    <n v="1"/>
    <n v="205"/>
    <n v="124"/>
    <n v="81"/>
    <s v="PA_Alleg_2019g~Gen-member of council sewickley ward 3 (vote for 1)"/>
    <x v="1"/>
  </r>
  <r>
    <x v="14"/>
    <n v="5"/>
    <n v="1429"/>
    <n v="1346"/>
    <n v="83"/>
    <s v="PA_Alleg_2019g~Gen-school director deer lakes (vote for 5)"/>
    <x v="1"/>
  </r>
  <r>
    <x v="14"/>
    <n v="3"/>
    <n v="377"/>
    <n v="288"/>
    <n v="89"/>
    <s v="PA_Alleg_2019g~Gen-member of council springdale borough (vote for 3)"/>
    <x v="1"/>
  </r>
  <r>
    <x v="14"/>
    <n v="1"/>
    <n v="333"/>
    <n v="244"/>
    <n v="89"/>
    <s v="PA_Alleg_2019g~Gen-supervisor fawn (vote for 1)"/>
    <x v="1"/>
  </r>
  <r>
    <x v="14"/>
    <n v="5"/>
    <n v="1078"/>
    <n v="987"/>
    <n v="91"/>
    <s v="PA_Alleg_2019g~Gen-school director south allegheny (vote for 5)"/>
    <x v="1"/>
  </r>
  <r>
    <x v="14"/>
    <n v="1"/>
    <n v="520"/>
    <n v="425"/>
    <n v="95"/>
    <s v="PA_Alleg_2019g~Gen-commissioner ross ward 3 (vote for 1)"/>
    <x v="1"/>
  </r>
  <r>
    <x v="14"/>
    <n v="5"/>
    <n v="2760"/>
    <n v="2654"/>
    <n v="106"/>
    <s v="PA_Alleg_2019g~Gen-school director plum (vote for 5)"/>
    <x v="1"/>
  </r>
  <r>
    <x v="14"/>
    <n v="1"/>
    <n v="319"/>
    <n v="208"/>
    <n v="111"/>
    <s v="PA_Alleg_2019g~Gen-member of council bellevue ward 1 (vote for 1)"/>
    <x v="1"/>
  </r>
  <r>
    <x v="14"/>
    <n v="1"/>
    <n v="1566"/>
    <n v="1454"/>
    <n v="112"/>
    <s v="PA_Alleg_2019g~Gen-school director west allegheny region 2 (vote for 1)"/>
    <x v="1"/>
  </r>
  <r>
    <x v="14"/>
    <n v="5"/>
    <n v="1160"/>
    <n v="1047"/>
    <n v="113"/>
    <s v="PA_Alleg_2019g~Gen-school director allegheny valley (vote for 5)"/>
    <x v="1"/>
  </r>
  <r>
    <x v="14"/>
    <n v="1"/>
    <n v="328"/>
    <n v="207"/>
    <n v="121"/>
    <s v="PA_Alleg_2019g~Gen-member of council at-large tarentum (vote for 1)"/>
    <x v="1"/>
  </r>
  <r>
    <x v="14"/>
    <n v="1"/>
    <n v="186"/>
    <n v="65"/>
    <n v="121"/>
    <s v="PA_Alleg_2019g~Gen-school director east allegheny region 1 (vote for 1)"/>
    <x v="1"/>
  </r>
  <r>
    <x v="14"/>
    <n v="1"/>
    <n v="313"/>
    <n v="190"/>
    <n v="123"/>
    <s v="PA_Alleg_2019g~Gen-commissioner elizabeth township ward 1 (vote for 1)"/>
    <x v="1"/>
  </r>
  <r>
    <x v="14"/>
    <n v="1"/>
    <n v="216"/>
    <n v="92"/>
    <n v="124"/>
    <s v="PA_Alleg_2019g~Gen-commissioner scott ward 1 (vote for 1)"/>
    <x v="1"/>
  </r>
  <r>
    <x v="14"/>
    <n v="1"/>
    <n v="246"/>
    <n v="111"/>
    <n v="135"/>
    <s v="PA_Alleg_2019g~Gen-braddock home rule charter (vote for 1)"/>
    <x v="1"/>
  </r>
  <r>
    <x v="14"/>
    <n v="1"/>
    <n v="620"/>
    <n v="481"/>
    <n v="139"/>
    <s v="PA_Alleg_2019g~Gen-member of council mccandless ward 5 (vote for 1)"/>
    <x v="1"/>
  </r>
  <r>
    <x v="14"/>
    <n v="1"/>
    <n v="1031"/>
    <n v="891"/>
    <n v="140"/>
    <s v="PA_Alleg_2019g~Gen-member of council oakmont (vote for 1)"/>
    <x v="1"/>
  </r>
  <r>
    <x v="14"/>
    <n v="3"/>
    <n v="1188"/>
    <n v="1047"/>
    <n v="141"/>
    <s v="PA_Alleg_2019g~Gen-supervisor pine (vote for 3)"/>
    <x v="1"/>
  </r>
  <r>
    <x v="14"/>
    <n v="1"/>
    <n v="1005"/>
    <n v="856"/>
    <n v="149"/>
    <s v="PA_Alleg_2019g~Gen-member of council white oak (vote for 1)"/>
    <x v="1"/>
  </r>
  <r>
    <x v="14"/>
    <n v="3"/>
    <n v="1036"/>
    <n v="882"/>
    <n v="154"/>
    <s v="PA_Alleg_2019g~Gen-member of council oakmont (vote for 3)"/>
    <x v="1"/>
  </r>
  <r>
    <x v="14"/>
    <n v="1"/>
    <n v="1019"/>
    <n v="864"/>
    <n v="155"/>
    <s v="PA_Alleg_2019g~Gen-member of council pleasant hills (vote for 1)"/>
    <x v="1"/>
  </r>
  <r>
    <x v="14"/>
    <n v="1"/>
    <n v="284"/>
    <n v="128"/>
    <n v="156"/>
    <s v="PA_Alleg_2019g~Gen-commissioner elizabeth township ward 7 (vote for 1)"/>
    <x v="1"/>
  </r>
  <r>
    <x v="14"/>
    <n v="1"/>
    <n v="533"/>
    <n v="374"/>
    <n v="159"/>
    <s v="PA_Alleg_2019g~Gen-commissioner ross ward 7 (vote for 1)"/>
    <x v="1"/>
  </r>
  <r>
    <x v="14"/>
    <n v="3"/>
    <n v="321"/>
    <n v="150"/>
    <n v="171"/>
    <s v="PA_Alleg_2019g~Gen-member of council pitcairn (vote for 3)"/>
    <x v="1"/>
  </r>
  <r>
    <x v="14"/>
    <n v="2"/>
    <n v="275"/>
    <n v="101"/>
    <n v="174"/>
    <s v="PA_Alleg_2019g~Gen-member of council sewickley ward 2 (vote for 2)"/>
    <x v="1"/>
  </r>
  <r>
    <x v="14"/>
    <n v="1"/>
    <n v="2770"/>
    <n v="2589"/>
    <n v="181"/>
    <s v="PA_Alleg_2019g~Gen-commissioner at-large upper st clair (vote for 1)"/>
    <x v="1"/>
  </r>
  <r>
    <x v="14"/>
    <n v="1"/>
    <n v="794"/>
    <n v="610"/>
    <n v="184"/>
    <s v="PA_Alleg_2019g~Gen-member of council crafton (vote for 1)"/>
    <x v="1"/>
  </r>
  <r>
    <x v="14"/>
    <n v="3"/>
    <n v="415"/>
    <n v="230"/>
    <n v="185"/>
    <s v="PA_Alleg_2019g~Gen-member of council ingram (vote for 3)"/>
    <x v="1"/>
  </r>
  <r>
    <x v="14"/>
    <n v="1"/>
    <n v="356"/>
    <n v="157"/>
    <n v="199"/>
    <s v="PA_Alleg_2019g~Gen-member of council bellevue ward 2 (vote for 1)"/>
    <x v="1"/>
  </r>
  <r>
    <x v="14"/>
    <n v="1"/>
    <n v="721"/>
    <n v="512"/>
    <n v="209"/>
    <s v="PA_Alleg_2019g~Gen-member of council franklin park ward 1 (vote for 1)"/>
    <x v="1"/>
  </r>
  <r>
    <x v="14"/>
    <n v="2"/>
    <n v="1440"/>
    <n v="1206"/>
    <n v="234"/>
    <s v="PA_Alleg_2019g~Gen-school director fox chapel region 2 (vote for 2)"/>
    <x v="1"/>
  </r>
  <r>
    <x v="14"/>
    <n v="1"/>
    <n v="603"/>
    <n v="356"/>
    <n v="247"/>
    <s v="PA_Alleg_2019g~Gen-commissioner ross ward 1 (vote for 1)"/>
    <x v="1"/>
  </r>
  <r>
    <x v="14"/>
    <n v="2"/>
    <n v="977"/>
    <n v="706"/>
    <n v="271"/>
    <s v="PA_Alleg_2019g~Gen-commissioner collier (vote for 2)"/>
    <x v="1"/>
  </r>
  <r>
    <x v="14"/>
    <n v="1"/>
    <n v="3102"/>
    <n v="2826"/>
    <n v="276"/>
    <s v="PA_Alleg_2019g~Gen-school director woodland hills region 3 (vote for 1)"/>
    <x v="1"/>
  </r>
  <r>
    <x v="14"/>
    <n v="1"/>
    <n v="1687"/>
    <n v="1366"/>
    <n v="321"/>
    <s v="PA_Alleg_2019g~Gen-supervisor south park (vote for 1)"/>
    <x v="1"/>
  </r>
  <r>
    <x v="14"/>
    <n v="5"/>
    <n v="1951"/>
    <n v="1606"/>
    <n v="345"/>
    <s v="PA_Alleg_2019g~Gen-school director elizabeth forward (vote for 5)"/>
    <x v="1"/>
  </r>
  <r>
    <x v="14"/>
    <n v="3"/>
    <n v="952"/>
    <n v="580"/>
    <n v="372"/>
    <s v="PA_Alleg_2019g~Gen-member of council castle shannon (vote for 3)"/>
    <x v="1"/>
  </r>
  <r>
    <x v="14"/>
    <n v="5"/>
    <n v="2769"/>
    <n v="2348"/>
    <n v="421"/>
    <s v="PA_Alleg_2019g~Gen-school director upper saint clair (vote for 5)"/>
    <x v="1"/>
  </r>
  <r>
    <x v="14"/>
    <n v="1"/>
    <n v="922"/>
    <n v="482"/>
    <n v="440"/>
    <s v="PA_Alleg_2019g~Gen-member of council wilkinsburg ward 3 (vote for 1)"/>
    <x v="1"/>
  </r>
  <r>
    <x v="14"/>
    <n v="2"/>
    <n v="2731"/>
    <n v="2281"/>
    <n v="450"/>
    <s v="PA_Alleg_2019g~Gen-supervisor moon (vote for 2)"/>
    <x v="1"/>
  </r>
  <r>
    <x v="14"/>
    <n v="1"/>
    <n v="1814"/>
    <n v="1263"/>
    <n v="551"/>
    <s v="PA_Alleg_2019g~Gen-auditor bellevue (vote for 1)"/>
    <x v="1"/>
  </r>
  <r>
    <x v="14"/>
    <n v="3"/>
    <n v="838"/>
    <n v="261"/>
    <n v="577"/>
    <s v="PA_Alleg_2019g~Gen-member of council edgewood (vote for 3)"/>
    <x v="1"/>
  </r>
  <r>
    <x v="14"/>
    <n v="3"/>
    <n v="1383"/>
    <n v="767"/>
    <n v="616"/>
    <s v="PA_Alleg_2019g~Gen-member of council swissvale (vote for 3)"/>
    <x v="1"/>
  </r>
  <r>
    <x v="14"/>
    <n v="3"/>
    <n v="2351"/>
    <n v="1727"/>
    <n v="624"/>
    <s v="PA_Alleg_2019g~Gen-member of council west mifflin (vote for 3)"/>
    <x v="1"/>
  </r>
  <r>
    <x v="14"/>
    <n v="5"/>
    <n v="4738"/>
    <n v="4056"/>
    <n v="682"/>
    <s v="PA_Alleg_2019g~Gen-school director north hills (vote for 5)"/>
    <x v="1"/>
  </r>
  <r>
    <x v="14"/>
    <n v="1"/>
    <n v="4347"/>
    <n v="3650"/>
    <n v="697"/>
    <s v="PA_Alleg_2019g~Gen-tax collector ross (vote for 1)"/>
    <x v="1"/>
  </r>
  <r>
    <x v="14"/>
    <n v="1"/>
    <n v="3415"/>
    <n v="2663"/>
    <n v="752"/>
    <s v="PA_Alleg_2019g~Gen-school director gateway (vote for 1)"/>
    <x v="1"/>
  </r>
  <r>
    <x v="14"/>
    <n v="2"/>
    <n v="2006"/>
    <n v="1212"/>
    <n v="794"/>
    <s v="PA_Alleg_2019g~Gen-school director woodland hills region 1 (vote for 2)"/>
    <x v="1"/>
  </r>
  <r>
    <x v="14"/>
    <n v="1"/>
    <n v="1332"/>
    <n v="515"/>
    <n v="817"/>
    <s v="PA_Alleg_2019g~Gen-commissioner mt lebanon ward 5 (vote for 1)"/>
    <x v="1"/>
  </r>
  <r>
    <x v="14"/>
    <n v="3"/>
    <n v="2254"/>
    <n v="1428"/>
    <n v="826"/>
    <s v="PA_Alleg_2019g~Gen-member of council baldwin borough (vote for 3)"/>
    <x v="1"/>
  </r>
  <r>
    <x v="14"/>
    <n v="5"/>
    <n v="2375"/>
    <n v="1549"/>
    <n v="826"/>
    <s v="PA_Alleg_2019g~Gen-school director west mifflin area (vote for 5)"/>
    <x v="1"/>
  </r>
  <r>
    <x v="14"/>
    <n v="3"/>
    <n v="1959"/>
    <n v="1131"/>
    <n v="828"/>
    <s v="PA_Alleg_2019g~Gen-member of council whitehall (vote for 3)"/>
    <x v="1"/>
  </r>
  <r>
    <x v="14"/>
    <n v="5"/>
    <n v="1875"/>
    <n v="1002"/>
    <n v="873"/>
    <s v="PA_Alleg_2019g~Gen-school director carlynton (vote for 5)"/>
    <x v="1"/>
  </r>
  <r>
    <x v="14"/>
    <n v="1"/>
    <n v="2062"/>
    <n v="1058"/>
    <n v="1004"/>
    <s v="PA_Alleg_2019g~Gen-mayor mckeesport (vote for 1)"/>
    <x v="1"/>
  </r>
  <r>
    <x v="14"/>
    <n v="5"/>
    <n v="5508"/>
    <n v="4503"/>
    <n v="1005"/>
    <s v="PA_Alleg_2019g~Gen-school director penn hills (vote for 5)"/>
    <x v="1"/>
  </r>
  <r>
    <x v="14"/>
    <n v="1"/>
    <n v="3272"/>
    <n v="2246"/>
    <n v="1026"/>
    <s v="PA_Alleg_2019g~Gen-member of council district 9 (vote for 1)"/>
    <x v="1"/>
  </r>
  <r>
    <x v="14"/>
    <n v="1"/>
    <n v="4182"/>
    <n v="3108"/>
    <n v="1074"/>
    <s v="PA_Alleg_2019g~Gen-magisterial district judge 05-02-25 (vote for 1)"/>
    <x v="1"/>
  </r>
  <r>
    <x v="14"/>
    <n v="5"/>
    <n v="4343"/>
    <n v="2776"/>
    <n v="1567"/>
    <s v="PA_Alleg_2019g~Gen-school director baldwin whitehall (vote for 5)"/>
    <x v="1"/>
  </r>
  <r>
    <x v="14"/>
    <n v="1"/>
    <n v="3975"/>
    <n v="2341"/>
    <n v="1634"/>
    <s v="PA_Alleg_2019g~Gen-member of council district 1 (vote for 1)"/>
    <x v="1"/>
  </r>
  <r>
    <x v="14"/>
    <n v="1"/>
    <n v="5148"/>
    <n v="3491"/>
    <n v="1657"/>
    <s v="PA_Alleg_2019g~Gen-bethel park home rule charter amend #1 (vote for 1)"/>
    <x v="2"/>
  </r>
  <r>
    <x v="14"/>
    <n v="1"/>
    <n v="12413"/>
    <n v="10509"/>
    <n v="1904"/>
    <s v="PA_Alleg_2019g~Gen-member of county council district 2 (vote for 1)"/>
    <x v="3"/>
  </r>
  <r>
    <x v="14"/>
    <n v="1"/>
    <n v="3398"/>
    <n v="1474"/>
    <n v="1924"/>
    <s v="PA_Alleg_2019g~Gen-member of council district 3 (vote for 1)"/>
    <x v="1"/>
  </r>
  <r>
    <x v="14"/>
    <n v="5"/>
    <n v="2401"/>
    <n v="378"/>
    <n v="2023"/>
    <s v="PA_Alleg_2019g~Gen-school director wilkinsburg (vote for 5)"/>
    <x v="1"/>
  </r>
  <r>
    <x v="14"/>
    <n v="5"/>
    <n v="5612"/>
    <n v="3401"/>
    <n v="2211"/>
    <s v="PA_Alleg_2019g~Gen-school director bethel park (vote for 5)"/>
    <x v="1"/>
  </r>
  <r>
    <x v="14"/>
    <n v="2"/>
    <n v="2886"/>
    <n v="607"/>
    <n v="2279"/>
    <s v="PA_Alleg_2019g~Gen-school director woodland hills region 2 (vote for 2)"/>
    <x v="1"/>
  </r>
  <r>
    <x v="14"/>
    <n v="1"/>
    <n v="33908"/>
    <n v="31446"/>
    <n v="2462"/>
    <s v="PA_Alleg_2019g~Gen-city of pittsburgh hrc amendment (vote for 1)"/>
    <x v="2"/>
  </r>
  <r>
    <x v="14"/>
    <n v="1"/>
    <n v="5702"/>
    <n v="3140"/>
    <n v="2562"/>
    <s v="PA_Alleg_2019g~Gen-bethel park home rule charter amend #2 (vote for 1)"/>
    <x v="2"/>
  </r>
  <r>
    <x v="14"/>
    <n v="1"/>
    <n v="5933"/>
    <n v="2619"/>
    <n v="3314"/>
    <s v="PA_Alleg_2019g~Gen-auditor moon (vote for 1)"/>
    <x v="1"/>
  </r>
  <r>
    <x v="14"/>
    <n v="1"/>
    <n v="6642"/>
    <n v="3229"/>
    <n v="3413"/>
    <s v="PA_Alleg_2019g~Gen-mayor penn hills (vote for 1)"/>
    <x v="1"/>
  </r>
  <r>
    <x v="14"/>
    <n v="1"/>
    <n v="11145"/>
    <n v="7627"/>
    <n v="3518"/>
    <s v="PA_Alleg_2019g~Gen-member of county council district 6 (vote for 1)"/>
    <x v="3"/>
  </r>
  <r>
    <x v="14"/>
    <n v="1"/>
    <n v="14842"/>
    <n v="9954"/>
    <n v="4888"/>
    <s v="PA_Alleg_2019g~Gen-member of county council district 5 (vote for 1)"/>
    <x v="3"/>
  </r>
  <r>
    <x v="14"/>
    <n v="1"/>
    <n v="7939"/>
    <n v="1703"/>
    <n v="6236"/>
    <s v="PA_Alleg_2019g~Gen-school director district 2 (vote for 1)"/>
    <x v="1"/>
  </r>
  <r>
    <x v="14"/>
    <n v="1"/>
    <n v="154015"/>
    <n v="115404"/>
    <n v="38611"/>
    <s v="PA_Alleg_2019g~Gen-district attorney (vote for 1)"/>
    <x v="3"/>
  </r>
  <r>
    <x v="14"/>
    <n v="2"/>
    <n v="153648"/>
    <n v="94703"/>
    <n v="58945"/>
    <s v="PA_Alleg_2019g~Gen-judge of the superior court (vote for 2)"/>
    <x v="4"/>
  </r>
  <r>
    <x v="14"/>
    <n v="1"/>
    <n v="166757"/>
    <n v="96731"/>
    <n v="70026"/>
    <s v="PA_Alleg_2019g~Gen-county controller (vote for 1)"/>
    <x v="3"/>
  </r>
  <r>
    <x v="14"/>
    <n v="1"/>
    <n v="168350"/>
    <n v="91615"/>
    <n v="76735"/>
    <s v="PA_Alleg_2019g~Gen-member of county council at-large (vote for 1)"/>
    <x v="3"/>
  </r>
  <r>
    <x v="14"/>
    <n v="1"/>
    <n v="146510"/>
    <n v="56476"/>
    <n v="90034"/>
    <s v="PA_Alleg_2019g~Gen-retention of judge brobson (vote for 1)"/>
    <x v="4"/>
  </r>
  <r>
    <x v="14"/>
    <n v="1"/>
    <n v="149473"/>
    <n v="54056"/>
    <n v="95417"/>
    <s v="PA_Alleg_2019g~Gen-retention of judge ignelzi (vote for 1)"/>
    <x v="4"/>
  </r>
  <r>
    <x v="14"/>
    <n v="1"/>
    <n v="181448"/>
    <n v="84087"/>
    <n v="97361"/>
    <s v="PA_Alleg_2019g~Gen-county chief executive (vote for 1)"/>
    <x v="3"/>
  </r>
  <r>
    <x v="14"/>
    <n v="1"/>
    <n v="157156"/>
    <n v="59719"/>
    <n v="97437"/>
    <s v="PA_Alleg_2019g~Gen-retention of judge manning (vote for 1)"/>
    <x v="4"/>
  </r>
  <r>
    <x v="14"/>
    <n v="1"/>
    <n v="151465"/>
    <n v="52349"/>
    <n v="99116"/>
    <s v="PA_Alleg_2019g~Gen-retention of judge sasinoski (vote for 1)"/>
    <x v="4"/>
  </r>
  <r>
    <x v="14"/>
    <n v="1"/>
    <n v="177143"/>
    <n v="77863"/>
    <n v="99280"/>
    <s v="PA_Alleg_2019g~Gen-constitutional amendment (vote for 1)"/>
    <x v="2"/>
  </r>
  <r>
    <x v="14"/>
    <n v="1"/>
    <n v="154072"/>
    <n v="51065"/>
    <n v="103007"/>
    <s v="PA_Alleg_2019g~Gen-retention of judge walko (vote for 1)"/>
    <x v="4"/>
  </r>
  <r>
    <x v="14"/>
    <n v="1"/>
    <n v="154657"/>
    <n v="50811"/>
    <n v="103846"/>
    <s v="PA_Alleg_2019g~Gen-retention of judge williams (vote for 1)"/>
    <x v="4"/>
  </r>
  <r>
    <x v="14"/>
    <n v="1"/>
    <n v="154051"/>
    <n v="50161"/>
    <n v="103890"/>
    <s v="PA_Alleg_2019g~Gen-retention of judge klein (vote for 1)"/>
    <x v="4"/>
  </r>
  <r>
    <x v="14"/>
    <n v="1"/>
    <n v="157316"/>
    <n v="51598"/>
    <n v="105718"/>
    <s v="PA_Alleg_2019g~Gen-retention of judge colville (vote for 1)"/>
    <x v="4"/>
  </r>
  <r>
    <x v="14"/>
    <n v="1"/>
    <n v="157945"/>
    <n v="47935"/>
    <n v="110010"/>
    <s v="PA_Alleg_2019g~Gen-retention of judge evashavik dilucente (vote for 1)"/>
    <x v="4"/>
  </r>
  <r>
    <x v="14"/>
    <n v="1"/>
    <n v="159565"/>
    <n v="48703"/>
    <n v="110862"/>
    <s v="PA_Alleg_2019g~Gen-retention of judge olson (vote for 1)"/>
    <x v="4"/>
  </r>
  <r>
    <x v="14"/>
    <n v="1"/>
    <n v="161203"/>
    <n v="47879"/>
    <n v="113324"/>
    <s v="PA_Alleg_2019g~Gen-retention of judge mccullough (vote for 1)"/>
    <x v="4"/>
  </r>
  <r>
    <x v="14"/>
    <n v="1"/>
    <n v="159121"/>
    <n v="45187"/>
    <n v="113934"/>
    <s v="PA_Alleg_2019g~Gen-retention of judge eaton (vote for 1)"/>
    <x v="4"/>
  </r>
  <r>
    <x v="14"/>
    <n v="1"/>
    <n v="162531"/>
    <n v="46271"/>
    <n v="116260"/>
    <s v="PA_Alleg_2019g~Gen-retention of judge lazarus (vote for 1)"/>
    <x v="4"/>
  </r>
  <r>
    <x v="14"/>
    <n v="1"/>
    <n v="161756"/>
    <n v="44532"/>
    <n v="117224"/>
    <s v="PA_Alleg_2019g~Gen-retention of judge berkeley clark (vote for 1)"/>
    <x v="4"/>
  </r>
  <r>
    <x v="15"/>
    <n v="3"/>
    <n v="334"/>
    <n v="334"/>
    <n v="0"/>
    <s v="PA_Alleg_2019p~Rep-supervisor pine (vote for 3)"/>
    <x v="1"/>
  </r>
  <r>
    <x v="15"/>
    <n v="1"/>
    <n v="160"/>
    <n v="159"/>
    <n v="1"/>
    <s v="PA_Alleg_2019p~Rep-auditor bellevue (vote for 1)"/>
    <x v="1"/>
  </r>
  <r>
    <x v="15"/>
    <n v="1"/>
    <n v="57"/>
    <n v="56"/>
    <n v="1"/>
    <s v="PA_Alleg_2019p~Rep-member of council aspinwall (vote for 1)"/>
    <x v="1"/>
  </r>
  <r>
    <x v="15"/>
    <n v="1"/>
    <n v="43"/>
    <n v="41"/>
    <n v="2"/>
    <s v="PA_Alleg_2019p~Dem-auditor frazer (vote for 1)"/>
    <x v="1"/>
  </r>
  <r>
    <x v="15"/>
    <n v="1"/>
    <n v="86"/>
    <n v="84"/>
    <n v="2"/>
    <s v="PA_Alleg_2019p~Dem-commissioner north versailles ward 3 (vote for 1)"/>
    <x v="1"/>
  </r>
  <r>
    <x v="15"/>
    <n v="3"/>
    <n v="144"/>
    <n v="142"/>
    <n v="2"/>
    <s v="PA_Alleg_2019p~Dem-member of council mckees rocks ward 3 (vote for 3)"/>
    <x v="1"/>
  </r>
  <r>
    <x v="15"/>
    <n v="4"/>
    <n v="53"/>
    <n v="51"/>
    <n v="2"/>
    <s v="PA_Alleg_2019p~Dem-member of council wilmerding (vote for 4)"/>
    <x v="1"/>
  </r>
  <r>
    <x v="15"/>
    <n v="1"/>
    <n v="39"/>
    <n v="36"/>
    <n v="3"/>
    <s v="PA_Alleg_2019p~Rep-member of council at-large tarentum (vote for 1)"/>
    <x v="1"/>
  </r>
  <r>
    <x v="15"/>
    <n v="1"/>
    <n v="115"/>
    <n v="112"/>
    <n v="3"/>
    <s v="PA_Alleg_2019p~Rep-member of council bethel park ward 4 (vote for 1)"/>
    <x v="1"/>
  </r>
  <r>
    <x v="15"/>
    <n v="1"/>
    <n v="11"/>
    <n v="8"/>
    <n v="3"/>
    <s v="PA_Alleg_2019p~Rep-member of council tarentum ward 3 (vote for 1)"/>
    <x v="1"/>
  </r>
  <r>
    <x v="15"/>
    <n v="1"/>
    <n v="294"/>
    <n v="290"/>
    <n v="4"/>
    <s v="PA_Alleg_2019p~Dem-member of council franklin park ward 2 (vote for 1)"/>
    <x v="1"/>
  </r>
  <r>
    <x v="15"/>
    <n v="2"/>
    <n v="81"/>
    <n v="77"/>
    <n v="4"/>
    <s v="PA_Alleg_2019p~Dem-member of council north braddock ward 3 (vote for 2)"/>
    <x v="1"/>
  </r>
  <r>
    <x v="15"/>
    <n v="3"/>
    <n v="161"/>
    <n v="157"/>
    <n v="4"/>
    <s v="PA_Alleg_2019p~Dem-member of council verona (vote for 3)"/>
    <x v="1"/>
  </r>
  <r>
    <x v="15"/>
    <n v="5"/>
    <n v="510"/>
    <n v="506"/>
    <n v="4"/>
    <s v="PA_Alleg_2019p~Dem-school director northgate (vote for 5)"/>
    <x v="1"/>
  </r>
  <r>
    <x v="15"/>
    <n v="1"/>
    <n v="210"/>
    <n v="206"/>
    <n v="4"/>
    <s v="PA_Alleg_2019p~Rep-member of council franklin park ward 2 (vote for 1)"/>
    <x v="1"/>
  </r>
  <r>
    <x v="15"/>
    <n v="3"/>
    <n v="272"/>
    <n v="268"/>
    <n v="4"/>
    <s v="PA_Alleg_2019p~Rep-member of council jefferson hills (vote for 3)"/>
    <x v="1"/>
  </r>
  <r>
    <x v="15"/>
    <n v="3"/>
    <n v="150"/>
    <n v="145"/>
    <n v="5"/>
    <s v="PA_Alleg_2019p~Dem-member of council liberty (vote for 3)"/>
    <x v="1"/>
  </r>
  <r>
    <x v="15"/>
    <n v="2"/>
    <n v="73"/>
    <n v="68"/>
    <n v="5"/>
    <s v="PA_Alleg_2019p~Rep-commissioner at-large crescent (vote for 2)"/>
    <x v="1"/>
  </r>
  <r>
    <x v="15"/>
    <n v="5"/>
    <n v="185"/>
    <n v="180"/>
    <n v="5"/>
    <s v="PA_Alleg_2019p~Rep-school director allegheny valley (vote for 5)"/>
    <x v="1"/>
  </r>
  <r>
    <x v="15"/>
    <n v="1"/>
    <n v="49"/>
    <n v="43"/>
    <n v="6"/>
    <s v="PA_Alleg_2019p~Dem-commissioner scott ward 9 (vote for 1)"/>
    <x v="1"/>
  </r>
  <r>
    <x v="15"/>
    <n v="5"/>
    <n v="438"/>
    <n v="432"/>
    <n v="6"/>
    <s v="PA_Alleg_2019p~Rep-school director elizabeth forward (vote for 5)"/>
    <x v="1"/>
  </r>
  <r>
    <x v="15"/>
    <n v="2"/>
    <n v="307"/>
    <n v="301"/>
    <n v="6"/>
    <s v="PA_Alleg_2019p~Rep-school director fox chapel region 2 (vote for 2)"/>
    <x v="1"/>
  </r>
  <r>
    <x v="15"/>
    <n v="2"/>
    <n v="72"/>
    <n v="65"/>
    <n v="7"/>
    <s v="PA_Alleg_2019p~Rep-school director quaker valley region 2 (vote for 2)"/>
    <x v="1"/>
  </r>
  <r>
    <x v="15"/>
    <n v="2"/>
    <n v="172"/>
    <n v="164"/>
    <n v="8"/>
    <s v="PA_Alleg_2019p~Rep-school director fox chapel region 1 (vote for 2)"/>
    <x v="1"/>
  </r>
  <r>
    <x v="15"/>
    <n v="5"/>
    <n v="472"/>
    <n v="463"/>
    <n v="9"/>
    <s v="PA_Alleg_2019p~Dem-school director south allegheny (vote for 5)"/>
    <x v="1"/>
  </r>
  <r>
    <x v="15"/>
    <n v="1"/>
    <n v="95"/>
    <n v="85"/>
    <n v="10"/>
    <s v="PA_Alleg_2019p~Rep-school director keystone oaks region 1 (vote for 1)"/>
    <x v="1"/>
  </r>
  <r>
    <x v="15"/>
    <n v="3"/>
    <n v="85"/>
    <n v="74"/>
    <n v="11"/>
    <s v="PA_Alleg_2019p~Dem-commissioner springdale township (vote for 3)"/>
    <x v="1"/>
  </r>
  <r>
    <x v="15"/>
    <n v="3"/>
    <n v="158"/>
    <n v="146"/>
    <n v="12"/>
    <s v="PA_Alleg_2019p~Dem-member of council pitcairn (vote for 3)"/>
    <x v="1"/>
  </r>
  <r>
    <x v="15"/>
    <n v="1"/>
    <n v="133"/>
    <n v="121"/>
    <n v="12"/>
    <s v="PA_Alleg_2019p~Rep-school director district 4 (vote for 1)"/>
    <x v="1"/>
  </r>
  <r>
    <x v="15"/>
    <n v="3"/>
    <n v="64"/>
    <n v="51"/>
    <n v="13"/>
    <s v="PA_Alleg_2019p~Rep-commissioner leet (vote for 3)"/>
    <x v="1"/>
  </r>
  <r>
    <x v="15"/>
    <n v="3"/>
    <n v="332"/>
    <n v="318"/>
    <n v="14"/>
    <s v="PA_Alleg_2019p~Dem-member of council brentwood (vote for 3)"/>
    <x v="1"/>
  </r>
  <r>
    <x v="15"/>
    <n v="5"/>
    <n v="373"/>
    <n v="359"/>
    <n v="14"/>
    <s v="PA_Alleg_2019p~Rep-school director baldwin whitehall (vote for 5)"/>
    <x v="1"/>
  </r>
  <r>
    <x v="15"/>
    <n v="1"/>
    <n v="74"/>
    <n v="59"/>
    <n v="15"/>
    <s v="PA_Alleg_2019p~Dem-school director clairton region 2 (vote for 1)"/>
    <x v="1"/>
  </r>
  <r>
    <x v="15"/>
    <n v="1"/>
    <n v="23"/>
    <n v="7"/>
    <n v="16"/>
    <s v="PA_Alleg_2019p~Dem-mayor mcdonald (vote for 1)"/>
    <x v="1"/>
  </r>
  <r>
    <x v="15"/>
    <n v="2"/>
    <n v="147"/>
    <n v="130"/>
    <n v="17"/>
    <s v="PA_Alleg_2019p~Dem-school director quaker valley region 2 (vote for 2)"/>
    <x v="1"/>
  </r>
  <r>
    <x v="15"/>
    <n v="5"/>
    <n v="167"/>
    <n v="150"/>
    <n v="17"/>
    <s v="PA_Alleg_2019p~Rep-school director south allegheny (vote for 5)"/>
    <x v="1"/>
  </r>
  <r>
    <x v="15"/>
    <n v="1"/>
    <n v="182"/>
    <n v="164"/>
    <n v="18"/>
    <s v="PA_Alleg_2019p~Dem-commissioner harrison ward 3 (vote for 1)"/>
    <x v="1"/>
  </r>
  <r>
    <x v="15"/>
    <n v="1"/>
    <n v="60"/>
    <n v="42"/>
    <n v="18"/>
    <s v="PA_Alleg_2019p~Dem-member of council braddock ward 2 (vote for 1)"/>
    <x v="1"/>
  </r>
  <r>
    <x v="15"/>
    <n v="5"/>
    <n v="237"/>
    <n v="219"/>
    <n v="18"/>
    <s v="PA_Alleg_2019p~Rep-school director south fayette (vote for 5)"/>
    <x v="1"/>
  </r>
  <r>
    <x v="15"/>
    <n v="2"/>
    <n v="519"/>
    <n v="500"/>
    <n v="19"/>
    <s v="PA_Alleg_2019p~Rep-member of council hampton (vote for 2)"/>
    <x v="1"/>
  </r>
  <r>
    <x v="15"/>
    <n v="1"/>
    <n v="171"/>
    <n v="152"/>
    <n v="19"/>
    <s v="PA_Alleg_2019p~Rep-member of council mccandless ward 5 (vote for 1)"/>
    <x v="1"/>
  </r>
  <r>
    <x v="15"/>
    <n v="5"/>
    <n v="460"/>
    <n v="440"/>
    <n v="20"/>
    <s v="PA_Alleg_2019p~Rep-school director gateway (vote for 5)"/>
    <x v="1"/>
  </r>
  <r>
    <x v="15"/>
    <n v="2"/>
    <n v="107"/>
    <n v="86"/>
    <n v="21"/>
    <s v="PA_Alleg_2019p~Dem-member of council at-large east pittsburgh (vote for 2)"/>
    <x v="1"/>
  </r>
  <r>
    <x v="15"/>
    <n v="1"/>
    <n v="131"/>
    <n v="110"/>
    <n v="21"/>
    <s v="PA_Alleg_2019p~Dem-member of council liberty (vote for 1)"/>
    <x v="1"/>
  </r>
  <r>
    <x v="15"/>
    <n v="5"/>
    <n v="1150"/>
    <n v="1128"/>
    <n v="22"/>
    <s v="PA_Alleg_2019p~Dem-school director baldwin whitehall (vote for 5)"/>
    <x v="1"/>
  </r>
  <r>
    <x v="15"/>
    <n v="1"/>
    <n v="273"/>
    <n v="250"/>
    <n v="23"/>
    <s v="PA_Alleg_2019p~Rep-school director fox chapel region 3 (vote for 1)"/>
    <x v="1"/>
  </r>
  <r>
    <x v="15"/>
    <n v="5"/>
    <n v="724"/>
    <n v="701"/>
    <n v="23"/>
    <s v="PA_Alleg_2019p~Rep-school director upper saint clair (vote for 5)"/>
    <x v="1"/>
  </r>
  <r>
    <x v="15"/>
    <n v="1"/>
    <n v="110"/>
    <n v="85"/>
    <n v="25"/>
    <s v="PA_Alleg_2019p~Dem-school director pine richland region 3 (vote for 1)"/>
    <x v="1"/>
  </r>
  <r>
    <x v="15"/>
    <n v="1"/>
    <n v="139"/>
    <n v="112"/>
    <n v="27"/>
    <s v="PA_Alleg_2019p~Dem-member of council bellevue ward 1 (vote for 1)"/>
    <x v="1"/>
  </r>
  <r>
    <x v="15"/>
    <n v="3"/>
    <n v="656"/>
    <n v="626"/>
    <n v="30"/>
    <s v="PA_Alleg_2019p~Dem-member of council munhall (vote for 3)"/>
    <x v="1"/>
  </r>
  <r>
    <x v="15"/>
    <n v="1"/>
    <n v="103"/>
    <n v="73"/>
    <n v="30"/>
    <s v="PA_Alleg_2019p~Dem-school director east allegheny region 1 (vote for 1)"/>
    <x v="1"/>
  </r>
  <r>
    <x v="15"/>
    <n v="1"/>
    <n v="88"/>
    <n v="58"/>
    <n v="30"/>
    <s v="PA_Alleg_2019p~Rep-school director pine richland region 3 (vote for 1)"/>
    <x v="1"/>
  </r>
  <r>
    <x v="15"/>
    <n v="5"/>
    <n v="193"/>
    <n v="163"/>
    <n v="30"/>
    <s v="PA_Alleg_2019p~Rep-school director riverview (vote for 5)"/>
    <x v="1"/>
  </r>
  <r>
    <x v="15"/>
    <n v="1"/>
    <n v="49"/>
    <n v="18"/>
    <n v="31"/>
    <s v="PA_Alleg_2019p~Dem-member of council braddock ward 3 (vote for 1)"/>
    <x v="1"/>
  </r>
  <r>
    <x v="15"/>
    <n v="3"/>
    <n v="123"/>
    <n v="91"/>
    <n v="32"/>
    <s v="PA_Alleg_2019p~Dem-member of council braddock hills (vote for 3)"/>
    <x v="1"/>
  </r>
  <r>
    <x v="15"/>
    <n v="1"/>
    <n v="76"/>
    <n v="44"/>
    <n v="32"/>
    <s v="PA_Alleg_2019p~Dem-member of council tarentum ward 3 (vote for 1)"/>
    <x v="1"/>
  </r>
  <r>
    <x v="15"/>
    <n v="3"/>
    <n v="207"/>
    <n v="175"/>
    <n v="32"/>
    <s v="PA_Alleg_2019p~Dem-member of council west homestead (vote for 3)"/>
    <x v="1"/>
  </r>
  <r>
    <x v="15"/>
    <n v="5"/>
    <n v="410"/>
    <n v="377"/>
    <n v="33"/>
    <s v="PA_Alleg_2019p~Dem-school director allegheny valley (vote for 5)"/>
    <x v="1"/>
  </r>
  <r>
    <x v="15"/>
    <n v="1"/>
    <n v="156"/>
    <n v="119"/>
    <n v="37"/>
    <s v="PA_Alleg_2019p~Dem-member of council aspinwall (vote for 1)"/>
    <x v="1"/>
  </r>
  <r>
    <x v="15"/>
    <n v="1"/>
    <n v="180"/>
    <n v="143"/>
    <n v="37"/>
    <s v="PA_Alleg_2019p~Dem-member of council pitcairn (vote for 1)"/>
    <x v="1"/>
  </r>
  <r>
    <x v="15"/>
    <n v="5"/>
    <n v="730"/>
    <n v="693"/>
    <n v="37"/>
    <s v="PA_Alleg_2019p~Dem-school director upper saint clair (vote for 5)"/>
    <x v="1"/>
  </r>
  <r>
    <x v="15"/>
    <n v="1"/>
    <n v="141"/>
    <n v="103"/>
    <n v="38"/>
    <s v="PA_Alleg_2019p~Dem-mayor braddock (vote for 1)"/>
    <x v="1"/>
  </r>
  <r>
    <x v="15"/>
    <n v="1"/>
    <n v="102"/>
    <n v="62"/>
    <n v="40"/>
    <s v="PA_Alleg_2019p~Dem-commissioner scott ward 1 (vote for 1)"/>
    <x v="1"/>
  </r>
  <r>
    <x v="15"/>
    <n v="2"/>
    <n v="328"/>
    <n v="288"/>
    <n v="40"/>
    <s v="PA_Alleg_2019p~Dem-member of council wilkinsburg ward 1 (vote for 2)"/>
    <x v="1"/>
  </r>
  <r>
    <x v="15"/>
    <n v="1"/>
    <n v="121"/>
    <n v="81"/>
    <n v="40"/>
    <s v="PA_Alleg_2019p~Dem-supervisor fawn (vote for 1)"/>
    <x v="1"/>
  </r>
  <r>
    <x v="15"/>
    <n v="1"/>
    <n v="133"/>
    <n v="92"/>
    <n v="41"/>
    <s v="PA_Alleg_2019p~Dem-member of council at-large tarentum (vote for 1)"/>
    <x v="1"/>
  </r>
  <r>
    <x v="15"/>
    <n v="5"/>
    <n v="1100"/>
    <n v="1059"/>
    <n v="41"/>
    <s v="PA_Alleg_2019p~Rep-school director bethel park (vote for 5)"/>
    <x v="1"/>
  </r>
  <r>
    <x v="15"/>
    <n v="3"/>
    <n v="368"/>
    <n v="323"/>
    <n v="45"/>
    <s v="PA_Alleg_2019p~Dem-commissioner stowe (vote for 3)"/>
    <x v="1"/>
  </r>
  <r>
    <x v="15"/>
    <n v="1"/>
    <n v="97"/>
    <n v="52"/>
    <n v="45"/>
    <s v="PA_Alleg_2019p~Dem-member of council homestead ward 1 (vote for 1)"/>
    <x v="1"/>
  </r>
  <r>
    <x v="15"/>
    <n v="3"/>
    <n v="692"/>
    <n v="646"/>
    <n v="46"/>
    <s v="PA_Alleg_2019p~Dem-member of council swissvale (vote for 3)"/>
    <x v="1"/>
  </r>
  <r>
    <x v="15"/>
    <n v="1"/>
    <n v="216"/>
    <n v="169"/>
    <n v="47"/>
    <s v="PA_Alleg_2019p~Dem-member of council monroeville ward 6 (vote for 1)"/>
    <x v="1"/>
  </r>
  <r>
    <x v="15"/>
    <n v="3"/>
    <n v="1120"/>
    <n v="1069"/>
    <n v="51"/>
    <s v="PA_Alleg_2019p~Dem-member of council west mifflin (vote for 3)"/>
    <x v="1"/>
  </r>
  <r>
    <x v="15"/>
    <n v="1"/>
    <n v="97"/>
    <n v="42"/>
    <n v="55"/>
    <s v="PA_Alleg_2019p~Dem-member of council homestead ward 3 (vote for 1)"/>
    <x v="1"/>
  </r>
  <r>
    <x v="15"/>
    <n v="5"/>
    <n v="391"/>
    <n v="336"/>
    <n v="55"/>
    <s v="PA_Alleg_2019p~Dem-school director hampton (vote for 5)"/>
    <x v="1"/>
  </r>
  <r>
    <x v="15"/>
    <n v="2"/>
    <n v="442"/>
    <n v="385"/>
    <n v="57"/>
    <s v="PA_Alleg_2019p~Dem-school director fox chapel region 1 (vote for 2)"/>
    <x v="1"/>
  </r>
  <r>
    <x v="15"/>
    <n v="1"/>
    <n v="145"/>
    <n v="87"/>
    <n v="58"/>
    <s v="PA_Alleg_2019p~Dem-member of council clairton ward 4 (vote for 1)"/>
    <x v="1"/>
  </r>
  <r>
    <x v="15"/>
    <n v="3"/>
    <n v="191"/>
    <n v="133"/>
    <n v="58"/>
    <s v="PA_Alleg_2019p~Dem-member of council sharpsburg (vote for 3)"/>
    <x v="1"/>
  </r>
  <r>
    <x v="15"/>
    <n v="1"/>
    <n v="408"/>
    <n v="348"/>
    <n v="60"/>
    <s v="PA_Alleg_2019p~Dem-member of council wilkinsburg ward 3 (vote for 1)"/>
    <x v="1"/>
  </r>
  <r>
    <x v="15"/>
    <n v="5"/>
    <n v="979"/>
    <n v="919"/>
    <n v="60"/>
    <s v="PA_Alleg_2019p~Dem-school director north allegheny (vote for 5)"/>
    <x v="1"/>
  </r>
  <r>
    <x v="15"/>
    <n v="5"/>
    <n v="162"/>
    <n v="97"/>
    <n v="65"/>
    <s v="PA_Alleg_2019p~Rep-school director northgate (vote for 5)"/>
    <x v="1"/>
  </r>
  <r>
    <x v="15"/>
    <n v="1"/>
    <n v="175"/>
    <n v="108"/>
    <n v="67"/>
    <s v="PA_Alleg_2019p~Dem-member of council coraopolis ward 3 (vote for 1)"/>
    <x v="1"/>
  </r>
  <r>
    <x v="15"/>
    <n v="1"/>
    <n v="237"/>
    <n v="164"/>
    <n v="73"/>
    <s v="PA_Alleg_2019p~Dem-commissioner shaler ward 1 (vote for 1)"/>
    <x v="1"/>
  </r>
  <r>
    <x v="15"/>
    <n v="5"/>
    <n v="687"/>
    <n v="614"/>
    <n v="73"/>
    <s v="PA_Alleg_2019p~Dem-school director elizabeth forward (vote for 5)"/>
    <x v="1"/>
  </r>
  <r>
    <x v="15"/>
    <n v="1"/>
    <n v="426"/>
    <n v="350"/>
    <n v="76"/>
    <s v="PA_Alleg_2019p~Dem-school director west allegheny region 2 (vote for 1)"/>
    <x v="1"/>
  </r>
  <r>
    <x v="15"/>
    <n v="1"/>
    <n v="160"/>
    <n v="79"/>
    <n v="81"/>
    <s v="PA_Alleg_2019p~Rep-commissioner shaler ward 7 (vote for 1)"/>
    <x v="1"/>
  </r>
  <r>
    <x v="15"/>
    <n v="5"/>
    <n v="411"/>
    <n v="324"/>
    <n v="87"/>
    <s v="PA_Alleg_2019p~Dem-school director south fayette (vote for 5)"/>
    <x v="1"/>
  </r>
  <r>
    <x v="15"/>
    <n v="4"/>
    <n v="870"/>
    <n v="781"/>
    <n v="89"/>
    <s v="PA_Alleg_2019p~Dem-member of council mckeesport (vote for 4)"/>
    <x v="1"/>
  </r>
  <r>
    <x v="15"/>
    <n v="5"/>
    <n v="1302"/>
    <n v="1204"/>
    <n v="98"/>
    <s v="PA_Alleg_2019p~Dem-school director mckeesport area (vote for 5)"/>
    <x v="1"/>
  </r>
  <r>
    <x v="15"/>
    <n v="1"/>
    <n v="1588"/>
    <n v="1489"/>
    <n v="99"/>
    <s v="PA_Alleg_2019p~Dem-school director woodland hills region 3 (vote for 1)"/>
    <x v="1"/>
  </r>
  <r>
    <x v="15"/>
    <n v="5"/>
    <n v="715"/>
    <n v="615"/>
    <n v="100"/>
    <s v="PA_Alleg_2019p~Dem-school director plum (vote for 5)"/>
    <x v="1"/>
  </r>
  <r>
    <x v="15"/>
    <n v="1"/>
    <n v="175"/>
    <n v="74"/>
    <n v="101"/>
    <s v="PA_Alleg_2019p~Dem-commissioner harrison ward 1 (vote for 1)"/>
    <x v="1"/>
  </r>
  <r>
    <x v="15"/>
    <n v="2"/>
    <n v="299"/>
    <n v="195"/>
    <n v="104"/>
    <s v="PA_Alleg_2019p~Dem-member of council duquesne (vote for 2)"/>
    <x v="1"/>
  </r>
  <r>
    <x v="15"/>
    <n v="5"/>
    <n v="1224"/>
    <n v="1119"/>
    <n v="105"/>
    <s v="PA_Alleg_2019p~Dem-school director west mifflin area (vote for 5)"/>
    <x v="1"/>
  </r>
  <r>
    <x v="15"/>
    <n v="1"/>
    <n v="267"/>
    <n v="161"/>
    <n v="106"/>
    <s v="PA_Alleg_2019p~Dem-member of council wilkinsburg ward 2 (vote for 1)"/>
    <x v="1"/>
  </r>
  <r>
    <x v="15"/>
    <n v="1"/>
    <n v="276"/>
    <n v="164"/>
    <n v="112"/>
    <s v="PA_Alleg_2019p~Rep-school director west allegheny region 2 (vote for 1)"/>
    <x v="1"/>
  </r>
  <r>
    <x v="15"/>
    <n v="1"/>
    <n v="695"/>
    <n v="571"/>
    <n v="124"/>
    <s v="PA_Alleg_2019p~Rep-magisterial district judge 05-02-25 (vote for 1)"/>
    <x v="1"/>
  </r>
  <r>
    <x v="15"/>
    <n v="5"/>
    <n v="1470"/>
    <n v="1340"/>
    <n v="130"/>
    <s v="PA_Alleg_2019p~Dem-school director bethel park (vote for 5)"/>
    <x v="1"/>
  </r>
  <r>
    <x v="15"/>
    <n v="1"/>
    <n v="239"/>
    <n v="107"/>
    <n v="132"/>
    <s v="PA_Alleg_2019p~Rep-member of council mccandless ward 1 (vote for 1)"/>
    <x v="1"/>
  </r>
  <r>
    <x v="15"/>
    <n v="3"/>
    <n v="362"/>
    <n v="224"/>
    <n v="138"/>
    <s v="PA_Alleg_2019p~Dem-member of council oakmont (vote for 3)"/>
    <x v="1"/>
  </r>
  <r>
    <x v="15"/>
    <n v="5"/>
    <n v="512"/>
    <n v="361"/>
    <n v="151"/>
    <s v="PA_Alleg_2019p~Dem-school director riverview (vote for 5)"/>
    <x v="1"/>
  </r>
  <r>
    <x v="15"/>
    <n v="3"/>
    <n v="452"/>
    <n v="299"/>
    <n v="153"/>
    <s v="PA_Alleg_2019p~Dem-member of council jefferson hills (vote for 3)"/>
    <x v="1"/>
  </r>
  <r>
    <x v="15"/>
    <n v="2"/>
    <n v="1493"/>
    <n v="1340"/>
    <n v="153"/>
    <s v="PA_Alleg_2019p~Dem-member of council penn hills (vote for 2)"/>
    <x v="1"/>
  </r>
  <r>
    <x v="15"/>
    <n v="5"/>
    <n v="1257"/>
    <n v="1103"/>
    <n v="154"/>
    <s v="PA_Alleg_2019p~Dem-school director gateway (vote for 5)"/>
    <x v="1"/>
  </r>
  <r>
    <x v="15"/>
    <n v="2"/>
    <n v="295"/>
    <n v="137"/>
    <n v="158"/>
    <s v="PA_Alleg_2019p~Rep-school director highlands region 3 (vote for 2)"/>
    <x v="1"/>
  </r>
  <r>
    <x v="15"/>
    <n v="2"/>
    <n v="453"/>
    <n v="291"/>
    <n v="162"/>
    <s v="PA_Alleg_2019p~Dem-school director highlands region 3 (vote for 2)"/>
    <x v="1"/>
  </r>
  <r>
    <x v="15"/>
    <n v="2"/>
    <n v="516"/>
    <n v="350"/>
    <n v="166"/>
    <s v="PA_Alleg_2019p~Dem-school director fox chapel region 2 (vote for 2)"/>
    <x v="1"/>
  </r>
  <r>
    <x v="15"/>
    <n v="1"/>
    <n v="381"/>
    <n v="215"/>
    <n v="166"/>
    <s v="PA_Alleg_2019p~Dem-school director sto-rox region 2 (vote for 1)"/>
    <x v="1"/>
  </r>
  <r>
    <x v="15"/>
    <n v="1"/>
    <n v="262"/>
    <n v="94"/>
    <n v="168"/>
    <s v="PA_Alleg_2019p~Dem-commissioner ross ward 1 (vote for 1)"/>
    <x v="1"/>
  </r>
  <r>
    <x v="15"/>
    <n v="1"/>
    <n v="337"/>
    <n v="164"/>
    <n v="173"/>
    <s v="PA_Alleg_2019p~Dem-school director keystone oaks region 1 (vote for 1)"/>
    <x v="1"/>
  </r>
  <r>
    <x v="15"/>
    <n v="5"/>
    <n v="734"/>
    <n v="557"/>
    <n v="177"/>
    <s v="PA_Alleg_2019p~Rep-school director plum (vote for 5)"/>
    <x v="1"/>
  </r>
  <r>
    <x v="15"/>
    <n v="1"/>
    <n v="272"/>
    <n v="46"/>
    <n v="226"/>
    <s v="PA_Alleg_2019p~Rep-member of council mccandless ward 3 (vote for 1)"/>
    <x v="1"/>
  </r>
  <r>
    <x v="15"/>
    <n v="5"/>
    <n v="905"/>
    <n v="634"/>
    <n v="271"/>
    <s v="PA_Alleg_2019p~Rep-school director north hills (vote for 5)"/>
    <x v="1"/>
  </r>
  <r>
    <x v="15"/>
    <n v="1"/>
    <n v="2503"/>
    <n v="2229"/>
    <n v="274"/>
    <s v="PA_Alleg_2019p~Dem-mayor penn hills (vote for 1)"/>
    <x v="1"/>
  </r>
  <r>
    <x v="15"/>
    <n v="1"/>
    <n v="1030"/>
    <n v="755"/>
    <n v="275"/>
    <s v="PA_Alleg_2019p~Dem-school director plum (vote for 1)"/>
    <x v="1"/>
  </r>
  <r>
    <x v="15"/>
    <n v="5"/>
    <n v="1444"/>
    <n v="1142"/>
    <n v="302"/>
    <s v="PA_Alleg_2019p~Dem-school director north hills (vote for 5)"/>
    <x v="1"/>
  </r>
  <r>
    <x v="15"/>
    <n v="5"/>
    <n v="633"/>
    <n v="315"/>
    <n v="318"/>
    <s v="PA_Alleg_2019p~Rep-school director hampton (vote for 5)"/>
    <x v="1"/>
  </r>
  <r>
    <x v="15"/>
    <n v="1"/>
    <n v="1812"/>
    <n v="1481"/>
    <n v="331"/>
    <s v="PA_Alleg_2019p~Dem-school director district 6 (vote for 1)"/>
    <x v="1"/>
  </r>
  <r>
    <x v="15"/>
    <n v="1"/>
    <n v="1183"/>
    <n v="843"/>
    <n v="340"/>
    <s v="PA_Alleg_2019p~Dem-magisterial district judge 05-02-25 (vote for 1)"/>
    <x v="1"/>
  </r>
  <r>
    <x v="15"/>
    <n v="1"/>
    <n v="1887"/>
    <n v="1488"/>
    <n v="399"/>
    <s v="PA_Alleg_2019p~Dem-school director district 2 (vote for 1)"/>
    <x v="1"/>
  </r>
  <r>
    <x v="15"/>
    <n v="3"/>
    <n v="1112"/>
    <n v="712"/>
    <n v="400"/>
    <s v="PA_Alleg_2019p~Dem-member of council baldwin borough (vote for 3)"/>
    <x v="1"/>
  </r>
  <r>
    <x v="15"/>
    <n v="1"/>
    <n v="2661"/>
    <n v="2255"/>
    <n v="406"/>
    <s v="PA_Alleg_2019p~Dem-school director district 4 (vote for 1)"/>
    <x v="1"/>
  </r>
  <r>
    <x v="15"/>
    <n v="1"/>
    <n v="783"/>
    <n v="315"/>
    <n v="468"/>
    <s v="PA_Alleg_2019p~Dem-school director fox chapel region 3 (vote for 1)"/>
    <x v="1"/>
  </r>
  <r>
    <x v="15"/>
    <n v="3"/>
    <n v="708"/>
    <n v="214"/>
    <n v="494"/>
    <s v="PA_Alleg_2019p~Dem-member of council forest hills (vote for 3)"/>
    <x v="1"/>
  </r>
  <r>
    <x v="15"/>
    <n v="1"/>
    <n v="2049"/>
    <n v="1518"/>
    <n v="531"/>
    <s v="PA_Alleg_2019p~Dem-member of council district 9 (vote for 1)"/>
    <x v="1"/>
  </r>
  <r>
    <x v="15"/>
    <n v="5"/>
    <n v="1774"/>
    <n v="1229"/>
    <n v="545"/>
    <s v="PA_Alleg_2019p~Rep-school director north allegheny (vote for 5)"/>
    <x v="1"/>
  </r>
  <r>
    <x v="15"/>
    <n v="3"/>
    <n v="1222"/>
    <n v="668"/>
    <n v="554"/>
    <s v="PA_Alleg_2019p~Dem-school director at large v3 t4 steel valley (vote for 3)"/>
    <x v="1"/>
  </r>
  <r>
    <x v="15"/>
    <n v="1"/>
    <n v="1493"/>
    <n v="932"/>
    <n v="561"/>
    <s v="PA_Alleg_2019p~Dem-member of council district 3 (vote for 1)"/>
    <x v="1"/>
  </r>
  <r>
    <x v="15"/>
    <n v="2"/>
    <n v="1315"/>
    <n v="668"/>
    <n v="647"/>
    <s v="PA_Alleg_2019p~Dem-school director woodland hills region 2 (vote for 2)"/>
    <x v="1"/>
  </r>
  <r>
    <x v="15"/>
    <n v="1"/>
    <n v="1156"/>
    <n v="324"/>
    <n v="832"/>
    <s v="PA_Alleg_2019p~Dem-auditor bellevue (vote for 1)"/>
    <x v="1"/>
  </r>
  <r>
    <x v="15"/>
    <n v="1"/>
    <n v="1432"/>
    <n v="594"/>
    <n v="838"/>
    <s v="PA_Alleg_2019p~Dem-magisterial district judge 05-02-28 (vote for 1)"/>
    <x v="1"/>
  </r>
  <r>
    <x v="15"/>
    <n v="1"/>
    <n v="3497"/>
    <n v="2465"/>
    <n v="1032"/>
    <s v="PA_Alleg_2019p~Dem-member of council district 7 (vote for 1)"/>
    <x v="1"/>
  </r>
  <r>
    <x v="15"/>
    <n v="1"/>
    <n v="2572"/>
    <n v="1486"/>
    <n v="1086"/>
    <s v="PA_Alleg_2019p~Dem-member of council district 1 (vote for 1)"/>
    <x v="1"/>
  </r>
  <r>
    <x v="15"/>
    <n v="1"/>
    <n v="6298"/>
    <n v="4487"/>
    <n v="1811"/>
    <s v="PA_Alleg_2019p~Dem-member of county council district 13 (vote for 1)"/>
    <x v="3"/>
  </r>
  <r>
    <x v="15"/>
    <n v="2"/>
    <n v="17773"/>
    <n v="15868"/>
    <n v="1905"/>
    <s v="PA_Alleg_2019p~Rep-judge of the superior court (vote for 2)"/>
    <x v="1"/>
  </r>
  <r>
    <x v="15"/>
    <n v="1"/>
    <n v="4402"/>
    <n v="2287"/>
    <n v="2115"/>
    <s v="PA_Alleg_2019p~Dem-member of county council district 6 (vote for 1)"/>
    <x v="3"/>
  </r>
  <r>
    <x v="15"/>
    <n v="1"/>
    <n v="55695"/>
    <n v="48275"/>
    <n v="7420"/>
    <s v="PA_Alleg_2019p~Dem-member of county council at-large (vote for 1)"/>
    <x v="3"/>
  </r>
  <r>
    <x v="15"/>
    <n v="1"/>
    <n v="65581"/>
    <n v="45224"/>
    <n v="20357"/>
    <s v="PA_Alleg_2019p~Dem-district attorney (vote for 1)"/>
    <x v="3"/>
  </r>
  <r>
    <x v="15"/>
    <n v="2"/>
    <n v="75148"/>
    <n v="20607"/>
    <n v="54541"/>
    <s v="PA_Alleg_2019p~Dem-judge of the superior court (vote for 2)"/>
    <x v="4"/>
  </r>
  <r>
    <x v="15"/>
    <n v="1"/>
    <n v="79444"/>
    <n v="9586"/>
    <n v="69858"/>
    <s v="PA_Alleg_2019p~Dem-judge of the court of common pleas (vote for 1)"/>
    <x v="4"/>
  </r>
  <r>
    <x v="16"/>
    <n v="1"/>
    <n v="1004"/>
    <n v="673"/>
    <n v="331"/>
    <s v="PA_Alleg_2020g~Gen-representative in the general assembly 16th district (vote for 1)"/>
    <x v="5"/>
  </r>
  <r>
    <x v="16"/>
    <n v="1"/>
    <n v="12359"/>
    <n v="11421"/>
    <n v="938"/>
    <s v="PA_Alleg_2020g~Gen-representative in the general assembly 33rd district (vote for 1)"/>
    <x v="5"/>
  </r>
  <r>
    <x v="16"/>
    <n v="1"/>
    <n v="82022"/>
    <n v="79220"/>
    <n v="2802"/>
    <s v="PA_Alleg_2020g~Gen-senator in the general assembly 37th district (vote for 1)"/>
    <x v="5"/>
  </r>
  <r>
    <x v="16"/>
    <n v="1"/>
    <n v="23770"/>
    <n v="20477"/>
    <n v="3293"/>
    <s v="PA_Alleg_2020g~Gen-representative in the general assembly 28th district (vote for 1)"/>
    <x v="5"/>
  </r>
  <r>
    <x v="16"/>
    <n v="1"/>
    <n v="11694"/>
    <n v="8365"/>
    <n v="3329"/>
    <s v="PA_Alleg_2020g~Gen-representative in the general assembly 46th district (vote for 1)"/>
    <x v="5"/>
  </r>
  <r>
    <x v="16"/>
    <n v="1"/>
    <n v="16062"/>
    <n v="12180"/>
    <n v="3882"/>
    <s v="PA_Alleg_2020g~Gen-representative in the general assembly 40th district (vote for 1)"/>
    <x v="5"/>
  </r>
  <r>
    <x v="16"/>
    <n v="1"/>
    <n v="22106"/>
    <n v="18126"/>
    <n v="3980"/>
    <s v="PA_Alleg_2020g~Gen-representative in the general assembly 44th district (vote for 1)"/>
    <x v="5"/>
  </r>
  <r>
    <x v="16"/>
    <n v="1"/>
    <n v="23309"/>
    <n v="19217"/>
    <n v="4092"/>
    <s v="PA_Alleg_2020g~Gen-representative in the general assembly 30th district (vote for 1)"/>
    <x v="5"/>
  </r>
  <r>
    <x v="16"/>
    <n v="1"/>
    <n v="20352"/>
    <n v="15930"/>
    <n v="4422"/>
    <s v="PA_Alleg_2020g~Gen-representative in the general assembly 38th district (vote for 1)"/>
    <x v="5"/>
  </r>
  <r>
    <x v="16"/>
    <n v="1"/>
    <n v="19445"/>
    <n v="13896"/>
    <n v="5549"/>
    <s v="PA_Alleg_2020g~Gen-representative in the general assembly 25th district (vote for 1)"/>
    <x v="5"/>
  </r>
  <r>
    <x v="16"/>
    <n v="1"/>
    <n v="57782"/>
    <n v="51561"/>
    <n v="6221"/>
    <s v="PA_Alleg_2020g~Gen-senator in the general assembly 45th district (vote for 1)"/>
    <x v="5"/>
  </r>
  <r>
    <x v="16"/>
    <n v="1"/>
    <n v="18218"/>
    <n v="11335"/>
    <n v="6883"/>
    <s v="PA_Alleg_2020g~Gen-representative in the general assembly 39th district (vote for 1)"/>
    <x v="5"/>
  </r>
  <r>
    <x v="16"/>
    <n v="1"/>
    <n v="20064"/>
    <n v="11980"/>
    <n v="8084"/>
    <s v="PA_Alleg_2020g~Gen-representative in the general assembly 36th district (vote for 1)"/>
    <x v="5"/>
  </r>
  <r>
    <x v="16"/>
    <n v="1"/>
    <n v="22833"/>
    <n v="14165"/>
    <n v="8668"/>
    <s v="PA_Alleg_2020g~Gen-representative in the general assembly 45th district (vote for 1)"/>
    <x v="5"/>
  </r>
  <r>
    <x v="16"/>
    <n v="1"/>
    <n v="24035"/>
    <n v="12170"/>
    <n v="11865"/>
    <s v="PA_Alleg_2020g~Gen-representative in the general assembly 21st district (vote for 1)"/>
    <x v="5"/>
  </r>
  <r>
    <x v="16"/>
    <n v="1"/>
    <n v="25552"/>
    <n v="11762"/>
    <n v="13790"/>
    <s v="PA_Alleg_2020g~Gen-representative in the general assembly 42nd district (vote for 1)"/>
    <x v="5"/>
  </r>
  <r>
    <x v="16"/>
    <n v="1"/>
    <n v="24642"/>
    <n v="4197"/>
    <n v="20445"/>
    <s v="PA_Alleg_2020g~Gen-representative in the general assembly 23rd district (vote for 1)"/>
    <x v="5"/>
  </r>
  <r>
    <x v="16"/>
    <n v="1"/>
    <n v="177474"/>
    <n v="150726"/>
    <n v="26748"/>
    <s v="PA_Alleg_2020g~Gen-representative in congress 17th district (vote for 1)"/>
    <x v="5"/>
  </r>
  <r>
    <x v="16"/>
    <n v="1"/>
    <n v="118479"/>
    <n v="32781"/>
    <n v="85698"/>
    <s v="PA_Alleg_2020g~Gen-pittsburgh hrc amendment (vote for 1)"/>
    <x v="2"/>
  </r>
  <r>
    <x v="16"/>
    <n v="1"/>
    <n v="396868"/>
    <n v="275577"/>
    <n v="121291"/>
    <s v="PA_Alleg_2020g~Gen-auditor general (vote for 1)"/>
    <x v="6"/>
  </r>
  <r>
    <x v="16"/>
    <n v="1"/>
    <n v="403803"/>
    <n v="270679"/>
    <n v="133124"/>
    <s v="PA_Alleg_2020g~Gen-state treasurer (vote for 1)"/>
    <x v="6"/>
  </r>
  <r>
    <x v="16"/>
    <n v="1"/>
    <n v="430759"/>
    <n v="282913"/>
    <n v="147846"/>
    <s v="PA_Alleg_2020g~Gen-presidential electors (vote for 1)"/>
    <x v="7"/>
  </r>
  <r>
    <x v="16"/>
    <n v="1"/>
    <n v="266084"/>
    <n v="118163"/>
    <n v="147921"/>
    <s v="PA_Alleg_2020g~Gen-representative in congress 18th district (vote for 1)"/>
    <x v="5"/>
  </r>
  <r>
    <x v="16"/>
    <n v="1"/>
    <n v="443166"/>
    <n v="246253"/>
    <n v="196913"/>
    <s v="PA_Alleg_2020g~Gen-attorney general (vote for 1)"/>
    <x v="6"/>
  </r>
  <r>
    <x v="17"/>
    <n v="1"/>
    <n v="137"/>
    <n v="73"/>
    <n v="64"/>
    <s v="PA_Merce_2018g~Gen-government study commission referendum,(vote for not more than  1)"/>
    <x v="0"/>
  </r>
  <r>
    <x v="17"/>
    <n v="1"/>
    <n v="22211"/>
    <n v="18200"/>
    <n v="4011"/>
    <s v="PA_Merce_2018g~Gen-governor and lieutenant governor,(vote for not more than  1)"/>
    <x v="0"/>
  </r>
  <r>
    <x v="17"/>
    <n v="1"/>
    <n v="22290"/>
    <n v="18136"/>
    <n v="4154"/>
    <s v="PA_Merce_2018g~Gen-united states senator,(vote for not more than  1)"/>
    <x v="0"/>
  </r>
  <r>
    <x v="17"/>
    <n v="1"/>
    <n v="22799"/>
    <n v="17842"/>
    <n v="4957"/>
    <s v="PA_Merce_2018g~Gen-u.s. rep, 16th district,(vote for not more than  1)"/>
    <x v="0"/>
  </r>
  <r>
    <x v="17"/>
    <n v="1"/>
    <n v="9282"/>
    <n v="3708"/>
    <n v="5574"/>
    <s v="PA_Merce_2018g~Gen-state rep, 8th district,(vote for not more than  1)"/>
    <x v="0"/>
  </r>
  <r>
    <x v="17"/>
    <n v="1"/>
    <n v="25980"/>
    <n v="15069"/>
    <n v="10911"/>
    <s v="PA_Merce_2018g~Gen-state sen, 50th district,(vote for not more than  1)"/>
    <x v="0"/>
  </r>
  <r>
    <x v="18"/>
    <n v="1"/>
    <n v="16"/>
    <n v="16"/>
    <n v="0"/>
    <s v="PA_Merce_2018p~Dem-precinct committeewoman fairview,(vote for not more than  1)"/>
    <x v="0"/>
  </r>
  <r>
    <x v="18"/>
    <n v="7"/>
    <n v="264"/>
    <n v="261"/>
    <n v="3"/>
    <s v="PA_Merce_2018p~Non-government study commissioner,(vote for not more than  7)"/>
    <x v="0"/>
  </r>
  <r>
    <x v="18"/>
    <n v="1"/>
    <n v="19"/>
    <n v="13"/>
    <n v="6"/>
    <s v="PA_Merce_2018p~Dem-precinct committeeman fairview,(vote for not more than  1)"/>
    <x v="0"/>
  </r>
  <r>
    <x v="18"/>
    <n v="1"/>
    <n v="38"/>
    <n v="22"/>
    <n v="16"/>
    <s v="PA_Merce_2018p~Dem-precinct committeewoman hermitage nw-3,(vote for not more than  1)"/>
    <x v="0"/>
  </r>
  <r>
    <x v="18"/>
    <n v="1"/>
    <n v="85"/>
    <n v="43"/>
    <n v="42"/>
    <s v="PA_Merce_2018p~Dem-precinct committeeman hermitage nw-4,(vote for not more than  1)"/>
    <x v="0"/>
  </r>
  <r>
    <x v="18"/>
    <n v="1"/>
    <n v="88"/>
    <n v="40"/>
    <n v="48"/>
    <s v="PA_Merce_2018p~Dem-precinct committeewoman south pymatuning,(vote for not more than  1)"/>
    <x v="0"/>
  </r>
  <r>
    <x v="18"/>
    <n v="1"/>
    <n v="2280"/>
    <n v="2205"/>
    <n v="75"/>
    <s v="PA_Merce_2018p~Rep-lieutenant governor,(vote for not more than  1)"/>
    <x v="0"/>
  </r>
  <r>
    <x v="18"/>
    <n v="1"/>
    <n v="460"/>
    <n v="140"/>
    <n v="320"/>
    <s v="PA_Merce_2018p~Non-government study commission referendum,(vote for not more than  1)"/>
    <x v="0"/>
  </r>
  <r>
    <x v="18"/>
    <n v="2"/>
    <n v="2922"/>
    <n v="2249"/>
    <n v="673"/>
    <s v="PA_Merce_2018p~Dem-state committee,(vote for not more than  2)"/>
    <x v="0"/>
  </r>
  <r>
    <x v="18"/>
    <n v="1"/>
    <n v="3746"/>
    <n v="2658"/>
    <n v="1088"/>
    <s v="PA_Merce_2018p~Rep-united states senator,(vote for not more than  1)"/>
    <x v="0"/>
  </r>
  <r>
    <x v="18"/>
    <n v="1"/>
    <n v="3833"/>
    <n v="2090"/>
    <n v="1743"/>
    <s v="PA_Merce_2018p~Rep-governor,(vote for not more than  1)"/>
    <x v="0"/>
  </r>
  <r>
    <x v="18"/>
    <n v="1"/>
    <n v="3386"/>
    <n v="1326"/>
    <n v="2060"/>
    <s v="PA_Merce_2018p~Dem-u.s. rep, 16th district,(vote for not more than  1)"/>
    <x v="0"/>
  </r>
  <r>
    <x v="18"/>
    <n v="1"/>
    <n v="3512"/>
    <n v="1033"/>
    <n v="2479"/>
    <s v="PA_Merce_2018p~Dem-lieutenant governor,(vote for not more than  1)"/>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r>
    <x v="19"/>
    <m/>
    <m/>
    <m/>
    <m/>
    <m/>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28">
  <r>
    <n v="501.5"/>
    <n v="501.5"/>
    <n v="99.00498313809446"/>
    <n v="0.9900498313809446"/>
    <n v="20895.63"/>
    <n v="2089563"/>
    <n v="10447.815000000001"/>
    <s v=""/>
    <x v="0"/>
    <n v="2"/>
    <n v="501.5"/>
    <n v="279"/>
    <n v="278"/>
    <n v="1"/>
    <s v="AZ_Maric_2020g~Gen-gila bend usd #24-gbm-4yr (vote for2)"/>
    <n v="4.7856896394126422E-7"/>
    <m/>
    <m/>
    <n v="0"/>
    <n v="0"/>
    <n v="0"/>
    <n v="0"/>
  </r>
  <r>
    <n v="116.25"/>
    <n v="116.25"/>
    <n v="92.31162050179779"/>
    <n v="0.92311620501797798"/>
    <n v="20895.63"/>
    <n v="2089563"/>
    <n v="10447.815000000001"/>
    <s v=""/>
    <x v="0"/>
    <n v="1"/>
    <n v="150"/>
    <n v="79"/>
    <n v="71"/>
    <n v="8"/>
    <s v="AZ_Maric_2020g~Gen-apache junction-mayor (vote for1)"/>
    <n v="3.8285517115301138E-6"/>
    <m/>
    <m/>
    <n v="0"/>
    <n v="0"/>
    <n v="0"/>
    <n v="0"/>
  </r>
  <r>
    <n v="192.42962962962963"/>
    <n v="192.42962962962963"/>
    <n v="91.393100813259394"/>
    <n v="0.91393100813259398"/>
    <n v="20895.63"/>
    <n v="2089563"/>
    <n v="10447.815000000001"/>
    <s v=""/>
    <x v="0"/>
    <n v="3"/>
    <n v="279.33333333333331"/>
    <n v="186"/>
    <n v="177"/>
    <n v="9"/>
    <s v="AZ_Maric_2020g~Gen-arlington esd #47-gbm-4yr (vote for3)"/>
    <n v="4.3071206754713784E-6"/>
    <m/>
    <m/>
    <n v="0"/>
    <n v="0"/>
    <n v="0"/>
    <n v="0"/>
  </r>
  <r>
    <n v="2450.5500000000002"/>
    <n v="2450.5500000000002"/>
    <n v="72.614725779480494"/>
    <n v="0.72614725779480493"/>
    <n v="20895.63"/>
    <n v="2089563"/>
    <n v="10447.815000000001"/>
    <s v=""/>
    <x v="0"/>
    <n v="3"/>
    <n v="12648"/>
    <n v="70"/>
    <n v="38"/>
    <n v="32"/>
    <s v="AZ_Maric_2020g~Gen-littleton esd #65-gbm-4yr (vote for3)"/>
    <n v="1.5314206846120455E-5"/>
    <m/>
    <m/>
    <n v="0"/>
    <n v="0"/>
    <n v="0"/>
    <n v="0"/>
  </r>
  <r>
    <n v="773.53157894736842"/>
    <n v="773.53157894736842"/>
    <n v="46.765996324652711"/>
    <n v="0.46765996324652709"/>
    <n v="20895.63"/>
    <n v="2089563"/>
    <n v="10447.815000000001"/>
    <s v=""/>
    <x v="0"/>
    <n v="1"/>
    <n v="9482"/>
    <n v="292"/>
    <n v="216"/>
    <n v="76"/>
    <s v="AZ_Maric_2020g~Gen-westmec - dist 5 (vote for1)"/>
    <n v="3.6371241259536086E-5"/>
    <m/>
    <m/>
    <n v="0"/>
    <n v="0"/>
    <n v="0"/>
    <n v="0"/>
  </r>
  <r>
    <n v="61.761538461538464"/>
    <n v="71.484000000000009"/>
    <n v="35.34455340094587"/>
    <n v="0.35344553400945872"/>
    <n v="20895.63"/>
    <n v="2089563"/>
    <n v="10447.815000000001"/>
    <s v=""/>
    <x v="0"/>
    <n v="1"/>
    <n v="1036"/>
    <n v="570"/>
    <n v="466"/>
    <n v="104"/>
    <s v="AZ_Maric_2020g~Gen-palo verde esd #49-question  (vote for1)"/>
    <n v="4.9771172249891483E-5"/>
    <m/>
    <m/>
    <n v="0"/>
    <n v="0"/>
    <n v="0"/>
    <n v="0"/>
  </r>
  <r>
    <n v="2648.5758620689658"/>
    <n v="3419.2260000000001"/>
    <n v="31.347608700594172"/>
    <n v="0.31347608700594171"/>
    <n v="20895.63"/>
    <n v="2089563"/>
    <n v="10447.815000000001"/>
    <s v=""/>
    <x v="0"/>
    <n v="1"/>
    <n v="49554"/>
    <n v="15929"/>
    <n v="15813"/>
    <n v="116"/>
    <s v="AZ_Maric_2020g~Gen-phoenix dist 7-councilmember (vote for1)"/>
    <n v="5.5513999817186659E-5"/>
    <m/>
    <m/>
    <n v="0"/>
    <n v="0"/>
    <n v="0"/>
    <n v="0"/>
  </r>
  <r>
    <n v="27.105785123966943"/>
    <n v="36.501000000000005"/>
    <n v="29.818683227302206"/>
    <n v="0.29818683227302206"/>
    <n v="20895.63"/>
    <n v="2089563"/>
    <n v="10447.815000000001"/>
    <s v=""/>
    <x v="0"/>
    <n v="1"/>
    <n v="529"/>
    <n v="323"/>
    <n v="202"/>
    <n v="121"/>
    <s v="AZ_Maric_2020g~Gen-gila bend usd #24-gbm-2yr (vote for1)"/>
    <n v="5.7906844636892977E-5"/>
    <m/>
    <m/>
    <n v="0"/>
    <n v="0"/>
    <n v="0"/>
    <n v="0"/>
  </r>
  <r>
    <n v="512.6036281179139"/>
    <n v="838.60300000000007"/>
    <n v="22.991359618320157"/>
    <n v="0.22991359618320156"/>
    <n v="20895.63"/>
    <n v="2089563"/>
    <n v="10447.815000000001"/>
    <s v=""/>
    <x v="0"/>
    <n v="3"/>
    <n v="12153.666666666666"/>
    <n v="6254"/>
    <n v="6107"/>
    <n v="147"/>
    <s v="AZ_Maric_2020g~Gen-creighton esd #14-gbm-4yr (vote for3)"/>
    <n v="7.0349637699365847E-5"/>
    <m/>
    <m/>
    <n v="0"/>
    <n v="0"/>
    <n v="0"/>
    <n v="0"/>
  </r>
  <r>
    <n v="153.12899408284022"/>
    <n v="288.00600000000003"/>
    <n v="18.45069133030221"/>
    <n v="0.1845069133030221"/>
    <n v="20895.63"/>
    <n v="2089563"/>
    <n v="10447.815000000001"/>
    <s v=""/>
    <x v="0"/>
    <n v="3"/>
    <n v="4174"/>
    <n v="474"/>
    <n v="305"/>
    <n v="169"/>
    <s v="AZ_Maric_2020g~Gen-buckeye uhsd #201-gbm-4yr (vote for3)"/>
    <n v="8.0878154906073666E-5"/>
    <m/>
    <m/>
    <n v="0"/>
    <n v="0"/>
    <n v="0"/>
    <n v="0"/>
  </r>
  <r>
    <n v="178.17206703910617"/>
    <n v="354.93600000000004"/>
    <n v="16.694736873407752"/>
    <n v="0.16694736873407751"/>
    <n v="20895.63"/>
    <n v="2089563"/>
    <n v="10447.815000000001"/>
    <s v=""/>
    <x v="0"/>
    <n v="3"/>
    <n v="5144"/>
    <n v="3386"/>
    <n v="3207"/>
    <n v="179"/>
    <s v="AZ_Maric_2020g~Gen-balsz esd #31-gbm-4yr (vote for3)"/>
    <n v="8.5663844545486303E-5"/>
    <m/>
    <m/>
    <n v="0"/>
    <n v="0"/>
    <n v="0"/>
    <n v="0"/>
  </r>
  <r>
    <n v="15.075126903553301"/>
    <n v="33.051000000000002"/>
    <n v="13.944390549272507"/>
    <n v="0.13944390549272506"/>
    <n v="20895.63"/>
    <n v="2089563"/>
    <n v="10447.815000000001"/>
    <s v=""/>
    <x v="0"/>
    <n v="1"/>
    <n v="479"/>
    <n v="338"/>
    <n v="141"/>
    <n v="197"/>
    <s v="AZ_Maric_2020g~Gen-wilson esd #7-question (vote for1)"/>
    <n v="9.4278085896429056E-5"/>
    <m/>
    <m/>
    <n v="0"/>
    <n v="0"/>
    <n v="0"/>
    <n v="0"/>
  </r>
  <r>
    <n v="43.696414342629481"/>
    <n v="122.06100000000001"/>
    <n v="8.1255987864799959"/>
    <n v="8.1255987864799956E-2"/>
    <n v="20895.63"/>
    <n v="2089563"/>
    <n v="10447.815000000001"/>
    <s v=""/>
    <x v="0"/>
    <n v="1"/>
    <n v="1769"/>
    <n v="1010"/>
    <n v="759"/>
    <n v="251"/>
    <s v="AZ_Maric_2020g~Gen-riverside esd #2-question 1 (vote for1)"/>
    <n v="1.2012080994925733E-4"/>
    <m/>
    <m/>
    <n v="0"/>
    <n v="0"/>
    <n v="0"/>
    <n v="0"/>
  </r>
  <r>
    <n v="1726.2082758620691"/>
    <n v="5571.1980000000003"/>
    <n v="5.5012147369551654"/>
    <n v="5.5012147369551657E-2"/>
    <n v="20895.63"/>
    <n v="2089563"/>
    <n v="10447.815000000001"/>
    <s v=""/>
    <x v="0"/>
    <n v="3"/>
    <n v="80742"/>
    <n v="32298"/>
    <n v="32008"/>
    <n v="290"/>
    <s v="AZ_Maric_2020g~Gen-peoria usd #11-gbm-4yr (vote for3)"/>
    <n v="1.3878499954296663E-4"/>
    <m/>
    <m/>
    <n v="0"/>
    <n v="0"/>
    <n v="0"/>
    <n v="0"/>
  </r>
  <r>
    <n v="1355.5606614447347"/>
    <n v="5777.9680000000008"/>
    <n v="2.1701995873856221"/>
    <n v="2.1701995873856222E-2"/>
    <n v="20895.63"/>
    <n v="2089563"/>
    <n v="10447.815000000001"/>
    <s v=""/>
    <x v="0"/>
    <n v="3"/>
    <n v="83738.666666666672"/>
    <n v="41853"/>
    <n v="41470"/>
    <n v="383"/>
    <s v="AZ_Maric_2020g~Gen-scottsdale usd #48-gbm-4yr (vote for3)"/>
    <n v="1.8329191318950422E-4"/>
    <m/>
    <m/>
    <n v="0"/>
    <n v="0"/>
    <n v="0"/>
    <n v="0"/>
  </r>
  <r>
    <n v="6531.2461538461539"/>
    <n v="29292.639000000003"/>
    <n v="1.7767422955913641"/>
    <n v="1.7767422955913641E-2"/>
    <n v="20895.63"/>
    <n v="2089563"/>
    <n v="10447.815000000001"/>
    <s v=""/>
    <x v="0"/>
    <n v="1"/>
    <n v="424531"/>
    <n v="212252"/>
    <n v="211849"/>
    <n v="403"/>
    <s v="AZ_Maric_2020g~Gen-board of supervisors dist 1 (vote for1)"/>
    <n v="1.9286329246832949E-4"/>
    <m/>
    <m/>
    <n v="0"/>
    <n v="0"/>
    <n v="0"/>
    <n v="0"/>
  </r>
  <r>
    <n v="273.75076674737693"/>
    <n v="1258.2380000000001"/>
    <n v="1.6076315148310409"/>
    <n v="1.607631514831041E-2"/>
    <n v="20895.63"/>
    <n v="2089563"/>
    <n v="10447.815000000001"/>
    <s v=""/>
    <x v="0"/>
    <n v="3"/>
    <n v="18235.333333333332"/>
    <n v="13104"/>
    <n v="12691"/>
    <n v="413"/>
    <s v="AZ_Maric_2020g~Gen-madison esd #38-gbm-4yr (vote for3)"/>
    <n v="1.9764898210774214E-4"/>
    <m/>
    <m/>
    <n v="0"/>
    <n v="0"/>
    <n v="0"/>
    <n v="0"/>
  </r>
  <r>
    <n v="8.7149674620390449"/>
    <n v="44.712000000000003"/>
    <n v="0.99467580544149137"/>
    <n v="9.9467580544149135E-3"/>
    <n v="20895.63"/>
    <n v="2089563"/>
    <n v="10447.815000000001"/>
    <s v=""/>
    <x v="0"/>
    <n v="1"/>
    <n v="648"/>
    <n v="554"/>
    <n v="93"/>
    <n v="461"/>
    <s v="AZ_Maric_2020g~Gen-us rep dist cd-1 (vote for1)"/>
    <n v="2.2062029237692284E-4"/>
    <m/>
    <m/>
    <n v="0"/>
    <n v="0"/>
    <n v="0"/>
    <n v="0"/>
  </r>
  <r>
    <n v="710.50983606557384"/>
    <n v="3858.7560000000003"/>
    <n v="0.75926854921297049"/>
    <n v="7.5926854921297051E-3"/>
    <n v="20895.63"/>
    <n v="2089563"/>
    <n v="10447.815000000001"/>
    <s v=""/>
    <x v="0"/>
    <n v="3"/>
    <n v="55924"/>
    <n v="33212"/>
    <n v="32724"/>
    <n v="488"/>
    <s v="AZ_Maric_2020g~Gen-kyrene esd #28-gbm-4yr (vote for3)"/>
    <n v="2.3354165440333697E-4"/>
    <m/>
    <m/>
    <n v="0"/>
    <n v="0"/>
    <n v="0"/>
    <n v="0"/>
  </r>
  <r>
    <n v="1500.9239436619719"/>
    <n v="8301.8040000000001"/>
    <n v="0.69390448199832033"/>
    <n v="6.939044819983203E-3"/>
    <n v="20895.63"/>
    <n v="2089563"/>
    <n v="10447.815000000001"/>
    <s v=""/>
    <x v="0"/>
    <n v="1"/>
    <n v="120316"/>
    <n v="60339"/>
    <n v="59842"/>
    <n v="497"/>
    <s v="AZ_Maric_2020g~Gen-state senator dist-28 (vote for1)"/>
    <n v="2.3784877507880835E-4"/>
    <m/>
    <m/>
    <n v="0"/>
    <n v="0"/>
    <n v="0"/>
    <n v="0"/>
  </r>
  <r>
    <n v="591.86817391304351"/>
    <n v="3787.4790000000003"/>
    <n v="0.31802633235059358"/>
    <n v="3.180263323505936E-3"/>
    <n v="20895.63"/>
    <n v="2089563"/>
    <n v="10447.815000000001"/>
    <s v=""/>
    <x v="0"/>
    <n v="3"/>
    <n v="54891"/>
    <n v="25426"/>
    <n v="24851"/>
    <n v="575"/>
    <s v="AZ_Maric_2020g~Gen-dysart usd #89-gbm-4yr (vote for3)"/>
    <n v="2.7517715426622695E-4"/>
    <m/>
    <m/>
    <n v="0"/>
    <n v="0"/>
    <n v="0"/>
    <n v="0"/>
  </r>
  <r>
    <n v="56.095238095238102"/>
    <n v="367.08000000000004"/>
    <n v="0.27924736390533722"/>
    <n v="2.792473639053372E-3"/>
    <n v="20895.63"/>
    <n v="2089563"/>
    <n v="10447.815000000001"/>
    <s v=""/>
    <x v="0"/>
    <n v="1"/>
    <n v="5320"/>
    <n v="2954"/>
    <n v="2366"/>
    <n v="588"/>
    <s v="AZ_Maric_2020g~Gen-saddle mtn usd #90-question (vote for1)"/>
    <n v="2.8139855079746339E-4"/>
    <m/>
    <m/>
    <n v="0"/>
    <n v="0"/>
    <n v="0"/>
    <n v="0"/>
  </r>
  <r>
    <n v="21.836610169491525"/>
    <n v="143.38200000000001"/>
    <n v="0.27371635209725942"/>
    <n v="2.737163520972594E-3"/>
    <n v="20895.63"/>
    <n v="2089563"/>
    <n v="10447.815000000001"/>
    <s v=""/>
    <x v="0"/>
    <n v="1"/>
    <n v="2078"/>
    <n v="1334"/>
    <n v="744"/>
    <n v="590"/>
    <s v="AZ_Maric_2020g~Gen-tolleson-proposition 435 (vote for1)"/>
    <n v="2.8235568872534594E-4"/>
    <m/>
    <m/>
    <n v="0"/>
    <n v="0"/>
    <n v="0"/>
    <n v="0"/>
  </r>
  <r>
    <n v="17.599999999999998"/>
    <n v="121.44000000000001"/>
    <n v="0.20275644358667336"/>
    <n v="2.0275644358667337E-3"/>
    <n v="20895.63"/>
    <n v="2089563"/>
    <n v="10447.815000000001"/>
    <s v=""/>
    <x v="0"/>
    <n v="1"/>
    <n v="1760"/>
    <n v="1190"/>
    <n v="570"/>
    <n v="620"/>
    <s v="AZ_Maric_2020g~Gen-riverside esd #2-question 2 (vote for1)"/>
    <n v="2.9671275764358386E-4"/>
    <m/>
    <m/>
    <n v="0"/>
    <n v="0"/>
    <n v="0"/>
    <n v="0"/>
  </r>
  <r>
    <n v="118.9902953586498"/>
    <n v="836.92400000000009"/>
    <n v="0.17982236680701"/>
    <n v="1.7982236680700999E-3"/>
    <n v="20895.63"/>
    <n v="2089563"/>
    <n v="10447.815000000001"/>
    <s v=""/>
    <x v="0"/>
    <n v="3"/>
    <n v="12129.333333333334"/>
    <n v="5980"/>
    <n v="5348"/>
    <n v="632"/>
    <s v="AZ_Maric_2020g~Gen-phoenix esd #1-gbm-4yr (vote for3)"/>
    <n v="3.0245558521087903E-4"/>
    <m/>
    <m/>
    <n v="0"/>
    <n v="0"/>
    <n v="0"/>
    <n v="0"/>
  </r>
  <r>
    <n v="71.498263447691656"/>
    <n v="626.221"/>
    <n v="3.8146844404583539E-2"/>
    <n v="3.8146844404583541E-4"/>
    <n v="20895.63"/>
    <n v="2089563"/>
    <n v="10447.815000000001"/>
    <s v=""/>
    <x v="0"/>
    <n v="3"/>
    <n v="9075.6666666666661"/>
    <n v="6234"/>
    <n v="5447"/>
    <n v="787"/>
    <s v="AZ_Maric_2020g~Gen-buckeye esd #33-gbm-4yr (vote for3)"/>
    <n v="3.7663377462177501E-4"/>
    <m/>
    <m/>
    <n v="0"/>
    <n v="0"/>
    <n v="0"/>
    <n v="0"/>
  </r>
  <r>
    <n v="197.36790419161679"/>
    <n v="1834.0890000000002"/>
    <n v="2.3600234989213091E-2"/>
    <n v="2.3600234989213092E-4"/>
    <n v="20895.63"/>
    <n v="2089563"/>
    <n v="10447.815000000001"/>
    <s v=""/>
    <x v="0"/>
    <n v="3"/>
    <n v="26581"/>
    <n v="14349"/>
    <n v="13514"/>
    <n v="835"/>
    <s v="AZ_Maric_2020g~Gen-cave creek usd #93-gbm-4yr (vote for3)"/>
    <n v="3.9960508489095568E-4"/>
    <m/>
    <m/>
    <n v="0"/>
    <n v="0"/>
    <n v="0"/>
    <n v="0"/>
  </r>
  <r>
    <n v="118.23393425238601"/>
    <n v="1240.827"/>
    <n v="8.0108509365095087E-3"/>
    <n v="8.0108509365095092E-5"/>
    <n v="20895.63"/>
    <n v="2089563"/>
    <n v="10447.815000000001"/>
    <s v=""/>
    <x v="0"/>
    <n v="1"/>
    <n v="17983"/>
    <n v="9463"/>
    <n v="8520"/>
    <n v="943"/>
    <s v="AZ_Maric_2020g~Gen-liberty esd #25-question (vote for1)"/>
    <n v="4.512905329966122E-4"/>
    <m/>
    <m/>
    <n v="0"/>
    <n v="0"/>
    <n v="0"/>
    <n v="0"/>
  </r>
  <r>
    <n v="549.47783882783881"/>
    <n v="6677.7510000000002"/>
    <n v="1.8041166639838294E-3"/>
    <n v="1.8041166639838293E-5"/>
    <n v="20895.63"/>
    <n v="2089563"/>
    <n v="10447.815000000001"/>
    <s v=""/>
    <x v="0"/>
    <n v="2"/>
    <n v="96779"/>
    <n v="64501"/>
    <n v="63409"/>
    <n v="1092"/>
    <s v="AZ_Maric_2020g~Gen-state rep dist-17 (vote for2)"/>
    <n v="5.225973086238606E-4"/>
    <m/>
    <m/>
    <n v="0"/>
    <n v="0"/>
    <n v="0"/>
    <n v="0"/>
  </r>
  <r>
    <n v="143.74132132132132"/>
    <n v="1775.6690000000001"/>
    <n v="1.5067819177980476E-3"/>
    <n v="1.5067819177980476E-5"/>
    <n v="20895.63"/>
    <n v="2089563"/>
    <n v="10447.815000000001"/>
    <s v=""/>
    <x v="0"/>
    <n v="3"/>
    <n v="25734.333333333332"/>
    <n v="18260"/>
    <n v="17150"/>
    <n v="1110"/>
    <s v="AZ_Maric_2020g~Gen-higley usd #60-gbm-4yr (vote for3)"/>
    <n v="5.312115499748033E-4"/>
    <m/>
    <m/>
    <n v="0"/>
    <n v="0"/>
    <n v="0"/>
    <n v="0"/>
  </r>
  <r>
    <n v="154.27595155709344"/>
    <n v="1984.7850000000001"/>
    <n v="9.5096943239990491E-4"/>
    <n v="9.5096943239990487E-6"/>
    <n v="20895.63"/>
    <n v="2089563"/>
    <n v="10447.815000000001"/>
    <s v=""/>
    <x v="0"/>
    <n v="3"/>
    <n v="28765"/>
    <n v="1851"/>
    <n v="695"/>
    <n v="1156"/>
    <s v="AZ_Maric_2020g~Gen-roosevelt esd #66-gbm-4yr (vote for3)"/>
    <n v="5.5322572231610153E-4"/>
    <m/>
    <m/>
    <n v="0"/>
    <n v="0"/>
    <n v="0"/>
    <n v="0"/>
  </r>
  <r>
    <n v="10.507148864592095"/>
    <n v="139.03500000000003"/>
    <n v="6.8354783916411868E-4"/>
    <n v="6.8354783916411863E-6"/>
    <n v="20895.63"/>
    <n v="2089563"/>
    <n v="10447.815000000001"/>
    <s v=""/>
    <x v="0"/>
    <n v="1"/>
    <n v="2015"/>
    <n v="1602"/>
    <n v="413"/>
    <n v="1189"/>
    <s v="AZ_Maric_2020g~Gen-tolleson-proposition 436 (vote for1)"/>
    <n v="5.6901849812616328E-4"/>
    <m/>
    <m/>
    <n v="0"/>
    <n v="0"/>
    <n v="0"/>
    <n v="0"/>
  </r>
  <r>
    <n v="507.01995053586154"/>
    <n v="6844.5240000000003"/>
    <n v="5.3762356563087947E-4"/>
    <n v="5.3762356563087944E-6"/>
    <n v="20895.63"/>
    <n v="2089563"/>
    <n v="10447.815000000001"/>
    <s v=""/>
    <x v="0"/>
    <n v="3"/>
    <n v="99196"/>
    <n v="41361"/>
    <n v="40148"/>
    <n v="1213"/>
    <s v="AZ_Maric_2020g~Gen-tempe uhsd #213-gbm-4yr (vote for3)"/>
    <n v="5.8050415326075361E-4"/>
    <m/>
    <m/>
    <n v="0"/>
    <n v="0"/>
    <n v="0"/>
    <n v="0"/>
  </r>
  <r>
    <n v="9.5826606875934246"/>
    <n v="142.69200000000001"/>
    <n v="1.5391417445380376E-4"/>
    <n v="1.5391417445380377E-6"/>
    <n v="20895.63"/>
    <n v="2089563"/>
    <n v="10447.815000000001"/>
    <s v=""/>
    <x v="0"/>
    <n v="1"/>
    <n v="2068"/>
    <n v="1703"/>
    <n v="365"/>
    <n v="1338"/>
    <s v="AZ_Maric_2020g~Gen-rio verde fire dist-question (vote for1)"/>
    <n v="6.4032527375341161E-4"/>
    <m/>
    <m/>
    <n v="0"/>
    <n v="0"/>
    <n v="0"/>
    <n v="0"/>
  </r>
  <r>
    <n v="8.459774685222003"/>
    <n v="142.071"/>
    <n v="2.7805376960267467E-5"/>
    <n v="2.7805376960267468E-7"/>
    <n v="20895.63"/>
    <n v="2089563"/>
    <n v="10447.815000000001"/>
    <s v=""/>
    <x v="0"/>
    <n v="1"/>
    <n v="2059"/>
    <n v="1784"/>
    <n v="275"/>
    <n v="1509"/>
    <s v="AZ_Maric_2020g~Gen-tolleson-proposition 434 (vote for1)"/>
    <n v="7.2216056658736775E-4"/>
    <m/>
    <m/>
    <n v="0"/>
    <n v="0"/>
    <n v="0"/>
    <n v="0"/>
  </r>
  <r>
    <n v="41.572401644157374"/>
    <n v="787.91100000000006"/>
    <n v="3.9897845061221005E-6"/>
    <n v="3.9897845061221005E-8"/>
    <n v="20895.63"/>
    <n v="2089563"/>
    <n v="10447.815000000001"/>
    <s v=""/>
    <x v="0"/>
    <n v="3"/>
    <n v="11419"/>
    <n v="7451"/>
    <n v="5748"/>
    <n v="1703"/>
    <s v="AZ_Maric_2020g~Gen-laveen esd #59-gbm-4yr (vote for3)"/>
    <n v="8.150029455919731E-4"/>
    <m/>
    <m/>
    <n v="0"/>
    <n v="0"/>
    <n v="0"/>
    <n v="0"/>
  </r>
  <r>
    <n v="111.81182212581345"/>
    <n v="2294.5950000000003"/>
    <n v="9.7291309001081733E-7"/>
    <n v="9.7291309001081731E-9"/>
    <n v="20895.63"/>
    <n v="2089563"/>
    <n v="10447.815000000001"/>
    <s v=""/>
    <x v="0"/>
    <n v="3"/>
    <n v="33255"/>
    <n v="2498"/>
    <n v="654"/>
    <n v="1844"/>
    <s v="AZ_Maric_2020g~Gen-tempe esd #3-gbm-4yr (vote for3)"/>
    <n v="8.8248116950769137E-4"/>
    <m/>
    <m/>
    <n v="0"/>
    <n v="0"/>
    <n v="0"/>
    <n v="0"/>
  </r>
  <r>
    <n v="452.83820704375671"/>
    <n v="9444.3060000000005"/>
    <n v="7.2055923150301555E-7"/>
    <n v="7.2055923150301555E-9"/>
    <n v="20895.63"/>
    <n v="2089563"/>
    <n v="10447.815000000001"/>
    <s v=""/>
    <x v="0"/>
    <n v="3"/>
    <n v="136874"/>
    <n v="70788"/>
    <n v="68914"/>
    <n v="1874"/>
    <s v="AZ_Maric_2020g~Gen-mesa usd #4-gbm-4yr (vote for3)"/>
    <n v="8.9683823842592924E-4"/>
    <m/>
    <m/>
    <n v="0"/>
    <n v="0"/>
    <n v="0"/>
    <n v="0"/>
  </r>
  <r>
    <n v="14.01427193828351"/>
    <n v="323.47200000000004"/>
    <n v="9.7332839753400907E-8"/>
    <n v="9.7332839753400905E-10"/>
    <n v="20895.63"/>
    <n v="2089563"/>
    <n v="10447.815000000001"/>
    <s v=""/>
    <x v="0"/>
    <n v="3"/>
    <n v="4688"/>
    <n v="3923"/>
    <n v="1849"/>
    <n v="2074"/>
    <s v="AZ_Maric_2020g~Gen-isaac esd #5-gbm-4yr (vote for3)"/>
    <n v="9.9255203121418212E-4"/>
    <m/>
    <m/>
    <n v="0"/>
    <n v="0"/>
    <n v="0"/>
    <n v="0"/>
  </r>
  <r>
    <n v="210.3223091076357"/>
    <n v="5088.6465000000007"/>
    <n v="3.5770335321565245E-8"/>
    <n v="3.5770335321565243E-10"/>
    <n v="20895.63"/>
    <n v="2089563"/>
    <n v="10447.815000000001"/>
    <s v=""/>
    <x v="0"/>
    <n v="2"/>
    <n v="73748.5"/>
    <n v="49268"/>
    <n v="47094"/>
    <n v="2174"/>
    <s v="AZ_Maric_2020g~Gen-state rep dist-20 (vote for2)"/>
    <n v="1.0404089276083086E-3"/>
    <m/>
    <m/>
    <n v="0"/>
    <n v="0"/>
    <n v="0"/>
    <n v="0"/>
  </r>
  <r>
    <n v="12.566803465572276"/>
    <n v="306.70500000000004"/>
    <n v="2.9574726980922834E-8"/>
    <n v="2.9574726980922834E-10"/>
    <n v="20895.63"/>
    <n v="2089563"/>
    <n v="10447.815000000001"/>
    <s v=""/>
    <x v="0"/>
    <n v="1"/>
    <n v="4445"/>
    <n v="3319"/>
    <n v="1126"/>
    <n v="2193"/>
    <s v="AZ_Maric_2020g~Gen-tolleson esd #17-question (vote for1)"/>
    <n v="1.0495017379231926E-3"/>
    <m/>
    <m/>
    <n v="0"/>
    <n v="0"/>
    <n v="0"/>
    <n v="0"/>
  </r>
  <r>
    <n v="58.227336623298946"/>
    <n v="1444.4230000000002"/>
    <n v="2.0625720256930877E-8"/>
    <n v="2.0625720256930876E-10"/>
    <n v="20895.63"/>
    <n v="2089563"/>
    <n v="10447.815000000001"/>
    <s v=""/>
    <x v="0"/>
    <n v="3"/>
    <n v="20933.666666666668"/>
    <n v="13884"/>
    <n v="11655"/>
    <n v="2229"/>
    <s v="AZ_Maric_2020g~Gen-queen creek esd #95-gbm-4yr (vote for3)"/>
    <n v="1.066730220625078E-3"/>
    <m/>
    <m/>
    <n v="0"/>
    <n v="0"/>
    <n v="0"/>
    <n v="0"/>
  </r>
  <r>
    <n v="210.89323308270676"/>
    <n v="5618.8080000000009"/>
    <n v="3.9539361676823601E-9"/>
    <n v="3.9539361676823604E-11"/>
    <n v="20895.63"/>
    <n v="2089563"/>
    <n v="10447.815000000001"/>
    <s v=""/>
    <x v="0"/>
    <n v="2"/>
    <n v="81432"/>
    <n v="53441"/>
    <n v="51047"/>
    <n v="2394"/>
    <s v="AZ_Maric_2020g~Gen-state rep dist-21 (vote for2)"/>
    <n v="1.1456940996753867E-3"/>
    <m/>
    <m/>
    <n v="0"/>
    <n v="0"/>
    <n v="0"/>
    <n v="0"/>
  </r>
  <r>
    <n v="136.44739284739285"/>
    <n v="3708.2440000000001"/>
    <n v="2.4452698650421935E-9"/>
    <n v="2.4452698650421935E-11"/>
    <n v="20895.63"/>
    <n v="2089563"/>
    <n v="10447.815000000001"/>
    <s v=""/>
    <x v="0"/>
    <n v="3"/>
    <n v="53742.666666666664"/>
    <n v="31133"/>
    <n v="28691"/>
    <n v="2442"/>
    <s v="AZ_Maric_2020g~Gen-washington esd #6-gbm-4yr (vote for3)"/>
    <n v="1.1686654099445674E-3"/>
    <m/>
    <m/>
    <n v="0"/>
    <n v="0"/>
    <n v="0"/>
    <n v="0"/>
  </r>
  <r>
    <n v="44.923466774497911"/>
    <n v="1236.3880000000001"/>
    <n v="1.7928212134081957E-9"/>
    <n v="1.7928212134081956E-11"/>
    <n v="20895.63"/>
    <n v="2089563"/>
    <n v="10447.815000000001"/>
    <s v=""/>
    <x v="0"/>
    <n v="3"/>
    <n v="17918.666666666668"/>
    <n v="13745"/>
    <n v="11272"/>
    <n v="2473"/>
    <s v="AZ_Maric_2020g~Gen-glendale esd #40-gbm-4yr (vote for3)"/>
    <n v="1.1835010478267465E-3"/>
    <m/>
    <m/>
    <n v="0"/>
    <n v="0"/>
    <n v="0"/>
    <n v="0"/>
  </r>
  <r>
    <n v="49.667601246105917"/>
    <n v="1419.4680000000001"/>
    <n v="6.9256247421900987E-10"/>
    <n v="6.9256247421900984E-12"/>
    <n v="20895.63"/>
    <n v="2089563"/>
    <n v="10447.815000000001"/>
    <s v=""/>
    <x v="0"/>
    <n v="2"/>
    <n v="20572"/>
    <n v="13408"/>
    <n v="10840"/>
    <n v="2568"/>
    <s v="AZ_Maric_2020g~Gen-state rep dist-4 (vote for2)"/>
    <n v="1.2289650994011666E-3"/>
    <m/>
    <m/>
    <n v="0"/>
    <n v="0"/>
    <n v="0"/>
    <n v="0"/>
  </r>
  <r>
    <n v="23.146508966043498"/>
    <n v="675.16500000000008"/>
    <n v="4.0737720845517721E-10"/>
    <n v="4.0737720845517719E-12"/>
    <n v="20895.63"/>
    <n v="2089563"/>
    <n v="10447.815000000001"/>
    <s v=""/>
    <x v="0"/>
    <n v="1"/>
    <n v="9785"/>
    <n v="6203"/>
    <n v="3582"/>
    <n v="2621"/>
    <s v="AZ_Maric_2020g~Gen-balsz esd #31-question 2 (vote for1)"/>
    <n v="1.2543292544900536E-3"/>
    <m/>
    <m/>
    <n v="0"/>
    <n v="0"/>
    <n v="0"/>
    <n v="0"/>
  </r>
  <r>
    <n v="226.33890616004606"/>
    <n v="7292.3110000000006"/>
    <n v="2.6209403728329554E-11"/>
    <n v="2.6209403728329555E-13"/>
    <n v="20895.63"/>
    <n v="2089563"/>
    <n v="10447.815000000001"/>
    <s v=""/>
    <x v="0"/>
    <n v="3"/>
    <n v="105685.66666666667"/>
    <n v="58194"/>
    <n v="55299"/>
    <n v="2895"/>
    <s v="AZ_Maric_2020g~Gen-scottsdale-councilmember (vote for3)"/>
    <n v="1.3854571506099601E-3"/>
    <m/>
    <m/>
    <n v="0"/>
    <n v="0"/>
    <n v="0"/>
    <n v="0"/>
  </r>
  <r>
    <n v="73.204575163398701"/>
    <n v="2492.9700000000003"/>
    <n v="5.0216760973677035E-12"/>
    <n v="5.0216760973677039E-14"/>
    <n v="20895.63"/>
    <n v="2089563"/>
    <n v="10447.815000000001"/>
    <s v=""/>
    <x v="0"/>
    <n v="1"/>
    <n v="36130"/>
    <n v="19595"/>
    <n v="16535"/>
    <n v="3060"/>
    <s v="AZ_Maric_2020g~Gen-roosevelt esd #66-question (vote for1)"/>
    <n v="1.4644210296602686E-3"/>
    <m/>
    <m/>
    <n v="0"/>
    <n v="0"/>
    <n v="0"/>
    <n v="0"/>
  </r>
  <r>
    <n v="19.937373737373736"/>
    <n v="680.96100000000001"/>
    <n v="4.5888597665662609E-12"/>
    <n v="4.5888597665662611E-14"/>
    <n v="20895.63"/>
    <n v="2089563"/>
    <n v="10447.815000000001"/>
    <s v=""/>
    <x v="0"/>
    <n v="1"/>
    <n v="9869"/>
    <n v="6469"/>
    <n v="3400"/>
    <n v="3069"/>
    <s v="AZ_Maric_2020g~Gen-balsz esd #31-question 1 (vote for1)"/>
    <n v="1.46872815033574E-3"/>
    <m/>
    <m/>
    <n v="0"/>
    <n v="0"/>
    <n v="0"/>
    <n v="0"/>
  </r>
  <r>
    <n v="40.387248707639287"/>
    <n v="1565.0580000000002"/>
    <n v="7.3325078478807789E-14"/>
    <n v="7.3325078478807793E-16"/>
    <n v="20895.63"/>
    <n v="2089563"/>
    <n v="10447.815000000001"/>
    <s v=""/>
    <x v="0"/>
    <n v="1"/>
    <n v="22682"/>
    <n v="13082"/>
    <n v="9600"/>
    <n v="3482"/>
    <s v="AZ_Maric_2020g~Gen-cartwright esd #83-question (vote for1)"/>
    <n v="1.6663771324434821E-3"/>
    <m/>
    <m/>
    <n v="0"/>
    <n v="0"/>
    <n v="0"/>
    <n v="0"/>
  </r>
  <r>
    <n v="53.954171428571428"/>
    <n v="2101.6020000000003"/>
    <n v="6.122780759120738E-14"/>
    <n v="6.1227807591207379E-16"/>
    <n v="20895.63"/>
    <n v="2089563"/>
    <n v="10447.815000000001"/>
    <s v=""/>
    <x v="0"/>
    <n v="1"/>
    <n v="30458"/>
    <n v="16963"/>
    <n v="13463"/>
    <n v="3500"/>
    <s v="AZ_Maric_2020g~Gen-state senator dist-4 (vote for1)"/>
    <n v="1.6749913737944249E-3"/>
    <m/>
    <m/>
    <n v="0"/>
    <n v="0"/>
    <n v="0"/>
    <n v="0"/>
  </r>
  <r>
    <n v="76.833771929824564"/>
    <n v="3119.3520000000003"/>
    <n v="1.3902458859534402E-14"/>
    <n v="1.3902458859534402E-16"/>
    <n v="20895.63"/>
    <n v="2089563"/>
    <n v="10447.815000000001"/>
    <s v=""/>
    <x v="0"/>
    <n v="1"/>
    <n v="45208"/>
    <n v="24395"/>
    <n v="20747"/>
    <n v="3648"/>
    <s v="AZ_Maric_2020g~Gen-jp-moon valley (vote for1)"/>
    <n v="1.745819580457732E-3"/>
    <m/>
    <m/>
    <n v="0"/>
    <n v="0"/>
    <n v="0"/>
    <n v="0"/>
  </r>
  <r>
    <n v="105.78857720495324"/>
    <n v="4658.6730000000007"/>
    <n v="6.2903549704915178E-16"/>
    <n v="6.2903549704915181E-18"/>
    <n v="20895.63"/>
    <n v="2089563"/>
    <n v="10447.815000000001"/>
    <s v=""/>
    <x v="0"/>
    <n v="1"/>
    <n v="67517"/>
    <n v="35286"/>
    <n v="31329"/>
    <n v="3957"/>
    <s v="AZ_Maric_2020g~Gen-phoenix dist 1-councilmember (vote for1)"/>
    <n v="1.8936973903155828E-3"/>
    <m/>
    <m/>
    <n v="0"/>
    <n v="0"/>
    <n v="0"/>
    <n v="0"/>
  </r>
  <r>
    <n v="110.72272692337253"/>
    <n v="5344.2110000000002"/>
    <n v="1.3966074025637122E-17"/>
    <n v="1.3966074025637123E-19"/>
    <n v="20895.63"/>
    <n v="2089563"/>
    <n v="10447.815000000001"/>
    <s v=""/>
    <x v="0"/>
    <n v="3"/>
    <n v="77452.333333333328"/>
    <n v="56164"/>
    <n v="51827"/>
    <n v="4337"/>
    <s v="AZ_Maric_2020g~Gen-deer valley usd #97-gbm-4yr (vote for3)"/>
    <n v="2.0755535966132631E-3"/>
    <m/>
    <m/>
    <n v="0"/>
    <n v="0"/>
    <n v="0"/>
    <n v="0"/>
  </r>
  <r>
    <n v="2543.7350293542072"/>
    <n v="130194.51300000001"/>
    <n v="1.0110778013740966E-18"/>
    <n v="1.0110778013740965E-20"/>
    <n v="20895.63"/>
    <n v="2089563"/>
    <n v="10447.815000000001"/>
    <s v=""/>
    <x v="0"/>
    <n v="1"/>
    <n v="1886877"/>
    <n v="944953"/>
    <n v="940354"/>
    <n v="4599"/>
    <s v="AZ_Maric_2020g~Gen-county recorder (vote for1)"/>
    <n v="2.2009386651658746E-3"/>
    <m/>
    <m/>
    <n v="0"/>
    <n v="0"/>
    <n v="0"/>
    <n v="0"/>
  </r>
  <r>
    <n v="133.87093048128344"/>
    <n v="6965.0670000000009"/>
    <n v="4.7204857122784964E-19"/>
    <n v="4.7204857122784965E-21"/>
    <n v="20895.63"/>
    <n v="2089563"/>
    <n v="10447.815000000001"/>
    <s v=""/>
    <x v="0"/>
    <n v="1"/>
    <n v="100943"/>
    <n v="52734"/>
    <n v="48059"/>
    <n v="4675"/>
    <s v="AZ_Maric_2020g~Gen-state senator dist-20 (vote for1)"/>
    <n v="2.2373099064254107E-3"/>
    <m/>
    <m/>
    <n v="0"/>
    <n v="0"/>
    <n v="0"/>
    <n v="0"/>
  </r>
  <r>
    <n v="21.683694508731328"/>
    <n v="1146.9870000000001"/>
    <n v="2.1600860542636568E-19"/>
    <n v="2.1600860542636568E-21"/>
    <n v="20895.63"/>
    <n v="2089563"/>
    <n v="10447.815000000001"/>
    <s v=""/>
    <x v="0"/>
    <n v="1"/>
    <n v="16623"/>
    <n v="10688"/>
    <n v="5935"/>
    <n v="4753"/>
    <s v="AZ_Maric_2020g~Gen-alhambra esd #68-question 2 (vote for1)"/>
    <n v="2.2746382856128292E-3"/>
    <m/>
    <m/>
    <n v="0"/>
    <n v="0"/>
    <n v="0"/>
    <n v="0"/>
  </r>
  <r>
    <n v="139.17557407031092"/>
    <n v="7622.0850000000009"/>
    <n v="4.010176285498746E-20"/>
    <n v="4.0101762854987461E-22"/>
    <n v="20895.63"/>
    <n v="2089563"/>
    <n v="10447.815000000001"/>
    <s v=""/>
    <x v="0"/>
    <n v="2"/>
    <n v="110465"/>
    <n v="57760"/>
    <n v="52839"/>
    <n v="4921"/>
    <s v="AZ_Maric_2020g~Gen-state rep dist-28 (vote for2)"/>
    <n v="2.3550378715549614E-3"/>
    <m/>
    <m/>
    <n v="0"/>
    <n v="0"/>
    <n v="0"/>
    <n v="0"/>
  </r>
  <r>
    <n v="21.643317624882187"/>
    <n v="1277.8110000000001"/>
    <n v="8.5385067939857906E-22"/>
    <n v="8.5385067939857899E-24"/>
    <n v="20895.63"/>
    <n v="2089563"/>
    <n v="10447.815000000001"/>
    <s v=""/>
    <x v="0"/>
    <n v="1"/>
    <n v="18519"/>
    <n v="11912"/>
    <n v="6607"/>
    <n v="5305"/>
    <s v="AZ_Maric_2020g~Gen-avondale esd #44-question (vote for1)"/>
    <n v="2.5388083537084068E-3"/>
    <m/>
    <m/>
    <n v="0"/>
    <n v="0"/>
    <n v="0"/>
    <n v="0"/>
  </r>
  <r>
    <n v="406.22426509887759"/>
    <n v="25375.716"/>
    <n v="3.8927024364700826E-23"/>
    <n v="3.8927024364700825E-25"/>
    <n v="20895.63"/>
    <n v="2089563"/>
    <n v="10447.815000000001"/>
    <s v=""/>
    <x v="0"/>
    <n v="1"/>
    <n v="367764"/>
    <n v="186478"/>
    <n v="180865"/>
    <n v="5613"/>
    <s v="AZ_Maric_2020g~Gen-board of supervisors dist 3 (vote for1)"/>
    <n v="2.6862075946023165E-3"/>
    <m/>
    <m/>
    <n v="0"/>
    <n v="0"/>
    <n v="0"/>
    <n v="0"/>
  </r>
  <r>
    <n v="22.554642097802979"/>
    <n v="1416.7080000000001"/>
    <n v="2.8527012458944719E-23"/>
    <n v="2.8527012458944718E-25"/>
    <n v="20895.63"/>
    <n v="2089563"/>
    <n v="10447.815000000001"/>
    <s v=""/>
    <x v="0"/>
    <n v="1"/>
    <n v="20532"/>
    <n v="13088"/>
    <n v="7444"/>
    <n v="5644"/>
    <s v="AZ_Maric_2020g~Gen-creighton esd #14-question (vote for1)"/>
    <n v="2.7010432324844954E-3"/>
    <m/>
    <m/>
    <n v="0"/>
    <n v="0"/>
    <n v="0"/>
    <n v="0"/>
  </r>
  <r>
    <n v="10.663656806780834"/>
    <n v="686.06700000000001"/>
    <n v="7.2217393837431262E-24"/>
    <n v="7.2217393837431257E-26"/>
    <n v="20895.63"/>
    <n v="2089563"/>
    <n v="10447.815000000001"/>
    <s v=""/>
    <x v="0"/>
    <n v="1"/>
    <n v="9943"/>
    <n v="7862"/>
    <n v="2081"/>
    <n v="5781"/>
    <s v="AZ_Maric_2020g~Gen-el mirage-question 1 (vote for1)"/>
    <n v="2.7666071805444487E-3"/>
    <m/>
    <m/>
    <n v="0"/>
    <n v="0"/>
    <n v="0"/>
    <n v="0"/>
  </r>
  <r>
    <n v="146.5706919945726"/>
    <n v="9617.496000000001"/>
    <n v="2.279311875636668E-24"/>
    <n v="2.279311875636668E-26"/>
    <n v="20895.63"/>
    <n v="2089563"/>
    <n v="10447.815000000001"/>
    <s v=""/>
    <x v="0"/>
    <n v="1"/>
    <n v="139384"/>
    <n v="72467"/>
    <n v="66571"/>
    <n v="5896"/>
    <s v="AZ_Maric_2020g~Gen-scottsdale-mayor (vote for1)"/>
    <n v="2.8216426113976943E-3"/>
    <m/>
    <m/>
    <n v="0"/>
    <n v="0"/>
    <n v="0"/>
    <n v="0"/>
  </r>
  <r>
    <n v="14.970933333333333"/>
    <n v="999.67200000000014"/>
    <n v="8.0324520383907563E-25"/>
    <n v="8.0324520383907563E-27"/>
    <n v="20895.63"/>
    <n v="2089563"/>
    <n v="10447.815000000001"/>
    <s v=""/>
    <x v="0"/>
    <n v="1"/>
    <n v="14488"/>
    <n v="10244"/>
    <n v="4244"/>
    <n v="6000"/>
    <s v="AZ_Maric_2020g~Gen-fountain hills-propsition 450 (vote for1)"/>
    <n v="2.8714137836475858E-3"/>
    <m/>
    <m/>
    <n v="0"/>
    <n v="0"/>
    <n v="0"/>
    <n v="0"/>
  </r>
  <r>
    <n v="17.438920359880044"/>
    <n v="1164.8580000000002"/>
    <n v="7.872945310928409E-25"/>
    <n v="7.8729453109284088E-27"/>
    <n v="20895.63"/>
    <n v="2089563"/>
    <n v="10447.815000000001"/>
    <s v=""/>
    <x v="0"/>
    <n v="1"/>
    <n v="16882"/>
    <n v="11442"/>
    <n v="5440"/>
    <n v="6002"/>
    <s v="AZ_Maric_2020g~Gen-alhambra esd #68-question 1 (vote for1)"/>
    <n v="2.8723709215754682E-3"/>
    <m/>
    <m/>
    <n v="0"/>
    <n v="0"/>
    <n v="0"/>
    <n v="0"/>
  </r>
  <r>
    <n v="122.91124731841863"/>
    <n v="8926.8060000000005"/>
    <n v="4.1076328907370717E-27"/>
    <n v="4.1076328907370716E-29"/>
    <n v="20895.63"/>
    <n v="2089563"/>
    <n v="10447.815000000001"/>
    <s v=""/>
    <x v="0"/>
    <n v="1"/>
    <n v="129374"/>
    <n v="67889"/>
    <n v="61363"/>
    <n v="6526"/>
    <s v="AZ_Maric_2020g~Gen-state senator dist-17 (vote for1)"/>
    <n v="3.1231410586806908E-3"/>
    <m/>
    <m/>
    <n v="0"/>
    <n v="0"/>
    <n v="0"/>
    <n v="0"/>
  </r>
  <r>
    <n v="73.895843247025894"/>
    <n v="5875.9710000000005"/>
    <n v="8.2506056642954637E-30"/>
    <n v="8.2506056642954644E-32"/>
    <n v="20895.63"/>
    <n v="2089563"/>
    <n v="10447.815000000001"/>
    <s v=""/>
    <x v="0"/>
    <n v="1"/>
    <n v="85159"/>
    <n v="46152"/>
    <n v="39007"/>
    <n v="7145"/>
    <s v="AZ_Maric_2020g~Gen-glendale-question 2  (vote for1)"/>
    <n v="3.4193752473603333E-3"/>
    <m/>
    <m/>
    <n v="0"/>
    <n v="0"/>
    <n v="0"/>
    <n v="0"/>
  </r>
  <r>
    <n v="55.107144726511386"/>
    <n v="4686.7560000000003"/>
    <n v="5.6283086603550785E-32"/>
    <n v="5.6283086603550782E-34"/>
    <n v="20895.63"/>
    <n v="2089563"/>
    <n v="10447.815000000001"/>
    <s v=""/>
    <x v="0"/>
    <n v="1"/>
    <n v="67924"/>
    <n v="31600"/>
    <n v="23958"/>
    <n v="7642"/>
    <s v="AZ_Maric_2020g~Gen-phoenix dist 3-councilmember (vote for1)"/>
    <n v="3.6572240224391414E-3"/>
    <m/>
    <m/>
    <n v="0"/>
    <n v="0"/>
    <n v="0"/>
    <n v="0"/>
  </r>
  <r>
    <n v="28.459401541879"/>
    <n v="2423.9010000000003"/>
    <n v="5.0399941353457191E-32"/>
    <n v="5.0399941353457196E-34"/>
    <n v="20895.63"/>
    <n v="2089563"/>
    <n v="10447.815000000001"/>
    <s v=""/>
    <x v="0"/>
    <n v="1"/>
    <n v="35129"/>
    <n v="21391"/>
    <n v="13738"/>
    <n v="7653"/>
    <s v="AZ_Maric_2020g~Gen-buckeye uhsd #201-question (vote for1)"/>
    <n v="3.6624882810424955E-3"/>
    <m/>
    <m/>
    <n v="0"/>
    <n v="0"/>
    <n v="0"/>
    <n v="0"/>
  </r>
  <r>
    <n v="15.001437556154539"/>
    <n v="1300.7190000000001"/>
    <n v="1.2614807110749917E-32"/>
    <n v="1.2614807110749916E-34"/>
    <n v="20895.63"/>
    <n v="2089563"/>
    <n v="10447.815000000001"/>
    <s v=""/>
    <x v="0"/>
    <n v="1"/>
    <n v="18851"/>
    <n v="13321"/>
    <n v="5530"/>
    <n v="7791"/>
    <s v="AZ_Maric_2020g~Gen-laveen esd #59-question (vote for1)"/>
    <n v="3.7285307980663897E-3"/>
    <m/>
    <m/>
    <n v="0"/>
    <n v="0"/>
    <n v="0"/>
    <n v="0"/>
  </r>
  <r>
    <n v="65.201226072813711"/>
    <n v="5799.9330000000009"/>
    <n v="1.6606566494198178E-33"/>
    <n v="1.6606566494198177E-35"/>
    <n v="20895.63"/>
    <n v="2089563"/>
    <n v="10447.815000000001"/>
    <s v=""/>
    <x v="0"/>
    <n v="1"/>
    <n v="84057"/>
    <n v="46025"/>
    <n v="38032"/>
    <n v="7993"/>
    <s v="AZ_Maric_2020g~Gen-dysart usd #89-question (vote for1)"/>
    <n v="3.8252017287825255E-3"/>
    <m/>
    <m/>
    <n v="0"/>
    <n v="0"/>
    <n v="0"/>
    <n v="0"/>
  </r>
  <r>
    <n v="55.370025295109613"/>
    <n v="5846.6460000000006"/>
    <n v="5.0153870138656666E-40"/>
    <n v="5.0153870138656668E-42"/>
    <n v="20895.63"/>
    <n v="2089563"/>
    <n v="10447.815000000001"/>
    <s v=""/>
    <x v="0"/>
    <n v="1"/>
    <n v="84734"/>
    <n v="47111"/>
    <n v="37623"/>
    <n v="9488"/>
    <s v="AZ_Maric_2020g~Gen-peoria-proposition 446 (vote for1)"/>
    <n v="4.5406623298747152E-3"/>
    <m/>
    <m/>
    <n v="0"/>
    <n v="0"/>
    <n v="0"/>
    <n v="0"/>
  </r>
  <r>
    <n v="73.52322573861845"/>
    <n v="7782.3030000000008"/>
    <n v="3.9807100037180353E-40"/>
    <n v="3.9807100037180353E-42"/>
    <n v="20895.63"/>
    <n v="2089563"/>
    <n v="10447.815000000001"/>
    <s v=""/>
    <x v="0"/>
    <n v="1"/>
    <n v="112787"/>
    <n v="61149"/>
    <n v="51638"/>
    <n v="9511"/>
    <s v="AZ_Maric_2020g~Gen-glendale uhsd #205-question (vote for1)"/>
    <n v="4.5516694160453643E-3"/>
    <m/>
    <m/>
    <n v="0"/>
    <n v="0"/>
    <n v="0"/>
    <n v="0"/>
  </r>
  <r>
    <n v="53.347280764881262"/>
    <n v="5774.9550000000008"/>
    <n v="4.5451287581015597E-41"/>
    <n v="4.5451287581015598E-43"/>
    <n v="20895.63"/>
    <n v="2089563"/>
    <n v="10447.815000000001"/>
    <s v=""/>
    <x v="0"/>
    <n v="1"/>
    <n v="83695"/>
    <n v="46711"/>
    <n v="36984"/>
    <n v="9727"/>
    <s v="AZ_Maric_2020g~Gen-glendale-proposition 437 (vote for1)"/>
    <n v="4.655040312256678E-3"/>
    <m/>
    <m/>
    <n v="0"/>
    <n v="0"/>
    <n v="0"/>
    <n v="0"/>
  </r>
  <r>
    <n v="17.465703766638345"/>
    <n v="2059.029"/>
    <n v="7.5540465697958977E-45"/>
    <n v="7.5540465697958982E-47"/>
    <n v="20895.63"/>
    <n v="2089563"/>
    <n v="10447.815000000001"/>
    <s v=""/>
    <x v="0"/>
    <n v="1"/>
    <n v="29841"/>
    <n v="20217"/>
    <n v="9624"/>
    <n v="10593"/>
    <s v="AZ_Maric_2020g~Gen-avondale-proposition 443 (vote for1)"/>
    <n v="5.0694810350298122E-3"/>
    <m/>
    <m/>
    <n v="0"/>
    <n v="0"/>
    <n v="0"/>
    <n v="0"/>
  </r>
  <r>
    <n v="19.205327094393954"/>
    <n v="2375.2560000000003"/>
    <n v="4.0556225816958225E-47"/>
    <n v="4.0556225816958225E-49"/>
    <n v="20895.63"/>
    <n v="2089563"/>
    <n v="10447.815000000001"/>
    <s v=""/>
    <x v="0"/>
    <n v="2"/>
    <n v="34424"/>
    <n v="25906"/>
    <n v="14793"/>
    <n v="11113"/>
    <s v="AZ_Maric_2020g~Gen-state rep dist-1 (vote for2)"/>
    <n v="5.3183368962792694E-3"/>
    <m/>
    <m/>
    <n v="0"/>
    <n v="0"/>
    <n v="0"/>
    <n v="0"/>
  </r>
  <r>
    <n v="53.678089637351867"/>
    <n v="6704.4540000000006"/>
    <n v="1.3420435573876904E-47"/>
    <n v="1.3420435573876902E-49"/>
    <n v="20895.63"/>
    <n v="2089563"/>
    <n v="10447.815000000001"/>
    <s v=""/>
    <x v="0"/>
    <n v="2"/>
    <n v="97166"/>
    <n v="66482"/>
    <n v="55259"/>
    <n v="11223"/>
    <s v="AZ_Maric_2020g~Gen-state rep dist-15 (vote for2)"/>
    <n v="5.3709794823128092E-3"/>
    <m/>
    <m/>
    <n v="0"/>
    <n v="0"/>
    <n v="0"/>
    <n v="0"/>
  </r>
  <r>
    <n v="980.23364124958016"/>
    <n v="129904.98900000002"/>
    <n v="1.3686484251916119E-50"/>
    <n v="1.3686484251916119E-52"/>
    <n v="20895.63"/>
    <n v="2089563"/>
    <n v="10447.815000000001"/>
    <s v=""/>
    <x v="0"/>
    <n v="1"/>
    <n v="1882681"/>
    <n v="946409"/>
    <n v="934501"/>
    <n v="11908"/>
    <s v="AZ_Maric_2020g~Gen-county school superintendent (vote for1)"/>
    <n v="5.6987992226125751E-3"/>
    <m/>
    <m/>
    <n v="0"/>
    <n v="0"/>
    <n v="0"/>
    <n v="0"/>
  </r>
  <r>
    <n v="31.319140301474246"/>
    <n v="4208.4135000000006"/>
    <n v="2.5775204470037179E-51"/>
    <n v="2.5775204470037179E-53"/>
    <n v="20895.63"/>
    <n v="2089563"/>
    <n v="10447.815000000001"/>
    <s v=""/>
    <x v="0"/>
    <n v="2"/>
    <n v="60991.5"/>
    <n v="43110"/>
    <n v="31036"/>
    <n v="12074"/>
    <s v="AZ_Maric_2020g~Gen-state rep dist-16 (vote for2)"/>
    <n v="5.7782416706268248E-3"/>
    <m/>
    <m/>
    <n v="0"/>
    <n v="0"/>
    <n v="0"/>
    <n v="0"/>
  </r>
  <r>
    <n v="17.520980294750785"/>
    <n v="2355.1080000000002"/>
    <n v="2.4758786870248276E-51"/>
    <n v="2.4758786870248275E-53"/>
    <n v="20895.63"/>
    <n v="2089563"/>
    <n v="10447.815000000001"/>
    <s v=""/>
    <x v="0"/>
    <n v="1"/>
    <n v="34132"/>
    <n v="23060"/>
    <n v="10982"/>
    <n v="12078"/>
    <s v="AZ_Maric_2020g~Gen-us rep dist cd-4 (vote for1)"/>
    <n v="5.7801559464825897E-3"/>
    <m/>
    <m/>
    <n v="0"/>
    <n v="0"/>
    <n v="0"/>
    <n v="0"/>
  </r>
  <r>
    <n v="60.124486369813738"/>
    <n v="8370.1140000000014"/>
    <n v="3.2422206924026504E-53"/>
    <n v="3.2422206924026505E-55"/>
    <n v="20895.63"/>
    <n v="2089563"/>
    <n v="10447.815000000001"/>
    <s v=""/>
    <x v="0"/>
    <n v="2"/>
    <n v="121306"/>
    <n v="67649"/>
    <n v="55140"/>
    <n v="12509"/>
    <s v="AZ_Maric_2020g~Gen-state rep dist-18 (vote for2)"/>
    <n v="5.9864191699412752E-3"/>
    <m/>
    <m/>
    <n v="0"/>
    <n v="0"/>
    <n v="0"/>
    <n v="0"/>
  </r>
  <r>
    <n v="56.561247002398083"/>
    <n v="7874.6940000000004"/>
    <n v="3.2097667365819258E-53"/>
    <n v="3.209766736581926E-55"/>
    <n v="20895.63"/>
    <n v="2089563"/>
    <n v="10447.815000000001"/>
    <s v=""/>
    <x v="0"/>
    <n v="1"/>
    <n v="114126"/>
    <n v="63318"/>
    <n v="50808"/>
    <n v="12510"/>
    <s v="AZ_Maric_2020g~Gen-peoria usd #11-question 2  (vote for1)"/>
    <n v="5.9868977389052162E-3"/>
    <m/>
    <m/>
    <n v="0"/>
    <n v="0"/>
    <n v="0"/>
    <n v="0"/>
  </r>
  <r>
    <n v="57.472121212121216"/>
    <n v="8020.6980000000003"/>
    <n v="2.3735558756768872E-53"/>
    <n v="2.373555875676887E-55"/>
    <n v="20895.63"/>
    <n v="2089563"/>
    <n v="10447.815000000001"/>
    <s v=""/>
    <x v="0"/>
    <n v="1"/>
    <n v="116242"/>
    <n v="64391"/>
    <n v="51851"/>
    <n v="12540"/>
    <s v="AZ_Maric_2020g~Gen-peoria usd #11-question 1 (vote for1)"/>
    <n v="6.0012548078234541E-3"/>
    <m/>
    <m/>
    <n v="0"/>
    <n v="0"/>
    <n v="0"/>
    <n v="0"/>
  </r>
  <r>
    <n v="31.881293196129626"/>
    <n v="4620.3090000000002"/>
    <n v="1.8587346529323611E-55"/>
    <n v="1.8587346529323613E-57"/>
    <n v="20895.63"/>
    <n v="2089563"/>
    <n v="10447.815000000001"/>
    <s v=""/>
    <x v="0"/>
    <n v="2"/>
    <n v="66961"/>
    <n v="48202"/>
    <n v="35180"/>
    <n v="13022"/>
    <s v="AZ_Maric_2020g~Gen-state rep dist-13 (vote for2)"/>
    <n v="6.2319250484431437E-3"/>
    <m/>
    <m/>
    <n v="0"/>
    <n v="0"/>
    <n v="0"/>
    <n v="0"/>
  </r>
  <r>
    <n v="6.5749032914828645"/>
    <n v="1078.1940000000002"/>
    <n v="6.0257420897887069E-63"/>
    <n v="6.0257420897887068E-65"/>
    <n v="20895.63"/>
    <n v="2089563"/>
    <n v="10447.815000000001"/>
    <s v=""/>
    <x v="0"/>
    <n v="1"/>
    <n v="15626"/>
    <n v="14892"/>
    <n v="157"/>
    <n v="14735"/>
    <s v="AZ_Maric_2020g~Gen-creighton esd #14-gbm-2yr (vote for1)"/>
    <n v="7.0517136836745287E-3"/>
    <m/>
    <m/>
    <n v="0"/>
    <n v="0"/>
    <n v="0"/>
    <n v="0"/>
  </r>
  <r>
    <n v="48.077163990137933"/>
    <n v="8029.5300000000007"/>
    <n v="3.8928022987299053E-64"/>
    <n v="3.8928022987299053E-66"/>
    <n v="20895.63"/>
    <n v="2089563"/>
    <n v="10447.815000000001"/>
    <s v=""/>
    <x v="0"/>
    <n v="2"/>
    <n v="116370"/>
    <n v="80264"/>
    <n v="65257"/>
    <n v="15007"/>
    <s v="AZ_Maric_2020g~Gen-state rep dist-23 (vote for2)"/>
    <n v="7.1818844418665533E-3"/>
    <m/>
    <m/>
    <n v="0"/>
    <n v="0"/>
    <n v="0"/>
    <n v="0"/>
  </r>
  <r>
    <n v="67.617516558420689"/>
    <n v="11702.400000000001"/>
    <n v="1.6229230246055076E-66"/>
    <n v="1.6229230246055077E-68"/>
    <n v="20895.63"/>
    <n v="2089563"/>
    <n v="10447.815000000001"/>
    <s v=""/>
    <x v="0"/>
    <n v="1"/>
    <n v="169600"/>
    <n v="65198"/>
    <n v="49647"/>
    <n v="15551"/>
    <s v="AZ_Maric_2020g~Gen-phoenix uhsd #210-gbm-4yr (vote for1)"/>
    <n v="7.4422259582506006E-3"/>
    <m/>
    <m/>
    <n v="0"/>
    <n v="0"/>
    <n v="0"/>
    <n v="0"/>
  </r>
  <r>
    <n v="32.273405832921405"/>
    <n v="5812.8360000000002"/>
    <n v="2.7553602735836432E-69"/>
    <n v="2.7553602735836432E-71"/>
    <n v="20895.63"/>
    <n v="2089563"/>
    <n v="10447.815000000001"/>
    <s v=""/>
    <x v="0"/>
    <n v="1"/>
    <n v="84244"/>
    <n v="50214"/>
    <n v="34030"/>
    <n v="16184"/>
    <s v="AZ_Maric_2020g~Gen-glendale-question 3 (vote for1)"/>
    <n v="7.7451601124254206E-3"/>
    <m/>
    <m/>
    <n v="0"/>
    <n v="0"/>
    <n v="0"/>
    <n v="0"/>
  </r>
  <r>
    <n v="19.484407279881946"/>
    <n v="3526.7280000000005"/>
    <n v="1.2303370516370863E-69"/>
    <n v="1.2303370516370862E-71"/>
    <n v="20895.63"/>
    <n v="2089563"/>
    <n v="10447.815000000001"/>
    <s v=""/>
    <x v="0"/>
    <n v="2"/>
    <n v="51112"/>
    <n v="32075"/>
    <n v="15811"/>
    <n v="16264"/>
    <s v="AZ_Maric_2020g~Gen-state rep dist-29 (vote for2)"/>
    <n v="7.7834456295407225E-3"/>
    <m/>
    <m/>
    <n v="0"/>
    <n v="0"/>
    <n v="0"/>
    <n v="0"/>
  </r>
  <r>
    <n v="36.766960218645615"/>
    <n v="6737.1600000000008"/>
    <n v="1.6225639729093932E-70"/>
    <n v="1.6225639729093933E-72"/>
    <n v="20895.63"/>
    <n v="2089563"/>
    <n v="10447.815000000001"/>
    <s v=""/>
    <x v="0"/>
    <n v="1"/>
    <n v="97640"/>
    <n v="56986"/>
    <n v="40521"/>
    <n v="16465"/>
    <s v="AZ_Maric_2020g~Gen-us rep dist cd-3 (vote for1)"/>
    <n v="7.8796379912929159E-3"/>
    <m/>
    <m/>
    <n v="0"/>
    <n v="0"/>
    <n v="0"/>
    <n v="0"/>
  </r>
  <r>
    <n v="31.430825688073394"/>
    <n v="5909.7810000000009"/>
    <n v="2.1267110604458002E-72"/>
    <n v="2.1267110604458002E-74"/>
    <n v="20895.63"/>
    <n v="2089563"/>
    <n v="10447.815000000001"/>
    <s v=""/>
    <x v="0"/>
    <n v="1"/>
    <n v="85649"/>
    <n v="51272"/>
    <n v="34377"/>
    <n v="16895"/>
    <s v="AZ_Maric_2020g~Gen-glendale-question 1 (vote for1)"/>
    <n v="8.0854226457876596E-3"/>
    <m/>
    <m/>
    <n v="0"/>
    <n v="0"/>
    <n v="0"/>
    <n v="0"/>
  </r>
  <r>
    <n v="32.21179201485608"/>
    <n v="6177.4320000000007"/>
    <n v="7.1135446029157403E-74"/>
    <n v="7.1135446029157407E-76"/>
    <n v="20895.63"/>
    <n v="2089563"/>
    <n v="10447.815000000001"/>
    <s v=""/>
    <x v="0"/>
    <n v="2"/>
    <n v="89528"/>
    <n v="63412"/>
    <n v="46180"/>
    <n v="17232"/>
    <s v="AZ_Maric_2020g~Gen-state rep dist-25 (vote for2)"/>
    <n v="8.2467003866358666E-3"/>
    <m/>
    <m/>
    <n v="0"/>
    <n v="0"/>
    <n v="0"/>
    <n v="0"/>
  </r>
  <r>
    <n v="44.612770875469515"/>
    <n v="8591.880000000001"/>
    <n v="3.407290983438454E-74"/>
    <n v="3.407290983438454E-76"/>
    <n v="20895.63"/>
    <n v="2089563"/>
    <n v="10447.815000000001"/>
    <s v=""/>
    <x v="0"/>
    <n v="1"/>
    <n v="124520"/>
    <n v="70426"/>
    <n v="53121"/>
    <n v="17305"/>
    <s v="AZ_Maric_2020g~Gen-gilbert-mayor (vote for1)"/>
    <n v="8.281635921003578E-3"/>
    <m/>
    <m/>
    <n v="0"/>
    <n v="0"/>
    <n v="0"/>
    <n v="0"/>
  </r>
  <r>
    <n v="29.496277972731981"/>
    <n v="5706.2310000000007"/>
    <n v="1.5517589911856843E-74"/>
    <n v="1.5517589911856842E-76"/>
    <n v="20895.63"/>
    <n v="2089563"/>
    <n v="10447.815000000001"/>
    <s v=""/>
    <x v="0"/>
    <n v="1"/>
    <n v="82699"/>
    <n v="50041"/>
    <n v="32658"/>
    <n v="17383"/>
    <s v="AZ_Maric_2020g~Gen-glendale-question 4 (vote for1)"/>
    <n v="8.3189643001909969E-3"/>
    <m/>
    <m/>
    <n v="0"/>
    <n v="0"/>
    <n v="0"/>
    <n v="0"/>
  </r>
  <r>
    <n v="142.86489883676057"/>
    <n v="28840.068000000003"/>
    <n v="7.5755015923963298E-78"/>
    <n v="7.57550159239633E-80"/>
    <n v="20895.63"/>
    <n v="2089563"/>
    <n v="10447.815000000001"/>
    <s v=""/>
    <x v="0"/>
    <n v="1"/>
    <n v="417972"/>
    <n v="217783"/>
    <n v="199644"/>
    <n v="18139"/>
    <s v="AZ_Maric_2020g~Gen-us rep dist cd-6 (vote for1)"/>
    <n v="8.6807624369305923E-3"/>
    <m/>
    <m/>
    <n v="0"/>
    <n v="0"/>
    <n v="0"/>
    <n v="0"/>
  </r>
  <r>
    <n v="14.927570676650932"/>
    <n v="3061.5990000000002"/>
    <n v="4.0629333217410438E-79"/>
    <n v="4.0629333217410436E-81"/>
    <n v="20895.63"/>
    <n v="2089563"/>
    <n v="10447.815000000001"/>
    <s v=""/>
    <x v="0"/>
    <n v="1"/>
    <n v="44371"/>
    <n v="31382"/>
    <n v="12953"/>
    <n v="18429"/>
    <s v="AZ_Maric_2020g~Gen-state senator dist-1 (vote for1)"/>
    <n v="8.8195474364735592E-3"/>
    <m/>
    <m/>
    <n v="0"/>
    <n v="0"/>
    <n v="0"/>
    <n v="0"/>
  </r>
  <r>
    <n v="537.94323486042617"/>
    <n v="117742.15200000002"/>
    <n v="1.523390908699981E-84"/>
    <n v="1.5233909086999809E-86"/>
    <n v="20895.63"/>
    <n v="2089563"/>
    <n v="10447.815000000001"/>
    <s v=""/>
    <x v="0"/>
    <n v="3"/>
    <n v="1706408"/>
    <n v="866823"/>
    <n v="847156"/>
    <n v="19667"/>
    <s v="AZ_Maric_2020g~Gen-corporation commission (vote for3)"/>
    <n v="9.4120158138328441E-3"/>
    <m/>
    <m/>
    <n v="0"/>
    <n v="0"/>
    <n v="0"/>
    <n v="0"/>
  </r>
  <r>
    <n v="17.716550513913262"/>
    <n v="3932.5170000000003"/>
    <n v="9.2027873198654478E-86"/>
    <n v="9.2027873198654475E-88"/>
    <n v="20895.63"/>
    <n v="2089563"/>
    <n v="10447.815000000001"/>
    <s v=""/>
    <x v="0"/>
    <n v="1"/>
    <n v="56993"/>
    <n v="38469"/>
    <n v="18524"/>
    <n v="19945"/>
    <s v="AZ_Maric_2020g~Gen-tolleson uhsd #214-question (vote for1)"/>
    <n v="9.5450579858085156E-3"/>
    <m/>
    <m/>
    <n v="0"/>
    <n v="0"/>
    <n v="0"/>
    <n v="0"/>
  </r>
  <r>
    <n v="38.244827421587821"/>
    <n v="8915.6280000000006"/>
    <n v="3.709265406310837E-90"/>
    <n v="3.7092654063108369E-92"/>
    <n v="20895.63"/>
    <n v="2089563"/>
    <n v="10447.815000000001"/>
    <s v=""/>
    <x v="0"/>
    <n v="1"/>
    <n v="129212"/>
    <n v="75013"/>
    <n v="54066"/>
    <n v="20947"/>
    <s v="AZ_Maric_2020g~Gen-state senator dist-18 (vote for1)"/>
    <n v="1.0024584087677663E-2"/>
    <m/>
    <m/>
    <n v="1"/>
    <n v="1.0050732267637308E-2"/>
    <n v="5.0062218818800686E-2"/>
    <n v="0.20005743275581478"/>
  </r>
  <r>
    <n v="12.698473688881"/>
    <n v="3185.1090000000004"/>
    <n v="3.86375662108336E-97"/>
    <n v="3.8637566210833601E-99"/>
    <n v="20895.63"/>
    <n v="2089563"/>
    <n v="10447.815000000001"/>
    <s v=""/>
    <x v="0"/>
    <n v="1"/>
    <n v="46161"/>
    <n v="31093"/>
    <n v="8555"/>
    <n v="22538"/>
    <s v="AZ_Maric_2020g~Gen-phoenix dist 5-councilmember (vote for1)"/>
    <n v="1.0785987309308215E-2"/>
    <m/>
    <m/>
    <n v="7"/>
    <n v="6.8287967688309359E-2"/>
    <n v="0.30205676941870274"/>
    <n v="0.79049556399324539"/>
  </r>
  <r>
    <n v="18.534895212883299"/>
    <n v="4675.2330000000002"/>
    <n v="1.0701008780146566E-97"/>
    <n v="1.0701008780146566E-99"/>
    <n v="20895.63"/>
    <n v="2089563"/>
    <n v="10447.815000000001"/>
    <s v=""/>
    <x v="0"/>
    <n v="2"/>
    <n v="67757"/>
    <n v="44981"/>
    <n v="22316"/>
    <n v="22665"/>
    <s v="AZ_Maric_2020g~Gen-state rep dist-26 (vote for2)"/>
    <n v="1.0846765567728754E-2"/>
    <m/>
    <m/>
    <n v="8"/>
    <n v="7.7658634679949823E-2"/>
    <n v="0.337020783747632"/>
    <n v="0.83243658614402305"/>
  </r>
  <r>
    <n v="15.024625508702053"/>
    <n v="3862.2060000000001"/>
    <n v="1.3431035304920508E-99"/>
    <n v="1.3431035304920508E-101"/>
    <n v="20895.63"/>
    <n v="2089563"/>
    <n v="10447.815000000001"/>
    <s v=""/>
    <x v="0"/>
    <n v="2"/>
    <n v="55974"/>
    <n v="43334"/>
    <n v="20236"/>
    <n v="23098"/>
    <s v="AZ_Maric_2020g~Gen-state rep dist-27 (vote for2)"/>
    <n v="1.1053985929115322E-2"/>
    <m/>
    <m/>
    <n v="10"/>
    <n v="9.6120820138262175E-2"/>
    <n v="0.40179097551045828"/>
    <n v="0.89281848012156084"/>
  </r>
  <r>
    <n v="15.205999916551926"/>
    <n v="4055.8890000000001"/>
    <n v="2.0469326625709342E-103"/>
    <n v="2.0469326625709342E-105"/>
    <n v="20895.63"/>
    <n v="2089563"/>
    <n v="10447.815000000001"/>
    <s v=""/>
    <x v="0"/>
    <n v="1"/>
    <n v="58781"/>
    <n v="41272"/>
    <n v="17305"/>
    <n v="23967"/>
    <s v="AZ_Maric_2020g~Gen-state senator dist-29 (vote for1)"/>
    <n v="1.1469862358780281E-2"/>
    <m/>
    <m/>
    <n v="13"/>
    <n v="0.12312991083798064"/>
    <n v="0.48729675372664716"/>
    <n v="0.94517825706808978"/>
  </r>
  <r>
    <n v="17.436352146609266"/>
    <n v="4913.1450000000004"/>
    <n v="2.3408244523536776E-109"/>
    <n v="2.3408244523536776E-111"/>
    <n v="20895.63"/>
    <n v="2089563"/>
    <n v="10447.815000000001"/>
    <s v=""/>
    <x v="0"/>
    <n v="1"/>
    <n v="71205"/>
    <n v="48262"/>
    <n v="22943"/>
    <n v="25319"/>
    <s v="AZ_Maric_2020g~Gen-tempe-question 5 (vote for1)"/>
    <n v="1.2116887598028871E-2"/>
    <m/>
    <m/>
    <n v="19"/>
    <n v="0.17477271797357896"/>
    <n v="0.62344105251796678"/>
    <n v="0.98566699773304023"/>
  </r>
  <r>
    <n v="18.135628024074585"/>
    <n v="5130.7710000000006"/>
    <n v="8.3357372317365582E-110"/>
    <n v="8.3357372317365578E-112"/>
    <n v="20895.63"/>
    <n v="2089563"/>
    <n v="10447.815000000001"/>
    <s v=""/>
    <x v="0"/>
    <n v="1"/>
    <n v="74359"/>
    <n v="49806"/>
    <n v="24385"/>
    <n v="25421"/>
    <s v="AZ_Maric_2020g~Gen-state senator dist-26 (vote for1)"/>
    <n v="1.2165701632350879E-2"/>
    <m/>
    <m/>
    <n v="20"/>
    <n v="0.18308196851182013"/>
    <n v="0.64232677648546832"/>
    <n v="0.98853964586671361"/>
  </r>
  <r>
    <n v="27.749013787446785"/>
    <n v="7906.7100000000009"/>
    <n v="1.3205607678973648E-110"/>
    <n v="1.3205607678973648E-112"/>
    <n v="20895.63"/>
    <n v="2089563"/>
    <n v="10447.815000000001"/>
    <s v=""/>
    <x v="0"/>
    <n v="1"/>
    <n v="114590"/>
    <n v="70046"/>
    <n v="44443"/>
    <n v="25603"/>
    <s v="AZ_Maric_2020g~Gen-state senator dist-25 (vote for1)"/>
    <n v="1.2252801183788188E-2"/>
    <m/>
    <m/>
    <n v="20"/>
    <n v="0.18308196851182013"/>
    <n v="0.64232677648546832"/>
    <n v="0.98853964586671361"/>
  </r>
  <r>
    <n v="6.7600603504971177"/>
    <n v="1944.6960000000001"/>
    <n v="1.0941494863082023E-111"/>
    <n v="1.0941494863082023E-113"/>
    <n v="20895.63"/>
    <n v="2089563"/>
    <n v="10447.815000000001"/>
    <s v=""/>
    <x v="0"/>
    <n v="3"/>
    <n v="28184"/>
    <n v="26033"/>
    <n v="184"/>
    <n v="25849"/>
    <s v="AZ_Maric_2020g~Gen-litchfield esd #79-gbm-4yr (vote for3)"/>
    <n v="1.2370529148917741E-2"/>
    <m/>
    <m/>
    <n v="21"/>
    <n v="0.19130834170701161"/>
    <n v="0.66026703695330202"/>
    <n v="0.99083677257032621"/>
  </r>
  <r>
    <n v="34.204600536971192"/>
    <n v="10491.864000000001"/>
    <n v="3.1864078166685366E-119"/>
    <n v="3.1864078166685364E-121"/>
    <n v="20895.63"/>
    <n v="2089563"/>
    <n v="10447.815000000001"/>
    <s v=""/>
    <x v="0"/>
    <n v="1"/>
    <n v="152056"/>
    <n v="89677"/>
    <n v="62115"/>
    <n v="27562"/>
    <s v="AZ_Maric_2020g~Gen-state senator dist-23 (vote for1)"/>
    <n v="1.3190317784149126E-2"/>
    <m/>
    <m/>
    <n v="29"/>
    <n v="0.25423233094876796"/>
    <n v="0.77495543582684356"/>
    <n v="0.99847075958646048"/>
  </r>
  <r>
    <n v="18.519332848887505"/>
    <n v="5956.1490000000003"/>
    <n v="4.1424962386361684E-125"/>
    <n v="4.1424962386361683E-127"/>
    <n v="20895.63"/>
    <n v="2089563"/>
    <n v="10447.815000000001"/>
    <s v=""/>
    <x v="0"/>
    <n v="1"/>
    <n v="86321"/>
    <n v="57610"/>
    <n v="28711"/>
    <n v="28899"/>
    <s v="AZ_Maric_2020g~Gen-peoria-proposition 445 (vote for1)"/>
    <n v="1.3830164488938597E-2"/>
    <m/>
    <m/>
    <n v="34"/>
    <n v="0.29107118429309908"/>
    <n v="0.82605829837221711"/>
    <n v="0.9995009398049387"/>
  </r>
  <r>
    <n v="15.403890836598611"/>
    <n v="4987.5960000000005"/>
    <n v="5.7341702412136764E-126"/>
    <n v="5.7341702412136763E-128"/>
    <n v="20895.63"/>
    <n v="2089563"/>
    <n v="10447.815000000001"/>
    <s v=""/>
    <x v="0"/>
    <n v="1"/>
    <n v="72284"/>
    <n v="50689"/>
    <n v="21595"/>
    <n v="29094"/>
    <s v="AZ_Maric_2020g~Gen-tempe-question 3 (vote for1)"/>
    <n v="1.3923485436907143E-2"/>
    <m/>
    <m/>
    <n v="35"/>
    <n v="0.2982197030340219"/>
    <n v="0.8347946385192766"/>
    <n v="0.99960110650115286"/>
  </r>
  <r>
    <n v="17.846047324549609"/>
    <n v="5909.0220000000008"/>
    <n v="7.2443543985498244E-129"/>
    <n v="7.2443543985498246E-131"/>
    <n v="20895.63"/>
    <n v="2089563"/>
    <n v="10447.815000000001"/>
    <s v=""/>
    <x v="0"/>
    <n v="1"/>
    <n v="85638"/>
    <n v="57695"/>
    <n v="27943"/>
    <n v="29752"/>
    <s v="AZ_Maric_2020g~Gen-peoria-proposition 447 (vote for1)"/>
    <n v="1.4238383815180495E-2"/>
    <m/>
    <m/>
    <n v="38"/>
    <n v="0.31923966119844793"/>
    <n v="0.85846228796672241"/>
    <n v="0.99979633979218629"/>
  </r>
  <r>
    <n v="21.100083983203362"/>
    <n v="7829.0160000000005"/>
    <n v="1.0930899654537327E-144"/>
    <n v="1.0930899654537327E-146"/>
    <n v="20895.63"/>
    <n v="2089563"/>
    <n v="10447.815000000001"/>
    <s v=""/>
    <x v="0"/>
    <n v="1"/>
    <n v="113464"/>
    <n v="73402"/>
    <n v="40062"/>
    <n v="33340"/>
    <s v="AZ_Maric_2020g~Gen-chandler-question 1 (vote for1)"/>
    <n v="1.5955489257801752E-2"/>
    <m/>
    <m/>
    <n v="53"/>
    <n v="0.4153416133957486"/>
    <n v="0.9347148885650548"/>
    <n v="0.99999295734942562"/>
  </r>
  <r>
    <n v="15.592544090935725"/>
    <n v="5923.2705000000005"/>
    <n v="3.4179806725150085E-148"/>
    <n v="3.4179806725150083E-150"/>
    <n v="20895.63"/>
    <n v="2089563"/>
    <n v="10447.815000000001"/>
    <s v=""/>
    <x v="0"/>
    <n v="2"/>
    <n v="85844.5"/>
    <n v="60233"/>
    <n v="26099"/>
    <n v="34134"/>
    <s v="AZ_Maric_2020g~Gen-state rep dist-24 (vote for2)"/>
    <n v="1.6335473015171114E-2"/>
    <m/>
    <m/>
    <n v="56"/>
    <n v="0.43288351892807975"/>
    <n v="0.94408313359390628"/>
    <n v="0.99999640897465147"/>
  </r>
  <r>
    <n v="57.843002087198521"/>
    <n v="22206.339000000004"/>
    <n v="8.6173668314816762E-150"/>
    <n v="8.617366831481676E-152"/>
    <n v="20895.63"/>
    <n v="2089563"/>
    <n v="10447.815000000001"/>
    <s v=""/>
    <x v="0"/>
    <n v="1"/>
    <n v="321831"/>
    <n v="177554"/>
    <n v="143058"/>
    <n v="34496"/>
    <s v="AZ_Maric_2020g~Gen-mcccd - dist 1 (vote for1)"/>
    <n v="1.6508714980117852E-2"/>
    <m/>
    <m/>
    <n v="58"/>
    <n v="0.44428746615157855"/>
    <n v="0.94957055342888208"/>
    <n v="0.99999770831941936"/>
  </r>
  <r>
    <n v="19.020134682032065"/>
    <n v="7512.5820000000003"/>
    <n v="3.4717229225407746E-154"/>
    <n v="3.4717229225407746E-156"/>
    <n v="20895.63"/>
    <n v="2089563"/>
    <n v="10447.815000000001"/>
    <s v=""/>
    <x v="0"/>
    <n v="1"/>
    <n v="108878"/>
    <n v="71839"/>
    <n v="36348"/>
    <n v="35491"/>
    <s v="AZ_Maric_2020g~Gen-westmec - dist 4 (vote for1)"/>
    <n v="1.698489109923941E-2"/>
    <m/>
    <m/>
    <n v="62"/>
    <n v="0.46641831082036533"/>
    <n v="0.95898522226224603"/>
    <n v="0.99999906696276408"/>
  </r>
  <r>
    <n v="26.944658474171142"/>
    <n v="10663.605000000001"/>
    <n v="1.7032598994794308E-154"/>
    <n v="1.7032598994794308E-156"/>
    <n v="20895.63"/>
    <n v="2089563"/>
    <n v="10447.815000000001"/>
    <s v=""/>
    <x v="0"/>
    <n v="1"/>
    <n v="154545"/>
    <n v="94983"/>
    <n v="59422"/>
    <n v="35561"/>
    <s v="AZ_Maric_2020g~Gen-state senator dist-12 (vote for1)"/>
    <n v="1.70183909267153E-2"/>
    <m/>
    <m/>
    <n v="62"/>
    <n v="0.46641831082036533"/>
    <n v="0.95898522226224603"/>
    <n v="0.99999906696276408"/>
  </r>
  <r>
    <n v="12.107184809719206"/>
    <n v="5024.0970000000007"/>
    <n v="4.0029046684099664E-162"/>
    <n v="4.0029046684099665E-164"/>
    <n v="20895.63"/>
    <n v="2089563"/>
    <n v="10447.815000000001"/>
    <s v=""/>
    <x v="0"/>
    <n v="1"/>
    <n v="72813"/>
    <n v="55050"/>
    <n v="17763"/>
    <n v="37287"/>
    <s v="AZ_Maric_2020g~Gen-tempe-question 4 (vote for1)"/>
    <n v="1.7844400958477922E-2"/>
    <m/>
    <m/>
    <n v="69"/>
    <n v="0.50306653972856941"/>
    <n v="0.97143703742922727"/>
    <n v="0.99999980655975829"/>
  </r>
  <r>
    <n v="311.45829299902141"/>
    <n v="131054.66700000002"/>
    <n v="1.9673240677524334E-164"/>
    <n v="1.9673240677524333E-166"/>
    <n v="20895.63"/>
    <n v="2089563"/>
    <n v="10447.815000000001"/>
    <s v=""/>
    <x v="0"/>
    <n v="1"/>
    <n v="1899343"/>
    <n v="966759"/>
    <n v="928950"/>
    <n v="37809"/>
    <s v="AZ_Maric_2020g~Gen-county attorney (vote for1)"/>
    <n v="1.8094213957655262E-2"/>
    <m/>
    <m/>
    <n v="72"/>
    <n v="0.51799912993530839"/>
    <n v="0.97554174469926269"/>
    <n v="0.99999990148022977"/>
  </r>
  <r>
    <n v="6.9695565404452742"/>
    <n v="2992.6680000000001"/>
    <n v="7.4104966979174568E-168"/>
    <n v="7.410496697917457E-170"/>
    <n v="20895.63"/>
    <n v="2089563"/>
    <n v="10447.815000000001"/>
    <s v=""/>
    <x v="0"/>
    <n v="2"/>
    <n v="43372"/>
    <n v="38617"/>
    <n v="34"/>
    <n v="38583"/>
    <s v="AZ_Maric_2020g~Gen-state rep dist-19 (vote for2)"/>
    <n v="1.8464626335745801E-2"/>
    <m/>
    <m/>
    <n v="75"/>
    <n v="0.53248714960247878"/>
    <n v="0.97905753975260568"/>
    <n v="0.99999994983452511"/>
  </r>
  <r>
    <n v="23.033971427833322"/>
    <n v="9922.8900000000012"/>
    <n v="2.0526978177630675E-168"/>
    <n v="2.0526978177630674E-170"/>
    <n v="20895.63"/>
    <n v="2089563"/>
    <n v="10447.815000000001"/>
    <s v=""/>
    <x v="0"/>
    <n v="2"/>
    <n v="143810"/>
    <n v="92231"/>
    <n v="53522"/>
    <n v="38709"/>
    <s v="AZ_Maric_2020g~Gen-state rep dist-22 (vote for2)"/>
    <n v="1.85249260252024E-2"/>
    <m/>
    <m/>
    <n v="75"/>
    <n v="0.53248714960247878"/>
    <n v="0.97905753975260568"/>
    <n v="0.99999994983452511"/>
  </r>
  <r>
    <n v="14.868519978635197"/>
    <n v="6505.8720000000003"/>
    <n v="4.1838603808154429E-171"/>
    <n v="4.1838603808154434E-173"/>
    <n v="20895.63"/>
    <n v="2089563"/>
    <n v="10447.815000000001"/>
    <s v=""/>
    <x v="0"/>
    <n v="1"/>
    <n v="94288"/>
    <n v="66719"/>
    <n v="27402"/>
    <n v="39317"/>
    <s v="AZ_Maric_2020g~Gen-state senator dist-24 (vote for1)"/>
    <n v="1.8815895955278689E-2"/>
    <m/>
    <m/>
    <n v="78"/>
    <n v="0.54654371090457043"/>
    <n v="0.98206877680849336"/>
    <n v="0.99999997446173572"/>
  </r>
  <r>
    <n v="11.525728592889333"/>
    <n v="5123.1120000000001"/>
    <n v="7.3049613946329849E-174"/>
    <n v="7.3049613946329852E-176"/>
    <n v="20895.63"/>
    <n v="2089563"/>
    <n v="10447.815000000001"/>
    <s v=""/>
    <x v="0"/>
    <n v="1"/>
    <n v="74248"/>
    <n v="57027"/>
    <n v="17087"/>
    <n v="39940"/>
    <s v="AZ_Maric_2020g~Gen-state senator dist-27 (vote for1)"/>
    <n v="1.9114044419814093E-2"/>
    <m/>
    <m/>
    <n v="81"/>
    <n v="0.56018154292999767"/>
    <n v="0.98464774725182092"/>
    <n v="0.99999998700181614"/>
  </r>
  <r>
    <n v="11.037292614887681"/>
    <n v="5019.75"/>
    <n v="5.7910629116503684E-178"/>
    <n v="5.7910629116503681E-180"/>
    <n v="20895.63"/>
    <n v="2089563"/>
    <n v="10447.815000000001"/>
    <s v=""/>
    <x v="0"/>
    <n v="1"/>
    <n v="72750"/>
    <n v="56808"/>
    <n v="15942"/>
    <n v="40866"/>
    <s v="AZ_Maric_2020g~Gen-tempe-question 2 (vote for1)"/>
    <n v="1.9557199280423706E-2"/>
    <m/>
    <m/>
    <n v="84"/>
    <n v="0.57341300276682428"/>
    <n v="0.98685640180565137"/>
    <n v="0.99999999338577805"/>
  </r>
  <r>
    <n v="10.820373620561151"/>
    <n v="5008.6410000000005"/>
    <n v="3.4824574548144324E-181"/>
    <n v="3.4824574548144322E-183"/>
    <n v="20895.63"/>
    <n v="2089563"/>
    <n v="10447.815000000001"/>
    <s v=""/>
    <x v="0"/>
    <n v="1"/>
    <n v="72589"/>
    <n v="57091"/>
    <n v="15498"/>
    <n v="41593"/>
    <s v="AZ_Maric_2020g~Gen-tempe-question 1 (vote for1)"/>
    <n v="1.9905118917209006E-2"/>
    <m/>
    <m/>
    <n v="87"/>
    <n v="0.58625008627076269"/>
    <n v="0.98874782724012589"/>
    <n v="0.99999999663504258"/>
  </r>
  <r>
    <n v="22.753686531042579"/>
    <n v="10567.902"/>
    <n v="8.3464921187757215E-182"/>
    <n v="8.3464921187757209E-184"/>
    <n v="20895.63"/>
    <n v="2089563"/>
    <n v="10447.815000000001"/>
    <s v=""/>
    <x v="0"/>
    <n v="1"/>
    <n v="153158"/>
    <n v="97386"/>
    <n v="55653"/>
    <n v="41733"/>
    <s v="AZ_Maric_2020g~Gen-state senator dist-22 (vote for1)"/>
    <n v="1.9972118572160781E-2"/>
    <m/>
    <m/>
    <n v="88"/>
    <n v="0.59044349755855874"/>
    <n v="0.98931586646342839"/>
    <n v="0.99999999731388056"/>
  </r>
  <r>
    <n v="286.43892793012481"/>
    <n v="143797.932"/>
    <n v="8.8834670861729471E-197"/>
    <n v="8.8834670861729476E-199"/>
    <n v="20895.63"/>
    <n v="2089563"/>
    <n v="10447.815000000001"/>
    <s v=""/>
    <x v="0"/>
    <n v="1"/>
    <n v="2084028"/>
    <n v="1040774"/>
    <n v="995665"/>
    <n v="45109"/>
    <s v="AZ_Maric_2020g~Gen-presidential electors (vote for1)"/>
    <n v="2.1587767394426489E-2"/>
    <m/>
    <m/>
    <n v="102"/>
    <n v="0.64491572046627355"/>
    <n v="0.99482934112612498"/>
    <n v="0.99999999988569843"/>
  </r>
  <r>
    <n v="11.516072995262327"/>
    <n v="5843.1960000000008"/>
    <n v="6.3738862417993957E-199"/>
    <n v="6.3738862417993954E-201"/>
    <n v="20895.63"/>
    <n v="2089563"/>
    <n v="10447.815000000001"/>
    <s v=""/>
    <x v="0"/>
    <n v="1"/>
    <n v="84684"/>
    <n v="65138"/>
    <n v="19546"/>
    <n v="45592"/>
    <s v="AZ_Maric_2020g~Gen-peoria-proposition 448 (vote for1)"/>
    <n v="2.1818916204010122E-2"/>
    <m/>
    <m/>
    <n v="104"/>
    <n v="0.65208757563766562"/>
    <n v="0.99533896331829519"/>
    <n v="0.99999999992721955"/>
  </r>
  <r>
    <n v="7.1640693016076726"/>
    <n v="4597.2630000000008"/>
    <n v="1.1519430774900624E-252"/>
    <n v="1.1519430774900626E-254"/>
    <n v="20895.63"/>
    <n v="2089563"/>
    <n v="10447.815000000001"/>
    <s v=""/>
    <x v="0"/>
    <n v="1"/>
    <n v="66627"/>
    <n v="58735"/>
    <n v="1074"/>
    <n v="57661"/>
    <s v="AZ_Maric_2020g~Gen-state senator dist-16 (vote for1)"/>
    <n v="2.7594765029817239E-2"/>
    <m/>
    <m/>
    <n v="155"/>
    <n v="0.7935011205844692"/>
    <n v="0.99967165167428562"/>
    <n v="0.99999999999999933"/>
  </r>
  <r>
    <n v="7.1608701114953277"/>
    <n v="4862.8210000000008"/>
    <n v="1.126067870337545E-267"/>
    <n v="1.126067870337545E-269"/>
    <n v="20895.63"/>
    <n v="2089563"/>
    <n v="10447.815000000001"/>
    <s v=""/>
    <x v="0"/>
    <n v="3"/>
    <n v="70475.666666666672"/>
    <n v="65303"/>
    <n v="4284"/>
    <n v="61019"/>
    <s v="AZ_Maric_2020g~Gen-paradise valley usd #69-gbm-4yr (vote for3)"/>
    <n v="2.9201799610732004E-2"/>
    <m/>
    <m/>
    <n v="169"/>
    <n v="0.82113330362689396"/>
    <n v="0.99984186292853938"/>
    <n v="1"/>
  </r>
  <r>
    <n v="7.4913183925729729"/>
    <n v="5256.4660000000003"/>
    <n v="9.2394740403464565E-277"/>
    <n v="9.2394740403464555E-279"/>
    <n v="20895.63"/>
    <n v="2089563"/>
    <n v="10447.815000000001"/>
    <s v=""/>
    <x v="0"/>
    <n v="3"/>
    <n v="76180.666666666672"/>
    <n v="68402"/>
    <n v="5353"/>
    <n v="63049"/>
    <s v="AZ_Maric_2020g~Gen-chandler usd #80-gbm-4yr (vote for3)"/>
    <n v="3.017329460753277E-2"/>
    <m/>
    <m/>
    <n v="178"/>
    <n v="0.83692865370361547"/>
    <n v="0.9999011856464759"/>
    <n v="1"/>
  </r>
  <r>
    <n v="6.6006713819538776"/>
    <n v="4704.8340000000007"/>
    <n v="3.1292469335335673E-281"/>
    <n v="3.1292469335335674E-283"/>
    <n v="20895.63"/>
    <n v="2089563"/>
    <n v="10447.815000000001"/>
    <s v=""/>
    <x v="0"/>
    <n v="1"/>
    <n v="68186"/>
    <n v="64192"/>
    <n v="145"/>
    <n v="64047"/>
    <s v="AZ_Maric_2020g~Gen-state senator dist-13 (vote for1)"/>
    <n v="3.0650906433546152E-2"/>
    <m/>
    <m/>
    <n v="182"/>
    <n v="0.84349758455891033"/>
    <n v="0.99991983229957593"/>
    <n v="1"/>
  </r>
  <r>
    <n v="168.08529471863125"/>
    <n v="137320.83300000001"/>
    <n v="0"/>
    <n v="0"/>
    <n v="20895.63"/>
    <n v="2089563"/>
    <n v="10447.815000000001"/>
    <s v=""/>
    <x v="0"/>
    <n v="1"/>
    <n v="1990157"/>
    <n v="1031783"/>
    <n v="958374"/>
    <n v="73409"/>
    <s v="AZ_Maric_2020g~Gen-proposition 208 (vote for1)"/>
    <n v="3.5131269073964272E-2"/>
    <m/>
    <m/>
    <n v="221"/>
    <n v="0.89527469160408879"/>
    <n v="0.99998961061759795"/>
    <n v="1"/>
  </r>
  <r>
    <n v="36.112060620487185"/>
    <n v="30390.291000000001"/>
    <n v="0"/>
    <n v="0"/>
    <n v="20895.63"/>
    <n v="2089563"/>
    <n v="10447.815000000001"/>
    <s v=""/>
    <x v="0"/>
    <n v="1"/>
    <n v="440439"/>
    <n v="257774"/>
    <n v="182156"/>
    <n v="75618"/>
    <s v="AZ_Maric_2020g~Gen-board of supervisors dist 4 (vote for1)"/>
    <n v="3.6188427915310524E-2"/>
    <m/>
    <m/>
    <n v="230"/>
    <n v="0.90456789449279296"/>
    <n v="0.99999352396089947"/>
    <n v="1"/>
  </r>
  <r>
    <n v="16.575314221872382"/>
    <n v="14529.744000000001"/>
    <n v="0"/>
    <n v="0"/>
    <n v="20895.63"/>
    <n v="2089563"/>
    <n v="10447.815000000001"/>
    <s v=""/>
    <x v="0"/>
    <n v="1"/>
    <n v="210576"/>
    <n v="144671"/>
    <n v="65905"/>
    <n v="78766"/>
    <s v="AZ_Maric_2020g~Gen-mesa-question 1 (vote for1)"/>
    <n v="3.7694963013797621E-2"/>
    <m/>
    <m/>
    <n v="244"/>
    <n v="0.91742555748972909"/>
    <n v="0.99999689818928672"/>
    <n v="1"/>
  </r>
  <r>
    <n v="34.946130257562181"/>
    <n v="30818.919000000002"/>
    <n v="0"/>
    <n v="0"/>
    <n v="20895.63"/>
    <n v="2089563"/>
    <n v="10447.815000000001"/>
    <s v=""/>
    <x v="0"/>
    <n v="1"/>
    <n v="446651"/>
    <n v="262414"/>
    <n v="183171"/>
    <n v="79243"/>
    <s v="AZ_Maric_2020g~Gen-us rep dist cd-5 (vote for1)"/>
    <n v="3.7923240409597603E-2"/>
    <m/>
    <m/>
    <n v="246"/>
    <n v="0.91911645693411181"/>
    <n v="0.99999720804809344"/>
    <n v="1"/>
  </r>
  <r>
    <n v="159.09916077463123"/>
    <n v="141991.30500000002"/>
    <n v="0"/>
    <n v="0"/>
    <n v="20895.63"/>
    <n v="2089563"/>
    <n v="10447.815000000001"/>
    <s v=""/>
    <x v="0"/>
    <n v="1"/>
    <n v="2057845"/>
    <n v="1064396"/>
    <n v="984203"/>
    <n v="80193"/>
    <s v="AZ_Maric_2020g~Gen-us senate-term expires  january 3, 2023 (vote for1)"/>
    <n v="3.8377880925341806E-2"/>
    <m/>
    <m/>
    <n v="250"/>
    <n v="0.92239603928318081"/>
    <n v="0.99999773814059334"/>
    <n v="1"/>
  </r>
  <r>
    <n v="32.481856540084387"/>
    <n v="29214.669000000002"/>
    <n v="0"/>
    <n v="0"/>
    <n v="20895.63"/>
    <n v="2089563"/>
    <n v="10447.815000000001"/>
    <s v=""/>
    <x v="0"/>
    <n v="1"/>
    <n v="423401"/>
    <n v="251633"/>
    <n v="170816"/>
    <n v="80817"/>
    <s v="AZ_Maric_2020g~Gen-us rep dist cd-8 (vote for1)"/>
    <n v="3.8676507958841158E-2"/>
    <m/>
    <m/>
    <n v="252"/>
    <n v="0.92398608706873175"/>
    <n v="0.99999796422099507"/>
    <n v="1"/>
  </r>
  <r>
    <n v="26.701538198598531"/>
    <n v="24341.751000000004"/>
    <n v="0"/>
    <n v="0"/>
    <n v="20895.63"/>
    <n v="2089563"/>
    <n v="10447.815000000001"/>
    <s v=""/>
    <x v="0"/>
    <n v="1"/>
    <n v="352779"/>
    <n v="217094"/>
    <n v="135180"/>
    <n v="81914"/>
    <s v="AZ_Maric_2020g~Gen-us rep dist cd-9 (vote for1)"/>
    <n v="3.9201498112284724E-2"/>
    <m/>
    <m/>
    <n v="257"/>
    <n v="0.92782141972497734"/>
    <n v="0.99999843558173362"/>
    <n v="1"/>
  </r>
  <r>
    <n v="7.5419675004737545"/>
    <n v="7086.7830000000004"/>
    <n v="0"/>
    <n v="0"/>
    <n v="20895.63"/>
    <n v="2089563"/>
    <n v="10447.815000000001"/>
    <s v=""/>
    <x v="0"/>
    <n v="2"/>
    <n v="102707"/>
    <n v="91965"/>
    <n v="7533"/>
    <n v="84432"/>
    <s v="AZ_Maric_2020g~Gen-state rep dist-12 (vote for2)"/>
    <n v="4.0406534763488829E-2"/>
    <m/>
    <m/>
    <n v="267"/>
    <n v="0.93492629408768813"/>
    <n v="0.99999907652658571"/>
    <n v="1"/>
  </r>
  <r>
    <n v="93.131063928529997"/>
    <n v="89332.368000000002"/>
    <n v="0"/>
    <n v="0"/>
    <n v="20895.63"/>
    <n v="2089563"/>
    <n v="10447.815000000001"/>
    <s v=""/>
    <x v="0"/>
    <n v="1"/>
    <n v="1294672"/>
    <n v="690431"/>
    <n v="604241"/>
    <n v="86190"/>
    <s v="AZ_Maric_2020g~Gen-superior court gentry, jo lynn (vote for1)"/>
    <n v="4.124785900209757E-2"/>
    <m/>
    <m/>
    <n v="275"/>
    <n v="0.94010765749669079"/>
    <n v="0.99999939449839426"/>
    <n v="1"/>
  </r>
  <r>
    <n v="132.16029202442721"/>
    <n v="128131.62000000001"/>
    <n v="0"/>
    <n v="0"/>
    <n v="20895.63"/>
    <n v="2089563"/>
    <n v="10447.815000000001"/>
    <s v=""/>
    <x v="0"/>
    <n v="1"/>
    <n v="1856980"/>
    <n v="970986"/>
    <n v="883870"/>
    <n v="87116"/>
    <s v="AZ_Maric_2020g~Gen-county treasurer (vote for1)"/>
    <n v="4.1691013862707176E-2"/>
    <m/>
    <m/>
    <n v="279"/>
    <n v="0.94254292737058321"/>
    <n v="0.99999950976396568"/>
    <n v="1"/>
  </r>
  <r>
    <n v="30.044271570014146"/>
    <n v="29312.994000000002"/>
    <n v="0"/>
    <n v="0"/>
    <n v="20895.63"/>
    <n v="2089563"/>
    <n v="10447.815000000001"/>
    <s v=""/>
    <x v="0"/>
    <n v="1"/>
    <n v="424826"/>
    <n v="255790"/>
    <n v="168122"/>
    <n v="87668"/>
    <s v="AZ_Maric_2020g~Gen-board of supervisors dist 2 (vote for1)"/>
    <n v="4.1955183930802754E-2"/>
    <m/>
    <m/>
    <n v="281"/>
    <n v="0.94372352067585663"/>
    <n v="0.99999955890076653"/>
    <n v="1"/>
  </r>
  <r>
    <n v="131.34529381408603"/>
    <n v="130297.11600000001"/>
    <n v="0"/>
    <n v="0"/>
    <n v="20895.63"/>
    <n v="2089563"/>
    <n v="10447.815000000001"/>
    <s v=""/>
    <x v="0"/>
    <n v="1"/>
    <n v="1888364"/>
    <n v="987860"/>
    <n v="898722"/>
    <n v="89138"/>
    <s v="AZ_Maric_2020g~Gen-county assessor (vote for1)"/>
    <n v="4.2658680307796418E-2"/>
    <m/>
    <m/>
    <n v="287"/>
    <n v="0.94712303842096424"/>
    <n v="0.99999967872724038"/>
    <n v="1"/>
  </r>
  <r>
    <n v="6.9944209015983185"/>
    <n v="6998.4630000000006"/>
    <n v="0"/>
    <n v="0"/>
    <n v="20895.63"/>
    <n v="2089563"/>
    <n v="10447.815000000001"/>
    <s v=""/>
    <x v="0"/>
    <n v="1"/>
    <n v="101427"/>
    <n v="91249"/>
    <n v="1342"/>
    <n v="89907"/>
    <s v="AZ_Maric_2020g~Gen-state senator dist-15 (vote for1)"/>
    <n v="4.3026699841067245E-2"/>
    <m/>
    <m/>
    <n v="290"/>
    <n v="0.94874570628165744"/>
    <n v="0.99999972583538865"/>
    <n v="1"/>
  </r>
  <r>
    <n v="11.650249075729436"/>
    <n v="14939.742000000002"/>
    <n v="0"/>
    <n v="0"/>
    <n v="20895.63"/>
    <n v="2089563"/>
    <n v="10447.815000000001"/>
    <s v=""/>
    <x v="0"/>
    <n v="1"/>
    <n v="216518"/>
    <n v="165452"/>
    <n v="50226"/>
    <n v="115226"/>
    <s v="AZ_Maric_2020g~Gen-us rep dist cd-7 (vote for1)"/>
    <n v="5.5143587439096114E-2"/>
    <m/>
    <m/>
    <n v="397"/>
    <n v="0.98323933026613841"/>
    <n v="0.9999999990706917"/>
    <n v="1"/>
  </r>
  <r>
    <n v="15.02375956397921"/>
    <n v="22486.548000000003"/>
    <n v="0"/>
    <n v="0"/>
    <n v="20895.63"/>
    <n v="2089563"/>
    <n v="10447.815000000001"/>
    <s v=""/>
    <x v="0"/>
    <n v="1"/>
    <n v="325892"/>
    <n v="229581"/>
    <n v="95092"/>
    <n v="134489"/>
    <s v="AZ_Maric_2020g~Gen-mc special healthcare dist 1 (vote for1)"/>
    <n v="6.4362261391496686E-2"/>
    <m/>
    <m/>
    <n v="478"/>
    <n v="0.99286585524416804"/>
    <n v="0.9999999999879654"/>
    <n v="1"/>
  </r>
  <r>
    <n v="18.141991131874189"/>
    <n v="39933.75"/>
    <n v="0"/>
    <n v="0"/>
    <n v="20895.63"/>
    <n v="2089563"/>
    <n v="10447.815000000001"/>
    <s v=""/>
    <x v="0"/>
    <n v="1"/>
    <n v="578750"/>
    <n v="349959"/>
    <n v="152172"/>
    <n v="197787"/>
    <s v="AZ_Maric_2020g~Gen-phoenix-mayor (vote for1)"/>
    <n v="9.4654719671050838E-2"/>
    <m/>
    <m/>
    <n v="744"/>
    <n v="0.99958933256503724"/>
    <n v="1"/>
    <n v="1"/>
  </r>
  <r>
    <n v="53.968973550774294"/>
    <n v="135865.00200000001"/>
    <n v="0"/>
    <n v="0"/>
    <n v="20895.63"/>
    <n v="2089563"/>
    <n v="10447.815000000001"/>
    <s v=""/>
    <x v="0"/>
    <n v="1"/>
    <n v="1969058"/>
    <n v="1095955"/>
    <n v="869748"/>
    <n v="226207"/>
    <s v="AZ_Maric_2020g~Gen-sheriff (vote for1)"/>
    <n v="0.10825564962626157"/>
    <m/>
    <m/>
    <n v="863"/>
    <n v="0.999888386941023"/>
    <n v="1"/>
    <n v="1"/>
  </r>
  <r>
    <n v="13.592712792043471"/>
    <n v="38557.407000000007"/>
    <n v="0"/>
    <n v="0"/>
    <n v="20895.63"/>
    <n v="2089563"/>
    <n v="10447.815000000001"/>
    <s v=""/>
    <x v="0"/>
    <n v="1"/>
    <n v="558803"/>
    <n v="406844"/>
    <n v="151959"/>
    <n v="254885"/>
    <s v="AZ_Maric_2020g~Gen-phoenix-proposition 444 (vote for1)"/>
    <n v="0.12198005037416915"/>
    <m/>
    <m/>
    <n v="984"/>
    <n v="0.99997081620824269"/>
    <n v="1"/>
    <n v="1"/>
  </r>
  <r>
    <n v="25.013039890308001"/>
    <n v="87704.65800000001"/>
    <n v="0"/>
    <n v="0"/>
    <n v="20895.63"/>
    <n v="2089563"/>
    <n v="10447.815000000001"/>
    <s v=""/>
    <x v="0"/>
    <n v="1"/>
    <n v="1271082"/>
    <n v="793073"/>
    <n v="478009"/>
    <n v="315064"/>
    <s v="AZ_Maric_2020g~Gen-superior court driggs, adam (vote for1)"/>
    <n v="0.15077985205519048"/>
    <m/>
    <m/>
    <n v="1237"/>
    <n v="0.99999833106517833"/>
    <n v="1"/>
    <n v="1"/>
  </r>
  <r>
    <n v="25.237405616486416"/>
    <n v="92064.285000000003"/>
    <n v="0"/>
    <n v="0"/>
    <n v="20895.63"/>
    <n v="2089563"/>
    <n v="10447.815000000001"/>
    <s v=""/>
    <x v="0"/>
    <n v="1"/>
    <n v="1334265"/>
    <n v="831025"/>
    <n v="503240"/>
    <n v="327785"/>
    <s v="AZ_Maric_2020g~Gen-appeals court weinzweig, david (vote for1)"/>
    <n v="0.1568677278454873"/>
    <m/>
    <m/>
    <n v="1290"/>
    <n v="0.99999909267242748"/>
    <n v="1"/>
    <n v="1"/>
  </r>
  <r>
    <n v="23.225450837688026"/>
    <n v="99371.661000000007"/>
    <n v="0"/>
    <n v="0"/>
    <n v="20895.63"/>
    <n v="2089563"/>
    <n v="10447.815000000001"/>
    <s v=""/>
    <x v="0"/>
    <n v="1"/>
    <n v="1440169"/>
    <n v="908819"/>
    <n v="524368"/>
    <n v="384451"/>
    <s v="AZ_Maric_2020g~Gen-mcccd at-large (vote for1)"/>
    <n v="0.18398631675618299"/>
    <m/>
    <m/>
    <n v="1528"/>
    <n v="0.99999994377752144"/>
    <n v="1"/>
    <n v="1"/>
  </r>
  <r>
    <n v="20.251960914218611"/>
    <n v="86749.905000000013"/>
    <n v="0"/>
    <n v="0"/>
    <n v="20895.63"/>
    <n v="2089563"/>
    <n v="10447.815000000001"/>
    <s v=""/>
    <x v="0"/>
    <n v="1"/>
    <n v="1257245"/>
    <n v="821071"/>
    <n v="436174"/>
    <n v="384897"/>
    <s v="AZ_Maric_2020g~Gen-superior court hannah, john r. (vote for1)"/>
    <n v="0.18419975851410081"/>
    <m/>
    <m/>
    <n v="1530"/>
    <n v="0.99999994509357437"/>
    <n v="1"/>
    <n v="1"/>
  </r>
  <r>
    <n v="20.430721131250383"/>
    <n v="89016.072000000015"/>
    <n v="0"/>
    <n v="0"/>
    <n v="20895.63"/>
    <n v="2089563"/>
    <n v="10447.815000000001"/>
    <s v=""/>
    <x v="0"/>
    <n v="1"/>
    <n v="1290088"/>
    <n v="840792"/>
    <n v="449296"/>
    <n v="391496"/>
    <s v="AZ_Maric_2020g~Gen-superior court coury, christopher a. (vote for1)"/>
    <n v="0.18735783510714921"/>
    <m/>
    <m/>
    <n v="1558"/>
    <n v="0.99999996061203333"/>
    <n v="1"/>
    <n v="1"/>
  </r>
  <r>
    <n v="21.58148299319728"/>
    <n v="98858.508000000002"/>
    <n v="0"/>
    <n v="0"/>
    <n v="20895.63"/>
    <n v="2089563"/>
    <n v="10447.815000000001"/>
    <s v=""/>
    <x v="0"/>
    <n v="1"/>
    <n v="1432732"/>
    <n v="922166"/>
    <n v="510566"/>
    <n v="411600"/>
    <s v="AZ_Maric_2020g~Gen-supreme court gould, andrew w. (vote for1)"/>
    <n v="0.19697898555822438"/>
    <m/>
    <m/>
    <n v="1642"/>
    <n v="0.9999999855513888"/>
    <n v="1"/>
    <n v="1"/>
  </r>
  <r>
    <n v="18.921052531205003"/>
    <n v="88332.006000000008"/>
    <n v="0"/>
    <n v="0"/>
    <n v="20895.63"/>
    <n v="2089563"/>
    <n v="10447.815000000001"/>
    <s v=""/>
    <x v="0"/>
    <n v="1"/>
    <n v="1280174"/>
    <n v="849829"/>
    <n v="430345"/>
    <n v="419484"/>
    <s v="AZ_Maric_2020g~Gen-superior court cohen, suzanne e. (vote for1)"/>
    <n v="0.2007520232699373"/>
    <m/>
    <m/>
    <n v="1675"/>
    <n v="0.99999999028198738"/>
    <n v="1"/>
    <n v="1"/>
  </r>
  <r>
    <n v="28.925877687058364"/>
    <n v="138312.29400000002"/>
    <n v="0"/>
    <n v="0"/>
    <n v="20895.63"/>
    <n v="2089563"/>
    <n v="10447.815000000001"/>
    <s v=""/>
    <x v="0"/>
    <n v="1"/>
    <n v="2004526"/>
    <n v="1217089"/>
    <n v="787437"/>
    <n v="429652"/>
    <s v="AZ_Maric_2020g~Gen-proposition 207 (vote for1)"/>
    <n v="0.20561811249529208"/>
    <m/>
    <m/>
    <n v="1718"/>
    <n v="0.99999999421702201"/>
    <n v="1"/>
    <n v="1"/>
  </r>
  <r>
    <n v="19.491918320391143"/>
    <n v="93527.292000000001"/>
    <n v="0"/>
    <n v="0"/>
    <n v="20895.63"/>
    <n v="2089563"/>
    <n v="10447.815000000001"/>
    <s v=""/>
    <x v="0"/>
    <n v="1"/>
    <n v="1355468"/>
    <n v="893308"/>
    <n v="462160"/>
    <n v="431148"/>
    <s v="AZ_Maric_2020g~Gen-appeals court perkins, jennifer (vote for1)"/>
    <n v="0.20633405166534821"/>
    <m/>
    <m/>
    <n v="1724"/>
    <n v="0.99999999462215883"/>
    <n v="1"/>
    <n v="1"/>
  </r>
  <r>
    <n v="25.386467241867614"/>
    <n v="126691.52100000001"/>
    <n v="0"/>
    <n v="0"/>
    <n v="20895.63"/>
    <n v="2089563"/>
    <n v="10447.815000000001"/>
    <s v=""/>
    <x v="0"/>
    <n v="1"/>
    <n v="1836109"/>
    <n v="1142266"/>
    <n v="693843"/>
    <n v="448423"/>
    <s v="AZ_Maric_2020g~Gen-mc special healthcare proposition 449 (vote for1)"/>
    <n v="0.21460133051743355"/>
    <m/>
    <m/>
    <n v="1797"/>
    <n v="0.9999999977865488"/>
    <n v="1"/>
    <n v="1"/>
  </r>
  <r>
    <n v="17.237360102679208"/>
    <n v="92816.937000000005"/>
    <n v="0"/>
    <n v="0"/>
    <n v="20895.63"/>
    <n v="2089563"/>
    <n v="10447.815000000001"/>
    <s v=""/>
    <x v="0"/>
    <n v="1"/>
    <n v="1345173"/>
    <n v="914505"/>
    <n v="430668"/>
    <n v="483837"/>
    <s v="AZ_Maric_2020g~Gen-appeals court morse jr., james (vote for1)"/>
    <n v="0.23154937180644949"/>
    <m/>
    <m/>
    <n v="1946"/>
    <n v="0.99999999964690944"/>
    <n v="1"/>
    <n v="1"/>
  </r>
  <r>
    <n v="15.474478000603376"/>
    <n v="86767.914000000004"/>
    <n v="0"/>
    <n v="0"/>
    <n v="20895.63"/>
    <n v="2089563"/>
    <n v="10447.815000000001"/>
    <s v=""/>
    <x v="0"/>
    <n v="1"/>
    <n v="1257506"/>
    <n v="880669"/>
    <n v="376837"/>
    <n v="503832"/>
    <s v="AZ_Maric_2020g~Gen-superior court ponce, adele g. (vote for1)"/>
    <n v="0.24111835824045505"/>
    <m/>
    <m/>
    <n v="2030"/>
    <n v="0.99999999987633492"/>
    <n v="1"/>
    <n v="1"/>
  </r>
  <r>
    <n v="15.171024150785209"/>
    <n v="86192.385000000009"/>
    <n v="0"/>
    <n v="0"/>
    <n v="20895.63"/>
    <n v="2089563"/>
    <n v="10447.815000000001"/>
    <s v=""/>
    <x v="0"/>
    <n v="1"/>
    <n v="1249165"/>
    <n v="879833"/>
    <n v="369332"/>
    <n v="510501"/>
    <s v="AZ_Maric_2020g~Gen-superior court ryan, timothy j. (vote for1)"/>
    <n v="0.24430993466097936"/>
    <m/>
    <m/>
    <n v="2058"/>
    <n v="0.9999999999130339"/>
    <n v="1"/>
    <n v="1"/>
  </r>
  <r>
    <n v="14.141858802469386"/>
    <n v="85633.761000000013"/>
    <n v="0"/>
    <n v="0"/>
    <n v="20895.63"/>
    <n v="2089563"/>
    <n v="10447.815000000001"/>
    <s v=""/>
    <x v="0"/>
    <n v="1"/>
    <n v="1241069"/>
    <n v="892586"/>
    <n v="348483"/>
    <n v="544103"/>
    <s v="AZ_Maric_2020g~Gen-superior court whitten, christopher t. (vote for1)"/>
    <n v="0.26039080898733369"/>
    <m/>
    <m/>
    <n v="2199"/>
    <n v="0.99999999998549505"/>
    <n v="1"/>
    <n v="1"/>
  </r>
  <r>
    <n v="14.183023322311263"/>
    <n v="86114.898000000001"/>
    <n v="0"/>
    <n v="0"/>
    <n v="20895.63"/>
    <n v="2089563"/>
    <n v="10447.815000000001"/>
    <s v=""/>
    <x v="0"/>
    <n v="1"/>
    <n v="1248042"/>
    <n v="896807"/>
    <n v="351235"/>
    <n v="545572"/>
    <s v="AZ_Maric_2020g~Gen-superior court mandell, michael (vote for1)"/>
    <n v="0.26109382679536342"/>
    <m/>
    <m/>
    <n v="2205"/>
    <n v="0.99999999998656863"/>
    <n v="1"/>
    <n v="1"/>
  </r>
  <r>
    <n v="14.069767864278708"/>
    <n v="86205.150000000009"/>
    <n v="0"/>
    <n v="0"/>
    <n v="20895.63"/>
    <n v="2089563"/>
    <n v="10447.815000000001"/>
    <s v=""/>
    <x v="0"/>
    <n v="1"/>
    <n v="1249350"/>
    <n v="899945"/>
    <n v="349405"/>
    <n v="550540"/>
    <s v="AZ_Maric_2020g~Gen-superior court vandenberg, lisa a. (vote for1)"/>
    <n v="0.26347135740822364"/>
    <m/>
    <m/>
    <n v="2226"/>
    <n v="0.99999999998974254"/>
    <n v="1"/>
    <n v="1"/>
  </r>
  <r>
    <n v="14.220432102330147"/>
    <n v="87696.102000000014"/>
    <n v="0"/>
    <n v="0"/>
    <n v="20895.63"/>
    <n v="2089563"/>
    <n v="10447.815000000001"/>
    <s v=""/>
    <x v="0"/>
    <n v="1"/>
    <n v="1270958"/>
    <n v="912543"/>
    <n v="358415"/>
    <n v="554128"/>
    <s v="AZ_Maric_2020g~Gen-superior court blaney, scott allen (vote for1)"/>
    <n v="0.26518846285084491"/>
    <m/>
    <m/>
    <n v="2241"/>
    <n v="0.99999999999154277"/>
    <n v="1"/>
    <n v="1"/>
  </r>
  <r>
    <n v="14.079434645868751"/>
    <n v="87835.827000000005"/>
    <n v="0"/>
    <n v="0"/>
    <n v="20895.63"/>
    <n v="2089563"/>
    <n v="10447.815000000001"/>
    <s v=""/>
    <x v="0"/>
    <n v="1"/>
    <n v="1272983"/>
    <n v="916776"/>
    <n v="356207"/>
    <n v="560569"/>
    <s v="AZ_Maric_2020g~Gen-superior court beresky, justin (vote for1)"/>
    <n v="0.26827092554759058"/>
    <m/>
    <m/>
    <n v="2268"/>
    <n v="0.99999999999402989"/>
    <n v="1"/>
    <n v="1"/>
  </r>
  <r>
    <n v="15.53683745214062"/>
    <n v="99354.066000000006"/>
    <n v="0"/>
    <n v="0"/>
    <n v="20895.63"/>
    <n v="2089563"/>
    <n v="10447.815000000001"/>
    <s v=""/>
    <x v="0"/>
    <n v="1"/>
    <n v="1439914"/>
    <n v="1007257"/>
    <n v="432657"/>
    <n v="574600"/>
    <s v="AZ_Maric_2020g~Gen-supreme court lopez iv, john (vote for1)"/>
    <n v="0.27498572668065047"/>
    <m/>
    <m/>
    <n v="2327"/>
    <n v="0.99999999999722211"/>
    <n v="1"/>
    <n v="1"/>
  </r>
  <r>
    <n v="13.551760073463937"/>
    <n v="86716.716"/>
    <n v="0"/>
    <n v="0"/>
    <n v="20895.63"/>
    <n v="2089563"/>
    <n v="10447.815000000001"/>
    <s v=""/>
    <x v="0"/>
    <n v="1"/>
    <n v="1256764"/>
    <n v="915870"/>
    <n v="340894"/>
    <n v="574976"/>
    <s v="AZ_Maric_2020g~Gen-superior court mahoney, margaret r. (vote for1)"/>
    <n v="0.27516566861109237"/>
    <m/>
    <m/>
    <n v="2329"/>
    <n v="0.9999999999972935"/>
    <n v="1"/>
    <n v="1"/>
  </r>
  <r>
    <n v="13.689367323137784"/>
    <n v="87654.081000000006"/>
    <n v="0"/>
    <n v="0"/>
    <n v="20895.63"/>
    <n v="2089563"/>
    <n v="10447.815000000001"/>
    <s v=""/>
    <x v="0"/>
    <n v="1"/>
    <n v="1270349"/>
    <n v="922849"/>
    <n v="347500"/>
    <n v="575349"/>
    <s v="AZ_Maric_2020g~Gen-superior court cohen, bruce r. (vote for1)"/>
    <n v="0.27534417483464246"/>
    <m/>
    <m/>
    <n v="2330"/>
    <n v="0.99999999999732847"/>
    <n v="1"/>
    <n v="1"/>
  </r>
  <r>
    <n v="13.316846965970361"/>
    <n v="86527.794000000009"/>
    <n v="0"/>
    <n v="0"/>
    <n v="20895.63"/>
    <n v="2089563"/>
    <n v="10447.815000000001"/>
    <s v=""/>
    <x v="0"/>
    <n v="1"/>
    <n v="1254026"/>
    <n v="918935"/>
    <n v="335091"/>
    <n v="583844"/>
    <s v="AZ_Maric_2020g~Gen-superior court mullins, karen a. (vote for1)"/>
    <n v="0.27940961818332349"/>
    <m/>
    <m/>
    <n v="2366"/>
    <n v="0.99999999999832989"/>
    <n v="1"/>
    <n v="1"/>
  </r>
  <r>
    <n v="12.900110679948261"/>
    <n v="86129.112000000008"/>
    <n v="0"/>
    <n v="0"/>
    <n v="20895.63"/>
    <n v="2089563"/>
    <n v="10447.815000000001"/>
    <s v=""/>
    <x v="0"/>
    <n v="1"/>
    <n v="1248248"/>
    <n v="924088"/>
    <n v="324160"/>
    <n v="599928"/>
    <s v="AZ_Maric_2020g~Gen-superior court lang, todd f. (vote for1)"/>
    <n v="0.28710692139935479"/>
    <m/>
    <m/>
    <n v="2433"/>
    <n v="0.99999999999930722"/>
    <n v="1"/>
    <n v="1"/>
  </r>
  <r>
    <n v="12.906415262228242"/>
    <n v="86522.826000000001"/>
    <n v="0"/>
    <n v="0"/>
    <n v="20895.63"/>
    <n v="2089563"/>
    <n v="10447.815000000001"/>
    <s v=""/>
    <x v="0"/>
    <n v="1"/>
    <n v="1253954"/>
    <n v="928165"/>
    <n v="325789"/>
    <n v="602376"/>
    <s v="AZ_Maric_2020g~Gen-superior court gordon, michael d. (vote for1)"/>
    <n v="0.28827845822308301"/>
    <m/>
    <m/>
    <n v="2444"/>
    <n v="0.99999999999940081"/>
    <n v="1"/>
    <n v="1"/>
  </r>
  <r>
    <n v="12.795270767089804"/>
    <n v="86567.331000000006"/>
    <n v="0"/>
    <n v="0"/>
    <n v="20895.63"/>
    <n v="2089563"/>
    <n v="10447.815000000001"/>
    <s v=""/>
    <x v="0"/>
    <n v="1"/>
    <n v="1254599"/>
    <n v="931260"/>
    <n v="323339"/>
    <n v="607921"/>
    <s v="AZ_Maric_2020g~Gen-superior court stephens, sherry k. (vote for1)"/>
    <n v="0.29093212312813732"/>
    <m/>
    <m/>
    <n v="2467"/>
    <n v="0.99999999999955791"/>
    <n v="1"/>
    <n v="1"/>
  </r>
  <r>
    <n v="12.708370103460696"/>
    <n v="85998.633000000002"/>
    <n v="0"/>
    <n v="0"/>
    <n v="20895.63"/>
    <n v="2089563"/>
    <n v="10447.815000000001"/>
    <s v=""/>
    <x v="0"/>
    <n v="1"/>
    <n v="1246357"/>
    <n v="927207"/>
    <n v="319150"/>
    <n v="608057"/>
    <s v="AZ_Maric_2020g~Gen-superior court mikitish, joseph p. (vote for1)"/>
    <n v="0.29099720850723332"/>
    <m/>
    <m/>
    <n v="2468"/>
    <n v="0.99999999999956379"/>
    <n v="1"/>
    <n v="1"/>
  </r>
  <r>
    <n v="12.700708348262852"/>
    <n v="87180.741000000009"/>
    <n v="0"/>
    <n v="0"/>
    <n v="20895.63"/>
    <n v="2089563"/>
    <n v="10447.815000000001"/>
    <s v=""/>
    <x v="0"/>
    <n v="1"/>
    <n v="1263489"/>
    <n v="940138"/>
    <n v="323351"/>
    <n v="616787"/>
    <s v="AZ_Maric_2020g~Gen-superior court coffey, rodrick j. (vote for1)"/>
    <n v="0.29517511556244058"/>
    <m/>
    <m/>
    <n v="2504"/>
    <n v="0.99999999999972955"/>
    <n v="1"/>
    <n v="1"/>
  </r>
  <r>
    <n v="12.576377263526451"/>
    <n v="86984.988000000012"/>
    <n v="0"/>
    <n v="0"/>
    <n v="20895.63"/>
    <n v="2089563"/>
    <n v="10447.815000000001"/>
    <s v=""/>
    <x v="0"/>
    <n v="1"/>
    <n v="1260652"/>
    <n v="941069"/>
    <n v="319583"/>
    <n v="621486"/>
    <s v="AZ_Maric_2020g~Gen-superior court fisk, ronda r. (vote for1)"/>
    <n v="0.29742391112400057"/>
    <m/>
    <m/>
    <n v="2524"/>
    <n v="0.99999999999979283"/>
    <n v="1"/>
    <n v="1"/>
  </r>
  <r>
    <n v="12.280612236754953"/>
    <n v="85632.10500000001"/>
    <n v="0"/>
    <n v="0"/>
    <n v="20895.63"/>
    <n v="2089563"/>
    <n v="10447.815000000001"/>
    <s v=""/>
    <x v="0"/>
    <n v="1"/>
    <n v="1241045"/>
    <n v="933800"/>
    <n v="307245"/>
    <n v="626555"/>
    <s v="AZ_Maric_2020g~Gen-superior court wein, kevin (vote for1)"/>
    <n v="0.29984977720221884"/>
    <m/>
    <m/>
    <n v="2545"/>
    <n v="0.99999999999984346"/>
    <n v="1"/>
    <n v="1"/>
  </r>
  <r>
    <n v="12.253393177058364"/>
    <n v="86470.662000000011"/>
    <n v="0"/>
    <n v="0"/>
    <n v="20895.63"/>
    <n v="2089563"/>
    <n v="10447.815000000001"/>
    <s v=""/>
    <x v="0"/>
    <n v="1"/>
    <n v="1253198"/>
    <n v="943647"/>
    <n v="309551"/>
    <n v="634096"/>
    <s v="AZ_Maric_2020g~Gen-superior court marwil, suzanne sheiner (vote for1)"/>
    <n v="0.30345866575929992"/>
    <m/>
    <m/>
    <n v="2577"/>
    <n v="0.99999999999989808"/>
    <n v="1"/>
    <n v="1"/>
  </r>
  <r>
    <n v="12.229693561113745"/>
    <n v="86418.153000000006"/>
    <n v="0"/>
    <n v="0"/>
    <n v="20895.63"/>
    <n v="2089563"/>
    <n v="10447.815000000001"/>
    <s v=""/>
    <x v="0"/>
    <n v="1"/>
    <n v="1252437"/>
    <n v="943688"/>
    <n v="308749"/>
    <n v="634939"/>
    <s v="AZ_Maric_2020g~Gen-superior court kemp, michael (vote for1)"/>
    <n v="0.30386209939590242"/>
    <m/>
    <m/>
    <n v="2581"/>
    <n v="0.99999999999990341"/>
    <n v="1"/>
    <n v="1"/>
  </r>
  <r>
    <n v="12.044731582937082"/>
    <n v="85586.358000000007"/>
    <n v="0"/>
    <n v="0"/>
    <n v="20895.63"/>
    <n v="2089563"/>
    <n v="10447.815000000001"/>
    <s v=""/>
    <x v="0"/>
    <n v="1"/>
    <n v="1240382"/>
    <n v="939433"/>
    <n v="300949"/>
    <n v="638484"/>
    <s v="AZ_Maric_2020g~Gen-superior court thompson, peter allen (vote for1)"/>
    <n v="0.30555862637307418"/>
    <m/>
    <m/>
    <n v="2595"/>
    <n v="0.99999999999991995"/>
    <n v="1"/>
    <n v="1"/>
  </r>
  <r>
    <n v="13.054828897456964"/>
    <n v="93187.329000000012"/>
    <n v="0"/>
    <n v="0"/>
    <n v="20895.63"/>
    <n v="2089563"/>
    <n v="10447.815000000001"/>
    <s v=""/>
    <x v="0"/>
    <n v="1"/>
    <n v="1350541"/>
    <n v="995970"/>
    <n v="354571"/>
    <n v="641399"/>
    <s v="AZ_Maric_2020g~Gen-appeals court howe, randall (vote for1)"/>
    <n v="0.30695365490296295"/>
    <m/>
    <m/>
    <n v="2608"/>
    <n v="0.99999999999993283"/>
    <n v="1"/>
    <n v="1"/>
  </r>
  <r>
    <n v="12.007269752293379"/>
    <n v="85915.35"/>
    <n v="0"/>
    <n v="0"/>
    <n v="20895.63"/>
    <n v="2089563"/>
    <n v="10447.815000000001"/>
    <s v=""/>
    <x v="0"/>
    <n v="1"/>
    <n v="1245150"/>
    <n v="944044"/>
    <n v="301106"/>
    <n v="642938"/>
    <s v="AZ_Maric_2020g~Gen-superior court minder, scott s. (vote for1)"/>
    <n v="0.30769017253846859"/>
    <m/>
    <m/>
    <n v="2614"/>
    <n v="0.99999999999993805"/>
    <n v="1"/>
    <n v="1"/>
  </r>
  <r>
    <n v="11.94539423085833"/>
    <n v="86080.950000000012"/>
    <n v="0"/>
    <n v="0"/>
    <n v="20895.63"/>
    <n v="2089563"/>
    <n v="10447.815000000001"/>
    <s v=""/>
    <x v="0"/>
    <n v="1"/>
    <n v="1247550"/>
    <n v="947532"/>
    <n v="300018"/>
    <n v="647514"/>
    <s v="AZ_Maric_2020g~Gen-superior court mccoy, michael scott (vote for1)"/>
    <n v="0.30988010411746381"/>
    <m/>
    <m/>
    <n v="2633"/>
    <n v="0.99999999999995204"/>
    <n v="1"/>
    <n v="1"/>
  </r>
  <r>
    <n v="11.822360013079605"/>
    <n v="86107.446000000011"/>
    <n v="0"/>
    <n v="0"/>
    <n v="20895.63"/>
    <n v="2089563"/>
    <n v="10447.815000000001"/>
    <s v=""/>
    <x v="0"/>
    <n v="1"/>
    <n v="1247934"/>
    <n v="951194"/>
    <n v="296740"/>
    <n v="654454"/>
    <s v="AZ_Maric_2020g~Gen-superior court kiley, daniel j. (vote for1)"/>
    <n v="0.31320137272721615"/>
    <m/>
    <m/>
    <n v="2663"/>
    <n v="0.99999999999996814"/>
    <n v="1"/>
    <n v="1"/>
  </r>
  <r>
    <n v="11.759071091896903"/>
    <n v="85848.282000000007"/>
    <n v="0"/>
    <n v="0"/>
    <n v="20895.63"/>
    <n v="2089563"/>
    <n v="10447.815000000001"/>
    <s v=""/>
    <x v="0"/>
    <n v="1"/>
    <n v="1244178"/>
    <n v="950087"/>
    <n v="294091"/>
    <n v="655996"/>
    <s v="AZ_Maric_2020g~Gen-superior court thomason, timothy j. (vote for1)"/>
    <n v="0.31393932606961361"/>
    <m/>
    <m/>
    <n v="2669"/>
    <n v="0.99999999999997058"/>
    <n v="1"/>
    <n v="1"/>
  </r>
  <r>
    <n v="12.665595640393338"/>
    <n v="92599.518000000011"/>
    <n v="0"/>
    <n v="0"/>
    <n v="20895.63"/>
    <n v="2089563"/>
    <n v="10447.815000000001"/>
    <s v=""/>
    <x v="0"/>
    <n v="1"/>
    <n v="1342022"/>
    <n v="999481"/>
    <n v="342541"/>
    <n v="656940"/>
    <s v="AZ_Maric_2020g~Gen-appeals court mcmurdie, paul (vote for1)"/>
    <n v="0.31439109517157415"/>
    <m/>
    <m/>
    <n v="2673"/>
    <n v="0.99999999999997213"/>
    <n v="1"/>
    <n v="1"/>
  </r>
  <r>
    <n v="11.737537490205945"/>
    <n v="86193.075000000012"/>
    <n v="0"/>
    <n v="0"/>
    <n v="20895.63"/>
    <n v="2089563"/>
    <n v="10447.815000000001"/>
    <s v=""/>
    <x v="0"/>
    <n v="1"/>
    <n v="1249175"/>
    <n v="954507"/>
    <n v="294668"/>
    <n v="659839"/>
    <s v="AZ_Maric_2020g~Gen-superior court palmer, david j. (vote for1)"/>
    <n v="0.31577846659803988"/>
    <m/>
    <m/>
    <n v="2685"/>
    <n v="0.99999999999997635"/>
    <n v="1"/>
    <n v="1"/>
  </r>
  <r>
    <n v="11.687525629533662"/>
    <n v="86339.079000000012"/>
    <n v="0"/>
    <n v="0"/>
    <n v="20895.63"/>
    <n v="2089563"/>
    <n v="10447.815000000001"/>
    <s v=""/>
    <x v="0"/>
    <n v="1"/>
    <n v="1251291"/>
    <n v="957538"/>
    <n v="293753"/>
    <n v="663785"/>
    <s v="AZ_Maric_2020g~Gen-superior court udall, david k. (vote for1)"/>
    <n v="0.31766689972975209"/>
    <m/>
    <m/>
    <n v="2702"/>
    <n v="0.99999999999998124"/>
    <n v="1"/>
    <n v="1"/>
  </r>
  <r>
    <n v="11.827520797065219"/>
    <n v="87406.302000000011"/>
    <n v="0"/>
    <n v="0"/>
    <n v="20895.63"/>
    <n v="2089563"/>
    <n v="10447.815000000001"/>
    <s v=""/>
    <x v="0"/>
    <n v="1"/>
    <n v="1266758"/>
    <n v="965397"/>
    <n v="301361"/>
    <n v="664036"/>
    <s v="AZ_Maric_2020g~Gen-superior court contes, connie coin (vote for1)"/>
    <n v="0.31778702053970137"/>
    <m/>
    <m/>
    <n v="2703"/>
    <n v="0.99999999999998146"/>
    <n v="1"/>
    <n v="1"/>
  </r>
  <r>
    <n v="13.32496183137145"/>
    <n v="98490.6"/>
    <n v="0"/>
    <n v="0"/>
    <n v="20895.63"/>
    <n v="2089563"/>
    <n v="10447.815000000001"/>
    <s v=""/>
    <x v="0"/>
    <n v="1"/>
    <n v="1427400"/>
    <n v="1045779"/>
    <n v="381621"/>
    <n v="664158"/>
    <s v="AZ_Maric_2020g~Gen-supreme court brutinel, robert (vote for1)"/>
    <n v="0.31784540595330218"/>
    <m/>
    <m/>
    <n v="2703"/>
    <n v="0.99999999999998146"/>
    <n v="1"/>
    <n v="1"/>
  </r>
  <r>
    <n v="12.277179352612324"/>
    <n v="91381.737000000008"/>
    <n v="0"/>
    <n v="0"/>
    <n v="20895.63"/>
    <n v="2089563"/>
    <n v="10447.815000000001"/>
    <s v=""/>
    <x v="0"/>
    <n v="1"/>
    <n v="1324373"/>
    <n v="996592"/>
    <n v="327781"/>
    <n v="668811"/>
    <s v="AZ_Maric_2020g~Gen-appeals court thumma, samuel (vote for1)"/>
    <n v="0.32007218734252091"/>
    <m/>
    <m/>
    <n v="2723"/>
    <n v="0.9999999999999859"/>
    <n v="1"/>
    <n v="1"/>
  </r>
  <r>
    <n v="11.596320289457029"/>
    <n v="86460.174000000014"/>
    <n v="0"/>
    <n v="0"/>
    <n v="20895.63"/>
    <n v="2089563"/>
    <n v="10447.815000000001"/>
    <s v=""/>
    <x v="0"/>
    <n v="1"/>
    <n v="1253046"/>
    <n v="961495"/>
    <n v="291551"/>
    <n v="669944"/>
    <s v="AZ_Maric_2020g~Gen-superior court sanders, teresa a. (vote for1)"/>
    <n v="0.32061440597866636"/>
    <m/>
    <m/>
    <n v="2728"/>
    <n v="0.9999999999999869"/>
    <n v="1"/>
    <n v="1"/>
  </r>
  <r>
    <n v="11.378994558936617"/>
    <n v="87115.881000000008"/>
    <n v="0"/>
    <n v="0"/>
    <n v="20895.63"/>
    <n v="2089563"/>
    <n v="10447.815000000001"/>
    <s v=""/>
    <x v="0"/>
    <n v="1"/>
    <n v="1262549"/>
    <n v="975233"/>
    <n v="287316"/>
    <n v="687917"/>
    <s v="AZ_Maric_2020g~Gen-superior court gates, pamela frasher (vote for1)"/>
    <n v="0.3292157259675827"/>
    <m/>
    <m/>
    <n v="2803"/>
    <n v="0.99999999999999534"/>
    <n v="1"/>
    <n v="1"/>
  </r>
  <r>
    <n v="10.955399107417579"/>
    <n v="86383.170000000013"/>
    <n v="0"/>
    <n v="0"/>
    <n v="20895.63"/>
    <n v="2089563"/>
    <n v="10447.815000000001"/>
    <s v=""/>
    <x v="0"/>
    <n v="1"/>
    <n v="1251930"/>
    <n v="980218"/>
    <n v="271712"/>
    <n v="708506"/>
    <s v="AZ_Maric_2020g~Gen-superior court starr, patricia ann (vote for1)"/>
    <n v="0.33906898236616939"/>
    <m/>
    <m/>
    <n v="2890"/>
    <n v="0.99999999999999856"/>
    <n v="1"/>
    <n v="1"/>
  </r>
  <r>
    <n v="10.976834111639681"/>
    <n v="86771.709000000003"/>
    <n v="0"/>
    <n v="0"/>
    <n v="20895.63"/>
    <n v="2089563"/>
    <n v="10447.815000000001"/>
    <s v=""/>
    <x v="0"/>
    <n v="1"/>
    <n v="1257561"/>
    <n v="983932"/>
    <n v="273629"/>
    <n v="710303"/>
    <s v="AZ_Maric_2020g~Gen-superior court labianca, margaret b. (vote for1)"/>
    <n v="0.33992897079437184"/>
    <m/>
    <m/>
    <n v="2897"/>
    <n v="0.99999999999999878"/>
    <n v="1"/>
    <n v="1"/>
  </r>
  <r>
    <n v="11.263992089040375"/>
    <n v="89371.629000000001"/>
    <n v="0"/>
    <n v="0"/>
    <n v="20895.63"/>
    <n v="2089563"/>
    <n v="10447.815000000001"/>
    <s v=""/>
    <x v="0"/>
    <n v="1"/>
    <n v="1295241"/>
    <n v="1004088"/>
    <n v="291153"/>
    <n v="712935"/>
    <s v="AZ_Maric_2020g~Gen-superior court agne, sara j. (vote for1)"/>
    <n v="0.34118856430746525"/>
    <m/>
    <m/>
    <n v="2908"/>
    <n v="0.99999999999999889"/>
    <n v="1"/>
    <n v="1"/>
  </r>
  <r>
    <n v="11.219345555930349"/>
    <n v="89208.927000000011"/>
    <n v="0"/>
    <n v="0"/>
    <n v="20895.63"/>
    <n v="2089563"/>
    <n v="10447.815000000001"/>
    <s v=""/>
    <x v="0"/>
    <n v="1"/>
    <n v="1292883"/>
    <n v="1003676"/>
    <n v="289207"/>
    <n v="714469"/>
    <s v="AZ_Maric_2020g~Gen-superior court adleman, jay r. (vote for1)"/>
    <n v="0.34192268909815116"/>
    <m/>
    <m/>
    <n v="2915"/>
    <n v="0.999999999999999"/>
    <n v="1"/>
    <n v="1"/>
  </r>
  <r>
    <n v="10.79114938306874"/>
    <n v="88280.670000000013"/>
    <n v="0"/>
    <n v="0"/>
    <n v="20895.63"/>
    <n v="2089563"/>
    <n v="10447.815000000001"/>
    <s v=""/>
    <x v="0"/>
    <n v="1"/>
    <n v="1279430"/>
    <n v="1007260"/>
    <n v="272170"/>
    <n v="735090"/>
    <s v="AZ_Maric_2020g~Gen-superior court bustamante, lori horn (vote for1)"/>
    <n v="0.35179125970358394"/>
    <m/>
    <m/>
    <n v="3001"/>
    <n v="0.99999999999999967"/>
    <n v="1"/>
    <n v="1"/>
  </r>
  <r>
    <n v="10.550819943433467"/>
    <n v="86560.569000000003"/>
    <n v="0"/>
    <n v="0"/>
    <n v="20895.63"/>
    <n v="2089563"/>
    <n v="10447.815000000001"/>
    <s v=""/>
    <x v="0"/>
    <n v="1"/>
    <n v="1254501"/>
    <n v="995843"/>
    <n v="258658"/>
    <n v="737185"/>
    <s v="AZ_Maric_2020g~Gen-superior court mead, kathleen (vote for1)"/>
    <n v="0.35279386168304089"/>
    <m/>
    <m/>
    <n v="3010"/>
    <n v="0.99999999999999978"/>
    <n v="1"/>
    <n v="1"/>
  </r>
  <r>
    <n v="3610"/>
    <n v="3610"/>
    <n v="100"/>
    <n v="1"/>
    <n v="15465.7"/>
    <n v="1546570"/>
    <n v="7732.85"/>
    <s v=""/>
    <x v="1"/>
    <n v="1"/>
    <n v="3610"/>
    <n v="1805"/>
    <n v="1805"/>
    <n v="0"/>
    <s v="CA_Orang_2020g~brea olinda unified school district governing board member, trustee area 5 (vote 1)"/>
    <n v="0"/>
    <m/>
    <m/>
    <n v="0"/>
    <n v="0"/>
    <n v="0"/>
    <n v="0"/>
  </r>
  <r>
    <n v="442"/>
    <n v="442"/>
    <n v="98.019866063036204"/>
    <n v="0.9801986606303621"/>
    <n v="15465.7"/>
    <n v="1546570"/>
    <n v="7732.85"/>
    <s v=""/>
    <x v="1"/>
    <n v="1"/>
    <n v="442"/>
    <n v="161"/>
    <n v="159"/>
    <n v="2"/>
    <s v="CA_Orang_2020g~surfside colony storm water protection district trustee (vote 1)"/>
    <n v="1.2931842722928804E-6"/>
    <m/>
    <m/>
    <n v="0"/>
    <n v="0"/>
    <n v="0"/>
    <n v="0"/>
  </r>
  <r>
    <n v="394.47500000000002"/>
    <n v="394.47500000000002"/>
    <n v="85.214308369527998"/>
    <n v="0.85214308369528002"/>
    <n v="15465.7"/>
    <n v="1546570"/>
    <n v="7732.85"/>
    <s v=""/>
    <x v="1"/>
    <n v="1"/>
    <n v="1018"/>
    <n v="517"/>
    <n v="501"/>
    <n v="16"/>
    <s v="CA_Orang_2020g~city of los alamitos member, city council, district 1 (vote 1)"/>
    <n v="1.0345474178343043E-5"/>
    <m/>
    <m/>
    <n v="0"/>
    <n v="0"/>
    <n v="0"/>
    <n v="0"/>
  </r>
  <r>
    <n v="58.352941176470594"/>
    <n v="58.352941176470594"/>
    <n v="84.366402833321189"/>
    <n v="0.84366402833321186"/>
    <n v="15465.7"/>
    <n v="1546570"/>
    <n v="7732.85"/>
    <s v=""/>
    <x v="1"/>
    <n v="1"/>
    <n v="160"/>
    <n v="72"/>
    <n v="55"/>
    <n v="17"/>
    <s v="CA_Orang_2020g~capistrano bay community services district director (vote 1)"/>
    <n v="1.0992066314489484E-5"/>
    <m/>
    <m/>
    <n v="0"/>
    <n v="0"/>
    <n v="0"/>
    <n v="0"/>
  </r>
  <r>
    <n v="2416.5909090909095"/>
    <n v="2416.5909090909095"/>
    <n v="80.251754220792307"/>
    <n v="0.80251754220792304"/>
    <n v="15465.7"/>
    <n v="1546570"/>
    <n v="7732.85"/>
    <s v=""/>
    <x v="1"/>
    <n v="1"/>
    <n v="8575"/>
    <n v="1976"/>
    <n v="1954"/>
    <n v="22"/>
    <s v="CA_Orang_2020g~city of lake forest member, city council, district 1 (vote 1)"/>
    <n v="1.4225026995221685E-5"/>
    <m/>
    <m/>
    <n v="0"/>
    <n v="0"/>
    <n v="0"/>
    <n v="0"/>
  </r>
  <r>
    <n v="362.93846153846158"/>
    <n v="362.93846153846158"/>
    <n v="77.104990066801648"/>
    <n v="0.77104990066801649"/>
    <n v="15465.7"/>
    <n v="1546570"/>
    <n v="7732.85"/>
    <s v=""/>
    <x v="1"/>
    <n v="1"/>
    <n v="1522"/>
    <n v="548"/>
    <n v="522"/>
    <n v="26"/>
    <s v="CA_Orang_2020g~silverado-modjeska recreation and park district director (vote 1)"/>
    <n v="1.6811395539807446E-5"/>
    <m/>
    <m/>
    <n v="0"/>
    <n v="0"/>
    <n v="0"/>
    <n v="0"/>
  </r>
  <r>
    <n v="92.279069767441868"/>
    <n v="92.279069767441868"/>
    <n v="65.050520608609972"/>
    <n v="0.65050520608609974"/>
    <n v="15465.7"/>
    <n v="1546570"/>
    <n v="7732.85"/>
    <s v=""/>
    <x v="1"/>
    <n v="1"/>
    <n v="640"/>
    <n v="248"/>
    <n v="205"/>
    <n v="43"/>
    <s v="CA_Orang_2020g~santiago geologic hazard abatement district director, full term (vote 1)"/>
    <n v="2.7803461854296928E-5"/>
    <m/>
    <m/>
    <n v="0"/>
    <n v="0"/>
    <n v="0"/>
    <n v="0"/>
  </r>
  <r>
    <n v="156.69999999999999"/>
    <n v="156.69999999999999"/>
    <n v="53.793775215241212"/>
    <n v="0.53793775215241213"/>
    <n v="15465.7"/>
    <n v="1546570"/>
    <n v="7732.85"/>
    <s v=""/>
    <x v="1"/>
    <n v="1"/>
    <n v="1567"/>
    <n v="492"/>
    <n v="430"/>
    <n v="62"/>
    <s v="CA_Orang_2020g~sunset beach sanitary district director, full term (vote 1)"/>
    <n v="4.0088712441079289E-5"/>
    <m/>
    <m/>
    <n v="0"/>
    <n v="0"/>
    <n v="0"/>
    <n v="0"/>
  </r>
  <r>
    <n v="326.64210526315793"/>
    <n v="414.41400000000004"/>
    <n v="31.980558406415021"/>
    <n v="0.31980558406415022"/>
    <n v="15465.7"/>
    <n v="1546570"/>
    <n v="7732.85"/>
    <s v=""/>
    <x v="1"/>
    <n v="1"/>
    <n v="6006"/>
    <n v="3060"/>
    <n v="2946"/>
    <n v="114"/>
    <s v="CA_Orang_2020g~y-city of los alamitos, quality of life, 911 police response, business/job protection measure (vote 1)"/>
    <n v="7.3711503520694187E-5"/>
    <m/>
    <m/>
    <n v="0"/>
    <n v="0"/>
    <n v="0"/>
    <n v="0"/>
  </r>
  <r>
    <n v="576.99574468085109"/>
    <n v="905.41800000000012"/>
    <n v="24.412759051845001"/>
    <n v="0.24412759051845001"/>
    <n v="15465.7"/>
    <n v="1546570"/>
    <n v="7732.85"/>
    <s v=""/>
    <x v="1"/>
    <n v="1"/>
    <n v="13122"/>
    <n v="3242"/>
    <n v="3101"/>
    <n v="141"/>
    <s v="CA_Orang_2020g~rossmoor community services district director, full term (vote 1)"/>
    <n v="9.1169491196648061E-5"/>
    <m/>
    <m/>
    <n v="0"/>
    <n v="0"/>
    <n v="0"/>
    <n v="0"/>
  </r>
  <r>
    <n v="1093.7038461538461"/>
    <n v="1898.8110000000001"/>
    <n v="21.011953779406081"/>
    <n v="0.21011953779406081"/>
    <n v="15465.7"/>
    <n v="1546570"/>
    <n v="7732.85"/>
    <s v=""/>
    <x v="1"/>
    <n v="1"/>
    <n v="27519"/>
    <n v="10199"/>
    <n v="10043"/>
    <n v="156"/>
    <s v="CA_Orang_2020g~la habra city school district governing board member, full term (vote 1)"/>
    <n v="1.0086837323884467E-4"/>
    <m/>
    <m/>
    <n v="0"/>
    <n v="0"/>
    <n v="0"/>
    <n v="0"/>
  </r>
  <r>
    <n v="95.402500000000018"/>
    <n v="169.87800000000001"/>
    <n v="20.1879807811994"/>
    <n v="0.20187980781199399"/>
    <n v="15465.7"/>
    <n v="1546570"/>
    <n v="7732.85"/>
    <s v=""/>
    <x v="1"/>
    <n v="1"/>
    <n v="2462"/>
    <n v="1311"/>
    <n v="1151"/>
    <n v="160"/>
    <s v="CA_Orang_2020g~city of placentia member, city council, district 1 (vote 1)"/>
    <n v="1.0345474178343043E-4"/>
    <m/>
    <m/>
    <n v="0"/>
    <n v="0"/>
    <n v="0"/>
    <n v="0"/>
  </r>
  <r>
    <n v="1737.1923076923078"/>
    <n v="4021.32"/>
    <n v="12.491273776392099"/>
    <n v="0.12491273776392098"/>
    <n v="15465.7"/>
    <n v="1546570"/>
    <n v="7732.85"/>
    <s v=""/>
    <x v="1"/>
    <n v="1"/>
    <n v="58280"/>
    <n v="10901"/>
    <n v="10693"/>
    <n v="208"/>
    <s v="CA_Orang_2020g~city of san clemente member, city council, full term (vote 1)"/>
    <n v="1.3449116431845957E-4"/>
    <m/>
    <m/>
    <n v="0"/>
    <n v="0"/>
    <n v="0"/>
    <n v="0"/>
  </r>
  <r>
    <n v="360.34400000000005"/>
    <n v="902.3130000000001"/>
    <n v="10.538197375337202"/>
    <n v="0.10538197375337201"/>
    <n v="15465.7"/>
    <n v="1546570"/>
    <n v="7732.85"/>
    <s v=""/>
    <x v="1"/>
    <n v="1"/>
    <n v="13077"/>
    <n v="6651"/>
    <n v="6426"/>
    <n v="225"/>
    <s v="CA_Orang_2020g~v-city of laguna woods, advisory measure on marijuana dispensaries (vote 1)"/>
    <n v="1.4548323063294903E-4"/>
    <m/>
    <m/>
    <n v="0"/>
    <n v="0"/>
    <n v="0"/>
    <n v="0"/>
  </r>
  <r>
    <n v="153.74807692307692"/>
    <n v="533.85300000000007"/>
    <n v="4.4143272064828452"/>
    <n v="4.4143272064828452E-2"/>
    <n v="15465.7"/>
    <n v="1546570"/>
    <n v="7732.85"/>
    <s v=""/>
    <x v="1"/>
    <n v="1"/>
    <n v="7737"/>
    <n v="2949"/>
    <n v="2637"/>
    <n v="312"/>
    <s v="CA_Orang_2020g~placentia-yorba linda unified school district governing board member, trustee area 2 (vote 1)"/>
    <n v="2.0173674647768933E-4"/>
    <m/>
    <m/>
    <n v="0"/>
    <n v="0"/>
    <n v="0"/>
    <n v="0"/>
  </r>
  <r>
    <n v="116.40253968253968"/>
    <n v="408.06600000000003"/>
    <n v="4.2838380649233496"/>
    <n v="4.2838380649233496E-2"/>
    <n v="15465.7"/>
    <n v="1546570"/>
    <n v="7732.85"/>
    <s v=""/>
    <x v="1"/>
    <n v="1"/>
    <n v="5914"/>
    <n v="2580"/>
    <n v="2265"/>
    <n v="315"/>
    <s v="CA_Orang_2020g~los alamitos unified school district governing board member, trustee area 2 (vote 1)"/>
    <n v="2.0367652288612865E-4"/>
    <m/>
    <m/>
    <n v="0"/>
    <n v="0"/>
    <n v="0"/>
    <n v="0"/>
  </r>
  <r>
    <n v="244.14700315457415"/>
    <n v="861.32700000000011"/>
    <n v="4.1989952253187637"/>
    <n v="4.1989952253187635E-2"/>
    <n v="15465.7"/>
    <n v="1546570"/>
    <n v="7732.85"/>
    <s v=""/>
    <x v="1"/>
    <n v="1"/>
    <n v="12483"/>
    <n v="6400"/>
    <n v="6083"/>
    <n v="317"/>
    <s v="CA_Orang_2020g~city of fullerton member, city council, district 1 (vote 1)"/>
    <n v="2.0496970715842155E-4"/>
    <m/>
    <m/>
    <n v="0"/>
    <n v="0"/>
    <n v="0"/>
    <n v="0"/>
  </r>
  <r>
    <n v="195.61671826625388"/>
    <n v="703.17900000000009"/>
    <n v="3.9544156770629884"/>
    <n v="3.9544156770629883E-2"/>
    <n v="15465.7"/>
    <n v="1546570"/>
    <n v="7732.85"/>
    <s v=""/>
    <x v="1"/>
    <n v="1"/>
    <n v="10191"/>
    <n v="4437"/>
    <n v="4114"/>
    <n v="323"/>
    <s v="CA_Orang_2020g~city of costa mesa member, city council, district 1 (vote 1)"/>
    <n v="2.0884925997530018E-4"/>
    <m/>
    <m/>
    <n v="0"/>
    <n v="0"/>
    <n v="0"/>
    <n v="0"/>
  </r>
  <r>
    <n v="17.831007751937985"/>
    <n v="76.797000000000011"/>
    <n v="2.0848270619688365"/>
    <n v="2.0848270619688365E-2"/>
    <n v="15465.7"/>
    <n v="1546570"/>
    <n v="7732.85"/>
    <s v=""/>
    <x v="1"/>
    <n v="1"/>
    <n v="1113"/>
    <n v="750"/>
    <n v="363"/>
    <n v="387"/>
    <s v="CA_Orang_2020g~city of los alamitos member, city council, district 2 (vote 1)"/>
    <n v="2.5023115668867236E-4"/>
    <m/>
    <m/>
    <n v="0"/>
    <n v="0"/>
    <n v="0"/>
    <n v="0"/>
  </r>
  <r>
    <n v="189.42476190476191"/>
    <n v="885.40800000000013"/>
    <n v="1.4987025819403774"/>
    <n v="1.4987025819403773E-2"/>
    <n v="15465.7"/>
    <n v="1546570"/>
    <n v="7732.85"/>
    <s v=""/>
    <x v="1"/>
    <n v="1"/>
    <n v="12832"/>
    <n v="6626"/>
    <n v="6206"/>
    <n v="420"/>
    <s v="CA_Orang_2020g~city of laguna beach city clerk (vote 1)"/>
    <n v="2.7156869718150488E-4"/>
    <m/>
    <m/>
    <n v="0"/>
    <n v="0"/>
    <n v="0"/>
    <n v="0"/>
  </r>
  <r>
    <n v="377.44496487119437"/>
    <n v="1793.6550000000002"/>
    <n v="1.3973542328853397"/>
    <n v="1.3973542328853396E-2"/>
    <n v="15465.7"/>
    <n v="1546570"/>
    <n v="7732.85"/>
    <s v=""/>
    <x v="1"/>
    <n v="1"/>
    <n v="25995"/>
    <n v="6343"/>
    <n v="5916"/>
    <n v="427"/>
    <s v="CA_Orang_2020g~city of laguna woods member, city council (vote 1)"/>
    <n v="2.7609484213452997E-4"/>
    <m/>
    <m/>
    <n v="0"/>
    <n v="0"/>
    <n v="0"/>
    <n v="0"/>
  </r>
  <r>
    <n v="20.610045662100458"/>
    <n v="100.46400000000001"/>
    <n v="1.2517591034163749"/>
    <n v="1.251759103416375E-2"/>
    <n v="15465.7"/>
    <n v="1546570"/>
    <n v="7732.85"/>
    <s v=""/>
    <x v="1"/>
    <n v="1"/>
    <n v="1456"/>
    <n v="947"/>
    <n v="509"/>
    <n v="438"/>
    <s v="CA_Orang_2020g~city of stanton member, city council, district 4 (vote 1)"/>
    <n v="2.8320735563214082E-4"/>
    <m/>
    <m/>
    <n v="0"/>
    <n v="0"/>
    <n v="0"/>
    <n v="0"/>
  </r>
  <r>
    <n v="107.28806584362141"/>
    <n v="580.29000000000008"/>
    <n v="0.7744566545558389"/>
    <n v="7.7445665455583889E-3"/>
    <n v="15465.7"/>
    <n v="1546570"/>
    <n v="7732.85"/>
    <s v=""/>
    <x v="1"/>
    <n v="1"/>
    <n v="8410"/>
    <n v="4448"/>
    <n v="3962"/>
    <n v="486"/>
    <s v="CA_Orang_2020g~city of orange member, city council, district 5 (vote 1)"/>
    <n v="3.1424377816716994E-4"/>
    <m/>
    <m/>
    <n v="0"/>
    <n v="0"/>
    <n v="0"/>
    <n v="0"/>
  </r>
  <r>
    <n v="321.27272727272725"/>
    <n v="1769.8500000000001"/>
    <n v="0.70777987880627635"/>
    <n v="7.0777987880627641E-3"/>
    <n v="15465.7"/>
    <n v="1546570"/>
    <n v="7732.85"/>
    <s v=""/>
    <x v="1"/>
    <n v="1"/>
    <n v="25650"/>
    <n v="11459"/>
    <n v="10964"/>
    <n v="495"/>
    <s v="CA_Orang_2020g~capistrano unified school district governing board member, trustee area 3 (vote 1)"/>
    <n v="3.200631073924879E-4"/>
    <m/>
    <m/>
    <n v="0"/>
    <n v="0"/>
    <n v="0"/>
    <n v="0"/>
  </r>
  <r>
    <n v="693.28539325842689"/>
    <n v="4120.1280000000006"/>
    <n v="0.47914504263445656"/>
    <n v="4.7914504263445656E-3"/>
    <n v="15465.7"/>
    <n v="1546570"/>
    <n v="7732.85"/>
    <s v=""/>
    <x v="1"/>
    <n v="1"/>
    <n v="59712"/>
    <n v="19247"/>
    <n v="18713"/>
    <n v="534"/>
    <s v="CA_Orang_2020g~city of santa ana mayor (vote 1)"/>
    <n v="3.4528020070219906E-4"/>
    <m/>
    <m/>
    <n v="0"/>
    <n v="0"/>
    <n v="0"/>
    <n v="0"/>
  </r>
  <r>
    <n v="238.75656934306568"/>
    <n v="1456.1070000000002"/>
    <n v="0.4165282825337242"/>
    <n v="4.1652828253372423E-3"/>
    <n v="15465.7"/>
    <n v="1546570"/>
    <n v="7732.85"/>
    <s v=""/>
    <x v="1"/>
    <n v="1"/>
    <n v="21103"/>
    <n v="9484"/>
    <n v="8936"/>
    <n v="548"/>
    <s v="CA_Orang_2020g~city of laguna hills member, city council (vote 1)"/>
    <n v="3.5433249060824924E-4"/>
    <m/>
    <m/>
    <n v="0"/>
    <n v="0"/>
    <n v="0"/>
    <n v="0"/>
  </r>
  <r>
    <n v="309.12727272727278"/>
    <n v="2346.2760000000003"/>
    <n v="0.10900800230194882"/>
    <n v="1.0900800230194882E-3"/>
    <n v="15465.7"/>
    <n v="1546570"/>
    <n v="7732.85"/>
    <s v=""/>
    <x v="1"/>
    <n v="1"/>
    <n v="34004"/>
    <n v="8040"/>
    <n v="7358"/>
    <n v="682"/>
    <s v="CA_Orang_2020g~city of san clemente member, city council, short term (vote 1)"/>
    <n v="4.4097583685187222E-4"/>
    <m/>
    <m/>
    <n v="0"/>
    <n v="0"/>
    <n v="0"/>
    <n v="0"/>
  </r>
  <r>
    <n v="110.1304347826087"/>
    <n v="873.8850000000001"/>
    <n v="7.9940405247971413E-2"/>
    <n v="7.9940405247971413E-4"/>
    <n v="15465.7"/>
    <n v="1546570"/>
    <n v="7732.85"/>
    <s v=""/>
    <x v="1"/>
    <n v="1"/>
    <n v="12665"/>
    <n v="6689"/>
    <n v="5976"/>
    <n v="713"/>
    <s v="CA_Orang_2020g~newport-mesa unified school district governing board member, trustee area 1 (vote 1)"/>
    <n v="4.6102019307241187E-4"/>
    <m/>
    <m/>
    <n v="0"/>
    <n v="0"/>
    <n v="0"/>
    <n v="0"/>
  </r>
  <r>
    <n v="320.08298969072166"/>
    <n v="2764.2780000000002"/>
    <n v="4.2562688052987574E-2"/>
    <n v="4.2562688052987576E-4"/>
    <n v="15465.7"/>
    <n v="1546570"/>
    <n v="7732.85"/>
    <s v=""/>
    <x v="1"/>
    <n v="1"/>
    <n v="40062"/>
    <n v="8129"/>
    <n v="7353"/>
    <n v="776"/>
    <s v="CA_Orang_2020g~city of cypress member, city council (vote 1)"/>
    <n v="5.0175549764963753E-4"/>
    <m/>
    <m/>
    <n v="0"/>
    <n v="0"/>
    <n v="0"/>
    <n v="0"/>
  </r>
  <r>
    <n v="209.03655083655084"/>
    <n v="1807.5930000000001"/>
    <n v="4.2138970553119708E-2"/>
    <n v="4.2138970553119709E-4"/>
    <n v="15465.7"/>
    <n v="1546570"/>
    <n v="7732.85"/>
    <s v=""/>
    <x v="1"/>
    <n v="1"/>
    <n v="26197"/>
    <n v="6442"/>
    <n v="5665"/>
    <n v="777"/>
    <s v="CA_Orang_2020g~city of laguna beach member, city council (vote 1)"/>
    <n v="5.0240208978578405E-4"/>
    <m/>
    <m/>
    <n v="0"/>
    <n v="0"/>
    <n v="0"/>
    <n v="0"/>
  </r>
  <r>
    <n v="143.99773299748111"/>
    <n v="1272.4290000000001"/>
    <n v="3.554809585295815E-2"/>
    <n v="3.5548095852958153E-4"/>
    <n v="15465.7"/>
    <n v="1546570"/>
    <n v="7732.85"/>
    <s v=""/>
    <x v="1"/>
    <n v="1"/>
    <n v="18441"/>
    <n v="7791"/>
    <n v="6997"/>
    <n v="794"/>
    <s v="CA_Orang_2020g~city of anaheim member, city council, district 1 (vote 1)"/>
    <n v="5.1339415610027347E-4"/>
    <m/>
    <m/>
    <n v="0"/>
    <n v="0"/>
    <n v="0"/>
    <n v="0"/>
  </r>
  <r>
    <n v="58.442750000000004"/>
    <n v="520.32900000000006"/>
    <n v="3.3476900254082509E-2"/>
    <n v="3.3476900254082509E-4"/>
    <n v="15465.7"/>
    <n v="1546570"/>
    <n v="7732.85"/>
    <s v=""/>
    <x v="1"/>
    <n v="1"/>
    <n v="7541"/>
    <n v="3439"/>
    <n v="2639"/>
    <n v="800"/>
    <s v="CA_Orang_2020g~city of westminster member, city council, district 2 (vote 1)"/>
    <n v="5.1727370891715215E-4"/>
    <m/>
    <m/>
    <n v="0"/>
    <n v="0"/>
    <n v="0"/>
    <n v="0"/>
  </r>
  <r>
    <n v="87.04981684981685"/>
    <n v="793.43100000000004"/>
    <n v="2.7681273984614424E-2"/>
    <n v="2.7681273984614423E-4"/>
    <n v="15465.7"/>
    <n v="1546570"/>
    <n v="7732.85"/>
    <s v=""/>
    <x v="1"/>
    <n v="1"/>
    <n v="11499"/>
    <n v="6159"/>
    <n v="5340"/>
    <n v="819"/>
    <s v="CA_Orang_2020g~city of garden grove member, city council, district 2 (vote 1)"/>
    <n v="5.2955895950393449E-4"/>
    <m/>
    <m/>
    <n v="0"/>
    <n v="0"/>
    <n v="0"/>
    <n v="0"/>
  </r>
  <r>
    <n v="26.046041412911084"/>
    <n v="237.98100000000002"/>
    <n v="2.7132860161122464E-2"/>
    <n v="2.7132860161122464E-4"/>
    <n v="15465.7"/>
    <n v="1546570"/>
    <n v="7732.85"/>
    <s v=""/>
    <x v="1"/>
    <n v="1"/>
    <n v="3449"/>
    <n v="2135"/>
    <n v="1314"/>
    <n v="821"/>
    <s v="CA_Orang_2020g~city of dana point member, city council, district 4 (vote 1)"/>
    <n v="5.3085214377622742E-4"/>
    <m/>
    <m/>
    <n v="0"/>
    <n v="0"/>
    <n v="0"/>
    <n v="0"/>
  </r>
  <r>
    <n v="126.28266033254157"/>
    <n v="1183.3500000000001"/>
    <n v="2.1990984633502596E-2"/>
    <n v="2.1990984633502597E-4"/>
    <n v="15465.7"/>
    <n v="1546570"/>
    <n v="7732.85"/>
    <s v=""/>
    <x v="1"/>
    <n v="1"/>
    <n v="17150"/>
    <n v="7679"/>
    <n v="6837"/>
    <n v="842"/>
    <s v="CA_Orang_2020g~placentia-yorba linda unified school district governing board member, trustee area 1 (vote 1)"/>
    <n v="5.4443057863530259E-4"/>
    <m/>
    <m/>
    <n v="0"/>
    <n v="0"/>
    <n v="0"/>
    <n v="0"/>
  </r>
  <r>
    <n v="68.457205240174673"/>
    <n v="697.8660000000001"/>
    <n v="1.0487790366748847E-2"/>
    <n v="1.0487790366748847E-4"/>
    <n v="15465.7"/>
    <n v="1546570"/>
    <n v="7732.85"/>
    <s v=""/>
    <x v="1"/>
    <n v="1"/>
    <n v="10114"/>
    <n v="4179"/>
    <n v="3263"/>
    <n v="916"/>
    <s v="CA_Orang_2020g~city of santa ana member, city council, ward 5 (vote 1)"/>
    <n v="5.9227839671013925E-4"/>
    <m/>
    <m/>
    <n v="0"/>
    <n v="0"/>
    <n v="0"/>
    <n v="0"/>
  </r>
  <r>
    <n v="127.11647183846971"/>
    <n v="1331.2170000000001"/>
    <n v="8.1666727842991879E-3"/>
    <n v="8.1666727842991878E-5"/>
    <n v="15465.7"/>
    <n v="1546570"/>
    <n v="7732.85"/>
    <s v=""/>
    <x v="1"/>
    <n v="1"/>
    <n v="19293"/>
    <n v="7459"/>
    <n v="6518"/>
    <n v="941"/>
    <s v="CA_Orang_2020g~placentia-yorba linda unified school district governing board member, trustee area 3 (vote 1)"/>
    <n v="6.0844320011380017E-4"/>
    <m/>
    <m/>
    <n v="0"/>
    <n v="0"/>
    <n v="0"/>
    <n v="0"/>
  </r>
  <r>
    <n v="75.930543933054395"/>
    <n v="807.85200000000009"/>
    <n v="7.0284734030684384E-3"/>
    <n v="7.0284734030684386E-5"/>
    <n v="15465.7"/>
    <n v="1546570"/>
    <n v="7732.85"/>
    <s v=""/>
    <x v="1"/>
    <n v="1"/>
    <n v="11708"/>
    <n v="6332"/>
    <n v="5376"/>
    <n v="956"/>
    <s v="CA_Orang_2020g~costa mesa sanitary district director, division 2 (vote 1)"/>
    <n v="6.1814208215599687E-4"/>
    <m/>
    <m/>
    <n v="0"/>
    <n v="0"/>
    <n v="0"/>
    <n v="0"/>
  </r>
  <r>
    <n v="534.63171456888006"/>
    <n v="6003.4830000000002"/>
    <n v="4.1356008110926511E-3"/>
    <n v="4.135600811092651E-5"/>
    <n v="15465.7"/>
    <n v="1546570"/>
    <n v="7732.85"/>
    <s v=""/>
    <x v="1"/>
    <n v="1"/>
    <n v="87007"/>
    <n v="25865"/>
    <n v="24856"/>
    <n v="1009"/>
    <s v="CA_Orang_2020g~city of mission viejo member, city council, two-year term (vote 1)"/>
    <n v="6.5241146537175815E-4"/>
    <m/>
    <m/>
    <n v="0"/>
    <n v="0"/>
    <n v="0"/>
    <n v="0"/>
  </r>
  <r>
    <n v="194.27235996326908"/>
    <n v="2354.4870000000001"/>
    <n v="1.8572364963733447E-3"/>
    <n v="1.8572364963733447E-5"/>
    <n v="15465.7"/>
    <n v="1546570"/>
    <n v="7732.85"/>
    <s v=""/>
    <x v="1"/>
    <n v="1"/>
    <n v="34123"/>
    <n v="8111"/>
    <n v="7022"/>
    <n v="1089"/>
    <s v="CA_Orang_2020g~south coast water district director (vote 1)"/>
    <n v="7.0413883626347339E-4"/>
    <m/>
    <m/>
    <n v="0"/>
    <n v="0"/>
    <n v="0"/>
    <n v="0"/>
  </r>
  <r>
    <n v="98.383469573115349"/>
    <n v="1205.499"/>
    <n v="1.6470809597155093E-3"/>
    <n v="1.6470809597155093E-5"/>
    <n v="15465.7"/>
    <n v="1546570"/>
    <n v="7732.85"/>
    <s v=""/>
    <x v="1"/>
    <n v="1"/>
    <n v="17471"/>
    <n v="4696"/>
    <n v="3595"/>
    <n v="1101"/>
    <s v="CA_Orang_2020g~city of la palma member, city council (vote 1)"/>
    <n v="7.1189794189723064E-4"/>
    <m/>
    <m/>
    <n v="0"/>
    <n v="0"/>
    <n v="0"/>
    <n v="0"/>
  </r>
  <r>
    <n v="13.728968609865472"/>
    <n v="170.36100000000002"/>
    <n v="1.4317596819295516E-3"/>
    <n v="1.4317596819295516E-5"/>
    <n v="15465.7"/>
    <n v="1546570"/>
    <n v="7732.85"/>
    <s v=""/>
    <x v="1"/>
    <n v="1"/>
    <n v="2469"/>
    <n v="1792"/>
    <n v="677"/>
    <n v="1115"/>
    <s v="CA_Orang_2020g~buena park school district governing board member, trustee area 4 (vote 1)"/>
    <n v="7.2095023180328082E-4"/>
    <m/>
    <m/>
    <n v="0"/>
    <n v="0"/>
    <n v="0"/>
    <n v="0"/>
  </r>
  <r>
    <n v="448.54867724867728"/>
    <n v="5660.8290000000006"/>
    <n v="1.1838430711393624E-3"/>
    <n v="1.1838430711393623E-5"/>
    <n v="15465.7"/>
    <n v="1546570"/>
    <n v="7732.85"/>
    <s v=""/>
    <x v="1"/>
    <n v="1"/>
    <n v="82041"/>
    <n v="16791"/>
    <n v="15657"/>
    <n v="1134"/>
    <s v="CA_Orang_2020g~city of laguna niguel member, city council (vote 1)"/>
    <n v="7.3323548239006317E-4"/>
    <m/>
    <m/>
    <n v="0"/>
    <n v="0"/>
    <n v="0"/>
    <n v="0"/>
  </r>
  <r>
    <n v="275.74788494077836"/>
    <n v="3627.3300000000004"/>
    <n v="7.3227900394725806E-4"/>
    <n v="7.3227900394725804E-6"/>
    <n v="15465.7"/>
    <n v="1546570"/>
    <n v="7732.85"/>
    <s v=""/>
    <x v="1"/>
    <n v="1"/>
    <n v="52570"/>
    <n v="11067"/>
    <n v="9885"/>
    <n v="1182"/>
    <s v="CA_Orang_2020g~city of aliso viejo member, city council (vote 1)"/>
    <n v="7.6427190492509229E-4"/>
    <m/>
    <m/>
    <n v="0"/>
    <n v="0"/>
    <n v="0"/>
    <n v="0"/>
  </r>
  <r>
    <n v="65.538486842105272"/>
    <n v="886.92600000000004"/>
    <n v="5.210769877341604E-4"/>
    <n v="5.2107698773416042E-6"/>
    <n v="15465.7"/>
    <n v="1546570"/>
    <n v="7732.85"/>
    <s v=""/>
    <x v="1"/>
    <n v="1"/>
    <n v="12854"/>
    <n v="6297"/>
    <n v="5081"/>
    <n v="1216"/>
    <s v="CA_Orang_2020g~tustin unified school district governing board member, trustee area 1 (vote 1)"/>
    <n v="7.8625603755407122E-4"/>
    <m/>
    <m/>
    <n v="0"/>
    <n v="0"/>
    <n v="0"/>
    <n v="0"/>
  </r>
  <r>
    <n v="32.519607843137251"/>
    <n v="442.98"/>
    <n v="4.8098430651580937E-4"/>
    <n v="4.8098430651580935E-6"/>
    <n v="15465.7"/>
    <n v="1546570"/>
    <n v="7732.85"/>
    <s v=""/>
    <x v="1"/>
    <n v="1"/>
    <n v="6420"/>
    <n v="2654"/>
    <n v="1430"/>
    <n v="1224"/>
    <s v="CA_Orang_2020g~city of orange member, city council, district 2 (vote 1)"/>
    <n v="7.9142877464324283E-4"/>
    <m/>
    <m/>
    <n v="0"/>
    <n v="0"/>
    <n v="0"/>
    <n v="0"/>
  </r>
  <r>
    <n v="251.00897226753671"/>
    <n v="3424.8150000000005"/>
    <n v="4.7145270462682279E-4"/>
    <n v="4.7145270462682278E-6"/>
    <n v="15465.7"/>
    <n v="1546570"/>
    <n v="7732.85"/>
    <s v=""/>
    <x v="1"/>
    <n v="1"/>
    <n v="49635"/>
    <n v="10444"/>
    <n v="9218"/>
    <n v="1226"/>
    <s v="CA_Orang_2020g~city of fountain valley member, city council (vote 1)"/>
    <n v="7.9272195891553566E-4"/>
    <m/>
    <m/>
    <n v="0"/>
    <n v="0"/>
    <n v="0"/>
    <n v="0"/>
  </r>
  <r>
    <n v="16.178582677165355"/>
    <n v="228.66600000000003"/>
    <n v="3.0352483787061106E-4"/>
    <n v="3.0352483787061105E-6"/>
    <n v="15465.7"/>
    <n v="1546570"/>
    <n v="7732.85"/>
    <s v=""/>
    <x v="1"/>
    <n v="1"/>
    <n v="3314"/>
    <n v="2292"/>
    <n v="1022"/>
    <n v="1270"/>
    <s v="CA_Orang_2020g~city of seal beach member, city council, district 2 (vote 1)"/>
    <n v="8.2117201290597902E-4"/>
    <m/>
    <m/>
    <n v="0"/>
    <n v="0"/>
    <n v="0"/>
    <n v="0"/>
  </r>
  <r>
    <n v="33.085891472868212"/>
    <n v="474.99600000000004"/>
    <n v="2.4846395397173189E-4"/>
    <n v="2.484639539717319E-6"/>
    <n v="15465.7"/>
    <n v="1546570"/>
    <n v="7732.85"/>
    <s v=""/>
    <x v="1"/>
    <n v="1"/>
    <n v="6884"/>
    <n v="4087"/>
    <n v="2797"/>
    <n v="1290"/>
    <s v="CA_Orang_2020g~city of buena park member, city council, district 4 (vote 1)"/>
    <n v="8.3410385562890789E-4"/>
    <m/>
    <m/>
    <n v="0"/>
    <n v="0"/>
    <n v="0"/>
    <n v="0"/>
  </r>
  <r>
    <n v="42.698470948012229"/>
    <n v="621.55200000000002"/>
    <n v="2.0750313900853469E-4"/>
    <n v="2.0750313900853468E-6"/>
    <n v="15465.7"/>
    <n v="1546570"/>
    <n v="7732.85"/>
    <s v=""/>
    <x v="1"/>
    <n v="1"/>
    <n v="9008"/>
    <n v="5158"/>
    <n v="3850"/>
    <n v="1308"/>
    <s v="CA_Orang_2020g~mesa water district director, division 2 (vote 1)"/>
    <n v="8.4574251407954371E-4"/>
    <m/>
    <m/>
    <n v="0"/>
    <n v="0"/>
    <n v="0"/>
    <n v="0"/>
  </r>
  <r>
    <n v="25.015248468345813"/>
    <n v="408.96300000000002"/>
    <n v="4.1417343571355448E-5"/>
    <n v="4.1417343571355445E-7"/>
    <n v="15465.7"/>
    <n v="1546570"/>
    <n v="7732.85"/>
    <s v=""/>
    <x v="1"/>
    <n v="1"/>
    <n v="5927"/>
    <n v="3698"/>
    <n v="2229"/>
    <n v="1469"/>
    <s v="CA_Orang_2020g~los alamitos unified school district governing board member, trustee area 5 (vote 1)"/>
    <n v="9.498438479991206E-4"/>
    <m/>
    <m/>
    <n v="0"/>
    <n v="0"/>
    <n v="0"/>
    <n v="0"/>
  </r>
  <r>
    <n v="30.781423728813561"/>
    <n v="505.28700000000003"/>
    <n v="3.9003155711173467E-5"/>
    <n v="3.900315571117347E-7"/>
    <n v="15465.7"/>
    <n v="1546570"/>
    <n v="7732.85"/>
    <s v=""/>
    <x v="1"/>
    <n v="1"/>
    <n v="7323"/>
    <n v="3730"/>
    <n v="2255"/>
    <n v="1475"/>
    <s v="CA_Orang_2020g~city of buena park member, city council, district 3 (vote 1)"/>
    <n v="9.5372340081599928E-4"/>
    <m/>
    <m/>
    <n v="0"/>
    <n v="0"/>
    <n v="0"/>
    <n v="0"/>
  </r>
  <r>
    <n v="42.009696969696975"/>
    <n v="694.27800000000002"/>
    <n v="3.5288134391929041E-5"/>
    <n v="3.5288134391929044E-7"/>
    <n v="15465.7"/>
    <n v="1546570"/>
    <n v="7732.85"/>
    <s v=""/>
    <x v="1"/>
    <n v="1"/>
    <n v="10062"/>
    <n v="4096"/>
    <n v="2611"/>
    <n v="1485"/>
    <s v="CA_Orang_2020g~city of orange member, city council, district 1 (vote 1)"/>
    <n v="9.6018932217746371E-4"/>
    <m/>
    <m/>
    <n v="0"/>
    <n v="0"/>
    <n v="0"/>
    <n v="0"/>
  </r>
  <r>
    <n v="32.612975098296197"/>
    <n v="553.86300000000006"/>
    <n v="2.3409625175614123E-5"/>
    <n v="2.3409625175614122E-7"/>
    <n v="15465.7"/>
    <n v="1546570"/>
    <n v="7732.85"/>
    <s v=""/>
    <x v="1"/>
    <n v="1"/>
    <n v="8027"/>
    <n v="3962"/>
    <n v="2436"/>
    <n v="1526"/>
    <s v="CA_Orang_2020g~city of costa mesa  member, city council, district 2 (vote 1)"/>
    <n v="9.8669959975946774E-4"/>
    <m/>
    <m/>
    <n v="0"/>
    <n v="0"/>
    <n v="0"/>
    <n v="0"/>
  </r>
  <r>
    <n v="89.193979057591619"/>
    <n v="1516.758"/>
    <n v="2.2945629981866026E-5"/>
    <n v="2.2945629981866027E-7"/>
    <n v="15465.7"/>
    <n v="1546570"/>
    <n v="7732.85"/>
    <s v=""/>
    <x v="1"/>
    <n v="1"/>
    <n v="21982"/>
    <n v="11755"/>
    <n v="10227"/>
    <n v="1528"/>
    <s v="CA_Orang_2020g~city of brea city treasurer (vote 1)"/>
    <n v="9.8799278403176056E-4"/>
    <m/>
    <m/>
    <n v="0"/>
    <n v="0"/>
    <n v="0"/>
    <n v="0"/>
  </r>
  <r>
    <n v="79.85712435233161"/>
    <n v="1372.2030000000002"/>
    <n v="1.9549866136692128E-5"/>
    <n v="1.9549866136692129E-7"/>
    <n v="15465.7"/>
    <n v="1546570"/>
    <n v="7732.85"/>
    <s v=""/>
    <x v="1"/>
    <n v="1"/>
    <n v="19887"/>
    <n v="6786"/>
    <n v="5242"/>
    <n v="1544"/>
    <s v="CA_Orang_2020g~city of santa ana member, city council, ward 3 (vote 1)"/>
    <n v="9.9833825821010356E-4"/>
    <m/>
    <m/>
    <n v="0"/>
    <n v="0"/>
    <n v="0"/>
    <n v="0"/>
  </r>
  <r>
    <n v="142.52096876991715"/>
    <n v="2488.623"/>
    <n v="1.5221616877548983E-5"/>
    <n v="1.5221616877548984E-7"/>
    <n v="15465.7"/>
    <n v="1546570"/>
    <n v="7732.85"/>
    <s v=""/>
    <x v="1"/>
    <n v="1"/>
    <n v="36067"/>
    <n v="13107"/>
    <n v="11538"/>
    <n v="1569"/>
    <s v="CA_Orang_2020g~city of brea member, city council (vote 1)"/>
    <n v="1.0145030616137646E-3"/>
    <m/>
    <m/>
    <n v="0"/>
    <n v="0"/>
    <n v="0"/>
    <n v="0"/>
  </r>
  <r>
    <n v="19.303656998738965"/>
    <n v="340.72200000000004"/>
    <n v="1.2839713740203738E-5"/>
    <n v="1.2839713740203739E-7"/>
    <n v="15465.7"/>
    <n v="1546570"/>
    <n v="7732.85"/>
    <s v=""/>
    <x v="1"/>
    <n v="1"/>
    <n v="4938"/>
    <n v="3262"/>
    <n v="1676"/>
    <n v="1586"/>
    <s v="CA_Orang_2020g~city of san juan capistrano member, city council, district 5 (vote 1)"/>
    <n v="1.0254951279282541E-3"/>
    <m/>
    <m/>
    <n v="0"/>
    <n v="0"/>
    <n v="0"/>
    <n v="0"/>
  </r>
  <r>
    <n v="74.163080540858317"/>
    <n v="1403.9430000000002"/>
    <n v="4.0605548537204822E-6"/>
    <n v="4.060554853720482E-8"/>
    <n v="15465.7"/>
    <n v="1546570"/>
    <n v="7732.85"/>
    <s v=""/>
    <x v="1"/>
    <n v="1"/>
    <n v="20347"/>
    <n v="11024"/>
    <n v="9323"/>
    <n v="1701"/>
    <s v="CA_Orang_2020g~saddleback valley unified school district governing board member, trustee area 2 (vote 1)"/>
    <n v="1.0998532235850947E-3"/>
    <m/>
    <m/>
    <n v="0"/>
    <n v="0"/>
    <n v="0"/>
    <n v="0"/>
  </r>
  <r>
    <n v="50.643218908272374"/>
    <n v="1001.5350000000001"/>
    <n v="1.8973612471811125E-6"/>
    <n v="1.8973612471811126E-8"/>
    <n v="15465.7"/>
    <n v="1546570"/>
    <n v="7732.85"/>
    <s v=""/>
    <x v="1"/>
    <n v="1"/>
    <n v="14515"/>
    <n v="7279"/>
    <n v="5502"/>
    <n v="1777"/>
    <s v="CA_Orang_2020g~newport-mesa unified school district governing board member, trustee area 6 (vote 1)"/>
    <n v="1.1489942259322243E-3"/>
    <m/>
    <m/>
    <n v="0"/>
    <n v="0"/>
    <n v="0"/>
    <n v="0"/>
  </r>
  <r>
    <n v="183.36674157303372"/>
    <n v="3632.4360000000001"/>
    <n v="1.8412221534428731E-6"/>
    <n v="1.8412221534428732E-8"/>
    <n v="15465.7"/>
    <n v="1546570"/>
    <n v="7732.85"/>
    <s v=""/>
    <x v="1"/>
    <n v="1"/>
    <n v="52644"/>
    <n v="17347"/>
    <n v="15567"/>
    <n v="1780"/>
    <s v="CA_Orang_2020g~east orange county water district director (vote 1)"/>
    <n v="1.1509340023406636E-3"/>
    <m/>
    <m/>
    <n v="0"/>
    <n v="0"/>
    <n v="0"/>
    <n v="0"/>
  </r>
  <r>
    <n v="54.357331975560079"/>
    <n v="1188.1110000000001"/>
    <n v="2.9176683382703071E-7"/>
    <n v="2.917668338270307E-9"/>
    <n v="15465.7"/>
    <n v="1546570"/>
    <n v="7732.85"/>
    <s v=""/>
    <x v="1"/>
    <n v="1"/>
    <n v="17219"/>
    <n v="6909"/>
    <n v="4945"/>
    <n v="1964"/>
    <s v="CA_Orang_2020g~city of santa ana member, city council, ward 1 (vote 1)"/>
    <n v="1.2699069553916086E-3"/>
    <m/>
    <m/>
    <n v="0"/>
    <n v="0"/>
    <n v="0"/>
    <n v="0"/>
  </r>
  <r>
    <n v="17.385663806158508"/>
    <n v="383.29500000000002"/>
    <n v="2.4609997937778738E-7"/>
    <n v="2.4609997937778738E-9"/>
    <n v="15465.7"/>
    <n v="1546570"/>
    <n v="7732.85"/>
    <s v=""/>
    <x v="1"/>
    <n v="1"/>
    <n v="5555"/>
    <n v="3768"/>
    <n v="1787"/>
    <n v="1981"/>
    <s v="CA_Orang_2020g~city of placentia member, city council, district 5 (vote 1)"/>
    <n v="1.2808990217060979E-3"/>
    <m/>
    <m/>
    <n v="0"/>
    <n v="0"/>
    <n v="0"/>
    <n v="0"/>
  </r>
  <r>
    <n v="21.475362318840581"/>
    <n v="494.73"/>
    <n v="1.0094448743430296E-7"/>
    <n v="1.0094448743430297E-9"/>
    <n v="15465.7"/>
    <n v="1546570"/>
    <n v="7732.85"/>
    <s v=""/>
    <x v="1"/>
    <n v="1"/>
    <n v="7170"/>
    <n v="4620"/>
    <n v="2550"/>
    <n v="2070"/>
    <s v="CA_Orang_2020g~westminster school district governing board member, trustee area 1 (vote 1)"/>
    <n v="1.3384457218231312E-3"/>
    <m/>
    <m/>
    <n v="0"/>
    <n v="0"/>
    <n v="0"/>
    <n v="0"/>
  </r>
  <r>
    <n v="16.167088607594938"/>
    <n v="383.77800000000002"/>
    <n v="5.3716140217588147E-8"/>
    <n v="5.3716140217588151E-10"/>
    <n v="15465.7"/>
    <n v="1546570"/>
    <n v="7732.85"/>
    <s v=""/>
    <x v="1"/>
    <n v="1"/>
    <n v="5562"/>
    <n v="3133"/>
    <n v="1000"/>
    <n v="2133"/>
    <s v="CA_Orang_2020g~city of lake forest member, city council, district 5 (vote 1)"/>
    <n v="1.3791810264003569E-3"/>
    <m/>
    <m/>
    <n v="0"/>
    <n v="0"/>
    <n v="0"/>
    <n v="0"/>
  </r>
  <r>
    <n v="76.982859761686541"/>
    <n v="1869.4170000000001"/>
    <n v="3.2885406997641411E-8"/>
    <n v="3.2885406997641407E-10"/>
    <n v="15465.7"/>
    <n v="1546570"/>
    <n v="7732.85"/>
    <s v=""/>
    <x v="1"/>
    <n v="1"/>
    <n v="27093"/>
    <n v="8365"/>
    <n v="6183"/>
    <n v="2182"/>
    <s v="CA_Orang_2020g~laguna beach unified school district governing board member (vote 1)"/>
    <n v="1.4108640410715324E-3"/>
    <m/>
    <m/>
    <n v="0"/>
    <n v="0"/>
    <n v="0"/>
    <n v="0"/>
  </r>
  <r>
    <n v="9.6444444444444439"/>
    <n v="251.16000000000003"/>
    <n v="6.7579240319190674E-9"/>
    <n v="6.7579240319190673E-11"/>
    <n v="15465.7"/>
    <n v="1546570"/>
    <n v="7732.85"/>
    <s v=""/>
    <x v="1"/>
    <n v="1"/>
    <n v="3640"/>
    <n v="2990"/>
    <n v="650"/>
    <n v="2340"/>
    <s v="CA_Orang_2020g~city of dana point member, city council, district 5 (vote 1)"/>
    <n v="1.5130255985826701E-3"/>
    <m/>
    <m/>
    <n v="0"/>
    <n v="0"/>
    <n v="0"/>
    <n v="0"/>
  </r>
  <r>
    <n v="17.138737985791892"/>
    <n v="456.43500000000006"/>
    <n v="3.9745181442158687E-9"/>
    <n v="3.974518144215869E-11"/>
    <n v="15465.7"/>
    <n v="1546570"/>
    <n v="7732.85"/>
    <s v=""/>
    <x v="1"/>
    <n v="1"/>
    <n v="6615"/>
    <n v="4504"/>
    <n v="2111"/>
    <n v="2393"/>
    <s v="CA_Orang_2020g~united states representative 38th district (vote 1)"/>
    <n v="1.5472949817984315E-3"/>
    <m/>
    <m/>
    <n v="0"/>
    <n v="0"/>
    <n v="0"/>
    <n v="0"/>
  </r>
  <r>
    <n v="634.94814241486074"/>
    <n v="18259.47"/>
    <n v="5.8673928189366104E-10"/>
    <n v="5.8673928189366099E-12"/>
    <n v="15465.7"/>
    <n v="1546570"/>
    <n v="7732.85"/>
    <s v=""/>
    <x v="1"/>
    <n v="1"/>
    <n v="264630"/>
    <n v="133607"/>
    <n v="131023"/>
    <n v="2584"/>
    <s v="CA_Orang_2020g~member of the state assembly 74th district (vote 1)"/>
    <n v="1.6707940798024014E-3"/>
    <m/>
    <m/>
    <n v="0"/>
    <n v="0"/>
    <n v="0"/>
    <n v="0"/>
  </r>
  <r>
    <n v="25.839320200849748"/>
    <n v="744.5100000000001"/>
    <n v="5.5807692262645316E-10"/>
    <n v="5.5807692262645312E-12"/>
    <n v="15465.7"/>
    <n v="1546570"/>
    <n v="7732.85"/>
    <s v=""/>
    <x v="1"/>
    <n v="1"/>
    <n v="10790"/>
    <n v="5482"/>
    <n v="2893"/>
    <n v="2589"/>
    <s v="CA_Orang_2020g~city of orange member, city council, district 3 (vote 1)"/>
    <n v="1.6740270404831336E-3"/>
    <m/>
    <m/>
    <n v="0"/>
    <n v="0"/>
    <n v="0"/>
    <n v="0"/>
  </r>
  <r>
    <n v="380.71383551114525"/>
    <n v="11024.613000000001"/>
    <n v="4.8993771481751674E-10"/>
    <n v="4.8993771481751673E-12"/>
    <n v="15465.7"/>
    <n v="1546570"/>
    <n v="7732.85"/>
    <s v=""/>
    <x v="1"/>
    <n v="1"/>
    <n v="159777"/>
    <n v="47165"/>
    <n v="44563"/>
    <n v="2602"/>
    <s v="CA_Orang_2020g~santa margarita water district director (vote 1)"/>
    <n v="1.6824327382530375E-3"/>
    <m/>
    <m/>
    <n v="0"/>
    <n v="0"/>
    <n v="0"/>
    <n v="0"/>
  </r>
  <r>
    <n v="23.313422562141493"/>
    <n v="678.47700000000009"/>
    <n v="4.301175903964953E-10"/>
    <n v="4.3011759039649531E-12"/>
    <n v="15465.7"/>
    <n v="1546570"/>
    <n v="7732.85"/>
    <s v=""/>
    <x v="1"/>
    <n v="1"/>
    <n v="9833"/>
    <n v="4612"/>
    <n v="1997"/>
    <n v="2615"/>
    <s v="CA_Orang_2020g~city of costa mesa member, city council, district 6 (vote 1)"/>
    <n v="1.6908384360229411E-3"/>
    <m/>
    <m/>
    <n v="0"/>
    <n v="0"/>
    <n v="0"/>
    <n v="0"/>
  </r>
  <r>
    <n v="55.099667774086377"/>
    <n v="1661.1750000000002"/>
    <n v="1.6774381298365473E-10"/>
    <n v="1.6774381298365474E-12"/>
    <n v="15465.7"/>
    <n v="1546570"/>
    <n v="7732.85"/>
    <s v=""/>
    <x v="1"/>
    <n v="1"/>
    <n v="24075"/>
    <n v="13392"/>
    <n v="10683"/>
    <n v="2709"/>
    <s v="CA_Orang_2020g~garden grove unified school district governing board member, trustee area 1 (vote 1)"/>
    <n v="1.7516180968207065E-3"/>
    <m/>
    <m/>
    <n v="0"/>
    <n v="0"/>
    <n v="0"/>
    <n v="0"/>
  </r>
  <r>
    <n v="21.030607966457023"/>
    <n v="669.85200000000009"/>
    <n v="3.6222383749760195E-11"/>
    <n v="3.6222383749760195E-13"/>
    <n v="15465.7"/>
    <n v="1546570"/>
    <n v="7732.85"/>
    <s v=""/>
    <x v="1"/>
    <n v="1"/>
    <n v="9708"/>
    <n v="6285"/>
    <n v="3423"/>
    <n v="2862"/>
    <s v="CA_Orang_2020g~city of westminster member, city council, district 3 (vote 1)"/>
    <n v="1.8505466936511118E-3"/>
    <m/>
    <m/>
    <n v="0"/>
    <n v="0"/>
    <n v="0"/>
    <n v="0"/>
  </r>
  <r>
    <n v="163.22327022375214"/>
    <n v="5276.9820000000009"/>
    <n v="2.3544071621999203E-11"/>
    <n v="2.3544071621999203E-13"/>
    <n v="15465.7"/>
    <n v="1546570"/>
    <n v="7732.85"/>
    <s v=""/>
    <x v="1"/>
    <n v="1"/>
    <n v="76478"/>
    <n v="15685"/>
    <n v="12780"/>
    <n v="2905"/>
    <s v="CA_Orang_2020g~city of tustin member, city council (vote 1)"/>
    <n v="1.8783501555054087E-3"/>
    <m/>
    <m/>
    <n v="0"/>
    <n v="0"/>
    <n v="0"/>
    <n v="0"/>
  </r>
  <r>
    <n v="69.293649775497116"/>
    <n v="2404.5120000000002"/>
    <n v="2.7863107127862009E-12"/>
    <n v="2.7863107127862008E-14"/>
    <n v="15465.7"/>
    <n v="1546570"/>
    <n v="7732.85"/>
    <s v=""/>
    <x v="1"/>
    <n v="1"/>
    <n v="34848"/>
    <n v="18983"/>
    <n v="15865"/>
    <n v="3118"/>
    <s v="CA_Orang_2020g~rancho santiago community college district governing board member, trustee area 7 (vote 1)"/>
    <n v="2.0160742805046005E-3"/>
    <m/>
    <m/>
    <n v="0"/>
    <n v="0"/>
    <n v="0"/>
    <n v="0"/>
  </r>
  <r>
    <n v="106.6912528035886"/>
    <n v="3705.7830000000004"/>
    <n v="2.7037988402065366E-12"/>
    <n v="2.7037988402065364E-14"/>
    <n v="15465.7"/>
    <n v="1546570"/>
    <n v="7732.85"/>
    <s v=""/>
    <x v="1"/>
    <n v="1"/>
    <n v="53707"/>
    <n v="15461"/>
    <n v="12340"/>
    <n v="3121"/>
    <s v="CA_Orang_2020g~city of la habra member, city council (vote 1)"/>
    <n v="2.0180140569130397E-3"/>
    <m/>
    <m/>
    <n v="0"/>
    <n v="0"/>
    <n v="0"/>
    <n v="0"/>
  </r>
  <r>
    <n v="23.483064260842038"/>
    <n v="825.58500000000004"/>
    <n v="1.8475947880717936E-12"/>
    <n v="1.8475947880717934E-14"/>
    <n v="15465.7"/>
    <n v="1546570"/>
    <n v="7732.85"/>
    <s v=""/>
    <x v="1"/>
    <n v="1"/>
    <n v="11965"/>
    <n v="7562"/>
    <n v="4403"/>
    <n v="3159"/>
    <s v="CA_Orang_2020g~tustin unified school district governing board member, trustee area 2 (vote 1)"/>
    <n v="2.0425845580866043E-3"/>
    <m/>
    <m/>
    <n v="0"/>
    <n v="0"/>
    <n v="0"/>
    <n v="0"/>
  </r>
  <r>
    <n v="27.467510281556471"/>
    <n v="966.27600000000007"/>
    <n v="1.8109358038328833E-12"/>
    <n v="1.8109358038328833E-14"/>
    <n v="15465.7"/>
    <n v="1546570"/>
    <n v="7732.85"/>
    <s v=""/>
    <x v="1"/>
    <n v="1"/>
    <n v="14004"/>
    <n v="6359"/>
    <n v="3198"/>
    <n v="3161"/>
    <s v="CA_Orang_2020g~irvine unified school district governing board member, trustee area 3 (vote 1)"/>
    <n v="2.0438777423588974E-3"/>
    <m/>
    <m/>
    <n v="0"/>
    <n v="0"/>
    <n v="0"/>
    <n v="0"/>
  </r>
  <r>
    <n v="15.568716827973777"/>
    <n v="554.9670000000001"/>
    <n v="1.1888397329543926E-12"/>
    <n v="1.1888397329543927E-14"/>
    <n v="15465.7"/>
    <n v="1546570"/>
    <n v="7732.85"/>
    <s v=""/>
    <x v="1"/>
    <n v="1"/>
    <n v="8043"/>
    <n v="5623"/>
    <n v="2420"/>
    <n v="3203"/>
    <s v="CA_Orang_2020g~costa mesa sanitary district director, division 4 (vote 1)"/>
    <n v="2.0710346120770477E-3"/>
    <m/>
    <m/>
    <n v="0"/>
    <n v="0"/>
    <n v="0"/>
    <n v="0"/>
  </r>
  <r>
    <n v="30.322504430005907"/>
    <n v="1142.6400000000001"/>
    <n v="1.8996246694288455E-13"/>
    <n v="1.8996246694288456E-15"/>
    <n v="15465.7"/>
    <n v="1546570"/>
    <n v="7732.85"/>
    <s v=""/>
    <x v="1"/>
    <n v="1"/>
    <n v="16560"/>
    <n v="8152"/>
    <n v="4766"/>
    <n v="3386"/>
    <s v="CA_Orang_2020g~city of fullerton member, city council, district 2 (vote 1)"/>
    <n v="2.1893609729918464E-3"/>
    <m/>
    <m/>
    <n v="0"/>
    <n v="0"/>
    <n v="0"/>
    <n v="0"/>
  </r>
  <r>
    <n v="79.793891797556711"/>
    <n v="3053.0430000000001"/>
    <n v="1.1280681614105207E-13"/>
    <n v="1.1280681614105207E-15"/>
    <n v="15465.7"/>
    <n v="1546570"/>
    <n v="7732.85"/>
    <s v=""/>
    <x v="1"/>
    <n v="1"/>
    <n v="44247"/>
    <n v="12223"/>
    <n v="8785"/>
    <n v="3438"/>
    <s v="CA_Orang_2020g~rancho santa margarita member, city council (vote 1)"/>
    <n v="2.2229837640714615E-3"/>
    <m/>
    <m/>
    <n v="0"/>
    <n v="0"/>
    <n v="0"/>
    <n v="0"/>
  </r>
  <r>
    <n v="12.287153785280928"/>
    <n v="518.39700000000005"/>
    <n v="3.278570268534869E-15"/>
    <n v="3.278570268534869E-17"/>
    <n v="15465.7"/>
    <n v="1546570"/>
    <n v="7732.85"/>
    <s v=""/>
    <x v="1"/>
    <n v="1"/>
    <n v="7513"/>
    <n v="5652"/>
    <n v="1861"/>
    <n v="3791"/>
    <s v="CA_Orang_2020g~city of garden grove member, city council, district 6 (vote 1)"/>
    <n v="2.4512307881311549E-3"/>
    <m/>
    <m/>
    <n v="0"/>
    <n v="0"/>
    <n v="0"/>
    <n v="0"/>
  </r>
  <r>
    <n v="97.76639999999999"/>
    <n v="4216.1760000000004"/>
    <n v="1.4124424153966691E-15"/>
    <n v="1.4124424153966691E-17"/>
    <n v="15465.7"/>
    <n v="1546570"/>
    <n v="7732.85"/>
    <s v=""/>
    <x v="1"/>
    <n v="1"/>
    <n v="61104"/>
    <n v="19426"/>
    <n v="15551"/>
    <n v="3875"/>
    <s v="CA_Orang_2020g~midway city sanitary district director (vote 1)"/>
    <n v="2.5055445275674556E-3"/>
    <m/>
    <m/>
    <n v="0"/>
    <n v="0"/>
    <n v="0"/>
    <n v="0"/>
  </r>
  <r>
    <n v="49.615962924819776"/>
    <n v="2144.6580000000004"/>
    <n v="1.2905830419051464E-15"/>
    <n v="1.2905830419051464E-17"/>
    <n v="15465.7"/>
    <n v="1546570"/>
    <n v="7732.85"/>
    <s v=""/>
    <x v="1"/>
    <n v="1"/>
    <n v="31082"/>
    <n v="17483"/>
    <n v="13599"/>
    <n v="3884"/>
    <s v="CA_Orang_2020g~capistrano unified school district governing board member, trustee area 2 (vote 1)"/>
    <n v="2.5113638567927738E-3"/>
    <m/>
    <m/>
    <n v="0"/>
    <n v="0"/>
    <n v="0"/>
    <n v="0"/>
  </r>
  <r>
    <n v="21.834782608695654"/>
    <n v="950.13000000000011"/>
    <n v="9.9445273488441129E-16"/>
    <n v="9.9445273488441134E-18"/>
    <n v="15465.7"/>
    <n v="1546570"/>
    <n v="7732.85"/>
    <s v=""/>
    <x v="1"/>
    <n v="1"/>
    <n v="13770"/>
    <n v="8840"/>
    <n v="4930"/>
    <n v="3910"/>
    <s v="CA_Orang_2020g~anaheim elementary school district governing board member, trustee area 3 (vote 1)"/>
    <n v="2.5281752523325812E-3"/>
    <m/>
    <m/>
    <n v="0"/>
    <n v="0"/>
    <n v="0"/>
    <n v="0"/>
  </r>
  <r>
    <n v="12.631154239019407"/>
    <n v="550.48200000000008"/>
    <n v="9.3639779297459725E-16"/>
    <n v="9.3639779297459725E-18"/>
    <n v="15465.7"/>
    <n v="1546570"/>
    <n v="7732.85"/>
    <s v=""/>
    <x v="1"/>
    <n v="1"/>
    <n v="7978"/>
    <n v="5947"/>
    <n v="2031"/>
    <n v="3916"/>
    <s v="CA_Orang_2020g~huntington beach city school district governing board member, trustee area 1 (vote 1)"/>
    <n v="2.5320548051494599E-3"/>
    <m/>
    <m/>
    <n v="0"/>
    <n v="0"/>
    <n v="0"/>
    <n v="0"/>
  </r>
  <r>
    <n v="66.69447793585725"/>
    <n v="3078.09"/>
    <n v="9.2388552113979197E-17"/>
    <n v="9.2388552113979198E-19"/>
    <n v="15465.7"/>
    <n v="1546570"/>
    <n v="7732.85"/>
    <s v=""/>
    <x v="1"/>
    <n v="1"/>
    <n v="44610"/>
    <n v="16386"/>
    <n v="12239"/>
    <n v="4147"/>
    <s v="CA_Orang_2020g~fountain valley school district governing board member (vote 1)"/>
    <n v="2.6814175885992875E-3"/>
    <m/>
    <m/>
    <n v="0"/>
    <n v="0"/>
    <n v="0"/>
    <n v="0"/>
  </r>
  <r>
    <n v="15.128"/>
    <n v="711.32100000000003"/>
    <n v="4.2261908462739836E-17"/>
    <n v="4.2261908462739837E-19"/>
    <n v="15465.7"/>
    <n v="1546570"/>
    <n v="7732.85"/>
    <s v=""/>
    <x v="1"/>
    <n v="1"/>
    <n v="10309"/>
    <n v="7267"/>
    <n v="3042"/>
    <n v="4225"/>
    <s v="CA_Orang_2020g~city of garden grove member, city council, district 5 (vote 1)"/>
    <n v="2.73185177521871E-3"/>
    <m/>
    <m/>
    <n v="0"/>
    <n v="0"/>
    <n v="0"/>
    <n v="0"/>
  </r>
  <r>
    <n v="22.288425925925928"/>
    <n v="1071.5700000000002"/>
    <n v="1.6301456570537359E-17"/>
    <n v="1.6301456570537361E-19"/>
    <n v="15465.7"/>
    <n v="1546570"/>
    <n v="7732.85"/>
    <s v=""/>
    <x v="1"/>
    <n v="1"/>
    <n v="15530"/>
    <n v="7861"/>
    <n v="3541"/>
    <n v="4320"/>
    <s v="CA_Orang_2020g~city of anaheim member, city council, district 4 (vote 1)"/>
    <n v="2.7932780281526215E-3"/>
    <m/>
    <m/>
    <n v="0"/>
    <n v="0"/>
    <n v="0"/>
    <n v="0"/>
  </r>
  <r>
    <n v="20.729320646160659"/>
    <n v="1042.5210000000002"/>
    <n v="2.215662625822188E-18"/>
    <n v="2.2156626258221879E-20"/>
    <n v="15465.7"/>
    <n v="1546570"/>
    <n v="7732.85"/>
    <s v=""/>
    <x v="1"/>
    <n v="1"/>
    <n v="15109"/>
    <n v="9814"/>
    <n v="5295"/>
    <n v="4519"/>
    <s v="CA_Orang_2020g~newport-mesa unified school district governing board member, trustee area 3 (vote 1)"/>
    <n v="2.9219498632457631E-3"/>
    <m/>
    <m/>
    <n v="0"/>
    <n v="0"/>
    <n v="0"/>
    <n v="0"/>
  </r>
  <r>
    <n v="41.984456186701898"/>
    <n v="2122.2330000000002"/>
    <n v="1.7592292278802122E-18"/>
    <n v="1.7592292278802123E-20"/>
    <n v="15465.7"/>
    <n v="1546570"/>
    <n v="7732.85"/>
    <s v=""/>
    <x v="1"/>
    <n v="1"/>
    <n v="30757"/>
    <n v="16596"/>
    <n v="12054"/>
    <n v="4542"/>
    <s v="CA_Orang_2020g~irvine ranch water district director, division 4 (vote 1)"/>
    <n v="2.9368214823771313E-3"/>
    <m/>
    <m/>
    <n v="0"/>
    <n v="0"/>
    <n v="0"/>
    <n v="0"/>
  </r>
  <r>
    <n v="27.783093220338984"/>
    <n v="1459.4190000000001"/>
    <n v="2.9509137915302391E-19"/>
    <n v="2.9509137915302393E-21"/>
    <n v="15465.7"/>
    <n v="1546570"/>
    <n v="7732.85"/>
    <s v=""/>
    <x v="1"/>
    <n v="1"/>
    <n v="21151"/>
    <n v="11160"/>
    <n v="6440"/>
    <n v="4720"/>
    <s v="CA_Orang_2020g~city of anaheim member, city council, district 5 (vote 1)"/>
    <n v="3.0519148826111979E-3"/>
    <m/>
    <m/>
    <n v="0"/>
    <n v="0"/>
    <n v="0"/>
    <n v="0"/>
  </r>
  <r>
    <n v="166.16848434584284"/>
    <n v="8919.1470000000008"/>
    <n v="1.0501439779106539E-19"/>
    <n v="1.0501439779106539E-21"/>
    <n v="15465.7"/>
    <n v="1546570"/>
    <n v="7732.85"/>
    <s v=""/>
    <x v="1"/>
    <n v="1"/>
    <n v="129263"/>
    <n v="67043"/>
    <n v="62220"/>
    <n v="4823"/>
    <s v="CA_Orang_2020g~united states representative 47th district (vote 1)"/>
    <n v="3.1185138726342811E-3"/>
    <m/>
    <m/>
    <n v="0"/>
    <n v="0"/>
    <n v="0"/>
    <n v="0"/>
  </r>
  <r>
    <n v="59.994974463738508"/>
    <n v="3268.3230000000003"/>
    <n v="5.1000133143443018E-20"/>
    <n v="5.1000133143443019E-22"/>
    <n v="15465.7"/>
    <n v="1546570"/>
    <n v="7732.85"/>
    <s v=""/>
    <x v="1"/>
    <n v="1"/>
    <n v="47367"/>
    <n v="26131"/>
    <n v="21236"/>
    <n v="4895"/>
    <s v="CA_Orang_2020g~z-city of newport beach,  addition of harbor commission to the newport beach city charter (vote 1)"/>
    <n v="3.1650685064368248E-3"/>
    <m/>
    <m/>
    <n v="0"/>
    <n v="0"/>
    <n v="0"/>
    <n v="0"/>
  </r>
  <r>
    <n v="31.831031681559708"/>
    <n v="1744.3200000000002"/>
    <n v="3.8126314877264699E-20"/>
    <n v="3.8126314877264698E-22"/>
    <n v="15465.7"/>
    <n v="1546570"/>
    <n v="7732.85"/>
    <s v=""/>
    <x v="1"/>
    <n v="1"/>
    <n v="25280"/>
    <n v="13056"/>
    <n v="8132"/>
    <n v="4924"/>
    <s v="CA_Orang_2020g~rancho santiago community college district governing board member, trustee area 5 (vote 1)"/>
    <n v="3.1838196783850713E-3"/>
    <m/>
    <m/>
    <n v="0"/>
    <n v="0"/>
    <n v="0"/>
    <n v="0"/>
  </r>
  <r>
    <n v="165.49183511692431"/>
    <n v="9293.5410000000011"/>
    <n v="1.1211719630689943E-20"/>
    <n v="1.1211719630689943E-22"/>
    <n v="15465.7"/>
    <n v="1546570"/>
    <n v="7732.85"/>
    <s v=""/>
    <x v="1"/>
    <n v="1"/>
    <n v="134689"/>
    <n v="34452"/>
    <n v="29406"/>
    <n v="5046"/>
    <s v="CA_Orang_2020g~santa ana unified school district governing board member (vote 1)"/>
    <n v="3.2627039189949371E-3"/>
    <m/>
    <m/>
    <n v="0"/>
    <n v="0"/>
    <n v="0"/>
    <n v="0"/>
  </r>
  <r>
    <n v="23.617765495459931"/>
    <n v="1331.5620000000001"/>
    <n v="9.1733601556105354E-21"/>
    <n v="9.1733601556105361E-23"/>
    <n v="15465.7"/>
    <n v="1546570"/>
    <n v="7732.85"/>
    <s v=""/>
    <x v="1"/>
    <n v="1"/>
    <n v="19298"/>
    <n v="12182"/>
    <n v="7116"/>
    <n v="5066"/>
    <s v="CA_Orang_2020g~rancho santiago community college district governing board member, trustee area 3 (vote 1)"/>
    <n v="3.2756357617178661E-3"/>
    <m/>
    <m/>
    <n v="0"/>
    <n v="0"/>
    <n v="0"/>
    <n v="0"/>
  </r>
  <r>
    <n v="27.584022038567493"/>
    <n v="1560.0900000000001"/>
    <n v="7.8129060734263936E-21"/>
    <n v="7.812906073426394E-23"/>
    <n v="15465.7"/>
    <n v="1546570"/>
    <n v="7732.85"/>
    <s v=""/>
    <x v="1"/>
    <n v="1"/>
    <n v="22610"/>
    <n v="13846"/>
    <n v="8764"/>
    <n v="5082"/>
    <s v="CA_Orang_2020g~saddleback valley unified school district governing board member, trustee area 4 (vote 1)"/>
    <n v="3.2859812358962091E-3"/>
    <m/>
    <m/>
    <n v="0"/>
    <n v="0"/>
    <n v="0"/>
    <n v="0"/>
  </r>
  <r>
    <n v="357.02039383895499"/>
    <n v="20379.012000000002"/>
    <n v="4.8754884746991081E-21"/>
    <n v="4.8754884746991084E-23"/>
    <n v="15465.7"/>
    <n v="1546570"/>
    <n v="7732.85"/>
    <s v=""/>
    <x v="1"/>
    <n v="1"/>
    <n v="295348"/>
    <n v="43744"/>
    <n v="38615"/>
    <n v="5129"/>
    <s v="CA_Orang_2020g~city of irvine member, city council (vote 1)"/>
    <n v="3.3163710662950916E-3"/>
    <m/>
    <m/>
    <n v="0"/>
    <n v="0"/>
    <n v="0"/>
    <n v="0"/>
  </r>
  <r>
    <n v="23.367235275185067"/>
    <n v="1615.9800000000002"/>
    <n v="9.0903218870567445E-26"/>
    <n v="9.0903218870567441E-28"/>
    <n v="15465.7"/>
    <n v="1546570"/>
    <n v="7732.85"/>
    <s v=""/>
    <x v="1"/>
    <n v="1"/>
    <n v="23420"/>
    <n v="12799"/>
    <n v="6585"/>
    <n v="6214"/>
    <s v="CA_Orang_2020g~capistrano unified school district governing board member, trustee area 5 (vote 1)"/>
    <n v="4.0179235340139794E-3"/>
    <m/>
    <m/>
    <n v="0"/>
    <n v="0"/>
    <n v="0"/>
    <n v="0"/>
  </r>
  <r>
    <n v="14.968120857098812"/>
    <n v="1080.6090000000002"/>
    <n v="5.8622840912579707E-27"/>
    <n v="5.8622840912579708E-29"/>
    <n v="15465.7"/>
    <n v="1546570"/>
    <n v="7732.85"/>
    <s v=""/>
    <x v="1"/>
    <n v="1"/>
    <n v="15661"/>
    <n v="11074"/>
    <n v="4587"/>
    <n v="6487"/>
    <s v="CA_Orang_2020g~irvine unified school district governing board member, trustee area 5 (vote 1)"/>
    <n v="4.1944431871819574E-3"/>
    <m/>
    <m/>
    <n v="0"/>
    <n v="0"/>
    <n v="0"/>
    <n v="0"/>
  </r>
  <r>
    <n v="43.246092552865463"/>
    <n v="3140.88"/>
    <n v="3.9625653145314684E-27"/>
    <n v="3.9625653145314681E-29"/>
    <n v="15465.7"/>
    <n v="1546570"/>
    <n v="7732.85"/>
    <s v=""/>
    <x v="1"/>
    <n v="1"/>
    <n v="45520"/>
    <n v="26023"/>
    <n v="19497"/>
    <n v="6526"/>
    <s v="CA_Orang_2020g~north orange county community college district governing board member, trustee area 4 (vote 1)"/>
    <n v="4.219660280491669E-3"/>
    <m/>
    <m/>
    <n v="0"/>
    <n v="0"/>
    <n v="0"/>
    <n v="0"/>
  </r>
  <r>
    <n v="1401.9345703422052"/>
    <n v="102584.30100000001"/>
    <n v="2.422517766188836E-27"/>
    <n v="2.4225177661888362E-29"/>
    <n v="15465.7"/>
    <n v="1546570"/>
    <n v="7732.85"/>
    <s v=""/>
    <x v="1"/>
    <n v="1"/>
    <n v="1486729"/>
    <n v="746652"/>
    <n v="740077"/>
    <n v="6575"/>
    <s v="CA_Orang_2020g~proposition 17 - restores right to vote after completion of prison term (vote 1)"/>
    <n v="4.2513432951628441E-3"/>
    <m/>
    <m/>
    <n v="0"/>
    <n v="0"/>
    <n v="0"/>
    <n v="0"/>
  </r>
  <r>
    <n v="226.15583477758523"/>
    <n v="17426.985000000001"/>
    <n v="7.2767173108729071E-29"/>
    <n v="7.2767173108729072E-31"/>
    <n v="15465.7"/>
    <n v="1546570"/>
    <n v="7732.85"/>
    <s v=""/>
    <x v="1"/>
    <n v="1"/>
    <n v="252565"/>
    <n v="64844"/>
    <n v="57920"/>
    <n v="6924"/>
    <s v="CA_Orang_2020g~huntington beach union high school district governing board member (vote 1)"/>
    <n v="4.4770039506779515E-3"/>
    <m/>
    <m/>
    <n v="0"/>
    <n v="0"/>
    <n v="0"/>
    <n v="0"/>
  </r>
  <r>
    <n v="58.63629157820241"/>
    <n v="4610.3730000000005"/>
    <n v="1.7652176897235695E-29"/>
    <n v="1.7652176897235696E-31"/>
    <n v="15465.7"/>
    <n v="1546570"/>
    <n v="7732.85"/>
    <s v=""/>
    <x v="1"/>
    <n v="1"/>
    <n v="66817"/>
    <n v="36941"/>
    <n v="29876"/>
    <n v="7065"/>
    <s v="CA_Orang_2020g~north orange county community college district governing board member, trustee area 7 (vote 1)"/>
    <n v="4.5681734418746003E-3"/>
    <m/>
    <m/>
    <n v="0"/>
    <n v="0"/>
    <n v="0"/>
    <n v="0"/>
  </r>
  <r>
    <n v="168.09882259558142"/>
    <n v="14141.205000000002"/>
    <n v="1.2336502776189536E-31"/>
    <n v="1.2336502776189537E-33"/>
    <n v="15465.7"/>
    <n v="1546570"/>
    <n v="7732.85"/>
    <s v=""/>
    <x v="1"/>
    <n v="1"/>
    <n v="204945"/>
    <n v="106252"/>
    <n v="98693"/>
    <n v="7559"/>
    <s v="CA_Orang_2020g~county supervisor, 1st district (vote 1)"/>
    <n v="4.8875899571309417E-3"/>
    <m/>
    <m/>
    <n v="0"/>
    <n v="0"/>
    <n v="0"/>
    <n v="0"/>
  </r>
  <r>
    <n v="73.217473015873011"/>
    <n v="6416.862000000001"/>
    <n v="5.1515671473324121E-33"/>
    <n v="5.1515671473324123E-35"/>
    <n v="15465.7"/>
    <n v="1546570"/>
    <n v="7732.85"/>
    <s v=""/>
    <x v="1"/>
    <n v="1"/>
    <n v="92998"/>
    <n v="42987"/>
    <n v="35112"/>
    <n v="7875"/>
    <s v="CA_Orang_2020g~orange unified school district governing board member, trustee area 6 (vote 1)"/>
    <n v="5.0919130721532166E-3"/>
    <m/>
    <m/>
    <n v="0"/>
    <n v="0"/>
    <n v="0"/>
    <n v="0"/>
  </r>
  <r>
    <n v="41.741484607745775"/>
    <n v="3742.3530000000005"/>
    <n v="8.352121009667351E-34"/>
    <n v="8.3521210096673513E-36"/>
    <n v="15465.7"/>
    <n v="1546570"/>
    <n v="7732.85"/>
    <s v=""/>
    <x v="1"/>
    <n v="1"/>
    <n v="54237"/>
    <n v="21242"/>
    <n v="13186"/>
    <n v="8056"/>
    <s v="CA_Orang_2020g~buena park library district trustee (vote 1)"/>
    <n v="5.2089462487957218E-3"/>
    <m/>
    <m/>
    <n v="0"/>
    <n v="0"/>
    <n v="0"/>
    <n v="0"/>
  </r>
  <r>
    <n v="72.528388368654504"/>
    <n v="6550.9980000000005"/>
    <n v="4.5693091632749423E-34"/>
    <n v="4.5693091632749427E-36"/>
    <n v="15465.7"/>
    <n v="1546570"/>
    <n v="7732.85"/>
    <s v=""/>
    <x v="1"/>
    <n v="1"/>
    <n v="94942"/>
    <n v="51529"/>
    <n v="43413"/>
    <n v="8116"/>
    <s v="CA_Orang_2020g~orange unified school district governing board member, trustee area 2 (vote 1)"/>
    <n v="5.2477417769645086E-3"/>
    <m/>
    <m/>
    <n v="0"/>
    <n v="0"/>
    <n v="0"/>
    <n v="0"/>
  </r>
  <r>
    <n v="292.45702005730664"/>
    <n v="27261.9"/>
    <n v="3.3468182771637838E-35"/>
    <n v="3.3468182771637838E-37"/>
    <n v="15465.7"/>
    <n v="1546570"/>
    <n v="7732.85"/>
    <s v=""/>
    <x v="1"/>
    <n v="1"/>
    <n v="395100"/>
    <n v="201738"/>
    <n v="193362"/>
    <n v="8376"/>
    <s v="CA_Orang_2020g~united states representative 48th district (vote 1)"/>
    <n v="5.4158557323625827E-3"/>
    <m/>
    <m/>
    <n v="0"/>
    <n v="0"/>
    <n v="0"/>
    <n v="0"/>
  </r>
  <r>
    <n v="16.174367622259695"/>
    <n v="1601.1450000000002"/>
    <n v="1.8112884094107671E-37"/>
    <n v="1.8112884094107671E-39"/>
    <n v="15465.7"/>
    <n v="1546570"/>
    <n v="7732.85"/>
    <s v=""/>
    <x v="1"/>
    <n v="1"/>
    <n v="23205"/>
    <n v="16050"/>
    <n v="7155"/>
    <n v="8895"/>
    <s v="CA_Orang_2020g~p-city of cypress, amend city charter to update noticing, election procedures, and process for filling a council vacancy (vote 1)"/>
    <n v="5.7514370510225853E-3"/>
    <m/>
    <m/>
    <n v="0"/>
    <n v="0"/>
    <n v="0"/>
    <n v="0"/>
  </r>
  <r>
    <n v="14.343780038001565"/>
    <n v="1428.2310000000002"/>
    <n v="1.0736043392797116E-37"/>
    <n v="1.0736043392797117E-39"/>
    <n v="15465.7"/>
    <n v="1546570"/>
    <n v="7732.85"/>
    <s v=""/>
    <x v="1"/>
    <n v="1"/>
    <n v="20699"/>
    <n v="12884"/>
    <n v="3937"/>
    <n v="8947"/>
    <s v="CA_Orang_2020g~garden grove unified school district governing board member, trustee area 5 (vote 1)"/>
    <n v="5.7850598421022E-3"/>
    <m/>
    <m/>
    <n v="0"/>
    <n v="0"/>
    <n v="0"/>
    <n v="0"/>
  </r>
  <r>
    <n v="43.274594354300959"/>
    <n v="4333.4760000000006"/>
    <n v="6.427788643921711E-38"/>
    <n v="6.4277886439217113E-40"/>
    <n v="15465.7"/>
    <n v="1546570"/>
    <n v="7732.85"/>
    <s v=""/>
    <x v="1"/>
    <n v="1"/>
    <n v="62804"/>
    <n v="35901"/>
    <n v="26903"/>
    <n v="8998"/>
    <s v="CA_Orang_2020g~s-city of fullerton, community services, street repair, and emergency response measure (vote 1)"/>
    <n v="5.818036041045669E-3"/>
    <m/>
    <m/>
    <n v="0"/>
    <n v="0"/>
    <n v="0"/>
    <n v="0"/>
  </r>
  <r>
    <n v="17.754054054054055"/>
    <n v="1813.0440000000001"/>
    <n v="1.072626393539864E-38"/>
    <n v="1.072626393539864E-40"/>
    <n v="15465.7"/>
    <n v="1546570"/>
    <n v="7732.85"/>
    <s v=""/>
    <x v="1"/>
    <n v="1"/>
    <n v="26276"/>
    <n v="17726"/>
    <n v="8550"/>
    <n v="9176"/>
    <s v="CA_Orang_2020g~w-city of la habra, cannabis business tax/regulation ordinance of 2020 (vote 1)"/>
    <n v="5.9331294412797355E-3"/>
    <m/>
    <m/>
    <n v="0"/>
    <n v="0"/>
    <n v="0"/>
    <n v="0"/>
  </r>
  <r>
    <n v="32.256209150326796"/>
    <n v="3295.44"/>
    <n v="1.0303220469586964E-38"/>
    <n v="1.0303220469586964E-40"/>
    <n v="15465.7"/>
    <n v="1546570"/>
    <n v="7732.85"/>
    <s v=""/>
    <x v="1"/>
    <n v="1"/>
    <n v="47760"/>
    <n v="28470"/>
    <n v="19290"/>
    <n v="9180"/>
    <s v="CA_Orang_2020g~city of newport beach member, city council, district 5 (vote 1)"/>
    <n v="5.9357158098243207E-3"/>
    <m/>
    <m/>
    <n v="0"/>
    <n v="0"/>
    <n v="0"/>
    <n v="0"/>
  </r>
  <r>
    <n v="31.5301631303977"/>
    <n v="3291.0930000000003"/>
    <n v="1.3915863200909842E-39"/>
    <n v="1.3915863200909841E-41"/>
    <n v="15465.7"/>
    <n v="1546570"/>
    <n v="7732.85"/>
    <s v=""/>
    <x v="1"/>
    <n v="1"/>
    <n v="47697"/>
    <n v="28538"/>
    <n v="19159"/>
    <n v="9379"/>
    <s v="CA_Orang_2020g~city of newport beach member, city council, district 2 (vote 1)"/>
    <n v="6.0643876449174624E-3"/>
    <m/>
    <m/>
    <n v="0"/>
    <n v="0"/>
    <n v="0"/>
    <n v="0"/>
  </r>
  <r>
    <n v="195.84668705402652"/>
    <n v="21381.72"/>
    <n v="1.8197688936734065E-41"/>
    <n v="1.8197688936734065E-43"/>
    <n v="15465.7"/>
    <n v="1546570"/>
    <n v="7732.85"/>
    <s v=""/>
    <x v="1"/>
    <n v="1"/>
    <n v="309880"/>
    <n v="159845"/>
    <n v="150035"/>
    <n v="9810"/>
    <s v="CA_Orang_2020g~state senator 29th district (vote 1)"/>
    <n v="6.3430688555965783E-3"/>
    <m/>
    <m/>
    <n v="0"/>
    <n v="0"/>
    <n v="0"/>
    <n v="0"/>
  </r>
  <r>
    <n v="137.86843753156248"/>
    <n v="15191.523000000001"/>
    <n v="7.2823852196709955E-42"/>
    <n v="7.2823852196709953E-44"/>
    <n v="15465.7"/>
    <n v="1546570"/>
    <n v="7732.85"/>
    <s v=""/>
    <x v="1"/>
    <n v="1"/>
    <n v="220167"/>
    <n v="115034"/>
    <n v="105133"/>
    <n v="9901"/>
    <s v="CA_Orang_2020g~united states representative 39th district (vote 1)"/>
    <n v="6.4019087399859046E-3"/>
    <m/>
    <m/>
    <n v="0"/>
    <n v="0"/>
    <n v="0"/>
    <n v="0"/>
  </r>
  <r>
    <n v="27.134969437095155"/>
    <n v="3310.0680000000002"/>
    <n v="1.688465528464807E-46"/>
    <n v="1.688465528464807E-48"/>
    <n v="15465.7"/>
    <n v="1546570"/>
    <n v="7732.85"/>
    <s v=""/>
    <x v="1"/>
    <n v="1"/>
    <n v="47972"/>
    <n v="24420"/>
    <n v="13459"/>
    <n v="10961"/>
    <s v="CA_Orang_2020g~coast community college district governing board member, trustee area 2 (vote 1)"/>
    <n v="7.0872964043011306E-3"/>
    <m/>
    <m/>
    <n v="0"/>
    <n v="0"/>
    <n v="0"/>
    <n v="0"/>
  </r>
  <r>
    <n v="21.957312252964424"/>
    <n v="2720.2560000000003"/>
    <n v="3.0165191243726282E-47"/>
    <n v="3.0165191243726283E-49"/>
    <n v="15465.7"/>
    <n v="1546570"/>
    <n v="7732.85"/>
    <s v=""/>
    <x v="1"/>
    <n v="1"/>
    <n v="39424"/>
    <n v="25278"/>
    <n v="14146"/>
    <n v="11132"/>
    <s v="CA_Orang_2020g~north orange county community college district governing board member, trustee area 5 (vote 1)"/>
    <n v="7.1978636595821724E-3"/>
    <m/>
    <m/>
    <n v="0"/>
    <n v="0"/>
    <n v="0"/>
    <n v="0"/>
  </r>
  <r>
    <n v="33.10041037282808"/>
    <n v="4219.0050000000001"/>
    <n v="1.1889588087953109E-48"/>
    <n v="1.1889588087953109E-50"/>
    <n v="15465.7"/>
    <n v="1546570"/>
    <n v="7732.85"/>
    <s v=""/>
    <x v="1"/>
    <n v="1"/>
    <n v="61145"/>
    <n v="36299"/>
    <n v="24846"/>
    <n v="11453"/>
    <s v="CA_Orang_2020g~city of orange mayor (vote 1)"/>
    <n v="7.4054197352851799E-3"/>
    <m/>
    <m/>
    <n v="0"/>
    <n v="0"/>
    <n v="0"/>
    <n v="0"/>
  </r>
  <r>
    <n v="147.92526809651474"/>
    <n v="19649.820000000003"/>
    <n v="9.1525501925652372E-51"/>
    <n v="9.1525501925652367E-53"/>
    <n v="15465.7"/>
    <n v="1546570"/>
    <n v="7732.85"/>
    <s v=""/>
    <x v="1"/>
    <n v="1"/>
    <n v="284780"/>
    <n v="42246"/>
    <n v="30310"/>
    <n v="11936"/>
    <s v="CA_Orang_2020g~city of huntington beach member, city council (vote 1)"/>
    <n v="7.7177237370439104E-3"/>
    <m/>
    <m/>
    <n v="0"/>
    <n v="0"/>
    <n v="0"/>
    <n v="0"/>
  </r>
  <r>
    <n v="271.00624741756883"/>
    <n v="36497.067000000003"/>
    <n v="1.7351777606340707E-51"/>
    <n v="1.7351777606340707E-53"/>
    <n v="15465.7"/>
    <n v="1546570"/>
    <n v="7732.85"/>
    <s v=""/>
    <x v="1"/>
    <n v="1"/>
    <n v="528943"/>
    <n v="270522"/>
    <n v="258421"/>
    <n v="12101"/>
    <s v="CA_Orang_2020g~state senator 37th district (vote 1)"/>
    <n v="7.8244114395080722E-3"/>
    <m/>
    <m/>
    <n v="0"/>
    <n v="0"/>
    <n v="0"/>
    <n v="0"/>
  </r>
  <r>
    <n v="31.537299919159256"/>
    <n v="4341.6180000000004"/>
    <n v="1.152857488893227E-52"/>
    <n v="1.1528574888932269E-54"/>
    <n v="15465.7"/>
    <n v="1546570"/>
    <n v="7732.85"/>
    <s v=""/>
    <x v="1"/>
    <n v="1"/>
    <n v="62922"/>
    <n v="37646"/>
    <n v="25276"/>
    <n v="12370"/>
    <s v="CA_Orang_2020g~u-city of fullerton, fireworks ballot measure (vote 1)"/>
    <n v="7.9983447241314658E-3"/>
    <m/>
    <m/>
    <n v="0"/>
    <n v="0"/>
    <n v="0"/>
    <n v="0"/>
  </r>
  <r>
    <n v="50.446396181384252"/>
    <n v="7057.0440000000008"/>
    <n v="1.5350633256341489E-53"/>
    <n v="1.5350633256341488E-55"/>
    <n v="15465.7"/>
    <n v="1546570"/>
    <n v="7732.85"/>
    <s v=""/>
    <x v="1"/>
    <n v="1"/>
    <n v="102276"/>
    <n v="57423"/>
    <n v="44853"/>
    <n v="12570"/>
    <s v="CA_Orang_2020g~united states representative 49th district (vote 1)"/>
    <n v="8.1276631513607523E-3"/>
    <m/>
    <m/>
    <n v="0"/>
    <n v="0"/>
    <n v="0"/>
    <n v="0"/>
  </r>
  <r>
    <n v="12.379197803873723"/>
    <n v="1806.6960000000001"/>
    <n v="6.3647655531189784E-56"/>
    <n v="6.3647655531189781E-58"/>
    <n v="15465.7"/>
    <n v="1546570"/>
    <n v="7732.85"/>
    <s v=""/>
    <x v="1"/>
    <n v="1"/>
    <n v="26184"/>
    <n v="19649"/>
    <n v="6535"/>
    <n v="13114"/>
    <s v="CA_Orang_2020g~x-city of la habra,  citizensâ€™ initiative for preservation of open space in la habra (vote 1)"/>
    <n v="8.479409273424417E-3"/>
    <m/>
    <m/>
    <n v="0"/>
    <n v="0"/>
    <n v="0"/>
    <n v="0"/>
  </r>
  <r>
    <n v="69.136805450416347"/>
    <n v="10164.114000000001"/>
    <n v="2.4170245091594243E-56"/>
    <n v="2.4170245091594245E-58"/>
    <n v="15465.7"/>
    <n v="1546570"/>
    <n v="7732.85"/>
    <s v=""/>
    <x v="1"/>
    <n v="1"/>
    <n v="147306"/>
    <n v="59829"/>
    <n v="46619"/>
    <n v="13210"/>
    <s v="CA_Orang_2020g~municipal water district of orange county director, division 4 (vote 1)"/>
    <n v="8.5414821184944742E-3"/>
    <m/>
    <m/>
    <n v="0"/>
    <n v="0"/>
    <n v="0"/>
    <n v="0"/>
  </r>
  <r>
    <n v="54.102609464838565"/>
    <n v="8168.22"/>
    <n v="6.6633402659993782E-58"/>
    <n v="6.6633402659993777E-60"/>
    <n v="15465.7"/>
    <n v="1546570"/>
    <n v="7732.85"/>
    <s v=""/>
    <x v="1"/>
    <n v="1"/>
    <n v="118380"/>
    <n v="56304"/>
    <n v="42738"/>
    <n v="13566"/>
    <s v="CA_Orang_2020g~city of irvine mayor (vote 1)"/>
    <n v="8.7716689189626072E-3"/>
    <m/>
    <m/>
    <n v="0"/>
    <n v="0"/>
    <n v="0"/>
    <n v="0"/>
  </r>
  <r>
    <n v="39.495732788002726"/>
    <n v="6448.1880000000001"/>
    <n v="9.6584948488319558E-63"/>
    <n v="9.6584948488319555E-65"/>
    <n v="15465.7"/>
    <n v="1546570"/>
    <n v="7732.85"/>
    <s v=""/>
    <x v="1"/>
    <n v="1"/>
    <n v="93452"/>
    <n v="54061"/>
    <n v="39391"/>
    <n v="14670"/>
    <s v="CA_Orang_2020g~orange unified school district governing board member, trustee area 3 (vote 1)"/>
    <n v="9.4855066372682775E-3"/>
    <m/>
    <m/>
    <n v="0"/>
    <n v="0"/>
    <n v="0"/>
    <n v="0"/>
  </r>
  <r>
    <n v="20.899175468483818"/>
    <n v="3413.2230000000004"/>
    <n v="9.1830456870817069E-63"/>
    <n v="9.1830456870817067E-65"/>
    <n v="15465.7"/>
    <n v="1546570"/>
    <n v="7732.85"/>
    <s v=""/>
    <x v="1"/>
    <n v="1"/>
    <n v="49467"/>
    <n v="25833"/>
    <n v="11158"/>
    <n v="14675"/>
    <s v="CA_Orang_2020g~city of costa mesa mayor (vote 1)"/>
    <n v="9.4887395979490093E-3"/>
    <m/>
    <m/>
    <n v="0"/>
    <n v="0"/>
    <n v="0"/>
    <n v="0"/>
  </r>
  <r>
    <n v="20.436236933797911"/>
    <n v="3524.7960000000003"/>
    <n v="2.2570102661060117E-66"/>
    <n v="2.2570102661060118E-68"/>
    <n v="15465.7"/>
    <n v="1546570"/>
    <n v="7732.85"/>
    <s v=""/>
    <x v="1"/>
    <n v="1"/>
    <n v="51084"/>
    <n v="33291"/>
    <n v="17793"/>
    <n v="15498"/>
    <s v="CA_Orang_2020g~q-city of costa mesa, retail cannabis tax and regulation measure (vote 1)"/>
    <n v="1.0020884925997529E-2"/>
    <m/>
    <m/>
    <n v="1"/>
    <n v="1.00879461976211E-2"/>
    <n v="5.0051733057423498E-2"/>
    <n v="0.20007759958613558"/>
  </r>
  <r>
    <n v="12.362543720190779"/>
    <n v="2163.4950000000003"/>
    <n v="2.27841146981775E-67"/>
    <n v="2.27841146981775E-69"/>
    <n v="15465.7"/>
    <n v="1546570"/>
    <n v="7732.85"/>
    <s v=""/>
    <x v="1"/>
    <n v="1"/>
    <n v="31355"/>
    <n v="23540"/>
    <n v="7815"/>
    <n v="15725"/>
    <s v="CA_Orang_2020g~cc-city of tustin, limited council compensation (vote 1)"/>
    <n v="1.0167661340902773E-2"/>
    <m/>
    <m/>
    <n v="2"/>
    <n v="2.0075417442813048E-2"/>
    <n v="9.7604440250124269E-2"/>
    <n v="0.36014485523744122"/>
  </r>
  <r>
    <n v="100.6800957420005"/>
    <n v="17788.614000000001"/>
    <n v="4.9553978119725919E-68"/>
    <n v="4.9553978119725916E-70"/>
    <n v="15465.7"/>
    <n v="1546570"/>
    <n v="7732.85"/>
    <s v=""/>
    <x v="1"/>
    <n v="1"/>
    <n v="257806"/>
    <n v="136841"/>
    <n v="120965"/>
    <n v="15876"/>
    <s v="CA_Orang_2020g~member of the state assembly 68th district (vote 1)"/>
    <n v="1.0265296753460884E-2"/>
    <m/>
    <m/>
    <n v="2"/>
    <n v="2.0075417442813048E-2"/>
    <n v="9.7604440250124269E-2"/>
    <n v="0.36014485523744122"/>
  </r>
  <r>
    <n v="23.610984505938386"/>
    <n v="4358.5230000000001"/>
    <n v="3.7539947822839291E-71"/>
    <n v="3.753994782283929E-73"/>
    <n v="15465.7"/>
    <n v="1546570"/>
    <n v="7732.85"/>
    <s v=""/>
    <x v="1"/>
    <n v="1"/>
    <n v="63167"/>
    <n v="39877"/>
    <n v="23290"/>
    <n v="16587"/>
    <s v="CA_Orang_2020g~aa-city of orange, the trails at santiago creek open space and residential project (vote 1)"/>
    <n v="1.0725023762261003E-2"/>
    <m/>
    <m/>
    <n v="5"/>
    <n v="4.9444812147000694E-2"/>
    <n v="0.22648245738797002"/>
    <n v="0.67258487153779134"/>
  </r>
  <r>
    <n v="74.689923306348533"/>
    <n v="15607.11"/>
    <n v="9.0748895828024025E-81"/>
    <n v="9.0748895828024034E-83"/>
    <n v="15465.7"/>
    <n v="1546570"/>
    <n v="7732.85"/>
    <s v=""/>
    <x v="1"/>
    <n v="1"/>
    <n v="226190"/>
    <n v="122483"/>
    <n v="103707"/>
    <n v="18776"/>
    <s v="CA_Orang_2020g~member of the state assembly 72nd district (vote 1)"/>
    <n v="1.214041394828556E-2"/>
    <m/>
    <m/>
    <n v="14"/>
    <n v="0.13243819001141677"/>
    <n v="0.51299913312294776"/>
    <n v="0.95620849291384435"/>
  </r>
  <r>
    <n v="11.261389111289033"/>
    <n v="2504.5620000000004"/>
    <n v="4.4155886959130839E-86"/>
    <n v="4.4155886959130836E-88"/>
    <n v="15465.7"/>
    <n v="1546570"/>
    <n v="7732.85"/>
    <s v=""/>
    <x v="1"/>
    <n v="1"/>
    <n v="36298"/>
    <n v="28141"/>
    <n v="8157"/>
    <n v="19984"/>
    <s v="CA_Orang_2020g~bb-city of san clemente, city council term limits (vote 1)"/>
    <n v="1.292149724875046E-2"/>
    <m/>
    <m/>
    <n v="19"/>
    <n v="0.17541087904714603"/>
    <n v="0.62347636399098849"/>
    <n v="0.9856945136438352"/>
  </r>
  <r>
    <n v="11.650688732051595"/>
    <n v="2663.8830000000003"/>
    <n v="1.5005448355526731E-88"/>
    <n v="1.500544835552673E-90"/>
    <n v="15465.7"/>
    <n v="1546570"/>
    <n v="7732.85"/>
    <s v=""/>
    <x v="1"/>
    <n v="1"/>
    <n v="38607"/>
    <n v="29576"/>
    <n v="9031"/>
    <n v="20545"/>
    <s v="CA_Orang_2020g~dd-city of westminster, term limits (vote 1)"/>
    <n v="1.3284235437128613E-2"/>
    <m/>
    <m/>
    <n v="22"/>
    <n v="0.20017862797743813"/>
    <n v="0.67736307670945983"/>
    <n v="0.99269196188964237"/>
  </r>
  <r>
    <n v="41.871602787456453"/>
    <n v="9629.2260000000006"/>
    <n v="4.4922121565120481E-89"/>
    <n v="4.4922121565120484E-91"/>
    <n v="15465.7"/>
    <n v="1546570"/>
    <n v="7732.85"/>
    <s v=""/>
    <x v="1"/>
    <n v="1"/>
    <n v="139554"/>
    <n v="80109"/>
    <n v="59445"/>
    <n v="20664"/>
    <s v="CA_Orang_2020g~municipal water district of orange county director, division 7 (vote 1)"/>
    <n v="1.3361179901330039E-2"/>
    <m/>
    <m/>
    <n v="22"/>
    <n v="0.20017862797743813"/>
    <n v="0.67736307670945983"/>
    <n v="0.99269196188964237"/>
  </r>
  <r>
    <n v="35.999402985074624"/>
    <n v="8321.2620000000006"/>
    <n v="1.534114439420594E-89"/>
    <n v="1.5341144394205941E-91"/>
    <n v="15465.7"/>
    <n v="1546570"/>
    <n v="7732.85"/>
    <s v=""/>
    <x v="1"/>
    <n v="1"/>
    <n v="120598"/>
    <n v="70684"/>
    <n v="49914"/>
    <n v="20770"/>
    <s v="CA_Orang_2020g~member of the state assembly 55th district (vote 1)"/>
    <n v="1.3429718667761563E-2"/>
    <m/>
    <m/>
    <n v="23"/>
    <n v="0.20827020606015667"/>
    <n v="0.69355769270342082"/>
    <n v="0.99415830883603962"/>
  </r>
  <r>
    <n v="18.753234656706784"/>
    <n v="4526.1930000000002"/>
    <n v="1.4058928286895055E-93"/>
    <n v="1.4058928286895054E-95"/>
    <n v="15465.7"/>
    <n v="1546570"/>
    <n v="7732.85"/>
    <s v=""/>
    <x v="1"/>
    <n v="1"/>
    <n v="65597"/>
    <n v="40388"/>
    <n v="18701"/>
    <n v="21687"/>
    <s v="CA_Orang_2020g~city of garden grove mayor (vote 1)"/>
    <n v="1.4022643656607848E-2"/>
    <m/>
    <m/>
    <n v="27"/>
    <n v="0.23983623543698895"/>
    <n v="0.75062232711951093"/>
    <n v="0.99761576918421746"/>
  </r>
  <r>
    <n v="27.590627389251182"/>
    <n v="6827.4120000000003"/>
    <n v="5.4167280550528717E-96"/>
    <n v="5.4167280550528719E-98"/>
    <n v="15465.7"/>
    <n v="1546570"/>
    <n v="7732.85"/>
    <s v=""/>
    <x v="1"/>
    <n v="1"/>
    <n v="98948"/>
    <n v="45913"/>
    <n v="23678"/>
    <n v="22235"/>
    <s v="CA_Orang_2020g~orange county water district director, division 4 (vote 1)"/>
    <n v="1.4376976147216098E-2"/>
    <m/>
    <m/>
    <n v="29"/>
    <n v="0.25515004820661358"/>
    <n v="0.77504579747897817"/>
    <n v="0.99847711111179138"/>
  </r>
  <r>
    <n v="29.877773876404493"/>
    <n v="7575.9240000000009"/>
    <n v="2.0617969860517237E-98"/>
    <n v="2.0617969860517237E-100"/>
    <n v="15465.7"/>
    <n v="1546570"/>
    <n v="7732.85"/>
    <s v=""/>
    <x v="1"/>
    <n v="1"/>
    <n v="109796"/>
    <n v="66290"/>
    <n v="43506"/>
    <n v="22784"/>
    <s v="CA_Orang_2020g~orange county water district director, division 6 (vote 1)"/>
    <n v="1.4731955229960493E-2"/>
    <m/>
    <m/>
    <n v="31"/>
    <n v="0.27015923428773081"/>
    <n v="0.79708286304421072"/>
    <n v="0.99902740625064412"/>
  </r>
  <r>
    <n v="35.984398398049798"/>
    <n v="9199.6320000000014"/>
    <n v="3.0585321363484255E-99"/>
    <n v="3.0585321363484254E-101"/>
    <n v="15465.7"/>
    <n v="1546570"/>
    <n v="7732.85"/>
    <s v=""/>
    <x v="1"/>
    <n v="1"/>
    <n v="133328"/>
    <n v="60918"/>
    <n v="37946"/>
    <n v="22972"/>
    <s v="CA_Orang_2020g~municipal water district of orange county director, division 3 (vote 1)"/>
    <n v="1.4853514551556025E-2"/>
    <m/>
    <m/>
    <n v="32"/>
    <n v="0.2775514664297325"/>
    <n v="0.8072801013251989"/>
    <n v="0.99922278380294294"/>
  </r>
  <r>
    <n v="13.709650890250423"/>
    <n v="3710.4750000000004"/>
    <n v="3.505399430681345E-105"/>
    <n v="3.505399430681345E-107"/>
    <n v="15465.7"/>
    <n v="1546570"/>
    <n v="7732.85"/>
    <s v=""/>
    <x v="1"/>
    <n v="1"/>
    <n v="53775"/>
    <n v="39047"/>
    <n v="14728"/>
    <n v="24319"/>
    <s v="CA_Orang_2020g~coast community college district governing board member, trustee area 4 (vote 1)"/>
    <n v="1.5724474158945279E-2"/>
    <m/>
    <m/>
    <n v="38"/>
    <n v="0.3203777832495952"/>
    <n v="0.85857999283416409"/>
    <n v="0.99979774179069869"/>
  </r>
  <r>
    <n v="89.491835669809035"/>
    <n v="28630.791000000001"/>
    <n v="9.5166710153555248E-125"/>
    <n v="9.5166710153555248E-127"/>
    <n v="15465.7"/>
    <n v="1546570"/>
    <n v="7732.85"/>
    <s v=""/>
    <x v="1"/>
    <n v="1"/>
    <n v="414939"/>
    <n v="221843"/>
    <n v="193096"/>
    <n v="28747"/>
    <s v="CA_Orang_2020g~united states representative 45th district (vote 1)"/>
    <n v="1.8587584137801715E-2"/>
    <m/>
    <m/>
    <n v="56"/>
    <n v="0.43438027662931933"/>
    <n v="0.94420215845336164"/>
    <n v="0.99999646061711911"/>
  </r>
  <r>
    <n v="37.51345363251216"/>
    <n v="13303.269"/>
    <n v="1.4673184839301662E-138"/>
    <n v="1.4673184839301662E-140"/>
    <n v="15465.7"/>
    <n v="1546570"/>
    <n v="7732.85"/>
    <s v=""/>
    <x v="1"/>
    <n v="1"/>
    <n v="192801"/>
    <n v="112333"/>
    <n v="80468"/>
    <n v="31865"/>
    <s v="CA_Orang_2020g~member of the state assembly 65th district (vote 1)"/>
    <n v="2.0603658418306317E-2"/>
    <m/>
    <m/>
    <n v="69"/>
    <n v="0.5047603678974576"/>
    <n v="0.97153497143102774"/>
    <n v="0.99999981071212096"/>
  </r>
  <r>
    <n v="36.382851801495576"/>
    <n v="19059.732"/>
    <n v="2.4730115051149396E-206"/>
    <n v="2.4730115051149396E-208"/>
    <n v="15465.7"/>
    <n v="1546570"/>
    <n v="7732.85"/>
    <s v=""/>
    <x v="1"/>
    <n v="1"/>
    <n v="276228"/>
    <n v="161650"/>
    <n v="114578"/>
    <n v="47072"/>
    <s v="CA_Orang_2020g~member of the state assembly 73rd district (vote 1)"/>
    <n v="3.0436385032685233E-2"/>
    <m/>
    <m/>
    <n v="133"/>
    <n v="0.74339418068014917"/>
    <n v="0.99898186066486794"/>
    <n v="0.99999999999990441"/>
  </r>
  <r>
    <n v="15.30674435858924"/>
    <n v="9413.67"/>
    <n v="4.0916060952558264E-243"/>
    <n v="4.0916060952558264E-245"/>
    <n v="15465.7"/>
    <n v="1546570"/>
    <n v="7732.85"/>
    <s v=""/>
    <x v="1"/>
    <n v="1"/>
    <n v="136430"/>
    <n v="82669"/>
    <n v="27408"/>
    <n v="55261"/>
    <s v="CA_Orang_2020g~municipal water district of orange county director, division 1, short term (vote 1)"/>
    <n v="3.5731328035588428E-2"/>
    <m/>
    <m/>
    <n v="168"/>
    <n v="0.82131717746231869"/>
    <n v="0.99983727609298667"/>
    <n v="1"/>
  </r>
  <r>
    <n v="13.534216321450227"/>
    <n v="9438.9240000000009"/>
    <n v="1.5053186582398367E-276"/>
    <n v="1.5053186582398368E-278"/>
    <n v="15465.7"/>
    <n v="1546570"/>
    <n v="7732.85"/>
    <s v=""/>
    <x v="1"/>
    <n v="1"/>
    <n v="136796"/>
    <n v="99731"/>
    <n v="37065"/>
    <n v="62666"/>
    <s v="CA_Orang_2020g~member of the state assembly 69th district (vote 1)"/>
    <n v="4.0519342803752821E-2"/>
    <m/>
    <m/>
    <n v="199"/>
    <n v="0.87050552240629231"/>
    <n v="0.9999681622810439"/>
    <n v="1"/>
  </r>
  <r>
    <n v="35.098205046839858"/>
    <n v="28311.735000000001"/>
    <n v="0"/>
    <n v="0"/>
    <n v="15465.7"/>
    <n v="1546570"/>
    <n v="7732.85"/>
    <s v=""/>
    <x v="1"/>
    <n v="1"/>
    <n v="410315"/>
    <n v="241398"/>
    <n v="168917"/>
    <n v="72481"/>
    <s v="CA_Orang_2020g~south orange county community college district governing board member, trustee area 6 (vote 1)"/>
    <n v="4.6865644620030129E-2"/>
    <m/>
    <m/>
    <n v="240"/>
    <n v="0.91558459140285375"/>
    <n v="0.99999635859421931"/>
    <n v="1"/>
  </r>
  <r>
    <n v="35.407442101813416"/>
    <n v="28857.111000000001"/>
    <n v="0"/>
    <n v="0"/>
    <n v="15465.7"/>
    <n v="1546570"/>
    <n v="7732.85"/>
    <s v=""/>
    <x v="1"/>
    <n v="1"/>
    <n v="418219"/>
    <n v="194719"/>
    <n v="121487"/>
    <n v="73232"/>
    <s v="CA_Orang_2020g~south orange county community college district governing board member, trustee area 1 (vote 1)"/>
    <n v="4.7351235314276111E-2"/>
    <m/>
    <m/>
    <n v="243"/>
    <n v="0.91819415482154276"/>
    <n v="0.99999689430685446"/>
    <n v="1"/>
  </r>
  <r>
    <n v="16.52999639899172"/>
    <n v="15836.811000000002"/>
    <n v="0"/>
    <n v="0"/>
    <n v="15465.7"/>
    <n v="1546570"/>
    <n v="7732.85"/>
    <s v=""/>
    <x v="1"/>
    <n v="1"/>
    <n v="229519"/>
    <n v="157803"/>
    <n v="71716"/>
    <n v="86087"/>
    <s v="CA_Orang_2020g~united states representative 46th district (vote 1)"/>
    <n v="5.5663177224438594E-2"/>
    <m/>
    <m/>
    <n v="297"/>
    <n v="0.95361604389911092"/>
    <n v="0.99999982490105954"/>
    <n v="1"/>
  </r>
  <r>
    <n v="27.394579250783632"/>
    <n v="27817.419000000002"/>
    <n v="0"/>
    <n v="0"/>
    <n v="15465.7"/>
    <n v="1546570"/>
    <n v="7732.85"/>
    <s v=""/>
    <x v="1"/>
    <n v="1"/>
    <n v="403151"/>
    <n v="210367"/>
    <n v="119125"/>
    <n v="91242"/>
    <s v="CA_Orang_2020g~south orange county community college district governing board member, trustee area 7 (vote 1)"/>
    <n v="5.8996359686273495E-2"/>
    <m/>
    <m/>
    <n v="319"/>
    <n v="0.96323287410542546"/>
    <n v="0.99999994607260501"/>
    <n v="1"/>
  </r>
  <r>
    <n v="92.952166776099801"/>
    <n v="100831.63200000001"/>
    <n v="0"/>
    <n v="0"/>
    <n v="15465.7"/>
    <n v="1546570"/>
    <n v="7732.85"/>
    <s v=""/>
    <x v="1"/>
    <n v="1"/>
    <n v="1461328"/>
    <n v="779400"/>
    <n v="681928"/>
    <n v="97472"/>
    <s v="CA_Orang_2020g~proposition 19 - changes certain property tax rules (vote 1)"/>
    <n v="6.3024628694465817E-2"/>
    <m/>
    <m/>
    <n v="345"/>
    <n v="0.97208640261096058"/>
    <n v="0.99999998665477252"/>
    <n v="1"/>
  </r>
  <r>
    <n v="77.271648314272355"/>
    <n v="101135.43900000001"/>
    <n v="0"/>
    <n v="0"/>
    <n v="15465.7"/>
    <n v="1546570"/>
    <n v="7732.85"/>
    <s v=""/>
    <x v="1"/>
    <n v="1"/>
    <n v="1465731"/>
    <n v="791668"/>
    <n v="674063"/>
    <n v="117605"/>
    <s v="CA_Orang_2020g~proposition 24 - amends consumer privacy laws (vote 1)"/>
    <n v="7.6042468171502092E-2"/>
    <m/>
    <m/>
    <n v="430"/>
    <n v="0.98873588772388288"/>
    <n v="0.99999999986597821"/>
    <n v="1"/>
  </r>
  <r>
    <n v="77.274161411824466"/>
    <n v="101603.12100000001"/>
    <n v="0"/>
    <n v="0"/>
    <n v="15465.7"/>
    <n v="1546570"/>
    <n v="7732.85"/>
    <s v=""/>
    <x v="1"/>
    <n v="1"/>
    <n v="1472509"/>
    <n v="795327"/>
    <n v="677182"/>
    <n v="118145"/>
    <s v="CA_Orang_2020g~proposition 14 - authorizes bonds continuing stem cell research (vote 1)"/>
    <n v="7.6391627925021174E-2"/>
    <m/>
    <m/>
    <n v="432"/>
    <n v="0.98897526533984614"/>
    <n v="0.9999999998798087"/>
    <n v="1"/>
  </r>
  <r>
    <n v="68.627968671597188"/>
    <n v="105025.79700000001"/>
    <n v="0"/>
    <n v="0"/>
    <n v="15465.7"/>
    <n v="1546570"/>
    <n v="7732.85"/>
    <s v=""/>
    <x v="1"/>
    <n v="1"/>
    <n v="1522113"/>
    <n v="814009"/>
    <n v="676498"/>
    <n v="137511"/>
    <s v="CA_Orang_2020g~president and vice president (vote 1)"/>
    <n v="8.8913531233633131E-2"/>
    <m/>
    <m/>
    <n v="513"/>
    <n v="0.99540404943150651"/>
    <n v="0.99999999999857825"/>
    <n v="1"/>
  </r>
  <r>
    <n v="39.233843379656527"/>
    <n v="100730.75400000002"/>
    <n v="0"/>
    <n v="0"/>
    <n v="15465.7"/>
    <n v="1546570"/>
    <n v="7732.85"/>
    <s v=""/>
    <x v="1"/>
    <n v="1"/>
    <n v="1459866"/>
    <n v="845282"/>
    <n v="614584"/>
    <n v="230698"/>
    <s v="CA_Orang_2020g~proposition 20 - restricts parole for certain offenses currently considered to be nonviolent (vote 1)"/>
    <n v="0.14916751262471145"/>
    <m/>
    <m/>
    <n v="905"/>
    <n v="0.99994237006177189"/>
    <n v="1"/>
    <n v="1"/>
  </r>
  <r>
    <n v="29.492498400359082"/>
    <n v="103105.66500000001"/>
    <n v="0"/>
    <n v="0"/>
    <n v="15465.7"/>
    <n v="1546570"/>
    <n v="7732.85"/>
    <s v=""/>
    <x v="1"/>
    <n v="1"/>
    <n v="1494285"/>
    <n v="904209"/>
    <n v="590076"/>
    <n v="314133"/>
    <s v="CA_Orang_2020g~proposition 15 - increases funding sources for public schools, community colleges, and local government services  (vote 1)"/>
    <n v="0.20311592750408969"/>
    <m/>
    <m/>
    <n v="1255"/>
    <n v="0.99999907215419792"/>
    <n v="1"/>
    <n v="1"/>
  </r>
  <r>
    <n v="28.707359933974541"/>
    <n v="100647.402"/>
    <n v="0"/>
    <n v="0"/>
    <n v="15465.7"/>
    <n v="1546570"/>
    <n v="7732.85"/>
    <s v=""/>
    <x v="1"/>
    <n v="1"/>
    <n v="1458658"/>
    <n v="886844"/>
    <n v="571814"/>
    <n v="315030"/>
    <s v="CA_Orang_2020g~proposition 25 - referendum on law that replaced money bail with system based on public safety and flight risk (vote 1)"/>
    <n v="0.20369592065021305"/>
    <m/>
    <m/>
    <n v="1259"/>
    <n v="0.99999911605803193"/>
    <n v="1"/>
    <n v="1"/>
  </r>
  <r>
    <n v="21.705028894395568"/>
    <n v="102743.89800000002"/>
    <n v="0"/>
    <n v="0"/>
    <n v="15465.7"/>
    <n v="1546570"/>
    <n v="7732.85"/>
    <s v=""/>
    <x v="1"/>
    <n v="1"/>
    <n v="1489042"/>
    <n v="957192"/>
    <n v="531850"/>
    <n v="425342"/>
    <s v="CA_Orang_2020g~proposition 18 - amends california constitution to permit 17- year-olds to vote in primary and special elections (vote 1)"/>
    <n v="0.27502279237279914"/>
    <m/>
    <m/>
    <n v="1723"/>
    <n v="0.99999999742326195"/>
    <n v="1"/>
    <n v="1"/>
  </r>
  <r>
    <n v="20.202888756377128"/>
    <n v="101804.67000000001"/>
    <n v="0"/>
    <n v="0"/>
    <n v="15465.7"/>
    <n v="1546570"/>
    <n v="7732.85"/>
    <s v=""/>
    <x v="1"/>
    <n v="1"/>
    <n v="1475430"/>
    <n v="964110"/>
    <n v="511320"/>
    <n v="452790"/>
    <s v="CA_Orang_2020g~proposition 16 - allows diversity as a factor in public employment, education, and contracting decisions (vote 1)"/>
    <n v="0.29277045332574664"/>
    <m/>
    <m/>
    <n v="1838"/>
    <n v="0.99999999943478102"/>
    <n v="1"/>
    <n v="1"/>
  </r>
  <r>
    <n v="19.365048346357668"/>
    <n v="101791.90500000001"/>
    <n v="0"/>
    <n v="0"/>
    <n v="15465.7"/>
    <n v="1546570"/>
    <n v="7732.85"/>
    <s v=""/>
    <x v="1"/>
    <n v="1"/>
    <n v="1475245"/>
    <n v="973783"/>
    <n v="501462"/>
    <n v="472321"/>
    <s v="CA_Orang_2020g~proposition 21 - expands local governments' authority to enact rent control on residential property (vote 1)"/>
    <n v="0.3053990443368228"/>
    <m/>
    <m/>
    <n v="1920"/>
    <n v="0.99999999981186305"/>
    <n v="1"/>
    <n v="1"/>
  </r>
  <r>
    <n v="19.46948296911502"/>
    <n v="102582.024"/>
    <n v="0"/>
    <n v="0"/>
    <n v="15465.7"/>
    <n v="1546570"/>
    <n v="7732.85"/>
    <s v=""/>
    <x v="1"/>
    <n v="1"/>
    <n v="1486696"/>
    <n v="980065"/>
    <n v="506631"/>
    <n v="473434"/>
    <s v="CA_Orang_2020g~proposition 22 - exempts app-based transportation and delivery companies from providing employee benefits to certain drivers (vote 1)"/>
    <n v="0.30611870138435376"/>
    <m/>
    <m/>
    <n v="1925"/>
    <n v="0.99999999982415733"/>
    <n v="1"/>
    <n v="1"/>
  </r>
  <r>
    <n v="18.32259140082995"/>
    <n v="101520.39000000001"/>
    <n v="0"/>
    <n v="0"/>
    <n v="15465.7"/>
    <n v="1546570"/>
    <n v="7732.85"/>
    <s v=""/>
    <x v="1"/>
    <n v="1"/>
    <n v="1471310"/>
    <n v="984586"/>
    <n v="486724"/>
    <n v="497862"/>
    <s v="CA_Orang_2020g~proposition 23 - establishes state requirements for kidney dialysis clinics (vote 1)"/>
    <n v="0.32191365408613898"/>
    <m/>
    <m/>
    <n v="2027"/>
    <n v="0.99999999995627087"/>
    <n v="1"/>
    <n v="1"/>
  </r>
  <r>
    <n v="7387.5431372549019"/>
    <n v="7387.5431372549019"/>
    <n v="84.36633262779398"/>
    <n v="0.84366332627793983"/>
    <n v="8180.21"/>
    <n v="818021"/>
    <n v="4090.105"/>
    <s v=""/>
    <x v="2"/>
    <n v="6"/>
    <n v="20256.166666666668"/>
    <n v="9189"/>
    <n v="9172"/>
    <n v="17"/>
    <s v="CA_Orang_2020p~member, county central committee 69th assembly district - dem (vote for 6)"/>
    <n v="2.0781862568320372E-5"/>
    <m/>
    <m/>
    <n v="0"/>
    <n v="0"/>
    <n v="0"/>
    <n v="0"/>
  </r>
  <r>
    <n v="36.285245901639342"/>
    <n v="36.285245901639342"/>
    <n v="54.333851067473084"/>
    <n v="0.54333851067473082"/>
    <n v="8180.21"/>
    <n v="818021"/>
    <n v="4090.105"/>
    <s v=""/>
    <x v="2"/>
    <n v="1"/>
    <n v="357"/>
    <n v="209"/>
    <n v="148"/>
    <n v="61"/>
    <s v="CA_Orang_2020p~president of the united states - p/f (vote 1)"/>
    <n v="7.4570212745149581E-5"/>
    <m/>
    <m/>
    <n v="0"/>
    <n v="0"/>
    <n v="0"/>
    <n v="0"/>
  </r>
  <r>
    <n v="43.047727272727272"/>
    <n v="43.047727272727272"/>
    <n v="41.476327750823899"/>
    <n v="0.41476327750823899"/>
    <n v="8180.21"/>
    <n v="818021"/>
    <n v="4090.105"/>
    <s v=""/>
    <x v="2"/>
    <n v="1"/>
    <n v="611"/>
    <n v="220"/>
    <n v="132"/>
    <n v="88"/>
    <s v="CA_Orang_2020p~presidential candidate preference - grn (vote 1)"/>
    <n v="1.075767003536584E-4"/>
    <m/>
    <m/>
    <n v="0"/>
    <n v="0"/>
    <n v="0"/>
    <n v="0"/>
  </r>
  <r>
    <n v="824.89835680751173"/>
    <n v="1303.6055000000001"/>
    <n v="24.168422435414843"/>
    <n v="0.24168422435414844"/>
    <n v="8180.21"/>
    <n v="818021"/>
    <n v="4090.105"/>
    <s v=""/>
    <x v="2"/>
    <n v="6"/>
    <n v="18892.833333333332"/>
    <n v="11284"/>
    <n v="11142"/>
    <n v="142"/>
    <s v="CA_Orang_2020p~member, county central committee 65th assembly district - rep (vote for 6)"/>
    <n v="1.7358967557067607E-4"/>
    <m/>
    <m/>
    <n v="0"/>
    <n v="0"/>
    <n v="0"/>
    <n v="0"/>
  </r>
  <r>
    <n v="1026.8982035928145"/>
    <n v="1908.5400000000002"/>
    <n v="18.821497422853803"/>
    <n v="0.18821497422853803"/>
    <n v="8180.21"/>
    <n v="818021"/>
    <n v="4090.105"/>
    <s v=""/>
    <x v="2"/>
    <n v="6"/>
    <n v="27660"/>
    <n v="9191"/>
    <n v="9024"/>
    <n v="167"/>
    <s v="CA_Orang_2020p~member, county central committee 68th assembly district - dem (vote for 6)"/>
    <n v="2.0415123817114718E-4"/>
    <m/>
    <m/>
    <n v="0"/>
    <n v="0"/>
    <n v="0"/>
    <n v="0"/>
  </r>
  <r>
    <n v="1043.4186666666667"/>
    <n v="2322.4479999999999"/>
    <n v="13.530219342651151"/>
    <n v="0.13530219342651151"/>
    <n v="8180.21"/>
    <n v="818021"/>
    <n v="4090.105"/>
    <s v=""/>
    <x v="2"/>
    <n v="6"/>
    <n v="33658.666666666664"/>
    <n v="15464"/>
    <n v="15264"/>
    <n v="200"/>
    <s v="CA_Orang_2020p~member, county central committee 68th assembly district - rep (vote for 6)"/>
    <n v="2.4449250080376908E-4"/>
    <m/>
    <m/>
    <n v="0"/>
    <n v="0"/>
    <n v="0"/>
    <n v="0"/>
  </r>
  <r>
    <n v="69.037837837837841"/>
    <n v="170.56800000000001"/>
    <n v="10.857639051135239"/>
    <n v="0.10857639051135239"/>
    <n v="8180.21"/>
    <n v="818021"/>
    <n v="4090.105"/>
    <s v=""/>
    <x v="2"/>
    <n v="1"/>
    <n v="2472"/>
    <n v="539"/>
    <n v="317"/>
    <n v="222"/>
    <s v="CA_Orang_2020p~president of the united states - lib (vote 1)"/>
    <n v="2.7138667589218367E-4"/>
    <m/>
    <m/>
    <n v="0"/>
    <n v="0"/>
    <n v="0"/>
    <n v="0"/>
  </r>
  <r>
    <n v="282.3623076923077"/>
    <n v="817.02900000000011"/>
    <n v="7.4242888779477711"/>
    <n v="7.4242888779477711E-2"/>
    <n v="8180.21"/>
    <n v="818021"/>
    <n v="4090.105"/>
    <s v=""/>
    <x v="2"/>
    <n v="6"/>
    <n v="11841"/>
    <n v="6648"/>
    <n v="6388"/>
    <n v="260"/>
    <s v="CA_Orang_2020p~member, county central committee 55th assembly district - dem (vote for 6)"/>
    <n v="3.1784025104489983E-4"/>
    <m/>
    <m/>
    <n v="0"/>
    <n v="0"/>
    <n v="0"/>
    <n v="0"/>
  </r>
  <r>
    <n v="54.447872340425533"/>
    <n v="227.83800000000002"/>
    <n v="2.3263622624876126"/>
    <n v="2.3263622624876128E-2"/>
    <n v="8180.21"/>
    <n v="818021"/>
    <n v="4090.105"/>
    <s v=""/>
    <x v="2"/>
    <n v="1"/>
    <n v="3302"/>
    <n v="1094"/>
    <n v="718"/>
    <n v="376"/>
    <s v="CA_Orang_2020p~president of the united states - ai (vote 1)"/>
    <n v="4.596459015110859E-4"/>
    <m/>
    <m/>
    <n v="0"/>
    <n v="0"/>
    <n v="0"/>
    <n v="0"/>
  </r>
  <r>
    <n v="417.77103960396039"/>
    <n v="1878.3525000000002"/>
    <n v="1.7579919676003697"/>
    <n v="1.7579919676003697E-2"/>
    <n v="8180.21"/>
    <n v="818021"/>
    <n v="4090.105"/>
    <s v=""/>
    <x v="2"/>
    <n v="6"/>
    <n v="27222.5"/>
    <n v="13952"/>
    <n v="13548"/>
    <n v="404"/>
    <s v="CA_Orang_2020p~member, county central committee 72nd assembly district - rep (vote for 6)"/>
    <n v="4.9387485162361358E-4"/>
    <m/>
    <m/>
    <n v="0"/>
    <n v="0"/>
    <n v="0"/>
    <n v="0"/>
  </r>
  <r>
    <n v="470.68210023866345"/>
    <n v="2194.8210000000004"/>
    <n v="1.5130034812834434"/>
    <n v="1.5130034812834434E-2"/>
    <n v="8180.21"/>
    <n v="818021"/>
    <n v="4090.105"/>
    <s v=""/>
    <x v="2"/>
    <n v="2"/>
    <n v="31809"/>
    <n v="13794"/>
    <n v="13375"/>
    <n v="419"/>
    <s v="CA_Orang_2020p~united states representative 47th district (top 2)"/>
    <n v="5.1221178918389623E-4"/>
    <m/>
    <m/>
    <n v="0"/>
    <n v="0"/>
    <n v="0"/>
    <n v="0"/>
  </r>
  <r>
    <n v="84.593803000652329"/>
    <n v="481.07950000000005"/>
    <n v="0.60264526908778404"/>
    <n v="6.0264526908778409E-3"/>
    <n v="8180.21"/>
    <n v="818021"/>
    <n v="4090.105"/>
    <s v=""/>
    <x v="2"/>
    <n v="6"/>
    <n v="6972.166666666667"/>
    <n v="4736"/>
    <n v="4225"/>
    <n v="511"/>
    <s v="CA_Orang_2020p~member, county central committee 69th assembly district - rep (vote for 6)"/>
    <n v="6.2467833955363004E-4"/>
    <m/>
    <m/>
    <n v="0"/>
    <n v="0"/>
    <n v="0"/>
    <n v="0"/>
  </r>
  <r>
    <n v="238.80348551791852"/>
    <n v="1804.5455000000002"/>
    <n v="0.11218012943742081"/>
    <n v="1.1218012943742081E-3"/>
    <n v="8180.21"/>
    <n v="818021"/>
    <n v="4090.105"/>
    <s v=""/>
    <x v="2"/>
    <n v="6"/>
    <n v="26152.833333333332"/>
    <n v="15001"/>
    <n v="14322"/>
    <n v="679"/>
    <s v="CA_Orang_2020p~member, county central committee 73rd assembly district - dem (vote for 6)"/>
    <n v="8.3005204022879606E-4"/>
    <m/>
    <m/>
    <n v="0"/>
    <n v="0"/>
    <n v="0"/>
    <n v="0"/>
  </r>
  <r>
    <n v="436.7955688622755"/>
    <n v="4059.0285000000003"/>
    <n v="2.3539053799151922E-2"/>
    <n v="2.3539053799151921E-4"/>
    <n v="8180.21"/>
    <n v="818021"/>
    <n v="4090.105"/>
    <s v=""/>
    <x v="2"/>
    <n v="2"/>
    <n v="58826.5"/>
    <n v="30021"/>
    <n v="29186"/>
    <n v="835"/>
    <s v="CA_Orang_2020p~member of the state assembly 72nd district (top 2)"/>
    <n v="1.020756190855736E-3"/>
    <m/>
    <m/>
    <n v="0"/>
    <n v="0"/>
    <n v="0"/>
    <n v="0"/>
  </r>
  <r>
    <n v="194.95555555555558"/>
    <n v="2069.8620000000001"/>
    <n v="7.151758157795546E-3"/>
    <n v="7.1517581577955458E-5"/>
    <n v="8180.21"/>
    <n v="818021"/>
    <n v="4090.105"/>
    <s v=""/>
    <x v="2"/>
    <n v="1"/>
    <n v="29998"/>
    <n v="15476"/>
    <n v="14522"/>
    <n v="954"/>
    <s v="CA_Orang_2020p~j-fullerton elementary school district (vote 1)"/>
    <n v="1.1662292288339786E-3"/>
    <m/>
    <m/>
    <n v="0"/>
    <n v="0"/>
    <n v="0"/>
    <n v="0"/>
  </r>
  <r>
    <n v="77.728816986855421"/>
    <n v="855.53100000000006"/>
    <n v="5.0376618740544908E-3"/>
    <n v="5.0376618740544904E-5"/>
    <n v="8180.21"/>
    <n v="818021"/>
    <n v="4090.105"/>
    <s v=""/>
    <x v="2"/>
    <n v="1"/>
    <n v="12399"/>
    <n v="6694"/>
    <n v="5705"/>
    <n v="989"/>
    <s v="CA_Orang_2020p~g-brea olinda unified school district (vote 1)"/>
    <n v="1.2090154164746381E-3"/>
    <m/>
    <m/>
    <n v="0"/>
    <n v="0"/>
    <n v="0"/>
    <n v="0"/>
  </r>
  <r>
    <n v="211.42871485943775"/>
    <n v="2343.585"/>
    <n v="4.6966854043730783E-3"/>
    <n v="4.696685404373078E-5"/>
    <n v="8180.21"/>
    <n v="818021"/>
    <n v="4090.105"/>
    <s v=""/>
    <x v="2"/>
    <n v="6"/>
    <n v="33965"/>
    <n v="15078"/>
    <n v="14082"/>
    <n v="996"/>
    <s v="CA_Orang_2020p~member, county central committee 74th assembly district - dem (vote for 6)"/>
    <n v="1.21757265400277E-3"/>
    <m/>
    <m/>
    <n v="0"/>
    <n v="0"/>
    <n v="0"/>
    <n v="0"/>
  </r>
  <r>
    <n v="148.38249158249158"/>
    <n v="2288.7759999999998"/>
    <n v="9.4530802733741828E-5"/>
    <n v="9.453080273374183E-7"/>
    <n v="8180.21"/>
    <n v="818021"/>
    <n v="4090.105"/>
    <s v=""/>
    <x v="2"/>
    <n v="6"/>
    <n v="33170.666666666664"/>
    <n v="14822"/>
    <n v="13436"/>
    <n v="1386"/>
    <s v="CA_Orang_2020p~member, county central committee 74th assembly district - rep (vote for 6)"/>
    <n v="1.6943330305701199E-3"/>
    <m/>
    <m/>
    <n v="0"/>
    <n v="0"/>
    <n v="0"/>
    <n v="0"/>
  </r>
  <r>
    <n v="92.55341142622278"/>
    <n v="1670.7085000000002"/>
    <n v="8.8869034459483992E-6"/>
    <n v="8.8869034459483998E-8"/>
    <n v="8180.21"/>
    <n v="818021"/>
    <n v="4090.105"/>
    <s v=""/>
    <x v="2"/>
    <n v="6"/>
    <n v="24213.166666666668"/>
    <n v="12406"/>
    <n v="10784"/>
    <n v="1622"/>
    <s v="CA_Orang_2020p~member, county central committee 72nd assembly district - dem (vote for 6)"/>
    <n v="1.9828341815185673E-3"/>
    <m/>
    <m/>
    <n v="0"/>
    <n v="0"/>
    <n v="0"/>
    <n v="0"/>
  </r>
  <r>
    <n v="83.533641084824012"/>
    <n v="1611.0810000000001"/>
    <n v="2.9220859717812646E-6"/>
    <n v="2.9220859717812647E-8"/>
    <n v="8180.21"/>
    <n v="818021"/>
    <n v="4090.105"/>
    <s v=""/>
    <x v="2"/>
    <n v="1"/>
    <n v="23349"/>
    <n v="12541"/>
    <n v="10808"/>
    <n v="1733"/>
    <s v="CA_Orang_2020p~n-tustin unified school district (vote 1)"/>
    <n v="2.118527519464659E-3"/>
    <m/>
    <m/>
    <n v="0"/>
    <n v="0"/>
    <n v="0"/>
    <n v="0"/>
  </r>
  <r>
    <n v="166.29059304703478"/>
    <n v="3619.8780000000002"/>
    <n v="3.1262780485803399E-7"/>
    <n v="3.12627804858034E-9"/>
    <n v="8180.21"/>
    <n v="818021"/>
    <n v="4090.105"/>
    <s v=""/>
    <x v="2"/>
    <n v="1"/>
    <n v="52462"/>
    <n v="27209"/>
    <n v="25253"/>
    <n v="1956"/>
    <s v="CA_Orang_2020p~k-fullerton joint union high school district (vote 1)"/>
    <n v="2.3911366578608616E-3"/>
    <m/>
    <m/>
    <n v="0"/>
    <n v="0"/>
    <n v="0"/>
    <n v="0"/>
  </r>
  <r>
    <n v="50.7389028686462"/>
    <n v="1122.009"/>
    <n v="2.2912424930355743E-7"/>
    <n v="2.2912424930355744E-9"/>
    <n v="8180.21"/>
    <n v="818021"/>
    <n v="4090.105"/>
    <s v=""/>
    <x v="2"/>
    <n v="6"/>
    <n v="16261"/>
    <n v="8402"/>
    <n v="6415"/>
    <n v="1987"/>
    <s v="CA_Orang_2020p~member, county central committee 55th assembly district - rep (vote for 6)"/>
    <n v="2.4290329954854461E-3"/>
    <m/>
    <m/>
    <n v="0"/>
    <n v="0"/>
    <n v="0"/>
    <n v="0"/>
  </r>
  <r>
    <n v="142.71192399049883"/>
    <n v="3343.2570000000001"/>
    <n v="7.019700600439418E-8"/>
    <n v="7.0197006004394187E-10"/>
    <n v="8180.21"/>
    <n v="818021"/>
    <n v="4090.105"/>
    <s v=""/>
    <x v="2"/>
    <n v="2"/>
    <n v="48453"/>
    <n v="21721"/>
    <n v="19616"/>
    <n v="2105"/>
    <s v="CA_Orang_2020p~county supervisor 1st district (top 2)"/>
    <n v="2.5732835709596697E-3"/>
    <m/>
    <m/>
    <n v="0"/>
    <n v="0"/>
    <n v="0"/>
    <n v="0"/>
  </r>
  <r>
    <n v="9.5132550335570478"/>
    <n v="252.40200000000002"/>
    <n v="4.2786148381428319E-9"/>
    <n v="4.2786148381428317E-11"/>
    <n v="8180.21"/>
    <n v="818021"/>
    <n v="4090.105"/>
    <s v=""/>
    <x v="2"/>
    <n v="1"/>
    <n v="3658"/>
    <n v="3021"/>
    <n v="637"/>
    <n v="2384"/>
    <s v="CA_Orang_2020p~o-lowell joint school district (vote 1)"/>
    <n v="2.9143506095809274E-3"/>
    <m/>
    <m/>
    <n v="0"/>
    <n v="0"/>
    <n v="0"/>
    <n v="0"/>
  </r>
  <r>
    <n v="53.071711292200234"/>
    <n v="1522.0710000000001"/>
    <n v="6.1739833592434475E-10"/>
    <n v="6.1739833592434479E-12"/>
    <n v="8180.21"/>
    <n v="818021"/>
    <n v="4090.105"/>
    <s v=""/>
    <x v="2"/>
    <n v="1"/>
    <n v="22059"/>
    <n v="12318"/>
    <n v="9741"/>
    <n v="2577"/>
    <s v="CA_Orang_2020p~h-capistrano unified school district (vote 1)"/>
    <n v="3.1502858728565649E-3"/>
    <m/>
    <m/>
    <n v="0"/>
    <n v="0"/>
    <n v="0"/>
    <n v="0"/>
  </r>
  <r>
    <n v="48.13759626857577"/>
    <n v="1646.2825000000003"/>
    <n v="4.2559830050698436E-12"/>
    <n v="4.255983005069844E-14"/>
    <n v="8180.21"/>
    <n v="818021"/>
    <n v="4090.105"/>
    <s v=""/>
    <x v="2"/>
    <n v="6"/>
    <n v="23859.166666666668"/>
    <n v="12252"/>
    <n v="9179"/>
    <n v="3073"/>
    <s v="CA_Orang_2020p~member, county central committee 65th assembly district - dem (vote for 6)"/>
    <n v="3.7566272748499122E-3"/>
    <m/>
    <m/>
    <n v="0"/>
    <n v="0"/>
    <n v="0"/>
    <n v="0"/>
  </r>
  <r>
    <n v="134.07024232633279"/>
    <n v="4617.9630000000006"/>
    <n v="3.4126639512998117E-12"/>
    <n v="3.4126639512998116E-14"/>
    <n v="8180.21"/>
    <n v="818021"/>
    <n v="4090.105"/>
    <s v=""/>
    <x v="2"/>
    <n v="1"/>
    <n v="66927"/>
    <n v="35011"/>
    <n v="31916"/>
    <n v="3095"/>
    <s v="CA_Orang_2020p~b-anaheim union high school district (vote 1)"/>
    <n v="3.7835214499383268E-3"/>
    <m/>
    <m/>
    <n v="0"/>
    <n v="0"/>
    <n v="0"/>
    <n v="0"/>
  </r>
  <r>
    <n v="169.08041939711663"/>
    <n v="7178.6910000000007"/>
    <n v="2.4712128192332075E-15"/>
    <n v="2.4712128192332077E-17"/>
    <n v="8180.21"/>
    <n v="818021"/>
    <n v="4090.105"/>
    <s v=""/>
    <x v="2"/>
    <n v="1"/>
    <n v="104039"/>
    <n v="53927"/>
    <n v="50112"/>
    <n v="3815"/>
    <s v="CA_Orang_2020p~l-rancho santiago community college district (vote 1)"/>
    <n v="4.6636944528318956E-3"/>
    <m/>
    <m/>
    <n v="0"/>
    <n v="0"/>
    <n v="0"/>
    <n v="0"/>
  </r>
  <r>
    <n v="73.236602316602315"/>
    <n v="3166.4790000000003"/>
    <n v="1.223112615943821E-15"/>
    <n v="1.223112615943821E-17"/>
    <n v="8180.21"/>
    <n v="818021"/>
    <n v="4090.105"/>
    <s v=""/>
    <x v="2"/>
    <n v="1"/>
    <n v="45891"/>
    <n v="24888"/>
    <n v="21003"/>
    <n v="3885"/>
    <s v="CA_Orang_2020p~i-capistrano unified school district (vote 1)"/>
    <n v="4.7492668281132145E-3"/>
    <m/>
    <m/>
    <n v="0"/>
    <n v="0"/>
    <n v="0"/>
    <n v="0"/>
  </r>
  <r>
    <n v="115.58495466797353"/>
    <n v="5249.5890000000009"/>
    <n v="1.7064137557090073E-16"/>
    <n v="1.7064137557090072E-18"/>
    <n v="8180.21"/>
    <n v="818021"/>
    <n v="4090.105"/>
    <s v=""/>
    <x v="2"/>
    <n v="2"/>
    <n v="76081"/>
    <n v="36683"/>
    <n v="32602"/>
    <n v="4081"/>
    <s v="CA_Orang_2020p~member of the state assembly 74th district (top 2)"/>
    <n v="4.9888694789009085E-3"/>
    <m/>
    <m/>
    <n v="0"/>
    <n v="0"/>
    <n v="0"/>
    <n v="0"/>
  </r>
  <r>
    <n v="105.46081363563273"/>
    <n v="7299.0960000000005"/>
    <n v="7.7274430003843592E-26"/>
    <n v="7.7274430003843587E-28"/>
    <n v="8180.21"/>
    <n v="818021"/>
    <n v="4090.105"/>
    <s v=""/>
    <x v="2"/>
    <n v="1"/>
    <n v="105784"/>
    <n v="34998"/>
    <n v="28779"/>
    <n v="6219"/>
    <s v="CA_Orang_2020p~member, county board of education trustee area 4 (vote 1)"/>
    <n v="7.6024943124932002E-3"/>
    <m/>
    <m/>
    <n v="0"/>
    <n v="0"/>
    <n v="0"/>
    <n v="0"/>
  </r>
  <r>
    <n v="44.851540880503144"/>
    <n v="3174.6210000000001"/>
    <n v="1.8661042709890855E-26"/>
    <n v="1.8661042709890854E-28"/>
    <n v="8180.21"/>
    <n v="818021"/>
    <n v="4090.105"/>
    <s v=""/>
    <x v="2"/>
    <n v="6"/>
    <n v="46009"/>
    <n v="26485"/>
    <n v="20125"/>
    <n v="6360"/>
    <s v="CA_Orang_2020p~member, county central committee 73rd assembly district - rep (vote for 6)"/>
    <n v="7.774861525559857E-3"/>
    <m/>
    <m/>
    <n v="0"/>
    <n v="0"/>
    <n v="0"/>
    <n v="0"/>
  </r>
  <r>
    <n v="132.32227461858531"/>
    <n v="10617.582"/>
    <n v="3.5363687794087107E-30"/>
    <n v="3.5363687794087109E-32"/>
    <n v="8180.21"/>
    <n v="818021"/>
    <n v="4090.105"/>
    <s v=""/>
    <x v="2"/>
    <n v="1"/>
    <n v="153878"/>
    <n v="80544"/>
    <n v="73334"/>
    <n v="7210"/>
    <s v="CA_Orang_2020p~county supervisor 3rd district (vote 1)"/>
    <n v="8.8139546539758758E-3"/>
    <m/>
    <m/>
    <n v="0"/>
    <n v="0"/>
    <n v="0"/>
    <n v="0"/>
  </r>
  <r>
    <n v="57.637177448942161"/>
    <n v="5245.1040000000003"/>
    <n v="2.0373087033082587E-34"/>
    <n v="2.0373087033082589E-36"/>
    <n v="8180.21"/>
    <n v="818021"/>
    <n v="4090.105"/>
    <s v=""/>
    <x v="2"/>
    <n v="2"/>
    <n v="76016"/>
    <n v="36170"/>
    <n v="27993"/>
    <n v="8177"/>
    <s v="CA_Orang_2020p~member of the state assembly 73rd district (top 2)"/>
    <n v="9.9960758953620988E-3"/>
    <m/>
    <m/>
    <n v="0"/>
    <n v="0"/>
    <n v="0"/>
    <n v="0"/>
  </r>
  <r>
    <n v="92.764372122899047"/>
    <n v="9643.44"/>
    <n v="1.5818076098469366E-39"/>
    <n v="1.5818076098469367E-41"/>
    <n v="8180.21"/>
    <n v="818021"/>
    <n v="4090.105"/>
    <s v=""/>
    <x v="2"/>
    <n v="2"/>
    <n v="139760"/>
    <n v="78293"/>
    <n v="68952"/>
    <n v="9341"/>
    <s v="CA_Orang_2020p~state senator 37th district (top 2)"/>
    <n v="1.1419022250040036E-2"/>
    <m/>
    <m/>
    <n v="5"/>
    <n v="4.9150935205596546E-2"/>
    <n v="0.22681663254106421"/>
    <n v="0.67302082479199765"/>
  </r>
  <r>
    <n v="61.036263832011855"/>
    <n v="7796.0340000000006"/>
    <n v="6.3541348297314369E-49"/>
    <n v="6.3541348297314365E-51"/>
    <n v="8180.21"/>
    <n v="818021"/>
    <n v="4090.105"/>
    <s v=""/>
    <x v="2"/>
    <n v="2"/>
    <n v="112986"/>
    <n v="39942"/>
    <n v="28465"/>
    <n v="11477"/>
    <s v="CA_Orang_2020p~united states representative 45th district (top 2)"/>
    <n v="1.4030202158624289E-2"/>
    <m/>
    <m/>
    <n v="14"/>
    <n v="0.13175058222703184"/>
    <n v="0.51377534087646826"/>
    <n v="0.95645122839329233"/>
  </r>
  <r>
    <n v="24.86769162210339"/>
    <n v="4968.2760000000007"/>
    <n v="1.4697298728733908E-77"/>
    <n v="1.4697298728733908E-79"/>
    <n v="8180.21"/>
    <n v="818021"/>
    <n v="4090.105"/>
    <s v=""/>
    <x v="2"/>
    <n v="1"/>
    <n v="72004"/>
    <n v="44978"/>
    <n v="27026"/>
    <n v="17952"/>
    <s v="CA_Orang_2020p~m-saddleback valley unified school district (vote 1)"/>
    <n v="2.1945646872146313E-2"/>
    <m/>
    <m/>
    <n v="42"/>
    <n v="0.34642477430805962"/>
    <n v="0.88592616067859786"/>
    <n v="0.99992035894056897"/>
  </r>
  <r>
    <n v="19.563612496718299"/>
    <n v="4146.5550000000003"/>
    <n v="2.044423104716237E-82"/>
    <n v="2.0444231047162371E-84"/>
    <n v="8180.21"/>
    <n v="818021"/>
    <n v="4090.105"/>
    <s v=""/>
    <x v="2"/>
    <n v="2"/>
    <n v="60095"/>
    <n v="28302"/>
    <n v="9257"/>
    <n v="19045"/>
    <s v="CA_Orang_2020p~united states representative  46th district (top 2)"/>
    <n v="2.3281798389038912E-2"/>
    <m/>
    <m/>
    <n v="46"/>
    <n v="0.37251355939470132"/>
    <n v="0.90734449604753076"/>
    <n v="0.99996776825521871"/>
  </r>
  <r>
    <n v="24.552746425884123"/>
    <n v="5810.3520000000008"/>
    <n v="2.6923693543713107E-92"/>
    <n v="2.6923693543713109E-94"/>
    <n v="8180.21"/>
    <n v="818021"/>
    <n v="4090.105"/>
    <s v=""/>
    <x v="2"/>
    <n v="1"/>
    <n v="84208"/>
    <n v="49576"/>
    <n v="28312"/>
    <n v="21264"/>
    <s v="CA_Orang_2020p~member, county board of education trustee area 1 (vote 1)"/>
    <n v="2.5994442685456729E-2"/>
    <m/>
    <m/>
    <n v="55"/>
    <n v="0.42755379536106797"/>
    <n v="0.94201346428927368"/>
    <n v="0.99999580465582139"/>
  </r>
  <r>
    <n v="15.267334556758174"/>
    <n v="4536.7845000000007"/>
    <n v="1.2713727932954316E-116"/>
    <n v="1.2713727932954317E-118"/>
    <n v="8180.21"/>
    <n v="818021"/>
    <n v="4090.105"/>
    <s v=""/>
    <x v="2"/>
    <n v="2"/>
    <n v="65750.5"/>
    <n v="44033"/>
    <n v="17332"/>
    <n v="26701"/>
    <s v="CA_Orang_2020p~member of the state assembly 68th district (top 2)"/>
    <n v="3.2640971319807192E-2"/>
    <m/>
    <m/>
    <n v="78"/>
    <n v="0.54768802093359414"/>
    <n v="0.98258054942449258"/>
    <n v="0.99999997762973158"/>
  </r>
  <r>
    <n v="18.051462529620856"/>
    <n v="5425.7805000000008"/>
    <n v="5.3178157341510429E-118"/>
    <n v="5.3178157341510433E-120"/>
    <n v="8180.21"/>
    <n v="818021"/>
    <n v="4090.105"/>
    <s v=""/>
    <x v="2"/>
    <n v="2"/>
    <n v="78634.5"/>
    <n v="54469"/>
    <n v="27461"/>
    <n v="27008"/>
    <s v="CA_Orang_2020p~state senator 29th district (top 2)"/>
    <n v="3.3016267308540979E-2"/>
    <m/>
    <m/>
    <n v="80"/>
    <n v="0.55688658597725849"/>
    <n v="0.98431543323248394"/>
    <n v="0.99999998583164562"/>
  </r>
  <r>
    <n v="33.686076210801694"/>
    <n v="10891.029"/>
    <n v="3.4536952058480459E-127"/>
    <n v="3.453695205848046E-129"/>
    <n v="8180.21"/>
    <n v="818021"/>
    <n v="4090.105"/>
    <s v=""/>
    <x v="2"/>
    <n v="1"/>
    <n v="157841"/>
    <n v="93446"/>
    <n v="64395"/>
    <n v="29051"/>
    <s v="CA_Orang_2020p~member, county board of education trustee area 3 (vote 1)"/>
    <n v="3.5513758204251483E-2"/>
    <m/>
    <m/>
    <n v="88"/>
    <n v="0.59188990033350675"/>
    <n v="0.98969634647868832"/>
    <n v="0.99999999772595294"/>
  </r>
  <r>
    <n v="69.904307710390228"/>
    <n v="26475.783000000003"/>
    <n v="1.0925670796143269E-149"/>
    <n v="1.0925670796143269E-151"/>
    <n v="8180.21"/>
    <n v="818021"/>
    <n v="4090.105"/>
    <s v=""/>
    <x v="2"/>
    <n v="1"/>
    <n v="383707"/>
    <n v="141143"/>
    <n v="107111"/>
    <n v="34032"/>
    <s v="CA_Orang_2020p~president of the united states - dem (vote 1)"/>
    <n v="4.160284393676935E-2"/>
    <m/>
    <m/>
    <n v="109"/>
    <n v="0.67143328776254341"/>
    <n v="0.99659442615113425"/>
    <n v="0.99999999998169109"/>
  </r>
  <r>
    <n v="7.8713936856794007"/>
    <n v="4017.7320000000004"/>
    <n v="1.0313984683619594E-203"/>
    <n v="1.0313984683619595E-205"/>
    <n v="8180.21"/>
    <n v="818021"/>
    <n v="4090.105"/>
    <s v=""/>
    <x v="2"/>
    <n v="2"/>
    <n v="58228"/>
    <n v="51630"/>
    <n v="5766"/>
    <n v="45864"/>
    <s v="CA_Orang_2020p~united states representative 39th district (top 2)"/>
    <n v="5.6067020284320326E-2"/>
    <m/>
    <m/>
    <n v="159"/>
    <n v="0.80482533921138844"/>
    <n v="0.99976184312616512"/>
    <n v="0.99999999999999978"/>
  </r>
  <r>
    <n v="13.622716034120412"/>
    <n v="7358.125500000001"/>
    <n v="5.1018241409620055E-216"/>
    <n v="5.1018241409620055E-218"/>
    <n v="8180.21"/>
    <n v="818021"/>
    <n v="4090.105"/>
    <s v=""/>
    <x v="2"/>
    <n v="2"/>
    <n v="106639.5"/>
    <n v="74418"/>
    <n v="25884"/>
    <n v="48534"/>
    <s v="CA_Orang_2020p~united states representative 48th district (top 2)"/>
    <n v="5.9330995170050645E-2"/>
    <m/>
    <m/>
    <n v="170"/>
    <n v="0.82611128147230029"/>
    <n v="0.99986797199292321"/>
    <n v="1"/>
  </r>
  <r>
    <n v="23.788408604043784"/>
    <n v="54129.672000000006"/>
    <n v="0"/>
    <n v="0"/>
    <n v="8180.21"/>
    <n v="818021"/>
    <n v="4090.105"/>
    <s v=""/>
    <x v="2"/>
    <n v="1"/>
    <n v="784488"/>
    <n v="494475"/>
    <n v="290013"/>
    <n v="204462"/>
    <s v="CA_Orang_2020p~proposition 13 (vote 1)"/>
    <n v="0.2499471284967012"/>
    <m/>
    <m/>
    <n v="825"/>
    <n v="0.99990744735305803"/>
    <n v="1"/>
    <n v="1"/>
  </r>
  <r>
    <n v="6.8323203209152021"/>
    <n v="20471.472000000002"/>
    <n v="0"/>
    <n v="0"/>
    <n v="8180.21"/>
    <n v="818021"/>
    <n v="4090.105"/>
    <s v=""/>
    <x v="2"/>
    <n v="1"/>
    <n v="296688"/>
    <n v="276714"/>
    <n v="7484"/>
    <n v="269230"/>
    <s v="CA_Orang_2020p~president of the united states - rep (vote 1)"/>
    <n v="0.32912357995699376"/>
    <m/>
    <m/>
    <n v="1097"/>
    <n v="0.99999744403605018"/>
    <n v="1"/>
    <n v="1"/>
  </r>
  <r>
    <n v="10.911572173217584"/>
    <n v="52231.482000000004"/>
    <n v="0"/>
    <n v="0"/>
    <n v="8180.21"/>
    <n v="818021"/>
    <n v="4090.105"/>
    <s v=""/>
    <x v="2"/>
    <n v="1"/>
    <n v="756978"/>
    <n v="593548"/>
    <n v="163430"/>
    <n v="430118"/>
    <s v="CA_Orang_2020p~a-county of orange (vote 1)"/>
    <n v="0.52580312730357781"/>
    <m/>
    <m/>
    <n v="1773"/>
    <n v="0.9999999999348268"/>
    <n v="1"/>
    <n v="1"/>
  </r>
  <r>
    <n v="15"/>
    <n v="15"/>
    <n v="98.019865810779152"/>
    <n v="0.9801986581077915"/>
    <n v="12897.66"/>
    <n v="1289766"/>
    <n v="6448.83"/>
    <s v=""/>
    <x v="3"/>
    <n v="1"/>
    <n v="15"/>
    <n v="6"/>
    <n v="4"/>
    <n v="2"/>
    <s v="CA_Ventu_2020g~santa clarita valley water agency division 3 (vote 1)"/>
    <n v="1.5506688810218288E-6"/>
    <m/>
    <m/>
    <n v="0"/>
    <n v="0"/>
    <n v="0"/>
    <n v="0"/>
  </r>
  <r>
    <n v="15.5"/>
    <n v="15.5"/>
    <n v="85.214294326811029"/>
    <n v="0.85214294326811024"/>
    <n v="12897.66"/>
    <n v="1289766"/>
    <n v="6448.83"/>
    <s v=""/>
    <x v="3"/>
    <n v="1"/>
    <n v="40"/>
    <n v="27"/>
    <n v="11"/>
    <n v="16"/>
    <s v="CA_Ventu_2020g~sb county board of education area 4 (vote 1)"/>
    <n v="1.240535104817463E-5"/>
    <m/>
    <m/>
    <n v="0"/>
    <n v="0"/>
    <n v="0"/>
    <n v="0"/>
  </r>
  <r>
    <n v="328.32444444444445"/>
    <n v="328.32444444444445"/>
    <n v="63.762314597700765"/>
    <n v="0.63762314597700764"/>
    <n v="12897.66"/>
    <n v="1289766"/>
    <n v="6448.83"/>
    <s v=""/>
    <x v="3"/>
    <n v="1"/>
    <n v="2383"/>
    <n v="662"/>
    <n v="617"/>
    <n v="45"/>
    <s v="CA_Ventu_2020g~bell canyon cmmnty srvs dist (vote 1)"/>
    <n v="3.4890049822991144E-5"/>
    <m/>
    <m/>
    <n v="0"/>
    <n v="0"/>
    <n v="0"/>
    <n v="0"/>
  </r>
  <r>
    <n v="101.48421052631579"/>
    <n v="101.48421052631579"/>
    <n v="46.765595488851915"/>
    <n v="0.46765595488851913"/>
    <n v="12897.66"/>
    <n v="1289766"/>
    <n v="6448.83"/>
    <s v=""/>
    <x v="3"/>
    <n v="1"/>
    <n v="1244"/>
    <n v="660"/>
    <n v="584"/>
    <n v="76"/>
    <s v="CA_Ventu_2020g~member of the assembly 45th district (vote 1)"/>
    <n v="5.892541747882949E-5"/>
    <m/>
    <m/>
    <n v="0"/>
    <n v="0"/>
    <n v="0"/>
    <n v="0"/>
  </r>
  <r>
    <n v="387.89075630252103"/>
    <n v="513.70500000000004"/>
    <n v="30.420456249407813"/>
    <n v="0.30420456249407812"/>
    <n v="12897.66"/>
    <n v="1289766"/>
    <n v="6448.83"/>
    <s v=""/>
    <x v="3"/>
    <n v="1"/>
    <n v="7445"/>
    <n v="3069"/>
    <n v="2950"/>
    <n v="119"/>
    <s v="CA_Ventu_2020g~san buenaventura city council district 7 (vote 1)"/>
    <n v="9.2264798420798805E-5"/>
    <m/>
    <m/>
    <n v="0"/>
    <n v="0"/>
    <n v="0"/>
    <n v="0"/>
  </r>
  <r>
    <n v="49.716981132075475"/>
    <n v="87.975000000000009"/>
    <n v="20.390562510705568"/>
    <n v="0.20390562510705568"/>
    <n v="12897.66"/>
    <n v="1289766"/>
    <n v="6448.83"/>
    <s v=""/>
    <x v="3"/>
    <n v="1"/>
    <n v="1275"/>
    <n v="717"/>
    <n v="558"/>
    <n v="159"/>
    <s v="CA_Ventu_2020g~30th congressional district (vote 1)"/>
    <n v="1.2327817604123538E-4"/>
    <m/>
    <m/>
    <n v="0"/>
    <n v="0"/>
    <n v="0"/>
    <n v="0"/>
  </r>
  <r>
    <n v="42.053714285714285"/>
    <n v="81.903000000000006"/>
    <n v="17.375331183014797"/>
    <n v="0.17375331183014797"/>
    <n v="12897.66"/>
    <n v="1289766"/>
    <n v="6448.83"/>
    <s v=""/>
    <x v="3"/>
    <n v="1"/>
    <n v="1187"/>
    <n v="681"/>
    <n v="506"/>
    <n v="175"/>
    <s v="CA_Ventu_2020g~ojai city council district 4 (vote 1)"/>
    <n v="1.3568352708941001E-4"/>
    <m/>
    <m/>
    <n v="0"/>
    <n v="0"/>
    <n v="0"/>
    <n v="0"/>
  </r>
  <r>
    <n v="55.491542288557213"/>
    <n v="124.13100000000001"/>
    <n v="13.3967688633539"/>
    <n v="0.133967688633539"/>
    <n v="12897.66"/>
    <n v="1289766"/>
    <n v="6448.83"/>
    <s v=""/>
    <x v="3"/>
    <n v="1"/>
    <n v="1799"/>
    <n v="1000"/>
    <n v="799"/>
    <n v="201"/>
    <s v="CA_Ventu_2020g~ojai valley sanitary dist div 5 (vote 1)"/>
    <n v="1.558422225426938E-4"/>
    <m/>
    <m/>
    <n v="0"/>
    <n v="0"/>
    <n v="0"/>
    <n v="0"/>
  </r>
  <r>
    <n v="266.99126213592234"/>
    <n v="612.09900000000005"/>
    <n v="12.743300187557299"/>
    <n v="0.12743300187557299"/>
    <n v="12897.66"/>
    <n v="1289766"/>
    <n v="6448.83"/>
    <s v=""/>
    <x v="3"/>
    <n v="1"/>
    <n v="8871"/>
    <n v="3735"/>
    <n v="3529"/>
    <n v="206"/>
    <s v="CA_Ventu_2020g~san buenaventura city council district 2 (vote 1)"/>
    <n v="1.5971889474524837E-4"/>
    <m/>
    <m/>
    <n v="0"/>
    <n v="0"/>
    <n v="0"/>
    <n v="0"/>
  </r>
  <r>
    <n v="311.45432098765434"/>
    <n v="842.28300000000002"/>
    <n v="8.8016679528003721"/>
    <n v="8.8016679528003725E-2"/>
    <n v="12897.66"/>
    <n v="1289766"/>
    <n v="6448.83"/>
    <s v=""/>
    <x v="3"/>
    <n v="1"/>
    <n v="12207"/>
    <n v="2903"/>
    <n v="2660"/>
    <n v="243"/>
    <s v="CA_Ventu_2020g~port hueneme city council (vote 1)"/>
    <n v="1.884062690441522E-4"/>
    <m/>
    <m/>
    <n v="0"/>
    <n v="0"/>
    <n v="0"/>
    <n v="0"/>
  </r>
  <r>
    <n v="418.05369649805448"/>
    <n v="1195.701"/>
    <n v="7.6515948378581653"/>
    <n v="7.6515948378581652E-2"/>
    <n v="12897.66"/>
    <n v="1289766"/>
    <n v="6448.83"/>
    <s v=""/>
    <x v="3"/>
    <n v="1"/>
    <n v="17329"/>
    <n v="8793"/>
    <n v="8536"/>
    <n v="257"/>
    <s v="CA_Ventu_2020g~simi valley city council district 1 (vote 1)"/>
    <n v="1.9926095121130499E-4"/>
    <m/>
    <m/>
    <n v="0"/>
    <n v="0"/>
    <n v="0"/>
    <n v="0"/>
  </r>
  <r>
    <n v="288.54014084507043"/>
    <n v="911.97300000000007"/>
    <n v="5.8407397784328099"/>
    <n v="5.8407397784328102E-2"/>
    <n v="12897.66"/>
    <n v="1289766"/>
    <n v="6448.83"/>
    <s v=""/>
    <x v="3"/>
    <n v="1"/>
    <n v="13217"/>
    <n v="3216"/>
    <n v="2932"/>
    <n v="284"/>
    <s v="CA_Ventu_2020g~fillmore city council (vote 1)"/>
    <n v="2.201949811050997E-4"/>
    <m/>
    <m/>
    <n v="0"/>
    <n v="0"/>
    <n v="0"/>
    <n v="0"/>
  </r>
  <r>
    <n v="45.090909090909086"/>
    <n v="176.64000000000001"/>
    <n v="2.9585218345462132"/>
    <n v="2.9585218345462131E-2"/>
    <n v="12897.66"/>
    <n v="1289766"/>
    <n v="6448.83"/>
    <s v=""/>
    <x v="3"/>
    <n v="1"/>
    <n v="2560"/>
    <n v="1197"/>
    <n v="845"/>
    <n v="352"/>
    <s v="CA_Ventu_2020g~meiners oaks water dist (vote 1)"/>
    <n v="2.7291772305984189E-4"/>
    <m/>
    <m/>
    <n v="0"/>
    <n v="0"/>
    <n v="0"/>
    <n v="0"/>
  </r>
  <r>
    <n v="95.152331606217629"/>
    <n v="408.75600000000003"/>
    <n v="2.1055831550927877"/>
    <n v="2.1055831550927877E-2"/>
    <n v="12897.66"/>
    <n v="1289766"/>
    <n v="6448.83"/>
    <s v=""/>
    <x v="3"/>
    <n v="1"/>
    <n v="5924"/>
    <n v="2384"/>
    <n v="1998"/>
    <n v="386"/>
    <s v="CA_Ventu_2020g~camarillo city council district 3 (vote 1)"/>
    <n v="2.9927909403721297E-4"/>
    <m/>
    <m/>
    <n v="0"/>
    <n v="0"/>
    <n v="0"/>
    <n v="0"/>
  </r>
  <r>
    <n v="47.180487804878048"/>
    <n v="236.80800000000002"/>
    <n v="1.0989789078628402"/>
    <n v="1.0989789078628402E-2"/>
    <n v="12897.66"/>
    <n v="1289766"/>
    <n v="6448.83"/>
    <s v=""/>
    <x v="3"/>
    <n v="1"/>
    <n v="3432"/>
    <n v="1592"/>
    <n v="1141"/>
    <n v="451"/>
    <s v="CA_Ventu_2020g~moorpark unified school district area 5 (vote 1)"/>
    <n v="3.4967583267042239E-4"/>
    <m/>
    <m/>
    <n v="0"/>
    <n v="0"/>
    <n v="0"/>
    <n v="0"/>
  </r>
  <r>
    <n v="26.045474613686537"/>
    <n v="131.30700000000002"/>
    <n v="1.077210114615798"/>
    <n v="1.0772101146157979E-2"/>
    <n v="12897.66"/>
    <n v="1289766"/>
    <n v="6448.83"/>
    <s v=""/>
    <x v="3"/>
    <n v="1"/>
    <n v="1903"/>
    <n v="1178"/>
    <n v="725"/>
    <n v="453"/>
    <s v="CA_Ventu_2020g~ojai valley sanitary dist div 3 (vote 1)"/>
    <n v="3.512265015514442E-4"/>
    <m/>
    <m/>
    <n v="0"/>
    <n v="0"/>
    <n v="0"/>
    <n v="0"/>
  </r>
  <r>
    <n v="113.71208791208791"/>
    <n v="575.80500000000006"/>
    <n v="1.0558724891934819"/>
    <n v="1.055872489193482E-2"/>
    <n v="12897.66"/>
    <n v="1289766"/>
    <n v="6448.83"/>
    <s v=""/>
    <x v="3"/>
    <n v="1"/>
    <n v="8345"/>
    <n v="2827"/>
    <n v="2372"/>
    <n v="455"/>
    <s v="CA_Ventu_2020g~oxnard city council district 4 (vote 1)"/>
    <n v="3.5277717043246602E-4"/>
    <m/>
    <m/>
    <n v="0"/>
    <n v="0"/>
    <n v="0"/>
    <n v="0"/>
  </r>
  <r>
    <n v="141.86832298136648"/>
    <n v="762.58800000000008"/>
    <n v="0.79792998390924941"/>
    <n v="7.9792998390924939E-3"/>
    <n v="12897.66"/>
    <n v="1289766"/>
    <n v="6448.83"/>
    <s v=""/>
    <x v="3"/>
    <n v="1"/>
    <n v="11052"/>
    <n v="4155"/>
    <n v="3672"/>
    <n v="483"/>
    <s v="CA_Ventu_2020g~oak park mac (vote 1)"/>
    <n v="3.7448653476677166E-4"/>
    <m/>
    <m/>
    <n v="0"/>
    <n v="0"/>
    <n v="0"/>
    <n v="0"/>
  </r>
  <r>
    <n v="26.96449704142012"/>
    <n v="152.14500000000001"/>
    <n v="0.627616122106612"/>
    <n v="6.27616122106612E-3"/>
    <n v="12897.66"/>
    <n v="1289766"/>
    <n v="6448.83"/>
    <s v=""/>
    <x v="3"/>
    <n v="1"/>
    <n v="2205"/>
    <n v="1356"/>
    <n v="849"/>
    <n v="507"/>
    <s v="CA_Ventu_2020g~ojai unified school district area 2 (vote 1)"/>
    <n v="3.9309456133903361E-4"/>
    <m/>
    <m/>
    <n v="0"/>
    <n v="0"/>
    <n v="0"/>
    <n v="0"/>
  </r>
  <r>
    <n v="199.92578125"/>
    <n v="1139.19"/>
    <n v="0.59699512622723128"/>
    <n v="5.9699512622723126E-3"/>
    <n v="12897.66"/>
    <n v="1289766"/>
    <n v="6448.83"/>
    <s v=""/>
    <x v="3"/>
    <n v="1"/>
    <n v="16510"/>
    <n v="8511"/>
    <n v="7999"/>
    <n v="512"/>
    <s v="CA_Ventu_2020g~conejo valley unified school district area 5 (vote 1)"/>
    <n v="3.9697123354158817E-4"/>
    <m/>
    <m/>
    <n v="0"/>
    <n v="0"/>
    <n v="0"/>
    <n v="0"/>
  </r>
  <r>
    <n v="17.131262135922331"/>
    <n v="98.187000000000012"/>
    <n v="0.57934433129500784"/>
    <n v="5.7934433129500787E-3"/>
    <n v="12897.66"/>
    <n v="1289766"/>
    <n v="6448.83"/>
    <s v=""/>
    <x v="3"/>
    <n v="1"/>
    <n v="1423"/>
    <n v="969"/>
    <n v="454"/>
    <n v="515"/>
    <s v="CA_Ventu_2020g~santa paula unified school district area 4 (vote 1)"/>
    <n v="3.9929723686312092E-4"/>
    <m/>
    <m/>
    <n v="0"/>
    <n v="0"/>
    <n v="0"/>
    <n v="0"/>
  </r>
  <r>
    <n v="148.30168224299067"/>
    <n v="882.99300000000005"/>
    <n v="0.47428839148115415"/>
    <n v="4.7428839148115414E-3"/>
    <n v="12897.66"/>
    <n v="1289766"/>
    <n v="6448.83"/>
    <s v=""/>
    <x v="3"/>
    <n v="1"/>
    <n v="12797"/>
    <n v="6666"/>
    <n v="6131"/>
    <n v="535"/>
    <s v="CA_Ventu_2020g~ventura unified school district area 3 (vote 1)"/>
    <n v="4.1480392567333919E-4"/>
    <m/>
    <m/>
    <n v="0"/>
    <n v="0"/>
    <n v="0"/>
    <n v="0"/>
  </r>
  <r>
    <n v="16.248275862068965"/>
    <n v="104.88000000000001"/>
    <n v="0.30236078641452618"/>
    <n v="3.0236078641452621E-3"/>
    <n v="12897.66"/>
    <n v="1289766"/>
    <n v="6448.83"/>
    <s v=""/>
    <x v="3"/>
    <n v="1"/>
    <n v="1520"/>
    <n v="908"/>
    <n v="328"/>
    <n v="580"/>
    <s v="CA_Ventu_2020g~las virgenes unified school district (vote 1)"/>
    <n v="4.4969397549633034E-4"/>
    <m/>
    <m/>
    <n v="0"/>
    <n v="0"/>
    <n v="0"/>
    <n v="0"/>
  </r>
  <r>
    <n v="41.048639455782315"/>
    <n v="268.61700000000002"/>
    <n v="0.27910406952112338"/>
    <n v="2.7910406952112339E-3"/>
    <n v="12897.66"/>
    <n v="1289766"/>
    <n v="6448.83"/>
    <s v=""/>
    <x v="3"/>
    <n v="1"/>
    <n v="3893"/>
    <n v="1484"/>
    <n v="896"/>
    <n v="588"/>
    <s v="CA_Ventu_2020g~santa rosa valley mac (vote 1)"/>
    <n v="4.5589665102041766E-4"/>
    <m/>
    <m/>
    <n v="0"/>
    <n v="0"/>
    <n v="0"/>
    <n v="0"/>
  </r>
  <r>
    <n v="145.5743922204214"/>
    <n v="999.60300000000007"/>
    <n v="0.20881510339737699"/>
    <n v="2.0881510339737699E-3"/>
    <n v="12897.66"/>
    <n v="1289766"/>
    <n v="6448.83"/>
    <s v=""/>
    <x v="3"/>
    <n v="1"/>
    <n v="14487"/>
    <n v="5598"/>
    <n v="4981"/>
    <n v="617"/>
    <s v="CA_Ventu_2020g~simi valley unified school district area c (vote 1)"/>
    <n v="4.7838134979523417E-4"/>
    <m/>
    <m/>
    <n v="0"/>
    <n v="0"/>
    <n v="0"/>
    <n v="0"/>
  </r>
  <r>
    <n v="22.900979020979019"/>
    <n v="182.22900000000001"/>
    <n v="7.8330956344180663E-2"/>
    <n v="7.833095634418066E-4"/>
    <n v="12897.66"/>
    <n v="1289766"/>
    <n v="6448.83"/>
    <s v=""/>
    <x v="3"/>
    <n v="1"/>
    <n v="2641"/>
    <n v="1678"/>
    <n v="963"/>
    <n v="715"/>
    <s v="CA_Ventu_2020g~ojai unified school district area 4 (vote 1)"/>
    <n v="5.5436412496530374E-4"/>
    <m/>
    <m/>
    <n v="0"/>
    <n v="0"/>
    <n v="0"/>
    <n v="0"/>
  </r>
  <r>
    <n v="124.7238578680203"/>
    <n v="1093.788"/>
    <n v="3.7732330040085298E-2"/>
    <n v="3.77323300400853E-4"/>
    <n v="12897.66"/>
    <n v="1289766"/>
    <n v="6448.83"/>
    <s v=""/>
    <x v="3"/>
    <n v="1"/>
    <n v="15852"/>
    <n v="5013"/>
    <n v="4225"/>
    <n v="788"/>
    <s v="CA_Ventu_2020g~santa paula city council (vote 1)"/>
    <n v="6.1096353912260058E-4"/>
    <m/>
    <m/>
    <n v="0"/>
    <n v="0"/>
    <n v="0"/>
    <n v="0"/>
  </r>
  <r>
    <n v="68.773366214549938"/>
    <n v="620.72400000000005"/>
    <n v="2.9975327507984241E-2"/>
    <n v="2.9975327507984241E-4"/>
    <n v="12897.66"/>
    <n v="1289766"/>
    <n v="6448.83"/>
    <s v=""/>
    <x v="3"/>
    <n v="1"/>
    <n v="8996"/>
    <n v="3349"/>
    <n v="2538"/>
    <n v="811"/>
    <s v="CA_Ventu_2020g~san buenaventura city council district 3 (vote 1)"/>
    <n v="6.2879623125435154E-4"/>
    <m/>
    <m/>
    <n v="0"/>
    <n v="0"/>
    <n v="0"/>
    <n v="0"/>
  </r>
  <r>
    <n v="435.20813704496788"/>
    <n v="4523.7780000000002"/>
    <n v="8.7542736052174802E-3"/>
    <n v="8.75427360521748E-5"/>
    <n v="12897.66"/>
    <n v="1289766"/>
    <n v="6448.83"/>
    <s v=""/>
    <x v="3"/>
    <n v="1"/>
    <n v="65562"/>
    <n v="33248"/>
    <n v="32314"/>
    <n v="934"/>
    <s v="CA_Ventu_2020g~measure f - city of oxnard (vote 1)"/>
    <n v="7.2416236743719404E-4"/>
    <m/>
    <m/>
    <n v="0"/>
    <n v="0"/>
    <n v="0"/>
    <n v="0"/>
  </r>
  <r>
    <n v="86.941347150259062"/>
    <n v="933.70800000000008"/>
    <n v="6.4193290904612284E-3"/>
    <n v="6.4193290904612289E-5"/>
    <n v="12897.66"/>
    <n v="1289766"/>
    <n v="6448.83"/>
    <s v=""/>
    <x v="3"/>
    <n v="1"/>
    <n v="13532"/>
    <n v="6343"/>
    <n v="5378"/>
    <n v="965"/>
    <s v="CA_Ventu_2020g~simi valley city council district 3 (vote 1)"/>
    <n v="7.4819773509303238E-4"/>
    <m/>
    <m/>
    <n v="0"/>
    <n v="0"/>
    <n v="0"/>
    <n v="0"/>
  </r>
  <r>
    <n v="21.956906077348066"/>
    <n v="309.60300000000001"/>
    <n v="3.1245282136554509E-4"/>
    <n v="3.1245282136554511E-6"/>
    <n v="12897.66"/>
    <n v="1289766"/>
    <n v="6448.83"/>
    <s v=""/>
    <x v="3"/>
    <n v="1"/>
    <n v="4487"/>
    <n v="2877"/>
    <n v="1610"/>
    <n v="1267"/>
    <s v="CA_Ventu_2020g~ojai city mayor (vote 1)"/>
    <n v="9.8234873612732844E-4"/>
    <m/>
    <m/>
    <n v="0"/>
    <n v="0"/>
    <n v="0"/>
    <n v="0"/>
  </r>
  <r>
    <n v="329.36784615384613"/>
    <n v="4765.2090000000007"/>
    <n v="2.2455591982052734E-4"/>
    <n v="2.2455591982052735E-6"/>
    <n v="12897.66"/>
    <n v="1289766"/>
    <n v="6448.83"/>
    <s v=""/>
    <x v="3"/>
    <n v="1"/>
    <n v="69061"/>
    <n v="24909"/>
    <n v="23609"/>
    <n v="1300"/>
    <s v="CA_Ventu_2020g~community college district area 3 (vote 1)"/>
    <n v="1.0079347726641888E-3"/>
    <m/>
    <m/>
    <n v="0"/>
    <n v="0"/>
    <n v="0"/>
    <n v="0"/>
  </r>
  <r>
    <n v="17.187573964497041"/>
    <n v="258.61200000000002"/>
    <n v="1.3343168224317088E-4"/>
    <n v="1.3343168224317089E-6"/>
    <n v="12897.66"/>
    <n v="1289766"/>
    <n v="6448.83"/>
    <s v=""/>
    <x v="3"/>
    <n v="1"/>
    <n v="3748"/>
    <n v="2273"/>
    <n v="921"/>
    <n v="1352"/>
    <s v="CA_Ventu_2020g~casitas muni water dist div 2 (vote 1)"/>
    <n v="1.0482521635707563E-3"/>
    <m/>
    <m/>
    <n v="0"/>
    <n v="0"/>
    <n v="0"/>
    <n v="0"/>
  </r>
  <r>
    <n v="25.174822190611668"/>
    <n v="393.92100000000005"/>
    <n v="7.7712150696517104E-5"/>
    <n v="7.7712150696517099E-7"/>
    <n v="12897.66"/>
    <n v="1289766"/>
    <n v="6448.83"/>
    <s v=""/>
    <x v="3"/>
    <n v="1"/>
    <n v="5709"/>
    <n v="2888"/>
    <n v="1482"/>
    <n v="1406"/>
    <s v="CA_Ventu_2020g~moorpark city council district 2 (vote 1)"/>
    <n v="1.0901202233583457E-3"/>
    <m/>
    <m/>
    <n v="0"/>
    <n v="0"/>
    <n v="0"/>
    <n v="0"/>
  </r>
  <r>
    <n v="47.319489723600284"/>
    <n v="743.06100000000004"/>
    <n v="7.3918043719152369E-5"/>
    <n v="7.3918043719152371E-7"/>
    <n v="12897.66"/>
    <n v="1289766"/>
    <n v="6448.83"/>
    <s v=""/>
    <x v="3"/>
    <n v="1"/>
    <n v="10769"/>
    <n v="4860"/>
    <n v="3449"/>
    <n v="1411"/>
    <s v="CA_Ventu_2020g~oxnard city council district 3 (vote 1)"/>
    <n v="1.0939968955609003E-3"/>
    <m/>
    <m/>
    <n v="0"/>
    <n v="0"/>
    <n v="0"/>
    <n v="0"/>
  </r>
  <r>
    <n v="31.148108825481089"/>
    <n v="522.399"/>
    <n v="2.8271939267375124E-5"/>
    <n v="2.8271939267375123E-7"/>
    <n v="12897.66"/>
    <n v="1289766"/>
    <n v="6448.83"/>
    <s v=""/>
    <x v="3"/>
    <n v="1"/>
    <n v="7571"/>
    <n v="3654"/>
    <n v="2147"/>
    <n v="1507"/>
    <s v="CA_Ventu_2020g~oxnard city council district 6 (vote 1)"/>
    <n v="1.1684290018499481E-3"/>
    <m/>
    <m/>
    <n v="0"/>
    <n v="0"/>
    <n v="0"/>
    <n v="0"/>
  </r>
  <r>
    <n v="20.880829015544045"/>
    <n v="358.8"/>
    <n v="1.9519844666139706E-5"/>
    <n v="1.9519844666139705E-7"/>
    <n v="12897.66"/>
    <n v="1289766"/>
    <n v="6448.83"/>
    <s v=""/>
    <x v="3"/>
    <n v="1"/>
    <n v="5200"/>
    <n v="3372"/>
    <n v="1828"/>
    <n v="1544"/>
    <s v="CA_Ventu_2020g~24th congressional district (vote 1)"/>
    <n v="1.1971163761488519E-3"/>
    <m/>
    <m/>
    <n v="0"/>
    <n v="0"/>
    <n v="0"/>
    <n v="0"/>
  </r>
  <r>
    <n v="83.345038167938938"/>
    <n v="1458.1080000000002"/>
    <n v="1.4747786183985044E-5"/>
    <n v="1.4747786183985044E-7"/>
    <n v="12897.66"/>
    <n v="1289766"/>
    <n v="6448.83"/>
    <s v=""/>
    <x v="3"/>
    <n v="1"/>
    <n v="21132"/>
    <n v="6113"/>
    <n v="4541"/>
    <n v="1572"/>
    <s v="CA_Ventu_2020g~rio school district (vote 1)"/>
    <n v="1.2188257404831574E-3"/>
    <m/>
    <m/>
    <n v="0"/>
    <n v="0"/>
    <n v="0"/>
    <n v="0"/>
  </r>
  <r>
    <n v="11.238951310861424"/>
    <n v="200.376"/>
    <n v="1.0921391520261227E-5"/>
    <n v="1.0921391520261226E-7"/>
    <n v="12897.66"/>
    <n v="1289766"/>
    <n v="6448.83"/>
    <s v=""/>
    <x v="3"/>
    <n v="1"/>
    <n v="2904"/>
    <n v="2253"/>
    <n v="651"/>
    <n v="1602"/>
    <s v="CA_Ventu_2020g~santa paula unified school district area 5 (vote 1)"/>
    <n v="1.2420857736984848E-3"/>
    <m/>
    <m/>
    <n v="0"/>
    <n v="0"/>
    <n v="0"/>
    <n v="0"/>
  </r>
  <r>
    <n v="574.19142156862756"/>
    <n v="10428.798000000001"/>
    <n v="8.0877195307446588E-6"/>
    <n v="8.0877195307446592E-8"/>
    <n v="12897.66"/>
    <n v="1289766"/>
    <n v="6448.83"/>
    <s v=""/>
    <x v="3"/>
    <n v="1"/>
    <n v="151142"/>
    <n v="31637"/>
    <n v="30005"/>
    <n v="1632"/>
    <s v="CA_Ventu_2020g~rancho simi rec &amp; park district (vote 1)"/>
    <n v="1.2653458069138122E-3"/>
    <m/>
    <m/>
    <n v="0"/>
    <n v="0"/>
    <n v="0"/>
    <n v="0"/>
  </r>
  <r>
    <n v="16.136937962435972"/>
    <n v="315.53700000000003"/>
    <n v="2.3133631787054499E-6"/>
    <n v="2.31336317870545E-8"/>
    <n v="12897.66"/>
    <n v="1289766"/>
    <n v="6448.83"/>
    <s v=""/>
    <x v="3"/>
    <n v="1"/>
    <n v="4573"/>
    <n v="3165"/>
    <n v="1408"/>
    <n v="1757"/>
    <s v="CA_Ventu_2020g~measure g - city of ojai (vote 1)"/>
    <n v="1.3622626119776766E-3"/>
    <m/>
    <m/>
    <n v="0"/>
    <n v="0"/>
    <n v="0"/>
    <n v="0"/>
  </r>
  <r>
    <n v="18.324516466283324"/>
    <n v="390.12600000000003"/>
    <n v="4.8504177909913457E-7"/>
    <n v="4.8504177909913459E-9"/>
    <n v="12897.66"/>
    <n v="1289766"/>
    <n v="6448.83"/>
    <s v=""/>
    <x v="3"/>
    <n v="1"/>
    <n v="5654"/>
    <n v="3365"/>
    <n v="1452"/>
    <n v="1913"/>
    <s v="CA_Ventu_2020g~casitas muni water dist div 3 (vote 1)"/>
    <n v="1.4832147846973792E-3"/>
    <m/>
    <m/>
    <n v="0"/>
    <n v="0"/>
    <n v="0"/>
    <n v="0"/>
  </r>
  <r>
    <n v="176.18945981554677"/>
    <n v="4464.7830000000004"/>
    <n v="1.2658296380006031E-8"/>
    <n v="1.2658296380006031E-10"/>
    <n v="12897.66"/>
    <n v="1289766"/>
    <n v="6448.83"/>
    <s v=""/>
    <x v="3"/>
    <n v="1"/>
    <n v="64707"/>
    <n v="33492"/>
    <n v="31215"/>
    <n v="2277"/>
    <s v="CA_Ventu_2020g~measure n - city of oxnard (vote 1)"/>
    <n v="1.7654365210433521E-3"/>
    <m/>
    <m/>
    <n v="0"/>
    <n v="0"/>
    <n v="0"/>
    <n v="0"/>
  </r>
  <r>
    <n v="1097.6147186147186"/>
    <n v="28217.550000000003"/>
    <n v="9.0950015227960424E-9"/>
    <n v="9.0950015227960426E-11"/>
    <n v="12897.66"/>
    <n v="1289766"/>
    <n v="6448.83"/>
    <s v=""/>
    <x v="3"/>
    <n v="1"/>
    <n v="408950"/>
    <n v="205630"/>
    <n v="203320"/>
    <n v="2310"/>
    <s v="CA_Ventu_2020g~legislative constitutional amendment. (vote 1)"/>
    <n v="1.7910225575802122E-3"/>
    <m/>
    <m/>
    <n v="0"/>
    <n v="0"/>
    <n v="0"/>
    <n v="0"/>
  </r>
  <r>
    <n v="69.632006920415236"/>
    <n v="1791.6540000000002"/>
    <n v="8.9145883843752814E-9"/>
    <n v="8.9145883843752806E-11"/>
    <n v="12897.66"/>
    <n v="1289766"/>
    <n v="6448.83"/>
    <s v=""/>
    <x v="3"/>
    <n v="1"/>
    <n v="25966"/>
    <n v="14139"/>
    <n v="11827"/>
    <n v="2312"/>
    <s v="CA_Ventu_2020g~united water cons dist div. 3 (short term vote 1)"/>
    <n v="1.7925732264612341E-3"/>
    <m/>
    <m/>
    <n v="0"/>
    <n v="0"/>
    <n v="0"/>
    <n v="0"/>
  </r>
  <r>
    <n v="29.545200441338729"/>
    <n v="894.03300000000013"/>
    <n v="1.5103186970264509E-10"/>
    <n v="1.5103186970264509E-12"/>
    <n v="12897.66"/>
    <n v="1289766"/>
    <n v="6448.83"/>
    <s v=""/>
    <x v="3"/>
    <n v="1"/>
    <n v="12957"/>
    <n v="7838"/>
    <n v="5119"/>
    <n v="2719"/>
    <s v="CA_Ventu_2020g~measure (vote 1)"/>
    <n v="2.108134343749176E-3"/>
    <m/>
    <m/>
    <n v="0"/>
    <n v="0"/>
    <n v="0"/>
    <n v="0"/>
  </r>
  <r>
    <n v="122.12896797153024"/>
    <n v="3819.2880000000005"/>
    <n v="6.0675268517467065E-11"/>
    <n v="6.0675268517467065E-13"/>
    <n v="12897.66"/>
    <n v="1289766"/>
    <n v="6448.83"/>
    <s v=""/>
    <x v="3"/>
    <n v="1"/>
    <n v="55352"/>
    <n v="23543"/>
    <n v="20733"/>
    <n v="2810"/>
    <s v="CA_Ventu_2020g~pleasant valley school district (vote 1)"/>
    <n v="2.1786897778356693E-3"/>
    <m/>
    <m/>
    <n v="0"/>
    <n v="0"/>
    <n v="0"/>
    <n v="0"/>
  </r>
  <r>
    <n v="41.586275203395822"/>
    <n v="1308.3780000000002"/>
    <n v="5.1170534374287505E-11"/>
    <n v="5.1170534374287504E-13"/>
    <n v="12897.66"/>
    <n v="1289766"/>
    <n v="6448.83"/>
    <s v=""/>
    <x v="3"/>
    <n v="1"/>
    <n v="18962"/>
    <n v="9449"/>
    <n v="6622"/>
    <n v="2827"/>
    <s v="CA_Ventu_2020g~moorpark city mayor (vote 1)"/>
    <n v="2.1918704633243549E-3"/>
    <m/>
    <m/>
    <n v="0"/>
    <n v="0"/>
    <n v="0"/>
    <n v="0"/>
  </r>
  <r>
    <n v="867.02194207836453"/>
    <n v="28320.153000000002"/>
    <n v="1.7335319793549392E-11"/>
    <n v="1.733531979354939E-13"/>
    <n v="12897.66"/>
    <n v="1289766"/>
    <n v="6448.83"/>
    <s v=""/>
    <x v="3"/>
    <n v="1"/>
    <n v="410437"/>
    <n v="206686"/>
    <n v="203751"/>
    <n v="2935"/>
    <s v="CA_Ventu_2020g~cell research. initiative statute. (vote 1)"/>
    <n v="2.2756065828995337E-3"/>
    <m/>
    <m/>
    <n v="0"/>
    <n v="0"/>
    <n v="0"/>
    <n v="0"/>
  </r>
  <r>
    <n v="84.768185961713755"/>
    <n v="4139.5860000000002"/>
    <n v="8.1408009444136036E-18"/>
    <n v="8.1408009444136037E-20"/>
    <n v="12897.66"/>
    <n v="1289766"/>
    <n v="6448.83"/>
    <s v=""/>
    <x v="3"/>
    <n v="1"/>
    <n v="59994"/>
    <n v="24676"/>
    <n v="20288"/>
    <n v="4388"/>
    <s v="CA_Ventu_2020g~calleguas muni wtr dist div 1 (vote 1)"/>
    <n v="3.4021675249618923E-3"/>
    <m/>
    <m/>
    <n v="0"/>
    <n v="0"/>
    <n v="0"/>
    <n v="0"/>
  </r>
  <r>
    <n v="11.249268841394827"/>
    <n v="556.48500000000001"/>
    <n v="4.5948220760639804E-18"/>
    <n v="4.5948220760639806E-20"/>
    <n v="12897.66"/>
    <n v="1289766"/>
    <n v="6448.83"/>
    <s v=""/>
    <x v="3"/>
    <n v="1"/>
    <n v="8065"/>
    <n v="6255"/>
    <n v="1810"/>
    <n v="4445"/>
    <s v="CA_Ventu_2020g~camarillo city council district 4 (vote 1)"/>
    <n v="3.4463615880710144E-3"/>
    <m/>
    <m/>
    <n v="0"/>
    <n v="0"/>
    <n v="0"/>
    <n v="0"/>
  </r>
  <r>
    <n v="145.55578260869567"/>
    <n v="7451.5170000000007"/>
    <n v="9.6993706585580894E-19"/>
    <n v="9.6993706585580888E-21"/>
    <n v="12897.66"/>
    <n v="1289766"/>
    <n v="6448.83"/>
    <s v=""/>
    <x v="3"/>
    <n v="1"/>
    <n v="107993"/>
    <n v="48542"/>
    <n v="43942"/>
    <n v="4600"/>
    <s v="CA_Ventu_2020g~conejo recreation &amp; park district (vote 1)"/>
    <n v="3.5665384263502062E-3"/>
    <m/>
    <m/>
    <n v="0"/>
    <n v="0"/>
    <n v="0"/>
    <n v="0"/>
  </r>
  <r>
    <n v="114.80254452926209"/>
    <n v="6025.3560000000007"/>
    <n v="3.027861116988695E-19"/>
    <n v="3.0278611169886948E-21"/>
    <n v="12897.66"/>
    <n v="1289766"/>
    <n v="6448.83"/>
    <s v=""/>
    <x v="3"/>
    <n v="1"/>
    <n v="87324"/>
    <n v="19786"/>
    <n v="15070"/>
    <n v="4716"/>
    <s v="CA_Ventu_2020g~pleasant valley rec &amp; park district (vote 1)"/>
    <n v="3.656477221449472E-3"/>
    <m/>
    <m/>
    <n v="0"/>
    <n v="0"/>
    <n v="0"/>
    <n v="0"/>
  </r>
  <r>
    <n v="138.99180327868851"/>
    <n v="7926.0300000000007"/>
    <n v="5.039985821444252E-21"/>
    <n v="5.039985821444252E-23"/>
    <n v="12897.66"/>
    <n v="1289766"/>
    <n v="6448.83"/>
    <s v=""/>
    <x v="3"/>
    <n v="1"/>
    <n v="114870"/>
    <n v="27133"/>
    <n v="22009"/>
    <n v="5124"/>
    <s v="CA_Ventu_2020g~thousand oaks city council (vote 1)"/>
    <n v="3.9728136731779252E-3"/>
    <m/>
    <m/>
    <n v="0"/>
    <n v="0"/>
    <n v="0"/>
    <n v="0"/>
  </r>
  <r>
    <n v="79.034105582985191"/>
    <n v="4631.8320000000003"/>
    <n v="1.2112593118563398E-21"/>
    <n v="1.2112593118563398E-23"/>
    <n v="12897.66"/>
    <n v="1289766"/>
    <n v="6448.83"/>
    <s v=""/>
    <x v="3"/>
    <n v="1"/>
    <n v="67128"/>
    <n v="36197"/>
    <n v="30931"/>
    <n v="5266"/>
    <s v="CA_Ventu_2020g~measure e - city of oxnard (vote 1)"/>
    <n v="4.0829111637304752E-3"/>
    <m/>
    <m/>
    <n v="0"/>
    <n v="0"/>
    <n v="0"/>
    <n v="0"/>
  </r>
  <r>
    <n v="17.035259692757865"/>
    <n v="1036.6560000000002"/>
    <n v="1.5932960732214334E-22"/>
    <n v="1.5932960732214334E-24"/>
    <n v="12897.66"/>
    <n v="1289766"/>
    <n v="6448.83"/>
    <s v=""/>
    <x v="3"/>
    <n v="1"/>
    <n v="15024"/>
    <n v="10246"/>
    <n v="4778"/>
    <n v="5468"/>
    <s v="CA_Ventu_2020g~conejo valley unified school district area 1 (vote 1)"/>
    <n v="4.2395287207136799E-3"/>
    <m/>
    <m/>
    <n v="0"/>
    <n v="0"/>
    <n v="0"/>
    <n v="0"/>
  </r>
  <r>
    <n v="73.248633496846537"/>
    <n v="4653.0840000000007"/>
    <n v="1.4303891591033454E-23"/>
    <n v="1.4303891591033453E-25"/>
    <n v="12897.66"/>
    <n v="1289766"/>
    <n v="6448.83"/>
    <s v=""/>
    <x v="3"/>
    <n v="1"/>
    <n v="67436"/>
    <n v="36572"/>
    <n v="30864"/>
    <n v="5708"/>
    <s v="CA_Ventu_2020g~25th congressional district (vote 1)"/>
    <n v="4.4256089864362991E-3"/>
    <m/>
    <m/>
    <n v="0"/>
    <n v="0"/>
    <n v="0"/>
    <n v="0"/>
  </r>
  <r>
    <n v="48.391261996848598"/>
    <n v="3759.6030000000005"/>
    <n v="3.976993909590453E-29"/>
    <n v="3.9769939095904529E-31"/>
    <n v="12897.66"/>
    <n v="1289766"/>
    <n v="6448.83"/>
    <s v=""/>
    <x v="3"/>
    <n v="1"/>
    <n v="54487"/>
    <n v="30734"/>
    <n v="23753"/>
    <n v="6981"/>
    <s v="CA_Ventu_2020g~supervisor-5th district (vote 1)"/>
    <n v="5.4126097292066929E-3"/>
    <m/>
    <m/>
    <n v="0"/>
    <n v="0"/>
    <n v="0"/>
    <n v="0"/>
  </r>
  <r>
    <n v="138.13996848102801"/>
    <n v="12681.717000000001"/>
    <n v="1.1481375660279851E-34"/>
    <n v="1.1481375660279851E-36"/>
    <n v="12897.66"/>
    <n v="1289766"/>
    <n v="6448.83"/>
    <s v=""/>
    <x v="3"/>
    <n v="1"/>
    <n v="183793"/>
    <n v="53037"/>
    <n v="44788"/>
    <n v="8249"/>
    <s v="CA_Ventu_2020g~oxnard union high school district (vote 1)"/>
    <n v="6.3957337997745329E-3"/>
    <m/>
    <m/>
    <n v="0"/>
    <n v="0"/>
    <n v="0"/>
    <n v="0"/>
  </r>
  <r>
    <n v="75.639269729093058"/>
    <n v="7146.813000000001"/>
    <n v="1.015098022866524E-35"/>
    <n v="1.0150980228665239E-37"/>
    <n v="12897.66"/>
    <n v="1289766"/>
    <n v="6448.83"/>
    <s v=""/>
    <x v="3"/>
    <n v="1"/>
    <n v="103577"/>
    <n v="44748"/>
    <n v="36258"/>
    <n v="8490"/>
    <s v="CA_Ventu_2020g~oxnard harbor district (vote 1)"/>
    <n v="6.5825893999376635E-3"/>
    <m/>
    <m/>
    <n v="0"/>
    <n v="0"/>
    <n v="0"/>
    <n v="0"/>
  </r>
  <r>
    <n v="42.896262593435161"/>
    <n v="4406.8230000000003"/>
    <n v="5.836128322644724E-39"/>
    <n v="5.8361283226447242E-41"/>
    <n v="12897.66"/>
    <n v="1289766"/>
    <n v="6448.83"/>
    <s v=""/>
    <x v="3"/>
    <n v="1"/>
    <n v="63867"/>
    <n v="36549"/>
    <n v="27318"/>
    <n v="9231"/>
    <s v="CA_Ventu_2020g~measure m - city of oxnard (vote 1)"/>
    <n v="7.1571122203562508E-3"/>
    <m/>
    <m/>
    <n v="0"/>
    <n v="0"/>
    <n v="0"/>
    <n v="0"/>
  </r>
  <r>
    <n v="98.210747622786357"/>
    <n v="12528.951000000001"/>
    <n v="9.8690647865964003E-49"/>
    <n v="9.8690647865963996E-51"/>
    <n v="12897.66"/>
    <n v="1289766"/>
    <n v="6448.83"/>
    <s v=""/>
    <x v="3"/>
    <n v="1"/>
    <n v="181579"/>
    <n v="96521"/>
    <n v="85058"/>
    <n v="11463"/>
    <s v="CA_Ventu_2020g~27th senatorial district (vote 1)"/>
    <n v="8.8876586915766116E-3"/>
    <m/>
    <m/>
    <n v="0"/>
    <n v="0"/>
    <n v="0"/>
    <n v="0"/>
  </r>
  <r>
    <n v="26.560392364793216"/>
    <n v="4459.884"/>
    <n v="1.2228166285855059E-64"/>
    <n v="1.2228166285855059E-66"/>
    <n v="12897.66"/>
    <n v="1289766"/>
    <n v="6448.83"/>
    <s v=""/>
    <x v="3"/>
    <n v="1"/>
    <n v="64636"/>
    <n v="39862"/>
    <n v="24774"/>
    <n v="15088"/>
    <s v="CA_Ventu_2020g~measure l - city of oxnard (vote 1)"/>
    <n v="1.1698246038428676E-2"/>
    <m/>
    <m/>
    <n v="10"/>
    <n v="9.6418644206602955E-2"/>
    <n v="0.40206958205894405"/>
    <n v="0.89289635967669589"/>
  </r>
  <r>
    <n v="24.187413467589682"/>
    <n v="4277.3100000000004"/>
    <n v="3.6473938083566082E-68"/>
    <n v="3.6473938083566081E-70"/>
    <n v="12897.66"/>
    <n v="1289766"/>
    <n v="6448.83"/>
    <s v=""/>
    <x v="3"/>
    <n v="1"/>
    <n v="61990"/>
    <n v="38940"/>
    <n v="23050"/>
    <n v="15890"/>
    <s v="CA_Ventu_2020g~oxnard city treasurer (vote 1)"/>
    <n v="1.2320064259718429E-2"/>
    <m/>
    <m/>
    <n v="13"/>
    <n v="0.12351591428663566"/>
    <n v="0.48763857828273782"/>
    <n v="0.94524595561523661"/>
  </r>
  <r>
    <n v="24.099652254549671"/>
    <n v="4627.6230000000005"/>
    <n v="3.6399965674762676E-74"/>
    <n v="3.6399965674762679E-76"/>
    <n v="12897.66"/>
    <n v="1289766"/>
    <n v="6448.83"/>
    <s v=""/>
    <x v="3"/>
    <n v="1"/>
    <n v="67067"/>
    <n v="37761"/>
    <n v="20507"/>
    <n v="17254"/>
    <s v="CA_Ventu_2020g~simi valley city mayor (vote 1)"/>
    <n v="1.3377620436575317E-2"/>
    <m/>
    <m/>
    <n v="19"/>
    <n v="0.17533229827007668"/>
    <n v="0.62387547034320878"/>
    <n v="0.98570503209136751"/>
  </r>
  <r>
    <n v="27.199445501494971"/>
    <n v="5568.2310000000007"/>
    <n v="3.4384200118702144E-79"/>
    <n v="3.4384200118702145E-81"/>
    <n v="12897.66"/>
    <n v="1289766"/>
    <n v="6448.83"/>
    <s v=""/>
    <x v="3"/>
    <n v="1"/>
    <n v="80699"/>
    <n v="49547"/>
    <n v="31152"/>
    <n v="18395"/>
    <s v="CA_Ventu_2020g~community college district area 4 (vote 1)"/>
    <n v="1.4262277033198271E-2"/>
    <m/>
    <m/>
    <n v="24"/>
    <n v="0.21619900782599533"/>
    <n v="0.70935505287132417"/>
    <n v="0.99533674156909346"/>
  </r>
  <r>
    <n v="15.355275564270517"/>
    <n v="4096.0470000000005"/>
    <n v="8.4050905071027779E-104"/>
    <n v="8.4050905071027775E-106"/>
    <n v="12897.66"/>
    <n v="1289766"/>
    <n v="6448.83"/>
    <s v=""/>
    <x v="3"/>
    <n v="1"/>
    <n v="59363"/>
    <n v="41666"/>
    <n v="17697"/>
    <n v="23969"/>
    <s v="CA_Ventu_2020g~member of the assembly 38th district (vote 1)"/>
    <n v="1.8583991204606107E-2"/>
    <m/>
    <m/>
    <n v="47"/>
    <n v="0.37992203768409161"/>
    <n v="0.91145757591694798"/>
    <n v="0.9999733720261752"/>
  </r>
  <r>
    <n v="14.189323179734245"/>
    <n v="4064.3760000000002"/>
    <n v="1.2328766081982082E-111"/>
    <n v="1.2328766081982082E-113"/>
    <n v="12897.66"/>
    <n v="1289766"/>
    <n v="6448.83"/>
    <s v=""/>
    <x v="3"/>
    <n v="1"/>
    <n v="58904"/>
    <n v="42321"/>
    <n v="16583"/>
    <n v="25738"/>
    <s v="CA_Ventu_2020g~measure i - city of san buenaventura (vote 1)"/>
    <n v="1.9955557829869915E-2"/>
    <m/>
    <m/>
    <n v="54"/>
    <n v="0.42269800327177742"/>
    <n v="0.93838794176916751"/>
    <n v="0.99999449465415124"/>
  </r>
  <r>
    <n v="13.116089914226562"/>
    <n v="3948.1800000000003"/>
    <n v="1.9178191941731853E-117"/>
    <n v="1.9178191941731853E-119"/>
    <n v="12897.66"/>
    <n v="1289766"/>
    <n v="6448.83"/>
    <s v=""/>
    <x v="3"/>
    <n v="1"/>
    <n v="57220"/>
    <n v="42134"/>
    <n v="15086"/>
    <n v="27048"/>
    <s v="CA_Ventu_2020g~measure j - city of san buenaventura (vote 1)"/>
    <n v="2.0971245946939211E-2"/>
    <m/>
    <m/>
    <n v="60"/>
    <n v="0.45704057982406332"/>
    <n v="0.95486254326418063"/>
    <n v="0.99999857650764135"/>
  </r>
  <r>
    <n v="14.377350502734169"/>
    <n v="4535.3700000000008"/>
    <n v="3.3604251234624501E-123"/>
    <n v="3.3604251234624498E-125"/>
    <n v="12897.66"/>
    <n v="1289766"/>
    <n v="6448.83"/>
    <s v=""/>
    <x v="3"/>
    <n v="1"/>
    <n v="65730"/>
    <n v="41512"/>
    <n v="13167"/>
    <n v="28345"/>
    <s v="CA_Ventu_2020g~oxnard city mayor (vote 1)"/>
    <n v="2.1976854716281868E-2"/>
    <m/>
    <m/>
    <n v="65"/>
    <n v="0.48411636424166249"/>
    <n v="0.96517987310387787"/>
    <n v="0.99999953936425545"/>
  </r>
  <r>
    <n v="13.38102713763376"/>
    <n v="4439.3910000000005"/>
    <n v="1.0298784331768058E-129"/>
    <n v="1.0298784331768058E-131"/>
    <n v="12897.66"/>
    <n v="1289766"/>
    <n v="6448.83"/>
    <s v=""/>
    <x v="3"/>
    <n v="1"/>
    <n v="64339"/>
    <n v="47075"/>
    <n v="17264"/>
    <n v="29811"/>
    <s v="CA_Ventu_2020g~measure h - ventura unified school district (vote 1)"/>
    <n v="2.3113495006070867E-2"/>
    <m/>
    <m/>
    <n v="72"/>
    <n v="0.51980185060562023"/>
    <n v="0.97579591899505169"/>
    <n v="0.99999990523733295"/>
  </r>
  <r>
    <n v="84.184922423648544"/>
    <n v="28683.093000000001"/>
    <n v="2.7371705185340651E-133"/>
    <n v="2.737170518534065E-135"/>
    <n v="12897.66"/>
    <n v="1289766"/>
    <n v="6448.83"/>
    <s v=""/>
    <x v="3"/>
    <n v="1"/>
    <n v="415697"/>
    <n v="223156"/>
    <n v="192541"/>
    <n v="30615"/>
    <s v="CA_Ventu_2020g~constitutional amendment. (vote 1)"/>
    <n v="2.3736863896241644E-2"/>
    <m/>
    <m/>
    <n v="75"/>
    <n v="0.5343410096059642"/>
    <n v="0.9792916838191067"/>
    <n v="0.99999995190836155"/>
  </r>
  <r>
    <n v="21.267823579962855"/>
    <n v="8538.1290000000008"/>
    <n v="1.2717427461298063E-157"/>
    <n v="1.2717427461298063E-159"/>
    <n v="12897.66"/>
    <n v="1289766"/>
    <n v="6448.83"/>
    <s v=""/>
    <x v="3"/>
    <n v="1"/>
    <n v="123741"/>
    <n v="79907"/>
    <n v="43834"/>
    <n v="36073"/>
    <s v="CA_Ventu_2020g~member of the assembly 37th district (vote 1)"/>
    <n v="2.7968639272550215E-2"/>
    <m/>
    <m/>
    <n v="98"/>
    <n v="0.63230431295792844"/>
    <n v="0.99375279751988588"/>
    <n v="0.99999999973785914"/>
  </r>
  <r>
    <n v="58.192281121908536"/>
    <n v="28123.710000000003"/>
    <n v="1.4294414599691837E-190"/>
    <n v="1.4294414599691837E-192"/>
    <n v="12897.66"/>
    <n v="1289766"/>
    <n v="6448.83"/>
    <s v=""/>
    <x v="3"/>
    <n v="1"/>
    <n v="407590"/>
    <n v="225508"/>
    <n v="182082"/>
    <n v="43426"/>
    <s v="CA_Ventu_2020g~initiative statute. (vote 1)"/>
    <n v="3.366967341362697E-2"/>
    <m/>
    <m/>
    <n v="129"/>
    <n v="0.73292279290311169"/>
    <n v="0.99876653441935914"/>
    <n v="0.99999999999977451"/>
  </r>
  <r>
    <n v="28.737648693236086"/>
    <n v="14733.570000000002"/>
    <n v="1.8565840026597523E-202"/>
    <n v="1.8565840026597523E-204"/>
    <n v="12897.66"/>
    <n v="1289766"/>
    <n v="6448.83"/>
    <s v=""/>
    <x v="3"/>
    <n v="1"/>
    <n v="213530"/>
    <n v="129799"/>
    <n v="83731"/>
    <n v="46068"/>
    <s v="CA_Ventu_2020g~member of the assembly 44th district (vote 1)"/>
    <n v="3.5718107005456801E-2"/>
    <m/>
    <m/>
    <n v="140"/>
    <n v="0.76165709314775798"/>
    <n v="0.99930774017028012"/>
    <n v="0.99999999999998179"/>
  </r>
  <r>
    <n v="42.937858744589498"/>
    <n v="27489.669000000002"/>
    <n v="2.632099858971645E-254"/>
    <n v="2.6320998589716449E-256"/>
    <n v="12897.66"/>
    <n v="1289766"/>
    <n v="6448.83"/>
    <s v=""/>
    <x v="3"/>
    <n v="1"/>
    <n v="398401"/>
    <n v="227964"/>
    <n v="170437"/>
    <n v="57527"/>
    <s v="CA_Ventu_2020g~cultivation program (vote 1)"/>
    <n v="4.460266435927137E-2"/>
    <m/>
    <m/>
    <n v="188"/>
    <n v="0.85529992251679476"/>
    <n v="0.99994500353887417"/>
    <n v="1"/>
  </r>
  <r>
    <n v="41.8119284165561"/>
    <n v="28758.096000000001"/>
    <n v="8.9881282591158249E-274"/>
    <n v="8.9881282591158254E-276"/>
    <n v="12897.66"/>
    <n v="1289766"/>
    <n v="6448.83"/>
    <s v=""/>
    <x v="3"/>
    <n v="1"/>
    <n v="416784"/>
    <n v="239293"/>
    <n v="177491"/>
    <n v="61802"/>
    <s v="CA_Ventu_2020g~changing tax asssesments (vote 1)"/>
    <n v="4.7917219092455533E-2"/>
    <m/>
    <m/>
    <n v="206"/>
    <n v="0.88011557123139517"/>
    <n v="0.99997883467021453"/>
    <n v="1"/>
  </r>
  <r>
    <n v="21.713468222442902"/>
    <n v="15573.852000000001"/>
    <n v="7.4278692570615904E-286"/>
    <n v="7.4278692570615908E-288"/>
    <n v="12897.66"/>
    <n v="1289766"/>
    <n v="6448.83"/>
    <s v=""/>
    <x v="3"/>
    <n v="1"/>
    <n v="225708"/>
    <n v="145078"/>
    <n v="80630"/>
    <n v="64448"/>
    <s v="CA_Ventu_2020g~19th senatorial district (vote 1)"/>
    <n v="4.996875402204741E-2"/>
    <m/>
    <m/>
    <n v="217"/>
    <n v="0.89316472505885192"/>
    <n v="0.99998820803155375"/>
    <n v="1"/>
  </r>
  <r>
    <n v="36.718181553086637"/>
    <n v="28026.834000000003"/>
    <n v="8.3660410465790739E-305"/>
    <n v="8.3660410465790736E-307"/>
    <n v="12897.66"/>
    <n v="1289766"/>
    <n v="6448.83"/>
    <s v=""/>
    <x v="3"/>
    <n v="1"/>
    <n v="406186"/>
    <n v="237386"/>
    <n v="168800"/>
    <n v="68586"/>
    <s v="CA_Ventu_2020g~and flight risk. (vote 1)"/>
    <n v="5.3177087936881577E-2"/>
    <m/>
    <m/>
    <n v="234"/>
    <n v="0.91062981758897954"/>
    <n v="0.99999523488230102"/>
    <n v="1"/>
  </r>
  <r>
    <n v="28.99619252279803"/>
    <n v="23426.052000000003"/>
    <n v="0"/>
    <n v="0"/>
    <n v="12897.66"/>
    <n v="1289766"/>
    <n v="6448.83"/>
    <s v=""/>
    <x v="3"/>
    <n v="1"/>
    <n v="339508"/>
    <n v="206051"/>
    <n v="133457"/>
    <n v="72594"/>
    <s v="CA_Ventu_2020g~26th congressional district (vote 1)"/>
    <n v="5.6284628374449322E-2"/>
    <m/>
    <m/>
    <n v="251"/>
    <n v="0.92527651136991962"/>
    <n v="0.99999807932588203"/>
    <n v="1"/>
  </r>
  <r>
    <n v="33.913335435056744"/>
    <n v="28732.428000000004"/>
    <n v="0"/>
    <n v="0"/>
    <n v="12897.66"/>
    <n v="1289766"/>
    <n v="6448.83"/>
    <s v=""/>
    <x v="3"/>
    <n v="1"/>
    <n v="416412"/>
    <n v="246270"/>
    <n v="170142"/>
    <n v="76128"/>
    <s v="CA_Ventu_2020g~special elections (vote 1)"/>
    <n v="5.902466028721489E-2"/>
    <m/>
    <m/>
    <n v="266"/>
    <n v="0.93621937567519964"/>
    <n v="0.99999914032342596"/>
    <n v="1"/>
  </r>
  <r>
    <n v="31.119958486742942"/>
    <n v="28031.664000000001"/>
    <n v="0"/>
    <n v="0"/>
    <n v="12897.66"/>
    <n v="1289766"/>
    <n v="6448.83"/>
    <s v=""/>
    <x v="3"/>
    <n v="1"/>
    <n v="406256"/>
    <n v="243597"/>
    <n v="162659"/>
    <n v="80938"/>
    <s v="CA_Ventu_2020g~certain offenses treated as misdemeanors (vote 1)"/>
    <n v="6.2754018946072382E-2"/>
    <m/>
    <m/>
    <n v="286"/>
    <n v="0.9483897187453374"/>
    <n v="0.99999970658142978"/>
    <n v="1"/>
  </r>
  <r>
    <n v="31.545145660991459"/>
    <n v="28476.093000000001"/>
    <n v="0"/>
    <n v="0"/>
    <n v="12897.66"/>
    <n v="1289766"/>
    <n v="6448.83"/>
    <s v=""/>
    <x v="3"/>
    <n v="1"/>
    <n v="412697"/>
    <n v="246905"/>
    <n v="165792"/>
    <n v="81113"/>
    <s v="CA_Ventu_2020g~benefits to certain drivers. (vote 1)"/>
    <n v="6.2889702473161793E-2"/>
    <m/>
    <m/>
    <n v="287"/>
    <n v="0.94893413099485913"/>
    <n v="0.99999972196185793"/>
    <n v="1"/>
  </r>
  <r>
    <n v="29.395442975521693"/>
    <n v="29174.925000000003"/>
    <n v="0"/>
    <n v="0"/>
    <n v="12897.66"/>
    <n v="1289766"/>
    <n v="6448.83"/>
    <s v=""/>
    <x v="3"/>
    <n v="1"/>
    <n v="422825"/>
    <n v="251388"/>
    <n v="162207"/>
    <n v="89181"/>
    <s v="CA_Ventu_2020g~president and vice president (vote 1)"/>
    <n v="6.9145100739203852E-2"/>
    <m/>
    <m/>
    <n v="321"/>
    <n v="0.96442908750154521"/>
    <n v="0.99999995566504818"/>
    <n v="1"/>
  </r>
  <r>
    <n v="25.906586413748379"/>
    <n v="28453.254000000001"/>
    <n v="0"/>
    <n v="0"/>
    <n v="12897.66"/>
    <n v="1289766"/>
    <n v="6448.83"/>
    <s v=""/>
    <x v="3"/>
    <n v="1"/>
    <n v="412366"/>
    <n v="255527"/>
    <n v="156839"/>
    <n v="98688"/>
    <s v="CA_Ventu_2020g~decisions. legislative constitutiona... (vote 1)"/>
    <n v="7.6516205265141121E-2"/>
    <m/>
    <m/>
    <n v="361"/>
    <n v="0.97681422204080126"/>
    <n v="0.99999999495528458"/>
    <n v="1"/>
  </r>
  <r>
    <n v="24.024765577737448"/>
    <n v="28285.86"/>
    <n v="0"/>
    <n v="0"/>
    <n v="12897.66"/>
    <n v="1289766"/>
    <n v="6448.83"/>
    <s v=""/>
    <x v="3"/>
    <n v="1"/>
    <n v="409940"/>
    <n v="257866"/>
    <n v="152074"/>
    <n v="105792"/>
    <s v="CA_Ventu_2020g~residential property. initiative statute. (vote 1)"/>
    <n v="8.2024181130530657E-2"/>
    <m/>
    <m/>
    <n v="391"/>
    <n v="0.98321160941872199"/>
    <n v="0.99999999902115988"/>
    <n v="1"/>
  </r>
  <r>
    <n v="19.64827830261255"/>
    <n v="28423.998000000003"/>
    <n v="0"/>
    <n v="0"/>
    <n v="12897.66"/>
    <n v="1289766"/>
    <n v="6448.83"/>
    <s v=""/>
    <x v="3"/>
    <n v="1"/>
    <n v="411942"/>
    <n v="270965"/>
    <n v="140977"/>
    <n v="129988"/>
    <s v="CA_Ventu_2020g~medical professional. (vote 1)"/>
    <n v="0.10078417325313274"/>
    <m/>
    <m/>
    <n v="492"/>
    <n v="0.99440533268010223"/>
    <n v="0.99999999999631628"/>
    <n v="1"/>
  </r>
  <r>
    <n v="59.043076923076924"/>
    <n v="170.84400000000002"/>
    <n v="68.366736536304671"/>
    <n v="0.68366736536304673"/>
    <n v="350"/>
    <n v="239424.99999999997"/>
    <n v="1197.1249999999998"/>
    <s v=""/>
    <x v="4"/>
    <n v="1"/>
    <n v="2476"/>
    <n v="1368"/>
    <n v="1108"/>
    <n v="260"/>
    <s v="CO_Adams_2020g~Strasburg School District 31J Ballot Issue 5B (Vote for 1)"/>
    <n v="1.0859350527305002E-3"/>
    <m/>
    <m/>
    <n v="0"/>
    <n v="0"/>
    <n v="0"/>
    <n v="0"/>
  </r>
  <r>
    <n v="528.47619047619048"/>
    <n v="1729.14"/>
    <n v="65.048062324958508"/>
    <n v="0.65048062324958511"/>
    <n v="350"/>
    <n v="239424.99999999997"/>
    <n v="1197.1249999999998"/>
    <s v=""/>
    <x v="4"/>
    <n v="1"/>
    <n v="25060"/>
    <n v="12677"/>
    <n v="12383"/>
    <n v="294"/>
    <s v="CO_Adams_2020g~Greater Brighton Fire Protection District Ballot Issue 7B (Vote for 1)"/>
    <n v="1.2279419442414118E-3"/>
    <m/>
    <m/>
    <n v="0"/>
    <n v="0"/>
    <n v="0"/>
    <n v="0"/>
  </r>
  <r>
    <n v="369.69079054604725"/>
    <n v="5048.2470000000003"/>
    <n v="16.558275323682086"/>
    <n v="0.16558275323682087"/>
    <n v="350"/>
    <n v="239424.99999999997"/>
    <n v="1197.1249999999998"/>
    <s v=""/>
    <x v="4"/>
    <n v="1"/>
    <n v="73163"/>
    <n v="37195"/>
    <n v="35968"/>
    <n v="1227"/>
    <s v="CO_Adams_2020g~State Senator - District 25 (Vote for 1)"/>
    <n v="5.1247781142320144E-3"/>
    <m/>
    <m/>
    <n v="0"/>
    <n v="0"/>
    <n v="0"/>
    <n v="0"/>
  </r>
  <r>
    <n v="45.254612682566091"/>
    <n v="2724.1890000000003"/>
    <n v="3.3621685254484994E-2"/>
    <n v="3.3621685254484995E-4"/>
    <n v="350"/>
    <n v="239424.99999999997"/>
    <n v="1197.1249999999998"/>
    <s v=""/>
    <x v="4"/>
    <n v="1"/>
    <n v="39481"/>
    <n v="22445"/>
    <n v="17036"/>
    <n v="5409"/>
    <s v="CO_Adams_2020g~State Representative - District 30 (Vote for 1)"/>
    <n v="2.2591625770074137E-2"/>
    <m/>
    <m/>
    <n v="13"/>
    <n v="0.12335048492102574"/>
    <n v="0.4893093223134688"/>
    <n v="0.94636133211872497"/>
  </r>
  <r>
    <n v="35.580198341733052"/>
    <n v="2435.6310000000003"/>
    <n v="1.1063539654671333E-2"/>
    <n v="1.1063539654671334E-4"/>
    <n v="350"/>
    <n v="239424.99999999997"/>
    <n v="1197.1249999999998"/>
    <s v=""/>
    <x v="4"/>
    <n v="1"/>
    <n v="35299"/>
    <n v="19845"/>
    <n v="13694"/>
    <n v="6151"/>
    <s v="CO_Adams_2020g~State Representative - District 34 (Vote for 1)"/>
    <n v="2.5690717343635799E-2"/>
    <m/>
    <m/>
    <n v="16"/>
    <n v="0.14975822016501605"/>
    <n v="0.56313934656741638"/>
    <n v="0.97283193861342798"/>
  </r>
  <r>
    <n v="28.481375730045428"/>
    <n v="2442.2550000000001"/>
    <n v="1.0663709541624299E-3"/>
    <n v="1.0663709541624299E-5"/>
    <n v="350"/>
    <n v="239424.99999999997"/>
    <n v="1197.1249999999998"/>
    <s v=""/>
    <x v="4"/>
    <n v="1"/>
    <n v="35395"/>
    <n v="20786"/>
    <n v="13081"/>
    <n v="7705"/>
    <s v="CO_Adams_2020g~State Representative - District 56 (Vote for 1)"/>
    <n v="3.2181267620340404E-2"/>
    <m/>
    <m/>
    <n v="23"/>
    <n v="0.20856514826029648"/>
    <n v="0.69701715462829039"/>
    <n v="0.99448609909998265"/>
  </r>
  <r>
    <n v="18.653338547267573"/>
    <n v="2123.4750000000004"/>
    <n v="2.3074815616138826E-5"/>
    <n v="2.3074815616138826E-7"/>
    <n v="350"/>
    <n v="239424.99999999997"/>
    <n v="1197.1249999999998"/>
    <s v=""/>
    <x v="4"/>
    <n v="1"/>
    <n v="30775"/>
    <n v="19597"/>
    <n v="9368"/>
    <n v="10229"/>
    <s v="CO_Adams_2020g~State Representative - District 32 (Vote for 1)"/>
    <n v="4.2723190978385721E-2"/>
    <m/>
    <m/>
    <n v="33"/>
    <n v="0.2861242433938268"/>
    <n v="0.82106825840096265"/>
    <n v="0.99944544707705552"/>
  </r>
  <r>
    <n v="24.90533840869"/>
    <n v="2985.4230000000002"/>
    <n v="1.0075288366257711E-5"/>
    <n v="1.0075288366257711E-7"/>
    <n v="350"/>
    <n v="239424.99999999997"/>
    <n v="1197.1249999999998"/>
    <s v=""/>
    <x v="4"/>
    <n v="1"/>
    <n v="43267"/>
    <n v="27019"/>
    <n v="16248"/>
    <n v="10771"/>
    <s v="CO_Adams_2020g~State Representative - District 35 (Vote for 1)"/>
    <n v="4.4986947896000842E-2"/>
    <m/>
    <m/>
    <n v="36"/>
    <n v="0.30799464781742869"/>
    <n v="0.84735775447387574"/>
    <n v="0.99972279007910037"/>
  </r>
  <r>
    <n v="13.896052082463902"/>
    <n v="1852.8570000000002"/>
    <n v="1.5730624691514071E-6"/>
    <n v="1.5730624691514071E-8"/>
    <n v="350"/>
    <n v="239424.99999999997"/>
    <n v="1197.1249999999998"/>
    <s v=""/>
    <x v="4"/>
    <n v="1"/>
    <n v="26853"/>
    <n v="19417"/>
    <n v="7436"/>
    <n v="11981"/>
    <s v="CO_Adams_2020g~South Adams County Fire Protection District No. 4 Ballot Issue 6A (Vote for 1)"/>
    <n v="5.0040722564477398E-2"/>
    <m/>
    <m/>
    <n v="41"/>
    <n v="0.34308477241300472"/>
    <n v="0.88298383862829133"/>
    <n v="0.99991311032126895"/>
  </r>
  <r>
    <n v="89.852257531365041"/>
    <n v="13310.583000000001"/>
    <n v="2.0196906362831524E-7"/>
    <n v="2.0196906362831525E-9"/>
    <n v="350"/>
    <n v="239424.99999999997"/>
    <n v="1197.1249999999998"/>
    <s v=""/>
    <x v="4"/>
    <n v="1"/>
    <n v="192907"/>
    <n v="103109"/>
    <n v="89798"/>
    <n v="13311"/>
    <s v="CO_Adams_2020g~District Court Judge - 17th Judicial District - Crespin (Vote for 1)"/>
    <n v="5.5595698026521881E-2"/>
    <m/>
    <m/>
    <n v="46"/>
    <n v="0.3765368777425403"/>
    <n v="0.91040098621277155"/>
    <n v="0.99997291872188399"/>
  </r>
  <r>
    <n v="22.880944026260682"/>
    <n v="4499.2830000000004"/>
    <n v="2.2236125220836963E-10"/>
    <n v="2.2236125220836963E-12"/>
    <n v="350"/>
    <n v="239424.99999999997"/>
    <n v="1197.1249999999998"/>
    <s v=""/>
    <x v="4"/>
    <n v="1"/>
    <n v="65207"/>
    <n v="41438"/>
    <n v="23769"/>
    <n v="17669"/>
    <s v="CO_Adams_2020g~State Senator - District 21 (Vote for 1)"/>
    <n v="7.379764017959696E-2"/>
    <m/>
    <m/>
    <n v="65"/>
    <n v="0.4899142447415481"/>
    <n v="0.96786676932088989"/>
    <n v="0.9999996938881307"/>
  </r>
  <r>
    <n v="61.002377889179719"/>
    <n v="15303.027000000002"/>
    <n v="9.3391293908185805E-14"/>
    <n v="9.3391293908185809E-16"/>
    <n v="350"/>
    <n v="239424.99999999997"/>
    <n v="1197.1249999999998"/>
    <s v=""/>
    <x v="4"/>
    <n v="1"/>
    <n v="221783"/>
    <n v="122162"/>
    <n v="99621"/>
    <n v="22541"/>
    <s v="CO_Adams_2020g~District Attorney - 17th Judicial District (Vote for 1)"/>
    <n v="9.414639239845464E-2"/>
    <m/>
    <m/>
    <n v="85"/>
    <n v="0.58858040780370824"/>
    <n v="0.98928991634743813"/>
    <n v="0.99999999750898327"/>
  </r>
  <r>
    <n v="43.160413037281046"/>
    <n v="15164.613000000001"/>
    <n v="3.2070939306773462E-20"/>
    <n v="3.2070939306773462E-22"/>
    <n v="350"/>
    <n v="239424.99999999997"/>
    <n v="1197.1249999999998"/>
    <s v=""/>
    <x v="4"/>
    <n v="1"/>
    <n v="219777"/>
    <n v="125674"/>
    <n v="94103"/>
    <n v="31571"/>
    <s v="CO_Adams_2020g~Adams County Commissioner - District 5 (Vote for 1)"/>
    <n v="0.13186175211444087"/>
    <m/>
    <m/>
    <n v="123"/>
    <n v="0.72950425857299117"/>
    <n v="0.99874576749307709"/>
    <n v="0.9999999999997975"/>
  </r>
  <r>
    <n v="33.568458288297144"/>
    <n v="15207.876000000002"/>
    <n v="4.7090585678797814E-27"/>
    <n v="4.7090585678797813E-29"/>
    <n v="350"/>
    <n v="239424.99999999997"/>
    <n v="1197.1249999999998"/>
    <s v=""/>
    <x v="4"/>
    <n v="1"/>
    <n v="220404"/>
    <n v="130556"/>
    <n v="89848"/>
    <n v="40708"/>
    <s v="CO_Adams_2020g~Adams County Ballot Issue 1C (Vote for 1)"/>
    <n v="0.17002401587135849"/>
    <m/>
    <m/>
    <n v="161"/>
    <n v="0.82483794785415476"/>
    <n v="0.99986434917209299"/>
    <n v="1"/>
  </r>
  <r>
    <n v="32.92286931138441"/>
    <n v="15313.308000000001"/>
    <n v="6.9175167713552155E-28"/>
    <n v="6.9175167713552153E-30"/>
    <n v="350"/>
    <n v="239424.99999999997"/>
    <n v="1197.1249999999998"/>
    <s v=""/>
    <x v="4"/>
    <n v="1"/>
    <n v="221932"/>
    <n v="131863"/>
    <n v="90069"/>
    <n v="41794"/>
    <s v="CO_Adams_2020g~Adams County Commissioner - District 1 (Vote for 1)"/>
    <n v="0.17455988305314818"/>
    <m/>
    <m/>
    <n v="166"/>
    <n v="0.83476891227955963"/>
    <n v="0.99989939622404589"/>
    <n v="1"/>
  </r>
  <r>
    <n v="17.764888030421922"/>
    <n v="13101.582"/>
    <n v="5.5551384665048095E-48"/>
    <n v="5.5551384665048095E-50"/>
    <n v="350"/>
    <n v="239424.99999999997"/>
    <n v="1197.1249999999998"/>
    <s v=""/>
    <x v="4"/>
    <n v="1"/>
    <n v="189878"/>
    <n v="128073"/>
    <n v="61805"/>
    <n v="66268"/>
    <s v="CO_Adams_2020g~District Court Judge - 17th Judicial District - Warner (Vote for 1)"/>
    <n v="0.27677978490132615"/>
    <m/>
    <m/>
    <n v="269"/>
    <n v="0.953606907650418"/>
    <n v="0.99999985082468146"/>
    <n v="1"/>
  </r>
  <r>
    <n v="15.560571856562817"/>
    <n v="13179.069000000001"/>
    <n v="7.1831958599047059E-57"/>
    <n v="7.1831958599047058E-59"/>
    <n v="350"/>
    <n v="239424.99999999997"/>
    <n v="1197.1249999999998"/>
    <s v=""/>
    <x v="4"/>
    <n v="1"/>
    <n v="191001"/>
    <n v="133552"/>
    <n v="57449"/>
    <n v="76103"/>
    <s v="CO_Adams_2020g~District Court Judge - 17th Judicial District - Ramirez (Vote for 1)"/>
    <n v="0.31785736660749719"/>
    <m/>
    <m/>
    <n v="310"/>
    <n v="0.97311431228426926"/>
    <n v="0.99999999095964365"/>
    <n v="1"/>
  </r>
  <r>
    <n v="14.946182998086114"/>
    <n v="13123.455000000002"/>
    <n v="1.7118061549972425E-59"/>
    <n v="1.7118061549972427E-61"/>
    <n v="350"/>
    <n v="239424.99999999997"/>
    <n v="1197.1249999999998"/>
    <s v=""/>
    <x v="4"/>
    <n v="1"/>
    <n v="190195"/>
    <n v="134546"/>
    <n v="55649"/>
    <n v="78897"/>
    <s v="CO_Adams_2020g~District Court Judge - 17th Judicial District - Kiesnowski (Vote for 1)"/>
    <n v="0.32952699175107031"/>
    <m/>
    <m/>
    <n v="322"/>
    <n v="0.97719199625292408"/>
    <n v="0.99999999612026091"/>
    <n v="1"/>
  </r>
  <r>
    <n v="14.681660899653981"/>
    <n v="13174.515000000001"/>
    <n v="3.824788299858388E-61"/>
    <n v="3.8247882998583881E-63"/>
    <n v="350"/>
    <n v="239424.99999999997"/>
    <n v="1197.1249999999998"/>
    <s v=""/>
    <x v="4"/>
    <n v="1"/>
    <n v="190935"/>
    <n v="135783"/>
    <n v="55152"/>
    <n v="80631"/>
    <s v="CO_Adams_2020g~District Court Judge - 17th Judicial District - Datz (Vote for 1)"/>
    <n v="0.33676934321812679"/>
    <m/>
    <m/>
    <n v="329"/>
    <n v="0.9793004542442828"/>
    <n v="0.99999999764452718"/>
    <n v="1"/>
  </r>
  <r>
    <n v="14.828786923412718"/>
    <n v="13609.698"/>
    <n v="6.5150476309395546E-63"/>
    <n v="6.5150476309395545E-65"/>
    <n v="350"/>
    <n v="239424.99999999997"/>
    <n v="1197.1249999999998"/>
    <s v=""/>
    <x v="4"/>
    <n v="1"/>
    <n v="197242"/>
    <n v="139855"/>
    <n v="57387"/>
    <n v="82468"/>
    <s v="CO_Adams_2020g~Adams County Commissioner - District 2 (Vote for 1)"/>
    <n v="0.34444189203299574"/>
    <m/>
    <m/>
    <n v="337"/>
    <n v="0.9814904615425778"/>
    <n v="0.99999999867515643"/>
    <n v="1"/>
  </r>
  <r>
    <n v="14.272598086870943"/>
    <n v="13234.407000000001"/>
    <n v="9.717059320586459E-64"/>
    <n v="9.7170593205864589E-66"/>
    <n v="350"/>
    <n v="239424.99999999997"/>
    <n v="1197.1249999999998"/>
    <s v=""/>
    <x v="4"/>
    <n v="1"/>
    <n v="191803"/>
    <n v="137561"/>
    <n v="54242"/>
    <n v="83319"/>
    <s v="CO_Adams_2020g~Adams County Court Judge - Flaum (Vote for 1)"/>
    <n v="0.3479962409940483"/>
    <m/>
    <m/>
    <n v="341"/>
    <n v="0.98250386184717775"/>
    <n v="0.9999999990084768"/>
    <n v="1"/>
  </r>
  <r>
    <n v="13.934588224179873"/>
    <n v="13132.356000000002"/>
    <n v="4.5136788945024209E-65"/>
    <n v="4.513678894502421E-67"/>
    <n v="350"/>
    <n v="239424.99999999997"/>
    <n v="1197.1249999999998"/>
    <s v=""/>
    <x v="4"/>
    <n v="1"/>
    <n v="190324"/>
    <n v="137503"/>
    <n v="52821"/>
    <n v="84682"/>
    <s v="CO_Adams_2020g~District Court Judge - 17th Judicial District - Finn (Vote for 1)"/>
    <n v="0.35368904667432394"/>
    <m/>
    <m/>
    <n v="346"/>
    <n v="0.98369903864256092"/>
    <n v="0.99999999931116446"/>
    <n v="1"/>
  </r>
  <r>
    <n v="13.322145258455359"/>
    <n v="13142.292000000001"/>
    <n v="5.176179330586251E-69"/>
    <n v="5.1761793305862509E-71"/>
    <n v="350"/>
    <n v="239424.99999999997"/>
    <n v="1197.1249999999998"/>
    <s v=""/>
    <x v="4"/>
    <n v="1"/>
    <n v="190468"/>
    <n v="139555"/>
    <n v="50913"/>
    <n v="88642"/>
    <s v="CO_Adams_2020g~District Court Judge - 17th Judicial District - Loew (Vote for 1)"/>
    <n v="0.3702286728620654"/>
    <m/>
    <m/>
    <n v="363"/>
    <n v="0.9872250788915109"/>
    <n v="0.99999999980367438"/>
    <n v="1"/>
  </r>
  <r>
    <n v="13.013412427767848"/>
    <n v="13208.049000000001"/>
    <n v="1.3008059328182673E-71"/>
    <n v="1.3008059328182673E-73"/>
    <n v="350"/>
    <n v="239424.99999999997"/>
    <n v="1197.1249999999998"/>
    <s v=""/>
    <x v="4"/>
    <n v="1"/>
    <n v="191421"/>
    <n v="141310"/>
    <n v="50111"/>
    <n v="91199"/>
    <s v="CO_Adams_2020g~Adams County Court Judge - Kirby (Vote for 1)"/>
    <n v="0.38090842643834188"/>
    <m/>
    <m/>
    <n v="374"/>
    <n v="0.98911821893010388"/>
    <n v="0.9999999999140865"/>
    <n v="1"/>
  </r>
  <r>
    <n v="12.418114716284792"/>
    <n v="15278.325000000001"/>
    <n v="7.0556057259994121E-93"/>
    <n v="7.0556057259994122E-95"/>
    <n v="350"/>
    <n v="239424.99999999997"/>
    <n v="1197.1249999999998"/>
    <s v=""/>
    <x v="4"/>
    <n v="1"/>
    <n v="221425"/>
    <n v="165988"/>
    <n v="55437"/>
    <n v="110551"/>
    <s v="CO_Adams_2020g~Adams County Ballot Issue 1B (Vote for 1)"/>
    <n v="0.46173540774772898"/>
    <m/>
    <m/>
    <n v="455"/>
    <n v="0.99688893503769449"/>
    <n v="0.99999999999986611"/>
    <n v="1"/>
  </r>
  <r>
    <n v="9.4996120364658303"/>
    <n v="15423.708000000001"/>
    <n v="1.3540324439525299E-141"/>
    <n v="1.3540324439525298E-143"/>
    <n v="350"/>
    <n v="239424.99999999997"/>
    <n v="1197.1249999999998"/>
    <s v=""/>
    <x v="4"/>
    <n v="1"/>
    <n v="223532"/>
    <n v="184711"/>
    <n v="38821"/>
    <n v="145890"/>
    <s v="CO_Adams_2020g~Adams County Ballot Issue 1A (Vote for 1)"/>
    <n v="0.6093348647802026"/>
    <m/>
    <m/>
    <n v="603"/>
    <n v="0.99978925307025801"/>
    <n v="1"/>
    <n v="1"/>
  </r>
  <r>
    <n v="149.15094339622644"/>
    <n v="149.15094339622644"/>
    <n v="94.13581407062226"/>
    <n v="0.94135814070622259"/>
    <n v="677"/>
    <n v="593772"/>
    <n v="2968.86"/>
    <n v="5"/>
    <x v="5"/>
    <n v="1"/>
    <n v="1275"/>
    <n v="664"/>
    <n v="611"/>
    <n v="53"/>
    <s v="CO_Arapa_2020g~w/Adams_Byers School District 32J Ballot Issue 5A (Vote For 1)"/>
    <n v="8.9259850582378423E-5"/>
    <m/>
    <m/>
    <n v="0"/>
    <n v="0"/>
    <n v="0"/>
    <n v="0"/>
  </r>
  <r>
    <n v="47.533333333333339"/>
    <n v="47.610000000000007"/>
    <n v="92.029157432547066"/>
    <n v="0.92029157432547071"/>
    <n v="327"/>
    <n v="354347"/>
    <n v="1771.7349999999999"/>
    <s v=""/>
    <x v="5"/>
    <n v="1"/>
    <n v="690"/>
    <n v="390"/>
    <n v="300"/>
    <n v="90"/>
    <s v="CO_Arapa_2020g~Sundance Hills Metro District Ballot Issue 6B (Vote For 1)"/>
    <n v="2.5398832218136462E-4"/>
    <m/>
    <m/>
    <n v="0"/>
    <n v="0"/>
    <n v="0"/>
    <n v="0"/>
  </r>
  <r>
    <n v="3030.3892215568862"/>
    <n v="5632.1250000000009"/>
    <n v="85.71451758842781"/>
    <n v="0.85714517588427808"/>
    <n v="327"/>
    <n v="354347"/>
    <n v="1771.7349999999999"/>
    <s v=""/>
    <x v="5"/>
    <n v="1"/>
    <n v="81625"/>
    <n v="40896"/>
    <n v="40729"/>
    <n v="167"/>
    <s v="CO_Arapa_2020g~Arapahoe County Commissioner - District 3 (Vote For 1)"/>
    <n v="4.7128944226986543E-4"/>
    <m/>
    <m/>
    <n v="0"/>
    <n v="0"/>
    <n v="0"/>
    <n v="0"/>
  </r>
  <r>
    <n v="24.042222222222225"/>
    <n v="48.162000000000006"/>
    <n v="84.691870693238258"/>
    <n v="0.84691870693238258"/>
    <n v="327"/>
    <n v="354347"/>
    <n v="1771.7349999999999"/>
    <s v=""/>
    <x v="5"/>
    <n v="1"/>
    <n v="698"/>
    <n v="439"/>
    <n v="259"/>
    <n v="180"/>
    <s v="CO_Arapa_2020g~Ballot Issue 6A (Vote For 1)"/>
    <n v="5.0797664436272923E-4"/>
    <m/>
    <m/>
    <n v="0"/>
    <n v="0"/>
    <n v="0"/>
    <n v="0"/>
  </r>
  <r>
    <n v="59.015621948838124"/>
    <n v="3363.4050000000002"/>
    <n v="0.61853663600572573"/>
    <n v="6.1853663600572569E-3"/>
    <n v="582"/>
    <n v="588619"/>
    <n v="2943.0949999999998"/>
    <n v="23"/>
    <x v="5"/>
    <n v="1"/>
    <n v="48745"/>
    <n v="21053"/>
    <n v="15932"/>
    <n v="5121"/>
    <s v="CO_Arapa_2020g~w/Dougl_Regional Transportation District Director - District H (Vote For 1)"/>
    <n v="8.70002497370965E-3"/>
    <m/>
    <m/>
    <n v="0"/>
    <n v="0"/>
    <n v="0"/>
    <n v="0"/>
  </r>
  <r>
    <n v="21.245770392749243"/>
    <n v="1252.2120000000002"/>
    <n v="0.72687762638583064"/>
    <n v="7.268776263858307E-3"/>
    <n v="327"/>
    <n v="354347"/>
    <n v="1771.7349999999999"/>
    <s v=""/>
    <x v="5"/>
    <n v="1"/>
    <n v="18148"/>
    <n v="11722"/>
    <n v="6426"/>
    <n v="5296"/>
    <s v="CO_Arapa_2020g~City of Englewood Ballot Issue 2B (Vote For 1)"/>
    <n v="1.4945801714138965E-2"/>
    <m/>
    <m/>
    <n v="8"/>
    <n v="7.8625614800590604E-2"/>
    <n v="0.33855297551565489"/>
    <n v="0.83364700649803269"/>
  </r>
  <r>
    <n v="55.564739574011099"/>
    <n v="3454.8990000000003"/>
    <n v="0.55337069537108707"/>
    <n v="5.5337069537108709E-3"/>
    <n v="327"/>
    <n v="354347"/>
    <n v="1771.7349999999999"/>
    <s v=""/>
    <x v="5"/>
    <n v="1"/>
    <n v="50071"/>
    <n v="27829"/>
    <n v="22242"/>
    <n v="5587"/>
    <s v="CO_Arapa_2020g~State Representative - District 37 (Vote For 1)"/>
    <n v="1.5767030622525376E-2"/>
    <m/>
    <m/>
    <n v="9"/>
    <n v="8.8032727071486683E-2"/>
    <n v="0.37194423199841553"/>
    <n v="0.86714406417993772"/>
  </r>
  <r>
    <n v="55.680183747821957"/>
    <n v="3911.9550000000004"/>
    <n v="0.27995127458567526"/>
    <n v="2.7995127458567523E-3"/>
    <n v="327"/>
    <n v="354347"/>
    <n v="1771.7349999999999"/>
    <s v=""/>
    <x v="5"/>
    <n v="1"/>
    <n v="56695"/>
    <n v="31504"/>
    <n v="25191"/>
    <n v="6313"/>
    <s v="CO_Arapa_2020g~State Representative - District 38 (Vote For 1)"/>
    <n v="1.7815869754788386E-2"/>
    <m/>
    <m/>
    <n v="12"/>
    <n v="0.11571278929185325"/>
    <n v="0.46243752528348958"/>
    <n v="0.93238255174307683"/>
  </r>
  <r>
    <n v="54.418339791006225"/>
    <n v="5158.0950000000003"/>
    <n v="3.5066041676417505E-2"/>
    <n v="3.5066041676417507E-4"/>
    <n v="327"/>
    <n v="354347"/>
    <n v="1771.7349999999999"/>
    <s v=""/>
    <x v="5"/>
    <n v="1"/>
    <n v="74755"/>
    <n v="40434"/>
    <n v="31917"/>
    <n v="8517"/>
    <s v="CO_Arapa_2020g~Arapahoe County Commissioner - District 1 (Vote For 1)"/>
    <n v="2.4035761555763136E-2"/>
    <m/>
    <m/>
    <n v="21"/>
    <n v="0.19406960596850864"/>
    <n v="0.66348117257898864"/>
    <n v="0.99115465871967667"/>
  </r>
  <r>
    <n v="40.461660408844395"/>
    <n v="4317.4680000000008"/>
    <n v="1.2717467328382758E-2"/>
    <n v="1.2717467328382759E-4"/>
    <n v="327"/>
    <n v="354347"/>
    <n v="1771.7349999999999"/>
    <s v=""/>
    <x v="5"/>
    <n v="1"/>
    <n v="62572"/>
    <n v="36080"/>
    <n v="26492"/>
    <n v="9588"/>
    <s v="CO_Arapa_2020g~Arapahoe County School District #6 Littleton Public Schools Ballot Issue 4C (Vote For 1)"/>
    <n v="2.7058222589721376E-2"/>
    <m/>
    <m/>
    <n v="26"/>
    <n v="0.23471906541235321"/>
    <n v="0.74086022502647741"/>
    <n v="0.99715709317428869"/>
  </r>
  <r>
    <n v="27.558396041645192"/>
    <n v="2975.28"/>
    <n v="1.1424722436526188E-2"/>
    <n v="1.1424722436526188E-4"/>
    <n v="327"/>
    <n v="354347"/>
    <n v="1771.7349999999999"/>
    <s v=""/>
    <x v="5"/>
    <n v="1"/>
    <n v="43120"/>
    <n v="25508"/>
    <n v="15807"/>
    <n v="9701"/>
    <s v="CO_Arapa_2020g~State Representative - District 40 (Vote For 1)"/>
    <n v="2.737711903868242E-2"/>
    <m/>
    <m/>
    <n v="26"/>
    <n v="0.23471906541235321"/>
    <n v="0.74086022502647741"/>
    <n v="0.99715709317428869"/>
  </r>
  <r>
    <n v="27.733429040196885"/>
    <n v="3009.9180000000001"/>
    <n v="1.0885017255801268E-2"/>
    <n v="1.0885017255801267E-4"/>
    <n v="327"/>
    <n v="354347"/>
    <n v="1771.7349999999999"/>
    <s v=""/>
    <x v="5"/>
    <n v="1"/>
    <n v="43622"/>
    <n v="26687"/>
    <n v="16935"/>
    <n v="9752"/>
    <s v="CO_Arapa_2020g~State Representative - District 36 (Vote For 1)"/>
    <n v="2.7521045754585194E-2"/>
    <m/>
    <m/>
    <n v="27"/>
    <n v="0.242613080783458"/>
    <n v="0.75407709607097229"/>
    <n v="0.99773544957722715"/>
  </r>
  <r>
    <n v="58.449085147705205"/>
    <n v="6363.6630000000005"/>
    <n v="1.0569461101771618E-2"/>
    <n v="1.0569461101771618E-4"/>
    <n v="327"/>
    <n v="354347"/>
    <n v="1771.7349999999999"/>
    <s v=""/>
    <x v="5"/>
    <n v="1"/>
    <n v="92227"/>
    <n v="51005"/>
    <n v="41222"/>
    <n v="9783"/>
    <s v="CO_Arapa_2020g~State Senator - District 27 (Vote For 1)"/>
    <n v="2.7608530621114333E-2"/>
    <m/>
    <m/>
    <n v="27"/>
    <n v="0.242613080783458"/>
    <n v="0.75407709607097229"/>
    <n v="0.99773544957722715"/>
  </r>
  <r>
    <n v="29.259465368180464"/>
    <n v="3276.8100000000004"/>
    <n v="8.1021840955082577E-3"/>
    <n v="8.1021840955082571E-5"/>
    <n v="327"/>
    <n v="354347"/>
    <n v="1771.7349999999999"/>
    <s v=""/>
    <x v="5"/>
    <n v="1"/>
    <n v="47490"/>
    <n v="28071"/>
    <n v="18008"/>
    <n v="10063"/>
    <s v="CO_Arapa_2020g~State Representative - District 3 (Vote For 1)"/>
    <n v="2.8398716512345244E-2"/>
    <m/>
    <m/>
    <n v="28"/>
    <n v="0.25043014761023408"/>
    <n v="0.76662706077835951"/>
    <n v="0.99819641024241312"/>
  </r>
  <r>
    <n v="10.644011246485475"/>
    <n v="1263.942"/>
    <n v="4.5498665377506362E-3"/>
    <n v="4.5498665377506358E-5"/>
    <n v="327"/>
    <n v="354347"/>
    <n v="1771.7349999999999"/>
    <s v=""/>
    <x v="5"/>
    <n v="1"/>
    <n v="18318"/>
    <n v="14494"/>
    <n v="3824"/>
    <n v="10670"/>
    <s v="CO_Arapa_2020g~City of Englewood Ballot Question 2A (Vote For 1)"/>
    <n v="3.0111726640835113E-2"/>
    <m/>
    <m/>
    <n v="30"/>
    <n v="0.26583625496839769"/>
    <n v="0.78985777950107905"/>
    <n v="0.99885644212297542"/>
  </r>
  <r>
    <n v="19.417464077056689"/>
    <n v="2737.0920000000001"/>
    <n v="6.7733986075735417E-4"/>
    <n v="6.773398607573542E-6"/>
    <n v="327"/>
    <n v="354347"/>
    <n v="1771.7349999999999"/>
    <s v=""/>
    <x v="5"/>
    <n v="1"/>
    <n v="39668"/>
    <n v="26167"/>
    <n v="13501"/>
    <n v="12666"/>
    <s v="CO_Arapa_2020g~State Representative - District 41 (Vote For 1)"/>
    <n v="3.5744623208324042E-2"/>
    <m/>
    <m/>
    <n v="39"/>
    <n v="0.33153700979680989"/>
    <n v="0.86910310698603077"/>
    <n v="0.99985390691244613"/>
  </r>
  <r>
    <n v="14.893378239525061"/>
    <n v="2903.5890000000004"/>
    <n v="6.3051297252978771E-6"/>
    <n v="6.305129725297877E-8"/>
    <n v="327"/>
    <n v="354347"/>
    <n v="1771.7349999999999"/>
    <s v=""/>
    <x v="5"/>
    <n v="1"/>
    <n v="42081"/>
    <n v="28215"/>
    <n v="10697"/>
    <n v="17518"/>
    <s v="CO_Arapa_2020g~Arapahoe County Commissioner - District 5 (Vote For 1)"/>
    <n v="4.9437415866368274E-2"/>
    <m/>
    <m/>
    <n v="59"/>
    <n v="0.45820894110335764"/>
    <n v="0.95469751191691754"/>
    <n v="0.99999855468268206"/>
  </r>
  <r>
    <n v="26.015630568708318"/>
    <n v="5686.6350000000002"/>
    <n v="7.9755223071758559E-7"/>
    <n v="7.975522307175856E-9"/>
    <n v="327"/>
    <n v="354347"/>
    <n v="1771.7349999999999"/>
    <s v=""/>
    <x v="5"/>
    <n v="1"/>
    <n v="82415"/>
    <n v="51028"/>
    <n v="31387"/>
    <n v="19641"/>
    <s v="CO_Arapa_2020g~State Senator - District 28 (Vote For 1)"/>
    <n v="5.54287181773798E-2"/>
    <m/>
    <m/>
    <n v="68"/>
    <n v="0.50748293546422696"/>
    <n v="0.97201325492792978"/>
    <n v="0.99999982247892161"/>
  </r>
  <r>
    <n v="26.099055939129212"/>
    <n v="6184.1250000000009"/>
    <n v="1.5846743525051516E-7"/>
    <n v="1.5846743525051514E-9"/>
    <n v="327"/>
    <n v="354347"/>
    <n v="1771.7349999999999"/>
    <s v=""/>
    <x v="5"/>
    <n v="1"/>
    <n v="89625"/>
    <n v="54275"/>
    <n v="32984"/>
    <n v="21291"/>
    <s v="CO_Arapa_2020g~State Senator - District 26 (Vote For 1)"/>
    <n v="6.0085170750704818E-2"/>
    <m/>
    <m/>
    <n v="75"/>
    <n v="0.54284789098512232"/>
    <n v="0.98079216190771168"/>
    <n v="0.99999996555214288"/>
  </r>
  <r>
    <n v="16.609151481094969"/>
    <n v="4605.1980000000003"/>
    <n v="4.4323851566943147E-9"/>
    <n v="4.4323851566943144E-11"/>
    <n v="327"/>
    <n v="354347"/>
    <n v="1771.7349999999999"/>
    <s v=""/>
    <x v="5"/>
    <n v="1"/>
    <n v="66742"/>
    <n v="45828"/>
    <n v="20914"/>
    <n v="24914"/>
    <s v="CO_Arapa_2020g~State Senator - District 29 (Vote For 1)"/>
    <n v="7.0309611764739086E-2"/>
    <m/>
    <m/>
    <n v="90"/>
    <n v="0.61071983931387019"/>
    <n v="0.99147231704840755"/>
    <n v="0.99999999899990311"/>
  </r>
  <r>
    <n v="23.313256440659696"/>
    <n v="12034.773000000001"/>
    <n v="1.1894806099531967E-18"/>
    <n v="1.1894806099531968E-20"/>
    <n v="327"/>
    <n v="354347"/>
    <n v="1771.7349999999999"/>
    <s v=""/>
    <x v="5"/>
    <n v="1"/>
    <n v="174417"/>
    <n v="110401"/>
    <n v="64016"/>
    <n v="46385"/>
    <s v="CO_Arapa_2020g~Cherry Creek School District No. 5 Ballot Issue 4A (Vote For 1)"/>
    <n v="0.13090275915980662"/>
    <m/>
    <m/>
    <n v="181"/>
    <n v="0.85779558681002666"/>
    <n v="0.99994757166732584"/>
    <n v="1"/>
  </r>
  <r>
    <n v="15.562963823913993"/>
    <n v="11921.406000000001"/>
    <n v="2.1303460324434136E-29"/>
    <n v="2.1303460324434137E-31"/>
    <n v="327"/>
    <n v="354347"/>
    <n v="1771.7349999999999"/>
    <s v=""/>
    <x v="5"/>
    <n v="1"/>
    <n v="172774"/>
    <n v="120802"/>
    <n v="51972"/>
    <n v="68830"/>
    <s v="CO_Arapa_2020g~Cherry Creek School District No. 5 Ballot Issue 4B (Vote For 1)"/>
    <n v="0.19424462461937028"/>
    <m/>
    <m/>
    <n v="275"/>
    <n v="0.95280591212758459"/>
    <n v="0.99999980310412695"/>
    <n v="1"/>
  </r>
  <r>
    <n v="11.671431799752749"/>
    <n v="19542.732"/>
    <n v="3.2460313711198114E-77"/>
    <n v="3.2460313711198116E-79"/>
    <n v="327"/>
    <n v="354347"/>
    <n v="1771.7349999999999"/>
    <s v=""/>
    <x v="5"/>
    <n v="1"/>
    <n v="283228"/>
    <n v="216841"/>
    <n v="66387"/>
    <n v="150454"/>
    <s v="CO_Arapa_2020g~Arapahoe County Court Judge - Ollada (Vote For 1)"/>
    <n v="0.42459510028305586"/>
    <m/>
    <m/>
    <n v="618"/>
    <n v="0.99957858146560286"/>
    <n v="1"/>
    <n v="1"/>
  </r>
  <r>
    <n v="11.459804401297033"/>
    <n v="19547.907000000003"/>
    <n v="3.4212154209498132E-79"/>
    <n v="3.4212154209498131E-81"/>
    <n v="327"/>
    <n v="354347"/>
    <n v="1771.7349999999999"/>
    <s v=""/>
    <x v="5"/>
    <n v="1"/>
    <n v="283303"/>
    <n v="218288"/>
    <n v="65015"/>
    <n v="153273"/>
    <s v="CO_Arapa_2020g~Arapahoe County Court Judge - Contiguglia (Vote For 1)"/>
    <n v="0.43255057895226995"/>
    <m/>
    <m/>
    <n v="630"/>
    <n v="0.99965140964444166"/>
    <n v="1"/>
    <n v="1"/>
  </r>
  <r>
    <n v="11.37181282909242"/>
    <n v="19516.650000000001"/>
    <n v="7.403401285092103E-80"/>
    <n v="7.4034012850921029E-82"/>
    <n v="327"/>
    <n v="354347"/>
    <n v="1771.7349999999999"/>
    <s v=""/>
    <x v="5"/>
    <n v="1"/>
    <n v="282850"/>
    <n v="218531"/>
    <n v="64319"/>
    <n v="154212"/>
    <s v="CO_Arapa_2020g~Arapahoe County Court Judge - Williford (Vote For 1)"/>
    <n v="0.43520052378036217"/>
    <m/>
    <m/>
    <n v="634"/>
    <n v="0.99967291913781753"/>
    <n v="1"/>
    <n v="1"/>
  </r>
  <r>
    <n v="20.642352941176469"/>
    <n v="20.642352941176469"/>
    <n v="71.456563387848846"/>
    <n v="0.71456563387848848"/>
    <n v="823.99999999999989"/>
    <n v="208445"/>
    <n v="1042.2249999999999"/>
    <s v=""/>
    <x v="6"/>
    <n v="1"/>
    <n v="283"/>
    <n v="184"/>
    <n v="99"/>
    <n v="85"/>
    <s v="CO_Bould_2020g~Baseline Water District Ballot Issue 6B (Vote for 1)"/>
    <n v="4.0778142915397344E-4"/>
    <m/>
    <m/>
    <n v="0"/>
    <n v="0"/>
    <n v="0"/>
    <n v="0"/>
  </r>
  <r>
    <n v="11.048120300751879"/>
    <n v="16.353000000000002"/>
    <n v="59.10068939493263"/>
    <n v="0.59100689394932626"/>
    <n v="823.99999999999989"/>
    <n v="208445"/>
    <n v="1042.2249999999999"/>
    <s v=""/>
    <x v="6"/>
    <n v="1"/>
    <n v="237"/>
    <n v="185"/>
    <n v="52"/>
    <n v="133"/>
    <s v="CO_Bould_2020g~Sunshine Fire Protection District Ballot Issue 6A (Vote for 1)"/>
    <n v="6.3805800091151148E-4"/>
    <m/>
    <m/>
    <n v="0"/>
    <n v="0"/>
    <n v="0"/>
    <n v="0"/>
  </r>
  <r>
    <n v="118.30307017543859"/>
    <n v="1200.7380000000001"/>
    <n v="2.6967578139652506"/>
    <n v="2.6967578139652504E-2"/>
    <n v="823.99999999999989"/>
    <n v="208445"/>
    <n v="1042.2249999999999"/>
    <s v=""/>
    <x v="6"/>
    <n v="1"/>
    <n v="17402"/>
    <n v="4344"/>
    <n v="3432"/>
    <n v="912"/>
    <s v="CO_Bould_2020g~Town of Superior - Trustee (Vote for 1)"/>
    <n v="4.3752548633932209E-3"/>
    <m/>
    <m/>
    <n v="0"/>
    <n v="0"/>
    <n v="0"/>
    <n v="0"/>
  </r>
  <r>
    <n v="25.326565627680871"/>
    <n v="985.66500000000008"/>
    <n v="8.81890856241788E-5"/>
    <n v="8.8189085624178804E-7"/>
    <n v="823.99999999999989"/>
    <n v="208445"/>
    <n v="1042.2249999999999"/>
    <s v=""/>
    <x v="6"/>
    <n v="1"/>
    <n v="14285"/>
    <n v="8891"/>
    <n v="5394"/>
    <n v="3497"/>
    <s v="CO_Bould_2020g~City of Louisville Ballot Issue 2A (Vote for 1)"/>
    <n v="1.6776607738252295E-2"/>
    <m/>
    <m/>
    <n v="6"/>
    <n v="6.1836054597243284E-2"/>
    <n v="0.26947482412251045"/>
    <n v="0.73993083340081101"/>
  </r>
  <r>
    <n v="94.282640990371377"/>
    <n v="3814.1130000000003"/>
    <n v="5.0625880018183498E-5"/>
    <n v="5.0625880018183497E-7"/>
    <n v="823.99999999999989"/>
    <n v="208445"/>
    <n v="1042.2249999999999"/>
    <s v=""/>
    <x v="6"/>
    <n v="1"/>
    <n v="55277"/>
    <n v="29456"/>
    <n v="25821"/>
    <n v="3635"/>
    <s v="CO_Bould_2020g~City of Boulder Ballot Question 2C (Vote for 1)"/>
    <n v="1.7438652882055219E-2"/>
    <m/>
    <m/>
    <n v="7"/>
    <n v="7.1797254789743303E-2"/>
    <n v="0.30684725107377209"/>
    <n v="0.79239652434601404"/>
  </r>
  <r>
    <n v="76.674626865671641"/>
    <n v="3544.6680000000001"/>
    <n v="2.065356599212555E-3"/>
    <n v="2.065356599212555E-5"/>
    <n v="974.99999999999989"/>
    <n v="377525"/>
    <n v="1887.625"/>
    <n v="68"/>
    <x v="6"/>
    <n v="1"/>
    <n v="51372"/>
    <n v="27763"/>
    <n v="23609"/>
    <n v="4154"/>
    <s v="CO_Bould_2020g~w/Weld__City of Longmont Ballot Question 3D (Vote for 1)"/>
    <n v="1.1003244818223958E-2"/>
    <m/>
    <m/>
    <n v="2"/>
    <n v="2.0041687248972595E-2"/>
    <n v="9.8179709245768687E-2"/>
    <n v="0.36059357966912076"/>
  </r>
  <r>
    <n v="18.135805122693892"/>
    <n v="1126.8390000000002"/>
    <n v="1.9248544289673237E-8"/>
    <n v="1.9248544289673235E-10"/>
    <n v="823.99999999999989"/>
    <n v="208445"/>
    <n v="1042.2249999999999"/>
    <s v=""/>
    <x v="6"/>
    <n v="1"/>
    <n v="16331"/>
    <n v="10957"/>
    <n v="5374"/>
    <n v="5583"/>
    <s v="CO_Bould_2020g~State Representative - District 33 (Vote for 1)"/>
    <n v="2.6784043752548635E-2"/>
    <m/>
    <m/>
    <n v="15"/>
    <n v="0.1480916467065152"/>
    <n v="0.54547185794781328"/>
    <n v="0.96607162146000625"/>
  </r>
  <r>
    <n v="44.516527115805751"/>
    <n v="3845.9910000000004"/>
    <n v="2.6179255437435376E-12"/>
    <n v="2.6179255437435375E-14"/>
    <n v="823.99999999999989"/>
    <n v="208445"/>
    <n v="1042.2249999999999"/>
    <s v=""/>
    <x v="6"/>
    <n v="1"/>
    <n v="55739"/>
    <n v="31751"/>
    <n v="23988"/>
    <n v="7763"/>
    <s v="CO_Bould_2020g~City of Boulder Ballot Question 2D (Vote for 1)"/>
    <n v="3.7242438053203486E-2"/>
    <m/>
    <m/>
    <n v="24"/>
    <n v="0.22707649663176155"/>
    <n v="0.71840542417705178"/>
    <n v="0.99566194722005308"/>
  </r>
  <r>
    <n v="35.999169788397289"/>
    <n v="3957.0810000000001"/>
    <n v="4.24864335564752E-16"/>
    <n v="4.2486433556475203E-18"/>
    <n v="823.99999999999989"/>
    <n v="208445"/>
    <n v="1042.2249999999999"/>
    <s v=""/>
    <x v="6"/>
    <n v="1"/>
    <n v="57349"/>
    <n v="33613"/>
    <n v="23736"/>
    <n v="9877"/>
    <s v="CO_Bould_2020g~City Of Boulder Ballot Issue 2B (Vote for 1)"/>
    <n v="4.7384202067691721E-2"/>
    <m/>
    <m/>
    <n v="33"/>
    <n v="0.29934691842250327"/>
    <n v="0.8263032298979528"/>
    <n v="0.99945661364831706"/>
  </r>
  <r>
    <n v="21.466116409880165"/>
    <n v="3907.4010000000003"/>
    <n v="5.7157754680755075E-28"/>
    <n v="5.7157754680755075E-30"/>
    <n v="823.99999999999989"/>
    <n v="208445"/>
    <n v="1042.2249999999999"/>
    <s v=""/>
    <x v="6"/>
    <n v="1"/>
    <n v="56629"/>
    <n v="35540"/>
    <n v="19184"/>
    <n v="16356"/>
    <s v="CO_Bould_2020g~Representative to the 117th United States Congress-District 4 (Vote for 1)"/>
    <n v="7.8466741826381053E-2"/>
    <m/>
    <m/>
    <n v="60"/>
    <n v="0.48087604652536109"/>
    <n v="0.96032071221636206"/>
    <n v="0.99999905982519699"/>
  </r>
  <r>
    <n v="18.256301106301109"/>
    <n v="3379.2060000000001"/>
    <n v="1.7479215605991012E-28"/>
    <n v="1.7479215605991013E-30"/>
    <n v="823.99999999999989"/>
    <n v="208445"/>
    <n v="1042.2249999999999"/>
    <s v=""/>
    <x v="6"/>
    <n v="1"/>
    <n v="48974"/>
    <n v="32803"/>
    <n v="16171"/>
    <n v="16632"/>
    <s v="CO_Bould_2020g~State Representative - District 11 (Vote for 1)"/>
    <n v="7.9790832113986909E-2"/>
    <m/>
    <m/>
    <n v="62"/>
    <n v="0.49244683813312606"/>
    <n v="0.96449029508759332"/>
    <n v="0.99999941759525202"/>
  </r>
  <r>
    <n v="9.079947954315454"/>
    <n v="2096.9100000000003"/>
    <n v="2.9794762566326697E-36"/>
    <n v="2.9794762566326696E-38"/>
    <n v="823.99999999999989"/>
    <n v="208445"/>
    <n v="1042.2249999999999"/>
    <s v=""/>
    <x v="6"/>
    <n v="1"/>
    <n v="30390"/>
    <n v="25217"/>
    <n v="4466"/>
    <n v="20751"/>
    <s v="CO_Bould_2020g~State Representative - District 13 (Vote for 1)"/>
    <n v="9.9551440427930626E-2"/>
    <m/>
    <m/>
    <n v="79"/>
    <n v="0.58173602056050622"/>
    <n v="0.9863109558382982"/>
    <n v="0.99999999049926647"/>
  </r>
  <r>
    <n v="13.132636460093527"/>
    <n v="3719.1690000000003"/>
    <n v="2.5515591450631995E-45"/>
    <n v="2.5515591450631996E-47"/>
    <n v="823.99999999999989"/>
    <n v="208445"/>
    <n v="1042.2249999999999"/>
    <s v=""/>
    <x v="6"/>
    <n v="1"/>
    <n v="53901"/>
    <n v="39674"/>
    <n v="14227"/>
    <n v="25447"/>
    <s v="CO_Bould_2020g~State Representative - District 12 (Vote for 1)"/>
    <n v="0.12208016503154309"/>
    <m/>
    <m/>
    <n v="99"/>
    <n v="0.66836530015449047"/>
    <n v="0.9956387169643417"/>
    <n v="0.99999999993261934"/>
  </r>
  <r>
    <n v="15.692307092447461"/>
    <n v="4478.9970000000003"/>
    <n v="1.0362991324395962E-45"/>
    <n v="1.0362991324395962E-47"/>
    <n v="823.99999999999989"/>
    <n v="208445"/>
    <n v="1042.2249999999999"/>
    <s v=""/>
    <x v="6"/>
    <n v="1"/>
    <n v="64913"/>
    <n v="45280"/>
    <n v="19633"/>
    <n v="25647"/>
    <s v="CO_Bould_2020g~St. Vrain and Left Hand Water Conservancy District Ballot Issue 7A (Vote for 1)"/>
    <n v="0.1230396507471995"/>
    <m/>
    <m/>
    <n v="100"/>
    <n v="0.67223378551854218"/>
    <n v="0.9958838367956141"/>
    <n v="0.99999999994755306"/>
  </r>
  <r>
    <n v="11.018018953654421"/>
    <n v="3778.1640000000002"/>
    <n v="5.7346485219245092E-56"/>
    <n v="5.7346485219245096E-58"/>
    <n v="823.99999999999989"/>
    <n v="208445"/>
    <n v="1042.2249999999999"/>
    <s v=""/>
    <x v="6"/>
    <n v="1"/>
    <n v="54756"/>
    <n v="42784"/>
    <n v="11972"/>
    <n v="30812"/>
    <s v="CO_Bould_2020g~City of Boulder Ballot Question 2E (Vote for 1)"/>
    <n v="0.14781836935402623"/>
    <m/>
    <m/>
    <n v="121"/>
    <n v="0.74456662945736429"/>
    <n v="0.99879634814778406"/>
    <n v="0.99999999999974665"/>
  </r>
  <r>
    <n v="10.635954765751212"/>
    <n v="3663.4860000000003"/>
    <n v="6.0287570349577065E-35"/>
    <n v="6.0287570349577064E-37"/>
    <n v="974.99999999999989"/>
    <n v="377525"/>
    <n v="1887.625"/>
    <n v="68"/>
    <x v="6"/>
    <n v="1"/>
    <n v="53094"/>
    <n v="42022"/>
    <n v="11072"/>
    <n v="30950"/>
    <s v="CO_Bould_2020g~w/Weld__City of Longmont Ballot Question 3C (Vote for 1)"/>
    <n v="8.1981325740017222E-2"/>
    <m/>
    <m/>
    <n v="115"/>
    <n v="0.6989954674963097"/>
    <n v="0.99782910067803765"/>
    <n v="0.99999999999724931"/>
  </r>
  <r>
    <n v="8.7660560609786078"/>
    <n v="3174.1380000000004"/>
    <n v="1.8551540761245358E-59"/>
    <n v="1.8551540761245357E-61"/>
    <n v="823.99999999999989"/>
    <n v="208445"/>
    <n v="1042.2249999999999"/>
    <s v=""/>
    <x v="6"/>
    <n v="1"/>
    <n v="46002"/>
    <n v="39269"/>
    <n v="6733"/>
    <n v="32536"/>
    <s v="CO_Bould_2020g~State Representative - District 10 (Vote for 1)"/>
    <n v="0.15608913622298448"/>
    <m/>
    <m/>
    <n v="128"/>
    <n v="0.76523697384226075"/>
    <n v="0.99920619476056793"/>
    <n v="0.99999999999995848"/>
  </r>
  <r>
    <n v="17.330170457850951"/>
    <n v="6630.4170000000004"/>
    <n v="3.1722613267151827E-63"/>
    <n v="3.1722613267151827E-65"/>
    <n v="823.99999999999989"/>
    <n v="208445"/>
    <n v="1042.2249999999999"/>
    <s v=""/>
    <x v="6"/>
    <n v="1"/>
    <n v="96093"/>
    <n v="65226"/>
    <n v="30848"/>
    <n v="34378"/>
    <s v="CO_Bould_2020g~State Senator - District 17 (Vote for 1)"/>
    <n v="0.16492599966418001"/>
    <m/>
    <m/>
    <n v="136"/>
    <n v="0.78699040397177766"/>
    <n v="0.99950870087823718"/>
    <n v="0.99999999999999489"/>
  </r>
  <r>
    <n v="8.898760167416885"/>
    <n v="3762.2250000000004"/>
    <n v="9.9895993633911729E-71"/>
    <n v="9.9895993633911731E-73"/>
    <n v="823.99999999999989"/>
    <n v="208445"/>
    <n v="1042.2249999999999"/>
    <s v=""/>
    <x v="6"/>
    <n v="1"/>
    <n v="54525"/>
    <n v="46257"/>
    <n v="8268"/>
    <n v="37989"/>
    <s v="CO_Bould_2020g~City of Boulder Ballot Question 2F (Vote for 1)"/>
    <n v="0.18224951426035646"/>
    <m/>
    <m/>
    <n v="151"/>
    <n v="0.82290903521017422"/>
    <n v="0.9998025321781846"/>
    <n v="0.99999999999999989"/>
  </r>
  <r>
    <n v="9.4224182667358587"/>
    <n v="6264.1650000000009"/>
    <n v="1.4272792174791648E-119"/>
    <n v="1.4272792174791649E-121"/>
    <n v="823.99999999999989"/>
    <n v="208445"/>
    <n v="1042.2249999999999"/>
    <s v=""/>
    <x v="6"/>
    <n v="1"/>
    <n v="90785"/>
    <n v="75261"/>
    <n v="15524"/>
    <n v="59737"/>
    <s v="CO_Bould_2020g~State Senator - District 18 (Vote for 1)"/>
    <n v="0.28658399098083426"/>
    <m/>
    <m/>
    <n v="243"/>
    <n v="0.94697953530255274"/>
    <n v="0.99999949155086554"/>
    <n v="1"/>
  </r>
  <r>
    <n v="12.291758963769476"/>
    <n v="10930.635"/>
    <n v="9.9672258699951237E-172"/>
    <n v="9.9672258699951242E-174"/>
    <n v="823.99999999999989"/>
    <n v="208445"/>
    <n v="1042.2249999999999"/>
    <s v=""/>
    <x v="6"/>
    <n v="1"/>
    <n v="158415"/>
    <n v="119160"/>
    <n v="39255"/>
    <n v="79905"/>
    <s v="CO_Bould_2020g~District Court Judge - 20th Judicial District - Patrick D. Butler (Vote for 1)"/>
    <n v="0.38333853054762645"/>
    <m/>
    <m/>
    <n v="327"/>
    <n v="0.9845029032916518"/>
    <n v="0.99999999885926116"/>
    <n v="1"/>
  </r>
  <r>
    <n v="10.164297077405571"/>
    <n v="9954.9060000000009"/>
    <n v="5.1178245349830471E-195"/>
    <n v="5.1178245349830474E-197"/>
    <n v="823.99999999999989"/>
    <n v="208445"/>
    <n v="1042.2249999999999"/>
    <s v=""/>
    <x v="6"/>
    <n v="1"/>
    <n v="144274"/>
    <n v="114509"/>
    <n v="26505"/>
    <n v="88004"/>
    <s v="CO_Bould_2020g~Representative to the 117th United States Congress-District 2 (Vote for 1)"/>
    <n v="0.42219290460313275"/>
    <m/>
    <m/>
    <n v="362"/>
    <n v="0.99111320899051791"/>
    <n v="0.99999999992812727"/>
    <n v="1"/>
  </r>
  <r>
    <n v="13.284990925589836"/>
    <n v="13034.376"/>
    <n v="1.7590254096489335E-195"/>
    <n v="1.7590254096489336E-197"/>
    <n v="823.99999999999989"/>
    <n v="208445"/>
    <n v="1042.2249999999999"/>
    <s v=""/>
    <x v="6"/>
    <n v="1"/>
    <n v="188904"/>
    <n v="138532"/>
    <n v="50372"/>
    <n v="88160"/>
    <s v="CO_Bould_2020g~Boulder County Commissioner - District 1 (Vote for 1)"/>
    <n v="0.42294130346134473"/>
    <m/>
    <m/>
    <n v="362"/>
    <n v="0.99111320899051791"/>
    <n v="0.99999999992812727"/>
    <n v="1"/>
  </r>
  <r>
    <n v="12.750193075463054"/>
    <n v="13008.294000000002"/>
    <n v="4.315769789653305E-206"/>
    <n v="4.3157697896533049E-208"/>
    <n v="823.99999999999989"/>
    <n v="208445"/>
    <n v="1042.2249999999999"/>
    <s v=""/>
    <x v="6"/>
    <n v="1"/>
    <n v="188526"/>
    <n v="140100"/>
    <n v="48426"/>
    <n v="91674"/>
    <s v="CO_Bould_2020g~Boulder County Commissioner - District 2 (Vote for 1)"/>
    <n v="0.43979946748542781"/>
    <m/>
    <m/>
    <n v="377"/>
    <n v="0.99305960246808112"/>
    <n v="0.99999999997900146"/>
    <n v="1"/>
  </r>
  <r>
    <n v="10.042444011783774"/>
    <n v="10964.031000000001"/>
    <n v="2.3766578478643123E-226"/>
    <n v="2.3766578478643124E-228"/>
    <n v="823.99999999999989"/>
    <n v="208445"/>
    <n v="1042.2249999999999"/>
    <s v=""/>
    <x v="6"/>
    <n v="1"/>
    <n v="158899"/>
    <n v="128500"/>
    <n v="30399"/>
    <n v="98101"/>
    <s v="CO_Bould_2020g~Colorado Court of Appeals Judge - Ted C. Tow III (Vote for 1)"/>
    <n v="0.47063254095804646"/>
    <m/>
    <m/>
    <n v="404"/>
    <n v="0.99561633772402414"/>
    <n v="0.99999999999787248"/>
    <n v="1"/>
  </r>
  <r>
    <n v="9.7368771098906652"/>
    <n v="10753.305"/>
    <n v="4.7779566057148659E-230"/>
    <n v="4.7779566057148655E-232"/>
    <n v="823.99999999999989"/>
    <n v="208445"/>
    <n v="1042.2249999999999"/>
    <s v=""/>
    <x v="6"/>
    <n v="1"/>
    <n v="155845"/>
    <n v="127540"/>
    <n v="28305"/>
    <n v="99235"/>
    <s v="CO_Bould_2020g~District Court Judge - 20th Judicial District - Ross Macdonald (Vote for 1)"/>
    <n v="0.47607282496581832"/>
    <m/>
    <m/>
    <n v="409"/>
    <n v="0.99598254143829545"/>
    <n v="0.99999999999862299"/>
    <n v="1"/>
  </r>
  <r>
    <n v="9.8930694260618459"/>
    <n v="10980.522000000001"/>
    <n v="1.1141885672084336E-231"/>
    <n v="1.1141885672084336E-233"/>
    <n v="823.99999999999989"/>
    <n v="208445"/>
    <n v="1042.2249999999999"/>
    <s v=""/>
    <x v="6"/>
    <n v="1"/>
    <n v="159138"/>
    <n v="129435"/>
    <n v="29703"/>
    <n v="99732"/>
    <s v="CO_Bould_2020g~Colorado Court of Appeals Judge - Craig R. Welling (Vote for 1)"/>
    <n v="0.47845714696922448"/>
    <m/>
    <m/>
    <n v="411"/>
    <n v="0.99612106410362267"/>
    <n v="0.99999999999884415"/>
    <n v="1"/>
  </r>
  <r>
    <n v="9.7163310738636941"/>
    <n v="10831.827000000001"/>
    <n v="3.9714050189873394E-233"/>
    <n v="3.9714050189873393E-235"/>
    <n v="823.99999999999989"/>
    <n v="208445"/>
    <n v="1042.2249999999999"/>
    <s v=""/>
    <x v="6"/>
    <n v="1"/>
    <n v="156983"/>
    <n v="128577"/>
    <n v="28406"/>
    <n v="100171"/>
    <s v="CO_Bould_2020g~District Court Judge - 20th Judicial District - Judith L. LaBuda (Vote for 1)"/>
    <n v="0.48056321811509028"/>
    <m/>
    <m/>
    <n v="413"/>
    <n v="0.99625523100568081"/>
    <n v="0.99999999999903022"/>
    <n v="1"/>
  </r>
  <r>
    <n v="8.9545351022562105"/>
    <n v="10764.069000000001"/>
    <n v="4.9389936001810869E-260"/>
    <n v="4.9389936001810869E-262"/>
    <n v="823.99999999999989"/>
    <n v="208445"/>
    <n v="1042.2249999999999"/>
    <s v=""/>
    <x v="6"/>
    <n v="1"/>
    <n v="156001"/>
    <n v="132007"/>
    <n v="23994"/>
    <n v="108013"/>
    <s v="CO_Bould_2020g~Boulder County Court Judge - Jonathon P. Martin (Vote for 1)"/>
    <n v="0.51818465302597805"/>
    <m/>
    <m/>
    <n v="446"/>
    <n v="0.99794008266113465"/>
    <n v="0.99999999999995104"/>
    <n v="1"/>
  </r>
  <r>
    <n v="8.7118841469470301"/>
    <n v="10738.815000000001"/>
    <n v="5.8281288558391958E-270"/>
    <n v="5.8281288558391959E-272"/>
    <n v="823.99999999999989"/>
    <n v="208445"/>
    <n v="1042.2249999999999"/>
    <s v=""/>
    <x v="6"/>
    <n v="1"/>
    <n v="155635"/>
    <n v="133198"/>
    <n v="22437"/>
    <n v="110761"/>
    <s v="CO_Bould_2020g~District Court Judge - 20th Judicial District - Nancy Woodruff Salomone (Vote for 1)"/>
    <n v="0.53136798675909713"/>
    <m/>
    <m/>
    <n v="457"/>
    <n v="0.99832469913021893"/>
    <n v="0.99999999999998257"/>
    <n v="1"/>
  </r>
  <r>
    <n v="9.0094755752963387"/>
    <n v="11106.447"/>
    <n v="5.4477916806620827E-270"/>
    <n v="5.4477916806620827E-272"/>
    <n v="823.99999999999989"/>
    <n v="208445"/>
    <n v="1042.2249999999999"/>
    <s v=""/>
    <x v="6"/>
    <n v="1"/>
    <n v="160963"/>
    <n v="135866"/>
    <n v="25097"/>
    <n v="110769"/>
    <s v="CO_Bould_2020g~Justice of the Colorado Supreme Court - Carlos A. Samour Jr. (Vote for 1)"/>
    <n v="0.53140636618772341"/>
    <m/>
    <m/>
    <n v="457"/>
    <n v="0.99832469913021893"/>
    <n v="0.99999999999998257"/>
    <n v="1"/>
  </r>
  <r>
    <n v="8.4691324279906581"/>
    <n v="10896.618"/>
    <n v="3.5115103070788107E-288"/>
    <n v="3.5115103070788103E-290"/>
    <n v="823.99999999999989"/>
    <n v="208445"/>
    <n v="1042.2249999999999"/>
    <s v=""/>
    <x v="6"/>
    <n v="1"/>
    <n v="157922"/>
    <n v="136766"/>
    <n v="21156"/>
    <n v="115610"/>
    <s v="CO_Bould_2020g~District Court Judge - 20th Judicial District - Seftar Bakke (Vote for 1)"/>
    <n v="0.5546307179351867"/>
    <m/>
    <m/>
    <n v="477"/>
    <n v="0.99886119852971245"/>
    <n v="0.99999999999999745"/>
    <n v="1"/>
  </r>
  <r>
    <n v="8.3349322877789902"/>
    <n v="11308.617"/>
    <n v="0"/>
    <n v="0"/>
    <n v="823.99999999999989"/>
    <n v="208445"/>
    <n v="1042.2249999999999"/>
    <s v=""/>
    <x v="6"/>
    <n v="1"/>
    <n v="163893"/>
    <n v="142903"/>
    <n v="20990"/>
    <n v="121913"/>
    <s v="CO_Bould_2020g~Justice of the Colorado Supreme Court - Melissa Hart (Vote for 1)"/>
    <n v="0.58486891026409848"/>
    <m/>
    <m/>
    <n v="504"/>
    <n v="0.99933874174200521"/>
    <n v="0.99999999999999989"/>
    <n v="1"/>
  </r>
  <r>
    <n v="18.834949712643677"/>
    <n v="2334.27"/>
    <n v="0.70624389453491421"/>
    <n v="7.0624389453491417E-3"/>
    <n v="523"/>
    <n v="1181464"/>
    <n v="5907.32"/>
    <s v=""/>
    <x v="7"/>
    <n v="1"/>
    <n v="33830"/>
    <n v="22483"/>
    <n v="11347"/>
    <n v="11136"/>
    <s v="CO_Denve_2020g~State Representative - District 1 (Vote For 1)"/>
    <n v="9.4255940087890951E-3"/>
    <m/>
    <m/>
    <n v="0"/>
    <n v="0"/>
    <n v="0"/>
    <n v="0"/>
  </r>
  <r>
    <n v="32.755560990522774"/>
    <n v="5962.0140000000001"/>
    <n v="1.1163526255872479E-2"/>
    <n v="1.1163526255872479E-4"/>
    <n v="850"/>
    <n v="1535811"/>
    <n v="7679.0550000000003"/>
    <n v="7"/>
    <x v="7"/>
    <n v="1"/>
    <n v="86406"/>
    <n v="44968"/>
    <n v="28613"/>
    <n v="16355"/>
    <s v="CO_Denve_2020g~w/Arapa_Regional Transportation District Director - District A (Vote For 1)"/>
    <n v="1.0649096796415704E-2"/>
    <m/>
    <m/>
    <n v="5"/>
    <n v="4.9153838489369717E-2"/>
    <n v="0.22629863903010949"/>
    <n v="0.67248004689111252"/>
  </r>
  <r>
    <n v="14.578953887731547"/>
    <n v="2881.7160000000003"/>
    <n v="5.0822610879276003E-3"/>
    <n v="5.0822610879276006E-5"/>
    <n v="850"/>
    <n v="1535811"/>
    <n v="7679.0550000000003"/>
    <n v="7"/>
    <x v="7"/>
    <n v="1"/>
    <n v="41764"/>
    <n v="29151"/>
    <n v="11390"/>
    <n v="17761"/>
    <s v="CO_Denve_2020g~w/Arapa_State Representative - District 9 (Vote For 1)"/>
    <n v="1.1564574026361317E-2"/>
    <m/>
    <m/>
    <n v="11"/>
    <n v="0.10499875654087176"/>
    <n v="0.43145738309490345"/>
    <n v="0.9142852124262727"/>
  </r>
  <r>
    <n v="111.96631283797318"/>
    <n v="24886.644000000004"/>
    <n v="1.3414261097277084E-2"/>
    <n v="1.3414261097277085E-4"/>
    <n v="523"/>
    <n v="1181464"/>
    <n v="5907.32"/>
    <s v=""/>
    <x v="7"/>
    <n v="1"/>
    <n v="360676"/>
    <n v="190324"/>
    <n v="170352"/>
    <n v="19972"/>
    <s v="CO_Denve_2020g~City and County of Denver Ballot Measure 2C (Vote For 1)"/>
    <n v="1.6904450749239925E-2"/>
    <m/>
    <m/>
    <n v="35"/>
    <n v="0.30118271799471119"/>
    <n v="0.83546873896348295"/>
    <n v="0.99960624330636616"/>
  </r>
  <r>
    <n v="13.277529566360053"/>
    <n v="3485.9490000000001"/>
    <n v="2.6226900516983977E-3"/>
    <n v="2.6226900516983979E-5"/>
    <n v="523"/>
    <n v="1181464"/>
    <n v="5907.32"/>
    <s v=""/>
    <x v="7"/>
    <n v="1"/>
    <n v="50521"/>
    <n v="36302"/>
    <n v="12711"/>
    <n v="23591"/>
    <s v="CO_Denve_2020g~State Representative - District 6 (Vote For 1)"/>
    <n v="1.9967599520594789E-2"/>
    <m/>
    <m/>
    <n v="50"/>
    <n v="0.40106910748846314"/>
    <n v="0.92433652992394"/>
    <n v="0.99998653925600367"/>
  </r>
  <r>
    <n v="9.7334227188081943"/>
    <n v="2908.4880000000003"/>
    <n v="6.005353884183471E-4"/>
    <n v="6.0053538841834709E-6"/>
    <n v="523"/>
    <n v="1181464"/>
    <n v="5907.32"/>
    <s v=""/>
    <x v="7"/>
    <n v="1"/>
    <n v="42152"/>
    <n v="34501"/>
    <n v="7651"/>
    <n v="26850"/>
    <s v="CO_Denve_2020g~State Representative - District 4 (Vote For 1)"/>
    <n v="2.2726041589079312E-2"/>
    <m/>
    <m/>
    <n v="64"/>
    <n v="0.48155840747417411"/>
    <n v="0.96342250825166575"/>
    <n v="0.99999942871929792"/>
  </r>
  <r>
    <n v="10.426495757098357"/>
    <n v="3240.7920000000004"/>
    <n v="3.682800194224616E-4"/>
    <n v="3.682800194224616E-6"/>
    <n v="523"/>
    <n v="1181464"/>
    <n v="5907.32"/>
    <s v=""/>
    <x v="7"/>
    <n v="1"/>
    <n v="46968"/>
    <n v="37132"/>
    <n v="9203"/>
    <n v="27929"/>
    <s v="CO_Denve_2020g~State Representative - District 5 (Vote For 1)"/>
    <n v="2.3639315290182351E-2"/>
    <m/>
    <m/>
    <n v="68"/>
    <n v="0.50253282305403801"/>
    <n v="0.97029160210651932"/>
    <n v="0.99999976873533825"/>
  </r>
  <r>
    <n v="77.444595367457822"/>
    <n v="24112.050000000003"/>
    <n v="3.6051510547170407E-4"/>
    <n v="3.6051510547170408E-6"/>
    <n v="523"/>
    <n v="1181464"/>
    <n v="5907.32"/>
    <s v=""/>
    <x v="7"/>
    <n v="1"/>
    <n v="349450"/>
    <n v="188713"/>
    <n v="160737"/>
    <n v="27976"/>
    <s v="CO_Denve_2020g~City and County of Denver Ballot Measure 2G (Vote For 1)"/>
    <n v="2.3679096443057088E-2"/>
    <m/>
    <m/>
    <n v="68"/>
    <n v="0.50253282305403801"/>
    <n v="0.97029160210651932"/>
    <n v="0.99999976873533825"/>
  </r>
  <r>
    <n v="64.562287816202854"/>
    <n v="23831.013000000003"/>
    <n v="3.407568511348715E-5"/>
    <n v="3.4075685113487152E-7"/>
    <n v="523"/>
    <n v="1181464"/>
    <n v="5907.32"/>
    <s v=""/>
    <x v="7"/>
    <n v="1"/>
    <n v="345377"/>
    <n v="189272"/>
    <n v="156105"/>
    <n v="33167"/>
    <s v="CO_Denve_2020g~City and County of Denver Ballot Measure 2I (Vote For 1)"/>
    <n v="2.8072797816945754E-2"/>
    <m/>
    <m/>
    <n v="90"/>
    <n v="0.60381463543611336"/>
    <n v="0.99056155847593919"/>
    <n v="0.999999998420109"/>
  </r>
  <r>
    <n v="10.137794040773654"/>
    <n v="3884.9760000000001"/>
    <n v="1.9128920814906675E-5"/>
    <n v="1.9128920814906676E-7"/>
    <n v="523"/>
    <n v="1181464"/>
    <n v="5907.32"/>
    <s v=""/>
    <x v="7"/>
    <n v="1"/>
    <n v="56304"/>
    <n v="45369"/>
    <n v="10935"/>
    <n v="34434"/>
    <s v="CO_Denve_2020g~State Representative - District 2 (Vote For 1)"/>
    <n v="2.9145196129547749E-2"/>
    <m/>
    <m/>
    <n v="96"/>
    <n v="0.62771996747148595"/>
    <n v="0.99310153747639762"/>
    <n v="0.99999999959594044"/>
  </r>
  <r>
    <n v="11.543629901813144"/>
    <n v="6398.1630000000005"/>
    <n v="1.650945900713562E-8"/>
    <n v="1.6509459007135619E-10"/>
    <n v="523"/>
    <n v="1181464"/>
    <n v="5907.32"/>
    <s v=""/>
    <x v="7"/>
    <n v="1"/>
    <n v="92727"/>
    <n v="71265"/>
    <n v="21462"/>
    <n v="49803"/>
    <s v="CO_Denve_2020g~State Senator - District 31 (Vote For 1)"/>
    <n v="4.2153633119587225E-2"/>
    <m/>
    <m/>
    <n v="160"/>
    <n v="0.80910009629067725"/>
    <n v="0.99976151466947683"/>
    <n v="0.99999999999999978"/>
  </r>
  <r>
    <n v="38.308748083089363"/>
    <n v="24465.054000000004"/>
    <n v="4.9094027735710838E-10"/>
    <n v="4.9094027735710835E-12"/>
    <n v="523"/>
    <n v="1181464"/>
    <n v="5907.32"/>
    <s v=""/>
    <x v="7"/>
    <n v="1"/>
    <n v="354566"/>
    <n v="205975"/>
    <n v="148591"/>
    <n v="57384"/>
    <s v="CO_Denve_2020g~City and County of Denver Ballot Measure 2E (Vote For 1)"/>
    <n v="4.8570248437531743E-2"/>
    <m/>
    <m/>
    <n v="192"/>
    <n v="0.86368181491620666"/>
    <n v="0.99995629429203681"/>
    <n v="1"/>
  </r>
  <r>
    <n v="7.5599648197009683"/>
    <n v="5739.6960000000008"/>
    <n v="3.096293403713996E-12"/>
    <n v="3.096293403713996E-14"/>
    <n v="523"/>
    <n v="1181464"/>
    <n v="5907.32"/>
    <s v=""/>
    <x v="7"/>
    <n v="1"/>
    <n v="83184"/>
    <n v="75702"/>
    <n v="7482"/>
    <n v="68220"/>
    <s v="CO_Denve_2020g~State Senator - District 33 (Vote For 1)"/>
    <n v="5.7741920193928889E-2"/>
    <m/>
    <m/>
    <n v="237"/>
    <n v="0.9153770345432114"/>
    <n v="0.99999604598811986"/>
    <n v="1"/>
  </r>
  <r>
    <n v="24.585621809378452"/>
    <n v="20795.772000000001"/>
    <n v="7.8902050176182434E-14"/>
    <n v="7.8902050176182435E-16"/>
    <n v="523"/>
    <n v="1181464"/>
    <n v="5907.32"/>
    <s v=""/>
    <x v="7"/>
    <n v="1"/>
    <n v="301388"/>
    <n v="188696"/>
    <n v="112692"/>
    <n v="76004"/>
    <s v="CO_Denve_2020g~Denver County Court Judge - Schwartz (Vote For 1)"/>
    <n v="6.4330356235991953E-2"/>
    <m/>
    <m/>
    <n v="270"/>
    <n v="0.94049033409228178"/>
    <n v="0.99999932952354542"/>
    <n v="1"/>
  </r>
  <r>
    <n v="25.131580155425123"/>
    <n v="25589.133000000002"/>
    <n v="4.9262250467947463E-17"/>
    <n v="4.9262250467947462E-19"/>
    <n v="523"/>
    <n v="1181464"/>
    <n v="5907.32"/>
    <s v=""/>
    <x v="7"/>
    <n v="1"/>
    <n v="370857"/>
    <n v="231174"/>
    <n v="139683"/>
    <n v="91491"/>
    <s v="CO_Denve_2020g~City and County of Denver Ballot Measure 2A (Vote For 1)"/>
    <n v="7.7438669311972269E-2"/>
    <m/>
    <m/>
    <n v="335"/>
    <n v="0.97043555353769118"/>
    <n v="0.99999998028587744"/>
    <n v="1"/>
  </r>
  <r>
    <n v="24.204742135852943"/>
    <n v="25630.257000000001"/>
    <n v="8.4990703439290617E-18"/>
    <n v="8.4990703439290624E-20"/>
    <n v="523"/>
    <n v="1181464"/>
    <n v="5907.32"/>
    <s v=""/>
    <x v="7"/>
    <n v="1"/>
    <n v="371453"/>
    <n v="233300"/>
    <n v="138153"/>
    <n v="95147"/>
    <s v="CO_Denve_2020g~City and County of Denver Ballot Measure 2B (Vote For 1)"/>
    <n v="8.0533135161122135E-2"/>
    <m/>
    <m/>
    <n v="351"/>
    <n v="0.97514364924259533"/>
    <n v="0.99999999177850918"/>
    <n v="1"/>
  </r>
  <r>
    <n v="19.096800354494302"/>
    <n v="25419.945000000003"/>
    <n v="5.7097641621674576E-23"/>
    <n v="5.7097641621674575E-25"/>
    <n v="523"/>
    <n v="1181464"/>
    <n v="5907.32"/>
    <s v=""/>
    <x v="7"/>
    <n v="1"/>
    <n v="368405"/>
    <n v="244006"/>
    <n v="124399"/>
    <n v="119607"/>
    <s v="CO_Denve_2020g~City and County of Denver Ballot Measure 2J (Vote For 1)"/>
    <n v="0.1012362628061456"/>
    <m/>
    <m/>
    <n v="453"/>
    <n v="0.99187160382933814"/>
    <n v="0.99999999997070443"/>
    <n v="1"/>
  </r>
  <r>
    <n v="14.166684995894755"/>
    <n v="20930.667000000001"/>
    <n v="8.4374551649812618E-26"/>
    <n v="8.4374551649812618E-28"/>
    <n v="523"/>
    <n v="1181464"/>
    <n v="5907.32"/>
    <s v=""/>
    <x v="7"/>
    <n v="1"/>
    <n v="303343"/>
    <n v="218050"/>
    <n v="85293"/>
    <n v="132757"/>
    <s v="CO_Denve_2020g~Denver County Court Judge - Pallares (Vote For 1)"/>
    <n v="0.11236652153599264"/>
    <m/>
    <m/>
    <n v="509"/>
    <n v="0.99563889330094724"/>
    <n v="0.99999999999873346"/>
    <n v="1"/>
  </r>
  <r>
    <n v="12.754940627509807"/>
    <n v="21386.067000000003"/>
    <n v="1.0360967464782723E-29"/>
    <n v="1.0360967464782723E-31"/>
    <n v="523"/>
    <n v="1181464"/>
    <n v="5907.32"/>
    <s v=""/>
    <x v="7"/>
    <n v="1"/>
    <n v="309943"/>
    <n v="230301"/>
    <n v="79642"/>
    <n v="150659"/>
    <s v="CO_Denve_2020g~District Court Judge - 2nd Judicial District - Elliff (Vote For 1)"/>
    <n v="0.12751890874372812"/>
    <m/>
    <m/>
    <n v="584"/>
    <n v="0.9981250467597601"/>
    <n v="0.99999999999998213"/>
    <n v="1"/>
  </r>
  <r>
    <n v="12.553834281603558"/>
    <n v="21363.366000000002"/>
    <n v="3.3025863350182692E-30"/>
    <n v="3.3025863350182693E-32"/>
    <n v="523"/>
    <n v="1181464"/>
    <n v="5907.32"/>
    <s v=""/>
    <x v="7"/>
    <n v="1"/>
    <n v="309614"/>
    <n v="231262"/>
    <n v="78352"/>
    <n v="152910"/>
    <s v="CO_Denve_2020g~District Court Judge - 2nd Judicial District - Jones (Vote For 1)"/>
    <n v="0.12942417204417569"/>
    <m/>
    <m/>
    <n v="593"/>
    <n v="0.99830703080772976"/>
    <n v="0.99999999999998934"/>
    <n v="1"/>
  </r>
  <r>
    <n v="11.681779463349915"/>
    <n v="21459.069000000003"/>
    <n v="6.6003641663914142E-33"/>
    <n v="6.6003641663914141E-35"/>
    <n v="523"/>
    <n v="1181464"/>
    <n v="5907.32"/>
    <s v=""/>
    <x v="7"/>
    <n v="1"/>
    <n v="311001"/>
    <n v="238031"/>
    <n v="72970"/>
    <n v="165061"/>
    <s v="CO_Denve_2020g~District Court Judge - 2nd Judicial District - Egelhoff (Vote For 1)"/>
    <n v="0.13970886967355756"/>
    <m/>
    <m/>
    <n v="644"/>
    <n v="0.99905388072425472"/>
    <n v="0.99999999999999944"/>
    <n v="1"/>
  </r>
  <r>
    <n v="13.874192556136574"/>
    <n v="25600.725000000002"/>
    <n v="4.5096158960570285E-33"/>
    <n v="4.5096158960570285E-35"/>
    <n v="523"/>
    <n v="1181464"/>
    <n v="5907.32"/>
    <s v=""/>
    <x v="7"/>
    <n v="1"/>
    <n v="371025"/>
    <n v="268413"/>
    <n v="102612"/>
    <n v="165801"/>
    <s v="CO_Denve_2020g~Denver Public Schools (School District No. 1) Ballot Measure 4A (Vote For 1)"/>
    <n v="0.14033521122945769"/>
    <m/>
    <m/>
    <n v="648"/>
    <n v="0.99909630474466715"/>
    <n v="0.99999999999999956"/>
    <n v="1"/>
  </r>
  <r>
    <n v="12.296798887343535"/>
    <n v="24599.052000000003"/>
    <n v="3.2588177178245419E-36"/>
    <n v="3.2588177178245421E-38"/>
    <n v="523"/>
    <n v="1181464"/>
    <n v="5907.32"/>
    <s v=""/>
    <x v="7"/>
    <n v="1"/>
    <n v="356508"/>
    <n v="268129"/>
    <n v="88379"/>
    <n v="179750"/>
    <s v="CO_Denve_2020g~City and County of Denver Ballot Measure 2D (Vote For 1)"/>
    <n v="0.15214174955817528"/>
    <m/>
    <m/>
    <n v="706"/>
    <n v="0.99953719240195804"/>
    <n v="1"/>
    <n v="1"/>
  </r>
  <r>
    <n v="10.102011418343748"/>
    <n v="20853.939000000002"/>
    <n v="1.6127193998729929E-37"/>
    <n v="1.6127193998729929E-39"/>
    <n v="523"/>
    <n v="1181464"/>
    <n v="5907.32"/>
    <s v=""/>
    <x v="7"/>
    <n v="1"/>
    <n v="302231"/>
    <n v="243861"/>
    <n v="58370"/>
    <n v="185491"/>
    <s v="CO_Denve_2020g~Denver County Court Judge - Rudolph (Vote For 1)"/>
    <n v="0.15700097506144919"/>
    <m/>
    <m/>
    <n v="730"/>
    <n v="0.99964990275692045"/>
    <n v="1"/>
    <n v="1"/>
  </r>
  <r>
    <n v="10.392028583881748"/>
    <n v="21492.879000000001"/>
    <n v="1.3433278374776269E-37"/>
    <n v="1.3433278374776268E-39"/>
    <n v="523"/>
    <n v="1181464"/>
    <n v="5907.32"/>
    <s v=""/>
    <x v="7"/>
    <n v="1"/>
    <n v="311491"/>
    <n v="248665"/>
    <n v="62826"/>
    <n v="185839"/>
    <s v="CO_Denve_2020g~District Court Judge - 2nd Judicial District - Vallejos (Vote For 1)"/>
    <n v="0.15729552487422385"/>
    <m/>
    <m/>
    <n v="732"/>
    <n v="0.99965797156677716"/>
    <n v="1"/>
    <n v="1"/>
  </r>
  <r>
    <n v="9.9589564699501221"/>
    <n v="20842.692000000003"/>
    <n v="4.1908493431041961E-38"/>
    <n v="4.1908493431041961E-40"/>
    <n v="523"/>
    <n v="1181464"/>
    <n v="5907.32"/>
    <s v=""/>
    <x v="7"/>
    <n v="1"/>
    <n v="302068"/>
    <n v="245061"/>
    <n v="57007"/>
    <n v="188054"/>
    <s v="CO_Denve_2020g~Denver County Court Judge - Spahn (Vote For 1)"/>
    <n v="0.1591703175043844"/>
    <m/>
    <m/>
    <n v="741"/>
    <n v="0.99969207546936678"/>
    <n v="1"/>
    <n v="1"/>
  </r>
  <r>
    <n v="9.9716927159347222"/>
    <n v="20910.519"/>
    <n v="3.447146472565008E-38"/>
    <n v="3.4471464725650082E-40"/>
    <n v="523"/>
    <n v="1181464"/>
    <n v="5907.32"/>
    <s v=""/>
    <x v="7"/>
    <n v="1"/>
    <n v="303051"/>
    <n v="245738"/>
    <n v="57313"/>
    <n v="188425"/>
    <s v="CO_Denve_2020g~Denver County Court Judge - Rodarte (Vote For 1)"/>
    <n v="0.15948433468984244"/>
    <m/>
    <m/>
    <n v="743"/>
    <n v="0.99969918733495478"/>
    <n v="1"/>
    <n v="1"/>
  </r>
  <r>
    <n v="10.25130693677753"/>
    <n v="21535.314000000002"/>
    <n v="2.8864580812303066E-38"/>
    <n v="2.8864580812303065E-40"/>
    <n v="523"/>
    <n v="1181464"/>
    <n v="5907.32"/>
    <s v=""/>
    <x v="7"/>
    <n v="1"/>
    <n v="312106"/>
    <n v="250434"/>
    <n v="61672"/>
    <n v="188762"/>
    <s v="CO_Denve_2020g~District Court Judge - 2nd Judicial District - Baumann (Vote For 1)"/>
    <n v="0.15976957402002939"/>
    <m/>
    <m/>
    <n v="744"/>
    <n v="0.99970268244725202"/>
    <n v="1"/>
    <n v="1"/>
  </r>
  <r>
    <n v="9.7408998440710874"/>
    <n v="20996.010000000002"/>
    <n v="2.1515993948139973E-39"/>
    <n v="2.1515993948139974E-41"/>
    <n v="523"/>
    <n v="1181464"/>
    <n v="5907.32"/>
    <s v=""/>
    <x v="7"/>
    <n v="1"/>
    <n v="304290"/>
    <n v="248984"/>
    <n v="55306"/>
    <n v="193678"/>
    <s v="CO_Denve_2020g~Denver County Court Judge - Faragher (Vote For 1)"/>
    <n v="0.16393051332922542"/>
    <m/>
    <m/>
    <n v="765"/>
    <n v="0.9997675098229627"/>
    <n v="1"/>
    <n v="1"/>
  </r>
  <r>
    <n v="9.3640934614019216"/>
    <n v="20842.347000000002"/>
    <n v="7.5002244668376522E-41"/>
    <n v="7.5002244668376523E-43"/>
    <n v="523"/>
    <n v="1181464"/>
    <n v="5907.32"/>
    <s v=""/>
    <x v="7"/>
    <n v="1"/>
    <n v="302063"/>
    <n v="251030"/>
    <n v="51033"/>
    <n v="199997"/>
    <s v="CO_Denve_2020g~Denver County Court Judge - Simonet (Vote For 1)"/>
    <n v="0.16927896237210782"/>
    <m/>
    <m/>
    <n v="791"/>
    <n v="0.99982878305449441"/>
    <n v="1"/>
    <n v="1"/>
  </r>
  <r>
    <n v="9.3403754872071936"/>
    <n v="21549.114000000001"/>
    <n v="1.5056549414112286E-42"/>
    <n v="1.5056549414112284E-44"/>
    <n v="523"/>
    <n v="1181464"/>
    <n v="5907.32"/>
    <s v=""/>
    <x v="7"/>
    <n v="1"/>
    <n v="312306"/>
    <n v="259805"/>
    <n v="52501"/>
    <n v="207304"/>
    <s v="CO_Denve_2020g~District Court Judge - 2nd Judicial District/Probate - Leith (Vote For 1)"/>
    <n v="0.1754636620328677"/>
    <m/>
    <m/>
    <n v="822"/>
    <n v="0.99988135516395649"/>
    <n v="1"/>
    <n v="1"/>
  </r>
  <r>
    <n v="11.044986475950292"/>
    <n v="25540.074000000001"/>
    <n v="1.1672941120668582E-42"/>
    <n v="1.1672941120668581E-44"/>
    <n v="523"/>
    <n v="1181464"/>
    <n v="5907.32"/>
    <s v=""/>
    <x v="7"/>
    <n v="1"/>
    <n v="370146"/>
    <n v="288962"/>
    <n v="81184"/>
    <n v="207778"/>
    <s v="CO_Denve_2020g~Denver Public Schools (School District No. 1) Ballot Measure 4B (Vote For 1)"/>
    <n v="0.17586485919164696"/>
    <m/>
    <m/>
    <n v="824"/>
    <n v="0.99988413879575067"/>
    <n v="1"/>
    <n v="1"/>
  </r>
  <r>
    <n v="9.5089080310656779"/>
    <n v="24472.230000000003"/>
    <n v="3.3435614218607921E-48"/>
    <n v="3.3435614218607919E-50"/>
    <n v="523"/>
    <n v="1181464"/>
    <n v="5907.32"/>
    <s v=""/>
    <x v="7"/>
    <n v="1"/>
    <n v="354670"/>
    <n v="292961"/>
    <n v="61709"/>
    <n v="231252"/>
    <s v="CO_Denve_2020g~District Attorney - 2nd Judicial District (Vote For 1)"/>
    <n v="0.19573342903380891"/>
    <m/>
    <m/>
    <n v="923"/>
    <n v="0.99996465030876847"/>
    <n v="1"/>
    <n v="1"/>
  </r>
  <r>
    <n v="9.6717687735519213"/>
    <n v="24936.255000000001"/>
    <n v="2.6577181100979515E-48"/>
    <n v="2.6577181100979515E-50"/>
    <n v="523"/>
    <n v="1181464"/>
    <n v="5907.32"/>
    <s v=""/>
    <x v="7"/>
    <n v="1"/>
    <n v="361395"/>
    <n v="296532"/>
    <n v="64863"/>
    <n v="231669"/>
    <s v="CO_Denve_2020g~City and County of Denver Ballot Measure 2H (Vote For 1)"/>
    <n v="0.19608638096463371"/>
    <m/>
    <m/>
    <n v="924"/>
    <n v="0.99996507586684913"/>
    <n v="1"/>
    <n v="1"/>
  </r>
  <r>
    <n v="9.3812126816491013"/>
    <n v="24951.573"/>
    <n v="4.6422228548904016E-50"/>
    <n v="4.6422228548904019E-52"/>
    <n v="523"/>
    <n v="1181464"/>
    <n v="5907.32"/>
    <s v=""/>
    <x v="7"/>
    <n v="1"/>
    <n v="361617"/>
    <n v="300304"/>
    <n v="61313"/>
    <n v="238991"/>
    <s v="CO_Denve_2020g~City and County of Denver Ballot Measure 2F (Vote For 1)"/>
    <n v="0.20228377673801318"/>
    <m/>
    <m/>
    <n v="955"/>
    <n v="0.99997603722708961"/>
    <n v="1"/>
    <n v="1"/>
  </r>
  <r>
    <n v="588.92484848484855"/>
    <n v="1802.3950000000002"/>
    <n v="74.118326069071443"/>
    <n v="0.7411832606907145"/>
    <n v="254.99999999999997"/>
    <n v="234271.99999999997"/>
    <n v="1171.3599999999999"/>
    <s v=""/>
    <x v="8"/>
    <n v="3"/>
    <n v="26121.666666666668"/>
    <n v="8590"/>
    <n v="8315"/>
    <n v="275"/>
    <s v="CO_Dougl_2020g~Town of Parker Councilmember (Vote For 3)"/>
    <n v="1.173849200928835E-3"/>
    <m/>
    <m/>
    <n v="0"/>
    <n v="0"/>
    <n v="0"/>
    <n v="0"/>
  </r>
  <r>
    <n v="66.886440677966107"/>
    <n v="351.34800000000001"/>
    <n v="59.793093279665129"/>
    <n v="0.59793093279665133"/>
    <n v="254.99999999999997"/>
    <n v="234271.99999999997"/>
    <n v="1171.3599999999999"/>
    <s v=""/>
    <x v="8"/>
    <n v="1"/>
    <n v="5092"/>
    <n v="2782"/>
    <n v="2310"/>
    <n v="472"/>
    <s v="CO_Dougl_2020g~Town of Castle Rock Councilmember - District 4 (Vote For 1)"/>
    <n v="2.0147520830487639E-3"/>
    <m/>
    <m/>
    <n v="0"/>
    <n v="0"/>
    <n v="0"/>
    <n v="0"/>
  </r>
  <r>
    <n v="261.58379120879124"/>
    <n v="2119.335"/>
    <n v="45.219308756421228"/>
    <n v="0.45219308756421228"/>
    <n v="254.99999999999997"/>
    <n v="234271.99999999997"/>
    <n v="1171.3599999999999"/>
    <s v=""/>
    <x v="8"/>
    <n v="1"/>
    <n v="30715"/>
    <n v="13233"/>
    <n v="12505"/>
    <n v="728"/>
    <s v="CO_Dougl_2020g~Town of Parker Mayor (Vote For 1)"/>
    <n v="3.1074989755497887E-3"/>
    <m/>
    <m/>
    <n v="0"/>
    <n v="0"/>
    <n v="0"/>
    <n v="0"/>
  </r>
  <r>
    <n v="39.518749999999997"/>
    <n v="436.28700000000003"/>
    <n v="33.889563369634899"/>
    <n v="0.33889563369634901"/>
    <n v="254.99999999999997"/>
    <n v="234271.99999999997"/>
    <n v="1171.3599999999999"/>
    <s v=""/>
    <x v="8"/>
    <n v="1"/>
    <n v="6323"/>
    <n v="2995"/>
    <n v="2003"/>
    <n v="992"/>
    <s v="CO_Dougl_2020g~Town of Castle Rock Councilmember - District 6 (Vote For 1)"/>
    <n v="4.2343942084414705E-3"/>
    <m/>
    <m/>
    <n v="0"/>
    <n v="0"/>
    <n v="0"/>
    <n v="0"/>
  </r>
  <r>
    <n v="36.587862318840585"/>
    <n v="449.53500000000003"/>
    <n v="29.983574630347182"/>
    <n v="0.29983574630347182"/>
    <n v="254.99999999999997"/>
    <n v="234271.99999999997"/>
    <n v="1171.3599999999999"/>
    <s v=""/>
    <x v="8"/>
    <n v="1"/>
    <n v="6515"/>
    <n v="2882"/>
    <n v="1778"/>
    <n v="1104"/>
    <s v="CO_Dougl_2020g~Town of Castle Rock Councilmember - District 2 (Vote For 1)"/>
    <n v="4.7124709739106681E-3"/>
    <m/>
    <m/>
    <n v="0"/>
    <n v="0"/>
    <n v="0"/>
    <n v="0"/>
  </r>
  <r>
    <n v="40.006861924686199"/>
    <n v="532.05900000000008"/>
    <n v="27.142744597528949"/>
    <n v="0.27142744597528951"/>
    <n v="254.99999999999997"/>
    <n v="234271.99999999997"/>
    <n v="1171.3599999999999"/>
    <s v=""/>
    <x v="8"/>
    <n v="1"/>
    <n v="7711"/>
    <n v="4453"/>
    <n v="3258"/>
    <n v="1195"/>
    <s v="CO_Dougl_2020g~City of Castle Pines Ballot Issue 2A (Vote For 1)"/>
    <n v="5.1009083458543924E-3"/>
    <m/>
    <m/>
    <n v="0"/>
    <n v="0"/>
    <n v="0"/>
    <n v="0"/>
  </r>
  <r>
    <n v="27.063994169096212"/>
    <n v="413.24100000000004"/>
    <n v="22.362551675309973"/>
    <n v="0.22362551675309975"/>
    <n v="254.99999999999997"/>
    <n v="234271.99999999997"/>
    <n v="1171.3599999999999"/>
    <s v=""/>
    <x v="8"/>
    <n v="1"/>
    <n v="5989"/>
    <n v="3291"/>
    <n v="1919"/>
    <n v="1372"/>
    <s v="CO_Dougl_2020g~Town of Castle Rock Councilmember - District 1 (Vote For 1)"/>
    <n v="5.8564403769976788E-3"/>
    <m/>
    <m/>
    <n v="0"/>
    <n v="0"/>
    <n v="0"/>
    <n v="0"/>
  </r>
  <r>
    <n v="24.526872246696037"/>
    <n v="495.69600000000003"/>
    <n v="13.746612129228829"/>
    <n v="0.1374661212922883"/>
    <n v="254.99999999999997"/>
    <n v="234271.99999999997"/>
    <n v="1171.3599999999999"/>
    <s v=""/>
    <x v="8"/>
    <n v="1"/>
    <n v="7184"/>
    <n v="4500"/>
    <n v="2684"/>
    <n v="1816"/>
    <s v="CO_Dougl_2020g~Franktown Fire Protection District Ballot Issue 6A (Vote For 1)"/>
    <n v="7.7516732686791429E-3"/>
    <m/>
    <m/>
    <n v="0"/>
    <n v="0"/>
    <n v="0"/>
    <n v="0"/>
  </r>
  <r>
    <n v="163.49251059821009"/>
    <n v="3862.8270000000002"/>
    <n v="9.8138672532700042"/>
    <n v="9.8138672532700047E-2"/>
    <n v="254.99999999999997"/>
    <n v="234271.99999999997"/>
    <n v="1171.3599999999999"/>
    <s v=""/>
    <x v="8"/>
    <n v="1"/>
    <n v="55983"/>
    <n v="29053"/>
    <n v="26930"/>
    <n v="2123"/>
    <s v="CO_Dougl_2020g~Regional Transportation District Director - District G (Vote For 1)"/>
    <n v="9.0621158311706071E-3"/>
    <m/>
    <m/>
    <n v="0"/>
    <n v="0"/>
    <n v="0"/>
    <n v="0"/>
  </r>
  <r>
    <n v="108.25298378751293"/>
    <n v="3492.5730000000003"/>
    <n v="4.1786365412709987"/>
    <n v="4.178636541270999E-2"/>
    <n v="254.99999999999997"/>
    <n v="234271.99999999997"/>
    <n v="1171.3599999999999"/>
    <s v=""/>
    <x v="8"/>
    <n v="1"/>
    <n v="50617"/>
    <n v="26758"/>
    <n v="23859"/>
    <n v="2899"/>
    <s v="CO_Dougl_2020g~State Representative - District 43 (Vote For 1)"/>
    <n v="1.2374504849064338E-2"/>
    <m/>
    <m/>
    <n v="3"/>
    <n v="3.0454742582664451E-2"/>
    <n v="0.14378159906573629"/>
    <n v="0.48963948399407109"/>
  </r>
  <r>
    <n v="45.204285014691479"/>
    <n v="4109.1570000000002"/>
    <n v="1.1746389153566078E-2"/>
    <n v="1.1746389153566078E-4"/>
    <n v="254.99999999999997"/>
    <n v="234271.99999999997"/>
    <n v="1171.3599999999999"/>
    <s v=""/>
    <x v="8"/>
    <n v="1"/>
    <n v="59553"/>
    <n v="32963"/>
    <n v="24795"/>
    <n v="8168"/>
    <s v="CO_Dougl_2020g~State Representative - District 44 (Vote For 1)"/>
    <n v="3.4865455538860814E-2"/>
    <m/>
    <m/>
    <n v="25"/>
    <n v="0.22910517920108908"/>
    <n v="0.72916294662611469"/>
    <n v="0.99653588036172092"/>
  </r>
  <r>
    <n v="24.646850321395775"/>
    <n v="2987.0790000000002"/>
    <n v="5.352866346409619E-4"/>
    <n v="5.3528663464096189E-6"/>
    <n v="254.99999999999997"/>
    <n v="234271.99999999997"/>
    <n v="1171.3599999999999"/>
    <s v=""/>
    <x v="8"/>
    <n v="1"/>
    <n v="43291"/>
    <n v="26509"/>
    <n v="15619"/>
    <n v="10890"/>
    <s v="CO_Dougl_2020g~State Representative - District 39 (Vote For 1)"/>
    <n v="4.6484428356781869E-2"/>
    <m/>
    <m/>
    <n v="36"/>
    <n v="0.31374423098238291"/>
    <n v="0.84896979755836088"/>
    <n v="0.9997259371208651"/>
  </r>
  <r>
    <n v="26.623249568386726"/>
    <n v="4633.6950000000006"/>
    <n v="2.2325894218634985E-6"/>
    <n v="2.2325894218634983E-8"/>
    <n v="254.99999999999997"/>
    <n v="234271.99999999997"/>
    <n v="1171.3599999999999"/>
    <s v=""/>
    <x v="8"/>
    <n v="1"/>
    <n v="67155"/>
    <n v="40418"/>
    <n v="24779"/>
    <n v="15639"/>
    <s v="CO_Dougl_2020g~State Representative - District 45 (Vote For 1)"/>
    <n v="6.6755736921185638E-2"/>
    <m/>
    <m/>
    <n v="56"/>
    <n v="0.4461680850099885"/>
    <n v="0.9485532373627783"/>
    <n v="0.99999746749333807"/>
  </r>
  <r>
    <n v="46.55873817896282"/>
    <n v="15177.240000000002"/>
    <n v="1.6153688168607749E-13"/>
    <n v="1.6153688168607748E-15"/>
    <n v="254.99999999999997"/>
    <n v="234271.99999999997"/>
    <n v="1171.3599999999999"/>
    <s v=""/>
    <x v="8"/>
    <n v="1"/>
    <n v="219960"/>
    <n v="120650"/>
    <n v="91359"/>
    <n v="29291"/>
    <s v="CO_Dougl_2020g~Douglas County Commissioner - District 2 (Vote For 1)"/>
    <n v="0.12502987979784183"/>
    <m/>
    <m/>
    <n v="114"/>
    <n v="0.70922386170930218"/>
    <n v="0.99798336894065087"/>
    <n v="0.99999999999816913"/>
  </r>
  <r>
    <n v="22.754571906147465"/>
    <n v="8181.054000000001"/>
    <n v="3.6919784519106037E-15"/>
    <n v="3.6919784519106034E-17"/>
    <n v="254.99999999999997"/>
    <n v="234271.99999999997"/>
    <n v="1171.3599999999999"/>
    <s v=""/>
    <x v="8"/>
    <n v="1"/>
    <n v="118566"/>
    <n v="73832"/>
    <n v="41526"/>
    <n v="32306"/>
    <s v="CO_Dougl_2020g~State Senator - District 4 (Vote For 1)"/>
    <n v="0.1378995355825707"/>
    <m/>
    <m/>
    <n v="126"/>
    <n v="0.74663844719415817"/>
    <n v="0.99899149542122756"/>
    <n v="0.99999999999991207"/>
  </r>
  <r>
    <n v="35.366105775521419"/>
    <n v="15040.275000000001"/>
    <n v="1.9051601694376488E-18"/>
    <n v="1.9051601694376489E-20"/>
    <n v="254.99999999999997"/>
    <n v="234271.99999999997"/>
    <n v="1171.3599999999999"/>
    <s v=""/>
    <x v="8"/>
    <n v="1"/>
    <n v="217975"/>
    <n v="128094"/>
    <n v="89881"/>
    <n v="38213"/>
    <s v="CO_Dougl_2020g~Douglas County Commissioner - District 3 (Vote For 1)"/>
    <n v="0.16311381641852207"/>
    <m/>
    <m/>
    <n v="151"/>
    <n v="0.81082228708509785"/>
    <n v="0.99976820143922984"/>
    <n v="0.99999999999999989"/>
  </r>
  <r>
    <n v="10.576470588235296"/>
    <n v="10.576470588235296"/>
    <n v="94.828445035485629"/>
    <n v="0.94828445035485631"/>
    <n v="1195"/>
    <n v="382583.00000000006"/>
    <n v="1912.9150000000002"/>
    <s v=""/>
    <x v="9"/>
    <n v="1"/>
    <n v="29"/>
    <n v="23"/>
    <n v="6"/>
    <n v="17"/>
    <s v="CO_El Pa_2020g~Northeast Teller County Fire Protection District Ballot Issue 7A (Vote for 1)"/>
    <n v="4.4434802382750928E-5"/>
    <m/>
    <m/>
    <n v="0"/>
    <n v="0"/>
    <n v="0"/>
    <n v="0"/>
  </r>
  <r>
    <n v="1501.7052631578947"/>
    <n v="1501.7052631578947"/>
    <n v="94.237869548681402"/>
    <n v="0.94237869548681397"/>
    <n v="1195"/>
    <n v="382583.00000000006"/>
    <n v="1912.9150000000002"/>
    <s v=""/>
    <x v="9"/>
    <n v="1"/>
    <n v="4602"/>
    <n v="846"/>
    <n v="827"/>
    <n v="19"/>
    <s v="CO_El Pa_2020g~Town of Palmer Lake Trustee (Vote for 1)"/>
    <n v="4.9662426192486332E-5"/>
    <m/>
    <m/>
    <n v="0"/>
    <n v="0"/>
    <n v="0"/>
    <n v="0"/>
  </r>
  <r>
    <n v="38.640845070422536"/>
    <n v="122.13000000000001"/>
    <n v="41.172283138294404"/>
    <n v="0.41172283138294402"/>
    <n v="1195"/>
    <n v="382583.00000000006"/>
    <n v="1912.9150000000002"/>
    <s v=""/>
    <x v="9"/>
    <n v="1"/>
    <n v="1770"/>
    <n v="1027"/>
    <n v="743"/>
    <n v="284"/>
    <s v="CO_El Pa_2020g~Town of Palmer Lake Ballot Question 2D (Vote for 1)"/>
    <n v="7.4232258098242722E-4"/>
    <m/>
    <m/>
    <n v="0"/>
    <n v="0"/>
    <n v="0"/>
    <n v="0"/>
  </r>
  <r>
    <n v="25.658942065491186"/>
    <n v="113.367"/>
    <n v="28.918883373372505"/>
    <n v="0.28918883373372506"/>
    <n v="1195"/>
    <n v="382583.00000000006"/>
    <n v="1912.9150000000002"/>
    <s v=""/>
    <x v="9"/>
    <n v="1"/>
    <n v="1643"/>
    <n v="1020"/>
    <n v="623"/>
    <n v="397"/>
    <s v="CO_El Pa_2020g~Town of Palmer Lake Mayor (Vote for 1)"/>
    <n v="1.0376833262324774E-3"/>
    <m/>
    <m/>
    <n v="0"/>
    <n v="0"/>
    <n v="0"/>
    <n v="0"/>
  </r>
  <r>
    <n v="12.619081272084806"/>
    <n v="79.488"/>
    <n v="17.046709648432778"/>
    <n v="0.17046709648432778"/>
    <n v="1195"/>
    <n v="382583.00000000006"/>
    <n v="1912.9150000000002"/>
    <s v=""/>
    <x v="9"/>
    <n v="1"/>
    <n v="1152"/>
    <n v="859"/>
    <n v="293"/>
    <n v="566"/>
    <s v="CO_El Pa_2020g~Miami Yoder School District JT 60 Ballot Question 5A (Vote for 1)"/>
    <n v="1.479417538155119E-3"/>
    <m/>
    <m/>
    <n v="0"/>
    <n v="0"/>
    <n v="0"/>
    <n v="0"/>
  </r>
  <r>
    <n v="34.327301092043683"/>
    <n v="244.88100000000003"/>
    <n v="13.48157841116141"/>
    <n v="0.1348157841116141"/>
    <n v="1195"/>
    <n v="382583.00000000006"/>
    <n v="1912.9150000000002"/>
    <s v=""/>
    <x v="9"/>
    <n v="1"/>
    <n v="3549"/>
    <n v="2095"/>
    <n v="1454"/>
    <n v="641"/>
    <s v="CO_El Pa_2020g~Triview Metropolitan District Ballot Issue 6A (Vote for 1)"/>
    <n v="1.6754534310201967E-3"/>
    <m/>
    <m/>
    <n v="0"/>
    <n v="0"/>
    <n v="0"/>
    <n v="0"/>
  </r>
  <r>
    <n v="41.63048648648649"/>
    <n v="428.55900000000003"/>
    <n v="5.5424100940594005"/>
    <n v="5.5424100940594009E-2"/>
    <n v="1195"/>
    <n v="382583.00000000006"/>
    <n v="1912.9150000000002"/>
    <s v=""/>
    <x v="9"/>
    <n v="1"/>
    <n v="6211"/>
    <n v="3568"/>
    <n v="2643"/>
    <n v="925"/>
    <s v="CO_El Pa_2020g~Town of Monument Ballot Issue 2E (Vote for 1)"/>
    <n v="2.4177760120026241E-3"/>
    <m/>
    <m/>
    <n v="0"/>
    <n v="0"/>
    <n v="0"/>
    <n v="0"/>
  </r>
  <r>
    <n v="24.405532503457817"/>
    <n v="392.74800000000005"/>
    <n v="1.0833137981037937"/>
    <n v="1.0833137981037936E-2"/>
    <n v="1195"/>
    <n v="382583.00000000006"/>
    <n v="1912.9150000000002"/>
    <s v=""/>
    <x v="9"/>
    <n v="1"/>
    <n v="5692"/>
    <n v="3569"/>
    <n v="2123"/>
    <n v="1446"/>
    <s v="CO_El Pa_2020g~Donald Wescott Fire Protection District Northern Subdistrict Ballot Issue 6C (Vote for 1)"/>
    <n v="3.7795720144386965E-3"/>
    <m/>
    <m/>
    <n v="0"/>
    <n v="0"/>
    <n v="0"/>
    <n v="0"/>
  </r>
  <r>
    <n v="25.068823124569857"/>
    <n v="405.37500000000006"/>
    <n v="1.0597965807401415"/>
    <n v="1.0597965807401414E-2"/>
    <n v="1195"/>
    <n v="382583.00000000006"/>
    <n v="1912.9150000000002"/>
    <s v=""/>
    <x v="9"/>
    <n v="1"/>
    <n v="5875"/>
    <n v="3664"/>
    <n v="2211"/>
    <n v="1453"/>
    <s v="CO_El Pa_2020g~Donald Wescott Fire Protection District Ballot Issue 6B (Vote for 1)"/>
    <n v="3.7978686977727704E-3"/>
    <m/>
    <m/>
    <n v="0"/>
    <n v="0"/>
    <n v="0"/>
    <n v="0"/>
  </r>
  <r>
    <n v="24.658713136729222"/>
    <n v="409.44600000000003"/>
    <n v="0.93780767955028888"/>
    <n v="9.3780767955028883E-3"/>
    <n v="1195"/>
    <n v="382583.00000000006"/>
    <n v="1912.9150000000002"/>
    <s v=""/>
    <x v="9"/>
    <n v="1"/>
    <n v="5934"/>
    <n v="3713"/>
    <n v="2221"/>
    <n v="1492"/>
    <s v="CO_El Pa_2020g~Town of Monument Ballot Question 2F (Vote for 1)"/>
    <n v="3.8998073620626107E-3"/>
    <m/>
    <m/>
    <n v="0"/>
    <n v="0"/>
    <n v="0"/>
    <n v="0"/>
  </r>
  <r>
    <n v="44.859069453809845"/>
    <n v="2221.11"/>
    <n v="8.5010439420969203E-5"/>
    <n v="8.5010439420969198E-7"/>
    <n v="1195"/>
    <n v="382583.00000000006"/>
    <n v="1912.9150000000002"/>
    <s v=""/>
    <x v="9"/>
    <n v="1"/>
    <n v="32190"/>
    <n v="17448"/>
    <n v="12999"/>
    <n v="4449"/>
    <s v="CO_El Pa_2020g~State Representative - District 21 (Vote for 1)"/>
    <n v="1.1628849164756405E-2"/>
    <m/>
    <m/>
    <n v="3"/>
    <n v="3.1069732037989684E-2"/>
    <n v="0.14326242632292208"/>
    <n v="0.48880342610169247"/>
  </r>
  <r>
    <n v="32.024117428465253"/>
    <n v="1918.1310000000001"/>
    <n v="4.4398130269423299E-6"/>
    <n v="4.43981302694233E-8"/>
    <n v="1195"/>
    <n v="382583.00000000006"/>
    <n v="1912.9150000000002"/>
    <s v=""/>
    <x v="9"/>
    <n v="1"/>
    <n v="27799"/>
    <n v="15780"/>
    <n v="10398"/>
    <n v="5382"/>
    <s v="CO_El Pa_2020g~State Representative - District 17 (Vote for 1)"/>
    <n v="1.406753567199797E-2"/>
    <m/>
    <m/>
    <n v="7"/>
    <n v="7.1071748711110549E-2"/>
    <n v="0.30314415269867889"/>
    <n v="0.79143602568075655"/>
  </r>
  <r>
    <n v="46.967255717255718"/>
    <n v="3017.0250000000001"/>
    <n v="1.2897197307508415E-6"/>
    <n v="1.2897197307508414E-8"/>
    <n v="1195"/>
    <n v="382583.00000000006"/>
    <n v="1912.9150000000002"/>
    <s v=""/>
    <x v="9"/>
    <n v="1"/>
    <n v="43725"/>
    <n v="23842"/>
    <n v="18070"/>
    <n v="5772"/>
    <s v="CO_El Pa_2020g~State Representative - District 16 (Vote for 1)"/>
    <n v="1.5086922314896374E-2"/>
    <m/>
    <m/>
    <n v="9"/>
    <n v="9.0479483465591537E-2"/>
    <n v="0.37162627434308615"/>
    <n v="0.86688676550044541"/>
  </r>
  <r>
    <n v="178.34470757555934"/>
    <n v="15169.857000000002"/>
    <n v="3.3662590269319403E-9"/>
    <n v="3.3662590269319402E-11"/>
    <n v="1195"/>
    <n v="382583.00000000006"/>
    <n v="1912.9150000000002"/>
    <s v=""/>
    <x v="9"/>
    <n v="1"/>
    <n v="219853"/>
    <n v="113748"/>
    <n v="106105"/>
    <n v="7643"/>
    <s v="CO_El Pa_2020g~City of Colorado Springs Ballot Question 2C (Vote for 1)"/>
    <n v="1.9977364388903844E-2"/>
    <m/>
    <m/>
    <n v="17"/>
    <n v="0.16432635988688293"/>
    <n v="0.58501487358404858"/>
    <n v="0.97802925758357506"/>
  </r>
  <r>
    <n v="64.983087563617389"/>
    <n v="5541.8730000000005"/>
    <n v="3.1583723452444957E-9"/>
    <n v="3.1583723452444957E-11"/>
    <n v="1195"/>
    <n v="382583.00000000006"/>
    <n v="1912.9150000000002"/>
    <s v=""/>
    <x v="9"/>
    <n v="1"/>
    <n v="80317"/>
    <n v="42303"/>
    <n v="34640"/>
    <n v="7663"/>
    <s v="CO_El Pa_2020g~El Paso County Commissioner - District 3 (Vote for 1)"/>
    <n v="2.0029640627001195E-2"/>
    <m/>
    <m/>
    <n v="17"/>
    <n v="0.16432635988688293"/>
    <n v="0.58501487358404858"/>
    <n v="0.97802925758357506"/>
  </r>
  <r>
    <n v="34.306666666666665"/>
    <n v="3602.2830000000004"/>
    <n v="1.0984053240427778E-11"/>
    <n v="1.0984053240427778E-13"/>
    <n v="1195"/>
    <n v="382583.00000000006"/>
    <n v="1912.9150000000002"/>
    <s v=""/>
    <x v="9"/>
    <n v="1"/>
    <n v="52207"/>
    <n v="29036"/>
    <n v="19601"/>
    <n v="9435"/>
    <s v="CO_El Pa_2020g~El Paso County Commissioner - District 4 (Vote for 1)"/>
    <n v="2.4661315322426765E-2"/>
    <m/>
    <m/>
    <n v="24"/>
    <n v="0.22423594416492509"/>
    <n v="0.71177692534102077"/>
    <n v="0.99548954333289397"/>
  </r>
  <r>
    <n v="30.181706171034772"/>
    <n v="3216.8490000000002"/>
    <n v="6.9699317208425948E-12"/>
    <n v="6.9699317208425948E-14"/>
    <n v="1195"/>
    <n v="382583.00000000006"/>
    <n v="1912.9150000000002"/>
    <s v=""/>
    <x v="9"/>
    <n v="1"/>
    <n v="46621"/>
    <n v="27376"/>
    <n v="17799"/>
    <n v="9577"/>
    <s v="CO_El Pa_2020g~State Representative - District 20 (Vote for 1)"/>
    <n v="2.5032476612917978E-2"/>
    <m/>
    <m/>
    <n v="25"/>
    <n v="0.23245378373944903"/>
    <n v="0.72643233591690093"/>
    <n v="0.99640453533686735"/>
  </r>
  <r>
    <n v="27.645647388433062"/>
    <n v="3074.8470000000002"/>
    <n v="1.8310955673241884E-12"/>
    <n v="1.8310955673241883E-14"/>
    <n v="1195"/>
    <n v="382583.00000000006"/>
    <n v="1912.9150000000002"/>
    <s v=""/>
    <x v="9"/>
    <n v="1"/>
    <n v="44563"/>
    <n v="26325"/>
    <n v="16331"/>
    <n v="9994"/>
    <s v="CO_El Pa_2020g~State Representative - District 18 (Vote for 1)"/>
    <n v="2.6122436177247809E-2"/>
    <m/>
    <m/>
    <n v="26"/>
    <n v="0.24058887877135737"/>
    <n v="0.7403499277303498"/>
    <n v="0.99713429843489587"/>
  </r>
  <r>
    <n v="26.594407923569111"/>
    <n v="3376.7220000000002"/>
    <n v="1.9408643682281797E-14"/>
    <n v="1.9408643682281798E-16"/>
    <n v="1195"/>
    <n v="382583.00000000006"/>
    <n v="1912.9150000000002"/>
    <s v=""/>
    <x v="9"/>
    <n v="1"/>
    <n v="48938"/>
    <n v="28944"/>
    <n v="17535"/>
    <n v="11409"/>
    <s v="CO_El Pa_2020g~State Representative - District 15 (Vote for 1)"/>
    <n v="2.9820980022635606E-2"/>
    <m/>
    <m/>
    <n v="32"/>
    <n v="0.28770554241347368"/>
    <n v="0.81029844744038648"/>
    <n v="0.99926742415351577"/>
  </r>
  <r>
    <n v="24.18973821989529"/>
    <n v="3856.4100000000003"/>
    <n v="1.5656461651223163E-18"/>
    <n v="1.5656461651223163E-20"/>
    <n v="1195"/>
    <n v="382583.00000000006"/>
    <n v="1912.9150000000002"/>
    <s v=""/>
    <x v="9"/>
    <n v="1"/>
    <n v="55890"/>
    <n v="34013"/>
    <n v="19688"/>
    <n v="14325"/>
    <s v="CO_El Pa_2020g~State Representative - District 14 (Vote for 1)"/>
    <n v="3.7442855537229827E-2"/>
    <m/>
    <m/>
    <n v="45"/>
    <n v="0.38044312105708056"/>
    <n v="0.90424138670860343"/>
    <n v="0.99996249831244088"/>
  </r>
  <r>
    <n v="34.010124438074143"/>
    <n v="5809.5930000000008"/>
    <n v="5.6178698420989594E-20"/>
    <n v="5.6178698420989591E-22"/>
    <n v="1195"/>
    <n v="382583.00000000006"/>
    <n v="1912.9150000000002"/>
    <s v=""/>
    <x v="9"/>
    <n v="1"/>
    <n v="84197"/>
    <n v="47463"/>
    <n v="32114"/>
    <n v="15349"/>
    <s v="CO_El Pa_2020g~State Senator - District 10 (Vote for 1)"/>
    <n v="4.0119398927814354E-2"/>
    <m/>
    <m/>
    <n v="49"/>
    <n v="0.40658794979118129"/>
    <n v="0.92248262316156548"/>
    <n v="0.99998504286464485"/>
  </r>
  <r>
    <n v="30.137097573055968"/>
    <n v="5417.3280000000004"/>
    <n v="4.1069049615502351E-21"/>
    <n v="4.1069049615502352E-23"/>
    <n v="1195"/>
    <n v="382583.00000000006"/>
    <n v="1912.9150000000002"/>
    <s v=""/>
    <x v="9"/>
    <n v="1"/>
    <n v="78512"/>
    <n v="45808"/>
    <n v="29656"/>
    <n v="16152"/>
    <s v="CO_El Pa_2020g~State Senator - District 12 (Vote for 1)"/>
    <n v="4.2218289887423113E-2"/>
    <m/>
    <m/>
    <n v="52"/>
    <n v="0.42550506243835062"/>
    <n v="0.93386488368241205"/>
    <n v="0.99999250427158848"/>
  </r>
  <r>
    <n v="20.146871320437345"/>
    <n v="5331.8370000000004"/>
    <n v="4.9639193303025369E-32"/>
    <n v="4.9639193303025374E-34"/>
    <n v="1195"/>
    <n v="382583.00000000006"/>
    <n v="1912.9150000000002"/>
    <s v=""/>
    <x v="9"/>
    <n v="1"/>
    <n v="77273"/>
    <n v="48904"/>
    <n v="25124"/>
    <n v="23780"/>
    <s v="CO_El Pa_2020g~El Paso County Commissioner - District 2 (Vote for 1)"/>
    <n v="6.215644709775394E-2"/>
    <m/>
    <m/>
    <n v="84"/>
    <n v="0.59470706985993416"/>
    <n v="0.98804372919654537"/>
    <n v="0.99999999563327602"/>
  </r>
  <r>
    <n v="12.414002413142343"/>
    <n v="4465.6110000000008"/>
    <n v="1.5471258181859456E-44"/>
    <n v="1.5471258181859455E-46"/>
    <n v="1195"/>
    <n v="382583.00000000006"/>
    <n v="1912.9150000000002"/>
    <s v=""/>
    <x v="9"/>
    <n v="1"/>
    <n v="64719"/>
    <n v="48521"/>
    <n v="16198"/>
    <n v="32323"/>
    <s v="CO_El Pa_2020g~State Representative - District 19 (Vote for 1)"/>
    <n v="8.4486242201038717E-2"/>
    <m/>
    <m/>
    <n v="120"/>
    <n v="0.7282985794563237"/>
    <n v="0.99831822193492648"/>
    <n v="0.99999999999916056"/>
  </r>
  <r>
    <n v="35.075421657592258"/>
    <n v="16131.441000000001"/>
    <n v="4.7513997392728327E-58"/>
    <n v="4.7513997392728329E-60"/>
    <n v="1195"/>
    <n v="382583.00000000006"/>
    <n v="1912.9150000000002"/>
    <s v=""/>
    <x v="9"/>
    <n v="1"/>
    <n v="233789"/>
    <n v="137557"/>
    <n v="96232"/>
    <n v="41325"/>
    <s v="CO_El Pa_2020g~City of Colorado Springs Ballot Issue 2A (Vote for 1)"/>
    <n v="0.10801577696865776"/>
    <m/>
    <m/>
    <n v="158"/>
    <n v="0.82342931059460001"/>
    <n v="0.99979708118871569"/>
    <n v="0.99999999999999989"/>
  </r>
  <r>
    <n v="33.200383417205849"/>
    <n v="15418.740000000002"/>
    <n v="1.1495706498999586E-58"/>
    <n v="1.1495706498999586E-60"/>
    <n v="1195"/>
    <n v="382583.00000000006"/>
    <n v="1912.9150000000002"/>
    <s v=""/>
    <x v="9"/>
    <n v="1"/>
    <n v="223460"/>
    <n v="132595"/>
    <n v="90865"/>
    <n v="41730"/>
    <s v="CO_El Pa_2020g~City of Colorado Springs Ballot Question 2B (Vote for 1)"/>
    <n v="0.10907437079012919"/>
    <m/>
    <m/>
    <n v="160"/>
    <n v="0.82743418637982591"/>
    <n v="0.99981869163605042"/>
    <n v="1"/>
  </r>
  <r>
    <n v="44.918187210819788"/>
    <n v="21068.115000000002"/>
    <n v="2.6808514509490119E-59"/>
    <n v="2.6808514509490117E-61"/>
    <n v="1195"/>
    <n v="382583.00000000006"/>
    <n v="1912.9150000000002"/>
    <s v=""/>
    <x v="9"/>
    <n v="1"/>
    <n v="305335"/>
    <n v="173740"/>
    <n v="131595"/>
    <n v="42145"/>
    <s v="CO_El Pa_2020g~District Court Judge - 4th Judicial District - Werner (Vote for 1)"/>
    <n v="0.11015910273064929"/>
    <m/>
    <m/>
    <n v="162"/>
    <n v="0.83135266954821152"/>
    <n v="0.99983802204125061"/>
    <n v="1"/>
  </r>
  <r>
    <n v="12.800177215629724"/>
    <n v="8199.2010000000009"/>
    <n v="2.4263844083362215E-83"/>
    <n v="2.4263844083362215E-85"/>
    <n v="1195"/>
    <n v="382583.00000000006"/>
    <n v="1912.9150000000002"/>
    <s v=""/>
    <x v="9"/>
    <n v="1"/>
    <n v="118829"/>
    <n v="88193"/>
    <n v="30636"/>
    <n v="57557"/>
    <s v="CO_El Pa_2020g~Colorado Springs School District 11 Ballot Issue 4A (Vote for 1)"/>
    <n v="0.15044317180847031"/>
    <m/>
    <m/>
    <n v="226"/>
    <n v="0.92028016980630589"/>
    <n v="0.99999591199854598"/>
    <n v="1"/>
  </r>
  <r>
    <n v="33.233583199734248"/>
    <n v="25607.832000000002"/>
    <n v="2.4642893617223536E-102"/>
    <n v="2.4642893617223537E-104"/>
    <n v="1195"/>
    <n v="382583.00000000006"/>
    <n v="1912.9150000000002"/>
    <s v=""/>
    <x v="9"/>
    <n v="1"/>
    <n v="371128"/>
    <n v="210639"/>
    <n v="141402"/>
    <n v="69237"/>
    <s v="CO_El Pa_2020g~Representative to the 117th United States Congress - District 5 (Vote for 1)"/>
    <n v="0.18097249485732506"/>
    <m/>
    <m/>
    <n v="275"/>
    <n v="0.95595343816103884"/>
    <n v="0.99999977854277544"/>
    <n v="1"/>
  </r>
  <r>
    <n v="13.270075680670974"/>
    <n v="21094.611000000001"/>
    <n v="2.7907021494480736E-241"/>
    <n v="2.7907021494480738E-243"/>
    <n v="1195"/>
    <n v="382583.00000000006"/>
    <n v="1912.9150000000002"/>
    <s v=""/>
    <x v="9"/>
    <n v="1"/>
    <n v="305719"/>
    <n v="224278"/>
    <n v="81441"/>
    <n v="142837"/>
    <s v="CO_El Pa_2020g~District Court Judge - 4th Judicial District - McHenry (Vote for 1)"/>
    <n v="0.37334905105558785"/>
    <m/>
    <m/>
    <n v="585"/>
    <n v="0.99935660767961509"/>
    <n v="0.99999999999999978"/>
    <n v="1"/>
  </r>
  <r>
    <n v="12.804496187897165"/>
    <n v="21101.787"/>
    <n v="9.2886978730675057E-253"/>
    <n v="9.2886978730675058E-255"/>
    <n v="1195"/>
    <n v="382583.00000000006"/>
    <n v="1912.9150000000002"/>
    <s v=""/>
    <x v="9"/>
    <n v="1"/>
    <n v="305823"/>
    <n v="226952"/>
    <n v="78871"/>
    <n v="148081"/>
    <s v="CO_El Pa_2020g~District Court Judge - 4th Judicial District - Kane (Vote for 1)"/>
    <n v="0.38705588068471408"/>
    <m/>
    <m/>
    <n v="607"/>
    <n v="0.99954058106365695"/>
    <n v="1"/>
    <n v="1"/>
  </r>
  <r>
    <n v="12.178275720375984"/>
    <n v="21109.446000000004"/>
    <n v="5.0956922548356833E-270"/>
    <n v="5.0956922548356834E-272"/>
    <n v="1195"/>
    <n v="382583.00000000006"/>
    <n v="1912.9150000000002"/>
    <s v=""/>
    <x v="9"/>
    <n v="1"/>
    <n v="305934"/>
    <n v="230843"/>
    <n v="75091"/>
    <n v="155752"/>
    <s v="CO_El Pa_2020g~District Court Judge - 4th Judicial District - Sokol (Vote for 1)"/>
    <n v="0.40710643180695427"/>
    <m/>
    <m/>
    <n v="639"/>
    <n v="0.99972141286495897"/>
    <n v="1"/>
    <n v="1"/>
  </r>
  <r>
    <n v="12.093066193253867"/>
    <n v="21226.608"/>
    <n v="1.5305126654040187E-274"/>
    <n v="1.5305126654040186E-276"/>
    <n v="1195"/>
    <n v="382583.00000000006"/>
    <n v="1912.9150000000002"/>
    <s v=""/>
    <x v="9"/>
    <n v="1"/>
    <n v="307632"/>
    <n v="232676"/>
    <n v="74956"/>
    <n v="157720"/>
    <s v="CO_El Pa_2020g~District Court Judge - 4th Judicial District - Bain (Vote for 1)"/>
    <n v="0.41225041363573389"/>
    <m/>
    <m/>
    <n v="647"/>
    <n v="0.99975464816155091"/>
    <n v="1"/>
    <n v="1"/>
  </r>
  <r>
    <n v="11.928893900925477"/>
    <n v="21072.393"/>
    <n v="7.0930492614536377E-277"/>
    <n v="7.0930492614536376E-279"/>
    <n v="1195"/>
    <n v="382583.00000000006"/>
    <n v="1912.9150000000002"/>
    <s v=""/>
    <x v="9"/>
    <n v="1"/>
    <n v="305397"/>
    <n v="232063"/>
    <n v="73334"/>
    <n v="158729"/>
    <s v="CO_El Pa_2020g~District Court Judge - 4th Judicial District - Prince (Vote for 1)"/>
    <n v="0.4148877498477454"/>
    <m/>
    <m/>
    <n v="651"/>
    <n v="0.99976981794240749"/>
    <n v="1"/>
    <n v="1"/>
  </r>
  <r>
    <n v="11.568401493760817"/>
    <n v="21202.389000000003"/>
    <n v="7.1689075612237031E-291"/>
    <n v="7.1689075612237027E-293"/>
    <n v="1195"/>
    <n v="382583.00000000006"/>
    <n v="1912.9150000000002"/>
    <s v=""/>
    <x v="9"/>
    <n v="1"/>
    <n v="307281"/>
    <n v="235983"/>
    <n v="71298"/>
    <n v="164685"/>
    <s v="CO_El Pa_2020g~District Court Judge - 4th Judicial District - DuBois (Vote for 1)"/>
    <n v="0.43045561355313744"/>
    <m/>
    <m/>
    <n v="676"/>
    <n v="0.99984625477270161"/>
    <n v="1"/>
    <n v="1"/>
  </r>
  <r>
    <n v="11.34599518837569"/>
    <n v="21151.605000000003"/>
    <n v="1.2038030552627666E-297"/>
    <n v="1.2038030552627667E-299"/>
    <n v="1195"/>
    <n v="382583.00000000006"/>
    <n v="1912.9150000000002"/>
    <s v=""/>
    <x v="9"/>
    <n v="1"/>
    <n v="306545"/>
    <n v="237028"/>
    <n v="69517"/>
    <n v="167511"/>
    <s v="CO_El Pa_2020g~El Paso County Court Judge - Findorff (Vote for 1)"/>
    <n v="0.43784224599629357"/>
    <m/>
    <m/>
    <n v="688"/>
    <n v="0.9998737012452954"/>
    <n v="1"/>
    <n v="1"/>
  </r>
  <r>
    <n v="11.322624890420844"/>
    <n v="21130.215"/>
    <n v="4.5256691027821893E-298"/>
    <n v="4.525669102782189E-300"/>
    <n v="1195"/>
    <n v="382583.00000000006"/>
    <n v="1912.9150000000002"/>
    <s v=""/>
    <x v="9"/>
    <n v="1"/>
    <n v="306235"/>
    <n v="236961"/>
    <n v="69274"/>
    <n v="167687"/>
    <s v="CO_El Pa_2020g~El Paso County Court Judge - Gerhart (Vote for 1)"/>
    <n v="0.43830227689155027"/>
    <m/>
    <m/>
    <n v="689"/>
    <n v="0.99987576495043762"/>
    <n v="1"/>
    <n v="1"/>
  </r>
  <r>
    <n v="209.25"/>
    <n v="209.25"/>
    <n v="99.521354502972201"/>
    <n v="0.99521354502972204"/>
    <n v="229"/>
    <n v="381834.00000000006"/>
    <n v="1909.1700000000003"/>
    <s v=""/>
    <x v="10"/>
    <n v="1"/>
    <n v="270"/>
    <n v="139"/>
    <n v="131"/>
    <n v="8"/>
    <s v="CO_Jeffe_2020g~Forest Hills Metropolitan District Ballot Issue 6C (Vote For 1)"/>
    <n v="2.0951512961129702E-5"/>
    <m/>
    <m/>
    <n v="0"/>
    <n v="0"/>
    <n v="0"/>
    <n v="0"/>
  </r>
  <r>
    <n v="24.892537313432836"/>
    <n v="24.892537313432836"/>
    <n v="96.061083662714225"/>
    <n v="0.96061083662714231"/>
    <n v="229"/>
    <n v="381834.00000000006"/>
    <n v="1909.1700000000003"/>
    <s v=""/>
    <x v="10"/>
    <n v="1"/>
    <n v="269"/>
    <n v="168"/>
    <n v="101"/>
    <n v="67"/>
    <s v="CO_Jeffe_2020g~Forest Hills Metropolitan District Ballot Issue 6D (Vote For 1)"/>
    <n v="1.7546892104946125E-4"/>
    <m/>
    <m/>
    <n v="0"/>
    <n v="0"/>
    <n v="0"/>
    <n v="0"/>
  </r>
  <r>
    <n v="7.6551020408163275"/>
    <n v="16.698"/>
    <n v="88.907058953499202"/>
    <n v="0.88907058953499207"/>
    <n v="229"/>
    <n v="381834.00000000006"/>
    <n v="1909.1700000000003"/>
    <s v=""/>
    <x v="10"/>
    <n v="1"/>
    <n v="242"/>
    <n v="219"/>
    <n v="23"/>
    <n v="196"/>
    <s v="CO_Jeffe_2020g~Blue Mountain Water District Ballot Issue 6A (Vote For 1)"/>
    <n v="5.1331206754767766E-4"/>
    <m/>
    <m/>
    <n v="0"/>
    <n v="0"/>
    <n v="0"/>
    <n v="0"/>
  </r>
  <r>
    <n v="19.614946619217083"/>
    <n v="61.341000000000008"/>
    <n v="84.485678186204623"/>
    <n v="0.84485678186204627"/>
    <n v="229"/>
    <n v="381834.00000000006"/>
    <n v="1909.1700000000003"/>
    <s v=""/>
    <x v="10"/>
    <n v="1"/>
    <n v="889"/>
    <n v="585"/>
    <n v="304"/>
    <n v="281"/>
    <s v="CO_Jeffe_2020g~Lookout Mountain Water District Ballot Issue 6B (Vote For 1)"/>
    <n v="7.359218927596808E-4"/>
    <m/>
    <m/>
    <n v="0"/>
    <n v="0"/>
    <n v="0"/>
    <n v="0"/>
  </r>
  <r>
    <n v="23.458135860979464"/>
    <n v="165.25500000000002"/>
    <n v="68.389657268673034"/>
    <n v="0.68389657268673032"/>
    <n v="229"/>
    <n v="381834.00000000006"/>
    <n v="1909.1700000000003"/>
    <s v=""/>
    <x v="10"/>
    <n v="1"/>
    <n v="2395"/>
    <n v="1514"/>
    <n v="881"/>
    <n v="633"/>
    <s v="CO_Jeffe_2020g~City of Edgewater Ballot Question 2A (Vote For 1)"/>
    <n v="1.6577884630493878E-3"/>
    <m/>
    <m/>
    <n v="0"/>
    <n v="0"/>
    <n v="0"/>
    <n v="0"/>
  </r>
  <r>
    <n v="198.93742071881607"/>
    <n v="4188.8520000000008"/>
    <n v="32.061216982764783"/>
    <n v="0.32061216982764784"/>
    <n v="229"/>
    <n v="381834.00000000006"/>
    <n v="1909.1700000000003"/>
    <s v=""/>
    <x v="10"/>
    <n v="1"/>
    <n v="60708"/>
    <n v="29566"/>
    <n v="27674"/>
    <n v="1892"/>
    <s v="CO_Jeffe_2020g~State Representative - District 27 (Vote For 1)"/>
    <n v="4.9550328153071749E-3"/>
    <m/>
    <m/>
    <n v="0"/>
    <n v="0"/>
    <n v="0"/>
    <n v="0"/>
  </r>
  <r>
    <n v="108.15159106296548"/>
    <n v="3555.5010000000002"/>
    <n v="16.888930694457702"/>
    <n v="0.16888930694457702"/>
    <n v="229"/>
    <n v="381834.00000000006"/>
    <n v="1909.1700000000003"/>
    <s v=""/>
    <x v="10"/>
    <n v="1"/>
    <n v="51529"/>
    <n v="26421"/>
    <n v="23467"/>
    <n v="2954"/>
    <s v="CO_Jeffe_2020g~State Representative - District 22 (Vote For 1)"/>
    <n v="7.7363461608971427E-3"/>
    <m/>
    <m/>
    <n v="0"/>
    <n v="0"/>
    <n v="0"/>
    <n v="0"/>
  </r>
  <r>
    <n v="110.07017978921265"/>
    <n v="3951.7680000000005"/>
    <n v="14.327761813828602"/>
    <n v="0.14327761813828602"/>
    <n v="229"/>
    <n v="381834.00000000006"/>
    <n v="1909.1700000000003"/>
    <s v=""/>
    <x v="10"/>
    <n v="1"/>
    <n v="57272"/>
    <n v="30249"/>
    <n v="27023"/>
    <n v="3226"/>
    <s v="CO_Jeffe_2020g~State Representative - District 25 (Vote For 1)"/>
    <n v="8.4486976015755531E-3"/>
    <m/>
    <m/>
    <n v="0"/>
    <n v="0"/>
    <n v="0"/>
    <n v="0"/>
  </r>
  <r>
    <n v="34.940494273658828"/>
    <n v="3225.5430000000001"/>
    <n v="0.65410916517224771"/>
    <n v="6.5410916517224769E-3"/>
    <n v="229"/>
    <n v="381834.00000000006"/>
    <n v="1909.1700000000003"/>
    <s v=""/>
    <x v="10"/>
    <n v="1"/>
    <n v="46747"/>
    <n v="26226"/>
    <n v="17931"/>
    <n v="8295"/>
    <s v="CO_Jeffe_2020g~State Representative - District 29 (Vote For 1)"/>
    <n v="2.1724100001571361E-2"/>
    <m/>
    <m/>
    <n v="19"/>
    <n v="0.18213808604202686"/>
    <n v="0.62660201796603032"/>
    <n v="0.98594516298319279"/>
  </r>
  <r>
    <n v="29.917820539636057"/>
    <n v="3183.7290000000003"/>
    <n v="0.30042949924142937"/>
    <n v="3.0042949924142938E-3"/>
    <n v="229"/>
    <n v="381834.00000000006"/>
    <n v="1909.1700000000003"/>
    <s v=""/>
    <x v="10"/>
    <n v="1"/>
    <n v="46141"/>
    <n v="26592"/>
    <n v="17030"/>
    <n v="9562"/>
    <s v="CO_Jeffe_2020g~State Representative - District 28 (Vote For 1)"/>
    <n v="2.5042295866790278E-2"/>
    <m/>
    <m/>
    <n v="25"/>
    <n v="0.23277656025763871"/>
    <n v="0.72700734494838293"/>
    <n v="0.99638100484980274"/>
  </r>
  <r>
    <n v="24.413772119465129"/>
    <n v="3393.2820000000002"/>
    <n v="4.9282939180663093E-2"/>
    <n v="4.9282939180663094E-4"/>
    <n v="229"/>
    <n v="381834.00000000006"/>
    <n v="1909.1700000000003"/>
    <s v=""/>
    <x v="10"/>
    <n v="1"/>
    <n v="49178"/>
    <n v="29615"/>
    <n v="17126"/>
    <n v="12489"/>
    <s v="CO_Jeffe_2020g~State Representative - District 23 (Vote For 1)"/>
    <n v="3.2707930671443605E-2"/>
    <m/>
    <m/>
    <n v="37"/>
    <n v="0.32525750198878955"/>
    <n v="0.8545311322661765"/>
    <n v="0.99976353373236615"/>
  </r>
  <r>
    <n v="22.091333779662282"/>
    <n v="3305.0310000000004"/>
    <n v="2.7257180301298724E-2"/>
    <n v="2.7257180301298726E-4"/>
    <n v="229"/>
    <n v="381834.00000000006"/>
    <n v="1909.1700000000003"/>
    <s v=""/>
    <x v="10"/>
    <n v="1"/>
    <n v="47899"/>
    <n v="30671"/>
    <n v="17228"/>
    <n v="13443"/>
    <s v="CO_Jeffe_2020g~State Representative - District 24 (Vote For 1)"/>
    <n v="3.5206398592058326E-2"/>
    <m/>
    <m/>
    <n v="41"/>
    <n v="0.35365623236470656"/>
    <n v="0.88217344266936426"/>
    <n v="0.99990517266998113"/>
  </r>
  <r>
    <n v="33.802689630765606"/>
    <n v="6377.9460000000008"/>
    <n v="3.0414510836444309E-3"/>
    <n v="3.0414510836444309E-5"/>
    <n v="229"/>
    <n v="381834.00000000006"/>
    <n v="1909.1700000000003"/>
    <s v=""/>
    <x v="10"/>
    <n v="1"/>
    <n v="92434"/>
    <n v="54694"/>
    <n v="37740"/>
    <n v="16954"/>
    <s v="CO_Jeffe_2020g~State Senator - District 19 (Vote For 1)"/>
    <n v="4.4401493842874125E-2"/>
    <m/>
    <m/>
    <n v="56"/>
    <n v="0.45036495904595475"/>
    <n v="0.94676266883301485"/>
    <n v="0.99999697830729806"/>
  </r>
  <r>
    <n v="19.365497200368559"/>
    <n v="6081.5220000000008"/>
    <n v="2.3148562524442673E-6"/>
    <n v="2.3148562524442673E-8"/>
    <n v="229"/>
    <n v="381834.00000000006"/>
    <n v="1909.1700000000003"/>
    <s v=""/>
    <x v="10"/>
    <n v="1"/>
    <n v="88138"/>
    <n v="58178"/>
    <n v="29960"/>
    <n v="28218"/>
    <s v="CO_Jeffe_2020g~City of Lakewood Ballot Question 2B (Vote For 1)"/>
    <n v="7.3901224092144738E-2"/>
    <m/>
    <m/>
    <n v="103"/>
    <n v="0.67209068635916502"/>
    <n v="0.99577079613058617"/>
    <n v="0.99999999994978461"/>
  </r>
  <r>
    <n v="74.136753281543008"/>
    <n v="24639.9"/>
    <n v="7.9526286199623038E-7"/>
    <n v="7.9526286199623043E-9"/>
    <n v="229"/>
    <n v="381834.00000000006"/>
    <n v="1909.1700000000003"/>
    <s v=""/>
    <x v="10"/>
    <n v="1"/>
    <n v="357100"/>
    <n v="185307"/>
    <n v="155443"/>
    <n v="29864"/>
    <s v="CO_Jeffe_2020g~Jefferson County Commissioner - District 1 (Vote For 1)"/>
    <n v="7.8211997883897183E-2"/>
    <m/>
    <m/>
    <n v="110"/>
    <n v="0.69672052115382743"/>
    <n v="0.9971164800177198"/>
    <n v="0.99999999999051525"/>
  </r>
  <r>
    <n v="11.269106553512495"/>
    <n v="4256.058"/>
    <n v="5.5361738224368253E-8"/>
    <n v="5.5361738224368255E-10"/>
    <n v="229"/>
    <n v="381834.00000000006"/>
    <n v="1909.1700000000003"/>
    <s v=""/>
    <x v="10"/>
    <n v="1"/>
    <n v="61682"/>
    <n v="47809"/>
    <n v="13873"/>
    <n v="33936"/>
    <s v="CO_Jeffe_2020g~Foothills Park &amp; Recreation District Ballot Issue 6E (Vote For 1)"/>
    <n v="8.8876317981112202E-2"/>
    <m/>
    <m/>
    <n v="127"/>
    <n v="0.74942774662946188"/>
    <n v="0.99886973642506882"/>
    <n v="0.99999999999983935"/>
  </r>
  <r>
    <n v="63.79847603536529"/>
    <n v="24413.166000000001"/>
    <n v="4.1215221597401296E-8"/>
    <n v="4.1215221597401294E-10"/>
    <n v="229"/>
    <n v="381834.00000000006"/>
    <n v="1909.1700000000003"/>
    <s v=""/>
    <x v="10"/>
    <n v="1"/>
    <n v="353814"/>
    <n v="194099"/>
    <n v="159715"/>
    <n v="34384"/>
    <s v="CO_Jeffe_2020g~District Attorney - 1st Judicial District (Vote For 1)"/>
    <n v="9.0049602706935461E-2"/>
    <m/>
    <m/>
    <n v="129"/>
    <n v="0.75502226246403081"/>
    <n v="0.99898826776320893"/>
    <n v="0.99999999999990086"/>
  </r>
  <r>
    <n v="55.893661324895376"/>
    <n v="24376.596000000001"/>
    <n v="1.6997100898984312E-9"/>
    <n v="1.6997100898984312E-11"/>
    <n v="229"/>
    <n v="381834.00000000006"/>
    <n v="1909.1700000000003"/>
    <s v=""/>
    <x v="10"/>
    <n v="1"/>
    <n v="353284"/>
    <n v="196236"/>
    <n v="157048"/>
    <n v="39188"/>
    <s v="CO_Jeffe_2020g~Jefferson County Commissioner - District 2 (Vote For 1)"/>
    <n v="0.10263098624009384"/>
    <m/>
    <m/>
    <n v="149"/>
    <n v="0.80481374073864764"/>
    <n v="0.99966822430300062"/>
    <n v="0.99999999999999922"/>
  </r>
  <r>
    <n v="28.687242595204516"/>
    <n v="18108.498000000003"/>
    <n v="8.4315500260344906E-23"/>
    <n v="8.4315500260344909E-25"/>
    <n v="579"/>
    <n v="621259"/>
    <n v="3106.2950000000001"/>
    <n v="5"/>
    <x v="10"/>
    <n v="1"/>
    <n v="262442"/>
    <n v="155764"/>
    <n v="99044"/>
    <n v="56720"/>
    <s v="CO_Jeffe_2020g~w/Adams_Representative to the 117th United States Congress - District 7 (Vote For 1)"/>
    <n v="9.1298476158896691E-2"/>
    <m/>
    <m/>
    <n v="213"/>
    <n v="0.89824373023369564"/>
    <n v="0.9999885716338538"/>
    <n v="1"/>
  </r>
  <r>
    <n v="26.561276267721286"/>
    <n v="17639.712000000003"/>
    <n v="4.0428221499138419E-24"/>
    <n v="4.0428221499138421E-26"/>
    <n v="579"/>
    <n v="621259"/>
    <n v="3106.2950000000001"/>
    <n v="5"/>
    <x v="10"/>
    <n v="1"/>
    <n v="255648"/>
    <n v="157661"/>
    <n v="97987"/>
    <n v="59674"/>
    <s v="CO_Jeffe_2020g~w/Adams_State Board of Education Member - Congressional District 7 (Vote For 1)"/>
    <n v="9.6053336853067717E-2"/>
    <m/>
    <m/>
    <n v="225"/>
    <n v="0.91098090940769016"/>
    <n v="0.99999413140347848"/>
    <n v="1"/>
  </r>
  <r>
    <n v="14.199796935573197"/>
    <n v="20545.164000000001"/>
    <n v="4.0063340881414571E-40"/>
    <n v="4.0063340881414572E-42"/>
    <n v="229"/>
    <n v="381834.00000000006"/>
    <n v="1909.1700000000003"/>
    <s v=""/>
    <x v="10"/>
    <n v="1"/>
    <n v="297756"/>
    <n v="213882"/>
    <n v="83874"/>
    <n v="130008"/>
    <s v="CO_Jeffe_2020g~Jefferson County Court Judge - Burback (Vote For 1)"/>
    <n v="0.34048303713131878"/>
    <m/>
    <m/>
    <n v="531"/>
    <n v="0.99858070395554166"/>
    <n v="0.99999999999999012"/>
    <n v="1"/>
  </r>
  <r>
    <n v="13.128533579571688"/>
    <n v="20569.797000000002"/>
    <n v="1.7899413012678979E-44"/>
    <n v="1.789941301267898E-46"/>
    <n v="229"/>
    <n v="381834.00000000006"/>
    <n v="1909.1700000000003"/>
    <s v=""/>
    <x v="10"/>
    <n v="1"/>
    <n v="298113"/>
    <n v="219449"/>
    <n v="78664"/>
    <n v="140785"/>
    <s v="CO_Jeffe_2020g~Jefferson County Court Judge - Carpenter (Vote For 1)"/>
    <n v="0.36870734402908062"/>
    <m/>
    <m/>
    <n v="576"/>
    <n v="0.9992728055802228"/>
    <n v="0.99999999999999967"/>
    <n v="1"/>
  </r>
  <r>
    <n v="12.913411341134115"/>
    <n v="20437.248000000003"/>
    <n v="4.6130603528512673E-45"/>
    <n v="4.6130603528512673E-47"/>
    <n v="229"/>
    <n v="381834.00000000006"/>
    <n v="1909.1700000000003"/>
    <s v=""/>
    <x v="10"/>
    <n v="1"/>
    <n v="296192"/>
    <n v="219200"/>
    <n v="76992"/>
    <n v="142208"/>
    <s v="CO_Jeffe_2020g~District Court Judge - 1st Judicial District - Zenisek (Vote For 1)"/>
    <n v="0.37243409439704162"/>
    <m/>
    <m/>
    <n v="582"/>
    <n v="0.99933597665212981"/>
    <n v="0.99999999999999978"/>
    <n v="1"/>
  </r>
  <r>
    <n v="12.927569952722815"/>
    <n v="20541.231000000003"/>
    <n v="2.6815433711817503E-45"/>
    <n v="2.6815433711817505E-47"/>
    <n v="229"/>
    <n v="381834.00000000006"/>
    <n v="1909.1700000000003"/>
    <s v=""/>
    <x v="10"/>
    <n v="1"/>
    <n v="297699"/>
    <n v="220237"/>
    <n v="77462"/>
    <n v="142775"/>
    <s v="CO_Jeffe_2020g~Jefferson County Court Judge - Sargent (Vote For 1)"/>
    <n v="0.37391903287816164"/>
    <m/>
    <m/>
    <n v="584"/>
    <n v="0.99935584902639341"/>
    <n v="0.99999999999999978"/>
    <n v="1"/>
  </r>
  <r>
    <n v="12.685081439484938"/>
    <n v="20567.589"/>
    <n v="1.6136514838213541E-46"/>
    <n v="1.6136514838213541E-48"/>
    <n v="229"/>
    <n v="381834.00000000006"/>
    <n v="1909.1700000000003"/>
    <s v=""/>
    <x v="10"/>
    <n v="1"/>
    <n v="298081"/>
    <n v="221886"/>
    <n v="76195"/>
    <n v="145691"/>
    <s v="CO_Jeffe_2020g~District Court Judge - 1st Judicial District - Russell (Vote For 1)"/>
    <n v="0.38155585935249342"/>
    <m/>
    <m/>
    <n v="597"/>
    <n v="0.99947189098087408"/>
    <n v="0.99999999999999989"/>
    <n v="1"/>
  </r>
  <r>
    <n v="12.324154868343323"/>
    <n v="20663.499000000003"/>
    <n v="1.24175542983774E-48"/>
    <n v="1.24175542983774E-50"/>
    <n v="229"/>
    <n v="381834.00000000006"/>
    <n v="1909.1700000000003"/>
    <s v=""/>
    <x v="10"/>
    <n v="1"/>
    <n v="299471"/>
    <n v="225064"/>
    <n v="74407"/>
    <n v="150657"/>
    <s v="CO_Jeffe_2020g~District Court Judge - 1st Judicial District - Arp (Vote For 1)"/>
    <n v="0.39456151102311471"/>
    <m/>
    <m/>
    <n v="617"/>
    <n v="0.99961246248938529"/>
    <n v="1"/>
    <n v="1"/>
  </r>
  <r>
    <n v="12.227679811622769"/>
    <n v="20573.730000000003"/>
    <n v="7.3484711051015121E-49"/>
    <n v="7.3484711051015114E-51"/>
    <n v="229"/>
    <n v="381834.00000000006"/>
    <n v="1909.1700000000003"/>
    <s v=""/>
    <x v="10"/>
    <n v="1"/>
    <n v="298170"/>
    <n v="224678"/>
    <n v="73492"/>
    <n v="151186"/>
    <s v="CO_Jeffe_2020g~District Court Judge - 1st Judicial District - Oeffler (Vote For 1)"/>
    <n v="0.39594692981766938"/>
    <m/>
    <m/>
    <n v="620"/>
    <n v="0.99963019595113412"/>
    <n v="1"/>
    <n v="1"/>
  </r>
  <r>
    <n v="12.159265249234085"/>
    <n v="20583.114000000001"/>
    <n v="2.9424400298307028E-49"/>
    <n v="2.9424400298307026E-51"/>
    <n v="229"/>
    <n v="381834.00000000006"/>
    <n v="1909.1700000000003"/>
    <s v=""/>
    <x v="10"/>
    <n v="1"/>
    <n v="298306"/>
    <n v="225206"/>
    <n v="73100"/>
    <n v="152106"/>
    <s v="CO_Jeffe_2020g~District Court Judge - 1st Judicial District - Meinster (Vote For 1)"/>
    <n v="0.39835635380819934"/>
    <m/>
    <m/>
    <n v="624"/>
    <n v="0.99965264419424193"/>
    <n v="1"/>
    <n v="1"/>
  </r>
  <r>
    <n v="11.783642828921376"/>
    <n v="20578.836000000003"/>
    <n v="2.2993705601454245E-51"/>
    <n v="2.2993705601454245E-53"/>
    <n v="229"/>
    <n v="381834.00000000006"/>
    <n v="1909.1700000000003"/>
    <s v=""/>
    <x v="10"/>
    <n v="1"/>
    <n v="298244"/>
    <n v="227583"/>
    <n v="70661"/>
    <n v="156922"/>
    <s v="CO_Jeffe_2020g~Jefferson County Court Judge - Moore (Vote For 1)"/>
    <n v="0.41096916461079941"/>
    <m/>
    <m/>
    <n v="644"/>
    <n v="0.99974678070593759"/>
    <n v="1"/>
    <n v="1"/>
  </r>
  <r>
    <n v="36"/>
    <n v="36"/>
    <n v="100"/>
    <n v="1"/>
    <n v="203"/>
    <n v="226895.99999999997"/>
    <n v="1134.4799999999998"/>
    <s v=""/>
    <x v="11"/>
    <n v="1"/>
    <n v="36"/>
    <n v="18"/>
    <n v="18"/>
    <n v="0"/>
    <s v="CO_Larim_2020g~Larimer County Glenn Ridge Estates Public Improvement District No. 72 Ballot Issue 6D (Vote For 1)"/>
    <n v="0"/>
    <m/>
    <m/>
    <n v="0"/>
    <n v="0"/>
    <n v="0"/>
    <n v="0"/>
  </r>
  <r>
    <n v="71"/>
    <n v="71"/>
    <n v="99.731953206271413"/>
    <n v="0.99731953206271418"/>
    <n v="203"/>
    <n v="226895.99999999997"/>
    <n v="1134.4799999999998"/>
    <s v=""/>
    <x v="11"/>
    <n v="1"/>
    <n v="71"/>
    <n v="37"/>
    <n v="34"/>
    <n v="3"/>
    <s v="CO_Larim_2020g~Larimer County Vine Drive Public Improvement District No. 29 Ballot Issue 6G (Vote For 1)"/>
    <n v="1.3221916649037446E-5"/>
    <m/>
    <m/>
    <n v="0"/>
    <n v="0"/>
    <n v="0"/>
    <n v="0"/>
  </r>
  <r>
    <n v="28.520000000000003"/>
    <n v="28.520000000000003"/>
    <n v="98.666896689561383"/>
    <n v="0.9866689668956139"/>
    <n v="203"/>
    <n v="226895.99999999997"/>
    <n v="1134.4799999999998"/>
    <s v=""/>
    <x v="11"/>
    <n v="1"/>
    <n v="69"/>
    <n v="42"/>
    <n v="27"/>
    <n v="15"/>
    <s v="CO_Larim_2020g~Larimer County Crystal View Public Improvement District No. 69 Ballot Issue 6I (Vote For 1)"/>
    <n v="6.6109583245187227E-5"/>
    <m/>
    <m/>
    <n v="0"/>
    <n v="0"/>
    <n v="0"/>
    <n v="0"/>
  </r>
  <r>
    <n v="15.606896551724139"/>
    <n v="15.606896551724139"/>
    <n v="97.438627666970163"/>
    <n v="0.97438627666970157"/>
    <n v="203"/>
    <n v="226895.99999999997"/>
    <n v="1134.4799999999998"/>
    <s v=""/>
    <x v="11"/>
    <n v="1"/>
    <n v="73"/>
    <n v="51"/>
    <n v="22"/>
    <n v="29"/>
    <s v="CO_Larim_2020g~Larimer County Trappers Point Public Improvement District No. 70 Ballot Issue 6E (Vote For 1)"/>
    <n v="1.2781186094069531E-4"/>
    <m/>
    <m/>
    <n v="0"/>
    <n v="0"/>
    <n v="0"/>
    <n v="0"/>
  </r>
  <r>
    <n v="15.989473684210527"/>
    <n v="15.989473684210527"/>
    <n v="96.657072918043824"/>
    <n v="0.96657072918043829"/>
    <n v="203"/>
    <n v="226895.99999999997"/>
    <n v="1134.4799999999998"/>
    <s v=""/>
    <x v="11"/>
    <n v="1"/>
    <n v="98"/>
    <n v="68"/>
    <n v="30"/>
    <n v="38"/>
    <s v="CO_Larim_2020g~Larimer County Rockview Wildflower Ridge Public Improvement District No. 71 Ballot Issue 6F (Vote For 1)"/>
    <n v="1.6747761088780765E-4"/>
    <m/>
    <m/>
    <n v="0"/>
    <n v="0"/>
    <n v="0"/>
    <n v="0"/>
  </r>
  <r>
    <n v="19.181249999999999"/>
    <n v="27.324000000000002"/>
    <n v="89.176579568239219"/>
    <n v="0.89176579568239223"/>
    <n v="203"/>
    <n v="226895.99999999997"/>
    <n v="1134.4799999999998"/>
    <s v=""/>
    <x v="11"/>
    <n v="1"/>
    <n v="396"/>
    <n v="262"/>
    <n v="134"/>
    <n v="128"/>
    <s v="CO_Larim_2020g~Poudre Canyon Fire Protection District Ballot Issue 6C (Vote For 1)"/>
    <n v="5.6413511035893098E-4"/>
    <m/>
    <m/>
    <n v="0"/>
    <n v="0"/>
    <n v="0"/>
    <n v="0"/>
  </r>
  <r>
    <n v="11.287447346251055"/>
    <n v="447.32700000000006"/>
    <n v="4.0847398891797662"/>
    <n v="4.0847398891797664E-2"/>
    <n v="354"/>
    <n v="395976"/>
    <n v="1979.88"/>
    <n v="68"/>
    <x v="11"/>
    <n v="1"/>
    <n v="6483"/>
    <n v="5022"/>
    <n v="1461"/>
    <n v="3561"/>
    <s v="CO_Larim_2020g~w/Weld__Town of Berthoud Ballot Question 3B (Vote For 1)"/>
    <n v="8.9929692708649017E-3"/>
    <m/>
    <m/>
    <n v="0"/>
    <n v="0"/>
    <n v="0"/>
    <n v="0"/>
  </r>
  <r>
    <n v="15.624090247452694"/>
    <n v="955.65000000000009"/>
    <n v="0.68898172640000144"/>
    <n v="6.8898172640000149E-3"/>
    <n v="203"/>
    <n v="226895.99999999997"/>
    <n v="1134.4799999999998"/>
    <s v=""/>
    <x v="11"/>
    <n v="1"/>
    <n v="13850"/>
    <n v="9673"/>
    <n v="4177"/>
    <n v="5496"/>
    <s v="CO_Larim_2020g~Loveland Rural Fire Protection District Ballot Issue 6B (Vote For 1)"/>
    <n v="2.42225513010366E-2"/>
    <m/>
    <m/>
    <n v="14"/>
    <n v="0.13912222407936059"/>
    <n v="0.51629848620476004"/>
    <n v="0.95703465824207579"/>
  </r>
  <r>
    <n v="33.653224679860308"/>
    <n v="3217.1940000000004"/>
    <n v="3.9580656867060256E-2"/>
    <n v="3.9580656867060259E-4"/>
    <n v="203"/>
    <n v="226895.99999999997"/>
    <n v="1134.4799999999998"/>
    <s v=""/>
    <x v="11"/>
    <n v="1"/>
    <n v="46626"/>
    <n v="27608"/>
    <n v="19018"/>
    <n v="8590"/>
    <s v="CO_Larim_2020g~City of Loveland Ballot Issue 2A (Vote For 1)"/>
    <n v="3.7858754671743884E-2"/>
    <m/>
    <m/>
    <n v="27"/>
    <n v="0.25218521579423325"/>
    <n v="0.75563372240850946"/>
    <n v="0.9977787396657235"/>
  </r>
  <r>
    <n v="8.6809978875364653"/>
    <n v="960.41100000000006"/>
    <n v="1.1225177675535223E-2"/>
    <n v="1.1225177675535222E-4"/>
    <n v="203"/>
    <n v="226895.99999999997"/>
    <n v="1134.4799999999998"/>
    <s v=""/>
    <x v="11"/>
    <n v="1"/>
    <n v="13919"/>
    <n v="11930"/>
    <n v="1989"/>
    <n v="9941"/>
    <s v="CO_Larim_2020g~Loveland Rural Fire Protection District Ballot Issue 6A (Vote For 1)"/>
    <n v="4.3813024469360418E-2"/>
    <m/>
    <m/>
    <n v="33"/>
    <n v="0.29962871691298465"/>
    <n v="0.82218401753676096"/>
    <n v="0.99944141911366935"/>
  </r>
  <r>
    <n v="35.100835987261149"/>
    <n v="3925.1340000000005"/>
    <n v="1.1180167166143685E-2"/>
    <n v="1.1180167166143686E-4"/>
    <n v="354"/>
    <n v="395976"/>
    <n v="1979.88"/>
    <n v="68"/>
    <x v="11"/>
    <n v="1"/>
    <n v="56886"/>
    <n v="33467"/>
    <n v="23419"/>
    <n v="10048"/>
    <s v="CO_Larim_2020g~w/Weld__State Representative - District 49 (Vote For 1)"/>
    <n v="2.5375275269208235E-2"/>
    <m/>
    <m/>
    <n v="26"/>
    <n v="0.23339756620494068"/>
    <n v="0.73894968879337763"/>
    <n v="0.99711000492507096"/>
  </r>
  <r>
    <n v="117.72187218721874"/>
    <n v="14555.550000000001"/>
    <n v="3.7486445736002226E-3"/>
    <n v="3.7486445736002226E-5"/>
    <n v="203"/>
    <n v="226895.99999999997"/>
    <n v="1134.4799999999998"/>
    <s v=""/>
    <x v="11"/>
    <n v="1"/>
    <n v="210950"/>
    <n v="111030"/>
    <n v="99920"/>
    <n v="11110"/>
    <s v="CO_Larim_2020g~Larimer County Commissioner - District 3 (Vote For 1)"/>
    <n v="4.8965164656935345E-2"/>
    <m/>
    <m/>
    <n v="38"/>
    <n v="0.33703965925241475"/>
    <n v="0.86375495261579505"/>
    <n v="0.99982433753389388"/>
  </r>
  <r>
    <n v="97.080816686251467"/>
    <n v="14710.938000000002"/>
    <n v="3.4996801597115781E-4"/>
    <n v="3.4996801597115778E-6"/>
    <n v="203"/>
    <n v="226895.99999999997"/>
    <n v="1134.4799999999998"/>
    <s v=""/>
    <x v="11"/>
    <n v="1"/>
    <n v="213202"/>
    <n v="113409"/>
    <n v="99793"/>
    <n v="13616"/>
    <s v="CO_Larim_2020g~Larimer County Commissioner - District 2 (Vote For 1)"/>
    <n v="6.000987236443129E-2"/>
    <m/>
    <m/>
    <n v="48"/>
    <n v="0.40642407340513942"/>
    <n v="0.92031316623637804"/>
    <n v="0.99998293593025944"/>
  </r>
  <r>
    <n v="92.335463800904989"/>
    <n v="14534.436000000002"/>
    <n v="2.1159372387335315E-4"/>
    <n v="2.1159372387335315E-6"/>
    <n v="203"/>
    <n v="226895.99999999997"/>
    <n v="1134.4799999999998"/>
    <s v=""/>
    <x v="11"/>
    <n v="1"/>
    <n v="210644"/>
    <n v="112394"/>
    <n v="98250"/>
    <n v="14144"/>
    <s v="CO_Larim_2020g~District Attorney - 8th Judicial District (Vote For 1)"/>
    <n v="6.2336929694661883E-2"/>
    <m/>
    <m/>
    <n v="50"/>
    <n v="0.41947527818675001"/>
    <n v="0.92846221368131943"/>
    <n v="0.99998932658230155"/>
  </r>
  <r>
    <n v="22.504586215731489"/>
    <n v="3910.0920000000006"/>
    <n v="5.188877671680869E-5"/>
    <n v="5.1888776716808692E-7"/>
    <n v="203"/>
    <n v="226895.99999999997"/>
    <n v="1134.4799999999998"/>
    <s v=""/>
    <x v="11"/>
    <n v="1"/>
    <n v="56668"/>
    <n v="36140"/>
    <n v="20528"/>
    <n v="15612"/>
    <s v="CO_Larim_2020g~State Representative - District 52 (Vote For 1)"/>
    <n v="6.8806854241590873E-2"/>
    <m/>
    <m/>
    <n v="57"/>
    <n v="0.46311078453693344"/>
    <n v="0.95103849706646681"/>
    <n v="0.99999795013335335"/>
  </r>
  <r>
    <n v="12.240996257104571"/>
    <n v="2948.1630000000005"/>
    <n v="1.4547281505512362E-7"/>
    <n v="1.4547281505512363E-9"/>
    <n v="203"/>
    <n v="226895.99999999997"/>
    <n v="1134.4799999999998"/>
    <s v=""/>
    <x v="11"/>
    <n v="1"/>
    <n v="42727"/>
    <n v="32184"/>
    <n v="10543"/>
    <n v="21641"/>
    <s v="CO_Larim_2020g~State Representative - District 53 (Vote For 1)"/>
    <n v="9.5378499400606456E-2"/>
    <m/>
    <m/>
    <n v="82"/>
    <n v="0.5955656261461979"/>
    <n v="0.98762346988653793"/>
    <n v="0.99999999488397373"/>
  </r>
  <r>
    <n v="37.707901318012844"/>
    <n v="12417.516000000001"/>
    <n v="4.7932585788547487E-11"/>
    <n v="4.7932585788547488E-13"/>
    <n v="203"/>
    <n v="226895.99999999997"/>
    <n v="1134.4799999999998"/>
    <s v=""/>
    <x v="11"/>
    <n v="1"/>
    <n v="179964"/>
    <n v="104777"/>
    <n v="75187"/>
    <n v="29590"/>
    <s v="CO_Larim_2020g~District Court Judge - 8th Judicial District - Villaseñor (Vote For 1)"/>
    <n v="0.13041217121500601"/>
    <m/>
    <m/>
    <n v="115"/>
    <n v="0.72466562988762018"/>
    <n v="0.99808802041150191"/>
    <n v="0.99999999999854128"/>
  </r>
  <r>
    <n v="18.615262742622694"/>
    <n v="6564.1770000000006"/>
    <n v="5.4893591295637059E-12"/>
    <n v="5.4893591295637063E-14"/>
    <n v="203"/>
    <n v="226895.99999999997"/>
    <n v="1134.4799999999998"/>
    <s v=""/>
    <x v="11"/>
    <n v="1"/>
    <n v="95133"/>
    <n v="63409"/>
    <n v="31724"/>
    <n v="31685"/>
    <s v="CO_Larim_2020g~State Senator - District 14 (Vote For 1)"/>
    <n v="0.13964547634158384"/>
    <m/>
    <m/>
    <n v="124"/>
    <n v="0.75261455712191683"/>
    <n v="0.99886348046917983"/>
    <n v="0.99999999999985056"/>
  </r>
  <r>
    <n v="12.320303481973754"/>
    <n v="12234.735000000001"/>
    <n v="8.8783034182313043E-43"/>
    <n v="8.8783034182313041E-45"/>
    <n v="203"/>
    <n v="226895.99999999997"/>
    <n v="1134.4799999999998"/>
    <s v=""/>
    <x v="11"/>
    <n v="1"/>
    <n v="177315"/>
    <n v="133273"/>
    <n v="44042"/>
    <n v="89231"/>
    <s v="CO_Larim_2020g~Larimer County Court Judge - Ecton (Vote For 1)"/>
    <n v="0.39326828150342014"/>
    <m/>
    <m/>
    <n v="366"/>
    <n v="0.99094621058339127"/>
    <n v="0.99999999988811172"/>
    <n v="1"/>
  </r>
  <r>
    <n v="11.849677692960137"/>
    <n v="12438.492"/>
    <n v="4.2415891919493714E-46"/>
    <n v="4.2415891919493711E-48"/>
    <n v="203"/>
    <n v="226895.99999999997"/>
    <n v="1134.4799999999998"/>
    <s v=""/>
    <x v="11"/>
    <n v="1"/>
    <n v="180268"/>
    <n v="137294"/>
    <n v="42974"/>
    <n v="94320"/>
    <s v="CO_Larim_2020g~District Court Judge - 8th Judicial District - Blanco (Vote For 1)"/>
    <n v="0.41569705944573732"/>
    <m/>
    <m/>
    <n v="387"/>
    <n v="0.99352435534855421"/>
    <n v="0.99999999997833489"/>
    <n v="1"/>
  </r>
  <r>
    <n v="11.486191042000311"/>
    <n v="12372.045000000002"/>
    <n v="9.3949947367911075E-48"/>
    <n v="9.3949947367911078E-50"/>
    <n v="203"/>
    <n v="226895.99999999997"/>
    <n v="1134.4799999999998"/>
    <s v=""/>
    <x v="11"/>
    <n v="1"/>
    <n v="179305"/>
    <n v="138045"/>
    <n v="41260"/>
    <n v="96785"/>
    <s v="CO_Larim_2020g~Larimer County Court Judge - Berenato (Vote For 1)"/>
    <n v="0.4265610676256964"/>
    <m/>
    <m/>
    <n v="398"/>
    <n v="0.99458759764771354"/>
    <n v="0.99999999999100697"/>
    <n v="1"/>
  </r>
  <r>
    <n v="11.45317557487525"/>
    <n v="12388.743"/>
    <n v="4.9504698957391372E-48"/>
    <n v="4.9504698957391372E-50"/>
    <n v="203"/>
    <n v="226895.99999999997"/>
    <n v="1134.4799999999998"/>
    <s v=""/>
    <x v="11"/>
    <n v="1"/>
    <n v="179547"/>
    <n v="138371"/>
    <n v="41176"/>
    <n v="97195"/>
    <s v="CO_Larim_2020g~District Court Judge - 8th Judicial District - Jouard (Vote For 1)"/>
    <n v="0.42836806290106488"/>
    <m/>
    <m/>
    <n v="399"/>
    <n v="0.99467584333824"/>
    <n v="0.99999999999170341"/>
    <n v="1"/>
  </r>
  <r>
    <n v="11.292026648604386"/>
    <n v="12430.833000000001"/>
    <n v="3.2832968888104602E-49"/>
    <n v="3.2832968888104602E-51"/>
    <n v="203"/>
    <n v="226895.99999999997"/>
    <n v="1134.4799999999998"/>
    <s v=""/>
    <x v="11"/>
    <n v="1"/>
    <n v="180157"/>
    <n v="139537"/>
    <n v="40620"/>
    <n v="98917"/>
    <s v="CO_Larim_2020g~District Court Judge - 8th Judicial District - Field (Vote For 1)"/>
    <n v="0.43595744305761236"/>
    <m/>
    <m/>
    <n v="407"/>
    <n v="0.99533574812073577"/>
    <n v="0.99999999999566458"/>
    <n v="1"/>
  </r>
  <r>
    <n v="10.93350935006154"/>
    <n v="12258.954000000002"/>
    <n v="1.761434669454943E-50"/>
    <n v="1.761434669454943E-52"/>
    <n v="203"/>
    <n v="226895.99999999997"/>
    <n v="1134.4799999999998"/>
    <s v=""/>
    <x v="11"/>
    <n v="1"/>
    <n v="177666"/>
    <n v="139207"/>
    <n v="38459"/>
    <n v="100748"/>
    <s v="CO_Larim_2020g~Larimer County Court Judge - Lehman (Vote For 1)"/>
    <n v="0.44402721951907487"/>
    <m/>
    <m/>
    <n v="414"/>
    <n v="0.99585073098454668"/>
    <n v="0.99999999999755795"/>
    <n v="1"/>
  </r>
  <r>
    <n v="339.84477590987262"/>
    <n v="215529.22800000003"/>
    <n v="1.4518479253356517E-48"/>
    <n v="1.4518479253356518E-50"/>
    <n v="8355.8537927060897"/>
    <n v="4177926.896353045"/>
    <n v="20889.634481765224"/>
    <s v=""/>
    <x v="12"/>
    <n v="1"/>
    <n v="3123612"/>
    <n v="1590299"/>
    <n v="1533313"/>
    <n v="56986"/>
    <s v="CO_state_2020g~Proposition 114 (STATUTORY) (Vote For 1)"/>
    <n v="1.3639779109046561E-2"/>
    <m/>
    <m/>
    <n v="64"/>
    <n v="0.47509567902070771"/>
    <n v="0.96273264526692837"/>
    <n v="0.99999938775748798"/>
  </r>
  <r>
    <n v="131.97206291251229"/>
    <n v="209175.29400000002"/>
    <n v="1.3738001891779347E-124"/>
    <n v="1.3738001891779347E-126"/>
    <n v="8355.8537927060897"/>
    <n v="4177926.896353045"/>
    <n v="20889.634481765224"/>
    <s v=""/>
    <x v="12"/>
    <n v="1"/>
    <n v="3031526"/>
    <n v="1586973"/>
    <n v="1444553"/>
    <n v="142420"/>
    <s v="CO_state_2020g~Amendment C (CONSTITUTIONAL) (Vote For 1)"/>
    <n v="3.4088676880469085E-2"/>
    <m/>
    <m/>
    <n v="423"/>
    <n v="0.98639500334556141"/>
    <n v="0.99999999970290099"/>
    <n v="1"/>
  </r>
  <r>
    <n v="133.28185150735899"/>
    <n v="216881.90400000001"/>
    <n v="5.2819075530694047E-128"/>
    <n v="5.281907553069405E-130"/>
    <n v="8355.8537927060897"/>
    <n v="4177926.896353045"/>
    <n v="20889.634481765224"/>
    <s v=""/>
    <x v="12"/>
    <n v="1"/>
    <n v="3143216"/>
    <n v="1644716"/>
    <n v="1498500"/>
    <n v="146216"/>
    <s v="CO_state_2020g~Proposition 113 (STATUTORY) (Vote For 1)"/>
    <n v="3.4997261471385113E-2"/>
    <m/>
    <m/>
    <n v="439"/>
    <n v="0.98845625602209497"/>
    <n v="0.99999999987159494"/>
    <n v="1"/>
  </r>
  <r>
    <n v="121.57062533978738"/>
    <n v="206555.57100000003"/>
    <n v="8.1256695223310105E-134"/>
    <n v="8.1256695223310107E-136"/>
    <n v="8355.8537927060897"/>
    <n v="4177926.896353045"/>
    <n v="20889.634481765224"/>
    <s v=""/>
    <x v="12"/>
    <n v="1"/>
    <n v="2993559"/>
    <n v="1573114"/>
    <n v="1420445"/>
    <n v="152669"/>
    <s v="CO_state_2020g~Proposition 117 (STATUTORY) (Vote For 1)"/>
    <n v="3.6541807405310593E-2"/>
    <m/>
    <m/>
    <n v="466"/>
    <n v="0.99125392354882291"/>
    <n v="0.99999999996887357"/>
    <n v="1"/>
  </r>
  <r>
    <n v="66.510684896990284"/>
    <n v="223260.47100000002"/>
    <n v="1.1918691936583767E-270"/>
    <n v="1.1918691936583768E-272"/>
    <n v="8355.8537927060897"/>
    <n v="4177926.896353045"/>
    <n v="20889.634481765224"/>
    <s v=""/>
    <x v="12"/>
    <n v="1"/>
    <n v="3235659"/>
    <n v="1731114"/>
    <n v="1429492"/>
    <n v="301622"/>
    <s v="CO_state_2020g~United States Senator (Vote For 1)"/>
    <n v="7.2194178472411497E-2"/>
    <m/>
    <m/>
    <n v="1092"/>
    <n v="0.99998737057737486"/>
    <n v="1"/>
    <n v="1"/>
  </r>
  <r>
    <n v="45.920027288542222"/>
    <n v="224729.68800000002"/>
    <n v="0"/>
    <n v="0"/>
    <n v="8355.8537927060897"/>
    <n v="4177926.896353045"/>
    <n v="20889.634481765224"/>
    <s v=""/>
    <x v="12"/>
    <n v="1"/>
    <n v="3256952"/>
    <n v="1804352"/>
    <n v="1364607"/>
    <n v="439745"/>
    <s v="CO_state_2020g~Presidential Electors (Vote For 1)"/>
    <n v="0.10525435482939108"/>
    <m/>
    <m/>
    <n v="1673"/>
    <n v="0.99999997583667621"/>
    <n v="1"/>
    <n v="1"/>
  </r>
  <r>
    <n v="41.203561489174291"/>
    <n v="208761.63900000002"/>
    <n v="0"/>
    <n v="0"/>
    <n v="8355.8537927060897"/>
    <n v="4177926.896353045"/>
    <n v="20889.634481765224"/>
    <s v=""/>
    <x v="12"/>
    <n v="1"/>
    <n v="3025531"/>
    <n v="1740395"/>
    <n v="1285136"/>
    <n v="455259"/>
    <s v="CO_state_2020g~Amendment B (CONSTITUTIONAL) (Vote For 1)"/>
    <n v="0.10896767973546886"/>
    <m/>
    <m/>
    <n v="1738"/>
    <n v="0.99999998814431645"/>
    <n v="1"/>
    <n v="1"/>
  </r>
  <r>
    <n v="40.016891936549904"/>
    <n v="215620.30800000002"/>
    <n v="0"/>
    <n v="0"/>
    <n v="8355.8537927060897"/>
    <n v="4177926.896353045"/>
    <n v="20889.634481765224"/>
    <s v=""/>
    <x v="12"/>
    <n v="1"/>
    <n v="3124932"/>
    <n v="1804546"/>
    <n v="1320386"/>
    <n v="484160"/>
    <s v="CO_state_2020g~Proposition 118 (STATUTORY) (Vote For 1)"/>
    <n v="0.11588522537879449"/>
    <m/>
    <m/>
    <n v="1859"/>
    <n v="0.9999999968705946"/>
    <n v="1"/>
    <n v="1"/>
  </r>
  <r>
    <n v="39.464352294527544"/>
    <n v="217262.16300000003"/>
    <n v="0"/>
    <n v="0"/>
    <n v="8355.8537927060897"/>
    <n v="4177926.896353045"/>
    <n v="20889.634481765224"/>
    <s v=""/>
    <x v="12"/>
    <n v="1"/>
    <n v="3148727"/>
    <n v="1821702"/>
    <n v="1327025"/>
    <n v="494677"/>
    <s v="CO_state_2020g~Proposition 116 (STATUTORY) (Vote For 1)"/>
    <n v="0.11840250255020225"/>
    <m/>
    <m/>
    <n v="1903"/>
    <n v="0.99999999807605078"/>
    <n v="1"/>
    <n v="1"/>
  </r>
  <r>
    <n v="34.487956773697178"/>
    <n v="217506.35400000002"/>
    <n v="0"/>
    <n v="0"/>
    <n v="8355.8537927060897"/>
    <n v="4177926.896353045"/>
    <n v="20889.634481765224"/>
    <s v=""/>
    <x v="12"/>
    <n v="1"/>
    <n v="3152266"/>
    <n v="1859479"/>
    <n v="1292787"/>
    <n v="566692"/>
    <s v="CO_state_2020g~Proposition 115 (STATUTORY) (Vote For 1)"/>
    <n v="0.13563952028329437"/>
    <m/>
    <m/>
    <n v="2206"/>
    <n v="0.99999999993456412"/>
    <n v="1"/>
    <n v="1"/>
  </r>
  <r>
    <n v="29.40493821807263"/>
    <n v="211317.12300000002"/>
    <n v="0"/>
    <n v="0"/>
    <n v="8355.8537927060897"/>
    <n v="4177926.896353045"/>
    <n v="20889.634481765224"/>
    <s v=""/>
    <x v="12"/>
    <n v="1"/>
    <n v="3062567"/>
    <n v="1854153"/>
    <n v="1208414"/>
    <n v="645739"/>
    <s v="CO_state_2020g~Amendment 77 (CONSTITUTIONAL) (Vote For 1)"/>
    <n v="0.15455966942927415"/>
    <m/>
    <m/>
    <n v="2538"/>
    <n v="0.99999999999848943"/>
    <n v="1"/>
    <n v="1"/>
  </r>
  <r>
    <n v="24.03818096503878"/>
    <n v="217789.94400000002"/>
    <n v="0"/>
    <n v="0"/>
    <n v="8355.8537927060897"/>
    <n v="4177926.896353045"/>
    <n v="20889.634481765224"/>
    <s v=""/>
    <x v="12"/>
    <n v="1"/>
    <n v="3156376"/>
    <n v="1985239"/>
    <n v="1171137"/>
    <n v="814102"/>
    <s v="CO_state_2020g~Amendment 76 (CONSTITUTIONAL) (Vote For 1)"/>
    <n v="0.1948578853092518"/>
    <m/>
    <m/>
    <n v="3246"/>
    <n v="0.99999999999999967"/>
    <n v="1"/>
    <n v="1"/>
  </r>
  <r>
    <n v="15.439760461431293"/>
    <n v="182289.37500000003"/>
    <n v="0"/>
    <n v="0"/>
    <n v="8355.8537927060897"/>
    <n v="4177926.896353045"/>
    <n v="20889.634481765224"/>
    <s v=""/>
    <x v="12"/>
    <n v="1"/>
    <n v="2641875"/>
    <n v="1851374"/>
    <n v="790501"/>
    <n v="1060873"/>
    <s v="CO_state_2020g~Colorado Court of Appeals Judge - Welling (Vote For 1)"/>
    <n v="0.25392330366671728"/>
    <m/>
    <m/>
    <n v="4282"/>
    <n v="1"/>
    <n v="1"/>
    <n v="1"/>
  </r>
  <r>
    <n v="14.909606531202405"/>
    <n v="182697.16500000001"/>
    <n v="0"/>
    <n v="0"/>
    <n v="8355.8537927060897"/>
    <n v="4177926.896353045"/>
    <n v="20889.634481765224"/>
    <s v=""/>
    <x v="12"/>
    <n v="1"/>
    <n v="2647785"/>
    <n v="1874419"/>
    <n v="773366"/>
    <n v="1101053"/>
    <s v="CO_state_2020g~Colorado Court of Appeals Judge - Tow (Vote For 1)"/>
    <n v="0.26354051358847863"/>
    <m/>
    <m/>
    <n v="4451"/>
    <n v="1"/>
    <n v="1"/>
    <n v="1"/>
  </r>
  <r>
    <n v="17.658408943002957"/>
    <n v="218025.51"/>
    <n v="0"/>
    <n v="0"/>
    <n v="8355.8537927060897"/>
    <n v="4177926.896353045"/>
    <n v="20889.634481765224"/>
    <s v=""/>
    <x v="12"/>
    <n v="1"/>
    <n v="3159790"/>
    <n v="2134608"/>
    <n v="1025182"/>
    <n v="1109426"/>
    <s v="CO_state_2020g~Proposition EE (STATUTORY) (Vote For 1)"/>
    <n v="0.26554461758735637"/>
    <m/>
    <m/>
    <n v="4486"/>
    <n v="1"/>
    <n v="1"/>
    <n v="1"/>
  </r>
  <r>
    <n v="13.220036013248926"/>
    <n v="184738.87500000003"/>
    <n v="0"/>
    <n v="0"/>
    <n v="8355.8537927060897"/>
    <n v="4177926.896353045"/>
    <n v="20889.634481765224"/>
    <s v=""/>
    <x v="12"/>
    <n v="1"/>
    <n v="2677375"/>
    <n v="1966512"/>
    <n v="710863"/>
    <n v="1255649"/>
    <s v="CO_state_2020g~Justice of the Colorado Supreme Court - Samour (Vote For 1)"/>
    <n v="0.3005435545308533"/>
    <m/>
    <m/>
    <n v="5101"/>
    <n v="1"/>
    <n v="1"/>
    <n v="1"/>
  </r>
  <r>
    <n v="12.618780917825788"/>
    <n v="187024.91400000002"/>
    <n v="0"/>
    <n v="0"/>
    <n v="8355.8537927060897"/>
    <n v="4177926.896353045"/>
    <n v="20889.634481765224"/>
    <s v=""/>
    <x v="12"/>
    <n v="1"/>
    <n v="2710506"/>
    <n v="2021131"/>
    <n v="689375"/>
    <n v="1331756"/>
    <s v="CO_state_2020g~Justice of the Colorado Supreme Court - Hart (Vote For 1)"/>
    <n v="0.31876000538987492"/>
    <m/>
    <m/>
    <n v="5421"/>
    <n v="1"/>
    <n v="1"/>
    <n v="1"/>
  </r>
  <r>
    <n v="291"/>
    <n v="291"/>
    <n v="99.910732765824832"/>
    <n v="0.99910732765824839"/>
    <n v="151"/>
    <n v="169080"/>
    <n v="845.4"/>
    <s v=""/>
    <x v="13"/>
    <n v="3"/>
    <n v="291"/>
    <n v="114"/>
    <n v="113"/>
    <n v="1"/>
    <s v="CO_Weld__2020g~Town of Gilcrest Trustee (Vote For 3)"/>
    <n v="5.9143600662408329E-6"/>
    <m/>
    <m/>
    <n v="0"/>
    <n v="0"/>
    <n v="0"/>
    <n v="0"/>
  </r>
  <r>
    <n v="257.3"/>
    <n v="257.3"/>
    <n v="98.757436882742638"/>
    <n v="0.98757436882742644"/>
    <n v="151"/>
    <n v="169080"/>
    <n v="845.4"/>
    <s v=""/>
    <x v="13"/>
    <n v="3"/>
    <n v="581"/>
    <n v="311"/>
    <n v="297"/>
    <n v="14"/>
    <s v="CO_Weld__2020g~Town of Hudson Town Council (Vote For 3)"/>
    <n v="8.2801040927371662E-5"/>
    <m/>
    <m/>
    <n v="0"/>
    <n v="0"/>
    <n v="0"/>
    <n v="0"/>
  </r>
  <r>
    <n v="1005.2857142857143"/>
    <n v="1005.2857142857143"/>
    <n v="98.141919126320346"/>
    <n v="0.98141919126320343"/>
    <n v="151"/>
    <n v="169080"/>
    <n v="845.4"/>
    <s v=""/>
    <x v="13"/>
    <n v="1"/>
    <n v="3405"/>
    <n v="1713"/>
    <n v="1692"/>
    <n v="21"/>
    <s v="CO_Weld__2020g~Town of Eaton Ballot Issue 2H (Vote For 1)"/>
    <n v="1.242015613910575E-4"/>
    <m/>
    <m/>
    <n v="0"/>
    <n v="0"/>
    <n v="0"/>
    <n v="0"/>
  </r>
  <r>
    <n v="57.63703703703704"/>
    <n v="57.63703703703704"/>
    <n v="97.61736664536086"/>
    <n v="0.97617366645360859"/>
    <n v="151"/>
    <n v="169080"/>
    <n v="845.4"/>
    <s v=""/>
    <x v="13"/>
    <n v="1"/>
    <n v="251"/>
    <n v="139"/>
    <n v="112"/>
    <n v="27"/>
    <s v="CO_Weld__2020g~Prairie School District RE-11J Ballot Question 5E (Vote For 1)"/>
    <n v="1.5968772178850249E-4"/>
    <m/>
    <m/>
    <n v="0"/>
    <n v="0"/>
    <n v="0"/>
    <n v="0"/>
  </r>
  <r>
    <n v="427.15584415584414"/>
    <n v="427.15584415584414"/>
    <n v="93.353023513513151"/>
    <n v="0.93353023513513156"/>
    <n v="151"/>
    <n v="169080"/>
    <n v="845.4"/>
    <s v=""/>
    <x v="13"/>
    <n v="1"/>
    <n v="5305"/>
    <n v="2691"/>
    <n v="2614"/>
    <n v="77"/>
    <s v="CO_Weld__2020g~Fort Lupton Fire Protection District Ballot Issue 6D (Vote For 1)"/>
    <n v="4.554057251005441E-4"/>
    <m/>
    <m/>
    <n v="0"/>
    <n v="0"/>
    <n v="0"/>
    <n v="0"/>
  </r>
  <r>
    <n v="229.09256198347106"/>
    <n v="308.49900000000002"/>
    <n v="89.753787623159724"/>
    <n v="0.8975378762315972"/>
    <n v="151"/>
    <n v="169080"/>
    <n v="845.4"/>
    <s v=""/>
    <x v="13"/>
    <n v="1"/>
    <n v="4471"/>
    <n v="2296"/>
    <n v="2175"/>
    <n v="121"/>
    <s v="CO_Weld__2020g~Hudson Fire Protection District Ballot Issue 6A (Vote For 1)"/>
    <n v="7.1563756801514076E-4"/>
    <m/>
    <m/>
    <n v="0"/>
    <n v="0"/>
    <n v="0"/>
    <n v="0"/>
  </r>
  <r>
    <n v="59.371739130434783"/>
    <n v="182.36700000000002"/>
    <n v="78.138423851741166"/>
    <n v="0.78138423851741168"/>
    <n v="151"/>
    <n v="169080"/>
    <n v="845.4"/>
    <s v=""/>
    <x v="13"/>
    <n v="1"/>
    <n v="2643"/>
    <n v="1183"/>
    <n v="907"/>
    <n v="276"/>
    <s v="CO_Weld__2020g~Town of Lochbuie Mayor (Vote For 1)"/>
    <n v="1.6323633782824698E-3"/>
    <m/>
    <m/>
    <n v="0"/>
    <n v="0"/>
    <n v="0"/>
    <n v="0"/>
  </r>
  <r>
    <n v="62.16644295302013"/>
    <n v="206.17200000000003"/>
    <n v="76.615622698783454"/>
    <n v="0.76615622698783459"/>
    <n v="151"/>
    <n v="169080"/>
    <n v="845.4"/>
    <s v=""/>
    <x v="13"/>
    <n v="1"/>
    <n v="2988"/>
    <n v="1643"/>
    <n v="1345"/>
    <n v="298"/>
    <s v="CO_Weld__2020g~Town of Mead Ballot Issue 2E (Vote For 1)"/>
    <n v="1.7624792997397681E-3"/>
    <m/>
    <m/>
    <n v="0"/>
    <n v="0"/>
    <n v="0"/>
    <n v="0"/>
  </r>
  <r>
    <n v="55.168862275449108"/>
    <n v="205.06800000000001"/>
    <n v="74.187104885770722"/>
    <n v="0.74187104885770727"/>
    <n v="151"/>
    <n v="169080"/>
    <n v="845.4"/>
    <s v=""/>
    <x v="13"/>
    <n v="1"/>
    <n v="2972"/>
    <n v="1653"/>
    <n v="1319"/>
    <n v="334"/>
    <s v="CO_Weld__2020g~Town of Mead Ballot Issue 2D (Vote For 1)"/>
    <n v="1.975396262124438E-3"/>
    <m/>
    <m/>
    <n v="0"/>
    <n v="0"/>
    <n v="0"/>
    <n v="0"/>
  </r>
  <r>
    <n v="33.061081081081078"/>
    <n v="136.137"/>
    <n v="71.835071141027328"/>
    <n v="0.71835071141027329"/>
    <n v="151"/>
    <n v="169080"/>
    <n v="845.4"/>
    <s v=""/>
    <x v="13"/>
    <n v="2"/>
    <n v="1973"/>
    <n v="1172"/>
    <n v="802"/>
    <n v="370"/>
    <s v="CO_Weld__2020g~City of Dacono Council Members (Vote For 2)"/>
    <n v="2.1883132245091082E-3"/>
    <m/>
    <m/>
    <n v="0"/>
    <n v="0"/>
    <n v="0"/>
    <n v="0"/>
  </r>
  <r>
    <n v="55.601069518716578"/>
    <n v="231.42600000000002"/>
    <n v="71.57835061141293"/>
    <n v="0.71578350611412933"/>
    <n v="151"/>
    <n v="169080"/>
    <n v="845.4"/>
    <s v=""/>
    <x v="13"/>
    <n v="1"/>
    <n v="3354"/>
    <n v="1864"/>
    <n v="1490"/>
    <n v="374"/>
    <s v="CO_Weld__2020g~City of Fort Lupton Ballot Issue 2B (Vote For 1)"/>
    <n v="2.2119706647740715E-3"/>
    <m/>
    <m/>
    <n v="0"/>
    <n v="0"/>
    <n v="0"/>
    <n v="0"/>
  </r>
  <r>
    <n v="31.128783382789315"/>
    <n v="233.49600000000001"/>
    <n v="54.709599093794893"/>
    <n v="0.54709599093794892"/>
    <n v="151"/>
    <n v="169080"/>
    <n v="845.4"/>
    <s v=""/>
    <x v="13"/>
    <n v="1"/>
    <n v="3384"/>
    <n v="2029"/>
    <n v="1355"/>
    <n v="674"/>
    <s v="CO_Weld__2020g~City of Fort Lupton Ballot Question 2C (Vote For 1)"/>
    <n v="3.9862786846463216E-3"/>
    <m/>
    <m/>
    <n v="0"/>
    <n v="0"/>
    <n v="0"/>
    <n v="0"/>
  </r>
  <r>
    <n v="74.995009596928995"/>
    <n v="869.67600000000004"/>
    <n v="39.346265406653835"/>
    <n v="0.39346265406653835"/>
    <n v="354"/>
    <n v="395976"/>
    <n v="1979.88"/>
    <n v="40"/>
    <x v="13"/>
    <n v="1"/>
    <n v="12604"/>
    <n v="6823"/>
    <n v="5781"/>
    <n v="1042"/>
    <s v="CO_Weld__2020g~w/Larim_Weld County School District RE-5J Ballot Issue 5A (Vote For 1)"/>
    <n v="2.6314726145018892E-3"/>
    <m/>
    <m/>
    <n v="0"/>
    <n v="0"/>
    <n v="0"/>
    <n v="0"/>
  </r>
  <r>
    <n v="15.214022140221402"/>
    <n v="229.42500000000001"/>
    <n v="29.671518311793861"/>
    <n v="0.2967151831179386"/>
    <n v="151"/>
    <n v="169080"/>
    <n v="845.4"/>
    <s v=""/>
    <x v="13"/>
    <n v="1"/>
    <n v="3325"/>
    <n v="2340"/>
    <n v="985"/>
    <n v="1355"/>
    <s v="CO_Weld__2020g~City of Fort Lupton Ballot Issue 2A (Vote For 1)"/>
    <n v="8.013957889756328E-3"/>
    <m/>
    <m/>
    <n v="0"/>
    <n v="0"/>
    <n v="0"/>
    <n v="0"/>
  </r>
  <r>
    <n v="56.956851311953358"/>
    <n v="869.67600000000004"/>
    <n v="29.26760150833698"/>
    <n v="0.29267601508336982"/>
    <n v="354"/>
    <n v="395976"/>
    <n v="1979.88"/>
    <n v="40"/>
    <x v="13"/>
    <n v="1"/>
    <n v="12604"/>
    <n v="6988"/>
    <n v="5616"/>
    <n v="1372"/>
    <s v="CO_Weld__2020g~w/Larim_Weld County School District RE-5J Ballot Issue 5B (Vote For 1)"/>
    <n v="3.4648564559468251E-3"/>
    <m/>
    <m/>
    <n v="0"/>
    <n v="0"/>
    <n v="0"/>
    <n v="0"/>
  </r>
  <r>
    <n v="21.704434907010015"/>
    <n v="337.68600000000004"/>
    <n v="28.544676758153265"/>
    <n v="0.28544676758153265"/>
    <n v="151"/>
    <n v="169080"/>
    <n v="845.4"/>
    <s v=""/>
    <x v="13"/>
    <n v="1"/>
    <n v="4894"/>
    <n v="3146"/>
    <n v="1748"/>
    <n v="1398"/>
    <s v="CO_Weld__2020g~Weld County School District RE-1 Ballot Question 4A (Vote For 1)"/>
    <n v="8.2682753726046835E-3"/>
    <m/>
    <m/>
    <n v="0"/>
    <n v="0"/>
    <n v="0"/>
    <n v="0"/>
  </r>
  <r>
    <n v="70.978595317725748"/>
    <n v="1180.9350000000002"/>
    <n v="26.156437238978803"/>
    <n v="0.26156437238978802"/>
    <n v="151"/>
    <n v="169080"/>
    <n v="845.4"/>
    <s v=""/>
    <x v="13"/>
    <n v="1"/>
    <n v="17115"/>
    <n v="9305"/>
    <n v="7810"/>
    <n v="1495"/>
    <s v="CO_Weld__2020g~Frederick-Firestone Fire Protection District Ballot Issue 6B (Vote For 1)"/>
    <n v="8.8419682990300442E-3"/>
    <m/>
    <m/>
    <n v="0"/>
    <n v="0"/>
    <n v="0"/>
    <n v="0"/>
  </r>
  <r>
    <n v="48.98033495407887"/>
    <n v="1008.9870000000001"/>
    <n v="19.03935821900583"/>
    <n v="0.19039358219005831"/>
    <n v="354"/>
    <n v="395976"/>
    <n v="1979.88"/>
    <n v="40"/>
    <x v="13"/>
    <n v="1"/>
    <n v="14623"/>
    <n v="8237"/>
    <n v="6386"/>
    <n v="1851"/>
    <s v="CO_Weld__2020g~w/Larim_Town of Windsor Ballot Issue 3A (Vote For 1)"/>
    <n v="4.6745257288320508E-3"/>
    <m/>
    <m/>
    <n v="0"/>
    <n v="0"/>
    <n v="0"/>
    <n v="0"/>
  </r>
  <r>
    <n v="112.7923076923077"/>
    <n v="2610.96"/>
    <n v="15.426202589744001"/>
    <n v="0.15426202589744001"/>
    <n v="151"/>
    <n v="169080"/>
    <n v="845.4"/>
    <s v=""/>
    <x v="13"/>
    <n v="1"/>
    <n v="37840"/>
    <n v="19960"/>
    <n v="17880"/>
    <n v="2080"/>
    <s v="CO_Weld__2020g~Weld County Council - District 1 (Vote For 1)"/>
    <n v="1.2301868937780932E-2"/>
    <m/>
    <m/>
    <n v="2"/>
    <n v="2.1200818867607052E-2"/>
    <n v="9.9242827897585206E-2"/>
    <n v="0.3620825037157519"/>
  </r>
  <r>
    <n v="10.590995670995671"/>
    <n v="272.274"/>
    <n v="12.527924568003229"/>
    <n v="0.12527924568003229"/>
    <n v="151"/>
    <n v="169080"/>
    <n v="845.4"/>
    <s v=""/>
    <x v="13"/>
    <n v="1"/>
    <n v="3946"/>
    <n v="3128"/>
    <n v="818"/>
    <n v="2310"/>
    <s v="CO_Weld__2020g~Town of Milliken Ballot Question 2F (Vote For 1)"/>
    <n v="1.3662171753016324E-2"/>
    <m/>
    <m/>
    <n v="3"/>
    <n v="3.1650632189305417E-2"/>
    <n v="0.14518892327172994"/>
    <n v="0.49072541518469881"/>
  </r>
  <r>
    <n v="11.238795986622074"/>
    <n v="299.18400000000003"/>
    <n v="11.631255234908549"/>
    <n v="0.1163125523490855"/>
    <n v="151"/>
    <n v="169080"/>
    <n v="845.4"/>
    <s v=""/>
    <x v="13"/>
    <n v="1"/>
    <n v="4336"/>
    <n v="3364"/>
    <n v="972"/>
    <n v="2392"/>
    <s v="CO_Weld__2020g~Town of Severance Ballot Question 2G (Vote For 1)"/>
    <n v="1.4147149278448071E-2"/>
    <m/>
    <m/>
    <n v="3"/>
    <n v="3.1650632189305417E-2"/>
    <n v="0.14518892327172994"/>
    <n v="0.49072541518469881"/>
  </r>
  <r>
    <n v="16.741029900332226"/>
    <n v="448.63800000000003"/>
    <n v="11.463878029779558"/>
    <n v="0.11463878029779558"/>
    <n v="151"/>
    <n v="169080"/>
    <n v="845.4"/>
    <s v=""/>
    <x v="13"/>
    <n v="1"/>
    <n v="6502"/>
    <n v="4455"/>
    <n v="2047"/>
    <n v="2408"/>
    <s v="CO_Weld__2020g~Weld RE-8 School District Ballot Issue 5D (Vote For 1)"/>
    <n v="1.4241779039507926E-2"/>
    <m/>
    <m/>
    <n v="4"/>
    <n v="4.2001159873742422E-2"/>
    <n v="0.18884317065809053"/>
    <n v="0.59354807482674299"/>
  </r>
  <r>
    <n v="17.231286549707605"/>
    <n v="524.67600000000004"/>
    <n v="3.4500512344637539"/>
    <n v="3.4500512344637538E-2"/>
    <n v="501"/>
    <n v="408505"/>
    <n v="2042.5250000000001"/>
    <n v="5"/>
    <x v="13"/>
    <n v="1"/>
    <n v="7604"/>
    <n v="5170"/>
    <n v="2434"/>
    <n v="2736"/>
    <s v="CO_Weld__2020g~w/Adams_Weld County School District RE-3J Ballot Issue 5C (Vote For 1)"/>
    <n v="6.6975924407289998E-3"/>
    <m/>
    <m/>
    <n v="0"/>
    <n v="0"/>
    <n v="0"/>
    <n v="0"/>
  </r>
  <r>
    <n v="25.529297971918879"/>
    <n v="1821.1860000000001"/>
    <n v="0.29207834176973591"/>
    <n v="2.9207834176973591E-3"/>
    <n v="151"/>
    <n v="169080"/>
    <n v="845.4"/>
    <s v=""/>
    <x v="13"/>
    <n v="1"/>
    <n v="26394"/>
    <n v="16402"/>
    <n v="9992"/>
    <n v="6410"/>
    <s v="CO_Weld__2020g~State Representative - District 50 (Vote For 1)"/>
    <n v="3.7911048024603738E-2"/>
    <m/>
    <m/>
    <n v="20"/>
    <n v="0.19476333134420687"/>
    <n v="0.65243721072318484"/>
    <n v="0.98943394383507222"/>
  </r>
  <r>
    <n v="39.040509351372862"/>
    <n v="3275.5680000000002"/>
    <n v="0.1020398248439446"/>
    <n v="1.0203982484394459E-3"/>
    <n v="151"/>
    <n v="169080"/>
    <n v="845.4"/>
    <s v=""/>
    <x v="13"/>
    <n v="1"/>
    <n v="47472"/>
    <n v="26358"/>
    <n v="18819"/>
    <n v="7539"/>
    <s v="CO_Weld__2020g~Weld County Commissioner - District 3 (Vote For 1)"/>
    <n v="4.4588360539389638E-2"/>
    <m/>
    <m/>
    <n v="25"/>
    <n v="0.23783970456512371"/>
    <n v="0.73422951554206894"/>
    <n v="0.99667740231099955"/>
  </r>
  <r>
    <n v="68.605575801749268"/>
    <n v="8380.3260000000009"/>
    <n v="3.9668281850533194E-3"/>
    <n v="3.9668281850533195E-5"/>
    <n v="151"/>
    <n v="169080"/>
    <n v="845.4"/>
    <s v=""/>
    <x v="13"/>
    <n v="1"/>
    <n v="121454"/>
    <n v="66215"/>
    <n v="55239"/>
    <n v="10976"/>
    <s v="CO_Weld__2020g~Weld County Council - At-Large (Vote For 1)"/>
    <n v="6.4916016087059381E-2"/>
    <m/>
    <m/>
    <n v="40"/>
    <n v="0.35504888663604417"/>
    <n v="0.88237520478987452"/>
    <n v="0.99990154696821865"/>
  </r>
  <r>
    <n v="9.7255451995294546"/>
    <n v="1196.115"/>
    <n v="3.6925592017135445E-3"/>
    <n v="3.6925592017135445E-5"/>
    <n v="151"/>
    <n v="169080"/>
    <n v="845.4"/>
    <s v=""/>
    <x v="13"/>
    <n v="1"/>
    <n v="17335"/>
    <n v="14193"/>
    <n v="3142"/>
    <n v="11051"/>
    <s v="CO_Weld__2020g~Frederick-Firestone Fire Protection District Ballot Question 6C (Vote For 1)"/>
    <n v="6.5359593092027449E-2"/>
    <m/>
    <m/>
    <n v="40"/>
    <n v="0.35504888663604417"/>
    <n v="0.88237520478987452"/>
    <n v="0.99990154696821865"/>
  </r>
  <r>
    <n v="25.697287752507417"/>
    <n v="4048.9890000000005"/>
    <n v="1.8414046180290379E-4"/>
    <n v="1.8414046180290379E-6"/>
    <n v="151"/>
    <n v="169080"/>
    <n v="845.4"/>
    <s v=""/>
    <x v="13"/>
    <n v="1"/>
    <n v="58681"/>
    <n v="35064"/>
    <n v="20906"/>
    <n v="14158"/>
    <s v="CO_Weld__2020g~State Representative - District 63 (Vote For 1)"/>
    <n v="8.3735509817837714E-2"/>
    <m/>
    <m/>
    <n v="53"/>
    <n v="0.44336637969327497"/>
    <n v="0.94269838690243202"/>
    <n v="0.99999560922313191"/>
  </r>
  <r>
    <n v="19.723352995963989"/>
    <n v="3535.0770000000002"/>
    <n v="2.7274803440298012E-5"/>
    <n v="2.7274803440298013E-7"/>
    <n v="151"/>
    <n v="169080"/>
    <n v="845.4"/>
    <s v=""/>
    <x v="13"/>
    <n v="1"/>
    <n v="51233"/>
    <n v="33669"/>
    <n v="17564"/>
    <n v="16105"/>
    <s v="CO_Weld__2020g~Weld County Commissioner - District 1 (Vote For 1)"/>
    <n v="9.5250768866808611E-2"/>
    <m/>
    <m/>
    <n v="61"/>
    <n v="0.49220962105579824"/>
    <n v="0.96341250231794251"/>
    <n v="0.99999937073113276"/>
  </r>
  <r>
    <n v="18.556624973500107"/>
    <n v="3896.5680000000002"/>
    <n v="1.7396857356043166E-6"/>
    <n v="1.7396857356043167E-8"/>
    <n v="151"/>
    <n v="169080"/>
    <n v="845.4"/>
    <s v=""/>
    <x v="13"/>
    <n v="1"/>
    <n v="56472"/>
    <n v="37670"/>
    <n v="18802"/>
    <n v="18868"/>
    <s v="CO_Weld__2020g~State Representative - District 48 (Vote For 1)"/>
    <n v="0.11159214572983203"/>
    <m/>
    <m/>
    <n v="73"/>
    <n v="0.55834479842118401"/>
    <n v="0.98149814540102487"/>
    <n v="0.99999996727895202"/>
  </r>
  <r>
    <n v="13.792586162879754"/>
    <n v="3006.2610000000004"/>
    <n v="8.4469258650530771E-7"/>
    <n v="8.4469258650530773E-9"/>
    <n v="151"/>
    <n v="169080"/>
    <n v="845.4"/>
    <s v=""/>
    <x v="13"/>
    <n v="1"/>
    <n v="43569"/>
    <n v="31577"/>
    <n v="11992"/>
    <n v="19585"/>
    <s v="CO_Weld__2020g~City of Greeley Ballot Issue 2I (Vote For 1)"/>
    <n v="0.11583274189732672"/>
    <m/>
    <m/>
    <n v="76"/>
    <n v="0.57363149944725511"/>
    <n v="0.98442435003728879"/>
    <n v="0.99999998450159466"/>
  </r>
  <r>
    <n v="24.882816674227531"/>
    <n v="10987.698"/>
    <n v="2.8917529229686847E-16"/>
    <n v="2.8917529229686845E-18"/>
    <n v="151"/>
    <n v="169080"/>
    <n v="845.4"/>
    <s v=""/>
    <x v="13"/>
    <n v="1"/>
    <n v="159242"/>
    <n v="99460"/>
    <n v="59782"/>
    <n v="39678"/>
    <s v="CO_Weld__2020g~Weld County Commissioner - At-Large (Vote For 1)"/>
    <n v="0.23466997870830375"/>
    <m/>
    <m/>
    <n v="160"/>
    <n v="0.85032461911340118"/>
    <n v="0.99990727152605741"/>
    <n v="1"/>
  </r>
  <r>
    <n v="13.874492763093411"/>
    <n v="9452.0340000000015"/>
    <n v="3.3392010756661753E-28"/>
    <n v="3.3392010756661753E-30"/>
    <n v="151"/>
    <n v="169080"/>
    <n v="845.4"/>
    <s v=""/>
    <x v="13"/>
    <n v="1"/>
    <n v="136986"/>
    <n v="99100"/>
    <n v="37886"/>
    <n v="61214"/>
    <s v="CO_Weld__2020g~District Court Judge - 19th Judicial District - Kerns (Vote For 1)"/>
    <n v="0.36204163709486631"/>
    <m/>
    <m/>
    <n v="251"/>
    <n v="0.95883907417460157"/>
    <n v="0.99999983650086954"/>
    <n v="1"/>
  </r>
  <r>
    <n v="13.297244899552004"/>
    <n v="9480.393"/>
    <n v="5.8650626219441342E-30"/>
    <n v="5.8650626219441341E-32"/>
    <n v="151"/>
    <n v="169080"/>
    <n v="845.4"/>
    <s v=""/>
    <x v="13"/>
    <n v="1"/>
    <n v="137397"/>
    <n v="100730"/>
    <n v="36667"/>
    <n v="64063"/>
    <s v="CO_Weld__2020g~District Court Judge - 19th Judicial District - Kopcow (Vote For 1)"/>
    <n v="0.37889164892358645"/>
    <m/>
    <m/>
    <n v="263"/>
    <n v="0.96578898137400027"/>
    <n v="0.99999993422206934"/>
    <n v="1"/>
  </r>
  <r>
    <n v="1132.8115384615385"/>
    <n v="1132.8115384615385"/>
    <n v="21.008871675451964"/>
    <n v="0.21008871675451962"/>
    <n v="5400"/>
    <n v="180000"/>
    <n v="900"/>
    <s v=""/>
    <x v="14"/>
    <n v="1"/>
    <n v="9501"/>
    <n v="2759"/>
    <n v="2707"/>
    <n v="52"/>
    <s v="MN_Henne_2021g~Minneapolis-Council Member Ward 2 (vote for 1)"/>
    <n v="2.8888888888888888E-4"/>
    <s v="Minneapolis"/>
    <s v="m1"/>
    <n v="0"/>
    <n v="0"/>
    <n v="0"/>
    <n v="0"/>
  </r>
  <r>
    <n v="115.45350734094616"/>
    <n v="787.6350000000001"/>
    <n v="9.9929563215235067E-7"/>
    <n v="9.9929563215235057E-9"/>
    <n v="5400"/>
    <n v="180000"/>
    <n v="900"/>
    <s v=""/>
    <x v="14"/>
    <n v="1"/>
    <n v="11415"/>
    <n v="5505"/>
    <n v="4892"/>
    <n v="613"/>
    <s v="MN_Henne_2021g~Minneapolis-Council Member Ward 1 (vote for 1)"/>
    <n v="3.4055555555555558E-3"/>
    <s v="Minneapolis"/>
    <s v="m1"/>
    <n v="0"/>
    <n v="0"/>
    <n v="0"/>
    <n v="0"/>
  </r>
  <r>
    <n v="105.58258642765685"/>
    <n v="917.7"/>
    <n v="6.343676111648487E-9"/>
    <n v="6.3436761116484867E-11"/>
    <n v="5400"/>
    <n v="180000"/>
    <n v="900"/>
    <s v=""/>
    <x v="14"/>
    <n v="1"/>
    <n v="13300"/>
    <n v="5999"/>
    <n v="5218"/>
    <n v="781"/>
    <s v="MN_Henne_2021g~Minneapolis-Council Member Ward 3 (vote for 1)"/>
    <n v="4.3388888888888887E-3"/>
    <s v="Minneapolis"/>
    <s v="m1"/>
    <n v="0"/>
    <n v="0"/>
    <n v="0"/>
    <n v="0"/>
  </r>
  <r>
    <n v="105.47848101265824"/>
    <n v="105.47848101265824"/>
    <n v="9.3432106928298992"/>
    <n v="9.3432106928298994E-2"/>
    <n v="5400"/>
    <n v="180000"/>
    <n v="900"/>
    <s v=""/>
    <x v="14"/>
    <n v="1"/>
    <n v="1344"/>
    <n v="581"/>
    <n v="502"/>
    <n v="79"/>
    <s v="MN_Henne_2021g~St Louis Park-Council Member Ward 3 (vote for 1)"/>
    <n v="4.3888888888888889E-4"/>
    <s v="St Louis Park"/>
    <s v="m1"/>
    <n v="0"/>
    <n v="0"/>
    <n v="0"/>
    <n v="0"/>
  </r>
  <r>
    <n v="86.262244897959178"/>
    <n v="376.32600000000002"/>
    <n v="7.7112985904617736E-4"/>
    <n v="7.7112985904617731E-6"/>
    <n v="5400"/>
    <n v="180000"/>
    <n v="900"/>
    <s v=""/>
    <x v="14"/>
    <n v="1"/>
    <n v="5454"/>
    <n v="1744"/>
    <n v="1352"/>
    <n v="392"/>
    <s v="MN_Henne_2021g~Minneapolis-Council Member Ward 5 (vote for 1)"/>
    <n v="2.1777777777777776E-3"/>
    <s v="Minneapolis"/>
    <s v="m1"/>
    <n v="0"/>
    <n v="0"/>
    <n v="0"/>
    <n v="0"/>
  </r>
  <r>
    <n v="71.586034912718205"/>
    <n v="319.47000000000003"/>
    <n v="5.8831394512933268E-4"/>
    <n v="5.8831394512933264E-6"/>
    <n v="5400"/>
    <n v="180000"/>
    <n v="900"/>
    <s v=""/>
    <x v="14"/>
    <n v="2"/>
    <n v="4630"/>
    <n v="2260"/>
    <n v="1859"/>
    <n v="401"/>
    <s v="MN_Henne_2021g~Golden Valley-Council Member (vote for 2)"/>
    <n v="2.2277777777777777E-3"/>
    <s v="Golden Valley"/>
    <s v="m1"/>
    <n v="0"/>
    <n v="0"/>
    <n v="0"/>
    <n v="0"/>
  </r>
  <r>
    <n v="60.3046875"/>
    <n v="60.3046875"/>
    <n v="14.655691696591411"/>
    <n v="0.14655691696591411"/>
    <n v="5400"/>
    <n v="180000"/>
    <n v="900"/>
    <s v=""/>
    <x v="14"/>
    <n v="2"/>
    <n v="622.5"/>
    <n v="393"/>
    <n v="329"/>
    <n v="64"/>
    <s v="MN_Henne_2021g~Independence-Council Member (vote for 2)"/>
    <n v="3.5555555555555557E-4"/>
    <s v="Independence"/>
    <s v="m1"/>
    <n v="0"/>
    <n v="0"/>
    <n v="0"/>
    <n v="0"/>
  </r>
  <r>
    <n v="53.794117647058826"/>
    <n v="162.84"/>
    <n v="2.8410361312735902E-2"/>
    <n v="2.8410361312735901E-4"/>
    <n v="5400"/>
    <n v="180000"/>
    <n v="900"/>
    <s v=""/>
    <x v="14"/>
    <n v="2"/>
    <n v="2360"/>
    <n v="1251"/>
    <n v="979"/>
    <n v="272"/>
    <s v="MN_Henne_2021g~Hopkins-Council Member (vote for 2)"/>
    <n v="1.5111111111111111E-3"/>
    <s v="Hopkins"/>
    <s v="m1"/>
    <n v="0"/>
    <n v="0"/>
    <n v="0"/>
    <n v="0"/>
  </r>
  <r>
    <n v="39.845549738219894"/>
    <n v="169.39500000000001"/>
    <n v="1.0415894873032094E-3"/>
    <n v="1.0415894873032093E-5"/>
    <n v="5400"/>
    <n v="180000"/>
    <n v="900"/>
    <s v=""/>
    <x v="14"/>
    <n v="1"/>
    <n v="2455"/>
    <n v="1228"/>
    <n v="846"/>
    <n v="382"/>
    <s v="MN_Henne_2021g~Bloomington-Council Member Ward 4 (vote for 1)"/>
    <n v="2.1222222222222224E-3"/>
    <s v="Bloomington"/>
    <s v="m1"/>
    <n v="0"/>
    <n v="0"/>
    <n v="0"/>
    <n v="0"/>
  </r>
  <r>
    <n v="38.949162011173186"/>
    <n v="310.36200000000002"/>
    <n v="4.495226099573706E-8"/>
    <n v="4.4952260995737058E-10"/>
    <n v="5400"/>
    <n v="180000"/>
    <n v="900"/>
    <s v=""/>
    <x v="14"/>
    <n v="1"/>
    <n v="4498"/>
    <n v="2326"/>
    <n v="1610"/>
    <n v="716"/>
    <s v="MN_Henne_2021g~Bloomington-Council Member Ward 3 (vote for 1)"/>
    <n v="3.977777777777778E-3"/>
    <s v="Bloomington"/>
    <s v="m1"/>
    <n v="0"/>
    <n v="0"/>
    <n v="0"/>
    <n v="0"/>
  </r>
  <r>
    <n v="35.732286023835321"/>
    <n v="734.09100000000001"/>
    <n v="6.6771708836178296E-23"/>
    <n v="6.6771708836178292E-25"/>
    <n v="5400"/>
    <n v="180000"/>
    <n v="900"/>
    <s v=""/>
    <x v="14"/>
    <n v="1"/>
    <n v="10639"/>
    <n v="3929"/>
    <n v="2083"/>
    <n v="1846"/>
    <s v="MN_Henne_2021g~Minneapolis-Council Member Ward 10 (vote for 1)"/>
    <n v="1.0255555555555556E-2"/>
    <s v="Minneapolis"/>
    <s v="m1"/>
    <n v="1"/>
    <n v="1.0000000000000675E-2"/>
    <n v="5.00000000000006E-2"/>
    <n v="0.20000000000000029"/>
  </r>
  <r>
    <n v="32.908189880020863"/>
    <n v="702.07500000000005"/>
    <n v="7.7584288191009154E-24"/>
    <n v="7.7584288191009161E-26"/>
    <n v="5400"/>
    <n v="180000"/>
    <n v="900"/>
    <s v=""/>
    <x v="14"/>
    <n v="1"/>
    <n v="10175"/>
    <n v="4137"/>
    <n v="2220"/>
    <n v="1917"/>
    <s v="MN_Henne_2021g~Minnetonka-Council Member Seat B (vote for 1)"/>
    <n v="1.065E-2"/>
    <s v="Minnetonka"/>
    <s v="m1"/>
    <n v="1"/>
    <n v="1.0000000000000675E-2"/>
    <n v="5.00000000000006E-2"/>
    <n v="0.20000000000000029"/>
  </r>
  <r>
    <n v="30.975279106858054"/>
    <n v="432.28500000000003"/>
    <n v="4.0240616815170859E-15"/>
    <n v="4.0240616815170861E-17"/>
    <n v="5400"/>
    <n v="180000"/>
    <n v="900"/>
    <s v=""/>
    <x v="14"/>
    <n v="1"/>
    <n v="6265"/>
    <n v="3722"/>
    <n v="2468"/>
    <n v="1254"/>
    <s v="MN_Henne_2021g~Minneapolis-Council Member Ward 6 (vote for 1)"/>
    <n v="6.966666666666667E-3"/>
    <s v="Minneapolis"/>
    <s v="m1"/>
    <n v="0"/>
    <n v="0"/>
    <n v="0"/>
    <n v="0"/>
  </r>
  <r>
    <n v="22.137647058823532"/>
    <n v="921.42600000000004"/>
    <n v="5.7386229005074312E-48"/>
    <n v="5.738622900507431E-50"/>
    <n v="5400"/>
    <n v="180000"/>
    <n v="900"/>
    <s v=""/>
    <x v="14"/>
    <n v="1"/>
    <n v="13354"/>
    <n v="7789"/>
    <n v="4049"/>
    <n v="3740"/>
    <s v="MN_Henne_2021g~Minneapolis-Council Member Ward 11 (vote for 1)"/>
    <n v="2.0777777777777777E-2"/>
    <s v="Minneapolis"/>
    <s v="m1"/>
    <n v="9"/>
    <n v="8.6854127269224368E-2"/>
    <n v="0.37108465386330369"/>
    <n v="0.86712724856044843"/>
  </r>
  <r>
    <n v="20.455763097949887"/>
    <n v="499.69800000000004"/>
    <n v="1.6823159797738596E-27"/>
    <n v="1.6823159797738598E-29"/>
    <n v="5400"/>
    <n v="180000"/>
    <n v="900"/>
    <s v=""/>
    <x v="14"/>
    <n v="1"/>
    <n v="7242"/>
    <n v="4391"/>
    <n v="2196"/>
    <n v="2195"/>
    <s v="MN_Henne_2021g~Minneapolis-Council Member Ward 4 (vote for 1)"/>
    <n v="1.2194444444444445E-2"/>
    <s v="Minneapolis"/>
    <s v="m1"/>
    <n v="2"/>
    <n v="1.9911012235817704E-2"/>
    <n v="9.7552836484983363E-2"/>
    <n v="0.36017797552836472"/>
  </r>
  <r>
    <n v="17.871172855997862"/>
    <n v="744.44100000000003"/>
    <n v="5.2346961870234924E-48"/>
    <n v="5.2346961870234923E-50"/>
    <n v="5400"/>
    <n v="180000"/>
    <n v="900"/>
    <s v=""/>
    <x v="14"/>
    <n v="1"/>
    <n v="10789"/>
    <n v="5881"/>
    <n v="2138"/>
    <n v="3743"/>
    <s v="MN_Henne_2021g~Minnetonka-Council Member Seat A (vote for 1)"/>
    <n v="2.0794444444444445E-2"/>
    <s v="Minnetonka"/>
    <s v="m1"/>
    <n v="9"/>
    <n v="8.6854127269224368E-2"/>
    <n v="0.37108465386330369"/>
    <n v="0.86712724856044843"/>
  </r>
  <r>
    <n v="17.699609011357289"/>
    <n v="1057.9770000000001"/>
    <n v="9.0542930687023467E-70"/>
    <n v="9.0542930687023462E-72"/>
    <n v="5400"/>
    <n v="180000"/>
    <n v="900"/>
    <s v=""/>
    <x v="14"/>
    <n v="1"/>
    <n v="15333"/>
    <n v="9940"/>
    <n v="4569"/>
    <n v="5371"/>
    <s v="MN_Henne_2021g~Minneapolis-Council Member Ward 12 (vote for 1)"/>
    <n v="2.983888888888889E-2"/>
    <s v="Minneapolis"/>
    <s v="m1"/>
    <n v="16"/>
    <n v="0.14970159019611406"/>
    <n v="0.56298775216162023"/>
    <n v="0.97278717978250262"/>
  </r>
  <r>
    <n v="17.430386473429952"/>
    <n v="803.09100000000012"/>
    <n v="2.695529451866608E-53"/>
    <n v="2.695529451866608E-55"/>
    <n v="5400"/>
    <n v="180000"/>
    <n v="900"/>
    <s v=""/>
    <x v="14"/>
    <n v="1"/>
    <n v="11639"/>
    <n v="7206"/>
    <n v="3066"/>
    <n v="4140"/>
    <s v="MN_Henne_2021g~Minneapolis-Council Member Ward 7 (vote for 1)"/>
    <n v="2.3E-2"/>
    <s v="Minneapolis"/>
    <s v="m1"/>
    <n v="10"/>
    <n v="9.6077822953373526E-2"/>
    <n v="0.40284805518333899"/>
    <n v="0.89397022864924669"/>
  </r>
  <r>
    <n v="14.32058212058212"/>
    <n v="459.95400000000006"/>
    <n v="1.2418984100435131E-36"/>
    <n v="1.2418984100435132E-38"/>
    <n v="5400"/>
    <n v="180000"/>
    <n v="900"/>
    <s v=""/>
    <x v="14"/>
    <n v="1"/>
    <n v="6666"/>
    <n v="3792"/>
    <n v="906"/>
    <n v="2886"/>
    <s v="MN_Henne_2021g~Minneapolis-Council Member Ward 9 (vote for 1)"/>
    <n v="1.6033333333333333E-2"/>
    <s v="Minneapolis"/>
    <s v="m1"/>
    <n v="5"/>
    <n v="4.9117035869855719E-2"/>
    <n v="0.22667298672472802"/>
    <n v="0.67323237734652919"/>
  </r>
  <r>
    <n v="13.411445862386527"/>
    <n v="1134.498"/>
    <n v="6.5475865848063142E-100"/>
    <n v="6.547586584806314E-102"/>
    <n v="5400"/>
    <n v="180000"/>
    <n v="900"/>
    <s v=""/>
    <x v="14"/>
    <n v="1"/>
    <n v="16442"/>
    <n v="10883"/>
    <n v="3282"/>
    <n v="7601"/>
    <s v="MN_Henne_2021g~Minneapolis-Council Member Ward 13 (vote for 1)"/>
    <n v="4.2227777777777781E-2"/>
    <s v="Minneapolis"/>
    <s v="m1"/>
    <n v="25"/>
    <n v="0.22484176871427297"/>
    <n v="0.72752542960869149"/>
    <n v="0.99653021873251957"/>
  </r>
  <r>
    <n v="8.7219085487077539"/>
    <n v="732.3660000000001"/>
    <n v="3.7821669170247798E-99"/>
    <n v="3.7821669170247797E-101"/>
    <n v="5400"/>
    <n v="180000"/>
    <n v="900"/>
    <s v=""/>
    <x v="14"/>
    <n v="1"/>
    <n v="10614"/>
    <n v="9013"/>
    <n v="1468"/>
    <n v="7545"/>
    <s v="MN_Henne_2021g~Minneapolis-Council Member Ward 8 (vote for 1)"/>
    <n v="4.1916666666666665E-2"/>
    <s v="Minneapolis"/>
    <s v="m1"/>
    <n v="25"/>
    <n v="0.22484176871427297"/>
    <n v="0.72752542960869149"/>
    <n v="0.99653021873251957"/>
  </r>
  <r>
    <n v="1355.8071428571429"/>
    <n v="1689.9480000000001"/>
    <n v="3.4698952938918834"/>
    <n v="3.4698952938918837E-2"/>
    <n v="5400"/>
    <n v="180000"/>
    <n v="900"/>
    <s v=""/>
    <x v="14"/>
    <n v="1"/>
    <n v="24492"/>
    <n v="6552"/>
    <n v="6440"/>
    <n v="112"/>
    <s v="MN_Henne_2021g~Minneapolis-Park and Recreation Commissioner District 6 (vote for 1)"/>
    <n v="6.2222222222222225E-4"/>
    <s v="Minneapolis"/>
    <s v="m2"/>
    <n v="0"/>
    <n v="0"/>
    <n v="0"/>
    <n v="0"/>
  </r>
  <r>
    <n v="992.13247863247852"/>
    <n v="1722.47"/>
    <n v="0.92602042577439625"/>
    <n v="9.2602042577439626E-3"/>
    <n v="5400"/>
    <n v="180000"/>
    <n v="900"/>
    <s v=""/>
    <x v="14"/>
    <n v="3"/>
    <n v="24963.333333333332"/>
    <n v="12044"/>
    <n v="11888"/>
    <n v="156"/>
    <s v="MN_Henne_2021g~Minneapolis-Park and Recreation Commissioner at Large (vote for 3)"/>
    <n v="8.6666666666666663E-4"/>
    <s v="Minneapolis"/>
    <s v="m2"/>
    <n v="0"/>
    <n v="0"/>
    <n v="0"/>
    <n v="0"/>
  </r>
  <r>
    <n v="128.63019532971066"/>
    <n v="9747.2850000000017"/>
    <n v="3.6745107544293588E-89"/>
    <n v="3.6745107544293592E-91"/>
    <n v="5400"/>
    <n v="180000"/>
    <n v="900"/>
    <s v=""/>
    <x v="14"/>
    <n v="1"/>
    <n v="141265"/>
    <n v="74037"/>
    <n v="67228"/>
    <n v="6809"/>
    <s v="MN_Henne_2021g~Minneapolis-CITY QUESTION 1 (vote for 1)"/>
    <n v="3.782777777777778E-2"/>
    <s v="Minneapolis"/>
    <s v="m2"/>
    <n v="22"/>
    <n v="0.2004788082697293"/>
    <n v="0.68087939954743426"/>
    <n v="0.993088013628734"/>
  </r>
  <r>
    <n v="96.474173055859822"/>
    <n v="9802.5540000000001"/>
    <n v="8.3926163732440558E-121"/>
    <n v="8.3926163732440562E-123"/>
    <n v="5400"/>
    <n v="180000"/>
    <n v="900"/>
    <s v=""/>
    <x v="14"/>
    <n v="1"/>
    <n v="142066"/>
    <n v="75598"/>
    <n v="66468"/>
    <n v="9130"/>
    <s v="MN_Henne_2021g~Minneapolis-CITY QUESTION 3 (vote for 1)"/>
    <n v="5.0722222222222224E-2"/>
    <s v="Minneapolis"/>
    <s v="m2"/>
    <n v="31"/>
    <n v="0.27159704977629773"/>
    <n v="0.80169173280264738"/>
    <n v="0.99913258841473751"/>
  </r>
  <r>
    <n v="61.655627344726973"/>
    <n v="3292.2315000000003"/>
    <n v="4.3590691664116604E-62"/>
    <n v="4.3590691664116604E-64"/>
    <n v="5400"/>
    <n v="180000"/>
    <n v="900"/>
    <s v=""/>
    <x v="14"/>
    <n v="2"/>
    <n v="47713.5"/>
    <n v="25547"/>
    <n v="20749"/>
    <n v="4798"/>
    <s v="MN_Henne_2021g~Minneapolis-Board of Estimate and Taxation (vote for 2)"/>
    <n v="2.6655555555555554E-2"/>
    <s v="Minneapolis"/>
    <s v="m2"/>
    <n v="13"/>
    <n v="0.12325405917677767"/>
    <n v="0.48901653392485533"/>
    <n v="0.94621502970962568"/>
  </r>
  <r>
    <n v="52.641417322834648"/>
    <n v="744.02700000000004"/>
    <n v="2.4815978972742997E-15"/>
    <n v="2.4815978972742998E-17"/>
    <n v="5400"/>
    <n v="180000"/>
    <n v="900"/>
    <s v=""/>
    <x v="14"/>
    <n v="1"/>
    <n v="10783"/>
    <n v="4470"/>
    <n v="3200"/>
    <n v="1270"/>
    <s v="MN_Henne_2021g~Minneapolis-Park and Recreation Commissioner District 2 (vote for 1)"/>
    <n v="7.0555555555555554E-3"/>
    <s v="Minneapolis"/>
    <s v="m2"/>
    <n v="0"/>
    <n v="0"/>
    <n v="0"/>
    <n v="0"/>
  </r>
  <r>
    <n v="50.221997400101735"/>
    <n v="9889.0110000000004"/>
    <n v="2.2367909167952412E-241"/>
    <n v="2.2367909167952412E-243"/>
    <n v="5400"/>
    <n v="180000"/>
    <n v="900"/>
    <s v=""/>
    <x v="14"/>
    <n v="1"/>
    <n v="143319"/>
    <n v="80506"/>
    <n v="62813"/>
    <n v="17693"/>
    <s v="MN_Henne_2021g~Minneapolis-CITY QUESTION 2 (vote for 1)"/>
    <n v="9.8294444444444448E-2"/>
    <s v="Minneapolis"/>
    <s v="m2"/>
    <n v="67"/>
    <n v="0.50316068002272518"/>
    <n v="0.97192516469618795"/>
    <n v="0.99999983230245115"/>
  </r>
  <r>
    <n v="26.125964682799214"/>
    <n v="1333.701"/>
    <n v="2.8977678981597922E-59"/>
    <n v="2.8977678981597921E-61"/>
    <n v="5400"/>
    <n v="180000"/>
    <n v="900"/>
    <s v=""/>
    <x v="14"/>
    <n v="1"/>
    <n v="19329"/>
    <n v="11893"/>
    <n v="7306"/>
    <n v="4587"/>
    <s v="MN_Henne_2021g~Minneapolis-Park and Recreation Commissioner District 4 (vote for 1)"/>
    <n v="2.5483333333333334E-2"/>
    <s v="Minneapolis"/>
    <s v="m2"/>
    <n v="12"/>
    <n v="0.11427713828097641"/>
    <n v="0.46173983644753425"/>
    <n v="0.93254088472054741"/>
  </r>
  <r>
    <n v="18.323147276395424"/>
    <n v="1516.1370000000002"/>
    <n v="1.1834166076979101E-97"/>
    <n v="1.18341660769791E-99"/>
    <n v="5400"/>
    <n v="180000"/>
    <n v="900"/>
    <s v=""/>
    <x v="14"/>
    <n v="1"/>
    <n v="21973"/>
    <n v="13319"/>
    <n v="5884"/>
    <n v="7435"/>
    <s v="MN_Henne_2021g~Minneapolis-Park and Recreation Commissioner District 5 (vote for 1)"/>
    <n v="4.1305555555555554E-2"/>
    <s v="Minneapolis"/>
    <s v="m2"/>
    <n v="24"/>
    <n v="0.21679514347601248"/>
    <n v="0.71277048897378292"/>
    <n v="0.99563286150817121"/>
  </r>
  <r>
    <n v="15.713040563191418"/>
    <n v="1043.2800000000002"/>
    <n v="8.9665207673457071E-78"/>
    <n v="8.9665207673457073E-80"/>
    <n v="5400"/>
    <n v="180000"/>
    <n v="900"/>
    <s v=""/>
    <x v="14"/>
    <n v="1"/>
    <n v="15120"/>
    <n v="9058"/>
    <n v="3092"/>
    <n v="5966"/>
    <s v="MN_Henne_2021g~Minneapolis-Park and Recreation Commissioner District 3 (vote for 1)"/>
    <n v="3.3144444444444442E-2"/>
    <s v="Minneapolis"/>
    <s v="m2"/>
    <n v="18"/>
    <n v="0.16693692715403352"/>
    <n v="0.60637142347572848"/>
    <n v="0.98274604869316085"/>
  </r>
  <r>
    <n v="38.082134195634602"/>
    <n v="1048.5240000000001"/>
    <n v="3.4921912167395298E-31"/>
    <n v="3.4921912167395299E-33"/>
    <n v="5400"/>
    <n v="180000"/>
    <n v="900"/>
    <s v=""/>
    <x v="14"/>
    <n v="1"/>
    <n v="15196"/>
    <n v="7127"/>
    <n v="4653"/>
    <n v="2474"/>
    <s v="MN_Henne_2021g~Bloomington-Council Member at Large (vote for 1)"/>
    <n v="1.3744444444444445E-2"/>
    <s v="Bloomington"/>
    <s v="ma"/>
    <n v="3"/>
    <n v="2.9733730375993583E-2"/>
    <n v="0.14277568989052425"/>
    <n v="0.48842737909728962"/>
  </r>
  <r>
    <n v="28.60626987440979"/>
    <n v="9911.505000000001"/>
    <n v="0"/>
    <n v="0"/>
    <n v="5400"/>
    <n v="180000"/>
    <n v="900"/>
    <s v=""/>
    <x v="14"/>
    <n v="1"/>
    <n v="143645"/>
    <n v="61468"/>
    <n v="30335"/>
    <n v="31133"/>
    <s v="MN_Henne_2021g~Minneapolis-Mayor (vote for 1)"/>
    <n v="0.17296111111111112"/>
    <s v="Minneapolis"/>
    <s v="ma"/>
    <n v="124"/>
    <n v="0.7383155093970829"/>
    <n v="0.99894392209243277"/>
    <n v="0.99999999999990963"/>
  </r>
  <r>
    <n v="24.418734358240972"/>
    <n v="760.10400000000004"/>
    <n v="1.8717636316788298E-35"/>
    <n v="1.8717636316788299E-37"/>
    <n v="5400"/>
    <n v="180000"/>
    <n v="900"/>
    <s v=""/>
    <x v="14"/>
    <n v="1"/>
    <n v="11016"/>
    <n v="6897"/>
    <n v="4100"/>
    <n v="2797"/>
    <s v="MN_Henne_2021g~Minnetonka-Mayor (vote for 1)"/>
    <n v="1.5538888888888889E-2"/>
    <s v="Minnetonka"/>
    <s v="ma"/>
    <n v="5"/>
    <n v="4.9117035869855719E-2"/>
    <n v="0.22667298672472802"/>
    <n v="0.67323237734652919"/>
  </r>
  <r>
    <n v="16.820429009193056"/>
    <n v="183.26400000000001"/>
    <n v="1.6216519243420856E-11"/>
    <n v="1.6216519243420857E-13"/>
    <n v="5400"/>
    <n v="180000"/>
    <n v="900"/>
    <s v=""/>
    <x v="14"/>
    <n v="1"/>
    <n v="2656"/>
    <n v="1560"/>
    <n v="581"/>
    <n v="979"/>
    <s v="MN_Henne_2021g~Hopkins-Mayor (vote for 1)"/>
    <n v="5.4388888888888889E-3"/>
    <s v="Hopkins"/>
    <s v="ma"/>
    <n v="0"/>
    <n v="0"/>
    <n v="0"/>
    <n v="0"/>
  </r>
  <r>
    <n v="1307.8325925925926"/>
    <n v="1307.8325925925926"/>
    <n v="25.919651025157435"/>
    <n v="0.25919651025157436"/>
    <n v="5400"/>
    <n v="180000"/>
    <n v="900"/>
    <s v=""/>
    <x v="14"/>
    <n v="3"/>
    <n v="9492.3333333333339"/>
    <n v="4567"/>
    <n v="4522"/>
    <n v="45"/>
    <s v="MN_Henne_2021g~ISD #276-School Board Member (vote for 3)"/>
    <n v="2.5000000000000001E-4"/>
    <s v="ISD #276"/>
    <s v="s1"/>
    <n v="0"/>
    <n v="0"/>
    <n v="0"/>
    <n v="0"/>
  </r>
  <r>
    <n v="227.78260869565219"/>
    <n v="349.83000000000004"/>
    <n v="1.5897589077479914"/>
    <n v="1.5897589077479915E-2"/>
    <n v="5400"/>
    <n v="180000"/>
    <n v="900"/>
    <s v=""/>
    <x v="14"/>
    <n v="1"/>
    <n v="5070"/>
    <n v="1979"/>
    <n v="1841"/>
    <n v="138"/>
    <s v="MN_Henne_2021g~ISD #272-Special Election for School Board Member (vote for 1)"/>
    <n v="7.6666666666666669E-4"/>
    <s v="ISD #272"/>
    <s v="s1"/>
    <n v="0"/>
    <n v="0"/>
    <n v="0"/>
    <n v="0"/>
  </r>
  <r>
    <n v="226.43364879074659"/>
    <n v="798.83600000000013"/>
    <n v="7.3488330862026196E-3"/>
    <n v="7.3488330862026197E-5"/>
    <n v="5400"/>
    <n v="180000"/>
    <n v="900"/>
    <s v=""/>
    <x v="14"/>
    <n v="3"/>
    <n v="11577.333333333334"/>
    <n v="4809"/>
    <n v="4492"/>
    <n v="317"/>
    <s v="MN_Henne_2021g~ISD #284-School Board Member (vote for 3)"/>
    <n v="1.7611111111111111E-3"/>
    <s v="ISD #284"/>
    <s v="s1"/>
    <n v="0"/>
    <n v="0"/>
    <n v="0"/>
    <n v="0"/>
  </r>
  <r>
    <n v="166.09876543209876"/>
    <n v="299.46000000000004"/>
    <n v="0.77335419497078328"/>
    <n v="7.7335419497078332E-3"/>
    <n v="5400"/>
    <n v="180000"/>
    <n v="900"/>
    <s v=""/>
    <x v="14"/>
    <n v="1"/>
    <n v="4340"/>
    <n v="2224"/>
    <n v="2062"/>
    <n v="162"/>
    <s v="MN_Henne_2021g~ISD #11-School Board Member District 3 (vote for 1)"/>
    <n v="8.9999999999999998E-4"/>
    <s v="ISD #11"/>
    <s v="s1"/>
    <n v="0"/>
    <n v="0"/>
    <n v="0"/>
    <n v="0"/>
  </r>
  <r>
    <n v="101.40423312883436"/>
    <n v="919.75275000000011"/>
    <n v="2.2771309353352217E-9"/>
    <n v="2.2771309353352218E-11"/>
    <n v="5400"/>
    <n v="180000"/>
    <n v="900"/>
    <s v=""/>
    <x v="14"/>
    <n v="4"/>
    <n v="13329.75"/>
    <n v="6702"/>
    <n v="5887"/>
    <n v="815"/>
    <s v="MN_Henne_2021g~ISD #271-School Board Member (vote for 4)"/>
    <n v="4.5277777777777781E-3"/>
    <s v="ISD #271"/>
    <s v="s1"/>
    <n v="0"/>
    <n v="0"/>
    <n v="0"/>
    <n v="0"/>
  </r>
  <r>
    <n v="58.704504504504513"/>
    <n v="169.21100000000001"/>
    <n v="4.1985739020956037E-2"/>
    <n v="4.1985739020956034E-4"/>
    <n v="5400"/>
    <n v="180000"/>
    <n v="900"/>
    <s v=""/>
    <x v="14"/>
    <n v="3"/>
    <n v="2452.3333333333335"/>
    <n v="1319"/>
    <n v="1060"/>
    <n v="259"/>
    <s v="MN_Henne_2021g~ISD #277-School Board Member (vote for 3)"/>
    <n v="1.4388888888888889E-3"/>
    <s v="ISD #277"/>
    <s v="s1"/>
    <n v="0"/>
    <n v="0"/>
    <n v="0"/>
    <n v="0"/>
  </r>
  <r>
    <n v="32.658310719131613"/>
    <n v="535.73325"/>
    <n v="5.2051628167404228E-18"/>
    <n v="5.2051628167404225E-20"/>
    <n v="5400"/>
    <n v="180000"/>
    <n v="900"/>
    <s v=""/>
    <x v="14"/>
    <n v="4"/>
    <n v="7764.25"/>
    <n v="5380"/>
    <n v="3906"/>
    <n v="1474"/>
    <s v="MN_Henne_2021g~ISD #273-School Board Member (vote for 4)"/>
    <n v="8.1888888888888896E-3"/>
    <s v="ISD #273"/>
    <s v="s1"/>
    <n v="0"/>
    <n v="0"/>
    <n v="0"/>
    <n v="0"/>
  </r>
  <r>
    <n v="29.688917197452227"/>
    <n v="259.37100000000004"/>
    <n v="5.6233869815041268E-9"/>
    <n v="5.6233869815041265E-11"/>
    <n v="5400"/>
    <n v="180000"/>
    <n v="900"/>
    <s v=""/>
    <x v="14"/>
    <n v="1"/>
    <n v="3759"/>
    <n v="2201"/>
    <n v="1416"/>
    <n v="785"/>
    <s v="MN_Henne_2021g~ISD #11-School Board Member District 6 (vote for 1)"/>
    <n v="4.3611111111111107E-3"/>
    <s v="ISD #11"/>
    <s v="s1"/>
    <n v="0"/>
    <n v="0"/>
    <n v="0"/>
    <n v="0"/>
  </r>
  <r>
    <n v="22.587332521315467"/>
    <n v="206.37900000000002"/>
    <n v="1.9004573249024438E-9"/>
    <n v="1.9004573249024438E-11"/>
    <n v="5400"/>
    <n v="180000"/>
    <n v="900"/>
    <s v=""/>
    <x v="14"/>
    <n v="1"/>
    <n v="2991"/>
    <n v="1906"/>
    <n v="1085"/>
    <n v="821"/>
    <s v="MN_Henne_2021g~ISD #879-SCHOOL DISTRICT QUESTION 1 (vote for 1)"/>
    <n v="4.5611111111111113E-3"/>
    <s v="ISD #879"/>
    <s v="s1"/>
    <n v="0"/>
    <n v="0"/>
    <n v="0"/>
    <n v="0"/>
  </r>
  <r>
    <n v="18.041075972373683"/>
    <n v="552.34500000000003"/>
    <n v="7.6025318463781958E-35"/>
    <n v="7.6025318463781956E-37"/>
    <n v="5400"/>
    <n v="180000"/>
    <n v="900"/>
    <s v=""/>
    <x v="14"/>
    <n v="1"/>
    <n v="8005"/>
    <n v="5371"/>
    <n v="2620"/>
    <n v="2751"/>
    <s v="MN_Henne_2021g~ISD #11-School Board Member District 4 (vote for 1)"/>
    <n v="1.5283333333333333E-2"/>
    <s v="ISD #11"/>
    <s v="s1"/>
    <n v="4"/>
    <n v="3.9468843449144142E-2"/>
    <n v="0.18578025394283948"/>
    <n v="0.59108409232191372"/>
  </r>
  <r>
    <n v="17.323126866640695"/>
    <n v="494.89100000000002"/>
    <n v="2.0616195167606119E-32"/>
    <n v="2.0616195167606121E-34"/>
    <n v="5400"/>
    <n v="180000"/>
    <n v="900"/>
    <s v=""/>
    <x v="14"/>
    <n v="3"/>
    <n v="7172.333333333333"/>
    <n v="5371"/>
    <n v="2804"/>
    <n v="2567"/>
    <s v="MN_Henne_2021g~ISD #270-School Board Member (vote for 3)"/>
    <n v="1.4261111111111112E-2"/>
    <s v="ISD #270"/>
    <s v="s1"/>
    <n v="4"/>
    <n v="3.9468843449144142E-2"/>
    <n v="0.18578025394283948"/>
    <n v="0.59108409232191372"/>
  </r>
  <r>
    <n v="68.424065708418894"/>
    <n v="1854.2370000000001"/>
    <n v="1.143529026762595E-30"/>
    <n v="1.1435290267625949E-32"/>
    <n v="5400"/>
    <n v="180000"/>
    <n v="900"/>
    <s v=""/>
    <x v="14"/>
    <n v="1"/>
    <n v="26873"/>
    <n v="14654"/>
    <n v="12219"/>
    <n v="2435"/>
    <s v="MN_Henne_2021g~ISD #11-SCHOOL DISTRICT QUESTION 3 (vote for 1)"/>
    <n v="1.3527777777777777E-2"/>
    <s v="ISD #11"/>
    <s v="s2"/>
    <n v="3"/>
    <n v="2.9733730375993583E-2"/>
    <n v="0.14277568989052425"/>
    <n v="0.48842737909728962"/>
  </r>
  <r>
    <n v="31.115693226348199"/>
    <n v="1855.7550000000001"/>
    <n v="1.3122110820522326E-69"/>
    <n v="1.3122110820522326E-71"/>
    <n v="5400"/>
    <n v="180000"/>
    <n v="900"/>
    <s v=""/>
    <x v="14"/>
    <n v="1"/>
    <n v="26895"/>
    <n v="16127"/>
    <n v="10768"/>
    <n v="5359"/>
    <s v="MN_Henne_2021g~ISD #11-SCHOOL DISTRICT QUESTION 2 (vote for 1)"/>
    <n v="2.9772222222222221E-2"/>
    <s v="ISD #11"/>
    <s v="s2"/>
    <n v="15"/>
    <n v="0.14096564762963615"/>
    <n v="0.53957638174170719"/>
    <n v="0.96583922568441816"/>
  </r>
  <r>
    <n v="28.807604562737641"/>
    <n v="1854.9960000000001"/>
    <n v="2.3820743915519724E-75"/>
    <n v="2.3820743915519725E-77"/>
    <n v="5400"/>
    <n v="180000"/>
    <n v="900"/>
    <s v=""/>
    <x v="14"/>
    <n v="1"/>
    <n v="26884"/>
    <n v="16335"/>
    <n v="10549"/>
    <n v="5786"/>
    <s v="MN_Henne_2021g~ISD #11-SCHOOL DISTRICT QUESTION 1 (vote for 1)"/>
    <n v="3.2144444444444448E-2"/>
    <s v="ISD #11"/>
    <s v="s2"/>
    <n v="17"/>
    <n v="0.15835847445882367"/>
    <n v="0.58523385075067824"/>
    <n v="0.97832825177249083"/>
  </r>
  <r>
    <n v="43.327901375255756"/>
    <n v="18618.132000000001"/>
    <n v="0"/>
    <n v="0"/>
    <n v="5396.56"/>
    <n v="269828"/>
    <n v="1349.14"/>
    <s v=""/>
    <x v="15"/>
    <n v="1"/>
    <n v="269828"/>
    <n v="154015"/>
    <n v="115404"/>
    <n v="38611"/>
    <s v="PA_Alleg_2019g~Gen-district attorney (vote for 1)"/>
    <n v="0.14309486042960701"/>
    <s v=" county2"/>
    <s v="c"/>
    <n v="151"/>
    <n v="0.81184786763403871"/>
    <n v="0.99974973543009249"/>
    <n v="0.99999999999999978"/>
  </r>
  <r>
    <n v="42.12420856610801"/>
    <n v="503.49300000000005"/>
    <n v="4.4951030329890858E-8"/>
    <n v="4.495103032989086E-10"/>
    <n v="5396.56"/>
    <n v="269828"/>
    <n v="1349.14"/>
    <s v=""/>
    <x v="15"/>
    <n v="1"/>
    <n v="7297"/>
    <n v="4182"/>
    <n v="3108"/>
    <n v="1074"/>
    <s v="PA_Alleg_2019g~Gen-magisterial district judge 05-02-25 (vote for 1)"/>
    <n v="3.9803133848229245E-3"/>
    <s v=" county2"/>
    <s v="c"/>
    <n v="0"/>
    <n v="0"/>
    <n v="0"/>
    <n v="0"/>
  </r>
  <r>
    <n v="25.536963270845707"/>
    <n v="16752.268500000002"/>
    <n v="0"/>
    <n v="0"/>
    <n v="5396.56"/>
    <n v="269828"/>
    <n v="1349.14"/>
    <s v=""/>
    <x v="15"/>
    <n v="2"/>
    <n v="242786.5"/>
    <n v="153648"/>
    <n v="94703"/>
    <n v="58945"/>
    <s v="PA_Alleg_2019g~Gen-judge of the superior court (vote for 2)"/>
    <n v="0.21845397808974606"/>
    <s v=" county"/>
    <s v="c"/>
    <n v="237"/>
    <n v="0.93408119538372492"/>
    <n v="0.99999864484820655"/>
    <n v="1"/>
  </r>
  <r>
    <n v="23.366649530174509"/>
    <n v="18210.135000000002"/>
    <n v="0"/>
    <n v="0"/>
    <n v="5396.56"/>
    <n v="269828"/>
    <n v="1349.14"/>
    <s v=""/>
    <x v="15"/>
    <n v="1"/>
    <n v="263915"/>
    <n v="166757"/>
    <n v="96731"/>
    <n v="70026"/>
    <s v="PA_Alleg_2019g~Gen-county controller (vote for 1)"/>
    <n v="0.25952087996797962"/>
    <s v=" county"/>
    <s v="c"/>
    <n v="283"/>
    <n v="0.96364227212591591"/>
    <n v="0.99999993012913446"/>
    <n v="1"/>
  </r>
  <r>
    <n v="21.034187789144461"/>
    <n v="17962.908000000003"/>
    <n v="0"/>
    <n v="0"/>
    <n v="5396.56"/>
    <n v="269828"/>
    <n v="1349.14"/>
    <s v=""/>
    <x v="15"/>
    <n v="1"/>
    <n v="260332"/>
    <n v="168350"/>
    <n v="91615"/>
    <n v="76735"/>
    <s v="PA_Alleg_2019g~Gen-member of county council at-large (vote for 1)"/>
    <n v="0.28438486739700847"/>
    <s v=" county"/>
    <s v="c"/>
    <n v="312"/>
    <n v="0.97534796850686101"/>
    <n v="0.99999998993901351"/>
    <n v="1"/>
  </r>
  <r>
    <n v="16.985634905146824"/>
    <n v="18404.508000000002"/>
    <n v="0"/>
    <n v="0"/>
    <n v="5396.56"/>
    <n v="269828"/>
    <n v="1349.14"/>
    <s v=""/>
    <x v="15"/>
    <n v="1"/>
    <n v="266732"/>
    <n v="181448"/>
    <n v="84087"/>
    <n v="97361"/>
    <s v="PA_Alleg_2019g~Gen-county chief executive (vote for 1)"/>
    <n v="0.36082615592155004"/>
    <s v=" county"/>
    <s v="c"/>
    <n v="398"/>
    <n v="0.99272221230580981"/>
    <n v="0.99999999997732425"/>
    <n v="1"/>
  </r>
  <r>
    <n v="13.978199346913389"/>
    <n v="14006.034000000001"/>
    <n v="0"/>
    <n v="0"/>
    <n v="5396.56"/>
    <n v="269828"/>
    <n v="1349.14"/>
    <s v=""/>
    <x v="15"/>
    <n v="1"/>
    <n v="202986"/>
    <n v="146510"/>
    <n v="56476"/>
    <n v="90034"/>
    <s v="PA_Alleg_2019g~Gen-retention of judge brobson (vote for 1)"/>
    <n v="0.33367182056717615"/>
    <s v=" countyj"/>
    <s v="c"/>
    <n v="367"/>
    <n v="0.98856181262357923"/>
    <n v="0.99999999978256815"/>
    <n v="1"/>
  </r>
  <r>
    <n v="13.799942526966143"/>
    <n v="14964.375000000002"/>
    <n v="0"/>
    <n v="0"/>
    <n v="5396.56"/>
    <n v="269828"/>
    <n v="1349.14"/>
    <s v=""/>
    <x v="15"/>
    <n v="1"/>
    <n v="216875"/>
    <n v="157156"/>
    <n v="59719"/>
    <n v="97437"/>
    <s v="PA_Alleg_2019g~Gen-retention of judge manning (vote for 1)"/>
    <n v="0.36110781683146298"/>
    <s v=" countyj"/>
    <s v="c"/>
    <n v="399"/>
    <n v="0.99282935113621851"/>
    <n v="0.99999999997894562"/>
    <n v="1"/>
  </r>
  <r>
    <n v="13.224894934864857"/>
    <n v="14043.501000000002"/>
    <n v="0"/>
    <n v="0"/>
    <n v="5396.56"/>
    <n v="269828"/>
    <n v="1349.14"/>
    <s v=""/>
    <x v="15"/>
    <n v="1"/>
    <n v="203529"/>
    <n v="149473"/>
    <n v="54056"/>
    <n v="95417"/>
    <s v="PA_Alleg_2019g~Gen-retention of judge ignelzi (vote for 1)"/>
    <n v="0.35362156633114428"/>
    <s v=" countyj"/>
    <s v="c"/>
    <n v="390"/>
    <n v="0.99181002421107989"/>
    <n v="0.99999999995906808"/>
    <n v="1"/>
  </r>
  <r>
    <n v="12.749170668711409"/>
    <n v="14063.166000000001"/>
    <n v="0"/>
    <n v="0"/>
    <n v="5396.56"/>
    <n v="269828"/>
    <n v="1349.14"/>
    <s v=""/>
    <x v="15"/>
    <n v="1"/>
    <n v="203814"/>
    <n v="151465"/>
    <n v="52349"/>
    <n v="99116"/>
    <s v="PA_Alleg_2019g~Gen-retention of judge sasinoski (vote for 1)"/>
    <n v="0.36733029930177741"/>
    <s v=" countyj"/>
    <s v="c"/>
    <n v="406"/>
    <n v="0.99353929510203776"/>
    <n v="0.99999999998750277"/>
    <n v="1"/>
  </r>
  <r>
    <n v="12.347213296183755"/>
    <n v="14154.453000000001"/>
    <n v="0"/>
    <n v="0"/>
    <n v="5396.56"/>
    <n v="269828"/>
    <n v="1349.14"/>
    <s v=""/>
    <x v="15"/>
    <n v="1"/>
    <n v="205137"/>
    <n v="154072"/>
    <n v="51065"/>
    <n v="103007"/>
    <s v="PA_Alleg_2019g~Gen-retention of judge walko (vote for 1)"/>
    <n v="0.38175059667640127"/>
    <s v=" countyj"/>
    <s v="c"/>
    <n v="422"/>
    <n v="0.9949242282411831"/>
    <n v="0.99999999999626399"/>
    <n v="1"/>
  </r>
  <r>
    <n v="12.267218766250023"/>
    <n v="14177.292000000001"/>
    <n v="0"/>
    <n v="0"/>
    <n v="5396.56"/>
    <n v="269828"/>
    <n v="1349.14"/>
    <s v=""/>
    <x v="15"/>
    <n v="1"/>
    <n v="205468"/>
    <n v="154657"/>
    <n v="50811"/>
    <n v="103846"/>
    <s v="PA_Alleg_2019g~Gen-retention of judge williams (vote for 1)"/>
    <n v="0.38485998487925643"/>
    <s v=" countyj"/>
    <s v="c"/>
    <n v="425"/>
    <n v="0.99515098391995871"/>
    <n v="0.99999999999702804"/>
    <n v="1"/>
  </r>
  <r>
    <n v="12.252093304829831"/>
    <n v="14415.066000000001"/>
    <n v="0"/>
    <n v="0"/>
    <n v="5396.56"/>
    <n v="269828"/>
    <n v="1349.14"/>
    <s v=""/>
    <x v="15"/>
    <n v="1"/>
    <n v="208914"/>
    <n v="157316"/>
    <n v="51598"/>
    <n v="105718"/>
    <s v="PA_Alleg_2019g~Gen-retention of judge colville (vote for 1)"/>
    <n v="0.39179773781816563"/>
    <s v=" countyj"/>
    <s v="c"/>
    <n v="433"/>
    <n v="0.99571051242680197"/>
    <n v="0.99999999999839162"/>
    <n v="1"/>
  </r>
  <r>
    <n v="12.187067090191549"/>
    <n v="14090.628000000001"/>
    <n v="0"/>
    <n v="0"/>
    <n v="5396.56"/>
    <n v="269828"/>
    <n v="1349.14"/>
    <s v=""/>
    <x v="15"/>
    <n v="1"/>
    <n v="204212"/>
    <n v="154051"/>
    <n v="50161"/>
    <n v="103890"/>
    <s v="PA_Alleg_2019g~Gen-retention of judge klein (vote for 1)"/>
    <n v="0.38502305172183759"/>
    <s v=" countyj"/>
    <s v="c"/>
    <n v="426"/>
    <n v="0.99522445386056535"/>
    <n v="0.99999999999724676"/>
    <n v="1"/>
  </r>
  <r>
    <n v="11.647468023308258"/>
    <n v="14370.492000000002"/>
    <n v="0"/>
    <n v="0"/>
    <n v="5396.56"/>
    <n v="269828"/>
    <n v="1349.14"/>
    <s v=""/>
    <x v="15"/>
    <n v="1"/>
    <n v="208268"/>
    <n v="159565"/>
    <n v="48703"/>
    <n v="110862"/>
    <s v="PA_Alleg_2019g~Gen-retention of judge olson (vote for 1)"/>
    <n v="0.41086173414174953"/>
    <s v=" countyj"/>
    <s v="c"/>
    <n v="455"/>
    <n v="0.99695546036010096"/>
    <n v="0.99999999999971123"/>
    <n v="1"/>
  </r>
  <r>
    <n v="11.603090628124717"/>
    <n v="14205.720000000001"/>
    <n v="0"/>
    <n v="0"/>
    <n v="5396.56"/>
    <n v="269828"/>
    <n v="1349.14"/>
    <s v=""/>
    <x v="15"/>
    <n v="1"/>
    <n v="205880"/>
    <n v="157945"/>
    <n v="47935"/>
    <n v="110010"/>
    <s v="PA_Alleg_2019g~Gen-retention of judge evashavik dilucente (vote for 1)"/>
    <n v="0.40770416709904089"/>
    <s v=" countyj"/>
    <s v="c"/>
    <n v="451"/>
    <n v="0.99675761937573604"/>
    <n v="0.99999999999960421"/>
    <n v="1"/>
  </r>
  <r>
    <n v="11.438957325897427"/>
    <n v="14426.658000000001"/>
    <n v="0"/>
    <n v="0"/>
    <n v="5396.56"/>
    <n v="269828"/>
    <n v="1349.14"/>
    <s v=""/>
    <x v="15"/>
    <n v="1"/>
    <n v="209082"/>
    <n v="161203"/>
    <n v="47879"/>
    <n v="113324"/>
    <s v="PA_Alleg_2019g~Gen-retention of judge mccullough (vote for 1)"/>
    <n v="0.41998606519708853"/>
    <s v=" countyj"/>
    <s v="c"/>
    <n v="465"/>
    <n v="0.99740209728974449"/>
    <n v="0.99999999999986966"/>
    <n v="1"/>
  </r>
  <r>
    <n v="11.135148804403922"/>
    <n v="14407.338000000002"/>
    <n v="0"/>
    <n v="0"/>
    <n v="5396.56"/>
    <n v="269828"/>
    <n v="1349.14"/>
    <s v=""/>
    <x v="15"/>
    <n v="1"/>
    <n v="208802"/>
    <n v="162531"/>
    <n v="46271"/>
    <n v="116260"/>
    <s v="PA_Alleg_2019g~Gen-retention of judge lazarus (vote for 1)"/>
    <n v="0.43086707087477949"/>
    <s v=" countyj"/>
    <s v="c"/>
    <n v="478"/>
    <n v="0.99789199734511991"/>
    <n v="0.99999999999995426"/>
    <n v="1"/>
  </r>
  <r>
    <n v="11.117924412379097"/>
    <n v="14097.252"/>
    <n v="0"/>
    <n v="0"/>
    <n v="5396.56"/>
    <n v="269828"/>
    <n v="1349.14"/>
    <s v=""/>
    <x v="15"/>
    <n v="1"/>
    <n v="204308"/>
    <n v="159121"/>
    <n v="45187"/>
    <n v="113934"/>
    <s v="PA_Alleg_2019g~Gen-retention of judge eaton (vote for 1)"/>
    <n v="0.42224676460560062"/>
    <s v=" countyj"/>
    <s v="c"/>
    <n v="468"/>
    <n v="0.9975237180985036"/>
    <n v="0.99999999999989753"/>
    <n v="1"/>
  </r>
  <r>
    <n v="10.91061216133215"/>
    <n v="14233.872000000001"/>
    <n v="0"/>
    <n v="0"/>
    <n v="5396.56"/>
    <n v="269828"/>
    <n v="1349.14"/>
    <s v=""/>
    <x v="15"/>
    <n v="1"/>
    <n v="206288"/>
    <n v="161756"/>
    <n v="44532"/>
    <n v="117224"/>
    <s v="PA_Alleg_2019g~Gen-retention of judge berkeley clark (vote for 1)"/>
    <n v="0.43443971715314944"/>
    <s v=" countyj"/>
    <s v="c"/>
    <n v="482"/>
    <n v="0.99802451918541413"/>
    <n v="0.99999999999996703"/>
    <n v="1"/>
  </r>
  <r>
    <n v="74.712605042016818"/>
    <n v="1583.1360000000002"/>
    <n v="2.5318704634096191E-15"/>
    <n v="2.531870463409619E-17"/>
    <n v="5396.56"/>
    <n v="269828"/>
    <n v="1349.14"/>
    <s v=""/>
    <x v="15"/>
    <n v="1"/>
    <n v="22944"/>
    <n v="12413"/>
    <n v="10509"/>
    <n v="1904"/>
    <s v="PA_Alleg_2019g~Gen-member of county council district 2 (vote for 1)"/>
    <n v="7.0563470062410131E-3"/>
    <s v=" county2"/>
    <s v="cp"/>
    <n v="0"/>
    <n v="0"/>
    <n v="0"/>
    <n v="0"/>
  </r>
  <r>
    <n v="48.222222222222229"/>
    <n v="550.62"/>
    <n v="1.1783955452975853E-7"/>
    <n v="1.1783955452975854E-9"/>
    <n v="5396.56"/>
    <n v="269828"/>
    <n v="1349.14"/>
    <s v=""/>
    <x v="15"/>
    <n v="1"/>
    <n v="7980"/>
    <n v="3272"/>
    <n v="2246"/>
    <n v="1026"/>
    <s v="PA_Alleg_2019g~Gen-member of council district 9 (vote for 1)"/>
    <n v="3.8024222838252517E-3"/>
    <s v=" district 9 (vote for 1)"/>
    <s v="cp"/>
    <n v="0"/>
    <n v="0"/>
    <n v="0"/>
    <n v="0"/>
  </r>
  <r>
    <n v="33.123649801023312"/>
    <n v="1296.855"/>
    <n v="1.7461915243754346E-29"/>
    <n v="1.7461915243754346E-31"/>
    <n v="5396.56"/>
    <n v="269828"/>
    <n v="1349.14"/>
    <s v=""/>
    <x v="15"/>
    <n v="1"/>
    <n v="18795"/>
    <n v="11145"/>
    <n v="7627"/>
    <n v="3518"/>
    <s v="PA_Alleg_2019g~Gen-member of county council district 6 (vote for 1)"/>
    <n v="1.3037935277287754E-2"/>
    <s v=" county6"/>
    <s v="cp"/>
    <n v="4"/>
    <n v="4.0915279739510813E-2"/>
    <n v="0.18708338475470032"/>
    <n v="0.59115971469850592"/>
  </r>
  <r>
    <n v="31.470581014729952"/>
    <n v="1711.9590000000001"/>
    <n v="1.4259592537433953E-41"/>
    <n v="1.4259592537433954E-43"/>
    <n v="5396.56"/>
    <n v="269828"/>
    <n v="1349.14"/>
    <s v=""/>
    <x v="15"/>
    <n v="1"/>
    <n v="24811"/>
    <n v="14842"/>
    <n v="9954"/>
    <n v="4888"/>
    <s v="PA_Alleg_2019g~Gen-member of county council district 5 (vote for 1)"/>
    <n v="1.8115243784929659E-2"/>
    <s v=" county5"/>
    <s v="cp"/>
    <n v="10"/>
    <n v="9.9382226081405456E-2"/>
    <n v="0.40488754199749077"/>
    <n v="0.89372024946056339"/>
  </r>
  <r>
    <n v="25.187025703794372"/>
    <n v="458.02200000000005"/>
    <n v="5.8090950494297871E-13"/>
    <n v="5.8090950494297867E-15"/>
    <n v="5396.56"/>
    <n v="269828"/>
    <n v="1349.14"/>
    <s v=""/>
    <x v="15"/>
    <n v="1"/>
    <n v="6638"/>
    <n v="3975"/>
    <n v="2341"/>
    <n v="1634"/>
    <s v="PA_Alleg_2019g~Gen-member of council district 1 (vote for 1)"/>
    <n v="6.0557095631291044E-3"/>
    <s v=" district 1 (vote for 1)"/>
    <s v="cp"/>
    <n v="0"/>
    <n v="0"/>
    <n v="0"/>
    <n v="0"/>
  </r>
  <r>
    <n v="15.773908523908524"/>
    <n v="337.75500000000005"/>
    <n v="1.6923205770437258E-15"/>
    <n v="1.6923205770437258E-17"/>
    <n v="5396.56"/>
    <n v="269828"/>
    <n v="1349.14"/>
    <s v=""/>
    <x v="15"/>
    <n v="1"/>
    <n v="4895"/>
    <n v="3398"/>
    <n v="1474"/>
    <n v="1924"/>
    <s v="PA_Alleg_2019g~Gen-member of council district 3 (vote for 1)"/>
    <n v="7.1304682983233765E-3"/>
    <s v=" district 3 (vote for 1)"/>
    <s v="cp"/>
    <n v="0"/>
    <n v="0"/>
    <n v="0"/>
    <n v="0"/>
  </r>
  <r>
    <n v="2296.3333333333335"/>
    <n v="2296.3333333333335"/>
    <n v="98.019863698000833"/>
    <n v="0.98019863698000831"/>
    <n v="5396.56"/>
    <n v="269828"/>
    <n v="1349.14"/>
    <s v=""/>
    <x v="15"/>
    <n v="3"/>
    <n v="2296.3333333333335"/>
    <n v="1174"/>
    <n v="1173"/>
    <n v="1"/>
    <s v="PA_Alleg_2019g~Gen-member of council jefferson hills (vote for 3)"/>
    <n v="3.7060646041181788E-6"/>
    <s v=" jefferson hills (vote for 3)"/>
    <s v="m1"/>
    <n v="0"/>
    <n v="0"/>
    <n v="0"/>
    <n v="0"/>
  </r>
  <r>
    <n v="1085.7104166666668"/>
    <n v="1085.7104166666668"/>
    <n v="52.727241203937446"/>
    <n v="0.52727241203937447"/>
    <n v="5396.56"/>
    <n v="269828"/>
    <n v="1349.14"/>
    <s v=""/>
    <x v="15"/>
    <n v="3"/>
    <n v="5603.666666666667"/>
    <n v="2771"/>
    <n v="2739"/>
    <n v="32"/>
    <s v="PA_Alleg_2019g~Gen-member of council plum (vote for 3)"/>
    <n v="1.1859406733178172E-4"/>
    <s v=" plum (vote for 3)"/>
    <s v="m1"/>
    <n v="0"/>
    <n v="0"/>
    <n v="0"/>
    <n v="0"/>
  </r>
  <r>
    <n v="946.18888888888887"/>
    <n v="946.18888888888887"/>
    <n v="69.766794829618235"/>
    <n v="0.69766794829618228"/>
    <n v="5396.56"/>
    <n v="269828"/>
    <n v="1349.14"/>
    <s v=""/>
    <x v="15"/>
    <n v="1"/>
    <n v="2747"/>
    <n v="718"/>
    <n v="700"/>
    <n v="18"/>
    <s v="PA_Alleg_2019g~Gen-member of council franklin park ward 2 (vote for 1)"/>
    <n v="6.6709162874127218E-5"/>
    <s v=" franklin park ward 2 (vote for 1)"/>
    <s v="m1"/>
    <n v="0"/>
    <n v="0"/>
    <n v="0"/>
    <n v="0"/>
  </r>
  <r>
    <n v="614.76444444444451"/>
    <n v="614.76444444444451"/>
    <n v="74.081204305789939"/>
    <n v="0.74081204305789938"/>
    <n v="5396.56"/>
    <n v="269828"/>
    <n v="1349.14"/>
    <s v=""/>
    <x v="15"/>
    <n v="3"/>
    <n v="1487.3333333333333"/>
    <n v="998"/>
    <n v="983"/>
    <n v="15"/>
    <s v="PA_Alleg_2019g~Gen-member of council pleasant hills (vote for 3)"/>
    <n v="5.5590969061772682E-5"/>
    <s v=" pleasant hills (vote for 3)"/>
    <s v="m1"/>
    <n v="0"/>
    <n v="0"/>
    <n v="0"/>
    <n v="0"/>
  </r>
  <r>
    <n v="594.27"/>
    <n v="594.27"/>
    <n v="81.872771873974315"/>
    <n v="0.81872771873974315"/>
    <n v="5396.56"/>
    <n v="269828"/>
    <n v="1349.14"/>
    <s v=""/>
    <x v="15"/>
    <n v="2"/>
    <n v="958.5"/>
    <n v="569"/>
    <n v="559"/>
    <n v="10"/>
    <s v="PA_Alleg_2019g~Gen-member of council duquesne (vote for 2)"/>
    <n v="3.7060646041181788E-5"/>
    <s v=" duquesne (vote for 2)"/>
    <s v="m1"/>
    <n v="0"/>
    <n v="0"/>
    <n v="0"/>
    <n v="0"/>
  </r>
  <r>
    <n v="517.69999999999993"/>
    <n v="517.69999999999993"/>
    <n v="78.662366293031454"/>
    <n v="0.7866236629303146"/>
    <n v="5396.56"/>
    <n v="269828"/>
    <n v="1349.14"/>
    <s v=""/>
    <x v="15"/>
    <n v="1"/>
    <n v="1002"/>
    <n v="507"/>
    <n v="495"/>
    <n v="12"/>
    <s v="PA_Alleg_2019g~Gen-member of council mccandless ward 1 (vote for 1)"/>
    <n v="4.4472775249418145E-5"/>
    <s v=" mccandless ward 1 (vote for 1)"/>
    <s v="m1"/>
    <n v="0"/>
    <n v="0"/>
    <n v="0"/>
    <n v="0"/>
  </r>
  <r>
    <n v="515.63333333333333"/>
    <n v="515.63333333333333"/>
    <n v="78.662366293031454"/>
    <n v="0.7866236629303146"/>
    <n v="5396.56"/>
    <n v="269828"/>
    <n v="1349.14"/>
    <s v=""/>
    <x v="15"/>
    <n v="1"/>
    <n v="998"/>
    <n v="505"/>
    <n v="493"/>
    <n v="12"/>
    <s v="PA_Alleg_2019g~Gen-member of council mccandless ward 7 (vote for 1)"/>
    <n v="4.4472775249418145E-5"/>
    <s v=" mccandless ward 7 (vote for 1)"/>
    <s v="m1"/>
    <n v="0"/>
    <n v="0"/>
    <n v="0"/>
    <n v="0"/>
  </r>
  <r>
    <n v="509"/>
    <n v="509"/>
    <n v="94.176421946018834"/>
    <n v="0.9417642194601884"/>
    <n v="5396.56"/>
    <n v="269828"/>
    <n v="1349.14"/>
    <s v=""/>
    <x v="15"/>
    <n v="2"/>
    <n v="509"/>
    <n v="224"/>
    <n v="221"/>
    <n v="3"/>
    <s v="PA_Alleg_2019g~Gen-commissioner at-large crescent (vote for 2)"/>
    <n v="1.1118193812354536E-5"/>
    <s v=" crescent at large"/>
    <s v="m1"/>
    <n v="0"/>
    <n v="0"/>
    <n v="0"/>
    <n v="0"/>
  </r>
  <r>
    <n v="507.24509803921575"/>
    <n v="507.24509803921575"/>
    <n v="36.056017801260197"/>
    <n v="0.36056017801260198"/>
    <n v="5396.56"/>
    <n v="269828"/>
    <n v="1349.14"/>
    <s v=""/>
    <x v="15"/>
    <n v="2"/>
    <n v="4172.5"/>
    <n v="2119"/>
    <n v="2068"/>
    <n v="51"/>
    <s v="PA_Alleg_2019g~Gen-member of council hampton (vote for 2)"/>
    <n v="1.8900929481002713E-4"/>
    <s v=" hampton (vote for 2)"/>
    <s v="m1"/>
    <n v="0"/>
    <n v="0"/>
    <n v="0"/>
    <n v="0"/>
  </r>
  <r>
    <n v="505"/>
    <n v="505"/>
    <n v="96.078929672199138"/>
    <n v="0.96078929672199143"/>
    <n v="5396.56"/>
    <n v="269828"/>
    <n v="1349.14"/>
    <s v=""/>
    <x v="15"/>
    <n v="1"/>
    <n v="505"/>
    <n v="248"/>
    <n v="246"/>
    <n v="2"/>
    <s v="PA_Alleg_2019g~Gen-member of council coraopolis ward 3 (vote for 1)"/>
    <n v="7.4121292082363576E-6"/>
    <s v=" coraopolis ward 3 (vote for 1)"/>
    <s v="m1"/>
    <n v="0"/>
    <n v="0"/>
    <n v="0"/>
    <n v="0"/>
  </r>
  <r>
    <n v="466.03333333333336"/>
    <n v="466.03333333333336"/>
    <n v="78.662366293031454"/>
    <n v="0.7866236629303146"/>
    <n v="5396.56"/>
    <n v="269828"/>
    <n v="1349.14"/>
    <s v=""/>
    <x v="15"/>
    <n v="1"/>
    <n v="902"/>
    <n v="457"/>
    <n v="445"/>
    <n v="12"/>
    <s v="PA_Alleg_2019g~Gen-commissioner ross ward 5 (vote for 1)"/>
    <n v="4.4472775249418145E-5"/>
    <s v=" ross ward 5 (vote for 1)"/>
    <s v="m1"/>
    <n v="0"/>
    <n v="0"/>
    <n v="0"/>
    <n v="0"/>
  </r>
  <r>
    <n v="440.33333333333331"/>
    <n v="440.33333333333331"/>
    <n v="90.483657967960482"/>
    <n v="0.90483657967960485"/>
    <n v="5396.56"/>
    <n v="269828"/>
    <n v="1349.14"/>
    <s v=""/>
    <x v="15"/>
    <n v="3"/>
    <n v="440.33333333333331"/>
    <n v="239"/>
    <n v="234"/>
    <n v="5"/>
    <s v="PA_Alleg_2019g~Gen-member of council mckees rocks ward 3 (vote for 3)"/>
    <n v="1.8530323020590894E-5"/>
    <s v=" mckees rocks ward 3 (vote for 3)"/>
    <s v="m1"/>
    <n v="0"/>
    <n v="0"/>
    <n v="0"/>
    <n v="0"/>
  </r>
  <r>
    <n v="410.26896551724138"/>
    <n v="410.26896551724138"/>
    <n v="55.988091467271609"/>
    <n v="0.55988091467271606"/>
    <n v="5396.56"/>
    <n v="269828"/>
    <n v="1349.14"/>
    <s v=""/>
    <x v="15"/>
    <n v="3"/>
    <n v="1919"/>
    <n v="989"/>
    <n v="960"/>
    <n v="29"/>
    <s v="PA_Alleg_2019g~Gen-member of council white oak (vote for 3)"/>
    <n v="1.0747587351942718E-4"/>
    <s v=" white oak (vote for 3)"/>
    <s v="m1"/>
    <n v="0"/>
    <n v="0"/>
    <n v="0"/>
    <n v="0"/>
  </r>
  <r>
    <n v="401"/>
    <n v="401"/>
    <n v="98.019863698000833"/>
    <n v="0.98019863698000831"/>
    <n v="5396.56"/>
    <n v="269828"/>
    <n v="1349.14"/>
    <s v=""/>
    <x v="15"/>
    <n v="1"/>
    <n v="401"/>
    <n v="201"/>
    <n v="200"/>
    <n v="1"/>
    <s v="PA_Alleg_2019g~Gen-supervisor indiana district 4 (vote for 1)"/>
    <n v="3.7060646041181788E-6"/>
    <s v=" indiana district 4 (vote for 1)"/>
    <s v="m1"/>
    <n v="0"/>
    <n v="0"/>
    <n v="0"/>
    <n v="0"/>
  </r>
  <r>
    <n v="373.66666666666669"/>
    <n v="373.66666666666669"/>
    <n v="92.311579900074491"/>
    <n v="0.92311579900074492"/>
    <n v="5396.56"/>
    <n v="269828"/>
    <n v="1349.14"/>
    <s v=""/>
    <x v="15"/>
    <n v="3"/>
    <n v="373.66666666666669"/>
    <n v="208"/>
    <n v="204"/>
    <n v="4"/>
    <s v="PA_Alleg_2019g~Gen-commissioner leet (vote for 3)"/>
    <n v="1.4824258416472715E-5"/>
    <s v=" leet (vote for 3)"/>
    <s v="m1"/>
    <n v="0"/>
    <n v="0"/>
    <n v="0"/>
    <n v="0"/>
  </r>
  <r>
    <n v="291.66666666666669"/>
    <n v="291.66666666666669"/>
    <n v="94.176421946018834"/>
    <n v="0.9417642194601884"/>
    <n v="5396.56"/>
    <n v="269828"/>
    <n v="1349.14"/>
    <s v=""/>
    <x v="15"/>
    <n v="3"/>
    <n v="291.66666666666669"/>
    <n v="134"/>
    <n v="131"/>
    <n v="3"/>
    <s v="PA_Alleg_2019g~Gen-member of council rosslyn farms (vote for 3)"/>
    <n v="1.1118193812354536E-5"/>
    <s v=" rosslyn farms (vote for 3)"/>
    <s v="m1"/>
    <n v="0"/>
    <n v="0"/>
    <n v="0"/>
    <n v="0"/>
  </r>
  <r>
    <n v="285.5263157894737"/>
    <n v="285.5263157894737"/>
    <n v="46.764139789292649"/>
    <n v="0.46764139789292647"/>
    <n v="5396.56"/>
    <n v="269828"/>
    <n v="1349.14"/>
    <s v=""/>
    <x v="15"/>
    <n v="3"/>
    <n v="1750"/>
    <n v="896"/>
    <n v="858"/>
    <n v="38"/>
    <s v="PA_Alleg_2019g~Gen-member of council fox chapel (vote for 3)"/>
    <n v="1.4083045495649079E-4"/>
    <s v=" fox chapel (vote for 3)"/>
    <s v="m1"/>
    <n v="0"/>
    <n v="0"/>
    <n v="0"/>
    <n v="0"/>
  </r>
  <r>
    <n v="277"/>
    <n v="277"/>
    <n v="98.019863698000833"/>
    <n v="0.98019863698000831"/>
    <n v="5396.56"/>
    <n v="269828"/>
    <n v="1349.14"/>
    <s v=""/>
    <x v="15"/>
    <n v="3"/>
    <n v="277"/>
    <n v="190"/>
    <n v="189"/>
    <n v="1"/>
    <s v="PA_Alleg_2019g~Gen-member of council bell acres (vote for 3)"/>
    <n v="3.7060646041181788E-6"/>
    <s v=" bell acres (vote for 3)"/>
    <s v="m1"/>
    <n v="0"/>
    <n v="0"/>
    <n v="0"/>
    <n v="0"/>
  </r>
  <r>
    <n v="270"/>
    <n v="270"/>
    <n v="96.078929672199138"/>
    <n v="0.96078929672199143"/>
    <n v="5396.56"/>
    <n v="269828"/>
    <n v="1349.14"/>
    <s v=""/>
    <x v="15"/>
    <n v="1"/>
    <n v="270"/>
    <n v="132"/>
    <n v="130"/>
    <n v="2"/>
    <s v="PA_Alleg_2019g~Gen-auditor frazer (vote for 1)"/>
    <n v="7.4121292082363576E-6"/>
    <s v=" frazer"/>
    <s v="m1"/>
    <n v="0"/>
    <n v="0"/>
    <n v="0"/>
    <n v="0"/>
  </r>
  <r>
    <n v="243.46923076923079"/>
    <n v="243.46923076923079"/>
    <n v="27.248911615822951"/>
    <n v="0.27248911615822952"/>
    <n v="5396.56"/>
    <n v="269828"/>
    <n v="1349.14"/>
    <s v=""/>
    <x v="15"/>
    <n v="4"/>
    <n v="2552.5"/>
    <n v="1447"/>
    <n v="1382"/>
    <n v="65"/>
    <s v="PA_Alleg_2019g~Gen-commissioner south fayette (vote for 4)"/>
    <n v="2.4089419926768163E-4"/>
    <s v=" south fayette (vote for 4)"/>
    <s v="m1"/>
    <n v="0"/>
    <n v="0"/>
    <n v="0"/>
    <n v="0"/>
  </r>
  <r>
    <n v="239.08750000000001"/>
    <n v="239.08750000000001"/>
    <n v="85.214176774463951"/>
    <n v="0.85214176774463946"/>
    <n v="5396.56"/>
    <n v="269828"/>
    <n v="1349.14"/>
    <s v=""/>
    <x v="15"/>
    <n v="2"/>
    <n v="308.5"/>
    <n v="207"/>
    <n v="199"/>
    <n v="8"/>
    <s v="PA_Alleg_2019g~Gen-member of council dravosburg (vote for 2)"/>
    <n v="2.964851683294543E-5"/>
    <s v=" dravosburg (vote for 2)"/>
    <s v="m1"/>
    <n v="0"/>
    <n v="0"/>
    <n v="0"/>
    <n v="0"/>
  </r>
  <r>
    <n v="235.72156862745098"/>
    <n v="235.72156862745098"/>
    <n v="50.659528646784565"/>
    <n v="0.50659528646784568"/>
    <n v="5396.56"/>
    <n v="269828"/>
    <n v="1349.14"/>
    <s v=""/>
    <x v="15"/>
    <n v="3"/>
    <n v="1292.6666666666667"/>
    <n v="719"/>
    <n v="685"/>
    <n v="34"/>
    <s v="PA_Alleg_2019g~Gen-member of council crafton (vote for 3)"/>
    <n v="1.2600619654001808E-4"/>
    <s v=" crafton (vote for 3)"/>
    <s v="m1"/>
    <n v="0"/>
    <n v="0"/>
    <n v="0"/>
    <n v="0"/>
  </r>
  <r>
    <n v="205.42666666666668"/>
    <n v="205.42666666666668"/>
    <n v="74.081204305789939"/>
    <n v="0.74081204305789938"/>
    <n v="5396.56"/>
    <n v="269828"/>
    <n v="1349.14"/>
    <s v=""/>
    <x v="15"/>
    <n v="1"/>
    <n v="497"/>
    <n v="232"/>
    <n v="217"/>
    <n v="15"/>
    <s v="PA_Alleg_2019g~Gen-member of council coraopolis ward 1 (vote for 1)"/>
    <n v="5.5590969061772682E-5"/>
    <s v=" coraopolis ward 1 (vote for 1)"/>
    <s v="m1"/>
    <n v="0"/>
    <n v="0"/>
    <n v="0"/>
    <n v="0"/>
  </r>
  <r>
    <n v="183.63646408839779"/>
    <n v="369.90900000000005"/>
    <n v="2.6750163672471592"/>
    <n v="2.6750163672471593E-2"/>
    <n v="5396.56"/>
    <n v="269828"/>
    <n v="1349.14"/>
    <s v=""/>
    <x v="15"/>
    <n v="1"/>
    <n v="5361"/>
    <n v="2770"/>
    <n v="2589"/>
    <n v="181"/>
    <s v="PA_Alleg_2019g~Gen-commissioner at-large upper st clair (vote for 1)"/>
    <n v="6.7079769334539043E-4"/>
    <s v=" upper st clarir at large"/>
    <s v="m1"/>
    <n v="0"/>
    <n v="0"/>
    <n v="0"/>
    <n v="0"/>
  </r>
  <r>
    <n v="167.99824561403511"/>
    <n v="167.99824561403511"/>
    <n v="46.764139789292649"/>
    <n v="0.46764139789292647"/>
    <n v="5396.56"/>
    <n v="269828"/>
    <n v="1349.14"/>
    <s v=""/>
    <x v="15"/>
    <n v="3"/>
    <n v="1029.6666666666667"/>
    <n v="564"/>
    <n v="526"/>
    <n v="38"/>
    <s v="PA_Alleg_2019g~Gen-member of council bridgeville (vote for 3)"/>
    <n v="1.4083045495649079E-4"/>
    <s v=" bridgeville (vote for 3)"/>
    <s v="m1"/>
    <n v="0"/>
    <n v="0"/>
    <n v="0"/>
    <n v="0"/>
  </r>
  <r>
    <n v="164.57952883834281"/>
    <n v="4509.4260000000004"/>
    <n v="3.2898932891790538E-20"/>
    <n v="3.2898932891790541E-22"/>
    <n v="5396.56"/>
    <n v="269828"/>
    <n v="1349.14"/>
    <s v=""/>
    <x v="15"/>
    <n v="1"/>
    <n v="65354"/>
    <n v="33908"/>
    <n v="31446"/>
    <n v="2462"/>
    <s v="PA_Alleg_2019g~Gen-city of pittsburgh hrc amendment (vote for 1)"/>
    <n v="9.1243310553389568E-3"/>
    <s v=" pittsburgh"/>
    <s v="m1"/>
    <n v="0"/>
    <n v="0"/>
    <n v="0"/>
    <n v="0"/>
  </r>
  <r>
    <n v="141.76538461538462"/>
    <n v="141.76538461538462"/>
    <n v="59.450565267862352"/>
    <n v="0.59450565267862354"/>
    <n v="5396.56"/>
    <n v="269828"/>
    <n v="1349.14"/>
    <s v=""/>
    <x v="15"/>
    <n v="4"/>
    <n v="594.5"/>
    <n v="419"/>
    <n v="393"/>
    <n v="26"/>
    <s v="PA_Alleg_2019g~Gen-member of council glassport (vote for 4)"/>
    <n v="9.6357679707072648E-5"/>
    <s v=" glassport (vote for 4)"/>
    <s v="m1"/>
    <n v="0"/>
    <n v="0"/>
    <n v="0"/>
    <n v="0"/>
  </r>
  <r>
    <n v="127.55925925925926"/>
    <n v="127.55925925925926"/>
    <n v="33.955882303540108"/>
    <n v="0.33955882303540108"/>
    <n v="5396.56"/>
    <n v="269828"/>
    <n v="1349.14"/>
    <s v=""/>
    <x v="15"/>
    <n v="1"/>
    <n v="1111"/>
    <n v="582"/>
    <n v="528"/>
    <n v="54"/>
    <s v="PA_Alleg_2019g~Gen-member of council franklin park ward 3 (vote for 1)"/>
    <n v="2.0012748862238165E-4"/>
    <s v=" franklin park ward 3 (vote for 1)"/>
    <s v="m1"/>
    <n v="0"/>
    <n v="0"/>
    <n v="0"/>
    <n v="0"/>
  </r>
  <r>
    <n v="116.14666666666666"/>
    <n v="116.14666666666666"/>
    <n v="74.081204305789939"/>
    <n v="0.74081204305789938"/>
    <n v="5396.56"/>
    <n v="269828"/>
    <n v="1349.14"/>
    <s v=""/>
    <x v="15"/>
    <n v="1"/>
    <n v="281"/>
    <n v="135"/>
    <n v="120"/>
    <n v="15"/>
    <s v="PA_Alleg_2019g~Gen-member of council tarentum ward 3 (vote for 1)"/>
    <n v="5.5590969061772682E-5"/>
    <s v=" tarentum ward 3 (vote for 1)"/>
    <s v="m1"/>
    <n v="0"/>
    <n v="0"/>
    <n v="0"/>
    <n v="0"/>
  </r>
  <r>
    <n v="98.613711583924356"/>
    <n v="154.744"/>
    <n v="5.9562025770219735"/>
    <n v="5.9562025770219733E-2"/>
    <n v="5396.56"/>
    <n v="269828"/>
    <n v="1349.14"/>
    <s v=""/>
    <x v="15"/>
    <n v="3"/>
    <n v="2242.6666666666665"/>
    <n v="1188"/>
    <n v="1047"/>
    <n v="141"/>
    <s v="PA_Alleg_2019g~Gen-supervisor pine (vote for 3)"/>
    <n v="5.2255510918066328E-4"/>
    <s v=" pine (vote for 3)"/>
    <s v="m1"/>
    <n v="0"/>
    <n v="0"/>
    <n v="0"/>
    <n v="0"/>
  </r>
  <r>
    <n v="95.728000000000009"/>
    <n v="95.728000000000009"/>
    <n v="22.308364129519891"/>
    <n v="0.22308364129519892"/>
    <n v="5396.56"/>
    <n v="269828"/>
    <n v="1349.14"/>
    <s v=""/>
    <x v="15"/>
    <n v="1"/>
    <n v="1158"/>
    <n v="614"/>
    <n v="539"/>
    <n v="75"/>
    <s v="PA_Alleg_2019g~Gen-member of council mccandless ward 3 (vote for 1)"/>
    <n v="2.7795484530886345E-4"/>
    <s v=" mccandless ward 3 (vote for 1)"/>
    <s v="m1"/>
    <n v="0"/>
    <n v="0"/>
    <n v="0"/>
    <n v="0"/>
  </r>
  <r>
    <n v="91.283076923076919"/>
    <n v="91.283076923076919"/>
    <n v="27.248911615822951"/>
    <n v="0.27248911615822952"/>
    <n v="5396.56"/>
    <n v="269828"/>
    <n v="1349.14"/>
    <s v=""/>
    <x v="15"/>
    <n v="1"/>
    <n v="957"/>
    <n v="511"/>
    <n v="446"/>
    <n v="65"/>
    <s v="PA_Alleg_2019g~Gen-commissioner ross ward 9 (vote for 1)"/>
    <n v="2.4089419926768163E-4"/>
    <s v=" ross ward 9 (vote for 1)"/>
    <s v="m1"/>
    <n v="0"/>
    <n v="0"/>
    <n v="0"/>
    <n v="0"/>
  </r>
  <r>
    <n v="85.161428571428587"/>
    <n v="132.68700000000001"/>
    <n v="6.0765891650381949"/>
    <n v="6.0765891650381945E-2"/>
    <n v="5396.56"/>
    <n v="269828"/>
    <n v="1349.14"/>
    <s v=""/>
    <x v="15"/>
    <n v="1"/>
    <n v="1923"/>
    <n v="1031"/>
    <n v="891"/>
    <n v="140"/>
    <s v="PA_Alleg_2019g~Gen-member of council oakmont (vote for 1)"/>
    <n v="5.1884904457654508E-4"/>
    <s v=" oakmont (vote for 1)"/>
    <s v="m1"/>
    <n v="0"/>
    <n v="0"/>
    <n v="0"/>
    <n v="0"/>
  </r>
  <r>
    <n v="84.674285714285716"/>
    <n v="84.674285714285716"/>
    <n v="24.655217895279709"/>
    <n v="0.2465521789527971"/>
    <n v="5396.56"/>
    <n v="269828"/>
    <n v="1349.14"/>
    <s v=""/>
    <x v="15"/>
    <n v="1"/>
    <n v="956"/>
    <n v="512"/>
    <n v="442"/>
    <n v="70"/>
    <s v="PA_Alleg_2019g~Gen-commissioner shaler ward 1 (vote for 1)"/>
    <n v="2.5942452228827254E-4"/>
    <s v=" shaler ward 1 (vote for 1)"/>
    <s v="m1"/>
    <n v="0"/>
    <n v="0"/>
    <n v="0"/>
    <n v="0"/>
  </r>
  <r>
    <n v="68.820000000000007"/>
    <n v="68.820000000000007"/>
    <n v="44.930231839924737"/>
    <n v="0.44930231839924734"/>
    <n v="5396.56"/>
    <n v="269828"/>
    <n v="1349.14"/>
    <s v=""/>
    <x v="15"/>
    <n v="1"/>
    <n v="444"/>
    <n v="242"/>
    <n v="202"/>
    <n v="40"/>
    <s v="PA_Alleg_2019g~Gen-commissioner scott ward 3 (vote for 1)"/>
    <n v="1.4824258416472715E-4"/>
    <s v=" scott ward 3 (vote for 1)"/>
    <s v="m1"/>
    <n v="0"/>
    <n v="0"/>
    <n v="0"/>
    <n v="0"/>
  </r>
  <r>
    <n v="61.738947368421051"/>
    <n v="65.274000000000001"/>
    <n v="14.951858928206033"/>
    <n v="0.14951858928206033"/>
    <n v="5396.56"/>
    <n v="269828"/>
    <n v="1349.14"/>
    <s v=""/>
    <x v="15"/>
    <n v="1"/>
    <n v="946"/>
    <n v="520"/>
    <n v="425"/>
    <n v="95"/>
    <s v="PA_Alleg_2019g~Gen-commissioner ross ward 3 (vote for 1)"/>
    <n v="3.5207613739122703E-4"/>
    <s v=" ross ward 3 (vote for 1)"/>
    <s v="m1"/>
    <n v="0"/>
    <n v="0"/>
    <n v="0"/>
    <n v="0"/>
  </r>
  <r>
    <n v="59.044859813084116"/>
    <n v="210.93300000000002"/>
    <n v="0.16224437196914676"/>
    <n v="1.6224437196914676E-3"/>
    <n v="5396.56"/>
    <n v="269828"/>
    <n v="1349.14"/>
    <s v=""/>
    <x v="15"/>
    <n v="1"/>
    <n v="3057"/>
    <n v="1687"/>
    <n v="1366"/>
    <n v="321"/>
    <s v="PA_Alleg_2019g~Gen-supervisor south park (vote for 1)"/>
    <n v="1.1896467379219355E-3"/>
    <s v=" south park (vote for 1)"/>
    <s v="m1"/>
    <n v="0"/>
    <n v="0"/>
    <n v="0"/>
    <n v="0"/>
  </r>
  <r>
    <n v="56.984269662921349"/>
    <n v="56.984269662921349"/>
    <n v="16.858863867662688"/>
    <n v="0.16858863867662688"/>
    <n v="5396.56"/>
    <n v="269828"/>
    <n v="1349.14"/>
    <s v=""/>
    <x v="15"/>
    <n v="1"/>
    <n v="818"/>
    <n v="333"/>
    <n v="244"/>
    <n v="89"/>
    <s v="PA_Alleg_2019g~Gen-supervisor fawn (vote for 1)"/>
    <n v="3.2983974976651793E-4"/>
    <s v=" fawn (vote for 1)"/>
    <s v="m1"/>
    <n v="0"/>
    <n v="0"/>
    <n v="0"/>
    <n v="0"/>
  </r>
  <r>
    <n v="54.49111111111111"/>
    <n v="272.89500000000004"/>
    <n v="1.2248608390173178E-2"/>
    <n v="1.2248608390173177E-4"/>
    <n v="5396.56"/>
    <n v="269828"/>
    <n v="1349.14"/>
    <s v=""/>
    <x v="15"/>
    <n v="2"/>
    <n v="3955"/>
    <n v="2731"/>
    <n v="2281"/>
    <n v="450"/>
    <s v="PA_Alleg_2019g~Gen-supervisor moon (vote for 2)"/>
    <n v="1.6677290718531805E-3"/>
    <s v=" moon (vote for 2)"/>
    <s v="m1"/>
    <n v="0"/>
    <n v="0"/>
    <n v="0"/>
    <n v="0"/>
  </r>
  <r>
    <n v="51.778378378378385"/>
    <n v="51.778378378378385"/>
    <n v="47.708970705872908"/>
    <n v="0.47708970705872905"/>
    <n v="5396.56"/>
    <n v="269828"/>
    <n v="1349.14"/>
    <s v=""/>
    <x v="15"/>
    <n v="1"/>
    <n v="309"/>
    <n v="173"/>
    <n v="136"/>
    <n v="37"/>
    <s v="PA_Alleg_2019g~Gen-supervisor indiana district 1 (vote for 1)"/>
    <n v="1.3712439035237263E-4"/>
    <s v=" indiana district 1 (vote for 1)"/>
    <s v="m1"/>
    <n v="0"/>
    <n v="0"/>
    <n v="0"/>
    <n v="0"/>
  </r>
  <r>
    <n v="49.109352517985613"/>
    <n v="75.969000000000008"/>
    <n v="6.1994085431787669"/>
    <n v="6.1994085431787672E-2"/>
    <n v="5396.56"/>
    <n v="269828"/>
    <n v="1349.14"/>
    <s v=""/>
    <x v="15"/>
    <n v="1"/>
    <n v="1101"/>
    <n v="620"/>
    <n v="481"/>
    <n v="139"/>
    <s v="PA_Alleg_2019g~Gen-member of council mccandless ward 5 (vote for 1)"/>
    <n v="5.1514297997242689E-4"/>
    <s v=" mccandless ward 5 (vote for 1)"/>
    <s v="m1"/>
    <n v="0"/>
    <n v="0"/>
    <n v="0"/>
    <n v="0"/>
  </r>
  <r>
    <n v="49.071143375680577"/>
    <n v="300.90900000000005"/>
    <n v="1.6187568444952884E-3"/>
    <n v="1.6187568444952885E-5"/>
    <n v="5396.56"/>
    <n v="269828"/>
    <n v="1349.14"/>
    <s v=""/>
    <x v="15"/>
    <n v="1"/>
    <n v="4361"/>
    <n v="1814"/>
    <n v="1263"/>
    <n v="551"/>
    <s v="PA_Alleg_2019g~Gen-auditor bellevue (vote for 1)"/>
    <n v="2.0420415968691167E-3"/>
    <s v=" bellevue"/>
    <s v="m1"/>
    <n v="0"/>
    <n v="0"/>
    <n v="0"/>
    <n v="0"/>
  </r>
  <r>
    <n v="47.621276595744682"/>
    <n v="47.621276595744682"/>
    <n v="39.059585343763395"/>
    <n v="0.39059585343763392"/>
    <n v="5396.56"/>
    <n v="269828"/>
    <n v="1349.14"/>
    <s v=""/>
    <x v="15"/>
    <n v="3"/>
    <n v="361"/>
    <n v="265"/>
    <n v="218"/>
    <n v="47"/>
    <s v="PA_Alleg_2019g~Gen-commissioner springdale township (vote for 3)"/>
    <n v="1.7418503639355442E-4"/>
    <s v=" springdale township (vote for 3)"/>
    <s v="m1"/>
    <n v="0"/>
    <n v="0"/>
    <n v="0"/>
    <n v="0"/>
  </r>
  <r>
    <n v="45.384"/>
    <n v="45.384"/>
    <n v="36.784535391509529"/>
    <n v="0.36784535391509526"/>
    <n v="5396.56"/>
    <n v="269828"/>
    <n v="1349.14"/>
    <s v=""/>
    <x v="15"/>
    <n v="1"/>
    <n v="366"/>
    <n v="207"/>
    <n v="157"/>
    <n v="50"/>
    <s v="PA_Alleg_2019g~Gen-member of council sewickley ward 1 (vote for 1)"/>
    <n v="1.8530323020590894E-4"/>
    <s v=" sewickley ward 1 (vote for 1)"/>
    <s v="m1"/>
    <n v="0"/>
    <n v="0"/>
    <n v="0"/>
    <n v="0"/>
  </r>
  <r>
    <n v="36.636363636363633"/>
    <n v="85.215000000000003"/>
    <n v="1.5273748897708057"/>
    <n v="1.5273748897708057E-2"/>
    <n v="5396.56"/>
    <n v="269828"/>
    <n v="1349.14"/>
    <s v=""/>
    <x v="15"/>
    <n v="1"/>
    <n v="1235"/>
    <n v="721"/>
    <n v="512"/>
    <n v="209"/>
    <s v="PA_Alleg_2019g~Gen-member of council franklin park ward 1 (vote for 1)"/>
    <n v="7.7456750226069938E-4"/>
    <s v=" franklin park ward 1 (vote for 1)"/>
    <s v="m1"/>
    <n v="0"/>
    <n v="0"/>
    <n v="0"/>
    <n v="0"/>
  </r>
  <r>
    <n v="35.367295597484279"/>
    <n v="62.583000000000006"/>
    <n v="4.1546695213657614"/>
    <n v="4.1546695213657614E-2"/>
    <n v="5396.56"/>
    <n v="269828"/>
    <n v="1349.14"/>
    <s v=""/>
    <x v="15"/>
    <n v="1"/>
    <n v="907"/>
    <n v="533"/>
    <n v="374"/>
    <n v="159"/>
    <s v="PA_Alleg_2019g~Gen-commissioner ross ward 7 (vote for 1)"/>
    <n v="5.8926427205479041E-4"/>
    <s v=" ross ward 7 (vote for 1)"/>
    <s v="m1"/>
    <n v="0"/>
    <n v="0"/>
    <n v="0"/>
    <n v="0"/>
  </r>
  <r>
    <n v="35.283636363636361"/>
    <n v="35.283636363636361"/>
    <n v="33.283376305586764"/>
    <n v="0.33283376305586765"/>
    <n v="5396.56"/>
    <n v="269828"/>
    <n v="1349.14"/>
    <s v=""/>
    <x v="15"/>
    <n v="1"/>
    <n v="313"/>
    <n v="183"/>
    <n v="128"/>
    <n v="55"/>
    <s v="PA_Alleg_2019g~Gen-commissioner at-large neville (vote for 1)"/>
    <n v="2.0383355322649985E-4"/>
    <s v=" neville at large"/>
    <s v="m1"/>
    <n v="0"/>
    <n v="0"/>
    <n v="0"/>
    <n v="0"/>
  </r>
  <r>
    <n v="35.209594095940965"/>
    <n v="106.191"/>
    <n v="0.44151053001139762"/>
    <n v="4.4151053001139761E-3"/>
    <n v="5396.56"/>
    <n v="269828"/>
    <n v="1349.14"/>
    <s v=""/>
    <x v="15"/>
    <n v="2"/>
    <n v="1539"/>
    <n v="977"/>
    <n v="706"/>
    <n v="271"/>
    <s v="PA_Alleg_2019g~Gen-commissioner collier (vote for 2)"/>
    <n v="1.0043435077160265E-3"/>
    <s v=" collier (vote for 2)"/>
    <s v="m1"/>
    <n v="0"/>
    <n v="0"/>
    <n v="0"/>
    <n v="0"/>
  </r>
  <r>
    <n v="34.289795918367346"/>
    <n v="34.289795918367346"/>
    <n v="37.527770013223048"/>
    <n v="0.3752777001322305"/>
    <n v="5396.56"/>
    <n v="269828"/>
    <n v="1349.14"/>
    <s v=""/>
    <x v="15"/>
    <n v="1"/>
    <n v="271"/>
    <n v="160"/>
    <n v="111"/>
    <n v="49"/>
    <s v="PA_Alleg_2019g~Gen-member of council tarentum ward 1 (vote for 1)"/>
    <n v="1.8159716560179077E-4"/>
    <s v=" tarentum ward 1 (vote for 1)"/>
    <s v="m1"/>
    <n v="0"/>
    <n v="0"/>
    <n v="0"/>
    <n v="0"/>
  </r>
  <r>
    <n v="34.158052434456927"/>
    <n v="34.158052434456927"/>
    <n v="16.858863867662688"/>
    <n v="0.16858863867662688"/>
    <n v="5396.56"/>
    <n v="269828"/>
    <n v="1349.14"/>
    <s v=""/>
    <x v="15"/>
    <n v="3"/>
    <n v="490.33333333333331"/>
    <n v="377"/>
    <n v="288"/>
    <n v="89"/>
    <s v="PA_Alleg_2019g~Gen-member of council springdale borough (vote for 3)"/>
    <n v="3.2983974976651793E-4"/>
    <s v=" springdale borough (vote for 3)"/>
    <s v="m1"/>
    <n v="0"/>
    <n v="0"/>
    <n v="0"/>
    <n v="0"/>
  </r>
  <r>
    <n v="33.75"/>
    <n v="33.75"/>
    <n v="98.019863698000833"/>
    <n v="0.98019863698000831"/>
    <n v="5396.56"/>
    <n v="269828"/>
    <n v="1349.14"/>
    <s v=""/>
    <x v="15"/>
    <n v="4"/>
    <n v="33.75"/>
    <n v="25"/>
    <n v="24"/>
    <n v="1"/>
    <s v="PA_Alleg_2019g~Gen-member of council mcdonald (vote for 4)"/>
    <n v="3.7060646041181788E-6"/>
    <s v=" mcdonald (vote for 4)"/>
    <s v="m1"/>
    <n v="0"/>
    <n v="0"/>
    <n v="0"/>
    <n v="0"/>
  </r>
  <r>
    <n v="32.324562462281229"/>
    <n v="596.09100000000001"/>
    <n v="3.6568508639846358E-13"/>
    <n v="3.6568508639846359E-15"/>
    <n v="5396.56"/>
    <n v="269828"/>
    <n v="1349.14"/>
    <s v=""/>
    <x v="15"/>
    <n v="1"/>
    <n v="8639"/>
    <n v="5148"/>
    <n v="3491"/>
    <n v="1657"/>
    <s v="PA_Alleg_2019g~Gen-bethel park home rule charter amend #1 (vote for 1)"/>
    <n v="6.1409490490238229E-3"/>
    <s v=" bethel park (vote for 5)"/>
    <s v="m1"/>
    <n v="0"/>
    <n v="0"/>
    <n v="0"/>
    <n v="0"/>
  </r>
  <r>
    <n v="31.261645299145304"/>
    <n v="217.09700000000004"/>
    <n v="3.7473830585586782E-4"/>
    <n v="3.747383058558678E-6"/>
    <n v="5396.56"/>
    <n v="269828"/>
    <n v="1349.14"/>
    <s v=""/>
    <x v="15"/>
    <n v="3"/>
    <n v="3146.3333333333335"/>
    <n v="2351"/>
    <n v="1727"/>
    <n v="624"/>
    <s v="PA_Alleg_2019g~Gen-member of council west mifflin (vote for 3)"/>
    <n v="2.3125843129697438E-3"/>
    <s v=" west mifflin (vote for 3)"/>
    <s v="m1"/>
    <n v="0"/>
    <n v="0"/>
    <n v="0"/>
    <n v="0"/>
  </r>
  <r>
    <n v="25.45528455284553"/>
    <n v="34.845000000000006"/>
    <n v="8.5387047273222514"/>
    <n v="8.5387047273222522E-2"/>
    <n v="5396.56"/>
    <n v="269828"/>
    <n v="1349.14"/>
    <s v=""/>
    <x v="15"/>
    <n v="1"/>
    <n v="505"/>
    <n v="313"/>
    <n v="190"/>
    <n v="123"/>
    <s v="PA_Alleg_2019g~Gen-commissioner elizabeth township ward 1 (vote for 1)"/>
    <n v="4.5584594630653603E-4"/>
    <s v=" elizabeth township ward 1 (vote for 1)"/>
    <s v="m1"/>
    <n v="0"/>
    <n v="0"/>
    <n v="0"/>
    <n v="0"/>
  </r>
  <r>
    <n v="25.182716049382716"/>
    <n v="25.182716049382716"/>
    <n v="19.785057526536562"/>
    <n v="0.19785057526536562"/>
    <n v="5396.56"/>
    <n v="269828"/>
    <n v="1349.14"/>
    <s v=""/>
    <x v="15"/>
    <n v="1"/>
    <n v="329"/>
    <n v="205"/>
    <n v="124"/>
    <n v="81"/>
    <s v="PA_Alleg_2019g~Gen-member of council sewickley ward 3 (vote for 1)"/>
    <n v="3.001912329335725E-4"/>
    <s v=" sewickley ward 3 (vote for 1)"/>
    <s v="m1"/>
    <n v="0"/>
    <n v="0"/>
    <n v="0"/>
    <n v="0"/>
  </r>
  <r>
    <n v="24.097165991902838"/>
    <n v="66.240000000000009"/>
    <n v="0.71384300073702978"/>
    <n v="7.1384300073702982E-3"/>
    <n v="5396.56"/>
    <n v="269828"/>
    <n v="1349.14"/>
    <s v=""/>
    <x v="15"/>
    <n v="1"/>
    <n v="960"/>
    <n v="603"/>
    <n v="356"/>
    <n v="247"/>
    <s v="PA_Alleg_2019g~Gen-commissioner ross ward 1 (vote for 1)"/>
    <n v="9.1539795721719025E-4"/>
    <s v=" ross ward 1 (vote for 1)"/>
    <s v="m1"/>
    <n v="0"/>
    <n v="0"/>
    <n v="0"/>
    <n v="0"/>
  </r>
  <r>
    <n v="21.616216216216216"/>
    <n v="21.616216216216216"/>
    <n v="47.708970705872908"/>
    <n v="0.47708970705872905"/>
    <n v="5396.56"/>
    <n v="269828"/>
    <n v="1349.14"/>
    <s v=""/>
    <x v="15"/>
    <n v="3"/>
    <n v="129"/>
    <n v="86"/>
    <n v="49"/>
    <n v="37"/>
    <s v="PA_Alleg_2019g~Gen-member of council glen osborne (vote for 3)"/>
    <n v="1.3712439035237263E-4"/>
    <s v=" glen osborne (vote for 3)"/>
    <s v="m1"/>
    <n v="0"/>
    <n v="0"/>
    <n v="0"/>
    <n v="0"/>
  </r>
  <r>
    <n v="21.392995169082123"/>
    <n v="197.13300000000001"/>
    <n v="6.2665155050231256E-6"/>
    <n v="6.2665155050231256E-8"/>
    <n v="5396.56"/>
    <n v="269828"/>
    <n v="1349.14"/>
    <s v=""/>
    <x v="15"/>
    <n v="3"/>
    <n v="2857"/>
    <n v="1959"/>
    <n v="1131"/>
    <n v="828"/>
    <s v="PA_Alleg_2019g~Gen-member of council whitehall (vote for 3)"/>
    <n v="3.0686214922098524E-3"/>
    <s v=" whitehall (vote for 3)"/>
    <s v="m1"/>
    <n v="0"/>
    <n v="0"/>
    <n v="0"/>
    <n v="0"/>
  </r>
  <r>
    <n v="20.816666666666666"/>
    <n v="86.181000000000012"/>
    <n v="5.8427819980278003E-2"/>
    <n v="5.8427819980278004E-4"/>
    <n v="5396.56"/>
    <n v="269828"/>
    <n v="1349.14"/>
    <s v=""/>
    <x v="15"/>
    <n v="3"/>
    <n v="1249"/>
    <n v="952"/>
    <n v="580"/>
    <n v="372"/>
    <s v="PA_Alleg_2019g~Gen-member of council castle shannon (vote for 3)"/>
    <n v="1.3786560327319626E-3"/>
    <s v=" castle shannon (vote for 3)"/>
    <s v="m1"/>
    <n v="0"/>
    <n v="0"/>
    <n v="0"/>
    <n v="0"/>
  </r>
  <r>
    <n v="19.882272727272728"/>
    <n v="97.359000000000009"/>
    <n v="1.4965427602150666E-2"/>
    <n v="1.4965427602150666E-4"/>
    <n v="5396.56"/>
    <n v="269828"/>
    <n v="1349.14"/>
    <s v=""/>
    <x v="15"/>
    <n v="1"/>
    <n v="1411"/>
    <n v="922"/>
    <n v="482"/>
    <n v="440"/>
    <s v="PA_Alleg_2019g~Gen-member of council wilkinsburg ward 3 (vote for 1)"/>
    <n v="1.6306684258119988E-3"/>
    <s v=" wilkinsburg ward 3 (vote for 1)"/>
    <s v="m1"/>
    <n v="0"/>
    <n v="0"/>
    <n v="0"/>
    <n v="0"/>
  </r>
  <r>
    <n v="19.347211155378485"/>
    <n v="216.17700000000002"/>
    <n v="1.8327456251770559E-7"/>
    <n v="1.8327456251770559E-9"/>
    <n v="5396.56"/>
    <n v="269828"/>
    <n v="1349.14"/>
    <s v=""/>
    <x v="15"/>
    <n v="1"/>
    <n v="3133"/>
    <n v="2062"/>
    <n v="1058"/>
    <n v="1004"/>
    <s v="PA_Alleg_2019g~Gen-mayor mckeesport (vote for 1)"/>
    <n v="3.7208888625346517E-3"/>
    <s v=" mckeesport"/>
    <s v="m1"/>
    <n v="0"/>
    <n v="0"/>
    <n v="0"/>
    <n v="0"/>
  </r>
  <r>
    <n v="18.09004329004329"/>
    <n v="124.01600000000001"/>
    <n v="4.3992155178831655E-4"/>
    <n v="4.3992155178831653E-6"/>
    <n v="5396.56"/>
    <n v="269828"/>
    <n v="1349.14"/>
    <s v=""/>
    <x v="15"/>
    <n v="3"/>
    <n v="1797.3333333333333"/>
    <n v="1383"/>
    <n v="767"/>
    <n v="616"/>
    <s v="PA_Alleg_2019g~Gen-member of council swissvale (vote for 3)"/>
    <n v="2.2829357961367982E-3"/>
    <s v=" swissvale (vote for 3)"/>
    <s v="m1"/>
    <n v="0"/>
    <n v="0"/>
    <n v="0"/>
    <n v="0"/>
  </r>
  <r>
    <n v="17.966012305889247"/>
    <n v="682.41000000000008"/>
    <n v="1.4654671360088863E-28"/>
    <n v="1.4654671360088863E-30"/>
    <n v="5396.56"/>
    <n v="269828"/>
    <n v="1349.14"/>
    <s v=""/>
    <x v="15"/>
    <n v="1"/>
    <n v="9890"/>
    <n v="6642"/>
    <n v="3229"/>
    <n v="3413"/>
    <s v="PA_Alleg_2019g~Gen-mayor penn hills (vote for 1)"/>
    <n v="1.2648798493855345E-2"/>
    <s v=" penn hills (vote for 5)"/>
    <s v="m1"/>
    <n v="4"/>
    <n v="4.0915279739510813E-2"/>
    <n v="0.18708338475470032"/>
    <n v="0.59115971469850592"/>
  </r>
  <r>
    <n v="17.158918918918918"/>
    <n v="35.328000000000003"/>
    <n v="2.4692172690993726"/>
    <n v="2.4692172690993726E-2"/>
    <n v="5396.56"/>
    <n v="269828"/>
    <n v="1349.14"/>
    <s v=""/>
    <x v="15"/>
    <n v="3"/>
    <n v="512"/>
    <n v="415"/>
    <n v="230"/>
    <n v="185"/>
    <s v="PA_Alleg_2019g~Gen-member of council ingram (vote for 3)"/>
    <n v="6.8562195176186309E-4"/>
    <s v=" ingram (vote for 3)"/>
    <s v="m1"/>
    <n v="0"/>
    <n v="0"/>
    <n v="0"/>
    <n v="0"/>
  </r>
  <r>
    <n v="16.533333333333335"/>
    <n v="28.704000000000001"/>
    <n v="4.4117345332735463"/>
    <n v="4.4117345332735466E-2"/>
    <n v="5396.56"/>
    <n v="269828"/>
    <n v="1349.14"/>
    <s v=""/>
    <x v="15"/>
    <n v="1"/>
    <n v="416"/>
    <n v="284"/>
    <n v="128"/>
    <n v="156"/>
    <s v="PA_Alleg_2019g~Gen-commissioner elizabeth township ward 7 (vote for 1)"/>
    <n v="5.7814607824243594E-4"/>
    <s v=" elizabeth township ward 7 (vote for 1)"/>
    <s v="m1"/>
    <n v="0"/>
    <n v="0"/>
    <n v="0"/>
    <n v="0"/>
  </r>
  <r>
    <n v="16.395555555555557"/>
    <n v="24.633000000000003"/>
    <n v="6.7160120292199661"/>
    <n v="6.7160120292199657E-2"/>
    <n v="5396.56"/>
    <n v="269828"/>
    <n v="1349.14"/>
    <s v=""/>
    <x v="15"/>
    <n v="1"/>
    <n v="357"/>
    <n v="246"/>
    <n v="111"/>
    <n v="135"/>
    <s v="PA_Alleg_2019g~Gen-braddock home rule charter (vote for 1)"/>
    <n v="5.0031872155595412E-4"/>
    <s v=" braddock"/>
    <s v="m1"/>
    <n v="0"/>
    <n v="0"/>
    <n v="0"/>
    <n v="0"/>
  </r>
  <r>
    <n v="15.5"/>
    <n v="21.39"/>
    <n v="8.3695503953535209"/>
    <n v="8.3695503953535214E-2"/>
    <n v="5396.56"/>
    <n v="269828"/>
    <n v="1349.14"/>
    <s v=""/>
    <x v="15"/>
    <n v="1"/>
    <n v="310"/>
    <n v="216"/>
    <n v="92"/>
    <n v="124"/>
    <s v="PA_Alleg_2019g~Gen-commissioner scott ward 1 (vote for 1)"/>
    <n v="4.5955201091065417E-4"/>
    <s v=" scott ward 1 (vote for 1)"/>
    <s v="m1"/>
    <n v="0"/>
    <n v="0"/>
    <n v="0"/>
    <n v="0"/>
  </r>
  <r>
    <n v="14.016401468788251"/>
    <n v="127.44300000000001"/>
    <n v="7.8138134473739801E-6"/>
    <n v="7.8138134473739801E-8"/>
    <n v="5396.56"/>
    <n v="269828"/>
    <n v="1349.14"/>
    <s v=""/>
    <x v="15"/>
    <n v="1"/>
    <n v="1847"/>
    <n v="1332"/>
    <n v="515"/>
    <n v="817"/>
    <s v="PA_Alleg_2019g~Gen-commissioner mt lebanon ward 5 (vote for 1)"/>
    <n v="3.0278547815645522E-3"/>
    <s v=" mt lebanon ward 5 (vote for 1)"/>
    <s v="m1"/>
    <n v="0"/>
    <n v="0"/>
    <n v="0"/>
    <n v="0"/>
  </r>
  <r>
    <n v="13.92280701754386"/>
    <n v="26.496000000000002"/>
    <n v="3.2676989022211167"/>
    <n v="3.2676989022211167E-2"/>
    <n v="5396.56"/>
    <n v="269828"/>
    <n v="1349.14"/>
    <s v=""/>
    <x v="15"/>
    <n v="3"/>
    <n v="384"/>
    <n v="321"/>
    <n v="150"/>
    <n v="171"/>
    <s v="PA_Alleg_2019g~Gen-member of council pitcairn (vote for 3)"/>
    <n v="6.3373704730420861E-4"/>
    <s v=" pitcairn (vote for 3)"/>
    <s v="m1"/>
    <n v="0"/>
    <n v="0"/>
    <n v="0"/>
    <n v="0"/>
  </r>
  <r>
    <n v="12.061494252873564"/>
    <n v="23.3565"/>
    <n v="3.0772848169863645"/>
    <n v="3.0772848169863642E-2"/>
    <n v="5396.56"/>
    <n v="269828"/>
    <n v="1349.14"/>
    <s v=""/>
    <x v="15"/>
    <n v="2"/>
    <n v="338.5"/>
    <n v="275"/>
    <n v="101"/>
    <n v="174"/>
    <s v="PA_Alleg_2019g~Gen-member of council sewickley ward 2 (vote for 2)"/>
    <n v="6.4485524111656319E-4"/>
    <s v=" sewickley ward 2 (vote for 2)"/>
    <s v="m1"/>
    <n v="0"/>
    <n v="0"/>
    <n v="0"/>
    <n v="0"/>
  </r>
  <r>
    <n v="12"/>
    <n v="12"/>
    <n v="100"/>
    <n v="1"/>
    <n v="5396.56"/>
    <n v="269828"/>
    <n v="1349.14"/>
    <s v=""/>
    <x v="15"/>
    <n v="3"/>
    <n v="12"/>
    <n v="5"/>
    <n v="5"/>
    <n v="0"/>
    <s v="PA_Alleg_2019g~Gen-member of council trafford (vote for 3)"/>
    <n v="0"/>
    <s v=" trafford (vote for 3)"/>
    <s v="m1"/>
    <n v="0"/>
    <n v="0"/>
    <n v="0"/>
    <n v="0"/>
  </r>
  <r>
    <n v="10.247371461582901"/>
    <n v="65.802999999999997"/>
    <n v="9.613365559972873E-4"/>
    <n v="9.6133655599728727E-6"/>
    <n v="5396.56"/>
    <n v="269828"/>
    <n v="1349.14"/>
    <s v=""/>
    <x v="15"/>
    <n v="3"/>
    <n v="953.66666666666663"/>
    <n v="838"/>
    <n v="261"/>
    <n v="577"/>
    <s v="PA_Alleg_2019g~Gen-member of council edgewood (vote for 3)"/>
    <n v="2.1383992765761891E-3"/>
    <s v=" edgewood (vote for 3)"/>
    <s v="m1"/>
    <n v="0"/>
    <n v="0"/>
    <n v="0"/>
    <n v="0"/>
  </r>
  <r>
    <n v="105.58787878787879"/>
    <n v="105.58787878787879"/>
    <n v="26.709217311298612"/>
    <n v="0.26709217311298611"/>
    <n v="5396.56"/>
    <n v="269828"/>
    <n v="1349.14"/>
    <s v=""/>
    <x v="15"/>
    <n v="1"/>
    <n v="1124"/>
    <n v="595"/>
    <n v="529"/>
    <n v="66"/>
    <s v="PA_Alleg_2019g~Gen-commissioner upper st clair ward 3 (vote for 1)"/>
    <n v="2.4460026387179983E-4"/>
    <s v=" upper st clair ward 3 (vote for 1)"/>
    <s v="m2"/>
    <n v="0"/>
    <n v="0"/>
    <n v="0"/>
    <n v="0"/>
  </r>
  <r>
    <n v="77.52080536912753"/>
    <n v="128.547"/>
    <n v="5.075104417351989"/>
    <n v="5.0751044173519888E-2"/>
    <n v="5396.56"/>
    <n v="269828"/>
    <n v="1349.14"/>
    <s v=""/>
    <x v="15"/>
    <n v="1"/>
    <n v="1863"/>
    <n v="1005"/>
    <n v="856"/>
    <n v="149"/>
    <s v="PA_Alleg_2019g~Gen-member of council white oak (vote for 1)"/>
    <n v="5.5220362601360871E-4"/>
    <s v=" white oak (vote for 1)"/>
    <s v="m2"/>
    <n v="0"/>
    <n v="0"/>
    <n v="0"/>
    <n v="0"/>
  </r>
  <r>
    <n v="76.855844155844167"/>
    <n v="131.721"/>
    <n v="4.591886405072338"/>
    <n v="4.5918864050723381E-2"/>
    <n v="5396.56"/>
    <n v="269828"/>
    <n v="1349.14"/>
    <s v=""/>
    <x v="15"/>
    <n v="3"/>
    <n v="1909"/>
    <n v="1036"/>
    <n v="882"/>
    <n v="154"/>
    <s v="PA_Alleg_2019g~Gen-member of council oakmont (vote for 3)"/>
    <n v="5.7073394903419956E-4"/>
    <s v=" oakmont (vote for 3)"/>
    <s v="m2"/>
    <n v="0"/>
    <n v="0"/>
    <n v="0"/>
    <n v="0"/>
  </r>
  <r>
    <n v="75.36"/>
    <n v="129.99600000000001"/>
    <n v="4.5009093891599861"/>
    <n v="4.5009093891599856E-2"/>
    <n v="5396.56"/>
    <n v="269828"/>
    <n v="1349.14"/>
    <s v=""/>
    <x v="15"/>
    <n v="1"/>
    <n v="1884"/>
    <n v="1019"/>
    <n v="864"/>
    <n v="155"/>
    <s v="PA_Alleg_2019g~Gen-member of council pleasant hills (vote for 1)"/>
    <n v="5.7444001363831775E-4"/>
    <s v=" pleasant hills (vote for 1)"/>
    <s v="m2"/>
    <n v="0"/>
    <n v="0"/>
    <n v="0"/>
    <n v="0"/>
  </r>
  <r>
    <n v="71.188809182209468"/>
    <n v="552.20699999999999"/>
    <n v="8.6716595923755588E-5"/>
    <n v="8.671659592375559E-7"/>
    <n v="5396.56"/>
    <n v="269828"/>
    <n v="1349.14"/>
    <s v=""/>
    <x v="15"/>
    <n v="1"/>
    <n v="8003"/>
    <n v="4347"/>
    <n v="3650"/>
    <n v="697"/>
    <s v="PA_Alleg_2019g~Gen-tax collector ross (vote for 1)"/>
    <n v="2.5831270290703708E-3"/>
    <s v=" ross"/>
    <s v="m2"/>
    <n v="0"/>
    <n v="0"/>
    <n v="0"/>
    <n v="0"/>
  </r>
  <r>
    <n v="47.645652173913049"/>
    <n v="97.566000000000003"/>
    <n v="2.5191332401900168"/>
    <n v="2.5191332401900166E-2"/>
    <n v="5396.56"/>
    <n v="269828"/>
    <n v="1349.14"/>
    <s v=""/>
    <x v="15"/>
    <n v="1"/>
    <n v="1414"/>
    <n v="794"/>
    <n v="610"/>
    <n v="184"/>
    <s v="PA_Alleg_2019g~Gen-member of council crafton (vote for 1)"/>
    <n v="6.819158871577449E-4"/>
    <s v=" crafton (vote for 1)"/>
    <s v="m2"/>
    <n v="0"/>
    <n v="0"/>
    <n v="0"/>
    <n v="0"/>
  </r>
  <r>
    <n v="29.436036036036036"/>
    <n v="36.363"/>
    <n v="10.855951299750522"/>
    <n v="0.10855951299750523"/>
    <n v="5396.56"/>
    <n v="269828"/>
    <n v="1349.14"/>
    <s v=""/>
    <x v="15"/>
    <n v="1"/>
    <n v="527"/>
    <n v="319"/>
    <n v="208"/>
    <n v="111"/>
    <s v="PA_Alleg_2019g~Gen-member of council bellevue ward 1 (vote for 1)"/>
    <n v="4.1137317105711789E-4"/>
    <s v=" bellevue ward 1 (vote for 1)"/>
    <s v="m2"/>
    <n v="0"/>
    <n v="0"/>
    <n v="0"/>
    <n v="0"/>
  </r>
  <r>
    <n v="27.823140495867769"/>
    <n v="37.467000000000006"/>
    <n v="8.887336681874956"/>
    <n v="8.8873366818749563E-2"/>
    <n v="5396.56"/>
    <n v="269828"/>
    <n v="1349.14"/>
    <s v=""/>
    <x v="15"/>
    <n v="1"/>
    <n v="543"/>
    <n v="328"/>
    <n v="207"/>
    <n v="121"/>
    <s v="PA_Alleg_2019g~Gen-member of council at-large tarentum (vote for 1)"/>
    <n v="4.4843381709829965E-4"/>
    <s v=" tarentum at large"/>
    <s v="m2"/>
    <n v="0"/>
    <n v="0"/>
    <n v="0"/>
    <n v="0"/>
  </r>
  <r>
    <n v="21.397501951600312"/>
    <n v="610.09800000000007"/>
    <n v="4.3694885374242333E-21"/>
    <n v="4.3694885374242336E-23"/>
    <n v="5396.56"/>
    <n v="269828"/>
    <n v="1349.14"/>
    <s v=""/>
    <x v="15"/>
    <n v="1"/>
    <n v="8842"/>
    <n v="5702"/>
    <n v="3140"/>
    <n v="2562"/>
    <s v="PA_Alleg_2019g~Gen-bethel park home rule charter amend #2 (vote for 1)"/>
    <n v="9.4949375157507739E-3"/>
    <s v=" bethel park (vote for 5)"/>
    <s v="m2"/>
    <n v="0"/>
    <n v="0"/>
    <n v="0"/>
    <n v="0"/>
  </r>
  <r>
    <n v="16.102414001206999"/>
    <n v="593.88300000000004"/>
    <n v="1.0882619922551386E-27"/>
    <n v="1.0882619922551386E-29"/>
    <n v="5396.56"/>
    <n v="269828"/>
    <n v="1349.14"/>
    <s v=""/>
    <x v="15"/>
    <n v="1"/>
    <n v="8607"/>
    <n v="5933"/>
    <n v="2619"/>
    <n v="3314"/>
    <s v="PA_Alleg_2019g~Gen-auditor moon (vote for 1)"/>
    <n v="1.2281898098047646E-2"/>
    <s v=" moon"/>
    <s v="m2"/>
    <n v="3"/>
    <n v="3.0834809706742905E-2"/>
    <n v="0.14382960553977031"/>
    <n v="0.48856968028270364"/>
  </r>
  <r>
    <n v="15.982914572864322"/>
    <n v="35.397000000000006"/>
    <n v="1.8658222214451841"/>
    <n v="1.865822221445184E-2"/>
    <n v="5396.56"/>
    <n v="269828"/>
    <n v="1349.14"/>
    <s v=""/>
    <x v="15"/>
    <n v="1"/>
    <n v="513"/>
    <n v="356"/>
    <n v="157"/>
    <n v="199"/>
    <s v="PA_Alleg_2019g~Gen-member of council bellevue ward 2 (vote for 1)"/>
    <n v="7.3750685621951756E-4"/>
    <s v=" bellevue ward 2 (vote for 1)"/>
    <s v="m2"/>
    <n v="0"/>
    <n v="0"/>
    <n v="0"/>
    <n v="0"/>
  </r>
  <r>
    <n v="3408.4"/>
    <n v="3408.4"/>
    <n v="92.311579900074491"/>
    <n v="0.92311579900074492"/>
    <n v="5396.56"/>
    <n v="269828"/>
    <n v="1349.14"/>
    <s v=""/>
    <x v="15"/>
    <n v="5"/>
    <n v="3408.4"/>
    <n v="2265"/>
    <n v="2261"/>
    <n v="4"/>
    <s v="PA_Alleg_2019g~Gen-school director hampton (vote for 5)"/>
    <n v="1.4824258416472715E-5"/>
    <s v=" hampton (vote for 5)"/>
    <s v="s1"/>
    <n v="0"/>
    <n v="0"/>
    <n v="0"/>
    <n v="0"/>
  </r>
  <r>
    <n v="2015"/>
    <n v="2015"/>
    <n v="92.311579900074491"/>
    <n v="0.92311579900074492"/>
    <n v="5396.56"/>
    <n v="269828"/>
    <n v="1349.14"/>
    <s v=""/>
    <x v="15"/>
    <n v="5"/>
    <n v="2015"/>
    <n v="1234"/>
    <n v="1230"/>
    <n v="4"/>
    <s v="PA_Alleg_2019g~Gen-school director riverview (vote for 5)"/>
    <n v="1.4824258416472715E-5"/>
    <s v=" riverview (vote for 5)"/>
    <s v="s1"/>
    <n v="0"/>
    <n v="0"/>
    <n v="0"/>
    <n v="0"/>
  </r>
  <r>
    <n v="1175.7886666666668"/>
    <n v="1175.7886666666668"/>
    <n v="30.115402380801982"/>
    <n v="0.30115402380801981"/>
    <n v="5396.56"/>
    <n v="269828"/>
    <n v="1349.14"/>
    <s v=""/>
    <x v="15"/>
    <n v="5"/>
    <n v="11378.6"/>
    <n v="6604"/>
    <n v="6544"/>
    <n v="60"/>
    <s v="PA_Alleg_2019g~Gen-school director north allegheny (vote for 5)"/>
    <n v="2.2236387624709073E-4"/>
    <s v=" north allegheny (vote for 5)"/>
    <s v="s1"/>
    <n v="0"/>
    <n v="0"/>
    <n v="0"/>
    <n v="0"/>
  </r>
  <r>
    <n v="1085.1878787878788"/>
    <n v="1085.1878787878788"/>
    <n v="51.683047358620136"/>
    <n v="0.51683047358620138"/>
    <n v="5396.56"/>
    <n v="269828"/>
    <n v="1349.14"/>
    <s v=""/>
    <x v="15"/>
    <n v="1"/>
    <n v="5776"/>
    <n v="2816"/>
    <n v="2783"/>
    <n v="33"/>
    <s v="PA_Alleg_2019g~Gen-school director plum (vote for 1)"/>
    <n v="1.2230013193589991E-4"/>
    <s v=" plum (vote for 1)"/>
    <s v="s1"/>
    <n v="0"/>
    <n v="0"/>
    <n v="0"/>
    <n v="0"/>
  </r>
  <r>
    <n v="177.80714285714285"/>
    <n v="221.62800000000001"/>
    <n v="10.640901082797717"/>
    <n v="0.10640901082797717"/>
    <n v="5396.56"/>
    <n v="269828"/>
    <n v="1349.14"/>
    <s v=""/>
    <x v="15"/>
    <n v="1"/>
    <n v="3212"/>
    <n v="1566"/>
    <n v="1454"/>
    <n v="112"/>
    <s v="PA_Alleg_2019g~Gen-school director west allegheny region 2 (vote for 1)"/>
    <n v="4.1507923566123602E-4"/>
    <s v=" west allegheny region 2 (vote for 1)"/>
    <s v="s1"/>
    <n v="0"/>
    <n v="0"/>
    <n v="0"/>
    <n v="0"/>
  </r>
  <r>
    <n v="169.27878787878788"/>
    <n v="169.27878787878788"/>
    <n v="51.683047358620136"/>
    <n v="0.51683047358620138"/>
    <n v="5396.56"/>
    <n v="269828"/>
    <n v="1349.14"/>
    <s v=""/>
    <x v="15"/>
    <n v="2"/>
    <n v="901"/>
    <n v="569"/>
    <n v="536"/>
    <n v="33"/>
    <s v="PA_Alleg_2019g~Gen-school director quaker valley region 2 (vote for 2)"/>
    <n v="1.2230013193589991E-4"/>
    <s v=" quaker valley region 2 (vote for 2)"/>
    <s v="s1"/>
    <n v="0"/>
    <n v="0"/>
    <n v="0"/>
    <n v="0"/>
  </r>
  <r>
    <n v="164.27759036144579"/>
    <n v="164.27759036144579"/>
    <n v="19.009043180985167"/>
    <n v="0.19009043180985166"/>
    <n v="5396.56"/>
    <n v="269828"/>
    <n v="1349.14"/>
    <s v=""/>
    <x v="15"/>
    <n v="5"/>
    <n v="2199.1999999999998"/>
    <n v="1429"/>
    <n v="1346"/>
    <n v="83"/>
    <s v="PA_Alleg_2019g~Gen-school director deer lakes (vote for 5)"/>
    <n v="3.0760336214180888E-4"/>
    <s v=" deer lakes (vote for 5)"/>
    <s v="s1"/>
    <n v="0"/>
    <n v="0"/>
    <n v="0"/>
    <n v="0"/>
  </r>
  <r>
    <n v="155.44285714285715"/>
    <n v="155.44285714285715"/>
    <n v="75.577825135848471"/>
    <n v="0.75577825135848475"/>
    <n v="5396.56"/>
    <n v="269828"/>
    <n v="1349.14"/>
    <s v=""/>
    <x v="15"/>
    <n v="1"/>
    <n v="351"/>
    <n v="180"/>
    <n v="166"/>
    <n v="14"/>
    <s v="PA_Alleg_2019g~Gen-school director clairton region 2 (vote for 1)"/>
    <n v="5.1884904457654503E-5"/>
    <s v=" clairton region 2 (vote for 1)"/>
    <s v="s1"/>
    <n v="0"/>
    <n v="0"/>
    <n v="0"/>
    <n v="0"/>
  </r>
  <r>
    <n v="134.1985507246377"/>
    <n v="412.20600000000002"/>
    <n v="0.39945471579584796"/>
    <n v="3.9945471579584798E-3"/>
    <n v="5396.56"/>
    <n v="269828"/>
    <n v="1349.14"/>
    <s v=""/>
    <x v="15"/>
    <n v="1"/>
    <n v="5974"/>
    <n v="3102"/>
    <n v="2826"/>
    <n v="276"/>
    <s v="PA_Alleg_2019g~Gen-school director woodland hills region 3 (vote for 1)"/>
    <n v="1.0228738307366174E-3"/>
    <s v=" woodland hills region 3 (vote for 1)"/>
    <s v="s1"/>
    <n v="0"/>
    <n v="0"/>
    <n v="0"/>
    <n v="0"/>
  </r>
  <r>
    <n v="119.68043956043957"/>
    <n v="121.2054"/>
    <n v="16.197602180914391"/>
    <n v="0.16197602180914392"/>
    <n v="5396.56"/>
    <n v="269828"/>
    <n v="1349.14"/>
    <s v=""/>
    <x v="15"/>
    <n v="5"/>
    <n v="1756.6"/>
    <n v="1078"/>
    <n v="987"/>
    <n v="91"/>
    <s v="PA_Alleg_2019g~Gen-school director south allegheny (vote for 5)"/>
    <n v="3.3725187897475431E-4"/>
    <s v=" south allegheny (vote for 5)"/>
    <s v="s1"/>
    <n v="0"/>
    <n v="0"/>
    <n v="0"/>
    <n v="0"/>
  </r>
  <r>
    <n v="111.18666666666667"/>
    <n v="111.18666666666667"/>
    <n v="22.308364129519891"/>
    <n v="0.22308364129519892"/>
    <n v="5396.56"/>
    <n v="269828"/>
    <n v="1349.14"/>
    <s v=""/>
    <x v="15"/>
    <n v="1"/>
    <n v="1345"/>
    <n v="708"/>
    <n v="633"/>
    <n v="75"/>
    <s v="PA_Alleg_2019g~Gen-school director pine richland region 3 (vote for 1)"/>
    <n v="2.7795484530886345E-4"/>
    <s v=" pine richland region 3 (vote for 1)"/>
    <s v="s1"/>
    <n v="0"/>
    <n v="0"/>
    <n v="0"/>
    <n v="0"/>
  </r>
  <r>
    <n v="87.787610619469035"/>
    <n v="110.4"/>
    <n v="10.430110114512523"/>
    <n v="0.10430110114512522"/>
    <n v="5396.56"/>
    <n v="269828"/>
    <n v="1349.14"/>
    <s v=""/>
    <x v="15"/>
    <n v="5"/>
    <n v="1600"/>
    <n v="1160"/>
    <n v="1047"/>
    <n v="113"/>
    <s v="PA_Alleg_2019g~Gen-school director allegheny valley (vote for 5)"/>
    <n v="4.1878530026535422E-4"/>
    <s v=" allegheny valley (vote for 5)"/>
    <s v="s1"/>
    <n v="0"/>
    <n v="0"/>
    <n v="0"/>
    <n v="0"/>
  </r>
  <r>
    <n v="74.705454545454558"/>
    <n v="567.01440000000002"/>
    <n v="1.1714515967241657E-4"/>
    <n v="1.1714515967241656E-6"/>
    <n v="5396.56"/>
    <n v="269828"/>
    <n v="1349.14"/>
    <s v=""/>
    <x v="15"/>
    <n v="5"/>
    <n v="8217.6"/>
    <n v="4738"/>
    <n v="4056"/>
    <n v="682"/>
    <s v="PA_Alleg_2019g~Gen-school director north hills (vote for 5)"/>
    <n v="2.5275360600085983E-3"/>
    <s v=" north hills (vote for 5)"/>
    <s v="s1"/>
    <n v="0"/>
    <n v="0"/>
    <n v="0"/>
    <n v="0"/>
  </r>
  <r>
    <n v="65.03961995249405"/>
    <n v="304.73160000000001"/>
    <n v="2.1897006948815464E-2"/>
    <n v="2.1897006948815462E-4"/>
    <n v="5396.56"/>
    <n v="269828"/>
    <n v="1349.14"/>
    <s v=""/>
    <x v="15"/>
    <n v="5"/>
    <n v="4416.3999999999996"/>
    <n v="2769"/>
    <n v="2348"/>
    <n v="421"/>
    <s v="PA_Alleg_2019g~Gen-school director upper saint clair (vote for 5)"/>
    <n v="1.5602531983337534E-3"/>
    <s v=" upper saint clair (vote for 5)"/>
    <s v="s1"/>
    <n v="0"/>
    <n v="0"/>
    <n v="0"/>
    <n v="0"/>
  </r>
  <r>
    <n v="62.54316239316239"/>
    <n v="162.87450000000001"/>
    <n v="0.92601922729154129"/>
    <n v="9.2601922729154129E-3"/>
    <n v="5396.56"/>
    <n v="269828"/>
    <n v="1349.14"/>
    <s v=""/>
    <x v="15"/>
    <n v="2"/>
    <n v="2360.5"/>
    <n v="1440"/>
    <n v="1206"/>
    <n v="234"/>
    <s v="PA_Alleg_2019g~Gen-school director fox chapel region 2 (vote for 2)"/>
    <n v="8.6721911736365386E-4"/>
    <s v=" fox chapel region 2 (vote for 2)"/>
    <s v="s1"/>
    <n v="0"/>
    <n v="0"/>
    <n v="0"/>
    <n v="0"/>
  </r>
  <r>
    <n v="50.218351063829786"/>
    <n v="420.27900000000005"/>
    <n v="2.8780088585901658E-5"/>
    <n v="2.8780088585901656E-7"/>
    <n v="5396.56"/>
    <n v="269828"/>
    <n v="1349.14"/>
    <s v=""/>
    <x v="15"/>
    <n v="1"/>
    <n v="6091"/>
    <n v="3415"/>
    <n v="2663"/>
    <n v="752"/>
    <s v="PA_Alleg_2019g~Gen-school director gateway (vote for 1)"/>
    <n v="2.7869605822968707E-3"/>
    <s v=" gateway (vote for 1)"/>
    <s v="s1"/>
    <n v="0"/>
    <n v="0"/>
    <n v="0"/>
    <n v="0"/>
  </r>
  <r>
    <n v="47.303304347826085"/>
    <n v="181.62180000000001"/>
    <n v="0.100334595720144"/>
    <n v="1.00334595720144E-3"/>
    <n v="5396.56"/>
    <n v="269828"/>
    <n v="1349.14"/>
    <s v=""/>
    <x v="15"/>
    <n v="5"/>
    <n v="2632.2"/>
    <n v="1951"/>
    <n v="1606"/>
    <n v="345"/>
    <s v="PA_Alleg_2019g~Gen-school director elizabeth forward (vote for 5)"/>
    <n v="1.2785922884207717E-3"/>
    <s v=" elizabeth forward (vote for 5)"/>
    <s v="s1"/>
    <n v="0"/>
    <n v="0"/>
    <n v="0"/>
    <n v="0"/>
  </r>
  <r>
    <n v="43.330905472636822"/>
    <n v="484.64220000000006"/>
    <n v="1.7963205807758083E-7"/>
    <n v="1.7963205807758083E-9"/>
    <n v="5396.56"/>
    <n v="269828"/>
    <n v="1349.14"/>
    <s v=""/>
    <x v="15"/>
    <n v="5"/>
    <n v="7023.8"/>
    <n v="5508"/>
    <n v="4503"/>
    <n v="1005"/>
    <s v="PA_Alleg_2019g~Gen-school director penn hills (vote for 5)"/>
    <n v="3.7245949271387697E-3"/>
    <s v=" penn hills (vote for 5)"/>
    <s v="s1"/>
    <n v="0"/>
    <n v="0"/>
    <n v="0"/>
    <n v="0"/>
  </r>
  <r>
    <n v="23.761662631154156"/>
    <n v="218.43100000000001"/>
    <n v="6.5230589684806621E-6"/>
    <n v="6.5230589684806618E-8"/>
    <n v="5396.56"/>
    <n v="269828"/>
    <n v="1349.14"/>
    <s v=""/>
    <x v="15"/>
    <n v="3"/>
    <n v="3165.6666666666665"/>
    <n v="2254"/>
    <n v="1428"/>
    <n v="826"/>
    <s v="PA_Alleg_2019g~Gen-member of council baldwin borough (vote for 3)"/>
    <n v="3.0612093630016158E-3"/>
    <s v=" baldwin borough (vote for 3)"/>
    <s v="s1"/>
    <n v="0"/>
    <n v="0"/>
    <n v="0"/>
    <n v="0"/>
  </r>
  <r>
    <n v="23.744648910411623"/>
    <n v="218.27460000000002"/>
    <n v="6.5230589684806621E-6"/>
    <n v="6.5230589684806618E-8"/>
    <n v="5396.56"/>
    <n v="269828"/>
    <n v="1349.14"/>
    <s v=""/>
    <x v="15"/>
    <n v="5"/>
    <n v="3163.4"/>
    <n v="2375"/>
    <n v="1549"/>
    <n v="826"/>
    <s v="PA_Alleg_2019g~Gen-school director west mifflin area (vote for 5)"/>
    <n v="3.0612093630016158E-3"/>
    <s v=" west mifflin area (vote for 5)"/>
    <s v="s1"/>
    <n v="0"/>
    <n v="0"/>
    <n v="0"/>
    <n v="0"/>
  </r>
  <r>
    <n v="23.451589023611998"/>
    <n v="408.97680000000003"/>
    <n v="2.2363284313312363E-12"/>
    <n v="2.2363284313312363E-14"/>
    <n v="5396.56"/>
    <n v="269828"/>
    <n v="1349.14"/>
    <s v=""/>
    <x v="15"/>
    <n v="5"/>
    <n v="5927.2"/>
    <n v="4343"/>
    <n v="2776"/>
    <n v="1567"/>
    <s v="PA_Alleg_2019g~Gen-school director baldwin whitehall (vote for 5)"/>
    <n v="5.8074032346531867E-3"/>
    <s v=" baldwin whitehall (vote for 5)"/>
    <s v="s1"/>
    <n v="0"/>
    <n v="0"/>
    <n v="0"/>
    <n v="0"/>
  </r>
  <r>
    <n v="21.260027137042062"/>
    <n v="523.13040000000012"/>
    <n v="5.2045554858101836E-18"/>
    <n v="5.2045554858101834E-20"/>
    <n v="5396.56"/>
    <n v="269828"/>
    <n v="1349.14"/>
    <s v=""/>
    <x v="15"/>
    <n v="5"/>
    <n v="7581.6"/>
    <n v="5612"/>
    <n v="3401"/>
    <n v="2211"/>
    <s v="PA_Alleg_2019g~Gen-school director bethel park (vote for 5)"/>
    <n v="8.1941088397052934E-3"/>
    <s v=" bethel park (vote for 5)"/>
    <s v="s1"/>
    <n v="0"/>
    <n v="0"/>
    <n v="0"/>
    <n v="0"/>
  </r>
  <r>
    <n v="20.571662468513857"/>
    <n v="181.78050000000002"/>
    <n v="1.2394718348270099E-5"/>
    <n v="1.2394718348270099E-7"/>
    <n v="5396.56"/>
    <n v="269828"/>
    <n v="1349.14"/>
    <s v=""/>
    <x v="15"/>
    <n v="2"/>
    <n v="2634.5"/>
    <n v="2006"/>
    <n v="1212"/>
    <n v="794"/>
    <s v="PA_Alleg_2019g~Gen-school director woodland hills region 1 (vote for 2)"/>
    <n v="2.9426152956698341E-3"/>
    <s v=" woodland hills region 1 (vote for 2)"/>
    <s v="s1"/>
    <n v="0"/>
    <n v="0"/>
    <n v="0"/>
    <n v="0"/>
  </r>
  <r>
    <n v="16.275000000000002"/>
    <n v="16.275000000000002"/>
    <n v="72.614214747649058"/>
    <n v="0.72614214747649064"/>
    <n v="5396.56"/>
    <n v="269828"/>
    <n v="1349.14"/>
    <s v=""/>
    <x v="15"/>
    <n v="5"/>
    <n v="42"/>
    <n v="34"/>
    <n v="18"/>
    <n v="16"/>
    <s v="PA_Alleg_2019g~Gen-school director fort cherry (vote for 5)"/>
    <n v="5.9297033665890861E-5"/>
    <s v=" fort cherry (vote for 5)"/>
    <s v="s1"/>
    <n v="0"/>
    <n v="0"/>
    <n v="0"/>
    <n v="0"/>
  </r>
  <r>
    <n v="15.807514318442154"/>
    <n v="153.58020000000002"/>
    <n v="2.5405349781438665E-6"/>
    <n v="2.5405349781438666E-8"/>
    <n v="5396.56"/>
    <n v="269828"/>
    <n v="1349.14"/>
    <s v=""/>
    <x v="15"/>
    <n v="5"/>
    <n v="2225.8000000000002"/>
    <n v="1875"/>
    <n v="1002"/>
    <n v="873"/>
    <s v="PA_Alleg_2019g~Gen-school director carlynton (vote for 5)"/>
    <n v="3.2353943993951701E-3"/>
    <s v=" carlynton (vote for 5)"/>
    <s v="s1"/>
    <n v="0"/>
    <n v="0"/>
    <n v="0"/>
    <n v="0"/>
  </r>
  <r>
    <n v="12.912396694214875"/>
    <n v="17.388000000000002"/>
    <n v="8.887336681874956"/>
    <n v="8.8873366818749563E-2"/>
    <n v="5396.56"/>
    <n v="269828"/>
    <n v="1349.14"/>
    <s v=""/>
    <x v="15"/>
    <n v="1"/>
    <n v="252"/>
    <n v="186"/>
    <n v="65"/>
    <n v="121"/>
    <s v="PA_Alleg_2019g~Gen-school director east allegheny region 1 (vote for 1)"/>
    <n v="4.4843381709829965E-4"/>
    <s v=" east allegheny region 1 (vote for 1)"/>
    <s v="s1"/>
    <n v="0"/>
    <n v="0"/>
    <n v="0"/>
    <n v="0"/>
  </r>
  <r>
    <n v="9.6022450288646581"/>
    <n v="666.40200000000004"/>
    <n v="1.5815094190903741E-53"/>
    <n v="1.5815094190903741E-55"/>
    <n v="5396.56"/>
    <n v="269828"/>
    <n v="1349.14"/>
    <s v=""/>
    <x v="15"/>
    <n v="1"/>
    <n v="9658"/>
    <n v="7939"/>
    <n v="1703"/>
    <n v="6236"/>
    <s v="PA_Alleg_2019g~Gen-school director district 2 (vote for 1)"/>
    <n v="2.3111018871280965E-2"/>
    <s v=" district 2 (vote for 1)"/>
    <s v="s1"/>
    <n v="15"/>
    <n v="0.14555783375384579"/>
    <n v="0.54159432836750809"/>
    <n v="0.96559552820431405"/>
  </r>
  <r>
    <n v="8.8892057920140406"/>
    <n v="225.45750000000001"/>
    <n v="1.3206499453677182E-18"/>
    <n v="1.3206499453677183E-20"/>
    <n v="5396.56"/>
    <n v="269828"/>
    <n v="1349.14"/>
    <s v=""/>
    <x v="15"/>
    <n v="2"/>
    <n v="3267.5"/>
    <n v="2886"/>
    <n v="607"/>
    <n v="2279"/>
    <s v="PA_Alleg_2019g~Gen-school director woodland hills region 2 (vote for 2)"/>
    <n v="8.4461212327853301E-3"/>
    <s v=" woodland hills region 2 (vote for 2)"/>
    <s v="s1"/>
    <n v="0"/>
    <n v="0"/>
    <n v="0"/>
    <n v="0"/>
  </r>
  <r>
    <n v="8.4188828472565511"/>
    <n v="189.54300000000001"/>
    <n v="2.3027349470640954E-16"/>
    <n v="2.3027349470640956E-18"/>
    <n v="5396.56"/>
    <n v="269828"/>
    <n v="1349.14"/>
    <s v=""/>
    <x v="15"/>
    <n v="5"/>
    <n v="2747"/>
    <n v="2401"/>
    <n v="378"/>
    <n v="2023"/>
    <s v="PA_Alleg_2019g~Gen-school director wilkinsburg (vote for 5)"/>
    <n v="7.4973686941310763E-3"/>
    <s v=" wilkinsburg (vote for 5)"/>
    <s v="s1"/>
    <n v="0"/>
    <n v="0"/>
    <n v="0"/>
    <n v="0"/>
  </r>
  <r>
    <n v="5"/>
    <n v="5"/>
    <n v="98.019863698000833"/>
    <n v="0.98019863698000831"/>
    <n v="5396.56"/>
    <n v="269828"/>
    <n v="1349.14"/>
    <s v=""/>
    <x v="15"/>
    <n v="5"/>
    <n v="5"/>
    <n v="3"/>
    <n v="2"/>
    <n v="1"/>
    <s v="PA_Alleg_2019g~Gen-school director norwin (vote for 5)"/>
    <n v="3.7060646041181788E-6"/>
    <s v=" norwin (vote for 5)"/>
    <s v="s1"/>
    <n v="0"/>
    <n v="0"/>
    <n v="0"/>
    <n v="0"/>
  </r>
  <r>
    <n v="324.07283018867923"/>
    <n v="382.30140000000006"/>
    <n v="11.998164304729329"/>
    <n v="0.11998164304729329"/>
    <n v="5396.56"/>
    <n v="269828"/>
    <n v="1349.14"/>
    <s v=""/>
    <x v="15"/>
    <n v="5"/>
    <n v="5540.6"/>
    <n v="2760"/>
    <n v="2654"/>
    <n v="106"/>
    <s v="PA_Alleg_2019g~Gen-school director plum (vote for 5)"/>
    <n v="3.9284284803652698E-4"/>
    <s v=" plum (vote for 5)"/>
    <s v="s2"/>
    <n v="0"/>
    <n v="0"/>
    <n v="0"/>
    <n v="0"/>
  </r>
  <r>
    <n v="15.925032232070912"/>
    <n v="17595.414000000001"/>
    <n v="0"/>
    <n v="0"/>
    <n v="5396.56"/>
    <n v="269828"/>
    <n v="1349.14"/>
    <s v=""/>
    <x v="15"/>
    <n v="1"/>
    <n v="255006"/>
    <n v="177143"/>
    <n v="77863"/>
    <n v="99280"/>
    <s v="PA_Alleg_2019g~Gen-constitutional amendment (vote for 1)"/>
    <n v="0.36793809389685284"/>
    <s v=" state"/>
    <s v="state"/>
    <n v="406"/>
    <n v="0.99353929510203776"/>
    <n v="0.99999999998750277"/>
    <n v="1"/>
  </r>
  <r>
    <n v="778.33333333333337"/>
    <n v="778.33333333333337"/>
    <n v="100"/>
    <n v="1"/>
    <n v="3145.28"/>
    <n v="157264"/>
    <n v="786.32"/>
    <s v=""/>
    <x v="16"/>
    <n v="3"/>
    <n v="778.33333333333337"/>
    <n v="334"/>
    <n v="334"/>
    <n v="0"/>
    <s v="PA_Alleg_2019p~Rep-supervisor pine (vote for 3)"/>
    <m/>
    <m/>
    <s v="j"/>
    <n v="0"/>
    <n v="0"/>
    <n v="0"/>
    <n v="0"/>
  </r>
  <r>
    <n v="341"/>
    <n v="341"/>
    <n v="98.019861097829448"/>
    <n v="0.98019861097829453"/>
    <n v="3145.28"/>
    <n v="157264"/>
    <n v="786.32"/>
    <s v=""/>
    <x v="16"/>
    <n v="1"/>
    <n v="341"/>
    <n v="160"/>
    <n v="159"/>
    <n v="1"/>
    <s v="PA_Alleg_2019p~Rep-auditor bellevue (vote for 1)"/>
    <m/>
    <m/>
    <s v="m"/>
    <n v="0"/>
    <n v="0"/>
    <n v="0"/>
    <n v="0"/>
  </r>
  <r>
    <n v="115"/>
    <n v="115"/>
    <n v="98.019861097829448"/>
    <n v="0.98019861097829453"/>
    <n v="3145.28"/>
    <n v="157264"/>
    <n v="786.32"/>
    <s v=""/>
    <x v="16"/>
    <n v="1"/>
    <n v="115"/>
    <n v="57"/>
    <n v="56"/>
    <n v="1"/>
    <s v="PA_Alleg_2019p~Rep-member of council aspinwall (vote for 1)"/>
    <m/>
    <m/>
    <s v="m"/>
    <n v="0"/>
    <n v="0"/>
    <n v="0"/>
    <n v="0"/>
  </r>
  <r>
    <n v="289.33333333333331"/>
    <n v="289.33333333333331"/>
    <n v="96.078919477415099"/>
    <n v="0.96078919477415103"/>
    <n v="3145.28"/>
    <n v="157264"/>
    <n v="786.32"/>
    <s v=""/>
    <x v="16"/>
    <n v="3"/>
    <n v="289.33333333333331"/>
    <n v="144"/>
    <n v="142"/>
    <n v="2"/>
    <s v="PA_Alleg_2019p~Dem-member of council mckees rocks ward 3 (vote for 3)"/>
    <n v="1.2717468715026961E-5"/>
    <m/>
    <s v="m"/>
    <n v="0"/>
    <n v="0"/>
    <n v="0"/>
    <n v="0"/>
  </r>
  <r>
    <n v="171"/>
    <n v="171"/>
    <n v="96.078919477415099"/>
    <n v="0.96078919477415103"/>
    <n v="3145.28"/>
    <n v="157264"/>
    <n v="786.32"/>
    <s v=""/>
    <x v="16"/>
    <n v="1"/>
    <n v="171"/>
    <n v="86"/>
    <n v="84"/>
    <n v="2"/>
    <s v="PA_Alleg_2019p~Dem-commissioner north versailles ward 3 (vote for 1)"/>
    <m/>
    <m/>
    <s v="m"/>
    <n v="0"/>
    <n v="0"/>
    <n v="0"/>
    <n v="0"/>
  </r>
  <r>
    <n v="102.75"/>
    <n v="102.75"/>
    <n v="96.078919477415099"/>
    <n v="0.96078919477415103"/>
    <n v="3145.28"/>
    <n v="157264"/>
    <n v="786.32"/>
    <s v=""/>
    <x v="16"/>
    <n v="4"/>
    <n v="102.75"/>
    <n v="53"/>
    <n v="51"/>
    <n v="2"/>
    <s v="PA_Alleg_2019p~Dem-member of council wilmerding (vote for 4)"/>
    <m/>
    <m/>
    <s v="m"/>
    <n v="0"/>
    <n v="0"/>
    <n v="0"/>
    <n v="0"/>
  </r>
  <r>
    <n v="84"/>
    <n v="84"/>
    <n v="96.078919477415099"/>
    <n v="0.96078919477415103"/>
    <n v="3145.28"/>
    <n v="157264"/>
    <n v="786.32"/>
    <s v=""/>
    <x v="16"/>
    <n v="1"/>
    <n v="84"/>
    <n v="43"/>
    <n v="41"/>
    <n v="2"/>
    <s v="PA_Alleg_2019p~Dem-auditor frazer (vote for 1)"/>
    <m/>
    <m/>
    <s v="m"/>
    <n v="0"/>
    <n v="0"/>
    <n v="0"/>
    <n v="0"/>
  </r>
  <r>
    <n v="227"/>
    <n v="227"/>
    <n v="94.176399461889417"/>
    <n v="0.94176399461889415"/>
    <n v="3145.28"/>
    <n v="157264"/>
    <n v="786.32"/>
    <s v=""/>
    <x v="16"/>
    <n v="1"/>
    <n v="227"/>
    <n v="115"/>
    <n v="112"/>
    <n v="3"/>
    <s v="PA_Alleg_2019p~Rep-member of council bethel park ward 4 (vote for 1)"/>
    <n v="1.9076203072540441E-5"/>
    <m/>
    <s v="m"/>
    <n v="0"/>
    <n v="0"/>
    <n v="0"/>
    <n v="0"/>
  </r>
  <r>
    <n v="112"/>
    <n v="112"/>
    <n v="94.176399461889417"/>
    <n v="0.94176399461889415"/>
    <n v="3145.28"/>
    <n v="157264"/>
    <n v="786.32"/>
    <s v=""/>
    <x v="16"/>
    <n v="1"/>
    <n v="112"/>
    <n v="39"/>
    <n v="36"/>
    <n v="3"/>
    <s v="PA_Alleg_2019p~Rep-member of council at-large tarentum (vote for 1)"/>
    <n v="1.9076203072540441E-5"/>
    <m/>
    <s v="m"/>
    <n v="0"/>
    <n v="0"/>
    <n v="0"/>
    <n v="0"/>
  </r>
  <r>
    <n v="52"/>
    <n v="52"/>
    <n v="94.176399461889417"/>
    <n v="0.94176399461889415"/>
    <n v="3145.28"/>
    <n v="157264"/>
    <n v="786.32"/>
    <s v=""/>
    <x v="16"/>
    <n v="1"/>
    <n v="52"/>
    <n v="11"/>
    <n v="8"/>
    <n v="3"/>
    <s v="PA_Alleg_2019p~Rep-member of council tarentum ward 3 (vote for 1)"/>
    <n v="1.9076203072540441E-5"/>
    <m/>
    <s v="m"/>
    <n v="0"/>
    <n v="0"/>
    <n v="0"/>
    <n v="0"/>
  </r>
  <r>
    <n v="680"/>
    <n v="680"/>
    <n v="92.311540719504535"/>
    <n v="0.92311540719504537"/>
    <n v="3145.28"/>
    <n v="157264"/>
    <n v="786.32"/>
    <s v=""/>
    <x v="16"/>
    <n v="5"/>
    <n v="680"/>
    <n v="510"/>
    <n v="506"/>
    <n v="4"/>
    <s v="PA_Alleg_2019p~Dem-school director northgate (vote for 5)"/>
    <n v="2.5434937430053922E-5"/>
    <m/>
    <s v="m"/>
    <n v="0"/>
    <n v="0"/>
    <n v="0"/>
    <n v="0"/>
  </r>
  <r>
    <n v="589"/>
    <n v="589"/>
    <n v="92.311540719504535"/>
    <n v="0.92311540719504537"/>
    <n v="3145.28"/>
    <n v="157264"/>
    <n v="786.32"/>
    <s v=""/>
    <x v="16"/>
    <n v="1"/>
    <n v="589"/>
    <n v="294"/>
    <n v="290"/>
    <n v="4"/>
    <s v="PA_Alleg_2019p~Dem-member of council franklin park ward 2 (vote for 1)"/>
    <n v="2.5434937430053922E-5"/>
    <m/>
    <s v="m"/>
    <n v="0"/>
    <n v="0"/>
    <n v="0"/>
    <n v="0"/>
  </r>
  <r>
    <n v="461"/>
    <n v="461"/>
    <n v="92.311540719504535"/>
    <n v="0.92311540719504537"/>
    <n v="3145.28"/>
    <n v="157264"/>
    <n v="786.32"/>
    <s v=""/>
    <x v="16"/>
    <n v="3"/>
    <n v="461"/>
    <n v="272"/>
    <n v="268"/>
    <n v="4"/>
    <s v="PA_Alleg_2019p~Rep-member of council jefferson hills (vote for 3)"/>
    <n v="2.5434937430053922E-5"/>
    <m/>
    <s v="m"/>
    <n v="0"/>
    <n v="0"/>
    <n v="0"/>
    <n v="0"/>
  </r>
  <r>
    <n v="419"/>
    <n v="419"/>
    <n v="92.311540719504535"/>
    <n v="0.92311540719504537"/>
    <n v="3145.28"/>
    <n v="157264"/>
    <n v="786.32"/>
    <s v=""/>
    <x v="16"/>
    <n v="1"/>
    <n v="419"/>
    <n v="210"/>
    <n v="206"/>
    <n v="4"/>
    <s v="PA_Alleg_2019p~Rep-member of council franklin park ward 2 (vote for 1)"/>
    <n v="2.5434937430053922E-5"/>
    <m/>
    <s v="m"/>
    <n v="0"/>
    <n v="0"/>
    <n v="0"/>
    <n v="0"/>
  </r>
  <r>
    <n v="287.33333333333331"/>
    <n v="287.33333333333331"/>
    <n v="92.311540719504535"/>
    <n v="0.92311540719504537"/>
    <n v="3145.28"/>
    <n v="157264"/>
    <n v="786.32"/>
    <s v=""/>
    <x v="16"/>
    <n v="3"/>
    <n v="287.33333333333331"/>
    <n v="161"/>
    <n v="157"/>
    <n v="4"/>
    <s v="PA_Alleg_2019p~Dem-member of council verona (vote for 3)"/>
    <n v="2.5434937430053922E-5"/>
    <m/>
    <s v="m"/>
    <n v="0"/>
    <n v="0"/>
    <n v="0"/>
    <n v="0"/>
  </r>
  <r>
    <n v="121"/>
    <n v="121"/>
    <n v="92.311540719504535"/>
    <n v="0.92311540719504537"/>
    <n v="3145.28"/>
    <n v="157264"/>
    <n v="786.32"/>
    <s v=""/>
    <x v="16"/>
    <n v="2"/>
    <n v="121"/>
    <n v="81"/>
    <n v="77"/>
    <n v="4"/>
    <s v="PA_Alleg_2019p~Dem-member of council north braddock ward 3 (vote for 2)"/>
    <n v="2.5434937430053922E-5"/>
    <m/>
    <s v="m"/>
    <n v="0"/>
    <n v="0"/>
    <n v="0"/>
    <n v="0"/>
  </r>
  <r>
    <n v="302.2"/>
    <n v="302.2"/>
    <n v="90.483597960156388"/>
    <n v="0.90483597960156392"/>
    <n v="3145.28"/>
    <n v="157264"/>
    <n v="786.32"/>
    <s v=""/>
    <x v="16"/>
    <n v="5"/>
    <n v="302.2"/>
    <n v="185"/>
    <n v="180"/>
    <n v="5"/>
    <s v="PA_Alleg_2019p~Rep-school director allegheny valley (vote for 5)"/>
    <n v="3.17936717875674E-5"/>
    <m/>
    <s v="m"/>
    <n v="0"/>
    <n v="0"/>
    <n v="0"/>
    <n v="0"/>
  </r>
  <r>
    <n v="252.33333333333334"/>
    <n v="252.33333333333334"/>
    <n v="90.483597960156388"/>
    <n v="0.90483597960156392"/>
    <n v="3145.28"/>
    <n v="157264"/>
    <n v="786.32"/>
    <s v=""/>
    <x v="16"/>
    <n v="3"/>
    <n v="252.33333333333334"/>
    <n v="150"/>
    <n v="145"/>
    <n v="5"/>
    <s v="PA_Alleg_2019p~Dem-member of council liberty (vote for 3)"/>
    <n v="3.17936717875674E-5"/>
    <m/>
    <s v="m"/>
    <n v="0"/>
    <n v="0"/>
    <n v="0"/>
    <n v="0"/>
  </r>
  <r>
    <n v="113"/>
    <n v="113"/>
    <n v="90.483597960156388"/>
    <n v="0.90483597960156392"/>
    <n v="3145.28"/>
    <n v="157264"/>
    <n v="786.32"/>
    <s v=""/>
    <x v="16"/>
    <n v="2"/>
    <n v="113"/>
    <n v="73"/>
    <n v="68"/>
    <n v="5"/>
    <s v="PA_Alleg_2019p~Rep-commissioner at-large crescent (vote for 2)"/>
    <n v="3.17936717875674E-5"/>
    <m/>
    <s v="m"/>
    <n v="0"/>
    <n v="0"/>
    <n v="0"/>
    <n v="0"/>
  </r>
  <r>
    <n v="550.6"/>
    <n v="550.6"/>
    <n v="88.691840637877647"/>
    <n v="0.8869184063787765"/>
    <n v="3145.28"/>
    <n v="157264"/>
    <n v="786.32"/>
    <s v=""/>
    <x v="16"/>
    <n v="5"/>
    <n v="550.6"/>
    <n v="438"/>
    <n v="432"/>
    <n v="6"/>
    <s v="PA_Alleg_2019p~Rep-school director elizabeth forward (vote for 5)"/>
    <n v="3.8152406145080881E-5"/>
    <m/>
    <s v="m"/>
    <n v="0"/>
    <n v="0"/>
    <n v="0"/>
    <n v="0"/>
  </r>
  <r>
    <n v="588.5"/>
    <n v="588.5"/>
    <n v="88.691840637877647"/>
    <n v="0.8869184063787765"/>
    <n v="3145.28"/>
    <n v="157264"/>
    <n v="786.32"/>
    <s v=""/>
    <x v="16"/>
    <n v="2"/>
    <n v="588.5"/>
    <n v="307"/>
    <n v="301"/>
    <n v="6"/>
    <s v="PA_Alleg_2019p~Rep-school director fox chapel region 2 (vote for 2)"/>
    <n v="3.8152406145080881E-5"/>
    <m/>
    <s v="m"/>
    <n v="0"/>
    <n v="0"/>
    <n v="0"/>
    <n v="0"/>
  </r>
  <r>
    <n v="92"/>
    <n v="92"/>
    <n v="88.691840637877647"/>
    <n v="0.8869184063787765"/>
    <n v="3145.28"/>
    <n v="157264"/>
    <n v="786.32"/>
    <s v=""/>
    <x v="16"/>
    <n v="1"/>
    <n v="92"/>
    <n v="49"/>
    <n v="43"/>
    <n v="6"/>
    <s v="PA_Alleg_2019p~Dem-commissioner scott ward 9 (vote for 1)"/>
    <n v="3.8152406145080881E-5"/>
    <m/>
    <s v="m"/>
    <n v="0"/>
    <n v="0"/>
    <n v="0"/>
    <n v="0"/>
  </r>
  <r>
    <n v="140.82857142857145"/>
    <n v="140.82857142857145"/>
    <n v="86.935552659367531"/>
    <n v="0.86935552659367532"/>
    <n v="3145.28"/>
    <n v="157264"/>
    <n v="786.32"/>
    <s v=""/>
    <x v="16"/>
    <n v="2"/>
    <n v="159"/>
    <n v="72"/>
    <n v="65"/>
    <n v="7"/>
    <s v="PA_Alleg_2019p~Rep-school director quaker valley region 2 (vote for 2)"/>
    <n v="4.4511140502594363E-5"/>
    <m/>
    <s v="m"/>
    <n v="0"/>
    <n v="0"/>
    <n v="0"/>
    <n v="0"/>
  </r>
  <r>
    <n v="203.4375"/>
    <n v="203.4375"/>
    <n v="85.21403209797441"/>
    <n v="0.85214032097974413"/>
    <n v="3145.28"/>
    <n v="157264"/>
    <n v="786.32"/>
    <s v=""/>
    <x v="16"/>
    <n v="2"/>
    <n v="262.5"/>
    <n v="172"/>
    <n v="164"/>
    <n v="8"/>
    <s v="PA_Alleg_2019p~Rep-school director fox chapel region 1 (vote for 2)"/>
    <n v="5.0869874860107844E-5"/>
    <m/>
    <s v="m"/>
    <n v="0"/>
    <n v="0"/>
    <n v="0"/>
    <n v="0"/>
  </r>
  <r>
    <n v="691.64444444444439"/>
    <n v="691.64444444444439"/>
    <n v="83.526590913643005"/>
    <n v="0.83526590913643006"/>
    <n v="3145.28"/>
    <n v="157264"/>
    <n v="786.32"/>
    <s v=""/>
    <x v="16"/>
    <n v="5"/>
    <n v="1004"/>
    <n v="472"/>
    <n v="463"/>
    <n v="9"/>
    <s v="PA_Alleg_2019p~Dem-school director south allegheny (vote for 5)"/>
    <n v="5.7228609217621325E-5"/>
    <m/>
    <s v="m"/>
    <n v="0"/>
    <n v="0"/>
    <n v="0"/>
    <n v="0"/>
  </r>
  <r>
    <n v="112.22000000000001"/>
    <n v="112.22000000000001"/>
    <n v="81.87255467824366"/>
    <n v="0.81872554678243659"/>
    <n v="3145.28"/>
    <n v="157264"/>
    <n v="786.32"/>
    <s v=""/>
    <x v="16"/>
    <n v="1"/>
    <n v="181"/>
    <n v="95"/>
    <n v="85"/>
    <n v="10"/>
    <s v="PA_Alleg_2019p~Rep-school director keystone oaks region 1 (vote for 1)"/>
    <n v="6.35873435751348E-5"/>
    <m/>
    <s v="m"/>
    <n v="0"/>
    <n v="0"/>
    <n v="0"/>
    <n v="0"/>
  </r>
  <r>
    <n v="80.036363636363646"/>
    <n v="80.036363636363646"/>
    <n v="80.251262306363103"/>
    <n v="0.80251262306363103"/>
    <n v="3145.28"/>
    <n v="157264"/>
    <n v="786.32"/>
    <s v=""/>
    <x v="16"/>
    <n v="3"/>
    <n v="142"/>
    <n v="85"/>
    <n v="74"/>
    <n v="11"/>
    <s v="PA_Alleg_2019p~Dem-commissioner springdale township (vote for 3)"/>
    <n v="6.9946077932648288E-5"/>
    <m/>
    <s v="m"/>
    <n v="0"/>
    <n v="0"/>
    <n v="0"/>
    <n v="0"/>
  </r>
  <r>
    <n v="158.96111111111111"/>
    <n v="158.96111111111111"/>
    <n v="78.662065791417859"/>
    <n v="0.78662065791417857"/>
    <n v="3145.28"/>
    <n v="157264"/>
    <n v="786.32"/>
    <s v=""/>
    <x v="16"/>
    <n v="3"/>
    <n v="307.66666666666669"/>
    <n v="158"/>
    <n v="146"/>
    <n v="12"/>
    <s v="PA_Alleg_2019p~Dem-member of council pitcairn (vote for 3)"/>
    <n v="7.6304812290161762E-5"/>
    <m/>
    <s v="m"/>
    <n v="0"/>
    <n v="0"/>
    <n v="0"/>
    <n v="0"/>
  </r>
  <r>
    <n v="133.81666666666669"/>
    <n v="133.81666666666669"/>
    <n v="78.662065791417859"/>
    <n v="0.78662065791417857"/>
    <n v="3145.28"/>
    <n v="157264"/>
    <n v="786.32"/>
    <s v=""/>
    <x v="16"/>
    <n v="1"/>
    <n v="259"/>
    <n v="133"/>
    <n v="121"/>
    <n v="12"/>
    <s v="PA_Alleg_2019p~Rep-school director district 4 (vote for 1)"/>
    <n v="7.6304812290161762E-5"/>
    <m/>
    <s v="m"/>
    <n v="0"/>
    <n v="0"/>
    <n v="0"/>
    <n v="0"/>
  </r>
  <r>
    <n v="47.215384615384615"/>
    <n v="47.215384615384615"/>
    <n v="77.104329946985047"/>
    <n v="0.77104329946985051"/>
    <n v="3145.28"/>
    <n v="157264"/>
    <n v="786.32"/>
    <s v=""/>
    <x v="16"/>
    <n v="3"/>
    <n v="99"/>
    <n v="64"/>
    <n v="51"/>
    <n v="13"/>
    <s v="PA_Alleg_2019p~Rep-commissioner leet (vote for 3)"/>
    <n v="8.2663546647675251E-5"/>
    <m/>
    <s v="m"/>
    <n v="0"/>
    <n v="0"/>
    <n v="0"/>
    <n v="0"/>
  </r>
  <r>
    <n v="459.59714285714284"/>
    <n v="459.59714285714284"/>
    <n v="75.577432153247486"/>
    <n v="0.75577432153247492"/>
    <n v="3145.28"/>
    <n v="157264"/>
    <n v="786.32"/>
    <s v=""/>
    <x v="16"/>
    <n v="5"/>
    <n v="1037.8"/>
    <n v="373"/>
    <n v="359"/>
    <n v="14"/>
    <s v="PA_Alleg_2019p~Rep-school director baldwin whitehall (vote for 5)"/>
    <n v="8.9022281005188725E-5"/>
    <m/>
    <s v="m"/>
    <n v="0"/>
    <n v="0"/>
    <n v="0"/>
    <n v="0"/>
  </r>
  <r>
    <n v="207.99523809523811"/>
    <n v="207.99523809523811"/>
    <n v="75.577432153247486"/>
    <n v="0.75577432153247492"/>
    <n v="3145.28"/>
    <n v="157264"/>
    <n v="786.32"/>
    <s v=""/>
    <x v="16"/>
    <n v="3"/>
    <n v="469.66666666666669"/>
    <n v="332"/>
    <n v="318"/>
    <n v="14"/>
    <s v="PA_Alleg_2019p~Dem-member of council brentwood (vote for 3)"/>
    <n v="8.9022281005188725E-5"/>
    <m/>
    <s v="m"/>
    <n v="0"/>
    <n v="0"/>
    <n v="0"/>
    <n v="0"/>
  </r>
  <r>
    <n v="66.960000000000008"/>
    <n v="66.960000000000008"/>
    <n v="74.080762108452021"/>
    <n v="0.74080762108452014"/>
    <n v="3145.28"/>
    <n v="157264"/>
    <n v="786.32"/>
    <s v=""/>
    <x v="16"/>
    <n v="1"/>
    <n v="162"/>
    <n v="74"/>
    <n v="59"/>
    <n v="15"/>
    <s v="PA_Alleg_2019p~Dem-school director clairton region 2 (vote for 1)"/>
    <n v="9.5381015362702213E-5"/>
    <m/>
    <s v="m"/>
    <n v="0"/>
    <n v="0"/>
    <n v="0"/>
    <n v="0"/>
  </r>
  <r>
    <n v="11.625"/>
    <n v="11.625"/>
    <n v="72.61372158528178"/>
    <n v="0.72613721585281787"/>
    <n v="3145.28"/>
    <n v="157264"/>
    <n v="786.32"/>
    <s v=""/>
    <x v="16"/>
    <n v="1"/>
    <n v="30"/>
    <n v="23"/>
    <n v="7"/>
    <n v="16"/>
    <s v="PA_Alleg_2019p~Dem-mayor mcdonald (vote for 1)"/>
    <n v="1.0173974972021569E-4"/>
    <m/>
    <s v="m"/>
    <n v="0"/>
    <n v="0"/>
    <n v="0"/>
    <n v="0"/>
  </r>
  <r>
    <n v="117.28941176470589"/>
    <n v="117.28941176470589"/>
    <n v="71.175724192020922"/>
    <n v="0.71175724192020928"/>
    <n v="3145.28"/>
    <n v="157264"/>
    <n v="786.32"/>
    <s v=""/>
    <x v="16"/>
    <n v="5"/>
    <n v="321.60000000000002"/>
    <n v="167"/>
    <n v="150"/>
    <n v="17"/>
    <s v="PA_Alleg_2019p~Rep-school director south allegheny (vote for 5)"/>
    <n v="1.0809848407772916E-4"/>
    <m/>
    <s v="m"/>
    <n v="0"/>
    <n v="0"/>
    <n v="0"/>
    <n v="0"/>
  </r>
  <r>
    <n v="88.258823529411771"/>
    <n v="88.258823529411771"/>
    <n v="71.175724192020922"/>
    <n v="0.71175724192020928"/>
    <n v="3145.28"/>
    <n v="157264"/>
    <n v="786.32"/>
    <s v=""/>
    <x v="16"/>
    <n v="2"/>
    <n v="242"/>
    <n v="147"/>
    <n v="130"/>
    <n v="17"/>
    <s v="PA_Alleg_2019p~Dem-school director quaker valley region 2 (vote for 2)"/>
    <n v="1.0809848407772916E-4"/>
    <m/>
    <s v="m"/>
    <n v="0"/>
    <n v="0"/>
    <n v="0"/>
    <n v="0"/>
  </r>
  <r>
    <n v="133.85111111111112"/>
    <n v="133.85111111111112"/>
    <n v="69.76619513856555"/>
    <n v="0.69766195138565557"/>
    <n v="3145.28"/>
    <n v="157264"/>
    <n v="786.32"/>
    <s v=""/>
    <x v="16"/>
    <n v="5"/>
    <n v="388.6"/>
    <n v="237"/>
    <n v="219"/>
    <n v="18"/>
    <s v="PA_Alleg_2019p~Rep-school director south fayette (vote for 5)"/>
    <n v="1.1445721843524265E-4"/>
    <m/>
    <s v="m"/>
    <n v="0"/>
    <n v="0"/>
    <n v="0"/>
    <n v="0"/>
  </r>
  <r>
    <n v="120.21111111111111"/>
    <n v="120.21111111111111"/>
    <n v="69.76619513856555"/>
    <n v="0.69766195138565557"/>
    <n v="3145.28"/>
    <n v="157264"/>
    <n v="786.32"/>
    <s v=""/>
    <x v="16"/>
    <n v="1"/>
    <n v="349"/>
    <n v="182"/>
    <n v="164"/>
    <n v="18"/>
    <s v="PA_Alleg_2019p~Dem-commissioner harrison ward 3 (vote for 1)"/>
    <n v="1.1445721843524265E-4"/>
    <m/>
    <s v="m"/>
    <n v="0"/>
    <n v="0"/>
    <n v="0"/>
    <n v="0"/>
  </r>
  <r>
    <n v="35.133333333333333"/>
    <n v="35.133333333333333"/>
    <n v="69.76619513856555"/>
    <n v="0.69766195138565557"/>
    <n v="3145.28"/>
    <n v="157264"/>
    <n v="786.32"/>
    <s v=""/>
    <x v="16"/>
    <n v="1"/>
    <n v="102"/>
    <n v="60"/>
    <n v="42"/>
    <n v="18"/>
    <s v="PA_Alleg_2019p~Dem-member of council braddock ward 2 (vote for 1)"/>
    <n v="1.1445721843524265E-4"/>
    <m/>
    <s v="m"/>
    <n v="0"/>
    <n v="0"/>
    <n v="0"/>
    <n v="0"/>
  </r>
  <r>
    <n v="280.46842105263158"/>
    <n v="280.46842105263158"/>
    <n v="68.384571006812749"/>
    <n v="0.68384571006812744"/>
    <n v="3145.28"/>
    <n v="157264"/>
    <n v="786.32"/>
    <s v=""/>
    <x v="16"/>
    <n v="2"/>
    <n v="859.5"/>
    <n v="519"/>
    <n v="500"/>
    <n v="19"/>
    <s v="PA_Alleg_2019p~Rep-member of council hampton (vote for 2)"/>
    <n v="1.2081595279275612E-4"/>
    <m/>
    <s v="m"/>
    <n v="0"/>
    <n v="0"/>
    <n v="0"/>
    <n v="0"/>
  </r>
  <r>
    <n v="106.05263157894737"/>
    <n v="106.05263157894737"/>
    <n v="68.384571006812749"/>
    <n v="0.68384571006812744"/>
    <n v="3145.28"/>
    <n v="157264"/>
    <n v="786.32"/>
    <s v=""/>
    <x v="16"/>
    <n v="1"/>
    <n v="325"/>
    <n v="171"/>
    <n v="152"/>
    <n v="19"/>
    <s v="PA_Alleg_2019p~Rep-member of council mccandless ward 5 (vote for 1)"/>
    <n v="1.2081595279275612E-4"/>
    <m/>
    <s v="m"/>
    <n v="0"/>
    <n v="0"/>
    <n v="0"/>
    <n v="0"/>
  </r>
  <r>
    <n v="229.58600000000001"/>
    <n v="229.58600000000001"/>
    <n v="67.030299525838004"/>
    <n v="0.67030299525838"/>
    <n v="3145.28"/>
    <n v="157264"/>
    <n v="786.32"/>
    <s v=""/>
    <x v="16"/>
    <n v="5"/>
    <n v="740.6"/>
    <n v="460"/>
    <n v="440"/>
    <n v="20"/>
    <s v="PA_Alleg_2019p~Rep-school director gateway (vote for 5)"/>
    <n v="1.271746871502696E-4"/>
    <m/>
    <s v="m"/>
    <n v="0"/>
    <n v="0"/>
    <n v="0"/>
    <n v="0"/>
  </r>
  <r>
    <n v="75.285714285714292"/>
    <n v="75.285714285714292"/>
    <n v="65.702839351393749"/>
    <n v="0.65702839351393749"/>
    <n v="3145.28"/>
    <n v="157264"/>
    <n v="786.32"/>
    <s v=""/>
    <x v="16"/>
    <n v="1"/>
    <n v="255"/>
    <n v="131"/>
    <n v="110"/>
    <n v="21"/>
    <s v="PA_Alleg_2019p~Dem-member of council liberty (vote for 1)"/>
    <n v="1.335334215077831E-4"/>
    <m/>
    <s v="m"/>
    <n v="0"/>
    <n v="0"/>
    <n v="0"/>
    <n v="0"/>
  </r>
  <r>
    <n v="51.814285714285717"/>
    <n v="51.814285714285717"/>
    <n v="65.702839351393749"/>
    <n v="0.65702839351393749"/>
    <n v="3145.28"/>
    <n v="157264"/>
    <n v="786.32"/>
    <s v=""/>
    <x v="16"/>
    <n v="2"/>
    <n v="175.5"/>
    <n v="107"/>
    <n v="86"/>
    <n v="21"/>
    <s v="PA_Alleg_2019p~Dem-member of council at-large east pittsburgh (vote for 2)"/>
    <n v="1.335334215077831E-4"/>
    <m/>
    <s v="m"/>
    <n v="0"/>
    <n v="0"/>
    <n v="0"/>
    <n v="0"/>
  </r>
  <r>
    <n v="776.24"/>
    <n v="776.24"/>
    <n v="64.401659849792523"/>
    <n v="0.64401659849792525"/>
    <n v="3145.28"/>
    <n v="157264"/>
    <n v="786.32"/>
    <s v=""/>
    <x v="16"/>
    <n v="5"/>
    <n v="2754.4"/>
    <n v="1150"/>
    <n v="1128"/>
    <n v="22"/>
    <s v="PA_Alleg_2019p~Dem-school director baldwin whitehall (vote for 5)"/>
    <n v="1.3989215586529658E-4"/>
    <m/>
    <s v="m"/>
    <n v="0"/>
    <n v="0"/>
    <n v="0"/>
    <n v="0"/>
  </r>
  <r>
    <n v="318.03304347826082"/>
    <n v="318.03304347826082"/>
    <n v="63.126240886063357"/>
    <n v="0.63126240886063356"/>
    <n v="3145.28"/>
    <n v="157264"/>
    <n v="786.32"/>
    <s v=""/>
    <x v="16"/>
    <n v="5"/>
    <n v="1179.8"/>
    <n v="724"/>
    <n v="701"/>
    <n v="23"/>
    <s v="PA_Alleg_2019p~Rep-school director upper saint clair (vote for 5)"/>
    <n v="1.4625089022281005E-4"/>
    <m/>
    <s v="m"/>
    <n v="0"/>
    <n v="0"/>
    <n v="0"/>
    <n v="0"/>
  </r>
  <r>
    <n v="143.94782608695652"/>
    <n v="143.94782608695652"/>
    <n v="63.126240886063357"/>
    <n v="0.63126240886063356"/>
    <n v="3145.28"/>
    <n v="157264"/>
    <n v="786.32"/>
    <s v=""/>
    <x v="16"/>
    <n v="1"/>
    <n v="534"/>
    <n v="273"/>
    <n v="250"/>
    <n v="23"/>
    <s v="PA_Alleg_2019p~Rep-school director fox chapel region 3 (vote for 1)"/>
    <n v="1.4625089022281005E-4"/>
    <m/>
    <s v="m"/>
    <n v="0"/>
    <n v="0"/>
    <n v="0"/>
    <n v="0"/>
  </r>
  <r>
    <n v="66.463999999999999"/>
    <n v="66.463999999999999"/>
    <n v="60.650655284096679"/>
    <n v="0.60650655284096677"/>
    <n v="3145.28"/>
    <n v="157264"/>
    <n v="786.32"/>
    <s v=""/>
    <x v="16"/>
    <n v="1"/>
    <n v="268"/>
    <n v="110"/>
    <n v="85"/>
    <n v="25"/>
    <s v="PA_Alleg_2019p~Dem-school director pine richland region 3 (vote for 1)"/>
    <n v="1.58968358937837E-4"/>
    <m/>
    <s v="m"/>
    <n v="0"/>
    <n v="0"/>
    <n v="0"/>
    <n v="0"/>
  </r>
  <r>
    <n v="58.096296296296302"/>
    <n v="58.096296296296302"/>
    <n v="58.272123651172137"/>
    <n v="0.58272123651172136"/>
    <n v="3145.28"/>
    <n v="157264"/>
    <n v="786.32"/>
    <s v=""/>
    <x v="16"/>
    <n v="1"/>
    <n v="253"/>
    <n v="139"/>
    <n v="112"/>
    <n v="27"/>
    <s v="PA_Alleg_2019p~Dem-member of council bellevue ward 1 (vote for 1)"/>
    <n v="1.7168582765286398E-4"/>
    <m/>
    <s v="m"/>
    <n v="0"/>
    <n v="0"/>
    <n v="0"/>
    <n v="0"/>
  </r>
  <r>
    <n v="279.96444444444444"/>
    <n v="279.96444444444444"/>
    <n v="54.878022527140303"/>
    <n v="0.54878022527140302"/>
    <n v="3145.28"/>
    <n v="157264"/>
    <n v="786.32"/>
    <s v=""/>
    <x v="16"/>
    <n v="3"/>
    <n v="1354.6666666666667"/>
    <n v="656"/>
    <n v="626"/>
    <n v="30"/>
    <s v="PA_Alleg_2019p~Dem-member of council munhall (vote for 3)"/>
    <n v="1.9076203072540443E-4"/>
    <m/>
    <s v="m"/>
    <n v="0"/>
    <n v="0"/>
    <n v="0"/>
    <n v="0"/>
  </r>
  <r>
    <n v="58.569333333333333"/>
    <n v="58.569333333333333"/>
    <n v="54.878022527140303"/>
    <n v="0.54878022527140302"/>
    <n v="3145.28"/>
    <n v="157264"/>
    <n v="786.32"/>
    <s v=""/>
    <x v="16"/>
    <n v="5"/>
    <n v="283.39999999999998"/>
    <n v="193"/>
    <n v="163"/>
    <n v="30"/>
    <s v="PA_Alleg_2019p~Rep-school director riverview (vote for 5)"/>
    <n v="1.9076203072540443E-4"/>
    <m/>
    <s v="m"/>
    <n v="0"/>
    <n v="0"/>
    <n v="0"/>
    <n v="0"/>
  </r>
  <r>
    <n v="36.373333333333335"/>
    <n v="36.373333333333335"/>
    <n v="54.878022527140303"/>
    <n v="0.54878022527140302"/>
    <n v="3145.28"/>
    <n v="157264"/>
    <n v="786.32"/>
    <s v=""/>
    <x v="16"/>
    <n v="1"/>
    <n v="176"/>
    <n v="103"/>
    <n v="73"/>
    <n v="30"/>
    <s v="PA_Alleg_2019p~Dem-school director east allegheny region 1 (vote for 1)"/>
    <n v="1.9076203072540443E-4"/>
    <m/>
    <s v="m"/>
    <n v="0"/>
    <n v="0"/>
    <n v="0"/>
    <n v="0"/>
  </r>
  <r>
    <n v="41.333333333333336"/>
    <n v="41.333333333333336"/>
    <n v="54.878022527140303"/>
    <n v="0.54878022527140302"/>
    <n v="3145.28"/>
    <n v="157264"/>
    <n v="786.32"/>
    <s v=""/>
    <x v="16"/>
    <n v="1"/>
    <n v="200"/>
    <n v="88"/>
    <n v="58"/>
    <n v="30"/>
    <s v="PA_Alleg_2019p~Rep-school director pine richland region 3 (vote for 1)"/>
    <n v="1.9076203072540443E-4"/>
    <m/>
    <s v="m"/>
    <n v="0"/>
    <n v="0"/>
    <n v="0"/>
    <n v="0"/>
  </r>
  <r>
    <n v="13.600000000000001"/>
    <n v="13.600000000000001"/>
    <n v="53.791156187280855"/>
    <n v="0.53791156187280853"/>
    <n v="3145.28"/>
    <n v="157264"/>
    <n v="786.32"/>
    <s v=""/>
    <x v="16"/>
    <n v="1"/>
    <n v="68"/>
    <n v="49"/>
    <n v="18"/>
    <n v="31"/>
    <s v="PA_Alleg_2019p~Dem-member of council braddock ward 3 (vote for 1)"/>
    <n v="1.971207650829179E-4"/>
    <m/>
    <s v="m"/>
    <n v="0"/>
    <n v="0"/>
    <n v="0"/>
    <n v="0"/>
  </r>
  <r>
    <n v="61.354166666666671"/>
    <n v="61.354166666666671"/>
    <n v="52.725808667939219"/>
    <n v="0.52725808667939222"/>
    <n v="3145.28"/>
    <n v="157264"/>
    <n v="786.32"/>
    <s v=""/>
    <x v="16"/>
    <n v="3"/>
    <n v="316.66666666666669"/>
    <n v="207"/>
    <n v="175"/>
    <n v="32"/>
    <s v="PA_Alleg_2019p~Dem-member of council west homestead (vote for 3)"/>
    <n v="2.0347949944043138E-4"/>
    <m/>
    <s v="m"/>
    <n v="0"/>
    <n v="0"/>
    <n v="0"/>
    <n v="0"/>
  </r>
  <r>
    <n v="33.06666666666667"/>
    <n v="33.06666666666667"/>
    <n v="52.725808667939219"/>
    <n v="0.52725808667939222"/>
    <n v="3145.28"/>
    <n v="157264"/>
    <n v="786.32"/>
    <s v=""/>
    <x v="16"/>
    <n v="3"/>
    <n v="170.66666666666666"/>
    <n v="123"/>
    <n v="91"/>
    <n v="32"/>
    <s v="PA_Alleg_2019p~Dem-member of council braddock hills (vote for 3)"/>
    <n v="2.0347949944043138E-4"/>
    <m/>
    <s v="m"/>
    <n v="0"/>
    <n v="0"/>
    <n v="0"/>
    <n v="0"/>
  </r>
  <r>
    <n v="25.768750000000001"/>
    <n v="25.768750000000001"/>
    <n v="52.725808667939219"/>
    <n v="0.52725808667939222"/>
    <n v="3145.28"/>
    <n v="157264"/>
    <n v="786.32"/>
    <s v=""/>
    <x v="16"/>
    <n v="1"/>
    <n v="133"/>
    <n v="76"/>
    <n v="44"/>
    <n v="32"/>
    <s v="PA_Alleg_2019p~Dem-member of council tarentum ward 3 (vote for 1)"/>
    <n v="2.0347949944043138E-4"/>
    <m/>
    <s v="m"/>
    <n v="0"/>
    <n v="0"/>
    <n v="0"/>
    <n v="0"/>
  </r>
  <r>
    <n v="111.52484848484849"/>
    <n v="111.52484848484849"/>
    <n v="51.681554051715352"/>
    <n v="0.5168155405171535"/>
    <n v="3145.28"/>
    <n v="157264"/>
    <n v="786.32"/>
    <s v=""/>
    <x v="16"/>
    <n v="5"/>
    <n v="593.6"/>
    <n v="410"/>
    <n v="377"/>
    <n v="33"/>
    <s v="PA_Alleg_2019p~Dem-school director allegheny valley (vote for 5)"/>
    <n v="2.0983823379794485E-4"/>
    <m/>
    <s v="m"/>
    <n v="0"/>
    <n v="0"/>
    <n v="0"/>
    <n v="0"/>
  </r>
  <r>
    <n v="182.58162162162162"/>
    <n v="182.58162162162162"/>
    <n v="47.707237753531849"/>
    <n v="0.4770723775353185"/>
    <n v="3145.28"/>
    <n v="157264"/>
    <n v="786.32"/>
    <s v=""/>
    <x v="16"/>
    <n v="5"/>
    <n v="1089.5999999999999"/>
    <n v="730"/>
    <n v="693"/>
    <n v="37"/>
    <s v="PA_Alleg_2019p~Dem-school director upper saint clair (vote for 5)"/>
    <n v="2.3527317122799878E-4"/>
    <m/>
    <s v="m"/>
    <n v="0"/>
    <n v="0"/>
    <n v="0"/>
    <n v="0"/>
  </r>
  <r>
    <n v="54.45945945945946"/>
    <n v="54.45945945945946"/>
    <n v="47.707237753531849"/>
    <n v="0.4770723775353185"/>
    <n v="3145.28"/>
    <n v="157264"/>
    <n v="786.32"/>
    <s v=""/>
    <x v="16"/>
    <n v="1"/>
    <n v="325"/>
    <n v="180"/>
    <n v="143"/>
    <n v="37"/>
    <s v="PA_Alleg_2019p~Dem-member of council pitcairn (vote for 1)"/>
    <n v="2.3527317122799878E-4"/>
    <m/>
    <s v="m"/>
    <n v="0"/>
    <n v="0"/>
    <n v="0"/>
    <n v="0"/>
  </r>
  <r>
    <n v="46.583783783783787"/>
    <n v="46.583783783783787"/>
    <n v="47.707237753531849"/>
    <n v="0.4770723775353185"/>
    <n v="3145.28"/>
    <n v="157264"/>
    <n v="786.32"/>
    <s v=""/>
    <x v="16"/>
    <n v="1"/>
    <n v="278"/>
    <n v="156"/>
    <n v="119"/>
    <n v="37"/>
    <s v="PA_Alleg_2019p~Dem-member of council aspinwall (vote for 1)"/>
    <n v="2.3527317122799878E-4"/>
    <m/>
    <s v="m"/>
    <n v="0"/>
    <n v="0"/>
    <n v="0"/>
    <n v="0"/>
  </r>
  <r>
    <n v="45.357894736842105"/>
    <n v="45.357894736842105"/>
    <n v="46.762348087405648"/>
    <n v="0.46762348087405647"/>
    <n v="3145.28"/>
    <n v="157264"/>
    <n v="786.32"/>
    <s v=""/>
    <x v="16"/>
    <n v="1"/>
    <n v="278"/>
    <n v="141"/>
    <n v="103"/>
    <n v="38"/>
    <s v="PA_Alleg_2019p~Dem-mayor braddock (vote for 1)"/>
    <n v="2.4163190558551225E-4"/>
    <m/>
    <s v="m"/>
    <n v="0"/>
    <n v="0"/>
    <n v="0"/>
    <n v="0"/>
  </r>
  <r>
    <n v="99.122500000000016"/>
    <n v="99.122500000000016"/>
    <n v="44.928324407388772"/>
    <n v="0.4492832440738877"/>
    <n v="3145.28"/>
    <n v="157264"/>
    <n v="786.32"/>
    <s v=""/>
    <x v="16"/>
    <n v="2"/>
    <n v="639.5"/>
    <n v="328"/>
    <n v="288"/>
    <n v="40"/>
    <s v="PA_Alleg_2019p~Dem-member of council wilkinsburg ward 1 (vote for 2)"/>
    <n v="2.543493743005392E-4"/>
    <m/>
    <s v="m"/>
    <n v="0"/>
    <n v="0"/>
    <n v="0"/>
    <n v="0"/>
  </r>
  <r>
    <n v="46.655000000000001"/>
    <n v="46.655000000000001"/>
    <n v="44.928324407388772"/>
    <n v="0.4492832440738877"/>
    <n v="3145.28"/>
    <n v="157264"/>
    <n v="786.32"/>
    <s v=""/>
    <x v="16"/>
    <n v="1"/>
    <n v="301"/>
    <n v="121"/>
    <n v="81"/>
    <n v="40"/>
    <s v="PA_Alleg_2019p~Dem-supervisor fawn (vote for 1)"/>
    <n v="2.543493743005392E-4"/>
    <m/>
    <s v="m"/>
    <n v="0"/>
    <n v="0"/>
    <n v="0"/>
    <n v="0"/>
  </r>
  <r>
    <n v="25.42"/>
    <n v="25.42"/>
    <n v="44.928324407388772"/>
    <n v="0.4492832440738877"/>
    <n v="3145.28"/>
    <n v="157264"/>
    <n v="786.32"/>
    <s v=""/>
    <x v="16"/>
    <n v="1"/>
    <n v="164"/>
    <n v="102"/>
    <n v="62"/>
    <n v="40"/>
    <s v="PA_Alleg_2019p~Dem-commissioner scott ward 1 (vote for 1)"/>
    <n v="2.543493743005392E-4"/>
    <m/>
    <s v="m"/>
    <n v="0"/>
    <n v="0"/>
    <n v="0"/>
    <n v="0"/>
  </r>
  <r>
    <n v="328.81170731707317"/>
    <n v="328.81170731707317"/>
    <n v="44.038457095634755"/>
    <n v="0.44038457095634753"/>
    <n v="3145.28"/>
    <n v="157264"/>
    <n v="786.32"/>
    <s v=""/>
    <x v="16"/>
    <n v="5"/>
    <n v="2174.4"/>
    <n v="1100"/>
    <n v="1059"/>
    <n v="41"/>
    <s v="PA_Alleg_2019p~Rep-school director bethel park (vote for 5)"/>
    <n v="2.6070810865805273E-4"/>
    <m/>
    <s v="m"/>
    <n v="0"/>
    <n v="0"/>
    <n v="0"/>
    <n v="0"/>
  </r>
  <r>
    <n v="38.712195121951218"/>
    <n v="38.712195121951218"/>
    <n v="44.038457095634755"/>
    <n v="0.44038457095634753"/>
    <n v="3145.28"/>
    <n v="157264"/>
    <n v="786.32"/>
    <s v=""/>
    <x v="16"/>
    <n v="1"/>
    <n v="256"/>
    <n v="133"/>
    <n v="92"/>
    <n v="41"/>
    <s v="PA_Alleg_2019p~Dem-member of council at-large tarentum (vote for 1)"/>
    <n v="2.6070810865805273E-4"/>
    <m/>
    <s v="m"/>
    <n v="0"/>
    <n v="0"/>
    <n v="0"/>
    <n v="0"/>
  </r>
  <r>
    <n v="85.284444444444446"/>
    <n v="85.284444444444446"/>
    <n v="40.651730143701641"/>
    <n v="0.40651730143701642"/>
    <n v="3145.28"/>
    <n v="157264"/>
    <n v="786.32"/>
    <s v=""/>
    <x v="16"/>
    <n v="3"/>
    <n v="619"/>
    <n v="368"/>
    <n v="323"/>
    <n v="45"/>
    <s v="PA_Alleg_2019p~Dem-commissioner stowe (vote for 3)"/>
    <n v="2.8614304608810663E-4"/>
    <m/>
    <s v="m"/>
    <n v="0"/>
    <n v="0"/>
    <n v="0"/>
    <n v="0"/>
  </r>
  <r>
    <n v="20.666666666666668"/>
    <n v="20.666666666666668"/>
    <n v="40.651730143701641"/>
    <n v="0.40651730143701642"/>
    <n v="3145.28"/>
    <n v="157264"/>
    <n v="786.32"/>
    <s v=""/>
    <x v="16"/>
    <n v="1"/>
    <n v="150"/>
    <n v="97"/>
    <n v="52"/>
    <n v="45"/>
    <s v="PA_Alleg_2019p~Dem-member of council homestead ward 1 (vote for 1)"/>
    <n v="2.8614304608810663E-4"/>
    <m/>
    <s v="m"/>
    <n v="0"/>
    <n v="0"/>
    <n v="0"/>
    <n v="0"/>
  </r>
  <r>
    <n v="147.76666666666665"/>
    <n v="147.76666666666665"/>
    <n v="39.846541317133436"/>
    <n v="0.39846541317133438"/>
    <n v="3145.28"/>
    <n v="157264"/>
    <n v="786.32"/>
    <s v=""/>
    <x v="16"/>
    <n v="3"/>
    <n v="1096.3333333333333"/>
    <n v="692"/>
    <n v="646"/>
    <n v="46"/>
    <s v="PA_Alleg_2019p~Dem-member of council swissvale (vote for 3)"/>
    <n v="2.925017804456201E-4"/>
    <m/>
    <s v="m"/>
    <n v="0"/>
    <n v="0"/>
    <n v="0"/>
    <n v="0"/>
  </r>
  <r>
    <n v="50.919148936170217"/>
    <n v="50.919148936170217"/>
    <n v="39.057295895797104"/>
    <n v="0.39057295895797101"/>
    <n v="3145.28"/>
    <n v="157264"/>
    <n v="786.32"/>
    <s v=""/>
    <x v="16"/>
    <n v="1"/>
    <n v="386"/>
    <n v="216"/>
    <n v="169"/>
    <n v="47"/>
    <s v="PA_Alleg_2019p~Dem-member of council monroeville ward 6 (vote for 1)"/>
    <n v="2.9886051480313358E-4"/>
    <m/>
    <s v="m"/>
    <n v="0"/>
    <n v="0"/>
    <n v="0"/>
    <n v="0"/>
  </r>
  <r>
    <n v="242.32679738562092"/>
    <n v="242.32679738562092"/>
    <n v="36.053529316726021"/>
    <n v="0.36053529316726024"/>
    <n v="3145.28"/>
    <n v="157264"/>
    <n v="786.32"/>
    <s v=""/>
    <x v="16"/>
    <n v="3"/>
    <n v="1993.3333333333333"/>
    <n v="1120"/>
    <n v="1069"/>
    <n v="51"/>
    <s v="PA_Alleg_2019p~Dem-member of council west mifflin (vote for 3)"/>
    <n v="3.2429545223318753E-4"/>
    <m/>
    <s v="m"/>
    <n v="0"/>
    <n v="0"/>
    <n v="0"/>
    <n v="0"/>
  </r>
  <r>
    <n v="69.304727272727263"/>
    <n v="69.304727272727263"/>
    <n v="33.28070466025931"/>
    <n v="0.33280704660259314"/>
    <n v="3145.28"/>
    <n v="157264"/>
    <n v="786.32"/>
    <s v=""/>
    <x v="16"/>
    <n v="5"/>
    <n v="614.79999999999995"/>
    <n v="391"/>
    <n v="336"/>
    <n v="55"/>
    <s v="PA_Alleg_2019p~Dem-school director hampton (vote for 5)"/>
    <n v="3.4973038966324143E-4"/>
    <m/>
    <s v="m"/>
    <n v="0"/>
    <n v="0"/>
    <n v="0"/>
    <n v="0"/>
  </r>
  <r>
    <n v="15.781818181818183"/>
    <n v="15.781818181818183"/>
    <n v="33.28070466025931"/>
    <n v="0.33280704660259314"/>
    <n v="3145.28"/>
    <n v="157264"/>
    <n v="786.32"/>
    <s v=""/>
    <x v="16"/>
    <n v="1"/>
    <n v="140"/>
    <n v="97"/>
    <n v="42"/>
    <n v="55"/>
    <s v="PA_Alleg_2019p~Dem-member of council homestead ward 3 (vote for 1)"/>
    <n v="3.4973038966324143E-4"/>
    <m/>
    <s v="m"/>
    <n v="0"/>
    <n v="0"/>
    <n v="0"/>
    <n v="0"/>
  </r>
  <r>
    <n v="77.880701754385967"/>
    <n v="77.880701754385967"/>
    <n v="31.975293957451157"/>
    <n v="0.31975293957451156"/>
    <n v="3145.28"/>
    <n v="157264"/>
    <n v="786.32"/>
    <s v=""/>
    <x v="16"/>
    <n v="2"/>
    <n v="716"/>
    <n v="442"/>
    <n v="385"/>
    <n v="57"/>
    <s v="PA_Alleg_2019p~Dem-school director fox chapel region 1 (vote for 2)"/>
    <n v="3.6244785837826837E-4"/>
    <m/>
    <s v="m"/>
    <n v="0"/>
    <n v="0"/>
    <n v="0"/>
    <n v="0"/>
  </r>
  <r>
    <n v="28.755172413793105"/>
    <n v="28.755172413793105"/>
    <n v="31.341911441896514"/>
    <n v="0.31341911441896514"/>
    <n v="3145.28"/>
    <n v="157264"/>
    <n v="786.32"/>
    <s v=""/>
    <x v="16"/>
    <n v="3"/>
    <n v="269"/>
    <n v="191"/>
    <n v="133"/>
    <n v="58"/>
    <s v="PA_Alleg_2019p~Dem-member of council sharpsburg (vote for 3)"/>
    <n v="3.6880659273578185E-4"/>
    <m/>
    <s v="m"/>
    <n v="0"/>
    <n v="0"/>
    <n v="0"/>
    <n v="0"/>
  </r>
  <r>
    <n v="24.8"/>
    <n v="24.8"/>
    <n v="31.341911441896514"/>
    <n v="0.31341911441896514"/>
    <n v="3145.28"/>
    <n v="157264"/>
    <n v="786.32"/>
    <s v=""/>
    <x v="16"/>
    <n v="1"/>
    <n v="232"/>
    <n v="145"/>
    <n v="87"/>
    <n v="58"/>
    <s v="PA_Alleg_2019p~Dem-member of council clairton ward 4 (vote for 1)"/>
    <n v="3.6880659273578185E-4"/>
    <m/>
    <s v="m"/>
    <n v="0"/>
    <n v="0"/>
    <n v="0"/>
    <n v="0"/>
  </r>
  <r>
    <n v="257.61"/>
    <n v="257.61"/>
    <n v="30.112525456199528"/>
    <n v="0.30112525456199529"/>
    <n v="3145.28"/>
    <n v="157264"/>
    <n v="786.32"/>
    <s v=""/>
    <x v="16"/>
    <n v="5"/>
    <n v="2493"/>
    <n v="979"/>
    <n v="919"/>
    <n v="60"/>
    <s v="PA_Alleg_2019p~Dem-school director north allegheny (vote for 5)"/>
    <n v="3.8152406145080885E-4"/>
    <m/>
    <s v="m"/>
    <n v="0"/>
    <n v="0"/>
    <n v="0"/>
    <n v="0"/>
  </r>
  <r>
    <n v="90.21"/>
    <n v="90.21"/>
    <n v="30.112525456199528"/>
    <n v="0.30112525456199529"/>
    <n v="3145.28"/>
    <n v="157264"/>
    <n v="786.32"/>
    <s v=""/>
    <x v="16"/>
    <n v="1"/>
    <n v="873"/>
    <n v="408"/>
    <n v="348"/>
    <n v="60"/>
    <s v="PA_Alleg_2019p~Dem-member of council wilkinsburg ward 3 (vote for 1)"/>
    <n v="3.8152406145080885E-4"/>
    <m/>
    <s v="m"/>
    <n v="0"/>
    <n v="0"/>
    <n v="0"/>
    <n v="0"/>
  </r>
  <r>
    <n v="19.324923076923078"/>
    <n v="19.324923076923078"/>
    <n v="27.245856524784585"/>
    <n v="0.27245856524784584"/>
    <n v="3145.28"/>
    <n v="157264"/>
    <n v="786.32"/>
    <s v=""/>
    <x v="16"/>
    <n v="5"/>
    <n v="202.6"/>
    <n v="162"/>
    <n v="97"/>
    <n v="65"/>
    <s v="PA_Alleg_2019p~Rep-school director northgate (vote for 5)"/>
    <n v="4.1331773323837623E-4"/>
    <m/>
    <s v="m"/>
    <n v="0"/>
    <n v="0"/>
    <n v="0"/>
    <n v="0"/>
  </r>
  <r>
    <n v="26.650746268656718"/>
    <n v="26.650746268656718"/>
    <n v="26.177091585096779"/>
    <n v="0.26177091585096779"/>
    <n v="3145.28"/>
    <n v="157264"/>
    <n v="786.32"/>
    <s v=""/>
    <x v="16"/>
    <n v="1"/>
    <n v="288"/>
    <n v="175"/>
    <n v="108"/>
    <n v="67"/>
    <s v="PA_Alleg_2019p~Dem-member of council coraopolis ward 3 (vote for 1)"/>
    <n v="4.2603520195340317E-4"/>
    <m/>
    <s v="m"/>
    <n v="0"/>
    <n v="0"/>
    <n v="0"/>
    <n v="0"/>
  </r>
  <r>
    <n v="71.903013698630147"/>
    <n v="71.903013698630147"/>
    <n v="23.215756883171888"/>
    <n v="0.2321575688317189"/>
    <n v="3145.28"/>
    <n v="157264"/>
    <n v="786.32"/>
    <s v=""/>
    <x v="16"/>
    <n v="5"/>
    <n v="846.6"/>
    <n v="687"/>
    <n v="614"/>
    <n v="73"/>
    <s v="PA_Alleg_2019p~Dem-school director elizabeth forward (vote for 5)"/>
    <n v="4.6418760809848408E-4"/>
    <m/>
    <s v="m"/>
    <n v="0"/>
    <n v="0"/>
    <n v="0"/>
    <n v="0"/>
  </r>
  <r>
    <n v="34.31232876712329"/>
    <n v="34.31232876712329"/>
    <n v="23.215756883171888"/>
    <n v="0.2321575688317189"/>
    <n v="3145.28"/>
    <n v="157264"/>
    <n v="786.32"/>
    <s v=""/>
    <x v="16"/>
    <n v="1"/>
    <n v="404"/>
    <n v="237"/>
    <n v="164"/>
    <n v="73"/>
    <s v="PA_Alleg_2019p~Dem-commissioner shaler ward 1 (vote for 1)"/>
    <n v="4.6418760809848408E-4"/>
    <m/>
    <s v="m"/>
    <n v="0"/>
    <n v="0"/>
    <n v="0"/>
    <n v="0"/>
  </r>
  <r>
    <n v="75.134210526315798"/>
    <n v="75.134210526315798"/>
    <n v="21.863154721172691"/>
    <n v="0.21863154721172692"/>
    <n v="3145.28"/>
    <n v="157264"/>
    <n v="786.32"/>
    <s v=""/>
    <x v="16"/>
    <n v="1"/>
    <n v="921"/>
    <n v="426"/>
    <n v="350"/>
    <n v="76"/>
    <s v="PA_Alleg_2019p~Dem-school director west allegheny region 2 (vote for 1)"/>
    <n v="4.832638111710245E-4"/>
    <m/>
    <s v="m"/>
    <n v="0"/>
    <n v="0"/>
    <n v="0"/>
    <n v="0"/>
  </r>
  <r>
    <n v="18.293827160493827"/>
    <n v="18.293827160493827"/>
    <n v="19.781612529815245"/>
    <n v="0.19781612529815246"/>
    <n v="3145.28"/>
    <n v="157264"/>
    <n v="786.32"/>
    <s v=""/>
    <x v="16"/>
    <n v="1"/>
    <n v="239"/>
    <n v="160"/>
    <n v="79"/>
    <n v="81"/>
    <s v="PA_Alleg_2019p~Rep-commissioner shaler ward 7 (vote for 1)"/>
    <n v="5.1505748295859193E-4"/>
    <m/>
    <s v="m"/>
    <n v="0"/>
    <n v="0"/>
    <n v="0"/>
    <n v="0"/>
  </r>
  <r>
    <n v="43.599540229885058"/>
    <n v="43.599540229885058"/>
    <n v="17.543591311866209"/>
    <n v="0.17543591311866208"/>
    <n v="3145.28"/>
    <n v="157264"/>
    <n v="786.32"/>
    <s v=""/>
    <x v="16"/>
    <n v="5"/>
    <n v="611.79999999999995"/>
    <n v="411"/>
    <n v="324"/>
    <n v="87"/>
    <s v="PA_Alleg_2019p~Dem-school director south fayette (vote for 5)"/>
    <n v="5.5320988910367277E-4"/>
    <m/>
    <s v="m"/>
    <n v="0"/>
    <n v="0"/>
    <n v="0"/>
    <n v="0"/>
  </r>
  <r>
    <n v="99.530898876404493"/>
    <n v="99.530898876404493"/>
    <n v="16.85531977346151"/>
    <n v="0.16855319773461508"/>
    <n v="3145.28"/>
    <n v="157264"/>
    <n v="786.32"/>
    <s v=""/>
    <x v="16"/>
    <n v="4"/>
    <n v="1428.75"/>
    <n v="870"/>
    <n v="781"/>
    <n v="89"/>
    <s v="PA_Alleg_2019p~Dem-member of council mckeesport (vote for 4)"/>
    <n v="5.6592735781869972E-4"/>
    <m/>
    <s v="m"/>
    <n v="0"/>
    <n v="0"/>
    <n v="0"/>
    <n v="0"/>
  </r>
  <r>
    <n v="127.66938775510205"/>
    <n v="139.24200000000002"/>
    <n v="14.077239022047058"/>
    <n v="0.14077239022047058"/>
    <n v="3145.28"/>
    <n v="157264"/>
    <n v="786.32"/>
    <s v=""/>
    <x v="16"/>
    <n v="5"/>
    <n v="2018"/>
    <n v="1302"/>
    <n v="1204"/>
    <n v="98"/>
    <s v="PA_Alleg_2019p~Dem-school director mckeesport area (vote for 5)"/>
    <n v="6.2315596703632105E-4"/>
    <m/>
    <s v="m"/>
    <n v="0"/>
    <n v="0"/>
    <n v="0"/>
    <n v="0"/>
  </r>
  <r>
    <n v="194.83030303030301"/>
    <n v="214.65900000000002"/>
    <n v="13.79831805633679"/>
    <n v="0.13798318056336789"/>
    <n v="3145.28"/>
    <n v="157264"/>
    <n v="786.32"/>
    <s v=""/>
    <x v="16"/>
    <n v="1"/>
    <n v="3111"/>
    <n v="1588"/>
    <n v="1489"/>
    <n v="99"/>
    <s v="PA_Alleg_2019p~Dem-school director woodland hills region 3 (vote for 1)"/>
    <n v="6.2951470139383458E-4"/>
    <m/>
    <s v="m"/>
    <n v="0"/>
    <n v="0"/>
    <n v="0"/>
    <n v="0"/>
  </r>
  <r>
    <n v="102.982"/>
    <n v="114.60900000000001"/>
    <n v="13.524921800495724"/>
    <n v="0.13524921800495723"/>
    <n v="3145.28"/>
    <n v="157264"/>
    <n v="786.32"/>
    <s v=""/>
    <x v="16"/>
    <n v="5"/>
    <n v="1661"/>
    <n v="715"/>
    <n v="615"/>
    <n v="100"/>
    <s v="PA_Alleg_2019p~Dem-school director plum (vote for 5)"/>
    <n v="6.35873435751348E-4"/>
    <m/>
    <s v="m"/>
    <n v="0"/>
    <n v="0"/>
    <n v="0"/>
    <n v="0"/>
  </r>
  <r>
    <n v="15.530693069306929"/>
    <n v="17.457000000000001"/>
    <n v="13.256940858285699"/>
    <n v="0.13256940858285698"/>
    <n v="3145.28"/>
    <n v="157264"/>
    <n v="786.32"/>
    <s v=""/>
    <x v="16"/>
    <n v="1"/>
    <n v="253"/>
    <n v="175"/>
    <n v="74"/>
    <n v="101"/>
    <s v="PA_Alleg_2019p~Dem-commissioner harrison ward 1 (vote for 1)"/>
    <n v="6.4223217010886153E-4"/>
    <m/>
    <s v="m"/>
    <n v="0"/>
    <n v="0"/>
    <n v="0"/>
    <n v="0"/>
  </r>
  <r>
    <n v="28.406730769230769"/>
    <n v="32.878500000000003"/>
    <n v="12.484428177410033"/>
    <n v="0.12484428177410033"/>
    <n v="3145.28"/>
    <n v="157264"/>
    <n v="786.32"/>
    <s v=""/>
    <x v="16"/>
    <n v="2"/>
    <n v="476.5"/>
    <n v="299"/>
    <n v="195"/>
    <n v="104"/>
    <s v="PA_Alleg_2019p~Dem-member of council duquesne (vote for 2)"/>
    <n v="6.61308373181402E-4"/>
    <m/>
    <s v="m"/>
    <n v="0"/>
    <n v="0"/>
    <n v="0"/>
    <n v="0"/>
  </r>
  <r>
    <n v="110.76152380952381"/>
    <n v="129.43020000000001"/>
    <n v="12.23705719978269"/>
    <n v="0.1223705719978269"/>
    <n v="3145.28"/>
    <n v="157264"/>
    <n v="786.32"/>
    <s v=""/>
    <x v="16"/>
    <n v="5"/>
    <n v="1875.8"/>
    <n v="1224"/>
    <n v="1119"/>
    <n v="105"/>
    <s v="PA_Alleg_2019p~Dem-school director west mifflin area (vote for 5)"/>
    <n v="6.6766710753891542E-4"/>
    <m/>
    <s v="m"/>
    <n v="0"/>
    <n v="0"/>
    <n v="0"/>
    <n v="0"/>
  </r>
  <r>
    <n v="49.307547169811315"/>
    <n v="58.167000000000002"/>
    <n v="11.994586192774985"/>
    <n v="0.11994586192774985"/>
    <n v="3145.28"/>
    <n v="157264"/>
    <n v="786.32"/>
    <s v=""/>
    <x v="16"/>
    <n v="1"/>
    <n v="843"/>
    <n v="267"/>
    <n v="161"/>
    <n v="106"/>
    <s v="PA_Alleg_2019p~Dem-member of council wilkinsburg ward 2 (vote for 1)"/>
    <n v="6.7402584189642895E-4"/>
    <m/>
    <s v="m"/>
    <n v="0"/>
    <n v="0"/>
    <n v="0"/>
    <n v="0"/>
  </r>
  <r>
    <n v="33.601785714285711"/>
    <n v="41.883000000000003"/>
    <n v="10.637358240734244"/>
    <n v="0.10637358240734243"/>
    <n v="3145.28"/>
    <n v="157264"/>
    <n v="786.32"/>
    <s v=""/>
    <x v="16"/>
    <n v="1"/>
    <n v="607"/>
    <n v="276"/>
    <n v="164"/>
    <n v="112"/>
    <s v="PA_Alleg_2019p~Rep-school director west allegheny region 2 (vote for 1)"/>
    <n v="7.121782480415098E-4"/>
    <m/>
    <s v="m"/>
    <n v="0"/>
    <n v="0"/>
    <n v="0"/>
    <n v="0"/>
  </r>
  <r>
    <n v="83.4"/>
    <n v="115.09200000000001"/>
    <n v="8.3661345240694871"/>
    <n v="8.3661345240694879E-2"/>
    <n v="3145.28"/>
    <n v="157264"/>
    <n v="786.32"/>
    <s v=""/>
    <x v="16"/>
    <n v="1"/>
    <n v="1668"/>
    <n v="695"/>
    <n v="571"/>
    <n v="124"/>
    <s v="PA_Alleg_2019p~Rep-magisterial district judge 05-02-25 (vote for 1)"/>
    <n v="7.884830603316716E-4"/>
    <m/>
    <s v="m"/>
    <n v="0"/>
    <n v="0"/>
    <n v="0"/>
    <n v="0"/>
  </r>
  <r>
    <n v="120.15600000000001"/>
    <n v="173.83860000000001"/>
    <n v="7.4193760793153221"/>
    <n v="7.4193760793153221E-2"/>
    <n v="3145.28"/>
    <n v="157264"/>
    <n v="786.32"/>
    <s v=""/>
    <x v="16"/>
    <n v="5"/>
    <n v="2519.4"/>
    <n v="1470"/>
    <n v="1340"/>
    <n v="130"/>
    <s v="PA_Alleg_2019p~Dem-school director bethel park (vote for 5)"/>
    <n v="8.2663546647675245E-4"/>
    <m/>
    <s v="m"/>
    <n v="0"/>
    <n v="0"/>
    <n v="0"/>
    <n v="0"/>
  </r>
  <r>
    <n v="16.392424242424241"/>
    <n v="24.081000000000003"/>
    <n v="7.1282204694761191"/>
    <n v="7.1282204694761195E-2"/>
    <n v="3145.28"/>
    <n v="157264"/>
    <n v="786.32"/>
    <s v=""/>
    <x v="16"/>
    <n v="1"/>
    <n v="349"/>
    <n v="239"/>
    <n v="107"/>
    <n v="132"/>
    <s v="PA_Alleg_2019p~Rep-member of council mccandless ward 1 (vote for 1)"/>
    <n v="8.393529351917794E-4"/>
    <m/>
    <s v="m"/>
    <n v="0"/>
    <n v="0"/>
    <n v="0"/>
    <n v="0"/>
  </r>
  <r>
    <n v="25.45893719806763"/>
    <n v="39.1"/>
    <n v="6.3215126301557234"/>
    <n v="6.3215126301557234E-2"/>
    <n v="3145.28"/>
    <n v="157264"/>
    <n v="786.32"/>
    <s v=""/>
    <x v="16"/>
    <n v="3"/>
    <n v="566.66666666666663"/>
    <n v="362"/>
    <n v="224"/>
    <n v="138"/>
    <s v="PA_Alleg_2019p~Dem-member of council oakmont (vote for 3)"/>
    <n v="8.7750534133686036E-4"/>
    <m/>
    <s v="m"/>
    <n v="0"/>
    <n v="0"/>
    <n v="0"/>
    <n v="0"/>
  </r>
  <r>
    <n v="29.497218543046358"/>
    <n v="49.569600000000001"/>
    <n v="4.8730469679862862"/>
    <n v="4.8730469679862866E-2"/>
    <n v="3145.28"/>
    <n v="157264"/>
    <n v="786.32"/>
    <s v=""/>
    <x v="16"/>
    <n v="5"/>
    <n v="718.4"/>
    <n v="512"/>
    <n v="361"/>
    <n v="151"/>
    <s v="PA_Alleg_2019p~Dem-school director riverview (vote for 5)"/>
    <n v="9.6016888798453558E-4"/>
    <m/>
    <s v="m"/>
    <n v="0"/>
    <n v="0"/>
    <n v="0"/>
    <n v="0"/>
  </r>
  <r>
    <n v="161.78758169934642"/>
    <n v="275.48250000000002"/>
    <n v="4.6817908815043152"/>
    <n v="4.6817908815043149E-2"/>
    <n v="3145.28"/>
    <n v="157264"/>
    <n v="786.32"/>
    <s v=""/>
    <x v="16"/>
    <n v="2"/>
    <n v="3992.5"/>
    <n v="1493"/>
    <n v="1340"/>
    <n v="153"/>
    <s v="PA_Alleg_2019p~Dem-member of council penn hills (vote for 2)"/>
    <n v="9.7288635669956253E-4"/>
    <m/>
    <s v="m"/>
    <n v="0"/>
    <n v="0"/>
    <n v="0"/>
    <n v="0"/>
  </r>
  <r>
    <n v="25.732026143790851"/>
    <n v="43.815000000000005"/>
    <n v="4.6817908815043152"/>
    <n v="4.6817908815043149E-2"/>
    <n v="3145.28"/>
    <n v="157264"/>
    <n v="786.32"/>
    <s v=""/>
    <x v="16"/>
    <n v="3"/>
    <n v="635"/>
    <n v="452"/>
    <n v="299"/>
    <n v="153"/>
    <s v="PA_Alleg_2019p~Dem-member of council jefferson hills (vote for 3)"/>
    <n v="9.7288635669956253E-4"/>
    <m/>
    <s v="m"/>
    <n v="0"/>
    <n v="0"/>
    <n v="0"/>
    <n v="0"/>
  </r>
  <r>
    <n v="76.123116883116879"/>
    <n v="130.46520000000001"/>
    <n v="4.5889955391243236"/>
    <n v="4.5889955391243235E-2"/>
    <n v="3145.28"/>
    <n v="157264"/>
    <n v="786.32"/>
    <s v=""/>
    <x v="16"/>
    <n v="5"/>
    <n v="1890.8"/>
    <n v="1257"/>
    <n v="1103"/>
    <n v="154"/>
    <s v="PA_Alleg_2019p~Dem-school director gateway (vote for 5)"/>
    <n v="9.7924509105707606E-4"/>
    <m/>
    <s v="m"/>
    <n v="0"/>
    <n v="0"/>
    <n v="0"/>
    <n v="0"/>
  </r>
  <r>
    <n v="15.323417721518988"/>
    <n v="26.944500000000001"/>
    <n v="4.2358403049064162"/>
    <n v="4.2358403049064165E-2"/>
    <n v="3145.28"/>
    <n v="157264"/>
    <n v="786.32"/>
    <s v=""/>
    <x v="16"/>
    <n v="2"/>
    <n v="390.5"/>
    <n v="295"/>
    <n v="137"/>
    <n v="158"/>
    <s v="PA_Alleg_2019p~Rep-school director highlands region 3 (vote for 2)"/>
    <n v="1.00468002848713E-3"/>
    <m/>
    <s v="m"/>
    <n v="0"/>
    <n v="0"/>
    <n v="0"/>
    <n v="0"/>
  </r>
  <r>
    <n v="25.182716049382716"/>
    <n v="45.402000000000001"/>
    <n v="3.9098548589271775"/>
    <n v="3.9098548589271774E-2"/>
    <n v="3145.28"/>
    <n v="157264"/>
    <n v="786.32"/>
    <s v=""/>
    <x v="16"/>
    <n v="2"/>
    <n v="658"/>
    <n v="453"/>
    <n v="291"/>
    <n v="162"/>
    <s v="PA_Alleg_2019p~Dem-school director highlands region 3 (vote for 2)"/>
    <n v="1.0301149659171839E-3"/>
    <m/>
    <s v="m"/>
    <n v="0"/>
    <n v="0"/>
    <n v="0"/>
    <n v="0"/>
  </r>
  <r>
    <n v="26.835542168674699"/>
    <n v="49.576500000000003"/>
    <n v="3.6089495229983823"/>
    <n v="3.6089495229983823E-2"/>
    <n v="3145.28"/>
    <n v="157264"/>
    <n v="786.32"/>
    <s v=""/>
    <x v="16"/>
    <n v="2"/>
    <n v="718.5"/>
    <n v="516"/>
    <n v="350"/>
    <n v="166"/>
    <s v="PA_Alleg_2019p~Dem-school director fox chapel region 2 (vote for 2)"/>
    <n v="1.0555499033472378E-3"/>
    <m/>
    <s v="m"/>
    <n v="0"/>
    <n v="0"/>
    <n v="0"/>
    <n v="0"/>
  </r>
  <r>
    <n v="22.745783132530121"/>
    <n v="42.021000000000001"/>
    <n v="3.6089495229983823"/>
    <n v="3.6089495229983823E-2"/>
    <n v="3145.28"/>
    <n v="157264"/>
    <n v="786.32"/>
    <s v=""/>
    <x v="16"/>
    <n v="1"/>
    <n v="609"/>
    <n v="381"/>
    <n v="215"/>
    <n v="166"/>
    <s v="PA_Alleg_2019p~Dem-school director sto-rox region 2 (vote for 1)"/>
    <n v="1.0555499033472378E-3"/>
    <m/>
    <s v="m"/>
    <n v="0"/>
    <n v="0"/>
    <n v="0"/>
    <n v="0"/>
  </r>
  <r>
    <n v="13.285714285714286"/>
    <n v="24.840000000000003"/>
    <n v="3.4672931504905824"/>
    <n v="3.4672931504905823E-2"/>
    <n v="3145.28"/>
    <n v="157264"/>
    <n v="786.32"/>
    <s v=""/>
    <x v="16"/>
    <n v="1"/>
    <n v="360"/>
    <n v="262"/>
    <n v="94"/>
    <n v="168"/>
    <s v="PA_Alleg_2019p~Dem-commissioner ross ward 1 (vote for 1)"/>
    <n v="1.0682673720622648E-3"/>
    <m/>
    <s v="m"/>
    <n v="0"/>
    <n v="0"/>
    <n v="0"/>
    <n v="0"/>
  </r>
  <r>
    <n v="18.026589595375722"/>
    <n v="34.707000000000001"/>
    <n v="3.1369960923446607"/>
    <n v="3.1369960923446606E-2"/>
    <n v="3145.28"/>
    <n v="157264"/>
    <n v="786.32"/>
    <s v=""/>
    <x v="16"/>
    <n v="1"/>
    <n v="503"/>
    <n v="337"/>
    <n v="164"/>
    <n v="173"/>
    <s v="PA_Alleg_2019p~Dem-school director keystone oaks region 1 (vote for 1)"/>
    <n v="1.1000610438498322E-3"/>
    <m/>
    <s v="m"/>
    <n v="0"/>
    <n v="0"/>
    <n v="0"/>
    <n v="0"/>
  </r>
  <r>
    <n v="46.790734463276841"/>
    <n v="92.170200000000008"/>
    <n v="2.8955543038746043"/>
    <n v="2.8955543038746045E-2"/>
    <n v="3145.28"/>
    <n v="157264"/>
    <n v="786.32"/>
    <s v=""/>
    <x v="16"/>
    <n v="5"/>
    <n v="1335.8"/>
    <n v="734"/>
    <n v="557"/>
    <n v="177"/>
    <s v="PA_Alleg_2019p~Rep-school director plum (vote for 5)"/>
    <n v="1.1254959812798861E-3"/>
    <m/>
    <s v="m"/>
    <n v="0"/>
    <n v="0"/>
    <n v="0"/>
    <n v="0"/>
  </r>
  <r>
    <n v="8.7787610619469021"/>
    <n v="22.080000000000002"/>
    <n v="1.0853681996380065"/>
    <n v="1.0853681996380066E-2"/>
    <n v="3145.28"/>
    <n v="157264"/>
    <n v="786.32"/>
    <s v=""/>
    <x v="16"/>
    <n v="1"/>
    <n v="320"/>
    <n v="272"/>
    <n v="46"/>
    <n v="226"/>
    <s v="PA_Alleg_2019p~Rep-member of council mccandless ward 3 (vote for 1)"/>
    <n v="1.4370739647980467E-3"/>
    <m/>
    <s v="m"/>
    <n v="0"/>
    <n v="0"/>
    <n v="0"/>
    <n v="0"/>
  </r>
  <r>
    <n v="31.787011070110701"/>
    <n v="95.868600000000015"/>
    <n v="0.44064967635455699"/>
    <n v="4.4064967635455699E-3"/>
    <n v="3145.28"/>
    <n v="157264"/>
    <n v="786.32"/>
    <s v=""/>
    <x v="16"/>
    <n v="5"/>
    <n v="1389.4"/>
    <n v="905"/>
    <n v="634"/>
    <n v="271"/>
    <s v="PA_Alleg_2019p~Rep-school director north hills (vote for 5)"/>
    <n v="1.7232170108861533E-3"/>
    <m/>
    <s v="m"/>
    <n v="0"/>
    <n v="0"/>
    <n v="0"/>
    <n v="0"/>
  </r>
  <r>
    <n v="107.64014598540147"/>
    <n v="328.233"/>
    <n v="0.41494501990809929"/>
    <n v="4.1494501990809929E-3"/>
    <n v="3145.28"/>
    <n v="157264"/>
    <n v="786.32"/>
    <s v=""/>
    <x v="16"/>
    <n v="1"/>
    <n v="4757"/>
    <n v="2503"/>
    <n v="2229"/>
    <n v="274"/>
    <s v="PA_Alleg_2019p~Dem-mayor penn hills (vote for 1)"/>
    <n v="1.7422932139586937E-3"/>
    <m/>
    <s v="m"/>
    <n v="0"/>
    <n v="0"/>
    <n v="0"/>
    <n v="0"/>
  </r>
  <r>
    <n v="40.37890909090909"/>
    <n v="123.57900000000001"/>
    <n v="0.40671433476020302"/>
    <n v="4.0671433476020301E-3"/>
    <n v="3145.28"/>
    <n v="157264"/>
    <n v="786.32"/>
    <s v=""/>
    <x v="16"/>
    <n v="1"/>
    <n v="1791"/>
    <n v="1030"/>
    <n v="755"/>
    <n v="275"/>
    <s v="PA_Alleg_2019p~Dem-school director plum (vote for 1)"/>
    <n v="1.7486519483162072E-3"/>
    <m/>
    <s v="m"/>
    <n v="0"/>
    <n v="0"/>
    <n v="0"/>
    <n v="0"/>
  </r>
  <r>
    <n v="51.423046357615902"/>
    <n v="172.83120000000002"/>
    <n v="0.2367769620444376"/>
    <n v="2.367769620444376E-3"/>
    <n v="3145.28"/>
    <n v="157264"/>
    <n v="786.32"/>
    <s v=""/>
    <x v="16"/>
    <n v="5"/>
    <n v="2504.8000000000002"/>
    <n v="1444"/>
    <n v="1142"/>
    <n v="302"/>
    <s v="PA_Alleg_2019p~Dem-school director north hills (vote for 5)"/>
    <n v="1.9203377759690712E-3"/>
    <m/>
    <s v="m"/>
    <n v="0"/>
    <n v="0"/>
    <n v="0"/>
    <n v="0"/>
  </r>
  <r>
    <n v="15.113962264150945"/>
    <n v="53.488800000000005"/>
    <n v="0.17182672857041756"/>
    <n v="1.7182672857041757E-3"/>
    <n v="3145.28"/>
    <n v="157264"/>
    <n v="786.32"/>
    <s v=""/>
    <x v="16"/>
    <n v="5"/>
    <n v="775.2"/>
    <n v="633"/>
    <n v="315"/>
    <n v="318"/>
    <s v="PA_Alleg_2019p~Rep-school director hampton (vote for 5)"/>
    <n v="2.022077525689287E-3"/>
    <m/>
    <s v="m"/>
    <n v="0"/>
    <n v="0"/>
    <n v="0"/>
    <n v="0"/>
  </r>
  <r>
    <n v="61.887613293051359"/>
    <n v="227.97600000000003"/>
    <n v="0.13241606608234216"/>
    <n v="1.3241606608234216E-3"/>
    <n v="3145.28"/>
    <n v="157264"/>
    <n v="786.32"/>
    <s v=""/>
    <x v="16"/>
    <n v="1"/>
    <n v="3304"/>
    <n v="1812"/>
    <n v="1481"/>
    <n v="331"/>
    <s v="PA_Alleg_2019p~Dem-school director district 6 (vote for 1)"/>
    <n v="2.1047410723369622E-3"/>
    <m/>
    <s v="m"/>
    <n v="0"/>
    <n v="0"/>
    <n v="0"/>
    <n v="0"/>
  </r>
  <r>
    <n v="47.43"/>
    <n v="179.46900000000002"/>
    <n v="0.11056064082629394"/>
    <n v="1.1056064082629394E-3"/>
    <n v="3145.28"/>
    <n v="157264"/>
    <n v="786.32"/>
    <s v=""/>
    <x v="16"/>
    <n v="1"/>
    <n v="2601"/>
    <n v="1183"/>
    <n v="843"/>
    <n v="340"/>
    <s v="PA_Alleg_2019p~Dem-magisterial district judge 05-02-25 (vote for 1)"/>
    <n v="2.1619696815545833E-3"/>
    <m/>
    <s v="m"/>
    <n v="0"/>
    <n v="0"/>
    <n v="0"/>
    <n v="0"/>
  </r>
  <r>
    <n v="86.939849624060159"/>
    <n v="386.05500000000001"/>
    <n v="3.387865401805213E-2"/>
    <n v="3.3878654018052129E-4"/>
    <n v="3145.28"/>
    <n v="157264"/>
    <n v="786.32"/>
    <s v=""/>
    <x v="16"/>
    <n v="1"/>
    <n v="5595"/>
    <n v="1887"/>
    <n v="1488"/>
    <n v="399"/>
    <s v="PA_Alleg_2019p~Dem-school director district 2 (vote for 1)"/>
    <n v="2.5371350086478787E-3"/>
    <m/>
    <s v="m"/>
    <n v="0"/>
    <n v="0"/>
    <n v="0"/>
    <n v="0"/>
  </r>
  <r>
    <n v="21.885999999999999"/>
    <n v="97.428000000000011"/>
    <n v="3.3206120302501058E-2"/>
    <n v="3.3206120302501057E-4"/>
    <n v="3145.28"/>
    <n v="157264"/>
    <n v="786.32"/>
    <s v=""/>
    <x v="16"/>
    <n v="3"/>
    <n v="1412"/>
    <n v="1112"/>
    <n v="712"/>
    <n v="400"/>
    <s v="PA_Alleg_2019p~Dem-member of council baldwin borough (vote for 3)"/>
    <n v="2.543493743005392E-3"/>
    <m/>
    <s v="m"/>
    <n v="0"/>
    <n v="0"/>
    <n v="0"/>
    <n v="0"/>
  </r>
  <r>
    <n v="75.163546798029557"/>
    <n v="339.61800000000005"/>
    <n v="2.9442108364821487E-2"/>
    <n v="2.9442108364821488E-4"/>
    <n v="3145.28"/>
    <n v="157264"/>
    <n v="786.32"/>
    <s v=""/>
    <x v="16"/>
    <n v="1"/>
    <n v="4922"/>
    <n v="2661"/>
    <n v="2255"/>
    <n v="406"/>
    <s v="PA_Alleg_2019p~Dem-school director district 4 (vote for 1)"/>
    <n v="2.5816461491504732E-3"/>
    <m/>
    <s v="m"/>
    <n v="0"/>
    <n v="0"/>
    <n v="0"/>
    <n v="0"/>
  </r>
  <r>
    <n v="14.585897435897436"/>
    <n v="75.969000000000008"/>
    <n v="8.4906929656114374E-3"/>
    <n v="8.4906929656114368E-5"/>
    <n v="3145.28"/>
    <n v="157264"/>
    <n v="786.32"/>
    <s v=""/>
    <x v="16"/>
    <n v="1"/>
    <n v="1101"/>
    <n v="783"/>
    <n v="315"/>
    <n v="468"/>
    <s v="PA_Alleg_2019p~Dem-school director fox chapel region 3 (vote for 1)"/>
    <n v="2.9758876793163089E-3"/>
    <m/>
    <s v="m"/>
    <n v="0"/>
    <n v="0"/>
    <n v="0"/>
    <n v="0"/>
  </r>
  <r>
    <n v="10.780971659919029"/>
    <n v="59.271000000000008"/>
    <n v="5.0398448161586415E-3"/>
    <n v="5.0398448161586415E-5"/>
    <n v="3145.28"/>
    <n v="157264"/>
    <n v="786.32"/>
    <s v=""/>
    <x v="16"/>
    <n v="3"/>
    <n v="859"/>
    <n v="708"/>
    <n v="214"/>
    <n v="494"/>
    <s v="PA_Alleg_2019p~Dem-member of council forest hills (vote for 3)"/>
    <n v="3.1412147726116594E-3"/>
    <m/>
    <s v="m"/>
    <n v="0"/>
    <n v="0"/>
    <n v="0"/>
    <n v="0"/>
  </r>
  <r>
    <n v="61.813182674199631"/>
    <n v="365.28600000000006"/>
    <n v="2.398769393479726E-3"/>
    <n v="2.3987693934797261E-5"/>
    <n v="3145.28"/>
    <n v="157264"/>
    <n v="786.32"/>
    <s v=""/>
    <x v="16"/>
    <n v="1"/>
    <n v="5294"/>
    <n v="2049"/>
    <n v="1518"/>
    <n v="531"/>
    <s v="PA_Alleg_2019p~Dem-member of council district 9 (vote for 1)"/>
    <n v="3.376487943839658E-3"/>
    <m/>
    <s v="m"/>
    <n v="0"/>
    <n v="0"/>
    <n v="0"/>
    <n v="0"/>
  </r>
  <r>
    <n v="30.005724770642203"/>
    <n v="181.99440000000001"/>
    <n v="1.8112091937160476E-3"/>
    <n v="1.8112091937160476E-5"/>
    <n v="3145.28"/>
    <n v="157264"/>
    <n v="786.32"/>
    <s v=""/>
    <x v="16"/>
    <n v="5"/>
    <n v="2637.6"/>
    <n v="1774"/>
    <n v="1229"/>
    <n v="545"/>
    <s v="PA_Alleg_2019p~Rep-school director north allegheny (vote for 5)"/>
    <n v="3.4655102248448469E-3"/>
    <m/>
    <s v="m"/>
    <n v="0"/>
    <n v="0"/>
    <n v="0"/>
    <n v="0"/>
  </r>
  <r>
    <n v="16.242358604091454"/>
    <n v="100.14200000000001"/>
    <n v="1.5118945560689515E-3"/>
    <n v="1.5118945560689514E-5"/>
    <n v="3145.28"/>
    <n v="157264"/>
    <n v="786.32"/>
    <s v=""/>
    <x v="16"/>
    <n v="3"/>
    <n v="1451.3333333333333"/>
    <n v="1222"/>
    <n v="668"/>
    <n v="554"/>
    <s v="PA_Alleg_2019p~Dem-school director at large v3 t4 steel valley (vote for 3)"/>
    <n v="3.522738834062468E-3"/>
    <m/>
    <s v="m"/>
    <n v="0"/>
    <n v="0"/>
    <n v="0"/>
    <n v="0"/>
  </r>
  <r>
    <n v="30.237433155080215"/>
    <n v="188.78400000000002"/>
    <n v="1.3137235008656297E-3"/>
    <n v="1.3137235008656298E-5"/>
    <n v="3145.28"/>
    <n v="157264"/>
    <n v="786.32"/>
    <s v=""/>
    <x v="16"/>
    <n v="1"/>
    <n v="2736"/>
    <n v="1493"/>
    <n v="932"/>
    <n v="561"/>
    <s v="PA_Alleg_2019p~Dem-member of council district 3 (vote for 1)"/>
    <n v="3.5672499745650625E-3"/>
    <m/>
    <s v="m"/>
    <n v="0"/>
    <n v="0"/>
    <n v="0"/>
    <n v="0"/>
  </r>
  <r>
    <n v="16.247449768160742"/>
    <n v="116.98950000000001"/>
    <n v="2.3368855724158265E-4"/>
    <n v="2.3368855724158265E-6"/>
    <n v="3145.28"/>
    <n v="157264"/>
    <n v="786.32"/>
    <s v=""/>
    <x v="16"/>
    <n v="2"/>
    <n v="1695.5"/>
    <n v="1315"/>
    <n v="668"/>
    <n v="647"/>
    <s v="PA_Alleg_2019p~Dem-school director woodland hills region 2 (vote for 2)"/>
    <n v="4.1141011293112217E-3"/>
    <m/>
    <s v="m"/>
    <n v="0"/>
    <n v="0"/>
    <n v="0"/>
    <n v="0"/>
  </r>
  <r>
    <n v="11.557932692307693"/>
    <n v="107.01900000000001"/>
    <n v="5.6774840981649105E-6"/>
    <n v="5.6774840981649107E-8"/>
    <n v="3145.28"/>
    <n v="157264"/>
    <n v="786.32"/>
    <s v=""/>
    <x v="16"/>
    <n v="1"/>
    <n v="1551"/>
    <n v="1156"/>
    <n v="324"/>
    <n v="832"/>
    <s v="PA_Alleg_2019p~Dem-auditor bellevue (vote for 1)"/>
    <n v="5.290466985451216E-3"/>
    <m/>
    <s v="m"/>
    <n v="0"/>
    <n v="0"/>
    <n v="0"/>
    <n v="0"/>
  </r>
  <r>
    <n v="15.048687350835323"/>
    <n v="140.346"/>
    <n v="5.0322522531289959E-6"/>
    <n v="5.0322522531289961E-8"/>
    <n v="3145.28"/>
    <n v="157264"/>
    <n v="786.32"/>
    <s v=""/>
    <x v="16"/>
    <n v="1"/>
    <n v="2034"/>
    <n v="1432"/>
    <n v="594"/>
    <n v="838"/>
    <s v="PA_Alleg_2019p~Dem-magisterial district judge 05-02-28 (vote for 1)"/>
    <n v="5.3286193915962968E-3"/>
    <m/>
    <s v="m"/>
    <n v="0"/>
    <n v="0"/>
    <n v="0"/>
    <n v="0"/>
  </r>
  <r>
    <n v="35.884302325581395"/>
    <n v="412.13700000000006"/>
    <n v="1.0153628670260731E-7"/>
    <n v="1.0153628670260732E-9"/>
    <n v="3145.28"/>
    <n v="157264"/>
    <n v="786.32"/>
    <s v=""/>
    <x v="16"/>
    <n v="1"/>
    <n v="5973"/>
    <n v="3497"/>
    <n v="2465"/>
    <n v="1032"/>
    <s v="PA_Alleg_2019p~Dem-member of council district 7 (vote for 1)"/>
    <n v="6.5622138569539122E-3"/>
    <m/>
    <s v="m"/>
    <n v="0"/>
    <n v="0"/>
    <n v="0"/>
    <n v="0"/>
  </r>
  <r>
    <n v="26.084530386740333"/>
    <n v="315.26100000000002"/>
    <n v="3.4229721333634575E-8"/>
    <n v="3.4229721333634576E-10"/>
    <n v="3145.28"/>
    <n v="157264"/>
    <n v="786.32"/>
    <s v=""/>
    <x v="16"/>
    <n v="1"/>
    <n v="4569"/>
    <n v="2572"/>
    <n v="1486"/>
    <n v="1086"/>
    <s v="PA_Alleg_2019p~Dem-member of council district 1 (vote for 1)"/>
    <n v="6.9055855122596398E-3"/>
    <m/>
    <s v="m"/>
    <n v="0"/>
    <n v="0"/>
    <n v="0"/>
    <n v="0"/>
  </r>
  <r>
    <n v="37.076753175041418"/>
    <n v="747.2700000000001"/>
    <n v="1.5086236321436302E-14"/>
    <n v="1.5086236321436302E-16"/>
    <n v="3145.28"/>
    <n v="157264"/>
    <n v="786.32"/>
    <s v=""/>
    <x v="16"/>
    <n v="1"/>
    <n v="10830"/>
    <n v="6298"/>
    <n v="4487"/>
    <n v="1811"/>
    <s v="PA_Alleg_2019p~Dem-member of county council district 13 (vote for 1)"/>
    <n v="1.1515667921456913E-2"/>
    <m/>
    <s v="m"/>
    <n v="2"/>
    <n v="2.0265473817280388E-2"/>
    <n v="9.9252848414126404E-2"/>
    <n v="0.36183206106870225"/>
  </r>
  <r>
    <n v="90.345879265091867"/>
    <n v="1915.4055000000001"/>
    <n v="2.2508454500362804E-15"/>
    <n v="2.2508454500362804E-17"/>
    <n v="3145.28"/>
    <n v="157264"/>
    <n v="786.32"/>
    <s v=""/>
    <x v="16"/>
    <n v="2"/>
    <n v="27759.5"/>
    <n v="17773"/>
    <n v="15868"/>
    <n v="1905"/>
    <s v="PA_Alleg_2019p~Rep-judge of the superior court (vote for 2)"/>
    <n v="1.2113388951063181E-2"/>
    <m/>
    <s v="c"/>
    <n v="2"/>
    <n v="2.0265473817280388E-2"/>
    <n v="9.9252848414126404E-2"/>
    <n v="0.36183206106870225"/>
  </r>
  <r>
    <n v="19.740330969267138"/>
    <n v="464.64600000000002"/>
    <n v="3.1966392640212946E-17"/>
    <n v="3.1966392640212943E-19"/>
    <n v="3145.28"/>
    <n v="157264"/>
    <n v="786.32"/>
    <s v=""/>
    <x v="16"/>
    <n v="1"/>
    <n v="6734"/>
    <n v="4402"/>
    <n v="2287"/>
    <n v="2115"/>
    <s v="PA_Alleg_2019p~Dem-member of county council district 6 (vote for 1)"/>
    <n v="1.3448723166141012E-2"/>
    <m/>
    <s v="m"/>
    <n v="3"/>
    <n v="3.0262764900777506E-2"/>
    <n v="0.14520933573993655"/>
    <n v="0.49044243651659125"/>
  </r>
  <r>
    <n v="87.178517520215635"/>
    <n v="7198.9770000000008"/>
    <n v="9.5653032119290837E-65"/>
    <n v="9.5653032119290842E-67"/>
    <n v="3145.28"/>
    <n v="157264"/>
    <n v="786.32"/>
    <s v=""/>
    <x v="16"/>
    <n v="1"/>
    <n v="104333"/>
    <n v="55695"/>
    <n v="48275"/>
    <n v="7420"/>
    <s v="PA_Alleg_2019p~Dem-member of county council at-large (vote for 1)"/>
    <n v="4.7181808932750029E-2"/>
    <m/>
    <s v="c"/>
    <n v="25"/>
    <n v="0.22876748995902274"/>
    <n v="0.73464656462902189"/>
    <n v="0.9966831868512871"/>
  </r>
  <r>
    <n v="33.818735570074175"/>
    <n v="7661.76"/>
    <n v="4.3915777578231162E-188"/>
    <n v="4.3915777578231164E-190"/>
    <n v="3145.28"/>
    <n v="157264"/>
    <n v="786.32"/>
    <s v=""/>
    <x v="16"/>
    <n v="1"/>
    <n v="111040"/>
    <n v="65581"/>
    <n v="45224"/>
    <n v="20357"/>
    <s v="PA_Alleg_2019p~Dem-district attorney (vote for 1)"/>
    <n v="0.12944475531590191"/>
    <m/>
    <s v="c"/>
    <n v="79"/>
    <n v="0.57319007365316987"/>
    <n v="0.98711920200497272"/>
    <n v="0.99999999312880195"/>
  </r>
  <r>
    <n v="9.9385178122880031"/>
    <n v="6032.5665000000008"/>
    <n v="0"/>
    <n v="0"/>
    <n v="3145.28"/>
    <n v="157264"/>
    <n v="786.32"/>
    <s v=""/>
    <x v="16"/>
    <n v="2"/>
    <n v="87428.5"/>
    <n v="75148"/>
    <n v="20607"/>
    <n v="54541"/>
    <s v="PA_Alleg_2019p~Dem-judge of the superior court (vote for 2)"/>
    <n v="0.34681173059314274"/>
    <m/>
    <s v="c"/>
    <n v="223"/>
    <n v="0.93168568507994587"/>
    <n v="0.99999893941329798"/>
    <n v="1"/>
  </r>
  <r>
    <n v="9.3379856279882052"/>
    <n v="7259.8350000000009"/>
    <n v="0"/>
    <n v="0"/>
    <n v="3145.28"/>
    <n v="157264"/>
    <n v="786.32"/>
    <s v=""/>
    <x v="16"/>
    <n v="1"/>
    <n v="105215"/>
    <n v="79444"/>
    <n v="9586"/>
    <n v="69858"/>
    <s v="PA_Alleg_2019p~Dem-judge of the court of common pleas (vote for 1)"/>
    <n v="0.44420846474717673"/>
    <m/>
    <s v="j"/>
    <n v="287"/>
    <n v="0.97415049395194875"/>
    <n v="0.99999999295320019"/>
    <n v="1"/>
  </r>
  <r>
    <n v="31.468277945619338"/>
    <n v="115.92000000000002"/>
    <n v="0.13314162368277874"/>
    <n v="1.3314162368277874E-3"/>
    <n v="14496"/>
    <n v="724800"/>
    <n v="3624"/>
    <s v=""/>
    <x v="17"/>
    <n v="1"/>
    <n v="1680"/>
    <n v="1004"/>
    <n v="673"/>
    <n v="331"/>
    <s v="PA_Alleg_2020g~Gen-representative in the general assembly 16th district (vote for 1)"/>
    <m/>
    <m/>
    <s v="LR"/>
    <n v="0"/>
    <n v="0"/>
    <n v="0"/>
    <n v="0"/>
  </r>
  <r>
    <n v="157.45884861407248"/>
    <n v="1643.7180000000001"/>
    <n v="7.036537561253469E-7"/>
    <n v="7.036537561253469E-9"/>
    <n v="14496"/>
    <n v="724800"/>
    <n v="3624"/>
    <s v=""/>
    <x v="17"/>
    <n v="1"/>
    <n v="23822"/>
    <n v="12359"/>
    <n v="11421"/>
    <n v="938"/>
    <s v="PA_Alleg_2020g~Gen-representative in the general assembly 33rd district (vote for 1)"/>
    <m/>
    <m/>
    <s v="LR"/>
    <n v="0"/>
    <n v="0"/>
    <n v="0"/>
    <n v="0"/>
  </r>
  <r>
    <n v="357.07972876516772"/>
    <n v="11135.013000000001"/>
    <n v="4.1207079731647855E-23"/>
    <n v="4.1207079731647857E-25"/>
    <n v="14496"/>
    <n v="724800"/>
    <n v="3624"/>
    <s v=""/>
    <x v="17"/>
    <n v="1"/>
    <n v="161377"/>
    <n v="82022"/>
    <n v="79220"/>
    <n v="2802"/>
    <s v="PA_Alleg_2020g~Gen-senator in the general assembly 37th district (vote for 1)"/>
    <m/>
    <m/>
    <s v="LS"/>
    <n v="0"/>
    <n v="0"/>
    <n v="0"/>
    <n v="0"/>
  </r>
  <r>
    <n v="83.382751290616469"/>
    <n v="3055.8030000000003"/>
    <n v="2.1487824685694723E-27"/>
    <n v="2.1487824685694722E-29"/>
    <n v="14496"/>
    <n v="724800"/>
    <n v="3624"/>
    <s v=""/>
    <x v="17"/>
    <n v="1"/>
    <n v="44287"/>
    <n v="23770"/>
    <n v="20477"/>
    <n v="3293"/>
    <s v="PA_Alleg_2020g~Gen-representative in the general assembly 28th district (vote for 1)"/>
    <m/>
    <m/>
    <s v="LR"/>
    <n v="0"/>
    <n v="0"/>
    <n v="0"/>
    <n v="0"/>
  </r>
  <r>
    <n v="37.401141483929109"/>
    <n v="1385.6580000000001"/>
    <n v="1.0424745074403987E-27"/>
    <n v="1.0424745074403987E-29"/>
    <n v="14496"/>
    <n v="724800"/>
    <n v="3624"/>
    <s v=""/>
    <x v="17"/>
    <n v="1"/>
    <n v="20082"/>
    <n v="11694"/>
    <n v="8365"/>
    <n v="3329"/>
    <s v="PA_Alleg_2020g~Gen-representative in the general assembly 46th district (vote for 1)"/>
    <m/>
    <m/>
    <s v="LR"/>
    <n v="0"/>
    <n v="0"/>
    <n v="0"/>
    <n v="0"/>
  </r>
  <r>
    <n v="45.131272539927878"/>
    <n v="1949.8020000000001"/>
    <n v="1.5515111439284827E-32"/>
    <n v="1.5515111439284827E-34"/>
    <n v="14496"/>
    <n v="724800"/>
    <n v="3624"/>
    <s v=""/>
    <x v="17"/>
    <n v="1"/>
    <n v="28258"/>
    <n v="16062"/>
    <n v="12180"/>
    <n v="3882"/>
    <s v="PA_Alleg_2020g~Gen-representative in the general assembly 40th district (vote for 1)"/>
    <m/>
    <m/>
    <s v="LR"/>
    <n v="0"/>
    <n v="0"/>
    <n v="0"/>
    <n v="0"/>
  </r>
  <r>
    <n v="62.757085427135678"/>
    <n v="2779.7340000000004"/>
    <n v="2.1622002164302897E-33"/>
    <n v="2.1622002164302898E-35"/>
    <n v="14496"/>
    <n v="724800"/>
    <n v="3624"/>
    <s v=""/>
    <x v="17"/>
    <n v="1"/>
    <n v="40286"/>
    <n v="22106"/>
    <n v="18126"/>
    <n v="3980"/>
    <s v="PA_Alleg_2020g~Gen-representative in the general assembly 44th district (vote for 1)"/>
    <m/>
    <m/>
    <s v="LR"/>
    <n v="0"/>
    <n v="0"/>
    <n v="0"/>
    <n v="0"/>
  </r>
  <r>
    <n v="64.5"/>
    <n v="2937.3300000000004"/>
    <n v="2.2731539572779626E-34"/>
    <n v="2.2731539572779627E-36"/>
    <n v="14496"/>
    <n v="724800"/>
    <n v="3624"/>
    <s v=""/>
    <x v="17"/>
    <n v="1"/>
    <n v="42570"/>
    <n v="23309"/>
    <n v="19217"/>
    <n v="4092"/>
    <s v="PA_Alleg_2020g~Gen-representative in the general assembly 30th district (vote for 1)"/>
    <m/>
    <m/>
    <s v="LR"/>
    <n v="0"/>
    <n v="0"/>
    <n v="0"/>
    <n v="0"/>
  </r>
  <r>
    <n v="50.975440976933513"/>
    <n v="2508.6330000000003"/>
    <n v="2.9740669093282761E-37"/>
    <n v="2.9740669093282762E-39"/>
    <n v="14496"/>
    <n v="724800"/>
    <n v="3624"/>
    <s v=""/>
    <x v="17"/>
    <n v="1"/>
    <n v="36357"/>
    <n v="20352"/>
    <n v="15930"/>
    <n v="4422"/>
    <s v="PA_Alleg_2020g~Gen-representative in the general assembly 38th district (vote for 1)"/>
    <m/>
    <m/>
    <s v="LR"/>
    <n v="0"/>
    <n v="0"/>
    <n v="0"/>
    <n v="0"/>
  </r>
  <r>
    <n v="37.324022346368714"/>
    <n v="2304.9450000000002"/>
    <n v="4.1357246920908086E-47"/>
    <n v="4.1357246920908088E-49"/>
    <n v="14496"/>
    <n v="724800"/>
    <n v="3624"/>
    <s v=""/>
    <x v="17"/>
    <n v="1"/>
    <n v="33405"/>
    <n v="19445"/>
    <n v="13896"/>
    <n v="5549"/>
    <s v="PA_Alleg_2020g~Gen-representative in the general assembly 25th district (vote for 1)"/>
    <m/>
    <m/>
    <s v="LR"/>
    <n v="0"/>
    <n v="0"/>
    <n v="0"/>
    <n v="0"/>
  </r>
  <r>
    <n v="109.10843915769169"/>
    <n v="7553.9820000000009"/>
    <n v="5.3932761294465419E-53"/>
    <n v="5.3932761294465423E-55"/>
    <n v="14496"/>
    <n v="724800"/>
    <n v="3624"/>
    <s v=""/>
    <x v="17"/>
    <n v="1"/>
    <n v="109478"/>
    <n v="57782"/>
    <n v="51561"/>
    <n v="6221"/>
    <s v="PA_Alleg_2020g~Gen-senator in the general assembly 45th district (vote for 1)"/>
    <m/>
    <m/>
    <s v="LS"/>
    <n v="0"/>
    <n v="0"/>
    <n v="0"/>
    <n v="0"/>
  </r>
  <r>
    <n v="26.656486996949006"/>
    <n v="2041.9170000000001"/>
    <n v="8.4984580040592415E-59"/>
    <n v="8.4984580040592421E-61"/>
    <n v="14496"/>
    <n v="724800"/>
    <n v="3624"/>
    <s v=""/>
    <x v="17"/>
    <n v="1"/>
    <n v="29593"/>
    <n v="18218"/>
    <n v="11335"/>
    <n v="6883"/>
    <s v="PA_Alleg_2020g~Gen-representative in the general assembly 39th district (vote for 1)"/>
    <m/>
    <m/>
    <s v="LR"/>
    <n v="0"/>
    <n v="0"/>
    <n v="0"/>
    <n v="0"/>
  </r>
  <r>
    <n v="24.620534388916379"/>
    <n v="2215.038"/>
    <n v="2.4476738981385891E-69"/>
    <n v="2.4476738981385891E-71"/>
    <n v="14496"/>
    <n v="724800"/>
    <n v="3624"/>
    <s v=""/>
    <x v="17"/>
    <n v="1"/>
    <n v="32102"/>
    <n v="20064"/>
    <n v="11980"/>
    <n v="8084"/>
    <s v="PA_Alleg_2020g~Gen-representative in the general assembly 36th district (vote for 1)"/>
    <m/>
    <m/>
    <s v="LR"/>
    <n v="4"/>
    <n v="4.0234070263438948E-2"/>
    <n v="0.18632183259527113"/>
    <n v="0.59068264846625274"/>
  </r>
  <r>
    <n v="26.511652053530227"/>
    <n v="2557.4850000000001"/>
    <n v="1.806709790169792E-74"/>
    <n v="1.8067097901697921E-76"/>
    <n v="14496"/>
    <n v="724800"/>
    <n v="3624"/>
    <s v=""/>
    <x v="17"/>
    <n v="1"/>
    <n v="37065"/>
    <n v="22833"/>
    <n v="14165"/>
    <n v="8668"/>
    <s v="PA_Alleg_2020g~Gen-representative in the general assembly 45th district (vote for 1)"/>
    <m/>
    <m/>
    <s v="LR"/>
    <n v="6"/>
    <n v="5.9756012190608443E-2"/>
    <n v="0.26609319602418746"/>
    <n v="0.73823589264109213"/>
  </r>
  <r>
    <n v="18.960033712600087"/>
    <n v="2503.596"/>
    <n v="1.22762877220134E-102"/>
    <n v="1.22762877220134E-104"/>
    <n v="14496"/>
    <n v="724800"/>
    <n v="3624"/>
    <s v=""/>
    <x v="17"/>
    <n v="1"/>
    <n v="36284"/>
    <n v="24035"/>
    <n v="12170"/>
    <n v="11865"/>
    <s v="PA_Alleg_2020g~Gen-representative in the general assembly 21st district (vote for 1)"/>
    <m/>
    <m/>
    <s v="LR"/>
    <n v="20"/>
    <n v="0.18599319198332687"/>
    <n v="0.64416789211072834"/>
    <n v="0.98863725783922818"/>
  </r>
  <r>
    <n v="16.805641769398115"/>
    <n v="2579.1510000000003"/>
    <n v="1.1680767053070151E-119"/>
    <n v="1.1680767053070151E-121"/>
    <n v="14496"/>
    <n v="724800"/>
    <n v="3624"/>
    <s v=""/>
    <x v="17"/>
    <n v="1"/>
    <n v="37379"/>
    <n v="25552"/>
    <n v="11762"/>
    <n v="13790"/>
    <s v="PA_Alleg_2020g~Gen-representative in the general assembly 42nd district (vote for 1)"/>
    <m/>
    <m/>
    <s v="LR"/>
    <n v="28"/>
    <n v="0.2505552778648199"/>
    <n v="0.76502199716692987"/>
    <n v="0.99811943994996233"/>
  </r>
  <r>
    <n v="8.8407238933724628"/>
    <n v="2011.5570000000002"/>
    <n v="7.3156982121785488E-179"/>
    <n v="7.3156982121785487E-181"/>
    <n v="14496"/>
    <n v="724800"/>
    <n v="3624"/>
    <s v=""/>
    <x v="17"/>
    <n v="1"/>
    <n v="29153"/>
    <n v="24642"/>
    <n v="4197"/>
    <n v="20445"/>
    <s v="PA_Alleg_2020g~Gen-representative in the general assembly 23rd district (vote for 1)"/>
    <m/>
    <m/>
    <s v="LR"/>
    <n v="56"/>
    <n v="0.43960391201888793"/>
    <n v="0.94542320177718575"/>
    <n v="0.9999966528848766"/>
  </r>
  <r>
    <n v="76.141924629878872"/>
    <n v="22665.879000000001"/>
    <n v="1.8810142802337367E-235"/>
    <n v="1.8810142802337367E-237"/>
    <n v="14496"/>
    <n v="724800"/>
    <n v="3624"/>
    <s v=""/>
    <x v="17"/>
    <n v="1"/>
    <n v="328491"/>
    <n v="177474"/>
    <n v="150726"/>
    <n v="26748"/>
    <s v="PA_Alleg_2020g~Gen-representative in congress 17th district (vote for 1)"/>
    <m/>
    <m/>
    <s v="LF"/>
    <n v="82"/>
    <n v="0.57305370825770385"/>
    <n v="0.98607849814535442"/>
    <n v="0.99999999109404458"/>
  </r>
  <r>
    <n v="10.943219211650213"/>
    <n v="10436.94"/>
    <n v="0"/>
    <n v="0"/>
    <n v="14496"/>
    <n v="724800"/>
    <n v="3624"/>
    <s v=""/>
    <x v="17"/>
    <n v="1"/>
    <n v="151260"/>
    <n v="118479"/>
    <n v="32781"/>
    <n v="85698"/>
    <s v="PA_Alleg_2020g~Gen-pittsburgh hrc amendment (vote for 1)"/>
    <m/>
    <m/>
    <s v="m1"/>
    <n v="330"/>
    <n v="0.97130822542061379"/>
    <n v="0.99999998227935383"/>
    <n v="1"/>
  </r>
  <r>
    <n v="35.993747268964718"/>
    <n v="48586.212000000007"/>
    <n v="0"/>
    <n v="0"/>
    <n v="14496"/>
    <n v="724800"/>
    <n v="3624"/>
    <s v=""/>
    <x v="17"/>
    <n v="1"/>
    <n v="704148"/>
    <n v="396868"/>
    <n v="275577"/>
    <n v="121291"/>
    <s v="PA_Alleg_2020g~Gen-auditor general (vote for 1)"/>
    <m/>
    <m/>
    <s v="state"/>
    <n v="480"/>
    <n v="0.99493456198866437"/>
    <n v="0.99999999999713629"/>
    <n v="1"/>
  </r>
  <r>
    <n v="32.73564045551516"/>
    <n v="48499.203000000001"/>
    <n v="0"/>
    <n v="0"/>
    <n v="14496"/>
    <n v="724800"/>
    <n v="3624"/>
    <s v=""/>
    <x v="17"/>
    <n v="1"/>
    <n v="702887"/>
    <n v="403803"/>
    <n v="270679"/>
    <n v="133124"/>
    <s v="PA_Alleg_2020g~Gen-state treasurer (vote for 1)"/>
    <m/>
    <m/>
    <s v="state"/>
    <n v="529"/>
    <n v="0.99717681504605182"/>
    <n v="0.99999999999984934"/>
    <n v="1"/>
  </r>
  <r>
    <n v="30.394870338054464"/>
    <n v="50011.200000000004"/>
    <n v="0"/>
    <n v="0"/>
    <n v="14496"/>
    <n v="724800"/>
    <n v="3624"/>
    <s v=""/>
    <x v="17"/>
    <n v="1"/>
    <n v="724800"/>
    <n v="430759"/>
    <n v="282913"/>
    <n v="147846"/>
    <s v="PA_Alleg_2020g~Gen-presidential electors (vote for 1)"/>
    <m/>
    <m/>
    <s v="state"/>
    <n v="591"/>
    <n v="0.99867062147271579"/>
    <n v="0.99999999999999667"/>
    <n v="1"/>
  </r>
  <r>
    <n v="16.139506898952821"/>
    <n v="26569.140000000003"/>
    <n v="0"/>
    <n v="0"/>
    <n v="14496"/>
    <n v="724800"/>
    <n v="3624"/>
    <s v=""/>
    <x v="17"/>
    <n v="1"/>
    <n v="385060"/>
    <n v="266084"/>
    <n v="118163"/>
    <n v="147921"/>
    <s v="PA_Alleg_2020g~Gen-representative in congress 18th district (vote for 1)"/>
    <m/>
    <m/>
    <s v="state"/>
    <n v="592"/>
    <n v="0.99868683875115616"/>
    <n v="0.99999999999999678"/>
    <n v="1"/>
  </r>
  <r>
    <n v="22.439149268966499"/>
    <n v="49174.299000000006"/>
    <n v="0"/>
    <n v="0"/>
    <n v="14496"/>
    <n v="724800"/>
    <n v="3624"/>
    <s v=""/>
    <x v="17"/>
    <n v="1"/>
    <n v="712671"/>
    <n v="443166"/>
    <n v="246253"/>
    <n v="196913"/>
    <s v="PA_Alleg_2020g~Gen-attorney general (vote for 1)"/>
    <m/>
    <m/>
    <s v="state"/>
    <n v="797"/>
    <n v="0.99990307920236943"/>
    <n v="1"/>
    <n v="1"/>
  </r>
  <r>
    <n v="20.34375"/>
    <n v="20.34375"/>
    <n v="27.77634340736752"/>
    <n v="0.27776343407367521"/>
    <n v="832.12"/>
    <n v="41606"/>
    <n v="208.03"/>
    <s v=""/>
    <x v="18"/>
    <n v="1"/>
    <n v="210"/>
    <n v="137"/>
    <n v="73"/>
    <n v="64"/>
    <s v="PA_Merce_2018g~Gen-government study commission referendum,(vote for not more than  1)"/>
    <m/>
    <m/>
    <m/>
    <n v="0"/>
    <n v="0"/>
    <n v="0"/>
    <n v="0"/>
  </r>
  <r>
    <n v="63.56429818000499"/>
    <n v="2837.4180000000001"/>
    <n v="2.3184002560896351E-35"/>
    <n v="2.318400256089635E-37"/>
    <n v="832.12"/>
    <n v="41606"/>
    <n v="208.03"/>
    <s v=""/>
    <x v="18"/>
    <n v="1"/>
    <n v="41122"/>
    <n v="22211"/>
    <n v="18200"/>
    <n v="4011"/>
    <s v="PA_Merce_2018g~Gen-governor and lieutenant governor,(vote for not more than  1)"/>
    <m/>
    <m/>
    <m/>
    <n v="16"/>
    <n v="0.21442564751978022"/>
    <n v="0.59477356036525209"/>
    <n v="0.97679750964396517"/>
  </r>
  <r>
    <n v="61.359701492537319"/>
    <n v="2836.6590000000001"/>
    <n v="9.7267525131454422E-37"/>
    <n v="9.7267525131454421E-39"/>
    <n v="832.12"/>
    <n v="41606"/>
    <n v="208.03"/>
    <s v=""/>
    <x v="18"/>
    <n v="1"/>
    <n v="41111"/>
    <n v="22290"/>
    <n v="18136"/>
    <n v="4154"/>
    <s v="PA_Merce_2018g~Gen-united states senator,(vote for not more than  1)"/>
    <m/>
    <m/>
    <m/>
    <n v="16"/>
    <n v="0.21442564751978022"/>
    <n v="0.59477356036525209"/>
    <n v="0.97679750964396517"/>
  </r>
  <r>
    <n v="51.504902158563652"/>
    <n v="2841.3510000000001"/>
    <n v="1.4299387486930169E-44"/>
    <n v="1.4299387486930169E-46"/>
    <n v="832.12"/>
    <n v="41606"/>
    <n v="208.03"/>
    <s v=""/>
    <x v="18"/>
    <n v="1"/>
    <n v="41179"/>
    <n v="22799"/>
    <n v="17842"/>
    <n v="4957"/>
    <s v="PA_Merce_2018g~Gen-u.s. rep, 16th district,(vote for not more than  1)"/>
    <m/>
    <m/>
    <s v="state"/>
    <n v="20"/>
    <n v="0.26275557143011741"/>
    <n v="0.68057280631289396"/>
    <n v="0.99143275518460716"/>
  </r>
  <r>
    <n v="14.466666666666669"/>
    <n v="897.4140000000001"/>
    <n v="1.0458372304364457E-50"/>
    <n v="1.0458372304364457E-52"/>
    <n v="832.12"/>
    <n v="41606"/>
    <n v="208.03"/>
    <s v=""/>
    <x v="18"/>
    <n v="1"/>
    <n v="13006"/>
    <n v="9282"/>
    <n v="3708"/>
    <n v="5574"/>
    <s v="PA_Merce_2018g~Gen-state rep, 8th district,(vote for not more than  1)"/>
    <m/>
    <m/>
    <s v="state"/>
    <n v="22"/>
    <n v="0.28615882499377632"/>
    <n v="0.71695312499315267"/>
    <n v="0.99484103502270271"/>
  </r>
  <r>
    <n v="23.344184767665659"/>
    <n v="2834.6580000000004"/>
    <n v="1.2208472222700816E-108"/>
    <n v="1.2208472222700815E-110"/>
    <n v="832.12"/>
    <n v="41606"/>
    <n v="208.03"/>
    <s v=""/>
    <x v="18"/>
    <n v="1"/>
    <n v="41082"/>
    <n v="25980"/>
    <n v="15069"/>
    <n v="10911"/>
    <s v="PA_Merce_2018g~Gen-state sen, 50th district,(vote for not more than  1)"/>
    <m/>
    <m/>
    <s v="state"/>
    <n v="45"/>
    <n v="0.52067774458551153"/>
    <n v="0.93655547750094237"/>
    <n v="0.99999075282450178"/>
  </r>
  <r>
    <n v="32"/>
    <n v="32"/>
    <n v="100"/>
    <n v="1"/>
    <n v="270.24"/>
    <n v="13512"/>
    <n v="67.56"/>
    <s v=""/>
    <x v="19"/>
    <n v="1"/>
    <n v="32"/>
    <n v="16"/>
    <n v="16"/>
    <n v="0"/>
    <s v="PA_Merce_2018p~Dem-precinct committeewoman fairview,(vote for not more than  1)"/>
    <m/>
    <m/>
    <m/>
    <n v="0"/>
    <n v="0"/>
    <n v="0"/>
    <n v="0"/>
  </r>
  <r>
    <n v="482.42857142857144"/>
    <n v="482.42857142857144"/>
    <n v="94.175825982213837"/>
    <n v="0.94175825982213834"/>
    <n v="270.24"/>
    <n v="13512"/>
    <n v="67.56"/>
    <s v=""/>
    <x v="19"/>
    <n v="7"/>
    <n v="482.42857142857144"/>
    <n v="264"/>
    <n v="261"/>
    <n v="3"/>
    <s v="PA_Merce_2018p~Non-government study commissioner,(vote for not more than  7)"/>
    <m/>
    <m/>
    <m/>
    <n v="0"/>
    <n v="0"/>
    <n v="0"/>
    <n v="0"/>
  </r>
  <r>
    <n v="32"/>
    <n v="32"/>
    <n v="88.689679982746028"/>
    <n v="0.88689679982746028"/>
    <n v="270.24"/>
    <n v="13512"/>
    <n v="67.56"/>
    <s v=""/>
    <x v="19"/>
    <n v="1"/>
    <n v="32"/>
    <n v="19"/>
    <n v="13"/>
    <n v="6"/>
    <s v="PA_Merce_2018p~Dem-precinct committeeman fairview,(vote for not more than  1)"/>
    <m/>
    <m/>
    <m/>
    <n v="0"/>
    <n v="0"/>
    <n v="0"/>
    <n v="0"/>
  </r>
  <r>
    <n v="23.25"/>
    <n v="23.25"/>
    <n v="72.601136434112547"/>
    <n v="0.72601136434112545"/>
    <n v="270.24"/>
    <n v="13512"/>
    <n v="67.56"/>
    <s v=""/>
    <x v="19"/>
    <n v="1"/>
    <n v="60"/>
    <n v="38"/>
    <n v="22"/>
    <n v="16"/>
    <s v="PA_Merce_2018p~Dem-precinct committeewoman hermitage nw-3,(vote for not more than  1)"/>
    <m/>
    <m/>
    <m/>
    <n v="0"/>
    <n v="0"/>
    <n v="0"/>
    <n v="0"/>
  </r>
  <r>
    <n v="18.895238095238096"/>
    <n v="18.895238095238096"/>
    <n v="43.114612127680324"/>
    <n v="0.43114612127680324"/>
    <n v="270.24"/>
    <n v="13512"/>
    <n v="67.56"/>
    <s v=""/>
    <x v="19"/>
    <n v="1"/>
    <n v="128"/>
    <n v="85"/>
    <n v="43"/>
    <n v="42"/>
    <s v="PA_Merce_2018p~Dem-precinct committeeman hermitage nw-4,(vote for not more than  1)"/>
    <m/>
    <m/>
    <m/>
    <n v="0"/>
    <n v="0"/>
    <n v="0"/>
    <n v="0"/>
  </r>
  <r>
    <n v="16.662500000000001"/>
    <n v="16.662500000000001"/>
    <n v="38.223900441446311"/>
    <n v="0.38223900441446312"/>
    <n v="270.24"/>
    <n v="13512"/>
    <n v="67.56"/>
    <s v=""/>
    <x v="19"/>
    <n v="1"/>
    <n v="129"/>
    <n v="88"/>
    <n v="40"/>
    <n v="48"/>
    <s v="PA_Merce_2018p~Dem-precinct committeewoman south pymatuning,(vote for not more than  1)"/>
    <m/>
    <m/>
    <m/>
    <n v="0"/>
    <n v="0"/>
    <n v="0"/>
    <n v="0"/>
  </r>
  <r>
    <n v="535.18400000000008"/>
    <n v="535.18400000000008"/>
    <n v="22.219977033610409"/>
    <n v="0.22219977033610408"/>
    <n v="270.24"/>
    <n v="13512"/>
    <n v="67.56"/>
    <s v=""/>
    <x v="19"/>
    <n v="1"/>
    <n v="6474"/>
    <n v="2280"/>
    <n v="2205"/>
    <n v="75"/>
    <s v="PA_Merce_2018p~Rep-lieutenant governor,(vote for not more than  1)"/>
    <m/>
    <m/>
    <m/>
    <n v="0"/>
    <n v="0"/>
    <n v="0"/>
    <n v="0"/>
  </r>
  <r>
    <n v="11.625"/>
    <n v="41.400000000000006"/>
    <n v="0.15384149134077388"/>
    <n v="1.5384149134077387E-3"/>
    <n v="270.24"/>
    <n v="13512"/>
    <n v="67.56"/>
    <s v=""/>
    <x v="19"/>
    <n v="1"/>
    <n v="600"/>
    <n v="460"/>
    <n v="140"/>
    <n v="320"/>
    <s v="PA_Merce_2018p~Non-government study commission referendum,(vote for not more than  1)"/>
    <m/>
    <m/>
    <m/>
    <n v="1"/>
    <n v="1.4925373134328512E-2"/>
    <n v="5.9701492537313716E-2"/>
    <n v="0.20895522388059695"/>
  </r>
  <r>
    <n v="44.123179791976227"/>
    <n v="330.47550000000001"/>
    <n v="1.0087803047960756E-4"/>
    <n v="1.0087803047960756E-6"/>
    <n v="270.24"/>
    <n v="13512"/>
    <n v="67.56"/>
    <s v=""/>
    <x v="19"/>
    <n v="2"/>
    <n v="4789.5"/>
    <n v="2922"/>
    <n v="2249"/>
    <n v="673"/>
    <s v="PA_Merce_2018p~Dem-state committee,(vote for not more than  2)"/>
    <m/>
    <m/>
    <m/>
    <n v="3"/>
    <n v="4.4776119402985204E-2"/>
    <n v="0.17104686358417709"/>
    <n v="0.51099050203527807"/>
  </r>
  <r>
    <n v="36.670036764705884"/>
    <n v="444.01500000000004"/>
    <n v="1.404551590956667E-8"/>
    <n v="1.404551590956667E-10"/>
    <n v="270.24"/>
    <n v="13512"/>
    <n v="67.56"/>
    <s v=""/>
    <x v="19"/>
    <n v="1"/>
    <n v="6435"/>
    <n v="3746"/>
    <n v="2658"/>
    <n v="1088"/>
    <s v="PA_Merce_2018p~Rep-united states senator,(vote for not more than  1)"/>
    <m/>
    <m/>
    <m/>
    <n v="5"/>
    <n v="7.4626865671641784E-2"/>
    <n v="0.27219888320634578"/>
    <n v="0.70285881200060296"/>
  </r>
  <r>
    <n v="24.810671256454391"/>
    <n v="481.27500000000003"/>
    <n v="6.1799488364235318E-15"/>
    <n v="6.1799488364235314E-17"/>
    <n v="270.24"/>
    <n v="13512"/>
    <n v="67.56"/>
    <s v=""/>
    <x v="19"/>
    <n v="1"/>
    <n v="6975"/>
    <n v="3833"/>
    <n v="2090"/>
    <n v="1743"/>
    <s v="PA_Merce_2018p~Rep-governor,(vote for not more than  1)"/>
    <m/>
    <m/>
    <m/>
    <n v="7"/>
    <n v="0.10447761194029903"/>
    <n v="0.36379944682183507"/>
    <n v="0.82275237437159188"/>
  </r>
  <r>
    <n v="18.007087378640776"/>
    <n v="412.82700000000006"/>
    <n v="3.8585005016840636E-18"/>
    <n v="3.8585005016840634E-20"/>
    <n v="270.24"/>
    <n v="13512"/>
    <n v="67.56"/>
    <s v=""/>
    <x v="19"/>
    <n v="1"/>
    <n v="5983"/>
    <n v="3386"/>
    <n v="1326"/>
    <n v="2060"/>
    <s v="PA_Merce_2018p~Dem-u.s. rep, 16th district,(vote for not more than  1)"/>
    <m/>
    <m/>
    <m/>
    <n v="9"/>
    <n v="0.13432835820895539"/>
    <n v="0.44646957520091868"/>
    <n v="0.89635520196304941"/>
  </r>
  <r>
    <n v="13.653005244050021"/>
    <n v="376.67100000000005"/>
    <n v="1.6287288598849497E-22"/>
    <n v="1.6287288598849498E-24"/>
    <n v="270.24"/>
    <n v="13512"/>
    <n v="67.56"/>
    <s v=""/>
    <x v="19"/>
    <n v="1"/>
    <n v="5459"/>
    <n v="3512"/>
    <n v="1033"/>
    <n v="2479"/>
    <s v="PA_Merce_2018p~Dem-lieutenant governor,(vote for not more than  1)"/>
    <m/>
    <m/>
    <m/>
    <n v="10"/>
    <n v="0.1492537313432839"/>
    <n v="0.48464408725602737"/>
    <n v="0.92137291183403747"/>
  </r>
  <r>
    <n v="1160.3124528301885"/>
    <n v="1160.3124528301885"/>
    <e v="#N/A"/>
    <e v="#N/A"/>
    <e v="#N/A"/>
    <e v="#N/A"/>
    <e v="#N/A"/>
    <s v=""/>
    <x v="20"/>
    <n v="5"/>
    <n v="9918.7999999999993"/>
    <n v="4770"/>
    <n v="4717"/>
    <n v="53"/>
    <s v="MD_2020g~Cnty22:Hagerstown Council*HG(vote 5)"/>
    <n v="5.3433883131023922E-3"/>
    <s v=""/>
    <m/>
    <e v="#N/A"/>
    <e v="#N/A"/>
    <e v="#N/A"/>
    <e v="#N/A"/>
  </r>
  <r>
    <n v="388.17076023391809"/>
    <n v="1477.4280000000001"/>
    <e v="#N/A"/>
    <e v="#N/A"/>
    <e v="#N/A"/>
    <e v="#N/A"/>
    <e v="#N/A"/>
    <s v=""/>
    <x v="21"/>
    <n v="3"/>
    <n v="21412"/>
    <n v="10756"/>
    <n v="10414"/>
    <n v="342"/>
    <s v="MD_2020g~Cnty1:Board of Education*(vote 3)"/>
    <n v="1.5972351952176351E-2"/>
    <s v=""/>
    <m/>
    <e v="#N/A"/>
    <e v="#N/A"/>
    <e v="#N/A"/>
    <e v="#N/A"/>
  </r>
  <r>
    <n v="359.50921293471634"/>
    <n v="6557.6220000000003"/>
    <e v="#N/A"/>
    <e v="#N/A"/>
    <e v="#N/A"/>
    <e v="#N/A"/>
    <e v="#N/A"/>
    <s v=""/>
    <x v="21"/>
    <n v="3"/>
    <n v="95038"/>
    <n v="43262"/>
    <n v="41623"/>
    <n v="1639"/>
    <s v="MD_2020g~Cnty11:Board of Education*(vote 3)"/>
    <n v="1.7245733285633114E-2"/>
    <n v="1"/>
    <m/>
    <e v="#N/A"/>
    <e v="#N/A"/>
    <e v="#N/A"/>
    <e v="#N/A"/>
  </r>
  <r>
    <n v="355.17307068366159"/>
    <n v="20467.249200000002"/>
    <e v="#N/A"/>
    <e v="#N/A"/>
    <e v="#N/A"/>
    <e v="#N/A"/>
    <e v="#N/A"/>
    <s v=""/>
    <x v="21"/>
    <n v="5"/>
    <n v="296626.8"/>
    <n v="206096"/>
    <n v="200918"/>
    <n v="5178"/>
    <s v="MD_2020g~Cnty17:Judge of the Circuit Court*7(vote 5)"/>
    <n v="1.7456278394265119E-2"/>
    <n v="1"/>
    <m/>
    <e v="#N/A"/>
    <e v="#N/A"/>
    <e v="#N/A"/>
    <e v="#N/A"/>
  </r>
  <r>
    <n v="148.87622666815693"/>
    <n v="29647.644000000004"/>
    <e v="#N/A"/>
    <e v="#N/A"/>
    <e v="#N/A"/>
    <e v="#N/A"/>
    <e v="#N/A"/>
    <s v=""/>
    <x v="21"/>
    <n v="1"/>
    <n v="429676"/>
    <n v="221533"/>
    <n v="203639"/>
    <n v="17894"/>
    <s v="MD_2020g~Cnty16:Board of Education At Large*(vote 1)"/>
    <n v="4.1645332762360474E-2"/>
    <n v="1"/>
    <m/>
    <e v="#N/A"/>
    <e v="#N/A"/>
    <e v="#N/A"/>
    <e v="#N/A"/>
  </r>
  <r>
    <n v="145.63270622286541"/>
    <n v="2239.8780000000002"/>
    <e v="#N/A"/>
    <e v="#N/A"/>
    <e v="#N/A"/>
    <e v="#N/A"/>
    <e v="#N/A"/>
    <s v=""/>
    <x v="21"/>
    <n v="1"/>
    <n v="32462"/>
    <n v="16747"/>
    <n v="15365"/>
    <n v="1382"/>
    <s v="MD_2020g~Cnty14:Board of Education*4(vote 1)"/>
    <n v="4.2572854414392215E-2"/>
    <n v="1"/>
    <m/>
    <e v="#N/A"/>
    <e v="#N/A"/>
    <e v="#N/A"/>
    <e v="#N/A"/>
  </r>
  <r>
    <n v="137.83076923076922"/>
    <n v="319.05600000000004"/>
    <e v="#N/A"/>
    <e v="#N/A"/>
    <e v="#N/A"/>
    <e v="#N/A"/>
    <e v="#N/A"/>
    <s v=""/>
    <x v="22"/>
    <n v="1"/>
    <n v="4624"/>
    <n v="2387"/>
    <n v="2179"/>
    <n v="208"/>
    <s v="MD_2020g~Cnty6:Board of Education*2(vote 1)"/>
    <n v="4.4982698961937718E-2"/>
    <s v=""/>
    <m/>
    <e v="#N/A"/>
    <e v="#N/A"/>
    <e v="#N/A"/>
    <e v="#N/A"/>
  </r>
  <r>
    <n v="134.95447604002106"/>
    <n v="2852.1322500000001"/>
    <e v="#N/A"/>
    <e v="#N/A"/>
    <e v="#N/A"/>
    <e v="#N/A"/>
    <e v="#N/A"/>
    <s v=""/>
    <x v="20"/>
    <n v="4"/>
    <n v="41335.25"/>
    <n v="24287"/>
    <n v="22388"/>
    <n v="1899"/>
    <s v="MD_2020g~Cnty22:Board of Education*(vote 4)"/>
    <n v="4.5941418039082867E-2"/>
    <n v="1"/>
    <m/>
    <e v="#N/A"/>
    <e v="#N/A"/>
    <e v="#N/A"/>
    <e v="#N/A"/>
  </r>
  <r>
    <n v="122.46396396396396"/>
    <n v="2723.085"/>
    <e v="#N/A"/>
    <e v="#N/A"/>
    <e v="#N/A"/>
    <e v="#N/A"/>
    <e v="#N/A"/>
    <s v=""/>
    <x v="20"/>
    <n v="1"/>
    <n v="39465"/>
    <n v="20642"/>
    <n v="18644"/>
    <n v="1998"/>
    <s v="MD_2020g~Cnty2:Board of Education*3(vote 1)"/>
    <n v="5.0627137970353481E-2"/>
    <n v="1"/>
    <m/>
    <e v="#N/A"/>
    <e v="#N/A"/>
    <e v="#N/A"/>
    <e v="#N/A"/>
  </r>
  <r>
    <n v="96.661845688350994"/>
    <n v="10666.089000000002"/>
    <e v="#N/A"/>
    <e v="#N/A"/>
    <e v="#N/A"/>
    <e v="#N/A"/>
    <e v="#N/A"/>
    <s v=""/>
    <x v="21"/>
    <n v="1"/>
    <n v="154581"/>
    <n v="81970"/>
    <n v="72055"/>
    <n v="9915"/>
    <s v="MD_2020g~Cnty14:Judge of the Circuit Court*5(vote 1)"/>
    <n v="6.4141129893065765E-2"/>
    <n v="1"/>
    <m/>
    <e v="#N/A"/>
    <e v="#N/A"/>
    <e v="#N/A"/>
    <e v="#N/A"/>
  </r>
  <r>
    <n v="96.039257476796152"/>
    <n v="3109.2090000000003"/>
    <e v="#N/A"/>
    <e v="#N/A"/>
    <e v="#N/A"/>
    <e v="#N/A"/>
    <e v="#N/A"/>
    <s v=""/>
    <x v="21"/>
    <n v="1"/>
    <n v="45061"/>
    <n v="23894"/>
    <n v="20985"/>
    <n v="2909"/>
    <s v="MD_2020g~Cnty19:Board of Education*2(vote 1)"/>
    <n v="6.4556933934000582E-2"/>
    <n v="1"/>
    <m/>
    <e v="#N/A"/>
    <e v="#N/A"/>
    <e v="#N/A"/>
    <e v="#N/A"/>
  </r>
  <r>
    <n v="89.725575447570336"/>
    <n v="780.87300000000005"/>
    <e v="#N/A"/>
    <e v="#N/A"/>
    <e v="#N/A"/>
    <e v="#N/A"/>
    <e v="#N/A"/>
    <s v=""/>
    <x v="20"/>
    <n v="1"/>
    <n v="11317"/>
    <n v="6038"/>
    <n v="5256"/>
    <n v="782"/>
    <s v="MD_2020g~Cnty23:County Council*2(vote 1)"/>
    <n v="6.9099584695590702E-2"/>
    <n v="1"/>
    <m/>
    <e v="#N/A"/>
    <e v="#N/A"/>
    <e v="#N/A"/>
    <e v="#N/A"/>
  </r>
  <r>
    <n v="72.023333333333326"/>
    <n v="96.186000000000007"/>
    <e v="#N/A"/>
    <e v="#N/A"/>
    <e v="#N/A"/>
    <e v="#N/A"/>
    <e v="#N/A"/>
    <s v=""/>
    <x v="20"/>
    <n v="1"/>
    <n v="1394"/>
    <n v="752"/>
    <n v="632"/>
    <n v="120"/>
    <s v="MD_2020g~Cnty20:Board of Education*2(vote 1)"/>
    <n v="8.608321377331421E-2"/>
    <s v=""/>
    <m/>
    <e v="#N/A"/>
    <e v="#N/A"/>
    <e v="#N/A"/>
    <e v="#N/A"/>
  </r>
  <r>
    <n v="63.064613778705642"/>
    <n v="2689.4820000000004"/>
    <e v="#N/A"/>
    <e v="#N/A"/>
    <e v="#N/A"/>
    <e v="#N/A"/>
    <e v="#N/A"/>
    <s v=""/>
    <x v="23"/>
    <n v="1"/>
    <n v="38978"/>
    <n v="20666"/>
    <n v="16834"/>
    <n v="3832"/>
    <s v="MD_2020g~Cnty5:Board of Education*2(vote 1)"/>
    <n v="9.8311868233362409E-2"/>
    <n v="1"/>
    <m/>
    <e v="#N/A"/>
    <e v="#N/A"/>
    <e v="#N/A"/>
    <e v="#N/A"/>
  </r>
  <r>
    <n v="61.375526695526695"/>
    <n v="2366.7690000000002"/>
    <e v="#N/A"/>
    <e v="#N/A"/>
    <e v="#N/A"/>
    <e v="#N/A"/>
    <e v="#N/A"/>
    <s v=""/>
    <x v="20"/>
    <n v="1"/>
    <n v="34301"/>
    <n v="18748"/>
    <n v="15283"/>
    <n v="3465"/>
    <s v="MD_2020g~Cnty2:Board of Education*6(vote 1)"/>
    <n v="0.10101746304772456"/>
    <n v="1"/>
    <m/>
    <e v="#N/A"/>
    <e v="#N/A"/>
    <e v="#N/A"/>
    <e v="#N/A"/>
  </r>
  <r>
    <n v="55.814649218466009"/>
    <n v="5126.4585000000006"/>
    <e v="#N/A"/>
    <e v="#N/A"/>
    <e v="#N/A"/>
    <e v="#N/A"/>
    <e v="#N/A"/>
    <s v=""/>
    <x v="24"/>
    <n v="2"/>
    <n v="74296.5"/>
    <n v="41643"/>
    <n v="33390"/>
    <n v="8253"/>
    <s v="MD_2020g~Cnty7:Board of Education*(vote 2)"/>
    <n v="0.11108194867860532"/>
    <n v="1"/>
    <m/>
    <e v="#N/A"/>
    <e v="#N/A"/>
    <e v="#N/A"/>
    <e v="#N/A"/>
  </r>
  <r>
    <n v="53.435177865612651"/>
    <n v="300.90900000000005"/>
    <e v="#N/A"/>
    <e v="#N/A"/>
    <e v="#N/A"/>
    <e v="#N/A"/>
    <e v="#N/A"/>
    <s v=""/>
    <x v="22"/>
    <n v="1"/>
    <n v="4361"/>
    <n v="2403"/>
    <n v="1897"/>
    <n v="506"/>
    <s v="MD_2020g~Cnty6:Board of Education*1(vote 1)"/>
    <n v="0.11602843384544829"/>
    <s v=""/>
    <m/>
    <e v="#N/A"/>
    <e v="#N/A"/>
    <e v="#N/A"/>
    <e v="#N/A"/>
  </r>
  <r>
    <n v="52.367952013710365"/>
    <n v="680.13300000000004"/>
    <e v="#N/A"/>
    <e v="#N/A"/>
    <e v="#N/A"/>
    <e v="#N/A"/>
    <e v="#N/A"/>
    <s v=""/>
    <x v="21"/>
    <n v="1"/>
    <n v="9857"/>
    <n v="4353"/>
    <n v="3186"/>
    <n v="1167"/>
    <s v="MD_2020g~Cnty18:Board of Education*4(vote 1)"/>
    <n v="0.11839302018869839"/>
    <n v="1"/>
    <m/>
    <e v="#N/A"/>
    <e v="#N/A"/>
    <e v="#N/A"/>
    <e v="#N/A"/>
  </r>
  <r>
    <n v="49.274612202688736"/>
    <n v="2121.1290000000004"/>
    <e v="#N/A"/>
    <e v="#N/A"/>
    <e v="#N/A"/>
    <e v="#N/A"/>
    <e v="#N/A"/>
    <s v=""/>
    <x v="20"/>
    <n v="1"/>
    <n v="30741"/>
    <n v="17190"/>
    <n v="13322"/>
    <n v="3868"/>
    <s v="MD_2020g~Cnty2:Board of Education*2(vote 1)"/>
    <n v="0.12582544484564587"/>
    <n v="1"/>
    <m/>
    <e v="#N/A"/>
    <e v="#N/A"/>
    <e v="#N/A"/>
    <e v="#N/A"/>
  </r>
  <r>
    <n v="43.02971082971083"/>
    <n v="2533.7490000000003"/>
    <e v="#N/A"/>
    <e v="#N/A"/>
    <e v="#N/A"/>
    <e v="#N/A"/>
    <e v="#N/A"/>
    <s v=""/>
    <x v="25"/>
    <n v="1"/>
    <n v="36721"/>
    <n v="20887"/>
    <n v="15596"/>
    <n v="5291"/>
    <s v="MD_2020g~Cnty8:Board of Education*1(vote 1)"/>
    <n v="0.14408649001933499"/>
    <n v="1"/>
    <m/>
    <e v="#N/A"/>
    <e v="#N/A"/>
    <e v="#N/A"/>
    <e v="#N/A"/>
  </r>
  <r>
    <n v="41.43866432337434"/>
    <n v="2624.07"/>
    <e v="#N/A"/>
    <e v="#N/A"/>
    <e v="#N/A"/>
    <e v="#N/A"/>
    <e v="#N/A"/>
    <s v=""/>
    <x v="23"/>
    <n v="1"/>
    <n v="38030"/>
    <n v="21719"/>
    <n v="16029"/>
    <n v="5690"/>
    <s v="MD_2020g~Cnty5:Board of Education*1(vote 1)"/>
    <n v="0.14961872206153037"/>
    <n v="1"/>
    <m/>
    <e v="#N/A"/>
    <e v="#N/A"/>
    <e v="#N/A"/>
    <e v="#N/A"/>
  </r>
  <r>
    <n v="38.708108108108114"/>
    <n v="159.39000000000001"/>
    <e v="#N/A"/>
    <e v="#N/A"/>
    <e v="#N/A"/>
    <e v="#N/A"/>
    <e v="#N/A"/>
    <s v=""/>
    <x v="20"/>
    <n v="1"/>
    <n v="2310"/>
    <n v="1334"/>
    <n v="964"/>
    <n v="370"/>
    <s v="MD_2020g~Cnty20:Board of Education*4(vote 1)"/>
    <n v="0.16017316017316016"/>
    <s v=""/>
    <m/>
    <e v="#N/A"/>
    <e v="#N/A"/>
    <e v="#N/A"/>
    <e v="#N/A"/>
  </r>
  <r>
    <n v="37.756191524490916"/>
    <n v="763.48500000000001"/>
    <e v="#N/A"/>
    <e v="#N/A"/>
    <e v="#N/A"/>
    <e v="#N/A"/>
    <e v="#N/A"/>
    <s v=""/>
    <x v="21"/>
    <n v="2"/>
    <n v="11065"/>
    <n v="7932"/>
    <n v="6115"/>
    <n v="1817"/>
    <s v="MD_2020g~Cnty12:Board of Education At Large*(vote 2)"/>
    <n v="0.16421147763217353"/>
    <n v="1"/>
    <m/>
    <e v="#N/A"/>
    <e v="#N/A"/>
    <e v="#N/A"/>
    <e v="#N/A"/>
  </r>
  <r>
    <n v="36.46919022520364"/>
    <n v="5929.3080000000009"/>
    <e v="#N/A"/>
    <e v="#N/A"/>
    <e v="#N/A"/>
    <e v="#N/A"/>
    <e v="#N/A"/>
    <s v=""/>
    <x v="26"/>
    <n v="1"/>
    <n v="85932"/>
    <n v="50200"/>
    <n v="35591"/>
    <n v="14609"/>
    <s v="MD_2020g~Cnty9:Judge of the Circuit Court*7(vote 1)"/>
    <n v="0.17000651678071033"/>
    <n v="1"/>
    <m/>
    <e v="#N/A"/>
    <e v="#N/A"/>
    <e v="#N/A"/>
    <e v="#N/A"/>
  </r>
  <r>
    <n v="32.455356314731802"/>
    <n v="28038.978000000003"/>
    <e v="#N/A"/>
    <e v="#N/A"/>
    <e v="#N/A"/>
    <e v="#N/A"/>
    <e v="#N/A"/>
    <s v=""/>
    <x v="21"/>
    <n v="1"/>
    <n v="406362"/>
    <n v="240474"/>
    <n v="162846"/>
    <n v="77628"/>
    <s v="MD_2020g~Cnty16:Board of Education*2(vote 1)"/>
    <n v="0.19103164173815465"/>
    <n v="1"/>
    <m/>
    <e v="#N/A"/>
    <e v="#N/A"/>
    <e v="#N/A"/>
    <e v="#N/A"/>
  </r>
  <r>
    <n v="31.579916876329214"/>
    <n v="25283.946000000004"/>
    <e v="#N/A"/>
    <e v="#N/A"/>
    <e v="#N/A"/>
    <e v="#N/A"/>
    <e v="#N/A"/>
    <s v=""/>
    <x v="27"/>
    <n v="1"/>
    <n v="366434"/>
    <n v="215540"/>
    <n v="143599"/>
    <n v="71941"/>
    <s v="MD_2020g~Cnty0:Representative in Congress*6(vote 1)"/>
    <n v="0.19632730587227168"/>
    <n v="1"/>
    <m/>
    <e v="#N/A"/>
    <e v="#N/A"/>
    <e v="#N/A"/>
    <e v="#N/A"/>
  </r>
  <r>
    <n v="30.314067715784457"/>
    <n v="707.45700000000011"/>
    <e v="#N/A"/>
    <e v="#N/A"/>
    <e v="#N/A"/>
    <e v="#N/A"/>
    <e v="#N/A"/>
    <s v=""/>
    <x v="21"/>
    <n v="1"/>
    <n v="10253"/>
    <n v="5047"/>
    <n v="2950"/>
    <n v="2097"/>
    <s v="MD_2020g~Cnty18:Board of Education*3(vote 1)"/>
    <n v="0.20452550473032283"/>
    <n v="1"/>
    <m/>
    <e v="#N/A"/>
    <e v="#N/A"/>
    <e v="#N/A"/>
    <e v="#N/A"/>
  </r>
  <r>
    <n v="29.73135172413793"/>
    <n v="25188.329250000003"/>
    <e v="#N/A"/>
    <e v="#N/A"/>
    <e v="#N/A"/>
    <e v="#N/A"/>
    <e v="#N/A"/>
    <s v=""/>
    <x v="21"/>
    <n v="4"/>
    <n v="365048.25"/>
    <n v="291224"/>
    <n v="215099"/>
    <n v="76125"/>
    <s v="MD_2020g~Cnty16:Judge of the Circuit Court*6(vote 4)"/>
    <n v="0.20853407734457022"/>
    <n v="1"/>
    <m/>
    <e v="#N/A"/>
    <e v="#N/A"/>
    <e v="#N/A"/>
    <e v="#N/A"/>
  </r>
  <r>
    <n v="26.205668016194334"/>
    <n v="936.46800000000007"/>
    <e v="#N/A"/>
    <e v="#N/A"/>
    <e v="#N/A"/>
    <e v="#N/A"/>
    <e v="#N/A"/>
    <s v=""/>
    <x v="28"/>
    <n v="1"/>
    <n v="13572"/>
    <n v="8079"/>
    <n v="4868"/>
    <n v="3211"/>
    <s v="MD_2020g~Cnty3:Member City Council*12(vote 1)"/>
    <n v="0.23659003831417624"/>
    <n v="1"/>
    <m/>
    <e v="#N/A"/>
    <e v="#N/A"/>
    <e v="#N/A"/>
    <e v="#N/A"/>
  </r>
  <r>
    <n v="25.515891826192647"/>
    <n v="934.53600000000006"/>
    <e v="#N/A"/>
    <e v="#N/A"/>
    <e v="#N/A"/>
    <e v="#N/A"/>
    <e v="#N/A"/>
    <s v=""/>
    <x v="20"/>
    <n v="1"/>
    <n v="13544"/>
    <n v="8374"/>
    <n v="5083"/>
    <n v="3291"/>
    <s v="MD_2020g~Cnty22:Mayor of Hagerstown*HG(vote 1)"/>
    <n v="0.24298582398109864"/>
    <n v="1"/>
    <m/>
    <e v="#N/A"/>
    <e v="#N/A"/>
    <e v="#N/A"/>
    <e v="#N/A"/>
  </r>
  <r>
    <n v="24.960093896713616"/>
    <n v="236.67000000000002"/>
    <e v="#N/A"/>
    <e v="#N/A"/>
    <e v="#N/A"/>
    <e v="#N/A"/>
    <e v="#N/A"/>
    <s v=""/>
    <x v="21"/>
    <n v="1"/>
    <n v="3430"/>
    <n v="2135"/>
    <n v="1283"/>
    <n v="852"/>
    <s v="MD_2020g~Cnty10:Board of Education*1(vote 1)"/>
    <n v="0.24839650145772596"/>
    <n v="1"/>
    <m/>
    <e v="#N/A"/>
    <e v="#N/A"/>
    <e v="#N/A"/>
    <e v="#N/A"/>
  </r>
  <r>
    <n v="24.791744340878825"/>
    <n v="207.20700000000002"/>
    <e v="#N/A"/>
    <e v="#N/A"/>
    <e v="#N/A"/>
    <e v="#N/A"/>
    <e v="#N/A"/>
    <s v=""/>
    <x v="20"/>
    <n v="1"/>
    <n v="3003"/>
    <n v="1863"/>
    <n v="1112"/>
    <n v="751"/>
    <s v="MD_2020g~Cnty24:Board of Education*2(vote 1)"/>
    <n v="0.25008325008325011"/>
    <n v="1"/>
    <m/>
    <e v="#N/A"/>
    <e v="#N/A"/>
    <e v="#N/A"/>
    <e v="#N/A"/>
  </r>
  <r>
    <n v="23.552585567010311"/>
    <n v="6356.3490000000002"/>
    <e v="#N/A"/>
    <e v="#N/A"/>
    <e v="#N/A"/>
    <e v="#N/A"/>
    <e v="#N/A"/>
    <s v=""/>
    <x v="24"/>
    <n v="1"/>
    <n v="92121"/>
    <n v="58088"/>
    <n v="33838"/>
    <n v="24250"/>
    <s v="MD_2020g~Cnty7:Judge of the Circuit Court*5(vote 1)"/>
    <n v="0.26324073772538292"/>
    <n v="1"/>
    <m/>
    <e v="#N/A"/>
    <e v="#N/A"/>
    <e v="#N/A"/>
    <e v="#N/A"/>
  </r>
  <r>
    <n v="23.22565877029545"/>
    <n v="2913.3180000000002"/>
    <e v="#N/A"/>
    <e v="#N/A"/>
    <e v="#N/A"/>
    <e v="#N/A"/>
    <e v="#N/A"/>
    <s v=""/>
    <x v="21"/>
    <n v="1"/>
    <n v="42222"/>
    <n v="26670"/>
    <n v="15399"/>
    <n v="11271"/>
    <s v="MD_2020g~Cnty17:Board of Education*7(vote 1)"/>
    <n v="0.26694614182179904"/>
    <n v="1"/>
    <m/>
    <e v="#N/A"/>
    <e v="#N/A"/>
    <e v="#N/A"/>
    <e v="#N/A"/>
  </r>
  <r>
    <n v="22.913073703094636"/>
    <n v="27291.156000000003"/>
    <e v="#N/A"/>
    <e v="#N/A"/>
    <e v="#N/A"/>
    <e v="#N/A"/>
    <e v="#N/A"/>
    <s v=""/>
    <x v="27"/>
    <n v="1"/>
    <n v="395524"/>
    <n v="250901"/>
    <n v="143877"/>
    <n v="107024"/>
    <s v="MD_2020g~Cnty0:Representative in Congress*1(vote 1)"/>
    <n v="0.27058787835883535"/>
    <n v="1"/>
    <m/>
    <e v="#N/A"/>
    <e v="#N/A"/>
    <e v="#N/A"/>
    <e v="#N/A"/>
  </r>
  <r>
    <n v="22.826318335752298"/>
    <n v="3150.5400000000004"/>
    <e v="#N/A"/>
    <e v="#N/A"/>
    <e v="#N/A"/>
    <e v="#N/A"/>
    <e v="#N/A"/>
    <s v=""/>
    <x v="25"/>
    <n v="1"/>
    <n v="45660"/>
    <n v="28966"/>
    <n v="16564"/>
    <n v="12402"/>
    <s v="MD_2020g~Cnty8:County Executive*(vote 1)"/>
    <n v="0.2716162943495401"/>
    <n v="1"/>
    <m/>
    <e v="#N/A"/>
    <e v="#N/A"/>
    <e v="#N/A"/>
    <e v="#N/A"/>
  </r>
  <r>
    <n v="22.481806775407779"/>
    <n v="199.41000000000003"/>
    <e v="#N/A"/>
    <e v="#N/A"/>
    <e v="#N/A"/>
    <e v="#N/A"/>
    <e v="#N/A"/>
    <s v=""/>
    <x v="21"/>
    <n v="1"/>
    <n v="2890"/>
    <n v="1836"/>
    <n v="1039"/>
    <n v="797"/>
    <s v="MD_2020g~Cnty10:Board of Education*5(vote 1)"/>
    <n v="0.27577854671280277"/>
    <n v="1"/>
    <m/>
    <e v="#N/A"/>
    <e v="#N/A"/>
    <e v="#N/A"/>
    <e v="#N/A"/>
  </r>
  <r>
    <n v="21.968978224455615"/>
    <n v="2189.4390000000003"/>
    <e v="#N/A"/>
    <e v="#N/A"/>
    <e v="#N/A"/>
    <e v="#N/A"/>
    <e v="#N/A"/>
    <s v=""/>
    <x v="21"/>
    <n v="1"/>
    <n v="31731"/>
    <n v="20262"/>
    <n v="11307"/>
    <n v="8955"/>
    <s v="MD_2020g~Cnty14:Board of Education*1(vote 1)"/>
    <n v="0.28221612933724116"/>
    <n v="1"/>
    <m/>
    <e v="#N/A"/>
    <e v="#N/A"/>
    <e v="#N/A"/>
    <e v="#N/A"/>
  </r>
  <r>
    <n v="20.765004739336494"/>
    <n v="2438.0460000000003"/>
    <e v="#N/A"/>
    <e v="#N/A"/>
    <e v="#N/A"/>
    <e v="#N/A"/>
    <e v="#N/A"/>
    <s v=""/>
    <x v="21"/>
    <n v="1"/>
    <n v="35334"/>
    <n v="22871"/>
    <n v="12321"/>
    <n v="10550"/>
    <s v="MD_2020g~Cnty14:Board of Education*5(vote 1)"/>
    <n v="0.29857927208920587"/>
    <n v="1"/>
    <m/>
    <e v="#N/A"/>
    <e v="#N/A"/>
    <e v="#N/A"/>
    <e v="#N/A"/>
  </r>
  <r>
    <n v="18.723154305200339"/>
    <n v="2444.1870000000004"/>
    <e v="#N/A"/>
    <e v="#N/A"/>
    <e v="#N/A"/>
    <e v="#N/A"/>
    <e v="#N/A"/>
    <s v=""/>
    <x v="21"/>
    <n v="1"/>
    <n v="35423"/>
    <n v="23514"/>
    <n v="11784"/>
    <n v="11730"/>
    <s v="MD_2020g~Cnty17:Board of Education*4(vote 1)"/>
    <n v="0.33114078423623072"/>
    <n v="1"/>
    <m/>
    <e v="#N/A"/>
    <e v="#N/A"/>
    <e v="#N/A"/>
    <e v="#N/A"/>
  </r>
  <r>
    <n v="18.668871881968137"/>
    <n v="209555.13900000002"/>
    <e v="#N/A"/>
    <e v="#N/A"/>
    <e v="#N/A"/>
    <e v="#N/A"/>
    <e v="#N/A"/>
    <s v=""/>
    <x v="27"/>
    <n v="1"/>
    <n v="3037031"/>
    <n v="1985023"/>
    <n v="976414"/>
    <n v="1008609"/>
    <s v="MD_2020g~Cnty0:President - Vice Pres*(vote 1)"/>
    <n v="0.33210362357183709"/>
    <n v="1"/>
    <m/>
    <e v="#N/A"/>
    <e v="#N/A"/>
    <e v="#N/A"/>
    <e v="#N/A"/>
  </r>
  <r>
    <n v="18.372580563638596"/>
    <n v="28317.531000000003"/>
    <e v="#N/A"/>
    <e v="#N/A"/>
    <e v="#N/A"/>
    <e v="#N/A"/>
    <e v="#N/A"/>
    <s v=""/>
    <x v="21"/>
    <n v="1"/>
    <n v="410399"/>
    <n v="273241"/>
    <n v="134748"/>
    <n v="138493"/>
    <s v="MD_2020g~Cnty16:Board of Education*4(vote 1)"/>
    <n v="0.33745939926754209"/>
    <n v="1"/>
    <m/>
    <e v="#N/A"/>
    <e v="#N/A"/>
    <e v="#N/A"/>
    <e v="#N/A"/>
  </r>
  <r>
    <n v="17.374610275065201"/>
    <n v="22909.794000000002"/>
    <e v="#N/A"/>
    <e v="#N/A"/>
    <e v="#N/A"/>
    <e v="#N/A"/>
    <e v="#N/A"/>
    <s v=""/>
    <x v="27"/>
    <n v="1"/>
    <n v="332026"/>
    <n v="224836"/>
    <n v="106355"/>
    <n v="118481"/>
    <s v="MD_2020g~Cnty0:Representative in Congress*2(vote 1)"/>
    <n v="0.35684253642787012"/>
    <n v="1"/>
    <m/>
    <e v="#N/A"/>
    <e v="#N/A"/>
    <e v="#N/A"/>
    <e v="#N/A"/>
  </r>
  <r>
    <n v="16.916669264497592"/>
    <n v="27780.366000000002"/>
    <e v="#N/A"/>
    <e v="#N/A"/>
    <e v="#N/A"/>
    <e v="#N/A"/>
    <e v="#N/A"/>
    <s v=""/>
    <x v="27"/>
    <n v="1"/>
    <n v="402614"/>
    <n v="274716"/>
    <n v="127157"/>
    <n v="147559"/>
    <s v="MD_2020g~Cnty0:Representative in Congress*8(vote 1)"/>
    <n v="0.36650240677174661"/>
    <n v="1"/>
    <m/>
    <e v="#N/A"/>
    <e v="#N/A"/>
    <e v="#N/A"/>
    <e v="#N/A"/>
  </r>
  <r>
    <n v="16.410404486179779"/>
    <n v="27519.891000000003"/>
    <e v="#N/A"/>
    <e v="#N/A"/>
    <e v="#N/A"/>
    <e v="#N/A"/>
    <e v="#N/A"/>
    <s v=""/>
    <x v="27"/>
    <n v="1"/>
    <n v="398839"/>
    <n v="274210"/>
    <n v="123525"/>
    <n v="150685"/>
    <s v="MD_2020g~Cnty0:Representative in Congress*5(vote 1)"/>
    <n v="0.37780909088629749"/>
    <n v="1"/>
    <m/>
    <e v="#N/A"/>
    <e v="#N/A"/>
    <e v="#N/A"/>
    <e v="#N/A"/>
  </r>
  <r>
    <n v="15.75552099533437"/>
    <n v="225.49200000000002"/>
    <e v="#N/A"/>
    <e v="#N/A"/>
    <e v="#N/A"/>
    <e v="#N/A"/>
    <e v="#N/A"/>
    <s v=""/>
    <x v="21"/>
    <n v="1"/>
    <n v="3268"/>
    <n v="2267"/>
    <n v="981"/>
    <n v="1286"/>
    <s v="MD_2020g~Cnty10:Board of Education*3(vote 1)"/>
    <n v="0.39351285189718482"/>
    <n v="1"/>
    <m/>
    <e v="#N/A"/>
    <e v="#N/A"/>
    <e v="#N/A"/>
    <e v="#N/A"/>
  </r>
  <r>
    <n v="15.608888229302286"/>
    <n v="25751.214000000004"/>
    <e v="#N/A"/>
    <e v="#N/A"/>
    <e v="#N/A"/>
    <e v="#N/A"/>
    <e v="#N/A"/>
    <s v=""/>
    <x v="27"/>
    <n v="1"/>
    <n v="373206"/>
    <n v="260358"/>
    <n v="112117"/>
    <n v="148241"/>
    <s v="MD_2020g~Cnty0:Representative in Congress*3(vote 1)"/>
    <n v="0.39720958398310852"/>
    <n v="1"/>
    <m/>
    <e v="#N/A"/>
    <e v="#N/A"/>
    <e v="#N/A"/>
    <e v="#N/A"/>
  </r>
  <r>
    <n v="14.225716246473356"/>
    <n v="22838.862000000001"/>
    <e v="#N/A"/>
    <e v="#N/A"/>
    <e v="#N/A"/>
    <e v="#N/A"/>
    <e v="#N/A"/>
    <s v=""/>
    <x v="27"/>
    <n v="1"/>
    <n v="330998"/>
    <n v="237084"/>
    <n v="92825"/>
    <n v="144259"/>
    <s v="MD_2020g~Cnty0:Representative in Congress*7(vote 1)"/>
    <n v="0.43583042797841681"/>
    <n v="1"/>
    <m/>
    <e v="#N/A"/>
    <e v="#N/A"/>
    <e v="#N/A"/>
    <e v="#N/A"/>
  </r>
  <r>
    <n v="13.780643748631487"/>
    <n v="2101.2570000000001"/>
    <e v="#N/A"/>
    <e v="#N/A"/>
    <e v="#N/A"/>
    <e v="#N/A"/>
    <e v="#N/A"/>
    <s v=""/>
    <x v="21"/>
    <n v="1"/>
    <n v="30453"/>
    <n v="21968"/>
    <n v="8267"/>
    <n v="13701"/>
    <s v="MD_2020g~Cnty14:Board of Education*2(vote 1)"/>
    <n v="0.4499064131612649"/>
    <n v="1"/>
    <m/>
    <e v="#N/A"/>
    <e v="#N/A"/>
    <e v="#N/A"/>
    <e v="#N/A"/>
  </r>
  <r>
    <n v="13.215621788283659"/>
    <n v="286.21200000000005"/>
    <e v="#N/A"/>
    <e v="#N/A"/>
    <e v="#N/A"/>
    <e v="#N/A"/>
    <e v="#N/A"/>
    <s v=""/>
    <x v="20"/>
    <n v="1"/>
    <n v="4148"/>
    <n v="3039"/>
    <n v="1093"/>
    <n v="1946"/>
    <s v="MD_2020g~Cnty24:Board of Education*3(vote 1)"/>
    <n v="0.4691417550626808"/>
    <n v="1"/>
    <m/>
    <e v="#N/A"/>
    <e v="#N/A"/>
    <e v="#N/A"/>
    <e v="#N/A"/>
  </r>
  <r>
    <n v="12.741869158878504"/>
    <n v="379.32750000000004"/>
    <e v="#N/A"/>
    <e v="#N/A"/>
    <e v="#N/A"/>
    <e v="#N/A"/>
    <e v="#N/A"/>
    <s v=""/>
    <x v="21"/>
    <n v="2"/>
    <n v="5497.5"/>
    <n v="3854"/>
    <n v="1179"/>
    <n v="2675"/>
    <s v="MD_2020g~Cnty1:Council - City of Cumberland*CU(vote 2)"/>
    <n v="0.48658481127785358"/>
    <n v="1"/>
    <m/>
    <e v="#N/A"/>
    <e v="#N/A"/>
    <e v="#N/A"/>
    <e v="#N/A"/>
  </r>
  <r>
    <n v="12.337041895967152"/>
    <n v="16117.020000000002"/>
    <e v="#N/A"/>
    <e v="#N/A"/>
    <e v="#N/A"/>
    <e v="#N/A"/>
    <e v="#N/A"/>
    <s v=""/>
    <x v="28"/>
    <n v="1"/>
    <n v="233580"/>
    <n v="164661"/>
    <n v="47275"/>
    <n v="117386"/>
    <s v="MD_2020g~Cnty3:Mayor*(vote 1)"/>
    <n v="0.50255158832091784"/>
    <n v="1"/>
    <m/>
    <e v="#N/A"/>
    <e v="#N/A"/>
    <e v="#N/A"/>
    <e v="#N/A"/>
  </r>
  <r>
    <n v="10.863109452736317"/>
    <n v="1944.0060000000001"/>
    <e v="#N/A"/>
    <e v="#N/A"/>
    <e v="#N/A"/>
    <e v="#N/A"/>
    <e v="#N/A"/>
    <s v=""/>
    <x v="21"/>
    <n v="1"/>
    <n v="28174"/>
    <n v="22015"/>
    <n v="5935"/>
    <n v="16080"/>
    <s v="MD_2020g~Cnty14:Board of Education*3(vote 1)"/>
    <n v="0.57073897920068151"/>
    <n v="1"/>
    <m/>
    <e v="#N/A"/>
    <e v="#N/A"/>
    <e v="#N/A"/>
    <e v="#N/A"/>
  </r>
  <r>
    <n v="10.740229508196723"/>
    <n v="729.12300000000005"/>
    <e v="#N/A"/>
    <e v="#N/A"/>
    <e v="#N/A"/>
    <e v="#N/A"/>
    <e v="#N/A"/>
    <s v=""/>
    <x v="28"/>
    <n v="1"/>
    <n v="10567"/>
    <n v="8313"/>
    <n v="2213"/>
    <n v="6100"/>
    <s v="MD_2020g~Cnty3:Member City Council*10(vote 1)"/>
    <n v="0.57726885587205445"/>
    <n v="1"/>
    <m/>
    <e v="#N/A"/>
    <e v="#N/A"/>
    <e v="#N/A"/>
    <e v="#N/A"/>
  </r>
  <r>
    <n v="10.541860015630384"/>
    <n v="27922.092000000001"/>
    <e v="#N/A"/>
    <e v="#N/A"/>
    <e v="#N/A"/>
    <e v="#N/A"/>
    <e v="#N/A"/>
    <s v=""/>
    <x v="27"/>
    <n v="1"/>
    <n v="404668"/>
    <n v="321333"/>
    <n v="83335"/>
    <n v="237998"/>
    <s v="MD_2020g~Cnty0:Judge Court of Appeals*5(vote 1)"/>
    <n v="0.58813150533276659"/>
    <n v="1"/>
    <m/>
    <e v="#N/A"/>
    <e v="#N/A"/>
    <e v="#N/A"/>
    <e v="#N/A"/>
  </r>
  <r>
    <n v="10.444764502394891"/>
    <n v="24462.501000000004"/>
    <e v="#N/A"/>
    <e v="#N/A"/>
    <e v="#N/A"/>
    <e v="#N/A"/>
    <e v="#N/A"/>
    <s v=""/>
    <x v="27"/>
    <n v="1"/>
    <n v="354529"/>
    <n v="282119"/>
    <n v="71671"/>
    <n v="210448"/>
    <s v="MD_2020g~Cnty0:Representative in Congress*4(vote 1)"/>
    <n v="0.59359883112523937"/>
    <n v="1"/>
    <m/>
    <e v="#N/A"/>
    <e v="#N/A"/>
    <e v="#N/A"/>
    <e v="#N/A"/>
  </r>
  <r>
    <n v="10.238081448761953"/>
    <n v="15502.782000000001"/>
    <e v="#N/A"/>
    <e v="#N/A"/>
    <e v="#N/A"/>
    <e v="#N/A"/>
    <e v="#N/A"/>
    <s v=""/>
    <x v="28"/>
    <n v="1"/>
    <n v="224678"/>
    <n v="178689"/>
    <n v="42628"/>
    <n v="136061"/>
    <s v="MD_2020g~Cnty3:President City Council*(vote 1)"/>
    <n v="0.60558221098638942"/>
    <n v="1"/>
    <m/>
    <e v="#N/A"/>
    <e v="#N/A"/>
    <e v="#N/A"/>
    <e v="#N/A"/>
  </r>
  <r>
    <n v="9.3221981342793327"/>
    <n v="3158.4750000000004"/>
    <e v="#N/A"/>
    <e v="#N/A"/>
    <e v="#N/A"/>
    <e v="#N/A"/>
    <e v="#N/A"/>
    <s v=""/>
    <x v="21"/>
    <n v="1"/>
    <n v="45775"/>
    <n v="37973"/>
    <n v="7529"/>
    <n v="30444"/>
    <s v="MD_2020g~Cnty19:Board of Education At Large*(vote 1)"/>
    <n v="0.66507919169852536"/>
    <n v="1"/>
    <m/>
    <e v="#N/A"/>
    <e v="#N/A"/>
    <e v="#N/A"/>
    <e v="#N/A"/>
  </r>
  <r>
    <n v="9.2502093249072779"/>
    <n v="12934.326000000001"/>
    <e v="#N/A"/>
    <e v="#N/A"/>
    <e v="#N/A"/>
    <e v="#N/A"/>
    <e v="#N/A"/>
    <s v=""/>
    <x v="27"/>
    <n v="1"/>
    <n v="187454"/>
    <n v="156548"/>
    <n v="30906"/>
    <n v="125642"/>
    <s v="MD_2020g~Cnty0:Judge Court of Appeals*1(vote 1)"/>
    <n v="0.67025510258516752"/>
    <n v="1"/>
    <m/>
    <e v="#N/A"/>
    <e v="#N/A"/>
    <e v="#N/A"/>
    <e v="#N/A"/>
  </r>
  <r>
    <n v="9.1742021498208484"/>
    <n v="1225.3020000000001"/>
    <e v="#N/A"/>
    <e v="#N/A"/>
    <e v="#N/A"/>
    <e v="#N/A"/>
    <e v="#N/A"/>
    <s v=""/>
    <x v="28"/>
    <n v="1"/>
    <n v="17758"/>
    <n v="14802"/>
    <n v="2801"/>
    <n v="12001"/>
    <s v="MD_2020g~Cnty3:Member City Council*3(vote 1)"/>
    <n v="0.67580808649622703"/>
    <n v="1"/>
    <m/>
    <e v="#N/A"/>
    <e v="#N/A"/>
    <e v="#N/A"/>
    <e v="#N/A"/>
  </r>
  <r>
    <n v="9.0897627139979864"/>
    <n v="12857.874000000002"/>
    <e v="#N/A"/>
    <e v="#N/A"/>
    <e v="#N/A"/>
    <e v="#N/A"/>
    <e v="#N/A"/>
    <s v=""/>
    <x v="27"/>
    <n v="1"/>
    <n v="186346"/>
    <n v="156725"/>
    <n v="29621"/>
    <n v="127104"/>
    <s v="MD_2020g~Cnty0:Judge Special Appeals*1(vote 1)"/>
    <n v="0.68208601204211516"/>
    <n v="1"/>
    <m/>
    <e v="#N/A"/>
    <e v="#N/A"/>
    <e v="#N/A"/>
    <e v="#N/A"/>
  </r>
  <r>
    <n v="8.8285016959133618"/>
    <n v="170850.21000000002"/>
    <e v="#N/A"/>
    <e v="#N/A"/>
    <e v="#N/A"/>
    <e v="#N/A"/>
    <e v="#N/A"/>
    <s v=""/>
    <x v="27"/>
    <n v="1"/>
    <n v="2476090"/>
    <n v="2107488"/>
    <n v="368602"/>
    <n v="1738886"/>
    <s v="MD_2020g~Cnty0:Judge Special Appeals At Large*(vote 1)"/>
    <n v="0.70227091906998529"/>
    <n v="1"/>
    <m/>
    <e v="#N/A"/>
    <e v="#N/A"/>
    <e v="#N/A"/>
    <e v="#N/A"/>
  </r>
  <r>
    <n v="8.7192416657091751"/>
    <n v="29558.841000000004"/>
    <e v="#N/A"/>
    <e v="#N/A"/>
    <e v="#N/A"/>
    <e v="#N/A"/>
    <e v="#N/A"/>
    <s v=""/>
    <x v="27"/>
    <n v="1"/>
    <n v="428389"/>
    <n v="366502"/>
    <n v="61887"/>
    <n v="304615"/>
    <s v="MD_2020g~Cnty0:Judge Special Appeals*3(vote 1)"/>
    <n v="0.71107101256101346"/>
    <n v="1"/>
    <m/>
    <e v="#N/A"/>
    <e v="#N/A"/>
    <e v="#N/A"/>
    <e v="#N/A"/>
  </r>
  <r>
    <n v="8.6087633492461997"/>
    <n v="29461.482000000004"/>
    <e v="#N/A"/>
    <e v="#N/A"/>
    <e v="#N/A"/>
    <e v="#N/A"/>
    <e v="#N/A"/>
    <s v=""/>
    <x v="27"/>
    <n v="1"/>
    <n v="426978"/>
    <n v="367243"/>
    <n v="59735"/>
    <n v="307508"/>
    <s v="MD_2020g~Cnty0:Judge Special Appeals*7(vote 1)"/>
    <n v="0.72019635672095517"/>
    <n v="1"/>
    <m/>
    <e v="#N/A"/>
    <e v="#N/A"/>
    <e v="#N/A"/>
    <e v="#N/A"/>
  </r>
  <r>
    <n v="8.520667145578912"/>
    <n v="3036.0690000000004"/>
    <e v="#N/A"/>
    <e v="#N/A"/>
    <e v="#N/A"/>
    <e v="#N/A"/>
    <e v="#N/A"/>
    <s v=""/>
    <x v="21"/>
    <n v="1"/>
    <n v="44001"/>
    <n v="37838"/>
    <n v="5821"/>
    <n v="32017"/>
    <s v="MD_2020g~Cnty17:Board of Education*8(vote 1)"/>
    <n v="0.72764255357832774"/>
    <n v="1"/>
    <m/>
    <e v="#N/A"/>
    <e v="#N/A"/>
    <e v="#N/A"/>
    <e v="#N/A"/>
  </r>
  <r>
    <n v="8.469213905418103"/>
    <n v="9329.5590000000011"/>
    <e v="#N/A"/>
    <e v="#N/A"/>
    <e v="#N/A"/>
    <e v="#N/A"/>
    <e v="#N/A"/>
    <s v=""/>
    <x v="28"/>
    <n v="5"/>
    <n v="135211"/>
    <n v="104084"/>
    <n v="5101"/>
    <n v="98983"/>
    <s v="MD_2020g~Cnty3:Judge of the Circuit Court*8(vote 5)"/>
    <n v="0.73206321970845567"/>
    <n v="1"/>
    <m/>
    <e v="#N/A"/>
    <e v="#N/A"/>
    <e v="#N/A"/>
    <e v="#N/A"/>
  </r>
  <r>
    <n v="8.4447478161625913"/>
    <n v="2141.0010000000002"/>
    <e v="#N/A"/>
    <e v="#N/A"/>
    <e v="#N/A"/>
    <e v="#N/A"/>
    <e v="#N/A"/>
    <s v=""/>
    <x v="23"/>
    <n v="2"/>
    <n v="31029"/>
    <n v="23123"/>
    <n v="342"/>
    <n v="22781"/>
    <s v="MD_2020g~Cnty5:Judge of the Circuit Court*7(vote 2)"/>
    <n v="0.73418415031099937"/>
    <n v="1"/>
    <m/>
    <e v="#N/A"/>
    <e v="#N/A"/>
    <e v="#N/A"/>
    <e v="#N/A"/>
  </r>
  <r>
    <n v="8.2607202022844195"/>
    <n v="1054.3890000000001"/>
    <e v="#N/A"/>
    <e v="#N/A"/>
    <e v="#N/A"/>
    <e v="#N/A"/>
    <e v="#N/A"/>
    <s v=""/>
    <x v="28"/>
    <n v="1"/>
    <n v="15281"/>
    <n v="13353"/>
    <n v="1884"/>
    <n v="11469"/>
    <s v="MD_2020g~Cnty3:Member City Council*2(vote 1)"/>
    <n v="0.75053988613310652"/>
    <n v="1"/>
    <m/>
    <e v="#N/A"/>
    <e v="#N/A"/>
    <e v="#N/A"/>
    <e v="#N/A"/>
  </r>
  <r>
    <n v="7.9754103943873043"/>
    <n v="1303.0650000000001"/>
    <e v="#N/A"/>
    <e v="#N/A"/>
    <e v="#N/A"/>
    <e v="#N/A"/>
    <e v="#N/A"/>
    <s v=""/>
    <x v="28"/>
    <n v="1"/>
    <n v="18885"/>
    <n v="16688"/>
    <n v="2007"/>
    <n v="14681"/>
    <s v="MD_2020g~Cnty3:Member City Council*5(vote 1)"/>
    <n v="0.77738946253640451"/>
    <n v="1"/>
    <m/>
    <e v="#N/A"/>
    <e v="#N/A"/>
    <e v="#N/A"/>
    <e v="#N/A"/>
  </r>
  <r>
    <n v="7.7287671232876711"/>
    <n v="1017.1980000000001"/>
    <e v="#N/A"/>
    <e v="#N/A"/>
    <e v="#N/A"/>
    <e v="#N/A"/>
    <e v="#N/A"/>
    <s v=""/>
    <x v="28"/>
    <n v="1"/>
    <n v="14742"/>
    <n v="13247"/>
    <n v="1421"/>
    <n v="11826"/>
    <s v="MD_2020g~Cnty3:Member City Council*6(vote 1)"/>
    <n v="0.80219780219780223"/>
    <n v="1"/>
    <m/>
    <e v="#N/A"/>
    <e v="#N/A"/>
    <e v="#N/A"/>
    <e v="#N/A"/>
  </r>
  <r>
    <n v="7.7153748278349834"/>
    <n v="13091.784000000001"/>
    <e v="#N/A"/>
    <e v="#N/A"/>
    <e v="#N/A"/>
    <e v="#N/A"/>
    <e v="#N/A"/>
    <s v=""/>
    <x v="20"/>
    <n v="4"/>
    <n v="189736"/>
    <n v="157667"/>
    <n v="5197"/>
    <n v="152470"/>
    <s v="MD_2020g~Cnty2:Judge of the Circuit Court*5(vote 4)"/>
    <n v="0.80359025171817688"/>
    <n v="1"/>
    <m/>
    <e v="#N/A"/>
    <e v="#N/A"/>
    <e v="#N/A"/>
    <e v="#N/A"/>
  </r>
  <r>
    <n v="7.6952321130959858"/>
    <n v="30677.193000000003"/>
    <e v="#N/A"/>
    <e v="#N/A"/>
    <e v="#N/A"/>
    <e v="#N/A"/>
    <e v="#N/A"/>
    <s v=""/>
    <x v="27"/>
    <n v="1"/>
    <n v="444597"/>
    <n v="401403"/>
    <n v="43194"/>
    <n v="358209"/>
    <s v="MD_2020g~Cnty0:Judge Court of Appeals*7(vote 1)"/>
    <n v="0.80569369563897197"/>
    <n v="1"/>
    <m/>
    <e v="#N/A"/>
    <e v="#N/A"/>
    <e v="#N/A"/>
    <e v="#N/A"/>
  </r>
  <r>
    <n v="7.6929782875870547"/>
    <n v="1044.9360000000001"/>
    <e v="#N/A"/>
    <e v="#N/A"/>
    <e v="#N/A"/>
    <e v="#N/A"/>
    <e v="#N/A"/>
    <s v=""/>
    <x v="28"/>
    <n v="1"/>
    <n v="15144"/>
    <n v="13643"/>
    <n v="1438"/>
    <n v="12205"/>
    <s v="MD_2020g~Cnty3:Member City Council*7(vote 1)"/>
    <n v="0.8059297411516112"/>
    <n v="1"/>
    <m/>
    <e v="#N/A"/>
    <e v="#N/A"/>
    <e v="#N/A"/>
    <e v="#N/A"/>
  </r>
  <r>
    <n v="7.5829628152726549"/>
    <n v="18623.583000000002"/>
    <e v="#N/A"/>
    <e v="#N/A"/>
    <e v="#N/A"/>
    <e v="#N/A"/>
    <e v="#N/A"/>
    <s v=""/>
    <x v="29"/>
    <n v="2"/>
    <n v="269907"/>
    <n v="224726"/>
    <n v="4044"/>
    <n v="220682"/>
    <s v="MD_2020g~Cnty4:Judge of the Circuit Court*3(vote 2)"/>
    <n v="0.81762236622243956"/>
    <n v="1"/>
    <m/>
    <e v="#N/A"/>
    <e v="#N/A"/>
    <e v="#N/A"/>
    <e v="#N/A"/>
  </r>
  <r>
    <n v="7.5238312271251981"/>
    <n v="1212.537"/>
    <e v="#N/A"/>
    <e v="#N/A"/>
    <e v="#N/A"/>
    <e v="#N/A"/>
    <e v="#N/A"/>
    <s v=""/>
    <x v="28"/>
    <n v="1"/>
    <n v="17573"/>
    <n v="15983"/>
    <n v="1502"/>
    <n v="14481"/>
    <s v="MD_2020g~Cnty3:Member City Council*14(vote 1)"/>
    <n v="0.82404825584703811"/>
    <n v="1"/>
    <m/>
    <e v="#N/A"/>
    <e v="#N/A"/>
    <e v="#N/A"/>
    <e v="#N/A"/>
  </r>
  <r>
    <n v="7.2811933410252188"/>
    <n v="491.62500000000006"/>
    <e v="#N/A"/>
    <e v="#N/A"/>
    <e v="#N/A"/>
    <e v="#N/A"/>
    <e v="#N/A"/>
    <s v=""/>
    <x v="21"/>
    <n v="2"/>
    <n v="7125"/>
    <n v="6238"/>
    <n v="171"/>
    <n v="6067"/>
    <s v="MD_2020g~Cnty15:Board of Education*(vote 2)"/>
    <n v="0.85150877192982455"/>
    <n v="1"/>
    <m/>
    <e v="#N/A"/>
    <e v="#N/A"/>
    <e v="#N/A"/>
    <e v="#N/A"/>
  </r>
  <r>
    <n v="7.021913647211977"/>
    <n v="1440.72"/>
    <e v="#N/A"/>
    <e v="#N/A"/>
    <e v="#N/A"/>
    <e v="#N/A"/>
    <e v="#N/A"/>
    <s v=""/>
    <x v="21"/>
    <n v="1"/>
    <n v="20880"/>
    <n v="19658"/>
    <n v="1222"/>
    <n v="18436"/>
    <s v="MD_2020g~Cnty18:Board of Education*2(vote 1)"/>
    <n v="0.88295019157088117"/>
    <n v="1"/>
    <m/>
    <e v="#N/A"/>
    <e v="#N/A"/>
    <e v="#N/A"/>
    <e v="#N/A"/>
  </r>
  <r>
    <n v="6.8178647885575998"/>
    <n v="2445.567"/>
    <e v="#N/A"/>
    <e v="#N/A"/>
    <e v="#N/A"/>
    <e v="#N/A"/>
    <e v="#N/A"/>
    <s v=""/>
    <x v="23"/>
    <n v="1"/>
    <n v="35443"/>
    <n v="33591"/>
    <n v="1360"/>
    <n v="32231"/>
    <s v="MD_2020g~Cnty5:Board of Education*3(vote 1)"/>
    <n v="0.90937561718816129"/>
    <n v="1"/>
    <m/>
    <e v="#N/A"/>
    <e v="#N/A"/>
    <e v="#N/A"/>
    <e v="#N/A"/>
  </r>
  <r>
    <n v="6.7600686228111693"/>
    <n v="1271.739"/>
    <e v="#N/A"/>
    <e v="#N/A"/>
    <e v="#N/A"/>
    <e v="#N/A"/>
    <e v="#N/A"/>
    <s v=""/>
    <x v="28"/>
    <n v="1"/>
    <n v="18431"/>
    <n v="17588"/>
    <n v="684"/>
    <n v="16904"/>
    <s v="MD_2020g~Cnty3:Member City Council*1(vote 1)"/>
    <n v="0.91715045304107212"/>
    <n v="1"/>
    <m/>
    <e v="#N/A"/>
    <e v="#N/A"/>
    <e v="#N/A"/>
    <e v="#N/A"/>
  </r>
  <r>
    <n v="6.6399723831537241"/>
    <n v="2461.7130000000002"/>
    <e v="#N/A"/>
    <e v="#N/A"/>
    <e v="#N/A"/>
    <e v="#N/A"/>
    <e v="#N/A"/>
    <s v=""/>
    <x v="25"/>
    <n v="1"/>
    <n v="35677"/>
    <n v="34495"/>
    <n v="1182"/>
    <n v="33313"/>
    <s v="MD_2020g~Cnty8:County Council*5(vote 1)"/>
    <n v="0.93373882333155811"/>
    <n v="1"/>
    <m/>
    <e v="#N/A"/>
    <e v="#N/A"/>
    <e v="#N/A"/>
    <e v="#N/A"/>
  </r>
  <r>
    <n v="6.6008663039459092"/>
    <n v="1390.6950000000002"/>
    <e v="#N/A"/>
    <e v="#N/A"/>
    <e v="#N/A"/>
    <e v="#N/A"/>
    <e v="#N/A"/>
    <s v=""/>
    <x v="28"/>
    <n v="1"/>
    <n v="20155"/>
    <n v="19543"/>
    <n v="612"/>
    <n v="18931"/>
    <s v="MD_2020g~Cnty3:Member City Council*11(vote 1)"/>
    <n v="0.93927065244356234"/>
    <n v="1"/>
    <m/>
    <e v="#N/A"/>
    <e v="#N/A"/>
    <e v="#N/A"/>
    <e v="#N/A"/>
  </r>
  <r>
    <n v="6.5885854341736696"/>
    <n v="2512.98"/>
    <e v="#N/A"/>
    <e v="#N/A"/>
    <e v="#N/A"/>
    <e v="#N/A"/>
    <e v="#N/A"/>
    <s v=""/>
    <x v="25"/>
    <n v="1"/>
    <n v="36420"/>
    <n v="35346"/>
    <n v="1074"/>
    <n v="34272"/>
    <s v="MD_2020g~Cnty8:County Council*1(vote 1)"/>
    <n v="0.9410214168039539"/>
    <n v="1"/>
    <m/>
    <e v="#N/A"/>
    <e v="#N/A"/>
    <e v="#N/A"/>
    <e v="#N/A"/>
  </r>
  <r>
    <n v="6.5691113028472827"/>
    <n v="169.46400000000003"/>
    <e v="#N/A"/>
    <e v="#N/A"/>
    <e v="#N/A"/>
    <e v="#N/A"/>
    <e v="#N/A"/>
    <s v=""/>
    <x v="20"/>
    <n v="1"/>
    <n v="2456"/>
    <n v="2387"/>
    <n v="69"/>
    <n v="2318"/>
    <s v="MD_2020g~Cnty21:Board of Education*5(vote 1)"/>
    <n v="0.94381107491856675"/>
    <n v="1"/>
    <m/>
    <e v="#N/A"/>
    <e v="#N/A"/>
    <e v="#N/A"/>
    <e v="#N/A"/>
  </r>
  <r>
    <n v="6.4949679780420864"/>
    <n v="7189.4550000000008"/>
    <e v="#N/A"/>
    <e v="#N/A"/>
    <e v="#N/A"/>
    <e v="#N/A"/>
    <e v="#N/A"/>
    <s v=""/>
    <x v="21"/>
    <n v="1"/>
    <n v="104195"/>
    <n v="101829"/>
    <n v="2366"/>
    <n v="99463"/>
    <s v="MD_2020g~Cnty11:Judge of the Circuit Court*6(vote 1)"/>
    <n v="0.95458515283842793"/>
    <n v="1"/>
    <m/>
    <e v="#N/A"/>
    <e v="#N/A"/>
    <e v="#N/A"/>
    <e v="#N/A"/>
  </r>
  <r>
    <n v="6.4886247027906396"/>
    <n v="577.04700000000003"/>
    <e v="#N/A"/>
    <e v="#N/A"/>
    <e v="#N/A"/>
    <e v="#N/A"/>
    <e v="#N/A"/>
    <s v=""/>
    <x v="20"/>
    <n v="1"/>
    <n v="8363"/>
    <n v="8177"/>
    <n v="186"/>
    <n v="7991"/>
    <s v="MD_2020g~Cnty23:Board of Education*3(vote 1)"/>
    <n v="0.95551835465741963"/>
    <n v="1"/>
    <m/>
    <e v="#N/A"/>
    <e v="#N/A"/>
    <e v="#N/A"/>
    <e v="#N/A"/>
  </r>
  <r>
    <n v="6.4328931745403519"/>
    <n v="3979.5060000000003"/>
    <e v="#N/A"/>
    <e v="#N/A"/>
    <e v="#N/A"/>
    <e v="#N/A"/>
    <e v="#N/A"/>
    <s v=""/>
    <x v="21"/>
    <n v="1"/>
    <n v="57674"/>
    <n v="56630"/>
    <n v="1044"/>
    <n v="55586"/>
    <s v="MD_2020g~Cnty17:Board of Education*5(vote 1)"/>
    <n v="0.96379651142629263"/>
    <n v="1"/>
    <m/>
    <e v="#N/A"/>
    <e v="#N/A"/>
    <e v="#N/A"/>
    <e v="#N/A"/>
  </r>
  <r>
    <n v="6.4151957671957671"/>
    <n v="674.68200000000002"/>
    <e v="#N/A"/>
    <e v="#N/A"/>
    <e v="#N/A"/>
    <e v="#N/A"/>
    <e v="#N/A"/>
    <s v=""/>
    <x v="28"/>
    <n v="1"/>
    <n v="9778"/>
    <n v="9614"/>
    <n v="164"/>
    <n v="9450"/>
    <s v="MD_2020g~Cnty3:Member City Council*9(vote 1)"/>
    <n v="0.96645530783391287"/>
    <n v="1"/>
    <m/>
    <e v="#N/A"/>
    <e v="#N/A"/>
    <e v="#N/A"/>
    <e v="#N/A"/>
  </r>
  <r>
    <n v="6.4067415730337078"/>
    <n v="196.71900000000002"/>
    <e v="#N/A"/>
    <e v="#N/A"/>
    <e v="#N/A"/>
    <e v="#N/A"/>
    <e v="#N/A"/>
    <s v=""/>
    <x v="20"/>
    <n v="1"/>
    <n v="2851"/>
    <n v="2805"/>
    <n v="46"/>
    <n v="2759"/>
    <s v="MD_2020g~Cnty21:Board of Education*6(vote 1)"/>
    <n v="0.96773062083479477"/>
    <n v="1"/>
    <m/>
    <e v="#N/A"/>
    <e v="#N/A"/>
    <e v="#N/A"/>
    <e v="#N/A"/>
  </r>
  <r>
    <n v="6.3963258399806628"/>
    <n v="2944.92"/>
    <e v="#N/A"/>
    <e v="#N/A"/>
    <e v="#N/A"/>
    <e v="#N/A"/>
    <e v="#N/A"/>
    <s v=""/>
    <x v="21"/>
    <n v="1"/>
    <n v="42680"/>
    <n v="42025"/>
    <n v="655"/>
    <n v="41370"/>
    <s v="MD_2020g~Cnty19:Board of Education*4(vote 1)"/>
    <n v="0.96930646672914711"/>
    <n v="1"/>
    <m/>
    <e v="#N/A"/>
    <e v="#N/A"/>
    <e v="#N/A"/>
    <e v="#N/A"/>
  </r>
  <r>
    <n v="6.3813709794789695"/>
    <n v="2927.8080000000004"/>
    <e v="#N/A"/>
    <e v="#N/A"/>
    <e v="#N/A"/>
    <e v="#N/A"/>
    <e v="#N/A"/>
    <s v=""/>
    <x v="21"/>
    <n v="1"/>
    <n v="42432"/>
    <n v="41829"/>
    <n v="603"/>
    <n v="41226"/>
    <s v="MD_2020g~Cnty19:Judge of the Circuit Court*7(vote 1)"/>
    <n v="0.97157805429864252"/>
    <n v="1"/>
    <m/>
    <e v="#N/A"/>
    <e v="#N/A"/>
    <e v="#N/A"/>
    <e v="#N/A"/>
  </r>
  <r>
    <n v="6.3759031586911288"/>
    <n v="2626.0710000000004"/>
    <e v="#N/A"/>
    <e v="#N/A"/>
    <e v="#N/A"/>
    <e v="#N/A"/>
    <e v="#N/A"/>
    <s v=""/>
    <x v="21"/>
    <n v="1"/>
    <n v="38059"/>
    <n v="37534"/>
    <n v="525"/>
    <n v="37009"/>
    <s v="MD_2020g~Cnty17:Board of Education*1(vote 1)"/>
    <n v="0.97241125620746738"/>
    <n v="1"/>
    <m/>
    <e v="#N/A"/>
    <e v="#N/A"/>
    <e v="#N/A"/>
    <e v="#N/A"/>
  </r>
  <r>
    <n v="6.3745150247242304"/>
    <n v="186.50700000000001"/>
    <e v="#N/A"/>
    <e v="#N/A"/>
    <e v="#N/A"/>
    <e v="#N/A"/>
    <e v="#N/A"/>
    <s v=""/>
    <x v="20"/>
    <n v="1"/>
    <n v="2703"/>
    <n v="2666"/>
    <n v="37"/>
    <n v="2629"/>
    <s v="MD_2020g~Cnty21:Board of Education*2(vote 1)"/>
    <n v="0.97262301146873842"/>
    <n v="1"/>
    <m/>
    <e v="#N/A"/>
    <e v="#N/A"/>
    <e v="#N/A"/>
    <e v="#N/A"/>
  </r>
  <r>
    <n v="6.3629573775307859"/>
    <n v="14462.607000000002"/>
    <e v="#N/A"/>
    <e v="#N/A"/>
    <e v="#N/A"/>
    <e v="#N/A"/>
    <e v="#N/A"/>
    <s v=""/>
    <x v="28"/>
    <n v="1"/>
    <n v="209603"/>
    <n v="206919"/>
    <n v="2684"/>
    <n v="204235"/>
    <s v="MD_2020g~Cnty3:Comptroller*(vote 1)"/>
    <n v="0.97438967953702948"/>
    <n v="1"/>
    <m/>
    <e v="#N/A"/>
    <e v="#N/A"/>
    <e v="#N/A"/>
    <e v="#N/A"/>
  </r>
  <r>
    <n v="6.3601924447612257"/>
    <n v="794.46600000000012"/>
    <e v="#N/A"/>
    <e v="#N/A"/>
    <e v="#N/A"/>
    <e v="#N/A"/>
    <e v="#N/A"/>
    <s v=""/>
    <x v="28"/>
    <n v="1"/>
    <n v="11514"/>
    <n v="11369"/>
    <n v="145"/>
    <n v="11224"/>
    <s v="MD_2020g~Cnty3:Member City Council*13(vote 1)"/>
    <n v="0.9748132708007643"/>
    <n v="1"/>
    <m/>
    <e v="#N/A"/>
    <e v="#N/A"/>
    <e v="#N/A"/>
    <e v="#N/A"/>
  </r>
  <r>
    <n v="6.3590705077192426"/>
    <n v="2223.2490000000003"/>
    <e v="#N/A"/>
    <e v="#N/A"/>
    <e v="#N/A"/>
    <e v="#N/A"/>
    <e v="#N/A"/>
    <s v=""/>
    <x v="25"/>
    <n v="1"/>
    <n v="32221"/>
    <n v="31818"/>
    <n v="403"/>
    <n v="31415"/>
    <s v="MD_2020g~Cnty8:Board of Education*2(vote 1)"/>
    <n v="0.97498525806151271"/>
    <n v="1"/>
    <m/>
    <e v="#N/A"/>
    <e v="#N/A"/>
    <e v="#N/A"/>
    <e v="#N/A"/>
  </r>
  <r>
    <n v="6.3523341523341523"/>
    <n v="287.73"/>
    <e v="#N/A"/>
    <e v="#N/A"/>
    <e v="#N/A"/>
    <e v="#N/A"/>
    <e v="#N/A"/>
    <s v=""/>
    <x v="20"/>
    <n v="1"/>
    <n v="4170"/>
    <n v="4120"/>
    <n v="50"/>
    <n v="4070"/>
    <s v="MD_2020g~Cnty24:Board of Education*5(vote 1)"/>
    <n v="0.97601918465227822"/>
    <n v="1"/>
    <m/>
    <e v="#N/A"/>
    <e v="#N/A"/>
    <e v="#N/A"/>
    <e v="#N/A"/>
  </r>
  <r>
    <n v="6.3478010686395399"/>
    <n v="1546.9110000000001"/>
    <e v="#N/A"/>
    <e v="#N/A"/>
    <e v="#N/A"/>
    <e v="#N/A"/>
    <e v="#N/A"/>
    <s v=""/>
    <x v="21"/>
    <n v="1"/>
    <n v="22419"/>
    <n v="22158"/>
    <n v="261"/>
    <n v="21897"/>
    <s v="MD_2020g~Cnty18:Judge of the Circuit Court*2(vote 1)"/>
    <n v="0.97671617824167001"/>
    <n v="1"/>
    <m/>
    <e v="#N/A"/>
    <e v="#N/A"/>
    <e v="#N/A"/>
    <e v="#N/A"/>
  </r>
  <r>
    <n v="6.3363815201192253"/>
    <n v="1182.9360000000001"/>
    <e v="#N/A"/>
    <e v="#N/A"/>
    <e v="#N/A"/>
    <e v="#N/A"/>
    <e v="#N/A"/>
    <s v=""/>
    <x v="28"/>
    <n v="1"/>
    <n v="17144"/>
    <n v="16958"/>
    <n v="183"/>
    <n v="16775"/>
    <s v="MD_2020g~Cnty3:Member City Council*4(vote 1)"/>
    <n v="0.97847643490433966"/>
    <n v="1"/>
    <m/>
    <e v="#N/A"/>
    <e v="#N/A"/>
    <e v="#N/A"/>
    <e v="#N/A"/>
  </r>
  <r>
    <n v="6.3306239316239319"/>
    <n v="3297.2340000000004"/>
    <e v="#N/A"/>
    <e v="#N/A"/>
    <e v="#N/A"/>
    <e v="#N/A"/>
    <e v="#N/A"/>
    <s v=""/>
    <x v="20"/>
    <n v="1"/>
    <n v="47786"/>
    <n v="47293"/>
    <n v="493"/>
    <n v="46800"/>
    <s v="MD_2020g~Cnty22:Judge of the Circuit Court*4(vote 1)"/>
    <n v="0.97936634160632818"/>
    <n v="1"/>
    <m/>
    <e v="#N/A"/>
    <e v="#N/A"/>
    <e v="#N/A"/>
    <e v="#N/A"/>
  </r>
  <r>
    <n v="6.2948012232415902"/>
    <n v="1099.5840000000001"/>
    <e v="#N/A"/>
    <e v="#N/A"/>
    <e v="#N/A"/>
    <e v="#N/A"/>
    <e v="#N/A"/>
    <s v=""/>
    <x v="28"/>
    <n v="1"/>
    <n v="15936"/>
    <n v="15816"/>
    <n v="120"/>
    <n v="15696"/>
    <s v="MD_2020g~Cnty3:Member City Council*8(vote 1)"/>
    <n v="0.98493975903614461"/>
    <n v="1"/>
    <m/>
    <e v="#N/A"/>
    <e v="#N/A"/>
    <e v="#N/A"/>
    <e v="#N/A"/>
  </r>
  <r>
    <m/>
    <m/>
    <m/>
    <m/>
    <m/>
    <n v="37114"/>
    <n v="185.57"/>
    <m/>
    <x v="30"/>
    <n v="1"/>
    <n v="11472"/>
    <n v="9455"/>
    <n v="2017"/>
    <n v="7438"/>
    <s v="NY_Catta_2021g~-proposal three, an amendment for cattaraugus~vote for 1,"/>
    <m/>
    <n v="94"/>
    <m/>
    <n v="30"/>
    <n v="0.2987661574618089"/>
    <n v="0.83768758412132027"/>
    <n v="0.99949456384730673"/>
  </r>
  <r>
    <m/>
    <m/>
    <m/>
    <m/>
    <m/>
    <n v="37115"/>
    <n v="185.57499999999999"/>
    <m/>
    <x v="30"/>
    <n v="1"/>
    <n v="11375"/>
    <n v="9063"/>
    <n v="2312"/>
    <n v="6751"/>
    <s v="NY_Catta_2021g~-proposal one, an amendment for cattaraugus~vote for 1,"/>
    <m/>
    <m/>
    <m/>
    <n v="27"/>
    <n v="0.27126909518213804"/>
    <n v="0.80225697493851533"/>
    <n v="0.99883925338521418"/>
  </r>
  <r>
    <m/>
    <m/>
    <m/>
    <m/>
    <m/>
    <n v="37116"/>
    <n v="185.58"/>
    <m/>
    <x v="30"/>
    <n v="1"/>
    <n v="11437"/>
    <n v="9089"/>
    <n v="2348"/>
    <n v="6741"/>
    <s v="NY_Catta_2021g~-proposal four, an amendment for cattaraugus~vote for 1,"/>
    <m/>
    <m/>
    <m/>
    <n v="27"/>
    <n v="0.27126909518213804"/>
    <n v="0.80225697493851533"/>
    <n v="0.99883925338521418"/>
  </r>
  <r>
    <m/>
    <m/>
    <m/>
    <m/>
    <m/>
    <n v="37117"/>
    <n v="185.58500000000001"/>
    <m/>
    <x v="30"/>
    <n v="1"/>
    <n v="10918"/>
    <n v="6890"/>
    <n v="4028"/>
    <n v="2862"/>
    <s v="NY_Catta_2021g~-proposal five, an amendment for cattaraugus~vote for 1,"/>
    <m/>
    <m/>
    <m/>
    <n v="11"/>
    <n v="0.11568742655699094"/>
    <n v="0.46684775378609022"/>
    <n v="0.9264256314266951"/>
  </r>
  <r>
    <m/>
    <m/>
    <m/>
    <m/>
    <m/>
    <n v="37118"/>
    <n v="185.59"/>
    <m/>
    <x v="30"/>
    <n v="1"/>
    <n v="1927"/>
    <n v="1411"/>
    <n v="493"/>
    <n v="918"/>
    <s v="NY_Catta_2021g~-mayor for city of olean, cattaraugus~vote for 1,"/>
    <m/>
    <m/>
    <m/>
    <n v="3"/>
    <n v="3.2256169212690367E-2"/>
    <n v="0.15434589971296997"/>
    <n v="0.50042861821193962"/>
  </r>
  <r>
    <m/>
    <m/>
    <m/>
    <m/>
    <m/>
    <n v="37119"/>
    <n v="185.595"/>
    <m/>
    <x v="30"/>
    <n v="1"/>
    <n v="11227"/>
    <n v="6040"/>
    <n v="5187"/>
    <n v="853"/>
    <s v="NY_Catta_2021g~-proposal two, an amendment for cattaraugus~vote for 1,"/>
    <m/>
    <m/>
    <m/>
    <n v="3"/>
    <n v="3.2256169212690367E-2"/>
    <n v="0.15434589971296997"/>
    <n v="0.50042861821193962"/>
  </r>
  <r>
    <m/>
    <m/>
    <m/>
    <m/>
    <m/>
    <n v="37120"/>
    <n v="185.6"/>
    <m/>
    <x v="30"/>
    <n v="1"/>
    <n v="475"/>
    <n v="435"/>
    <n v="11"/>
    <n v="424"/>
    <s v="NY_Catta_2021g~-~highway superintendent (vote for one) (4-year term) for town of portville, cattaraugus~vote for 1,"/>
    <m/>
    <m/>
    <m/>
    <n v="1"/>
    <n v="1.0810810810809812E-2"/>
    <n v="5.4054054054053724E-2"/>
    <n v="0.20540540540540519"/>
  </r>
  <r>
    <m/>
    <m/>
    <m/>
    <m/>
    <m/>
    <n v="37121"/>
    <n v="185.60499999999999"/>
    <m/>
    <x v="30"/>
    <n v="1"/>
    <n v="333"/>
    <n v="246"/>
    <n v="82"/>
    <n v="164"/>
    <s v="NY_Catta_2021g~-alderman for ward 2, city of olean~vote for 1,"/>
    <m/>
    <m/>
    <m/>
    <n v="0"/>
    <n v="0"/>
    <n v="0"/>
    <n v="0"/>
  </r>
  <r>
    <m/>
    <m/>
    <m/>
    <m/>
    <m/>
    <n v="37122"/>
    <n v="185.61"/>
    <m/>
    <x v="30"/>
    <n v="1"/>
    <n v="337"/>
    <n v="245"/>
    <n v="92"/>
    <n v="153"/>
    <s v="NY_Catta_2021g~-~highway superintenent (vote for one) (4-year term) for town of hinsdale, cattaraugus~vote for 1,"/>
    <m/>
    <m/>
    <m/>
    <n v="0"/>
    <n v="0"/>
    <n v="0"/>
    <n v="0"/>
  </r>
  <r>
    <m/>
    <m/>
    <m/>
    <m/>
    <m/>
    <n v="37123"/>
    <n v="185.61500000000001"/>
    <m/>
    <x v="30"/>
    <n v="2"/>
    <n v="355.5"/>
    <n v="256"/>
    <n v="126"/>
    <n v="130"/>
    <s v="NY_Catta_2021g~-~councilman (vote for up to two) (4-year term) for town of ashford, cattaraugus~vote for 2,"/>
    <m/>
    <m/>
    <m/>
    <n v="0"/>
    <n v="0"/>
    <n v="0"/>
    <n v="0"/>
  </r>
  <r>
    <m/>
    <m/>
    <m/>
    <m/>
    <m/>
    <n v="37124"/>
    <n v="185.62"/>
    <m/>
    <x v="30"/>
    <n v="2"/>
    <n v="561"/>
    <n v="340"/>
    <n v="239"/>
    <n v="101"/>
    <s v="NY_Catta_2021g~-~councilman (vote for up to two) (4-year term) for town of freedom, cattaraugus~vote for 2,"/>
    <m/>
    <m/>
    <m/>
    <n v="0"/>
    <n v="0"/>
    <n v="0"/>
    <n v="0"/>
  </r>
  <r>
    <m/>
    <m/>
    <m/>
    <m/>
    <m/>
    <n v="37125"/>
    <n v="185.625"/>
    <m/>
    <x v="30"/>
    <n v="1"/>
    <n v="327"/>
    <n v="209"/>
    <n v="118"/>
    <n v="91"/>
    <s v="NY_Catta_2021g~-~highway superintendent (vote for one) (4-year term) for town of east otto, cattaraugus~vote for 1,"/>
    <m/>
    <m/>
    <m/>
    <n v="0"/>
    <n v="0"/>
    <n v="0"/>
    <n v="0"/>
  </r>
  <r>
    <m/>
    <m/>
    <m/>
    <m/>
    <m/>
    <n v="37126"/>
    <n v="185.63"/>
    <m/>
    <x v="30"/>
    <n v="1"/>
    <n v="609"/>
    <n v="335"/>
    <n v="274"/>
    <n v="61"/>
    <s v="NY_Catta_2021g~-~supervisor (vote for one) (4-year term) for town of freedom, cattaraugus~vote for 1,"/>
    <m/>
    <m/>
    <m/>
    <n v="0"/>
    <n v="0"/>
    <n v="0"/>
    <n v="0"/>
  </r>
  <r>
    <m/>
    <m/>
    <m/>
    <m/>
    <m/>
    <n v="37127"/>
    <n v="185.63499999999999"/>
    <m/>
    <x v="30"/>
    <n v="1"/>
    <n v="292"/>
    <n v="165"/>
    <n v="119"/>
    <n v="46"/>
    <s v="NY_Catta_2021g~-alderman for ward 6, city of olean~vote for 1,"/>
    <m/>
    <m/>
    <m/>
    <n v="0"/>
    <n v="0"/>
    <n v="0"/>
    <n v="0"/>
  </r>
  <r>
    <m/>
    <m/>
    <m/>
    <m/>
    <m/>
    <n v="37128"/>
    <n v="185.64"/>
    <m/>
    <x v="30"/>
    <n v="2"/>
    <n v="296.5"/>
    <n v="173"/>
    <n v="133"/>
    <n v="40"/>
    <s v="NY_Catta_2021g~-~councilman (to fill vacancy) (2-year term) (vote for up to two) for town of perrysburg, cattaraugus~vote for 2,"/>
    <m/>
    <m/>
    <m/>
    <n v="0"/>
    <n v="0"/>
    <n v="0"/>
    <n v="0"/>
  </r>
  <r>
    <m/>
    <m/>
    <m/>
    <m/>
    <m/>
    <n v="37129"/>
    <n v="185.64500000000001"/>
    <m/>
    <x v="30"/>
    <n v="1"/>
    <n v="247"/>
    <n v="137"/>
    <n v="100"/>
    <n v="37"/>
    <s v="NY_Catta_2021g~-alderman for ward 4, city of olean~vote for 1,"/>
    <m/>
    <m/>
    <m/>
    <n v="0"/>
    <n v="0"/>
    <n v="0"/>
    <n v="0"/>
  </r>
  <r>
    <m/>
    <m/>
    <m/>
    <m/>
    <m/>
    <n v="37130"/>
    <n v="185.65"/>
    <m/>
    <x v="30"/>
    <n v="2"/>
    <n v="321.5"/>
    <n v="179"/>
    <n v="148"/>
    <n v="31"/>
    <s v="NY_Catta_2021g~-~councilman (vote for up to two) (4-year term) for town of farmersville, cattaraugus~vote for 2,"/>
    <m/>
    <m/>
    <m/>
    <n v="0"/>
    <n v="0"/>
    <n v="0"/>
    <n v="0"/>
  </r>
  <r>
    <m/>
    <m/>
    <m/>
    <m/>
    <m/>
    <n v="37131"/>
    <n v="185.655"/>
    <m/>
    <x v="30"/>
    <n v="1"/>
    <n v="217"/>
    <n v="119"/>
    <n v="97"/>
    <n v="22"/>
    <s v="NY_Catta_2021g~-~councilman (to fill vacancy) (2-year term) (vote for one) for town of lyndon, cattaraugus~vote for 1,"/>
    <m/>
    <m/>
    <m/>
    <n v="0"/>
    <n v="0"/>
    <n v="0"/>
    <n v="0"/>
  </r>
  <r>
    <m/>
    <m/>
    <m/>
    <m/>
    <m/>
    <n v="37132"/>
    <n v="185.66"/>
    <m/>
    <x v="30"/>
    <n v="2"/>
    <n v="259"/>
    <n v="143"/>
    <n v="124"/>
    <n v="19"/>
    <s v="NY_Catta_2021g~-~councilman (vote for up to two) (4-year term) for town of little valley, cattaraugus~vote for 2,"/>
    <m/>
    <m/>
    <m/>
    <n v="0"/>
    <n v="0"/>
    <n v="0"/>
    <n v="0"/>
  </r>
  <r>
    <m/>
    <m/>
    <m/>
    <m/>
    <m/>
    <n v="37133"/>
    <n v="185.66499999999999"/>
    <m/>
    <x v="30"/>
    <n v="1"/>
    <n v="216"/>
    <n v="115"/>
    <n v="99"/>
    <n v="16"/>
    <s v="NY_Catta_2021g~-~town justice (vote for one) for town of lyndon, cattaraugus~vote for 1,"/>
    <m/>
    <m/>
    <m/>
    <n v="0"/>
    <n v="0"/>
    <n v="0"/>
    <n v="0"/>
  </r>
  <r>
    <m/>
    <m/>
    <m/>
    <m/>
    <m/>
    <n v="37134"/>
    <n v="185.67"/>
    <m/>
    <x v="30"/>
    <n v="2"/>
    <n v="214.5"/>
    <n v="110"/>
    <n v="97"/>
    <n v="13"/>
    <s v="NY_Catta_2021g~-~councilman (vote for up to two) (4-year term) for town of lyndon, cattaraugus~vote for 2,"/>
    <m/>
    <m/>
    <m/>
    <n v="0"/>
    <n v="0"/>
    <n v="0"/>
    <n v="0"/>
  </r>
  <r>
    <m/>
    <m/>
    <m/>
    <m/>
    <m/>
    <n v="37135"/>
    <n v="185.67500000000001"/>
    <m/>
    <x v="30"/>
    <n v="1"/>
    <n v="220"/>
    <n v="116"/>
    <n v="103"/>
    <n v="13"/>
    <s v="NY_Catta_2021g~-~supervisor (vote for one) (2-year term) for town of lyndon, cattaraugus~vote for 1,"/>
    <m/>
    <m/>
    <m/>
    <n v="0"/>
    <n v="0"/>
    <n v="0"/>
    <n v="0"/>
  </r>
  <r>
    <m/>
    <m/>
    <m/>
    <m/>
    <m/>
    <n v="37136"/>
    <n v="185.68"/>
    <m/>
    <x v="30"/>
    <n v="2"/>
    <n v="273.5"/>
    <n v="176"/>
    <n v="175"/>
    <n v="1"/>
    <s v="NY_Catta_2021g~-~councilman (vote for up to two) (4-year term) for town of east otto, cattaraugus~vote for 2,"/>
    <m/>
    <m/>
    <m/>
    <n v="0"/>
    <n v="0"/>
    <n v="0"/>
    <n v="0"/>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2"/>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r>
    <m/>
    <m/>
    <m/>
    <m/>
    <m/>
    <m/>
    <m/>
    <m/>
    <x v="31"/>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325C79-E80D-479B-B858-C601C050127A}"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23" firstHeaderRow="0" firstDataRow="1" firstDataCol="1"/>
  <pivotFields count="22">
    <pivotField dataField="1" showAll="0"/>
    <pivotField showAll="0"/>
    <pivotField showAll="0"/>
    <pivotField showAll="0"/>
    <pivotField showAll="0"/>
    <pivotField dataField="1" showAll="0"/>
    <pivotField showAll="0"/>
    <pivotField showAll="0"/>
    <pivotField axis="axisRow" showAll="0">
      <items count="34">
        <item x="32"/>
        <item x="0"/>
        <item x="1"/>
        <item x="2"/>
        <item x="3"/>
        <item x="4"/>
        <item x="5"/>
        <item x="6"/>
        <item x="7"/>
        <item x="8"/>
        <item x="9"/>
        <item x="10"/>
        <item x="11"/>
        <item h="1" x="12"/>
        <item x="13"/>
        <item h="1" x="27"/>
        <item h="1" x="21"/>
        <item h="1" x="20"/>
        <item h="1" x="28"/>
        <item h="1" x="29"/>
        <item h="1" x="23"/>
        <item h="1" x="22"/>
        <item h="1" x="24"/>
        <item h="1" x="25"/>
        <item h="1" x="26"/>
        <item x="14"/>
        <item x="30"/>
        <item x="15"/>
        <item x="16"/>
        <item x="17"/>
        <item h="1" x="18"/>
        <item h="1" x="19"/>
        <item h="1" x="31"/>
        <item t="default"/>
      </items>
    </pivotField>
    <pivotField showAll="0"/>
    <pivotField showAll="0"/>
    <pivotField showAll="0"/>
    <pivotField showAll="0"/>
    <pivotField showAll="0"/>
    <pivotField dataField="1" showAll="0"/>
    <pivotField showAll="0"/>
    <pivotField showAll="0"/>
    <pivotField showAll="0"/>
    <pivotField showAll="0"/>
    <pivotField dataField="1" showAll="0"/>
    <pivotField dataField="1" showAll="0"/>
    <pivotField dataField="1" showAll="0"/>
  </pivotFields>
  <rowFields count="1">
    <field x="8"/>
  </rowFields>
  <rowItems count="20">
    <i>
      <x/>
    </i>
    <i>
      <x v="1"/>
    </i>
    <i>
      <x v="2"/>
    </i>
    <i>
      <x v="3"/>
    </i>
    <i>
      <x v="4"/>
    </i>
    <i>
      <x v="5"/>
    </i>
    <i>
      <x v="6"/>
    </i>
    <i>
      <x v="7"/>
    </i>
    <i>
      <x v="8"/>
    </i>
    <i>
      <x v="9"/>
    </i>
    <i>
      <x v="10"/>
    </i>
    <i>
      <x v="11"/>
    </i>
    <i>
      <x v="12"/>
    </i>
    <i>
      <x v="14"/>
    </i>
    <i>
      <x v="25"/>
    </i>
    <i>
      <x v="26"/>
    </i>
    <i>
      <x v="27"/>
    </i>
    <i>
      <x v="28"/>
    </i>
    <i>
      <x v="29"/>
    </i>
    <i t="grand">
      <x/>
    </i>
  </rowItems>
  <colFields count="1">
    <field x="-2"/>
  </colFields>
  <colItems count="6">
    <i>
      <x/>
    </i>
    <i i="1">
      <x v="1"/>
    </i>
    <i i="2">
      <x v="2"/>
    </i>
    <i i="3">
      <x v="3"/>
    </i>
    <i i="4">
      <x v="4"/>
    </i>
    <i i="5">
      <x v="5"/>
    </i>
  </colItems>
  <dataFields count="6">
    <dataField name="Count of election + contest" fld="14" subtotal="count" baseField="0" baseItem="0"/>
    <dataField name="Average of sheets in county" fld="5" subtotal="average" baseField="8" baseItem="4" numFmtId="166"/>
    <dataField name="Average of chance of catching a batch over threshold, sample = 0.01" fld="19" subtotal="average" baseField="8" baseItem="0"/>
    <dataField name="Average of chance of catching a batch over threshold, sample = 0.05" fld="20" subtotal="average" baseField="8" baseItem="0"/>
    <dataField name="Average of chance of catching a batch over threshold, sample = 0.20" fld="21" subtotal="average" baseField="8" baseItem="6"/>
    <dataField name="Sum of RLA sample size, ballot comparison, 10% risk" fld="0" baseField="0" baseItem="0" numFmtId="166"/>
  </dataFields>
  <formats count="10">
    <format dxfId="13">
      <pivotArea dataOnly="0" labelOnly="1" outline="0" fieldPosition="0">
        <references count="1">
          <reference field="4294967294" count="1">
            <x v="2"/>
          </reference>
        </references>
      </pivotArea>
    </format>
    <format dxfId="12">
      <pivotArea outline="0" collapsedLevelsAreSubtotals="1" fieldPosition="0">
        <references count="1">
          <reference field="4294967294" count="1" selected="0">
            <x v="1"/>
          </reference>
        </references>
      </pivotArea>
    </format>
    <format dxfId="11">
      <pivotArea dataOnly="0" labelOnly="1" outline="0" fieldPosition="0">
        <references count="1">
          <reference field="4294967294" count="1">
            <x v="1"/>
          </reference>
        </references>
      </pivotArea>
    </format>
    <format dxfId="10">
      <pivotArea field="8" type="button" dataOnly="0" labelOnly="1" outline="0" axis="axisRow" fieldPosition="0"/>
    </format>
    <format dxfId="9">
      <pivotArea dataOnly="0" labelOnly="1" outline="0" fieldPosition="0">
        <references count="1">
          <reference field="4294967294" count="3">
            <x v="1"/>
            <x v="2"/>
            <x v="4"/>
          </reference>
        </references>
      </pivotArea>
    </format>
    <format dxfId="8">
      <pivotArea dataOnly="0" labelOnly="1" outline="0" fieldPosition="0">
        <references count="1">
          <reference field="4294967294" count="1">
            <x v="0"/>
          </reference>
        </references>
      </pivotArea>
    </format>
    <format dxfId="7">
      <pivotArea dataOnly="0" labelOnly="1" outline="0" fieldPosition="0">
        <references count="1">
          <reference field="4294967294" count="1">
            <x v="3"/>
          </reference>
        </references>
      </pivotArea>
    </format>
    <format dxfId="6">
      <pivotArea outline="0" collapsedLevelsAreSubtotals="1" fieldPosition="0">
        <references count="1">
          <reference field="4294967294" count="1" selected="0">
            <x v="5"/>
          </reference>
        </references>
      </pivotArea>
    </format>
    <format dxfId="5">
      <pivotArea dataOnly="0" labelOnly="1" outline="0" fieldPosition="0">
        <references count="1">
          <reference field="4294967294" count="1">
            <x v="5"/>
          </reference>
        </references>
      </pivotArea>
    </format>
    <format dxfId="4">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98064E2-524A-4181-8164-0CEBAB4B59A8}"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M1:N10" firstHeaderRow="1" firstDataRow="1" firstDataCol="1"/>
  <pivotFields count="1">
    <pivotField axis="axisRow" dataField="1" showAll="0">
      <items count="9">
        <item x="0"/>
        <item x="1"/>
        <item x="2"/>
        <item x="3"/>
        <item x="4"/>
        <item x="5"/>
        <item x="6"/>
        <item x="7"/>
        <item t="default"/>
      </items>
    </pivotField>
  </pivotFields>
  <rowFields count="1">
    <field x="0"/>
  </rowFields>
  <rowItems count="9">
    <i>
      <x/>
    </i>
    <i>
      <x v="1"/>
    </i>
    <i>
      <x v="2"/>
    </i>
    <i>
      <x v="3"/>
    </i>
    <i>
      <x v="4"/>
    </i>
    <i>
      <x v="5"/>
    </i>
    <i>
      <x v="6"/>
    </i>
    <i>
      <x v="7"/>
    </i>
    <i t="grand">
      <x/>
    </i>
  </rowItems>
  <colItems count="1">
    <i/>
  </colItems>
  <dataFields count="1">
    <dataField name="Count of 300-vote batches: audit enough to reach  2% or 2,000 ballots" fld="0" subtotal="count" baseField="0" baseItem="0"/>
  </dataFields>
  <formats count="4">
    <format dxfId="3">
      <pivotArea dataOnly="0" labelOnly="1" outline="0" axis="axisValues" fieldPosition="0"/>
    </format>
    <format dxfId="2">
      <pivotArea dataOnly="0" labelOnly="1" outline="0" axis="axisValues" fieldPosition="0"/>
    </format>
    <format dxfId="1">
      <pivotArea field="0" type="button" dataOnly="0" labelOnly="1" outline="0" axis="axisRow" fieldPosition="0"/>
    </format>
    <format dxfId="0">
      <pivotArea field="0" type="button" dataOnly="0" labelOnly="1" outline="0" axis="axisRow"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4113983-EA76-4567-8AE7-4E8C13AB9167}"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J25" firstHeaderRow="1" firstDataRow="2" firstDataCol="1"/>
  <pivotFields count="7">
    <pivotField axis="axisRow"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axis="axisCol" dataField="1" showAll="0">
      <items count="10">
        <item m="1" x="8"/>
        <item x="2"/>
        <item x="3"/>
        <item x="4"/>
        <item x="5"/>
        <item x="1"/>
        <item x="7"/>
        <item x="6"/>
        <item x="0"/>
        <item t="default"/>
      </items>
    </pivotField>
  </pivotFields>
  <rowFields count="1">
    <field x="0"/>
  </rowFields>
  <rowItems count="21">
    <i>
      <x/>
    </i>
    <i>
      <x v="1"/>
    </i>
    <i>
      <x v="2"/>
    </i>
    <i>
      <x v="3"/>
    </i>
    <i>
      <x v="4"/>
    </i>
    <i>
      <x v="5"/>
    </i>
    <i>
      <x v="6"/>
    </i>
    <i>
      <x v="7"/>
    </i>
    <i>
      <x v="8"/>
    </i>
    <i>
      <x v="9"/>
    </i>
    <i>
      <x v="10"/>
    </i>
    <i>
      <x v="11"/>
    </i>
    <i>
      <x v="12"/>
    </i>
    <i>
      <x v="13"/>
    </i>
    <i>
      <x v="14"/>
    </i>
    <i>
      <x v="15"/>
    </i>
    <i>
      <x v="16"/>
    </i>
    <i>
      <x v="17"/>
    </i>
    <i>
      <x v="18"/>
    </i>
    <i>
      <x v="19"/>
    </i>
    <i t="grand">
      <x/>
    </i>
  </rowItems>
  <colFields count="1">
    <field x="6"/>
  </colFields>
  <colItems count="9">
    <i>
      <x v="1"/>
    </i>
    <i>
      <x v="2"/>
    </i>
    <i>
      <x v="3"/>
    </i>
    <i>
      <x v="4"/>
    </i>
    <i>
      <x v="5"/>
    </i>
    <i>
      <x v="6"/>
    </i>
    <i>
      <x v="7"/>
    </i>
    <i>
      <x v="8"/>
    </i>
    <i t="grand">
      <x/>
    </i>
  </colItems>
  <dataFields count="1">
    <dataField name="Count of level"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8" Type="http://schemas.openxmlformats.org/officeDocument/2006/relationships/hyperlink" Target="https://docs.google.com/spreadsheets/d/1KRSIzmY_Ip5VhnpVf_SVvVwKcZlCe9BOKiF5cHt6McE/edit" TargetMode="External"/><Relationship Id="rId13" Type="http://schemas.openxmlformats.org/officeDocument/2006/relationships/hyperlink" Target="https://math.stackexchange.com/questions/2193569/solution-conflict-expected-number-of-distinct-birthdays-for-100-people" TargetMode="External"/><Relationship Id="rId3" Type="http://schemas.openxmlformats.org/officeDocument/2006/relationships/hyperlink" Target="https://verifiedvoting.org/wp-content/uploads/2020/07/RI-RLA-Report-2020.pdf" TargetMode="External"/><Relationship Id="rId7" Type="http://schemas.openxmlformats.org/officeDocument/2006/relationships/hyperlink" Target="http://www.votewell.net/auditcosts.html" TargetMode="External"/><Relationship Id="rId12" Type="http://schemas.openxmlformats.org/officeDocument/2006/relationships/hyperlink" Target="https://en.wikipedia.org/wiki/Birthday_problem" TargetMode="External"/><Relationship Id="rId2" Type="http://schemas.openxmlformats.org/officeDocument/2006/relationships/hyperlink" Target="https://www.elections.maryland.gov/press_room/documents/Post%20Election%20Tabulation%20Audit%20Pilot%20Program%20Report.pdf" TargetMode="External"/><Relationship Id="rId16" Type="http://schemas.openxmlformats.org/officeDocument/2006/relationships/printerSettings" Target="../printerSettings/printerSettings2.bin"/><Relationship Id="rId1" Type="http://schemas.openxmlformats.org/officeDocument/2006/relationships/hyperlink" Target="http://votewell.net/tallies.xlsx" TargetMode="External"/><Relationship Id="rId6" Type="http://schemas.openxmlformats.org/officeDocument/2006/relationships/hyperlink" Target="http://www.votewell.net/auditcosts.html" TargetMode="External"/><Relationship Id="rId11" Type="http://schemas.openxmlformats.org/officeDocument/2006/relationships/hyperlink" Target="http://votewell.net/tallies.xlsx" TargetMode="External"/><Relationship Id="rId5" Type="http://schemas.openxmlformats.org/officeDocument/2006/relationships/hyperlink" Target="http://www.votewell.net/auditcosts.html" TargetMode="External"/><Relationship Id="rId15" Type="http://schemas.openxmlformats.org/officeDocument/2006/relationships/hyperlink" Target="http://www.votewell.net/auditcosts.html" TargetMode="External"/><Relationship Id="rId10" Type="http://schemas.openxmlformats.org/officeDocument/2006/relationships/hyperlink" Target="https://docs.google.com/spreadsheets/d/1KRSIzmY_Ip5VhnpVf_SVvVwKcZlCe9BOKiF5cHt6McE/edit?usp=sharing" TargetMode="External"/><Relationship Id="rId4" Type="http://schemas.openxmlformats.org/officeDocument/2006/relationships/hyperlink" Target="http://www.votewell.net/auditcosts.html" TargetMode="External"/><Relationship Id="rId9" Type="http://schemas.openxmlformats.org/officeDocument/2006/relationships/hyperlink" Target="https://docs.google.com/spreadsheets/d/1KRSIzmY_Ip5VhnpVf_SVvVwKcZlCe9BOKiF5cHt6McE/edit" TargetMode="External"/><Relationship Id="rId14" Type="http://schemas.openxmlformats.org/officeDocument/2006/relationships/hyperlink" Target="https://web.archive.org/web/20080919152131/http:/www.electiondefensealliance.org/files/Hand_Count_Elections_Steps_only_Sept_6_2007.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eb.archive.org/web/20220829142351/https:/www.post-gazette.com/news/politics-local/2022/08/17/butler-county-ballots-review-2020-election-vote-recount-elections-staff-scanners-pennsylvania/stories/202208170125" TargetMode="External"/><Relationship Id="rId2" Type="http://schemas.openxmlformats.org/officeDocument/2006/relationships/hyperlink" Target="https://web.archive.org/web/20220829142351/https:/www.post-gazette.com/news/politics-local/2022/08/17/butler-county-ballots-review-2020-election-vote-recount-elections-staff-scanners-pennsylvania/stories/202208170125" TargetMode="External"/><Relationship Id="rId1" Type="http://schemas.openxmlformats.org/officeDocument/2006/relationships/hyperlink" Target="https://web.archive.org/web/20080919152131/http:/www.electiondefensealliance.org/files/Hand_Count_Elections_Steps_only_Sept_6_2007.pdf"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17" Type="http://schemas.openxmlformats.org/officeDocument/2006/relationships/hyperlink" Target="https://web.archive.org/web/20200424171200/https:/recorder.countyofventura.org/elections/" TargetMode="External"/><Relationship Id="rId299" Type="http://schemas.openxmlformats.org/officeDocument/2006/relationships/hyperlink" Target="https://web.archive.org/web/20200424171200/https:/recorder.countyofventura.org/elections/" TargetMode="External"/><Relationship Id="rId21" Type="http://schemas.openxmlformats.org/officeDocument/2006/relationships/hyperlink" Target="https://web.archive.org/web/20210110095403/https:/www.lavote.net/home/voting-elections/current-elections/upcoming-elections" TargetMode="External"/><Relationship Id="rId63" Type="http://schemas.openxmlformats.org/officeDocument/2006/relationships/hyperlink" Target="https://web.archive.org/web/20200424171200/http:/www.alpinecountyca.gov/index.aspx?NID=388" TargetMode="External"/><Relationship Id="rId159" Type="http://schemas.openxmlformats.org/officeDocument/2006/relationships/hyperlink" Target="https://web.archive.org/web/20201105171748/https:/www.sdvote.com/content/rov/en/elections/election_information.html" TargetMode="External"/><Relationship Id="rId170" Type="http://schemas.openxmlformats.org/officeDocument/2006/relationships/hyperlink" Target="https://web.archive.org/web/20201105171748/https:/www.solanocounty.com/depts/rov/november_3_2020___presidential_general_election/election_results/default.asp" TargetMode="External"/><Relationship Id="rId226" Type="http://schemas.openxmlformats.org/officeDocument/2006/relationships/hyperlink" Target="https://web.archive.org/web/20210110095403/https:/www.smcacre.org/post/november-3-2020-election-results" TargetMode="External"/><Relationship Id="rId268" Type="http://schemas.openxmlformats.org/officeDocument/2006/relationships/hyperlink" Target="https://web.archive.org/web/20200424171200/http:/www.co.modoc.ca.us/departments/elections/2016-elections" TargetMode="External"/><Relationship Id="rId32" Type="http://schemas.openxmlformats.org/officeDocument/2006/relationships/hyperlink" Target="https://web.archive.org/web/20210110095403/http:/www.ocvote.com/results/current-election-results/" TargetMode="External"/><Relationship Id="rId74" Type="http://schemas.openxmlformats.org/officeDocument/2006/relationships/hyperlink" Target="https://web.archive.org/web/20200424171200/http:/www.co.imperial.ca.us/regvoters/index.asp?fileinc=results" TargetMode="External"/><Relationship Id="rId128" Type="http://schemas.openxmlformats.org/officeDocument/2006/relationships/hyperlink" Target="https://web.archive.org/web/20201105171748/http:/www.countyofcolusa.org/index.aspx?NID=197" TargetMode="External"/><Relationship Id="rId5" Type="http://schemas.openxmlformats.org/officeDocument/2006/relationships/hyperlink" Target="https://web.archive.org/web/20210110095403/https:/www.amadorgov.org/government/elections" TargetMode="External"/><Relationship Id="rId181" Type="http://schemas.openxmlformats.org/officeDocument/2006/relationships/hyperlink" Target="https://web.archive.org/web/20201105171748/https:/electionresults.sos.ca.gov/returns/status" TargetMode="External"/><Relationship Id="rId237" Type="http://schemas.openxmlformats.org/officeDocument/2006/relationships/hyperlink" Target="https://web.archive.org/web/20210110095403/http:/www.co.tehama.ca.us/gov-departments/elections" TargetMode="External"/><Relationship Id="rId279" Type="http://schemas.openxmlformats.org/officeDocument/2006/relationships/hyperlink" Target="https://web.archive.org/web/20200424171200/http:/www.sbcountyelections.com/" TargetMode="External"/><Relationship Id="rId43" Type="http://schemas.openxmlformats.org/officeDocument/2006/relationships/hyperlink" Target="https://web.archive.org/web/20210110095403/https:/www.smcacre.org/post/november-3-2020-election-results" TargetMode="External"/><Relationship Id="rId139" Type="http://schemas.openxmlformats.org/officeDocument/2006/relationships/hyperlink" Target="https://web.archive.org/web/20201105171748/http:/www.lakecountyca.gov/Government/Directory/ROV.htm" TargetMode="External"/><Relationship Id="rId290" Type="http://schemas.openxmlformats.org/officeDocument/2006/relationships/hyperlink" Target="https://web.archive.org/web/20200424171200/https:/www.co.siskiyou.ca.us/elections/page/march-3-2020-presidential-primary-election" TargetMode="External"/><Relationship Id="rId85" Type="http://schemas.openxmlformats.org/officeDocument/2006/relationships/hyperlink" Target="https://web.archive.org/web/20200424171200/https:/www.co.merced.ca.us/3212/March-3-2020-Presidential-Primary-Electi" TargetMode="External"/><Relationship Id="rId150" Type="http://schemas.openxmlformats.org/officeDocument/2006/relationships/hyperlink" Target="https://web.archive.org/web/20201105171748/http:/www.countyofnapa.org/Elections/" TargetMode="External"/><Relationship Id="rId192" Type="http://schemas.openxmlformats.org/officeDocument/2006/relationships/hyperlink" Target="https://web.archive.org/web/20210110095403/https:/www.cocovote.us/election/presidential-general-election-november-3-2020/" TargetMode="External"/><Relationship Id="rId206" Type="http://schemas.openxmlformats.org/officeDocument/2006/relationships/hyperlink" Target="https://web.archive.org/web/20210110095403/https:/www.marincounty.org/depts/rv/election-info/election-page" TargetMode="External"/><Relationship Id="rId248" Type="http://schemas.openxmlformats.org/officeDocument/2006/relationships/hyperlink" Target="https://web.archive.org/web/20200424171200/http:/elections.calaverasgov.us/Results" TargetMode="External"/><Relationship Id="rId12" Type="http://schemas.openxmlformats.org/officeDocument/2006/relationships/hyperlink" Target="https://web.archive.org/web/20210110095403/https:/www.co.fresno.ca.us/departments/county-clerk-registrar-of-voters/election-races/consolidated-presidential-general-election-november-3-2020" TargetMode="External"/><Relationship Id="rId108" Type="http://schemas.openxmlformats.org/officeDocument/2006/relationships/hyperlink" Target="https://web.archive.org/web/20200424171200/https:/www.co.siskiyou.ca.us/elections/page/march-3-2020-presidential-primary-election" TargetMode="External"/><Relationship Id="rId54" Type="http://schemas.openxmlformats.org/officeDocument/2006/relationships/hyperlink" Target="https://web.archive.org/web/20210110095403/http:/www.co.tehama.ca.us/gov-departments/elections" TargetMode="External"/><Relationship Id="rId96" Type="http://schemas.openxmlformats.org/officeDocument/2006/relationships/hyperlink" Target="https://web.archive.org/web/20200424171200/http:/sbcvote.us/registrar-of-voters/" TargetMode="External"/><Relationship Id="rId161" Type="http://schemas.openxmlformats.org/officeDocument/2006/relationships/hyperlink" Target="https://web.archive.org/web/20201105171748/https:/www.sjgov.org/department/rov/info/election_information" TargetMode="External"/><Relationship Id="rId217" Type="http://schemas.openxmlformats.org/officeDocument/2006/relationships/hyperlink" Target="https://web.archive.org/web/20210110095403/http:/www.countyofplumas.com/index.aspx?NID=142" TargetMode="External"/><Relationship Id="rId6" Type="http://schemas.openxmlformats.org/officeDocument/2006/relationships/hyperlink" Target="https://web.archive.org/web/20210110095403/https:/clerk-recorder.buttecounty.net/elections/archives/eln44/44_eln_main.html" TargetMode="External"/><Relationship Id="rId238" Type="http://schemas.openxmlformats.org/officeDocument/2006/relationships/hyperlink" Target="https://web.archive.org/web/20210110095403/https:/www.trinitycounty.org/2020-General-Election" TargetMode="External"/><Relationship Id="rId259" Type="http://schemas.openxmlformats.org/officeDocument/2006/relationships/hyperlink" Target="https://web.archive.org/web/20200424171200/https:/www.countyofkings.com/departments/administration/elections" TargetMode="External"/><Relationship Id="rId23" Type="http://schemas.openxmlformats.org/officeDocument/2006/relationships/hyperlink" Target="https://web.archive.org/web/20210110095403/https:/www.marincounty.org/depts/rv/election-info/election-page" TargetMode="External"/><Relationship Id="rId119" Type="http://schemas.openxmlformats.org/officeDocument/2006/relationships/hyperlink" Target="https://web.archive.org/web/20200424171200/https:/www.yuba.org/departments/elections/current_election.php" TargetMode="External"/><Relationship Id="rId270" Type="http://schemas.openxmlformats.org/officeDocument/2006/relationships/hyperlink" Target="https://web.archive.org/web/20200424171200/https:/www.montereycountyelections.us/election-description/e/118" TargetMode="External"/><Relationship Id="rId291" Type="http://schemas.openxmlformats.org/officeDocument/2006/relationships/hyperlink" Target="https://web.archive.org/web/20200424171200/https:/www.solanocounty.com/depts/rov/june_5th_2018___primary_election/election_results/default.asp" TargetMode="External"/><Relationship Id="rId44" Type="http://schemas.openxmlformats.org/officeDocument/2006/relationships/hyperlink" Target="https://web.archive.org/web/20210110095403/http:/www.sbcvote.com/Elections/ElectionResults.aspx" TargetMode="External"/><Relationship Id="rId65" Type="http://schemas.openxmlformats.org/officeDocument/2006/relationships/hyperlink" Target="https://web.archive.org/web/20200424171200/https:/clerk-recorder.buttecounty.net/elections/archives/eln44/44_eln_main.html" TargetMode="External"/><Relationship Id="rId86" Type="http://schemas.openxmlformats.org/officeDocument/2006/relationships/hyperlink" Target="https://web.archive.org/web/20200424171200/http:/www.co.modoc.ca.us/departments/elections/2016-elections" TargetMode="External"/><Relationship Id="rId130" Type="http://schemas.openxmlformats.org/officeDocument/2006/relationships/hyperlink" Target="https://web.archive.org/web/20201105171748/http:/www.co.del-norte.ca.us/departments/clerk-recorder/elections" TargetMode="External"/><Relationship Id="rId151" Type="http://schemas.openxmlformats.org/officeDocument/2006/relationships/hyperlink" Target="https://web.archive.org/web/20201105171748/https:/www.mynevadacounty.com/2922/November-3-2020-Presidential-General-Ele" TargetMode="External"/><Relationship Id="rId172" Type="http://schemas.openxmlformats.org/officeDocument/2006/relationships/hyperlink" Target="https://web.archive.org/web/20201105171748/https:/www.stanvote.com/election.shtm" TargetMode="External"/><Relationship Id="rId193" Type="http://schemas.openxmlformats.org/officeDocument/2006/relationships/hyperlink" Target="https://web.archive.org/web/20210110095403/http:/www.co.del-norte.ca.us/departments/clerk-recorder/elections" TargetMode="External"/><Relationship Id="rId207" Type="http://schemas.openxmlformats.org/officeDocument/2006/relationships/hyperlink" Target="https://web.archive.org/web/20210110095403/http:/www.mariposacounty.org/363/Current-Election-Information" TargetMode="External"/><Relationship Id="rId228" Type="http://schemas.openxmlformats.org/officeDocument/2006/relationships/hyperlink" Target="https://web.archive.org/web/20210110095403/https:/www.sccgov.org/sites/rov/Voting/VotingNovember2020/Pages/home.aspx" TargetMode="External"/><Relationship Id="rId249" Type="http://schemas.openxmlformats.org/officeDocument/2006/relationships/hyperlink" Target="https://web.archive.org/web/20200424171200/http:/www.countyofcolusa.org/index.aspx?NID=197" TargetMode="External"/><Relationship Id="rId13" Type="http://schemas.openxmlformats.org/officeDocument/2006/relationships/hyperlink" Target="https://web.archive.org/web/20210110095403/http:/www.countyofglenn.net/dept/elections/welcome" TargetMode="External"/><Relationship Id="rId109" Type="http://schemas.openxmlformats.org/officeDocument/2006/relationships/hyperlink" Target="https://web.archive.org/web/20200424171200/https:/www.solanocounty.com/depts/rov/june_5th_2018___primary_election/election_results/default.asp" TargetMode="External"/><Relationship Id="rId260" Type="http://schemas.openxmlformats.org/officeDocument/2006/relationships/hyperlink" Target="https://web.archive.org/web/20200424171200/http:/www.lakecountyca.gov/Government/Directory/ROV/Upcoming/030320.htm" TargetMode="External"/><Relationship Id="rId281" Type="http://schemas.openxmlformats.org/officeDocument/2006/relationships/hyperlink" Target="https://web.archive.org/web/20200424171200/https:/sfelections.sfgov.org/" TargetMode="External"/><Relationship Id="rId34" Type="http://schemas.openxmlformats.org/officeDocument/2006/relationships/hyperlink" Target="https://web.archive.org/web/20210110095403/http:/www.countyofplumas.com/index.aspx?NID=142" TargetMode="External"/><Relationship Id="rId55" Type="http://schemas.openxmlformats.org/officeDocument/2006/relationships/hyperlink" Target="https://web.archive.org/web/20210110095403/https:/www.trinitycounty.org/2020-General-Election" TargetMode="External"/><Relationship Id="rId76" Type="http://schemas.openxmlformats.org/officeDocument/2006/relationships/hyperlink" Target="https://web.archive.org/web/20200424171200/https:/www.kernvote.com/ElectionInformation/CurrentElectionInformation?ElectionID=102" TargetMode="External"/><Relationship Id="rId97" Type="http://schemas.openxmlformats.org/officeDocument/2006/relationships/hyperlink" Target="https://web.archive.org/web/20200424171200/http:/www.sbcountyelections.com/" TargetMode="External"/><Relationship Id="rId120" Type="http://schemas.openxmlformats.org/officeDocument/2006/relationships/hyperlink" Target="https://web.archive.org/web/20200424171200/https:/electionresults.sos.ca.gov/returns/status" TargetMode="External"/><Relationship Id="rId141" Type="http://schemas.openxmlformats.org/officeDocument/2006/relationships/hyperlink" Target="https://web.archive.org/web/20201105171748/https:/www.lavote.net/home/voting-elections/current-elections/upcoming-elections" TargetMode="External"/><Relationship Id="rId7" Type="http://schemas.openxmlformats.org/officeDocument/2006/relationships/hyperlink" Target="https://web.archive.org/web/20210110095403/http:/elections.calaverasgov.us/Results" TargetMode="External"/><Relationship Id="rId162" Type="http://schemas.openxmlformats.org/officeDocument/2006/relationships/hyperlink" Target="https://web.archive.org/web/20201105171748/https:/www.slocounty.ca.gov/Departments/Clerk-Recorder/All-Services/Elections-and-Voting/Elections-Conducted-by-County-of-San-Luis-Obispo/November-3,-2020-Presidential-General-Election.aspx" TargetMode="External"/><Relationship Id="rId183" Type="http://schemas.openxmlformats.org/officeDocument/2006/relationships/hyperlink" Target="https://web.archive.org/web/20200424171200/https:/electionresults.sos.ca.gov/returns/status" TargetMode="External"/><Relationship Id="rId218" Type="http://schemas.openxmlformats.org/officeDocument/2006/relationships/hyperlink" Target="https://web.archive.org/web/20210110095403/https:/www.voteinfo.net/" TargetMode="External"/><Relationship Id="rId239" Type="http://schemas.openxmlformats.org/officeDocument/2006/relationships/hyperlink" Target="https://web.archive.org/web/20210110095403/https:/tularecoelections.org/elections/index.cfm/registrar-of-voters/current-election-information/november-3-2020-presidential-general-election/" TargetMode="External"/><Relationship Id="rId250" Type="http://schemas.openxmlformats.org/officeDocument/2006/relationships/hyperlink" Target="https://web.archive.org/web/20200424171200/https:/www.cocovote.us/election/presidential-primary-election-march-3-2020/" TargetMode="External"/><Relationship Id="rId271" Type="http://schemas.openxmlformats.org/officeDocument/2006/relationships/hyperlink" Target="https://web.archive.org/web/20200424171200/http:/www.countyofnapa.org/Elections/" TargetMode="External"/><Relationship Id="rId292" Type="http://schemas.openxmlformats.org/officeDocument/2006/relationships/hyperlink" Target="https://web.archive.org/web/20200424171200/http:/sonomacounty.ca.gov/CRA/Registrar-of-Voters/Elections/March-3-2020-Presidential-Primary-Election/" TargetMode="External"/><Relationship Id="rId24" Type="http://schemas.openxmlformats.org/officeDocument/2006/relationships/hyperlink" Target="https://web.archive.org/web/20210110095403/http:/www.mariposacounty.org/363/Current-Election-Information" TargetMode="External"/><Relationship Id="rId45" Type="http://schemas.openxmlformats.org/officeDocument/2006/relationships/hyperlink" Target="https://web.archive.org/web/20210110095403/https:/www.sccgov.org/sites/rov/Voting/VotingNovember2020/Pages/home.aspx" TargetMode="External"/><Relationship Id="rId66" Type="http://schemas.openxmlformats.org/officeDocument/2006/relationships/hyperlink" Target="https://web.archive.org/web/20200424171200/http:/elections.calaverasgov.us/Results" TargetMode="External"/><Relationship Id="rId87" Type="http://schemas.openxmlformats.org/officeDocument/2006/relationships/hyperlink" Target="https://web.archive.org/web/20200424171200/https:/monocounty.ca.gov/elections/page/march-3-2020-presidential-primary-election" TargetMode="External"/><Relationship Id="rId110" Type="http://schemas.openxmlformats.org/officeDocument/2006/relationships/hyperlink" Target="https://web.archive.org/web/20200424171200/http:/sonomacounty.ca.gov/CRA/Registrar-of-Voters/Elections/March-3-2020-Presidential-Primary-Election/" TargetMode="External"/><Relationship Id="rId131" Type="http://schemas.openxmlformats.org/officeDocument/2006/relationships/hyperlink" Target="https://web.archive.org/web/20201105171748/https:/www.edcgov.us/Government/Elections" TargetMode="External"/><Relationship Id="rId152" Type="http://schemas.openxmlformats.org/officeDocument/2006/relationships/hyperlink" Target="https://web.archive.org/web/20201105171748/http:/www.ocvote.com/results/current-election-results/" TargetMode="External"/><Relationship Id="rId173" Type="http://schemas.openxmlformats.org/officeDocument/2006/relationships/hyperlink" Target="https://web.archive.org/web/20201105171748/http:/www.co.sutter.ca.us/doc/government/depts/cr/elections/cr_elections_home" TargetMode="External"/><Relationship Id="rId194" Type="http://schemas.openxmlformats.org/officeDocument/2006/relationships/hyperlink" Target="https://web.archive.org/web/20210110095403/https:/www.edcgov.us/Government/Elections" TargetMode="External"/><Relationship Id="rId208" Type="http://schemas.openxmlformats.org/officeDocument/2006/relationships/hyperlink" Target="https://web.archive.org/web/20210110095403/https:/www.mendocinocounty.org/government/assessor-county-clerk-recorder-elections/current-election-results" TargetMode="External"/><Relationship Id="rId229" Type="http://schemas.openxmlformats.org/officeDocument/2006/relationships/hyperlink" Target="https://web.archive.org/web/20210110095403/https:/www.votescount.us/Home/UpcomingElections/November3,2020Election.aspx" TargetMode="External"/><Relationship Id="rId240" Type="http://schemas.openxmlformats.org/officeDocument/2006/relationships/hyperlink" Target="https://web.archive.org/web/20210110095403/http:/www.co.tuolumne.ca.us/index.aspx?nid=194" TargetMode="External"/><Relationship Id="rId261" Type="http://schemas.openxmlformats.org/officeDocument/2006/relationships/hyperlink" Target="https://web.archive.org/web/20200424171200/http:/www.lassencounty.org/dept/county-clerk-recorder/elections" TargetMode="External"/><Relationship Id="rId14" Type="http://schemas.openxmlformats.org/officeDocument/2006/relationships/hyperlink" Target="https://web.archive.org/web/20210110095403/https:/humboldtgov.org/2663/Presidential-General-Election---November" TargetMode="External"/><Relationship Id="rId35" Type="http://schemas.openxmlformats.org/officeDocument/2006/relationships/hyperlink" Target="https://web.archive.org/web/20210110095403/https:/www.voteinfo.net/" TargetMode="External"/><Relationship Id="rId56" Type="http://schemas.openxmlformats.org/officeDocument/2006/relationships/hyperlink" Target="https://web.archive.org/web/20210110095403/https:/tularecoelections.org/elections/index.cfm/registrar-of-voters/current-election-information/november-3-2020-presidential-general-election/" TargetMode="External"/><Relationship Id="rId77" Type="http://schemas.openxmlformats.org/officeDocument/2006/relationships/hyperlink" Target="https://web.archive.org/web/20200424171200/https:/www.countyofkings.com/departments/administration/elections" TargetMode="External"/><Relationship Id="rId100" Type="http://schemas.openxmlformats.org/officeDocument/2006/relationships/hyperlink" Target="https://web.archive.org/web/20200424171200/https:/www.sjgov.org/department/rov/info/election_information" TargetMode="External"/><Relationship Id="rId282" Type="http://schemas.openxmlformats.org/officeDocument/2006/relationships/hyperlink" Target="https://web.archive.org/web/20200424171200/https:/www.sjgov.org/department/rov/info/election_information" TargetMode="External"/><Relationship Id="rId8" Type="http://schemas.openxmlformats.org/officeDocument/2006/relationships/hyperlink" Target="https://web.archive.org/web/20210110095403/http:/www.countyofcolusa.org/index.aspx?NID=197" TargetMode="External"/><Relationship Id="rId98" Type="http://schemas.openxmlformats.org/officeDocument/2006/relationships/hyperlink" Target="https://web.archive.org/web/20200424171200/https:/www.sdvote.com/content/rov/en/elections/election_information.html" TargetMode="External"/><Relationship Id="rId121" Type="http://schemas.openxmlformats.org/officeDocument/2006/relationships/hyperlink" Target="https://web.archive.org/web/20201105171748/https:/electionresults.sos.ca.gov/returns/status" TargetMode="External"/><Relationship Id="rId142" Type="http://schemas.openxmlformats.org/officeDocument/2006/relationships/hyperlink" Target="https://web.archive.org/web/20201105171748/http:/votemadera.com/" TargetMode="External"/><Relationship Id="rId163" Type="http://schemas.openxmlformats.org/officeDocument/2006/relationships/hyperlink" Target="https://web.archive.org/web/20201105171748/https:/www.smcacre.org/post/november-3-2020-election-results" TargetMode="External"/><Relationship Id="rId184" Type="http://schemas.openxmlformats.org/officeDocument/2006/relationships/hyperlink" Target="https://web.archive.org/web/20201105171748/https:/electionresults.sos.ca.gov/returns/status" TargetMode="External"/><Relationship Id="rId219" Type="http://schemas.openxmlformats.org/officeDocument/2006/relationships/hyperlink" Target="https://web.archive.org/web/20210110095403/http:/www.elections.saccounty.net/ElectionInformation/Pages/InfoUpcomingElect.aspx" TargetMode="External"/><Relationship Id="rId230" Type="http://schemas.openxmlformats.org/officeDocument/2006/relationships/hyperlink" Target="https://web.archive.org/web/20210110095403/https:/www.elections.co.shasta.ca.us/" TargetMode="External"/><Relationship Id="rId251" Type="http://schemas.openxmlformats.org/officeDocument/2006/relationships/hyperlink" Target="https://web.archive.org/web/20200424171200/http:/www.co.del-norte.ca.us/departments/clerk-recorder/elections" TargetMode="External"/><Relationship Id="rId25" Type="http://schemas.openxmlformats.org/officeDocument/2006/relationships/hyperlink" Target="https://web.archive.org/web/20210110095403/https:/www.mendocinocounty.org/government/assessor-county-clerk-recorder-elections/current-election-results" TargetMode="External"/><Relationship Id="rId46" Type="http://schemas.openxmlformats.org/officeDocument/2006/relationships/hyperlink" Target="https://web.archive.org/web/20210110095403/https:/www.votescount.us/Home/UpcomingElections/November3,2020Election.aspx" TargetMode="External"/><Relationship Id="rId67" Type="http://schemas.openxmlformats.org/officeDocument/2006/relationships/hyperlink" Target="https://web.archive.org/web/20200424171200/http:/www.countyofcolusa.org/index.aspx?NID=197" TargetMode="External"/><Relationship Id="rId272" Type="http://schemas.openxmlformats.org/officeDocument/2006/relationships/hyperlink" Target="https://web.archive.org/web/20200424171200/https:/www.mynevadacounty.com/2853/March-3-2020-Presidential-Primary-Electi" TargetMode="External"/><Relationship Id="rId293" Type="http://schemas.openxmlformats.org/officeDocument/2006/relationships/hyperlink" Target="https://web.archive.org/web/20200424171200/http:/stanvote.com/returns.shtm" TargetMode="External"/><Relationship Id="rId88" Type="http://schemas.openxmlformats.org/officeDocument/2006/relationships/hyperlink" Target="https://web.archive.org/web/20200424171200/https:/www.montereycountyelections.us/election-description/e/118" TargetMode="External"/><Relationship Id="rId111" Type="http://schemas.openxmlformats.org/officeDocument/2006/relationships/hyperlink" Target="https://web.archive.org/web/20200424171200/http:/stanvote.com/returns.shtm" TargetMode="External"/><Relationship Id="rId132" Type="http://schemas.openxmlformats.org/officeDocument/2006/relationships/hyperlink" Target="https://web.archive.org/web/20201105171748/https:/www.co.fresno.ca.us/departments/county-clerk-registrar-of-voters/election-races/consolidated-presidential-general-election-november-3-2020" TargetMode="External"/><Relationship Id="rId153" Type="http://schemas.openxmlformats.org/officeDocument/2006/relationships/hyperlink" Target="https://web.archive.org/web/20201105171748/http:/www.placerelections.com/election-night-results.aspx" TargetMode="External"/><Relationship Id="rId174" Type="http://schemas.openxmlformats.org/officeDocument/2006/relationships/hyperlink" Target="https://web.archive.org/web/20201105171748/http:/www.co.tehama.ca.us/gov-departments/elections" TargetMode="External"/><Relationship Id="rId195" Type="http://schemas.openxmlformats.org/officeDocument/2006/relationships/hyperlink" Target="https://web.archive.org/web/20210110095403/https:/www.co.fresno.ca.us/departments/county-clerk-registrar-of-voters/election-races/consolidated-presidential-general-election-november-3-2020" TargetMode="External"/><Relationship Id="rId209" Type="http://schemas.openxmlformats.org/officeDocument/2006/relationships/hyperlink" Target="https://web.archive.org/web/20210110095403/https:/www.co.merced.ca.us/3330/November-3-2020-Presidential-General-Ele" TargetMode="External"/><Relationship Id="rId220" Type="http://schemas.openxmlformats.org/officeDocument/2006/relationships/hyperlink" Target="https://web.archive.org/web/20210110095403/http:/sbcvote.us/registrar-of-voters/" TargetMode="External"/><Relationship Id="rId241" Type="http://schemas.openxmlformats.org/officeDocument/2006/relationships/hyperlink" Target="https://web.archive.org/web/20210110095403/https:/recorder.countyofventura.org/november-3-2020-presidential-general-election/" TargetMode="External"/><Relationship Id="rId15" Type="http://schemas.openxmlformats.org/officeDocument/2006/relationships/hyperlink" Target="https://web.archive.org/web/20210110095403/https:/elections.imperialcounty.org/" TargetMode="External"/><Relationship Id="rId36" Type="http://schemas.openxmlformats.org/officeDocument/2006/relationships/hyperlink" Target="https://web.archive.org/web/20210110095403/http:/www.elections.saccounty.net/ElectionInformation/Pages/InfoUpcomingElect.aspx" TargetMode="External"/><Relationship Id="rId57" Type="http://schemas.openxmlformats.org/officeDocument/2006/relationships/hyperlink" Target="https://web.archive.org/web/20210110095403/http:/www.co.tuolumne.ca.us/index.aspx?nid=194" TargetMode="External"/><Relationship Id="rId262" Type="http://schemas.openxmlformats.org/officeDocument/2006/relationships/hyperlink" Target="https://web.archive.org/web/20200424171200/http:/www.lavote.net/home/voting-elections/current-elections/election-results" TargetMode="External"/><Relationship Id="rId283" Type="http://schemas.openxmlformats.org/officeDocument/2006/relationships/hyperlink" Target="https://web.archive.org/web/20200424171200/https:/www.slocounty.ca.gov/Departments/Clerk-Recorder/All-Services/Elections-Conducted-by-County-of-San-Luis-Obispo/March-3,-2020-Presidential-Primary-Election.aspx" TargetMode="External"/><Relationship Id="rId78" Type="http://schemas.openxmlformats.org/officeDocument/2006/relationships/hyperlink" Target="https://web.archive.org/web/20200424171200/http:/www.lakecountyca.gov/Government/Directory/ROV/Upcoming/030320.htm" TargetMode="External"/><Relationship Id="rId99" Type="http://schemas.openxmlformats.org/officeDocument/2006/relationships/hyperlink" Target="https://web.archive.org/web/20200424171200/https:/sfelections.sfgov.org/" TargetMode="External"/><Relationship Id="rId101" Type="http://schemas.openxmlformats.org/officeDocument/2006/relationships/hyperlink" Target="https://web.archive.org/web/20200424171200/https:/www.slocounty.ca.gov/Departments/Clerk-Recorder/All-Services/Elections-Conducted-by-County-of-San-Luis-Obispo/March-3,-2020-Presidential-Primary-Election.aspx" TargetMode="External"/><Relationship Id="rId122" Type="http://schemas.openxmlformats.org/officeDocument/2006/relationships/hyperlink" Target="https://web.archive.org/web/20201105171748/https:/electionresults.sos.ca.gov/returns/status" TargetMode="External"/><Relationship Id="rId143" Type="http://schemas.openxmlformats.org/officeDocument/2006/relationships/hyperlink" Target="https://web.archive.org/web/20201105171748/https:/www.marincounty.org/depts/rv/election-info/election-page" TargetMode="External"/><Relationship Id="rId164" Type="http://schemas.openxmlformats.org/officeDocument/2006/relationships/hyperlink" Target="https://web.archive.org/web/20201105171748/http:/www.sbcvote.com/Elections/ElectionResults.aspx" TargetMode="External"/><Relationship Id="rId185" Type="http://schemas.openxmlformats.org/officeDocument/2006/relationships/hyperlink" Target="https://web.archive.org/web/20210110095403/https:/electionresults.sos.ca.gov/returns/status" TargetMode="External"/><Relationship Id="rId9" Type="http://schemas.openxmlformats.org/officeDocument/2006/relationships/hyperlink" Target="https://web.archive.org/web/20210110095403/https:/www.cocovote.us/election/presidential-general-election-november-3-2020/" TargetMode="External"/><Relationship Id="rId210" Type="http://schemas.openxmlformats.org/officeDocument/2006/relationships/hyperlink" Target="https://web.archive.org/web/20210110095403/http:/www.co.modoc.ca.us/departments/elections/current_election.php" TargetMode="External"/><Relationship Id="rId26" Type="http://schemas.openxmlformats.org/officeDocument/2006/relationships/hyperlink" Target="https://web.archive.org/web/20210110095403/https:/www.co.merced.ca.us/3330/November-3-2020-Presidential-General-Ele" TargetMode="External"/><Relationship Id="rId231" Type="http://schemas.openxmlformats.org/officeDocument/2006/relationships/hyperlink" Target="https://web.archive.org/web/20210110095403/http:/www.sierracounty.ca.gov/216/Upcoming-Elections" TargetMode="External"/><Relationship Id="rId252" Type="http://schemas.openxmlformats.org/officeDocument/2006/relationships/hyperlink" Target="https://web.archive.org/web/20200424171200/https:/www.edcgov.us/Government/Elections" TargetMode="External"/><Relationship Id="rId273" Type="http://schemas.openxmlformats.org/officeDocument/2006/relationships/hyperlink" Target="https://web.archive.org/web/20200424171200/http:/www.ocvote.com/results/current-election-results/" TargetMode="External"/><Relationship Id="rId294" Type="http://schemas.openxmlformats.org/officeDocument/2006/relationships/hyperlink" Target="https://web.archive.org/web/20200424171200/http:/www.co.sutter.ca.us/doc/government/depts/cr/elections/cr_elections_home" TargetMode="External"/><Relationship Id="rId47" Type="http://schemas.openxmlformats.org/officeDocument/2006/relationships/hyperlink" Target="https://web.archive.org/web/20210110095403/https:/www.elections.co.shasta.ca.us/" TargetMode="External"/><Relationship Id="rId68" Type="http://schemas.openxmlformats.org/officeDocument/2006/relationships/hyperlink" Target="https://web.archive.org/web/20200424171200/https:/www.cocovote.us/election/presidential-primary-election-march-3-2020/" TargetMode="External"/><Relationship Id="rId89" Type="http://schemas.openxmlformats.org/officeDocument/2006/relationships/hyperlink" Target="https://web.archive.org/web/20200424171200/http:/www.countyofnapa.org/Elections/" TargetMode="External"/><Relationship Id="rId112" Type="http://schemas.openxmlformats.org/officeDocument/2006/relationships/hyperlink" Target="https://web.archive.org/web/20200424171200/http:/www.co.sutter.ca.us/doc/government/depts/cr/elections/cr_elections_home" TargetMode="External"/><Relationship Id="rId133" Type="http://schemas.openxmlformats.org/officeDocument/2006/relationships/hyperlink" Target="https://web.archive.org/web/20201105171748/http:/www.countyofglenn.net/dept/elections/welcome" TargetMode="External"/><Relationship Id="rId154" Type="http://schemas.openxmlformats.org/officeDocument/2006/relationships/hyperlink" Target="https://web.archive.org/web/20201105171748/http:/www.countyofplumas.com/index.aspx?NID=142" TargetMode="External"/><Relationship Id="rId175" Type="http://schemas.openxmlformats.org/officeDocument/2006/relationships/hyperlink" Target="https://web.archive.org/web/20201105171748/https:/www.trinitycounty.org/2020-General-Election" TargetMode="External"/><Relationship Id="rId196" Type="http://schemas.openxmlformats.org/officeDocument/2006/relationships/hyperlink" Target="https://web.archive.org/web/20210110095403/http:/www.countyofglenn.net/dept/elections/welcome" TargetMode="External"/><Relationship Id="rId200" Type="http://schemas.openxmlformats.org/officeDocument/2006/relationships/hyperlink" Target="https://web.archive.org/web/20210110095403/https:/www.kernvote.com/ElectionInformation/CurrentElectionInformation?ElectionID=107" TargetMode="External"/><Relationship Id="rId16" Type="http://schemas.openxmlformats.org/officeDocument/2006/relationships/hyperlink" Target="https://web.archive.org/web/20210110095403/https:/elections.inyocounty.us/" TargetMode="External"/><Relationship Id="rId221" Type="http://schemas.openxmlformats.org/officeDocument/2006/relationships/hyperlink" Target="https://web.archive.org/web/20210110095403/http:/www.sbcountyelections.com/" TargetMode="External"/><Relationship Id="rId242" Type="http://schemas.openxmlformats.org/officeDocument/2006/relationships/hyperlink" Target="https://web.archive.org/web/20210110095403/http:/www.yoloelections.org/" TargetMode="External"/><Relationship Id="rId263" Type="http://schemas.openxmlformats.org/officeDocument/2006/relationships/hyperlink" Target="https://web.archive.org/web/20200424171200/http:/votemadera.com/" TargetMode="External"/><Relationship Id="rId284" Type="http://schemas.openxmlformats.org/officeDocument/2006/relationships/hyperlink" Target="https://web.archive.org/web/20200424171200/https:/www.smcacre.org/current-election" TargetMode="External"/><Relationship Id="rId37" Type="http://schemas.openxmlformats.org/officeDocument/2006/relationships/hyperlink" Target="https://web.archive.org/web/20210110095403/http:/sbcvote.us/registrar-of-voters/" TargetMode="External"/><Relationship Id="rId58" Type="http://schemas.openxmlformats.org/officeDocument/2006/relationships/hyperlink" Target="https://web.archive.org/web/20210110095403/https:/recorder.countyofventura.org/november-3-2020-presidential-general-election/" TargetMode="External"/><Relationship Id="rId79" Type="http://schemas.openxmlformats.org/officeDocument/2006/relationships/hyperlink" Target="https://web.archive.org/web/20200424171200/http:/www.lassencounty.org/dept/county-clerk-recorder/elections" TargetMode="External"/><Relationship Id="rId102" Type="http://schemas.openxmlformats.org/officeDocument/2006/relationships/hyperlink" Target="https://web.archive.org/web/20200424171200/https:/www.smcacre.org/current-election" TargetMode="External"/><Relationship Id="rId123" Type="http://schemas.openxmlformats.org/officeDocument/2006/relationships/hyperlink" Target="https://web.archive.org/web/20201105171748/https:/www.acvote.org/election-information/elections?id=241" TargetMode="External"/><Relationship Id="rId144" Type="http://schemas.openxmlformats.org/officeDocument/2006/relationships/hyperlink" Target="https://web.archive.org/web/20201105171748/http:/www.mariposacounty.org/363/Current-Election-Information" TargetMode="External"/><Relationship Id="rId90" Type="http://schemas.openxmlformats.org/officeDocument/2006/relationships/hyperlink" Target="https://web.archive.org/web/20200424171200/https:/www.mynevadacounty.com/2853/March-3-2020-Presidential-Primary-Electi" TargetMode="External"/><Relationship Id="rId165" Type="http://schemas.openxmlformats.org/officeDocument/2006/relationships/hyperlink" Target="https://web.archive.org/web/20201105171748/https:/www.sccgov.org/sites/rov/Voting/VotingNovember2020/Pages/home.aspx" TargetMode="External"/><Relationship Id="rId186" Type="http://schemas.openxmlformats.org/officeDocument/2006/relationships/hyperlink" Target="https://web.archive.org/web/20210110095403/https:/www.acvote.org/election-information/elections?id=241" TargetMode="External"/><Relationship Id="rId211" Type="http://schemas.openxmlformats.org/officeDocument/2006/relationships/hyperlink" Target="https://web.archive.org/web/20210110095403/https:/monocounty.ca.gov/elections/page/november-3-2020-general-election" TargetMode="External"/><Relationship Id="rId232" Type="http://schemas.openxmlformats.org/officeDocument/2006/relationships/hyperlink" Target="https://web.archive.org/web/20210110095403/https:/www.co.siskiyou.ca.us/elections/page/november-3-2020-presidential-general-election" TargetMode="External"/><Relationship Id="rId253" Type="http://schemas.openxmlformats.org/officeDocument/2006/relationships/hyperlink" Target="https://web.archive.org/web/20200424171200/https:/www.co.fresno.ca.us/departments/county-clerk-registrar-of-voters/election-races/presidential-primary-election-march-3-2020" TargetMode="External"/><Relationship Id="rId274" Type="http://schemas.openxmlformats.org/officeDocument/2006/relationships/hyperlink" Target="https://web.archive.org/web/20200424171200/http:/www.placerelections.com/election-night-results.aspx" TargetMode="External"/><Relationship Id="rId295" Type="http://schemas.openxmlformats.org/officeDocument/2006/relationships/hyperlink" Target="https://web.archive.org/web/20200424171200/http:/www.co.tehama.ca.us/gov-departments/elections" TargetMode="External"/><Relationship Id="rId27" Type="http://schemas.openxmlformats.org/officeDocument/2006/relationships/hyperlink" Target="https://web.archive.org/web/20210110095403/http:/www.co.modoc.ca.us/departments/elections/current_election.php" TargetMode="External"/><Relationship Id="rId48" Type="http://schemas.openxmlformats.org/officeDocument/2006/relationships/hyperlink" Target="https://web.archive.org/web/20210110095403/http:/www.sierracounty.ca.gov/216/Upcoming-Elections" TargetMode="External"/><Relationship Id="rId69" Type="http://schemas.openxmlformats.org/officeDocument/2006/relationships/hyperlink" Target="https://web.archive.org/web/20200424171200/http:/www.co.del-norte.ca.us/departments/clerk-recorder/elections" TargetMode="External"/><Relationship Id="rId113" Type="http://schemas.openxmlformats.org/officeDocument/2006/relationships/hyperlink" Target="https://web.archive.org/web/20200424171200/http:/www.co.tehama.ca.us/gov-departments/elections" TargetMode="External"/><Relationship Id="rId134" Type="http://schemas.openxmlformats.org/officeDocument/2006/relationships/hyperlink" Target="https://web.archive.org/web/20201105171748/https:/humboldtgov.org/2663/Presidential-General-Election---November" TargetMode="External"/><Relationship Id="rId80" Type="http://schemas.openxmlformats.org/officeDocument/2006/relationships/hyperlink" Target="https://web.archive.org/web/20200424171200/http:/www.lavote.net/home/voting-elections/current-elections/election-results" TargetMode="External"/><Relationship Id="rId155" Type="http://schemas.openxmlformats.org/officeDocument/2006/relationships/hyperlink" Target="https://web.archive.org/web/20201105171748/https:/www.voteinfo.net/" TargetMode="External"/><Relationship Id="rId176" Type="http://schemas.openxmlformats.org/officeDocument/2006/relationships/hyperlink" Target="https://web.archive.org/web/20201105171748/https:/tularecoelections.org/elections/index.cfm/registrar-of-voters/current-election-information/november-3-2020-presidential-general-election/" TargetMode="External"/><Relationship Id="rId197" Type="http://schemas.openxmlformats.org/officeDocument/2006/relationships/hyperlink" Target="https://web.archive.org/web/20210110095403/https:/humboldtgov.org/2663/Presidential-General-Election---November" TargetMode="External"/><Relationship Id="rId201" Type="http://schemas.openxmlformats.org/officeDocument/2006/relationships/hyperlink" Target="https://web.archive.org/web/20210110095403/https:/www.countyofkings.com/departments/administration/elections" TargetMode="External"/><Relationship Id="rId222" Type="http://schemas.openxmlformats.org/officeDocument/2006/relationships/hyperlink" Target="https://web.archive.org/web/20210110095403/https:/www.sdvote.com/content/rov/en/elections/election_information.html" TargetMode="External"/><Relationship Id="rId243" Type="http://schemas.openxmlformats.org/officeDocument/2006/relationships/hyperlink" Target="https://web.archive.org/web/20210110095403/https:/www.yuba.org/departments/elections/current_election.php" TargetMode="External"/><Relationship Id="rId264" Type="http://schemas.openxmlformats.org/officeDocument/2006/relationships/hyperlink" Target="https://web.archive.org/web/20200424171200/https:/www.marincounty.org/depts/rv" TargetMode="External"/><Relationship Id="rId285" Type="http://schemas.openxmlformats.org/officeDocument/2006/relationships/hyperlink" Target="https://web.archive.org/web/20200424171200/http:/www.sbcvote.com/Elections/ElectionResults.aspx" TargetMode="External"/><Relationship Id="rId17" Type="http://schemas.openxmlformats.org/officeDocument/2006/relationships/hyperlink" Target="https://web.archive.org/web/20210110095403/https:/www.kernvote.com/ElectionInformation/CurrentElectionInformation?ElectionID=107" TargetMode="External"/><Relationship Id="rId38" Type="http://schemas.openxmlformats.org/officeDocument/2006/relationships/hyperlink" Target="https://web.archive.org/web/20210110095403/http:/www.sbcountyelections.com/" TargetMode="External"/><Relationship Id="rId59" Type="http://schemas.openxmlformats.org/officeDocument/2006/relationships/hyperlink" Target="https://web.archive.org/web/20210110095403/http:/www.yoloelections.org/" TargetMode="External"/><Relationship Id="rId103" Type="http://schemas.openxmlformats.org/officeDocument/2006/relationships/hyperlink" Target="https://web.archive.org/web/20200424171200/http:/www.sbcvote.com/Elections/ElectionResults.aspx" TargetMode="External"/><Relationship Id="rId124" Type="http://schemas.openxmlformats.org/officeDocument/2006/relationships/hyperlink" Target="https://web.archive.org/web/20201105171748/http:/www.alpinecountyca.gov/index.aspx?NID=388" TargetMode="External"/><Relationship Id="rId70" Type="http://schemas.openxmlformats.org/officeDocument/2006/relationships/hyperlink" Target="https://web.archive.org/web/20200424171200/https:/www.edcgov.us/Government/Elections" TargetMode="External"/><Relationship Id="rId91" Type="http://schemas.openxmlformats.org/officeDocument/2006/relationships/hyperlink" Target="https://web.archive.org/web/20200424171200/http:/www.ocvote.com/results/current-election-results/" TargetMode="External"/><Relationship Id="rId145" Type="http://schemas.openxmlformats.org/officeDocument/2006/relationships/hyperlink" Target="https://web.archive.org/web/20201105171748/https:/www.mendocinocounty.org/government/assessor-county-clerk-recorder-elections/current-election-results" TargetMode="External"/><Relationship Id="rId166" Type="http://schemas.openxmlformats.org/officeDocument/2006/relationships/hyperlink" Target="https://web.archive.org/web/20201105171748/https:/www.votescount.us/Home/UpcomingElections/November3,2020Election.aspx" TargetMode="External"/><Relationship Id="rId187" Type="http://schemas.openxmlformats.org/officeDocument/2006/relationships/hyperlink" Target="https://web.archive.org/web/20210110095403/http:/www.alpinecountyca.gov/index.aspx?NID=388" TargetMode="External"/><Relationship Id="rId1" Type="http://schemas.openxmlformats.org/officeDocument/2006/relationships/hyperlink" Target="https://web.archive.org/web/20210110095403/https:/electionresults.sos.ca.gov/returns/status" TargetMode="External"/><Relationship Id="rId212" Type="http://schemas.openxmlformats.org/officeDocument/2006/relationships/hyperlink" Target="https://web.archive.org/web/20210110095403/https:/www.montereycountyelections.us/2020-presidential-general-election/" TargetMode="External"/><Relationship Id="rId233" Type="http://schemas.openxmlformats.org/officeDocument/2006/relationships/hyperlink" Target="https://web.archive.org/web/20210110095403/https:/www.solanocounty.com/depts/rov/november_3_2020___presidential_general_election/election_results/default.asp" TargetMode="External"/><Relationship Id="rId254" Type="http://schemas.openxmlformats.org/officeDocument/2006/relationships/hyperlink" Target="https://web.archive.org/web/20200424171200/http:/www.countyofglenn.net/dept/elections/welcome" TargetMode="External"/><Relationship Id="rId28" Type="http://schemas.openxmlformats.org/officeDocument/2006/relationships/hyperlink" Target="https://web.archive.org/web/20210110095403/https:/monocounty.ca.gov/elections/page/november-3-2020-general-election" TargetMode="External"/><Relationship Id="rId49" Type="http://schemas.openxmlformats.org/officeDocument/2006/relationships/hyperlink" Target="https://web.archive.org/web/20210110095403/https:/www.co.siskiyou.ca.us/elections/page/november-3-2020-presidential-general-election" TargetMode="External"/><Relationship Id="rId114" Type="http://schemas.openxmlformats.org/officeDocument/2006/relationships/hyperlink" Target="https://web.archive.org/web/20200424171200/https:/www.trinitycounty.org/2020-Presidential-Primary" TargetMode="External"/><Relationship Id="rId275" Type="http://schemas.openxmlformats.org/officeDocument/2006/relationships/hyperlink" Target="https://web.archive.org/web/20200424171200/http:/www.countyofplumas.com/index.aspx?NID=142" TargetMode="External"/><Relationship Id="rId296" Type="http://schemas.openxmlformats.org/officeDocument/2006/relationships/hyperlink" Target="https://web.archive.org/web/20200424171200/https:/www.trinitycounty.org/2020-Presidential-Primary" TargetMode="External"/><Relationship Id="rId300" Type="http://schemas.openxmlformats.org/officeDocument/2006/relationships/hyperlink" Target="https://web.archive.org/web/20200424171200/http:/www.yoloelections.org/" TargetMode="External"/><Relationship Id="rId60" Type="http://schemas.openxmlformats.org/officeDocument/2006/relationships/hyperlink" Target="https://web.archive.org/web/20210110095403/https:/www.yuba.org/departments/elections/current_election.php" TargetMode="External"/><Relationship Id="rId81" Type="http://schemas.openxmlformats.org/officeDocument/2006/relationships/hyperlink" Target="https://web.archive.org/web/20200424171200/http:/votemadera.com/" TargetMode="External"/><Relationship Id="rId135" Type="http://schemas.openxmlformats.org/officeDocument/2006/relationships/hyperlink" Target="https://web.archive.org/web/20201105171748/https:/elections.imperialcounty.org/" TargetMode="External"/><Relationship Id="rId156" Type="http://schemas.openxmlformats.org/officeDocument/2006/relationships/hyperlink" Target="https://web.archive.org/web/20201105171748/http:/www.elections.saccounty.net/ElectionInformation/Pages/InfoUpcomingElect.aspx" TargetMode="External"/><Relationship Id="rId177" Type="http://schemas.openxmlformats.org/officeDocument/2006/relationships/hyperlink" Target="https://web.archive.org/web/20201105171748/http:/www.co.tuolumne.ca.us/index.aspx?nid=194" TargetMode="External"/><Relationship Id="rId198" Type="http://schemas.openxmlformats.org/officeDocument/2006/relationships/hyperlink" Target="https://web.archive.org/web/20210110095403/https:/elections.imperialcounty.org/" TargetMode="External"/><Relationship Id="rId202" Type="http://schemas.openxmlformats.org/officeDocument/2006/relationships/hyperlink" Target="https://web.archive.org/web/20210110095403/http:/www.lakecountyca.gov/Government/Directory/ROV.htm" TargetMode="External"/><Relationship Id="rId223" Type="http://schemas.openxmlformats.org/officeDocument/2006/relationships/hyperlink" Target="https://web.archive.org/web/20210110095403/https:/sfelections.sfgov.org/" TargetMode="External"/><Relationship Id="rId244" Type="http://schemas.openxmlformats.org/officeDocument/2006/relationships/hyperlink" Target="https://web.archive.org/web/20200424171200/https:/www.acvote.org/election-information/elections?id=240" TargetMode="External"/><Relationship Id="rId18" Type="http://schemas.openxmlformats.org/officeDocument/2006/relationships/hyperlink" Target="https://web.archive.org/web/20210110095403/https:/www.countyofkings.com/departments/administration/elections" TargetMode="External"/><Relationship Id="rId39" Type="http://schemas.openxmlformats.org/officeDocument/2006/relationships/hyperlink" Target="https://web.archive.org/web/20210110095403/https:/www.sdvote.com/content/rov/en/elections/election_information.html" TargetMode="External"/><Relationship Id="rId265" Type="http://schemas.openxmlformats.org/officeDocument/2006/relationships/hyperlink" Target="https://web.archive.org/web/20200424171200/http:/www.mariposacounty.org/index.aspx?NID=132" TargetMode="External"/><Relationship Id="rId286" Type="http://schemas.openxmlformats.org/officeDocument/2006/relationships/hyperlink" Target="https://web.archive.org/web/20200424171200/https:/www.sccgov.org/sites/rov/Voting/March2020/Pages/home.aspx" TargetMode="External"/><Relationship Id="rId50" Type="http://schemas.openxmlformats.org/officeDocument/2006/relationships/hyperlink" Target="https://web.archive.org/web/20210110095403/https:/www.solanocounty.com/depts/rov/november_3_2020___presidential_general_election/election_results/default.asp" TargetMode="External"/><Relationship Id="rId104" Type="http://schemas.openxmlformats.org/officeDocument/2006/relationships/hyperlink" Target="https://web.archive.org/web/20200424171200/https:/www.sccgov.org/sites/rov/Voting/March2020/Pages/home.aspx" TargetMode="External"/><Relationship Id="rId125" Type="http://schemas.openxmlformats.org/officeDocument/2006/relationships/hyperlink" Target="https://web.archive.org/web/20201105171748/https:/www.amadorgov.org/government/elections" TargetMode="External"/><Relationship Id="rId146" Type="http://schemas.openxmlformats.org/officeDocument/2006/relationships/hyperlink" Target="https://web.archive.org/web/20201105171748/https:/www.co.merced.ca.us/3330/November-3-2020-Presidential-General-Ele" TargetMode="External"/><Relationship Id="rId167" Type="http://schemas.openxmlformats.org/officeDocument/2006/relationships/hyperlink" Target="https://web.archive.org/web/20201105171748/https:/www.elections.co.shasta.ca.us/" TargetMode="External"/><Relationship Id="rId188" Type="http://schemas.openxmlformats.org/officeDocument/2006/relationships/hyperlink" Target="https://web.archive.org/web/20210110095403/https:/www.amadorgov.org/government/elections" TargetMode="External"/><Relationship Id="rId71" Type="http://schemas.openxmlformats.org/officeDocument/2006/relationships/hyperlink" Target="https://web.archive.org/web/20200424171200/https:/www.co.fresno.ca.us/departments/county-clerk-registrar-of-voters/election-races/presidential-primary-election-march-3-2020" TargetMode="External"/><Relationship Id="rId92" Type="http://schemas.openxmlformats.org/officeDocument/2006/relationships/hyperlink" Target="https://web.archive.org/web/20200424171200/http:/www.placerelections.com/election-night-results.aspx" TargetMode="External"/><Relationship Id="rId213" Type="http://schemas.openxmlformats.org/officeDocument/2006/relationships/hyperlink" Target="https://web.archive.org/web/20210110095403/http:/www.countyofnapa.org/Elections/" TargetMode="External"/><Relationship Id="rId234" Type="http://schemas.openxmlformats.org/officeDocument/2006/relationships/hyperlink" Target="https://web.archive.org/web/20210110095403/https:/sonomacounty.ca.gov/CRA/Registrar-of-Voters/Elections/November-3-2020-Presidential-Election/" TargetMode="External"/><Relationship Id="rId2" Type="http://schemas.openxmlformats.org/officeDocument/2006/relationships/hyperlink" Target="https://web.archive.org/web/20210110095403/https:/electionresults.sos.ca.gov/returns/status" TargetMode="External"/><Relationship Id="rId29" Type="http://schemas.openxmlformats.org/officeDocument/2006/relationships/hyperlink" Target="https://web.archive.org/web/20210110095403/https:/www.montereycountyelections.us/2020-presidential-general-election/" TargetMode="External"/><Relationship Id="rId255" Type="http://schemas.openxmlformats.org/officeDocument/2006/relationships/hyperlink" Target="https://web.archive.org/web/20200424171200/https:/humboldtgov.org/2607/Presidential-Primary-Election---March-3-" TargetMode="External"/><Relationship Id="rId276" Type="http://schemas.openxmlformats.org/officeDocument/2006/relationships/hyperlink" Target="https://web.archive.org/web/20200424171200/https:/www.voteinfo.net/" TargetMode="External"/><Relationship Id="rId297" Type="http://schemas.openxmlformats.org/officeDocument/2006/relationships/hyperlink" Target="https://web.archive.org/web/20200424171200/https:/tularecoelections.org/elections/index.cfm/registrar-of-voters/current-election-information/march-3-2020-presidential-primary-election/" TargetMode="External"/><Relationship Id="rId40" Type="http://schemas.openxmlformats.org/officeDocument/2006/relationships/hyperlink" Target="https://web.archive.org/web/20210110095403/https:/sfelections.sfgov.org/" TargetMode="External"/><Relationship Id="rId115" Type="http://schemas.openxmlformats.org/officeDocument/2006/relationships/hyperlink" Target="https://web.archive.org/web/20200424171200/https:/tularecoelections.org/elections/index.cfm/registrar-of-voters/current-election-information/march-3-2020-presidential-primary-election/" TargetMode="External"/><Relationship Id="rId136" Type="http://schemas.openxmlformats.org/officeDocument/2006/relationships/hyperlink" Target="https://web.archive.org/web/20201105171748/https:/elections.inyocounty.us/" TargetMode="External"/><Relationship Id="rId157" Type="http://schemas.openxmlformats.org/officeDocument/2006/relationships/hyperlink" Target="https://web.archive.org/web/20201105171748/http:/sbcvote.us/registrar-of-voters/" TargetMode="External"/><Relationship Id="rId178" Type="http://schemas.openxmlformats.org/officeDocument/2006/relationships/hyperlink" Target="https://web.archive.org/web/20201105171748/https:/recorder.countyofventura.org/november-3-2020-presidential-general-election/" TargetMode="External"/><Relationship Id="rId301" Type="http://schemas.openxmlformats.org/officeDocument/2006/relationships/hyperlink" Target="https://web.archive.org/web/20200424171200/https:/www.yuba.org/departments/elections/current_election.php" TargetMode="External"/><Relationship Id="rId61" Type="http://schemas.openxmlformats.org/officeDocument/2006/relationships/hyperlink" Target="https://web.archive.org/web/20210110095403/https:/electionresults.sos.ca.gov/returns/status" TargetMode="External"/><Relationship Id="rId82" Type="http://schemas.openxmlformats.org/officeDocument/2006/relationships/hyperlink" Target="https://web.archive.org/web/20200424171200/https:/www.marincounty.org/depts/rv" TargetMode="External"/><Relationship Id="rId199" Type="http://schemas.openxmlformats.org/officeDocument/2006/relationships/hyperlink" Target="https://web.archive.org/web/20210110095403/https:/elections.inyocounty.us/" TargetMode="External"/><Relationship Id="rId203" Type="http://schemas.openxmlformats.org/officeDocument/2006/relationships/hyperlink" Target="https://web.archive.org/web/20210110095403/http:/www.lassencounty.org/dept/county-clerk-recorder/elections" TargetMode="External"/><Relationship Id="rId19" Type="http://schemas.openxmlformats.org/officeDocument/2006/relationships/hyperlink" Target="https://web.archive.org/web/20210110095403/http:/www.lakecountyca.gov/Government/Directory/ROV.htm" TargetMode="External"/><Relationship Id="rId224" Type="http://schemas.openxmlformats.org/officeDocument/2006/relationships/hyperlink" Target="https://web.archive.org/web/20210110095403/https:/www.sjgov.org/department/rov/info/election_information" TargetMode="External"/><Relationship Id="rId245" Type="http://schemas.openxmlformats.org/officeDocument/2006/relationships/hyperlink" Target="https://web.archive.org/web/20200424171200/http:/www.alpinecountyca.gov/index.aspx?NID=388" TargetMode="External"/><Relationship Id="rId266" Type="http://schemas.openxmlformats.org/officeDocument/2006/relationships/hyperlink" Target="https://web.archive.org/web/20200424171200/https:/www.mendocinocounty.org/government/assessor-county-clerk-recorder-elections/current-election-results" TargetMode="External"/><Relationship Id="rId287" Type="http://schemas.openxmlformats.org/officeDocument/2006/relationships/hyperlink" Target="https://web.archive.org/web/20200424171200/https:/www.votescount.com/" TargetMode="External"/><Relationship Id="rId30" Type="http://schemas.openxmlformats.org/officeDocument/2006/relationships/hyperlink" Target="https://web.archive.org/web/20210110095403/http:/www.countyofnapa.org/Elections/" TargetMode="External"/><Relationship Id="rId105" Type="http://schemas.openxmlformats.org/officeDocument/2006/relationships/hyperlink" Target="https://web.archive.org/web/20200424171200/https:/www.votescount.com/" TargetMode="External"/><Relationship Id="rId126" Type="http://schemas.openxmlformats.org/officeDocument/2006/relationships/hyperlink" Target="https://web.archive.org/web/20201105171748/https:/clerk-recorder.buttecounty.net/elections/archives/eln44/44_eln_main.html" TargetMode="External"/><Relationship Id="rId147" Type="http://schemas.openxmlformats.org/officeDocument/2006/relationships/hyperlink" Target="https://web.archive.org/web/20201105171748/http:/www.co.modoc.ca.us/departments/elections/current_election.php" TargetMode="External"/><Relationship Id="rId168" Type="http://schemas.openxmlformats.org/officeDocument/2006/relationships/hyperlink" Target="https://web.archive.org/web/20201105171748/http:/www.sierracounty.ca.gov/216/Upcoming-Elections" TargetMode="External"/><Relationship Id="rId51" Type="http://schemas.openxmlformats.org/officeDocument/2006/relationships/hyperlink" Target="https://web.archive.org/web/20210110095403/https:/sonomacounty.ca.gov/CRA/Registrar-of-Voters/Elections/November-3-2020-Presidential-Election/" TargetMode="External"/><Relationship Id="rId72" Type="http://schemas.openxmlformats.org/officeDocument/2006/relationships/hyperlink" Target="https://web.archive.org/web/20200424171200/http:/www.countyofglenn.net/dept/elections/welcome" TargetMode="External"/><Relationship Id="rId93" Type="http://schemas.openxmlformats.org/officeDocument/2006/relationships/hyperlink" Target="https://web.archive.org/web/20200424171200/http:/www.countyofplumas.com/index.aspx?NID=142" TargetMode="External"/><Relationship Id="rId189" Type="http://schemas.openxmlformats.org/officeDocument/2006/relationships/hyperlink" Target="https://web.archive.org/web/20210110095403/https:/clerk-recorder.buttecounty.net/elections/archives/eln44/44_eln_main.html" TargetMode="External"/><Relationship Id="rId3" Type="http://schemas.openxmlformats.org/officeDocument/2006/relationships/hyperlink" Target="https://web.archive.org/web/20210110095403/https:/www.acvote.org/election-information/elections?id=241" TargetMode="External"/><Relationship Id="rId214" Type="http://schemas.openxmlformats.org/officeDocument/2006/relationships/hyperlink" Target="https://web.archive.org/web/20210110095403/https:/www.mynevadacounty.com/2922/November-3-2020-Presidential-General-Ele" TargetMode="External"/><Relationship Id="rId235" Type="http://schemas.openxmlformats.org/officeDocument/2006/relationships/hyperlink" Target="https://web.archive.org/web/20210110095403/https:/www.stanvote.com/election.shtm" TargetMode="External"/><Relationship Id="rId256" Type="http://schemas.openxmlformats.org/officeDocument/2006/relationships/hyperlink" Target="https://web.archive.org/web/20200424171200/http:/www.co.imperial.ca.us/regvoters/index.asp?fileinc=results" TargetMode="External"/><Relationship Id="rId277" Type="http://schemas.openxmlformats.org/officeDocument/2006/relationships/hyperlink" Target="https://web.archive.org/web/20200424171200/http:/www.elections.saccounty.net/ElectionInformation/Pages/InfoUpcomingElect.aspx" TargetMode="External"/><Relationship Id="rId298" Type="http://schemas.openxmlformats.org/officeDocument/2006/relationships/hyperlink" Target="https://web.archive.org/web/20200424171200/http:/www.co.tuolumne.ca.us/index.aspx?nid=194" TargetMode="External"/><Relationship Id="rId116" Type="http://schemas.openxmlformats.org/officeDocument/2006/relationships/hyperlink" Target="https://web.archive.org/web/20200424171200/http:/www.co.tuolumne.ca.us/index.aspx?nid=194" TargetMode="External"/><Relationship Id="rId137" Type="http://schemas.openxmlformats.org/officeDocument/2006/relationships/hyperlink" Target="https://web.archive.org/web/20201105171748/https:/www.kernvote.com/ElectionInformation/CurrentElectionInformation?ElectionID=107" TargetMode="External"/><Relationship Id="rId158" Type="http://schemas.openxmlformats.org/officeDocument/2006/relationships/hyperlink" Target="https://web.archive.org/web/20201105171748/http:/www.sbcountyelections.com/" TargetMode="External"/><Relationship Id="rId20" Type="http://schemas.openxmlformats.org/officeDocument/2006/relationships/hyperlink" Target="https://web.archive.org/web/20210110095403/http:/www.lassencounty.org/dept/county-clerk-recorder/elections" TargetMode="External"/><Relationship Id="rId41" Type="http://schemas.openxmlformats.org/officeDocument/2006/relationships/hyperlink" Target="https://web.archive.org/web/20210110095403/https:/www.sjgov.org/department/rov/info/election_information" TargetMode="External"/><Relationship Id="rId62" Type="http://schemas.openxmlformats.org/officeDocument/2006/relationships/hyperlink" Target="https://web.archive.org/web/20200424171200/https:/www.acvote.org/election-information/elections?id=240" TargetMode="External"/><Relationship Id="rId83" Type="http://schemas.openxmlformats.org/officeDocument/2006/relationships/hyperlink" Target="https://web.archive.org/web/20200424171200/http:/www.mariposacounty.org/index.aspx?NID=132" TargetMode="External"/><Relationship Id="rId179" Type="http://schemas.openxmlformats.org/officeDocument/2006/relationships/hyperlink" Target="https://web.archive.org/web/20201105171748/http:/www.yoloelections.org/" TargetMode="External"/><Relationship Id="rId190" Type="http://schemas.openxmlformats.org/officeDocument/2006/relationships/hyperlink" Target="https://web.archive.org/web/20210110095403/http:/elections.calaverasgov.us/Results" TargetMode="External"/><Relationship Id="rId204" Type="http://schemas.openxmlformats.org/officeDocument/2006/relationships/hyperlink" Target="https://web.archive.org/web/20210110095403/https:/www.lavote.net/home/voting-elections/current-elections/upcoming-elections" TargetMode="External"/><Relationship Id="rId225" Type="http://schemas.openxmlformats.org/officeDocument/2006/relationships/hyperlink" Target="https://web.archive.org/web/20210110095403/https:/www.slocounty.ca.gov/Departments/Clerk-Recorder/All-Services/Elections-and-Voting/Elections-Conducted-by-County-of-San-Luis-Obispo/November-3,-2020-Presidential-General-Election.aspx" TargetMode="External"/><Relationship Id="rId246" Type="http://schemas.openxmlformats.org/officeDocument/2006/relationships/hyperlink" Target="https://web.archive.org/web/20200424171200/https:/www.amadorgov.org/government/elections" TargetMode="External"/><Relationship Id="rId267" Type="http://schemas.openxmlformats.org/officeDocument/2006/relationships/hyperlink" Target="https://web.archive.org/web/20200424171200/https:/www.co.merced.ca.us/3212/March-3-2020-Presidential-Primary-Electi" TargetMode="External"/><Relationship Id="rId288" Type="http://schemas.openxmlformats.org/officeDocument/2006/relationships/hyperlink" Target="https://web.archive.org/web/20200424171200/https:/www.elections.co.shasta.ca.us/presidental-primary-election-march-3-2020/" TargetMode="External"/><Relationship Id="rId106" Type="http://schemas.openxmlformats.org/officeDocument/2006/relationships/hyperlink" Target="https://web.archive.org/web/20200424171200/https:/www.elections.co.shasta.ca.us/presidental-primary-election-march-3-2020/" TargetMode="External"/><Relationship Id="rId127" Type="http://schemas.openxmlformats.org/officeDocument/2006/relationships/hyperlink" Target="https://web.archive.org/web/20201105171748/http:/elections.calaverasgov.us/Results" TargetMode="External"/><Relationship Id="rId10" Type="http://schemas.openxmlformats.org/officeDocument/2006/relationships/hyperlink" Target="https://web.archive.org/web/20210110095403/http:/www.co.del-norte.ca.us/departments/clerk-recorder/elections" TargetMode="External"/><Relationship Id="rId31" Type="http://schemas.openxmlformats.org/officeDocument/2006/relationships/hyperlink" Target="https://web.archive.org/web/20210110095403/https:/www.mynevadacounty.com/2922/November-3-2020-Presidential-General-Ele" TargetMode="External"/><Relationship Id="rId52" Type="http://schemas.openxmlformats.org/officeDocument/2006/relationships/hyperlink" Target="https://web.archive.org/web/20210110095403/https:/www.stanvote.com/election.shtm" TargetMode="External"/><Relationship Id="rId73" Type="http://schemas.openxmlformats.org/officeDocument/2006/relationships/hyperlink" Target="https://web.archive.org/web/20200424171200/https:/humboldtgov.org/2607/Presidential-Primary-Election---March-3-" TargetMode="External"/><Relationship Id="rId94" Type="http://schemas.openxmlformats.org/officeDocument/2006/relationships/hyperlink" Target="https://web.archive.org/web/20200424171200/https:/www.voteinfo.net/" TargetMode="External"/><Relationship Id="rId148" Type="http://schemas.openxmlformats.org/officeDocument/2006/relationships/hyperlink" Target="https://web.archive.org/web/20201105171748/https:/monocounty.ca.gov/elections/page/november-3-2020-general-election" TargetMode="External"/><Relationship Id="rId169" Type="http://schemas.openxmlformats.org/officeDocument/2006/relationships/hyperlink" Target="https://web.archive.org/web/20201105171748/https:/www.co.siskiyou.ca.us/elections/page/november-3-2020-presidential-general-election" TargetMode="External"/><Relationship Id="rId4" Type="http://schemas.openxmlformats.org/officeDocument/2006/relationships/hyperlink" Target="https://web.archive.org/web/20210110095403/http:/www.alpinecountyca.gov/index.aspx?NID=388" TargetMode="External"/><Relationship Id="rId180" Type="http://schemas.openxmlformats.org/officeDocument/2006/relationships/hyperlink" Target="https://web.archive.org/web/20201105171748/https:/www.yuba.org/departments/elections/current_election.php" TargetMode="External"/><Relationship Id="rId215" Type="http://schemas.openxmlformats.org/officeDocument/2006/relationships/hyperlink" Target="https://web.archive.org/web/20210110095403/http:/www.ocvote.com/results/current-election-results/" TargetMode="External"/><Relationship Id="rId236" Type="http://schemas.openxmlformats.org/officeDocument/2006/relationships/hyperlink" Target="https://web.archive.org/web/20210110095403/http:/www.co.sutter.ca.us/doc/government/depts/cr/elections/cr_elections_home" TargetMode="External"/><Relationship Id="rId257" Type="http://schemas.openxmlformats.org/officeDocument/2006/relationships/hyperlink" Target="https://web.archive.org/web/20200424171200/http:/elections.inyocounty.us/p/election-results.html" TargetMode="External"/><Relationship Id="rId278" Type="http://schemas.openxmlformats.org/officeDocument/2006/relationships/hyperlink" Target="https://web.archive.org/web/20200424171200/http:/sbcvote.us/registrar-of-voters/" TargetMode="External"/><Relationship Id="rId42" Type="http://schemas.openxmlformats.org/officeDocument/2006/relationships/hyperlink" Target="https://web.archive.org/web/20210110095403/https:/www.slocounty.ca.gov/Departments/Clerk-Recorder/All-Services/Elections-and-Voting/Elections-Conducted-by-County-of-San-Luis-Obispo/November-3,-2020-Presidential-General-Election.aspx" TargetMode="External"/><Relationship Id="rId84" Type="http://schemas.openxmlformats.org/officeDocument/2006/relationships/hyperlink" Target="https://web.archive.org/web/20200424171200/https:/www.mendocinocounty.org/government/assessor-county-clerk-recorder-elections/current-election-results" TargetMode="External"/><Relationship Id="rId138" Type="http://schemas.openxmlformats.org/officeDocument/2006/relationships/hyperlink" Target="https://web.archive.org/web/20201105171748/https:/www.countyofkings.com/departments/administration/elections" TargetMode="External"/><Relationship Id="rId191" Type="http://schemas.openxmlformats.org/officeDocument/2006/relationships/hyperlink" Target="https://web.archive.org/web/20210110095403/http:/www.countyofcolusa.org/index.aspx?NID=197" TargetMode="External"/><Relationship Id="rId205" Type="http://schemas.openxmlformats.org/officeDocument/2006/relationships/hyperlink" Target="https://web.archive.org/web/20210110095403/http:/votemadera.com/" TargetMode="External"/><Relationship Id="rId247" Type="http://schemas.openxmlformats.org/officeDocument/2006/relationships/hyperlink" Target="https://web.archive.org/web/20200424171200/https:/clerk-recorder.buttecounty.net/elections/archives/eln44/44_eln_main.html" TargetMode="External"/><Relationship Id="rId107" Type="http://schemas.openxmlformats.org/officeDocument/2006/relationships/hyperlink" Target="https://web.archive.org/web/20200424171200/http:/www.sierracounty.ca.gov/216/Upcoming-Elections" TargetMode="External"/><Relationship Id="rId289" Type="http://schemas.openxmlformats.org/officeDocument/2006/relationships/hyperlink" Target="https://web.archive.org/web/20200424171200/http:/www.sierracounty.ca.gov/216/Upcoming-Elections" TargetMode="External"/><Relationship Id="rId11" Type="http://schemas.openxmlformats.org/officeDocument/2006/relationships/hyperlink" Target="https://web.archive.org/web/20210110095403/https:/www.edcgov.us/Government/Elections" TargetMode="External"/><Relationship Id="rId53" Type="http://schemas.openxmlformats.org/officeDocument/2006/relationships/hyperlink" Target="https://web.archive.org/web/20210110095403/http:/www.co.sutter.ca.us/doc/government/depts/cr/elections/cr_elections_home" TargetMode="External"/><Relationship Id="rId149" Type="http://schemas.openxmlformats.org/officeDocument/2006/relationships/hyperlink" Target="https://web.archive.org/web/20201105171748/https:/www.montereycountyelections.us/2020-presidential-general-election/" TargetMode="External"/><Relationship Id="rId95" Type="http://schemas.openxmlformats.org/officeDocument/2006/relationships/hyperlink" Target="https://web.archive.org/web/20200424171200/http:/www.elections.saccounty.net/ElectionInformation/Pages/InfoUpcomingElect.aspx" TargetMode="External"/><Relationship Id="rId160" Type="http://schemas.openxmlformats.org/officeDocument/2006/relationships/hyperlink" Target="https://web.archive.org/web/20201105171748/https:/sfelections.sfgov.org/" TargetMode="External"/><Relationship Id="rId216" Type="http://schemas.openxmlformats.org/officeDocument/2006/relationships/hyperlink" Target="https://web.archive.org/web/20210110095403/http:/www.placerelections.com/election-night-results.aspx" TargetMode="External"/><Relationship Id="rId258" Type="http://schemas.openxmlformats.org/officeDocument/2006/relationships/hyperlink" Target="https://web.archive.org/web/20200424171200/https:/www.kernvote.com/ElectionInformation/CurrentElectionInformation?ElectionID=102" TargetMode="External"/><Relationship Id="rId22" Type="http://schemas.openxmlformats.org/officeDocument/2006/relationships/hyperlink" Target="https://web.archive.org/web/20210110095403/http:/votemadera.com/" TargetMode="External"/><Relationship Id="rId64" Type="http://schemas.openxmlformats.org/officeDocument/2006/relationships/hyperlink" Target="https://web.archive.org/web/20200424171200/https:/www.amadorgov.org/government/elections" TargetMode="External"/><Relationship Id="rId118" Type="http://schemas.openxmlformats.org/officeDocument/2006/relationships/hyperlink" Target="https://web.archive.org/web/20200424171200/http:/www.yoloelections.org/" TargetMode="External"/><Relationship Id="rId171" Type="http://schemas.openxmlformats.org/officeDocument/2006/relationships/hyperlink" Target="https://web.archive.org/web/20201105171748/https:/sonomacounty.ca.gov/CRA/Registrar-of-Voters/Elections/November-3-2020-Presidential-Election/" TargetMode="External"/><Relationship Id="rId227" Type="http://schemas.openxmlformats.org/officeDocument/2006/relationships/hyperlink" Target="https://web.archive.org/web/20210110095403/http:/www.sbcvote.com/Elections/ElectionResults.aspx" TargetMode="External"/><Relationship Id="rId269" Type="http://schemas.openxmlformats.org/officeDocument/2006/relationships/hyperlink" Target="https://web.archive.org/web/20200424171200/https:/monocounty.ca.gov/elections/page/march-3-2020-presidential-primary-election" TargetMode="External"/><Relationship Id="rId33" Type="http://schemas.openxmlformats.org/officeDocument/2006/relationships/hyperlink" Target="https://web.archive.org/web/20210110095403/http:/www.placerelections.com/election-night-results.aspx" TargetMode="External"/><Relationship Id="rId129" Type="http://schemas.openxmlformats.org/officeDocument/2006/relationships/hyperlink" Target="https://web.archive.org/web/20201105171748/https:/www.cocovote.us/election/presidential-general-election-november-3-2020/" TargetMode="External"/><Relationship Id="rId280" Type="http://schemas.openxmlformats.org/officeDocument/2006/relationships/hyperlink" Target="https://web.archive.org/web/20200424171200/https:/www.sdvote.com/content/rov/en/elections/election_information.html" TargetMode="External"/><Relationship Id="rId75" Type="http://schemas.openxmlformats.org/officeDocument/2006/relationships/hyperlink" Target="https://web.archive.org/web/20200424171200/http:/elections.inyocounty.us/p/election-results.html" TargetMode="External"/><Relationship Id="rId140" Type="http://schemas.openxmlformats.org/officeDocument/2006/relationships/hyperlink" Target="https://web.archive.org/web/20201105171748/http:/www.lassencounty.org/dept/county-clerk-recorder/elections" TargetMode="External"/><Relationship Id="rId182" Type="http://schemas.openxmlformats.org/officeDocument/2006/relationships/hyperlink" Target="https://web.archive.org/web/20200305070323/https:/electionresults.sos.ca.gov/returns/statu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CC13-6E9B-43EA-AABB-A67286FC8D46}">
  <sheetPr>
    <tabColor rgb="FF002060"/>
  </sheetPr>
  <dimension ref="A1:N45"/>
  <sheetViews>
    <sheetView tabSelected="1" workbookViewId="0"/>
  </sheetViews>
  <sheetFormatPr defaultRowHeight="15.6"/>
  <cols>
    <col min="1" max="1" width="6.125" style="94" customWidth="1"/>
    <col min="2" max="2" width="6" style="94" customWidth="1"/>
    <col min="3" max="16384" width="9" style="94"/>
  </cols>
  <sheetData>
    <row r="1" spans="1:14">
      <c r="A1" s="93" t="s">
        <v>8773</v>
      </c>
      <c r="B1" s="93"/>
    </row>
    <row r="2" spans="1:14">
      <c r="A2" s="93" t="s">
        <v>8732</v>
      </c>
      <c r="B2" s="93"/>
    </row>
    <row r="3" spans="1:14">
      <c r="A3" s="93" t="s">
        <v>8734</v>
      </c>
      <c r="B3" s="93"/>
    </row>
    <row r="4" spans="1:14">
      <c r="A4" s="93" t="s">
        <v>8733</v>
      </c>
      <c r="B4" s="93"/>
    </row>
    <row r="5" spans="1:14">
      <c r="A5" s="93"/>
      <c r="B5" s="93" t="s">
        <v>8731</v>
      </c>
    </row>
    <row r="6" spans="1:14">
      <c r="A6" s="93"/>
      <c r="B6" s="93" t="s">
        <v>8730</v>
      </c>
    </row>
    <row r="7" spans="1:14">
      <c r="A7" s="93"/>
      <c r="B7" s="93" t="s">
        <v>8098</v>
      </c>
    </row>
    <row r="8" spans="1:14">
      <c r="C8" s="94" t="s">
        <v>5975</v>
      </c>
      <c r="N8" s="95"/>
    </row>
    <row r="9" spans="1:14">
      <c r="C9" s="94" t="s">
        <v>5984</v>
      </c>
    </row>
    <row r="10" spans="1:14">
      <c r="C10" s="94" t="s">
        <v>5976</v>
      </c>
    </row>
    <row r="11" spans="1:14">
      <c r="D11" s="94" t="s">
        <v>5985</v>
      </c>
    </row>
    <row r="12" spans="1:14">
      <c r="D12" s="94" t="s">
        <v>5978</v>
      </c>
    </row>
    <row r="13" spans="1:14">
      <c r="C13" s="94" t="s">
        <v>5977</v>
      </c>
    </row>
    <row r="14" spans="1:14">
      <c r="C14" s="94" t="s">
        <v>5979</v>
      </c>
    </row>
    <row r="15" spans="1:14" s="96" customFormat="1">
      <c r="B15" s="96" t="s">
        <v>8087</v>
      </c>
    </row>
    <row r="16" spans="1:14">
      <c r="B16" s="93" t="s">
        <v>8094</v>
      </c>
    </row>
    <row r="17" spans="2:4">
      <c r="B17" s="93"/>
      <c r="C17" s="94" t="s">
        <v>8088</v>
      </c>
    </row>
    <row r="18" spans="2:4">
      <c r="C18" s="94" t="s">
        <v>8089</v>
      </c>
    </row>
    <row r="19" spans="2:4">
      <c r="C19" s="396" t="s">
        <v>8090</v>
      </c>
    </row>
    <row r="20" spans="2:4">
      <c r="C20" s="396" t="s">
        <v>8091</v>
      </c>
    </row>
    <row r="21" spans="2:4">
      <c r="D21" s="94" t="s">
        <v>8092</v>
      </c>
    </row>
    <row r="22" spans="2:4">
      <c r="D22" s="94" t="s">
        <v>5981</v>
      </c>
    </row>
    <row r="23" spans="2:4">
      <c r="D23" s="94" t="s">
        <v>5980</v>
      </c>
    </row>
    <row r="24" spans="2:4">
      <c r="D24" s="94" t="s">
        <v>5983</v>
      </c>
    </row>
    <row r="25" spans="2:4">
      <c r="D25" s="94" t="s">
        <v>5982</v>
      </c>
    </row>
    <row r="26" spans="2:4">
      <c r="D26" s="94" t="s">
        <v>8093</v>
      </c>
    </row>
    <row r="27" spans="2:4">
      <c r="C27" s="94" t="s">
        <v>8097</v>
      </c>
    </row>
    <row r="28" spans="2:4">
      <c r="C28" s="94" t="s">
        <v>8086</v>
      </c>
    </row>
    <row r="29" spans="2:4">
      <c r="C29" s="94" t="s">
        <v>8095</v>
      </c>
    </row>
    <row r="30" spans="2:4">
      <c r="D30" s="94" t="s">
        <v>8096</v>
      </c>
    </row>
    <row r="31" spans="2:4">
      <c r="C31" s="396" t="s">
        <v>8419</v>
      </c>
    </row>
    <row r="33" spans="1:3" s="96" customFormat="1">
      <c r="B33" s="96" t="s">
        <v>8414</v>
      </c>
    </row>
    <row r="34" spans="1:3">
      <c r="B34" s="93" t="s">
        <v>8415</v>
      </c>
    </row>
    <row r="35" spans="1:3">
      <c r="C35" s="94" t="s">
        <v>8416</v>
      </c>
    </row>
    <row r="37" spans="1:3">
      <c r="A37" s="93" t="s">
        <v>6311</v>
      </c>
    </row>
    <row r="38" spans="1:3">
      <c r="A38" s="94" t="s">
        <v>6475</v>
      </c>
    </row>
    <row r="40" spans="1:3">
      <c r="A40" s="94" t="s">
        <v>6968</v>
      </c>
    </row>
    <row r="41" spans="1:3">
      <c r="A41" s="94" t="s">
        <v>6969</v>
      </c>
    </row>
    <row r="42" spans="1:3">
      <c r="A42" s="94" t="s">
        <v>6970</v>
      </c>
    </row>
    <row r="43" spans="1:3">
      <c r="A43" s="94" t="s">
        <v>6971</v>
      </c>
    </row>
    <row r="44" spans="1:3">
      <c r="A44" s="94" t="s">
        <v>6973</v>
      </c>
    </row>
    <row r="45" spans="1:3">
      <c r="A45" s="94" t="s">
        <v>6972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46DDD-E0D5-4F89-B427-BAAA08448211}">
  <sheetPr>
    <tabColor rgb="FF006400"/>
  </sheetPr>
  <dimension ref="A1:P308"/>
  <sheetViews>
    <sheetView workbookViewId="0">
      <pane ySplit="1" topLeftCell="A2" activePane="bottomLeft" state="frozen"/>
      <selection pane="bottomLeft" activeCell="C2" sqref="C2"/>
    </sheetView>
  </sheetViews>
  <sheetFormatPr defaultRowHeight="13.8"/>
  <cols>
    <col min="1" max="1" width="4.375" customWidth="1"/>
    <col min="2" max="2" width="10.5" customWidth="1"/>
    <col min="3" max="3" width="60.5" style="7" customWidth="1"/>
    <col min="4" max="4" width="13" customWidth="1"/>
    <col min="5" max="6" width="8" customWidth="1"/>
    <col min="7" max="7" width="60.25" customWidth="1"/>
  </cols>
  <sheetData>
    <row r="1" spans="1:12" s="249" customFormat="1" ht="27.6">
      <c r="A1" s="249">
        <v>1</v>
      </c>
      <c r="B1" s="249" t="str">
        <f t="shared" ref="B1:B64" si="0">LEFT(C1,MAX(5,FIND(" ",C1)))</f>
        <v xml:space="preserve">2020G </v>
      </c>
      <c r="C1" s="335" t="s">
        <v>7707</v>
      </c>
      <c r="D1" s="249" t="s">
        <v>6982</v>
      </c>
      <c r="E1" s="336" t="s">
        <v>6983</v>
      </c>
      <c r="F1" s="336" t="s">
        <v>6984</v>
      </c>
      <c r="G1" s="336" t="s">
        <v>6981</v>
      </c>
      <c r="H1" s="249" t="s">
        <v>6985</v>
      </c>
      <c r="I1" s="330" t="s">
        <v>7706</v>
      </c>
    </row>
    <row r="2" spans="1:12">
      <c r="A2">
        <v>2</v>
      </c>
      <c r="B2" s="330" t="str">
        <f t="shared" si="0"/>
        <v xml:space="preserve"> </v>
      </c>
      <c r="C2" s="332" t="s">
        <v>6986</v>
      </c>
      <c r="G2" s="331" t="s">
        <v>6986</v>
      </c>
    </row>
    <row r="3" spans="1:12">
      <c r="A3">
        <v>4</v>
      </c>
      <c r="B3" s="330" t="str">
        <f t="shared" si="0"/>
        <v xml:space="preserve">Adams </v>
      </c>
      <c r="C3" s="332" t="s">
        <v>6987</v>
      </c>
      <c r="D3" s="333" t="s">
        <v>6014</v>
      </c>
      <c r="F3">
        <f>IF(H3=H2,"",1)</f>
        <v>1</v>
      </c>
      <c r="G3" s="331" t="s">
        <v>6988</v>
      </c>
      <c r="H3" t="s">
        <v>6989</v>
      </c>
      <c r="I3" s="331" t="s">
        <v>6990</v>
      </c>
      <c r="J3" s="331" t="s">
        <v>6991</v>
      </c>
    </row>
    <row r="4" spans="1:12">
      <c r="A4">
        <v>5</v>
      </c>
      <c r="B4" s="330" t="str">
        <f t="shared" si="0"/>
        <v xml:space="preserve">Adams </v>
      </c>
      <c r="C4" s="332" t="s">
        <v>6992</v>
      </c>
      <c r="D4" s="333" t="s">
        <v>6015</v>
      </c>
      <c r="F4">
        <f t="shared" ref="F4:F67" si="1">IF(H4=H3,"",1)</f>
        <v>1</v>
      </c>
      <c r="G4" s="331" t="s">
        <v>6993</v>
      </c>
      <c r="H4" t="s">
        <v>6994</v>
      </c>
      <c r="I4" s="331" t="s">
        <v>6995</v>
      </c>
      <c r="J4" s="331" t="s">
        <v>6991</v>
      </c>
    </row>
    <row r="5" spans="1:12">
      <c r="A5">
        <v>6</v>
      </c>
      <c r="B5" s="330" t="str">
        <f t="shared" si="0"/>
        <v xml:space="preserve">Adams </v>
      </c>
      <c r="C5" s="332" t="s">
        <v>6996</v>
      </c>
      <c r="D5" s="333" t="s">
        <v>6016</v>
      </c>
      <c r="F5">
        <f t="shared" si="1"/>
        <v>1</v>
      </c>
      <c r="G5" s="331" t="s">
        <v>6997</v>
      </c>
      <c r="H5" t="s">
        <v>6998</v>
      </c>
      <c r="I5" s="331" t="s">
        <v>6990</v>
      </c>
      <c r="J5" s="331" t="s">
        <v>6999</v>
      </c>
      <c r="K5" s="331" t="s">
        <v>7000</v>
      </c>
      <c r="L5" s="331" t="s">
        <v>6991</v>
      </c>
    </row>
    <row r="6" spans="1:12">
      <c r="A6">
        <v>7</v>
      </c>
      <c r="B6" s="330" t="str">
        <f t="shared" si="0"/>
        <v xml:space="preserve">Arapahoe </v>
      </c>
      <c r="C6" s="332" t="s">
        <v>7001</v>
      </c>
      <c r="D6" s="333" t="s">
        <v>6016</v>
      </c>
      <c r="F6">
        <f t="shared" si="1"/>
        <v>1</v>
      </c>
      <c r="G6" s="331" t="s">
        <v>7002</v>
      </c>
      <c r="H6" s="331" t="s">
        <v>7003</v>
      </c>
      <c r="I6" s="331" t="s">
        <v>7004</v>
      </c>
      <c r="J6" s="331" t="s">
        <v>6999</v>
      </c>
      <c r="K6" s="331" t="s">
        <v>7005</v>
      </c>
      <c r="L6" s="331" t="s">
        <v>6991</v>
      </c>
    </row>
    <row r="7" spans="1:12">
      <c r="A7">
        <v>8</v>
      </c>
      <c r="B7" s="330" t="str">
        <f t="shared" si="0"/>
        <v xml:space="preserve">Arapahoe </v>
      </c>
      <c r="C7" s="332" t="s">
        <v>7006</v>
      </c>
      <c r="D7" s="333" t="s">
        <v>6016</v>
      </c>
      <c r="F7">
        <f t="shared" si="1"/>
        <v>1</v>
      </c>
      <c r="G7" s="331" t="s">
        <v>7007</v>
      </c>
      <c r="H7" s="331" t="s">
        <v>7008</v>
      </c>
      <c r="I7" s="331" t="s">
        <v>7009</v>
      </c>
      <c r="J7" s="331" t="s">
        <v>6999</v>
      </c>
      <c r="K7" s="331" t="s">
        <v>7010</v>
      </c>
      <c r="L7" s="331" t="s">
        <v>6991</v>
      </c>
    </row>
    <row r="8" spans="1:12">
      <c r="A8">
        <v>9</v>
      </c>
      <c r="B8" s="330" t="str">
        <f t="shared" si="0"/>
        <v xml:space="preserve">Arapahoe </v>
      </c>
      <c r="C8" s="334" t="s">
        <v>7011</v>
      </c>
      <c r="D8" s="333" t="s">
        <v>6016</v>
      </c>
      <c r="E8" s="333" t="s">
        <v>7012</v>
      </c>
      <c r="F8">
        <f t="shared" si="1"/>
        <v>1</v>
      </c>
      <c r="G8" s="331" t="s">
        <v>7013</v>
      </c>
      <c r="H8" s="331" t="s">
        <v>7014</v>
      </c>
      <c r="I8" s="331" t="s">
        <v>7015</v>
      </c>
      <c r="J8" s="331" t="s">
        <v>6999</v>
      </c>
      <c r="K8" s="331" t="s">
        <v>6995</v>
      </c>
      <c r="L8" s="331" t="s">
        <v>6991</v>
      </c>
    </row>
    <row r="9" spans="1:12">
      <c r="A9">
        <v>10</v>
      </c>
      <c r="B9" s="330" t="str">
        <f t="shared" si="0"/>
        <v xml:space="preserve">Arapahoe </v>
      </c>
      <c r="C9" s="332" t="s">
        <v>7016</v>
      </c>
      <c r="D9" s="333" t="s">
        <v>6016</v>
      </c>
      <c r="F9">
        <f t="shared" si="1"/>
        <v>1</v>
      </c>
      <c r="G9" s="331" t="s">
        <v>7002</v>
      </c>
      <c r="H9" s="331" t="s">
        <v>7017</v>
      </c>
      <c r="I9" s="331" t="s">
        <v>7005</v>
      </c>
      <c r="J9" s="331" t="s">
        <v>6999</v>
      </c>
      <c r="K9" s="331" t="s">
        <v>7004</v>
      </c>
      <c r="L9" s="331" t="s">
        <v>6991</v>
      </c>
    </row>
    <row r="10" spans="1:12">
      <c r="A10">
        <v>11</v>
      </c>
      <c r="B10" s="330" t="str">
        <f t="shared" si="0"/>
        <v xml:space="preserve">Arapahoe </v>
      </c>
      <c r="C10" s="332" t="s">
        <v>7018</v>
      </c>
      <c r="D10" s="333" t="s">
        <v>6016</v>
      </c>
      <c r="F10">
        <f t="shared" si="1"/>
        <v>1</v>
      </c>
      <c r="G10" s="331" t="s">
        <v>7019</v>
      </c>
      <c r="H10" s="331" t="s">
        <v>7020</v>
      </c>
      <c r="I10" s="331" t="s">
        <v>6990</v>
      </c>
      <c r="J10" s="331" t="s">
        <v>6999</v>
      </c>
      <c r="K10" s="331" t="s">
        <v>7000</v>
      </c>
      <c r="L10" s="331" t="s">
        <v>6991</v>
      </c>
    </row>
    <row r="11" spans="1:12">
      <c r="A11">
        <v>12</v>
      </c>
      <c r="B11" s="330" t="str">
        <f t="shared" si="0"/>
        <v xml:space="preserve">Archuleta </v>
      </c>
      <c r="C11" s="332" t="s">
        <v>7021</v>
      </c>
      <c r="D11" s="333" t="s">
        <v>6014</v>
      </c>
      <c r="F11">
        <f t="shared" si="1"/>
        <v>1</v>
      </c>
      <c r="G11" s="331" t="s">
        <v>7022</v>
      </c>
      <c r="H11" s="331" t="s">
        <v>7023</v>
      </c>
      <c r="I11" s="331" t="s">
        <v>7015</v>
      </c>
      <c r="J11" s="331" t="s">
        <v>6991</v>
      </c>
    </row>
    <row r="12" spans="1:12">
      <c r="A12">
        <v>13</v>
      </c>
      <c r="B12" s="330" t="str">
        <f t="shared" si="0"/>
        <v xml:space="preserve">Archuleta </v>
      </c>
      <c r="C12" s="332" t="s">
        <v>7024</v>
      </c>
      <c r="D12" s="333" t="s">
        <v>6014</v>
      </c>
      <c r="F12" t="str">
        <f t="shared" si="1"/>
        <v/>
      </c>
      <c r="G12" s="331" t="s">
        <v>7025</v>
      </c>
      <c r="H12" s="331" t="s">
        <v>7023</v>
      </c>
      <c r="I12" s="331" t="s">
        <v>7026</v>
      </c>
      <c r="J12" s="331" t="s">
        <v>6991</v>
      </c>
    </row>
    <row r="13" spans="1:12">
      <c r="A13">
        <v>14</v>
      </c>
      <c r="B13" s="330" t="str">
        <f t="shared" si="0"/>
        <v xml:space="preserve">Archuleta </v>
      </c>
      <c r="C13" s="334" t="s">
        <v>7027</v>
      </c>
      <c r="D13" s="333" t="s">
        <v>6014</v>
      </c>
      <c r="E13" s="333" t="s">
        <v>7012</v>
      </c>
      <c r="F13" t="str">
        <f t="shared" si="1"/>
        <v/>
      </c>
      <c r="G13" s="331" t="s">
        <v>7028</v>
      </c>
      <c r="H13" s="331" t="s">
        <v>7023</v>
      </c>
      <c r="I13" s="331" t="s">
        <v>7029</v>
      </c>
      <c r="J13" s="331" t="s">
        <v>6991</v>
      </c>
    </row>
    <row r="14" spans="1:12">
      <c r="A14">
        <v>15</v>
      </c>
      <c r="B14" s="330" t="str">
        <f t="shared" si="0"/>
        <v xml:space="preserve">Archuleta </v>
      </c>
      <c r="C14" s="332" t="s">
        <v>7030</v>
      </c>
      <c r="D14" s="333" t="s">
        <v>6014</v>
      </c>
      <c r="F14" t="str">
        <f t="shared" si="1"/>
        <v/>
      </c>
      <c r="G14" s="331" t="s">
        <v>7031</v>
      </c>
      <c r="H14" s="331" t="s">
        <v>7023</v>
      </c>
      <c r="I14" s="331" t="s">
        <v>7032</v>
      </c>
      <c r="J14" s="331" t="s">
        <v>6991</v>
      </c>
    </row>
    <row r="15" spans="1:12">
      <c r="A15">
        <v>16</v>
      </c>
      <c r="B15" s="330" t="str">
        <f t="shared" si="0"/>
        <v xml:space="preserve">Archuleta </v>
      </c>
      <c r="C15" s="332" t="s">
        <v>7033</v>
      </c>
      <c r="D15" s="333" t="s">
        <v>6014</v>
      </c>
      <c r="F15" t="str">
        <f t="shared" si="1"/>
        <v/>
      </c>
      <c r="G15" s="331" t="s">
        <v>7034</v>
      </c>
      <c r="H15" s="331" t="s">
        <v>7023</v>
      </c>
      <c r="I15" s="331" t="s">
        <v>7035</v>
      </c>
      <c r="J15" s="331" t="s">
        <v>6991</v>
      </c>
    </row>
    <row r="16" spans="1:12">
      <c r="A16">
        <v>17</v>
      </c>
      <c r="B16" s="330" t="str">
        <f t="shared" si="0"/>
        <v xml:space="preserve">Archuleta </v>
      </c>
      <c r="C16" s="332" t="s">
        <v>7036</v>
      </c>
      <c r="D16" s="333" t="s">
        <v>6014</v>
      </c>
      <c r="F16" t="str">
        <f t="shared" si="1"/>
        <v/>
      </c>
      <c r="G16" s="331" t="s">
        <v>7037</v>
      </c>
      <c r="H16" s="331" t="s">
        <v>7023</v>
      </c>
      <c r="I16" s="331" t="s">
        <v>7000</v>
      </c>
      <c r="J16" s="331" t="s">
        <v>6991</v>
      </c>
    </row>
    <row r="17" spans="1:16">
      <c r="A17">
        <v>18</v>
      </c>
      <c r="B17" s="330" t="str">
        <f t="shared" si="0"/>
        <v xml:space="preserve">Archuleta </v>
      </c>
      <c r="C17" s="332" t="s">
        <v>7038</v>
      </c>
      <c r="D17" s="333" t="s">
        <v>6014</v>
      </c>
      <c r="F17" t="str">
        <f t="shared" si="1"/>
        <v/>
      </c>
      <c r="G17" s="331" t="s">
        <v>7039</v>
      </c>
      <c r="H17" s="331" t="s">
        <v>7023</v>
      </c>
      <c r="I17" s="331" t="s">
        <v>7015</v>
      </c>
      <c r="J17" s="331" t="s">
        <v>6991</v>
      </c>
    </row>
    <row r="18" spans="1:16">
      <c r="A18">
        <v>19</v>
      </c>
      <c r="B18" s="330" t="str">
        <f t="shared" si="0"/>
        <v xml:space="preserve">Archuleta </v>
      </c>
      <c r="C18" s="332" t="s">
        <v>7040</v>
      </c>
      <c r="D18" s="333" t="s">
        <v>6014</v>
      </c>
      <c r="F18" t="str">
        <f t="shared" si="1"/>
        <v/>
      </c>
      <c r="G18" s="331" t="s">
        <v>7041</v>
      </c>
      <c r="H18" s="331" t="s">
        <v>7023</v>
      </c>
      <c r="I18" s="331" t="s">
        <v>6995</v>
      </c>
      <c r="J18" s="331" t="s">
        <v>6991</v>
      </c>
    </row>
    <row r="19" spans="1:16">
      <c r="A19">
        <v>20</v>
      </c>
      <c r="B19" s="330" t="str">
        <f t="shared" si="0"/>
        <v xml:space="preserve">Archuleta </v>
      </c>
      <c r="C19" s="332" t="s">
        <v>7042</v>
      </c>
      <c r="D19" s="333" t="s">
        <v>6014</v>
      </c>
      <c r="F19" t="str">
        <f t="shared" si="1"/>
        <v/>
      </c>
      <c r="G19" s="331" t="s">
        <v>7043</v>
      </c>
      <c r="H19" s="331" t="s">
        <v>7023</v>
      </c>
      <c r="I19" s="331" t="s">
        <v>7044</v>
      </c>
      <c r="J19" s="331" t="s">
        <v>6991</v>
      </c>
    </row>
    <row r="20" spans="1:16">
      <c r="A20">
        <v>21</v>
      </c>
      <c r="B20" s="330" t="str">
        <f t="shared" si="0"/>
        <v xml:space="preserve">Baca </v>
      </c>
      <c r="C20" s="332" t="s">
        <v>7045</v>
      </c>
      <c r="D20" s="333" t="s">
        <v>6018</v>
      </c>
      <c r="F20">
        <f t="shared" si="1"/>
        <v>1</v>
      </c>
      <c r="G20" s="331" t="s">
        <v>7046</v>
      </c>
      <c r="H20" s="331" t="s">
        <v>7047</v>
      </c>
      <c r="I20" s="331" t="s">
        <v>7048</v>
      </c>
      <c r="J20" s="331" t="s">
        <v>7049</v>
      </c>
      <c r="K20" s="331" t="s">
        <v>7050</v>
      </c>
      <c r="L20" s="331" t="s">
        <v>6999</v>
      </c>
      <c r="M20" s="331" t="s">
        <v>7051</v>
      </c>
      <c r="N20" s="331" t="s">
        <v>7049</v>
      </c>
      <c r="O20" s="331" t="s">
        <v>7050</v>
      </c>
      <c r="P20" s="331" t="s">
        <v>6991</v>
      </c>
    </row>
    <row r="21" spans="1:16">
      <c r="A21">
        <v>22</v>
      </c>
      <c r="B21" s="330" t="str">
        <f t="shared" si="0"/>
        <v xml:space="preserve">Baca </v>
      </c>
      <c r="C21" s="332" t="s">
        <v>7052</v>
      </c>
      <c r="D21" s="333" t="s">
        <v>6018</v>
      </c>
      <c r="F21">
        <f t="shared" si="1"/>
        <v>1</v>
      </c>
      <c r="G21" s="331" t="s">
        <v>7046</v>
      </c>
      <c r="H21" s="331" t="s">
        <v>7053</v>
      </c>
      <c r="I21" s="331" t="s">
        <v>7048</v>
      </c>
      <c r="J21" s="331" t="s">
        <v>7049</v>
      </c>
      <c r="K21" s="331" t="s">
        <v>7050</v>
      </c>
      <c r="L21" s="331" t="s">
        <v>6999</v>
      </c>
      <c r="M21" s="331" t="s">
        <v>7051</v>
      </c>
      <c r="N21" s="331" t="s">
        <v>7049</v>
      </c>
      <c r="O21" s="331" t="s">
        <v>7050</v>
      </c>
      <c r="P21" s="331" t="s">
        <v>6991</v>
      </c>
    </row>
    <row r="22" spans="1:16">
      <c r="A22">
        <v>23</v>
      </c>
      <c r="B22" s="330" t="str">
        <f t="shared" si="0"/>
        <v xml:space="preserve">Baca </v>
      </c>
      <c r="C22" s="332" t="s">
        <v>7054</v>
      </c>
      <c r="D22" s="333" t="s">
        <v>6018</v>
      </c>
      <c r="F22">
        <f t="shared" si="1"/>
        <v>1</v>
      </c>
      <c r="G22" s="331" t="s">
        <v>7046</v>
      </c>
      <c r="H22" s="331" t="s">
        <v>7055</v>
      </c>
      <c r="I22" s="331" t="s">
        <v>7048</v>
      </c>
      <c r="J22" s="331" t="s">
        <v>7049</v>
      </c>
      <c r="K22" s="331" t="s">
        <v>7050</v>
      </c>
      <c r="L22" s="331" t="s">
        <v>6999</v>
      </c>
      <c r="M22" s="331" t="s">
        <v>7051</v>
      </c>
      <c r="N22" s="331" t="s">
        <v>7049</v>
      </c>
      <c r="O22" s="331" t="s">
        <v>7050</v>
      </c>
      <c r="P22" s="331" t="s">
        <v>6991</v>
      </c>
    </row>
    <row r="23" spans="1:16">
      <c r="A23">
        <v>24</v>
      </c>
      <c r="B23" s="330" t="str">
        <f t="shared" si="0"/>
        <v xml:space="preserve">Baca </v>
      </c>
      <c r="C23" s="332" t="s">
        <v>7056</v>
      </c>
      <c r="D23" s="333" t="s">
        <v>6018</v>
      </c>
      <c r="F23">
        <f t="shared" si="1"/>
        <v>1</v>
      </c>
      <c r="G23" s="331" t="s">
        <v>7046</v>
      </c>
      <c r="H23" s="331" t="s">
        <v>7057</v>
      </c>
      <c r="I23" s="331" t="s">
        <v>7048</v>
      </c>
      <c r="J23" s="331" t="s">
        <v>7049</v>
      </c>
      <c r="K23" s="331" t="s">
        <v>7050</v>
      </c>
      <c r="L23" s="331" t="s">
        <v>6999</v>
      </c>
      <c r="M23" s="331" t="s">
        <v>7051</v>
      </c>
      <c r="N23" s="331" t="s">
        <v>7049</v>
      </c>
      <c r="O23" s="331" t="s">
        <v>7050</v>
      </c>
      <c r="P23" s="331" t="s">
        <v>6991</v>
      </c>
    </row>
    <row r="24" spans="1:16">
      <c r="A24">
        <v>25</v>
      </c>
      <c r="B24" s="330" t="str">
        <f t="shared" si="0"/>
        <v xml:space="preserve">Baca </v>
      </c>
      <c r="C24" s="332" t="s">
        <v>7058</v>
      </c>
      <c r="D24" s="333" t="s">
        <v>6018</v>
      </c>
      <c r="F24">
        <f t="shared" si="1"/>
        <v>1</v>
      </c>
      <c r="G24" s="331" t="s">
        <v>7046</v>
      </c>
      <c r="H24" s="331" t="s">
        <v>7059</v>
      </c>
      <c r="I24" s="331" t="s">
        <v>7048</v>
      </c>
      <c r="J24" s="331" t="s">
        <v>7049</v>
      </c>
      <c r="K24" s="331" t="s">
        <v>7050</v>
      </c>
      <c r="L24" s="331" t="s">
        <v>6999</v>
      </c>
      <c r="M24" s="331" t="s">
        <v>7051</v>
      </c>
      <c r="N24" s="331" t="s">
        <v>7049</v>
      </c>
      <c r="O24" s="331" t="s">
        <v>7050</v>
      </c>
      <c r="P24" s="331" t="s">
        <v>6991</v>
      </c>
    </row>
    <row r="25" spans="1:16">
      <c r="A25">
        <v>26</v>
      </c>
      <c r="B25" s="330" t="str">
        <f t="shared" si="0"/>
        <v xml:space="preserve">Baca </v>
      </c>
      <c r="C25" s="332" t="s">
        <v>7060</v>
      </c>
      <c r="D25" s="333" t="s">
        <v>6018</v>
      </c>
      <c r="F25">
        <f t="shared" si="1"/>
        <v>1</v>
      </c>
      <c r="G25" s="331" t="s">
        <v>7046</v>
      </c>
      <c r="H25" s="331" t="s">
        <v>7061</v>
      </c>
      <c r="I25" s="331" t="s">
        <v>7048</v>
      </c>
      <c r="J25" s="331" t="s">
        <v>7049</v>
      </c>
      <c r="K25" s="331" t="s">
        <v>7050</v>
      </c>
      <c r="L25" s="331" t="s">
        <v>6999</v>
      </c>
      <c r="M25" s="331" t="s">
        <v>7051</v>
      </c>
      <c r="N25" s="331" t="s">
        <v>7049</v>
      </c>
      <c r="O25" s="331" t="s">
        <v>7050</v>
      </c>
      <c r="P25" s="331" t="s">
        <v>6991</v>
      </c>
    </row>
    <row r="26" spans="1:16">
      <c r="A26">
        <v>27</v>
      </c>
      <c r="B26" s="330" t="str">
        <f t="shared" si="0"/>
        <v xml:space="preserve">Baca </v>
      </c>
      <c r="C26" s="332" t="s">
        <v>7062</v>
      </c>
      <c r="D26" s="333" t="s">
        <v>6018</v>
      </c>
      <c r="F26">
        <f t="shared" si="1"/>
        <v>1</v>
      </c>
      <c r="G26" s="331" t="s">
        <v>7046</v>
      </c>
      <c r="H26" s="331" t="s">
        <v>7063</v>
      </c>
      <c r="I26" s="331" t="s">
        <v>7048</v>
      </c>
      <c r="J26" s="331" t="s">
        <v>7049</v>
      </c>
      <c r="K26" s="331" t="s">
        <v>7050</v>
      </c>
      <c r="L26" s="331" t="s">
        <v>6999</v>
      </c>
      <c r="M26" s="331" t="s">
        <v>7051</v>
      </c>
      <c r="N26" s="331" t="s">
        <v>7049</v>
      </c>
      <c r="O26" s="331" t="s">
        <v>7050</v>
      </c>
      <c r="P26" s="331" t="s">
        <v>6991</v>
      </c>
    </row>
    <row r="27" spans="1:16">
      <c r="A27">
        <v>28</v>
      </c>
      <c r="B27" s="330" t="str">
        <f t="shared" si="0"/>
        <v xml:space="preserve">Baca </v>
      </c>
      <c r="C27" s="332" t="s">
        <v>7064</v>
      </c>
      <c r="D27" s="333" t="s">
        <v>6018</v>
      </c>
      <c r="F27">
        <f t="shared" si="1"/>
        <v>1</v>
      </c>
      <c r="G27" s="331" t="s">
        <v>7046</v>
      </c>
      <c r="H27" s="331" t="s">
        <v>7065</v>
      </c>
      <c r="I27" s="331" t="s">
        <v>7048</v>
      </c>
      <c r="J27" s="331" t="s">
        <v>7049</v>
      </c>
      <c r="K27" s="331" t="s">
        <v>7050</v>
      </c>
      <c r="L27" s="331" t="s">
        <v>6999</v>
      </c>
      <c r="M27" s="331" t="s">
        <v>7051</v>
      </c>
      <c r="N27" s="331" t="s">
        <v>7049</v>
      </c>
      <c r="O27" s="331" t="s">
        <v>7050</v>
      </c>
      <c r="P27" s="331" t="s">
        <v>6991</v>
      </c>
    </row>
    <row r="28" spans="1:16">
      <c r="A28">
        <v>29</v>
      </c>
      <c r="B28" s="330" t="str">
        <f t="shared" si="0"/>
        <v xml:space="preserve">Baca </v>
      </c>
      <c r="C28" s="332" t="s">
        <v>7066</v>
      </c>
      <c r="D28" s="333" t="s">
        <v>6018</v>
      </c>
      <c r="F28">
        <f t="shared" si="1"/>
        <v>1</v>
      </c>
      <c r="G28" s="331" t="s">
        <v>7046</v>
      </c>
      <c r="H28" s="331" t="s">
        <v>7067</v>
      </c>
      <c r="I28" s="331" t="s">
        <v>7048</v>
      </c>
      <c r="J28" s="331" t="s">
        <v>7049</v>
      </c>
      <c r="K28" s="331" t="s">
        <v>7050</v>
      </c>
      <c r="L28" s="331" t="s">
        <v>6999</v>
      </c>
      <c r="M28" s="331" t="s">
        <v>7051</v>
      </c>
      <c r="N28" s="331" t="s">
        <v>7049</v>
      </c>
      <c r="O28" s="331" t="s">
        <v>7050</v>
      </c>
      <c r="P28" s="331" t="s">
        <v>6991</v>
      </c>
    </row>
    <row r="29" spans="1:16">
      <c r="A29">
        <v>30</v>
      </c>
      <c r="B29" s="330" t="str">
        <f t="shared" si="0"/>
        <v xml:space="preserve">Baca </v>
      </c>
      <c r="C29" s="332" t="s">
        <v>7068</v>
      </c>
      <c r="D29" s="333" t="s">
        <v>6018</v>
      </c>
      <c r="F29">
        <f t="shared" si="1"/>
        <v>1</v>
      </c>
      <c r="G29" s="331" t="s">
        <v>7046</v>
      </c>
      <c r="H29" s="331" t="s">
        <v>7069</v>
      </c>
      <c r="I29" s="331" t="s">
        <v>7048</v>
      </c>
      <c r="J29" s="331" t="s">
        <v>7049</v>
      </c>
      <c r="K29" s="331" t="s">
        <v>7050</v>
      </c>
      <c r="L29" s="331" t="s">
        <v>6999</v>
      </c>
      <c r="M29" s="331" t="s">
        <v>7051</v>
      </c>
      <c r="N29" s="331" t="s">
        <v>7049</v>
      </c>
      <c r="O29" s="331" t="s">
        <v>7050</v>
      </c>
      <c r="P29" s="331" t="s">
        <v>6991</v>
      </c>
    </row>
    <row r="30" spans="1:16">
      <c r="A30">
        <v>31</v>
      </c>
      <c r="B30" s="330" t="str">
        <f t="shared" si="0"/>
        <v xml:space="preserve">Baca </v>
      </c>
      <c r="C30" s="332" t="s">
        <v>7070</v>
      </c>
      <c r="D30" s="333" t="s">
        <v>6018</v>
      </c>
      <c r="F30">
        <f t="shared" si="1"/>
        <v>1</v>
      </c>
      <c r="G30" s="331" t="s">
        <v>7046</v>
      </c>
      <c r="H30" s="331" t="s">
        <v>7071</v>
      </c>
      <c r="I30" s="331" t="s">
        <v>7048</v>
      </c>
      <c r="J30" s="331" t="s">
        <v>7049</v>
      </c>
      <c r="K30" s="331" t="s">
        <v>7050</v>
      </c>
      <c r="L30" s="331" t="s">
        <v>6999</v>
      </c>
      <c r="M30" s="331" t="s">
        <v>7051</v>
      </c>
      <c r="N30" s="331" t="s">
        <v>7049</v>
      </c>
      <c r="O30" s="331" t="s">
        <v>7050</v>
      </c>
      <c r="P30" s="331" t="s">
        <v>6991</v>
      </c>
    </row>
    <row r="31" spans="1:16">
      <c r="A31">
        <v>32</v>
      </c>
      <c r="B31" s="330" t="str">
        <f t="shared" si="0"/>
        <v xml:space="preserve">Baca </v>
      </c>
      <c r="C31" s="332" t="s">
        <v>7072</v>
      </c>
      <c r="D31" s="333" t="s">
        <v>6018</v>
      </c>
      <c r="F31">
        <f t="shared" si="1"/>
        <v>1</v>
      </c>
      <c r="G31" s="331" t="s">
        <v>7046</v>
      </c>
      <c r="H31" s="331" t="s">
        <v>7073</v>
      </c>
      <c r="I31" s="331" t="s">
        <v>7048</v>
      </c>
      <c r="J31" s="331" t="s">
        <v>7049</v>
      </c>
      <c r="K31" s="331" t="s">
        <v>7050</v>
      </c>
      <c r="L31" s="331" t="s">
        <v>6999</v>
      </c>
      <c r="M31" s="331" t="s">
        <v>7051</v>
      </c>
      <c r="N31" s="331" t="s">
        <v>7049</v>
      </c>
      <c r="O31" s="331" t="s">
        <v>7050</v>
      </c>
      <c r="P31" s="331" t="s">
        <v>6991</v>
      </c>
    </row>
    <row r="32" spans="1:16">
      <c r="A32">
        <v>33</v>
      </c>
      <c r="B32" s="330" t="str">
        <f t="shared" si="0"/>
        <v xml:space="preserve">Baca </v>
      </c>
      <c r="C32" s="332" t="s">
        <v>7074</v>
      </c>
      <c r="D32" s="333" t="s">
        <v>6018</v>
      </c>
      <c r="F32">
        <f t="shared" si="1"/>
        <v>1</v>
      </c>
      <c r="G32" s="331" t="s">
        <v>7046</v>
      </c>
      <c r="H32" s="331" t="s">
        <v>7075</v>
      </c>
      <c r="I32" s="331" t="s">
        <v>7048</v>
      </c>
      <c r="J32" s="331" t="s">
        <v>7049</v>
      </c>
      <c r="K32" s="331" t="s">
        <v>7050</v>
      </c>
      <c r="L32" s="331" t="s">
        <v>6999</v>
      </c>
      <c r="M32" s="331" t="s">
        <v>7051</v>
      </c>
      <c r="N32" s="331" t="s">
        <v>7049</v>
      </c>
      <c r="O32" s="331" t="s">
        <v>7050</v>
      </c>
      <c r="P32" s="331" t="s">
        <v>6991</v>
      </c>
    </row>
    <row r="33" spans="1:16">
      <c r="A33">
        <v>34</v>
      </c>
      <c r="B33" s="330" t="str">
        <f t="shared" si="0"/>
        <v xml:space="preserve">Baca </v>
      </c>
      <c r="C33" s="332" t="s">
        <v>7076</v>
      </c>
      <c r="D33" s="333" t="s">
        <v>6018</v>
      </c>
      <c r="F33">
        <f t="shared" si="1"/>
        <v>1</v>
      </c>
      <c r="G33" s="331" t="s">
        <v>7046</v>
      </c>
      <c r="H33" s="331" t="s">
        <v>7077</v>
      </c>
      <c r="I33" s="331" t="s">
        <v>7048</v>
      </c>
      <c r="J33" s="331" t="s">
        <v>7049</v>
      </c>
      <c r="K33" s="331" t="s">
        <v>7050</v>
      </c>
      <c r="L33" s="331" t="s">
        <v>6999</v>
      </c>
      <c r="M33" s="331" t="s">
        <v>7051</v>
      </c>
      <c r="N33" s="331" t="s">
        <v>7049</v>
      </c>
      <c r="O33" s="331" t="s">
        <v>7050</v>
      </c>
      <c r="P33" s="331" t="s">
        <v>6991</v>
      </c>
    </row>
    <row r="34" spans="1:16">
      <c r="A34">
        <v>35</v>
      </c>
      <c r="B34" s="330" t="str">
        <f t="shared" si="0"/>
        <v xml:space="preserve">Baca </v>
      </c>
      <c r="C34" s="332" t="s">
        <v>7078</v>
      </c>
      <c r="D34" s="333" t="s">
        <v>6018</v>
      </c>
      <c r="F34">
        <f t="shared" si="1"/>
        <v>1</v>
      </c>
      <c r="G34" s="331" t="s">
        <v>7046</v>
      </c>
      <c r="H34" s="331" t="s">
        <v>7079</v>
      </c>
      <c r="I34" s="331" t="s">
        <v>7048</v>
      </c>
      <c r="J34" s="331" t="s">
        <v>7049</v>
      </c>
      <c r="K34" s="331" t="s">
        <v>7050</v>
      </c>
      <c r="L34" s="331" t="s">
        <v>6999</v>
      </c>
      <c r="M34" s="331" t="s">
        <v>7051</v>
      </c>
      <c r="N34" s="331" t="s">
        <v>7049</v>
      </c>
      <c r="O34" s="331" t="s">
        <v>7050</v>
      </c>
      <c r="P34" s="331" t="s">
        <v>6991</v>
      </c>
    </row>
    <row r="35" spans="1:16">
      <c r="A35">
        <v>36</v>
      </c>
      <c r="B35" s="330" t="str">
        <f t="shared" si="0"/>
        <v xml:space="preserve">Baca </v>
      </c>
      <c r="C35" s="332" t="s">
        <v>7080</v>
      </c>
      <c r="D35" s="333" t="s">
        <v>6018</v>
      </c>
      <c r="F35">
        <f t="shared" si="1"/>
        <v>1</v>
      </c>
      <c r="G35" s="331" t="s">
        <v>7046</v>
      </c>
      <c r="H35" s="331" t="s">
        <v>7081</v>
      </c>
      <c r="I35" s="331" t="s">
        <v>7048</v>
      </c>
      <c r="J35" s="331" t="s">
        <v>7049</v>
      </c>
      <c r="K35" s="331" t="s">
        <v>7050</v>
      </c>
      <c r="L35" s="331" t="s">
        <v>6999</v>
      </c>
      <c r="M35" s="331" t="s">
        <v>7051</v>
      </c>
      <c r="N35" s="331" t="s">
        <v>7049</v>
      </c>
      <c r="O35" s="331" t="s">
        <v>7050</v>
      </c>
      <c r="P35" s="331" t="s">
        <v>6991</v>
      </c>
    </row>
    <row r="36" spans="1:16">
      <c r="A36">
        <v>37</v>
      </c>
      <c r="B36" s="330" t="str">
        <f t="shared" si="0"/>
        <v xml:space="preserve">Baca </v>
      </c>
      <c r="C36" s="332" t="s">
        <v>7082</v>
      </c>
      <c r="D36" s="333" t="s">
        <v>6018</v>
      </c>
      <c r="F36">
        <f t="shared" si="1"/>
        <v>1</v>
      </c>
      <c r="G36" s="331" t="s">
        <v>7046</v>
      </c>
      <c r="H36" s="331" t="s">
        <v>7083</v>
      </c>
      <c r="I36" s="331" t="s">
        <v>7048</v>
      </c>
      <c r="J36" s="331" t="s">
        <v>7049</v>
      </c>
      <c r="K36" s="331" t="s">
        <v>7050</v>
      </c>
      <c r="L36" s="331" t="s">
        <v>6999</v>
      </c>
      <c r="M36" s="331" t="s">
        <v>7051</v>
      </c>
      <c r="N36" s="331" t="s">
        <v>7049</v>
      </c>
      <c r="O36" s="331" t="s">
        <v>7050</v>
      </c>
      <c r="P36" s="331" t="s">
        <v>6991</v>
      </c>
    </row>
    <row r="37" spans="1:16">
      <c r="A37">
        <v>38</v>
      </c>
      <c r="B37" s="330" t="str">
        <f t="shared" si="0"/>
        <v xml:space="preserve">Baca </v>
      </c>
      <c r="C37" s="332" t="s">
        <v>7084</v>
      </c>
      <c r="D37" s="333" t="s">
        <v>6018</v>
      </c>
      <c r="F37">
        <f t="shared" si="1"/>
        <v>1</v>
      </c>
      <c r="G37" s="331" t="s">
        <v>7046</v>
      </c>
      <c r="H37" s="331" t="s">
        <v>7085</v>
      </c>
      <c r="I37" s="331" t="s">
        <v>7048</v>
      </c>
      <c r="J37" s="331" t="s">
        <v>7049</v>
      </c>
      <c r="K37" s="331" t="s">
        <v>7050</v>
      </c>
      <c r="L37" s="331" t="s">
        <v>6999</v>
      </c>
      <c r="M37" s="331" t="s">
        <v>7051</v>
      </c>
      <c r="N37" s="331" t="s">
        <v>7049</v>
      </c>
      <c r="O37" s="331" t="s">
        <v>7050</v>
      </c>
      <c r="P37" s="331" t="s">
        <v>6991</v>
      </c>
    </row>
    <row r="38" spans="1:16">
      <c r="A38">
        <v>39</v>
      </c>
      <c r="B38" s="330" t="str">
        <f t="shared" si="0"/>
        <v xml:space="preserve">Baca </v>
      </c>
      <c r="C38" s="332" t="s">
        <v>7086</v>
      </c>
      <c r="D38" s="333" t="s">
        <v>6018</v>
      </c>
      <c r="F38">
        <f t="shared" si="1"/>
        <v>1</v>
      </c>
      <c r="G38" s="331" t="s">
        <v>7046</v>
      </c>
      <c r="H38" s="331" t="s">
        <v>7087</v>
      </c>
      <c r="I38" s="331" t="s">
        <v>7048</v>
      </c>
      <c r="J38" s="331" t="s">
        <v>7049</v>
      </c>
      <c r="K38" s="331" t="s">
        <v>7050</v>
      </c>
      <c r="L38" s="331" t="s">
        <v>6999</v>
      </c>
      <c r="M38" s="331" t="s">
        <v>7051</v>
      </c>
      <c r="N38" s="331" t="s">
        <v>7049</v>
      </c>
      <c r="O38" s="331" t="s">
        <v>7050</v>
      </c>
      <c r="P38" s="331" t="s">
        <v>6991</v>
      </c>
    </row>
    <row r="39" spans="1:16">
      <c r="A39">
        <v>40</v>
      </c>
      <c r="B39" s="330" t="str">
        <f t="shared" si="0"/>
        <v xml:space="preserve">Baca </v>
      </c>
      <c r="C39" s="332" t="s">
        <v>7088</v>
      </c>
      <c r="D39" s="333" t="s">
        <v>6018</v>
      </c>
      <c r="F39">
        <f t="shared" si="1"/>
        <v>1</v>
      </c>
      <c r="G39" s="331" t="s">
        <v>7046</v>
      </c>
      <c r="H39" s="331" t="s">
        <v>7089</v>
      </c>
      <c r="I39" s="331" t="s">
        <v>7048</v>
      </c>
      <c r="J39" s="331" t="s">
        <v>7049</v>
      </c>
      <c r="K39" s="331" t="s">
        <v>7050</v>
      </c>
      <c r="L39" s="331" t="s">
        <v>6999</v>
      </c>
      <c r="M39" s="331" t="s">
        <v>7051</v>
      </c>
      <c r="N39" s="331" t="s">
        <v>7049</v>
      </c>
      <c r="O39" s="331" t="s">
        <v>7050</v>
      </c>
      <c r="P39" s="331" t="s">
        <v>6991</v>
      </c>
    </row>
    <row r="40" spans="1:16">
      <c r="A40">
        <v>41</v>
      </c>
      <c r="B40" s="330" t="str">
        <f t="shared" si="0"/>
        <v xml:space="preserve">Baca </v>
      </c>
      <c r="C40" s="332" t="s">
        <v>7090</v>
      </c>
      <c r="D40" s="333" t="s">
        <v>6018</v>
      </c>
      <c r="F40">
        <f t="shared" si="1"/>
        <v>1</v>
      </c>
      <c r="G40" s="331" t="s">
        <v>7046</v>
      </c>
      <c r="H40" s="331" t="s">
        <v>7091</v>
      </c>
      <c r="I40" s="331" t="s">
        <v>7048</v>
      </c>
      <c r="J40" s="331" t="s">
        <v>7049</v>
      </c>
      <c r="K40" s="331" t="s">
        <v>7050</v>
      </c>
      <c r="L40" s="331" t="s">
        <v>6999</v>
      </c>
      <c r="M40" s="331" t="s">
        <v>7051</v>
      </c>
      <c r="N40" s="331" t="s">
        <v>7049</v>
      </c>
      <c r="O40" s="331" t="s">
        <v>7050</v>
      </c>
      <c r="P40" s="331" t="s">
        <v>6991</v>
      </c>
    </row>
    <row r="41" spans="1:16">
      <c r="A41">
        <v>42</v>
      </c>
      <c r="B41" s="330" t="str">
        <f t="shared" si="0"/>
        <v xml:space="preserve">Baca </v>
      </c>
      <c r="C41" s="332" t="s">
        <v>7092</v>
      </c>
      <c r="D41" s="333" t="s">
        <v>6018</v>
      </c>
      <c r="F41">
        <f t="shared" si="1"/>
        <v>1</v>
      </c>
      <c r="G41" s="331" t="s">
        <v>7046</v>
      </c>
      <c r="H41" s="331" t="s">
        <v>7093</v>
      </c>
      <c r="I41" s="331" t="s">
        <v>7048</v>
      </c>
      <c r="J41" s="331" t="s">
        <v>7049</v>
      </c>
      <c r="K41" s="331" t="s">
        <v>7050</v>
      </c>
      <c r="L41" s="331" t="s">
        <v>6999</v>
      </c>
      <c r="M41" s="331" t="s">
        <v>7051</v>
      </c>
      <c r="N41" s="331" t="s">
        <v>7049</v>
      </c>
      <c r="O41" s="331" t="s">
        <v>7050</v>
      </c>
      <c r="P41" s="331" t="s">
        <v>6991</v>
      </c>
    </row>
    <row r="42" spans="1:16">
      <c r="A42">
        <v>43</v>
      </c>
      <c r="B42" s="330" t="str">
        <f t="shared" si="0"/>
        <v xml:space="preserve">Baca </v>
      </c>
      <c r="C42" s="332" t="s">
        <v>7094</v>
      </c>
      <c r="D42" s="333" t="s">
        <v>6018</v>
      </c>
      <c r="F42">
        <f t="shared" si="1"/>
        <v>1</v>
      </c>
      <c r="G42" s="331" t="s">
        <v>7046</v>
      </c>
      <c r="H42" s="331" t="s">
        <v>7095</v>
      </c>
      <c r="I42" s="331" t="s">
        <v>7048</v>
      </c>
      <c r="J42" s="331" t="s">
        <v>7049</v>
      </c>
      <c r="K42" s="331" t="s">
        <v>7050</v>
      </c>
      <c r="L42" s="331" t="s">
        <v>6999</v>
      </c>
      <c r="M42" s="331" t="s">
        <v>7051</v>
      </c>
      <c r="N42" s="331" t="s">
        <v>7049</v>
      </c>
      <c r="O42" s="331" t="s">
        <v>7050</v>
      </c>
      <c r="P42" s="331" t="s">
        <v>6991</v>
      </c>
    </row>
    <row r="43" spans="1:16">
      <c r="A43">
        <v>45</v>
      </c>
      <c r="B43" s="330" t="str">
        <f t="shared" si="0"/>
        <v xml:space="preserve">Boulder </v>
      </c>
      <c r="C43" s="332" t="s">
        <v>7096</v>
      </c>
      <c r="D43" s="333" t="s">
        <v>6014</v>
      </c>
      <c r="F43">
        <f t="shared" si="1"/>
        <v>1</v>
      </c>
      <c r="G43" s="331" t="s">
        <v>7097</v>
      </c>
      <c r="H43" s="331" t="s">
        <v>7098</v>
      </c>
      <c r="I43" s="331" t="s">
        <v>6990</v>
      </c>
      <c r="J43" s="331" t="s">
        <v>6991</v>
      </c>
    </row>
    <row r="44" spans="1:16">
      <c r="A44">
        <v>52</v>
      </c>
      <c r="B44" s="330" t="str">
        <f t="shared" si="0"/>
        <v xml:space="preserve">Boulder </v>
      </c>
      <c r="C44" s="332" t="s">
        <v>7099</v>
      </c>
      <c r="D44" s="333" t="s">
        <v>6014</v>
      </c>
      <c r="F44">
        <f t="shared" si="1"/>
        <v>1</v>
      </c>
      <c r="G44" s="331" t="s">
        <v>7100</v>
      </c>
      <c r="H44" s="331" t="s">
        <v>7101</v>
      </c>
      <c r="I44" s="331" t="s">
        <v>7015</v>
      </c>
      <c r="J44" s="331" t="s">
        <v>6991</v>
      </c>
    </row>
    <row r="45" spans="1:16">
      <c r="A45">
        <v>53</v>
      </c>
      <c r="B45" s="330" t="str">
        <f t="shared" si="0"/>
        <v xml:space="preserve">Boulder </v>
      </c>
      <c r="C45" s="332" t="s">
        <v>7102</v>
      </c>
      <c r="D45" s="333" t="s">
        <v>6016</v>
      </c>
      <c r="F45">
        <f t="shared" si="1"/>
        <v>1</v>
      </c>
      <c r="G45" s="331" t="s">
        <v>7103</v>
      </c>
      <c r="H45" s="331" t="s">
        <v>7104</v>
      </c>
      <c r="I45" s="331" t="s">
        <v>7105</v>
      </c>
      <c r="J45" s="331" t="s">
        <v>6991</v>
      </c>
    </row>
    <row r="46" spans="1:16">
      <c r="A46">
        <v>54</v>
      </c>
      <c r="B46" s="330" t="str">
        <f t="shared" si="0"/>
        <v xml:space="preserve">Boulder </v>
      </c>
      <c r="C46" s="332" t="s">
        <v>7106</v>
      </c>
      <c r="D46" s="333" t="s">
        <v>6016</v>
      </c>
      <c r="F46">
        <f t="shared" si="1"/>
        <v>1</v>
      </c>
      <c r="G46" s="331" t="s">
        <v>7103</v>
      </c>
      <c r="H46" s="331" t="s">
        <v>7107</v>
      </c>
      <c r="I46" s="331" t="s">
        <v>7105</v>
      </c>
      <c r="J46" s="331" t="s">
        <v>6991</v>
      </c>
    </row>
    <row r="47" spans="1:16">
      <c r="A47">
        <v>55</v>
      </c>
      <c r="B47" s="330" t="str">
        <f t="shared" si="0"/>
        <v xml:space="preserve">Boulder </v>
      </c>
      <c r="C47" s="332" t="s">
        <v>7108</v>
      </c>
      <c r="D47" s="333" t="s">
        <v>6016</v>
      </c>
      <c r="F47">
        <f t="shared" si="1"/>
        <v>1</v>
      </c>
      <c r="G47" s="331" t="s">
        <v>7103</v>
      </c>
      <c r="H47" s="331" t="s">
        <v>7109</v>
      </c>
      <c r="I47" s="331" t="s">
        <v>7105</v>
      </c>
      <c r="J47" s="331" t="s">
        <v>6991</v>
      </c>
    </row>
    <row r="48" spans="1:16">
      <c r="A48">
        <v>56</v>
      </c>
      <c r="B48" s="330" t="str">
        <f t="shared" si="0"/>
        <v xml:space="preserve">Boulder </v>
      </c>
      <c r="C48" s="332" t="s">
        <v>7110</v>
      </c>
      <c r="D48" s="333" t="s">
        <v>6016</v>
      </c>
      <c r="F48">
        <f t="shared" si="1"/>
        <v>1</v>
      </c>
      <c r="G48" s="331" t="s">
        <v>7111</v>
      </c>
      <c r="H48" s="331" t="s">
        <v>7112</v>
      </c>
      <c r="I48" s="331" t="s">
        <v>7113</v>
      </c>
      <c r="J48" s="331" t="s">
        <v>6991</v>
      </c>
    </row>
    <row r="49" spans="1:12">
      <c r="A49">
        <v>57</v>
      </c>
      <c r="B49" s="330" t="str">
        <f t="shared" si="0"/>
        <v xml:space="preserve">Boulder </v>
      </c>
      <c r="C49" s="332" t="s">
        <v>7114</v>
      </c>
      <c r="D49" s="333" t="s">
        <v>6016</v>
      </c>
      <c r="F49">
        <f t="shared" si="1"/>
        <v>1</v>
      </c>
      <c r="G49" s="331" t="s">
        <v>7115</v>
      </c>
      <c r="H49" s="331" t="s">
        <v>7116</v>
      </c>
      <c r="I49" s="331" t="s">
        <v>6995</v>
      </c>
      <c r="J49" s="331" t="s">
        <v>6999</v>
      </c>
      <c r="K49" s="331" t="s">
        <v>7015</v>
      </c>
      <c r="L49" s="331" t="s">
        <v>6991</v>
      </c>
    </row>
    <row r="50" spans="1:12">
      <c r="A50">
        <v>46</v>
      </c>
      <c r="B50" s="330" t="str">
        <f t="shared" si="0"/>
        <v xml:space="preserve">Boulder </v>
      </c>
      <c r="C50" s="332" t="s">
        <v>7117</v>
      </c>
      <c r="D50" s="333" t="s">
        <v>6017</v>
      </c>
      <c r="F50">
        <f t="shared" si="1"/>
        <v>1</v>
      </c>
      <c r="G50" s="331" t="s">
        <v>7118</v>
      </c>
      <c r="H50" s="331" t="s">
        <v>7119</v>
      </c>
      <c r="I50" s="331" t="s">
        <v>7015</v>
      </c>
      <c r="J50" s="331" t="s">
        <v>6999</v>
      </c>
      <c r="K50" s="331" t="s">
        <v>6995</v>
      </c>
      <c r="L50" s="331" t="s">
        <v>6991</v>
      </c>
    </row>
    <row r="51" spans="1:12">
      <c r="A51">
        <v>47</v>
      </c>
      <c r="B51" s="330" t="str">
        <f t="shared" si="0"/>
        <v xml:space="preserve">Boulder </v>
      </c>
      <c r="C51" s="334" t="s">
        <v>7120</v>
      </c>
      <c r="D51" s="333" t="s">
        <v>6017</v>
      </c>
      <c r="E51" s="333" t="s">
        <v>7012</v>
      </c>
      <c r="F51" t="str">
        <f t="shared" si="1"/>
        <v/>
      </c>
      <c r="G51" s="331" t="s">
        <v>7121</v>
      </c>
      <c r="H51" s="331" t="s">
        <v>7119</v>
      </c>
      <c r="I51" s="331" t="s">
        <v>7015</v>
      </c>
      <c r="J51" s="331" t="s">
        <v>6999</v>
      </c>
      <c r="K51" s="331" t="s">
        <v>6995</v>
      </c>
      <c r="L51" s="331" t="s">
        <v>6991</v>
      </c>
    </row>
    <row r="52" spans="1:12">
      <c r="A52">
        <v>48</v>
      </c>
      <c r="B52" s="330" t="str">
        <f t="shared" si="0"/>
        <v xml:space="preserve">Boulder </v>
      </c>
      <c r="C52" s="332" t="s">
        <v>7122</v>
      </c>
      <c r="D52" s="333" t="s">
        <v>6017</v>
      </c>
      <c r="F52" t="str">
        <f t="shared" si="1"/>
        <v/>
      </c>
      <c r="G52" s="331" t="s">
        <v>7123</v>
      </c>
      <c r="H52" s="331" t="s">
        <v>7119</v>
      </c>
      <c r="I52" s="331" t="s">
        <v>7000</v>
      </c>
      <c r="J52" s="331" t="s">
        <v>6991</v>
      </c>
    </row>
    <row r="53" spans="1:12">
      <c r="A53">
        <v>49</v>
      </c>
      <c r="B53" s="330" t="str">
        <f t="shared" si="0"/>
        <v xml:space="preserve">Boulder </v>
      </c>
      <c r="C53" s="332" t="s">
        <v>7124</v>
      </c>
      <c r="D53" s="333" t="s">
        <v>6017</v>
      </c>
      <c r="F53" t="str">
        <f t="shared" si="1"/>
        <v/>
      </c>
      <c r="G53" s="331" t="s">
        <v>7115</v>
      </c>
      <c r="H53" s="331" t="s">
        <v>7119</v>
      </c>
      <c r="I53" s="331" t="s">
        <v>7015</v>
      </c>
      <c r="J53" s="331" t="s">
        <v>6999</v>
      </c>
      <c r="K53" s="331" t="s">
        <v>6995</v>
      </c>
      <c r="L53" s="331" t="s">
        <v>6991</v>
      </c>
    </row>
    <row r="54" spans="1:12">
      <c r="A54">
        <v>50</v>
      </c>
      <c r="B54" s="330" t="str">
        <f t="shared" si="0"/>
        <v xml:space="preserve">Boulder </v>
      </c>
      <c r="C54" s="332" t="s">
        <v>7125</v>
      </c>
      <c r="D54" s="333" t="s">
        <v>6017</v>
      </c>
      <c r="F54" t="str">
        <f t="shared" si="1"/>
        <v/>
      </c>
      <c r="G54" s="331" t="s">
        <v>7126</v>
      </c>
      <c r="H54" s="331" t="s">
        <v>7119</v>
      </c>
      <c r="I54" s="331" t="s">
        <v>7015</v>
      </c>
      <c r="J54" s="331" t="s">
        <v>6999</v>
      </c>
      <c r="K54" s="331" t="s">
        <v>6995</v>
      </c>
      <c r="L54" s="331" t="s">
        <v>6991</v>
      </c>
    </row>
    <row r="55" spans="1:12">
      <c r="A55">
        <v>51</v>
      </c>
      <c r="B55" s="330" t="str">
        <f t="shared" si="0"/>
        <v xml:space="preserve">Boulder </v>
      </c>
      <c r="C55" s="332" t="s">
        <v>7127</v>
      </c>
      <c r="D55" s="333" t="s">
        <v>6017</v>
      </c>
      <c r="F55" t="str">
        <f t="shared" si="1"/>
        <v/>
      </c>
      <c r="G55" s="331" t="s">
        <v>7128</v>
      </c>
      <c r="H55" s="331" t="s">
        <v>7119</v>
      </c>
      <c r="I55" s="331" t="s">
        <v>7015</v>
      </c>
      <c r="J55" s="331" t="s">
        <v>6999</v>
      </c>
      <c r="K55" s="331" t="s">
        <v>6995</v>
      </c>
      <c r="L55" s="331" t="s">
        <v>6991</v>
      </c>
    </row>
    <row r="56" spans="1:12">
      <c r="A56">
        <v>44</v>
      </c>
      <c r="B56" s="330" t="str">
        <f t="shared" si="0"/>
        <v xml:space="preserve">Boulder </v>
      </c>
      <c r="C56" s="332" t="s">
        <v>7129</v>
      </c>
      <c r="D56" s="333" t="s">
        <v>6019</v>
      </c>
      <c r="F56">
        <f t="shared" si="1"/>
        <v>1</v>
      </c>
      <c r="G56" s="331" t="s">
        <v>7130</v>
      </c>
      <c r="H56" s="331" t="s">
        <v>7131</v>
      </c>
      <c r="I56" s="331" t="s">
        <v>7132</v>
      </c>
      <c r="J56" s="331" t="s">
        <v>6991</v>
      </c>
    </row>
    <row r="57" spans="1:12">
      <c r="A57">
        <v>58</v>
      </c>
      <c r="B57" s="330" t="str">
        <f t="shared" si="0"/>
        <v xml:space="preserve">Broomfield </v>
      </c>
      <c r="C57" s="332" t="s">
        <v>7133</v>
      </c>
      <c r="D57" s="333" t="s">
        <v>6016</v>
      </c>
      <c r="F57">
        <f t="shared" si="1"/>
        <v>1</v>
      </c>
      <c r="G57" s="331" t="s">
        <v>7134</v>
      </c>
      <c r="H57" s="331" t="s">
        <v>7135</v>
      </c>
      <c r="I57" s="331" t="s">
        <v>7136</v>
      </c>
      <c r="J57" s="331" t="s">
        <v>6999</v>
      </c>
      <c r="K57" s="331" t="s">
        <v>7137</v>
      </c>
      <c r="L57" s="331" t="s">
        <v>6991</v>
      </c>
    </row>
    <row r="58" spans="1:12">
      <c r="A58">
        <v>59</v>
      </c>
      <c r="B58" s="330" t="str">
        <f t="shared" si="0"/>
        <v xml:space="preserve">Broomfield </v>
      </c>
      <c r="C58" s="332" t="s">
        <v>7138</v>
      </c>
      <c r="D58" s="333" t="s">
        <v>6016</v>
      </c>
      <c r="F58">
        <f t="shared" si="1"/>
        <v>1</v>
      </c>
      <c r="G58" s="331" t="s">
        <v>7139</v>
      </c>
      <c r="H58" s="331" t="s">
        <v>7140</v>
      </c>
      <c r="I58" s="331" t="s">
        <v>7141</v>
      </c>
      <c r="J58" s="331" t="s">
        <v>6999</v>
      </c>
      <c r="K58" s="331" t="s">
        <v>7142</v>
      </c>
      <c r="L58" s="331" t="s">
        <v>6991</v>
      </c>
    </row>
    <row r="59" spans="1:12">
      <c r="A59">
        <v>60</v>
      </c>
      <c r="B59" s="330" t="str">
        <f t="shared" si="0"/>
        <v xml:space="preserve">Cheyenne </v>
      </c>
      <c r="C59" s="332" t="s">
        <v>7143</v>
      </c>
      <c r="D59" s="333" t="s">
        <v>6014</v>
      </c>
      <c r="F59">
        <f t="shared" si="1"/>
        <v>1</v>
      </c>
      <c r="G59" s="331" t="s">
        <v>7144</v>
      </c>
      <c r="H59" s="331" t="s">
        <v>7145</v>
      </c>
      <c r="I59" s="331" t="s">
        <v>7015</v>
      </c>
      <c r="J59" s="331" t="s">
        <v>6991</v>
      </c>
    </row>
    <row r="60" spans="1:12">
      <c r="A60">
        <v>61</v>
      </c>
      <c r="B60" s="330" t="str">
        <f t="shared" si="0"/>
        <v xml:space="preserve">Cheyenne </v>
      </c>
      <c r="C60" s="334" t="s">
        <v>7146</v>
      </c>
      <c r="D60" s="333" t="s">
        <v>6014</v>
      </c>
      <c r="E60" s="333" t="s">
        <v>7012</v>
      </c>
      <c r="F60">
        <f t="shared" si="1"/>
        <v>1</v>
      </c>
      <c r="G60" s="331" t="s">
        <v>7147</v>
      </c>
      <c r="H60" s="331" t="s">
        <v>7148</v>
      </c>
      <c r="I60" s="331" t="s">
        <v>7149</v>
      </c>
      <c r="J60" s="331" t="s">
        <v>6991</v>
      </c>
    </row>
    <row r="61" spans="1:12">
      <c r="A61">
        <v>62</v>
      </c>
      <c r="B61" s="330" t="str">
        <f t="shared" si="0"/>
        <v xml:space="preserve">Conejos </v>
      </c>
      <c r="C61" s="332" t="s">
        <v>7150</v>
      </c>
      <c r="D61" s="333" t="s">
        <v>6014</v>
      </c>
      <c r="F61">
        <f t="shared" si="1"/>
        <v>1</v>
      </c>
      <c r="G61" s="331" t="s">
        <v>7151</v>
      </c>
      <c r="H61" s="331" t="s">
        <v>7152</v>
      </c>
      <c r="I61" s="331" t="s">
        <v>7153</v>
      </c>
      <c r="J61" s="331" t="s">
        <v>6991</v>
      </c>
    </row>
    <row r="62" spans="1:12">
      <c r="A62">
        <v>3</v>
      </c>
      <c r="B62" s="330" t="str">
        <f t="shared" si="0"/>
        <v xml:space="preserve">Contest </v>
      </c>
      <c r="C62" s="332" t="s">
        <v>7154</v>
      </c>
      <c r="F62">
        <f t="shared" si="1"/>
        <v>1</v>
      </c>
      <c r="G62" s="331" t="s">
        <v>7154</v>
      </c>
    </row>
    <row r="63" spans="1:12">
      <c r="A63">
        <v>63</v>
      </c>
      <c r="B63" s="330" t="str">
        <f t="shared" si="0"/>
        <v xml:space="preserve">Costilla </v>
      </c>
      <c r="C63" s="334" t="s">
        <v>7155</v>
      </c>
      <c r="D63" s="333" t="s">
        <v>6016</v>
      </c>
      <c r="E63" s="333" t="s">
        <v>7012</v>
      </c>
      <c r="F63">
        <f t="shared" si="1"/>
        <v>1</v>
      </c>
      <c r="G63" s="331" t="s">
        <v>7156</v>
      </c>
      <c r="H63" s="331" t="s">
        <v>7157</v>
      </c>
      <c r="I63" s="331" t="s">
        <v>7158</v>
      </c>
      <c r="J63" s="331" t="s">
        <v>6991</v>
      </c>
    </row>
    <row r="64" spans="1:12">
      <c r="A64">
        <v>64</v>
      </c>
      <c r="B64" s="330" t="str">
        <f t="shared" si="0"/>
        <v xml:space="preserve">Crowley </v>
      </c>
      <c r="C64" s="332" t="s">
        <v>7159</v>
      </c>
      <c r="D64" s="333" t="s">
        <v>6016</v>
      </c>
      <c r="F64">
        <f t="shared" si="1"/>
        <v>1</v>
      </c>
      <c r="G64" s="331" t="s">
        <v>7160</v>
      </c>
      <c r="H64" s="331" t="s">
        <v>7161</v>
      </c>
      <c r="I64" s="331" t="s">
        <v>7162</v>
      </c>
      <c r="J64" s="331" t="s">
        <v>6999</v>
      </c>
      <c r="K64" s="331" t="s">
        <v>7163</v>
      </c>
      <c r="L64" s="331" t="s">
        <v>6991</v>
      </c>
    </row>
    <row r="65" spans="1:14">
      <c r="A65">
        <v>65</v>
      </c>
      <c r="B65" s="330" t="str">
        <f t="shared" ref="B65:B128" si="2">LEFT(C65,MAX(5,FIND(" ",C65)))</f>
        <v xml:space="preserve">Custer </v>
      </c>
      <c r="C65" s="332" t="s">
        <v>7164</v>
      </c>
      <c r="D65" s="333" t="s">
        <v>6016</v>
      </c>
      <c r="F65">
        <f t="shared" si="1"/>
        <v>1</v>
      </c>
      <c r="G65" s="331" t="s">
        <v>7165</v>
      </c>
      <c r="H65" s="331" t="s">
        <v>7166</v>
      </c>
      <c r="I65" s="331" t="s">
        <v>6995</v>
      </c>
      <c r="J65" s="331" t="s">
        <v>6999</v>
      </c>
      <c r="K65" s="331" t="s">
        <v>7015</v>
      </c>
      <c r="L65" s="331" t="s">
        <v>6991</v>
      </c>
    </row>
    <row r="66" spans="1:14">
      <c r="A66">
        <v>66</v>
      </c>
      <c r="B66" s="330" t="str">
        <f t="shared" si="2"/>
        <v xml:space="preserve">Delta </v>
      </c>
      <c r="C66" s="332" t="s">
        <v>7167</v>
      </c>
      <c r="D66" s="333" t="s">
        <v>6014</v>
      </c>
      <c r="F66">
        <f t="shared" si="1"/>
        <v>1</v>
      </c>
      <c r="G66" s="331" t="s">
        <v>7168</v>
      </c>
      <c r="H66" s="331" t="s">
        <v>7169</v>
      </c>
      <c r="I66" s="331" t="s">
        <v>6995</v>
      </c>
      <c r="J66" s="331" t="s">
        <v>6991</v>
      </c>
    </row>
    <row r="67" spans="1:14">
      <c r="A67">
        <v>67</v>
      </c>
      <c r="B67" s="330" t="str">
        <f t="shared" si="2"/>
        <v xml:space="preserve">Denver </v>
      </c>
      <c r="C67" s="332" t="s">
        <v>7170</v>
      </c>
      <c r="D67" s="333" t="s">
        <v>6015</v>
      </c>
      <c r="F67">
        <f t="shared" si="1"/>
        <v>1</v>
      </c>
      <c r="G67" s="331" t="s">
        <v>7171</v>
      </c>
      <c r="H67" s="331" t="s">
        <v>7172</v>
      </c>
      <c r="I67" s="331" t="s">
        <v>6995</v>
      </c>
      <c r="J67" s="331" t="s">
        <v>6999</v>
      </c>
      <c r="K67" s="331" t="s">
        <v>7015</v>
      </c>
      <c r="L67" s="331" t="s">
        <v>7173</v>
      </c>
      <c r="M67" s="331" t="s">
        <v>6995</v>
      </c>
      <c r="N67" s="331" t="s">
        <v>6991</v>
      </c>
    </row>
    <row r="68" spans="1:14">
      <c r="A68">
        <v>68</v>
      </c>
      <c r="B68" s="330" t="str">
        <f t="shared" si="2"/>
        <v xml:space="preserve">Denver </v>
      </c>
      <c r="C68" s="332" t="s">
        <v>7174</v>
      </c>
      <c r="D68" s="333" t="s">
        <v>6015</v>
      </c>
      <c r="F68" t="str">
        <f t="shared" ref="F68:F131" si="3">IF(H68=H67,"",1)</f>
        <v/>
      </c>
      <c r="G68" s="331" t="s">
        <v>7175</v>
      </c>
      <c r="H68" s="331" t="s">
        <v>7172</v>
      </c>
      <c r="I68" s="331" t="s">
        <v>6995</v>
      </c>
      <c r="J68" s="331" t="s">
        <v>6999</v>
      </c>
      <c r="K68" s="331" t="s">
        <v>7015</v>
      </c>
      <c r="L68" s="331" t="s">
        <v>7173</v>
      </c>
      <c r="M68" s="331" t="s">
        <v>6995</v>
      </c>
      <c r="N68" s="331" t="s">
        <v>6991</v>
      </c>
    </row>
    <row r="69" spans="1:14">
      <c r="A69">
        <v>69</v>
      </c>
      <c r="B69" s="330" t="str">
        <f t="shared" si="2"/>
        <v xml:space="preserve">Denver </v>
      </c>
      <c r="C69" s="332" t="s">
        <v>7176</v>
      </c>
      <c r="D69" s="333" t="s">
        <v>6015</v>
      </c>
      <c r="F69" t="str">
        <f t="shared" si="3"/>
        <v/>
      </c>
      <c r="G69" s="331" t="s">
        <v>7177</v>
      </c>
      <c r="H69" s="331" t="s">
        <v>7172</v>
      </c>
      <c r="I69" s="331" t="s">
        <v>6995</v>
      </c>
      <c r="J69" s="331" t="s">
        <v>6999</v>
      </c>
      <c r="K69" s="331" t="s">
        <v>7015</v>
      </c>
      <c r="L69" s="331" t="s">
        <v>7173</v>
      </c>
      <c r="M69" s="331" t="s">
        <v>6995</v>
      </c>
      <c r="N69" s="331" t="s">
        <v>6991</v>
      </c>
    </row>
    <row r="70" spans="1:14">
      <c r="A70">
        <v>71</v>
      </c>
      <c r="B70" s="330" t="str">
        <f t="shared" si="2"/>
        <v xml:space="preserve">Denver </v>
      </c>
      <c r="C70" s="332" t="s">
        <v>7178</v>
      </c>
      <c r="D70" s="333" t="s">
        <v>6016</v>
      </c>
      <c r="F70">
        <f t="shared" si="3"/>
        <v>1</v>
      </c>
      <c r="G70" s="331" t="s">
        <v>7179</v>
      </c>
      <c r="H70" s="331" t="s">
        <v>7180</v>
      </c>
      <c r="I70" s="331" t="s">
        <v>6995</v>
      </c>
      <c r="J70" s="331" t="s">
        <v>6999</v>
      </c>
      <c r="K70" s="331" t="s">
        <v>7015</v>
      </c>
      <c r="L70" s="331" t="s">
        <v>6991</v>
      </c>
    </row>
    <row r="71" spans="1:14">
      <c r="A71">
        <v>70</v>
      </c>
      <c r="B71" s="330" t="str">
        <f t="shared" si="2"/>
        <v xml:space="preserve">Denver </v>
      </c>
      <c r="C71" s="332" t="s">
        <v>7181</v>
      </c>
      <c r="D71" s="333" t="s">
        <v>6018</v>
      </c>
      <c r="F71">
        <f t="shared" si="3"/>
        <v>1</v>
      </c>
      <c r="G71" s="331" t="s">
        <v>7182</v>
      </c>
      <c r="H71" s="331" t="s">
        <v>7183</v>
      </c>
      <c r="I71" s="331" t="s">
        <v>7184</v>
      </c>
      <c r="J71" s="331" t="s">
        <v>6999</v>
      </c>
      <c r="K71" s="331" t="s">
        <v>7185</v>
      </c>
      <c r="L71" s="331" t="s">
        <v>7049</v>
      </c>
      <c r="M71" s="331" t="s">
        <v>7186</v>
      </c>
      <c r="N71" s="331" t="s">
        <v>6991</v>
      </c>
    </row>
    <row r="72" spans="1:14">
      <c r="A72">
        <v>72</v>
      </c>
      <c r="B72" s="330" t="str">
        <f t="shared" si="2"/>
        <v xml:space="preserve">Dolores </v>
      </c>
      <c r="C72" s="332" t="s">
        <v>7187</v>
      </c>
      <c r="D72" s="333" t="s">
        <v>6016</v>
      </c>
      <c r="F72">
        <f t="shared" si="3"/>
        <v>1</v>
      </c>
      <c r="G72" s="331" t="s">
        <v>7188</v>
      </c>
      <c r="H72" s="331" t="s">
        <v>7189</v>
      </c>
      <c r="I72" s="331" t="s">
        <v>7015</v>
      </c>
      <c r="J72" s="331" t="s">
        <v>6999</v>
      </c>
      <c r="K72" s="331" t="s">
        <v>6995</v>
      </c>
      <c r="L72" s="331" t="s">
        <v>6991</v>
      </c>
    </row>
    <row r="73" spans="1:14">
      <c r="A73">
        <v>73</v>
      </c>
      <c r="B73" s="330" t="str">
        <f t="shared" si="2"/>
        <v xml:space="preserve">Dolores </v>
      </c>
      <c r="C73" s="332" t="s">
        <v>7190</v>
      </c>
      <c r="D73" s="333" t="s">
        <v>6016</v>
      </c>
      <c r="F73">
        <f t="shared" si="3"/>
        <v>1</v>
      </c>
      <c r="G73" s="331" t="s">
        <v>7191</v>
      </c>
      <c r="H73" s="331" t="s">
        <v>7192</v>
      </c>
      <c r="I73" s="331" t="s">
        <v>6990</v>
      </c>
      <c r="J73" s="331" t="s">
        <v>6991</v>
      </c>
    </row>
    <row r="74" spans="1:14">
      <c r="A74">
        <v>74</v>
      </c>
      <c r="B74" s="330" t="str">
        <f t="shared" si="2"/>
        <v xml:space="preserve">Dolores </v>
      </c>
      <c r="C74" s="332" t="s">
        <v>7193</v>
      </c>
      <c r="D74" s="333" t="s">
        <v>6016</v>
      </c>
      <c r="F74" t="str">
        <f t="shared" si="3"/>
        <v/>
      </c>
      <c r="G74" s="331" t="s">
        <v>7194</v>
      </c>
      <c r="H74" s="331" t="s">
        <v>7192</v>
      </c>
      <c r="I74" s="331" t="s">
        <v>6990</v>
      </c>
      <c r="J74" s="331" t="s">
        <v>6991</v>
      </c>
    </row>
    <row r="75" spans="1:14">
      <c r="A75">
        <v>75</v>
      </c>
      <c r="B75" s="330" t="str">
        <f t="shared" si="2"/>
        <v xml:space="preserve">Dolores </v>
      </c>
      <c r="C75" s="332" t="s">
        <v>7195</v>
      </c>
      <c r="D75" s="333" t="s">
        <v>6016</v>
      </c>
      <c r="F75" t="str">
        <f t="shared" si="3"/>
        <v/>
      </c>
      <c r="G75" s="331" t="s">
        <v>7196</v>
      </c>
      <c r="H75" s="331" t="s">
        <v>7192</v>
      </c>
      <c r="I75" s="331" t="s">
        <v>6990</v>
      </c>
      <c r="J75" s="331" t="s">
        <v>6991</v>
      </c>
    </row>
    <row r="76" spans="1:14">
      <c r="A76">
        <v>76</v>
      </c>
      <c r="B76" s="330" t="str">
        <f t="shared" si="2"/>
        <v xml:space="preserve">Dolores </v>
      </c>
      <c r="C76" s="332" t="s">
        <v>7197</v>
      </c>
      <c r="D76" s="333" t="s">
        <v>6016</v>
      </c>
      <c r="F76" t="str">
        <f t="shared" si="3"/>
        <v/>
      </c>
      <c r="G76" s="331" t="s">
        <v>7198</v>
      </c>
      <c r="H76" s="331" t="s">
        <v>7192</v>
      </c>
      <c r="I76" s="331" t="s">
        <v>6990</v>
      </c>
      <c r="J76" s="331" t="s">
        <v>6991</v>
      </c>
    </row>
    <row r="77" spans="1:14">
      <c r="A77">
        <v>77</v>
      </c>
      <c r="B77" s="330" t="str">
        <f t="shared" si="2"/>
        <v xml:space="preserve">Dolores </v>
      </c>
      <c r="C77" s="332" t="s">
        <v>7199</v>
      </c>
      <c r="D77" s="333" t="s">
        <v>6016</v>
      </c>
      <c r="F77">
        <f t="shared" si="3"/>
        <v>1</v>
      </c>
      <c r="G77" s="331" t="s">
        <v>7200</v>
      </c>
      <c r="H77" s="331" t="s">
        <v>7201</v>
      </c>
      <c r="I77" s="331" t="s">
        <v>7015</v>
      </c>
      <c r="J77" s="331" t="s">
        <v>6999</v>
      </c>
      <c r="K77" s="331" t="s">
        <v>6995</v>
      </c>
      <c r="L77" s="331" t="s">
        <v>6991</v>
      </c>
    </row>
    <row r="78" spans="1:14">
      <c r="A78">
        <v>78</v>
      </c>
      <c r="B78" s="330" t="str">
        <f t="shared" si="2"/>
        <v xml:space="preserve">Dolores </v>
      </c>
      <c r="C78" s="332" t="s">
        <v>7202</v>
      </c>
      <c r="D78" s="333" t="s">
        <v>6016</v>
      </c>
      <c r="F78">
        <f t="shared" si="3"/>
        <v>1</v>
      </c>
      <c r="G78" s="331" t="s">
        <v>7200</v>
      </c>
      <c r="H78" s="331" t="s">
        <v>7203</v>
      </c>
      <c r="I78" s="331" t="s">
        <v>6995</v>
      </c>
      <c r="J78" s="331" t="s">
        <v>6991</v>
      </c>
    </row>
    <row r="79" spans="1:14">
      <c r="A79">
        <v>83</v>
      </c>
      <c r="B79" s="330" t="str">
        <f t="shared" si="2"/>
        <v xml:space="preserve">Douglas </v>
      </c>
      <c r="C79" s="332" t="s">
        <v>7204</v>
      </c>
      <c r="D79" s="333" t="s">
        <v>6014</v>
      </c>
      <c r="F79">
        <f t="shared" si="3"/>
        <v>1</v>
      </c>
      <c r="G79" s="331" t="s">
        <v>7205</v>
      </c>
      <c r="H79" s="331" t="s">
        <v>7206</v>
      </c>
      <c r="I79" s="331" t="s">
        <v>7015</v>
      </c>
      <c r="J79" s="331" t="s">
        <v>6991</v>
      </c>
    </row>
    <row r="80" spans="1:14">
      <c r="A80">
        <v>79</v>
      </c>
      <c r="B80" s="330" t="str">
        <f t="shared" si="2"/>
        <v xml:space="preserve">Douglas </v>
      </c>
      <c r="C80" s="332" t="s">
        <v>7207</v>
      </c>
      <c r="D80" s="333" t="s">
        <v>6016</v>
      </c>
      <c r="F80">
        <f t="shared" si="3"/>
        <v>1</v>
      </c>
      <c r="G80" s="331" t="s">
        <v>7205</v>
      </c>
      <c r="H80" s="331" t="s">
        <v>7208</v>
      </c>
      <c r="I80" s="331" t="s">
        <v>7015</v>
      </c>
      <c r="J80" s="331" t="s">
        <v>6999</v>
      </c>
      <c r="K80" s="331" t="s">
        <v>6995</v>
      </c>
      <c r="L80" s="331" t="s">
        <v>6991</v>
      </c>
    </row>
    <row r="81" spans="1:12">
      <c r="A81">
        <v>80</v>
      </c>
      <c r="B81" s="330" t="str">
        <f t="shared" si="2"/>
        <v xml:space="preserve">Douglas </v>
      </c>
      <c r="C81" s="332" t="s">
        <v>7209</v>
      </c>
      <c r="D81" s="333" t="s">
        <v>6016</v>
      </c>
      <c r="F81" t="str">
        <f t="shared" si="3"/>
        <v/>
      </c>
      <c r="G81" s="331" t="s">
        <v>7210</v>
      </c>
      <c r="H81" s="331" t="s">
        <v>7208</v>
      </c>
      <c r="I81" s="331" t="s">
        <v>7015</v>
      </c>
      <c r="J81" s="331" t="s">
        <v>6999</v>
      </c>
      <c r="K81" s="331" t="s">
        <v>6995</v>
      </c>
      <c r="L81" s="331" t="s">
        <v>6991</v>
      </c>
    </row>
    <row r="82" spans="1:12">
      <c r="A82">
        <v>81</v>
      </c>
      <c r="B82" s="330" t="str">
        <f t="shared" si="2"/>
        <v xml:space="preserve">Douglas </v>
      </c>
      <c r="C82" s="332" t="s">
        <v>7211</v>
      </c>
      <c r="D82" s="333" t="s">
        <v>6016</v>
      </c>
      <c r="F82">
        <f t="shared" si="3"/>
        <v>1</v>
      </c>
      <c r="G82" s="331" t="s">
        <v>7212</v>
      </c>
      <c r="H82" s="331" t="s">
        <v>7213</v>
      </c>
      <c r="I82" s="331" t="s">
        <v>6990</v>
      </c>
      <c r="J82" s="331" t="s">
        <v>6999</v>
      </c>
      <c r="K82" s="331" t="s">
        <v>7000</v>
      </c>
      <c r="L82" s="331" t="s">
        <v>6991</v>
      </c>
    </row>
    <row r="83" spans="1:12">
      <c r="A83">
        <v>82</v>
      </c>
      <c r="B83" s="330" t="str">
        <f t="shared" si="2"/>
        <v xml:space="preserve">Douglas </v>
      </c>
      <c r="C83" s="332" t="s">
        <v>7214</v>
      </c>
      <c r="D83" s="333" t="s">
        <v>6016</v>
      </c>
      <c r="F83">
        <f t="shared" si="3"/>
        <v>1</v>
      </c>
      <c r="G83" s="331" t="s">
        <v>7215</v>
      </c>
      <c r="H83" s="331" t="s">
        <v>7216</v>
      </c>
      <c r="I83" s="331" t="s">
        <v>6990</v>
      </c>
      <c r="J83" s="331" t="s">
        <v>6999</v>
      </c>
      <c r="K83" s="331" t="s">
        <v>7000</v>
      </c>
      <c r="L83" s="331" t="s">
        <v>6991</v>
      </c>
    </row>
    <row r="84" spans="1:12">
      <c r="A84">
        <v>102</v>
      </c>
      <c r="B84" s="330" t="str">
        <f t="shared" si="2"/>
        <v>El Pa</v>
      </c>
      <c r="C84" s="334" t="s">
        <v>7217</v>
      </c>
      <c r="D84" s="333" t="s">
        <v>6015</v>
      </c>
      <c r="E84" s="333" t="s">
        <v>7012</v>
      </c>
      <c r="F84">
        <f t="shared" si="3"/>
        <v>1</v>
      </c>
      <c r="G84" s="331" t="s">
        <v>7218</v>
      </c>
      <c r="H84" s="331" t="s">
        <v>7219</v>
      </c>
      <c r="I84" s="331" t="s">
        <v>6995</v>
      </c>
      <c r="J84" s="331" t="s">
        <v>6991</v>
      </c>
    </row>
    <row r="85" spans="1:12">
      <c r="A85">
        <v>172</v>
      </c>
      <c r="B85" s="330" t="str">
        <f t="shared" si="2"/>
        <v>El Pa</v>
      </c>
      <c r="C85" s="332" t="s">
        <v>7220</v>
      </c>
      <c r="D85" s="333" t="s">
        <v>6016</v>
      </c>
      <c r="F85">
        <f t="shared" si="3"/>
        <v>1</v>
      </c>
      <c r="G85" s="331" t="s">
        <v>7221</v>
      </c>
      <c r="H85" s="331" t="s">
        <v>7222</v>
      </c>
      <c r="I85" s="331" t="s">
        <v>7015</v>
      </c>
      <c r="J85" s="331" t="s">
        <v>6999</v>
      </c>
      <c r="K85" s="331" t="s">
        <v>6995</v>
      </c>
      <c r="L85" s="331" t="s">
        <v>6991</v>
      </c>
    </row>
    <row r="86" spans="1:12">
      <c r="A86">
        <v>185</v>
      </c>
      <c r="B86" s="330" t="str">
        <f t="shared" si="2"/>
        <v>El Pa</v>
      </c>
      <c r="C86" s="332" t="s">
        <v>7223</v>
      </c>
      <c r="D86" s="333" t="s">
        <v>6016</v>
      </c>
      <c r="F86">
        <f t="shared" si="3"/>
        <v>1</v>
      </c>
      <c r="G86" s="331" t="s">
        <v>7224</v>
      </c>
      <c r="H86" s="331" t="s">
        <v>7225</v>
      </c>
      <c r="I86" s="331" t="s">
        <v>6995</v>
      </c>
      <c r="J86" s="331" t="s">
        <v>6999</v>
      </c>
      <c r="K86" s="331" t="s">
        <v>7015</v>
      </c>
      <c r="L86" s="331" t="s">
        <v>6991</v>
      </c>
    </row>
    <row r="87" spans="1:12">
      <c r="A87">
        <v>144</v>
      </c>
      <c r="B87" s="330" t="str">
        <f t="shared" si="2"/>
        <v>El Pa</v>
      </c>
      <c r="C87" s="332" t="s">
        <v>7226</v>
      </c>
      <c r="D87" s="333" t="s">
        <v>6016</v>
      </c>
      <c r="F87">
        <f t="shared" si="3"/>
        <v>1</v>
      </c>
      <c r="G87" s="331" t="s">
        <v>7227</v>
      </c>
      <c r="H87" s="331" t="s">
        <v>7228</v>
      </c>
      <c r="I87" s="331" t="s">
        <v>6995</v>
      </c>
      <c r="J87" s="331" t="s">
        <v>6991</v>
      </c>
    </row>
    <row r="88" spans="1:12">
      <c r="A88">
        <v>183</v>
      </c>
      <c r="B88" s="330" t="str">
        <f t="shared" si="2"/>
        <v>El Pa</v>
      </c>
      <c r="C88" s="332" t="s">
        <v>7229</v>
      </c>
      <c r="D88" s="333" t="s">
        <v>6016</v>
      </c>
      <c r="F88">
        <f t="shared" si="3"/>
        <v>1</v>
      </c>
      <c r="G88" s="331" t="s">
        <v>7230</v>
      </c>
      <c r="H88" s="331" t="s">
        <v>7231</v>
      </c>
      <c r="I88" s="331" t="s">
        <v>7232</v>
      </c>
      <c r="J88" s="331" t="s">
        <v>6991</v>
      </c>
    </row>
    <row r="89" spans="1:12">
      <c r="A89">
        <v>184</v>
      </c>
      <c r="B89" s="330" t="str">
        <f t="shared" si="2"/>
        <v>El Pa</v>
      </c>
      <c r="C89" s="332" t="s">
        <v>7233</v>
      </c>
      <c r="D89" s="333" t="s">
        <v>6016</v>
      </c>
      <c r="F89">
        <f t="shared" si="3"/>
        <v>1</v>
      </c>
      <c r="G89" s="331" t="s">
        <v>7230</v>
      </c>
      <c r="H89" s="331" t="s">
        <v>7234</v>
      </c>
      <c r="I89" s="331" t="s">
        <v>7232</v>
      </c>
      <c r="J89" s="331" t="s">
        <v>6991</v>
      </c>
    </row>
    <row r="90" spans="1:12">
      <c r="A90">
        <v>220</v>
      </c>
      <c r="B90" s="330" t="str">
        <f t="shared" si="2"/>
        <v>El Pa</v>
      </c>
      <c r="C90" s="332" t="s">
        <v>7235</v>
      </c>
      <c r="D90" s="333" t="s">
        <v>6016</v>
      </c>
      <c r="F90">
        <f t="shared" si="3"/>
        <v>1</v>
      </c>
      <c r="G90" s="331" t="s">
        <v>7236</v>
      </c>
      <c r="H90" s="331" t="s">
        <v>7237</v>
      </c>
      <c r="I90" s="331" t="s">
        <v>7232</v>
      </c>
      <c r="J90" s="331" t="s">
        <v>6991</v>
      </c>
    </row>
    <row r="91" spans="1:12">
      <c r="A91">
        <v>221</v>
      </c>
      <c r="B91" s="330" t="str">
        <f t="shared" si="2"/>
        <v>El Pa</v>
      </c>
      <c r="C91" s="334" t="s">
        <v>7238</v>
      </c>
      <c r="D91" s="333" t="s">
        <v>6016</v>
      </c>
      <c r="E91" s="333" t="s">
        <v>7012</v>
      </c>
      <c r="F91">
        <f t="shared" si="3"/>
        <v>1</v>
      </c>
      <c r="G91" s="331" t="s">
        <v>7239</v>
      </c>
      <c r="H91" s="331" t="s">
        <v>7240</v>
      </c>
      <c r="I91" s="331" t="s">
        <v>7015</v>
      </c>
      <c r="J91" s="331" t="s">
        <v>6999</v>
      </c>
      <c r="K91" s="331" t="s">
        <v>6995</v>
      </c>
      <c r="L91" s="331" t="s">
        <v>6991</v>
      </c>
    </row>
    <row r="92" spans="1:12">
      <c r="A92">
        <v>237</v>
      </c>
      <c r="B92" s="330" t="str">
        <f t="shared" si="2"/>
        <v>El Pa</v>
      </c>
      <c r="C92" s="332" t="s">
        <v>7241</v>
      </c>
      <c r="D92" s="333" t="s">
        <v>6016</v>
      </c>
      <c r="F92">
        <f t="shared" si="3"/>
        <v>1</v>
      </c>
      <c r="G92" s="331" t="s">
        <v>7242</v>
      </c>
      <c r="H92" s="331" t="s">
        <v>7243</v>
      </c>
      <c r="I92" s="331" t="s">
        <v>7015</v>
      </c>
      <c r="J92" s="331" t="s">
        <v>6999</v>
      </c>
      <c r="K92" s="331" t="s">
        <v>6995</v>
      </c>
      <c r="L92" s="331" t="s">
        <v>6991</v>
      </c>
    </row>
    <row r="93" spans="1:12">
      <c r="A93">
        <v>222</v>
      </c>
      <c r="B93" s="330" t="str">
        <f t="shared" si="2"/>
        <v>El Pa</v>
      </c>
      <c r="C93" s="332" t="s">
        <v>7244</v>
      </c>
      <c r="D93" s="333" t="s">
        <v>6017</v>
      </c>
      <c r="F93">
        <f t="shared" si="3"/>
        <v>1</v>
      </c>
      <c r="G93" s="331" t="s">
        <v>7245</v>
      </c>
      <c r="H93" s="331" t="s">
        <v>7246</v>
      </c>
      <c r="I93" s="331" t="s">
        <v>6995</v>
      </c>
      <c r="J93" s="331" t="s">
        <v>6999</v>
      </c>
      <c r="K93" s="331" t="s">
        <v>7015</v>
      </c>
      <c r="L93" s="331" t="s">
        <v>6991</v>
      </c>
    </row>
    <row r="94" spans="1:12">
      <c r="A94">
        <v>223</v>
      </c>
      <c r="B94" s="330" t="str">
        <f t="shared" si="2"/>
        <v>El Pa</v>
      </c>
      <c r="C94" s="332" t="s">
        <v>7247</v>
      </c>
      <c r="D94" s="333" t="s">
        <v>6017</v>
      </c>
      <c r="F94" t="str">
        <f t="shared" si="3"/>
        <v/>
      </c>
      <c r="G94" s="331" t="s">
        <v>7248</v>
      </c>
      <c r="H94" s="331" t="s">
        <v>7246</v>
      </c>
      <c r="I94" s="331" t="s">
        <v>6995</v>
      </c>
      <c r="J94" s="331" t="s">
        <v>6999</v>
      </c>
      <c r="K94" s="331" t="s">
        <v>7015</v>
      </c>
      <c r="L94" s="331" t="s">
        <v>6991</v>
      </c>
    </row>
    <row r="95" spans="1:12">
      <c r="A95">
        <v>224</v>
      </c>
      <c r="B95" s="330" t="str">
        <f t="shared" si="2"/>
        <v>El Pa</v>
      </c>
      <c r="C95" s="332" t="s">
        <v>7249</v>
      </c>
      <c r="D95" s="333" t="s">
        <v>6017</v>
      </c>
      <c r="F95" t="str">
        <f t="shared" si="3"/>
        <v/>
      </c>
      <c r="G95" s="331" t="s">
        <v>7250</v>
      </c>
      <c r="H95" s="331" t="s">
        <v>7246</v>
      </c>
      <c r="I95" s="331" t="s">
        <v>6995</v>
      </c>
      <c r="J95" s="331" t="s">
        <v>6999</v>
      </c>
      <c r="K95" s="331" t="s">
        <v>7015</v>
      </c>
      <c r="L95" s="331" t="s">
        <v>6991</v>
      </c>
    </row>
    <row r="96" spans="1:12">
      <c r="A96">
        <v>225</v>
      </c>
      <c r="B96" s="330" t="str">
        <f t="shared" si="2"/>
        <v>El Pa</v>
      </c>
      <c r="C96" s="332" t="s">
        <v>7251</v>
      </c>
      <c r="D96" s="333" t="s">
        <v>6017</v>
      </c>
      <c r="F96" t="str">
        <f t="shared" si="3"/>
        <v/>
      </c>
      <c r="G96" s="331" t="s">
        <v>7252</v>
      </c>
      <c r="H96" s="331" t="s">
        <v>7246</v>
      </c>
      <c r="I96" s="331" t="s">
        <v>6995</v>
      </c>
      <c r="J96" s="331" t="s">
        <v>6999</v>
      </c>
      <c r="K96" s="331" t="s">
        <v>7015</v>
      </c>
      <c r="L96" s="331" t="s">
        <v>6991</v>
      </c>
    </row>
    <row r="97" spans="1:12">
      <c r="A97">
        <v>226</v>
      </c>
      <c r="B97" s="330" t="str">
        <f t="shared" si="2"/>
        <v>El Pa</v>
      </c>
      <c r="C97" s="332" t="s">
        <v>7253</v>
      </c>
      <c r="D97" s="333" t="s">
        <v>6017</v>
      </c>
      <c r="F97" t="str">
        <f t="shared" si="3"/>
        <v/>
      </c>
      <c r="G97" s="331" t="s">
        <v>7254</v>
      </c>
      <c r="H97" s="331" t="s">
        <v>7246</v>
      </c>
      <c r="I97" s="331" t="s">
        <v>7232</v>
      </c>
      <c r="J97" s="331" t="s">
        <v>6991</v>
      </c>
    </row>
    <row r="98" spans="1:12">
      <c r="A98">
        <v>227</v>
      </c>
      <c r="B98" s="330" t="str">
        <f t="shared" si="2"/>
        <v>El Pa</v>
      </c>
      <c r="C98" s="332" t="s">
        <v>7255</v>
      </c>
      <c r="D98" s="333" t="s">
        <v>6017</v>
      </c>
      <c r="F98" t="str">
        <f t="shared" si="3"/>
        <v/>
      </c>
      <c r="G98" s="331" t="s">
        <v>7256</v>
      </c>
      <c r="H98" s="331" t="s">
        <v>7246</v>
      </c>
      <c r="I98" s="331" t="s">
        <v>7257</v>
      </c>
      <c r="J98" s="331" t="s">
        <v>6999</v>
      </c>
      <c r="K98" s="331" t="s">
        <v>7258</v>
      </c>
      <c r="L98" s="331" t="s">
        <v>6991</v>
      </c>
    </row>
    <row r="99" spans="1:12">
      <c r="A99">
        <v>228</v>
      </c>
      <c r="B99" s="330" t="str">
        <f t="shared" si="2"/>
        <v>El Pa</v>
      </c>
      <c r="C99" s="332" t="s">
        <v>7259</v>
      </c>
      <c r="D99" s="333" t="s">
        <v>6017</v>
      </c>
      <c r="F99" t="str">
        <f t="shared" si="3"/>
        <v/>
      </c>
      <c r="G99" s="331" t="s">
        <v>7260</v>
      </c>
      <c r="H99" s="331" t="s">
        <v>7246</v>
      </c>
      <c r="I99" s="331" t="s">
        <v>6995</v>
      </c>
      <c r="J99" s="331" t="s">
        <v>6999</v>
      </c>
      <c r="K99" s="331" t="s">
        <v>7015</v>
      </c>
      <c r="L99" s="331" t="s">
        <v>6991</v>
      </c>
    </row>
    <row r="100" spans="1:12">
      <c r="A100">
        <v>229</v>
      </c>
      <c r="B100" s="330" t="str">
        <f t="shared" si="2"/>
        <v>El Pa</v>
      </c>
      <c r="C100" s="332" t="s">
        <v>7261</v>
      </c>
      <c r="D100" s="333" t="s">
        <v>6017</v>
      </c>
      <c r="F100" t="str">
        <f t="shared" si="3"/>
        <v/>
      </c>
      <c r="G100" s="331" t="s">
        <v>7262</v>
      </c>
      <c r="H100" s="331" t="s">
        <v>7246</v>
      </c>
      <c r="I100" s="331" t="s">
        <v>7015</v>
      </c>
      <c r="J100" s="331" t="s">
        <v>6999</v>
      </c>
      <c r="K100" s="331" t="s">
        <v>6995</v>
      </c>
      <c r="L100" s="331" t="s">
        <v>6991</v>
      </c>
    </row>
    <row r="101" spans="1:12">
      <c r="A101">
        <v>230</v>
      </c>
      <c r="B101" s="330" t="str">
        <f t="shared" si="2"/>
        <v>El Pa</v>
      </c>
      <c r="C101" s="332" t="s">
        <v>7263</v>
      </c>
      <c r="D101" s="333" t="s">
        <v>6017</v>
      </c>
      <c r="F101" t="str">
        <f t="shared" si="3"/>
        <v/>
      </c>
      <c r="G101" s="331" t="s">
        <v>7264</v>
      </c>
      <c r="H101" s="331" t="s">
        <v>7246</v>
      </c>
      <c r="I101" s="331" t="s">
        <v>6995</v>
      </c>
      <c r="J101" s="331" t="s">
        <v>6999</v>
      </c>
      <c r="K101" s="331" t="s">
        <v>7015</v>
      </c>
      <c r="L101" s="331" t="s">
        <v>6991</v>
      </c>
    </row>
    <row r="102" spans="1:12">
      <c r="A102">
        <v>231</v>
      </c>
      <c r="B102" s="330" t="str">
        <f t="shared" si="2"/>
        <v>El Pa</v>
      </c>
      <c r="C102" s="332" t="s">
        <v>7265</v>
      </c>
      <c r="D102" s="333" t="s">
        <v>6017</v>
      </c>
      <c r="F102" t="str">
        <f t="shared" si="3"/>
        <v/>
      </c>
      <c r="G102" s="331" t="s">
        <v>7266</v>
      </c>
      <c r="H102" s="331" t="s">
        <v>7246</v>
      </c>
      <c r="I102" s="331" t="s">
        <v>6995</v>
      </c>
      <c r="J102" s="331" t="s">
        <v>6999</v>
      </c>
      <c r="K102" s="331" t="s">
        <v>7015</v>
      </c>
      <c r="L102" s="331" t="s">
        <v>6991</v>
      </c>
    </row>
    <row r="103" spans="1:12">
      <c r="A103">
        <v>232</v>
      </c>
      <c r="B103" s="330" t="str">
        <f t="shared" si="2"/>
        <v>El Pa</v>
      </c>
      <c r="C103" s="332" t="s">
        <v>7267</v>
      </c>
      <c r="D103" s="333" t="s">
        <v>6017</v>
      </c>
      <c r="F103" t="str">
        <f t="shared" si="3"/>
        <v/>
      </c>
      <c r="G103" s="331" t="s">
        <v>7268</v>
      </c>
      <c r="H103" s="331" t="s">
        <v>7246</v>
      </c>
      <c r="I103" s="331" t="s">
        <v>6995</v>
      </c>
      <c r="J103" s="331" t="s">
        <v>6999</v>
      </c>
      <c r="K103" s="331" t="s">
        <v>7015</v>
      </c>
      <c r="L103" s="331" t="s">
        <v>6991</v>
      </c>
    </row>
    <row r="104" spans="1:12">
      <c r="A104">
        <v>233</v>
      </c>
      <c r="B104" s="330" t="str">
        <f t="shared" si="2"/>
        <v>El Pa</v>
      </c>
      <c r="C104" s="332" t="s">
        <v>7269</v>
      </c>
      <c r="D104" s="333" t="s">
        <v>6017</v>
      </c>
      <c r="F104" t="str">
        <f t="shared" si="3"/>
        <v/>
      </c>
      <c r="G104" s="331" t="s">
        <v>7270</v>
      </c>
      <c r="H104" s="331" t="s">
        <v>7246</v>
      </c>
      <c r="I104" s="331" t="s">
        <v>6995</v>
      </c>
      <c r="J104" s="331" t="s">
        <v>6999</v>
      </c>
      <c r="K104" s="331" t="s">
        <v>7015</v>
      </c>
      <c r="L104" s="331" t="s">
        <v>6991</v>
      </c>
    </row>
    <row r="105" spans="1:12">
      <c r="A105">
        <v>234</v>
      </c>
      <c r="B105" s="330" t="str">
        <f t="shared" si="2"/>
        <v>El Pa</v>
      </c>
      <c r="C105" s="332" t="s">
        <v>7271</v>
      </c>
      <c r="D105" s="333" t="s">
        <v>6017</v>
      </c>
      <c r="F105" t="str">
        <f t="shared" si="3"/>
        <v/>
      </c>
      <c r="G105" s="331" t="s">
        <v>7272</v>
      </c>
      <c r="H105" s="331" t="s">
        <v>7246</v>
      </c>
      <c r="I105" s="331" t="s">
        <v>7273</v>
      </c>
      <c r="J105" s="331" t="s">
        <v>6999</v>
      </c>
      <c r="K105" s="331" t="s">
        <v>7274</v>
      </c>
      <c r="L105" s="331" t="s">
        <v>6991</v>
      </c>
    </row>
    <row r="106" spans="1:12">
      <c r="A106">
        <v>235</v>
      </c>
      <c r="B106" s="330" t="str">
        <f t="shared" si="2"/>
        <v>El Pa</v>
      </c>
      <c r="C106" s="332" t="s">
        <v>7275</v>
      </c>
      <c r="D106" s="333" t="s">
        <v>6017</v>
      </c>
      <c r="F106" t="str">
        <f t="shared" si="3"/>
        <v/>
      </c>
      <c r="G106" s="331" t="s">
        <v>7276</v>
      </c>
      <c r="H106" s="331" t="s">
        <v>7246</v>
      </c>
      <c r="I106" s="331" t="s">
        <v>7277</v>
      </c>
      <c r="J106" s="331" t="s">
        <v>6999</v>
      </c>
      <c r="K106" s="331" t="s">
        <v>7278</v>
      </c>
      <c r="L106" s="331" t="s">
        <v>6991</v>
      </c>
    </row>
    <row r="107" spans="1:12">
      <c r="A107">
        <v>84</v>
      </c>
      <c r="B107" s="330" t="str">
        <f t="shared" si="2"/>
        <v>El Pa</v>
      </c>
      <c r="C107" s="332" t="s">
        <v>7279</v>
      </c>
      <c r="D107" s="333" t="s">
        <v>6017</v>
      </c>
      <c r="F107">
        <f t="shared" si="3"/>
        <v>1</v>
      </c>
      <c r="G107" s="331" t="s">
        <v>7280</v>
      </c>
      <c r="H107" s="331" t="s">
        <v>7281</v>
      </c>
      <c r="I107" s="331" t="s">
        <v>6995</v>
      </c>
      <c r="J107" s="331" t="s">
        <v>6999</v>
      </c>
      <c r="K107" s="331" t="s">
        <v>7015</v>
      </c>
      <c r="L107" s="331" t="s">
        <v>6991</v>
      </c>
    </row>
    <row r="108" spans="1:12">
      <c r="A108">
        <v>85</v>
      </c>
      <c r="B108" s="330" t="str">
        <f t="shared" si="2"/>
        <v>El Pa</v>
      </c>
      <c r="C108" s="332" t="s">
        <v>7282</v>
      </c>
      <c r="D108" s="333" t="s">
        <v>6017</v>
      </c>
      <c r="F108" t="str">
        <f t="shared" si="3"/>
        <v/>
      </c>
      <c r="G108" s="331" t="s">
        <v>7283</v>
      </c>
      <c r="H108" s="331" t="s">
        <v>7281</v>
      </c>
      <c r="I108" s="331" t="s">
        <v>7015</v>
      </c>
      <c r="J108" s="331" t="s">
        <v>6999</v>
      </c>
      <c r="K108" s="331" t="s">
        <v>6995</v>
      </c>
      <c r="L108" s="331" t="s">
        <v>6991</v>
      </c>
    </row>
    <row r="109" spans="1:12">
      <c r="A109">
        <v>86</v>
      </c>
      <c r="B109" s="330" t="str">
        <f t="shared" si="2"/>
        <v>El Pa</v>
      </c>
      <c r="C109" s="332" t="s">
        <v>7284</v>
      </c>
      <c r="D109" s="333" t="s">
        <v>6017</v>
      </c>
      <c r="F109" t="str">
        <f t="shared" si="3"/>
        <v/>
      </c>
      <c r="G109" s="331" t="s">
        <v>7285</v>
      </c>
      <c r="H109" s="331" t="s">
        <v>7281</v>
      </c>
      <c r="I109" s="331" t="s">
        <v>7015</v>
      </c>
      <c r="J109" s="331" t="s">
        <v>6999</v>
      </c>
      <c r="K109" s="331" t="s">
        <v>6995</v>
      </c>
      <c r="L109" s="331" t="s">
        <v>6991</v>
      </c>
    </row>
    <row r="110" spans="1:12">
      <c r="A110">
        <v>87</v>
      </c>
      <c r="B110" s="330" t="str">
        <f t="shared" si="2"/>
        <v>El Pa</v>
      </c>
      <c r="C110" s="332" t="s">
        <v>7286</v>
      </c>
      <c r="D110" s="333" t="s">
        <v>6017</v>
      </c>
      <c r="F110" t="str">
        <f t="shared" si="3"/>
        <v/>
      </c>
      <c r="G110" s="331" t="s">
        <v>7287</v>
      </c>
      <c r="H110" s="331" t="s">
        <v>7281</v>
      </c>
      <c r="I110" s="331" t="s">
        <v>7015</v>
      </c>
      <c r="J110" s="331" t="s">
        <v>6999</v>
      </c>
      <c r="K110" s="331" t="s">
        <v>6995</v>
      </c>
      <c r="L110" s="331" t="s">
        <v>6991</v>
      </c>
    </row>
    <row r="111" spans="1:12">
      <c r="A111">
        <v>88</v>
      </c>
      <c r="B111" s="330" t="str">
        <f t="shared" si="2"/>
        <v>El Pa</v>
      </c>
      <c r="C111" s="332" t="s">
        <v>7288</v>
      </c>
      <c r="D111" s="333" t="s">
        <v>6017</v>
      </c>
      <c r="F111" t="str">
        <f t="shared" si="3"/>
        <v/>
      </c>
      <c r="G111" s="331" t="s">
        <v>7289</v>
      </c>
      <c r="H111" s="331" t="s">
        <v>7281</v>
      </c>
      <c r="I111" s="331" t="s">
        <v>7015</v>
      </c>
      <c r="J111" s="331" t="s">
        <v>6999</v>
      </c>
      <c r="K111" s="331" t="s">
        <v>6995</v>
      </c>
      <c r="L111" s="331" t="s">
        <v>6991</v>
      </c>
    </row>
    <row r="112" spans="1:12">
      <c r="A112">
        <v>89</v>
      </c>
      <c r="B112" s="330" t="str">
        <f t="shared" si="2"/>
        <v>El Pa</v>
      </c>
      <c r="C112" s="332" t="s">
        <v>7290</v>
      </c>
      <c r="D112" s="333" t="s">
        <v>6017</v>
      </c>
      <c r="F112" t="str">
        <f t="shared" si="3"/>
        <v/>
      </c>
      <c r="G112" s="331" t="s">
        <v>7291</v>
      </c>
      <c r="H112" s="331" t="s">
        <v>7281</v>
      </c>
      <c r="I112" s="331" t="s">
        <v>7000</v>
      </c>
      <c r="J112" s="331" t="s">
        <v>6999</v>
      </c>
      <c r="K112" s="331" t="s">
        <v>6990</v>
      </c>
      <c r="L112" s="331" t="s">
        <v>6991</v>
      </c>
    </row>
    <row r="113" spans="1:12">
      <c r="A113">
        <v>90</v>
      </c>
      <c r="B113" s="330" t="str">
        <f t="shared" si="2"/>
        <v>El Pa</v>
      </c>
      <c r="C113" s="332" t="s">
        <v>7292</v>
      </c>
      <c r="D113" s="333" t="s">
        <v>6017</v>
      </c>
      <c r="F113" t="str">
        <f t="shared" si="3"/>
        <v/>
      </c>
      <c r="G113" s="331" t="s">
        <v>7293</v>
      </c>
      <c r="H113" s="331" t="s">
        <v>7281</v>
      </c>
      <c r="I113" s="331" t="s">
        <v>7000</v>
      </c>
      <c r="J113" s="331" t="s">
        <v>6999</v>
      </c>
      <c r="K113" s="331" t="s">
        <v>6990</v>
      </c>
      <c r="L113" s="331" t="s">
        <v>6991</v>
      </c>
    </row>
    <row r="114" spans="1:12">
      <c r="A114">
        <v>91</v>
      </c>
      <c r="B114" s="330" t="str">
        <f t="shared" si="2"/>
        <v>El Pa</v>
      </c>
      <c r="C114" s="332" t="s">
        <v>7294</v>
      </c>
      <c r="D114" s="333" t="s">
        <v>6017</v>
      </c>
      <c r="F114" t="str">
        <f t="shared" si="3"/>
        <v/>
      </c>
      <c r="G114" s="331" t="s">
        <v>7295</v>
      </c>
      <c r="H114" s="331" t="s">
        <v>7281</v>
      </c>
      <c r="I114" s="331" t="s">
        <v>7296</v>
      </c>
      <c r="J114" s="331" t="s">
        <v>6999</v>
      </c>
      <c r="K114" s="331" t="s">
        <v>7297</v>
      </c>
      <c r="L114" s="331" t="s">
        <v>6991</v>
      </c>
    </row>
    <row r="115" spans="1:12">
      <c r="A115">
        <v>92</v>
      </c>
      <c r="B115" s="330" t="str">
        <f t="shared" si="2"/>
        <v>El Pa</v>
      </c>
      <c r="C115" s="332" t="s">
        <v>7298</v>
      </c>
      <c r="D115" s="333" t="s">
        <v>6017</v>
      </c>
      <c r="F115" t="str">
        <f t="shared" si="3"/>
        <v/>
      </c>
      <c r="G115" s="331" t="s">
        <v>7299</v>
      </c>
      <c r="H115" s="331" t="s">
        <v>7281</v>
      </c>
      <c r="I115" s="331" t="s">
        <v>7000</v>
      </c>
      <c r="J115" s="331" t="s">
        <v>6999</v>
      </c>
      <c r="K115" s="331" t="s">
        <v>6990</v>
      </c>
      <c r="L115" s="331" t="s">
        <v>6991</v>
      </c>
    </row>
    <row r="116" spans="1:12">
      <c r="A116">
        <v>93</v>
      </c>
      <c r="B116" s="330" t="str">
        <f t="shared" si="2"/>
        <v>El Pa</v>
      </c>
      <c r="C116" s="332" t="s">
        <v>7300</v>
      </c>
      <c r="D116" s="333" t="s">
        <v>6017</v>
      </c>
      <c r="F116" t="str">
        <f t="shared" si="3"/>
        <v/>
      </c>
      <c r="G116" s="331" t="s">
        <v>7301</v>
      </c>
      <c r="H116" s="331" t="s">
        <v>7281</v>
      </c>
      <c r="I116" s="331" t="s">
        <v>7142</v>
      </c>
      <c r="J116" s="331" t="s">
        <v>6999</v>
      </c>
      <c r="K116" s="331" t="s">
        <v>7141</v>
      </c>
      <c r="L116" s="331" t="s">
        <v>6991</v>
      </c>
    </row>
    <row r="117" spans="1:12">
      <c r="A117">
        <v>94</v>
      </c>
      <c r="B117" s="330" t="str">
        <f t="shared" si="2"/>
        <v>El Pa</v>
      </c>
      <c r="C117" s="332" t="s">
        <v>7302</v>
      </c>
      <c r="D117" s="333" t="s">
        <v>6017</v>
      </c>
      <c r="F117" t="str">
        <f t="shared" si="3"/>
        <v/>
      </c>
      <c r="G117" s="331" t="s">
        <v>7303</v>
      </c>
      <c r="H117" s="331" t="s">
        <v>7281</v>
      </c>
      <c r="I117" s="331" t="s">
        <v>7015</v>
      </c>
      <c r="J117" s="331" t="s">
        <v>6999</v>
      </c>
      <c r="K117" s="331" t="s">
        <v>6995</v>
      </c>
      <c r="L117" s="331" t="s">
        <v>6991</v>
      </c>
    </row>
    <row r="118" spans="1:12">
      <c r="A118">
        <v>95</v>
      </c>
      <c r="B118" s="330" t="str">
        <f t="shared" si="2"/>
        <v>El Pa</v>
      </c>
      <c r="C118" s="332" t="s">
        <v>7304</v>
      </c>
      <c r="D118" s="333" t="s">
        <v>6017</v>
      </c>
      <c r="F118" t="str">
        <f t="shared" si="3"/>
        <v/>
      </c>
      <c r="G118" s="331" t="s">
        <v>7305</v>
      </c>
      <c r="H118" s="331" t="s">
        <v>7281</v>
      </c>
      <c r="I118" s="331" t="s">
        <v>7015</v>
      </c>
      <c r="J118" s="331" t="s">
        <v>6999</v>
      </c>
      <c r="K118" s="331" t="s">
        <v>6995</v>
      </c>
      <c r="L118" s="331" t="s">
        <v>6991</v>
      </c>
    </row>
    <row r="119" spans="1:12">
      <c r="A119">
        <v>96</v>
      </c>
      <c r="B119" s="330" t="str">
        <f t="shared" si="2"/>
        <v>El Pa</v>
      </c>
      <c r="C119" s="332" t="s">
        <v>7306</v>
      </c>
      <c r="D119" s="333" t="s">
        <v>6017</v>
      </c>
      <c r="F119" t="str">
        <f t="shared" si="3"/>
        <v/>
      </c>
      <c r="G119" s="331" t="s">
        <v>7307</v>
      </c>
      <c r="H119" s="331" t="s">
        <v>7281</v>
      </c>
      <c r="I119" s="331" t="s">
        <v>7015</v>
      </c>
      <c r="J119" s="331" t="s">
        <v>6999</v>
      </c>
      <c r="K119" s="331" t="s">
        <v>6995</v>
      </c>
      <c r="L119" s="331" t="s">
        <v>6991</v>
      </c>
    </row>
    <row r="120" spans="1:12">
      <c r="A120">
        <v>97</v>
      </c>
      <c r="B120" s="330" t="str">
        <f t="shared" si="2"/>
        <v>El Pa</v>
      </c>
      <c r="C120" s="332" t="s">
        <v>7308</v>
      </c>
      <c r="D120" s="333" t="s">
        <v>6017</v>
      </c>
      <c r="F120" t="str">
        <f t="shared" si="3"/>
        <v/>
      </c>
      <c r="G120" s="331" t="s">
        <v>7309</v>
      </c>
      <c r="H120" s="331" t="s">
        <v>7281</v>
      </c>
      <c r="I120" s="331" t="s">
        <v>7015</v>
      </c>
      <c r="J120" s="331" t="s">
        <v>6999</v>
      </c>
      <c r="K120" s="331" t="s">
        <v>6995</v>
      </c>
      <c r="L120" s="331" t="s">
        <v>6991</v>
      </c>
    </row>
    <row r="121" spans="1:12">
      <c r="A121">
        <v>98</v>
      </c>
      <c r="B121" s="330" t="str">
        <f t="shared" si="2"/>
        <v>El Pa</v>
      </c>
      <c r="C121" s="332" t="s">
        <v>7310</v>
      </c>
      <c r="D121" s="333" t="s">
        <v>6017</v>
      </c>
      <c r="F121" t="str">
        <f t="shared" si="3"/>
        <v/>
      </c>
      <c r="G121" s="331" t="s">
        <v>7311</v>
      </c>
      <c r="H121" s="331" t="s">
        <v>7281</v>
      </c>
      <c r="I121" s="331" t="s">
        <v>7312</v>
      </c>
      <c r="J121" s="331" t="s">
        <v>6999</v>
      </c>
      <c r="K121" s="331" t="s">
        <v>7273</v>
      </c>
      <c r="L121" s="331" t="s">
        <v>6991</v>
      </c>
    </row>
    <row r="122" spans="1:12">
      <c r="A122">
        <v>99</v>
      </c>
      <c r="B122" s="330" t="str">
        <f t="shared" si="2"/>
        <v>El Pa</v>
      </c>
      <c r="C122" s="332" t="s">
        <v>7313</v>
      </c>
      <c r="D122" s="333" t="s">
        <v>6017</v>
      </c>
      <c r="F122" t="str">
        <f t="shared" si="3"/>
        <v/>
      </c>
      <c r="G122" s="331" t="s">
        <v>7314</v>
      </c>
      <c r="H122" s="331" t="s">
        <v>7281</v>
      </c>
      <c r="I122" s="331" t="s">
        <v>7315</v>
      </c>
      <c r="J122" s="331" t="s">
        <v>6999</v>
      </c>
      <c r="K122" s="331" t="s">
        <v>7316</v>
      </c>
      <c r="L122" s="331" t="s">
        <v>6991</v>
      </c>
    </row>
    <row r="123" spans="1:12">
      <c r="A123">
        <v>100</v>
      </c>
      <c r="B123" s="330" t="str">
        <f t="shared" si="2"/>
        <v>El Pa</v>
      </c>
      <c r="C123" s="332" t="s">
        <v>7317</v>
      </c>
      <c r="D123" s="333" t="s">
        <v>6017</v>
      </c>
      <c r="F123" t="str">
        <f t="shared" si="3"/>
        <v/>
      </c>
      <c r="G123" s="331" t="s">
        <v>7318</v>
      </c>
      <c r="H123" s="331" t="s">
        <v>7281</v>
      </c>
      <c r="I123" s="331" t="s">
        <v>7319</v>
      </c>
      <c r="J123" s="331" t="s">
        <v>6999</v>
      </c>
      <c r="K123" s="331" t="s">
        <v>7320</v>
      </c>
      <c r="L123" s="331" t="s">
        <v>6991</v>
      </c>
    </row>
    <row r="124" spans="1:12">
      <c r="A124">
        <v>101</v>
      </c>
      <c r="B124" s="330" t="str">
        <f t="shared" si="2"/>
        <v>El Pa</v>
      </c>
      <c r="C124" s="332" t="s">
        <v>7321</v>
      </c>
      <c r="D124" s="333" t="s">
        <v>6017</v>
      </c>
      <c r="F124" t="str">
        <f t="shared" si="3"/>
        <v/>
      </c>
      <c r="G124" s="331" t="s">
        <v>7322</v>
      </c>
      <c r="H124" s="331" t="s">
        <v>7281</v>
      </c>
      <c r="I124" s="331" t="s">
        <v>7044</v>
      </c>
      <c r="J124" s="331" t="s">
        <v>6999</v>
      </c>
      <c r="K124" s="331" t="s">
        <v>7153</v>
      </c>
      <c r="L124" s="331" t="s">
        <v>6991</v>
      </c>
    </row>
    <row r="125" spans="1:12">
      <c r="A125">
        <v>103</v>
      </c>
      <c r="B125" s="330" t="str">
        <f t="shared" si="2"/>
        <v>El Pa</v>
      </c>
      <c r="C125" s="332" t="s">
        <v>7323</v>
      </c>
      <c r="D125" s="333" t="s">
        <v>6017</v>
      </c>
      <c r="F125">
        <f t="shared" si="3"/>
        <v>1</v>
      </c>
      <c r="G125" s="331" t="s">
        <v>7280</v>
      </c>
      <c r="H125" s="331" t="s">
        <v>7324</v>
      </c>
      <c r="I125" s="331" t="s">
        <v>6995</v>
      </c>
      <c r="J125" s="331" t="s">
        <v>6999</v>
      </c>
      <c r="K125" s="331" t="s">
        <v>7015</v>
      </c>
      <c r="L125" s="331" t="s">
        <v>6991</v>
      </c>
    </row>
    <row r="126" spans="1:12">
      <c r="A126">
        <v>104</v>
      </c>
      <c r="B126" s="330" t="str">
        <f t="shared" si="2"/>
        <v>El Pa</v>
      </c>
      <c r="C126" s="332" t="s">
        <v>7325</v>
      </c>
      <c r="D126" s="333" t="s">
        <v>6017</v>
      </c>
      <c r="F126" t="str">
        <f t="shared" si="3"/>
        <v/>
      </c>
      <c r="G126" s="331" t="s">
        <v>7326</v>
      </c>
      <c r="H126" s="331" t="s">
        <v>7324</v>
      </c>
      <c r="I126" s="331" t="s">
        <v>6995</v>
      </c>
      <c r="J126" s="331" t="s">
        <v>6999</v>
      </c>
      <c r="K126" s="331" t="s">
        <v>7015</v>
      </c>
      <c r="L126" s="331" t="s">
        <v>6991</v>
      </c>
    </row>
    <row r="127" spans="1:12">
      <c r="A127">
        <v>105</v>
      </c>
      <c r="B127" s="330" t="str">
        <f t="shared" si="2"/>
        <v>El Pa</v>
      </c>
      <c r="C127" s="332" t="s">
        <v>7327</v>
      </c>
      <c r="D127" s="333" t="s">
        <v>6017</v>
      </c>
      <c r="F127" t="str">
        <f t="shared" si="3"/>
        <v/>
      </c>
      <c r="G127" s="331" t="s">
        <v>7285</v>
      </c>
      <c r="H127" s="331" t="s">
        <v>7324</v>
      </c>
      <c r="I127" s="331" t="s">
        <v>6995</v>
      </c>
      <c r="J127" s="331" t="s">
        <v>6999</v>
      </c>
      <c r="K127" s="331" t="s">
        <v>7015</v>
      </c>
      <c r="L127" s="331" t="s">
        <v>6991</v>
      </c>
    </row>
    <row r="128" spans="1:12">
      <c r="A128">
        <v>106</v>
      </c>
      <c r="B128" s="330" t="str">
        <f t="shared" si="2"/>
        <v>El Pa</v>
      </c>
      <c r="C128" s="332" t="s">
        <v>7328</v>
      </c>
      <c r="D128" s="333" t="s">
        <v>6017</v>
      </c>
      <c r="F128" t="str">
        <f t="shared" si="3"/>
        <v/>
      </c>
      <c r="G128" s="331" t="s">
        <v>7329</v>
      </c>
      <c r="H128" s="331" t="s">
        <v>7324</v>
      </c>
      <c r="I128" s="331" t="s">
        <v>7330</v>
      </c>
      <c r="J128" s="331" t="s">
        <v>6999</v>
      </c>
      <c r="K128" s="331" t="s">
        <v>7331</v>
      </c>
      <c r="L128" s="331" t="s">
        <v>6991</v>
      </c>
    </row>
    <row r="129" spans="1:12">
      <c r="A129">
        <v>107</v>
      </c>
      <c r="B129" s="330" t="str">
        <f t="shared" ref="B129:B192" si="4">LEFT(C129,MAX(5,FIND(" ",C129)))</f>
        <v>El Pa</v>
      </c>
      <c r="C129" s="332" t="s">
        <v>7332</v>
      </c>
      <c r="D129" s="333" t="s">
        <v>6017</v>
      </c>
      <c r="F129" t="str">
        <f t="shared" si="3"/>
        <v/>
      </c>
      <c r="G129" s="331" t="s">
        <v>7301</v>
      </c>
      <c r="H129" s="331" t="s">
        <v>7324</v>
      </c>
      <c r="I129" s="331" t="s">
        <v>7142</v>
      </c>
      <c r="J129" s="331" t="s">
        <v>6999</v>
      </c>
      <c r="K129" s="331" t="s">
        <v>7141</v>
      </c>
      <c r="L129" s="331" t="s">
        <v>6991</v>
      </c>
    </row>
    <row r="130" spans="1:12">
      <c r="A130">
        <v>108</v>
      </c>
      <c r="B130" s="330" t="str">
        <f t="shared" si="4"/>
        <v>El Pa</v>
      </c>
      <c r="C130" s="332" t="s">
        <v>7333</v>
      </c>
      <c r="D130" s="333" t="s">
        <v>6017</v>
      </c>
      <c r="F130" t="str">
        <f t="shared" si="3"/>
        <v/>
      </c>
      <c r="G130" s="331" t="s">
        <v>7303</v>
      </c>
      <c r="H130" s="331" t="s">
        <v>7324</v>
      </c>
      <c r="I130" s="331" t="s">
        <v>7015</v>
      </c>
      <c r="J130" s="331" t="s">
        <v>6999</v>
      </c>
      <c r="K130" s="331" t="s">
        <v>6995</v>
      </c>
      <c r="L130" s="331" t="s">
        <v>6991</v>
      </c>
    </row>
    <row r="131" spans="1:12">
      <c r="A131">
        <v>109</v>
      </c>
      <c r="B131" s="330" t="str">
        <f t="shared" si="4"/>
        <v>El Pa</v>
      </c>
      <c r="C131" s="332" t="s">
        <v>7334</v>
      </c>
      <c r="D131" s="333" t="s">
        <v>6017</v>
      </c>
      <c r="F131" t="str">
        <f t="shared" si="3"/>
        <v/>
      </c>
      <c r="G131" s="331" t="s">
        <v>7227</v>
      </c>
      <c r="H131" s="331" t="s">
        <v>7324</v>
      </c>
      <c r="I131" s="331" t="s">
        <v>6995</v>
      </c>
      <c r="J131" s="331" t="s">
        <v>6999</v>
      </c>
      <c r="K131" s="331" t="s">
        <v>7015</v>
      </c>
      <c r="L131" s="331" t="s">
        <v>6991</v>
      </c>
    </row>
    <row r="132" spans="1:12">
      <c r="A132">
        <v>110</v>
      </c>
      <c r="B132" s="330" t="str">
        <f t="shared" si="4"/>
        <v>El Pa</v>
      </c>
      <c r="C132" s="332" t="s">
        <v>7335</v>
      </c>
      <c r="D132" s="333" t="s">
        <v>6017</v>
      </c>
      <c r="F132" t="str">
        <f t="shared" ref="F132:F195" si="5">IF(H132=H131,"",1)</f>
        <v/>
      </c>
      <c r="G132" s="331" t="s">
        <v>7311</v>
      </c>
      <c r="H132" s="331" t="s">
        <v>7324</v>
      </c>
      <c r="I132" s="331" t="s">
        <v>7312</v>
      </c>
      <c r="J132" s="331" t="s">
        <v>6999</v>
      </c>
      <c r="K132" s="331" t="s">
        <v>7273</v>
      </c>
      <c r="L132" s="331" t="s">
        <v>6991</v>
      </c>
    </row>
    <row r="133" spans="1:12">
      <c r="A133">
        <v>111</v>
      </c>
      <c r="B133" s="330" t="str">
        <f t="shared" si="4"/>
        <v>El Pa</v>
      </c>
      <c r="C133" s="332" t="s">
        <v>7336</v>
      </c>
      <c r="D133" s="333" t="s">
        <v>6017</v>
      </c>
      <c r="F133" t="str">
        <f t="shared" si="5"/>
        <v/>
      </c>
      <c r="G133" s="331" t="s">
        <v>7337</v>
      </c>
      <c r="H133" s="331" t="s">
        <v>7324</v>
      </c>
      <c r="I133" s="331" t="s">
        <v>7338</v>
      </c>
      <c r="J133" s="331" t="s">
        <v>6999</v>
      </c>
      <c r="K133" s="331" t="s">
        <v>7339</v>
      </c>
      <c r="L133" s="331" t="s">
        <v>6991</v>
      </c>
    </row>
    <row r="134" spans="1:12">
      <c r="A134">
        <v>112</v>
      </c>
      <c r="B134" s="330" t="str">
        <f t="shared" si="4"/>
        <v>El Pa</v>
      </c>
      <c r="C134" s="332" t="s">
        <v>7340</v>
      </c>
      <c r="D134" s="333" t="s">
        <v>6017</v>
      </c>
      <c r="F134" t="str">
        <f t="shared" si="5"/>
        <v/>
      </c>
      <c r="G134" s="331" t="s">
        <v>7318</v>
      </c>
      <c r="H134" s="331" t="s">
        <v>7324</v>
      </c>
      <c r="I134" s="331" t="s">
        <v>7319</v>
      </c>
      <c r="J134" s="331" t="s">
        <v>6999</v>
      </c>
      <c r="K134" s="331" t="s">
        <v>7320</v>
      </c>
      <c r="L134" s="331" t="s">
        <v>6991</v>
      </c>
    </row>
    <row r="135" spans="1:12">
      <c r="A135">
        <v>113</v>
      </c>
      <c r="B135" s="330" t="str">
        <f t="shared" si="4"/>
        <v>El Pa</v>
      </c>
      <c r="C135" s="332" t="s">
        <v>7341</v>
      </c>
      <c r="D135" s="333" t="s">
        <v>6017</v>
      </c>
      <c r="F135" t="str">
        <f t="shared" si="5"/>
        <v/>
      </c>
      <c r="G135" s="331" t="s">
        <v>7322</v>
      </c>
      <c r="H135" s="331" t="s">
        <v>7324</v>
      </c>
      <c r="I135" s="331" t="s">
        <v>7044</v>
      </c>
      <c r="J135" s="331" t="s">
        <v>6999</v>
      </c>
      <c r="K135" s="331" t="s">
        <v>7153</v>
      </c>
      <c r="L135" s="331" t="s">
        <v>6991</v>
      </c>
    </row>
    <row r="136" spans="1:12">
      <c r="A136">
        <v>173</v>
      </c>
      <c r="B136" s="330" t="str">
        <f t="shared" si="4"/>
        <v>El Pa</v>
      </c>
      <c r="C136" s="332" t="s">
        <v>7342</v>
      </c>
      <c r="D136" s="333" t="s">
        <v>6017</v>
      </c>
      <c r="F136">
        <f t="shared" si="5"/>
        <v>1</v>
      </c>
      <c r="G136" s="331" t="s">
        <v>7343</v>
      </c>
      <c r="H136" s="331" t="s">
        <v>7344</v>
      </c>
      <c r="I136" s="331" t="s">
        <v>6995</v>
      </c>
      <c r="J136" s="331" t="s">
        <v>6999</v>
      </c>
      <c r="K136" s="331" t="s">
        <v>7015</v>
      </c>
      <c r="L136" s="331" t="s">
        <v>6991</v>
      </c>
    </row>
    <row r="137" spans="1:12">
      <c r="A137">
        <v>174</v>
      </c>
      <c r="B137" s="330" t="str">
        <f t="shared" si="4"/>
        <v>El Pa</v>
      </c>
      <c r="C137" s="332" t="s">
        <v>7345</v>
      </c>
      <c r="D137" s="333" t="s">
        <v>6017</v>
      </c>
      <c r="F137" t="str">
        <f t="shared" si="5"/>
        <v/>
      </c>
      <c r="G137" s="331" t="s">
        <v>7221</v>
      </c>
      <c r="H137" s="331" t="s">
        <v>7344</v>
      </c>
      <c r="I137" s="331" t="s">
        <v>7015</v>
      </c>
      <c r="J137" s="331" t="s">
        <v>6999</v>
      </c>
      <c r="K137" s="331" t="s">
        <v>6995</v>
      </c>
      <c r="L137" s="331" t="s">
        <v>6991</v>
      </c>
    </row>
    <row r="138" spans="1:12">
      <c r="A138">
        <v>175</v>
      </c>
      <c r="B138" s="330" t="str">
        <f t="shared" si="4"/>
        <v>El Pa</v>
      </c>
      <c r="C138" s="332" t="s">
        <v>7346</v>
      </c>
      <c r="D138" s="333" t="s">
        <v>6017</v>
      </c>
      <c r="F138" t="str">
        <f t="shared" si="5"/>
        <v/>
      </c>
      <c r="G138" s="331" t="s">
        <v>7347</v>
      </c>
      <c r="H138" s="331" t="s">
        <v>7344</v>
      </c>
      <c r="I138" s="331" t="s">
        <v>6995</v>
      </c>
      <c r="J138" s="331" t="s">
        <v>6999</v>
      </c>
      <c r="K138" s="331" t="s">
        <v>7015</v>
      </c>
      <c r="L138" s="331" t="s">
        <v>6991</v>
      </c>
    </row>
    <row r="139" spans="1:12">
      <c r="A139">
        <v>176</v>
      </c>
      <c r="B139" s="330" t="str">
        <f t="shared" si="4"/>
        <v>El Pa</v>
      </c>
      <c r="C139" s="332" t="s">
        <v>7348</v>
      </c>
      <c r="D139" s="333" t="s">
        <v>6017</v>
      </c>
      <c r="F139" t="str">
        <f t="shared" si="5"/>
        <v/>
      </c>
      <c r="G139" s="331" t="s">
        <v>7349</v>
      </c>
      <c r="H139" s="331" t="s">
        <v>7344</v>
      </c>
      <c r="I139" s="331" t="s">
        <v>7015</v>
      </c>
      <c r="J139" s="331" t="s">
        <v>6999</v>
      </c>
      <c r="K139" s="331" t="s">
        <v>6995</v>
      </c>
      <c r="L139" s="331" t="s">
        <v>6991</v>
      </c>
    </row>
    <row r="140" spans="1:12">
      <c r="A140">
        <v>177</v>
      </c>
      <c r="B140" s="330" t="str">
        <f t="shared" si="4"/>
        <v>El Pa</v>
      </c>
      <c r="C140" s="334" t="s">
        <v>7350</v>
      </c>
      <c r="D140" s="333" t="s">
        <v>6017</v>
      </c>
      <c r="E140" s="333" t="s">
        <v>7012</v>
      </c>
      <c r="F140" t="str">
        <f t="shared" si="5"/>
        <v/>
      </c>
      <c r="G140" s="331" t="s">
        <v>7351</v>
      </c>
      <c r="H140" s="331" t="s">
        <v>7344</v>
      </c>
      <c r="I140" s="331" t="s">
        <v>7015</v>
      </c>
      <c r="J140" s="331" t="s">
        <v>6999</v>
      </c>
      <c r="K140" s="331" t="s">
        <v>6995</v>
      </c>
      <c r="L140" s="331" t="s">
        <v>6991</v>
      </c>
    </row>
    <row r="141" spans="1:12">
      <c r="A141">
        <v>178</v>
      </c>
      <c r="B141" s="330" t="str">
        <f t="shared" si="4"/>
        <v>El Pa</v>
      </c>
      <c r="C141" s="332" t="s">
        <v>7352</v>
      </c>
      <c r="D141" s="333" t="s">
        <v>6017</v>
      </c>
      <c r="F141" t="str">
        <f t="shared" si="5"/>
        <v/>
      </c>
      <c r="G141" s="331" t="s">
        <v>7353</v>
      </c>
      <c r="H141" s="331" t="s">
        <v>7344</v>
      </c>
      <c r="I141" s="331" t="s">
        <v>7331</v>
      </c>
      <c r="J141" s="331" t="s">
        <v>6999</v>
      </c>
      <c r="K141" s="331" t="s">
        <v>7330</v>
      </c>
      <c r="L141" s="331" t="s">
        <v>6991</v>
      </c>
    </row>
    <row r="142" spans="1:12">
      <c r="A142">
        <v>179</v>
      </c>
      <c r="B142" s="330" t="str">
        <f t="shared" si="4"/>
        <v>El Pa</v>
      </c>
      <c r="C142" s="332" t="s">
        <v>7354</v>
      </c>
      <c r="D142" s="333" t="s">
        <v>6017</v>
      </c>
      <c r="F142" t="str">
        <f t="shared" si="5"/>
        <v/>
      </c>
      <c r="G142" s="331" t="s">
        <v>7355</v>
      </c>
      <c r="H142" s="331" t="s">
        <v>7344</v>
      </c>
      <c r="I142" s="331" t="s">
        <v>6995</v>
      </c>
      <c r="J142" s="331" t="s">
        <v>6999</v>
      </c>
      <c r="K142" s="331" t="s">
        <v>7015</v>
      </c>
      <c r="L142" s="331" t="s">
        <v>6991</v>
      </c>
    </row>
    <row r="143" spans="1:12">
      <c r="A143">
        <v>180</v>
      </c>
      <c r="B143" s="330" t="str">
        <f t="shared" si="4"/>
        <v>El Pa</v>
      </c>
      <c r="C143" s="332" t="s">
        <v>7356</v>
      </c>
      <c r="D143" s="333" t="s">
        <v>6017</v>
      </c>
      <c r="F143" t="str">
        <f t="shared" si="5"/>
        <v/>
      </c>
      <c r="G143" s="331" t="s">
        <v>7357</v>
      </c>
      <c r="H143" s="331" t="s">
        <v>7344</v>
      </c>
      <c r="I143" s="331" t="s">
        <v>7015</v>
      </c>
      <c r="J143" s="331" t="s">
        <v>6999</v>
      </c>
      <c r="K143" s="331" t="s">
        <v>6995</v>
      </c>
      <c r="L143" s="331" t="s">
        <v>6991</v>
      </c>
    </row>
    <row r="144" spans="1:12">
      <c r="A144">
        <v>181</v>
      </c>
      <c r="B144" s="330" t="str">
        <f t="shared" si="4"/>
        <v>El Pa</v>
      </c>
      <c r="C144" s="332" t="s">
        <v>7358</v>
      </c>
      <c r="D144" s="333" t="s">
        <v>6017</v>
      </c>
      <c r="F144" t="str">
        <f t="shared" si="5"/>
        <v/>
      </c>
      <c r="G144" s="331" t="s">
        <v>7359</v>
      </c>
      <c r="H144" s="331" t="s">
        <v>7344</v>
      </c>
      <c r="I144" s="331" t="s">
        <v>6995</v>
      </c>
      <c r="J144" s="331" t="s">
        <v>6999</v>
      </c>
      <c r="K144" s="331" t="s">
        <v>7015</v>
      </c>
      <c r="L144" s="331" t="s">
        <v>6991</v>
      </c>
    </row>
    <row r="145" spans="1:12">
      <c r="A145">
        <v>182</v>
      </c>
      <c r="B145" s="330" t="str">
        <f t="shared" si="4"/>
        <v>El Pa</v>
      </c>
      <c r="C145" s="332" t="s">
        <v>7360</v>
      </c>
      <c r="D145" s="333" t="s">
        <v>6017</v>
      </c>
      <c r="F145" t="str">
        <f t="shared" si="5"/>
        <v/>
      </c>
      <c r="G145" s="331" t="s">
        <v>7361</v>
      </c>
      <c r="H145" s="331" t="s">
        <v>7344</v>
      </c>
      <c r="I145" s="331" t="s">
        <v>7273</v>
      </c>
      <c r="J145" s="331" t="s">
        <v>6999</v>
      </c>
      <c r="K145" s="331" t="s">
        <v>7312</v>
      </c>
      <c r="L145" s="331" t="s">
        <v>6991</v>
      </c>
    </row>
    <row r="146" spans="1:12">
      <c r="A146">
        <v>115</v>
      </c>
      <c r="B146" s="330" t="str">
        <f t="shared" si="4"/>
        <v>El Pa</v>
      </c>
      <c r="C146" s="332" t="s">
        <v>7362</v>
      </c>
      <c r="D146" s="333" t="s">
        <v>6017</v>
      </c>
      <c r="F146">
        <f t="shared" si="5"/>
        <v>1</v>
      </c>
      <c r="G146" s="331" t="s">
        <v>7283</v>
      </c>
      <c r="H146" s="331" t="s">
        <v>7363</v>
      </c>
      <c r="I146" s="331" t="s">
        <v>6995</v>
      </c>
      <c r="J146" s="331" t="s">
        <v>6999</v>
      </c>
      <c r="K146" s="331" t="s">
        <v>7015</v>
      </c>
      <c r="L146" s="331" t="s">
        <v>6991</v>
      </c>
    </row>
    <row r="147" spans="1:12">
      <c r="A147">
        <v>116</v>
      </c>
      <c r="B147" s="330" t="str">
        <f t="shared" si="4"/>
        <v>El Pa</v>
      </c>
      <c r="C147" s="332" t="s">
        <v>7364</v>
      </c>
      <c r="D147" s="333" t="s">
        <v>6017</v>
      </c>
      <c r="F147" t="str">
        <f t="shared" si="5"/>
        <v/>
      </c>
      <c r="G147" s="331" t="s">
        <v>7285</v>
      </c>
      <c r="H147" s="331" t="s">
        <v>7363</v>
      </c>
      <c r="I147" s="331" t="s">
        <v>7015</v>
      </c>
      <c r="J147" s="331" t="s">
        <v>6999</v>
      </c>
      <c r="K147" s="331" t="s">
        <v>6995</v>
      </c>
      <c r="L147" s="331" t="s">
        <v>6991</v>
      </c>
    </row>
    <row r="148" spans="1:12">
      <c r="A148">
        <v>117</v>
      </c>
      <c r="B148" s="330" t="str">
        <f t="shared" si="4"/>
        <v>El Pa</v>
      </c>
      <c r="C148" s="332" t="s">
        <v>7365</v>
      </c>
      <c r="D148" s="333" t="s">
        <v>6017</v>
      </c>
      <c r="F148" t="str">
        <f t="shared" si="5"/>
        <v/>
      </c>
      <c r="G148" s="331" t="s">
        <v>7287</v>
      </c>
      <c r="H148" s="331" t="s">
        <v>7363</v>
      </c>
      <c r="I148" s="331" t="s">
        <v>6995</v>
      </c>
      <c r="J148" s="331" t="s">
        <v>6991</v>
      </c>
    </row>
    <row r="149" spans="1:12">
      <c r="A149">
        <v>118</v>
      </c>
      <c r="B149" s="330" t="str">
        <f t="shared" si="4"/>
        <v>El Pa</v>
      </c>
      <c r="C149" s="332" t="s">
        <v>7366</v>
      </c>
      <c r="D149" s="333" t="s">
        <v>6017</v>
      </c>
      <c r="F149" t="str">
        <f t="shared" si="5"/>
        <v/>
      </c>
      <c r="G149" s="331" t="s">
        <v>7289</v>
      </c>
      <c r="H149" s="331" t="s">
        <v>7363</v>
      </c>
      <c r="I149" s="331" t="s">
        <v>7015</v>
      </c>
      <c r="J149" s="331" t="s">
        <v>6991</v>
      </c>
    </row>
    <row r="150" spans="1:12">
      <c r="A150">
        <v>119</v>
      </c>
      <c r="B150" s="330" t="str">
        <f t="shared" si="4"/>
        <v>El Pa</v>
      </c>
      <c r="C150" s="334" t="s">
        <v>7367</v>
      </c>
      <c r="D150" s="333" t="s">
        <v>6017</v>
      </c>
      <c r="E150" s="333" t="s">
        <v>7012</v>
      </c>
      <c r="F150" t="str">
        <f t="shared" si="5"/>
        <v/>
      </c>
      <c r="G150" s="331" t="s">
        <v>7218</v>
      </c>
      <c r="H150" s="331" t="s">
        <v>7363</v>
      </c>
      <c r="I150" s="331" t="s">
        <v>7015</v>
      </c>
      <c r="J150" s="331" t="s">
        <v>6991</v>
      </c>
    </row>
    <row r="151" spans="1:12">
      <c r="A151">
        <v>120</v>
      </c>
      <c r="B151" s="330" t="str">
        <f t="shared" si="4"/>
        <v>El Pa</v>
      </c>
      <c r="C151" s="332" t="s">
        <v>7368</v>
      </c>
      <c r="D151" s="333" t="s">
        <v>6017</v>
      </c>
      <c r="F151" t="str">
        <f t="shared" si="5"/>
        <v/>
      </c>
      <c r="G151" s="331" t="s">
        <v>7369</v>
      </c>
      <c r="H151" s="331" t="s">
        <v>7363</v>
      </c>
      <c r="I151" s="331" t="s">
        <v>6990</v>
      </c>
      <c r="J151" s="331" t="s">
        <v>6991</v>
      </c>
    </row>
    <row r="152" spans="1:12">
      <c r="A152">
        <v>121</v>
      </c>
      <c r="B152" s="330" t="str">
        <f t="shared" si="4"/>
        <v>El Pa</v>
      </c>
      <c r="C152" s="332" t="s">
        <v>7370</v>
      </c>
      <c r="D152" s="333" t="s">
        <v>6017</v>
      </c>
      <c r="F152" t="str">
        <f t="shared" si="5"/>
        <v/>
      </c>
      <c r="G152" s="331" t="s">
        <v>7371</v>
      </c>
      <c r="H152" s="331" t="s">
        <v>7363</v>
      </c>
      <c r="I152" s="331" t="s">
        <v>6990</v>
      </c>
      <c r="J152" s="331" t="s">
        <v>6991</v>
      </c>
    </row>
    <row r="153" spans="1:12">
      <c r="A153">
        <v>122</v>
      </c>
      <c r="B153" s="330" t="str">
        <f t="shared" si="4"/>
        <v>El Pa</v>
      </c>
      <c r="C153" s="332" t="s">
        <v>7372</v>
      </c>
      <c r="D153" s="333" t="s">
        <v>6017</v>
      </c>
      <c r="F153" t="str">
        <f t="shared" si="5"/>
        <v/>
      </c>
      <c r="G153" s="331" t="s">
        <v>7373</v>
      </c>
      <c r="H153" s="331" t="s">
        <v>7363</v>
      </c>
      <c r="I153" s="331" t="s">
        <v>7232</v>
      </c>
      <c r="J153" s="331" t="s">
        <v>6991</v>
      </c>
    </row>
    <row r="154" spans="1:12">
      <c r="A154">
        <v>123</v>
      </c>
      <c r="B154" s="330" t="str">
        <f t="shared" si="4"/>
        <v>El Pa</v>
      </c>
      <c r="C154" s="332" t="s">
        <v>7374</v>
      </c>
      <c r="D154" s="333" t="s">
        <v>6017</v>
      </c>
      <c r="F154" t="str">
        <f t="shared" si="5"/>
        <v/>
      </c>
      <c r="G154" s="331" t="s">
        <v>7375</v>
      </c>
      <c r="H154" s="331" t="s">
        <v>7363</v>
      </c>
      <c r="I154" s="331" t="s">
        <v>7000</v>
      </c>
      <c r="J154" s="331" t="s">
        <v>6991</v>
      </c>
    </row>
    <row r="155" spans="1:12">
      <c r="A155">
        <v>124</v>
      </c>
      <c r="B155" s="330" t="str">
        <f t="shared" si="4"/>
        <v>El Pa</v>
      </c>
      <c r="C155" s="332" t="s">
        <v>7376</v>
      </c>
      <c r="D155" s="333" t="s">
        <v>6017</v>
      </c>
      <c r="F155" t="str">
        <f t="shared" si="5"/>
        <v/>
      </c>
      <c r="G155" s="331" t="s">
        <v>7291</v>
      </c>
      <c r="H155" s="331" t="s">
        <v>7363</v>
      </c>
      <c r="I155" s="331" t="s">
        <v>7000</v>
      </c>
      <c r="J155" s="331" t="s">
        <v>6991</v>
      </c>
    </row>
    <row r="156" spans="1:12">
      <c r="A156">
        <v>125</v>
      </c>
      <c r="B156" s="330" t="str">
        <f t="shared" si="4"/>
        <v>El Pa</v>
      </c>
      <c r="C156" s="332" t="s">
        <v>7377</v>
      </c>
      <c r="D156" s="333" t="s">
        <v>6017</v>
      </c>
      <c r="F156" t="str">
        <f t="shared" si="5"/>
        <v/>
      </c>
      <c r="G156" s="331" t="s">
        <v>7378</v>
      </c>
      <c r="H156" s="331" t="s">
        <v>7363</v>
      </c>
      <c r="I156" s="331" t="s">
        <v>7000</v>
      </c>
      <c r="J156" s="331" t="s">
        <v>6991</v>
      </c>
    </row>
    <row r="157" spans="1:12">
      <c r="A157">
        <v>126</v>
      </c>
      <c r="B157" s="330" t="str">
        <f t="shared" si="4"/>
        <v>El Pa</v>
      </c>
      <c r="C157" s="332" t="s">
        <v>7379</v>
      </c>
      <c r="D157" s="333" t="s">
        <v>6017</v>
      </c>
      <c r="F157" t="str">
        <f t="shared" si="5"/>
        <v/>
      </c>
      <c r="G157" s="331" t="s">
        <v>7380</v>
      </c>
      <c r="H157" s="331" t="s">
        <v>7363</v>
      </c>
      <c r="I157" s="331" t="s">
        <v>7000</v>
      </c>
      <c r="J157" s="331" t="s">
        <v>6991</v>
      </c>
    </row>
    <row r="158" spans="1:12">
      <c r="A158">
        <v>127</v>
      </c>
      <c r="B158" s="330" t="str">
        <f t="shared" si="4"/>
        <v>El Pa</v>
      </c>
      <c r="C158" s="332" t="s">
        <v>7381</v>
      </c>
      <c r="D158" s="333" t="s">
        <v>6017</v>
      </c>
      <c r="F158" t="str">
        <f t="shared" si="5"/>
        <v/>
      </c>
      <c r="G158" s="331" t="s">
        <v>7382</v>
      </c>
      <c r="H158" s="331" t="s">
        <v>7363</v>
      </c>
      <c r="I158" s="331" t="s">
        <v>7000</v>
      </c>
      <c r="J158" s="331" t="s">
        <v>6991</v>
      </c>
    </row>
    <row r="159" spans="1:12">
      <c r="A159">
        <v>128</v>
      </c>
      <c r="B159" s="330" t="str">
        <f t="shared" si="4"/>
        <v>El Pa</v>
      </c>
      <c r="C159" s="332" t="s">
        <v>7383</v>
      </c>
      <c r="D159" s="333" t="s">
        <v>6017</v>
      </c>
      <c r="F159" t="str">
        <f t="shared" si="5"/>
        <v/>
      </c>
      <c r="G159" s="331" t="s">
        <v>7293</v>
      </c>
      <c r="H159" s="331" t="s">
        <v>7363</v>
      </c>
      <c r="I159" s="331" t="s">
        <v>7000</v>
      </c>
      <c r="J159" s="331" t="s">
        <v>6991</v>
      </c>
    </row>
    <row r="160" spans="1:12">
      <c r="A160">
        <v>129</v>
      </c>
      <c r="B160" s="330" t="str">
        <f t="shared" si="4"/>
        <v>El Pa</v>
      </c>
      <c r="C160" s="332" t="s">
        <v>7384</v>
      </c>
      <c r="D160" s="333" t="s">
        <v>6017</v>
      </c>
      <c r="F160" t="str">
        <f t="shared" si="5"/>
        <v/>
      </c>
      <c r="G160" s="331" t="s">
        <v>7385</v>
      </c>
      <c r="H160" s="331" t="s">
        <v>7363</v>
      </c>
      <c r="I160" s="331" t="s">
        <v>7000</v>
      </c>
      <c r="J160" s="331" t="s">
        <v>6991</v>
      </c>
    </row>
    <row r="161" spans="1:12">
      <c r="A161">
        <v>130</v>
      </c>
      <c r="B161" s="330" t="str">
        <f t="shared" si="4"/>
        <v>El Pa</v>
      </c>
      <c r="C161" s="332" t="s">
        <v>7386</v>
      </c>
      <c r="D161" s="333" t="s">
        <v>6017</v>
      </c>
      <c r="F161" t="str">
        <f t="shared" si="5"/>
        <v/>
      </c>
      <c r="G161" s="331" t="s">
        <v>7387</v>
      </c>
      <c r="H161" s="331" t="s">
        <v>7363</v>
      </c>
      <c r="I161" s="331" t="s">
        <v>7000</v>
      </c>
      <c r="J161" s="331" t="s">
        <v>6991</v>
      </c>
    </row>
    <row r="162" spans="1:12">
      <c r="A162">
        <v>131</v>
      </c>
      <c r="B162" s="330" t="str">
        <f t="shared" si="4"/>
        <v>El Pa</v>
      </c>
      <c r="C162" s="332" t="s">
        <v>7388</v>
      </c>
      <c r="D162" s="333" t="s">
        <v>6017</v>
      </c>
      <c r="F162" t="str">
        <f t="shared" si="5"/>
        <v/>
      </c>
      <c r="G162" s="331" t="s">
        <v>7389</v>
      </c>
      <c r="H162" s="331" t="s">
        <v>7363</v>
      </c>
      <c r="I162" s="331" t="s">
        <v>7000</v>
      </c>
      <c r="J162" s="331" t="s">
        <v>6991</v>
      </c>
    </row>
    <row r="163" spans="1:12">
      <c r="A163">
        <v>132</v>
      </c>
      <c r="B163" s="330" t="str">
        <f t="shared" si="4"/>
        <v>El Pa</v>
      </c>
      <c r="C163" s="332" t="s">
        <v>7390</v>
      </c>
      <c r="D163" s="333" t="s">
        <v>6017</v>
      </c>
      <c r="F163" t="str">
        <f t="shared" si="5"/>
        <v/>
      </c>
      <c r="G163" s="331" t="s">
        <v>7391</v>
      </c>
      <c r="H163" s="331" t="s">
        <v>7363</v>
      </c>
      <c r="I163" s="331" t="s">
        <v>6990</v>
      </c>
      <c r="J163" s="331" t="s">
        <v>6991</v>
      </c>
    </row>
    <row r="164" spans="1:12">
      <c r="A164">
        <v>133</v>
      </c>
      <c r="B164" s="330" t="str">
        <f t="shared" si="4"/>
        <v>El Pa</v>
      </c>
      <c r="C164" s="332" t="s">
        <v>7392</v>
      </c>
      <c r="D164" s="333" t="s">
        <v>6017</v>
      </c>
      <c r="F164" t="str">
        <f t="shared" si="5"/>
        <v/>
      </c>
      <c r="G164" s="331" t="s">
        <v>7299</v>
      </c>
      <c r="H164" s="331" t="s">
        <v>7363</v>
      </c>
      <c r="I164" s="331" t="s">
        <v>6990</v>
      </c>
      <c r="J164" s="331" t="s">
        <v>6991</v>
      </c>
    </row>
    <row r="165" spans="1:12">
      <c r="A165">
        <v>134</v>
      </c>
      <c r="B165" s="330" t="str">
        <f t="shared" si="4"/>
        <v>El Pa</v>
      </c>
      <c r="C165" s="332" t="s">
        <v>7393</v>
      </c>
      <c r="D165" s="333" t="s">
        <v>6017</v>
      </c>
      <c r="F165" t="str">
        <f t="shared" si="5"/>
        <v/>
      </c>
      <c r="G165" s="331" t="s">
        <v>7301</v>
      </c>
      <c r="H165" s="331" t="s">
        <v>7363</v>
      </c>
      <c r="I165" s="331" t="s">
        <v>7141</v>
      </c>
      <c r="J165" s="331" t="s">
        <v>6999</v>
      </c>
      <c r="K165" s="331" t="s">
        <v>7142</v>
      </c>
      <c r="L165" s="331" t="s">
        <v>6991</v>
      </c>
    </row>
    <row r="166" spans="1:12">
      <c r="A166">
        <v>135</v>
      </c>
      <c r="B166" s="330" t="str">
        <f t="shared" si="4"/>
        <v>El Pa</v>
      </c>
      <c r="C166" s="332" t="s">
        <v>7394</v>
      </c>
      <c r="D166" s="333" t="s">
        <v>6017</v>
      </c>
      <c r="F166" t="str">
        <f t="shared" si="5"/>
        <v/>
      </c>
      <c r="G166" s="331" t="s">
        <v>7395</v>
      </c>
      <c r="H166" s="331" t="s">
        <v>7363</v>
      </c>
      <c r="I166" s="331" t="s">
        <v>6995</v>
      </c>
      <c r="J166" s="331" t="s">
        <v>6991</v>
      </c>
    </row>
    <row r="167" spans="1:12">
      <c r="A167">
        <v>136</v>
      </c>
      <c r="B167" s="330" t="str">
        <f t="shared" si="4"/>
        <v>El Pa</v>
      </c>
      <c r="C167" s="332" t="s">
        <v>7396</v>
      </c>
      <c r="D167" s="333" t="s">
        <v>6017</v>
      </c>
      <c r="F167" t="str">
        <f t="shared" si="5"/>
        <v/>
      </c>
      <c r="G167" s="331" t="s">
        <v>7303</v>
      </c>
      <c r="H167" s="331" t="s">
        <v>7363</v>
      </c>
      <c r="I167" s="331" t="s">
        <v>6995</v>
      </c>
      <c r="J167" s="331" t="s">
        <v>6991</v>
      </c>
    </row>
    <row r="168" spans="1:12">
      <c r="A168">
        <v>137</v>
      </c>
      <c r="B168" s="330" t="str">
        <f t="shared" si="4"/>
        <v>El Pa</v>
      </c>
      <c r="C168" s="332" t="s">
        <v>7397</v>
      </c>
      <c r="D168" s="333" t="s">
        <v>6017</v>
      </c>
      <c r="F168" t="str">
        <f t="shared" si="5"/>
        <v/>
      </c>
      <c r="G168" s="331" t="s">
        <v>7227</v>
      </c>
      <c r="H168" s="331" t="s">
        <v>7363</v>
      </c>
      <c r="I168" s="331" t="s">
        <v>7015</v>
      </c>
      <c r="J168" s="331" t="s">
        <v>6991</v>
      </c>
    </row>
    <row r="169" spans="1:12">
      <c r="A169">
        <v>138</v>
      </c>
      <c r="B169" s="330" t="str">
        <f t="shared" si="4"/>
        <v>El Pa</v>
      </c>
      <c r="C169" s="332" t="s">
        <v>7398</v>
      </c>
      <c r="D169" s="333" t="s">
        <v>6017</v>
      </c>
      <c r="F169" t="str">
        <f t="shared" si="5"/>
        <v/>
      </c>
      <c r="G169" s="331" t="s">
        <v>7399</v>
      </c>
      <c r="H169" s="331" t="s">
        <v>7363</v>
      </c>
      <c r="I169" s="331" t="s">
        <v>7015</v>
      </c>
      <c r="J169" s="331" t="s">
        <v>6991</v>
      </c>
    </row>
    <row r="170" spans="1:12">
      <c r="A170">
        <v>139</v>
      </c>
      <c r="B170" s="330" t="str">
        <f t="shared" si="4"/>
        <v>El Pa</v>
      </c>
      <c r="C170" s="332" t="s">
        <v>7400</v>
      </c>
      <c r="D170" s="333" t="s">
        <v>6017</v>
      </c>
      <c r="F170" t="str">
        <f t="shared" si="5"/>
        <v/>
      </c>
      <c r="G170" s="331" t="s">
        <v>7305</v>
      </c>
      <c r="H170" s="331" t="s">
        <v>7363</v>
      </c>
      <c r="I170" s="331" t="s">
        <v>6995</v>
      </c>
      <c r="J170" s="331" t="s">
        <v>6991</v>
      </c>
    </row>
    <row r="171" spans="1:12">
      <c r="A171">
        <v>140</v>
      </c>
      <c r="B171" s="330" t="str">
        <f t="shared" si="4"/>
        <v>El Pa</v>
      </c>
      <c r="C171" s="332" t="s">
        <v>7401</v>
      </c>
      <c r="D171" s="333" t="s">
        <v>6017</v>
      </c>
      <c r="F171" t="str">
        <f t="shared" si="5"/>
        <v/>
      </c>
      <c r="G171" s="331" t="s">
        <v>7307</v>
      </c>
      <c r="H171" s="331" t="s">
        <v>7363</v>
      </c>
      <c r="I171" s="331" t="s">
        <v>6995</v>
      </c>
      <c r="J171" s="331" t="s">
        <v>6991</v>
      </c>
    </row>
    <row r="172" spans="1:12">
      <c r="A172">
        <v>141</v>
      </c>
      <c r="B172" s="330" t="str">
        <f t="shared" si="4"/>
        <v>El Pa</v>
      </c>
      <c r="C172" s="332" t="s">
        <v>7402</v>
      </c>
      <c r="D172" s="333" t="s">
        <v>6017</v>
      </c>
      <c r="F172" t="str">
        <f t="shared" si="5"/>
        <v/>
      </c>
      <c r="G172" s="331" t="s">
        <v>7311</v>
      </c>
      <c r="H172" s="331" t="s">
        <v>7363</v>
      </c>
      <c r="I172" s="331" t="s">
        <v>7273</v>
      </c>
      <c r="J172" s="331" t="s">
        <v>6999</v>
      </c>
      <c r="K172" s="331" t="s">
        <v>7312</v>
      </c>
      <c r="L172" s="331" t="s">
        <v>6991</v>
      </c>
    </row>
    <row r="173" spans="1:12">
      <c r="A173">
        <v>142</v>
      </c>
      <c r="B173" s="330" t="str">
        <f t="shared" si="4"/>
        <v>El Pa</v>
      </c>
      <c r="C173" s="332" t="s">
        <v>7403</v>
      </c>
      <c r="D173" s="333" t="s">
        <v>6017</v>
      </c>
      <c r="F173" t="str">
        <f t="shared" si="5"/>
        <v/>
      </c>
      <c r="G173" s="331" t="s">
        <v>7404</v>
      </c>
      <c r="H173" s="331" t="s">
        <v>7363</v>
      </c>
      <c r="I173" s="331" t="s">
        <v>7405</v>
      </c>
      <c r="J173" s="331" t="s">
        <v>6991</v>
      </c>
    </row>
    <row r="174" spans="1:12">
      <c r="A174">
        <v>143</v>
      </c>
      <c r="B174" s="330" t="str">
        <f t="shared" si="4"/>
        <v>El Pa</v>
      </c>
      <c r="C174" s="332" t="s">
        <v>7406</v>
      </c>
      <c r="D174" s="333" t="s">
        <v>6017</v>
      </c>
      <c r="F174" t="str">
        <f t="shared" si="5"/>
        <v/>
      </c>
      <c r="G174" s="331" t="s">
        <v>7322</v>
      </c>
      <c r="H174" s="331" t="s">
        <v>7363</v>
      </c>
      <c r="I174" s="331" t="s">
        <v>7153</v>
      </c>
      <c r="J174" s="331" t="s">
        <v>6999</v>
      </c>
      <c r="K174" s="331" t="s">
        <v>7044</v>
      </c>
      <c r="L174" s="331" t="s">
        <v>6991</v>
      </c>
    </row>
    <row r="175" spans="1:12">
      <c r="A175">
        <v>145</v>
      </c>
      <c r="B175" s="330" t="str">
        <f t="shared" si="4"/>
        <v>El Pa</v>
      </c>
      <c r="C175" s="332" t="s">
        <v>7407</v>
      </c>
      <c r="D175" s="333" t="s">
        <v>6017</v>
      </c>
      <c r="F175">
        <f t="shared" si="5"/>
        <v>1</v>
      </c>
      <c r="G175" s="331" t="s">
        <v>7408</v>
      </c>
      <c r="H175" s="331" t="s">
        <v>7409</v>
      </c>
      <c r="I175" s="331" t="s">
        <v>6995</v>
      </c>
      <c r="J175" s="331" t="s">
        <v>6991</v>
      </c>
    </row>
    <row r="176" spans="1:12">
      <c r="A176">
        <v>146</v>
      </c>
      <c r="B176" s="330" t="str">
        <f t="shared" si="4"/>
        <v>El Pa</v>
      </c>
      <c r="C176" s="332" t="s">
        <v>7410</v>
      </c>
      <c r="D176" s="333" t="s">
        <v>6017</v>
      </c>
      <c r="F176" t="str">
        <f t="shared" si="5"/>
        <v/>
      </c>
      <c r="G176" s="331" t="s">
        <v>7411</v>
      </c>
      <c r="H176" s="331" t="s">
        <v>7409</v>
      </c>
      <c r="I176" s="331" t="s">
        <v>7015</v>
      </c>
      <c r="J176" s="331" t="s">
        <v>6991</v>
      </c>
    </row>
    <row r="177" spans="1:10">
      <c r="A177">
        <v>147</v>
      </c>
      <c r="B177" s="330" t="str">
        <f t="shared" si="4"/>
        <v>El Pa</v>
      </c>
      <c r="C177" s="332" t="s">
        <v>7412</v>
      </c>
      <c r="D177" s="333" t="s">
        <v>6017</v>
      </c>
      <c r="F177" t="str">
        <f t="shared" si="5"/>
        <v/>
      </c>
      <c r="G177" s="331" t="s">
        <v>7413</v>
      </c>
      <c r="H177" s="331" t="s">
        <v>7409</v>
      </c>
      <c r="I177" s="331" t="s">
        <v>7015</v>
      </c>
      <c r="J177" s="331" t="s">
        <v>6991</v>
      </c>
    </row>
    <row r="178" spans="1:10">
      <c r="A178">
        <v>148</v>
      </c>
      <c r="B178" s="330" t="str">
        <f t="shared" si="4"/>
        <v>El Pa</v>
      </c>
      <c r="C178" s="332" t="s">
        <v>7414</v>
      </c>
      <c r="D178" s="333" t="s">
        <v>6017</v>
      </c>
      <c r="F178" t="str">
        <f t="shared" si="5"/>
        <v/>
      </c>
      <c r="G178" s="331" t="s">
        <v>7415</v>
      </c>
      <c r="H178" s="331" t="s">
        <v>7409</v>
      </c>
      <c r="I178" s="331" t="s">
        <v>7015</v>
      </c>
      <c r="J178" s="331" t="s">
        <v>6991</v>
      </c>
    </row>
    <row r="179" spans="1:10">
      <c r="A179">
        <v>149</v>
      </c>
      <c r="B179" s="330" t="str">
        <f t="shared" si="4"/>
        <v>El Pa</v>
      </c>
      <c r="C179" s="332" t="s">
        <v>7416</v>
      </c>
      <c r="D179" s="333" t="s">
        <v>6017</v>
      </c>
      <c r="F179" t="str">
        <f t="shared" si="5"/>
        <v/>
      </c>
      <c r="G179" s="331" t="s">
        <v>7417</v>
      </c>
      <c r="H179" s="331" t="s">
        <v>7409</v>
      </c>
      <c r="I179" s="331" t="s">
        <v>7015</v>
      </c>
      <c r="J179" s="331" t="s">
        <v>6991</v>
      </c>
    </row>
    <row r="180" spans="1:10">
      <c r="A180">
        <v>150</v>
      </c>
      <c r="B180" s="330" t="str">
        <f t="shared" si="4"/>
        <v>El Pa</v>
      </c>
      <c r="C180" s="332" t="s">
        <v>7418</v>
      </c>
      <c r="D180" s="333" t="s">
        <v>6017</v>
      </c>
      <c r="F180" t="str">
        <f t="shared" si="5"/>
        <v/>
      </c>
      <c r="G180" s="331" t="s">
        <v>7419</v>
      </c>
      <c r="H180" s="331" t="s">
        <v>7409</v>
      </c>
      <c r="I180" s="331" t="s">
        <v>7015</v>
      </c>
      <c r="J180" s="331" t="s">
        <v>6991</v>
      </c>
    </row>
    <row r="181" spans="1:10">
      <c r="A181">
        <v>151</v>
      </c>
      <c r="B181" s="330" t="str">
        <f t="shared" si="4"/>
        <v>El Pa</v>
      </c>
      <c r="C181" s="334" t="s">
        <v>7420</v>
      </c>
      <c r="D181" s="333" t="s">
        <v>6017</v>
      </c>
      <c r="E181" s="333" t="s">
        <v>7012</v>
      </c>
      <c r="F181" t="str">
        <f t="shared" si="5"/>
        <v/>
      </c>
      <c r="G181" s="331" t="s">
        <v>7421</v>
      </c>
      <c r="H181" s="331" t="s">
        <v>7409</v>
      </c>
      <c r="I181" s="331" t="s">
        <v>6995</v>
      </c>
      <c r="J181" s="331" t="s">
        <v>6991</v>
      </c>
    </row>
    <row r="182" spans="1:10">
      <c r="A182">
        <v>152</v>
      </c>
      <c r="B182" s="330" t="str">
        <f t="shared" si="4"/>
        <v>El Pa</v>
      </c>
      <c r="C182" s="332" t="s">
        <v>7422</v>
      </c>
      <c r="D182" s="333" t="s">
        <v>6017</v>
      </c>
      <c r="F182" t="str">
        <f t="shared" si="5"/>
        <v/>
      </c>
      <c r="G182" s="331" t="s">
        <v>7423</v>
      </c>
      <c r="H182" s="331" t="s">
        <v>7409</v>
      </c>
      <c r="I182" s="331" t="s">
        <v>7000</v>
      </c>
      <c r="J182" s="331" t="s">
        <v>6991</v>
      </c>
    </row>
    <row r="183" spans="1:10">
      <c r="A183">
        <v>153</v>
      </c>
      <c r="B183" s="330" t="str">
        <f t="shared" si="4"/>
        <v>El Pa</v>
      </c>
      <c r="C183" s="332" t="s">
        <v>7424</v>
      </c>
      <c r="D183" s="333" t="s">
        <v>6017</v>
      </c>
      <c r="F183" t="str">
        <f t="shared" si="5"/>
        <v/>
      </c>
      <c r="G183" s="331" t="s">
        <v>7425</v>
      </c>
      <c r="H183" s="331" t="s">
        <v>7409</v>
      </c>
      <c r="I183" s="331" t="s">
        <v>7000</v>
      </c>
      <c r="J183" s="331" t="s">
        <v>6991</v>
      </c>
    </row>
    <row r="184" spans="1:10">
      <c r="A184">
        <v>154</v>
      </c>
      <c r="B184" s="330" t="str">
        <f t="shared" si="4"/>
        <v>El Pa</v>
      </c>
      <c r="C184" s="332" t="s">
        <v>7426</v>
      </c>
      <c r="D184" s="333" t="s">
        <v>6017</v>
      </c>
      <c r="F184" t="str">
        <f t="shared" si="5"/>
        <v/>
      </c>
      <c r="G184" s="331" t="s">
        <v>7427</v>
      </c>
      <c r="H184" s="331" t="s">
        <v>7409</v>
      </c>
      <c r="I184" s="331" t="s">
        <v>7015</v>
      </c>
      <c r="J184" s="331" t="s">
        <v>6991</v>
      </c>
    </row>
    <row r="185" spans="1:10">
      <c r="A185">
        <v>155</v>
      </c>
      <c r="B185" s="330" t="str">
        <f t="shared" si="4"/>
        <v>El Pa</v>
      </c>
      <c r="C185" s="332" t="s">
        <v>7428</v>
      </c>
      <c r="D185" s="333" t="s">
        <v>6017</v>
      </c>
      <c r="F185" t="str">
        <f t="shared" si="5"/>
        <v/>
      </c>
      <c r="G185" s="331" t="s">
        <v>7429</v>
      </c>
      <c r="H185" s="331" t="s">
        <v>7409</v>
      </c>
      <c r="I185" s="331" t="s">
        <v>7000</v>
      </c>
      <c r="J185" s="331" t="s">
        <v>6991</v>
      </c>
    </row>
    <row r="186" spans="1:10">
      <c r="A186">
        <v>156</v>
      </c>
      <c r="B186" s="330" t="str">
        <f t="shared" si="4"/>
        <v>El Pa</v>
      </c>
      <c r="C186" s="332" t="s">
        <v>7430</v>
      </c>
      <c r="D186" s="333" t="s">
        <v>6017</v>
      </c>
      <c r="F186" t="str">
        <f t="shared" si="5"/>
        <v/>
      </c>
      <c r="G186" s="331" t="s">
        <v>7431</v>
      </c>
      <c r="H186" s="331" t="s">
        <v>7409</v>
      </c>
      <c r="I186" s="331" t="s">
        <v>7000</v>
      </c>
      <c r="J186" s="331" t="s">
        <v>6991</v>
      </c>
    </row>
    <row r="187" spans="1:10">
      <c r="A187">
        <v>157</v>
      </c>
      <c r="B187" s="330" t="str">
        <f t="shared" si="4"/>
        <v>El Pa</v>
      </c>
      <c r="C187" s="332" t="s">
        <v>7432</v>
      </c>
      <c r="D187" s="333" t="s">
        <v>6017</v>
      </c>
      <c r="F187" t="str">
        <f t="shared" si="5"/>
        <v/>
      </c>
      <c r="G187" s="331" t="s">
        <v>7433</v>
      </c>
      <c r="H187" s="331" t="s">
        <v>7409</v>
      </c>
      <c r="I187" s="331" t="s">
        <v>7000</v>
      </c>
      <c r="J187" s="331" t="s">
        <v>6991</v>
      </c>
    </row>
    <row r="188" spans="1:10">
      <c r="A188">
        <v>158</v>
      </c>
      <c r="B188" s="330" t="str">
        <f t="shared" si="4"/>
        <v>El Pa</v>
      </c>
      <c r="C188" s="332" t="s">
        <v>7434</v>
      </c>
      <c r="D188" s="333" t="s">
        <v>6017</v>
      </c>
      <c r="F188" t="str">
        <f t="shared" si="5"/>
        <v/>
      </c>
      <c r="G188" s="331" t="s">
        <v>7435</v>
      </c>
      <c r="H188" s="331" t="s">
        <v>7409</v>
      </c>
      <c r="I188" s="331" t="s">
        <v>7000</v>
      </c>
      <c r="J188" s="331" t="s">
        <v>6991</v>
      </c>
    </row>
    <row r="189" spans="1:10">
      <c r="A189">
        <v>159</v>
      </c>
      <c r="B189" s="330" t="str">
        <f t="shared" si="4"/>
        <v>El Pa</v>
      </c>
      <c r="C189" s="332" t="s">
        <v>7436</v>
      </c>
      <c r="D189" s="333" t="s">
        <v>6017</v>
      </c>
      <c r="F189" t="str">
        <f t="shared" si="5"/>
        <v/>
      </c>
      <c r="G189" s="331" t="s">
        <v>7437</v>
      </c>
      <c r="H189" s="331" t="s">
        <v>7409</v>
      </c>
      <c r="I189" s="331" t="s">
        <v>7000</v>
      </c>
      <c r="J189" s="331" t="s">
        <v>6991</v>
      </c>
    </row>
    <row r="190" spans="1:10">
      <c r="A190">
        <v>160</v>
      </c>
      <c r="B190" s="330" t="str">
        <f t="shared" si="4"/>
        <v>El Pa</v>
      </c>
      <c r="C190" s="332" t="s">
        <v>7438</v>
      </c>
      <c r="D190" s="333" t="s">
        <v>6017</v>
      </c>
      <c r="F190" t="str">
        <f t="shared" si="5"/>
        <v/>
      </c>
      <c r="G190" s="331" t="s">
        <v>7439</v>
      </c>
      <c r="H190" s="331" t="s">
        <v>7409</v>
      </c>
      <c r="I190" s="331" t="s">
        <v>7000</v>
      </c>
      <c r="J190" s="331" t="s">
        <v>6991</v>
      </c>
    </row>
    <row r="191" spans="1:10">
      <c r="A191">
        <v>161</v>
      </c>
      <c r="B191" s="330" t="str">
        <f t="shared" si="4"/>
        <v>El Pa</v>
      </c>
      <c r="C191" s="332" t="s">
        <v>7440</v>
      </c>
      <c r="D191" s="333" t="s">
        <v>6017</v>
      </c>
      <c r="F191" t="str">
        <f t="shared" si="5"/>
        <v/>
      </c>
      <c r="G191" s="331" t="s">
        <v>7441</v>
      </c>
      <c r="H191" s="331" t="s">
        <v>7409</v>
      </c>
      <c r="I191" s="331" t="s">
        <v>7297</v>
      </c>
      <c r="J191" s="331" t="s">
        <v>6991</v>
      </c>
    </row>
    <row r="192" spans="1:10">
      <c r="A192">
        <v>162</v>
      </c>
      <c r="B192" s="330" t="str">
        <f t="shared" si="4"/>
        <v>El Pa</v>
      </c>
      <c r="C192" s="332" t="s">
        <v>7442</v>
      </c>
      <c r="D192" s="333" t="s">
        <v>6017</v>
      </c>
      <c r="F192" t="str">
        <f t="shared" si="5"/>
        <v/>
      </c>
      <c r="G192" s="331" t="s">
        <v>7443</v>
      </c>
      <c r="H192" s="331" t="s">
        <v>7409</v>
      </c>
      <c r="I192" s="331" t="s">
        <v>7000</v>
      </c>
      <c r="J192" s="331" t="s">
        <v>6991</v>
      </c>
    </row>
    <row r="193" spans="1:10">
      <c r="A193">
        <v>163</v>
      </c>
      <c r="B193" s="330" t="str">
        <f t="shared" ref="B193:B256" si="6">LEFT(C193,MAX(5,FIND(" ",C193)))</f>
        <v>El Pa</v>
      </c>
      <c r="C193" s="332" t="s">
        <v>7444</v>
      </c>
      <c r="D193" s="333" t="s">
        <v>6017</v>
      </c>
      <c r="F193" t="str">
        <f t="shared" si="5"/>
        <v/>
      </c>
      <c r="G193" s="331" t="s">
        <v>7445</v>
      </c>
      <c r="H193" s="331" t="s">
        <v>7409</v>
      </c>
      <c r="I193" s="331" t="s">
        <v>7000</v>
      </c>
      <c r="J193" s="331" t="s">
        <v>6991</v>
      </c>
    </row>
    <row r="194" spans="1:10">
      <c r="A194">
        <v>164</v>
      </c>
      <c r="B194" s="330" t="str">
        <f t="shared" si="6"/>
        <v>El Pa</v>
      </c>
      <c r="C194" s="332" t="s">
        <v>7446</v>
      </c>
      <c r="D194" s="333" t="s">
        <v>6017</v>
      </c>
      <c r="F194" t="str">
        <f t="shared" si="5"/>
        <v/>
      </c>
      <c r="G194" s="331" t="s">
        <v>7447</v>
      </c>
      <c r="H194" s="331" t="s">
        <v>7409</v>
      </c>
      <c r="I194" s="331" t="s">
        <v>7015</v>
      </c>
      <c r="J194" s="331" t="s">
        <v>6991</v>
      </c>
    </row>
    <row r="195" spans="1:10">
      <c r="A195">
        <v>165</v>
      </c>
      <c r="B195" s="330" t="str">
        <f t="shared" si="6"/>
        <v>El Pa</v>
      </c>
      <c r="C195" s="332" t="s">
        <v>7448</v>
      </c>
      <c r="D195" s="333" t="s">
        <v>6017</v>
      </c>
      <c r="F195" t="str">
        <f t="shared" si="5"/>
        <v/>
      </c>
      <c r="G195" s="331" t="s">
        <v>7449</v>
      </c>
      <c r="H195" s="331" t="s">
        <v>7409</v>
      </c>
      <c r="I195" s="331" t="s">
        <v>7015</v>
      </c>
      <c r="J195" s="331" t="s">
        <v>6991</v>
      </c>
    </row>
    <row r="196" spans="1:10">
      <c r="A196">
        <v>166</v>
      </c>
      <c r="B196" s="330" t="str">
        <f t="shared" si="6"/>
        <v>El Pa</v>
      </c>
      <c r="C196" s="332" t="s">
        <v>7450</v>
      </c>
      <c r="D196" s="333" t="s">
        <v>6017</v>
      </c>
      <c r="F196" t="str">
        <f t="shared" ref="F196:F259" si="7">IF(H196=H195,"",1)</f>
        <v/>
      </c>
      <c r="G196" s="331" t="s">
        <v>7451</v>
      </c>
      <c r="H196" s="331" t="s">
        <v>7409</v>
      </c>
      <c r="I196" s="331" t="s">
        <v>6995</v>
      </c>
      <c r="J196" s="331" t="s">
        <v>6991</v>
      </c>
    </row>
    <row r="197" spans="1:10">
      <c r="A197">
        <v>167</v>
      </c>
      <c r="B197" s="330" t="str">
        <f t="shared" si="6"/>
        <v>El Pa</v>
      </c>
      <c r="C197" s="332" t="s">
        <v>7452</v>
      </c>
      <c r="D197" s="333" t="s">
        <v>6017</v>
      </c>
      <c r="F197" t="str">
        <f t="shared" si="7"/>
        <v/>
      </c>
      <c r="G197" s="331" t="s">
        <v>7453</v>
      </c>
      <c r="H197" s="331" t="s">
        <v>7409</v>
      </c>
      <c r="I197" s="331" t="s">
        <v>7015</v>
      </c>
      <c r="J197" s="331" t="s">
        <v>6991</v>
      </c>
    </row>
    <row r="198" spans="1:10">
      <c r="A198">
        <v>168</v>
      </c>
      <c r="B198" s="330" t="str">
        <f t="shared" si="6"/>
        <v>El Pa</v>
      </c>
      <c r="C198" s="332" t="s">
        <v>7454</v>
      </c>
      <c r="D198" s="333" t="s">
        <v>6017</v>
      </c>
      <c r="F198" t="str">
        <f t="shared" si="7"/>
        <v/>
      </c>
      <c r="G198" s="331" t="s">
        <v>7455</v>
      </c>
      <c r="H198" s="331" t="s">
        <v>7409</v>
      </c>
      <c r="I198" s="331" t="s">
        <v>7015</v>
      </c>
      <c r="J198" s="331" t="s">
        <v>6991</v>
      </c>
    </row>
    <row r="199" spans="1:10">
      <c r="A199">
        <v>169</v>
      </c>
      <c r="B199" s="330" t="str">
        <f t="shared" si="6"/>
        <v>El Pa</v>
      </c>
      <c r="C199" s="332" t="s">
        <v>7456</v>
      </c>
      <c r="D199" s="333" t="s">
        <v>6017</v>
      </c>
      <c r="F199" t="str">
        <f t="shared" si="7"/>
        <v/>
      </c>
      <c r="G199" s="331" t="s">
        <v>7457</v>
      </c>
      <c r="H199" s="331" t="s">
        <v>7409</v>
      </c>
      <c r="I199" s="331" t="s">
        <v>7015</v>
      </c>
      <c r="J199" s="331" t="s">
        <v>6991</v>
      </c>
    </row>
    <row r="200" spans="1:10">
      <c r="A200">
        <v>170</v>
      </c>
      <c r="B200" s="330" t="str">
        <f t="shared" si="6"/>
        <v>El Pa</v>
      </c>
      <c r="C200" s="332" t="s">
        <v>7458</v>
      </c>
      <c r="D200" s="333" t="s">
        <v>6017</v>
      </c>
      <c r="F200" t="str">
        <f t="shared" si="7"/>
        <v/>
      </c>
      <c r="G200" s="331" t="s">
        <v>7459</v>
      </c>
      <c r="H200" s="331" t="s">
        <v>7409</v>
      </c>
      <c r="I200" s="331" t="s">
        <v>7015</v>
      </c>
      <c r="J200" s="331" t="s">
        <v>6991</v>
      </c>
    </row>
    <row r="201" spans="1:10">
      <c r="A201">
        <v>171</v>
      </c>
      <c r="B201" s="330" t="str">
        <f t="shared" si="6"/>
        <v>El Pa</v>
      </c>
      <c r="C201" s="332" t="s">
        <v>7460</v>
      </c>
      <c r="D201" s="333" t="s">
        <v>6017</v>
      </c>
      <c r="F201" t="str">
        <f t="shared" si="7"/>
        <v/>
      </c>
      <c r="G201" s="331" t="s">
        <v>7461</v>
      </c>
      <c r="H201" s="331" t="s">
        <v>7409</v>
      </c>
      <c r="I201" s="331" t="s">
        <v>7273</v>
      </c>
      <c r="J201" s="331" t="s">
        <v>6991</v>
      </c>
    </row>
    <row r="202" spans="1:10">
      <c r="A202">
        <v>187</v>
      </c>
      <c r="B202" s="330" t="str">
        <f t="shared" si="6"/>
        <v>El Pa</v>
      </c>
      <c r="C202" s="332" t="s">
        <v>7462</v>
      </c>
      <c r="D202" s="333" t="s">
        <v>6017</v>
      </c>
      <c r="F202">
        <f t="shared" si="7"/>
        <v>1</v>
      </c>
      <c r="G202" s="331" t="s">
        <v>7463</v>
      </c>
      <c r="H202" s="331" t="s">
        <v>7464</v>
      </c>
      <c r="I202" s="331" t="s">
        <v>7000</v>
      </c>
      <c r="J202" s="331" t="s">
        <v>6991</v>
      </c>
    </row>
    <row r="203" spans="1:10">
      <c r="A203">
        <v>188</v>
      </c>
      <c r="B203" s="330" t="str">
        <f t="shared" si="6"/>
        <v>El Pa</v>
      </c>
      <c r="C203" s="332" t="s">
        <v>7465</v>
      </c>
      <c r="D203" s="333" t="s">
        <v>6017</v>
      </c>
      <c r="F203" t="str">
        <f t="shared" si="7"/>
        <v/>
      </c>
      <c r="G203" s="331" t="s">
        <v>7466</v>
      </c>
      <c r="H203" s="331" t="s">
        <v>7464</v>
      </c>
      <c r="I203" s="331" t="s">
        <v>7000</v>
      </c>
      <c r="J203" s="331" t="s">
        <v>6991</v>
      </c>
    </row>
    <row r="204" spans="1:10">
      <c r="A204">
        <v>189</v>
      </c>
      <c r="B204" s="330" t="str">
        <f t="shared" si="6"/>
        <v>El Pa</v>
      </c>
      <c r="C204" s="332" t="s">
        <v>7467</v>
      </c>
      <c r="D204" s="333" t="s">
        <v>6017</v>
      </c>
      <c r="F204" t="str">
        <f t="shared" si="7"/>
        <v/>
      </c>
      <c r="G204" s="331" t="s">
        <v>7468</v>
      </c>
      <c r="H204" s="331" t="s">
        <v>7464</v>
      </c>
      <c r="I204" s="331" t="s">
        <v>7000</v>
      </c>
      <c r="J204" s="331" t="s">
        <v>6991</v>
      </c>
    </row>
    <row r="205" spans="1:10">
      <c r="A205">
        <v>190</v>
      </c>
      <c r="B205" s="330" t="str">
        <f t="shared" si="6"/>
        <v>El Pa</v>
      </c>
      <c r="C205" s="332" t="s">
        <v>7469</v>
      </c>
      <c r="D205" s="333" t="s">
        <v>6017</v>
      </c>
      <c r="F205" t="str">
        <f t="shared" si="7"/>
        <v/>
      </c>
      <c r="G205" s="331" t="s">
        <v>7470</v>
      </c>
      <c r="H205" s="331" t="s">
        <v>7464</v>
      </c>
      <c r="I205" s="331" t="s">
        <v>7000</v>
      </c>
      <c r="J205" s="331" t="s">
        <v>6991</v>
      </c>
    </row>
    <row r="206" spans="1:10">
      <c r="A206">
        <v>191</v>
      </c>
      <c r="B206" s="330" t="str">
        <f t="shared" si="6"/>
        <v>El Pa</v>
      </c>
      <c r="C206" s="332" t="s">
        <v>7471</v>
      </c>
      <c r="D206" s="333" t="s">
        <v>6017</v>
      </c>
      <c r="F206" t="str">
        <f t="shared" si="7"/>
        <v/>
      </c>
      <c r="G206" s="331" t="s">
        <v>7472</v>
      </c>
      <c r="H206" s="331" t="s">
        <v>7464</v>
      </c>
      <c r="I206" s="331" t="s">
        <v>7000</v>
      </c>
      <c r="J206" s="331" t="s">
        <v>6991</v>
      </c>
    </row>
    <row r="207" spans="1:10">
      <c r="A207">
        <v>192</v>
      </c>
      <c r="B207" s="330" t="str">
        <f t="shared" si="6"/>
        <v>El Pa</v>
      </c>
      <c r="C207" s="332" t="s">
        <v>7473</v>
      </c>
      <c r="D207" s="333" t="s">
        <v>6017</v>
      </c>
      <c r="F207" t="str">
        <f t="shared" si="7"/>
        <v/>
      </c>
      <c r="G207" s="331" t="s">
        <v>7474</v>
      </c>
      <c r="H207" s="331" t="s">
        <v>7464</v>
      </c>
      <c r="I207" s="331" t="s">
        <v>7000</v>
      </c>
      <c r="J207" s="331" t="s">
        <v>6991</v>
      </c>
    </row>
    <row r="208" spans="1:10">
      <c r="A208">
        <v>193</v>
      </c>
      <c r="B208" s="330" t="str">
        <f t="shared" si="6"/>
        <v>El Pa</v>
      </c>
      <c r="C208" s="332" t="s">
        <v>7475</v>
      </c>
      <c r="D208" s="333" t="s">
        <v>6017</v>
      </c>
      <c r="F208" t="str">
        <f t="shared" si="7"/>
        <v/>
      </c>
      <c r="G208" s="331" t="s">
        <v>7476</v>
      </c>
      <c r="H208" s="331" t="s">
        <v>7464</v>
      </c>
      <c r="I208" s="331" t="s">
        <v>7000</v>
      </c>
      <c r="J208" s="331" t="s">
        <v>6991</v>
      </c>
    </row>
    <row r="209" spans="1:12">
      <c r="A209">
        <v>194</v>
      </c>
      <c r="B209" s="330" t="str">
        <f t="shared" si="6"/>
        <v>El Pa</v>
      </c>
      <c r="C209" s="332" t="s">
        <v>7477</v>
      </c>
      <c r="D209" s="333" t="s">
        <v>6017</v>
      </c>
      <c r="F209" t="str">
        <f t="shared" si="7"/>
        <v/>
      </c>
      <c r="G209" s="331" t="s">
        <v>7478</v>
      </c>
      <c r="H209" s="331" t="s">
        <v>7464</v>
      </c>
      <c r="I209" s="331" t="s">
        <v>7000</v>
      </c>
      <c r="J209" s="331" t="s">
        <v>6991</v>
      </c>
    </row>
    <row r="210" spans="1:12">
      <c r="A210">
        <v>195</v>
      </c>
      <c r="B210" s="330" t="str">
        <f t="shared" si="6"/>
        <v>El Pa</v>
      </c>
      <c r="C210" s="332" t="s">
        <v>7479</v>
      </c>
      <c r="D210" s="333" t="s">
        <v>6017</v>
      </c>
      <c r="F210" t="str">
        <f t="shared" si="7"/>
        <v/>
      </c>
      <c r="G210" s="331" t="s">
        <v>7480</v>
      </c>
      <c r="H210" s="331" t="s">
        <v>7464</v>
      </c>
      <c r="I210" s="331" t="s">
        <v>6990</v>
      </c>
      <c r="J210" s="331" t="s">
        <v>6991</v>
      </c>
    </row>
    <row r="211" spans="1:12">
      <c r="A211">
        <v>196</v>
      </c>
      <c r="B211" s="330" t="str">
        <f t="shared" si="6"/>
        <v>El Pa</v>
      </c>
      <c r="C211" s="332" t="s">
        <v>7481</v>
      </c>
      <c r="D211" s="333" t="s">
        <v>6017</v>
      </c>
      <c r="F211" t="str">
        <f t="shared" si="7"/>
        <v/>
      </c>
      <c r="G211" s="331" t="s">
        <v>7482</v>
      </c>
      <c r="H211" s="331" t="s">
        <v>7464</v>
      </c>
      <c r="I211" s="331" t="s">
        <v>7000</v>
      </c>
      <c r="J211" s="331" t="s">
        <v>6991</v>
      </c>
    </row>
    <row r="212" spans="1:12">
      <c r="A212">
        <v>197</v>
      </c>
      <c r="B212" s="330" t="str">
        <f t="shared" si="6"/>
        <v>El Pa</v>
      </c>
      <c r="C212" s="332" t="s">
        <v>7483</v>
      </c>
      <c r="D212" s="333" t="s">
        <v>6017</v>
      </c>
      <c r="F212" t="str">
        <f t="shared" si="7"/>
        <v/>
      </c>
      <c r="G212" s="331" t="s">
        <v>7484</v>
      </c>
      <c r="H212" s="331" t="s">
        <v>7464</v>
      </c>
      <c r="I212" s="331" t="s">
        <v>7000</v>
      </c>
      <c r="J212" s="331" t="s">
        <v>6991</v>
      </c>
    </row>
    <row r="213" spans="1:12">
      <c r="A213">
        <v>198</v>
      </c>
      <c r="B213" s="330" t="str">
        <f t="shared" si="6"/>
        <v>El Pa</v>
      </c>
      <c r="C213" s="332" t="s">
        <v>7485</v>
      </c>
      <c r="D213" s="333" t="s">
        <v>6017</v>
      </c>
      <c r="F213" t="str">
        <f t="shared" si="7"/>
        <v/>
      </c>
      <c r="G213" s="331" t="s">
        <v>7486</v>
      </c>
      <c r="H213" s="331" t="s">
        <v>7464</v>
      </c>
      <c r="I213" s="331" t="s">
        <v>7000</v>
      </c>
      <c r="J213" s="331" t="s">
        <v>6991</v>
      </c>
    </row>
    <row r="214" spans="1:12">
      <c r="A214">
        <v>199</v>
      </c>
      <c r="B214" s="330" t="str">
        <f t="shared" si="6"/>
        <v>El Pa</v>
      </c>
      <c r="C214" s="332" t="s">
        <v>7487</v>
      </c>
      <c r="D214" s="333" t="s">
        <v>6017</v>
      </c>
      <c r="F214" t="str">
        <f t="shared" si="7"/>
        <v/>
      </c>
      <c r="G214" s="331" t="s">
        <v>7488</v>
      </c>
      <c r="H214" s="331" t="s">
        <v>7464</v>
      </c>
      <c r="I214" s="331" t="s">
        <v>7000</v>
      </c>
      <c r="J214" s="331" t="s">
        <v>6991</v>
      </c>
    </row>
    <row r="215" spans="1:12">
      <c r="A215">
        <v>200</v>
      </c>
      <c r="B215" s="330" t="str">
        <f t="shared" si="6"/>
        <v>El Pa</v>
      </c>
      <c r="C215" s="332" t="s">
        <v>7489</v>
      </c>
      <c r="D215" s="333" t="s">
        <v>6017</v>
      </c>
      <c r="F215" t="str">
        <f t="shared" si="7"/>
        <v/>
      </c>
      <c r="G215" s="331" t="s">
        <v>7224</v>
      </c>
      <c r="H215" s="331" t="s">
        <v>7464</v>
      </c>
      <c r="I215" s="331" t="s">
        <v>6995</v>
      </c>
      <c r="J215" s="331" t="s">
        <v>6991</v>
      </c>
    </row>
    <row r="216" spans="1:12">
      <c r="A216">
        <v>201</v>
      </c>
      <c r="B216" s="330" t="str">
        <f t="shared" si="6"/>
        <v>El Pa</v>
      </c>
      <c r="C216" s="332" t="s">
        <v>7490</v>
      </c>
      <c r="D216" s="333" t="s">
        <v>6017</v>
      </c>
      <c r="F216" t="str">
        <f t="shared" si="7"/>
        <v/>
      </c>
      <c r="G216" s="331" t="s">
        <v>7491</v>
      </c>
      <c r="H216" s="331" t="s">
        <v>7464</v>
      </c>
      <c r="I216" s="331" t="s">
        <v>7015</v>
      </c>
      <c r="J216" s="331" t="s">
        <v>6999</v>
      </c>
      <c r="K216" s="331" t="s">
        <v>6995</v>
      </c>
      <c r="L216" s="331" t="s">
        <v>6991</v>
      </c>
    </row>
    <row r="217" spans="1:12">
      <c r="A217">
        <v>202</v>
      </c>
      <c r="B217" s="330" t="str">
        <f t="shared" si="6"/>
        <v>El Pa</v>
      </c>
      <c r="C217" s="332" t="s">
        <v>7492</v>
      </c>
      <c r="D217" s="333" t="s">
        <v>6017</v>
      </c>
      <c r="F217" t="str">
        <f t="shared" si="7"/>
        <v/>
      </c>
      <c r="G217" s="331" t="s">
        <v>7493</v>
      </c>
      <c r="H217" s="331" t="s">
        <v>7464</v>
      </c>
      <c r="I217" s="331" t="s">
        <v>7015</v>
      </c>
      <c r="J217" s="331" t="s">
        <v>6999</v>
      </c>
      <c r="K217" s="331" t="s">
        <v>6995</v>
      </c>
      <c r="L217" s="331" t="s">
        <v>6991</v>
      </c>
    </row>
    <row r="218" spans="1:12">
      <c r="A218">
        <v>203</v>
      </c>
      <c r="B218" s="330" t="str">
        <f t="shared" si="6"/>
        <v>El Pa</v>
      </c>
      <c r="C218" s="332" t="s">
        <v>7494</v>
      </c>
      <c r="D218" s="333" t="s">
        <v>6017</v>
      </c>
      <c r="F218">
        <f t="shared" si="7"/>
        <v>1</v>
      </c>
      <c r="G218" s="331" t="s">
        <v>7463</v>
      </c>
      <c r="H218" s="331" t="s">
        <v>7495</v>
      </c>
      <c r="I218" s="331" t="s">
        <v>7000</v>
      </c>
      <c r="J218" s="331" t="s">
        <v>6991</v>
      </c>
    </row>
    <row r="219" spans="1:12">
      <c r="A219">
        <v>204</v>
      </c>
      <c r="B219" s="330" t="str">
        <f t="shared" si="6"/>
        <v>El Pa</v>
      </c>
      <c r="C219" s="332" t="s">
        <v>7496</v>
      </c>
      <c r="D219" s="333" t="s">
        <v>6017</v>
      </c>
      <c r="F219" t="str">
        <f t="shared" si="7"/>
        <v/>
      </c>
      <c r="G219" s="331" t="s">
        <v>7466</v>
      </c>
      <c r="H219" s="331" t="s">
        <v>7495</v>
      </c>
      <c r="I219" s="331" t="s">
        <v>7000</v>
      </c>
      <c r="J219" s="331" t="s">
        <v>6991</v>
      </c>
    </row>
    <row r="220" spans="1:12">
      <c r="A220">
        <v>205</v>
      </c>
      <c r="B220" s="330" t="str">
        <f t="shared" si="6"/>
        <v>El Pa</v>
      </c>
      <c r="C220" s="332" t="s">
        <v>7497</v>
      </c>
      <c r="D220" s="333" t="s">
        <v>6017</v>
      </c>
      <c r="F220" t="str">
        <f t="shared" si="7"/>
        <v/>
      </c>
      <c r="G220" s="331" t="s">
        <v>7468</v>
      </c>
      <c r="H220" s="331" t="s">
        <v>7495</v>
      </c>
      <c r="I220" s="331" t="s">
        <v>7000</v>
      </c>
      <c r="J220" s="331" t="s">
        <v>6991</v>
      </c>
    </row>
    <row r="221" spans="1:12">
      <c r="A221">
        <v>206</v>
      </c>
      <c r="B221" s="330" t="str">
        <f t="shared" si="6"/>
        <v>El Pa</v>
      </c>
      <c r="C221" s="332" t="s">
        <v>7498</v>
      </c>
      <c r="D221" s="333" t="s">
        <v>6017</v>
      </c>
      <c r="F221" t="str">
        <f t="shared" si="7"/>
        <v/>
      </c>
      <c r="G221" s="331" t="s">
        <v>7470</v>
      </c>
      <c r="H221" s="331" t="s">
        <v>7495</v>
      </c>
      <c r="I221" s="331" t="s">
        <v>7000</v>
      </c>
      <c r="J221" s="331" t="s">
        <v>6991</v>
      </c>
    </row>
    <row r="222" spans="1:12">
      <c r="A222">
        <v>207</v>
      </c>
      <c r="B222" s="330" t="str">
        <f t="shared" si="6"/>
        <v>El Pa</v>
      </c>
      <c r="C222" s="332" t="s">
        <v>7499</v>
      </c>
      <c r="D222" s="333" t="s">
        <v>6017</v>
      </c>
      <c r="F222" t="str">
        <f t="shared" si="7"/>
        <v/>
      </c>
      <c r="G222" s="331" t="s">
        <v>7472</v>
      </c>
      <c r="H222" s="331" t="s">
        <v>7495</v>
      </c>
      <c r="I222" s="331" t="s">
        <v>7000</v>
      </c>
      <c r="J222" s="331" t="s">
        <v>6991</v>
      </c>
    </row>
    <row r="223" spans="1:12">
      <c r="A223">
        <v>208</v>
      </c>
      <c r="B223" s="330" t="str">
        <f t="shared" si="6"/>
        <v>El Pa</v>
      </c>
      <c r="C223" s="332" t="s">
        <v>7500</v>
      </c>
      <c r="D223" s="333" t="s">
        <v>6017</v>
      </c>
      <c r="F223" t="str">
        <f t="shared" si="7"/>
        <v/>
      </c>
      <c r="G223" s="331" t="s">
        <v>7474</v>
      </c>
      <c r="H223" s="331" t="s">
        <v>7495</v>
      </c>
      <c r="I223" s="331" t="s">
        <v>7000</v>
      </c>
      <c r="J223" s="331" t="s">
        <v>6991</v>
      </c>
    </row>
    <row r="224" spans="1:12">
      <c r="A224">
        <v>209</v>
      </c>
      <c r="B224" s="330" t="str">
        <f t="shared" si="6"/>
        <v>El Pa</v>
      </c>
      <c r="C224" s="332" t="s">
        <v>7501</v>
      </c>
      <c r="D224" s="333" t="s">
        <v>6017</v>
      </c>
      <c r="F224" t="str">
        <f t="shared" si="7"/>
        <v/>
      </c>
      <c r="G224" s="331" t="s">
        <v>7476</v>
      </c>
      <c r="H224" s="331" t="s">
        <v>7495</v>
      </c>
      <c r="I224" s="331" t="s">
        <v>7000</v>
      </c>
      <c r="J224" s="331" t="s">
        <v>6991</v>
      </c>
    </row>
    <row r="225" spans="1:12">
      <c r="A225">
        <v>210</v>
      </c>
      <c r="B225" s="330" t="str">
        <f t="shared" si="6"/>
        <v>El Pa</v>
      </c>
      <c r="C225" s="332" t="s">
        <v>7502</v>
      </c>
      <c r="D225" s="333" t="s">
        <v>6017</v>
      </c>
      <c r="F225" t="str">
        <f t="shared" si="7"/>
        <v/>
      </c>
      <c r="G225" s="331" t="s">
        <v>7478</v>
      </c>
      <c r="H225" s="331" t="s">
        <v>7495</v>
      </c>
      <c r="I225" s="331" t="s">
        <v>7000</v>
      </c>
      <c r="J225" s="331" t="s">
        <v>6991</v>
      </c>
    </row>
    <row r="226" spans="1:12">
      <c r="A226">
        <v>211</v>
      </c>
      <c r="B226" s="330" t="str">
        <f t="shared" si="6"/>
        <v>El Pa</v>
      </c>
      <c r="C226" s="332" t="s">
        <v>7503</v>
      </c>
      <c r="D226" s="333" t="s">
        <v>6017</v>
      </c>
      <c r="F226" t="str">
        <f t="shared" si="7"/>
        <v/>
      </c>
      <c r="G226" s="331" t="s">
        <v>7480</v>
      </c>
      <c r="H226" s="331" t="s">
        <v>7495</v>
      </c>
      <c r="I226" s="331" t="s">
        <v>6990</v>
      </c>
      <c r="J226" s="331" t="s">
        <v>6991</v>
      </c>
    </row>
    <row r="227" spans="1:12">
      <c r="A227">
        <v>212</v>
      </c>
      <c r="B227" s="330" t="str">
        <f t="shared" si="6"/>
        <v>El Pa</v>
      </c>
      <c r="C227" s="332" t="s">
        <v>7504</v>
      </c>
      <c r="D227" s="333" t="s">
        <v>6017</v>
      </c>
      <c r="F227" t="str">
        <f t="shared" si="7"/>
        <v/>
      </c>
      <c r="G227" s="331" t="s">
        <v>7482</v>
      </c>
      <c r="H227" s="331" t="s">
        <v>7495</v>
      </c>
      <c r="I227" s="331" t="s">
        <v>7000</v>
      </c>
      <c r="J227" s="331" t="s">
        <v>6991</v>
      </c>
    </row>
    <row r="228" spans="1:12">
      <c r="A228">
        <v>213</v>
      </c>
      <c r="B228" s="330" t="str">
        <f t="shared" si="6"/>
        <v>El Pa</v>
      </c>
      <c r="C228" s="332" t="s">
        <v>7505</v>
      </c>
      <c r="D228" s="333" t="s">
        <v>6017</v>
      </c>
      <c r="F228" t="str">
        <f t="shared" si="7"/>
        <v/>
      </c>
      <c r="G228" s="331" t="s">
        <v>7484</v>
      </c>
      <c r="H228" s="331" t="s">
        <v>7495</v>
      </c>
      <c r="I228" s="331" t="s">
        <v>7000</v>
      </c>
      <c r="J228" s="331" t="s">
        <v>6991</v>
      </c>
    </row>
    <row r="229" spans="1:12">
      <c r="A229">
        <v>214</v>
      </c>
      <c r="B229" s="330" t="str">
        <f t="shared" si="6"/>
        <v>El Pa</v>
      </c>
      <c r="C229" s="332" t="s">
        <v>7506</v>
      </c>
      <c r="D229" s="333" t="s">
        <v>6017</v>
      </c>
      <c r="F229" t="str">
        <f t="shared" si="7"/>
        <v/>
      </c>
      <c r="G229" s="331" t="s">
        <v>7486</v>
      </c>
      <c r="H229" s="331" t="s">
        <v>7495</v>
      </c>
      <c r="I229" s="331" t="s">
        <v>7000</v>
      </c>
      <c r="J229" s="331" t="s">
        <v>6991</v>
      </c>
    </row>
    <row r="230" spans="1:12">
      <c r="A230">
        <v>215</v>
      </c>
      <c r="B230" s="330" t="str">
        <f t="shared" si="6"/>
        <v>El Pa</v>
      </c>
      <c r="C230" s="332" t="s">
        <v>7507</v>
      </c>
      <c r="D230" s="333" t="s">
        <v>6017</v>
      </c>
      <c r="F230" t="str">
        <f t="shared" si="7"/>
        <v/>
      </c>
      <c r="G230" s="331" t="s">
        <v>7488</v>
      </c>
      <c r="H230" s="331" t="s">
        <v>7495</v>
      </c>
      <c r="I230" s="331" t="s">
        <v>7000</v>
      </c>
      <c r="J230" s="331" t="s">
        <v>6991</v>
      </c>
    </row>
    <row r="231" spans="1:12">
      <c r="A231">
        <v>216</v>
      </c>
      <c r="B231" s="330" t="str">
        <f t="shared" si="6"/>
        <v>El Pa</v>
      </c>
      <c r="C231" s="332" t="s">
        <v>7508</v>
      </c>
      <c r="D231" s="333" t="s">
        <v>6017</v>
      </c>
      <c r="F231" t="str">
        <f t="shared" si="7"/>
        <v/>
      </c>
      <c r="G231" s="331" t="s">
        <v>7224</v>
      </c>
      <c r="H231" s="331" t="s">
        <v>7495</v>
      </c>
      <c r="I231" s="331" t="s">
        <v>6995</v>
      </c>
      <c r="J231" s="331" t="s">
        <v>6991</v>
      </c>
    </row>
    <row r="232" spans="1:12">
      <c r="A232">
        <v>217</v>
      </c>
      <c r="B232" s="330" t="str">
        <f t="shared" si="6"/>
        <v>El Pa</v>
      </c>
      <c r="C232" s="332" t="s">
        <v>7509</v>
      </c>
      <c r="D232" s="333" t="s">
        <v>6017</v>
      </c>
      <c r="F232" t="str">
        <f t="shared" si="7"/>
        <v/>
      </c>
      <c r="G232" s="331" t="s">
        <v>7491</v>
      </c>
      <c r="H232" s="331" t="s">
        <v>7495</v>
      </c>
      <c r="I232" s="331" t="s">
        <v>6995</v>
      </c>
      <c r="J232" s="331" t="s">
        <v>6999</v>
      </c>
      <c r="K232" s="331" t="s">
        <v>7015</v>
      </c>
      <c r="L232" s="331" t="s">
        <v>6991</v>
      </c>
    </row>
    <row r="233" spans="1:12">
      <c r="A233">
        <v>218</v>
      </c>
      <c r="B233" s="330" t="str">
        <f t="shared" si="6"/>
        <v>El Pa</v>
      </c>
      <c r="C233" s="332" t="s">
        <v>7510</v>
      </c>
      <c r="D233" s="333" t="s">
        <v>6017</v>
      </c>
      <c r="F233" t="str">
        <f t="shared" si="7"/>
        <v/>
      </c>
      <c r="G233" s="331" t="s">
        <v>7493</v>
      </c>
      <c r="H233" s="331" t="s">
        <v>7495</v>
      </c>
      <c r="I233" s="331" t="s">
        <v>6995</v>
      </c>
      <c r="J233" s="331" t="s">
        <v>6999</v>
      </c>
      <c r="K233" s="331" t="s">
        <v>7015</v>
      </c>
      <c r="L233" s="331" t="s">
        <v>6991</v>
      </c>
    </row>
    <row r="234" spans="1:12">
      <c r="A234">
        <v>114</v>
      </c>
      <c r="B234" s="330" t="str">
        <f t="shared" si="6"/>
        <v>El Pa</v>
      </c>
      <c r="C234" s="332" t="s">
        <v>7511</v>
      </c>
      <c r="D234" s="333" t="s">
        <v>6019</v>
      </c>
      <c r="F234">
        <f t="shared" si="7"/>
        <v>1</v>
      </c>
      <c r="G234" s="331" t="s">
        <v>7305</v>
      </c>
      <c r="H234" s="331" t="s">
        <v>7512</v>
      </c>
      <c r="I234" s="331" t="s">
        <v>6995</v>
      </c>
      <c r="J234" s="331" t="s">
        <v>6991</v>
      </c>
    </row>
    <row r="235" spans="1:12">
      <c r="A235">
        <v>186</v>
      </c>
      <c r="B235" s="330" t="str">
        <f t="shared" si="6"/>
        <v>El Pa</v>
      </c>
      <c r="C235" s="332" t="s">
        <v>7513</v>
      </c>
      <c r="D235" s="333" t="s">
        <v>6019</v>
      </c>
      <c r="F235">
        <f t="shared" si="7"/>
        <v>1</v>
      </c>
      <c r="G235" s="331" t="s">
        <v>7514</v>
      </c>
      <c r="H235" s="331" t="s">
        <v>7515</v>
      </c>
      <c r="I235" s="331" t="s">
        <v>7232</v>
      </c>
      <c r="J235" s="331" t="s">
        <v>6991</v>
      </c>
    </row>
    <row r="236" spans="1:12">
      <c r="A236">
        <v>236</v>
      </c>
      <c r="B236" s="330" t="str">
        <f t="shared" si="6"/>
        <v>El Pa</v>
      </c>
      <c r="C236" s="332" t="s">
        <v>7516</v>
      </c>
      <c r="D236" s="333" t="s">
        <v>6019</v>
      </c>
      <c r="F236">
        <f t="shared" si="7"/>
        <v>1</v>
      </c>
      <c r="G236" s="331" t="s">
        <v>7262</v>
      </c>
      <c r="H236" s="331" t="s">
        <v>7517</v>
      </c>
      <c r="I236" s="331" t="s">
        <v>6995</v>
      </c>
      <c r="J236" s="331" t="s">
        <v>6991</v>
      </c>
    </row>
    <row r="237" spans="1:12">
      <c r="A237">
        <v>219</v>
      </c>
      <c r="B237" s="330" t="str">
        <f t="shared" si="6"/>
        <v>El Pa</v>
      </c>
      <c r="C237" s="332" t="s">
        <v>7518</v>
      </c>
      <c r="D237" s="333" t="s">
        <v>6019</v>
      </c>
      <c r="F237">
        <f t="shared" si="7"/>
        <v>1</v>
      </c>
      <c r="G237" s="331" t="s">
        <v>7514</v>
      </c>
      <c r="H237" s="331" t="s">
        <v>7519</v>
      </c>
      <c r="I237" s="331" t="s">
        <v>7232</v>
      </c>
      <c r="J237" s="331" t="s">
        <v>6991</v>
      </c>
    </row>
    <row r="238" spans="1:12">
      <c r="A238">
        <v>238</v>
      </c>
      <c r="B238" s="330" t="str">
        <f t="shared" si="6"/>
        <v>El Pa</v>
      </c>
      <c r="C238" s="332" t="s">
        <v>7520</v>
      </c>
      <c r="D238" s="333" t="s">
        <v>6019</v>
      </c>
      <c r="F238">
        <f t="shared" si="7"/>
        <v>1</v>
      </c>
      <c r="G238" s="331" t="s">
        <v>7521</v>
      </c>
      <c r="H238" s="331" t="s">
        <v>7522</v>
      </c>
      <c r="I238" s="331" t="s">
        <v>7523</v>
      </c>
      <c r="J238" s="331" t="s">
        <v>6991</v>
      </c>
    </row>
    <row r="239" spans="1:12">
      <c r="A239">
        <v>239</v>
      </c>
      <c r="B239" s="330" t="str">
        <f t="shared" si="6"/>
        <v xml:space="preserve">Gilpin </v>
      </c>
      <c r="C239" s="332" t="s">
        <v>7524</v>
      </c>
      <c r="D239" s="333" t="s">
        <v>6014</v>
      </c>
      <c r="F239">
        <f t="shared" si="7"/>
        <v>1</v>
      </c>
      <c r="G239" s="331" t="s">
        <v>7525</v>
      </c>
      <c r="H239" s="331" t="s">
        <v>7526</v>
      </c>
      <c r="I239" s="331" t="s">
        <v>7015</v>
      </c>
      <c r="J239" s="331" t="s">
        <v>6991</v>
      </c>
    </row>
    <row r="240" spans="1:12">
      <c r="A240">
        <v>246</v>
      </c>
      <c r="B240" s="330" t="str">
        <f t="shared" si="6"/>
        <v xml:space="preserve">Gilpin </v>
      </c>
      <c r="C240" s="332" t="s">
        <v>7527</v>
      </c>
      <c r="D240" s="333" t="s">
        <v>6014</v>
      </c>
      <c r="F240">
        <f t="shared" si="7"/>
        <v>1</v>
      </c>
      <c r="G240" s="331" t="s">
        <v>7528</v>
      </c>
      <c r="H240" s="331" t="s">
        <v>7529</v>
      </c>
      <c r="I240" s="331" t="s">
        <v>6995</v>
      </c>
      <c r="J240" s="331" t="s">
        <v>6991</v>
      </c>
    </row>
    <row r="241" spans="1:14">
      <c r="A241">
        <v>240</v>
      </c>
      <c r="B241" s="330" t="str">
        <f t="shared" si="6"/>
        <v xml:space="preserve">Gilpin </v>
      </c>
      <c r="C241" s="332" t="s">
        <v>7530</v>
      </c>
      <c r="D241" s="333" t="s">
        <v>6016</v>
      </c>
      <c r="F241">
        <f t="shared" si="7"/>
        <v>1</v>
      </c>
      <c r="G241" s="331" t="s">
        <v>7531</v>
      </c>
      <c r="H241" s="331" t="s">
        <v>7532</v>
      </c>
      <c r="I241" s="331" t="s">
        <v>7533</v>
      </c>
      <c r="J241" s="331" t="s">
        <v>6999</v>
      </c>
      <c r="K241" s="331" t="s">
        <v>7534</v>
      </c>
      <c r="L241" s="331" t="s">
        <v>6991</v>
      </c>
    </row>
    <row r="242" spans="1:14">
      <c r="A242">
        <v>241</v>
      </c>
      <c r="B242" s="330" t="str">
        <f t="shared" si="6"/>
        <v xml:space="preserve">Gilpin </v>
      </c>
      <c r="C242" s="332" t="s">
        <v>7535</v>
      </c>
      <c r="D242" s="333" t="s">
        <v>6016</v>
      </c>
      <c r="F242">
        <f t="shared" si="7"/>
        <v>1</v>
      </c>
      <c r="G242" s="331" t="s">
        <v>7536</v>
      </c>
      <c r="H242" s="331" t="s">
        <v>7537</v>
      </c>
      <c r="I242" s="331" t="s">
        <v>7538</v>
      </c>
      <c r="J242" s="331" t="s">
        <v>6999</v>
      </c>
      <c r="K242" s="331" t="s">
        <v>7539</v>
      </c>
      <c r="L242" s="331" t="s">
        <v>6991</v>
      </c>
    </row>
    <row r="243" spans="1:14">
      <c r="A243">
        <v>242</v>
      </c>
      <c r="B243" s="330" t="str">
        <f t="shared" si="6"/>
        <v xml:space="preserve">Gilpin </v>
      </c>
      <c r="C243" s="332" t="s">
        <v>7540</v>
      </c>
      <c r="D243" s="333" t="s">
        <v>6016</v>
      </c>
      <c r="F243">
        <f t="shared" si="7"/>
        <v>1</v>
      </c>
      <c r="G243" s="331" t="s">
        <v>7541</v>
      </c>
      <c r="H243" s="331" t="s">
        <v>7542</v>
      </c>
      <c r="I243" s="331" t="s">
        <v>6995</v>
      </c>
      <c r="J243" s="331" t="s">
        <v>6991</v>
      </c>
    </row>
    <row r="244" spans="1:14">
      <c r="A244">
        <v>243</v>
      </c>
      <c r="B244" s="330" t="str">
        <f t="shared" si="6"/>
        <v xml:space="preserve">Gilpin </v>
      </c>
      <c r="C244" s="332" t="s">
        <v>7543</v>
      </c>
      <c r="D244" s="333" t="s">
        <v>6016</v>
      </c>
      <c r="F244">
        <f t="shared" si="7"/>
        <v>1</v>
      </c>
      <c r="G244" s="331" t="s">
        <v>7544</v>
      </c>
      <c r="H244" s="331" t="s">
        <v>7545</v>
      </c>
      <c r="I244" s="331" t="s">
        <v>7546</v>
      </c>
      <c r="J244" s="331" t="s">
        <v>7173</v>
      </c>
      <c r="K244" s="331" t="s">
        <v>7547</v>
      </c>
      <c r="L244" s="331" t="s">
        <v>6999</v>
      </c>
      <c r="M244" s="331" t="s">
        <v>7547</v>
      </c>
      <c r="N244" s="331" t="s">
        <v>6991</v>
      </c>
    </row>
    <row r="245" spans="1:14">
      <c r="A245">
        <v>244</v>
      </c>
      <c r="B245" s="330" t="str">
        <f t="shared" si="6"/>
        <v xml:space="preserve">Gilpin </v>
      </c>
      <c r="C245" s="332" t="s">
        <v>7548</v>
      </c>
      <c r="D245" s="333" t="s">
        <v>6016</v>
      </c>
      <c r="F245">
        <f t="shared" si="7"/>
        <v>1</v>
      </c>
      <c r="G245" s="331" t="s">
        <v>7549</v>
      </c>
      <c r="H245" s="331" t="s">
        <v>7550</v>
      </c>
      <c r="I245" s="331" t="s">
        <v>6995</v>
      </c>
      <c r="J245" s="331" t="s">
        <v>6999</v>
      </c>
      <c r="K245" s="331" t="s">
        <v>7015</v>
      </c>
      <c r="L245" s="331" t="s">
        <v>6991</v>
      </c>
    </row>
    <row r="246" spans="1:14">
      <c r="A246">
        <v>245</v>
      </c>
      <c r="B246" s="330" t="str">
        <f t="shared" si="6"/>
        <v xml:space="preserve">Gilpin </v>
      </c>
      <c r="C246" s="332" t="s">
        <v>7551</v>
      </c>
      <c r="D246" s="333" t="s">
        <v>6016</v>
      </c>
      <c r="F246">
        <f t="shared" si="7"/>
        <v>1</v>
      </c>
      <c r="G246" s="331" t="s">
        <v>7536</v>
      </c>
      <c r="H246" s="331" t="s">
        <v>7552</v>
      </c>
      <c r="I246" s="331" t="s">
        <v>7539</v>
      </c>
      <c r="J246" s="331" t="s">
        <v>6999</v>
      </c>
      <c r="K246" s="331" t="s">
        <v>7538</v>
      </c>
      <c r="L246" s="331" t="s">
        <v>6991</v>
      </c>
    </row>
    <row r="247" spans="1:14">
      <c r="A247">
        <v>247</v>
      </c>
      <c r="B247" s="330" t="str">
        <f t="shared" si="6"/>
        <v xml:space="preserve">Gilpin </v>
      </c>
      <c r="C247" s="334" t="s">
        <v>7553</v>
      </c>
      <c r="D247" s="333" t="s">
        <v>6016</v>
      </c>
      <c r="E247" s="333" t="s">
        <v>7012</v>
      </c>
      <c r="F247">
        <f t="shared" si="7"/>
        <v>1</v>
      </c>
      <c r="G247" s="331" t="s">
        <v>7554</v>
      </c>
      <c r="H247" s="331" t="s">
        <v>7555</v>
      </c>
      <c r="I247" s="331" t="s">
        <v>7556</v>
      </c>
      <c r="J247" s="331" t="s">
        <v>6999</v>
      </c>
      <c r="K247" s="331" t="s">
        <v>7557</v>
      </c>
      <c r="L247" s="331" t="s">
        <v>6991</v>
      </c>
    </row>
    <row r="248" spans="1:14">
      <c r="A248">
        <v>248</v>
      </c>
      <c r="B248" s="330" t="str">
        <f t="shared" si="6"/>
        <v xml:space="preserve">Gilpin </v>
      </c>
      <c r="C248" s="332" t="s">
        <v>7558</v>
      </c>
      <c r="D248" s="333" t="s">
        <v>6016</v>
      </c>
      <c r="F248">
        <f t="shared" si="7"/>
        <v>1</v>
      </c>
      <c r="G248" s="331" t="s">
        <v>7559</v>
      </c>
      <c r="H248" s="331" t="s">
        <v>7560</v>
      </c>
      <c r="I248" s="331" t="s">
        <v>6995</v>
      </c>
      <c r="J248" s="331" t="s">
        <v>6991</v>
      </c>
    </row>
    <row r="249" spans="1:14">
      <c r="A249">
        <v>249</v>
      </c>
      <c r="B249" s="330" t="str">
        <f t="shared" si="6"/>
        <v xml:space="preserve">Jefferson </v>
      </c>
      <c r="C249" s="332" t="s">
        <v>7561</v>
      </c>
      <c r="D249" s="333" t="s">
        <v>6016</v>
      </c>
      <c r="F249">
        <f t="shared" si="7"/>
        <v>1</v>
      </c>
      <c r="G249" s="331" t="s">
        <v>7562</v>
      </c>
      <c r="H249" s="331" t="s">
        <v>7563</v>
      </c>
      <c r="I249" s="331" t="s">
        <v>7015</v>
      </c>
      <c r="J249" s="331" t="s">
        <v>6999</v>
      </c>
      <c r="K249" s="331" t="s">
        <v>6995</v>
      </c>
      <c r="L249" s="331" t="s">
        <v>6991</v>
      </c>
    </row>
    <row r="250" spans="1:14">
      <c r="A250">
        <v>250</v>
      </c>
      <c r="B250" s="330" t="str">
        <f t="shared" si="6"/>
        <v xml:space="preserve">Lake </v>
      </c>
      <c r="C250" s="332" t="s">
        <v>7564</v>
      </c>
      <c r="D250" s="333" t="s">
        <v>6016</v>
      </c>
      <c r="F250">
        <f t="shared" si="7"/>
        <v>1</v>
      </c>
      <c r="G250" s="331" t="s">
        <v>7565</v>
      </c>
      <c r="H250" s="331" t="s">
        <v>7566</v>
      </c>
      <c r="I250" s="331" t="s">
        <v>6995</v>
      </c>
      <c r="J250" s="331" t="s">
        <v>6999</v>
      </c>
      <c r="K250" s="331" t="s">
        <v>7015</v>
      </c>
      <c r="L250" s="331" t="s">
        <v>6991</v>
      </c>
    </row>
    <row r="251" spans="1:14">
      <c r="A251">
        <v>251</v>
      </c>
      <c r="B251" s="330" t="str">
        <f t="shared" si="6"/>
        <v xml:space="preserve">Lake </v>
      </c>
      <c r="C251" s="332" t="s">
        <v>7567</v>
      </c>
      <c r="D251" s="333" t="s">
        <v>6016</v>
      </c>
      <c r="F251" t="str">
        <f t="shared" si="7"/>
        <v/>
      </c>
      <c r="G251" s="331" t="s">
        <v>7568</v>
      </c>
      <c r="H251" s="331" t="s">
        <v>7566</v>
      </c>
      <c r="I251" s="331" t="s">
        <v>7000</v>
      </c>
      <c r="J251" s="331" t="s">
        <v>6991</v>
      </c>
    </row>
    <row r="252" spans="1:14">
      <c r="A252">
        <v>252</v>
      </c>
      <c r="B252" s="330" t="str">
        <f t="shared" si="6"/>
        <v xml:space="preserve">Mineral </v>
      </c>
      <c r="C252" s="332" t="s">
        <v>7569</v>
      </c>
      <c r="D252" s="333" t="s">
        <v>6017</v>
      </c>
      <c r="F252">
        <f t="shared" si="7"/>
        <v>1</v>
      </c>
      <c r="G252" s="331" t="s">
        <v>7570</v>
      </c>
      <c r="H252" s="331" t="s">
        <v>7571</v>
      </c>
      <c r="I252" s="331" t="s">
        <v>6995</v>
      </c>
      <c r="J252" s="331" t="s">
        <v>6999</v>
      </c>
      <c r="K252" s="331" t="s">
        <v>7015</v>
      </c>
      <c r="L252" s="331" t="s">
        <v>6991</v>
      </c>
    </row>
    <row r="253" spans="1:14">
      <c r="A253">
        <v>253</v>
      </c>
      <c r="B253" s="330" t="str">
        <f t="shared" si="6"/>
        <v xml:space="preserve">Mineral </v>
      </c>
      <c r="C253" s="332" t="s">
        <v>7572</v>
      </c>
      <c r="D253" s="333" t="s">
        <v>6017</v>
      </c>
      <c r="F253" t="str">
        <f t="shared" si="7"/>
        <v/>
      </c>
      <c r="G253" s="331" t="s">
        <v>7573</v>
      </c>
      <c r="H253" s="331" t="s">
        <v>7571</v>
      </c>
      <c r="I253" s="331" t="s">
        <v>6995</v>
      </c>
      <c r="J253" s="331" t="s">
        <v>6999</v>
      </c>
      <c r="K253" s="331" t="s">
        <v>7015</v>
      </c>
      <c r="L253" s="331" t="s">
        <v>6991</v>
      </c>
    </row>
    <row r="254" spans="1:14">
      <c r="A254">
        <v>254</v>
      </c>
      <c r="B254" s="330" t="str">
        <f t="shared" si="6"/>
        <v xml:space="preserve">Mineral </v>
      </c>
      <c r="C254" s="332" t="s">
        <v>7574</v>
      </c>
      <c r="D254" s="333" t="s">
        <v>6017</v>
      </c>
      <c r="F254" t="str">
        <f t="shared" si="7"/>
        <v/>
      </c>
      <c r="G254" s="331" t="s">
        <v>7575</v>
      </c>
      <c r="H254" s="331" t="s">
        <v>7571</v>
      </c>
      <c r="I254" s="331" t="s">
        <v>6995</v>
      </c>
      <c r="J254" s="331" t="s">
        <v>6999</v>
      </c>
      <c r="K254" s="331" t="s">
        <v>7015</v>
      </c>
      <c r="L254" s="331" t="s">
        <v>6991</v>
      </c>
    </row>
    <row r="255" spans="1:14">
      <c r="A255">
        <v>255</v>
      </c>
      <c r="B255" s="330" t="str">
        <f t="shared" si="6"/>
        <v xml:space="preserve">Mineral </v>
      </c>
      <c r="C255" s="332" t="s">
        <v>7576</v>
      </c>
      <c r="D255" s="333" t="s">
        <v>6017</v>
      </c>
      <c r="F255" t="str">
        <f t="shared" si="7"/>
        <v/>
      </c>
      <c r="G255" s="331" t="s">
        <v>7577</v>
      </c>
      <c r="H255" s="331" t="s">
        <v>7571</v>
      </c>
      <c r="I255" s="331" t="s">
        <v>7000</v>
      </c>
      <c r="J255" s="331" t="s">
        <v>6991</v>
      </c>
    </row>
    <row r="256" spans="1:14">
      <c r="A256">
        <v>256</v>
      </c>
      <c r="B256" s="330" t="str">
        <f t="shared" si="6"/>
        <v xml:space="preserve">Mineral </v>
      </c>
      <c r="C256" s="332" t="s">
        <v>7578</v>
      </c>
      <c r="D256" s="333" t="s">
        <v>6017</v>
      </c>
      <c r="F256" t="str">
        <f t="shared" si="7"/>
        <v/>
      </c>
      <c r="G256" s="331" t="s">
        <v>7579</v>
      </c>
      <c r="H256" s="331" t="s">
        <v>7571</v>
      </c>
      <c r="I256" s="331" t="s">
        <v>7000</v>
      </c>
      <c r="J256" s="331" t="s">
        <v>6991</v>
      </c>
    </row>
    <row r="257" spans="1:12">
      <c r="A257">
        <v>257</v>
      </c>
      <c r="B257" s="330" t="str">
        <f t="shared" ref="B257:B305" si="8">LEFT(C257,MAX(5,FIND(" ",C257)))</f>
        <v xml:space="preserve">Mineral </v>
      </c>
      <c r="C257" s="332" t="s">
        <v>7580</v>
      </c>
      <c r="D257" s="333" t="s">
        <v>6017</v>
      </c>
      <c r="F257" t="str">
        <f t="shared" si="7"/>
        <v/>
      </c>
      <c r="G257" s="331" t="s">
        <v>7581</v>
      </c>
      <c r="H257" s="331" t="s">
        <v>7571</v>
      </c>
      <c r="I257" s="331" t="s">
        <v>7582</v>
      </c>
      <c r="J257" s="331" t="s">
        <v>6991</v>
      </c>
    </row>
    <row r="258" spans="1:12">
      <c r="A258">
        <v>258</v>
      </c>
      <c r="B258" s="330" t="str">
        <f t="shared" si="8"/>
        <v xml:space="preserve">Mineral </v>
      </c>
      <c r="C258" s="332" t="s">
        <v>7583</v>
      </c>
      <c r="D258" s="333" t="s">
        <v>6017</v>
      </c>
      <c r="F258" t="str">
        <f t="shared" si="7"/>
        <v/>
      </c>
      <c r="G258" s="331" t="s">
        <v>7584</v>
      </c>
      <c r="H258" s="331" t="s">
        <v>7571</v>
      </c>
      <c r="I258" s="331" t="s">
        <v>7000</v>
      </c>
      <c r="J258" s="331" t="s">
        <v>6991</v>
      </c>
    </row>
    <row r="259" spans="1:12">
      <c r="A259">
        <v>259</v>
      </c>
      <c r="B259" s="330" t="str">
        <f t="shared" si="8"/>
        <v xml:space="preserve">Mineral </v>
      </c>
      <c r="C259" s="332" t="s">
        <v>7585</v>
      </c>
      <c r="D259" s="333" t="s">
        <v>6017</v>
      </c>
      <c r="F259" t="str">
        <f t="shared" si="7"/>
        <v/>
      </c>
      <c r="G259" s="331" t="s">
        <v>7586</v>
      </c>
      <c r="H259" s="331" t="s">
        <v>7571</v>
      </c>
      <c r="I259" s="331" t="s">
        <v>6990</v>
      </c>
      <c r="J259" s="331" t="s">
        <v>6999</v>
      </c>
      <c r="K259" s="331" t="s">
        <v>7000</v>
      </c>
      <c r="L259" s="331" t="s">
        <v>6991</v>
      </c>
    </row>
    <row r="260" spans="1:12">
      <c r="A260">
        <v>260</v>
      </c>
      <c r="B260" s="330" t="str">
        <f t="shared" si="8"/>
        <v xml:space="preserve">Mineral </v>
      </c>
      <c r="C260" s="332" t="s">
        <v>7587</v>
      </c>
      <c r="D260" s="333" t="s">
        <v>6017</v>
      </c>
      <c r="F260" t="str">
        <f t="shared" ref="F260:F305" si="9">IF(H260=H259,"",1)</f>
        <v/>
      </c>
      <c r="G260" s="331" t="s">
        <v>7588</v>
      </c>
      <c r="H260" s="331" t="s">
        <v>7571</v>
      </c>
      <c r="I260" s="331" t="s">
        <v>7141</v>
      </c>
      <c r="J260" s="331" t="s">
        <v>6999</v>
      </c>
      <c r="K260" s="331" t="s">
        <v>7142</v>
      </c>
      <c r="L260" s="331" t="s">
        <v>6991</v>
      </c>
    </row>
    <row r="261" spans="1:12">
      <c r="A261">
        <v>261</v>
      </c>
      <c r="B261" s="330" t="str">
        <f t="shared" si="8"/>
        <v xml:space="preserve">Mineral </v>
      </c>
      <c r="C261" s="332" t="s">
        <v>7589</v>
      </c>
      <c r="D261" s="333" t="s">
        <v>6017</v>
      </c>
      <c r="F261" t="str">
        <f t="shared" si="9"/>
        <v/>
      </c>
      <c r="G261" s="331" t="s">
        <v>7590</v>
      </c>
      <c r="H261" s="331" t="s">
        <v>7571</v>
      </c>
      <c r="I261" s="331" t="s">
        <v>6995</v>
      </c>
      <c r="J261" s="331" t="s">
        <v>6999</v>
      </c>
      <c r="K261" s="331" t="s">
        <v>7015</v>
      </c>
      <c r="L261" s="331" t="s">
        <v>6991</v>
      </c>
    </row>
    <row r="262" spans="1:12">
      <c r="A262">
        <v>262</v>
      </c>
      <c r="B262" s="330" t="str">
        <f t="shared" si="8"/>
        <v xml:space="preserve">Mineral </v>
      </c>
      <c r="C262" s="332" t="s">
        <v>7591</v>
      </c>
      <c r="D262" s="333" t="s">
        <v>6017</v>
      </c>
      <c r="F262" t="str">
        <f t="shared" si="9"/>
        <v/>
      </c>
      <c r="G262" s="331" t="s">
        <v>7592</v>
      </c>
      <c r="H262" s="331" t="s">
        <v>7571</v>
      </c>
      <c r="I262" s="331" t="s">
        <v>6995</v>
      </c>
      <c r="J262" s="331" t="s">
        <v>6999</v>
      </c>
      <c r="K262" s="331" t="s">
        <v>7015</v>
      </c>
      <c r="L262" s="331" t="s">
        <v>6991</v>
      </c>
    </row>
    <row r="263" spans="1:12">
      <c r="A263">
        <v>263</v>
      </c>
      <c r="B263" s="330" t="str">
        <f t="shared" si="8"/>
        <v xml:space="preserve">Mineral </v>
      </c>
      <c r="C263" s="332" t="s">
        <v>7593</v>
      </c>
      <c r="D263" s="333" t="s">
        <v>6017</v>
      </c>
      <c r="F263" t="str">
        <f t="shared" si="9"/>
        <v/>
      </c>
      <c r="G263" s="331" t="s">
        <v>7594</v>
      </c>
      <c r="H263" s="331" t="s">
        <v>7571</v>
      </c>
      <c r="I263" s="331" t="s">
        <v>6995</v>
      </c>
      <c r="J263" s="331" t="s">
        <v>6999</v>
      </c>
      <c r="K263" s="331" t="s">
        <v>7015</v>
      </c>
      <c r="L263" s="331" t="s">
        <v>6991</v>
      </c>
    </row>
    <row r="264" spans="1:12">
      <c r="A264">
        <v>264</v>
      </c>
      <c r="B264" s="330" t="str">
        <f t="shared" si="8"/>
        <v xml:space="preserve">Mineral </v>
      </c>
      <c r="C264" s="332" t="s">
        <v>7595</v>
      </c>
      <c r="D264" s="333" t="s">
        <v>6017</v>
      </c>
      <c r="F264" t="str">
        <f t="shared" si="9"/>
        <v/>
      </c>
      <c r="G264" s="331" t="s">
        <v>7596</v>
      </c>
      <c r="H264" s="331" t="s">
        <v>7571</v>
      </c>
      <c r="I264" s="331" t="s">
        <v>7597</v>
      </c>
      <c r="J264" s="331" t="s">
        <v>6999</v>
      </c>
      <c r="K264" s="331" t="s">
        <v>7598</v>
      </c>
      <c r="L264" s="331" t="s">
        <v>6991</v>
      </c>
    </row>
    <row r="265" spans="1:12">
      <c r="A265">
        <v>265</v>
      </c>
      <c r="B265" s="330" t="str">
        <f t="shared" si="8"/>
        <v xml:space="preserve">Mineral </v>
      </c>
      <c r="C265" s="332" t="s">
        <v>7599</v>
      </c>
      <c r="D265" s="333" t="s">
        <v>6017</v>
      </c>
      <c r="F265" t="str">
        <f t="shared" si="9"/>
        <v/>
      </c>
      <c r="G265" s="331" t="s">
        <v>7600</v>
      </c>
      <c r="H265" s="331" t="s">
        <v>7571</v>
      </c>
      <c r="I265" s="331" t="s">
        <v>7601</v>
      </c>
      <c r="J265" s="331" t="s">
        <v>6999</v>
      </c>
      <c r="K265" s="331" t="s">
        <v>7602</v>
      </c>
      <c r="L265" s="331" t="s">
        <v>6991</v>
      </c>
    </row>
    <row r="266" spans="1:12">
      <c r="A266">
        <v>266</v>
      </c>
      <c r="B266" s="330" t="str">
        <f t="shared" si="8"/>
        <v xml:space="preserve">Mineral </v>
      </c>
      <c r="C266" s="332" t="s">
        <v>7603</v>
      </c>
      <c r="D266" s="333" t="s">
        <v>6017</v>
      </c>
      <c r="F266" t="str">
        <f t="shared" si="9"/>
        <v/>
      </c>
      <c r="G266" s="331" t="s">
        <v>7604</v>
      </c>
      <c r="H266" s="331" t="s">
        <v>7571</v>
      </c>
      <c r="I266" s="331" t="s">
        <v>7605</v>
      </c>
      <c r="J266" s="331" t="s">
        <v>6999</v>
      </c>
      <c r="K266" s="331" t="s">
        <v>7606</v>
      </c>
      <c r="L266" s="331" t="s">
        <v>6991</v>
      </c>
    </row>
    <row r="267" spans="1:12">
      <c r="A267">
        <v>267</v>
      </c>
      <c r="B267" s="330" t="str">
        <f t="shared" si="8"/>
        <v xml:space="preserve">Mineral </v>
      </c>
      <c r="C267" s="332" t="s">
        <v>7607</v>
      </c>
      <c r="D267" s="333" t="s">
        <v>6017</v>
      </c>
      <c r="F267" t="str">
        <f t="shared" si="9"/>
        <v/>
      </c>
      <c r="G267" s="331" t="s">
        <v>7608</v>
      </c>
      <c r="H267" s="331" t="s">
        <v>7571</v>
      </c>
      <c r="I267" s="331" t="s">
        <v>7609</v>
      </c>
      <c r="J267" s="331" t="s">
        <v>6999</v>
      </c>
      <c r="K267" s="331" t="s">
        <v>7610</v>
      </c>
      <c r="L267" s="331" t="s">
        <v>6991</v>
      </c>
    </row>
    <row r="268" spans="1:12">
      <c r="A268">
        <v>268</v>
      </c>
      <c r="B268" s="330" t="str">
        <f t="shared" si="8"/>
        <v xml:space="preserve">Mineral </v>
      </c>
      <c r="C268" s="332" t="s">
        <v>7611</v>
      </c>
      <c r="D268" s="333" t="s">
        <v>6017</v>
      </c>
      <c r="F268" t="str">
        <f t="shared" si="9"/>
        <v/>
      </c>
      <c r="G268" s="331" t="s">
        <v>7612</v>
      </c>
      <c r="H268" s="331" t="s">
        <v>7571</v>
      </c>
      <c r="I268" s="331" t="s">
        <v>7153</v>
      </c>
      <c r="J268" s="331" t="s">
        <v>6999</v>
      </c>
      <c r="K268" s="331" t="s">
        <v>7044</v>
      </c>
      <c r="L268" s="331" t="s">
        <v>6991</v>
      </c>
    </row>
    <row r="269" spans="1:12">
      <c r="A269">
        <v>269</v>
      </c>
      <c r="B269" s="330" t="str">
        <f t="shared" si="8"/>
        <v xml:space="preserve">Mineral </v>
      </c>
      <c r="C269" s="332" t="s">
        <v>7613</v>
      </c>
      <c r="D269" s="333" t="s">
        <v>6017</v>
      </c>
      <c r="F269">
        <f t="shared" si="9"/>
        <v>1</v>
      </c>
      <c r="G269" s="331" t="s">
        <v>7573</v>
      </c>
      <c r="H269" s="331" t="s">
        <v>7614</v>
      </c>
      <c r="I269" s="331" t="s">
        <v>7015</v>
      </c>
      <c r="J269" s="331" t="s">
        <v>6999</v>
      </c>
      <c r="K269" s="331" t="s">
        <v>6995</v>
      </c>
      <c r="L269" s="331" t="s">
        <v>6991</v>
      </c>
    </row>
    <row r="270" spans="1:12">
      <c r="A270">
        <v>270</v>
      </c>
      <c r="B270" s="330" t="str">
        <f t="shared" si="8"/>
        <v xml:space="preserve">Mineral </v>
      </c>
      <c r="C270" s="332" t="s">
        <v>7615</v>
      </c>
      <c r="D270" s="333" t="s">
        <v>6017</v>
      </c>
      <c r="F270" t="str">
        <f t="shared" si="9"/>
        <v/>
      </c>
      <c r="G270" s="331" t="s">
        <v>7575</v>
      </c>
      <c r="H270" s="331" t="s">
        <v>7614</v>
      </c>
      <c r="I270" s="331" t="s">
        <v>7015</v>
      </c>
      <c r="J270" s="331" t="s">
        <v>6999</v>
      </c>
      <c r="K270" s="331" t="s">
        <v>6995</v>
      </c>
      <c r="L270" s="331" t="s">
        <v>6991</v>
      </c>
    </row>
    <row r="271" spans="1:12">
      <c r="A271">
        <v>271</v>
      </c>
      <c r="B271" s="330" t="str">
        <f t="shared" si="8"/>
        <v xml:space="preserve">Mineral </v>
      </c>
      <c r="C271" s="332" t="s">
        <v>7616</v>
      </c>
      <c r="D271" s="333" t="s">
        <v>6017</v>
      </c>
      <c r="F271" t="str">
        <f t="shared" si="9"/>
        <v/>
      </c>
      <c r="G271" s="331" t="s">
        <v>7579</v>
      </c>
      <c r="H271" s="331" t="s">
        <v>7614</v>
      </c>
      <c r="I271" s="331" t="s">
        <v>7000</v>
      </c>
      <c r="J271" s="331" t="s">
        <v>6991</v>
      </c>
    </row>
    <row r="272" spans="1:12">
      <c r="A272">
        <v>272</v>
      </c>
      <c r="B272" s="330" t="str">
        <f t="shared" si="8"/>
        <v xml:space="preserve">Mineral </v>
      </c>
      <c r="C272" s="332" t="s">
        <v>7617</v>
      </c>
      <c r="D272" s="333" t="s">
        <v>6017</v>
      </c>
      <c r="F272" t="str">
        <f t="shared" si="9"/>
        <v/>
      </c>
      <c r="G272" s="331" t="s">
        <v>7618</v>
      </c>
      <c r="H272" s="331" t="s">
        <v>7614</v>
      </c>
      <c r="I272" s="331" t="s">
        <v>6990</v>
      </c>
      <c r="J272" s="331" t="s">
        <v>6991</v>
      </c>
    </row>
    <row r="273" spans="1:12">
      <c r="A273">
        <v>273</v>
      </c>
      <c r="B273" s="330" t="str">
        <f t="shared" si="8"/>
        <v xml:space="preserve">Mineral </v>
      </c>
      <c r="C273" s="332" t="s">
        <v>7619</v>
      </c>
      <c r="D273" s="333" t="s">
        <v>6017</v>
      </c>
      <c r="F273" t="str">
        <f t="shared" si="9"/>
        <v/>
      </c>
      <c r="G273" s="331" t="s">
        <v>7620</v>
      </c>
      <c r="H273" s="331" t="s">
        <v>7614</v>
      </c>
      <c r="I273" s="331" t="s">
        <v>7000</v>
      </c>
      <c r="J273" s="331" t="s">
        <v>6991</v>
      </c>
    </row>
    <row r="274" spans="1:12">
      <c r="A274">
        <v>274</v>
      </c>
      <c r="B274" s="330" t="str">
        <f t="shared" si="8"/>
        <v xml:space="preserve">Mineral </v>
      </c>
      <c r="C274" s="332" t="s">
        <v>7621</v>
      </c>
      <c r="D274" s="333" t="s">
        <v>6017</v>
      </c>
      <c r="F274" t="str">
        <f t="shared" si="9"/>
        <v/>
      </c>
      <c r="G274" s="331" t="s">
        <v>7622</v>
      </c>
      <c r="H274" s="331" t="s">
        <v>7614</v>
      </c>
      <c r="I274" s="331" t="s">
        <v>6995</v>
      </c>
      <c r="J274" s="331" t="s">
        <v>6999</v>
      </c>
      <c r="K274" s="331" t="s">
        <v>7015</v>
      </c>
      <c r="L274" s="331" t="s">
        <v>6991</v>
      </c>
    </row>
    <row r="275" spans="1:12">
      <c r="A275">
        <v>275</v>
      </c>
      <c r="B275" s="330" t="str">
        <f t="shared" si="8"/>
        <v xml:space="preserve">Mineral </v>
      </c>
      <c r="C275" s="332" t="s">
        <v>7623</v>
      </c>
      <c r="D275" s="333" t="s">
        <v>6017</v>
      </c>
      <c r="F275" t="str">
        <f t="shared" si="9"/>
        <v/>
      </c>
      <c r="G275" s="331" t="s">
        <v>7604</v>
      </c>
      <c r="H275" s="331" t="s">
        <v>7614</v>
      </c>
      <c r="I275" s="331" t="s">
        <v>7606</v>
      </c>
      <c r="J275" s="331" t="s">
        <v>6999</v>
      </c>
      <c r="K275" s="331" t="s">
        <v>7605</v>
      </c>
      <c r="L275" s="331" t="s">
        <v>6991</v>
      </c>
    </row>
    <row r="276" spans="1:12">
      <c r="A276">
        <v>276</v>
      </c>
      <c r="B276" s="330" t="str">
        <f t="shared" si="8"/>
        <v xml:space="preserve">Moffat </v>
      </c>
      <c r="C276" s="332" t="s">
        <v>7624</v>
      </c>
      <c r="D276" s="333" t="s">
        <v>6014</v>
      </c>
      <c r="F276">
        <f t="shared" si="9"/>
        <v>1</v>
      </c>
      <c r="G276" s="331" t="s">
        <v>7625</v>
      </c>
      <c r="H276" s="331" t="s">
        <v>7626</v>
      </c>
      <c r="I276" s="331" t="s">
        <v>7141</v>
      </c>
      <c r="J276" s="331" t="s">
        <v>6991</v>
      </c>
    </row>
    <row r="277" spans="1:12">
      <c r="A277">
        <v>277</v>
      </c>
      <c r="B277" s="330" t="str">
        <f t="shared" si="8"/>
        <v xml:space="preserve">Moffat </v>
      </c>
      <c r="C277" s="332" t="s">
        <v>7627</v>
      </c>
      <c r="D277" s="333" t="s">
        <v>6014</v>
      </c>
      <c r="F277" t="str">
        <f t="shared" si="9"/>
        <v/>
      </c>
      <c r="G277" s="331" t="s">
        <v>7628</v>
      </c>
      <c r="H277" s="331" t="s">
        <v>7626</v>
      </c>
      <c r="I277" s="331" t="s">
        <v>7153</v>
      </c>
      <c r="J277" s="331" t="s">
        <v>6991</v>
      </c>
    </row>
    <row r="278" spans="1:12">
      <c r="A278">
        <v>278</v>
      </c>
      <c r="B278" s="330" t="str">
        <f t="shared" si="8"/>
        <v xml:space="preserve">Moffat </v>
      </c>
      <c r="C278" s="332" t="s">
        <v>7629</v>
      </c>
      <c r="D278" s="333" t="s">
        <v>6014</v>
      </c>
      <c r="F278">
        <f t="shared" si="9"/>
        <v>1</v>
      </c>
      <c r="G278" s="331" t="s">
        <v>7630</v>
      </c>
      <c r="H278" s="331" t="s">
        <v>7631</v>
      </c>
      <c r="I278" s="331" t="s">
        <v>7015</v>
      </c>
      <c r="J278" s="331" t="s">
        <v>6991</v>
      </c>
    </row>
    <row r="279" spans="1:12">
      <c r="A279">
        <v>288</v>
      </c>
      <c r="B279" s="330" t="str">
        <f t="shared" si="8"/>
        <v xml:space="preserve">Montezuma </v>
      </c>
      <c r="C279" s="332" t="s">
        <v>7632</v>
      </c>
      <c r="D279" s="333" t="s">
        <v>6016</v>
      </c>
      <c r="F279">
        <f t="shared" si="9"/>
        <v>1</v>
      </c>
      <c r="G279" s="331" t="s">
        <v>7633</v>
      </c>
      <c r="H279" s="331" t="s">
        <v>7634</v>
      </c>
      <c r="I279" s="331" t="s">
        <v>6995</v>
      </c>
      <c r="J279" s="331" t="s">
        <v>6999</v>
      </c>
      <c r="K279" s="331" t="s">
        <v>7015</v>
      </c>
      <c r="L279" s="331" t="s">
        <v>6991</v>
      </c>
    </row>
    <row r="280" spans="1:12">
      <c r="A280">
        <v>289</v>
      </c>
      <c r="B280" s="330" t="str">
        <f t="shared" si="8"/>
        <v xml:space="preserve">Montezuma </v>
      </c>
      <c r="C280" s="332" t="s">
        <v>7635</v>
      </c>
      <c r="D280" s="333" t="s">
        <v>6016</v>
      </c>
      <c r="F280">
        <f t="shared" si="9"/>
        <v>1</v>
      </c>
      <c r="G280" s="331" t="s">
        <v>7636</v>
      </c>
      <c r="H280" s="331" t="s">
        <v>7637</v>
      </c>
      <c r="I280" s="331" t="s">
        <v>7000</v>
      </c>
      <c r="J280" s="331" t="s">
        <v>6991</v>
      </c>
    </row>
    <row r="281" spans="1:12">
      <c r="A281">
        <v>279</v>
      </c>
      <c r="B281" s="330" t="str">
        <f t="shared" si="8"/>
        <v xml:space="preserve">Montezuma </v>
      </c>
      <c r="C281" s="332" t="s">
        <v>7638</v>
      </c>
      <c r="D281" s="333" t="s">
        <v>6017</v>
      </c>
      <c r="F281">
        <f t="shared" si="9"/>
        <v>1</v>
      </c>
      <c r="G281" s="331" t="s">
        <v>7639</v>
      </c>
      <c r="H281" s="331" t="s">
        <v>7640</v>
      </c>
      <c r="I281" s="331" t="s">
        <v>7015</v>
      </c>
      <c r="J281" s="331" t="s">
        <v>6999</v>
      </c>
      <c r="K281" s="331" t="s">
        <v>6995</v>
      </c>
      <c r="L281" s="331" t="s">
        <v>6991</v>
      </c>
    </row>
    <row r="282" spans="1:12">
      <c r="A282">
        <v>280</v>
      </c>
      <c r="B282" s="330" t="str">
        <f t="shared" si="8"/>
        <v xml:space="preserve">Montezuma </v>
      </c>
      <c r="C282" s="332" t="s">
        <v>7641</v>
      </c>
      <c r="D282" s="333" t="s">
        <v>6017</v>
      </c>
      <c r="F282" t="str">
        <f t="shared" si="9"/>
        <v/>
      </c>
      <c r="G282" s="331" t="s">
        <v>7642</v>
      </c>
      <c r="H282" s="331" t="s">
        <v>7640</v>
      </c>
      <c r="I282" s="331" t="s">
        <v>7015</v>
      </c>
      <c r="J282" s="331" t="s">
        <v>6999</v>
      </c>
      <c r="K282" s="331" t="s">
        <v>6995</v>
      </c>
      <c r="L282" s="331" t="s">
        <v>6991</v>
      </c>
    </row>
    <row r="283" spans="1:12">
      <c r="A283">
        <v>281</v>
      </c>
      <c r="B283" s="330" t="str">
        <f t="shared" si="8"/>
        <v xml:space="preserve">Montezuma </v>
      </c>
      <c r="C283" s="332" t="s">
        <v>7643</v>
      </c>
      <c r="D283" s="333" t="s">
        <v>6017</v>
      </c>
      <c r="F283" t="str">
        <f t="shared" si="9"/>
        <v/>
      </c>
      <c r="G283" s="331" t="s">
        <v>7644</v>
      </c>
      <c r="H283" s="331" t="s">
        <v>7640</v>
      </c>
      <c r="I283" s="331" t="s">
        <v>7015</v>
      </c>
      <c r="J283" s="331" t="s">
        <v>6999</v>
      </c>
      <c r="K283" s="331" t="s">
        <v>6995</v>
      </c>
      <c r="L283" s="331" t="s">
        <v>6991</v>
      </c>
    </row>
    <row r="284" spans="1:12">
      <c r="A284">
        <v>282</v>
      </c>
      <c r="B284" s="330" t="str">
        <f t="shared" si="8"/>
        <v xml:space="preserve">Montezuma </v>
      </c>
      <c r="C284" s="332" t="s">
        <v>7645</v>
      </c>
      <c r="D284" s="333" t="s">
        <v>6017</v>
      </c>
      <c r="F284" t="str">
        <f t="shared" si="9"/>
        <v/>
      </c>
      <c r="G284" s="331" t="s">
        <v>7646</v>
      </c>
      <c r="H284" s="331" t="s">
        <v>7640</v>
      </c>
      <c r="I284" s="331" t="s">
        <v>7000</v>
      </c>
      <c r="J284" s="331" t="s">
        <v>6991</v>
      </c>
    </row>
    <row r="285" spans="1:12">
      <c r="A285">
        <v>283</v>
      </c>
      <c r="B285" s="330" t="str">
        <f t="shared" si="8"/>
        <v xml:space="preserve">Montezuma </v>
      </c>
      <c r="C285" s="332" t="s">
        <v>7647</v>
      </c>
      <c r="D285" s="333" t="s">
        <v>6017</v>
      </c>
      <c r="F285" t="str">
        <f t="shared" si="9"/>
        <v/>
      </c>
      <c r="G285" s="331" t="s">
        <v>7636</v>
      </c>
      <c r="H285" s="331" t="s">
        <v>7640</v>
      </c>
      <c r="I285" s="331" t="s">
        <v>7000</v>
      </c>
      <c r="J285" s="331" t="s">
        <v>6991</v>
      </c>
    </row>
    <row r="286" spans="1:12">
      <c r="A286">
        <v>284</v>
      </c>
      <c r="B286" s="330" t="str">
        <f t="shared" si="8"/>
        <v xml:space="preserve">Montezuma </v>
      </c>
      <c r="C286" s="332" t="s">
        <v>7648</v>
      </c>
      <c r="D286" s="333" t="s">
        <v>6017</v>
      </c>
      <c r="F286" t="str">
        <f t="shared" si="9"/>
        <v/>
      </c>
      <c r="G286" s="331" t="s">
        <v>7649</v>
      </c>
      <c r="H286" s="331" t="s">
        <v>7640</v>
      </c>
      <c r="I286" s="331" t="s">
        <v>7000</v>
      </c>
      <c r="J286" s="331" t="s">
        <v>6991</v>
      </c>
    </row>
    <row r="287" spans="1:12">
      <c r="A287">
        <v>285</v>
      </c>
      <c r="B287" s="330" t="str">
        <f t="shared" si="8"/>
        <v xml:space="preserve">Montezuma </v>
      </c>
      <c r="C287" s="332" t="s">
        <v>7650</v>
      </c>
      <c r="D287" s="333" t="s">
        <v>6017</v>
      </c>
      <c r="F287" t="str">
        <f t="shared" si="9"/>
        <v/>
      </c>
      <c r="G287" s="331" t="s">
        <v>7651</v>
      </c>
      <c r="H287" s="331" t="s">
        <v>7640</v>
      </c>
      <c r="I287" s="331" t="s">
        <v>7000</v>
      </c>
      <c r="J287" s="331" t="s">
        <v>6991</v>
      </c>
    </row>
    <row r="288" spans="1:12">
      <c r="A288">
        <v>286</v>
      </c>
      <c r="B288" s="330" t="str">
        <f t="shared" si="8"/>
        <v xml:space="preserve">Montezuma </v>
      </c>
      <c r="C288" s="332" t="s">
        <v>7652</v>
      </c>
      <c r="D288" s="333" t="s">
        <v>6017</v>
      </c>
      <c r="F288" t="str">
        <f t="shared" si="9"/>
        <v/>
      </c>
      <c r="G288" s="331" t="s">
        <v>7653</v>
      </c>
      <c r="H288" s="331" t="s">
        <v>7640</v>
      </c>
      <c r="I288" s="331" t="s">
        <v>7015</v>
      </c>
      <c r="J288" s="331" t="s">
        <v>6999</v>
      </c>
      <c r="K288" s="331" t="s">
        <v>6995</v>
      </c>
      <c r="L288" s="331" t="s">
        <v>6991</v>
      </c>
    </row>
    <row r="289" spans="1:16">
      <c r="A289">
        <v>287</v>
      </c>
      <c r="B289" s="330" t="str">
        <f t="shared" si="8"/>
        <v xml:space="preserve">Montezuma </v>
      </c>
      <c r="C289" s="332" t="s">
        <v>7654</v>
      </c>
      <c r="D289" s="333" t="s">
        <v>6017</v>
      </c>
      <c r="F289" t="str">
        <f t="shared" si="9"/>
        <v/>
      </c>
      <c r="G289" s="331" t="s">
        <v>7655</v>
      </c>
      <c r="H289" s="331" t="s">
        <v>7640</v>
      </c>
      <c r="I289" s="331" t="s">
        <v>6995</v>
      </c>
      <c r="J289" s="331" t="s">
        <v>6999</v>
      </c>
      <c r="K289" s="331" t="s">
        <v>7015</v>
      </c>
      <c r="L289" s="331" t="s">
        <v>6991</v>
      </c>
    </row>
    <row r="290" spans="1:16">
      <c r="A290">
        <v>290</v>
      </c>
      <c r="B290" s="330" t="str">
        <f t="shared" si="8"/>
        <v xml:space="preserve">Park </v>
      </c>
      <c r="C290" s="332" t="s">
        <v>7656</v>
      </c>
      <c r="D290" s="333" t="s">
        <v>6016</v>
      </c>
      <c r="F290">
        <f t="shared" si="9"/>
        <v>1</v>
      </c>
      <c r="G290" s="331" t="s">
        <v>7657</v>
      </c>
      <c r="H290" s="331" t="s">
        <v>7658</v>
      </c>
      <c r="I290" s="331" t="s">
        <v>7015</v>
      </c>
      <c r="J290" s="331" t="s">
        <v>6999</v>
      </c>
      <c r="K290" s="331" t="s">
        <v>6995</v>
      </c>
      <c r="L290" s="331" t="s">
        <v>6991</v>
      </c>
    </row>
    <row r="291" spans="1:16">
      <c r="A291">
        <v>291</v>
      </c>
      <c r="B291" s="330" t="str">
        <f t="shared" si="8"/>
        <v xml:space="preserve">Park </v>
      </c>
      <c r="C291" s="332" t="s">
        <v>7659</v>
      </c>
      <c r="D291" s="333" t="s">
        <v>6016</v>
      </c>
      <c r="F291">
        <f t="shared" si="9"/>
        <v>1</v>
      </c>
      <c r="G291" s="331" t="s">
        <v>7660</v>
      </c>
      <c r="H291" s="331" t="s">
        <v>7661</v>
      </c>
      <c r="I291" s="331" t="s">
        <v>7662</v>
      </c>
      <c r="J291" s="331" t="s">
        <v>6999</v>
      </c>
      <c r="K291" s="331" t="s">
        <v>7663</v>
      </c>
      <c r="L291" s="331" t="s">
        <v>6991</v>
      </c>
    </row>
    <row r="292" spans="1:16">
      <c r="A292">
        <v>292</v>
      </c>
      <c r="B292" s="330" t="str">
        <f t="shared" si="8"/>
        <v xml:space="preserve">Park </v>
      </c>
      <c r="C292" s="334" t="s">
        <v>7664</v>
      </c>
      <c r="D292" s="333" t="s">
        <v>6017</v>
      </c>
      <c r="E292" s="333" t="s">
        <v>7012</v>
      </c>
      <c r="F292">
        <f t="shared" si="9"/>
        <v>1</v>
      </c>
      <c r="G292" s="331" t="s">
        <v>7665</v>
      </c>
      <c r="H292" s="331" t="s">
        <v>7666</v>
      </c>
      <c r="I292" s="331" t="s">
        <v>6995</v>
      </c>
      <c r="J292" s="331" t="s">
        <v>6991</v>
      </c>
    </row>
    <row r="293" spans="1:16">
      <c r="A293">
        <v>293</v>
      </c>
      <c r="B293" s="330" t="str">
        <f t="shared" si="8"/>
        <v xml:space="preserve">Park </v>
      </c>
      <c r="C293" s="332" t="s">
        <v>7667</v>
      </c>
      <c r="D293" s="333" t="s">
        <v>6017</v>
      </c>
      <c r="F293" t="str">
        <f t="shared" si="9"/>
        <v/>
      </c>
      <c r="G293" s="331" t="s">
        <v>7668</v>
      </c>
      <c r="H293" s="331" t="s">
        <v>7666</v>
      </c>
      <c r="I293" s="331" t="s">
        <v>6995</v>
      </c>
      <c r="J293" s="331" t="s">
        <v>6991</v>
      </c>
    </row>
    <row r="294" spans="1:16">
      <c r="A294">
        <v>294</v>
      </c>
      <c r="B294" s="330" t="str">
        <f t="shared" si="8"/>
        <v xml:space="preserve">Park </v>
      </c>
      <c r="C294" s="332" t="s">
        <v>7669</v>
      </c>
      <c r="D294" s="333" t="s">
        <v>6017</v>
      </c>
      <c r="F294" t="str">
        <f t="shared" si="9"/>
        <v/>
      </c>
      <c r="G294" s="331" t="s">
        <v>7670</v>
      </c>
      <c r="H294" s="331" t="s">
        <v>7666</v>
      </c>
      <c r="I294" s="331" t="s">
        <v>6995</v>
      </c>
      <c r="J294" s="331" t="s">
        <v>6991</v>
      </c>
    </row>
    <row r="295" spans="1:16">
      <c r="A295">
        <v>295</v>
      </c>
      <c r="B295" s="330" t="str">
        <f t="shared" si="8"/>
        <v xml:space="preserve">Park </v>
      </c>
      <c r="C295" s="332" t="s">
        <v>7671</v>
      </c>
      <c r="D295" s="333" t="s">
        <v>6017</v>
      </c>
      <c r="F295" t="str">
        <f t="shared" si="9"/>
        <v/>
      </c>
      <c r="G295" s="331" t="s">
        <v>7672</v>
      </c>
      <c r="H295" s="331" t="s">
        <v>7666</v>
      </c>
      <c r="I295" s="331" t="s">
        <v>6995</v>
      </c>
      <c r="J295" s="331" t="s">
        <v>6991</v>
      </c>
    </row>
    <row r="296" spans="1:16">
      <c r="A296">
        <v>297</v>
      </c>
      <c r="B296" s="330" t="str">
        <f t="shared" si="8"/>
        <v xml:space="preserve">Pueblo </v>
      </c>
      <c r="C296" s="332" t="s">
        <v>7673</v>
      </c>
      <c r="D296" s="333" t="s">
        <v>6014</v>
      </c>
      <c r="F296">
        <f t="shared" si="9"/>
        <v>1</v>
      </c>
      <c r="G296" s="331" t="s">
        <v>7674</v>
      </c>
      <c r="H296" s="331" t="s">
        <v>7675</v>
      </c>
      <c r="I296" s="331" t="s">
        <v>7142</v>
      </c>
      <c r="J296" s="331" t="s">
        <v>6991</v>
      </c>
    </row>
    <row r="297" spans="1:16">
      <c r="A297">
        <v>296</v>
      </c>
      <c r="B297" s="330" t="str">
        <f t="shared" si="8"/>
        <v xml:space="preserve">Pueblo </v>
      </c>
      <c r="C297" s="332" t="s">
        <v>7676</v>
      </c>
      <c r="D297" s="333" t="s">
        <v>6016</v>
      </c>
      <c r="F297">
        <f t="shared" si="9"/>
        <v>1</v>
      </c>
      <c r="G297" s="331" t="s">
        <v>7677</v>
      </c>
      <c r="H297" s="331" t="s">
        <v>7678</v>
      </c>
      <c r="I297" s="331" t="s">
        <v>7679</v>
      </c>
      <c r="J297" s="331" t="s">
        <v>6991</v>
      </c>
    </row>
    <row r="298" spans="1:16">
      <c r="A298">
        <v>298</v>
      </c>
      <c r="B298" s="330" t="str">
        <f t="shared" si="8"/>
        <v xml:space="preserve">Pueblo </v>
      </c>
      <c r="C298" s="332" t="s">
        <v>7680</v>
      </c>
      <c r="D298" s="333" t="s">
        <v>6016</v>
      </c>
      <c r="F298">
        <f t="shared" si="9"/>
        <v>1</v>
      </c>
      <c r="G298" s="331" t="s">
        <v>7681</v>
      </c>
      <c r="H298" s="331" t="s">
        <v>7682</v>
      </c>
      <c r="I298" s="331" t="s">
        <v>7015</v>
      </c>
      <c r="J298" s="331" t="s">
        <v>6991</v>
      </c>
    </row>
    <row r="299" spans="1:16">
      <c r="A299">
        <v>299</v>
      </c>
      <c r="B299" s="330" t="str">
        <f t="shared" si="8"/>
        <v>Rio G</v>
      </c>
      <c r="C299" s="332" t="s">
        <v>7683</v>
      </c>
      <c r="D299" s="333" t="s">
        <v>6016</v>
      </c>
      <c r="F299">
        <f t="shared" si="9"/>
        <v>1</v>
      </c>
      <c r="G299" s="331" t="s">
        <v>7684</v>
      </c>
      <c r="H299" s="331" t="s">
        <v>7685</v>
      </c>
      <c r="I299" s="331" t="s">
        <v>6995</v>
      </c>
      <c r="J299" s="331" t="s">
        <v>6991</v>
      </c>
    </row>
    <row r="300" spans="1:16">
      <c r="A300">
        <v>300</v>
      </c>
      <c r="B300" s="330" t="str">
        <f t="shared" si="8"/>
        <v xml:space="preserve">Saguache </v>
      </c>
      <c r="C300" s="332" t="s">
        <v>7686</v>
      </c>
      <c r="D300" s="333" t="s">
        <v>6019</v>
      </c>
      <c r="F300">
        <f t="shared" si="9"/>
        <v>1</v>
      </c>
      <c r="G300" s="331" t="s">
        <v>7687</v>
      </c>
      <c r="H300" s="331" t="s">
        <v>7688</v>
      </c>
      <c r="I300" s="331" t="s">
        <v>7582</v>
      </c>
      <c r="J300" s="331" t="s">
        <v>6991</v>
      </c>
    </row>
    <row r="301" spans="1:16">
      <c r="A301">
        <v>301</v>
      </c>
      <c r="B301" s="330" t="str">
        <f t="shared" si="8"/>
        <v>San M</v>
      </c>
      <c r="C301" s="332" t="s">
        <v>7689</v>
      </c>
      <c r="D301" s="333" t="s">
        <v>6018</v>
      </c>
      <c r="F301">
        <f t="shared" si="9"/>
        <v>1</v>
      </c>
      <c r="G301" s="331" t="s">
        <v>7690</v>
      </c>
      <c r="H301" s="331" t="s">
        <v>7691</v>
      </c>
      <c r="I301" s="331" t="s">
        <v>7692</v>
      </c>
      <c r="J301" s="331" t="s">
        <v>7693</v>
      </c>
      <c r="K301" s="331" t="s">
        <v>7694</v>
      </c>
      <c r="L301" s="331" t="s">
        <v>6999</v>
      </c>
      <c r="M301" s="331" t="s">
        <v>7695</v>
      </c>
      <c r="N301" s="331" t="s">
        <v>7693</v>
      </c>
      <c r="O301" s="331" t="s">
        <v>7694</v>
      </c>
      <c r="P301" s="331" t="s">
        <v>6991</v>
      </c>
    </row>
    <row r="302" spans="1:16">
      <c r="A302">
        <v>302</v>
      </c>
      <c r="B302" s="330" t="str">
        <f t="shared" si="8"/>
        <v>San M</v>
      </c>
      <c r="C302" s="332" t="s">
        <v>7696</v>
      </c>
      <c r="D302" s="333" t="s">
        <v>6018</v>
      </c>
      <c r="F302">
        <f t="shared" si="9"/>
        <v>1</v>
      </c>
      <c r="G302" s="331" t="s">
        <v>7690</v>
      </c>
      <c r="H302" s="331" t="s">
        <v>7697</v>
      </c>
      <c r="I302" s="331" t="s">
        <v>7692</v>
      </c>
      <c r="J302" s="331" t="s">
        <v>7693</v>
      </c>
      <c r="K302" s="331" t="s">
        <v>7694</v>
      </c>
      <c r="L302" s="331" t="s">
        <v>6999</v>
      </c>
      <c r="M302" s="331" t="s">
        <v>7695</v>
      </c>
      <c r="N302" s="331" t="s">
        <v>7693</v>
      </c>
      <c r="O302" s="331" t="s">
        <v>7694</v>
      </c>
      <c r="P302" s="331" t="s">
        <v>6991</v>
      </c>
    </row>
    <row r="303" spans="1:16">
      <c r="A303">
        <v>304</v>
      </c>
      <c r="B303" s="330" t="str">
        <f t="shared" si="8"/>
        <v xml:space="preserve">Sedgwick </v>
      </c>
      <c r="C303" s="332" t="s">
        <v>7698</v>
      </c>
      <c r="D303" s="333" t="s">
        <v>6016</v>
      </c>
      <c r="F303">
        <f t="shared" si="9"/>
        <v>1</v>
      </c>
      <c r="G303" s="331" t="s">
        <v>7699</v>
      </c>
      <c r="H303" s="331" t="s">
        <v>7700</v>
      </c>
      <c r="I303" s="331" t="s">
        <v>7153</v>
      </c>
      <c r="J303" s="331" t="s">
        <v>6999</v>
      </c>
      <c r="K303" s="331" t="s">
        <v>7044</v>
      </c>
      <c r="L303" s="331" t="s">
        <v>6991</v>
      </c>
    </row>
    <row r="304" spans="1:16">
      <c r="A304">
        <v>305</v>
      </c>
      <c r="B304" s="330" t="str">
        <f t="shared" si="8"/>
        <v xml:space="preserve">Sedgwick </v>
      </c>
      <c r="C304" s="332" t="s">
        <v>7701</v>
      </c>
      <c r="D304" s="333" t="s">
        <v>6016</v>
      </c>
      <c r="F304">
        <f t="shared" si="9"/>
        <v>1</v>
      </c>
      <c r="G304" s="331" t="s">
        <v>7702</v>
      </c>
      <c r="H304" s="331" t="s">
        <v>7703</v>
      </c>
      <c r="I304" s="331" t="s">
        <v>7015</v>
      </c>
      <c r="J304" s="331" t="s">
        <v>6999</v>
      </c>
      <c r="K304" s="331" t="s">
        <v>6995</v>
      </c>
      <c r="L304" s="331" t="s">
        <v>6991</v>
      </c>
    </row>
    <row r="305" spans="1:10">
      <c r="A305">
        <v>303</v>
      </c>
      <c r="B305" s="330" t="str">
        <f t="shared" si="8"/>
        <v xml:space="preserve">Sedgwick </v>
      </c>
      <c r="C305" s="332" t="s">
        <v>7704</v>
      </c>
      <c r="D305" s="333" t="s">
        <v>6019</v>
      </c>
      <c r="F305">
        <f t="shared" si="9"/>
        <v>1</v>
      </c>
      <c r="G305" s="331" t="s">
        <v>7699</v>
      </c>
      <c r="H305" s="331" t="s">
        <v>7705</v>
      </c>
      <c r="I305" s="331" t="s">
        <v>7153</v>
      </c>
      <c r="J305" s="331" t="s">
        <v>6991</v>
      </c>
    </row>
    <row r="306" spans="1:10">
      <c r="H306" s="331"/>
    </row>
    <row r="307" spans="1:10">
      <c r="H307" s="331"/>
    </row>
    <row r="308" spans="1:10">
      <c r="H308" s="33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5D6FC-9702-4330-913A-08CE93219090}">
  <sheetPr>
    <tabColor rgb="FF7030A0"/>
  </sheetPr>
  <dimension ref="A1:T68"/>
  <sheetViews>
    <sheetView workbookViewId="0">
      <pane ySplit="1" topLeftCell="A2" activePane="bottomLeft" state="frozen"/>
      <selection pane="bottomLeft" activeCell="B2" sqref="B2"/>
    </sheetView>
  </sheetViews>
  <sheetFormatPr defaultRowHeight="13.8"/>
  <cols>
    <col min="1" max="1" width="11.125" style="254" bestFit="1" customWidth="1"/>
    <col min="2" max="2" width="14.625" style="255" customWidth="1"/>
    <col min="3" max="3" width="15.625" customWidth="1"/>
    <col min="4" max="4" width="10.625" style="28" customWidth="1"/>
    <col min="6" max="6" width="9" style="18"/>
    <col min="8" max="8" width="9" style="18"/>
    <col min="10" max="10" width="11.375" bestFit="1" customWidth="1"/>
    <col min="11" max="11" width="11.375" customWidth="1"/>
    <col min="12" max="12" width="11.375" bestFit="1" customWidth="1"/>
    <col min="13" max="13" width="8.625" customWidth="1"/>
    <col min="14" max="14" width="12.25" customWidth="1"/>
    <col min="19" max="19" width="12.625" bestFit="1" customWidth="1"/>
  </cols>
  <sheetData>
    <row r="1" spans="1:20" s="14" customFormat="1" ht="96.6">
      <c r="A1" s="252" t="s">
        <v>6493</v>
      </c>
      <c r="B1" s="253" t="s">
        <v>6492</v>
      </c>
      <c r="C1" s="15" t="s">
        <v>2563</v>
      </c>
      <c r="D1" s="256" t="s">
        <v>6476</v>
      </c>
      <c r="E1" s="11" t="s">
        <v>2492</v>
      </c>
      <c r="F1" s="16" t="s">
        <v>2493</v>
      </c>
      <c r="G1" s="11" t="s">
        <v>2494</v>
      </c>
      <c r="H1" s="16" t="s">
        <v>2495</v>
      </c>
      <c r="I1" s="14" t="s">
        <v>2564</v>
      </c>
      <c r="J1" s="401" t="s">
        <v>8427</v>
      </c>
      <c r="K1" s="14" t="s">
        <v>8430</v>
      </c>
      <c r="L1" s="14" t="s">
        <v>8431</v>
      </c>
      <c r="M1" s="250" t="s">
        <v>6477</v>
      </c>
      <c r="N1" s="249" t="s">
        <v>6480</v>
      </c>
      <c r="O1"/>
      <c r="P1" s="14" t="s">
        <v>6482</v>
      </c>
      <c r="Q1" s="14" t="s">
        <v>6481</v>
      </c>
      <c r="S1" s="403">
        <f>SUM(A2:A68)</f>
        <v>6916334.5766802523</v>
      </c>
      <c r="T1" t="s">
        <v>8428</v>
      </c>
    </row>
    <row r="2" spans="1:20">
      <c r="A2" s="254">
        <f t="shared" ref="A2:A37" si="0">E2/F2</f>
        <v>2438.4615384615386</v>
      </c>
      <c r="B2" s="255">
        <f t="shared" ref="B2:B33" si="1">MIN(2000,LEFT(B$1,3)*ROUNDUP(0.02*A2/LEFT(B$1,3),0))</f>
        <v>300</v>
      </c>
      <c r="C2" s="12" t="s">
        <v>2507</v>
      </c>
      <c r="D2" s="28">
        <v>7</v>
      </c>
      <c r="E2" s="12">
        <v>634</v>
      </c>
      <c r="F2" s="17">
        <v>0.26</v>
      </c>
      <c r="G2" s="13">
        <v>1771</v>
      </c>
      <c r="H2" s="17">
        <v>0.72799999999999998</v>
      </c>
      <c r="I2" s="20">
        <f t="shared" ref="I2:I33" si="2">A2/D2</f>
        <v>348.35164835164835</v>
      </c>
      <c r="J2" s="19">
        <f>S$2*A2/S$1</f>
        <v>1767.2543803960848</v>
      </c>
      <c r="K2" s="401">
        <f>MIN(2000,MAX(300,0.02*J2))</f>
        <v>300</v>
      </c>
      <c r="L2" s="404">
        <f>K2/J2</f>
        <v>0.16975484872345467</v>
      </c>
      <c r="M2" s="28">
        <v>300</v>
      </c>
      <c r="N2">
        <v>8</v>
      </c>
      <c r="P2">
        <v>300</v>
      </c>
      <c r="Q2">
        <v>8</v>
      </c>
      <c r="S2" s="19">
        <v>5012555</v>
      </c>
      <c r="T2" t="s">
        <v>8429</v>
      </c>
    </row>
    <row r="3" spans="1:20">
      <c r="A3" s="254">
        <f t="shared" si="0"/>
        <v>2647.272727272727</v>
      </c>
      <c r="B3" s="255">
        <f t="shared" si="1"/>
        <v>300</v>
      </c>
      <c r="C3" s="12" t="s">
        <v>2522</v>
      </c>
      <c r="D3" s="28">
        <v>9</v>
      </c>
      <c r="E3" s="12">
        <v>728</v>
      </c>
      <c r="F3" s="17">
        <v>0.27500000000000002</v>
      </c>
      <c r="G3" s="13">
        <v>1882</v>
      </c>
      <c r="H3" s="17">
        <v>0.71099999999999997</v>
      </c>
      <c r="I3" s="20">
        <f t="shared" si="2"/>
        <v>294.14141414141409</v>
      </c>
      <c r="J3" s="19">
        <f t="shared" ref="J3:J66" si="3">S$2*A3/S$1</f>
        <v>1918.5885237818807</v>
      </c>
      <c r="K3" s="401">
        <f t="shared" ref="K3:K66" si="4">MIN(2000,MAX(300,0.02*J3))</f>
        <v>300</v>
      </c>
      <c r="L3" s="404">
        <f t="shared" ref="L3:L60" si="5">K3/J3</f>
        <v>0.15636495073401482</v>
      </c>
      <c r="M3" s="28">
        <v>600</v>
      </c>
      <c r="N3">
        <v>17</v>
      </c>
      <c r="P3">
        <v>600</v>
      </c>
      <c r="Q3">
        <v>17</v>
      </c>
    </row>
    <row r="4" spans="1:20">
      <c r="A4" s="254">
        <f t="shared" si="0"/>
        <v>3597.65625</v>
      </c>
      <c r="B4" s="255">
        <f t="shared" si="1"/>
        <v>300</v>
      </c>
      <c r="C4" s="12" t="s">
        <v>2552</v>
      </c>
      <c r="D4" s="28">
        <v>13</v>
      </c>
      <c r="E4" s="12">
        <v>921</v>
      </c>
      <c r="F4" s="17">
        <v>0.25600000000000001</v>
      </c>
      <c r="G4" s="13">
        <v>2619</v>
      </c>
      <c r="H4" s="17">
        <v>0.72899999999999998</v>
      </c>
      <c r="I4" s="20">
        <f t="shared" si="2"/>
        <v>276.74278846153845</v>
      </c>
      <c r="J4" s="19">
        <f t="shared" si="3"/>
        <v>2607.3709454458699</v>
      </c>
      <c r="K4" s="401">
        <f t="shared" si="4"/>
        <v>300</v>
      </c>
      <c r="L4" s="404">
        <f t="shared" si="5"/>
        <v>0.11505842715782004</v>
      </c>
      <c r="M4" s="28">
        <v>900</v>
      </c>
      <c r="N4">
        <v>10</v>
      </c>
      <c r="P4">
        <v>900</v>
      </c>
      <c r="Q4">
        <v>10</v>
      </c>
    </row>
    <row r="5" spans="1:20">
      <c r="A5" s="254">
        <f t="shared" si="0"/>
        <v>7977.9411764705874</v>
      </c>
      <c r="B5" s="255">
        <f t="shared" si="1"/>
        <v>300</v>
      </c>
      <c r="C5" s="12" t="s">
        <v>2524</v>
      </c>
      <c r="D5" s="28">
        <v>13</v>
      </c>
      <c r="E5" s="13">
        <v>1085</v>
      </c>
      <c r="F5" s="17">
        <v>0.13600000000000001</v>
      </c>
      <c r="G5" s="13">
        <v>6824</v>
      </c>
      <c r="H5" s="17">
        <v>0.85499999999999998</v>
      </c>
      <c r="I5" s="20">
        <f t="shared" si="2"/>
        <v>613.68778280542983</v>
      </c>
      <c r="J5" s="19">
        <f t="shared" si="3"/>
        <v>5781.945406264329</v>
      </c>
      <c r="K5" s="401">
        <f t="shared" si="4"/>
        <v>300</v>
      </c>
      <c r="L5" s="404">
        <f t="shared" si="5"/>
        <v>5.1885650749135613E-2</v>
      </c>
      <c r="M5" s="28">
        <v>1200</v>
      </c>
      <c r="N5">
        <v>4</v>
      </c>
      <c r="P5">
        <v>1200</v>
      </c>
      <c r="Q5">
        <v>4</v>
      </c>
    </row>
    <row r="6" spans="1:20">
      <c r="A6" s="254">
        <f t="shared" si="0"/>
        <v>9084.21052631579</v>
      </c>
      <c r="B6" s="255">
        <f t="shared" si="1"/>
        <v>300</v>
      </c>
      <c r="C6" s="12" t="s">
        <v>2548</v>
      </c>
      <c r="D6" s="28">
        <v>30</v>
      </c>
      <c r="E6" s="13">
        <v>1726</v>
      </c>
      <c r="F6" s="17">
        <v>0.19</v>
      </c>
      <c r="G6" s="13">
        <v>7239</v>
      </c>
      <c r="H6" s="17">
        <v>0.79900000000000004</v>
      </c>
      <c r="I6" s="20">
        <f t="shared" si="2"/>
        <v>302.80701754385967</v>
      </c>
      <c r="J6" s="19">
        <f t="shared" si="3"/>
        <v>6583.7047629632007</v>
      </c>
      <c r="K6" s="401">
        <f t="shared" si="4"/>
        <v>300</v>
      </c>
      <c r="L6" s="404">
        <f t="shared" si="5"/>
        <v>4.556704937433672E-2</v>
      </c>
      <c r="M6" s="28">
        <v>1500</v>
      </c>
      <c r="N6">
        <v>5</v>
      </c>
      <c r="P6">
        <v>1500</v>
      </c>
      <c r="Q6">
        <v>5</v>
      </c>
    </row>
    <row r="7" spans="1:20">
      <c r="A7" s="254">
        <f t="shared" si="0"/>
        <v>9769.4300518134714</v>
      </c>
      <c r="B7" s="255">
        <f t="shared" si="1"/>
        <v>300</v>
      </c>
      <c r="C7" s="12" t="s">
        <v>2542</v>
      </c>
      <c r="D7" s="28">
        <v>11</v>
      </c>
      <c r="E7" s="13">
        <v>3771</v>
      </c>
      <c r="F7" s="17">
        <v>0.38600000000000001</v>
      </c>
      <c r="G7" s="13">
        <v>5844</v>
      </c>
      <c r="H7" s="17">
        <v>0.59799999999999998</v>
      </c>
      <c r="I7" s="20">
        <f t="shared" si="2"/>
        <v>888.13000471031557</v>
      </c>
      <c r="J7" s="19">
        <f t="shared" si="3"/>
        <v>7080.3118198588827</v>
      </c>
      <c r="K7" s="401">
        <f t="shared" si="4"/>
        <v>300</v>
      </c>
      <c r="L7" s="404">
        <f t="shared" si="5"/>
        <v>4.2371015236724319E-2</v>
      </c>
      <c r="M7" s="28">
        <v>1800</v>
      </c>
      <c r="N7">
        <v>3</v>
      </c>
      <c r="P7">
        <v>1800</v>
      </c>
      <c r="Q7">
        <v>3</v>
      </c>
    </row>
    <row r="8" spans="1:20">
      <c r="A8" s="254">
        <f t="shared" si="0"/>
        <v>12048.128342245989</v>
      </c>
      <c r="B8" s="255">
        <f t="shared" si="1"/>
        <v>300</v>
      </c>
      <c r="C8" s="12" t="s">
        <v>2529</v>
      </c>
      <c r="D8" s="28">
        <v>17</v>
      </c>
      <c r="E8" s="13">
        <v>2253</v>
      </c>
      <c r="F8" s="17">
        <v>0.187</v>
      </c>
      <c r="G8" s="13">
        <v>9649</v>
      </c>
      <c r="H8" s="17">
        <v>0.80100000000000005</v>
      </c>
      <c r="I8" s="20">
        <f t="shared" si="2"/>
        <v>708.71343189682284</v>
      </c>
      <c r="J8" s="19">
        <f t="shared" si="3"/>
        <v>8731.7791372022002</v>
      </c>
      <c r="K8" s="401">
        <f t="shared" si="4"/>
        <v>300</v>
      </c>
      <c r="L8" s="404">
        <f t="shared" si="5"/>
        <v>3.4357259303757964E-2</v>
      </c>
      <c r="M8" s="28">
        <v>2000</v>
      </c>
      <c r="N8">
        <v>20</v>
      </c>
      <c r="P8">
        <v>2000</v>
      </c>
      <c r="Q8">
        <v>20</v>
      </c>
    </row>
    <row r="9" spans="1:20">
      <c r="A9" s="254">
        <f t="shared" si="0"/>
        <v>14839.116719242902</v>
      </c>
      <c r="B9" s="255">
        <f t="shared" si="1"/>
        <v>300</v>
      </c>
      <c r="C9" s="12" t="s">
        <v>2561</v>
      </c>
      <c r="D9" s="28">
        <v>23</v>
      </c>
      <c r="E9" s="13">
        <v>4704</v>
      </c>
      <c r="F9" s="17">
        <v>0.317</v>
      </c>
      <c r="G9" s="13">
        <v>9936</v>
      </c>
      <c r="H9" s="17">
        <v>0.66900000000000004</v>
      </c>
      <c r="I9" s="20">
        <f t="shared" si="2"/>
        <v>645.17898779316965</v>
      </c>
      <c r="J9" s="19">
        <f t="shared" si="3"/>
        <v>10754.524362863734</v>
      </c>
      <c r="K9" s="401">
        <f t="shared" si="4"/>
        <v>300</v>
      </c>
      <c r="L9" s="404">
        <f t="shared" si="5"/>
        <v>2.7895236449128787E-2</v>
      </c>
      <c r="M9" s="28" t="s">
        <v>6478</v>
      </c>
    </row>
    <row r="10" spans="1:20">
      <c r="A10" s="254">
        <f t="shared" si="0"/>
        <v>16936.329588014982</v>
      </c>
      <c r="B10" s="255">
        <f t="shared" si="1"/>
        <v>600</v>
      </c>
      <c r="C10" s="12" t="s">
        <v>2519</v>
      </c>
      <c r="D10" s="28">
        <v>12</v>
      </c>
      <c r="E10" s="13">
        <v>4522</v>
      </c>
      <c r="F10" s="17">
        <v>0.26700000000000002</v>
      </c>
      <c r="G10" s="13">
        <v>12140</v>
      </c>
      <c r="H10" s="17">
        <v>0.71799999999999997</v>
      </c>
      <c r="I10" s="20">
        <f t="shared" si="2"/>
        <v>1411.3607990012486</v>
      </c>
      <c r="J10" s="19">
        <f t="shared" si="3"/>
        <v>12274.461655497375</v>
      </c>
      <c r="K10" s="401">
        <f t="shared" si="4"/>
        <v>300</v>
      </c>
      <c r="L10" s="404">
        <f t="shared" si="5"/>
        <v>2.4440990441779473E-2</v>
      </c>
      <c r="M10" s="28" t="s">
        <v>6479</v>
      </c>
      <c r="N10">
        <v>67</v>
      </c>
    </row>
    <row r="11" spans="1:20">
      <c r="A11" s="254">
        <f t="shared" si="0"/>
        <v>17634.615384615383</v>
      </c>
      <c r="B11" s="255">
        <f t="shared" si="1"/>
        <v>600</v>
      </c>
      <c r="C11" s="12" t="s">
        <v>2513</v>
      </c>
      <c r="D11" s="28">
        <v>29</v>
      </c>
      <c r="E11" s="13">
        <v>5502</v>
      </c>
      <c r="F11" s="17">
        <v>0.312</v>
      </c>
      <c r="G11" s="13">
        <v>11902</v>
      </c>
      <c r="H11" s="17">
        <v>0.67500000000000004</v>
      </c>
      <c r="I11" s="20">
        <f t="shared" si="2"/>
        <v>608.09018567639248</v>
      </c>
      <c r="J11" s="19">
        <f t="shared" si="3"/>
        <v>12780.53838188651</v>
      </c>
      <c r="K11" s="401">
        <f t="shared" si="4"/>
        <v>300</v>
      </c>
      <c r="L11" s="404">
        <f t="shared" si="5"/>
        <v>2.3473189550855023E-2</v>
      </c>
    </row>
    <row r="12" spans="1:20">
      <c r="A12" s="254">
        <f t="shared" si="0"/>
        <v>17665.46762589928</v>
      </c>
      <c r="B12" s="255">
        <f t="shared" si="1"/>
        <v>600</v>
      </c>
      <c r="C12" s="12" t="s">
        <v>2525</v>
      </c>
      <c r="D12" s="28">
        <v>26</v>
      </c>
      <c r="E12" s="13">
        <v>4911</v>
      </c>
      <c r="F12" s="17">
        <v>0.27800000000000002</v>
      </c>
      <c r="G12" s="13">
        <v>12579</v>
      </c>
      <c r="H12" s="17">
        <v>0.71199999999999997</v>
      </c>
      <c r="I12" s="20">
        <f t="shared" si="2"/>
        <v>679.44106253458767</v>
      </c>
      <c r="J12" s="19">
        <f t="shared" si="3"/>
        <v>12802.898282870803</v>
      </c>
      <c r="K12" s="401">
        <f t="shared" si="4"/>
        <v>300</v>
      </c>
      <c r="L12" s="404">
        <f t="shared" si="5"/>
        <v>2.3432194286927568E-2</v>
      </c>
    </row>
    <row r="13" spans="1:20">
      <c r="A13" s="254">
        <f t="shared" si="0"/>
        <v>19105.058365758756</v>
      </c>
      <c r="B13" s="255">
        <f t="shared" si="1"/>
        <v>600</v>
      </c>
      <c r="C13" s="12" t="s">
        <v>2550</v>
      </c>
      <c r="D13" s="28">
        <v>21</v>
      </c>
      <c r="E13" s="13">
        <v>4910</v>
      </c>
      <c r="F13" s="17">
        <v>0.25700000000000001</v>
      </c>
      <c r="G13" s="13">
        <v>13983</v>
      </c>
      <c r="H13" s="17">
        <v>0.73099999999999998</v>
      </c>
      <c r="I13" s="20">
        <f t="shared" si="2"/>
        <v>909.76468408375024</v>
      </c>
      <c r="J13" s="19">
        <f t="shared" si="3"/>
        <v>13846.229498420516</v>
      </c>
      <c r="K13" s="401">
        <f t="shared" si="4"/>
        <v>300</v>
      </c>
      <c r="L13" s="404">
        <f t="shared" si="5"/>
        <v>2.1666548285525816E-2</v>
      </c>
    </row>
    <row r="14" spans="1:20">
      <c r="A14" s="254">
        <f t="shared" si="0"/>
        <v>19458.015267175571</v>
      </c>
      <c r="B14" s="255">
        <f t="shared" si="1"/>
        <v>600</v>
      </c>
      <c r="C14" s="12" t="s">
        <v>2537</v>
      </c>
      <c r="D14" s="28">
        <v>22</v>
      </c>
      <c r="E14" s="13">
        <v>5098</v>
      </c>
      <c r="F14" s="17">
        <v>0.26200000000000001</v>
      </c>
      <c r="G14" s="13">
        <v>14083</v>
      </c>
      <c r="H14" s="17">
        <v>0.72299999999999998</v>
      </c>
      <c r="I14" s="20">
        <f t="shared" si="2"/>
        <v>884.45523941707143</v>
      </c>
      <c r="J14" s="19">
        <f t="shared" si="3"/>
        <v>14102.032028122681</v>
      </c>
      <c r="K14" s="401">
        <f t="shared" si="4"/>
        <v>300</v>
      </c>
      <c r="L14" s="404">
        <f t="shared" si="5"/>
        <v>2.1273529899927281E-2</v>
      </c>
    </row>
    <row r="15" spans="1:20">
      <c r="A15" s="254">
        <f t="shared" si="0"/>
        <v>19491.666666666668</v>
      </c>
      <c r="B15" s="255">
        <f t="shared" si="1"/>
        <v>600</v>
      </c>
      <c r="C15" s="12" t="s">
        <v>2511</v>
      </c>
      <c r="D15" s="28">
        <v>34</v>
      </c>
      <c r="E15" s="13">
        <v>4678</v>
      </c>
      <c r="F15" s="17">
        <v>0.24</v>
      </c>
      <c r="G15" s="13">
        <v>14578</v>
      </c>
      <c r="H15" s="17">
        <v>0.748</v>
      </c>
      <c r="I15" s="20">
        <f t="shared" si="2"/>
        <v>573.28431372549028</v>
      </c>
      <c r="J15" s="19">
        <f t="shared" si="3"/>
        <v>14126.42059534799</v>
      </c>
      <c r="K15" s="401">
        <f t="shared" si="4"/>
        <v>300</v>
      </c>
      <c r="L15" s="404">
        <f t="shared" si="5"/>
        <v>2.1236802201599025E-2</v>
      </c>
    </row>
    <row r="16" spans="1:20">
      <c r="A16" s="254">
        <f t="shared" si="0"/>
        <v>20094.086021505376</v>
      </c>
      <c r="B16" s="255">
        <f t="shared" si="1"/>
        <v>600</v>
      </c>
      <c r="C16" s="12" t="s">
        <v>2555</v>
      </c>
      <c r="D16" s="28">
        <v>14</v>
      </c>
      <c r="E16" s="13">
        <v>7475</v>
      </c>
      <c r="F16" s="17">
        <v>0.372</v>
      </c>
      <c r="G16" s="13">
        <v>12356</v>
      </c>
      <c r="H16" s="17">
        <v>0.61399999999999999</v>
      </c>
      <c r="I16" s="20">
        <f t="shared" si="2"/>
        <v>1435.2918586789554</v>
      </c>
      <c r="J16" s="19">
        <f t="shared" si="3"/>
        <v>14563.018928715914</v>
      </c>
      <c r="K16" s="401">
        <f t="shared" si="4"/>
        <v>300</v>
      </c>
      <c r="L16" s="404">
        <f t="shared" si="5"/>
        <v>2.0600124292116974E-2</v>
      </c>
    </row>
    <row r="17" spans="1:12">
      <c r="A17" s="254">
        <f t="shared" si="0"/>
        <v>20632.65306122449</v>
      </c>
      <c r="B17" s="255">
        <f t="shared" si="1"/>
        <v>600</v>
      </c>
      <c r="C17" s="12" t="s">
        <v>2557</v>
      </c>
      <c r="D17" s="28">
        <v>27</v>
      </c>
      <c r="E17" s="13">
        <v>6066</v>
      </c>
      <c r="F17" s="17">
        <v>0.29399999999999998</v>
      </c>
      <c r="G17" s="13">
        <v>14237</v>
      </c>
      <c r="H17" s="17">
        <v>0.68899999999999995</v>
      </c>
      <c r="I17" s="20">
        <f t="shared" si="2"/>
        <v>764.17233560090699</v>
      </c>
      <c r="J17" s="19">
        <f t="shared" si="3"/>
        <v>14953.340836635385</v>
      </c>
      <c r="K17" s="401">
        <f t="shared" si="4"/>
        <v>300</v>
      </c>
      <c r="L17" s="404">
        <f t="shared" si="5"/>
        <v>2.0062406339659295E-2</v>
      </c>
    </row>
    <row r="18" spans="1:12">
      <c r="A18" s="254">
        <f t="shared" si="0"/>
        <v>21085.106382978724</v>
      </c>
      <c r="B18" s="255">
        <f t="shared" si="1"/>
        <v>600</v>
      </c>
      <c r="C18" s="12" t="s">
        <v>2554</v>
      </c>
      <c r="D18" s="28">
        <v>39</v>
      </c>
      <c r="E18" s="13">
        <v>4955</v>
      </c>
      <c r="F18" s="17">
        <v>0.23499999999999999</v>
      </c>
      <c r="G18" s="13">
        <v>15742</v>
      </c>
      <c r="H18" s="17">
        <v>0.747</v>
      </c>
      <c r="I18" s="20">
        <f t="shared" si="2"/>
        <v>540.64375340971083</v>
      </c>
      <c r="J18" s="19">
        <f t="shared" si="3"/>
        <v>15281.25255563646</v>
      </c>
      <c r="K18" s="401">
        <f t="shared" si="4"/>
        <v>305.62505111272918</v>
      </c>
      <c r="L18" s="404">
        <f t="shared" si="5"/>
        <v>0.02</v>
      </c>
    </row>
    <row r="19" spans="1:12">
      <c r="A19" s="254">
        <f t="shared" si="0"/>
        <v>21509.345794392524</v>
      </c>
      <c r="B19" s="255">
        <f t="shared" si="1"/>
        <v>600</v>
      </c>
      <c r="C19" s="12" t="s">
        <v>2539</v>
      </c>
      <c r="D19" s="28">
        <v>16</v>
      </c>
      <c r="E19" s="13">
        <v>4603</v>
      </c>
      <c r="F19" s="17">
        <v>0.214</v>
      </c>
      <c r="G19" s="13">
        <v>16670</v>
      </c>
      <c r="H19" s="17">
        <v>0.77500000000000002</v>
      </c>
      <c r="I19" s="20">
        <f t="shared" si="2"/>
        <v>1344.3341121495328</v>
      </c>
      <c r="J19" s="19">
        <f t="shared" si="3"/>
        <v>15588.716481694821</v>
      </c>
      <c r="K19" s="401">
        <f t="shared" si="4"/>
        <v>311.7743296338964</v>
      </c>
      <c r="L19" s="404">
        <f t="shared" si="5"/>
        <v>0.02</v>
      </c>
    </row>
    <row r="20" spans="1:12">
      <c r="A20" s="254">
        <f t="shared" si="0"/>
        <v>21728.22299651568</v>
      </c>
      <c r="B20" s="255">
        <f t="shared" si="1"/>
        <v>600</v>
      </c>
      <c r="C20" s="12" t="s">
        <v>2553</v>
      </c>
      <c r="D20" s="28">
        <v>40</v>
      </c>
      <c r="E20" s="13">
        <v>6236</v>
      </c>
      <c r="F20" s="17">
        <v>0.28699999999999998</v>
      </c>
      <c r="G20" s="13">
        <v>15207</v>
      </c>
      <c r="H20" s="17">
        <v>0.69899999999999995</v>
      </c>
      <c r="I20" s="20">
        <f t="shared" si="2"/>
        <v>543.20557491289196</v>
      </c>
      <c r="J20" s="19">
        <f t="shared" si="3"/>
        <v>15747.345883110367</v>
      </c>
      <c r="K20" s="401">
        <f t="shared" si="4"/>
        <v>314.94691766220734</v>
      </c>
      <c r="L20" s="404">
        <f t="shared" si="5"/>
        <v>0.02</v>
      </c>
    </row>
    <row r="21" spans="1:12">
      <c r="A21" s="254">
        <f t="shared" si="0"/>
        <v>22782.42677824268</v>
      </c>
      <c r="B21" s="255">
        <f t="shared" si="1"/>
        <v>600</v>
      </c>
      <c r="C21" s="12" t="s">
        <v>2526</v>
      </c>
      <c r="D21" s="28">
        <v>48</v>
      </c>
      <c r="E21" s="13">
        <v>5445</v>
      </c>
      <c r="F21" s="17">
        <v>0.23899999999999999</v>
      </c>
      <c r="G21" s="13">
        <v>17061</v>
      </c>
      <c r="H21" s="17">
        <v>0.749</v>
      </c>
      <c r="I21" s="20">
        <f t="shared" si="2"/>
        <v>474.63389121338918</v>
      </c>
      <c r="J21" s="19">
        <f t="shared" si="3"/>
        <v>16511.371159581442</v>
      </c>
      <c r="K21" s="401">
        <f t="shared" si="4"/>
        <v>330.22742319162887</v>
      </c>
      <c r="L21" s="404">
        <f t="shared" si="5"/>
        <v>0.02</v>
      </c>
    </row>
    <row r="22" spans="1:12">
      <c r="A22" s="254">
        <f t="shared" si="0"/>
        <v>22863.636363636364</v>
      </c>
      <c r="B22" s="255">
        <f t="shared" si="1"/>
        <v>600</v>
      </c>
      <c r="C22" s="12" t="s">
        <v>2528</v>
      </c>
      <c r="D22" s="28">
        <v>34</v>
      </c>
      <c r="E22" s="13">
        <v>4527</v>
      </c>
      <c r="F22" s="17">
        <v>0.19800000000000001</v>
      </c>
      <c r="G22" s="13">
        <v>17960</v>
      </c>
      <c r="H22" s="17">
        <v>0.78700000000000003</v>
      </c>
      <c r="I22" s="20">
        <f t="shared" si="2"/>
        <v>672.45989304812838</v>
      </c>
      <c r="J22" s="19">
        <f t="shared" si="3"/>
        <v>16570.227119888154</v>
      </c>
      <c r="K22" s="401">
        <f t="shared" si="4"/>
        <v>331.40454239776307</v>
      </c>
      <c r="L22" s="404">
        <f t="shared" si="5"/>
        <v>0.02</v>
      </c>
    </row>
    <row r="23" spans="1:12">
      <c r="A23" s="254">
        <f t="shared" si="0"/>
        <v>24688.796680497926</v>
      </c>
      <c r="B23" s="255">
        <f t="shared" si="1"/>
        <v>600</v>
      </c>
      <c r="C23" s="12" t="s">
        <v>2545</v>
      </c>
      <c r="D23" s="28">
        <v>30</v>
      </c>
      <c r="E23" s="13">
        <v>5950</v>
      </c>
      <c r="F23" s="17">
        <v>0.24099999999999999</v>
      </c>
      <c r="G23" s="13">
        <v>18293</v>
      </c>
      <c r="H23" s="17">
        <v>0.74199999999999999</v>
      </c>
      <c r="I23" s="20">
        <f t="shared" si="2"/>
        <v>822.9598893499309</v>
      </c>
      <c r="J23" s="19">
        <f t="shared" si="3"/>
        <v>17892.996625998032</v>
      </c>
      <c r="K23" s="401">
        <f t="shared" si="4"/>
        <v>357.85993251996064</v>
      </c>
      <c r="L23" s="404">
        <f t="shared" si="5"/>
        <v>0.02</v>
      </c>
    </row>
    <row r="24" spans="1:12">
      <c r="A24" s="254">
        <f t="shared" si="0"/>
        <v>26520.979020979023</v>
      </c>
      <c r="B24" s="255">
        <f t="shared" si="1"/>
        <v>600</v>
      </c>
      <c r="C24" s="12" t="s">
        <v>2556</v>
      </c>
      <c r="D24" s="28">
        <v>31</v>
      </c>
      <c r="E24" s="13">
        <v>7585</v>
      </c>
      <c r="F24" s="17">
        <v>0.28599999999999998</v>
      </c>
      <c r="G24" s="13">
        <v>18569</v>
      </c>
      <c r="H24" s="17">
        <v>0.7</v>
      </c>
      <c r="I24" s="20">
        <f t="shared" si="2"/>
        <v>855.51545228964585</v>
      </c>
      <c r="J24" s="19">
        <f t="shared" si="3"/>
        <v>19220.855284348014</v>
      </c>
      <c r="K24" s="401">
        <f t="shared" si="4"/>
        <v>384.41710568696027</v>
      </c>
      <c r="L24" s="404">
        <f t="shared" si="5"/>
        <v>0.02</v>
      </c>
    </row>
    <row r="25" spans="1:12">
      <c r="A25" s="254">
        <f t="shared" si="0"/>
        <v>27639.240506329115</v>
      </c>
      <c r="B25" s="255">
        <f t="shared" si="1"/>
        <v>600</v>
      </c>
      <c r="C25" s="12" t="s">
        <v>2500</v>
      </c>
      <c r="D25" s="28">
        <v>38</v>
      </c>
      <c r="E25" s="13">
        <v>4367</v>
      </c>
      <c r="F25" s="17">
        <v>0.158</v>
      </c>
      <c r="G25" s="13">
        <v>23025</v>
      </c>
      <c r="H25" s="17">
        <v>0.83499999999999996</v>
      </c>
      <c r="I25" s="20">
        <f t="shared" si="2"/>
        <v>727.34843437708196</v>
      </c>
      <c r="J25" s="19">
        <f t="shared" si="3"/>
        <v>20031.30583984869</v>
      </c>
      <c r="K25" s="401">
        <f t="shared" si="4"/>
        <v>400.6261167969738</v>
      </c>
      <c r="L25" s="404">
        <f t="shared" si="5"/>
        <v>0.02</v>
      </c>
    </row>
    <row r="26" spans="1:12">
      <c r="A26" s="254">
        <f t="shared" si="0"/>
        <v>28107.03363914373</v>
      </c>
      <c r="B26" s="255">
        <f t="shared" si="1"/>
        <v>600</v>
      </c>
      <c r="C26" s="12" t="s">
        <v>2559</v>
      </c>
      <c r="D26" s="28">
        <v>28</v>
      </c>
      <c r="E26" s="13">
        <v>9191</v>
      </c>
      <c r="F26" s="17">
        <v>0.32700000000000001</v>
      </c>
      <c r="G26" s="13">
        <v>18637</v>
      </c>
      <c r="H26" s="17">
        <v>0.66300000000000003</v>
      </c>
      <c r="I26" s="20">
        <f t="shared" si="2"/>
        <v>1003.8226299694189</v>
      </c>
      <c r="J26" s="19">
        <f t="shared" si="3"/>
        <v>20370.3349572025</v>
      </c>
      <c r="K26" s="401">
        <f t="shared" si="4"/>
        <v>407.40669914404998</v>
      </c>
      <c r="L26" s="404">
        <f t="shared" si="5"/>
        <v>0.02</v>
      </c>
    </row>
    <row r="27" spans="1:12">
      <c r="A27" s="254">
        <f t="shared" si="0"/>
        <v>30134.831460674155</v>
      </c>
      <c r="B27" s="255">
        <f t="shared" si="1"/>
        <v>900</v>
      </c>
      <c r="C27" s="12" t="s">
        <v>2503</v>
      </c>
      <c r="D27" s="28">
        <v>51</v>
      </c>
      <c r="E27" s="13">
        <v>8046</v>
      </c>
      <c r="F27" s="17">
        <v>0.26700000000000002</v>
      </c>
      <c r="G27" s="13">
        <v>21600</v>
      </c>
      <c r="H27" s="17">
        <v>0.71599999999999997</v>
      </c>
      <c r="I27" s="20">
        <f t="shared" si="2"/>
        <v>590.87904824851285</v>
      </c>
      <c r="J27" s="19">
        <f t="shared" si="3"/>
        <v>21839.964281320626</v>
      </c>
      <c r="K27" s="401">
        <f t="shared" si="4"/>
        <v>436.79928562641254</v>
      </c>
      <c r="L27" s="404">
        <f t="shared" si="5"/>
        <v>0.02</v>
      </c>
    </row>
    <row r="28" spans="1:12">
      <c r="A28" s="254">
        <f t="shared" si="0"/>
        <v>31159.763313609466</v>
      </c>
      <c r="B28" s="255">
        <f t="shared" si="1"/>
        <v>900</v>
      </c>
      <c r="C28" s="12" t="s">
        <v>2514</v>
      </c>
      <c r="D28" s="28">
        <v>33</v>
      </c>
      <c r="E28" s="13">
        <v>10532</v>
      </c>
      <c r="F28" s="17">
        <v>0.33800000000000002</v>
      </c>
      <c r="G28" s="13">
        <v>20098</v>
      </c>
      <c r="H28" s="17">
        <v>0.64500000000000002</v>
      </c>
      <c r="I28" s="20">
        <f t="shared" si="2"/>
        <v>944.2352519275596</v>
      </c>
      <c r="J28" s="19">
        <f t="shared" si="3"/>
        <v>22582.774974923035</v>
      </c>
      <c r="K28" s="401">
        <f t="shared" si="4"/>
        <v>451.6554994984607</v>
      </c>
      <c r="L28" s="404">
        <f t="shared" si="5"/>
        <v>0.02</v>
      </c>
    </row>
    <row r="29" spans="1:12">
      <c r="A29" s="254">
        <f t="shared" si="0"/>
        <v>32547.5</v>
      </c>
      <c r="B29" s="255">
        <f t="shared" si="1"/>
        <v>900</v>
      </c>
      <c r="C29" s="12" t="s">
        <v>2547</v>
      </c>
      <c r="D29" s="28">
        <v>13</v>
      </c>
      <c r="E29" s="13">
        <v>13019</v>
      </c>
      <c r="F29" s="17">
        <v>0.4</v>
      </c>
      <c r="G29" s="13">
        <v>19213</v>
      </c>
      <c r="H29" s="17">
        <v>0.59</v>
      </c>
      <c r="I29" s="20">
        <f t="shared" si="2"/>
        <v>2503.6538461538462</v>
      </c>
      <c r="J29" s="19">
        <f t="shared" si="3"/>
        <v>23588.525403698437</v>
      </c>
      <c r="K29" s="401">
        <f t="shared" si="4"/>
        <v>471.77050807396876</v>
      </c>
      <c r="L29" s="404">
        <f t="shared" si="5"/>
        <v>0.02</v>
      </c>
    </row>
    <row r="30" spans="1:12">
      <c r="A30" s="254">
        <f t="shared" si="0"/>
        <v>33669.669669669667</v>
      </c>
      <c r="B30" s="255">
        <f t="shared" si="1"/>
        <v>900</v>
      </c>
      <c r="C30" s="12" t="s">
        <v>2508</v>
      </c>
      <c r="D30" s="28">
        <v>23</v>
      </c>
      <c r="E30" s="13">
        <v>11212</v>
      </c>
      <c r="F30" s="17">
        <v>0.33300000000000002</v>
      </c>
      <c r="G30" s="13">
        <v>21984</v>
      </c>
      <c r="H30" s="17">
        <v>0.65400000000000003</v>
      </c>
      <c r="I30" s="20">
        <f t="shared" si="2"/>
        <v>1463.8986812899855</v>
      </c>
      <c r="J30" s="19">
        <f t="shared" si="3"/>
        <v>24401.808382737156</v>
      </c>
      <c r="K30" s="401">
        <f t="shared" si="4"/>
        <v>488.03616765474311</v>
      </c>
      <c r="L30" s="404">
        <f t="shared" si="5"/>
        <v>0.02</v>
      </c>
    </row>
    <row r="31" spans="1:12">
      <c r="A31" s="254">
        <f t="shared" si="0"/>
        <v>36296.137339055793</v>
      </c>
      <c r="B31" s="255">
        <f t="shared" si="1"/>
        <v>900</v>
      </c>
      <c r="C31" s="12" t="s">
        <v>2498</v>
      </c>
      <c r="D31" s="28">
        <v>45</v>
      </c>
      <c r="E31" s="13">
        <v>8457</v>
      </c>
      <c r="F31" s="17">
        <v>0.23300000000000001</v>
      </c>
      <c r="G31" s="13">
        <v>27489</v>
      </c>
      <c r="H31" s="17">
        <v>0.75600000000000001</v>
      </c>
      <c r="I31" s="20">
        <f t="shared" si="2"/>
        <v>806.58082975679542</v>
      </c>
      <c r="J31" s="19">
        <f t="shared" si="3"/>
        <v>26305.318616743065</v>
      </c>
      <c r="K31" s="401">
        <f t="shared" si="4"/>
        <v>526.10637233486136</v>
      </c>
      <c r="L31" s="404">
        <f t="shared" si="5"/>
        <v>2.0000000000000004E-2</v>
      </c>
    </row>
    <row r="32" spans="1:12">
      <c r="A32" s="254">
        <f t="shared" si="0"/>
        <v>39481.632653061228</v>
      </c>
      <c r="B32" s="255">
        <f t="shared" si="1"/>
        <v>900</v>
      </c>
      <c r="C32" s="12" t="s">
        <v>2512</v>
      </c>
      <c r="D32" s="28">
        <v>49</v>
      </c>
      <c r="E32" s="13">
        <v>9673</v>
      </c>
      <c r="F32" s="17">
        <v>0.245</v>
      </c>
      <c r="G32" s="13">
        <v>29203</v>
      </c>
      <c r="H32" s="17">
        <v>0.74099999999999999</v>
      </c>
      <c r="I32" s="20">
        <f t="shared" si="2"/>
        <v>805.74760516451488</v>
      </c>
      <c r="J32" s="19">
        <f t="shared" si="3"/>
        <v>28613.97940905521</v>
      </c>
      <c r="K32" s="401">
        <f t="shared" si="4"/>
        <v>572.27958818110426</v>
      </c>
      <c r="L32" s="404">
        <f t="shared" si="5"/>
        <v>2.0000000000000004E-2</v>
      </c>
    </row>
    <row r="33" spans="1:12">
      <c r="A33" s="254">
        <f t="shared" si="0"/>
        <v>40629.107981220659</v>
      </c>
      <c r="B33" s="255">
        <f t="shared" si="1"/>
        <v>900</v>
      </c>
      <c r="C33" s="12" t="s">
        <v>2551</v>
      </c>
      <c r="D33" s="28">
        <v>50</v>
      </c>
      <c r="E33" s="13">
        <v>8654</v>
      </c>
      <c r="F33" s="17">
        <v>0.21299999999999999</v>
      </c>
      <c r="G33" s="13">
        <v>31466</v>
      </c>
      <c r="H33" s="17">
        <v>0.77600000000000002</v>
      </c>
      <c r="I33" s="20">
        <f t="shared" si="2"/>
        <v>812.58215962441318</v>
      </c>
      <c r="J33" s="19">
        <f t="shared" si="3"/>
        <v>29445.602450100021</v>
      </c>
      <c r="K33" s="401">
        <f t="shared" si="4"/>
        <v>588.91204900200046</v>
      </c>
      <c r="L33" s="404">
        <f t="shared" si="5"/>
        <v>0.02</v>
      </c>
    </row>
    <row r="34" spans="1:12">
      <c r="A34" s="254">
        <f t="shared" si="0"/>
        <v>41153.094462540714</v>
      </c>
      <c r="B34" s="255">
        <f t="shared" ref="B34:B65" si="6">MIN(2000,LEFT(B$1,3)*ROUNDUP(0.02*A34/LEFT(B$1,3),0))</f>
        <v>900</v>
      </c>
      <c r="C34" s="12" t="s">
        <v>2527</v>
      </c>
      <c r="D34" s="28">
        <v>38</v>
      </c>
      <c r="E34" s="13">
        <v>12634</v>
      </c>
      <c r="F34" s="17">
        <v>0.307</v>
      </c>
      <c r="G34" s="13">
        <v>28089</v>
      </c>
      <c r="H34" s="17">
        <v>0.68200000000000005</v>
      </c>
      <c r="I34" s="20">
        <f t="shared" ref="I34:I68" si="7">A34/D34</f>
        <v>1082.976170066861</v>
      </c>
      <c r="J34" s="19">
        <f t="shared" si="3"/>
        <v>29825.357221612812</v>
      </c>
      <c r="K34" s="401">
        <f t="shared" si="4"/>
        <v>596.50714443225627</v>
      </c>
      <c r="L34" s="404">
        <f t="shared" si="5"/>
        <v>0.02</v>
      </c>
    </row>
    <row r="35" spans="1:12">
      <c r="A35" s="254">
        <f t="shared" si="0"/>
        <v>41961.038961038961</v>
      </c>
      <c r="B35" s="255">
        <f t="shared" si="6"/>
        <v>900</v>
      </c>
      <c r="C35" s="12" t="s">
        <v>2515</v>
      </c>
      <c r="D35" s="28">
        <v>51</v>
      </c>
      <c r="E35" s="13">
        <v>12924</v>
      </c>
      <c r="F35" s="17">
        <v>0.308</v>
      </c>
      <c r="G35" s="13">
        <v>28559</v>
      </c>
      <c r="H35" s="17">
        <v>0.68</v>
      </c>
      <c r="I35" s="20">
        <f t="shared" si="7"/>
        <v>822.7654698242934</v>
      </c>
      <c r="J35" s="19">
        <f t="shared" si="3"/>
        <v>30410.908164929635</v>
      </c>
      <c r="K35" s="401">
        <f t="shared" si="4"/>
        <v>608.21816329859269</v>
      </c>
      <c r="L35" s="404">
        <f t="shared" si="5"/>
        <v>0.02</v>
      </c>
    </row>
    <row r="36" spans="1:12">
      <c r="A36" s="254">
        <f t="shared" si="0"/>
        <v>42256.666666666672</v>
      </c>
      <c r="B36" s="255">
        <f t="shared" si="6"/>
        <v>900</v>
      </c>
      <c r="C36" s="12" t="s">
        <v>2544</v>
      </c>
      <c r="D36" s="28">
        <v>36</v>
      </c>
      <c r="E36" s="13">
        <v>12677</v>
      </c>
      <c r="F36" s="17">
        <v>0.3</v>
      </c>
      <c r="G36" s="13">
        <v>28952</v>
      </c>
      <c r="H36" s="17">
        <v>0.68500000000000005</v>
      </c>
      <c r="I36" s="20">
        <f t="shared" si="7"/>
        <v>1173.7962962962965</v>
      </c>
      <c r="J36" s="19">
        <f t="shared" si="3"/>
        <v>30625.161844758695</v>
      </c>
      <c r="K36" s="401">
        <f t="shared" si="4"/>
        <v>612.50323689517393</v>
      </c>
      <c r="L36" s="404">
        <f t="shared" si="5"/>
        <v>0.02</v>
      </c>
    </row>
    <row r="37" spans="1:12">
      <c r="A37" s="254">
        <f t="shared" si="0"/>
        <v>46046.109510086462</v>
      </c>
      <c r="B37" s="255">
        <f t="shared" si="6"/>
        <v>1200</v>
      </c>
      <c r="C37" s="12" t="s">
        <v>2532</v>
      </c>
      <c r="D37" s="28">
        <v>27</v>
      </c>
      <c r="E37" s="13">
        <v>15978</v>
      </c>
      <c r="F37" s="17">
        <v>0.34699999999999998</v>
      </c>
      <c r="G37" s="13">
        <v>29597</v>
      </c>
      <c r="H37" s="17">
        <v>0.64200000000000002</v>
      </c>
      <c r="I37" s="20">
        <f t="shared" si="7"/>
        <v>1705.4114633365357</v>
      </c>
      <c r="J37" s="19">
        <f t="shared" si="3"/>
        <v>33371.528502040237</v>
      </c>
      <c r="K37" s="401">
        <f t="shared" si="4"/>
        <v>667.43057004080481</v>
      </c>
      <c r="L37" s="404">
        <f t="shared" si="5"/>
        <v>0.02</v>
      </c>
    </row>
    <row r="38" spans="1:12">
      <c r="A38" s="254">
        <f>AVERAGE(E38/F38,G38/H38)</f>
        <v>56527.010214772126</v>
      </c>
      <c r="B38" s="255">
        <f t="shared" si="6"/>
        <v>1200</v>
      </c>
      <c r="C38" s="12" t="s">
        <v>2496</v>
      </c>
      <c r="D38" s="28">
        <v>34</v>
      </c>
      <c r="E38" s="13">
        <v>18207</v>
      </c>
      <c r="F38" s="17">
        <v>0.32200000000000001</v>
      </c>
      <c r="G38" s="13">
        <v>37523</v>
      </c>
      <c r="H38" s="17">
        <v>0.66400000000000003</v>
      </c>
      <c r="I38" s="20">
        <f t="shared" si="7"/>
        <v>1662.5591239638861</v>
      </c>
      <c r="J38" s="19">
        <f t="shared" si="3"/>
        <v>40967.472661380241</v>
      </c>
      <c r="K38" s="401">
        <f t="shared" si="4"/>
        <v>819.34945322760484</v>
      </c>
      <c r="L38" s="404">
        <f t="shared" si="5"/>
        <v>0.02</v>
      </c>
    </row>
    <row r="39" spans="1:12">
      <c r="A39" s="254">
        <f t="shared" ref="A39:A68" si="8">E39/F39</f>
        <v>57876.373626373628</v>
      </c>
      <c r="B39" s="255">
        <f t="shared" si="6"/>
        <v>1200</v>
      </c>
      <c r="C39" s="12" t="s">
        <v>2538</v>
      </c>
      <c r="D39" s="28">
        <v>48</v>
      </c>
      <c r="E39" s="13">
        <v>21067</v>
      </c>
      <c r="F39" s="17">
        <v>0.36399999999999999</v>
      </c>
      <c r="G39" s="13">
        <v>36143</v>
      </c>
      <c r="H39" s="17">
        <v>0.624</v>
      </c>
      <c r="I39" s="20">
        <f t="shared" si="7"/>
        <v>1205.757783882784</v>
      </c>
      <c r="J39" s="19">
        <f t="shared" si="3"/>
        <v>41945.412383736279</v>
      </c>
      <c r="K39" s="401">
        <f t="shared" si="4"/>
        <v>838.90824767472554</v>
      </c>
      <c r="L39" s="404">
        <f t="shared" si="5"/>
        <v>0.02</v>
      </c>
    </row>
    <row r="40" spans="1:12">
      <c r="A40" s="254">
        <f t="shared" si="8"/>
        <v>59339.160839160846</v>
      </c>
      <c r="B40" s="255">
        <f t="shared" si="6"/>
        <v>1200</v>
      </c>
      <c r="C40" s="12" t="s">
        <v>2536</v>
      </c>
      <c r="D40" s="28">
        <v>52</v>
      </c>
      <c r="E40" s="13">
        <v>16971</v>
      </c>
      <c r="F40" s="17">
        <v>0.28599999999999998</v>
      </c>
      <c r="G40" s="13">
        <v>41462</v>
      </c>
      <c r="H40" s="17">
        <v>0.7</v>
      </c>
      <c r="I40" s="20">
        <f t="shared" si="7"/>
        <v>1141.1377084454009</v>
      </c>
      <c r="J40" s="19">
        <f t="shared" si="3"/>
        <v>43005.555046891248</v>
      </c>
      <c r="K40" s="401">
        <f t="shared" si="4"/>
        <v>860.11110093782497</v>
      </c>
      <c r="L40" s="404">
        <f t="shared" si="5"/>
        <v>0.02</v>
      </c>
    </row>
    <row r="41" spans="1:12">
      <c r="A41" s="254">
        <f t="shared" si="8"/>
        <v>62139.817629179328</v>
      </c>
      <c r="B41" s="255">
        <f t="shared" si="6"/>
        <v>1500</v>
      </c>
      <c r="C41" s="12" t="s">
        <v>2521</v>
      </c>
      <c r="D41" s="28">
        <v>42</v>
      </c>
      <c r="E41" s="13">
        <v>20444</v>
      </c>
      <c r="F41" s="17">
        <v>0.32900000000000001</v>
      </c>
      <c r="G41" s="13">
        <v>41227</v>
      </c>
      <c r="H41" s="17">
        <v>0.66300000000000003</v>
      </c>
      <c r="I41" s="20">
        <f t="shared" si="7"/>
        <v>1479.5194673614126</v>
      </c>
      <c r="J41" s="19">
        <f t="shared" si="3"/>
        <v>45035.307373134172</v>
      </c>
      <c r="K41" s="401">
        <f t="shared" si="4"/>
        <v>900.70614746268348</v>
      </c>
      <c r="L41" s="404">
        <f t="shared" si="5"/>
        <v>0.02</v>
      </c>
    </row>
    <row r="42" spans="1:12">
      <c r="A42" s="254">
        <f t="shared" si="8"/>
        <v>63667.870036101078</v>
      </c>
      <c r="B42" s="255">
        <f t="shared" si="6"/>
        <v>1500</v>
      </c>
      <c r="C42" s="12" t="s">
        <v>2502</v>
      </c>
      <c r="D42" s="28">
        <v>24</v>
      </c>
      <c r="E42" s="13">
        <v>17636</v>
      </c>
      <c r="F42" s="17">
        <v>0.27700000000000002</v>
      </c>
      <c r="G42" s="13">
        <v>45306</v>
      </c>
      <c r="H42" s="17">
        <v>0.71199999999999997</v>
      </c>
      <c r="I42" s="20">
        <f t="shared" si="7"/>
        <v>2652.8279181708781</v>
      </c>
      <c r="J42" s="19">
        <f t="shared" si="3"/>
        <v>46142.750433856389</v>
      </c>
      <c r="K42" s="401">
        <f t="shared" si="4"/>
        <v>922.85500867712778</v>
      </c>
      <c r="L42" s="404">
        <f t="shared" si="5"/>
        <v>0.02</v>
      </c>
    </row>
    <row r="43" spans="1:12">
      <c r="A43" s="254">
        <f t="shared" si="8"/>
        <v>70500</v>
      </c>
      <c r="B43" s="255">
        <f t="shared" si="6"/>
        <v>1500</v>
      </c>
      <c r="C43" s="12" t="s">
        <v>2549</v>
      </c>
      <c r="D43" s="28">
        <v>67</v>
      </c>
      <c r="E43" s="13">
        <v>20727</v>
      </c>
      <c r="F43" s="17">
        <v>0.29399999999999998</v>
      </c>
      <c r="G43" s="13">
        <v>48871</v>
      </c>
      <c r="H43" s="17">
        <v>0.69199999999999995</v>
      </c>
      <c r="I43" s="20">
        <f t="shared" si="7"/>
        <v>1052.2388059701493</v>
      </c>
      <c r="J43" s="19">
        <f t="shared" si="3"/>
        <v>51094.278852776399</v>
      </c>
      <c r="K43" s="401">
        <f t="shared" si="4"/>
        <v>1021.885577055528</v>
      </c>
      <c r="L43" s="404">
        <f t="shared" si="5"/>
        <v>0.02</v>
      </c>
    </row>
    <row r="44" spans="1:12">
      <c r="A44" s="254">
        <f t="shared" si="8"/>
        <v>70551.948051948057</v>
      </c>
      <c r="B44" s="255">
        <f t="shared" si="6"/>
        <v>1500</v>
      </c>
      <c r="C44" s="12" t="s">
        <v>2506</v>
      </c>
      <c r="D44" s="28">
        <v>63</v>
      </c>
      <c r="E44" s="13">
        <v>21730</v>
      </c>
      <c r="F44" s="17">
        <v>0.308</v>
      </c>
      <c r="G44" s="13">
        <v>48085</v>
      </c>
      <c r="H44" s="17">
        <v>0.68100000000000005</v>
      </c>
      <c r="I44" s="20">
        <f t="shared" si="7"/>
        <v>1119.8721913007628</v>
      </c>
      <c r="J44" s="19">
        <f t="shared" si="3"/>
        <v>51131.927764153588</v>
      </c>
      <c r="K44" s="401">
        <f t="shared" si="4"/>
        <v>1022.6385552830718</v>
      </c>
      <c r="L44" s="404">
        <f t="shared" si="5"/>
        <v>0.02</v>
      </c>
    </row>
    <row r="45" spans="1:12">
      <c r="A45" s="254">
        <f t="shared" si="8"/>
        <v>71652.694610778446</v>
      </c>
      <c r="B45" s="255">
        <f t="shared" si="6"/>
        <v>1500</v>
      </c>
      <c r="C45" s="12" t="s">
        <v>2533</v>
      </c>
      <c r="D45" s="28">
        <v>26</v>
      </c>
      <c r="E45" s="13">
        <v>23932</v>
      </c>
      <c r="F45" s="17">
        <v>0.33400000000000002</v>
      </c>
      <c r="G45" s="13">
        <v>46731</v>
      </c>
      <c r="H45" s="17">
        <v>0.65200000000000002</v>
      </c>
      <c r="I45" s="20">
        <f t="shared" si="7"/>
        <v>2755.872869645325</v>
      </c>
      <c r="J45" s="19">
        <f t="shared" si="3"/>
        <v>51929.684524765136</v>
      </c>
      <c r="K45" s="401">
        <f t="shared" si="4"/>
        <v>1038.5936904953028</v>
      </c>
      <c r="L45" s="404">
        <f t="shared" si="5"/>
        <v>0.02</v>
      </c>
    </row>
    <row r="46" spans="1:12">
      <c r="A46" s="254">
        <f t="shared" si="8"/>
        <v>77475.822050290139</v>
      </c>
      <c r="B46" s="255">
        <f t="shared" si="6"/>
        <v>1800</v>
      </c>
      <c r="C46" s="12" t="s">
        <v>2509</v>
      </c>
      <c r="D46" s="28">
        <v>35</v>
      </c>
      <c r="E46" s="13">
        <v>40055</v>
      </c>
      <c r="F46" s="17">
        <v>0.51700000000000002</v>
      </c>
      <c r="G46" s="13">
        <v>36372</v>
      </c>
      <c r="H46" s="17">
        <v>0.46899999999999997</v>
      </c>
      <c r="I46" s="20">
        <f t="shared" si="7"/>
        <v>2213.5949157225755</v>
      </c>
      <c r="J46" s="19">
        <f t="shared" si="3"/>
        <v>56149.946896249741</v>
      </c>
      <c r="K46" s="401">
        <f t="shared" si="4"/>
        <v>1122.9989379249948</v>
      </c>
      <c r="L46" s="18">
        <f t="shared" si="5"/>
        <v>0.02</v>
      </c>
    </row>
    <row r="47" spans="1:12">
      <c r="A47" s="254">
        <f t="shared" si="8"/>
        <v>80654.676258992797</v>
      </c>
      <c r="B47" s="255">
        <f t="shared" si="6"/>
        <v>1800</v>
      </c>
      <c r="C47" s="12" t="s">
        <v>2523</v>
      </c>
      <c r="D47" s="28">
        <v>21</v>
      </c>
      <c r="E47" s="13">
        <v>22422</v>
      </c>
      <c r="F47" s="17">
        <v>0.27800000000000002</v>
      </c>
      <c r="G47" s="13">
        <v>57245</v>
      </c>
      <c r="H47" s="17">
        <v>0.70899999999999996</v>
      </c>
      <c r="I47" s="20">
        <f t="shared" si="7"/>
        <v>3840.6988694758475</v>
      </c>
      <c r="J47" s="19">
        <f t="shared" si="3"/>
        <v>58453.794603650807</v>
      </c>
      <c r="K47" s="401">
        <f t="shared" si="4"/>
        <v>1169.0758920730161</v>
      </c>
      <c r="L47" s="18">
        <f t="shared" si="5"/>
        <v>0.02</v>
      </c>
    </row>
    <row r="48" spans="1:12">
      <c r="A48" s="254">
        <f t="shared" si="8"/>
        <v>83764.25855513307</v>
      </c>
      <c r="B48" s="255">
        <f t="shared" si="6"/>
        <v>1800</v>
      </c>
      <c r="C48" s="12" t="s">
        <v>2540</v>
      </c>
      <c r="D48" s="28">
        <v>20</v>
      </c>
      <c r="E48" s="13">
        <v>44060</v>
      </c>
      <c r="F48" s="17">
        <v>0.52600000000000002</v>
      </c>
      <c r="G48" s="13">
        <v>38726</v>
      </c>
      <c r="H48" s="17">
        <v>0.46200000000000002</v>
      </c>
      <c r="I48" s="20">
        <f t="shared" si="7"/>
        <v>4188.2129277566537</v>
      </c>
      <c r="J48" s="19">
        <f t="shared" si="3"/>
        <v>60707.438078184823</v>
      </c>
      <c r="K48" s="401">
        <f t="shared" si="4"/>
        <v>1214.1487615636966</v>
      </c>
      <c r="L48" s="18">
        <f t="shared" si="5"/>
        <v>0.02</v>
      </c>
    </row>
    <row r="49" spans="1:12">
      <c r="A49" s="254">
        <f t="shared" si="8"/>
        <v>94128.395061728384</v>
      </c>
      <c r="B49" s="255">
        <f t="shared" si="6"/>
        <v>2000</v>
      </c>
      <c r="C49" s="12" t="s">
        <v>2499</v>
      </c>
      <c r="D49" s="28">
        <v>53</v>
      </c>
      <c r="E49" s="13">
        <v>38122</v>
      </c>
      <c r="F49" s="17">
        <v>0.40500000000000003</v>
      </c>
      <c r="G49" s="13">
        <v>54759</v>
      </c>
      <c r="H49" s="17">
        <v>0.58199999999999996</v>
      </c>
      <c r="I49" s="20">
        <f t="shared" si="7"/>
        <v>1776.0074539948753</v>
      </c>
      <c r="J49" s="19">
        <f t="shared" si="3"/>
        <v>68218.758372315613</v>
      </c>
      <c r="K49" s="401">
        <f t="shared" si="4"/>
        <v>1364.3751674463124</v>
      </c>
      <c r="L49" s="18">
        <f t="shared" si="5"/>
        <v>0.02</v>
      </c>
    </row>
    <row r="50" spans="1:12">
      <c r="A50" s="254">
        <f t="shared" si="8"/>
        <v>113317.22054380664</v>
      </c>
      <c r="B50" s="255">
        <f t="shared" si="6"/>
        <v>2000</v>
      </c>
      <c r="C50" s="12" t="s">
        <v>2505</v>
      </c>
      <c r="D50" s="28">
        <v>57</v>
      </c>
      <c r="E50" s="13">
        <v>37508</v>
      </c>
      <c r="F50" s="17">
        <v>0.33100000000000002</v>
      </c>
      <c r="G50" s="13">
        <v>74359</v>
      </c>
      <c r="H50" s="17">
        <v>0.65600000000000003</v>
      </c>
      <c r="I50" s="20">
        <f t="shared" si="7"/>
        <v>1988.0214130492393</v>
      </c>
      <c r="J50" s="19">
        <f t="shared" si="3"/>
        <v>82125.697379954872</v>
      </c>
      <c r="K50" s="401">
        <f t="shared" si="4"/>
        <v>1642.5139475990975</v>
      </c>
      <c r="L50" s="18">
        <f t="shared" si="5"/>
        <v>0.02</v>
      </c>
    </row>
    <row r="51" spans="1:12">
      <c r="A51" s="254">
        <f t="shared" si="8"/>
        <v>115439.47858472998</v>
      </c>
      <c r="B51" s="255">
        <f t="shared" si="6"/>
        <v>2000</v>
      </c>
      <c r="C51" s="12" t="s">
        <v>2530</v>
      </c>
      <c r="D51" s="28">
        <v>40</v>
      </c>
      <c r="E51" s="13">
        <v>61991</v>
      </c>
      <c r="F51" s="17">
        <v>0.53700000000000003</v>
      </c>
      <c r="G51" s="13">
        <v>52334</v>
      </c>
      <c r="H51" s="17">
        <v>0.45300000000000001</v>
      </c>
      <c r="I51" s="20">
        <f t="shared" si="7"/>
        <v>2885.9869646182497</v>
      </c>
      <c r="J51" s="19">
        <f t="shared" si="3"/>
        <v>83663.785949323428</v>
      </c>
      <c r="K51" s="401">
        <f t="shared" si="4"/>
        <v>1673.2757189864685</v>
      </c>
      <c r="L51" s="18">
        <f t="shared" si="5"/>
        <v>0.02</v>
      </c>
    </row>
    <row r="52" spans="1:12">
      <c r="A52" s="254">
        <f t="shared" si="8"/>
        <v>118341.20734908136</v>
      </c>
      <c r="B52" s="255">
        <f t="shared" si="6"/>
        <v>2000</v>
      </c>
      <c r="C52" s="12" t="s">
        <v>2558</v>
      </c>
      <c r="D52" s="28">
        <v>66</v>
      </c>
      <c r="E52" s="13">
        <v>45088</v>
      </c>
      <c r="F52" s="17">
        <v>0.38100000000000001</v>
      </c>
      <c r="G52" s="13">
        <v>72080</v>
      </c>
      <c r="H52" s="17">
        <v>0.60799999999999998</v>
      </c>
      <c r="I52" s="20">
        <f t="shared" si="7"/>
        <v>1793.0485961982024</v>
      </c>
      <c r="J52" s="19">
        <f t="shared" si="3"/>
        <v>85766.789334300629</v>
      </c>
      <c r="K52" s="401">
        <f t="shared" si="4"/>
        <v>1715.3357866860126</v>
      </c>
      <c r="L52" s="18">
        <f t="shared" si="5"/>
        <v>0.02</v>
      </c>
    </row>
    <row r="53" spans="1:12">
      <c r="A53" s="254">
        <f t="shared" si="8"/>
        <v>137120.48192771085</v>
      </c>
      <c r="B53" s="255">
        <f t="shared" si="6"/>
        <v>2000</v>
      </c>
      <c r="C53" s="12" t="s">
        <v>2520</v>
      </c>
      <c r="D53" s="28">
        <v>38</v>
      </c>
      <c r="E53" s="13">
        <v>68286</v>
      </c>
      <c r="F53" s="17">
        <v>0.498</v>
      </c>
      <c r="G53" s="13">
        <v>66869</v>
      </c>
      <c r="H53" s="17">
        <v>0.48799999999999999</v>
      </c>
      <c r="I53" s="20">
        <f t="shared" si="7"/>
        <v>3608.4337349397592</v>
      </c>
      <c r="J53" s="19">
        <f t="shared" si="3"/>
        <v>99376.909787823315</v>
      </c>
      <c r="K53" s="401">
        <f t="shared" si="4"/>
        <v>1987.5381957564664</v>
      </c>
      <c r="L53" s="18">
        <f t="shared" si="5"/>
        <v>0.02</v>
      </c>
    </row>
    <row r="54" spans="1:12">
      <c r="A54" s="254">
        <f t="shared" si="8"/>
        <v>141465.90909090909</v>
      </c>
      <c r="B54" s="255">
        <f t="shared" si="6"/>
        <v>2000</v>
      </c>
      <c r="C54" s="12" t="s">
        <v>2516</v>
      </c>
      <c r="D54" s="28">
        <v>33</v>
      </c>
      <c r="E54" s="13">
        <v>62245</v>
      </c>
      <c r="F54" s="17">
        <v>0.44</v>
      </c>
      <c r="G54" s="13">
        <v>77212</v>
      </c>
      <c r="H54" s="17">
        <v>0.54500000000000004</v>
      </c>
      <c r="I54" s="20">
        <f t="shared" si="7"/>
        <v>4286.8457300275477</v>
      </c>
      <c r="J54" s="19">
        <f t="shared" si="3"/>
        <v>102526.22137946701</v>
      </c>
      <c r="K54" s="401">
        <f t="shared" si="4"/>
        <v>2000</v>
      </c>
      <c r="L54" s="18">
        <f t="shared" si="5"/>
        <v>1.9507204821268692E-2</v>
      </c>
    </row>
    <row r="55" spans="1:12">
      <c r="A55" s="254">
        <f t="shared" si="8"/>
        <v>147356.34328358207</v>
      </c>
      <c r="B55" s="255">
        <f t="shared" si="6"/>
        <v>2000</v>
      </c>
      <c r="C55" s="12" t="s">
        <v>2517</v>
      </c>
      <c r="D55" s="28">
        <v>40</v>
      </c>
      <c r="E55" s="13">
        <v>78983</v>
      </c>
      <c r="F55" s="17">
        <v>0.53600000000000003</v>
      </c>
      <c r="G55" s="13">
        <v>66408</v>
      </c>
      <c r="H55" s="17">
        <v>0.45100000000000001</v>
      </c>
      <c r="I55" s="20">
        <f t="shared" si="7"/>
        <v>3683.9085820895516</v>
      </c>
      <c r="J55" s="19">
        <f t="shared" si="3"/>
        <v>106795.26375116009</v>
      </c>
      <c r="K55" s="401">
        <f t="shared" si="4"/>
        <v>2000</v>
      </c>
      <c r="L55" s="18">
        <f t="shared" si="5"/>
        <v>1.8727422263407956E-2</v>
      </c>
    </row>
    <row r="56" spans="1:12">
      <c r="A56" s="254">
        <f t="shared" si="8"/>
        <v>153364.06619385345</v>
      </c>
      <c r="B56" s="255">
        <f t="shared" si="6"/>
        <v>2000</v>
      </c>
      <c r="C56" s="12" t="s">
        <v>2535</v>
      </c>
      <c r="D56" s="28">
        <v>76</v>
      </c>
      <c r="E56" s="13">
        <v>64873</v>
      </c>
      <c r="F56" s="17">
        <v>0.42299999999999999</v>
      </c>
      <c r="G56" s="13">
        <v>86929</v>
      </c>
      <c r="H56" s="17">
        <v>0.56699999999999995</v>
      </c>
      <c r="I56" s="20">
        <f t="shared" si="7"/>
        <v>2017.9482393928085</v>
      </c>
      <c r="J56" s="19">
        <f t="shared" si="3"/>
        <v>111149.3101291405</v>
      </c>
      <c r="K56" s="401">
        <f t="shared" si="4"/>
        <v>2000</v>
      </c>
      <c r="L56" s="18">
        <f t="shared" si="5"/>
        <v>1.7993813885810627E-2</v>
      </c>
    </row>
    <row r="57" spans="1:12">
      <c r="A57" s="254">
        <f t="shared" si="8"/>
        <v>170857.4297188755</v>
      </c>
      <c r="B57" s="255">
        <f t="shared" si="6"/>
        <v>2000</v>
      </c>
      <c r="C57" s="12" t="s">
        <v>2543</v>
      </c>
      <c r="D57" s="28">
        <v>38</v>
      </c>
      <c r="E57" s="13">
        <v>85087</v>
      </c>
      <c r="F57" s="17">
        <v>0.498</v>
      </c>
      <c r="G57" s="13">
        <v>83854</v>
      </c>
      <c r="H57" s="17">
        <v>0.49099999999999999</v>
      </c>
      <c r="I57" s="20">
        <f t="shared" si="7"/>
        <v>4496.2481504967236</v>
      </c>
      <c r="J57" s="19">
        <f t="shared" si="3"/>
        <v>123827.47742021093</v>
      </c>
      <c r="K57" s="401">
        <f t="shared" si="4"/>
        <v>2000</v>
      </c>
      <c r="L57" s="18">
        <f t="shared" si="5"/>
        <v>1.6151504025338104E-2</v>
      </c>
    </row>
    <row r="58" spans="1:12">
      <c r="A58" s="254">
        <f t="shared" si="8"/>
        <v>184751.87969924812</v>
      </c>
      <c r="B58" s="255">
        <f t="shared" si="6"/>
        <v>2000</v>
      </c>
      <c r="C58" s="12" t="s">
        <v>2534</v>
      </c>
      <c r="D58" s="28">
        <v>24</v>
      </c>
      <c r="E58" s="13">
        <v>98288</v>
      </c>
      <c r="F58" s="17">
        <v>0.53200000000000003</v>
      </c>
      <c r="G58" s="13">
        <v>84259</v>
      </c>
      <c r="H58" s="17">
        <v>0.45600000000000002</v>
      </c>
      <c r="I58" s="20">
        <f t="shared" si="7"/>
        <v>7697.9949874686718</v>
      </c>
      <c r="J58" s="19">
        <f t="shared" si="3"/>
        <v>133897.36255216994</v>
      </c>
      <c r="K58" s="401">
        <f t="shared" si="4"/>
        <v>2000</v>
      </c>
      <c r="L58" s="18">
        <f t="shared" si="5"/>
        <v>1.4936814003492766E-2</v>
      </c>
    </row>
    <row r="59" spans="1:12">
      <c r="A59" s="254">
        <f t="shared" si="8"/>
        <v>204911.93181818182</v>
      </c>
      <c r="B59" s="255">
        <f t="shared" si="6"/>
        <v>2000</v>
      </c>
      <c r="C59" s="12" t="s">
        <v>2560</v>
      </c>
      <c r="D59" s="28">
        <v>65</v>
      </c>
      <c r="E59" s="13">
        <v>72129</v>
      </c>
      <c r="F59" s="17">
        <v>0.35199999999999998</v>
      </c>
      <c r="G59" s="13">
        <v>130218</v>
      </c>
      <c r="H59" s="17">
        <v>0.63600000000000001</v>
      </c>
      <c r="I59" s="20">
        <f t="shared" si="7"/>
        <v>3152.4912587412587</v>
      </c>
      <c r="J59" s="19">
        <f t="shared" si="3"/>
        <v>148508.18985218846</v>
      </c>
      <c r="K59" s="401">
        <f t="shared" si="4"/>
        <v>2000</v>
      </c>
      <c r="L59" s="18">
        <f t="shared" si="5"/>
        <v>1.3467270741031981E-2</v>
      </c>
    </row>
    <row r="60" spans="1:12">
      <c r="A60" s="254">
        <f t="shared" si="8"/>
        <v>205519.91150442476</v>
      </c>
      <c r="B60" s="255">
        <f t="shared" si="6"/>
        <v>2000</v>
      </c>
      <c r="C60" s="12" t="s">
        <v>2501</v>
      </c>
      <c r="D60" s="28">
        <v>72</v>
      </c>
      <c r="E60" s="13">
        <v>92895</v>
      </c>
      <c r="F60" s="17">
        <v>0.45200000000000001</v>
      </c>
      <c r="G60" s="13">
        <v>109736</v>
      </c>
      <c r="H60" s="17">
        <v>0.53400000000000003</v>
      </c>
      <c r="I60" s="20">
        <f t="shared" si="7"/>
        <v>2854.4432153392327</v>
      </c>
      <c r="J60" s="19">
        <f t="shared" si="3"/>
        <v>148948.81798872349</v>
      </c>
      <c r="K60" s="401">
        <f t="shared" si="4"/>
        <v>2000</v>
      </c>
      <c r="L60" s="18">
        <f t="shared" si="5"/>
        <v>1.3427431160624682E-2</v>
      </c>
    </row>
    <row r="61" spans="1:12">
      <c r="A61" s="254">
        <f t="shared" si="8"/>
        <v>238791.32791327915</v>
      </c>
      <c r="B61" s="255">
        <f t="shared" si="6"/>
        <v>2000</v>
      </c>
      <c r="C61" s="12" t="s">
        <v>2562</v>
      </c>
      <c r="D61" s="28">
        <v>72</v>
      </c>
      <c r="E61" s="13">
        <v>88114</v>
      </c>
      <c r="F61" s="17">
        <v>0.36899999999999999</v>
      </c>
      <c r="G61" s="13">
        <v>146733</v>
      </c>
      <c r="H61" s="17">
        <v>0.61499999999999999</v>
      </c>
      <c r="I61" s="20">
        <f t="shared" si="7"/>
        <v>3316.5462210177661</v>
      </c>
      <c r="J61" s="19">
        <f t="shared" si="3"/>
        <v>173061.99568830995</v>
      </c>
      <c r="K61" s="401">
        <f t="shared" si="4"/>
        <v>2000</v>
      </c>
      <c r="L61" s="18">
        <f t="shared" ref="L61:L68" si="9">K61/J61</f>
        <v>1.1556552275070619E-2</v>
      </c>
    </row>
    <row r="62" spans="1:12">
      <c r="A62" s="254">
        <f t="shared" si="8"/>
        <v>280501.21065375302</v>
      </c>
      <c r="B62" s="255">
        <f t="shared" si="6"/>
        <v>2000</v>
      </c>
      <c r="C62" s="12" t="s">
        <v>2531</v>
      </c>
      <c r="D62" s="28">
        <v>60</v>
      </c>
      <c r="E62" s="13">
        <v>115847</v>
      </c>
      <c r="F62" s="17">
        <v>0.41299999999999998</v>
      </c>
      <c r="G62" s="13">
        <v>160209</v>
      </c>
      <c r="H62" s="17">
        <v>0.57199999999999995</v>
      </c>
      <c r="I62" s="20">
        <f t="shared" si="7"/>
        <v>4675.0201775625501</v>
      </c>
      <c r="J62" s="19">
        <f t="shared" si="3"/>
        <v>203290.88050615927</v>
      </c>
      <c r="K62" s="401">
        <f t="shared" si="4"/>
        <v>2000</v>
      </c>
      <c r="L62" s="18">
        <f t="shared" si="9"/>
        <v>9.8381196196324419E-3</v>
      </c>
    </row>
    <row r="63" spans="1:12">
      <c r="A63" s="254">
        <f t="shared" si="8"/>
        <v>314434.4827586207</v>
      </c>
      <c r="B63" s="255">
        <f t="shared" si="6"/>
        <v>2000</v>
      </c>
      <c r="C63" s="12" t="s">
        <v>2510</v>
      </c>
      <c r="D63" s="28">
        <v>73</v>
      </c>
      <c r="E63" s="13">
        <v>182372</v>
      </c>
      <c r="F63" s="17">
        <v>0.57999999999999996</v>
      </c>
      <c r="G63" s="13">
        <v>128565</v>
      </c>
      <c r="H63" s="17">
        <v>0.40899999999999997</v>
      </c>
      <c r="I63" s="20">
        <f t="shared" si="7"/>
        <v>4307.3216816249414</v>
      </c>
      <c r="J63" s="19">
        <f t="shared" si="3"/>
        <v>227883.7325247869</v>
      </c>
      <c r="K63" s="401">
        <f t="shared" si="4"/>
        <v>2000</v>
      </c>
      <c r="L63" s="18">
        <f t="shared" si="9"/>
        <v>8.7764053091523766E-3</v>
      </c>
    </row>
    <row r="64" spans="1:12">
      <c r="A64" s="254">
        <f t="shared" si="8"/>
        <v>328176.4705882353</v>
      </c>
      <c r="B64" s="255">
        <f t="shared" si="6"/>
        <v>2000</v>
      </c>
      <c r="C64" s="12" t="s">
        <v>2518</v>
      </c>
      <c r="D64" s="28">
        <v>49</v>
      </c>
      <c r="E64" s="13">
        <v>206423</v>
      </c>
      <c r="F64" s="17">
        <v>0.629</v>
      </c>
      <c r="G64" s="13">
        <v>118532</v>
      </c>
      <c r="H64" s="17">
        <v>0.36099999999999999</v>
      </c>
      <c r="I64" s="20">
        <f t="shared" si="7"/>
        <v>6697.4789915966385</v>
      </c>
      <c r="J64" s="19">
        <f t="shared" si="3"/>
        <v>237843.12200220235</v>
      </c>
      <c r="K64" s="401">
        <f t="shared" si="4"/>
        <v>2000</v>
      </c>
      <c r="L64" s="18">
        <f t="shared" si="9"/>
        <v>8.4089040841865536E-3</v>
      </c>
    </row>
    <row r="65" spans="1:12">
      <c r="A65" s="254">
        <f t="shared" si="8"/>
        <v>395961.31528046419</v>
      </c>
      <c r="B65" s="255">
        <f t="shared" si="6"/>
        <v>2000</v>
      </c>
      <c r="C65" s="12" t="s">
        <v>2504</v>
      </c>
      <c r="D65" s="28">
        <v>53</v>
      </c>
      <c r="E65" s="13">
        <v>204712</v>
      </c>
      <c r="F65" s="17">
        <v>0.51700000000000002</v>
      </c>
      <c r="G65" s="13">
        <v>187367</v>
      </c>
      <c r="H65" s="17">
        <v>0.47299999999999998</v>
      </c>
      <c r="I65" s="20">
        <f t="shared" si="7"/>
        <v>7470.9682128389468</v>
      </c>
      <c r="J65" s="19">
        <f t="shared" si="3"/>
        <v>286969.61500499502</v>
      </c>
      <c r="K65" s="401">
        <f t="shared" si="4"/>
        <v>2000</v>
      </c>
      <c r="L65" s="18">
        <f t="shared" si="9"/>
        <v>6.9693789705407936E-3</v>
      </c>
    </row>
    <row r="66" spans="1:12">
      <c r="A66" s="254">
        <f t="shared" si="8"/>
        <v>510400.95846645365</v>
      </c>
      <c r="B66" s="255">
        <f t="shared" ref="B66:B68" si="10">MIN(2000,LEFT(B$1,3)*ROUNDUP(0.02*A66/LEFT(B$1,3),0))</f>
        <v>2000</v>
      </c>
      <c r="C66" s="12" t="s">
        <v>2541</v>
      </c>
      <c r="D66" s="28">
        <v>62</v>
      </c>
      <c r="E66" s="13">
        <v>319511</v>
      </c>
      <c r="F66" s="17">
        <v>0.626</v>
      </c>
      <c r="G66" s="13">
        <v>185460</v>
      </c>
      <c r="H66" s="17">
        <v>0.36399999999999999</v>
      </c>
      <c r="I66" s="20">
        <f t="shared" si="7"/>
        <v>8232.2735236524786</v>
      </c>
      <c r="J66" s="19">
        <f t="shared" si="3"/>
        <v>369908.77870367834</v>
      </c>
      <c r="K66" s="401">
        <f t="shared" si="4"/>
        <v>2000</v>
      </c>
      <c r="L66" s="18">
        <f t="shared" si="9"/>
        <v>5.4067384045571234E-3</v>
      </c>
    </row>
    <row r="67" spans="1:12">
      <c r="A67" s="254">
        <f t="shared" si="8"/>
        <v>719907.71812080545</v>
      </c>
      <c r="B67" s="255">
        <f t="shared" si="10"/>
        <v>2000</v>
      </c>
      <c r="C67" s="12" t="s">
        <v>2497</v>
      </c>
      <c r="D67" s="28">
        <v>128</v>
      </c>
      <c r="E67" s="13">
        <v>429065</v>
      </c>
      <c r="F67" s="17">
        <v>0.59599999999999997</v>
      </c>
      <c r="G67" s="13">
        <v>282324</v>
      </c>
      <c r="H67" s="17">
        <v>0.39200000000000002</v>
      </c>
      <c r="I67" s="20">
        <f t="shared" si="7"/>
        <v>5624.2790478187926</v>
      </c>
      <c r="J67" s="19">
        <f t="shared" ref="J67:J68" si="11">S$2*A67/S$1</f>
        <v>521747.03117631748</v>
      </c>
      <c r="K67" s="401">
        <f t="shared" ref="K67:K68" si="12">MIN(2000,MAX(300,0.02*J67))</f>
        <v>2000</v>
      </c>
      <c r="L67" s="405">
        <f t="shared" si="9"/>
        <v>3.8332752857085767E-3</v>
      </c>
    </row>
    <row r="68" spans="1:12">
      <c r="A68" s="254">
        <f t="shared" si="8"/>
        <v>741756.7567567568</v>
      </c>
      <c r="B68" s="255">
        <f t="shared" si="10"/>
        <v>2000</v>
      </c>
      <c r="C68" s="12" t="s">
        <v>2546</v>
      </c>
      <c r="D68" s="28">
        <v>1</v>
      </c>
      <c r="E68" s="13">
        <v>603790</v>
      </c>
      <c r="F68" s="17">
        <v>0.81399999999999995</v>
      </c>
      <c r="G68" s="13">
        <v>132740</v>
      </c>
      <c r="H68" s="17">
        <v>0.17899999999999999</v>
      </c>
      <c r="I68" s="20">
        <f t="shared" si="7"/>
        <v>741756.7567567568</v>
      </c>
      <c r="J68" s="19">
        <f t="shared" si="11"/>
        <v>537581.93717249308</v>
      </c>
      <c r="K68" s="401">
        <f t="shared" si="12"/>
        <v>2000</v>
      </c>
      <c r="L68" s="405">
        <f t="shared" si="9"/>
        <v>3.7203630957530908E-3</v>
      </c>
    </row>
  </sheetData>
  <pageMargins left="0.7" right="0.7" top="0.75" bottom="0.75" header="0.3" footer="0.3"/>
  <pageSetup orientation="portrait" horizontalDpi="0"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444F-7F46-4F7B-A4EF-3FD45A68E894}">
  <sheetPr>
    <tabColor rgb="FF7030A0"/>
  </sheetPr>
  <dimension ref="A3:J25"/>
  <sheetViews>
    <sheetView workbookViewId="0"/>
  </sheetViews>
  <sheetFormatPr defaultRowHeight="13.8"/>
  <cols>
    <col min="1" max="1" width="16.25" bestFit="1" customWidth="1"/>
    <col min="2" max="2" width="16.375" bestFit="1" customWidth="1"/>
    <col min="3" max="5" width="2.875" bestFit="1" customWidth="1"/>
    <col min="6" max="6" width="3.875" bestFit="1" customWidth="1"/>
    <col min="7" max="7" width="2" bestFit="1" customWidth="1"/>
    <col min="8" max="8" width="1.875" bestFit="1" customWidth="1"/>
    <col min="9" max="9" width="6.875" bestFit="1" customWidth="1"/>
    <col min="10" max="11" width="11.125" bestFit="1" customWidth="1"/>
  </cols>
  <sheetData>
    <row r="3" spans="1:10">
      <c r="A3" s="251" t="s">
        <v>6491</v>
      </c>
      <c r="B3" s="251" t="s">
        <v>6490</v>
      </c>
    </row>
    <row r="4" spans="1:10">
      <c r="A4" s="251" t="s">
        <v>6477</v>
      </c>
      <c r="B4" t="s">
        <v>6487</v>
      </c>
      <c r="C4" t="s">
        <v>6485</v>
      </c>
      <c r="D4" t="s">
        <v>6486</v>
      </c>
      <c r="E4" t="s">
        <v>6488</v>
      </c>
      <c r="F4" t="s">
        <v>6483</v>
      </c>
      <c r="G4" t="s">
        <v>6489</v>
      </c>
      <c r="H4" t="s">
        <v>6484</v>
      </c>
      <c r="I4" t="s">
        <v>6478</v>
      </c>
      <c r="J4" t="s">
        <v>6479</v>
      </c>
    </row>
    <row r="5" spans="1:10">
      <c r="A5" s="28" t="s">
        <v>4774</v>
      </c>
    </row>
    <row r="6" spans="1:10">
      <c r="A6" s="28" t="s">
        <v>3536</v>
      </c>
    </row>
    <row r="7" spans="1:10">
      <c r="A7" s="28" t="s">
        <v>3163</v>
      </c>
    </row>
    <row r="8" spans="1:10">
      <c r="A8" s="28" t="s">
        <v>4471</v>
      </c>
    </row>
    <row r="9" spans="1:10">
      <c r="A9" s="28" t="s">
        <v>5634</v>
      </c>
    </row>
    <row r="10" spans="1:10">
      <c r="A10" s="28" t="s">
        <v>5635</v>
      </c>
    </row>
    <row r="11" spans="1:10">
      <c r="A11" s="28" t="s">
        <v>5636</v>
      </c>
    </row>
    <row r="12" spans="1:10">
      <c r="A12" s="28" t="s">
        <v>5639</v>
      </c>
    </row>
    <row r="13" spans="1:10">
      <c r="A13" s="28" t="s">
        <v>5640</v>
      </c>
    </row>
    <row r="14" spans="1:10">
      <c r="A14" s="28" t="s">
        <v>5638</v>
      </c>
    </row>
    <row r="15" spans="1:10">
      <c r="A15" s="28" t="s">
        <v>5637</v>
      </c>
    </row>
    <row r="16" spans="1:10">
      <c r="A16" s="28" t="s">
        <v>5642</v>
      </c>
    </row>
    <row r="17" spans="1:10">
      <c r="A17" s="28" t="s">
        <v>4940</v>
      </c>
    </row>
    <row r="18" spans="1:10">
      <c r="A18" s="28" t="s">
        <v>5641</v>
      </c>
    </row>
    <row r="19" spans="1:10">
      <c r="A19" s="28" t="s">
        <v>1528</v>
      </c>
      <c r="B19">
        <v>4</v>
      </c>
      <c r="C19">
        <v>7</v>
      </c>
      <c r="D19">
        <v>15</v>
      </c>
      <c r="F19">
        <v>115</v>
      </c>
      <c r="J19">
        <v>141</v>
      </c>
    </row>
    <row r="20" spans="1:10">
      <c r="A20" s="28" t="s">
        <v>1291</v>
      </c>
      <c r="C20">
        <v>4</v>
      </c>
      <c r="D20">
        <v>2</v>
      </c>
      <c r="F20">
        <v>133</v>
      </c>
      <c r="J20">
        <v>139</v>
      </c>
    </row>
    <row r="21" spans="1:10">
      <c r="A21" s="28" t="s">
        <v>1395</v>
      </c>
      <c r="B21">
        <v>1</v>
      </c>
      <c r="E21">
        <v>19</v>
      </c>
      <c r="G21">
        <v>1</v>
      </c>
      <c r="H21">
        <v>3</v>
      </c>
      <c r="J21">
        <v>24</v>
      </c>
    </row>
    <row r="22" spans="1:10">
      <c r="A22" s="28" t="s">
        <v>4775</v>
      </c>
    </row>
    <row r="23" spans="1:10">
      <c r="A23" s="28" t="s">
        <v>4776</v>
      </c>
    </row>
    <row r="24" spans="1:10">
      <c r="A24" s="28" t="s">
        <v>6478</v>
      </c>
    </row>
    <row r="25" spans="1:10">
      <c r="A25" s="28" t="s">
        <v>6479</v>
      </c>
      <c r="B25">
        <v>5</v>
      </c>
      <c r="C25">
        <v>11</v>
      </c>
      <c r="D25">
        <v>17</v>
      </c>
      <c r="E25">
        <v>19</v>
      </c>
      <c r="F25">
        <v>248</v>
      </c>
      <c r="G25">
        <v>1</v>
      </c>
      <c r="H25">
        <v>3</v>
      </c>
      <c r="J25">
        <v>304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96E4B-0402-4D61-9EAB-832517AAD257}">
  <sheetPr>
    <tabColor rgb="FF92D050"/>
  </sheetPr>
  <dimension ref="A1:T15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3.8"/>
  <cols>
    <col min="1" max="1" width="55.125" style="14" customWidth="1"/>
    <col min="2" max="2" width="10.625" customWidth="1"/>
    <col min="3" max="3" width="19.875" style="14" customWidth="1"/>
    <col min="4" max="4" width="16" customWidth="1"/>
    <col min="5" max="5" width="12" customWidth="1"/>
    <col min="6" max="6" width="9.875" customWidth="1"/>
    <col min="7" max="7" width="11.25" customWidth="1"/>
    <col min="8" max="8" width="8.125" customWidth="1"/>
    <col min="9" max="9" width="9.75" customWidth="1"/>
    <col min="10" max="10" width="9.875" customWidth="1"/>
    <col min="11" max="11" width="10.125" customWidth="1"/>
    <col min="12" max="12" width="13.625" customWidth="1"/>
    <col min="13" max="13" width="14" customWidth="1"/>
    <col min="14" max="14" width="8" customWidth="1"/>
    <col min="15" max="15" width="10.125" customWidth="1"/>
    <col min="16" max="16" width="7.75" customWidth="1"/>
    <col min="17" max="17" width="8.125" customWidth="1"/>
    <col min="19" max="19" width="10.25" bestFit="1" customWidth="1"/>
  </cols>
  <sheetData>
    <row r="1" spans="1:20" ht="77.400000000000006" customHeight="1">
      <c r="A1" s="694" t="s">
        <v>8602</v>
      </c>
      <c r="B1" s="700" t="s">
        <v>8603</v>
      </c>
      <c r="C1" s="700" t="s">
        <v>8604</v>
      </c>
      <c r="D1" s="701" t="s">
        <v>8750</v>
      </c>
      <c r="E1" s="700" t="s">
        <v>8605</v>
      </c>
      <c r="F1" s="700" t="s">
        <v>8606</v>
      </c>
      <c r="G1" s="701" t="s">
        <v>8442</v>
      </c>
      <c r="I1" s="554" t="str">
        <f t="shared" ref="I1:S1" si="0">I124</f>
        <v>estimated sample</v>
      </c>
      <c r="J1" s="554" t="str">
        <f t="shared" si="0"/>
        <v>estimated batches (boxes) accessed</v>
      </c>
      <c r="K1" s="554" t="str">
        <f t="shared" si="0"/>
        <v>sample sheets / batch</v>
      </c>
      <c r="L1" s="554" t="str">
        <f t="shared" si="0"/>
        <v>staff minutes per batch to get from storage &amp; return</v>
      </c>
      <c r="M1" s="555" t="str">
        <f t="shared" si="0"/>
        <v>staff minutes per batch to take ballots from box, evaluate, return to box</v>
      </c>
      <c r="N1" s="554" t="str">
        <f t="shared" si="0"/>
        <v>Total Staff minutes per batch</v>
      </c>
      <c r="O1" s="554" t="str">
        <f t="shared" si="0"/>
        <v>total cost</v>
      </c>
      <c r="P1" s="554" t="str">
        <f t="shared" si="0"/>
        <v>sample as % of voters</v>
      </c>
      <c r="Q1" s="554" t="str">
        <f t="shared" si="0"/>
        <v>Greater of RLA or 6.9% of each contest</v>
      </c>
      <c r="R1" s="554" t="str">
        <f t="shared" si="0"/>
        <v>Average samples per batch</v>
      </c>
      <c r="S1" s="554" t="str">
        <f t="shared" si="0"/>
        <v>Staff hours</v>
      </c>
    </row>
    <row r="2" spans="1:20">
      <c r="A2" s="695" t="s">
        <v>8607</v>
      </c>
      <c r="B2" s="702">
        <f t="shared" ref="B2" si="1">A$30</f>
        <v>100000</v>
      </c>
      <c r="C2" s="703"/>
      <c r="D2" s="704">
        <f>A119</f>
        <v>0.17</v>
      </c>
      <c r="E2" s="705"/>
      <c r="F2" s="705"/>
      <c r="G2" s="706">
        <f>D2*B2</f>
        <v>17000</v>
      </c>
      <c r="H2" s="556"/>
      <c r="I2" s="556"/>
      <c r="J2" s="556"/>
      <c r="K2" s="556"/>
      <c r="L2" s="556"/>
      <c r="M2" s="556"/>
      <c r="N2" s="556"/>
      <c r="O2" s="556"/>
      <c r="P2" s="556"/>
      <c r="Q2" s="556"/>
      <c r="R2" s="556"/>
      <c r="S2" s="556"/>
      <c r="T2" s="556"/>
    </row>
    <row r="3" spans="1:20">
      <c r="A3" s="695" t="s">
        <v>8608</v>
      </c>
      <c r="B3" s="702">
        <f>B$2</f>
        <v>100000</v>
      </c>
      <c r="C3" s="707">
        <f>A116</f>
        <v>12200</v>
      </c>
      <c r="D3" s="704">
        <f>A117</f>
        <v>0.25</v>
      </c>
      <c r="E3" s="705"/>
      <c r="F3" s="705"/>
      <c r="G3" s="706">
        <f t="shared" ref="G3:G4" si="2">C3+D3*B3</f>
        <v>37200</v>
      </c>
      <c r="H3" s="556"/>
      <c r="I3" s="556"/>
      <c r="J3" s="556"/>
      <c r="K3" s="556"/>
      <c r="L3" s="556"/>
      <c r="M3" s="556"/>
      <c r="N3" s="556"/>
      <c r="O3" s="556"/>
      <c r="P3" s="556"/>
      <c r="Q3" s="556"/>
      <c r="R3" s="556"/>
      <c r="S3" s="556"/>
      <c r="T3" s="556"/>
    </row>
    <row r="4" spans="1:20">
      <c r="A4" s="695" t="s">
        <v>8609</v>
      </c>
      <c r="B4" s="702">
        <f t="shared" ref="B4:B5" si="3">B$2</f>
        <v>100000</v>
      </c>
      <c r="C4" s="707">
        <f>A120</f>
        <v>9000</v>
      </c>
      <c r="D4" s="708">
        <f>A121</f>
        <v>0.26500000000000001</v>
      </c>
      <c r="E4" s="705"/>
      <c r="F4" s="705"/>
      <c r="G4" s="706">
        <f t="shared" si="2"/>
        <v>35500</v>
      </c>
      <c r="H4" s="556"/>
      <c r="I4" s="556"/>
      <c r="J4" s="556"/>
      <c r="K4" s="556"/>
      <c r="L4" s="556"/>
      <c r="M4" s="556"/>
      <c r="N4" s="556"/>
      <c r="O4" s="556"/>
      <c r="P4" s="556"/>
      <c r="Q4" s="556"/>
      <c r="R4" s="556"/>
      <c r="S4" s="556"/>
      <c r="T4" s="556"/>
    </row>
    <row r="5" spans="1:20">
      <c r="A5" s="695" t="s">
        <v>8610</v>
      </c>
      <c r="B5" s="702">
        <f t="shared" si="3"/>
        <v>100000</v>
      </c>
      <c r="C5" s="703"/>
      <c r="D5" s="704">
        <f>A118</f>
        <v>0.26</v>
      </c>
      <c r="E5" s="705"/>
      <c r="F5" s="705"/>
      <c r="G5" s="706">
        <f>D5*B5</f>
        <v>26000</v>
      </c>
      <c r="H5" s="556"/>
      <c r="I5" s="556"/>
      <c r="J5" s="556"/>
      <c r="K5" s="556"/>
      <c r="L5" s="556"/>
      <c r="M5" s="556"/>
      <c r="N5" s="556"/>
      <c r="O5" s="556"/>
      <c r="P5" s="556"/>
      <c r="Q5" s="556"/>
      <c r="R5" s="556"/>
      <c r="S5" s="556"/>
      <c r="T5" s="556"/>
    </row>
    <row r="6" spans="1:20">
      <c r="A6" s="698" t="s">
        <v>8611</v>
      </c>
      <c r="B6" s="717">
        <f t="shared" ref="B6:B8" si="4">I132</f>
        <v>300</v>
      </c>
      <c r="C6" s="710"/>
      <c r="D6" s="711"/>
      <c r="E6" s="712">
        <f t="shared" ref="E6:E8" si="5">J132</f>
        <v>225.75899578315227</v>
      </c>
      <c r="F6" s="712">
        <f t="shared" ref="F6:F8" si="6">N132</f>
        <v>30.587896895050097</v>
      </c>
      <c r="G6" s="713">
        <f>E6*F6*A$63</f>
        <v>3452.7464430725558</v>
      </c>
      <c r="H6" s="557"/>
      <c r="I6" s="557"/>
      <c r="J6" s="557"/>
      <c r="K6" s="557"/>
      <c r="L6" s="557"/>
      <c r="M6" s="557"/>
      <c r="N6" s="557"/>
      <c r="O6" s="557"/>
      <c r="P6" s="557"/>
      <c r="Q6" s="557"/>
      <c r="R6" s="557"/>
      <c r="S6" s="557"/>
      <c r="T6" s="557"/>
    </row>
    <row r="7" spans="1:20">
      <c r="A7" s="698" t="s">
        <v>8612</v>
      </c>
      <c r="B7" s="717">
        <f t="shared" si="4"/>
        <v>1799.9999999999998</v>
      </c>
      <c r="C7" s="710"/>
      <c r="D7" s="711"/>
      <c r="E7" s="712">
        <f t="shared" si="5"/>
        <v>486.38729849333032</v>
      </c>
      <c r="F7" s="712">
        <f t="shared" si="6"/>
        <v>46.120565090429736</v>
      </c>
      <c r="G7" s="713">
        <f>E7*F7*A$63</f>
        <v>11216.228529659958</v>
      </c>
      <c r="H7" s="557"/>
      <c r="I7" s="557"/>
      <c r="J7" s="557"/>
      <c r="K7" s="557"/>
      <c r="L7" s="557"/>
      <c r="M7" s="557"/>
      <c r="N7" s="557"/>
      <c r="O7" s="557"/>
      <c r="P7" s="557"/>
      <c r="Q7" s="557"/>
      <c r="R7" s="557"/>
      <c r="S7" s="557"/>
      <c r="T7" s="557"/>
    </row>
    <row r="8" spans="1:20">
      <c r="A8" s="698" t="s">
        <v>8613</v>
      </c>
      <c r="B8" s="717">
        <f t="shared" si="4"/>
        <v>7000.0000000000009</v>
      </c>
      <c r="C8" s="710"/>
      <c r="D8" s="711"/>
      <c r="E8" s="712">
        <f t="shared" si="5"/>
        <v>499.99959002345054</v>
      </c>
      <c r="F8" s="712">
        <f t="shared" si="6"/>
        <v>99.33339264332281</v>
      </c>
      <c r="G8" s="713">
        <f>E8*F8*A$63</f>
        <v>24833.32779864992</v>
      </c>
      <c r="H8" s="557"/>
      <c r="I8" s="557"/>
      <c r="J8" s="557"/>
      <c r="K8" s="557"/>
      <c r="L8" s="557"/>
      <c r="M8" s="557"/>
      <c r="N8" s="557"/>
      <c r="O8" s="557"/>
      <c r="P8" s="557"/>
      <c r="Q8" s="557"/>
      <c r="R8" s="557"/>
      <c r="S8" s="557"/>
      <c r="T8" s="557"/>
    </row>
    <row r="9" spans="1:20">
      <c r="A9" s="696" t="s">
        <v>8614</v>
      </c>
      <c r="B9" s="714"/>
      <c r="C9" s="715"/>
      <c r="D9" s="711"/>
      <c r="E9" s="712"/>
      <c r="F9" s="712"/>
      <c r="G9" s="713">
        <f>0.02*G26/10</f>
        <v>500</v>
      </c>
      <c r="H9" s="557"/>
      <c r="I9" s="557"/>
      <c r="J9" s="557"/>
      <c r="K9" s="557"/>
      <c r="L9" s="557"/>
      <c r="M9" s="557"/>
      <c r="N9" s="557"/>
      <c r="O9" s="557"/>
      <c r="P9" s="557"/>
      <c r="Q9" s="557"/>
      <c r="R9" s="557"/>
      <c r="S9" s="557"/>
      <c r="T9" s="557"/>
    </row>
    <row r="10" spans="1:20">
      <c r="A10" s="696" t="s">
        <v>8615</v>
      </c>
      <c r="B10" s="709">
        <f>B2*A33</f>
        <v>50000</v>
      </c>
      <c r="C10" s="715"/>
      <c r="D10" s="716">
        <f>A$71</f>
        <v>0.03</v>
      </c>
      <c r="E10" s="712"/>
      <c r="F10" s="712"/>
      <c r="G10" s="713">
        <f>D10*B10</f>
        <v>1500</v>
      </c>
      <c r="H10" s="557"/>
      <c r="I10" s="557"/>
      <c r="J10" s="557"/>
      <c r="K10" s="557"/>
      <c r="L10" s="557"/>
      <c r="M10" s="557"/>
      <c r="N10" s="557"/>
      <c r="O10" s="557"/>
      <c r="P10" s="557"/>
      <c r="Q10" s="557"/>
      <c r="R10" s="557"/>
      <c r="S10" s="557"/>
      <c r="T10" s="557"/>
    </row>
    <row r="11" spans="1:20">
      <c r="A11" s="697" t="s">
        <v>8616</v>
      </c>
      <c r="B11" s="717"/>
      <c r="C11" s="718">
        <f>$A$42</f>
        <v>2600</v>
      </c>
      <c r="D11" s="719"/>
      <c r="E11" s="712"/>
      <c r="F11" s="712"/>
      <c r="G11" s="713">
        <f>$A$42</f>
        <v>2600</v>
      </c>
      <c r="H11" s="557"/>
      <c r="I11" s="557"/>
      <c r="J11" s="557"/>
      <c r="K11" s="557"/>
      <c r="L11" s="557"/>
      <c r="M11" s="557"/>
      <c r="N11" s="557"/>
      <c r="O11" s="557"/>
      <c r="P11" s="557"/>
      <c r="Q11" s="557"/>
      <c r="R11" s="557"/>
      <c r="S11" s="557"/>
      <c r="T11" s="557"/>
    </row>
    <row r="12" spans="1:20">
      <c r="A12" s="698" t="s">
        <v>8756</v>
      </c>
      <c r="B12" s="717"/>
      <c r="C12" s="720"/>
      <c r="D12" s="711"/>
      <c r="E12" s="712"/>
      <c r="F12" s="712"/>
      <c r="G12" s="721">
        <f>SUM(G6,G$10:G$11)</f>
        <v>7552.7464430725558</v>
      </c>
      <c r="H12" s="557"/>
      <c r="I12" s="557"/>
      <c r="J12" s="557"/>
      <c r="K12" s="557"/>
      <c r="L12" s="557"/>
      <c r="M12" s="557"/>
      <c r="N12" s="557"/>
      <c r="O12" s="557"/>
      <c r="P12" s="557"/>
      <c r="Q12" s="557"/>
      <c r="R12" s="557"/>
      <c r="S12" s="557"/>
      <c r="T12" s="557"/>
    </row>
    <row r="13" spans="1:20">
      <c r="A13" s="763" t="s">
        <v>8757</v>
      </c>
      <c r="B13" s="717"/>
      <c r="C13" s="720"/>
      <c r="D13" s="711"/>
      <c r="E13" s="712"/>
      <c r="F13" s="712"/>
      <c r="G13" s="721">
        <f t="shared" ref="G13:G14" si="7">SUM(G7,G$9:G$11)</f>
        <v>15816.228529659958</v>
      </c>
      <c r="H13" s="557"/>
      <c r="I13" s="557"/>
      <c r="J13" s="557"/>
      <c r="K13" s="557"/>
      <c r="L13" s="557"/>
      <c r="M13" s="557"/>
      <c r="N13" s="557"/>
      <c r="O13" s="557"/>
      <c r="P13" s="557"/>
      <c r="Q13" s="557"/>
      <c r="R13" s="557"/>
      <c r="S13" s="557"/>
      <c r="T13" s="557"/>
    </row>
    <row r="14" spans="1:20">
      <c r="A14" s="763" t="s">
        <v>8758</v>
      </c>
      <c r="B14" s="717"/>
      <c r="C14" s="720"/>
      <c r="D14" s="711"/>
      <c r="E14" s="712"/>
      <c r="F14" s="712"/>
      <c r="G14" s="721">
        <f t="shared" si="7"/>
        <v>29433.32779864992</v>
      </c>
      <c r="H14" s="557"/>
      <c r="I14" s="557"/>
      <c r="J14" s="557"/>
      <c r="K14" s="557"/>
      <c r="L14" s="557"/>
      <c r="M14" s="557"/>
      <c r="N14" s="557"/>
      <c r="O14" s="557"/>
      <c r="P14" s="557"/>
      <c r="Q14" s="557"/>
      <c r="R14" s="557"/>
      <c r="S14" s="557"/>
      <c r="T14" s="557"/>
    </row>
    <row r="15" spans="1:20" ht="13.8" customHeight="1">
      <c r="A15" s="699" t="s">
        <v>8749</v>
      </c>
      <c r="B15" s="722"/>
      <c r="C15" s="699" t="str">
        <f>$A$43</f>
        <v>$0-168,000</v>
      </c>
      <c r="D15" s="711"/>
      <c r="E15" s="712"/>
      <c r="F15" s="712"/>
      <c r="G15" s="699" t="str">
        <f>C15</f>
        <v>$0-168,000</v>
      </c>
      <c r="H15" s="557"/>
      <c r="I15" s="557"/>
      <c r="J15" s="557"/>
      <c r="K15" s="557"/>
      <c r="L15" s="557"/>
      <c r="M15" s="557"/>
      <c r="N15" s="557"/>
      <c r="O15" s="557"/>
      <c r="P15" s="557"/>
      <c r="Q15" s="557"/>
      <c r="R15" s="557"/>
      <c r="S15" s="557"/>
      <c r="T15" s="557"/>
    </row>
    <row r="16" spans="1:20" ht="13.8" customHeight="1">
      <c r="A16" s="771" t="s">
        <v>8768</v>
      </c>
      <c r="B16" s="770">
        <f t="shared" ref="B16" si="8">B$2</f>
        <v>100000</v>
      </c>
      <c r="C16" s="767">
        <f>A51</f>
        <v>5500</v>
      </c>
      <c r="D16" s="768"/>
      <c r="E16" s="769"/>
      <c r="F16" s="769"/>
      <c r="G16" s="772">
        <f>C16</f>
        <v>5500</v>
      </c>
      <c r="H16" s="557"/>
      <c r="I16" s="557"/>
      <c r="J16" s="557"/>
      <c r="K16" s="557"/>
      <c r="L16" s="557"/>
      <c r="M16" s="557"/>
      <c r="N16" s="557"/>
      <c r="O16" s="557"/>
      <c r="P16" s="557"/>
      <c r="Q16" s="557"/>
      <c r="R16" s="557"/>
      <c r="S16" s="557"/>
      <c r="T16" s="557"/>
    </row>
    <row r="17" spans="1:20">
      <c r="A17" s="723" t="s">
        <v>8617</v>
      </c>
      <c r="B17" s="724">
        <f>A106</f>
        <v>600</v>
      </c>
      <c r="C17" s="725"/>
      <c r="D17" s="726">
        <f>A113</f>
        <v>6.2</v>
      </c>
      <c r="E17" s="727"/>
      <c r="F17" s="728"/>
      <c r="G17" s="729">
        <f>B17*D17*A$63</f>
        <v>1860</v>
      </c>
      <c r="H17" s="558"/>
      <c r="I17" s="558"/>
      <c r="J17" s="558"/>
      <c r="K17" s="558"/>
      <c r="L17" s="558"/>
      <c r="M17" s="558"/>
      <c r="N17" s="558"/>
      <c r="O17" s="558"/>
      <c r="P17" s="558"/>
      <c r="Q17" s="558"/>
      <c r="R17" s="558"/>
      <c r="S17" s="558"/>
      <c r="T17" s="558"/>
    </row>
    <row r="18" spans="1:20">
      <c r="A18" s="730" t="s">
        <v>8752</v>
      </c>
      <c r="B18" s="731">
        <f>B10</f>
        <v>50000</v>
      </c>
      <c r="C18" s="725"/>
      <c r="D18" s="732">
        <f>A$71</f>
        <v>0.03</v>
      </c>
      <c r="E18" s="727"/>
      <c r="F18" s="727"/>
      <c r="G18" s="729">
        <f>D18*B18</f>
        <v>1500</v>
      </c>
      <c r="H18" s="558"/>
      <c r="I18" s="558"/>
      <c r="J18" s="558"/>
      <c r="K18" s="558"/>
      <c r="L18" s="558"/>
      <c r="M18" s="558"/>
      <c r="N18" s="558"/>
      <c r="O18" s="558"/>
      <c r="P18" s="558"/>
      <c r="Q18" s="558"/>
      <c r="R18" s="558"/>
      <c r="S18" s="558"/>
      <c r="T18" s="558"/>
    </row>
    <row r="19" spans="1:20">
      <c r="A19" s="730" t="s">
        <v>8618</v>
      </c>
      <c r="B19" s="733"/>
      <c r="C19" s="725"/>
      <c r="D19" s="734"/>
      <c r="E19" s="727"/>
      <c r="F19" s="727"/>
      <c r="G19" s="735">
        <f>SUM(G17:G18)</f>
        <v>3360</v>
      </c>
      <c r="H19" s="558"/>
      <c r="I19" s="558"/>
      <c r="J19" s="558"/>
      <c r="K19" s="558"/>
      <c r="L19" s="558"/>
      <c r="M19" s="558"/>
      <c r="N19" s="558"/>
      <c r="O19" s="558"/>
      <c r="P19" s="558"/>
      <c r="Q19" s="558"/>
      <c r="R19" s="558"/>
      <c r="S19" s="558"/>
      <c r="T19" s="558"/>
    </row>
    <row r="20" spans="1:20" ht="15" customHeight="1">
      <c r="A20" s="736" t="s">
        <v>8737</v>
      </c>
      <c r="B20" s="737">
        <f>B$2*0.01</f>
        <v>1000</v>
      </c>
      <c r="C20" s="738"/>
      <c r="D20" s="739">
        <f>A$37</f>
        <v>0.5</v>
      </c>
      <c r="E20" s="740">
        <f t="shared" ref="E20:E25" si="9">B20/A$31</f>
        <v>5</v>
      </c>
      <c r="F20" s="740">
        <f t="shared" ref="F20:F25" si="10">D20*A$31+A$87</f>
        <v>127</v>
      </c>
      <c r="G20" s="741">
        <f>E20*F20*A$63</f>
        <v>317.5</v>
      </c>
      <c r="H20" s="559"/>
      <c r="I20" s="559"/>
      <c r="J20" s="559"/>
      <c r="K20" s="559"/>
      <c r="L20" s="559"/>
      <c r="M20" s="559"/>
      <c r="N20" s="559"/>
      <c r="O20" s="559"/>
      <c r="P20" s="559"/>
      <c r="Q20" s="559"/>
      <c r="R20" s="559"/>
      <c r="S20" s="559"/>
      <c r="T20" s="559"/>
    </row>
    <row r="21" spans="1:20">
      <c r="A21" s="742" t="s">
        <v>8738</v>
      </c>
      <c r="B21" s="737">
        <f>B$2*0.05</f>
        <v>5000</v>
      </c>
      <c r="C21" s="738"/>
      <c r="D21" s="739">
        <f>A$37*6</f>
        <v>3</v>
      </c>
      <c r="E21" s="740">
        <f t="shared" si="9"/>
        <v>25</v>
      </c>
      <c r="F21" s="737">
        <f t="shared" si="10"/>
        <v>627</v>
      </c>
      <c r="G21" s="741">
        <f>E21*F21*A$63</f>
        <v>7837.5</v>
      </c>
      <c r="H21" s="559"/>
      <c r="I21" s="559"/>
      <c r="J21" s="559"/>
      <c r="K21" s="559"/>
      <c r="L21" s="559"/>
      <c r="M21" s="559"/>
      <c r="N21" s="559"/>
      <c r="O21" s="559"/>
      <c r="P21" s="559"/>
      <c r="Q21" s="559"/>
      <c r="R21" s="559"/>
      <c r="S21" s="559"/>
      <c r="T21" s="559"/>
    </row>
    <row r="22" spans="1:20">
      <c r="A22" s="742" t="s">
        <v>8736</v>
      </c>
      <c r="B22" s="737">
        <f>B$2*0.01</f>
        <v>1000</v>
      </c>
      <c r="C22" s="738"/>
      <c r="D22" s="739">
        <f t="shared" ref="D22:D27" si="11">A$37*10</f>
        <v>5</v>
      </c>
      <c r="E22" s="740">
        <f t="shared" si="9"/>
        <v>5</v>
      </c>
      <c r="F22" s="737">
        <f t="shared" si="10"/>
        <v>1027</v>
      </c>
      <c r="G22" s="741">
        <f>E22*F22*A$63</f>
        <v>2567.5</v>
      </c>
      <c r="H22" s="559"/>
      <c r="I22" s="559"/>
      <c r="J22" s="559"/>
      <c r="K22" s="559"/>
      <c r="L22" s="559"/>
      <c r="M22" s="559"/>
      <c r="N22" s="559"/>
      <c r="O22" s="559"/>
      <c r="P22" s="559"/>
      <c r="Q22" s="559"/>
      <c r="R22" s="559"/>
      <c r="S22" s="559"/>
      <c r="T22" s="559"/>
    </row>
    <row r="23" spans="1:20">
      <c r="A23" s="742" t="s">
        <v>8739</v>
      </c>
      <c r="B23" s="737">
        <f>B$2*0.05</f>
        <v>5000</v>
      </c>
      <c r="C23" s="738"/>
      <c r="D23" s="739">
        <f t="shared" si="11"/>
        <v>5</v>
      </c>
      <c r="E23" s="740">
        <f t="shared" si="9"/>
        <v>25</v>
      </c>
      <c r="F23" s="737">
        <f t="shared" si="10"/>
        <v>1027</v>
      </c>
      <c r="G23" s="741">
        <f>E23*F23*A$63</f>
        <v>12837.5</v>
      </c>
      <c r="H23" s="559"/>
      <c r="I23" s="559"/>
      <c r="J23" s="559"/>
      <c r="K23" s="559"/>
      <c r="L23" s="559"/>
      <c r="M23" s="559"/>
      <c r="N23" s="559"/>
      <c r="O23" s="559"/>
      <c r="P23" s="559"/>
      <c r="Q23" s="559"/>
      <c r="R23" s="559"/>
      <c r="S23" s="559"/>
      <c r="T23" s="559"/>
    </row>
    <row r="24" spans="1:20">
      <c r="A24" s="743" t="s">
        <v>8740</v>
      </c>
      <c r="B24" s="737">
        <f>B$2*0.2</f>
        <v>20000</v>
      </c>
      <c r="C24" s="738"/>
      <c r="D24" s="739">
        <f t="shared" si="11"/>
        <v>5</v>
      </c>
      <c r="E24" s="740">
        <f t="shared" si="9"/>
        <v>100</v>
      </c>
      <c r="F24" s="737">
        <f t="shared" si="10"/>
        <v>1027</v>
      </c>
      <c r="G24" s="741">
        <f>E24*F24*A$63</f>
        <v>51350</v>
      </c>
      <c r="H24" s="559"/>
      <c r="I24" s="559"/>
      <c r="J24" s="559"/>
      <c r="K24" s="559"/>
      <c r="L24" s="559"/>
      <c r="M24" s="559"/>
      <c r="N24" s="559"/>
      <c r="O24" s="559"/>
      <c r="P24" s="559"/>
      <c r="Q24" s="559"/>
      <c r="R24" s="559"/>
      <c r="S24" s="559"/>
      <c r="T24" s="559"/>
    </row>
    <row r="25" spans="1:20">
      <c r="A25" s="744" t="s">
        <v>8741</v>
      </c>
      <c r="B25" s="737">
        <f>B$2*0.2</f>
        <v>20000</v>
      </c>
      <c r="C25" s="738"/>
      <c r="D25" s="739">
        <f t="shared" si="11"/>
        <v>5</v>
      </c>
      <c r="E25" s="740">
        <f t="shared" si="9"/>
        <v>100</v>
      </c>
      <c r="F25" s="737">
        <f t="shared" si="10"/>
        <v>1027</v>
      </c>
      <c r="G25" s="741">
        <f>E25*F25*A$63+G19</f>
        <v>54710</v>
      </c>
      <c r="H25" s="559"/>
      <c r="I25" s="559"/>
      <c r="J25" s="559"/>
      <c r="K25" s="559"/>
      <c r="L25" s="559"/>
      <c r="M25" s="559"/>
      <c r="N25" s="559"/>
      <c r="O25" s="559"/>
      <c r="P25" s="559"/>
      <c r="Q25" s="559"/>
      <c r="R25" s="559"/>
      <c r="S25" s="559"/>
      <c r="T25" s="559"/>
    </row>
    <row r="26" spans="1:20">
      <c r="A26" s="689" t="s">
        <v>8742</v>
      </c>
      <c r="B26" s="702">
        <f t="shared" ref="B26:B27" si="12">B$2</f>
        <v>100000</v>
      </c>
      <c r="C26" s="745"/>
      <c r="D26" s="746">
        <f t="shared" si="11"/>
        <v>5</v>
      </c>
      <c r="E26" s="747"/>
      <c r="F26" s="747"/>
      <c r="G26" s="748">
        <f>B26*D26*A$63</f>
        <v>250000</v>
      </c>
      <c r="H26" s="560"/>
      <c r="I26" s="560"/>
      <c r="J26" s="560"/>
      <c r="K26" s="560"/>
      <c r="L26" s="560"/>
      <c r="M26" s="560"/>
      <c r="N26" s="560"/>
      <c r="O26" s="560"/>
      <c r="P26" s="560"/>
      <c r="Q26" s="560"/>
      <c r="R26" s="560"/>
      <c r="S26" s="560"/>
      <c r="T26" s="560"/>
    </row>
    <row r="27" spans="1:20">
      <c r="A27" s="700" t="s">
        <v>8619</v>
      </c>
      <c r="B27" s="702">
        <f t="shared" si="12"/>
        <v>100000</v>
      </c>
      <c r="C27" s="749"/>
      <c r="D27" s="746">
        <f t="shared" si="11"/>
        <v>5</v>
      </c>
      <c r="E27" s="750"/>
      <c r="F27" s="750"/>
      <c r="G27" s="751">
        <f>G26*A62</f>
        <v>103422.7948286493</v>
      </c>
      <c r="H27" s="560"/>
      <c r="I27" s="560"/>
      <c r="J27" s="560"/>
      <c r="K27" s="560"/>
      <c r="L27" s="560"/>
      <c r="M27" s="560"/>
      <c r="N27" s="560"/>
      <c r="O27" s="560"/>
      <c r="P27" s="560"/>
      <c r="Q27" s="560"/>
      <c r="R27" s="560"/>
      <c r="S27" s="560"/>
      <c r="T27" s="560"/>
    </row>
    <row r="28" spans="1:20">
      <c r="A28" s="752" t="s">
        <v>8751</v>
      </c>
      <c r="B28" s="753"/>
      <c r="C28" s="753"/>
      <c r="D28" s="753"/>
      <c r="E28" s="754"/>
      <c r="F28" s="753"/>
      <c r="G28" s="755"/>
      <c r="H28" s="561"/>
      <c r="I28" s="561"/>
      <c r="J28" s="561"/>
      <c r="K28" s="561"/>
      <c r="L28" s="561"/>
      <c r="M28" s="561"/>
      <c r="N28" s="561"/>
      <c r="O28" s="561"/>
      <c r="P28" s="561"/>
      <c r="Q28" s="561"/>
      <c r="R28" s="562"/>
      <c r="S28" s="562"/>
      <c r="T28" s="562"/>
    </row>
    <row r="29" spans="1:20" ht="17.399999999999999">
      <c r="A29" s="688" t="s">
        <v>8735</v>
      </c>
      <c r="B29" s="563"/>
      <c r="C29" s="563"/>
      <c r="D29" s="564"/>
      <c r="E29" s="565"/>
      <c r="F29" s="563"/>
      <c r="G29" s="561"/>
      <c r="H29" s="561"/>
      <c r="I29" s="561"/>
      <c r="J29" s="561"/>
      <c r="K29" s="561"/>
      <c r="L29" s="561"/>
      <c r="M29" s="561"/>
      <c r="N29" s="561"/>
      <c r="O29" s="561"/>
      <c r="P29" s="561"/>
      <c r="Q29" s="561"/>
      <c r="R29" s="562"/>
      <c r="S29" s="562"/>
      <c r="T29" s="562"/>
    </row>
    <row r="30" spans="1:20">
      <c r="A30" s="642">
        <v>100000</v>
      </c>
      <c r="B30" s="566" t="s">
        <v>8620</v>
      </c>
      <c r="C30" s="567"/>
      <c r="D30" s="567"/>
      <c r="E30" s="567"/>
      <c r="F30" s="567"/>
    </row>
    <row r="31" spans="1:20">
      <c r="A31" s="643">
        <v>200</v>
      </c>
      <c r="B31" s="568" t="s">
        <v>8621</v>
      </c>
      <c r="C31" s="567"/>
      <c r="D31" s="567"/>
      <c r="E31" s="567"/>
      <c r="F31" s="567"/>
    </row>
    <row r="32" spans="1:20">
      <c r="A32" s="644">
        <f>A30/A31</f>
        <v>500</v>
      </c>
      <c r="B32" s="566" t="s">
        <v>8622</v>
      </c>
      <c r="C32" s="567"/>
      <c r="D32" s="567"/>
      <c r="E32" s="567"/>
      <c r="F32" s="567"/>
    </row>
    <row r="33" spans="1:20">
      <c r="A33" s="645">
        <v>0.5</v>
      </c>
      <c r="B33" s="569" t="s">
        <v>8623</v>
      </c>
      <c r="C33" s="567"/>
      <c r="D33" s="567"/>
      <c r="E33" s="567"/>
      <c r="F33" s="567"/>
    </row>
    <row r="34" spans="1:20">
      <c r="A34" s="643">
        <v>2</v>
      </c>
      <c r="B34" s="568" t="s">
        <v>8624</v>
      </c>
      <c r="C34" s="567"/>
      <c r="D34" s="567"/>
      <c r="E34" s="567"/>
      <c r="F34" s="567"/>
    </row>
    <row r="35" spans="1:20">
      <c r="A35" s="643">
        <v>4</v>
      </c>
      <c r="B35" s="568" t="s">
        <v>8625</v>
      </c>
      <c r="C35" s="567"/>
      <c r="D35" s="567"/>
      <c r="E35" s="567"/>
      <c r="F35" s="567"/>
    </row>
    <row r="36" spans="1:20">
      <c r="A36" s="646" t="s">
        <v>8626</v>
      </c>
      <c r="B36" s="570"/>
      <c r="C36" s="571"/>
      <c r="D36" s="571"/>
      <c r="E36" s="571"/>
      <c r="F36" s="571"/>
      <c r="G36" s="560"/>
      <c r="H36" s="560"/>
      <c r="I36" s="560"/>
      <c r="J36" s="560"/>
      <c r="K36" s="560"/>
      <c r="L36" s="560"/>
      <c r="M36" s="560"/>
      <c r="N36" s="560"/>
      <c r="O36" s="560"/>
      <c r="P36" s="560"/>
      <c r="Q36" s="560"/>
      <c r="R36" s="560"/>
      <c r="S36" s="560"/>
      <c r="T36" s="560"/>
    </row>
    <row r="37" spans="1:20">
      <c r="A37" s="647">
        <v>0.5</v>
      </c>
      <c r="B37" s="570" t="s">
        <v>8627</v>
      </c>
      <c r="C37" s="571"/>
      <c r="D37" s="571"/>
      <c r="E37" s="571"/>
      <c r="F37" s="571"/>
      <c r="G37" s="560"/>
      <c r="H37" s="560"/>
      <c r="I37" s="560"/>
      <c r="J37" s="560"/>
      <c r="K37" s="560"/>
      <c r="L37" s="560"/>
      <c r="M37" s="560"/>
      <c r="N37" s="560"/>
      <c r="O37" s="560"/>
      <c r="P37" s="560"/>
      <c r="Q37" s="560"/>
      <c r="R37" s="560"/>
      <c r="S37" s="560"/>
      <c r="T37" s="560"/>
    </row>
    <row r="38" spans="1:20">
      <c r="A38" s="647">
        <f>10*$A37</f>
        <v>5</v>
      </c>
      <c r="B38" s="572">
        <f>$A37</f>
        <v>0.5</v>
      </c>
      <c r="C38" s="647">
        <f>6*$A37</f>
        <v>3</v>
      </c>
      <c r="D38" s="570" t="s">
        <v>8628</v>
      </c>
      <c r="E38" s="571"/>
      <c r="F38" s="571"/>
      <c r="G38" s="571"/>
      <c r="H38" s="571"/>
      <c r="I38" s="560"/>
      <c r="J38" s="560"/>
      <c r="K38" s="560"/>
      <c r="L38" s="560"/>
      <c r="M38" s="560"/>
      <c r="N38" s="560"/>
      <c r="O38" s="560"/>
      <c r="P38" s="560"/>
      <c r="Q38" s="560"/>
      <c r="R38" s="560"/>
      <c r="S38" s="560"/>
      <c r="T38" s="560"/>
    </row>
    <row r="39" spans="1:20">
      <c r="A39" s="648" t="s">
        <v>8629</v>
      </c>
      <c r="B39" s="573"/>
      <c r="C39" s="595"/>
      <c r="D39" s="574"/>
      <c r="E39" s="574"/>
      <c r="F39" s="574"/>
      <c r="G39" s="574"/>
      <c r="H39" s="574"/>
      <c r="I39" s="574"/>
      <c r="J39" s="574"/>
      <c r="K39" s="574"/>
      <c r="L39" s="574"/>
      <c r="M39" s="574"/>
      <c r="N39" s="574"/>
      <c r="O39" s="574"/>
      <c r="P39" s="574"/>
      <c r="Q39" s="574"/>
      <c r="R39" s="574"/>
      <c r="S39" s="574"/>
      <c r="T39" s="574"/>
    </row>
    <row r="40" spans="1:20">
      <c r="A40" s="649">
        <v>14</v>
      </c>
      <c r="B40" s="573" t="s">
        <v>8630</v>
      </c>
      <c r="C40" s="595"/>
      <c r="D40" s="574"/>
      <c r="E40" s="574"/>
      <c r="F40" s="574"/>
      <c r="G40" s="574"/>
      <c r="H40" s="574"/>
      <c r="I40" s="574"/>
      <c r="J40" s="574"/>
      <c r="K40" s="574"/>
      <c r="L40" s="574"/>
      <c r="M40" s="574"/>
      <c r="N40" s="574"/>
      <c r="O40" s="574"/>
      <c r="P40" s="574"/>
      <c r="Q40" s="574"/>
      <c r="R40" s="574"/>
      <c r="S40" s="574"/>
      <c r="T40" s="574"/>
    </row>
    <row r="41" spans="1:20">
      <c r="A41" s="650" t="s">
        <v>8753</v>
      </c>
      <c r="B41" s="573"/>
      <c r="C41" s="595"/>
      <c r="D41" s="574"/>
      <c r="E41" s="574"/>
      <c r="F41" s="574"/>
      <c r="G41" s="574"/>
      <c r="H41" s="574"/>
      <c r="I41" s="574"/>
      <c r="J41" s="574"/>
      <c r="K41" s="574"/>
      <c r="L41" s="574"/>
      <c r="M41" s="574"/>
      <c r="N41" s="574"/>
      <c r="O41" s="574"/>
      <c r="P41" s="574"/>
      <c r="Q41" s="574"/>
      <c r="R41" s="574"/>
      <c r="S41" s="574"/>
      <c r="T41" s="574"/>
    </row>
    <row r="42" spans="1:20">
      <c r="A42" s="757">
        <v>2600</v>
      </c>
      <c r="B42" s="758" t="s">
        <v>8631</v>
      </c>
      <c r="C42" s="595"/>
      <c r="D42" s="574"/>
      <c r="E42" s="574"/>
      <c r="F42" s="574"/>
      <c r="G42" s="574"/>
      <c r="H42" s="574"/>
      <c r="I42" s="574"/>
      <c r="J42" s="574"/>
      <c r="K42" s="574"/>
      <c r="L42" s="574"/>
      <c r="M42" s="574"/>
      <c r="N42" s="574"/>
      <c r="O42" s="574"/>
      <c r="P42" s="574"/>
      <c r="Q42" s="574"/>
      <c r="R42" s="574"/>
      <c r="S42" s="574"/>
      <c r="T42" s="574"/>
    </row>
    <row r="43" spans="1:20">
      <c r="A43" s="759" t="s">
        <v>8759</v>
      </c>
      <c r="B43" s="765" t="s">
        <v>8755</v>
      </c>
      <c r="C43" s="595"/>
      <c r="D43" s="574"/>
      <c r="E43" s="574"/>
      <c r="F43" s="574"/>
      <c r="G43" s="574"/>
      <c r="H43" s="574"/>
      <c r="I43" s="574"/>
      <c r="J43" s="574"/>
      <c r="K43" s="574"/>
      <c r="L43" s="574"/>
      <c r="M43" s="574"/>
      <c r="N43" s="574"/>
      <c r="O43" s="574"/>
      <c r="P43" s="574"/>
      <c r="Q43" s="574"/>
      <c r="R43" s="574"/>
      <c r="S43" s="574"/>
      <c r="T43" s="574"/>
    </row>
    <row r="44" spans="1:20">
      <c r="A44" s="764">
        <v>7.4999999999999997E-3</v>
      </c>
      <c r="B44" s="760" t="s">
        <v>8762</v>
      </c>
      <c r="C44" s="595"/>
      <c r="D44" s="574"/>
      <c r="E44" s="574"/>
      <c r="F44" s="574"/>
      <c r="G44" s="574"/>
      <c r="H44" s="574"/>
      <c r="I44" s="574"/>
      <c r="J44" s="574"/>
      <c r="K44" s="574"/>
      <c r="L44" s="574"/>
      <c r="M44" s="574"/>
      <c r="N44" s="574"/>
      <c r="O44" s="574"/>
      <c r="P44" s="574"/>
      <c r="Q44" s="574"/>
      <c r="R44" s="574"/>
      <c r="S44" s="574"/>
      <c r="T44" s="574"/>
    </row>
    <row r="45" spans="1:20">
      <c r="A45" s="759">
        <f>2*A30</f>
        <v>200000</v>
      </c>
      <c r="B45" s="760" t="s">
        <v>8760</v>
      </c>
      <c r="C45" s="595"/>
      <c r="D45" s="574"/>
      <c r="E45" s="574"/>
      <c r="F45" s="574"/>
      <c r="G45" s="574"/>
      <c r="H45" s="574"/>
      <c r="I45" s="574"/>
      <c r="J45" s="574"/>
      <c r="K45" s="574"/>
      <c r="L45" s="574"/>
      <c r="M45" s="574"/>
      <c r="N45" s="574"/>
      <c r="O45" s="574"/>
      <c r="P45" s="574"/>
      <c r="Q45" s="574"/>
      <c r="R45" s="574"/>
      <c r="S45" s="574"/>
      <c r="T45" s="574"/>
    </row>
    <row r="46" spans="1:20">
      <c r="A46" s="766">
        <f>A45*A44</f>
        <v>1500</v>
      </c>
      <c r="B46" s="760" t="s">
        <v>8761</v>
      </c>
      <c r="C46" s="595"/>
      <c r="D46" s="574"/>
      <c r="E46" s="574"/>
      <c r="F46" s="574"/>
      <c r="G46" s="574"/>
      <c r="H46" s="574"/>
      <c r="I46" s="574"/>
      <c r="J46" s="574"/>
      <c r="K46" s="574"/>
      <c r="L46" s="574"/>
      <c r="M46" s="574"/>
      <c r="N46" s="574"/>
      <c r="O46" s="574"/>
      <c r="P46" s="574"/>
      <c r="Q46" s="574"/>
      <c r="R46" s="574"/>
      <c r="S46" s="574"/>
      <c r="T46" s="574"/>
    </row>
    <row r="47" spans="1:20">
      <c r="A47" s="766">
        <v>500</v>
      </c>
      <c r="B47" s="760" t="s">
        <v>8763</v>
      </c>
      <c r="C47" s="595"/>
      <c r="D47" s="574"/>
      <c r="E47" s="574"/>
      <c r="F47" s="574"/>
      <c r="G47" s="574"/>
      <c r="H47" s="574"/>
      <c r="I47" s="574"/>
      <c r="J47" s="574"/>
      <c r="K47" s="574"/>
      <c r="L47" s="574"/>
      <c r="M47" s="574"/>
      <c r="N47" s="574"/>
      <c r="O47" s="574"/>
      <c r="P47" s="574"/>
      <c r="Q47" s="574"/>
      <c r="R47" s="574"/>
      <c r="S47" s="574"/>
      <c r="T47" s="574"/>
    </row>
    <row r="48" spans="1:20">
      <c r="A48" s="766">
        <v>500</v>
      </c>
      <c r="B48" s="760" t="s">
        <v>8764</v>
      </c>
      <c r="C48" s="595"/>
      <c r="D48" s="574"/>
      <c r="E48" s="574"/>
      <c r="F48" s="574"/>
      <c r="G48" s="574"/>
      <c r="H48" s="574"/>
      <c r="I48" s="574"/>
      <c r="J48" s="574"/>
      <c r="K48" s="574"/>
      <c r="L48" s="574"/>
      <c r="M48" s="574"/>
      <c r="N48" s="574"/>
      <c r="O48" s="574"/>
      <c r="P48" s="574"/>
      <c r="Q48" s="574"/>
      <c r="R48" s="574"/>
      <c r="S48" s="574"/>
      <c r="T48" s="574"/>
    </row>
    <row r="49" spans="1:20">
      <c r="A49" s="766">
        <v>1500</v>
      </c>
      <c r="B49" s="760" t="s">
        <v>8765</v>
      </c>
      <c r="C49" s="595"/>
      <c r="D49" s="574"/>
      <c r="E49" s="574"/>
      <c r="F49" s="574"/>
      <c r="G49" s="574"/>
      <c r="H49" s="574"/>
      <c r="I49" s="574"/>
      <c r="J49" s="574"/>
      <c r="K49" s="574"/>
      <c r="L49" s="574"/>
      <c r="M49" s="574"/>
      <c r="N49" s="574"/>
      <c r="O49" s="574"/>
      <c r="P49" s="574"/>
      <c r="Q49" s="574"/>
      <c r="R49" s="574"/>
      <c r="S49" s="574"/>
      <c r="T49" s="574"/>
    </row>
    <row r="50" spans="1:20">
      <c r="A50" s="766">
        <v>1500</v>
      </c>
      <c r="B50" s="760" t="s">
        <v>8766</v>
      </c>
      <c r="C50" s="595"/>
      <c r="D50" s="574"/>
      <c r="E50" s="574"/>
      <c r="F50" s="574"/>
      <c r="G50" s="574"/>
      <c r="H50" s="574"/>
      <c r="I50" s="574"/>
      <c r="J50" s="574"/>
      <c r="K50" s="574"/>
      <c r="L50" s="574"/>
      <c r="M50" s="574"/>
      <c r="N50" s="574"/>
      <c r="O50" s="574"/>
      <c r="P50" s="574"/>
      <c r="Q50" s="574"/>
      <c r="R50" s="574"/>
      <c r="S50" s="574"/>
      <c r="T50" s="574"/>
    </row>
    <row r="51" spans="1:20">
      <c r="A51" s="766">
        <f>SUM(A46:A50)</f>
        <v>5500</v>
      </c>
      <c r="B51" s="760" t="s">
        <v>8767</v>
      </c>
      <c r="C51" s="595"/>
      <c r="D51" s="574"/>
      <c r="E51" s="574"/>
      <c r="F51" s="574"/>
      <c r="G51" s="574"/>
      <c r="H51" s="574"/>
      <c r="I51" s="574"/>
      <c r="J51" s="574"/>
      <c r="K51" s="574"/>
      <c r="L51" s="574"/>
      <c r="M51" s="574"/>
      <c r="N51" s="574"/>
      <c r="O51" s="574"/>
      <c r="P51" s="574"/>
      <c r="Q51" s="574"/>
      <c r="R51" s="574"/>
      <c r="S51" s="574"/>
      <c r="T51" s="574"/>
    </row>
    <row r="52" spans="1:20">
      <c r="A52" s="761" t="s">
        <v>8632</v>
      </c>
      <c r="B52" s="762" t="s">
        <v>8633</v>
      </c>
      <c r="C52" s="575"/>
      <c r="D52" s="576"/>
      <c r="E52" s="576"/>
      <c r="F52" s="576"/>
      <c r="G52" s="576"/>
      <c r="H52" s="576"/>
      <c r="I52" s="576"/>
      <c r="J52" s="576"/>
      <c r="K52" s="576"/>
      <c r="L52" s="576"/>
      <c r="M52" s="576"/>
      <c r="N52" s="576"/>
      <c r="O52" s="576"/>
      <c r="P52" s="576"/>
      <c r="Q52" s="576"/>
      <c r="R52" s="576"/>
      <c r="S52" s="576"/>
      <c r="T52" s="576"/>
    </row>
    <row r="53" spans="1:20">
      <c r="A53" s="651">
        <v>15</v>
      </c>
      <c r="B53" s="577">
        <v>15</v>
      </c>
      <c r="C53" s="575" t="s">
        <v>8634</v>
      </c>
      <c r="D53" s="576"/>
      <c r="E53" s="576"/>
      <c r="F53" s="576"/>
      <c r="G53" s="576"/>
      <c r="H53" s="576"/>
      <c r="I53" s="576"/>
      <c r="J53" s="576"/>
      <c r="K53" s="576"/>
      <c r="L53" s="576"/>
      <c r="M53" s="576"/>
      <c r="N53" s="576"/>
      <c r="O53" s="576"/>
      <c r="P53" s="576"/>
      <c r="Q53" s="576"/>
      <c r="R53" s="576"/>
      <c r="S53" s="576"/>
      <c r="T53" s="576"/>
    </row>
    <row r="54" spans="1:20">
      <c r="A54" s="652">
        <f>0.33333/2.66667</f>
        <v>0.12499859375175783</v>
      </c>
      <c r="B54" s="578">
        <f t="shared" ref="B54:B58" si="13">A54*A$53</f>
        <v>1.8749789062763673</v>
      </c>
      <c r="C54" s="693" t="s">
        <v>8748</v>
      </c>
      <c r="D54" s="576"/>
      <c r="E54" s="576"/>
      <c r="F54" s="576"/>
      <c r="G54" s="576"/>
      <c r="H54" s="576"/>
      <c r="I54" s="576"/>
      <c r="J54" s="576"/>
      <c r="K54" s="576"/>
      <c r="L54" s="576"/>
      <c r="M54" s="576"/>
      <c r="N54" s="576"/>
      <c r="O54" s="576"/>
      <c r="P54" s="576"/>
      <c r="Q54" s="576"/>
      <c r="R54" s="576"/>
      <c r="S54" s="576"/>
      <c r="T54" s="576"/>
    </row>
    <row r="55" spans="1:20">
      <c r="A55" s="652">
        <f>1/21</f>
        <v>4.7619047619047616E-2</v>
      </c>
      <c r="B55" s="578">
        <f t="shared" si="13"/>
        <v>0.71428571428571419</v>
      </c>
      <c r="C55" s="575" t="s">
        <v>8635</v>
      </c>
      <c r="D55" s="576"/>
      <c r="E55" s="576"/>
      <c r="F55" s="576"/>
      <c r="G55" s="576"/>
      <c r="H55" s="576"/>
      <c r="I55" s="576"/>
      <c r="J55" s="576"/>
      <c r="K55" s="576"/>
      <c r="L55" s="576"/>
      <c r="M55" s="576"/>
      <c r="N55" s="576"/>
      <c r="O55" s="576"/>
      <c r="P55" s="576"/>
      <c r="Q55" s="576"/>
      <c r="R55" s="576"/>
      <c r="S55" s="576"/>
      <c r="T55" s="576"/>
    </row>
    <row r="56" spans="1:20">
      <c r="A56" s="652">
        <v>0.42899999999999999</v>
      </c>
      <c r="B56" s="578">
        <f t="shared" si="13"/>
        <v>6.4349999999999996</v>
      </c>
      <c r="C56" s="683" t="s">
        <v>8636</v>
      </c>
      <c r="D56" s="576"/>
      <c r="E56" s="576"/>
      <c r="F56" s="576"/>
      <c r="G56" s="576"/>
      <c r="H56" s="576"/>
      <c r="I56" s="576"/>
      <c r="J56" s="576"/>
      <c r="K56" s="576"/>
      <c r="L56" s="576"/>
      <c r="M56" s="576"/>
      <c r="N56" s="576"/>
      <c r="O56" s="576"/>
      <c r="P56" s="576"/>
      <c r="Q56" s="576"/>
      <c r="R56" s="576"/>
      <c r="S56" s="576"/>
      <c r="T56" s="576"/>
    </row>
    <row r="57" spans="1:20">
      <c r="A57" s="653">
        <v>0.39300000000000002</v>
      </c>
      <c r="B57" s="578">
        <f t="shared" si="13"/>
        <v>5.8950000000000005</v>
      </c>
      <c r="C57" s="683" t="s">
        <v>8637</v>
      </c>
      <c r="D57" s="579"/>
      <c r="E57" s="579"/>
      <c r="F57" s="579"/>
      <c r="G57" s="579"/>
      <c r="H57" s="579"/>
      <c r="I57" s="579"/>
      <c r="J57" s="579"/>
      <c r="K57" s="579"/>
      <c r="L57" s="579"/>
      <c r="M57" s="579"/>
      <c r="N57" s="579"/>
      <c r="O57" s="579"/>
      <c r="P57" s="579"/>
      <c r="Q57" s="579"/>
      <c r="R57" s="579"/>
      <c r="S57" s="579"/>
      <c r="T57" s="579"/>
    </row>
    <row r="58" spans="1:20">
      <c r="A58" s="653">
        <f>SUM(A54:A57)</f>
        <v>0.99461764137080544</v>
      </c>
      <c r="B58" s="578">
        <f t="shared" si="13"/>
        <v>14.919264620562082</v>
      </c>
      <c r="C58" s="579" t="s">
        <v>8638</v>
      </c>
      <c r="D58" s="579"/>
      <c r="E58" s="579"/>
      <c r="F58" s="579"/>
      <c r="G58" s="579"/>
      <c r="H58" s="579"/>
      <c r="I58" s="579"/>
      <c r="J58" s="579"/>
      <c r="K58" s="579"/>
      <c r="L58" s="579"/>
      <c r="M58" s="579"/>
      <c r="N58" s="579"/>
      <c r="O58" s="579"/>
      <c r="P58" s="579"/>
      <c r="Q58" s="579"/>
      <c r="R58" s="579"/>
      <c r="S58" s="579"/>
      <c r="T58" s="579"/>
    </row>
    <row r="59" spans="1:20">
      <c r="A59" s="651">
        <f>ROUND(A53*(1+A58),0)</f>
        <v>30</v>
      </c>
      <c r="B59" s="575" t="s">
        <v>8639</v>
      </c>
      <c r="C59" s="684"/>
      <c r="D59" s="579"/>
      <c r="E59" s="579"/>
      <c r="F59" s="579"/>
      <c r="G59" s="579"/>
      <c r="H59" s="579"/>
      <c r="I59" s="579"/>
      <c r="J59" s="579"/>
      <c r="K59" s="579"/>
      <c r="L59" s="579"/>
      <c r="M59" s="579"/>
      <c r="N59" s="579"/>
      <c r="O59" s="579"/>
      <c r="P59" s="579"/>
      <c r="Q59" s="579"/>
      <c r="R59" s="579"/>
      <c r="S59" s="579"/>
      <c r="T59" s="579"/>
    </row>
    <row r="60" spans="1:20">
      <c r="A60" s="651">
        <f>SUM(B53:B55)</f>
        <v>17.589264620562084</v>
      </c>
      <c r="B60" s="575" t="s">
        <v>8640</v>
      </c>
      <c r="C60" s="580"/>
      <c r="D60" s="580"/>
      <c r="E60" s="580"/>
      <c r="F60" s="580"/>
      <c r="G60" s="579"/>
      <c r="H60" s="579"/>
      <c r="I60" s="579"/>
      <c r="J60" s="579"/>
      <c r="K60" s="579"/>
      <c r="L60" s="579"/>
      <c r="M60" s="579"/>
      <c r="N60" s="579"/>
      <c r="O60" s="579"/>
      <c r="P60" s="579"/>
      <c r="Q60" s="579"/>
      <c r="R60" s="579"/>
      <c r="S60" s="579"/>
      <c r="T60" s="579"/>
    </row>
    <row r="61" spans="1:20">
      <c r="A61" s="651">
        <f>A59-A60</f>
        <v>12.410735379437916</v>
      </c>
      <c r="B61" s="575" t="s">
        <v>8641</v>
      </c>
      <c r="C61" s="580"/>
      <c r="D61" s="580"/>
      <c r="E61" s="580"/>
      <c r="F61" s="580"/>
      <c r="G61" s="579"/>
      <c r="H61" s="579"/>
      <c r="I61" s="579"/>
      <c r="J61" s="579"/>
      <c r="K61" s="579"/>
      <c r="L61" s="579"/>
      <c r="M61" s="579"/>
      <c r="N61" s="579"/>
      <c r="O61" s="579"/>
      <c r="P61" s="579"/>
      <c r="Q61" s="579"/>
      <c r="R61" s="579"/>
      <c r="S61" s="579"/>
      <c r="T61" s="579"/>
    </row>
    <row r="62" spans="1:20">
      <c r="A62" s="652">
        <f>A61/A59</f>
        <v>0.4136911793145972</v>
      </c>
      <c r="B62" s="575" t="s">
        <v>8642</v>
      </c>
      <c r="C62" s="580"/>
      <c r="D62" s="580"/>
      <c r="E62" s="580"/>
      <c r="F62" s="580"/>
      <c r="G62" s="579"/>
      <c r="H62" s="579"/>
      <c r="I62" s="579"/>
      <c r="J62" s="579"/>
      <c r="K62" s="579"/>
      <c r="L62" s="579"/>
      <c r="M62" s="579"/>
      <c r="N62" s="579"/>
      <c r="O62" s="579"/>
      <c r="P62" s="579"/>
      <c r="Q62" s="579"/>
      <c r="R62" s="579"/>
      <c r="S62" s="579"/>
      <c r="T62" s="579"/>
    </row>
    <row r="63" spans="1:20">
      <c r="A63" s="651">
        <f>A59/60</f>
        <v>0.5</v>
      </c>
      <c r="B63" s="575" t="s">
        <v>8643</v>
      </c>
      <c r="C63" s="580"/>
      <c r="D63" s="580"/>
      <c r="E63" s="580"/>
      <c r="F63" s="580"/>
      <c r="G63" s="579"/>
      <c r="H63" s="579"/>
      <c r="I63" s="579"/>
      <c r="J63" s="579"/>
      <c r="K63" s="579"/>
      <c r="L63" s="579"/>
      <c r="M63" s="579"/>
      <c r="N63" s="579"/>
      <c r="O63" s="579"/>
      <c r="P63" s="579"/>
      <c r="Q63" s="579"/>
      <c r="R63" s="579"/>
      <c r="S63" s="579"/>
      <c r="T63" s="579"/>
    </row>
    <row r="64" spans="1:20">
      <c r="A64" s="648" t="s">
        <v>8644</v>
      </c>
      <c r="B64" s="573"/>
      <c r="C64" s="595"/>
      <c r="D64" s="574"/>
      <c r="E64" s="574"/>
      <c r="F64" s="574"/>
      <c r="G64" s="574"/>
      <c r="H64" s="574"/>
      <c r="I64" s="574"/>
      <c r="J64" s="574"/>
      <c r="K64" s="574"/>
      <c r="L64" s="574"/>
      <c r="M64" s="574"/>
      <c r="N64" s="574"/>
      <c r="O64" s="574"/>
      <c r="P64" s="574"/>
      <c r="Q64" s="574"/>
      <c r="R64" s="574"/>
      <c r="S64" s="574"/>
      <c r="T64" s="574"/>
    </row>
    <row r="65" spans="1:20">
      <c r="A65" s="649">
        <v>4</v>
      </c>
      <c r="B65" s="573" t="s">
        <v>8645</v>
      </c>
      <c r="C65" s="595"/>
      <c r="D65" s="574"/>
      <c r="E65" s="574"/>
      <c r="F65" s="574"/>
      <c r="G65" s="574"/>
      <c r="H65" s="574"/>
      <c r="I65" s="574"/>
      <c r="J65" s="574"/>
      <c r="K65" s="574"/>
      <c r="L65" s="574"/>
      <c r="M65" s="574"/>
      <c r="N65" s="574"/>
      <c r="O65" s="574"/>
      <c r="P65" s="574"/>
      <c r="Q65" s="574"/>
      <c r="R65" s="574"/>
      <c r="S65" s="574"/>
      <c r="T65" s="574"/>
    </row>
    <row r="66" spans="1:20">
      <c r="A66" s="649">
        <v>3240</v>
      </c>
      <c r="B66" s="573" t="s">
        <v>8646</v>
      </c>
      <c r="C66" s="595"/>
      <c r="D66" s="574"/>
      <c r="E66" s="574"/>
      <c r="F66" s="574"/>
      <c r="G66" s="574"/>
      <c r="H66" s="574"/>
      <c r="I66" s="574"/>
      <c r="J66" s="574"/>
      <c r="K66" s="574"/>
      <c r="L66" s="574"/>
      <c r="M66" s="574"/>
      <c r="N66" s="574"/>
      <c r="O66" s="574"/>
      <c r="P66" s="574"/>
      <c r="Q66" s="574"/>
      <c r="R66" s="574"/>
      <c r="S66" s="574"/>
      <c r="T66" s="574"/>
    </row>
    <row r="67" spans="1:20">
      <c r="A67" s="654">
        <f>1/A66</f>
        <v>3.0864197530864197E-4</v>
      </c>
      <c r="B67" s="573" t="s">
        <v>8647</v>
      </c>
      <c r="C67" s="595"/>
      <c r="D67" s="574"/>
      <c r="E67" s="574"/>
      <c r="F67" s="574"/>
      <c r="G67" s="574"/>
      <c r="H67" s="574"/>
      <c r="I67" s="574"/>
      <c r="J67" s="574"/>
      <c r="K67" s="574"/>
      <c r="L67" s="574"/>
      <c r="M67" s="574"/>
      <c r="N67" s="574"/>
      <c r="O67" s="574"/>
      <c r="P67" s="574"/>
      <c r="Q67" s="574"/>
      <c r="R67" s="574"/>
      <c r="S67" s="574"/>
      <c r="T67" s="574"/>
    </row>
    <row r="68" spans="1:20">
      <c r="A68" s="655">
        <v>2E-3</v>
      </c>
      <c r="B68" s="573" t="s">
        <v>8648</v>
      </c>
      <c r="C68" s="595"/>
      <c r="D68" s="574"/>
      <c r="E68" s="574"/>
      <c r="F68" s="574"/>
      <c r="G68" s="574"/>
      <c r="H68" s="574"/>
      <c r="I68" s="574"/>
      <c r="J68" s="574"/>
      <c r="K68" s="574"/>
      <c r="L68" s="574"/>
      <c r="M68" s="574"/>
      <c r="N68" s="574"/>
      <c r="O68" s="574"/>
      <c r="P68" s="574"/>
      <c r="Q68" s="574"/>
      <c r="R68" s="574"/>
      <c r="S68" s="574"/>
      <c r="T68" s="574"/>
    </row>
    <row r="69" spans="1:20">
      <c r="A69" s="649">
        <f>A68/A67</f>
        <v>6.48</v>
      </c>
      <c r="B69" s="573" t="s">
        <v>8649</v>
      </c>
      <c r="C69" s="595"/>
      <c r="D69" s="574"/>
      <c r="E69" s="574"/>
      <c r="F69" s="574"/>
      <c r="G69" s="574"/>
      <c r="H69" s="574"/>
      <c r="I69" s="574"/>
      <c r="J69" s="574"/>
      <c r="K69" s="574"/>
      <c r="L69" s="574"/>
      <c r="M69" s="574"/>
      <c r="N69" s="574"/>
      <c r="O69" s="574"/>
      <c r="P69" s="574"/>
      <c r="Q69" s="574"/>
      <c r="R69" s="574"/>
      <c r="S69" s="574"/>
      <c r="T69" s="574"/>
    </row>
    <row r="70" spans="1:20">
      <c r="A70" s="656">
        <f>A68*60</f>
        <v>0.12</v>
      </c>
      <c r="B70" s="573" t="s">
        <v>8650</v>
      </c>
      <c r="C70" s="595"/>
      <c r="D70" s="574"/>
      <c r="E70" s="574"/>
      <c r="F70" s="574"/>
      <c r="G70" s="574"/>
      <c r="H70" s="574"/>
      <c r="I70" s="574"/>
      <c r="J70" s="574"/>
      <c r="K70" s="574"/>
      <c r="L70" s="574"/>
      <c r="M70" s="574"/>
      <c r="N70" s="574"/>
      <c r="O70" s="574"/>
      <c r="P70" s="574"/>
      <c r="Q70" s="574"/>
      <c r="R70" s="574"/>
      <c r="S70" s="574"/>
      <c r="T70" s="574"/>
    </row>
    <row r="71" spans="1:20">
      <c r="A71" s="657">
        <f>A68*A53</f>
        <v>0.03</v>
      </c>
      <c r="B71" s="573" t="s">
        <v>8651</v>
      </c>
      <c r="C71" s="595"/>
      <c r="D71" s="574"/>
      <c r="E71" s="574"/>
      <c r="F71" s="574"/>
      <c r="G71" s="574"/>
      <c r="H71" s="574"/>
      <c r="I71" s="574"/>
      <c r="J71" s="574"/>
      <c r="K71" s="574"/>
      <c r="L71" s="574"/>
      <c r="M71" s="574"/>
      <c r="N71" s="574"/>
      <c r="O71" s="574"/>
      <c r="P71" s="574"/>
      <c r="Q71" s="574"/>
      <c r="R71" s="574"/>
      <c r="S71" s="574"/>
      <c r="T71" s="574"/>
    </row>
    <row r="72" spans="1:20">
      <c r="A72" s="658" t="s">
        <v>8652</v>
      </c>
    </row>
    <row r="73" spans="1:20">
      <c r="A73" s="643">
        <v>100</v>
      </c>
      <c r="B73" s="568" t="s">
        <v>8653</v>
      </c>
      <c r="C73" s="567"/>
      <c r="D73" s="567"/>
      <c r="E73" s="567"/>
      <c r="F73" s="567"/>
    </row>
    <row r="74" spans="1:20">
      <c r="A74" s="659">
        <v>3</v>
      </c>
      <c r="B74" s="581" t="s">
        <v>8654</v>
      </c>
      <c r="C74" s="582"/>
      <c r="D74" s="582"/>
      <c r="E74" s="582"/>
      <c r="F74" s="582"/>
      <c r="G74" s="558"/>
      <c r="H74" s="558"/>
      <c r="I74" s="558"/>
      <c r="J74" s="558"/>
      <c r="K74" s="558"/>
      <c r="L74" s="558"/>
      <c r="M74" s="558"/>
      <c r="N74" s="558"/>
      <c r="O74" s="558"/>
      <c r="P74" s="558"/>
      <c r="Q74" s="558"/>
      <c r="R74" s="558"/>
      <c r="S74" s="558"/>
      <c r="T74" s="558"/>
    </row>
    <row r="75" spans="1:20">
      <c r="A75" s="659">
        <f>A$31/A73</f>
        <v>2</v>
      </c>
      <c r="B75" s="581" t="s">
        <v>8655</v>
      </c>
      <c r="C75" s="582"/>
      <c r="D75" s="582"/>
      <c r="E75" s="582"/>
      <c r="F75" s="582"/>
      <c r="G75" s="558"/>
      <c r="H75" s="558"/>
      <c r="I75" s="558"/>
      <c r="J75" s="558"/>
      <c r="K75" s="558"/>
      <c r="L75" s="558"/>
      <c r="M75" s="558"/>
      <c r="N75" s="558"/>
      <c r="O75" s="558"/>
      <c r="P75" s="558"/>
      <c r="Q75" s="558"/>
      <c r="R75" s="558"/>
      <c r="S75" s="558"/>
      <c r="T75" s="558"/>
    </row>
    <row r="76" spans="1:20">
      <c r="A76" s="660">
        <f>SUM(A74:A75)</f>
        <v>5</v>
      </c>
      <c r="B76" s="581" t="s">
        <v>8656</v>
      </c>
      <c r="C76" s="582"/>
      <c r="D76" s="582"/>
      <c r="E76" s="582"/>
      <c r="F76" s="582"/>
      <c r="G76" s="558"/>
      <c r="H76" s="558"/>
      <c r="I76" s="558"/>
      <c r="J76" s="558"/>
      <c r="K76" s="558"/>
      <c r="L76" s="558"/>
      <c r="M76" s="558"/>
      <c r="N76" s="558"/>
      <c r="O76" s="558"/>
      <c r="P76" s="558"/>
      <c r="Q76" s="558"/>
      <c r="R76" s="558"/>
      <c r="S76" s="558"/>
      <c r="T76" s="558"/>
    </row>
    <row r="77" spans="1:20">
      <c r="A77" s="660">
        <f>A76*A$34</f>
        <v>10</v>
      </c>
      <c r="B77" s="581" t="s">
        <v>8657</v>
      </c>
      <c r="C77" s="582"/>
      <c r="D77" s="582"/>
      <c r="E77" s="582"/>
      <c r="F77" s="582"/>
      <c r="G77" s="558"/>
      <c r="H77" s="558"/>
      <c r="I77" s="558"/>
      <c r="J77" s="558"/>
      <c r="K77" s="558"/>
      <c r="L77" s="558"/>
      <c r="M77" s="558"/>
      <c r="N77" s="558"/>
      <c r="O77" s="558"/>
      <c r="P77" s="558"/>
      <c r="Q77" s="558"/>
      <c r="R77" s="558"/>
      <c r="S77" s="558"/>
      <c r="T77" s="558"/>
    </row>
    <row r="78" spans="1:20">
      <c r="A78" s="661">
        <f>A63*A77/A$31</f>
        <v>2.5000000000000001E-2</v>
      </c>
      <c r="B78" s="581" t="s">
        <v>8658</v>
      </c>
      <c r="C78" s="582"/>
      <c r="D78" s="582"/>
      <c r="E78" s="582"/>
      <c r="F78" s="582"/>
      <c r="G78" s="558"/>
      <c r="H78" s="558"/>
      <c r="I78" s="558"/>
      <c r="J78" s="558"/>
      <c r="K78" s="558"/>
      <c r="L78" s="558"/>
      <c r="M78" s="558"/>
      <c r="N78" s="558"/>
      <c r="O78" s="558"/>
      <c r="P78" s="558"/>
      <c r="Q78" s="558"/>
      <c r="R78" s="558"/>
      <c r="S78" s="558"/>
      <c r="T78" s="558"/>
    </row>
    <row r="79" spans="1:20">
      <c r="A79" s="662" t="s">
        <v>8659</v>
      </c>
      <c r="B79" s="583"/>
      <c r="C79" s="595"/>
      <c r="D79" s="574"/>
      <c r="E79" s="574"/>
      <c r="F79" s="574"/>
      <c r="G79" s="574"/>
      <c r="H79" s="574"/>
      <c r="I79" s="574"/>
      <c r="J79" s="574"/>
      <c r="K79" s="574"/>
      <c r="L79" s="574"/>
      <c r="M79" s="574"/>
      <c r="N79" s="574"/>
      <c r="O79" s="574"/>
      <c r="P79" s="574"/>
      <c r="Q79" s="574"/>
      <c r="R79" s="574"/>
      <c r="S79" s="574"/>
      <c r="T79" s="574"/>
    </row>
    <row r="80" spans="1:20">
      <c r="A80" s="663">
        <v>30</v>
      </c>
      <c r="B80" s="583" t="s">
        <v>8660</v>
      </c>
      <c r="C80" s="595"/>
      <c r="D80" s="574"/>
      <c r="E80" s="574"/>
      <c r="F80" s="574"/>
      <c r="G80" s="574"/>
      <c r="H80" s="574"/>
      <c r="I80" s="574"/>
      <c r="J80" s="574"/>
      <c r="K80" s="574"/>
      <c r="L80" s="574"/>
      <c r="M80" s="574"/>
      <c r="N80" s="574"/>
      <c r="O80" s="574"/>
      <c r="P80" s="574"/>
      <c r="Q80" s="574"/>
      <c r="R80" s="574"/>
      <c r="S80" s="574"/>
      <c r="T80" s="574"/>
    </row>
    <row r="81" spans="1:20">
      <c r="A81" s="664">
        <f>A80/10</f>
        <v>3</v>
      </c>
      <c r="B81" s="557" t="s">
        <v>8661</v>
      </c>
      <c r="C81" s="595"/>
      <c r="D81" s="574"/>
      <c r="E81" s="574"/>
      <c r="F81" s="574"/>
      <c r="G81" s="574"/>
      <c r="H81" s="574"/>
      <c r="I81" s="574"/>
      <c r="J81" s="574"/>
      <c r="K81" s="574"/>
      <c r="L81" s="574"/>
      <c r="M81" s="574"/>
      <c r="N81" s="574"/>
      <c r="O81" s="574"/>
      <c r="P81" s="574"/>
      <c r="Q81" s="574"/>
      <c r="R81" s="574"/>
      <c r="S81" s="574"/>
      <c r="T81" s="574"/>
    </row>
    <row r="82" spans="1:20">
      <c r="A82" s="664">
        <f>A81*A$34</f>
        <v>6</v>
      </c>
      <c r="B82" s="557" t="s">
        <v>8662</v>
      </c>
      <c r="C82" s="595"/>
      <c r="D82" s="574"/>
      <c r="E82" s="574"/>
      <c r="F82" s="574"/>
      <c r="G82" s="574"/>
      <c r="H82" s="574"/>
      <c r="I82" s="574"/>
      <c r="J82" s="574"/>
      <c r="K82" s="574"/>
      <c r="L82" s="574"/>
      <c r="M82" s="574"/>
      <c r="N82" s="574"/>
      <c r="O82" s="574"/>
      <c r="P82" s="574"/>
      <c r="Q82" s="574"/>
      <c r="R82" s="574"/>
      <c r="S82" s="574"/>
      <c r="T82" s="574"/>
    </row>
    <row r="83" spans="1:20">
      <c r="A83" s="664">
        <f>SQRT(A$30/9000)</f>
        <v>3.3333333333333335</v>
      </c>
      <c r="B83" s="557" t="s">
        <v>8663</v>
      </c>
      <c r="C83" s="595"/>
      <c r="D83" s="574"/>
      <c r="E83" s="574"/>
      <c r="F83" s="574"/>
      <c r="G83" s="574"/>
      <c r="H83" s="574"/>
      <c r="I83" s="574"/>
      <c r="J83" s="574"/>
      <c r="K83" s="574"/>
      <c r="L83" s="574"/>
      <c r="M83" s="574"/>
      <c r="N83" s="574"/>
      <c r="O83" s="574"/>
      <c r="P83" s="574"/>
      <c r="Q83" s="574"/>
      <c r="R83" s="574"/>
      <c r="S83" s="574"/>
      <c r="T83" s="574"/>
    </row>
    <row r="84" spans="1:20">
      <c r="A84" s="663">
        <f>A83*A82</f>
        <v>20</v>
      </c>
      <c r="B84" s="557" t="s">
        <v>8664</v>
      </c>
      <c r="C84" s="595"/>
      <c r="D84" s="574"/>
      <c r="E84" s="574"/>
      <c r="F84" s="574"/>
      <c r="G84" s="574"/>
      <c r="H84" s="574"/>
      <c r="I84" s="574"/>
      <c r="J84" s="574"/>
      <c r="K84" s="574"/>
      <c r="L84" s="574"/>
      <c r="M84" s="574"/>
      <c r="N84" s="574"/>
      <c r="O84" s="574"/>
      <c r="P84" s="574"/>
      <c r="Q84" s="574"/>
      <c r="R84" s="574"/>
      <c r="S84" s="574"/>
      <c r="T84" s="574"/>
    </row>
    <row r="85" spans="1:20">
      <c r="A85" s="663">
        <v>3</v>
      </c>
      <c r="B85" s="557" t="s">
        <v>8665</v>
      </c>
      <c r="C85" s="595"/>
      <c r="D85" s="574"/>
      <c r="E85" s="574"/>
      <c r="F85" s="574"/>
      <c r="G85" s="574"/>
      <c r="H85" s="574"/>
      <c r="I85" s="574"/>
      <c r="J85" s="574"/>
      <c r="K85" s="574"/>
      <c r="L85" s="574"/>
      <c r="M85" s="574"/>
      <c r="N85" s="574"/>
      <c r="O85" s="574"/>
      <c r="P85" s="574"/>
      <c r="Q85" s="574"/>
      <c r="R85" s="574"/>
      <c r="S85" s="574"/>
      <c r="T85" s="574"/>
    </row>
    <row r="86" spans="1:20">
      <c r="A86" s="664">
        <f>A85*A$34+A94</f>
        <v>7</v>
      </c>
      <c r="B86" s="557" t="s">
        <v>8666</v>
      </c>
      <c r="C86" s="595"/>
      <c r="D86" s="574"/>
      <c r="E86" s="574"/>
      <c r="F86" s="574"/>
      <c r="G86" s="574"/>
      <c r="H86" s="574"/>
      <c r="I86" s="574"/>
      <c r="J86" s="574"/>
      <c r="K86" s="574"/>
      <c r="L86" s="574"/>
      <c r="M86" s="574"/>
      <c r="N86" s="574"/>
      <c r="O86" s="574"/>
      <c r="P86" s="574"/>
      <c r="Q86" s="574"/>
      <c r="R86" s="574"/>
      <c r="S86" s="574"/>
      <c r="T86" s="574"/>
    </row>
    <row r="87" spans="1:20">
      <c r="A87" s="665">
        <f>A86+A84</f>
        <v>27</v>
      </c>
      <c r="B87" s="573" t="s">
        <v>8667</v>
      </c>
      <c r="C87" s="595"/>
      <c r="D87" s="574"/>
      <c r="E87" s="574"/>
      <c r="F87" s="574"/>
      <c r="G87" s="574"/>
      <c r="H87" s="574"/>
      <c r="I87" s="574"/>
      <c r="J87" s="574"/>
      <c r="K87" s="574"/>
      <c r="L87" s="574"/>
      <c r="M87" s="574"/>
      <c r="N87" s="574"/>
      <c r="O87" s="574"/>
      <c r="P87" s="574"/>
      <c r="Q87" s="574"/>
      <c r="R87" s="574"/>
      <c r="S87" s="574"/>
      <c r="T87" s="574"/>
    </row>
    <row r="88" spans="1:20">
      <c r="A88" s="666" t="s">
        <v>8668</v>
      </c>
      <c r="B88" s="573"/>
      <c r="C88" s="595"/>
      <c r="D88" s="574"/>
      <c r="E88" s="574"/>
      <c r="F88" s="574"/>
      <c r="G88" s="574"/>
      <c r="H88" s="574"/>
      <c r="I88" s="574"/>
      <c r="J88" s="574"/>
      <c r="K88" s="574"/>
      <c r="L88" s="574"/>
      <c r="M88" s="574"/>
      <c r="N88" s="574"/>
      <c r="O88" s="574"/>
      <c r="P88" s="574"/>
      <c r="Q88" s="574"/>
      <c r="R88" s="574"/>
      <c r="S88" s="574"/>
      <c r="T88" s="574"/>
    </row>
    <row r="89" spans="1:20">
      <c r="A89" s="665">
        <f>61/60</f>
        <v>1.0166666666666666</v>
      </c>
      <c r="B89" s="573" t="s">
        <v>8669</v>
      </c>
      <c r="C89" s="595"/>
      <c r="D89" s="574"/>
      <c r="E89" s="574"/>
      <c r="F89" s="574"/>
      <c r="G89" s="574"/>
      <c r="H89" s="574"/>
      <c r="I89" s="574"/>
      <c r="J89" s="574"/>
      <c r="K89" s="574"/>
      <c r="L89" s="574"/>
      <c r="M89" s="574"/>
      <c r="N89" s="574"/>
      <c r="O89" s="574"/>
      <c r="P89" s="574"/>
      <c r="Q89" s="574"/>
      <c r="R89" s="574"/>
      <c r="S89" s="574"/>
      <c r="T89" s="574"/>
    </row>
    <row r="90" spans="1:20">
      <c r="A90" s="665">
        <f>31/60</f>
        <v>0.51666666666666672</v>
      </c>
      <c r="B90" s="573" t="s">
        <v>8670</v>
      </c>
      <c r="C90" s="595"/>
      <c r="D90" s="574"/>
      <c r="E90" s="574"/>
      <c r="F90" s="574"/>
      <c r="G90" s="574"/>
      <c r="H90" s="574"/>
      <c r="I90" s="574"/>
      <c r="J90" s="574"/>
      <c r="K90" s="574"/>
      <c r="L90" s="574"/>
      <c r="M90" s="574"/>
      <c r="N90" s="574"/>
      <c r="O90" s="574"/>
      <c r="P90" s="574"/>
      <c r="Q90" s="574"/>
      <c r="R90" s="574"/>
      <c r="S90" s="574"/>
      <c r="T90" s="574"/>
    </row>
    <row r="91" spans="1:20">
      <c r="A91" s="665">
        <f>A89-A90</f>
        <v>0.49999999999999989</v>
      </c>
      <c r="B91" s="573" t="s">
        <v>8671</v>
      </c>
      <c r="C91" s="595"/>
      <c r="D91" s="574"/>
      <c r="E91" s="574"/>
      <c r="F91" s="574"/>
      <c r="G91" s="574"/>
      <c r="H91" s="574"/>
      <c r="I91" s="574"/>
      <c r="J91" s="574"/>
      <c r="K91" s="574"/>
      <c r="L91" s="574"/>
      <c r="M91" s="574"/>
      <c r="N91" s="574"/>
      <c r="O91" s="574"/>
      <c r="P91" s="574"/>
      <c r="Q91" s="574"/>
      <c r="R91" s="574"/>
      <c r="S91" s="574"/>
      <c r="T91" s="574"/>
    </row>
    <row r="92" spans="1:20">
      <c r="A92" s="665">
        <f>A90</f>
        <v>0.51666666666666672</v>
      </c>
      <c r="B92" s="573" t="s">
        <v>8672</v>
      </c>
      <c r="C92" s="595"/>
      <c r="D92" s="574"/>
      <c r="E92" s="574"/>
      <c r="F92" s="574"/>
      <c r="G92" s="574"/>
      <c r="H92" s="574"/>
      <c r="I92" s="574"/>
      <c r="J92" s="574"/>
      <c r="K92" s="574"/>
      <c r="L92" s="574"/>
      <c r="M92" s="574"/>
      <c r="N92" s="574"/>
      <c r="O92" s="574"/>
      <c r="P92" s="574"/>
      <c r="Q92" s="574"/>
      <c r="R92" s="574"/>
      <c r="S92" s="574"/>
      <c r="T92" s="574"/>
    </row>
    <row r="93" spans="1:20">
      <c r="A93" s="665">
        <v>2</v>
      </c>
      <c r="B93" s="573" t="s">
        <v>8673</v>
      </c>
      <c r="C93" s="595"/>
      <c r="D93" s="574"/>
      <c r="E93" s="574"/>
      <c r="F93" s="574"/>
      <c r="G93" s="574"/>
      <c r="H93" s="574"/>
      <c r="I93" s="574"/>
      <c r="J93" s="574"/>
      <c r="K93" s="574"/>
      <c r="L93" s="574"/>
      <c r="M93" s="574"/>
      <c r="N93" s="574"/>
      <c r="O93" s="574"/>
      <c r="P93" s="574"/>
      <c r="Q93" s="574"/>
      <c r="R93" s="574"/>
      <c r="S93" s="574"/>
      <c r="T93" s="574"/>
    </row>
    <row r="94" spans="1:20">
      <c r="A94" s="665">
        <f t="shared" ref="A94:A95" si="14">A91*A$93</f>
        <v>0.99999999999999978</v>
      </c>
      <c r="B94" s="573" t="s">
        <v>8674</v>
      </c>
      <c r="C94" s="595"/>
      <c r="D94" s="574"/>
      <c r="E94" s="574"/>
      <c r="F94" s="574"/>
      <c r="G94" s="574"/>
      <c r="H94" s="574"/>
      <c r="I94" s="574"/>
      <c r="J94" s="574"/>
      <c r="K94" s="574"/>
      <c r="L94" s="574"/>
      <c r="M94" s="574"/>
      <c r="N94" s="574"/>
      <c r="O94" s="574"/>
      <c r="P94" s="574"/>
      <c r="Q94" s="574"/>
      <c r="R94" s="574"/>
      <c r="S94" s="574"/>
      <c r="T94" s="574"/>
    </row>
    <row r="95" spans="1:20">
      <c r="A95" s="665">
        <f t="shared" si="14"/>
        <v>1.0333333333333334</v>
      </c>
      <c r="B95" s="573" t="s">
        <v>8675</v>
      </c>
      <c r="C95" s="595"/>
      <c r="D95" s="574"/>
      <c r="E95" s="574"/>
      <c r="F95" s="574"/>
      <c r="G95" s="574"/>
      <c r="H95" s="574"/>
      <c r="I95" s="574"/>
      <c r="J95" s="574"/>
      <c r="K95" s="574"/>
      <c r="L95" s="574"/>
      <c r="M95" s="574"/>
      <c r="N95" s="574"/>
      <c r="O95" s="574"/>
      <c r="P95" s="574"/>
      <c r="Q95" s="574"/>
      <c r="R95" s="574"/>
      <c r="S95" s="574"/>
      <c r="T95" s="574"/>
    </row>
    <row r="96" spans="1:20">
      <c r="A96" s="666" t="s">
        <v>8676</v>
      </c>
      <c r="B96" s="585" t="s">
        <v>8677</v>
      </c>
      <c r="C96" s="685" t="s">
        <v>8678</v>
      </c>
      <c r="D96" s="574"/>
      <c r="E96" s="574"/>
      <c r="F96" s="574"/>
      <c r="G96" s="574"/>
      <c r="H96" s="574"/>
      <c r="I96" s="574"/>
      <c r="J96" s="574"/>
      <c r="K96" s="574"/>
      <c r="L96" s="574"/>
      <c r="M96" s="574"/>
      <c r="N96" s="574"/>
      <c r="O96" s="574"/>
      <c r="P96" s="574"/>
      <c r="Q96" s="574"/>
      <c r="R96" s="574"/>
      <c r="S96" s="574"/>
      <c r="T96" s="574"/>
    </row>
    <row r="97" spans="1:20">
      <c r="A97" s="691">
        <v>10</v>
      </c>
      <c r="B97" s="585">
        <v>1</v>
      </c>
      <c r="C97" s="685">
        <v>6</v>
      </c>
      <c r="D97" s="690" t="s">
        <v>8743</v>
      </c>
      <c r="E97" s="574"/>
      <c r="F97" s="574"/>
      <c r="G97" s="574"/>
      <c r="H97" s="574"/>
      <c r="I97" s="574"/>
      <c r="J97" s="574"/>
      <c r="K97" s="574"/>
      <c r="L97" s="574"/>
      <c r="M97" s="574"/>
      <c r="N97" s="574"/>
      <c r="O97" s="574"/>
      <c r="P97" s="574"/>
      <c r="Q97" s="574"/>
      <c r="R97" s="574"/>
      <c r="S97" s="574"/>
      <c r="T97" s="574"/>
    </row>
    <row r="98" spans="1:20">
      <c r="A98" s="665">
        <v>62</v>
      </c>
      <c r="B98" s="584">
        <v>25</v>
      </c>
      <c r="C98" s="664">
        <f>B98+(A98-B98)*(6-1)/9</f>
        <v>45.555555555555557</v>
      </c>
      <c r="D98" s="692" t="s">
        <v>8744</v>
      </c>
      <c r="E98" s="574"/>
      <c r="F98" s="574"/>
      <c r="G98" s="574"/>
      <c r="H98" s="574"/>
      <c r="I98" s="574"/>
      <c r="J98" s="574"/>
      <c r="K98" s="574"/>
      <c r="L98" s="574"/>
      <c r="M98" s="574"/>
      <c r="N98" s="574"/>
      <c r="O98" s="574"/>
      <c r="P98" s="574"/>
      <c r="Q98" s="574"/>
      <c r="R98" s="574"/>
      <c r="S98" s="574"/>
      <c r="T98" s="574"/>
    </row>
    <row r="99" spans="1:20">
      <c r="A99" s="665">
        <f t="shared" ref="A99:C99" si="15">A98/60</f>
        <v>1.0333333333333334</v>
      </c>
      <c r="B99" s="584">
        <f t="shared" si="15"/>
        <v>0.41666666666666669</v>
      </c>
      <c r="C99" s="665">
        <f t="shared" si="15"/>
        <v>0.7592592592592593</v>
      </c>
      <c r="D99" s="692" t="s">
        <v>8745</v>
      </c>
      <c r="E99" s="574"/>
      <c r="F99" s="574"/>
      <c r="G99" s="574"/>
      <c r="H99" s="574"/>
      <c r="I99" s="574"/>
      <c r="J99" s="574"/>
      <c r="K99" s="574"/>
      <c r="L99" s="574"/>
      <c r="M99" s="574"/>
      <c r="N99" s="574"/>
      <c r="O99" s="574"/>
      <c r="P99" s="574"/>
      <c r="Q99" s="574"/>
      <c r="R99" s="574"/>
      <c r="S99" s="574"/>
      <c r="T99" s="574"/>
    </row>
    <row r="100" spans="1:20">
      <c r="A100" s="667">
        <v>5</v>
      </c>
      <c r="B100" s="573"/>
      <c r="C100" s="663"/>
      <c r="D100" s="573" t="s">
        <v>8679</v>
      </c>
      <c r="E100" s="574"/>
      <c r="F100" s="574"/>
      <c r="G100" s="574"/>
      <c r="H100" s="574"/>
      <c r="I100" s="574"/>
      <c r="J100" s="574"/>
      <c r="K100" s="574"/>
      <c r="L100" s="574"/>
      <c r="M100" s="574"/>
      <c r="N100" s="574"/>
      <c r="O100" s="574"/>
      <c r="P100" s="574"/>
      <c r="Q100" s="574"/>
      <c r="R100" s="574"/>
      <c r="S100" s="574"/>
      <c r="T100" s="574"/>
    </row>
    <row r="101" spans="1:20">
      <c r="A101" s="667">
        <f>A$35</f>
        <v>4</v>
      </c>
      <c r="B101" s="573"/>
      <c r="C101" s="663"/>
      <c r="D101" s="573" t="s">
        <v>8680</v>
      </c>
      <c r="E101" s="574"/>
      <c r="F101" s="574"/>
      <c r="G101" s="574"/>
      <c r="H101" s="574"/>
      <c r="I101" s="574"/>
      <c r="J101" s="574"/>
      <c r="K101" s="574"/>
      <c r="L101" s="574"/>
      <c r="M101" s="574"/>
      <c r="N101" s="574"/>
      <c r="O101" s="574"/>
      <c r="P101" s="574"/>
      <c r="Q101" s="574"/>
      <c r="R101" s="574"/>
      <c r="S101" s="574"/>
      <c r="T101" s="574"/>
    </row>
    <row r="102" spans="1:20">
      <c r="A102" s="667">
        <f t="shared" ref="A102:C102" si="16">$A$101*A99</f>
        <v>4.1333333333333337</v>
      </c>
      <c r="B102" s="586">
        <f t="shared" si="16"/>
        <v>1.6666666666666667</v>
      </c>
      <c r="C102" s="667">
        <f t="shared" si="16"/>
        <v>3.0370370370370372</v>
      </c>
      <c r="D102" s="692" t="s">
        <v>8746</v>
      </c>
      <c r="E102" s="574"/>
      <c r="F102" s="574"/>
      <c r="G102" s="574"/>
      <c r="H102" s="574"/>
      <c r="I102" s="574"/>
      <c r="J102" s="574"/>
      <c r="K102" s="574"/>
      <c r="L102" s="574"/>
      <c r="M102" s="574"/>
      <c r="N102" s="574"/>
      <c r="O102" s="574"/>
      <c r="P102" s="574"/>
      <c r="Q102" s="574"/>
      <c r="R102" s="574"/>
      <c r="S102" s="574"/>
      <c r="T102" s="574"/>
    </row>
    <row r="103" spans="1:20">
      <c r="A103" s="667">
        <f t="shared" ref="A103:C103" si="17">$A$95+A102</f>
        <v>5.166666666666667</v>
      </c>
      <c r="B103" s="586">
        <f t="shared" si="17"/>
        <v>2.7</v>
      </c>
      <c r="C103" s="667">
        <f t="shared" si="17"/>
        <v>4.0703703703703704</v>
      </c>
      <c r="D103" s="692" t="s">
        <v>8747</v>
      </c>
      <c r="E103" s="574"/>
      <c r="F103" s="574"/>
      <c r="G103" s="574"/>
      <c r="H103" s="574"/>
      <c r="I103" s="574"/>
      <c r="J103" s="574"/>
      <c r="K103" s="574"/>
      <c r="L103" s="574"/>
      <c r="M103" s="574"/>
      <c r="N103" s="574"/>
      <c r="O103" s="574"/>
      <c r="P103" s="574"/>
      <c r="Q103" s="574"/>
      <c r="R103" s="574"/>
      <c r="S103" s="574"/>
      <c r="T103" s="574"/>
    </row>
    <row r="104" spans="1:20">
      <c r="B104" s="573"/>
      <c r="C104" s="663"/>
      <c r="D104" s="574"/>
      <c r="E104" s="574"/>
      <c r="F104" s="574"/>
      <c r="G104" s="574"/>
      <c r="H104" s="574"/>
      <c r="I104" s="574"/>
      <c r="J104" s="574"/>
      <c r="K104" s="574"/>
      <c r="L104" s="574"/>
      <c r="M104" s="574"/>
      <c r="N104" s="574"/>
      <c r="O104" s="574"/>
      <c r="P104" s="574"/>
      <c r="Q104" s="574"/>
      <c r="R104" s="574"/>
      <c r="S104" s="574"/>
      <c r="T104" s="574"/>
    </row>
    <row r="105" spans="1:20">
      <c r="A105" s="635" t="s">
        <v>8681</v>
      </c>
    </row>
    <row r="106" spans="1:20">
      <c r="A106" s="668">
        <v>600</v>
      </c>
      <c r="B106" s="587" t="s">
        <v>8682</v>
      </c>
      <c r="C106" s="582"/>
      <c r="D106" s="582"/>
      <c r="E106" s="582"/>
      <c r="F106" s="582"/>
      <c r="G106" s="558"/>
      <c r="H106" s="558"/>
      <c r="I106" s="558"/>
      <c r="J106" s="558"/>
      <c r="K106" s="558"/>
      <c r="L106" s="558"/>
      <c r="M106" s="558"/>
      <c r="N106" s="558"/>
      <c r="O106" s="558"/>
      <c r="P106" s="558"/>
      <c r="Q106" s="558"/>
      <c r="R106" s="558"/>
      <c r="S106" s="558"/>
      <c r="T106" s="558"/>
    </row>
    <row r="107" spans="1:20">
      <c r="A107" s="669">
        <f>A106/A32</f>
        <v>1.2</v>
      </c>
      <c r="B107" s="587" t="s">
        <v>8683</v>
      </c>
      <c r="C107" s="582"/>
      <c r="D107" s="582"/>
      <c r="E107" s="582"/>
      <c r="F107" s="582"/>
      <c r="G107" s="558"/>
      <c r="H107" s="558"/>
      <c r="I107" s="558"/>
      <c r="J107" s="558"/>
      <c r="K107" s="558"/>
      <c r="L107" s="558"/>
      <c r="M107" s="558"/>
      <c r="N107" s="558"/>
      <c r="O107" s="558"/>
      <c r="P107" s="558"/>
      <c r="Q107" s="558"/>
      <c r="R107" s="558"/>
      <c r="S107" s="558"/>
      <c r="T107" s="558"/>
    </row>
    <row r="108" spans="1:20">
      <c r="A108" s="670">
        <v>0.2</v>
      </c>
      <c r="B108" s="581" t="s">
        <v>8684</v>
      </c>
      <c r="C108" s="582"/>
      <c r="D108" s="582"/>
      <c r="E108" s="582"/>
      <c r="F108" s="582"/>
      <c r="G108" s="558"/>
      <c r="H108" s="558"/>
      <c r="I108" s="558"/>
      <c r="J108" s="558"/>
      <c r="K108" s="558"/>
      <c r="L108" s="558"/>
      <c r="M108" s="558"/>
      <c r="N108" s="558"/>
      <c r="O108" s="558"/>
      <c r="P108" s="558"/>
      <c r="Q108" s="558"/>
      <c r="R108" s="558"/>
      <c r="S108" s="558"/>
      <c r="T108" s="558"/>
    </row>
    <row r="109" spans="1:20">
      <c r="A109" s="671">
        <f>104/60</f>
        <v>1.7333333333333334</v>
      </c>
      <c r="B109" s="581" t="s">
        <v>8685</v>
      </c>
      <c r="C109" s="582"/>
      <c r="D109" s="582"/>
      <c r="E109" s="582"/>
      <c r="F109" s="582"/>
      <c r="G109" s="558"/>
      <c r="H109" s="558"/>
      <c r="I109" s="558"/>
      <c r="J109" s="558"/>
      <c r="K109" s="558"/>
      <c r="L109" s="558"/>
      <c r="M109" s="558"/>
      <c r="N109" s="558"/>
      <c r="O109" s="558"/>
      <c r="P109" s="558"/>
      <c r="Q109" s="558"/>
      <c r="R109" s="558"/>
      <c r="S109" s="558"/>
      <c r="T109" s="558"/>
    </row>
    <row r="110" spans="1:20">
      <c r="A110" s="672">
        <v>1</v>
      </c>
      <c r="B110" s="581" t="s">
        <v>8686</v>
      </c>
      <c r="C110" s="582"/>
      <c r="D110" s="582"/>
      <c r="E110" s="582"/>
      <c r="F110" s="582"/>
      <c r="G110" s="558"/>
      <c r="H110" s="558"/>
      <c r="I110" s="558"/>
      <c r="J110" s="558"/>
      <c r="K110" s="558"/>
      <c r="L110" s="558"/>
      <c r="M110" s="558"/>
      <c r="N110" s="558"/>
      <c r="O110" s="558"/>
      <c r="P110" s="558"/>
      <c r="Q110" s="558"/>
      <c r="R110" s="558"/>
      <c r="S110" s="558"/>
      <c r="T110" s="558"/>
    </row>
    <row r="111" spans="1:20">
      <c r="A111" s="673">
        <f>20*0.01</f>
        <v>0.2</v>
      </c>
      <c r="B111" s="587" t="s">
        <v>8687</v>
      </c>
      <c r="C111" s="582"/>
      <c r="D111" s="582"/>
      <c r="E111" s="582"/>
      <c r="F111" s="582"/>
      <c r="G111" s="558"/>
      <c r="H111" s="558"/>
      <c r="I111" s="558"/>
      <c r="J111" s="558"/>
      <c r="K111" s="558"/>
      <c r="L111" s="558"/>
      <c r="M111" s="558"/>
      <c r="N111" s="558"/>
      <c r="O111" s="558"/>
      <c r="P111" s="558"/>
      <c r="Q111" s="558"/>
      <c r="R111" s="558"/>
      <c r="S111" s="558"/>
      <c r="T111" s="558"/>
    </row>
    <row r="112" spans="1:20">
      <c r="A112" s="672">
        <f>ROUND(SUM(A108:A111),1)</f>
        <v>3.1</v>
      </c>
      <c r="B112" s="587" t="s">
        <v>8688</v>
      </c>
      <c r="C112" s="582"/>
      <c r="D112" s="582"/>
      <c r="E112" s="582"/>
      <c r="F112" s="582"/>
      <c r="G112" s="558"/>
      <c r="H112" s="558"/>
      <c r="I112" s="558"/>
      <c r="J112" s="558"/>
      <c r="K112" s="558"/>
      <c r="L112" s="558"/>
      <c r="M112" s="558"/>
      <c r="N112" s="558"/>
      <c r="O112" s="558"/>
      <c r="P112" s="558"/>
      <c r="Q112" s="558"/>
      <c r="R112" s="558"/>
      <c r="S112" s="558"/>
      <c r="T112" s="558"/>
    </row>
    <row r="113" spans="1:20">
      <c r="A113" s="672">
        <f>A112*A34</f>
        <v>6.2</v>
      </c>
      <c r="B113" s="587" t="s">
        <v>8689</v>
      </c>
      <c r="C113" s="582"/>
      <c r="D113" s="582"/>
      <c r="E113" s="582"/>
      <c r="F113" s="582"/>
      <c r="G113" s="558"/>
      <c r="H113" s="558"/>
      <c r="I113" s="558"/>
      <c r="J113" s="558"/>
      <c r="K113" s="558"/>
      <c r="L113" s="558"/>
      <c r="M113" s="558"/>
      <c r="N113" s="558"/>
      <c r="O113" s="558"/>
      <c r="P113" s="558"/>
      <c r="Q113" s="558"/>
      <c r="R113" s="558"/>
      <c r="S113" s="558"/>
      <c r="T113" s="558"/>
    </row>
    <row r="114" spans="1:20">
      <c r="A114" s="672">
        <f>(A108+A109+A111)*A$34+A102</f>
        <v>8.4</v>
      </c>
      <c r="B114" s="587" t="s">
        <v>8690</v>
      </c>
      <c r="C114" s="582"/>
      <c r="D114" s="582"/>
      <c r="E114" s="582"/>
      <c r="F114" s="582"/>
      <c r="G114" s="558"/>
      <c r="H114" s="558"/>
      <c r="I114" s="558"/>
      <c r="J114" s="558"/>
      <c r="K114" s="558"/>
      <c r="L114" s="558"/>
      <c r="M114" s="558"/>
      <c r="N114" s="558"/>
      <c r="O114" s="558"/>
      <c r="P114" s="558"/>
      <c r="Q114" s="558"/>
      <c r="R114" s="558"/>
      <c r="S114" s="558"/>
      <c r="T114" s="558"/>
    </row>
    <row r="115" spans="1:20">
      <c r="A115" s="674" t="s">
        <v>8691</v>
      </c>
      <c r="B115" s="588"/>
      <c r="C115" s="589"/>
      <c r="D115" s="589"/>
      <c r="E115" s="589"/>
      <c r="F115" s="589"/>
      <c r="G115" s="556"/>
      <c r="H115" s="556"/>
      <c r="I115" s="556"/>
      <c r="J115" s="556"/>
      <c r="K115" s="556"/>
      <c r="L115" s="556"/>
      <c r="M115" s="556"/>
      <c r="N115" s="556"/>
      <c r="O115" s="556"/>
      <c r="P115" s="556"/>
      <c r="Q115" s="556"/>
      <c r="R115" s="556"/>
      <c r="S115" s="556"/>
      <c r="T115" s="556"/>
    </row>
    <row r="116" spans="1:20">
      <c r="A116" s="675">
        <v>12200</v>
      </c>
      <c r="B116" s="756" t="s">
        <v>8754</v>
      </c>
      <c r="C116" s="589"/>
      <c r="D116" s="589"/>
      <c r="E116" s="589"/>
      <c r="F116" s="589"/>
      <c r="G116" s="556"/>
      <c r="H116" s="556"/>
      <c r="I116" s="556"/>
      <c r="J116" s="556"/>
      <c r="K116" s="556"/>
      <c r="L116" s="556"/>
      <c r="M116" s="556"/>
      <c r="N116" s="556"/>
      <c r="O116" s="556"/>
      <c r="P116" s="556"/>
      <c r="Q116" s="556"/>
      <c r="R116" s="556"/>
      <c r="S116" s="556"/>
      <c r="T116" s="556"/>
    </row>
    <row r="117" spans="1:20">
      <c r="A117" s="676">
        <f>6290/25160</f>
        <v>0.25</v>
      </c>
      <c r="B117" s="590" t="s">
        <v>8692</v>
      </c>
      <c r="C117" s="589"/>
      <c r="D117" s="589"/>
      <c r="E117" s="589"/>
      <c r="F117" s="589"/>
      <c r="G117" s="556"/>
      <c r="H117" s="556"/>
      <c r="I117" s="556"/>
      <c r="J117" s="556"/>
      <c r="K117" s="556"/>
      <c r="L117" s="556"/>
      <c r="M117" s="556"/>
      <c r="N117" s="556"/>
      <c r="O117" s="556"/>
      <c r="P117" s="556"/>
      <c r="Q117" s="556"/>
      <c r="R117" s="556"/>
      <c r="S117" s="556"/>
      <c r="T117" s="556"/>
    </row>
    <row r="118" spans="1:20">
      <c r="A118" s="676">
        <v>0.26</v>
      </c>
      <c r="B118" s="590" t="s">
        <v>8693</v>
      </c>
      <c r="C118" s="589"/>
      <c r="D118" s="589"/>
      <c r="E118" s="589"/>
      <c r="F118" s="589"/>
      <c r="G118" s="556"/>
      <c r="H118" s="556"/>
      <c r="I118" s="556"/>
      <c r="J118" s="556"/>
      <c r="K118" s="556"/>
      <c r="L118" s="556"/>
      <c r="M118" s="556"/>
      <c r="N118" s="556"/>
      <c r="O118" s="556"/>
      <c r="P118" s="556"/>
      <c r="Q118" s="556"/>
      <c r="R118" s="556"/>
      <c r="S118" s="556"/>
      <c r="T118" s="556"/>
    </row>
    <row r="119" spans="1:20">
      <c r="A119" s="676">
        <v>0.17</v>
      </c>
      <c r="B119" s="590" t="s">
        <v>8694</v>
      </c>
      <c r="C119" s="589"/>
      <c r="D119" s="589"/>
      <c r="E119" s="589"/>
      <c r="F119" s="589"/>
      <c r="G119" s="556"/>
      <c r="H119" s="556"/>
      <c r="I119" s="556"/>
      <c r="J119" s="556"/>
      <c r="K119" s="556"/>
      <c r="L119" s="556"/>
      <c r="M119" s="556"/>
      <c r="N119" s="556"/>
      <c r="O119" s="556"/>
      <c r="P119" s="556"/>
      <c r="Q119" s="556"/>
      <c r="R119" s="556"/>
      <c r="S119" s="556"/>
      <c r="T119" s="556"/>
    </row>
    <row r="120" spans="1:20">
      <c r="A120" s="677">
        <v>9000</v>
      </c>
      <c r="B120" s="590" t="s">
        <v>8695</v>
      </c>
      <c r="C120" s="589"/>
      <c r="D120" s="589"/>
      <c r="E120" s="589"/>
      <c r="F120" s="589"/>
      <c r="G120" s="556"/>
      <c r="H120" s="556"/>
      <c r="I120" s="556"/>
      <c r="J120" s="556"/>
      <c r="K120" s="556"/>
      <c r="L120" s="556"/>
      <c r="M120" s="556"/>
      <c r="N120" s="556"/>
      <c r="O120" s="556"/>
      <c r="P120" s="556"/>
      <c r="Q120" s="556"/>
      <c r="R120" s="556"/>
      <c r="S120" s="556"/>
      <c r="T120" s="556"/>
    </row>
    <row r="121" spans="1:20">
      <c r="A121" s="678">
        <f>0.24+A78</f>
        <v>0.26500000000000001</v>
      </c>
      <c r="B121" s="590" t="s">
        <v>8696</v>
      </c>
      <c r="C121" s="589"/>
      <c r="D121" s="589"/>
      <c r="E121" s="589"/>
      <c r="F121" s="589"/>
      <c r="G121" s="556"/>
      <c r="H121" s="556"/>
      <c r="I121" s="556"/>
      <c r="J121" s="556"/>
      <c r="K121" s="556"/>
      <c r="L121" s="556"/>
      <c r="M121" s="556"/>
      <c r="N121" s="556"/>
      <c r="O121" s="556"/>
      <c r="P121" s="556"/>
      <c r="Q121" s="556"/>
      <c r="R121" s="556"/>
      <c r="S121" s="556"/>
      <c r="T121" s="556"/>
    </row>
    <row r="122" spans="1:20">
      <c r="A122" s="563"/>
      <c r="B122" s="563"/>
      <c r="C122" s="563"/>
      <c r="D122" s="564"/>
      <c r="E122" s="565"/>
      <c r="F122" s="563"/>
      <c r="G122" s="561"/>
      <c r="H122" s="561"/>
      <c r="I122" s="561"/>
      <c r="J122" s="561"/>
      <c r="K122" s="561"/>
      <c r="L122" s="561"/>
      <c r="M122" s="561"/>
      <c r="N122" s="561"/>
      <c r="O122" s="561"/>
      <c r="P122" s="561"/>
      <c r="Q122" s="561"/>
      <c r="R122" s="562"/>
      <c r="S122" s="562"/>
      <c r="T122" s="562"/>
    </row>
    <row r="123" spans="1:20" ht="17.399999999999999">
      <c r="A123" s="641" t="s">
        <v>8697</v>
      </c>
      <c r="B123" s="563"/>
      <c r="C123" s="563"/>
      <c r="D123" s="564"/>
      <c r="E123" s="565"/>
      <c r="F123" s="563"/>
      <c r="G123" s="561"/>
      <c r="H123" s="561"/>
      <c r="I123" s="561"/>
      <c r="J123" s="561"/>
      <c r="K123" s="561"/>
      <c r="L123" s="561"/>
      <c r="M123" s="561"/>
      <c r="N123" s="561"/>
      <c r="O123" s="561"/>
      <c r="P123" s="561"/>
      <c r="Q123" s="561"/>
      <c r="R123" s="562"/>
      <c r="S123" s="562"/>
      <c r="T123" s="562"/>
    </row>
    <row r="124" spans="1:20" ht="106.2">
      <c r="A124" s="591" t="s">
        <v>8698</v>
      </c>
      <c r="B124" s="592" t="s">
        <v>8699</v>
      </c>
      <c r="C124" s="592" t="s">
        <v>8700</v>
      </c>
      <c r="D124" s="593" t="s">
        <v>8701</v>
      </c>
      <c r="E124" s="594" t="s">
        <v>8702</v>
      </c>
      <c r="F124" s="592" t="s">
        <v>4786</v>
      </c>
      <c r="G124" s="595" t="s">
        <v>8703</v>
      </c>
      <c r="H124" s="595" t="str">
        <f>CONCATENATE("Number of batches, at ",A31," sheets per batch")</f>
        <v>Number of batches, at 200 sheets per batch</v>
      </c>
      <c r="I124" s="595" t="s">
        <v>8704</v>
      </c>
      <c r="J124" s="596" t="s">
        <v>8705</v>
      </c>
      <c r="K124" s="595" t="s">
        <v>8706</v>
      </c>
      <c r="L124" s="595" t="s">
        <v>8707</v>
      </c>
      <c r="M124" s="595" t="s">
        <v>8708</v>
      </c>
      <c r="N124" s="595" t="s">
        <v>8709</v>
      </c>
      <c r="O124" s="595" t="s">
        <v>8582</v>
      </c>
      <c r="P124" s="595" t="s">
        <v>8710</v>
      </c>
      <c r="Q124" s="595" t="s">
        <v>8711</v>
      </c>
      <c r="R124" s="595" t="s">
        <v>8712</v>
      </c>
      <c r="S124" s="574" t="s">
        <v>8769</v>
      </c>
      <c r="T124" s="574"/>
    </row>
    <row r="125" spans="1:20">
      <c r="A125" s="597">
        <v>14782</v>
      </c>
      <c r="B125" s="598">
        <f>O125</f>
        <v>78063.734334600915</v>
      </c>
      <c r="C125" s="599" t="s">
        <v>1528</v>
      </c>
      <c r="D125" s="600" t="s">
        <v>8713</v>
      </c>
      <c r="E125" s="601" t="s">
        <v>6506</v>
      </c>
      <c r="F125" s="602">
        <v>276484</v>
      </c>
      <c r="G125" s="603">
        <f>(A125+A126/2)/F125</f>
        <v>7.034945964323433E-2</v>
      </c>
      <c r="H125" s="604">
        <f>ROUND(F125/$A$31,0)</f>
        <v>1382</v>
      </c>
      <c r="I125" s="604">
        <f>G125*F125</f>
        <v>19450.5</v>
      </c>
      <c r="J125" s="605">
        <f>H125-H125*(((H125-1)/H125)^I125)</f>
        <v>1381.9989383970355</v>
      </c>
      <c r="K125" s="606">
        <f>I125/J125</f>
        <v>14.074178683928952</v>
      </c>
      <c r="L125" s="606">
        <f>A$82*SQRT(F125/9000)+A$86</f>
        <v>40.255616067064523</v>
      </c>
      <c r="M125" s="606">
        <f>A$103*K125</f>
        <v>72.71658986696626</v>
      </c>
      <c r="N125" s="607">
        <f>L125+M125</f>
        <v>112.97220593403078</v>
      </c>
      <c r="O125" s="608">
        <f>N125*J125*$A$59/60</f>
        <v>78063.734334600915</v>
      </c>
      <c r="P125" s="603">
        <f>I125/F125</f>
        <v>7.034945964323433E-2</v>
      </c>
      <c r="Q125" s="604">
        <v>22541</v>
      </c>
      <c r="R125" s="574"/>
      <c r="S125" s="611">
        <f>O125/30</f>
        <v>2602.1244778200303</v>
      </c>
      <c r="T125" s="574"/>
    </row>
    <row r="126" spans="1:20">
      <c r="A126" s="597">
        <v>9337</v>
      </c>
      <c r="B126" s="609"/>
      <c r="C126" s="599" t="s">
        <v>1528</v>
      </c>
      <c r="D126" s="600" t="s">
        <v>8714</v>
      </c>
      <c r="E126" s="601" t="s">
        <v>6510</v>
      </c>
      <c r="F126" s="602">
        <v>276484</v>
      </c>
      <c r="G126" s="610"/>
      <c r="H126" s="611"/>
      <c r="I126" s="604"/>
      <c r="J126" s="612"/>
      <c r="K126" s="606"/>
      <c r="L126" s="606"/>
      <c r="M126" s="606"/>
      <c r="N126" s="607"/>
      <c r="O126" s="608"/>
      <c r="P126" s="603"/>
      <c r="Q126" s="604">
        <v>14095</v>
      </c>
      <c r="R126" s="574"/>
      <c r="S126" s="574"/>
      <c r="T126" s="574"/>
    </row>
    <row r="127" spans="1:20">
      <c r="A127" s="613">
        <v>693</v>
      </c>
      <c r="B127" s="598">
        <f>O127</f>
        <v>27292.377146023904</v>
      </c>
      <c r="C127" s="599" t="s">
        <v>1395</v>
      </c>
      <c r="D127" s="600" t="s">
        <v>8715</v>
      </c>
      <c r="E127" s="601" t="s">
        <v>6505</v>
      </c>
      <c r="F127" s="602">
        <v>726720</v>
      </c>
      <c r="G127" s="603">
        <f>(A127+A128/2)/F127</f>
        <v>1.2742184059885513E-3</v>
      </c>
      <c r="H127" s="604">
        <f>ROUND(F127/$A$31,0)</f>
        <v>3634</v>
      </c>
      <c r="I127" s="604">
        <f>G127*F127</f>
        <v>926</v>
      </c>
      <c r="J127" s="605">
        <f>H127-H127*(((H127-1)/H127)^I127)</f>
        <v>817.53296950119693</v>
      </c>
      <c r="K127" s="606">
        <f>I127/J127</f>
        <v>1.1326760320932161</v>
      </c>
      <c r="L127" s="606">
        <f>A$82*SQRT(F127/9000)+A$86</f>
        <v>60.91548942558159</v>
      </c>
      <c r="M127" s="606">
        <f>A$103*K127</f>
        <v>5.8521594991482839</v>
      </c>
      <c r="N127" s="607">
        <f>L127+M127</f>
        <v>66.767648924729869</v>
      </c>
      <c r="O127" s="608">
        <f>N127*J127*$A$59/60</f>
        <v>27292.377146023904</v>
      </c>
      <c r="P127" s="603">
        <f>I127/F127</f>
        <v>1.2742184059885513E-3</v>
      </c>
      <c r="Q127" s="604">
        <v>32590</v>
      </c>
      <c r="R127" s="574"/>
      <c r="S127" s="611">
        <f>O127/30</f>
        <v>909.74590486746342</v>
      </c>
      <c r="T127" s="574"/>
    </row>
    <row r="128" spans="1:20">
      <c r="A128" s="613">
        <v>466</v>
      </c>
      <c r="B128" s="609"/>
      <c r="C128" s="599" t="s">
        <v>1395</v>
      </c>
      <c r="D128" s="600" t="s">
        <v>8716</v>
      </c>
      <c r="E128" s="601" t="s">
        <v>6504</v>
      </c>
      <c r="F128" s="602">
        <v>726720</v>
      </c>
      <c r="G128" s="610"/>
      <c r="H128" s="611"/>
      <c r="I128" s="604"/>
      <c r="J128" s="612"/>
      <c r="K128" s="606"/>
      <c r="L128" s="606"/>
      <c r="M128" s="606"/>
      <c r="N128" s="607"/>
      <c r="O128" s="608"/>
      <c r="P128" s="603"/>
      <c r="Q128" s="604">
        <v>18689</v>
      </c>
      <c r="R128" s="574"/>
      <c r="S128" s="574"/>
      <c r="T128" s="574"/>
    </row>
    <row r="129" spans="1:20">
      <c r="A129" s="597">
        <v>2042</v>
      </c>
      <c r="B129" s="598">
        <f>O129</f>
        <v>23149.126947598197</v>
      </c>
      <c r="C129" s="599" t="s">
        <v>6965</v>
      </c>
      <c r="D129" s="600" t="s">
        <v>8713</v>
      </c>
      <c r="E129" s="601" t="s">
        <v>6506</v>
      </c>
      <c r="F129" s="602">
        <v>180000</v>
      </c>
      <c r="G129" s="603">
        <f>(A129/2+A130)/F129</f>
        <v>1.7944444444444443E-2</v>
      </c>
      <c r="H129" s="604">
        <f>ROUND(F129/$A$31,0)</f>
        <v>900</v>
      </c>
      <c r="I129" s="604">
        <f>G129*F129</f>
        <v>3230</v>
      </c>
      <c r="J129" s="605">
        <f>H129-H129*(((H129-1)/H129)^I129)</f>
        <v>875.18345496765039</v>
      </c>
      <c r="K129" s="606">
        <f>I129/J129</f>
        <v>3.6906547783394639</v>
      </c>
      <c r="L129" s="606">
        <f>A$82*SQRT(F129/9000)+A$86</f>
        <v>33.832815729997478</v>
      </c>
      <c r="M129" s="606">
        <f>A$103*K129</f>
        <v>19.068383021420566</v>
      </c>
      <c r="N129" s="607">
        <f>L129+M129</f>
        <v>52.901198751418043</v>
      </c>
      <c r="O129" s="608">
        <f>N129*J129*$A$59/60</f>
        <v>23149.126947598197</v>
      </c>
      <c r="P129" s="603">
        <f>I129/F129</f>
        <v>1.7944444444444443E-2</v>
      </c>
      <c r="Q129" s="604">
        <v>12564</v>
      </c>
      <c r="R129" s="574"/>
      <c r="S129" s="611">
        <f>O129/30</f>
        <v>771.6375649199399</v>
      </c>
      <c r="T129" s="574"/>
    </row>
    <row r="130" spans="1:20">
      <c r="A130" s="597">
        <v>2209</v>
      </c>
      <c r="B130" s="609"/>
      <c r="C130" s="599" t="s">
        <v>6965</v>
      </c>
      <c r="D130" s="600" t="s">
        <v>8714</v>
      </c>
      <c r="E130" s="601" t="s">
        <v>6510</v>
      </c>
      <c r="F130" s="602">
        <v>180000</v>
      </c>
      <c r="G130" s="610"/>
      <c r="H130" s="611"/>
      <c r="I130" s="604"/>
      <c r="J130" s="612"/>
      <c r="K130" s="606"/>
      <c r="L130" s="606"/>
      <c r="M130" s="606"/>
      <c r="N130" s="607"/>
      <c r="O130" s="608"/>
      <c r="P130" s="603"/>
      <c r="Q130" s="604">
        <v>5894</v>
      </c>
      <c r="R130" s="574"/>
      <c r="S130" s="574"/>
      <c r="T130" s="574"/>
    </row>
    <row r="131" spans="1:20">
      <c r="A131" s="679" t="s">
        <v>8717</v>
      </c>
      <c r="B131" s="574"/>
      <c r="C131" s="595"/>
      <c r="D131" s="574"/>
      <c r="E131" s="614" t="s">
        <v>8718</v>
      </c>
      <c r="F131" s="615">
        <f>AVERAGE(F125:F130)</f>
        <v>394401.33333333331</v>
      </c>
      <c r="G131" s="610">
        <f>AVERAGE(G125:G129)</f>
        <v>2.9856040831222442E-2</v>
      </c>
      <c r="H131" s="604">
        <f t="shared" ref="H131:H134" si="18">ROUND(F131/$A$31,0)</f>
        <v>1972</v>
      </c>
      <c r="I131" s="604">
        <f t="shared" ref="I131:I134" si="19">G131*F131</f>
        <v>11775.262311888571</v>
      </c>
      <c r="J131" s="605">
        <f t="shared" ref="J131:J134" si="20">H131-H131*(((H131-1)/H131)^I131)</f>
        <v>1966.9768327195125</v>
      </c>
      <c r="K131" s="606">
        <f t="shared" ref="K131:K134" si="21">I131/J131</f>
        <v>5.986477377879571</v>
      </c>
      <c r="L131" s="606">
        <f t="shared" ref="L131:L134" si="22">A$82*SQRT(F131/9000)+A$86</f>
        <v>46.719080217614973</v>
      </c>
      <c r="M131" s="606">
        <f>A$103*K131</f>
        <v>30.930133119044452</v>
      </c>
      <c r="N131" s="607">
        <f t="shared" ref="N131:N134" si="23">L131+M131</f>
        <v>77.649213336659429</v>
      </c>
      <c r="O131" s="608">
        <f t="shared" ref="O131:O134" si="24">N131*J131*$A$59/60</f>
        <v>76367.101856052046</v>
      </c>
      <c r="P131" s="611"/>
      <c r="Q131" s="611"/>
      <c r="R131" s="574"/>
      <c r="S131" s="574"/>
      <c r="T131" s="574"/>
    </row>
    <row r="132" spans="1:20">
      <c r="A132" s="680"/>
      <c r="B132" s="616"/>
      <c r="C132" s="686"/>
      <c r="D132" s="617"/>
      <c r="E132" s="618" t="s">
        <v>8719</v>
      </c>
      <c r="F132" s="619">
        <f>A$30</f>
        <v>100000</v>
      </c>
      <c r="G132" s="620">
        <v>3.0000000000000001E-3</v>
      </c>
      <c r="H132" s="621">
        <f t="shared" si="18"/>
        <v>500</v>
      </c>
      <c r="I132" s="604">
        <f t="shared" si="19"/>
        <v>300</v>
      </c>
      <c r="J132" s="605">
        <f t="shared" si="20"/>
        <v>225.75899578315227</v>
      </c>
      <c r="K132" s="606">
        <f t="shared" si="21"/>
        <v>1.3288507018704063</v>
      </c>
      <c r="L132" s="606">
        <f t="shared" si="22"/>
        <v>27</v>
      </c>
      <c r="M132" s="606">
        <f>B$103*K132</f>
        <v>3.5878968950500973</v>
      </c>
      <c r="N132" s="622">
        <f t="shared" si="23"/>
        <v>30.587896895050097</v>
      </c>
      <c r="O132" s="623">
        <f t="shared" si="24"/>
        <v>3452.7464430725563</v>
      </c>
      <c r="P132" s="624">
        <f t="shared" ref="P132:P134" si="25">I132/F132</f>
        <v>3.0000000000000001E-3</v>
      </c>
      <c r="Q132" s="621"/>
      <c r="R132" s="625">
        <f t="shared" ref="R132:R133" si="26">I132/H132</f>
        <v>0.6</v>
      </c>
      <c r="S132" s="611">
        <f t="shared" ref="S132:S134" si="27">O132/30</f>
        <v>115.09154810241854</v>
      </c>
      <c r="T132" s="617"/>
    </row>
    <row r="133" spans="1:20">
      <c r="A133" s="681"/>
      <c r="B133" s="626"/>
      <c r="C133" s="595"/>
      <c r="D133" s="574"/>
      <c r="E133" s="618" t="s">
        <v>8720</v>
      </c>
      <c r="F133" s="619">
        <f t="shared" ref="F133:F134" si="28">A$30</f>
        <v>100000</v>
      </c>
      <c r="G133" s="620">
        <v>1.7999999999999999E-2</v>
      </c>
      <c r="H133" s="621">
        <f t="shared" si="18"/>
        <v>500</v>
      </c>
      <c r="I133" s="604">
        <f t="shared" si="19"/>
        <v>1799.9999999999998</v>
      </c>
      <c r="J133" s="605">
        <f t="shared" si="20"/>
        <v>486.38729849333032</v>
      </c>
      <c r="K133" s="606">
        <f t="shared" si="21"/>
        <v>3.7007545336315615</v>
      </c>
      <c r="L133" s="606">
        <f t="shared" si="22"/>
        <v>27</v>
      </c>
      <c r="M133" s="606">
        <f t="shared" ref="M133:M134" si="29">A$103*K133</f>
        <v>19.120565090429736</v>
      </c>
      <c r="N133" s="622">
        <f t="shared" si="23"/>
        <v>46.120565090429736</v>
      </c>
      <c r="O133" s="623">
        <f t="shared" si="24"/>
        <v>11216.228529659957</v>
      </c>
      <c r="P133" s="624">
        <f t="shared" si="25"/>
        <v>1.7999999999999999E-2</v>
      </c>
      <c r="Q133" s="621"/>
      <c r="R133" s="625">
        <f t="shared" si="26"/>
        <v>3.5999999999999996</v>
      </c>
      <c r="S133" s="611">
        <f t="shared" si="27"/>
        <v>373.87428432199857</v>
      </c>
      <c r="T133" s="574"/>
    </row>
    <row r="134" spans="1:20">
      <c r="E134" s="618" t="s">
        <v>8720</v>
      </c>
      <c r="F134" s="619">
        <f t="shared" si="28"/>
        <v>100000</v>
      </c>
      <c r="G134" s="627">
        <v>7.0000000000000007E-2</v>
      </c>
      <c r="H134" s="621">
        <f t="shared" si="18"/>
        <v>500</v>
      </c>
      <c r="I134" s="604">
        <f t="shared" si="19"/>
        <v>7000.0000000000009</v>
      </c>
      <c r="J134" s="605">
        <f t="shared" si="20"/>
        <v>499.99959002345054</v>
      </c>
      <c r="K134" s="606">
        <f t="shared" si="21"/>
        <v>14.0000114793528</v>
      </c>
      <c r="L134" s="606">
        <f t="shared" si="22"/>
        <v>27</v>
      </c>
      <c r="M134" s="606">
        <f t="shared" si="29"/>
        <v>72.33339264332281</v>
      </c>
      <c r="N134" s="622">
        <f t="shared" si="23"/>
        <v>99.33339264332281</v>
      </c>
      <c r="O134" s="623">
        <f t="shared" si="24"/>
        <v>24833.32779864992</v>
      </c>
      <c r="P134" s="624">
        <f t="shared" si="25"/>
        <v>7.0000000000000007E-2</v>
      </c>
      <c r="S134" s="611">
        <f t="shared" si="27"/>
        <v>827.77759328833065</v>
      </c>
    </row>
    <row r="135" spans="1:20">
      <c r="J135" s="628" t="s">
        <v>8721</v>
      </c>
    </row>
    <row r="136" spans="1:20">
      <c r="J136" s="629" t="s">
        <v>8722</v>
      </c>
    </row>
    <row r="137" spans="1:20">
      <c r="J137" s="629" t="s">
        <v>8723</v>
      </c>
    </row>
    <row r="138" spans="1:20">
      <c r="C138" s="687" t="s">
        <v>8729</v>
      </c>
      <c r="F138" s="631">
        <v>2000000</v>
      </c>
      <c r="G138" s="632"/>
      <c r="H138" s="621">
        <f>ROUND(F138/$A$31,0)</f>
        <v>10000</v>
      </c>
      <c r="I138" s="604"/>
      <c r="K138" s="606"/>
      <c r="L138" s="606">
        <f>A$82*SQRT(F138/9000)+A$86</f>
        <v>96.442719099991592</v>
      </c>
      <c r="M138" s="606">
        <f>A$103*K138</f>
        <v>0</v>
      </c>
    </row>
    <row r="140" spans="1:20" ht="53.4">
      <c r="B140" s="633" t="s">
        <v>8724</v>
      </c>
      <c r="C140" s="634" t="s">
        <v>8725</v>
      </c>
      <c r="D140" s="634" t="s">
        <v>8726</v>
      </c>
      <c r="E140" s="635" t="s">
        <v>8727</v>
      </c>
      <c r="F140" s="635" t="s">
        <v>8728</v>
      </c>
    </row>
    <row r="141" spans="1:20">
      <c r="B141" s="636">
        <v>0.1</v>
      </c>
      <c r="C141" s="637">
        <v>100000</v>
      </c>
      <c r="D141" s="638">
        <f t="shared" ref="D141:D143" si="30">B141*C141*10/60</f>
        <v>1666.6666666666667</v>
      </c>
      <c r="E141" s="630">
        <v>60</v>
      </c>
      <c r="F141" s="639">
        <f t="shared" ref="F141:F143" si="31">D141/E141</f>
        <v>27.777777777777779</v>
      </c>
    </row>
    <row r="142" spans="1:20">
      <c r="B142" s="636">
        <v>0.33</v>
      </c>
      <c r="C142" s="637">
        <v>100000</v>
      </c>
      <c r="D142" s="638">
        <f t="shared" si="30"/>
        <v>5500</v>
      </c>
      <c r="E142" s="630">
        <v>180</v>
      </c>
      <c r="F142" s="639">
        <f t="shared" si="31"/>
        <v>30.555555555555557</v>
      </c>
    </row>
    <row r="143" spans="1:20">
      <c r="B143" s="636">
        <v>1</v>
      </c>
      <c r="C143" s="637">
        <v>100000</v>
      </c>
      <c r="D143" s="638">
        <f t="shared" si="30"/>
        <v>16666.666666666668</v>
      </c>
      <c r="E143" s="630">
        <v>300</v>
      </c>
      <c r="F143" s="639">
        <f t="shared" si="31"/>
        <v>55.555555555555557</v>
      </c>
    </row>
    <row r="158" spans="1:6">
      <c r="A158" s="682"/>
      <c r="B158" s="640"/>
      <c r="C158" s="567"/>
      <c r="D158" s="567"/>
      <c r="E158" s="567"/>
      <c r="F158" s="567"/>
    </row>
    <row r="159" spans="1:6">
      <c r="B159" s="640"/>
      <c r="C159" s="567"/>
      <c r="D159" s="567"/>
      <c r="E159" s="567"/>
      <c r="F159" s="567"/>
    </row>
  </sheetData>
  <hyperlinks>
    <hyperlink ref="A28" r:id="rId1" display="Source: votewell.net/tallies.xlsx. Note: an RLA with quality control only pays to rescan once." xr:uid="{055709FF-5299-4361-A6B2-0A243806A432}"/>
    <hyperlink ref="B42" r:id="rId2" xr:uid="{C9401FA9-4276-43B3-B32D-8AE9F5A9C21C}"/>
    <hyperlink ref="B80" r:id="rId3" xr:uid="{5A8F2379-B7BB-4F76-989A-CAF5D9A193B9}"/>
    <hyperlink ref="B116" r:id="rId4" display="fixed cost per county for Clear Ballot contract with Montrose CO." xr:uid="{18C6369F-E633-4FD1-94F3-06949BF434F3}"/>
    <hyperlink ref="B117" r:id="rId5" xr:uid="{89898905-8615-49D7-9C7D-87BB67653148}"/>
    <hyperlink ref="B118" r:id="rId6" xr:uid="{EAA7978F-BE3E-41BE-9DB0-318E990F6995}"/>
    <hyperlink ref="B119" r:id="rId7" xr:uid="{6D436191-A787-43FE-B8E5-02D51C36B659}"/>
    <hyperlink ref="B120" r:id="rId8" location="gid=1992580387" xr:uid="{883E8D98-0217-4B92-9755-38A943A05B4C}"/>
    <hyperlink ref="B121" r:id="rId9" location="gid=1992580387" xr:uid="{D8F8B394-0412-4007-9122-4AE40EBC9BDE}"/>
    <hyperlink ref="A124" r:id="rId10" xr:uid="{D4EAD71C-E931-449D-8FF4-F39E0EC4FDF0}"/>
    <hyperlink ref="E124" r:id="rId11" xr:uid="{6A628E23-BC64-4A44-8248-4BF63FD51310}"/>
    <hyperlink ref="J136" r:id="rId12" location="Number_of_days_with_at_least_one_birthday" xr:uid="{7A4B127F-3BA4-4AEA-963F-2C1124A790F5}"/>
    <hyperlink ref="J137" r:id="rId13" xr:uid="{C65DA76F-F567-416C-9FA0-2EAB65D591EB}"/>
    <hyperlink ref="C54" r:id="rId14" display="extra time at same pay for trainees being trained (20 minutes out of 3 hours, p.21 of Tobi: https://web.archive.org/web/20080919152131/http://www.electiondefensealliance.org/files/Hand_Count_Elections_Steps_only_Sept_6_2007.pdf" xr:uid="{8D32C95B-E643-4F64-8470-2916A4B2585B}"/>
    <hyperlink ref="B43" r:id="rId15" xr:uid="{783A264B-99C6-46CD-BB09-8947AFBF7436}"/>
  </hyperlinks>
  <pageMargins left="0.7" right="0.7" top="0.75" bottom="0.75" header="0.3" footer="0.3"/>
  <pageSetup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0101E-8BF8-404D-AE80-C5A137CB3580}">
  <sheetPr>
    <tabColor rgb="FF006400"/>
  </sheetPr>
  <dimension ref="A1:AK1003"/>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RowHeight="13.8"/>
  <cols>
    <col min="1" max="1" width="30" customWidth="1"/>
    <col min="2" max="3" width="8.375" customWidth="1"/>
    <col min="4" max="6" width="11.125" customWidth="1"/>
    <col min="7" max="7" width="16.125" customWidth="1"/>
    <col min="8" max="8" width="10.875" customWidth="1"/>
    <col min="9" max="9" width="15" customWidth="1"/>
    <col min="10" max="10" width="9.75" customWidth="1"/>
    <col min="11" max="12" width="6.125" customWidth="1"/>
    <col min="13" max="13" width="10.5" customWidth="1"/>
    <col min="14" max="14" width="8.25" customWidth="1"/>
    <col min="15" max="15" width="10.75" customWidth="1"/>
    <col min="16" max="16" width="8.5" customWidth="1"/>
    <col min="17" max="17" width="7.875" customWidth="1"/>
    <col min="18" max="18" width="6.75" customWidth="1"/>
    <col min="19" max="19" width="7.125" customWidth="1"/>
    <col min="20" max="20" width="7.25" customWidth="1"/>
    <col min="21" max="21" width="15.25" customWidth="1"/>
    <col min="22" max="22" width="5.5" customWidth="1"/>
    <col min="23" max="23" width="5.25" customWidth="1"/>
    <col min="24" max="24" width="6.875" customWidth="1"/>
    <col min="25" max="25" width="4.125" customWidth="1"/>
    <col min="26" max="27" width="4.375" customWidth="1"/>
    <col min="28" max="28" width="4" customWidth="1"/>
  </cols>
  <sheetData>
    <row r="1" spans="1:37" ht="96.6">
      <c r="A1" s="4"/>
      <c r="B1" s="406" t="s">
        <v>8432</v>
      </c>
      <c r="C1" s="406" t="s">
        <v>8597</v>
      </c>
      <c r="D1" s="407" t="s">
        <v>8433</v>
      </c>
      <c r="E1" s="67" t="s">
        <v>8434</v>
      </c>
      <c r="F1" s="21" t="s">
        <v>8435</v>
      </c>
      <c r="G1" s="408" t="s">
        <v>8436</v>
      </c>
      <c r="H1" s="409" t="s">
        <v>8437</v>
      </c>
      <c r="I1" s="410" t="s">
        <v>8438</v>
      </c>
      <c r="J1" s="410"/>
      <c r="K1" s="411" t="s">
        <v>8439</v>
      </c>
      <c r="L1" s="412" t="s">
        <v>8440</v>
      </c>
      <c r="M1" s="410" t="s">
        <v>8441</v>
      </c>
      <c r="N1" s="413" t="s">
        <v>8442</v>
      </c>
      <c r="O1" s="410" t="s">
        <v>8443</v>
      </c>
      <c r="P1" s="414" t="s">
        <v>8444</v>
      </c>
      <c r="Q1" s="415" t="s">
        <v>8445</v>
      </c>
      <c r="R1" s="408" t="s">
        <v>8446</v>
      </c>
      <c r="S1" s="4" t="s">
        <v>8447</v>
      </c>
      <c r="T1" s="416" t="s">
        <v>8448</v>
      </c>
      <c r="U1" s="412" t="s">
        <v>8449</v>
      </c>
      <c r="V1" s="412" t="s">
        <v>8450</v>
      </c>
      <c r="W1" s="411"/>
      <c r="X1" s="4"/>
      <c r="Y1" s="4"/>
      <c r="Z1" s="417"/>
    </row>
    <row r="2" spans="1:37">
      <c r="A2" s="437" t="s">
        <v>8465</v>
      </c>
      <c r="B2" s="438">
        <f t="shared" ref="B2:B33" si="0">E2/D2</f>
        <v>0.66871541372295984</v>
      </c>
      <c r="C2" s="438">
        <f>B2/H2</f>
        <v>0.22290513790765329</v>
      </c>
      <c r="D2" s="504">
        <f>SUMPRODUCT(D68:D83,G68:G83)/SUM(G68:G83)</f>
        <v>18.853195876288659</v>
      </c>
      <c r="E2" s="440">
        <f>M2/G2</f>
        <v>12.607422680412371</v>
      </c>
      <c r="F2" s="440" t="s">
        <v>8452</v>
      </c>
      <c r="G2" s="504">
        <f>SUM(G68:G83)</f>
        <v>2425</v>
      </c>
      <c r="H2" s="441">
        <v>3</v>
      </c>
      <c r="I2" s="439">
        <v>2016</v>
      </c>
      <c r="J2" s="439" t="s">
        <v>8466</v>
      </c>
      <c r="K2" s="441" t="s">
        <v>8454</v>
      </c>
      <c r="L2" s="442"/>
      <c r="M2" s="549">
        <f>$H2*Q2</f>
        <v>30573</v>
      </c>
      <c r="N2" s="443"/>
      <c r="O2" s="549">
        <f>$H2*R2</f>
        <v>509.54999999999995</v>
      </c>
      <c r="P2" s="548"/>
      <c r="Q2" s="550">
        <f>SUM(Q68:Q83)</f>
        <v>10191</v>
      </c>
      <c r="R2" s="548">
        <f>SUM(R68:R83)</f>
        <v>169.85</v>
      </c>
      <c r="S2" s="440"/>
      <c r="T2" s="444"/>
      <c r="U2" s="445" t="s">
        <v>8467</v>
      </c>
      <c r="V2" s="437"/>
      <c r="W2" s="437"/>
      <c r="X2" s="437"/>
      <c r="Y2" s="437"/>
      <c r="Z2" s="437" t="s">
        <v>8457</v>
      </c>
      <c r="AC2" s="467" t="s">
        <v>8471</v>
      </c>
      <c r="AD2" s="467">
        <v>7.7756833176248819E-2</v>
      </c>
    </row>
    <row r="3" spans="1:37">
      <c r="A3" s="330" t="s">
        <v>8518</v>
      </c>
      <c r="B3" s="510">
        <f t="shared" si="0"/>
        <v>1.4920203905207161</v>
      </c>
      <c r="C3" s="419"/>
      <c r="D3" s="31">
        <v>1</v>
      </c>
      <c r="E3" s="510">
        <f>M3/G3</f>
        <v>1.4920203905207161</v>
      </c>
      <c r="F3" s="511" t="s">
        <v>8488</v>
      </c>
      <c r="G3" s="512">
        <f>SUMIF($U29:$U67,1,G29:G67)-G67-G66</f>
        <v>1836932</v>
      </c>
      <c r="H3" s="513"/>
      <c r="I3" s="511">
        <v>2004</v>
      </c>
      <c r="J3" s="511" t="s">
        <v>8519</v>
      </c>
      <c r="K3" s="31" t="s">
        <v>8454</v>
      </c>
      <c r="L3" s="514"/>
      <c r="M3" s="512">
        <f>SUMIF($U29:$U67,1,M29:M67)-M67-M66</f>
        <v>2740740</v>
      </c>
      <c r="N3" s="512">
        <f>SUMIF($U29:$U67,1,N29:N67)-N67-N66</f>
        <v>756341.30999999994</v>
      </c>
      <c r="O3" s="512">
        <f>SUMIF($U29:$U67,1,O29:O67)-O67-O66</f>
        <v>45679</v>
      </c>
      <c r="P3" s="31"/>
      <c r="Q3" s="31"/>
      <c r="R3" s="31"/>
      <c r="S3" s="515"/>
      <c r="T3" s="428">
        <f>N3/O3</f>
        <v>16.557746666958558</v>
      </c>
      <c r="U3" s="330"/>
      <c r="V3" s="330"/>
      <c r="W3" s="330"/>
      <c r="X3" s="330"/>
      <c r="Y3" s="330"/>
      <c r="Z3" s="515"/>
      <c r="AC3" s="467" t="s">
        <v>8468</v>
      </c>
      <c r="AD3" s="467">
        <v>9.375E-2</v>
      </c>
    </row>
    <row r="4" spans="1:37">
      <c r="A4" s="31" t="s">
        <v>8520</v>
      </c>
      <c r="B4" s="510">
        <f t="shared" si="0"/>
        <v>1.2708847694149705</v>
      </c>
      <c r="C4" s="419"/>
      <c r="D4" s="31">
        <v>1</v>
      </c>
      <c r="E4" s="510">
        <f>M4/G4</f>
        <v>1.2708847694149705</v>
      </c>
      <c r="F4" s="31"/>
      <c r="G4" s="512">
        <f>SUM(G29:G67)-G67-G66</f>
        <v>2422100</v>
      </c>
      <c r="H4" s="512"/>
      <c r="I4" s="31">
        <v>2004</v>
      </c>
      <c r="J4" s="31"/>
      <c r="K4" s="31"/>
      <c r="L4" s="32"/>
      <c r="M4" s="512">
        <f>SUM(M29:M67)-M67-M66</f>
        <v>3078210</v>
      </c>
      <c r="N4" s="427">
        <f>SUM(N29:N67)-N67</f>
        <v>910582.88</v>
      </c>
      <c r="O4" s="512">
        <f>SUM(O29:O67)-O67-O66</f>
        <v>51303.5</v>
      </c>
      <c r="P4" s="31"/>
      <c r="Q4" s="31"/>
      <c r="R4" s="31"/>
      <c r="S4" s="31"/>
      <c r="T4" s="428">
        <f>N4/O4</f>
        <v>17.748942664730478</v>
      </c>
      <c r="U4" s="516"/>
      <c r="V4" s="516"/>
      <c r="W4" s="516"/>
      <c r="X4" s="516"/>
      <c r="Y4" s="32"/>
      <c r="Z4" s="429" t="s">
        <v>8457</v>
      </c>
      <c r="AC4" t="s">
        <v>8483</v>
      </c>
      <c r="AD4">
        <v>0.10683681418555478</v>
      </c>
    </row>
    <row r="5" spans="1:37">
      <c r="A5" s="418" t="s">
        <v>8451</v>
      </c>
      <c r="B5" s="419">
        <f t="shared" si="0"/>
        <v>0.41666666666666663</v>
      </c>
      <c r="C5" s="419">
        <f>B5/H5</f>
        <v>8.3333333333333329E-2</v>
      </c>
      <c r="D5" s="420">
        <v>2</v>
      </c>
      <c r="E5" s="421">
        <f t="shared" ref="E5:E8" si="1">M5/G5</f>
        <v>0.83333333333333326</v>
      </c>
      <c r="F5" s="422" t="s">
        <v>8452</v>
      </c>
      <c r="G5" s="423">
        <v>1</v>
      </c>
      <c r="H5" s="424">
        <v>5</v>
      </c>
      <c r="I5" s="420">
        <v>2021</v>
      </c>
      <c r="J5" s="420" t="s">
        <v>8453</v>
      </c>
      <c r="K5" s="424" t="s">
        <v>8454</v>
      </c>
      <c r="L5" s="425" t="s">
        <v>8455</v>
      </c>
      <c r="M5" s="426">
        <f t="shared" ref="M5:M8" si="2">Q5*P5</f>
        <v>0.83333333333333326</v>
      </c>
      <c r="N5" s="427"/>
      <c r="O5" s="426"/>
      <c r="P5" s="424">
        <v>5</v>
      </c>
      <c r="Q5" s="419">
        <f>10/60</f>
        <v>0.16666666666666666</v>
      </c>
      <c r="R5" s="424"/>
      <c r="S5" s="422"/>
      <c r="T5" s="428"/>
      <c r="U5" s="425" t="s">
        <v>8456</v>
      </c>
      <c r="V5" s="418"/>
      <c r="W5" s="418" t="s">
        <v>6986</v>
      </c>
      <c r="X5" s="418"/>
      <c r="Y5" s="418"/>
      <c r="Z5" s="429" t="s">
        <v>8457</v>
      </c>
      <c r="AC5" t="s">
        <v>8527</v>
      </c>
      <c r="AD5">
        <v>0.12965526555694365</v>
      </c>
    </row>
    <row r="6" spans="1:37">
      <c r="A6" s="430" t="s">
        <v>8458</v>
      </c>
      <c r="B6" s="431">
        <f t="shared" si="0"/>
        <v>0.27731442869057549</v>
      </c>
      <c r="C6" s="419">
        <f>B6/H6</f>
        <v>0.13865721434528774</v>
      </c>
      <c r="D6" s="432">
        <v>11</v>
      </c>
      <c r="E6" s="421">
        <f t="shared" si="1"/>
        <v>3.0504587155963301</v>
      </c>
      <c r="F6" s="422" t="s">
        <v>8452</v>
      </c>
      <c r="G6" s="433">
        <v>2616</v>
      </c>
      <c r="H6" s="434">
        <v>2</v>
      </c>
      <c r="I6" s="432">
        <v>2020</v>
      </c>
      <c r="J6" s="432"/>
      <c r="K6" s="434" t="s">
        <v>8454</v>
      </c>
      <c r="L6" s="435" t="s">
        <v>8459</v>
      </c>
      <c r="M6" s="433">
        <f t="shared" si="2"/>
        <v>7980</v>
      </c>
      <c r="N6" s="427"/>
      <c r="O6" s="433"/>
      <c r="P6" s="434">
        <v>38</v>
      </c>
      <c r="Q6" s="434">
        <f>3.5*60</f>
        <v>210</v>
      </c>
      <c r="R6" s="434"/>
      <c r="S6" s="422"/>
      <c r="T6" s="436"/>
      <c r="U6" s="435" t="s">
        <v>8460</v>
      </c>
      <c r="V6" s="430"/>
      <c r="W6" s="418" t="s">
        <v>6986</v>
      </c>
      <c r="X6" s="430"/>
      <c r="Y6" s="430"/>
      <c r="Z6" s="429" t="s">
        <v>8457</v>
      </c>
      <c r="AC6" t="s">
        <v>8601</v>
      </c>
      <c r="AD6">
        <v>0.13835511145272866</v>
      </c>
    </row>
    <row r="7" spans="1:37">
      <c r="A7" s="430" t="s">
        <v>8461</v>
      </c>
      <c r="B7" s="431">
        <f t="shared" si="0"/>
        <v>0.25990903183885639</v>
      </c>
      <c r="C7" s="419">
        <f>B7/H7</f>
        <v>0.12995451591942819</v>
      </c>
      <c r="D7" s="432">
        <v>9</v>
      </c>
      <c r="E7" s="421">
        <f t="shared" si="1"/>
        <v>2.3391812865497075</v>
      </c>
      <c r="F7" s="422" t="s">
        <v>8452</v>
      </c>
      <c r="G7" s="433">
        <v>513</v>
      </c>
      <c r="H7" s="434">
        <v>2</v>
      </c>
      <c r="I7" s="432">
        <v>2020</v>
      </c>
      <c r="J7" s="432"/>
      <c r="K7" s="434" t="s">
        <v>8454</v>
      </c>
      <c r="L7" s="435" t="s">
        <v>8462</v>
      </c>
      <c r="M7" s="433">
        <f t="shared" si="2"/>
        <v>1200</v>
      </c>
      <c r="N7" s="427"/>
      <c r="O7" s="433"/>
      <c r="P7" s="434">
        <v>20</v>
      </c>
      <c r="Q7" s="434">
        <v>60</v>
      </c>
      <c r="R7" s="434"/>
      <c r="S7" s="422"/>
      <c r="T7" s="436"/>
      <c r="U7" s="435"/>
      <c r="V7" s="430"/>
      <c r="W7" s="418" t="s">
        <v>6986</v>
      </c>
      <c r="X7" s="430"/>
      <c r="Y7" s="430"/>
      <c r="Z7" s="429" t="s">
        <v>8457</v>
      </c>
      <c r="AC7" t="s">
        <v>8485</v>
      </c>
      <c r="AD7">
        <v>0.15090543259557343</v>
      </c>
    </row>
    <row r="8" spans="1:37">
      <c r="A8" s="430" t="s">
        <v>8463</v>
      </c>
      <c r="B8" s="431">
        <f t="shared" si="0"/>
        <v>0.21798365122615804</v>
      </c>
      <c r="C8" s="419">
        <f>B8/H8</f>
        <v>0.10899182561307902</v>
      </c>
      <c r="D8" s="432">
        <v>9</v>
      </c>
      <c r="E8" s="421">
        <f t="shared" si="1"/>
        <v>1.9618528610354224</v>
      </c>
      <c r="F8" s="422" t="s">
        <v>8452</v>
      </c>
      <c r="G8" s="433">
        <v>3670</v>
      </c>
      <c r="H8" s="434">
        <v>2</v>
      </c>
      <c r="I8" s="432">
        <v>2020</v>
      </c>
      <c r="J8" s="432"/>
      <c r="K8" s="434" t="s">
        <v>8454</v>
      </c>
      <c r="L8" s="435" t="s">
        <v>8464</v>
      </c>
      <c r="M8" s="433">
        <f t="shared" si="2"/>
        <v>7200</v>
      </c>
      <c r="N8" s="427"/>
      <c r="O8" s="433"/>
      <c r="P8" s="434">
        <v>20</v>
      </c>
      <c r="Q8" s="434">
        <f>6*60</f>
        <v>360</v>
      </c>
      <c r="R8" s="434"/>
      <c r="S8" s="422"/>
      <c r="T8" s="436"/>
      <c r="U8" s="435"/>
      <c r="V8" s="430"/>
      <c r="W8" s="418" t="s">
        <v>6986</v>
      </c>
      <c r="X8" s="430"/>
      <c r="Y8" s="430"/>
      <c r="Z8" s="429" t="s">
        <v>8457</v>
      </c>
      <c r="AC8" s="446" t="s">
        <v>8479</v>
      </c>
      <c r="AD8" s="446">
        <v>0.2</v>
      </c>
    </row>
    <row r="9" spans="1:37" ht="13.5" customHeight="1">
      <c r="A9" s="467" t="s">
        <v>8483</v>
      </c>
      <c r="B9" s="468">
        <f t="shared" si="0"/>
        <v>0.10683681418555478</v>
      </c>
      <c r="C9" s="468"/>
      <c r="D9" s="469">
        <v>7</v>
      </c>
      <c r="E9" s="470">
        <f t="shared" ref="E9:E11" si="3">M9/G9</f>
        <v>0.74785769929888346</v>
      </c>
      <c r="F9" s="470" t="s">
        <v>8452</v>
      </c>
      <c r="G9" s="469">
        <v>3851</v>
      </c>
      <c r="H9" s="469"/>
      <c r="I9" s="469">
        <v>2012</v>
      </c>
      <c r="J9" s="469" t="s">
        <v>8484</v>
      </c>
      <c r="K9" s="469" t="s">
        <v>8454</v>
      </c>
      <c r="L9" s="471"/>
      <c r="M9" s="472">
        <f t="shared" ref="M9:M11" si="4">O9*60</f>
        <v>2880</v>
      </c>
      <c r="N9" s="473"/>
      <c r="O9" s="472">
        <v>48</v>
      </c>
      <c r="P9" s="469"/>
      <c r="Q9" s="470"/>
      <c r="R9" s="469"/>
      <c r="S9" s="470"/>
      <c r="T9" s="474"/>
      <c r="U9" s="475" t="s">
        <v>8598</v>
      </c>
      <c r="V9" s="475"/>
      <c r="W9" s="467"/>
      <c r="X9" s="471"/>
      <c r="Y9" s="467"/>
      <c r="Z9" s="467"/>
      <c r="AA9" s="467"/>
      <c r="AB9" s="467"/>
      <c r="AC9" t="s">
        <v>8568</v>
      </c>
      <c r="AD9">
        <v>0.20964767543433951</v>
      </c>
      <c r="AE9" s="551"/>
      <c r="AF9" s="551"/>
      <c r="AG9" s="551"/>
      <c r="AH9" s="551"/>
      <c r="AI9" s="467"/>
      <c r="AJ9" s="467"/>
      <c r="AK9" s="552"/>
    </row>
    <row r="10" spans="1:37" ht="13.5" customHeight="1">
      <c r="A10" s="467" t="s">
        <v>8485</v>
      </c>
      <c r="B10" s="468">
        <f t="shared" si="0"/>
        <v>0.15090543259557343</v>
      </c>
      <c r="C10" s="468"/>
      <c r="D10" s="469">
        <v>7</v>
      </c>
      <c r="E10" s="470">
        <f t="shared" si="3"/>
        <v>1.056338028169014</v>
      </c>
      <c r="F10" s="470" t="s">
        <v>8452</v>
      </c>
      <c r="G10" s="469">
        <v>2272</v>
      </c>
      <c r="H10" s="469"/>
      <c r="I10" s="469">
        <v>2012</v>
      </c>
      <c r="J10" s="469"/>
      <c r="K10" s="469" t="s">
        <v>8454</v>
      </c>
      <c r="L10" s="471"/>
      <c r="M10" s="472">
        <f t="shared" si="4"/>
        <v>2400</v>
      </c>
      <c r="N10" s="473"/>
      <c r="O10" s="472">
        <v>40</v>
      </c>
      <c r="P10" s="469"/>
      <c r="Q10" s="470"/>
      <c r="R10" s="469"/>
      <c r="S10" s="470"/>
      <c r="T10" s="474"/>
      <c r="U10" s="475"/>
      <c r="V10" s="475"/>
      <c r="W10" s="467"/>
      <c r="X10" s="471"/>
      <c r="Y10" s="467"/>
      <c r="Z10" s="467"/>
      <c r="AA10" s="467"/>
      <c r="AB10" s="467"/>
      <c r="AC10" t="s">
        <v>8463</v>
      </c>
      <c r="AD10">
        <v>0.21798365122615804</v>
      </c>
      <c r="AE10" s="551"/>
      <c r="AF10" s="551"/>
      <c r="AG10" s="551"/>
      <c r="AH10" s="551"/>
      <c r="AI10" s="467"/>
      <c r="AJ10" s="467"/>
      <c r="AK10" s="552"/>
    </row>
    <row r="11" spans="1:37" ht="13.5" customHeight="1">
      <c r="A11" s="467" t="s">
        <v>8486</v>
      </c>
      <c r="B11" s="468">
        <f t="shared" si="0"/>
        <v>0.31053459119496857</v>
      </c>
      <c r="C11" s="468"/>
      <c r="D11" s="469">
        <v>6</v>
      </c>
      <c r="E11" s="470">
        <f t="shared" si="3"/>
        <v>1.8632075471698113</v>
      </c>
      <c r="F11" s="470" t="s">
        <v>8452</v>
      </c>
      <c r="G11" s="469">
        <v>2544</v>
      </c>
      <c r="H11" s="469"/>
      <c r="I11" s="469">
        <v>2012</v>
      </c>
      <c r="J11" s="469"/>
      <c r="K11" s="469" t="s">
        <v>8454</v>
      </c>
      <c r="L11" s="471"/>
      <c r="M11" s="472">
        <f t="shared" si="4"/>
        <v>4740</v>
      </c>
      <c r="N11" s="473"/>
      <c r="O11" s="472">
        <v>79</v>
      </c>
      <c r="P11" s="469"/>
      <c r="Q11" s="470"/>
      <c r="R11" s="469"/>
      <c r="S11" s="470"/>
      <c r="T11" s="474"/>
      <c r="U11" s="475"/>
      <c r="V11" s="475"/>
      <c r="W11" s="467"/>
      <c r="X11" s="471"/>
      <c r="Y11" s="467"/>
      <c r="Z11" s="467"/>
      <c r="AA11" s="467"/>
      <c r="AB11" s="467"/>
      <c r="AC11" t="s">
        <v>8525</v>
      </c>
      <c r="AD11">
        <v>0.22160828519508916</v>
      </c>
      <c r="AE11" s="551"/>
      <c r="AF11" s="551"/>
      <c r="AG11" s="551"/>
      <c r="AH11" s="551"/>
      <c r="AI11" s="467"/>
      <c r="AJ11" s="467"/>
      <c r="AK11" s="552"/>
    </row>
    <row r="12" spans="1:37">
      <c r="A12" s="418" t="s">
        <v>8502</v>
      </c>
      <c r="B12" s="419">
        <f t="shared" si="0"/>
        <v>0.26794258373205743</v>
      </c>
      <c r="C12" s="419">
        <f t="shared" ref="C12:C21" si="5">B12/H12</f>
        <v>8.9314194577352471E-2</v>
      </c>
      <c r="D12" s="420">
        <v>20</v>
      </c>
      <c r="E12" s="422">
        <f>M12/G12</f>
        <v>5.3588516746411488</v>
      </c>
      <c r="F12" s="420" t="s">
        <v>8488</v>
      </c>
      <c r="G12" s="424">
        <v>627</v>
      </c>
      <c r="H12" s="424">
        <v>3</v>
      </c>
      <c r="I12" s="420">
        <v>2007</v>
      </c>
      <c r="J12" s="420" t="s">
        <v>8503</v>
      </c>
      <c r="K12" s="424" t="s">
        <v>8454</v>
      </c>
      <c r="L12" s="466" t="s">
        <v>8504</v>
      </c>
      <c r="M12" s="433">
        <f>Q12*P12</f>
        <v>3360</v>
      </c>
      <c r="N12" s="427"/>
      <c r="O12" s="433"/>
      <c r="P12" s="424">
        <v>21</v>
      </c>
      <c r="Q12" s="424">
        <f>3*60-20</f>
        <v>160</v>
      </c>
      <c r="R12" s="424"/>
      <c r="S12" s="420"/>
      <c r="T12" s="428"/>
      <c r="U12" s="23" t="s">
        <v>8599</v>
      </c>
      <c r="V12" s="494">
        <f>SUM(W12:Y12)</f>
        <v>0.58870608168360983</v>
      </c>
      <c r="W12" s="494">
        <f>240/(630*2.67/3)</f>
        <v>0.42803638309256292</v>
      </c>
      <c r="X12" s="494">
        <f>20/160</f>
        <v>0.125</v>
      </c>
      <c r="Y12" s="494">
        <f>2*1/(21*2.67)</f>
        <v>3.5669698591046906E-2</v>
      </c>
      <c r="Z12" s="429" t="s">
        <v>8457</v>
      </c>
      <c r="AC12" t="s">
        <v>8542</v>
      </c>
      <c r="AD12">
        <v>0.2572306117225493</v>
      </c>
    </row>
    <row r="13" spans="1:37" ht="13.5" customHeight="1">
      <c r="A13" s="446" t="s">
        <v>8468</v>
      </c>
      <c r="B13" s="447">
        <f t="shared" si="0"/>
        <v>9.375E-2</v>
      </c>
      <c r="C13" s="447">
        <f t="shared" si="5"/>
        <v>1.5625E-2</v>
      </c>
      <c r="D13" s="448">
        <v>8</v>
      </c>
      <c r="E13" s="449">
        <f t="shared" ref="E13:E14" si="6">M13/G13</f>
        <v>0.75</v>
      </c>
      <c r="F13" s="449" t="s">
        <v>8452</v>
      </c>
      <c r="G13" s="450">
        <v>600</v>
      </c>
      <c r="H13" s="450">
        <v>6</v>
      </c>
      <c r="I13" s="450">
        <v>2022</v>
      </c>
      <c r="J13" s="450"/>
      <c r="K13" s="450" t="s">
        <v>8454</v>
      </c>
      <c r="L13" s="446" t="s">
        <v>8469</v>
      </c>
      <c r="M13" s="451">
        <f t="shared" ref="M13:M14" si="7">O13*60</f>
        <v>450</v>
      </c>
      <c r="N13" s="452"/>
      <c r="O13" s="453">
        <v>7.5</v>
      </c>
      <c r="P13" s="450"/>
      <c r="Q13" s="450"/>
      <c r="R13" s="450"/>
      <c r="S13" s="449"/>
      <c r="T13" s="454"/>
      <c r="U13" s="455" t="s">
        <v>8470</v>
      </c>
      <c r="V13" s="456"/>
      <c r="W13" s="446"/>
      <c r="X13" s="457"/>
      <c r="Y13" s="446"/>
      <c r="Z13" s="446"/>
      <c r="AA13" s="446"/>
      <c r="AB13" s="446"/>
      <c r="AC13" t="s">
        <v>8461</v>
      </c>
      <c r="AD13">
        <v>0.25990903183885639</v>
      </c>
      <c r="AE13" s="546"/>
      <c r="AF13" s="546"/>
      <c r="AG13" s="546"/>
      <c r="AH13" s="546"/>
      <c r="AI13" s="446"/>
      <c r="AJ13" s="446"/>
      <c r="AK13" s="547"/>
    </row>
    <row r="14" spans="1:37" ht="13.5" customHeight="1">
      <c r="A14" s="446" t="s">
        <v>8471</v>
      </c>
      <c r="B14" s="447">
        <f t="shared" si="0"/>
        <v>7.7756833176248819E-2</v>
      </c>
      <c r="C14" s="447">
        <f t="shared" si="5"/>
        <v>1.9439208294062205E-2</v>
      </c>
      <c r="D14" s="448">
        <v>8</v>
      </c>
      <c r="E14" s="449">
        <f t="shared" si="6"/>
        <v>0.62205466540999055</v>
      </c>
      <c r="F14" s="449" t="s">
        <v>8452</v>
      </c>
      <c r="G14" s="451">
        <v>1061</v>
      </c>
      <c r="H14" s="450">
        <v>4</v>
      </c>
      <c r="I14" s="450">
        <v>2022</v>
      </c>
      <c r="J14" s="450"/>
      <c r="K14" s="450" t="s">
        <v>8454</v>
      </c>
      <c r="L14" s="457"/>
      <c r="M14" s="451">
        <f t="shared" si="7"/>
        <v>660</v>
      </c>
      <c r="N14" s="452"/>
      <c r="O14" s="453">
        <v>11</v>
      </c>
      <c r="P14" s="450"/>
      <c r="Q14" s="450"/>
      <c r="R14" s="450"/>
      <c r="S14" s="449"/>
      <c r="T14" s="454"/>
      <c r="U14" s="455" t="s">
        <v>8470</v>
      </c>
      <c r="V14" s="456"/>
      <c r="W14" s="446"/>
      <c r="X14" s="457"/>
      <c r="Y14" s="446"/>
      <c r="Z14" s="446"/>
      <c r="AA14" s="446"/>
      <c r="AB14" s="446"/>
      <c r="AC14" t="s">
        <v>8551</v>
      </c>
      <c r="AD14">
        <v>0.26223935411418337</v>
      </c>
      <c r="AE14" s="546"/>
      <c r="AF14" s="546"/>
      <c r="AG14" s="546"/>
      <c r="AH14" s="546"/>
      <c r="AI14" s="446"/>
      <c r="AJ14" s="446"/>
      <c r="AK14" s="547"/>
    </row>
    <row r="15" spans="1:37">
      <c r="A15" s="418" t="s">
        <v>8479</v>
      </c>
      <c r="B15" s="419">
        <f t="shared" si="0"/>
        <v>0.2</v>
      </c>
      <c r="C15" s="419">
        <f t="shared" si="5"/>
        <v>0.04</v>
      </c>
      <c r="D15" s="424">
        <v>1</v>
      </c>
      <c r="E15" s="422">
        <f>Q15*P15/G15</f>
        <v>0.2</v>
      </c>
      <c r="F15" s="422" t="s">
        <v>8480</v>
      </c>
      <c r="G15" s="424">
        <v>1000</v>
      </c>
      <c r="H15" s="424">
        <v>5</v>
      </c>
      <c r="I15" s="424">
        <v>2015</v>
      </c>
      <c r="J15" s="424" t="s">
        <v>8481</v>
      </c>
      <c r="K15" s="424" t="s">
        <v>8454</v>
      </c>
      <c r="L15" s="425" t="s">
        <v>8475</v>
      </c>
      <c r="M15" s="433">
        <f>Q15*P15</f>
        <v>200</v>
      </c>
      <c r="N15" s="427"/>
      <c r="O15" s="433"/>
      <c r="P15" s="424">
        <v>5</v>
      </c>
      <c r="Q15" s="422">
        <v>40</v>
      </c>
      <c r="R15" s="424"/>
      <c r="S15" s="422"/>
      <c r="T15" s="428"/>
      <c r="U15" s="466" t="s">
        <v>8482</v>
      </c>
      <c r="V15" s="466"/>
      <c r="W15" s="418" t="s">
        <v>6986</v>
      </c>
      <c r="X15" s="425"/>
      <c r="Y15" s="418"/>
      <c r="Z15" s="429" t="s">
        <v>8457</v>
      </c>
      <c r="AC15" t="s">
        <v>8543</v>
      </c>
      <c r="AD15">
        <v>0.28926060089494993</v>
      </c>
    </row>
    <row r="16" spans="1:37">
      <c r="A16" s="476" t="s">
        <v>8487</v>
      </c>
      <c r="B16" s="477">
        <f t="shared" si="0"/>
        <v>0.71308016877637137</v>
      </c>
      <c r="C16" s="419">
        <f t="shared" si="5"/>
        <v>0.2376933895921238</v>
      </c>
      <c r="D16" s="478">
        <v>1</v>
      </c>
      <c r="E16" s="479">
        <f t="shared" ref="E16:E19" si="8">Q16*P16/G16</f>
        <v>0.71308016877637137</v>
      </c>
      <c r="F16" s="479" t="s">
        <v>8488</v>
      </c>
      <c r="G16" s="478">
        <f t="shared" ref="G16:G17" si="9">120*16</f>
        <v>1920</v>
      </c>
      <c r="H16" s="478">
        <v>3</v>
      </c>
      <c r="I16" s="478">
        <v>2012</v>
      </c>
      <c r="J16" s="478"/>
      <c r="K16" s="478" t="s">
        <v>8454</v>
      </c>
      <c r="L16" s="480" t="s">
        <v>8455</v>
      </c>
      <c r="M16" s="481">
        <f t="shared" ref="M16:M19" si="10">Q16*P16</f>
        <v>1369.1139240506329</v>
      </c>
      <c r="N16" s="482"/>
      <c r="O16" s="481"/>
      <c r="P16" s="478">
        <f t="shared" ref="P16:P17" si="11">16*3</f>
        <v>48</v>
      </c>
      <c r="Q16" s="479">
        <f>8.45*40/11.85</f>
        <v>28.523206751054854</v>
      </c>
      <c r="R16" s="478"/>
      <c r="S16" s="479"/>
      <c r="T16" s="483"/>
      <c r="U16" s="484"/>
      <c r="V16" s="484"/>
      <c r="W16" s="476"/>
      <c r="X16" s="480"/>
      <c r="Y16" s="476"/>
      <c r="Z16" s="476"/>
      <c r="AC16" t="s">
        <v>8491</v>
      </c>
      <c r="AD16">
        <v>0.29817158931082988</v>
      </c>
    </row>
    <row r="17" spans="1:30">
      <c r="A17" s="476" t="s">
        <v>8489</v>
      </c>
      <c r="B17" s="477">
        <f t="shared" si="0"/>
        <v>0.50632911392405067</v>
      </c>
      <c r="C17" s="419">
        <f t="shared" si="5"/>
        <v>0.1687763713080169</v>
      </c>
      <c r="D17" s="478">
        <v>1</v>
      </c>
      <c r="E17" s="479">
        <f t="shared" si="8"/>
        <v>0.50632911392405067</v>
      </c>
      <c r="F17" s="479" t="s">
        <v>8488</v>
      </c>
      <c r="G17" s="478">
        <f t="shared" si="9"/>
        <v>1920</v>
      </c>
      <c r="H17" s="478">
        <v>3</v>
      </c>
      <c r="I17" s="478">
        <v>2012</v>
      </c>
      <c r="J17" s="478"/>
      <c r="K17" s="478" t="s">
        <v>8454</v>
      </c>
      <c r="L17" s="480" t="s">
        <v>8455</v>
      </c>
      <c r="M17" s="481">
        <f t="shared" si="10"/>
        <v>972.15189873417728</v>
      </c>
      <c r="N17" s="482"/>
      <c r="O17" s="481"/>
      <c r="P17" s="478">
        <f t="shared" si="11"/>
        <v>48</v>
      </c>
      <c r="Q17" s="479">
        <f>6*40/11.85</f>
        <v>20.253164556962027</v>
      </c>
      <c r="R17" s="478"/>
      <c r="S17" s="479"/>
      <c r="T17" s="483"/>
      <c r="U17" s="484"/>
      <c r="V17" s="484"/>
      <c r="W17" s="476"/>
      <c r="X17" s="480"/>
      <c r="Y17" s="476"/>
      <c r="Z17" s="476"/>
      <c r="AC17" t="s">
        <v>8486</v>
      </c>
      <c r="AD17">
        <v>0.31053459119496857</v>
      </c>
    </row>
    <row r="18" spans="1:30">
      <c r="A18" s="476" t="s">
        <v>8490</v>
      </c>
      <c r="B18" s="477">
        <f t="shared" si="0"/>
        <v>0.47819971870604783</v>
      </c>
      <c r="C18" s="419">
        <f t="shared" si="5"/>
        <v>0.11954992967651196</v>
      </c>
      <c r="D18" s="478">
        <v>1</v>
      </c>
      <c r="E18" s="479">
        <f t="shared" si="8"/>
        <v>0.47819971870604783</v>
      </c>
      <c r="F18" s="479" t="s">
        <v>8488</v>
      </c>
      <c r="G18" s="478">
        <f t="shared" ref="G18:G19" si="12">120*15</f>
        <v>1800</v>
      </c>
      <c r="H18" s="478">
        <v>4</v>
      </c>
      <c r="I18" s="478">
        <v>2012</v>
      </c>
      <c r="J18" s="478"/>
      <c r="K18" s="478" t="s">
        <v>8454</v>
      </c>
      <c r="L18" s="480" t="s">
        <v>8455</v>
      </c>
      <c r="M18" s="481">
        <f t="shared" si="10"/>
        <v>860.75949367088606</v>
      </c>
      <c r="N18" s="482"/>
      <c r="O18" s="481"/>
      <c r="P18" s="478">
        <f t="shared" ref="P18:P19" si="13">15*4</f>
        <v>60</v>
      </c>
      <c r="Q18" s="479">
        <f>4.25*40/11.85</f>
        <v>14.345991561181435</v>
      </c>
      <c r="R18" s="478"/>
      <c r="S18" s="479"/>
      <c r="T18" s="483"/>
      <c r="U18" s="484"/>
      <c r="V18" s="484"/>
      <c r="W18" s="476"/>
      <c r="X18" s="480"/>
      <c r="Y18" s="476"/>
      <c r="Z18" s="476"/>
      <c r="AC18" t="s">
        <v>8548</v>
      </c>
      <c r="AD18">
        <v>0.31442663378545005</v>
      </c>
    </row>
    <row r="19" spans="1:30">
      <c r="A19" s="476" t="s">
        <v>8491</v>
      </c>
      <c r="B19" s="477">
        <f t="shared" si="0"/>
        <v>0.29817158931082988</v>
      </c>
      <c r="C19" s="419">
        <f t="shared" si="5"/>
        <v>7.4542897327707469E-2</v>
      </c>
      <c r="D19" s="478">
        <v>1</v>
      </c>
      <c r="E19" s="479">
        <f t="shared" si="8"/>
        <v>0.29817158931082988</v>
      </c>
      <c r="F19" s="479" t="s">
        <v>8488</v>
      </c>
      <c r="G19" s="478">
        <f t="shared" si="12"/>
        <v>1800</v>
      </c>
      <c r="H19" s="478">
        <v>4</v>
      </c>
      <c r="I19" s="478">
        <v>2012</v>
      </c>
      <c r="J19" s="478"/>
      <c r="K19" s="478" t="s">
        <v>8454</v>
      </c>
      <c r="L19" s="480" t="s">
        <v>8455</v>
      </c>
      <c r="M19" s="481">
        <f t="shared" si="10"/>
        <v>536.70886075949375</v>
      </c>
      <c r="N19" s="482"/>
      <c r="O19" s="481"/>
      <c r="P19" s="478">
        <f t="shared" si="13"/>
        <v>60</v>
      </c>
      <c r="Q19" s="479">
        <f>2.65*40/11.85</f>
        <v>8.9451476793248954</v>
      </c>
      <c r="R19" s="478"/>
      <c r="S19" s="479"/>
      <c r="T19" s="483"/>
      <c r="U19" s="484"/>
      <c r="V19" s="484"/>
      <c r="W19" s="476"/>
      <c r="X19" s="480"/>
      <c r="Y19" s="476"/>
      <c r="Z19" s="476"/>
      <c r="AC19" t="s">
        <v>8510</v>
      </c>
      <c r="AD19">
        <v>0.32665832290362956</v>
      </c>
    </row>
    <row r="20" spans="1:30">
      <c r="A20" s="458" t="s">
        <v>8472</v>
      </c>
      <c r="B20" s="459">
        <f t="shared" si="0"/>
        <v>2.0599190283400812</v>
      </c>
      <c r="C20" s="419">
        <f t="shared" si="5"/>
        <v>1.0299595141700406</v>
      </c>
      <c r="D20" s="460">
        <v>3</v>
      </c>
      <c r="E20" s="461">
        <f>M20/G20</f>
        <v>6.1797570850202437</v>
      </c>
      <c r="F20" s="422" t="s">
        <v>8473</v>
      </c>
      <c r="G20" s="460">
        <v>247</v>
      </c>
      <c r="H20" s="460">
        <v>2</v>
      </c>
      <c r="I20" s="460">
        <v>2016</v>
      </c>
      <c r="J20" s="460" t="s">
        <v>8474</v>
      </c>
      <c r="K20" s="460" t="s">
        <v>8454</v>
      </c>
      <c r="L20" s="462" t="s">
        <v>8475</v>
      </c>
      <c r="M20" s="463">
        <f>O20*60</f>
        <v>1526.4</v>
      </c>
      <c r="N20" s="427">
        <v>380</v>
      </c>
      <c r="O20" s="423">
        <f>6*4.24</f>
        <v>25.44</v>
      </c>
      <c r="P20" s="460"/>
      <c r="Q20" s="460"/>
      <c r="R20" s="460"/>
      <c r="S20" s="422"/>
      <c r="T20" s="464">
        <f>N20/O20</f>
        <v>14.937106918238992</v>
      </c>
      <c r="U20" s="465" t="s">
        <v>8476</v>
      </c>
      <c r="V20" s="465"/>
      <c r="W20" s="418" t="s">
        <v>6986</v>
      </c>
      <c r="X20" s="462"/>
      <c r="Y20" s="458"/>
      <c r="Z20" s="429" t="s">
        <v>8457</v>
      </c>
      <c r="AC20" s="467" t="s">
        <v>8502</v>
      </c>
      <c r="AD20" s="467">
        <v>0.26794258373205743</v>
      </c>
    </row>
    <row r="21" spans="1:30">
      <c r="A21" s="458" t="s">
        <v>8477</v>
      </c>
      <c r="B21" s="459">
        <f t="shared" si="0"/>
        <v>1.7560975609756098</v>
      </c>
      <c r="C21" s="419">
        <f t="shared" si="5"/>
        <v>0.87804878048780488</v>
      </c>
      <c r="D21" s="460">
        <v>3</v>
      </c>
      <c r="E21" s="461">
        <f>M21/G21</f>
        <v>5.2682926829268295</v>
      </c>
      <c r="F21" s="422" t="s">
        <v>8473</v>
      </c>
      <c r="G21" s="460">
        <v>82</v>
      </c>
      <c r="H21" s="460">
        <v>2</v>
      </c>
      <c r="I21" s="460">
        <v>2016</v>
      </c>
      <c r="J21" s="460" t="s">
        <v>8478</v>
      </c>
      <c r="K21" s="460" t="s">
        <v>8454</v>
      </c>
      <c r="L21" s="462" t="s">
        <v>8475</v>
      </c>
      <c r="M21" s="463">
        <f t="shared" ref="M21" si="14">O21*60</f>
        <v>432</v>
      </c>
      <c r="N21" s="427">
        <v>108</v>
      </c>
      <c r="O21" s="423">
        <f>1.8*4</f>
        <v>7.2</v>
      </c>
      <c r="P21" s="460"/>
      <c r="Q21" s="460"/>
      <c r="R21" s="460"/>
      <c r="S21" s="422"/>
      <c r="T21" s="464">
        <f t="shared" ref="T21" si="15">N21/O21</f>
        <v>15</v>
      </c>
      <c r="U21" s="465"/>
      <c r="V21" s="465"/>
      <c r="W21" s="418" t="s">
        <v>6986</v>
      </c>
      <c r="X21" s="462"/>
      <c r="Y21" s="458"/>
      <c r="Z21" s="429" t="s">
        <v>8457</v>
      </c>
      <c r="AC21" t="s">
        <v>8458</v>
      </c>
      <c r="AD21">
        <v>0.27731442869057549</v>
      </c>
    </row>
    <row r="22" spans="1:30">
      <c r="A22" s="485" t="s">
        <v>8492</v>
      </c>
      <c r="B22" s="486">
        <f t="shared" si="0"/>
        <v>5.8741258741258742</v>
      </c>
      <c r="C22" s="419"/>
      <c r="D22" s="487">
        <v>3</v>
      </c>
      <c r="E22" s="488">
        <f t="shared" ref="E22:E40" si="16">M22/G22</f>
        <v>17.622377622377623</v>
      </c>
      <c r="F22" s="488" t="s">
        <v>8493</v>
      </c>
      <c r="G22" s="489">
        <v>143</v>
      </c>
      <c r="H22" s="489"/>
      <c r="I22" s="487">
        <f>I24</f>
        <v>2011</v>
      </c>
      <c r="J22" s="487" t="s">
        <v>8494</v>
      </c>
      <c r="K22" s="489" t="s">
        <v>8454</v>
      </c>
      <c r="L22" s="490" t="s">
        <v>8495</v>
      </c>
      <c r="M22" s="491">
        <f>42*60</f>
        <v>2520</v>
      </c>
      <c r="N22" s="492"/>
      <c r="O22" s="491"/>
      <c r="P22" s="489"/>
      <c r="Q22" s="489"/>
      <c r="R22" s="489"/>
      <c r="S22" s="488"/>
      <c r="T22" s="493"/>
      <c r="U22" s="490" t="s">
        <v>8496</v>
      </c>
      <c r="V22" s="490">
        <f>MIN(2.5,B22)</f>
        <v>2.5</v>
      </c>
      <c r="W22" s="418" t="s">
        <v>6986</v>
      </c>
      <c r="X22" s="485"/>
      <c r="Y22" s="485"/>
      <c r="Z22" s="429" t="s">
        <v>8457</v>
      </c>
      <c r="AC22">
        <v>376700</v>
      </c>
      <c r="AD22">
        <v>0.3662733529990167</v>
      </c>
    </row>
    <row r="23" spans="1:30">
      <c r="A23" s="485" t="s">
        <v>8497</v>
      </c>
      <c r="B23" s="486">
        <f t="shared" si="0"/>
        <v>1.8181818181818181</v>
      </c>
      <c r="C23" s="419"/>
      <c r="D23" s="487">
        <v>2</v>
      </c>
      <c r="E23" s="488">
        <f t="shared" si="16"/>
        <v>3.6363636363636362</v>
      </c>
      <c r="F23" s="488" t="s">
        <v>8493</v>
      </c>
      <c r="G23" s="489">
        <v>198</v>
      </c>
      <c r="H23" s="489"/>
      <c r="I23" s="487">
        <v>2011</v>
      </c>
      <c r="J23" s="487" t="s">
        <v>8498</v>
      </c>
      <c r="K23" s="489" t="s">
        <v>8454</v>
      </c>
      <c r="L23" s="490" t="s">
        <v>8495</v>
      </c>
      <c r="M23" s="491">
        <f>60*(12)</f>
        <v>720</v>
      </c>
      <c r="N23" s="492"/>
      <c r="O23" s="491"/>
      <c r="P23" s="489"/>
      <c r="Q23" s="489">
        <f>3*60+15</f>
        <v>195</v>
      </c>
      <c r="R23" s="489"/>
      <c r="S23" s="488"/>
      <c r="T23" s="493"/>
      <c r="U23" s="490"/>
      <c r="V23" s="490">
        <f>MIN(2.5,B23)</f>
        <v>1.8181818181818181</v>
      </c>
      <c r="W23" s="418" t="s">
        <v>6986</v>
      </c>
      <c r="X23" s="485"/>
      <c r="Y23" s="485"/>
      <c r="Z23" s="429" t="s">
        <v>8457</v>
      </c>
      <c r="AC23" t="s">
        <v>8561</v>
      </c>
      <c r="AD23">
        <v>0.37836240023647649</v>
      </c>
    </row>
    <row r="24" spans="1:30">
      <c r="A24" s="485" t="s">
        <v>8499</v>
      </c>
      <c r="B24" s="486">
        <f t="shared" si="0"/>
        <v>1.9271948608137044</v>
      </c>
      <c r="C24" s="419"/>
      <c r="D24" s="487">
        <v>1</v>
      </c>
      <c r="E24" s="488">
        <f t="shared" si="16"/>
        <v>1.9271948608137044</v>
      </c>
      <c r="F24" s="488" t="s">
        <v>8500</v>
      </c>
      <c r="G24" s="489">
        <f>446+21</f>
        <v>467</v>
      </c>
      <c r="H24" s="489"/>
      <c r="I24" s="487">
        <f>I23</f>
        <v>2011</v>
      </c>
      <c r="J24" s="487" t="s">
        <v>8498</v>
      </c>
      <c r="K24" s="489" t="s">
        <v>8501</v>
      </c>
      <c r="L24" s="490" t="s">
        <v>8495</v>
      </c>
      <c r="M24" s="491">
        <f>15*60</f>
        <v>900</v>
      </c>
      <c r="N24" s="492"/>
      <c r="O24" s="491"/>
      <c r="P24" s="489"/>
      <c r="Q24" s="489"/>
      <c r="R24" s="489"/>
      <c r="S24" s="488"/>
      <c r="T24" s="493"/>
      <c r="U24" s="490"/>
      <c r="V24" s="490"/>
      <c r="W24" s="418" t="s">
        <v>6986</v>
      </c>
      <c r="X24" s="485"/>
      <c r="Y24" s="485"/>
      <c r="Z24" s="429" t="s">
        <v>8457</v>
      </c>
      <c r="AC24" t="s">
        <v>8534</v>
      </c>
      <c r="AD24">
        <v>0.39160424237929242</v>
      </c>
    </row>
    <row r="25" spans="1:30">
      <c r="A25" s="495" t="s">
        <v>8505</v>
      </c>
      <c r="B25" s="496">
        <f t="shared" si="0"/>
        <v>0.54054054054054057</v>
      </c>
      <c r="C25" s="419">
        <f>B25/H25</f>
        <v>0.1801801801801802</v>
      </c>
      <c r="D25" s="497">
        <v>39</v>
      </c>
      <c r="E25" s="498">
        <f t="shared" si="16"/>
        <v>21.081081081081081</v>
      </c>
      <c r="F25" s="498" t="s">
        <v>8488</v>
      </c>
      <c r="G25" s="499">
        <v>592</v>
      </c>
      <c r="H25" s="497">
        <v>3</v>
      </c>
      <c r="I25" s="497">
        <v>2006</v>
      </c>
      <c r="J25" s="497" t="s">
        <v>8506</v>
      </c>
      <c r="K25" s="497" t="s">
        <v>8507</v>
      </c>
      <c r="L25" s="500"/>
      <c r="M25" s="463">
        <f t="shared" ref="M25:M26" si="17">O25*60</f>
        <v>12480</v>
      </c>
      <c r="N25" s="501"/>
      <c r="O25" s="499">
        <v>208</v>
      </c>
      <c r="P25" s="497"/>
      <c r="Q25" s="497"/>
      <c r="R25" s="497"/>
      <c r="S25" s="502" t="s">
        <v>8508</v>
      </c>
      <c r="T25" s="503"/>
      <c r="U25" s="418" t="s">
        <v>8509</v>
      </c>
      <c r="V25" s="495"/>
      <c r="W25" s="495"/>
      <c r="X25" s="495"/>
      <c r="Y25" s="495"/>
      <c r="Z25" s="429" t="s">
        <v>8457</v>
      </c>
      <c r="AC25">
        <v>442800</v>
      </c>
      <c r="AD25">
        <v>0.40683962264150941</v>
      </c>
    </row>
    <row r="26" spans="1:30">
      <c r="A26" s="495" t="s">
        <v>8510</v>
      </c>
      <c r="B26" s="496">
        <f t="shared" si="0"/>
        <v>0.32665832290362956</v>
      </c>
      <c r="C26" s="419">
        <f>B26/H26</f>
        <v>0.10888610763454319</v>
      </c>
      <c r="D26" s="497">
        <v>34</v>
      </c>
      <c r="E26" s="498">
        <f t="shared" si="16"/>
        <v>11.106382978723405</v>
      </c>
      <c r="F26" s="498" t="s">
        <v>8488</v>
      </c>
      <c r="G26" s="499">
        <v>470</v>
      </c>
      <c r="H26" s="497">
        <v>3</v>
      </c>
      <c r="I26" s="497">
        <f>I25</f>
        <v>2006</v>
      </c>
      <c r="J26" s="497" t="s">
        <v>8511</v>
      </c>
      <c r="K26" s="497" t="s">
        <v>8507</v>
      </c>
      <c r="L26" s="500"/>
      <c r="M26" s="463">
        <f t="shared" si="17"/>
        <v>5220</v>
      </c>
      <c r="N26" s="501"/>
      <c r="O26" s="499">
        <v>87</v>
      </c>
      <c r="P26" s="497"/>
      <c r="Q26" s="497"/>
      <c r="R26" s="497"/>
      <c r="S26" s="502" t="s">
        <v>8508</v>
      </c>
      <c r="T26" s="503"/>
      <c r="U26" s="500"/>
      <c r="V26" s="495"/>
      <c r="W26" s="495"/>
      <c r="X26" s="495"/>
      <c r="Y26" s="495"/>
      <c r="Z26" s="429" t="s">
        <v>8457</v>
      </c>
      <c r="AC26" t="s">
        <v>8554</v>
      </c>
      <c r="AD26">
        <v>0.40808956301914051</v>
      </c>
    </row>
    <row r="27" spans="1:30">
      <c r="A27" s="495" t="s">
        <v>8513</v>
      </c>
      <c r="B27" s="496">
        <f t="shared" si="0"/>
        <v>0.59718969555035128</v>
      </c>
      <c r="C27" s="419">
        <f>B27/H27</f>
        <v>0.19906323185011709</v>
      </c>
      <c r="D27" s="497">
        <v>42</v>
      </c>
      <c r="E27" s="498">
        <f t="shared" si="16"/>
        <v>25.081967213114755</v>
      </c>
      <c r="F27" s="498" t="s">
        <v>8488</v>
      </c>
      <c r="G27" s="499">
        <v>976</v>
      </c>
      <c r="H27" s="497">
        <v>3</v>
      </c>
      <c r="I27" s="497">
        <f>I26</f>
        <v>2006</v>
      </c>
      <c r="J27" s="497" t="s">
        <v>8511</v>
      </c>
      <c r="K27" s="497" t="s">
        <v>8507</v>
      </c>
      <c r="L27" s="500"/>
      <c r="M27" s="463">
        <f t="shared" ref="M27:M28" si="18">O27*60</f>
        <v>24480</v>
      </c>
      <c r="N27" s="501"/>
      <c r="O27" s="499">
        <v>408</v>
      </c>
      <c r="P27" s="497"/>
      <c r="Q27" s="497"/>
      <c r="R27" s="497"/>
      <c r="S27" s="502" t="s">
        <v>8508</v>
      </c>
      <c r="T27" s="503"/>
      <c r="U27" s="500"/>
      <c r="V27" s="495"/>
      <c r="W27" s="495"/>
      <c r="X27" s="495"/>
      <c r="Y27" s="495"/>
      <c r="Z27" s="429" t="s">
        <v>8457</v>
      </c>
      <c r="AC27" t="s">
        <v>8451</v>
      </c>
      <c r="AD27">
        <v>0.41666666666666663</v>
      </c>
    </row>
    <row r="28" spans="1:30">
      <c r="A28" s="418" t="s">
        <v>8514</v>
      </c>
      <c r="B28" s="496">
        <f t="shared" si="0"/>
        <v>0.72104551599819744</v>
      </c>
      <c r="C28" s="419"/>
      <c r="D28" s="420">
        <v>21</v>
      </c>
      <c r="E28" s="420">
        <f t="shared" si="16"/>
        <v>15.141955835962145</v>
      </c>
      <c r="F28" s="420" t="s">
        <v>8488</v>
      </c>
      <c r="G28" s="423">
        <v>1268</v>
      </c>
      <c r="H28" s="509"/>
      <c r="I28" s="420">
        <v>2004</v>
      </c>
      <c r="J28" s="420" t="s">
        <v>8515</v>
      </c>
      <c r="K28" s="424" t="s">
        <v>8507</v>
      </c>
      <c r="L28" s="425"/>
      <c r="M28" s="463">
        <f t="shared" si="18"/>
        <v>19200</v>
      </c>
      <c r="N28" s="427"/>
      <c r="O28" s="423">
        <v>320</v>
      </c>
      <c r="P28" s="424"/>
      <c r="Q28" s="424"/>
      <c r="R28" s="424"/>
      <c r="S28" s="429" t="s">
        <v>8516</v>
      </c>
      <c r="T28" s="428"/>
      <c r="U28" s="418" t="s">
        <v>8517</v>
      </c>
      <c r="V28" s="418"/>
      <c r="W28" s="418"/>
      <c r="X28" s="418"/>
      <c r="Y28" s="418"/>
      <c r="Z28" s="429" t="s">
        <v>8457</v>
      </c>
      <c r="AC28" t="s">
        <v>8546</v>
      </c>
      <c r="AD28">
        <v>0.42190560699157864</v>
      </c>
    </row>
    <row r="29" spans="1:30">
      <c r="A29" s="418" t="s">
        <v>8601</v>
      </c>
      <c r="B29" s="496">
        <f t="shared" si="0"/>
        <v>0.13835511145272866</v>
      </c>
      <c r="C29" s="419"/>
      <c r="D29" s="424">
        <v>1</v>
      </c>
      <c r="E29" s="419">
        <f t="shared" si="16"/>
        <v>0.13835511145272866</v>
      </c>
      <c r="F29" s="418" t="s">
        <v>8488</v>
      </c>
      <c r="G29" s="506">
        <v>5204</v>
      </c>
      <c r="H29" s="424"/>
      <c r="I29" s="424">
        <v>2004</v>
      </c>
      <c r="J29" s="424"/>
      <c r="K29" s="418" t="s">
        <v>8454</v>
      </c>
      <c r="L29" s="517"/>
      <c r="M29" s="423">
        <f t="shared" ref="M29:M40" si="19">60*O29</f>
        <v>720</v>
      </c>
      <c r="N29" s="413">
        <v>2032.56</v>
      </c>
      <c r="O29" s="423">
        <v>12</v>
      </c>
      <c r="P29" s="424"/>
      <c r="Q29" s="424"/>
      <c r="R29" s="424"/>
      <c r="S29" s="418" t="s">
        <v>8521</v>
      </c>
      <c r="T29" s="428">
        <f t="shared" ref="T29:T40" si="20">N29/O29</f>
        <v>169.38</v>
      </c>
      <c r="U29" s="418" t="s">
        <v>8770</v>
      </c>
      <c r="V29" s="418"/>
      <c r="W29" s="518"/>
      <c r="X29" s="518"/>
      <c r="Y29" s="519"/>
      <c r="Z29" s="429" t="s">
        <v>8457</v>
      </c>
      <c r="AC29" t="s">
        <v>8600</v>
      </c>
      <c r="AD29">
        <v>0.44230769230769229</v>
      </c>
    </row>
    <row r="30" spans="1:30">
      <c r="A30" s="418" t="s">
        <v>8522</v>
      </c>
      <c r="B30" s="496">
        <f t="shared" si="0"/>
        <v>0.60261131570137261</v>
      </c>
      <c r="C30" s="419"/>
      <c r="D30" s="424">
        <v>1</v>
      </c>
      <c r="E30" s="419">
        <f t="shared" si="16"/>
        <v>0.60261131570137261</v>
      </c>
      <c r="F30" s="418" t="s">
        <v>8488</v>
      </c>
      <c r="G30" s="506">
        <v>8961</v>
      </c>
      <c r="H30" s="424"/>
      <c r="I30" s="424">
        <v>2004</v>
      </c>
      <c r="J30" s="424"/>
      <c r="K30" s="418" t="s">
        <v>8523</v>
      </c>
      <c r="L30" s="517"/>
      <c r="M30" s="423">
        <f t="shared" si="19"/>
        <v>5400</v>
      </c>
      <c r="N30" s="413">
        <v>1907.92</v>
      </c>
      <c r="O30" s="423">
        <v>90</v>
      </c>
      <c r="P30" s="520"/>
      <c r="Q30" s="520"/>
      <c r="R30" s="520"/>
      <c r="S30" s="418" t="s">
        <v>8524</v>
      </c>
      <c r="T30" s="428">
        <f t="shared" si="20"/>
        <v>21.199111111111112</v>
      </c>
      <c r="U30" s="418"/>
      <c r="V30" s="418">
        <v>1</v>
      </c>
      <c r="W30" s="518"/>
      <c r="X30" s="518"/>
      <c r="Y30" s="519"/>
      <c r="Z30" s="429" t="s">
        <v>8457</v>
      </c>
      <c r="AC30">
        <v>240000</v>
      </c>
      <c r="AD30">
        <v>0.45471769609700641</v>
      </c>
    </row>
    <row r="31" spans="1:30">
      <c r="A31" s="418" t="s">
        <v>8525</v>
      </c>
      <c r="B31" s="496">
        <f t="shared" si="0"/>
        <v>0.22160828519508916</v>
      </c>
      <c r="C31" s="419"/>
      <c r="D31" s="424">
        <v>1</v>
      </c>
      <c r="E31" s="419">
        <f t="shared" si="16"/>
        <v>0.22160828519508916</v>
      </c>
      <c r="F31" s="418" t="s">
        <v>8488</v>
      </c>
      <c r="G31" s="506">
        <v>67687</v>
      </c>
      <c r="H31" s="424"/>
      <c r="I31" s="424">
        <v>2004</v>
      </c>
      <c r="J31" s="424"/>
      <c r="K31" s="418" t="s">
        <v>8523</v>
      </c>
      <c r="L31" s="521"/>
      <c r="M31" s="423">
        <f t="shared" si="19"/>
        <v>15000</v>
      </c>
      <c r="N31" s="413">
        <v>6006.42</v>
      </c>
      <c r="O31" s="423">
        <v>250</v>
      </c>
      <c r="P31" s="520"/>
      <c r="Q31" s="520"/>
      <c r="R31" s="520"/>
      <c r="S31" s="418" t="s">
        <v>8526</v>
      </c>
      <c r="T31" s="428">
        <f t="shared" si="20"/>
        <v>24.025680000000001</v>
      </c>
      <c r="U31" s="418"/>
      <c r="V31" s="418">
        <v>1</v>
      </c>
      <c r="W31" s="518"/>
      <c r="X31" s="518"/>
      <c r="Y31" s="519"/>
      <c r="Z31" s="429" t="s">
        <v>8457</v>
      </c>
      <c r="AC31" t="s">
        <v>8490</v>
      </c>
      <c r="AD31">
        <v>0.47819971870604783</v>
      </c>
    </row>
    <row r="32" spans="1:30">
      <c r="A32" s="418" t="s">
        <v>8527</v>
      </c>
      <c r="B32" s="496">
        <f t="shared" si="0"/>
        <v>0.12965526555694365</v>
      </c>
      <c r="C32" s="419"/>
      <c r="D32" s="424">
        <v>1</v>
      </c>
      <c r="E32" s="419">
        <f t="shared" si="16"/>
        <v>0.12965526555694365</v>
      </c>
      <c r="F32" s="418" t="s">
        <v>8488</v>
      </c>
      <c r="G32" s="506">
        <v>29617</v>
      </c>
      <c r="H32" s="424"/>
      <c r="I32" s="424">
        <v>2004</v>
      </c>
      <c r="J32" s="424"/>
      <c r="K32" s="418" t="s">
        <v>8454</v>
      </c>
      <c r="L32" s="517"/>
      <c r="M32" s="423">
        <f t="shared" si="19"/>
        <v>3840</v>
      </c>
      <c r="N32" s="413">
        <v>6780.68</v>
      </c>
      <c r="O32" s="423">
        <v>64</v>
      </c>
      <c r="P32" s="520"/>
      <c r="Q32" s="520"/>
      <c r="R32" s="520"/>
      <c r="S32" s="418" t="s">
        <v>8528</v>
      </c>
      <c r="T32" s="428">
        <f t="shared" si="20"/>
        <v>105.948125</v>
      </c>
      <c r="U32" s="418">
        <v>1</v>
      </c>
      <c r="V32" s="418"/>
      <c r="W32" s="518"/>
      <c r="X32" s="518"/>
      <c r="Y32" s="519"/>
      <c r="Z32" s="429" t="s">
        <v>8457</v>
      </c>
      <c r="AC32" t="s">
        <v>8572</v>
      </c>
      <c r="AD32">
        <v>0.48218660019768789</v>
      </c>
    </row>
    <row r="33" spans="1:30">
      <c r="A33" s="418" t="s">
        <v>8529</v>
      </c>
      <c r="B33" s="496">
        <f t="shared" si="0"/>
        <v>0.66161710783395333</v>
      </c>
      <c r="C33" s="419"/>
      <c r="D33" s="424">
        <v>1</v>
      </c>
      <c r="E33" s="419">
        <f t="shared" si="16"/>
        <v>0.66161710783395333</v>
      </c>
      <c r="F33" s="418" t="s">
        <v>8488</v>
      </c>
      <c r="G33" s="506">
        <v>37363</v>
      </c>
      <c r="H33" s="424"/>
      <c r="I33" s="424">
        <v>2004</v>
      </c>
      <c r="J33" s="424"/>
      <c r="K33" s="418" t="s">
        <v>8523</v>
      </c>
      <c r="L33" s="517"/>
      <c r="M33" s="423">
        <f t="shared" si="19"/>
        <v>24720</v>
      </c>
      <c r="N33" s="413">
        <v>6237.35</v>
      </c>
      <c r="O33" s="423">
        <v>412</v>
      </c>
      <c r="P33" s="520"/>
      <c r="Q33" s="520"/>
      <c r="R33" s="520"/>
      <c r="S33" s="418" t="s">
        <v>8524</v>
      </c>
      <c r="T33" s="428">
        <f t="shared" si="20"/>
        <v>15.139199029126214</v>
      </c>
      <c r="U33" s="418"/>
      <c r="V33" s="418">
        <v>1</v>
      </c>
      <c r="W33" s="518"/>
      <c r="X33" s="518"/>
      <c r="Y33" s="519"/>
      <c r="Z33" s="429" t="s">
        <v>8457</v>
      </c>
      <c r="AC33" t="s">
        <v>8570</v>
      </c>
      <c r="AD33">
        <v>0.4861111111111111</v>
      </c>
    </row>
    <row r="34" spans="1:30">
      <c r="A34" s="418" t="s">
        <v>8530</v>
      </c>
      <c r="B34" s="496">
        <f t="shared" ref="B34:B65" si="21">E34/D34</f>
        <v>0.63656178050652346</v>
      </c>
      <c r="C34" s="419"/>
      <c r="D34" s="424">
        <v>1</v>
      </c>
      <c r="E34" s="419">
        <f t="shared" si="16"/>
        <v>0.63656178050652346</v>
      </c>
      <c r="F34" s="418" t="s">
        <v>8488</v>
      </c>
      <c r="G34" s="506">
        <v>162875</v>
      </c>
      <c r="H34" s="424"/>
      <c r="I34" s="424">
        <v>2004</v>
      </c>
      <c r="J34" s="424"/>
      <c r="K34" s="418" t="s">
        <v>8523</v>
      </c>
      <c r="L34" s="521"/>
      <c r="M34" s="423">
        <f t="shared" si="19"/>
        <v>103680</v>
      </c>
      <c r="N34" s="413">
        <v>41616.15</v>
      </c>
      <c r="O34" s="423">
        <v>1728</v>
      </c>
      <c r="P34" s="520"/>
      <c r="Q34" s="520"/>
      <c r="R34" s="520"/>
      <c r="S34" s="418" t="s">
        <v>8524</v>
      </c>
      <c r="T34" s="428">
        <f t="shared" si="20"/>
        <v>24.08342013888889</v>
      </c>
      <c r="U34" s="418"/>
      <c r="V34" s="418">
        <v>1</v>
      </c>
      <c r="W34" s="518"/>
      <c r="X34" s="518"/>
      <c r="Y34" s="519"/>
      <c r="Z34" s="429" t="s">
        <v>8457</v>
      </c>
      <c r="AC34" t="s">
        <v>8489</v>
      </c>
      <c r="AD34">
        <v>0.50632911392405067</v>
      </c>
    </row>
    <row r="35" spans="1:30">
      <c r="A35" s="418" t="s">
        <v>8531</v>
      </c>
      <c r="B35" s="496">
        <f t="shared" si="21"/>
        <v>0.83916083916083917</v>
      </c>
      <c r="C35" s="419"/>
      <c r="D35" s="424">
        <v>1</v>
      </c>
      <c r="E35" s="419">
        <f t="shared" si="16"/>
        <v>0.83916083916083917</v>
      </c>
      <c r="F35" s="418" t="s">
        <v>8488</v>
      </c>
      <c r="G35" s="506">
        <v>2145</v>
      </c>
      <c r="H35" s="424"/>
      <c r="I35" s="424">
        <v>2004</v>
      </c>
      <c r="J35" s="424"/>
      <c r="K35" s="418" t="s">
        <v>8454</v>
      </c>
      <c r="L35" s="517"/>
      <c r="M35" s="423">
        <f t="shared" si="19"/>
        <v>1800</v>
      </c>
      <c r="N35" s="413">
        <v>512.73</v>
      </c>
      <c r="O35" s="423">
        <v>30</v>
      </c>
      <c r="P35" s="520"/>
      <c r="Q35" s="520"/>
      <c r="R35" s="520"/>
      <c r="S35" s="418" t="s">
        <v>8521</v>
      </c>
      <c r="T35" s="428">
        <f t="shared" si="20"/>
        <v>17.091000000000001</v>
      </c>
      <c r="U35" s="418">
        <v>1</v>
      </c>
      <c r="V35" s="418"/>
      <c r="W35" s="518"/>
      <c r="X35" s="518"/>
      <c r="Y35" s="519"/>
      <c r="Z35" s="429" t="s">
        <v>8457</v>
      </c>
      <c r="AC35" t="s">
        <v>8536</v>
      </c>
      <c r="AD35">
        <v>0.51927616050354053</v>
      </c>
    </row>
    <row r="36" spans="1:30">
      <c r="A36" s="418" t="s">
        <v>8532</v>
      </c>
      <c r="B36" s="496">
        <f t="shared" si="21"/>
        <v>0.88615298193053083</v>
      </c>
      <c r="C36" s="419"/>
      <c r="D36" s="424">
        <v>1</v>
      </c>
      <c r="E36" s="419">
        <f t="shared" si="16"/>
        <v>0.88615298193053083</v>
      </c>
      <c r="F36" s="418" t="s">
        <v>8488</v>
      </c>
      <c r="G36" s="506">
        <v>42724</v>
      </c>
      <c r="H36" s="424"/>
      <c r="I36" s="424">
        <v>2004</v>
      </c>
      <c r="J36" s="424"/>
      <c r="K36" s="418" t="s">
        <v>8454</v>
      </c>
      <c r="L36" s="517"/>
      <c r="M36" s="423">
        <f t="shared" si="19"/>
        <v>37860</v>
      </c>
      <c r="N36" s="413">
        <v>1256.82</v>
      </c>
      <c r="O36" s="423">
        <v>631</v>
      </c>
      <c r="P36" s="520"/>
      <c r="Q36" s="520"/>
      <c r="R36" s="520"/>
      <c r="S36" s="418" t="s">
        <v>8533</v>
      </c>
      <c r="T36" s="428">
        <f t="shared" si="20"/>
        <v>1.9917908082408873</v>
      </c>
      <c r="U36" s="418">
        <v>1</v>
      </c>
      <c r="V36" s="418"/>
      <c r="W36" s="518"/>
      <c r="X36" s="518"/>
      <c r="Y36" s="519"/>
      <c r="Z36" s="429" t="s">
        <v>8457</v>
      </c>
      <c r="AC36" t="s">
        <v>8576</v>
      </c>
      <c r="AD36">
        <v>0.53057151004114222</v>
      </c>
    </row>
    <row r="37" spans="1:30">
      <c r="A37" s="418" t="s">
        <v>8534</v>
      </c>
      <c r="B37" s="496">
        <f t="shared" si="21"/>
        <v>0.39160424237929242</v>
      </c>
      <c r="C37" s="419"/>
      <c r="D37" s="424">
        <v>1</v>
      </c>
      <c r="E37" s="419">
        <f t="shared" si="16"/>
        <v>0.39160424237929242</v>
      </c>
      <c r="F37" s="418" t="s">
        <v>8488</v>
      </c>
      <c r="G37" s="506">
        <v>13483</v>
      </c>
      <c r="H37" s="424"/>
      <c r="I37" s="424">
        <v>2004</v>
      </c>
      <c r="J37" s="424"/>
      <c r="K37" s="418" t="s">
        <v>8454</v>
      </c>
      <c r="L37" s="517"/>
      <c r="M37" s="423">
        <f t="shared" si="19"/>
        <v>5280</v>
      </c>
      <c r="N37" s="413">
        <v>3707.2</v>
      </c>
      <c r="O37" s="423">
        <v>88</v>
      </c>
      <c r="P37" s="520"/>
      <c r="Q37" s="520"/>
      <c r="R37" s="520"/>
      <c r="S37" s="418" t="s">
        <v>8521</v>
      </c>
      <c r="T37" s="428">
        <f t="shared" si="20"/>
        <v>42.127272727272725</v>
      </c>
      <c r="U37" s="418">
        <v>1</v>
      </c>
      <c r="V37" s="418"/>
      <c r="W37" s="518"/>
      <c r="X37" s="518"/>
      <c r="Y37" s="519"/>
      <c r="Z37" s="429" t="s">
        <v>8457</v>
      </c>
      <c r="AC37" t="s">
        <v>8505</v>
      </c>
      <c r="AD37">
        <v>0.54054054054054057</v>
      </c>
    </row>
    <row r="38" spans="1:30">
      <c r="A38" s="418" t="s">
        <v>8535</v>
      </c>
      <c r="B38" s="496">
        <f t="shared" si="21"/>
        <v>1.8212703101920236</v>
      </c>
      <c r="C38" s="419"/>
      <c r="D38" s="424">
        <v>1</v>
      </c>
      <c r="E38" s="419">
        <f t="shared" si="16"/>
        <v>1.8212703101920236</v>
      </c>
      <c r="F38" s="418" t="s">
        <v>8488</v>
      </c>
      <c r="G38" s="506">
        <v>3385</v>
      </c>
      <c r="H38" s="424"/>
      <c r="I38" s="424">
        <v>2004</v>
      </c>
      <c r="J38" s="424"/>
      <c r="K38" s="418" t="s">
        <v>8454</v>
      </c>
      <c r="L38" s="517"/>
      <c r="M38" s="423">
        <f t="shared" si="19"/>
        <v>6165</v>
      </c>
      <c r="N38" s="413">
        <v>1984.88</v>
      </c>
      <c r="O38" s="423">
        <v>102.75</v>
      </c>
      <c r="P38" s="520"/>
      <c r="Q38" s="520"/>
      <c r="R38" s="520"/>
      <c r="S38" s="418" t="s">
        <v>8521</v>
      </c>
      <c r="T38" s="428">
        <f t="shared" si="20"/>
        <v>19.317566909975671</v>
      </c>
      <c r="U38" s="418">
        <v>1</v>
      </c>
      <c r="V38" s="418"/>
      <c r="W38" s="518"/>
      <c r="X38" s="518"/>
      <c r="Y38" s="519"/>
      <c r="Z38" s="429" t="s">
        <v>8457</v>
      </c>
      <c r="AC38" s="553">
        <v>546600</v>
      </c>
      <c r="AD38" s="553">
        <v>0.56438127090301005</v>
      </c>
    </row>
    <row r="39" spans="1:30">
      <c r="A39" s="418" t="s">
        <v>8536</v>
      </c>
      <c r="B39" s="496">
        <f t="shared" si="21"/>
        <v>0.51927616050354053</v>
      </c>
      <c r="C39" s="419"/>
      <c r="D39" s="424">
        <v>1</v>
      </c>
      <c r="E39" s="419">
        <f t="shared" si="16"/>
        <v>0.51927616050354053</v>
      </c>
      <c r="F39" s="418" t="s">
        <v>8488</v>
      </c>
      <c r="G39" s="506">
        <v>16523</v>
      </c>
      <c r="H39" s="424"/>
      <c r="I39" s="424">
        <v>2004</v>
      </c>
      <c r="J39" s="424"/>
      <c r="K39" s="418" t="s">
        <v>8523</v>
      </c>
      <c r="L39" s="517"/>
      <c r="M39" s="423">
        <f t="shared" si="19"/>
        <v>8580</v>
      </c>
      <c r="N39" s="413">
        <v>12562.3</v>
      </c>
      <c r="O39" s="423">
        <v>143</v>
      </c>
      <c r="P39" s="520"/>
      <c r="Q39" s="520"/>
      <c r="R39" s="520"/>
      <c r="S39" s="418" t="s">
        <v>8537</v>
      </c>
      <c r="T39" s="428">
        <f t="shared" si="20"/>
        <v>87.848251748251741</v>
      </c>
      <c r="U39" s="418"/>
      <c r="V39" s="418">
        <v>1</v>
      </c>
      <c r="W39" s="518"/>
      <c r="X39" s="518"/>
      <c r="Y39" s="519"/>
      <c r="Z39" s="429" t="s">
        <v>8457</v>
      </c>
      <c r="AC39">
        <v>549280</v>
      </c>
      <c r="AD39">
        <v>0.59233449477351918</v>
      </c>
    </row>
    <row r="40" spans="1:30">
      <c r="A40" s="418" t="s">
        <v>8538</v>
      </c>
      <c r="B40" s="496">
        <f t="shared" si="21"/>
        <v>1.2396694214876034</v>
      </c>
      <c r="C40" s="419"/>
      <c r="D40" s="424">
        <v>1</v>
      </c>
      <c r="E40" s="419">
        <f t="shared" si="16"/>
        <v>1.2396694214876034</v>
      </c>
      <c r="F40" s="418" t="s">
        <v>8488</v>
      </c>
      <c r="G40" s="506">
        <v>1331</v>
      </c>
      <c r="H40" s="424"/>
      <c r="I40" s="424">
        <v>2004</v>
      </c>
      <c r="J40" s="424"/>
      <c r="K40" s="418" t="s">
        <v>8454</v>
      </c>
      <c r="L40" s="517"/>
      <c r="M40" s="423">
        <f t="shared" si="19"/>
        <v>1650</v>
      </c>
      <c r="N40" s="413">
        <v>459.43</v>
      </c>
      <c r="O40" s="423">
        <v>27.5</v>
      </c>
      <c r="P40" s="520"/>
      <c r="Q40" s="520"/>
      <c r="R40" s="520"/>
      <c r="S40" s="418" t="s">
        <v>8521</v>
      </c>
      <c r="T40" s="428">
        <f t="shared" si="20"/>
        <v>16.706545454545456</v>
      </c>
      <c r="U40" s="418">
        <v>1</v>
      </c>
      <c r="V40" s="418"/>
      <c r="W40" s="518"/>
      <c r="X40" s="518"/>
      <c r="Y40" s="519"/>
      <c r="Z40" s="429" t="s">
        <v>8457</v>
      </c>
      <c r="AC40" t="s">
        <v>8513</v>
      </c>
      <c r="AD40">
        <v>0.59718969555035128</v>
      </c>
    </row>
    <row r="41" spans="1:30">
      <c r="A41" s="418" t="s">
        <v>8540</v>
      </c>
      <c r="B41" s="496">
        <f t="shared" si="21"/>
        <v>1.077119184193754</v>
      </c>
      <c r="C41" s="419"/>
      <c r="D41" s="424">
        <v>1</v>
      </c>
      <c r="E41" s="419">
        <f t="shared" ref="E41:E64" si="22">M41/G41</f>
        <v>1.077119184193754</v>
      </c>
      <c r="F41" s="418" t="s">
        <v>8488</v>
      </c>
      <c r="G41" s="506">
        <v>28242</v>
      </c>
      <c r="H41" s="424"/>
      <c r="I41" s="424">
        <v>2004</v>
      </c>
      <c r="J41" s="424"/>
      <c r="K41" s="418" t="s">
        <v>8454</v>
      </c>
      <c r="L41" s="517"/>
      <c r="M41" s="423">
        <f t="shared" ref="M41:M64" si="23">60*O41</f>
        <v>30420</v>
      </c>
      <c r="N41" s="413">
        <v>6329.39</v>
      </c>
      <c r="O41" s="423">
        <v>507</v>
      </c>
      <c r="P41" s="520"/>
      <c r="Q41" s="520"/>
      <c r="R41" s="520"/>
      <c r="S41" s="418" t="s">
        <v>8541</v>
      </c>
      <c r="T41" s="428">
        <f t="shared" ref="T41:T64" si="24">N41/O41</f>
        <v>12.484003944773177</v>
      </c>
      <c r="U41" s="418">
        <v>1</v>
      </c>
      <c r="V41" s="418"/>
      <c r="W41" s="518"/>
      <c r="X41" s="518"/>
      <c r="Y41" s="519"/>
      <c r="Z41" s="429" t="s">
        <v>8457</v>
      </c>
      <c r="AC41" t="s">
        <v>8522</v>
      </c>
      <c r="AD41">
        <v>0.60261131570137261</v>
      </c>
    </row>
    <row r="42" spans="1:30">
      <c r="A42" s="418" t="s">
        <v>8542</v>
      </c>
      <c r="B42" s="496">
        <f t="shared" si="21"/>
        <v>0.2572306117225493</v>
      </c>
      <c r="C42" s="419"/>
      <c r="D42" s="424">
        <v>1</v>
      </c>
      <c r="E42" s="419">
        <f t="shared" si="22"/>
        <v>0.2572306117225493</v>
      </c>
      <c r="F42" s="418" t="s">
        <v>8488</v>
      </c>
      <c r="G42" s="506">
        <v>39070</v>
      </c>
      <c r="H42" s="424"/>
      <c r="I42" s="424">
        <v>2004</v>
      </c>
      <c r="J42" s="424"/>
      <c r="K42" s="418" t="s">
        <v>8523</v>
      </c>
      <c r="L42" s="517"/>
      <c r="M42" s="423">
        <f t="shared" si="23"/>
        <v>10050</v>
      </c>
      <c r="N42" s="413">
        <v>8067</v>
      </c>
      <c r="O42" s="423">
        <v>167.5</v>
      </c>
      <c r="P42" s="520"/>
      <c r="Q42" s="520"/>
      <c r="R42" s="520"/>
      <c r="S42" s="418" t="s">
        <v>8524</v>
      </c>
      <c r="T42" s="428">
        <f t="shared" si="24"/>
        <v>48.161194029850748</v>
      </c>
      <c r="U42" s="418"/>
      <c r="V42" s="418">
        <v>1</v>
      </c>
      <c r="W42" s="518"/>
      <c r="X42" s="518"/>
      <c r="Y42" s="519"/>
      <c r="Z42" s="429" t="s">
        <v>8457</v>
      </c>
      <c r="AC42" t="s">
        <v>8557</v>
      </c>
      <c r="AD42">
        <v>0.63</v>
      </c>
    </row>
    <row r="43" spans="1:30">
      <c r="A43" s="418" t="s">
        <v>8543</v>
      </c>
      <c r="B43" s="496">
        <f t="shared" si="21"/>
        <v>0.28926060089494993</v>
      </c>
      <c r="C43" s="419"/>
      <c r="D43" s="424">
        <v>1</v>
      </c>
      <c r="E43" s="419">
        <f t="shared" si="22"/>
        <v>0.28926060089494993</v>
      </c>
      <c r="F43" s="418" t="s">
        <v>8488</v>
      </c>
      <c r="G43" s="506">
        <v>18772</v>
      </c>
      <c r="H43" s="424"/>
      <c r="I43" s="424">
        <v>2004</v>
      </c>
      <c r="J43" s="424"/>
      <c r="K43" s="418" t="s">
        <v>8454</v>
      </c>
      <c r="L43" s="517"/>
      <c r="M43" s="423">
        <f t="shared" si="23"/>
        <v>5430</v>
      </c>
      <c r="N43" s="413">
        <v>2910.23</v>
      </c>
      <c r="O43" s="423">
        <v>90.5</v>
      </c>
      <c r="P43" s="520"/>
      <c r="Q43" s="520"/>
      <c r="R43" s="520"/>
      <c r="S43" s="418" t="s">
        <v>8544</v>
      </c>
      <c r="T43" s="428">
        <f t="shared" si="24"/>
        <v>32.157237569060776</v>
      </c>
      <c r="U43" s="418">
        <v>1</v>
      </c>
      <c r="V43" s="418"/>
      <c r="W43" s="518"/>
      <c r="X43" s="518"/>
      <c r="Y43" s="519"/>
      <c r="Z43" s="429" t="s">
        <v>8457</v>
      </c>
      <c r="AC43" t="s">
        <v>8530</v>
      </c>
      <c r="AD43">
        <v>0.63656178050652346</v>
      </c>
    </row>
    <row r="44" spans="1:30">
      <c r="A44" s="418" t="s">
        <v>8545</v>
      </c>
      <c r="B44" s="496">
        <f t="shared" si="21"/>
        <v>2.2019597441723135</v>
      </c>
      <c r="C44" s="419"/>
      <c r="D44" s="424">
        <v>1</v>
      </c>
      <c r="E44" s="419">
        <f t="shared" si="22"/>
        <v>2.2019597441723135</v>
      </c>
      <c r="F44" s="418" t="s">
        <v>8488</v>
      </c>
      <c r="G44" s="506">
        <v>899199</v>
      </c>
      <c r="H44" s="424"/>
      <c r="I44" s="424">
        <v>2004</v>
      </c>
      <c r="J44" s="424"/>
      <c r="K44" s="418" t="s">
        <v>8454</v>
      </c>
      <c r="L44" s="521"/>
      <c r="M44" s="423">
        <f t="shared" si="23"/>
        <v>1980000</v>
      </c>
      <c r="N44" s="413">
        <v>549965</v>
      </c>
      <c r="O44" s="423">
        <v>33000</v>
      </c>
      <c r="P44" s="520"/>
      <c r="Q44" s="520"/>
      <c r="R44" s="520"/>
      <c r="S44" s="418" t="s">
        <v>8528</v>
      </c>
      <c r="T44" s="428">
        <f t="shared" si="24"/>
        <v>16.665606060606059</v>
      </c>
      <c r="U44" s="418">
        <v>1</v>
      </c>
      <c r="V44" s="418"/>
      <c r="W44" s="518"/>
      <c r="X44" s="518"/>
      <c r="Y44" s="519"/>
      <c r="Z44" s="429" t="s">
        <v>8457</v>
      </c>
      <c r="AC44" t="s">
        <v>8529</v>
      </c>
      <c r="AD44">
        <v>0.66161710783395333</v>
      </c>
    </row>
    <row r="45" spans="1:30">
      <c r="A45" s="418" t="s">
        <v>8546</v>
      </c>
      <c r="B45" s="496">
        <f t="shared" si="21"/>
        <v>0.42190560699157864</v>
      </c>
      <c r="C45" s="419"/>
      <c r="D45" s="424">
        <v>1</v>
      </c>
      <c r="E45" s="419">
        <f t="shared" si="22"/>
        <v>0.42190560699157864</v>
      </c>
      <c r="F45" s="418" t="s">
        <v>8488</v>
      </c>
      <c r="G45" s="506">
        <v>119458</v>
      </c>
      <c r="H45" s="424"/>
      <c r="I45" s="424">
        <v>2004</v>
      </c>
      <c r="J45" s="424"/>
      <c r="K45" s="418" t="s">
        <v>8454</v>
      </c>
      <c r="L45" s="521"/>
      <c r="M45" s="423">
        <f t="shared" si="23"/>
        <v>50400</v>
      </c>
      <c r="N45" s="413">
        <v>14217.7</v>
      </c>
      <c r="O45" s="423">
        <v>840</v>
      </c>
      <c r="P45" s="520"/>
      <c r="Q45" s="520"/>
      <c r="R45" s="520"/>
      <c r="S45" s="418" t="s">
        <v>8547</v>
      </c>
      <c r="T45" s="428">
        <f t="shared" si="24"/>
        <v>16.925833333333333</v>
      </c>
      <c r="U45" s="418">
        <v>1</v>
      </c>
      <c r="V45" s="418"/>
      <c r="W45" s="518"/>
      <c r="X45" s="518"/>
      <c r="Y45" s="519"/>
      <c r="Z45" s="429" t="s">
        <v>8457</v>
      </c>
      <c r="AC45" t="s">
        <v>8556</v>
      </c>
      <c r="AD45">
        <v>0.68361581920903958</v>
      </c>
    </row>
    <row r="46" spans="1:30">
      <c r="A46" s="418" t="s">
        <v>8548</v>
      </c>
      <c r="B46" s="496">
        <f t="shared" si="21"/>
        <v>0.31442663378545005</v>
      </c>
      <c r="C46" s="419"/>
      <c r="D46" s="424">
        <v>1</v>
      </c>
      <c r="E46" s="419">
        <f t="shared" si="22"/>
        <v>0.31442663378545005</v>
      </c>
      <c r="F46" s="418" t="s">
        <v>8488</v>
      </c>
      <c r="G46" s="506">
        <v>16220</v>
      </c>
      <c r="H46" s="424"/>
      <c r="I46" s="424">
        <v>2004</v>
      </c>
      <c r="J46" s="424"/>
      <c r="K46" s="418" t="s">
        <v>8454</v>
      </c>
      <c r="L46" s="517"/>
      <c r="M46" s="423">
        <f t="shared" si="23"/>
        <v>5100</v>
      </c>
      <c r="N46" s="413">
        <v>2456.8000000000002</v>
      </c>
      <c r="O46" s="423">
        <v>85</v>
      </c>
      <c r="P46" s="424"/>
      <c r="Q46" s="424"/>
      <c r="R46" s="424"/>
      <c r="S46" s="418" t="s">
        <v>8549</v>
      </c>
      <c r="T46" s="428">
        <f t="shared" si="24"/>
        <v>28.903529411764708</v>
      </c>
      <c r="U46" s="418">
        <v>1</v>
      </c>
      <c r="V46" s="418"/>
      <c r="W46" s="518"/>
      <c r="X46" s="518"/>
      <c r="Y46" s="519"/>
      <c r="Z46" s="429" t="s">
        <v>8457</v>
      </c>
      <c r="AC46" t="s">
        <v>8562</v>
      </c>
      <c r="AD46">
        <v>0.6964570214702982</v>
      </c>
    </row>
    <row r="47" spans="1:30">
      <c r="A47" s="418" t="s">
        <v>8550</v>
      </c>
      <c r="B47" s="496">
        <f t="shared" si="21"/>
        <v>0.8440007642338555</v>
      </c>
      <c r="C47" s="419"/>
      <c r="D47" s="424">
        <v>1</v>
      </c>
      <c r="E47" s="419">
        <f t="shared" si="22"/>
        <v>0.8440007642338555</v>
      </c>
      <c r="F47" s="418" t="s">
        <v>8488</v>
      </c>
      <c r="G47" s="506">
        <v>10468</v>
      </c>
      <c r="H47" s="424"/>
      <c r="I47" s="424">
        <v>2004</v>
      </c>
      <c r="J47" s="424"/>
      <c r="K47" s="418" t="s">
        <v>8454</v>
      </c>
      <c r="L47" s="517"/>
      <c r="M47" s="423">
        <f t="shared" si="23"/>
        <v>8835</v>
      </c>
      <c r="N47" s="413">
        <v>2755.99</v>
      </c>
      <c r="O47" s="423">
        <v>147.25</v>
      </c>
      <c r="P47" s="520"/>
      <c r="Q47" s="520"/>
      <c r="R47" s="520"/>
      <c r="S47" s="418" t="s">
        <v>8528</v>
      </c>
      <c r="T47" s="428">
        <f t="shared" si="24"/>
        <v>18.716400679117147</v>
      </c>
      <c r="U47" s="418">
        <v>1</v>
      </c>
      <c r="V47" s="418"/>
      <c r="W47" s="518"/>
      <c r="X47" s="518"/>
      <c r="Y47" s="519"/>
      <c r="Z47" s="429" t="s">
        <v>8457</v>
      </c>
      <c r="AC47">
        <v>403500</v>
      </c>
      <c r="AD47">
        <v>0.7065217391304347</v>
      </c>
    </row>
    <row r="48" spans="1:30">
      <c r="A48" s="418" t="s">
        <v>8551</v>
      </c>
      <c r="B48" s="496">
        <f t="shared" si="21"/>
        <v>0.26223935411418337</v>
      </c>
      <c r="C48" s="419"/>
      <c r="D48" s="424">
        <v>1</v>
      </c>
      <c r="E48" s="419">
        <f t="shared" si="22"/>
        <v>0.26223935411418337</v>
      </c>
      <c r="F48" s="418" t="s">
        <v>8488</v>
      </c>
      <c r="G48" s="506">
        <v>32947</v>
      </c>
      <c r="H48" s="424"/>
      <c r="I48" s="424">
        <v>2004</v>
      </c>
      <c r="J48" s="424"/>
      <c r="K48" s="418" t="s">
        <v>8523</v>
      </c>
      <c r="L48" s="517"/>
      <c r="M48" s="423">
        <f t="shared" si="23"/>
        <v>8640</v>
      </c>
      <c r="N48" s="413">
        <v>3928.32</v>
      </c>
      <c r="O48" s="423">
        <v>144</v>
      </c>
      <c r="P48" s="520"/>
      <c r="Q48" s="520"/>
      <c r="R48" s="520"/>
      <c r="S48" s="418" t="s">
        <v>8524</v>
      </c>
      <c r="T48" s="428">
        <f t="shared" si="24"/>
        <v>27.28</v>
      </c>
      <c r="U48" s="418"/>
      <c r="V48" s="418">
        <v>1</v>
      </c>
      <c r="W48" s="518"/>
      <c r="X48" s="518"/>
      <c r="Y48" s="519"/>
      <c r="Z48" s="429" t="s">
        <v>8457</v>
      </c>
      <c r="AC48" t="s">
        <v>8487</v>
      </c>
      <c r="AD48">
        <v>0.71308016877637137</v>
      </c>
    </row>
    <row r="49" spans="1:30">
      <c r="A49" s="418" t="s">
        <v>8552</v>
      </c>
      <c r="B49" s="496">
        <f t="shared" si="21"/>
        <v>0.73220338983050848</v>
      </c>
      <c r="C49" s="419"/>
      <c r="D49" s="424">
        <v>1</v>
      </c>
      <c r="E49" s="419">
        <f t="shared" si="22"/>
        <v>0.73220338983050848</v>
      </c>
      <c r="F49" s="418" t="s">
        <v>8488</v>
      </c>
      <c r="G49" s="506">
        <v>5900</v>
      </c>
      <c r="H49" s="424"/>
      <c r="I49" s="424">
        <v>2004</v>
      </c>
      <c r="J49" s="424"/>
      <c r="K49" s="418" t="s">
        <v>8523</v>
      </c>
      <c r="L49" s="517"/>
      <c r="M49" s="423">
        <f t="shared" si="23"/>
        <v>4320</v>
      </c>
      <c r="N49" s="413">
        <v>4695.83</v>
      </c>
      <c r="O49" s="423">
        <v>72</v>
      </c>
      <c r="P49" s="520"/>
      <c r="Q49" s="520"/>
      <c r="R49" s="520"/>
      <c r="S49" s="418" t="s">
        <v>8524</v>
      </c>
      <c r="T49" s="428">
        <f t="shared" si="24"/>
        <v>65.219861111111115</v>
      </c>
      <c r="U49" s="418"/>
      <c r="V49" s="418">
        <v>1</v>
      </c>
      <c r="W49" s="518"/>
      <c r="X49" s="518"/>
      <c r="Y49" s="519"/>
      <c r="Z49" s="429" t="s">
        <v>8457</v>
      </c>
      <c r="AC49">
        <v>405400</v>
      </c>
      <c r="AD49">
        <v>0.71725571725571724</v>
      </c>
    </row>
    <row r="50" spans="1:30">
      <c r="A50" s="418" t="s">
        <v>8553</v>
      </c>
      <c r="B50" s="496">
        <f t="shared" si="21"/>
        <v>0.72689270784951232</v>
      </c>
      <c r="C50" s="419"/>
      <c r="D50" s="424">
        <v>1</v>
      </c>
      <c r="E50" s="419">
        <f t="shared" si="22"/>
        <v>0.72689270784951232</v>
      </c>
      <c r="F50" s="418" t="s">
        <v>8488</v>
      </c>
      <c r="G50" s="506">
        <v>25836</v>
      </c>
      <c r="H50" s="424"/>
      <c r="I50" s="424">
        <v>2004</v>
      </c>
      <c r="J50" s="424"/>
      <c r="K50" s="418" t="s">
        <v>8523</v>
      </c>
      <c r="L50" s="517"/>
      <c r="M50" s="423">
        <f t="shared" si="23"/>
        <v>18780</v>
      </c>
      <c r="N50" s="413">
        <v>5204.8999999999996</v>
      </c>
      <c r="O50" s="423">
        <v>313</v>
      </c>
      <c r="P50" s="520"/>
      <c r="Q50" s="520"/>
      <c r="R50" s="520"/>
      <c r="S50" s="418" t="s">
        <v>8524</v>
      </c>
      <c r="T50" s="428">
        <f t="shared" si="24"/>
        <v>16.629073482428115</v>
      </c>
      <c r="U50" s="418"/>
      <c r="V50" s="418">
        <v>1</v>
      </c>
      <c r="W50" s="518"/>
      <c r="X50" s="518"/>
      <c r="Y50" s="519"/>
      <c r="Z50" s="429" t="s">
        <v>8457</v>
      </c>
      <c r="AC50" s="418">
        <v>237200</v>
      </c>
      <c r="AD50" s="418">
        <v>0.71868131868131868</v>
      </c>
    </row>
    <row r="51" spans="1:30">
      <c r="A51" s="418" t="s">
        <v>8554</v>
      </c>
      <c r="B51" s="496">
        <f t="shared" si="21"/>
        <v>0.40808956301914051</v>
      </c>
      <c r="C51" s="419"/>
      <c r="D51" s="424">
        <v>1</v>
      </c>
      <c r="E51" s="419">
        <f t="shared" si="22"/>
        <v>0.40808956301914051</v>
      </c>
      <c r="F51" s="418" t="s">
        <v>8488</v>
      </c>
      <c r="G51" s="506">
        <v>16614</v>
      </c>
      <c r="H51" s="424"/>
      <c r="I51" s="424">
        <v>2004</v>
      </c>
      <c r="J51" s="424"/>
      <c r="K51" s="418" t="s">
        <v>8454</v>
      </c>
      <c r="L51" s="517"/>
      <c r="M51" s="423">
        <f t="shared" si="23"/>
        <v>6780</v>
      </c>
      <c r="N51" s="413">
        <v>1376.92</v>
      </c>
      <c r="O51" s="512">
        <v>113</v>
      </c>
      <c r="P51" s="424"/>
      <c r="Q51" s="424"/>
      <c r="R51" s="424"/>
      <c r="S51" s="418" t="s">
        <v>8555</v>
      </c>
      <c r="T51" s="428">
        <f t="shared" si="24"/>
        <v>12.185132743362832</v>
      </c>
      <c r="U51" s="418">
        <v>1</v>
      </c>
      <c r="V51" s="418"/>
      <c r="W51" s="518"/>
      <c r="X51" s="518"/>
      <c r="Y51" s="519"/>
      <c r="Z51" s="429" t="s">
        <v>8457</v>
      </c>
      <c r="AC51" t="s">
        <v>8514</v>
      </c>
      <c r="AD51">
        <v>0.72104551599819744</v>
      </c>
    </row>
    <row r="52" spans="1:30">
      <c r="A52" s="418" t="s">
        <v>8556</v>
      </c>
      <c r="B52" s="496">
        <f t="shared" si="21"/>
        <v>0.68361581920903958</v>
      </c>
      <c r="C52" s="419"/>
      <c r="D52" s="424">
        <v>1</v>
      </c>
      <c r="E52" s="419">
        <f t="shared" si="22"/>
        <v>0.68361581920903958</v>
      </c>
      <c r="F52" s="418" t="s">
        <v>8488</v>
      </c>
      <c r="G52" s="506">
        <v>10620</v>
      </c>
      <c r="H52" s="424"/>
      <c r="I52" s="424">
        <v>2004</v>
      </c>
      <c r="J52" s="424"/>
      <c r="K52" s="418" t="s">
        <v>8523</v>
      </c>
      <c r="L52" s="517"/>
      <c r="M52" s="423">
        <f t="shared" si="23"/>
        <v>7260</v>
      </c>
      <c r="N52" s="413">
        <v>2055.42</v>
      </c>
      <c r="O52" s="423">
        <v>121</v>
      </c>
      <c r="P52" s="520"/>
      <c r="Q52" s="520"/>
      <c r="R52" s="520"/>
      <c r="S52" s="418" t="s">
        <v>8524</v>
      </c>
      <c r="T52" s="428">
        <f t="shared" si="24"/>
        <v>16.986942148760331</v>
      </c>
      <c r="U52" s="418"/>
      <c r="V52" s="418">
        <v>1</v>
      </c>
      <c r="W52" s="518"/>
      <c r="X52" s="518"/>
      <c r="Y52" s="519"/>
      <c r="Z52" s="429" t="s">
        <v>8457</v>
      </c>
      <c r="AC52" t="s">
        <v>8573</v>
      </c>
      <c r="AD52">
        <v>0.72128400154698979</v>
      </c>
    </row>
    <row r="53" spans="1:30">
      <c r="A53" s="418" t="s">
        <v>8557</v>
      </c>
      <c r="B53" s="496">
        <f t="shared" si="21"/>
        <v>0.63</v>
      </c>
      <c r="C53" s="419"/>
      <c r="D53" s="424">
        <v>1</v>
      </c>
      <c r="E53" s="419">
        <f t="shared" si="22"/>
        <v>0.63</v>
      </c>
      <c r="F53" s="418" t="s">
        <v>8488</v>
      </c>
      <c r="G53" s="506">
        <v>6000</v>
      </c>
      <c r="H53" s="424"/>
      <c r="I53" s="424">
        <v>2004</v>
      </c>
      <c r="J53" s="424"/>
      <c r="K53" s="418" t="s">
        <v>8454</v>
      </c>
      <c r="L53" s="517"/>
      <c r="M53" s="423">
        <f t="shared" si="23"/>
        <v>3780</v>
      </c>
      <c r="N53" s="413">
        <v>2358.21</v>
      </c>
      <c r="O53" s="423">
        <v>63</v>
      </c>
      <c r="P53" s="520"/>
      <c r="Q53" s="520"/>
      <c r="R53" s="520"/>
      <c r="S53" s="418" t="s">
        <v>8558</v>
      </c>
      <c r="T53" s="428">
        <f t="shared" si="24"/>
        <v>37.431904761904761</v>
      </c>
      <c r="U53" s="418">
        <v>1</v>
      </c>
      <c r="V53" s="418"/>
      <c r="W53" s="518"/>
      <c r="X53" s="518"/>
      <c r="Y53" s="519"/>
      <c r="Z53" s="429" t="s">
        <v>8457</v>
      </c>
      <c r="AC53" t="s">
        <v>8553</v>
      </c>
      <c r="AD53">
        <v>0.72689270784951232</v>
      </c>
    </row>
    <row r="54" spans="1:30">
      <c r="A54" s="418" t="s">
        <v>8559</v>
      </c>
      <c r="B54" s="496">
        <f t="shared" si="21"/>
        <v>0.92474610058996254</v>
      </c>
      <c r="C54" s="419"/>
      <c r="D54" s="424">
        <v>1</v>
      </c>
      <c r="E54" s="419">
        <f t="shared" si="22"/>
        <v>0.92474610058996254</v>
      </c>
      <c r="F54" s="418" t="s">
        <v>8488</v>
      </c>
      <c r="G54" s="506">
        <v>296968</v>
      </c>
      <c r="H54" s="424"/>
      <c r="I54" s="424">
        <v>2004</v>
      </c>
      <c r="J54" s="424"/>
      <c r="K54" s="418" t="s">
        <v>8454</v>
      </c>
      <c r="L54" s="521"/>
      <c r="M54" s="423">
        <f t="shared" si="23"/>
        <v>274620</v>
      </c>
      <c r="N54" s="413">
        <v>58000</v>
      </c>
      <c r="O54" s="423">
        <v>4577</v>
      </c>
      <c r="P54" s="520"/>
      <c r="Q54" s="520"/>
      <c r="R54" s="520"/>
      <c r="S54" s="418" t="s">
        <v>8560</v>
      </c>
      <c r="T54" s="428">
        <f t="shared" si="24"/>
        <v>12.672055931833079</v>
      </c>
      <c r="U54" s="418">
        <v>1</v>
      </c>
      <c r="V54" s="418"/>
      <c r="W54" s="518"/>
      <c r="X54" s="518"/>
      <c r="Y54" s="519"/>
      <c r="Z54" s="429" t="s">
        <v>8457</v>
      </c>
      <c r="AC54" t="s">
        <v>8552</v>
      </c>
      <c r="AD54">
        <v>0.73220338983050848</v>
      </c>
    </row>
    <row r="55" spans="1:30">
      <c r="A55" s="418" t="s">
        <v>8561</v>
      </c>
      <c r="B55" s="496">
        <f t="shared" si="21"/>
        <v>0.37836240023647649</v>
      </c>
      <c r="C55" s="419"/>
      <c r="D55" s="424">
        <v>1</v>
      </c>
      <c r="E55" s="419">
        <f t="shared" si="22"/>
        <v>0.37836240023647649</v>
      </c>
      <c r="F55" s="418" t="s">
        <v>8488</v>
      </c>
      <c r="G55" s="522">
        <v>10149</v>
      </c>
      <c r="H55" s="424"/>
      <c r="I55" s="424">
        <v>2004</v>
      </c>
      <c r="J55" s="424"/>
      <c r="K55" s="418" t="s">
        <v>8454</v>
      </c>
      <c r="L55" s="517"/>
      <c r="M55" s="423">
        <f t="shared" si="23"/>
        <v>3840</v>
      </c>
      <c r="N55" s="413">
        <v>5676.47</v>
      </c>
      <c r="O55" s="423">
        <v>64</v>
      </c>
      <c r="P55" s="520"/>
      <c r="Q55" s="520"/>
      <c r="R55" s="520"/>
      <c r="S55" s="418" t="s">
        <v>8528</v>
      </c>
      <c r="T55" s="428">
        <f t="shared" si="24"/>
        <v>88.694843750000004</v>
      </c>
      <c r="U55" s="418">
        <v>1</v>
      </c>
      <c r="V55" s="418"/>
      <c r="W55" s="518"/>
      <c r="X55" s="518"/>
      <c r="Y55" s="519"/>
      <c r="Z55" s="429" t="s">
        <v>8457</v>
      </c>
      <c r="AC55">
        <v>423900</v>
      </c>
      <c r="AD55">
        <v>0.75435203094777559</v>
      </c>
    </row>
    <row r="56" spans="1:30">
      <c r="A56" s="418" t="s">
        <v>8562</v>
      </c>
      <c r="B56" s="496">
        <f t="shared" si="21"/>
        <v>0.6964570214702982</v>
      </c>
      <c r="C56" s="419"/>
      <c r="D56" s="424">
        <v>1</v>
      </c>
      <c r="E56" s="419">
        <f t="shared" si="22"/>
        <v>0.6964570214702982</v>
      </c>
      <c r="F56" s="418" t="s">
        <v>8488</v>
      </c>
      <c r="G56" s="506">
        <f>22087+30637</f>
        <v>52724</v>
      </c>
      <c r="H56" s="424"/>
      <c r="I56" s="424">
        <v>2004</v>
      </c>
      <c r="J56" s="424"/>
      <c r="K56" s="418" t="s">
        <v>8454</v>
      </c>
      <c r="L56" s="517"/>
      <c r="M56" s="423">
        <f t="shared" si="23"/>
        <v>36720</v>
      </c>
      <c r="N56" s="413">
        <v>3000</v>
      </c>
      <c r="O56" s="423">
        <v>612</v>
      </c>
      <c r="P56" s="520"/>
      <c r="Q56" s="520"/>
      <c r="R56" s="520"/>
      <c r="S56" s="418" t="s">
        <v>8533</v>
      </c>
      <c r="T56" s="428">
        <f t="shared" si="24"/>
        <v>4.9019607843137258</v>
      </c>
      <c r="U56" s="418">
        <v>1</v>
      </c>
      <c r="V56" s="418"/>
      <c r="W56" s="518"/>
      <c r="X56" s="518"/>
      <c r="Y56" s="519"/>
      <c r="Z56" s="429" t="s">
        <v>8457</v>
      </c>
      <c r="AC56">
        <v>538500</v>
      </c>
      <c r="AD56">
        <v>0.81129807692307687</v>
      </c>
    </row>
    <row r="57" spans="1:30">
      <c r="A57" s="418" t="s">
        <v>8563</v>
      </c>
      <c r="B57" s="496">
        <f t="shared" si="21"/>
        <v>3.119584055459272</v>
      </c>
      <c r="C57" s="419"/>
      <c r="D57" s="424">
        <v>1</v>
      </c>
      <c r="E57" s="419">
        <f t="shared" si="22"/>
        <v>3.119584055459272</v>
      </c>
      <c r="F57" s="418" t="s">
        <v>8488</v>
      </c>
      <c r="G57" s="423">
        <v>5193</v>
      </c>
      <c r="H57" s="424"/>
      <c r="I57" s="424">
        <v>2004</v>
      </c>
      <c r="J57" s="424"/>
      <c r="K57" s="418" t="s">
        <v>8454</v>
      </c>
      <c r="L57" s="517"/>
      <c r="M57" s="423">
        <f t="shared" si="23"/>
        <v>16200</v>
      </c>
      <c r="N57" s="413">
        <v>4531.25</v>
      </c>
      <c r="O57" s="423">
        <v>270</v>
      </c>
      <c r="P57" s="520"/>
      <c r="Q57" s="520"/>
      <c r="R57" s="520"/>
      <c r="S57" s="418" t="s">
        <v>8555</v>
      </c>
      <c r="T57" s="428">
        <f t="shared" si="24"/>
        <v>16.782407407407408</v>
      </c>
      <c r="U57" s="418">
        <v>1</v>
      </c>
      <c r="V57" s="418"/>
      <c r="W57" s="518"/>
      <c r="X57" s="518"/>
      <c r="Y57" s="519"/>
      <c r="Z57" s="429" t="s">
        <v>8457</v>
      </c>
      <c r="AC57" t="s">
        <v>8531</v>
      </c>
      <c r="AD57">
        <v>0.83916083916083917</v>
      </c>
    </row>
    <row r="58" spans="1:30">
      <c r="A58" s="418" t="s">
        <v>8564</v>
      </c>
      <c r="B58" s="496">
        <f t="shared" si="21"/>
        <v>1.0805249867506312</v>
      </c>
      <c r="C58" s="419"/>
      <c r="D58" s="424">
        <v>1</v>
      </c>
      <c r="E58" s="419">
        <f t="shared" si="22"/>
        <v>1.0805249867506312</v>
      </c>
      <c r="F58" s="418" t="s">
        <v>8488</v>
      </c>
      <c r="G58" s="506">
        <v>96231</v>
      </c>
      <c r="H58" s="424"/>
      <c r="I58" s="424">
        <v>2004</v>
      </c>
      <c r="J58" s="424"/>
      <c r="K58" s="418" t="s">
        <v>8454</v>
      </c>
      <c r="L58" s="521"/>
      <c r="M58" s="423">
        <f t="shared" si="23"/>
        <v>103980</v>
      </c>
      <c r="N58" s="413">
        <v>35336.07</v>
      </c>
      <c r="O58" s="423">
        <v>1733</v>
      </c>
      <c r="P58" s="520"/>
      <c r="Q58" s="520"/>
      <c r="R58" s="520"/>
      <c r="S58" s="418" t="s">
        <v>8565</v>
      </c>
      <c r="T58" s="428">
        <f t="shared" si="24"/>
        <v>20.390115406809002</v>
      </c>
      <c r="U58" s="418">
        <v>1</v>
      </c>
      <c r="V58" s="418"/>
      <c r="W58" s="518"/>
      <c r="X58" s="518"/>
      <c r="Y58" s="519"/>
      <c r="Z58" s="429" t="s">
        <v>8457</v>
      </c>
      <c r="AC58" t="s">
        <v>8550</v>
      </c>
      <c r="AD58">
        <v>0.8440007642338555</v>
      </c>
    </row>
    <row r="59" spans="1:30">
      <c r="A59" s="418" t="s">
        <v>8566</v>
      </c>
      <c r="B59" s="496">
        <f t="shared" si="21"/>
        <v>1.5545028539729346</v>
      </c>
      <c r="C59" s="419"/>
      <c r="D59" s="424">
        <v>1</v>
      </c>
      <c r="E59" s="419">
        <f t="shared" si="22"/>
        <v>1.5545028539729346</v>
      </c>
      <c r="F59" s="418" t="s">
        <v>8488</v>
      </c>
      <c r="G59" s="506">
        <v>68501</v>
      </c>
      <c r="H59" s="424"/>
      <c r="I59" s="424">
        <v>2004</v>
      </c>
      <c r="J59" s="424"/>
      <c r="K59" s="418" t="s">
        <v>8454</v>
      </c>
      <c r="L59" s="521"/>
      <c r="M59" s="423">
        <f t="shared" si="23"/>
        <v>106485</v>
      </c>
      <c r="N59" s="413">
        <v>31600.25</v>
      </c>
      <c r="O59" s="423">
        <v>1774.75</v>
      </c>
      <c r="P59" s="520"/>
      <c r="Q59" s="520"/>
      <c r="R59" s="520"/>
      <c r="S59" s="418" t="s">
        <v>8567</v>
      </c>
      <c r="T59" s="428">
        <f t="shared" si="24"/>
        <v>17.80546555852937</v>
      </c>
      <c r="U59" s="418">
        <v>1</v>
      </c>
      <c r="V59" s="418"/>
      <c r="W59" s="518"/>
      <c r="X59" s="518"/>
      <c r="Y59" s="519"/>
      <c r="Z59" s="429" t="s">
        <v>8457</v>
      </c>
      <c r="AC59" t="s">
        <v>8569</v>
      </c>
      <c r="AD59">
        <v>0.85121390436849698</v>
      </c>
    </row>
    <row r="60" spans="1:30">
      <c r="A60" s="418" t="s">
        <v>8568</v>
      </c>
      <c r="B60" s="496">
        <f t="shared" si="21"/>
        <v>0.20964767543433951</v>
      </c>
      <c r="C60" s="419"/>
      <c r="D60" s="424">
        <v>1</v>
      </c>
      <c r="E60" s="419">
        <f t="shared" si="22"/>
        <v>0.20964767543433951</v>
      </c>
      <c r="F60" s="418" t="s">
        <v>8488</v>
      </c>
      <c r="G60" s="506">
        <v>20606</v>
      </c>
      <c r="H60" s="424"/>
      <c r="I60" s="424">
        <v>2004</v>
      </c>
      <c r="J60" s="424"/>
      <c r="K60" s="418" t="s">
        <v>8523</v>
      </c>
      <c r="L60" s="517"/>
      <c r="M60" s="423">
        <f t="shared" si="23"/>
        <v>4320</v>
      </c>
      <c r="N60" s="413">
        <v>4612.12</v>
      </c>
      <c r="O60" s="423">
        <v>72</v>
      </c>
      <c r="P60" s="520"/>
      <c r="Q60" s="520"/>
      <c r="R60" s="520"/>
      <c r="S60" s="418" t="s">
        <v>8526</v>
      </c>
      <c r="T60" s="428">
        <f t="shared" si="24"/>
        <v>64.057222222222222</v>
      </c>
      <c r="U60" s="418"/>
      <c r="V60" s="418">
        <v>1</v>
      </c>
      <c r="W60" s="518"/>
      <c r="X60" s="518"/>
      <c r="Y60" s="519"/>
      <c r="Z60" s="429" t="s">
        <v>8457</v>
      </c>
      <c r="AC60" t="s">
        <v>8532</v>
      </c>
      <c r="AD60">
        <v>0.88615298193053083</v>
      </c>
    </row>
    <row r="61" spans="1:30">
      <c r="A61" s="418" t="s">
        <v>8569</v>
      </c>
      <c r="B61" s="496">
        <f t="shared" si="21"/>
        <v>0.85121390436849698</v>
      </c>
      <c r="C61" s="419"/>
      <c r="D61" s="424">
        <v>1</v>
      </c>
      <c r="E61" s="419">
        <f t="shared" si="22"/>
        <v>0.85121390436849698</v>
      </c>
      <c r="F61" s="418" t="s">
        <v>8488</v>
      </c>
      <c r="G61" s="506">
        <v>128305</v>
      </c>
      <c r="H61" s="424"/>
      <c r="I61" s="424">
        <v>2004</v>
      </c>
      <c r="J61" s="424"/>
      <c r="K61" s="418" t="s">
        <v>8523</v>
      </c>
      <c r="L61" s="521"/>
      <c r="M61" s="423">
        <f t="shared" si="23"/>
        <v>109215</v>
      </c>
      <c r="N61" s="413">
        <v>26446</v>
      </c>
      <c r="O61" s="423">
        <v>1820.25</v>
      </c>
      <c r="P61" s="520"/>
      <c r="Q61" s="520"/>
      <c r="R61" s="520"/>
      <c r="S61" s="418" t="s">
        <v>8526</v>
      </c>
      <c r="T61" s="428">
        <f t="shared" si="24"/>
        <v>14.528773520120863</v>
      </c>
      <c r="U61" s="418"/>
      <c r="V61" s="418">
        <v>1</v>
      </c>
      <c r="W61" s="518"/>
      <c r="X61" s="518"/>
      <c r="Y61" s="519"/>
      <c r="Z61" s="429" t="s">
        <v>8457</v>
      </c>
      <c r="AC61">
        <v>270510</v>
      </c>
      <c r="AD61">
        <v>0.88967971530249113</v>
      </c>
    </row>
    <row r="62" spans="1:30">
      <c r="A62" s="418" t="s">
        <v>8570</v>
      </c>
      <c r="B62" s="496">
        <f t="shared" si="21"/>
        <v>0.4861111111111111</v>
      </c>
      <c r="C62" s="419"/>
      <c r="D62" s="424">
        <v>1</v>
      </c>
      <c r="E62" s="419">
        <f t="shared" si="22"/>
        <v>0.4861111111111111</v>
      </c>
      <c r="F62" s="418" t="s">
        <v>8488</v>
      </c>
      <c r="G62" s="506">
        <v>2592</v>
      </c>
      <c r="H62" s="424"/>
      <c r="I62" s="424">
        <v>2004</v>
      </c>
      <c r="J62" s="424"/>
      <c r="K62" s="418" t="s">
        <v>8454</v>
      </c>
      <c r="L62" s="517"/>
      <c r="M62" s="423">
        <f t="shared" si="23"/>
        <v>1260</v>
      </c>
      <c r="N62" s="413">
        <v>321.66000000000003</v>
      </c>
      <c r="O62" s="423">
        <v>21</v>
      </c>
      <c r="P62" s="520"/>
      <c r="Q62" s="520"/>
      <c r="R62" s="520"/>
      <c r="S62" s="418" t="s">
        <v>8571</v>
      </c>
      <c r="T62" s="428">
        <f t="shared" si="24"/>
        <v>15.317142857142859</v>
      </c>
      <c r="U62" s="418">
        <v>1</v>
      </c>
      <c r="V62" s="418"/>
      <c r="W62" s="518"/>
      <c r="X62" s="518"/>
      <c r="Y62" s="519"/>
      <c r="Z62" s="429" t="s">
        <v>8457</v>
      </c>
      <c r="AC62" t="s">
        <v>8559</v>
      </c>
      <c r="AD62">
        <v>0.92474610058996254</v>
      </c>
    </row>
    <row r="63" spans="1:30">
      <c r="A63" s="418" t="s">
        <v>8572</v>
      </c>
      <c r="B63" s="496">
        <f t="shared" si="21"/>
        <v>0.48218660019768789</v>
      </c>
      <c r="C63" s="419"/>
      <c r="D63" s="424">
        <v>1</v>
      </c>
      <c r="E63" s="419">
        <f t="shared" si="22"/>
        <v>0.48218660019768789</v>
      </c>
      <c r="F63" s="418" t="s">
        <v>8488</v>
      </c>
      <c r="G63" s="506">
        <v>23269</v>
      </c>
      <c r="H63" s="424"/>
      <c r="I63" s="424">
        <v>2004</v>
      </c>
      <c r="J63" s="424"/>
      <c r="K63" s="418" t="s">
        <v>8454</v>
      </c>
      <c r="L63" s="517"/>
      <c r="M63" s="423">
        <f t="shared" si="23"/>
        <v>11220</v>
      </c>
      <c r="N63" s="413">
        <v>6557.8</v>
      </c>
      <c r="O63" s="423">
        <v>187</v>
      </c>
      <c r="P63" s="520"/>
      <c r="Q63" s="520"/>
      <c r="R63" s="520"/>
      <c r="S63" s="418" t="s">
        <v>8558</v>
      </c>
      <c r="T63" s="428">
        <f t="shared" si="24"/>
        <v>35.068449197860964</v>
      </c>
      <c r="U63" s="418">
        <v>1</v>
      </c>
      <c r="V63" s="418"/>
      <c r="W63" s="518"/>
      <c r="X63" s="518"/>
      <c r="Y63" s="519"/>
      <c r="Z63" s="429" t="s">
        <v>8457</v>
      </c>
      <c r="AC63">
        <v>487000</v>
      </c>
      <c r="AD63">
        <v>0.96439790575916229</v>
      </c>
    </row>
    <row r="64" spans="1:30">
      <c r="A64" s="418" t="s">
        <v>8573</v>
      </c>
      <c r="B64" s="496">
        <f t="shared" si="21"/>
        <v>0.72128400154698979</v>
      </c>
      <c r="C64" s="419"/>
      <c r="D64" s="424">
        <v>1</v>
      </c>
      <c r="E64" s="419">
        <f t="shared" si="22"/>
        <v>0.72128400154698979</v>
      </c>
      <c r="F64" s="418" t="s">
        <v>8488</v>
      </c>
      <c r="G64" s="506">
        <v>23271</v>
      </c>
      <c r="H64" s="424"/>
      <c r="I64" s="424">
        <v>2004</v>
      </c>
      <c r="J64" s="424"/>
      <c r="K64" s="418" t="s">
        <v>8523</v>
      </c>
      <c r="L64" s="517"/>
      <c r="M64" s="423">
        <f t="shared" si="23"/>
        <v>16785</v>
      </c>
      <c r="N64" s="413">
        <v>14434.64</v>
      </c>
      <c r="O64" s="423">
        <v>279.75</v>
      </c>
      <c r="P64" s="520"/>
      <c r="Q64" s="520"/>
      <c r="R64" s="520"/>
      <c r="S64" s="418" t="s">
        <v>8574</v>
      </c>
      <c r="T64" s="428">
        <f t="shared" si="24"/>
        <v>51.598355674709559</v>
      </c>
      <c r="U64" s="418"/>
      <c r="V64" s="418">
        <v>1</v>
      </c>
      <c r="W64" s="518"/>
      <c r="X64" s="518"/>
      <c r="Y64" s="519"/>
      <c r="Z64" s="429" t="s">
        <v>8457</v>
      </c>
      <c r="AC64">
        <v>528200</v>
      </c>
      <c r="AD64">
        <v>0.96715328467153283</v>
      </c>
    </row>
    <row r="65" spans="1:37">
      <c r="A65" s="418" t="s">
        <v>8576</v>
      </c>
      <c r="B65" s="496">
        <f t="shared" si="21"/>
        <v>0.53057151004114222</v>
      </c>
      <c r="C65" s="419"/>
      <c r="D65" s="424">
        <v>1</v>
      </c>
      <c r="E65" s="419">
        <f>M65/G65</f>
        <v>0.53057151004114222</v>
      </c>
      <c r="F65" s="418" t="s">
        <v>8488</v>
      </c>
      <c r="G65" s="506">
        <v>73647</v>
      </c>
      <c r="H65" s="424"/>
      <c r="I65" s="424">
        <v>2004</v>
      </c>
      <c r="J65" s="424"/>
      <c r="K65" s="418" t="s">
        <v>8454</v>
      </c>
      <c r="L65" s="521"/>
      <c r="M65" s="423">
        <f>60*O65</f>
        <v>39075</v>
      </c>
      <c r="N65" s="413">
        <v>14245.83</v>
      </c>
      <c r="O65" s="423">
        <v>651.25</v>
      </c>
      <c r="P65" s="520"/>
      <c r="Q65" s="520"/>
      <c r="R65" s="520"/>
      <c r="S65" s="418" t="s">
        <v>8555</v>
      </c>
      <c r="T65" s="428">
        <f>N65/O65</f>
        <v>21.874595009596931</v>
      </c>
      <c r="U65" s="418">
        <v>1</v>
      </c>
      <c r="V65" s="418"/>
      <c r="W65" s="518"/>
      <c r="X65" s="518"/>
      <c r="Y65" s="519"/>
      <c r="Z65" s="429" t="s">
        <v>8457</v>
      </c>
      <c r="AC65">
        <v>404230</v>
      </c>
      <c r="AD65">
        <v>0.99350649350649356</v>
      </c>
    </row>
    <row r="66" spans="1:37">
      <c r="A66" s="418" t="s">
        <v>8539</v>
      </c>
      <c r="B66" s="496"/>
      <c r="C66" s="419"/>
      <c r="D66" s="424">
        <v>1</v>
      </c>
      <c r="E66" s="419"/>
      <c r="F66" s="418" t="s">
        <v>8488</v>
      </c>
      <c r="G66" s="506">
        <v>26286</v>
      </c>
      <c r="H66" s="424"/>
      <c r="I66" s="424">
        <v>2004</v>
      </c>
      <c r="J66" s="424"/>
      <c r="K66" s="418" t="s">
        <v>8454</v>
      </c>
      <c r="L66" s="517"/>
      <c r="M66" s="423"/>
      <c r="N66" s="413">
        <v>14434.64</v>
      </c>
      <c r="O66" s="423"/>
      <c r="P66" s="520"/>
      <c r="Q66" s="520"/>
      <c r="R66" s="520"/>
      <c r="S66" s="418" t="s">
        <v>8521</v>
      </c>
      <c r="T66" s="428"/>
      <c r="U66" s="418">
        <v>1</v>
      </c>
      <c r="V66" s="418"/>
      <c r="W66" s="518"/>
      <c r="X66" s="518"/>
      <c r="Y66" s="519"/>
      <c r="Z66" s="429" t="s">
        <v>8457</v>
      </c>
      <c r="AA66" s="524"/>
      <c r="AB66" s="519"/>
      <c r="AC66" t="s">
        <v>8540</v>
      </c>
      <c r="AD66">
        <v>1.077119184193754</v>
      </c>
      <c r="AE66" s="418"/>
      <c r="AF66" s="418"/>
      <c r="AG66" s="418"/>
      <c r="AH66" s="418"/>
      <c r="AI66" s="418"/>
      <c r="AJ66" s="418"/>
      <c r="AK66" s="418"/>
    </row>
    <row r="67" spans="1:37">
      <c r="A67" s="418" t="s">
        <v>8575</v>
      </c>
      <c r="B67" s="496"/>
      <c r="C67" s="419"/>
      <c r="D67" s="424">
        <v>1</v>
      </c>
      <c r="E67" s="419"/>
      <c r="F67" s="418" t="s">
        <v>8488</v>
      </c>
      <c r="G67" s="423">
        <v>18068</v>
      </c>
      <c r="H67" s="424"/>
      <c r="I67" s="424">
        <v>2004</v>
      </c>
      <c r="J67" s="424"/>
      <c r="K67" s="418" t="s">
        <v>8454</v>
      </c>
      <c r="L67" s="517"/>
      <c r="M67" s="423"/>
      <c r="N67" s="413">
        <v>3260</v>
      </c>
      <c r="O67" s="423"/>
      <c r="P67" s="520"/>
      <c r="Q67" s="520"/>
      <c r="R67" s="520"/>
      <c r="S67" s="418" t="s">
        <v>8521</v>
      </c>
      <c r="T67" s="428"/>
      <c r="U67" s="418">
        <v>1</v>
      </c>
      <c r="V67" s="418"/>
      <c r="W67" s="518"/>
      <c r="X67" s="518"/>
      <c r="Y67" s="519"/>
      <c r="Z67" s="429" t="s">
        <v>8457</v>
      </c>
      <c r="AC67" t="s">
        <v>8564</v>
      </c>
      <c r="AD67">
        <v>1.0805249867506312</v>
      </c>
    </row>
    <row r="68" spans="1:37">
      <c r="A68" s="505" t="s">
        <v>8600</v>
      </c>
      <c r="B68" s="496">
        <f t="shared" ref="B68:B83" si="25">E68/D68</f>
        <v>0.44230769230769229</v>
      </c>
      <c r="C68" s="419">
        <f t="shared" ref="C68:C83" si="26">B68/H68</f>
        <v>0.14743589743589744</v>
      </c>
      <c r="D68" s="505">
        <v>26</v>
      </c>
      <c r="E68" s="419">
        <f t="shared" ref="E68:E83" si="27">M68/G68</f>
        <v>11.5</v>
      </c>
      <c r="F68" s="525">
        <v>32</v>
      </c>
      <c r="G68" s="505">
        <v>150</v>
      </c>
      <c r="H68" s="505">
        <v>3</v>
      </c>
      <c r="I68" s="505">
        <v>2016</v>
      </c>
      <c r="J68" s="505"/>
      <c r="K68" s="418" t="s">
        <v>8512</v>
      </c>
      <c r="L68" s="518"/>
      <c r="M68" s="506">
        <f t="shared" ref="M68:M83" si="28">$H68*Q68</f>
        <v>1725</v>
      </c>
      <c r="N68" s="507"/>
      <c r="O68" s="506">
        <f t="shared" ref="O68:O83" si="29">$H68*R68</f>
        <v>28.740000000000002</v>
      </c>
      <c r="P68" s="505"/>
      <c r="Q68" s="505">
        <v>575</v>
      </c>
      <c r="R68" s="526">
        <v>9.58</v>
      </c>
      <c r="S68" s="418"/>
      <c r="T68" s="508"/>
      <c r="U68" s="518"/>
      <c r="V68" s="418"/>
      <c r="W68" s="418"/>
      <c r="X68" s="524"/>
      <c r="Y68" s="418"/>
      <c r="Z68" s="429" t="s">
        <v>8457</v>
      </c>
      <c r="AC68">
        <v>420520</v>
      </c>
      <c r="AD68">
        <v>1.1416666666666666</v>
      </c>
    </row>
    <row r="69" spans="1:37">
      <c r="A69" s="505">
        <v>237200</v>
      </c>
      <c r="B69" s="496">
        <f t="shared" si="25"/>
        <v>0.71868131868131868</v>
      </c>
      <c r="C69" s="419">
        <f t="shared" si="26"/>
        <v>0.23956043956043957</v>
      </c>
      <c r="D69" s="505">
        <v>25</v>
      </c>
      <c r="E69" s="419">
        <f t="shared" si="27"/>
        <v>17.967032967032967</v>
      </c>
      <c r="F69" s="525">
        <v>363</v>
      </c>
      <c r="G69" s="505">
        <v>182</v>
      </c>
      <c r="H69" s="505">
        <v>3</v>
      </c>
      <c r="I69" s="505">
        <v>2016</v>
      </c>
      <c r="J69" s="505"/>
      <c r="K69" s="418" t="s">
        <v>8512</v>
      </c>
      <c r="L69" s="518"/>
      <c r="M69" s="506">
        <f t="shared" si="28"/>
        <v>3270</v>
      </c>
      <c r="N69" s="507"/>
      <c r="O69" s="506">
        <f t="shared" si="29"/>
        <v>54.480000000000004</v>
      </c>
      <c r="P69" s="505"/>
      <c r="Q69" s="506">
        <v>1090</v>
      </c>
      <c r="R69" s="526">
        <v>18.16</v>
      </c>
      <c r="S69" s="418"/>
      <c r="T69" s="508"/>
      <c r="U69" s="518"/>
      <c r="V69" s="418"/>
      <c r="W69" s="418"/>
      <c r="X69" s="524"/>
      <c r="Y69" s="418"/>
      <c r="Z69" s="429" t="s">
        <v>8457</v>
      </c>
      <c r="AC69" t="s">
        <v>8538</v>
      </c>
      <c r="AD69">
        <v>1.2396694214876034</v>
      </c>
    </row>
    <row r="70" spans="1:37">
      <c r="A70" s="505">
        <v>240000</v>
      </c>
      <c r="B70" s="496">
        <f t="shared" si="25"/>
        <v>0.45471769609700641</v>
      </c>
      <c r="C70" s="419">
        <f t="shared" si="26"/>
        <v>0.15157256536566879</v>
      </c>
      <c r="D70" s="505">
        <v>26</v>
      </c>
      <c r="E70" s="419">
        <f t="shared" si="27"/>
        <v>11.822660098522167</v>
      </c>
      <c r="F70" s="525">
        <v>368</v>
      </c>
      <c r="G70" s="505">
        <v>203</v>
      </c>
      <c r="H70" s="505">
        <v>3</v>
      </c>
      <c r="I70" s="505">
        <v>2016</v>
      </c>
      <c r="J70" s="505"/>
      <c r="K70" s="418" t="s">
        <v>8512</v>
      </c>
      <c r="L70" s="518"/>
      <c r="M70" s="506">
        <f t="shared" si="28"/>
        <v>2400</v>
      </c>
      <c r="N70" s="507"/>
      <c r="O70" s="506">
        <f t="shared" si="29"/>
        <v>39.99</v>
      </c>
      <c r="P70" s="505"/>
      <c r="Q70" s="505">
        <v>800</v>
      </c>
      <c r="R70" s="526">
        <v>13.33</v>
      </c>
      <c r="S70" s="418"/>
      <c r="T70" s="508"/>
      <c r="U70" s="518"/>
      <c r="V70" s="418"/>
      <c r="W70" s="418"/>
      <c r="X70" s="524"/>
      <c r="Y70" s="418"/>
      <c r="Z70" s="429" t="s">
        <v>8457</v>
      </c>
      <c r="AC70" t="s">
        <v>8566</v>
      </c>
      <c r="AD70">
        <v>1.5545028539729346</v>
      </c>
    </row>
    <row r="71" spans="1:37">
      <c r="A71" s="505">
        <v>270510</v>
      </c>
      <c r="B71" s="496">
        <f t="shared" si="25"/>
        <v>0.88967971530249113</v>
      </c>
      <c r="C71" s="419">
        <f t="shared" si="26"/>
        <v>0.29655990510083036</v>
      </c>
      <c r="D71" s="505">
        <v>27</v>
      </c>
      <c r="E71" s="419">
        <f t="shared" si="27"/>
        <v>24.021352313167259</v>
      </c>
      <c r="F71" s="525">
        <v>418</v>
      </c>
      <c r="G71" s="505">
        <v>281</v>
      </c>
      <c r="H71" s="505">
        <v>3</v>
      </c>
      <c r="I71" s="505">
        <v>2016</v>
      </c>
      <c r="J71" s="505"/>
      <c r="K71" s="418" t="s">
        <v>8512</v>
      </c>
      <c r="L71" s="518"/>
      <c r="M71" s="506">
        <f t="shared" si="28"/>
        <v>6750</v>
      </c>
      <c r="N71" s="507"/>
      <c r="O71" s="506">
        <f t="shared" si="29"/>
        <v>112.5</v>
      </c>
      <c r="P71" s="505"/>
      <c r="Q71" s="506">
        <v>2250</v>
      </c>
      <c r="R71" s="526">
        <v>37.5</v>
      </c>
      <c r="S71" s="418"/>
      <c r="T71" s="508"/>
      <c r="U71" s="518"/>
      <c r="V71" s="418"/>
      <c r="W71" s="418"/>
      <c r="X71" s="524"/>
      <c r="Y71" s="418"/>
      <c r="Z71" s="429" t="s">
        <v>8457</v>
      </c>
      <c r="AC71" t="s">
        <v>8497</v>
      </c>
      <c r="AD71">
        <v>1.8181818181818181</v>
      </c>
    </row>
    <row r="72" spans="1:37">
      <c r="A72" s="505">
        <v>376700</v>
      </c>
      <c r="B72" s="496">
        <f t="shared" si="25"/>
        <v>0.3662733529990167</v>
      </c>
      <c r="C72" s="419">
        <f t="shared" si="26"/>
        <v>0.1220911176663389</v>
      </c>
      <c r="D72" s="505">
        <v>27</v>
      </c>
      <c r="E72" s="419">
        <f t="shared" si="27"/>
        <v>9.889380530973451</v>
      </c>
      <c r="F72" s="525">
        <v>597</v>
      </c>
      <c r="G72" s="505">
        <v>226</v>
      </c>
      <c r="H72" s="505">
        <v>3</v>
      </c>
      <c r="I72" s="505">
        <v>2016</v>
      </c>
      <c r="J72" s="505"/>
      <c r="K72" s="418" t="s">
        <v>8512</v>
      </c>
      <c r="L72" s="518"/>
      <c r="M72" s="506">
        <f t="shared" si="28"/>
        <v>2235</v>
      </c>
      <c r="N72" s="507"/>
      <c r="O72" s="506">
        <f t="shared" si="29"/>
        <v>37.26</v>
      </c>
      <c r="P72" s="505"/>
      <c r="Q72" s="505">
        <v>745</v>
      </c>
      <c r="R72" s="526">
        <v>12.42</v>
      </c>
      <c r="S72" s="418"/>
      <c r="T72" s="508"/>
      <c r="U72" s="518"/>
      <c r="V72" s="418"/>
      <c r="W72" s="418"/>
      <c r="X72" s="524"/>
      <c r="Y72" s="418"/>
      <c r="Z72" s="429" t="s">
        <v>8457</v>
      </c>
      <c r="AC72" t="s">
        <v>8535</v>
      </c>
      <c r="AD72">
        <v>1.8212703101920236</v>
      </c>
    </row>
    <row r="73" spans="1:37">
      <c r="A73" s="505">
        <v>403500</v>
      </c>
      <c r="B73" s="496">
        <f t="shared" si="25"/>
        <v>0.7065217391304347</v>
      </c>
      <c r="C73" s="419">
        <f t="shared" si="26"/>
        <v>0.23550724637681156</v>
      </c>
      <c r="D73" s="505">
        <v>12</v>
      </c>
      <c r="E73" s="419">
        <f t="shared" si="27"/>
        <v>8.4782608695652169</v>
      </c>
      <c r="F73" s="525">
        <v>637</v>
      </c>
      <c r="G73" s="505">
        <v>138</v>
      </c>
      <c r="H73" s="505">
        <v>3</v>
      </c>
      <c r="I73" s="505">
        <v>2016</v>
      </c>
      <c r="J73" s="505"/>
      <c r="K73" s="418" t="s">
        <v>8512</v>
      </c>
      <c r="L73" s="518"/>
      <c r="M73" s="506">
        <f t="shared" si="28"/>
        <v>1170</v>
      </c>
      <c r="N73" s="507"/>
      <c r="O73" s="506">
        <f t="shared" si="29"/>
        <v>19.5</v>
      </c>
      <c r="P73" s="505"/>
      <c r="Q73" s="505">
        <v>390</v>
      </c>
      <c r="R73" s="526">
        <v>6.5</v>
      </c>
      <c r="S73" s="418"/>
      <c r="T73" s="508"/>
      <c r="U73" s="518"/>
      <c r="V73" s="418"/>
      <c r="W73" s="418"/>
      <c r="X73" s="524"/>
      <c r="Y73" s="418"/>
      <c r="Z73" s="429" t="s">
        <v>8457</v>
      </c>
      <c r="AC73" t="s">
        <v>8545</v>
      </c>
      <c r="AD73">
        <v>2.2019597441723135</v>
      </c>
    </row>
    <row r="74" spans="1:37">
      <c r="A74" s="505">
        <v>404230</v>
      </c>
      <c r="B74" s="496">
        <f t="shared" si="25"/>
        <v>0.99350649350649356</v>
      </c>
      <c r="C74" s="419">
        <f t="shared" si="26"/>
        <v>0.33116883116883117</v>
      </c>
      <c r="D74" s="505">
        <v>11</v>
      </c>
      <c r="E74" s="419">
        <f t="shared" si="27"/>
        <v>10.928571428571429</v>
      </c>
      <c r="F74" s="525">
        <v>670</v>
      </c>
      <c r="G74" s="505">
        <v>70</v>
      </c>
      <c r="H74" s="505">
        <v>3</v>
      </c>
      <c r="I74" s="505">
        <v>2016</v>
      </c>
      <c r="J74" s="505"/>
      <c r="K74" s="418" t="s">
        <v>8512</v>
      </c>
      <c r="L74" s="518"/>
      <c r="M74" s="506">
        <f t="shared" si="28"/>
        <v>765</v>
      </c>
      <c r="N74" s="507"/>
      <c r="O74" s="506">
        <f t="shared" si="29"/>
        <v>12.75</v>
      </c>
      <c r="P74" s="505"/>
      <c r="Q74" s="505">
        <v>255</v>
      </c>
      <c r="R74" s="526">
        <v>4.25</v>
      </c>
      <c r="S74" s="418"/>
      <c r="T74" s="508"/>
      <c r="U74" s="518"/>
      <c r="V74" s="418"/>
      <c r="W74" s="418"/>
      <c r="X74" s="524"/>
      <c r="Y74" s="418"/>
      <c r="Z74" s="429" t="s">
        <v>8457</v>
      </c>
      <c r="AC74" t="s">
        <v>8563</v>
      </c>
      <c r="AD74">
        <v>3.119584055459272</v>
      </c>
    </row>
    <row r="75" spans="1:37">
      <c r="A75" s="505">
        <v>405400</v>
      </c>
      <c r="B75" s="496">
        <f t="shared" si="25"/>
        <v>0.71725571725571724</v>
      </c>
      <c r="C75" s="419">
        <f t="shared" si="26"/>
        <v>0.23908523908523907</v>
      </c>
      <c r="D75" s="505">
        <v>13</v>
      </c>
      <c r="E75" s="419">
        <f t="shared" si="27"/>
        <v>9.3243243243243246</v>
      </c>
      <c r="F75" s="525">
        <v>686</v>
      </c>
      <c r="G75" s="505">
        <v>148</v>
      </c>
      <c r="H75" s="505">
        <v>3</v>
      </c>
      <c r="I75" s="505">
        <v>2016</v>
      </c>
      <c r="J75" s="505"/>
      <c r="K75" s="418" t="s">
        <v>8512</v>
      </c>
      <c r="L75" s="518"/>
      <c r="M75" s="506">
        <f t="shared" si="28"/>
        <v>1380</v>
      </c>
      <c r="N75" s="507"/>
      <c r="O75" s="506">
        <f t="shared" si="29"/>
        <v>23.009999999999998</v>
      </c>
      <c r="P75" s="505"/>
      <c r="Q75" s="505">
        <v>460</v>
      </c>
      <c r="R75" s="526">
        <v>7.67</v>
      </c>
      <c r="S75" s="418"/>
      <c r="T75" s="508"/>
      <c r="U75" s="518"/>
      <c r="V75" s="418"/>
      <c r="W75" s="418"/>
      <c r="X75" s="524"/>
      <c r="Y75" s="418"/>
      <c r="Z75" s="429" t="s">
        <v>8457</v>
      </c>
    </row>
    <row r="76" spans="1:37">
      <c r="A76" s="505">
        <v>420520</v>
      </c>
      <c r="B76" s="496">
        <f t="shared" si="25"/>
        <v>1.1416666666666666</v>
      </c>
      <c r="C76" s="419">
        <f t="shared" si="26"/>
        <v>0.38055555555555554</v>
      </c>
      <c r="D76" s="505">
        <v>12</v>
      </c>
      <c r="E76" s="419">
        <f t="shared" si="27"/>
        <v>13.7</v>
      </c>
      <c r="F76" s="525">
        <v>857</v>
      </c>
      <c r="G76" s="505">
        <v>150</v>
      </c>
      <c r="H76" s="505">
        <v>3</v>
      </c>
      <c r="I76" s="505">
        <v>2016</v>
      </c>
      <c r="J76" s="505"/>
      <c r="K76" s="418" t="s">
        <v>8512</v>
      </c>
      <c r="L76" s="518"/>
      <c r="M76" s="506">
        <f t="shared" si="28"/>
        <v>2055</v>
      </c>
      <c r="N76" s="507"/>
      <c r="O76" s="506">
        <f t="shared" si="29"/>
        <v>34.26</v>
      </c>
      <c r="P76" s="505"/>
      <c r="Q76" s="505">
        <v>685</v>
      </c>
      <c r="R76" s="526">
        <v>11.42</v>
      </c>
      <c r="S76" s="418"/>
      <c r="T76" s="508"/>
      <c r="U76" s="518"/>
      <c r="V76" s="418"/>
      <c r="W76" s="418"/>
      <c r="X76" s="524"/>
      <c r="Y76" s="418"/>
      <c r="Z76" s="429" t="s">
        <v>8457</v>
      </c>
      <c r="AC76" t="s">
        <v>8539</v>
      </c>
    </row>
    <row r="77" spans="1:37">
      <c r="A77" s="505">
        <v>423900</v>
      </c>
      <c r="B77" s="496">
        <f t="shared" si="25"/>
        <v>0.75435203094777559</v>
      </c>
      <c r="C77" s="419">
        <f t="shared" si="26"/>
        <v>0.25145067698259188</v>
      </c>
      <c r="D77" s="505">
        <v>11</v>
      </c>
      <c r="E77" s="419">
        <f t="shared" si="27"/>
        <v>8.2978723404255312</v>
      </c>
      <c r="F77" s="525">
        <v>877</v>
      </c>
      <c r="G77" s="505">
        <v>47</v>
      </c>
      <c r="H77" s="505">
        <v>3</v>
      </c>
      <c r="I77" s="505">
        <v>2016</v>
      </c>
      <c r="J77" s="505"/>
      <c r="K77" s="418" t="s">
        <v>8512</v>
      </c>
      <c r="L77" s="518"/>
      <c r="M77" s="506">
        <f t="shared" si="28"/>
        <v>390</v>
      </c>
      <c r="N77" s="507"/>
      <c r="O77" s="506">
        <f t="shared" si="29"/>
        <v>6.51</v>
      </c>
      <c r="P77" s="505"/>
      <c r="Q77" s="505">
        <v>130</v>
      </c>
      <c r="R77" s="526">
        <v>2.17</v>
      </c>
      <c r="S77" s="418"/>
      <c r="T77" s="508"/>
      <c r="U77" s="518"/>
      <c r="V77" s="418"/>
      <c r="W77" s="418"/>
      <c r="X77" s="524"/>
      <c r="Y77" s="418"/>
      <c r="Z77" s="429" t="s">
        <v>8457</v>
      </c>
      <c r="AC77" t="s">
        <v>8575</v>
      </c>
    </row>
    <row r="78" spans="1:37">
      <c r="A78" s="505">
        <v>442800</v>
      </c>
      <c r="B78" s="496">
        <f t="shared" si="25"/>
        <v>0.40683962264150941</v>
      </c>
      <c r="C78" s="419">
        <f t="shared" si="26"/>
        <v>0.1356132075471698</v>
      </c>
      <c r="D78" s="505">
        <v>16</v>
      </c>
      <c r="E78" s="419">
        <f t="shared" si="27"/>
        <v>6.5094339622641506</v>
      </c>
      <c r="F78" s="525">
        <v>991</v>
      </c>
      <c r="G78" s="505">
        <v>159</v>
      </c>
      <c r="H78" s="505">
        <v>3</v>
      </c>
      <c r="I78" s="505">
        <v>2016</v>
      </c>
      <c r="J78" s="505"/>
      <c r="K78" s="418" t="s">
        <v>8512</v>
      </c>
      <c r="L78" s="518"/>
      <c r="M78" s="506">
        <f t="shared" si="28"/>
        <v>1035</v>
      </c>
      <c r="N78" s="507"/>
      <c r="O78" s="506">
        <f t="shared" si="29"/>
        <v>17.25</v>
      </c>
      <c r="P78" s="505"/>
      <c r="Q78" s="505">
        <v>345</v>
      </c>
      <c r="R78" s="526">
        <v>5.75</v>
      </c>
      <c r="S78" s="418"/>
      <c r="T78" s="508"/>
      <c r="U78" s="518"/>
      <c r="V78" s="418"/>
      <c r="W78" s="418"/>
      <c r="X78" s="524"/>
      <c r="Y78" s="418"/>
      <c r="Z78" s="429" t="s">
        <v>8457</v>
      </c>
    </row>
    <row r="79" spans="1:37">
      <c r="A79" s="505">
        <v>487000</v>
      </c>
      <c r="B79" s="496">
        <f t="shared" si="25"/>
        <v>0.96439790575916229</v>
      </c>
      <c r="C79" s="419">
        <f t="shared" si="26"/>
        <v>0.32146596858638743</v>
      </c>
      <c r="D79" s="505">
        <v>15</v>
      </c>
      <c r="E79" s="419">
        <f t="shared" si="27"/>
        <v>14.465968586387435</v>
      </c>
      <c r="F79" s="525">
        <v>1229</v>
      </c>
      <c r="G79" s="505">
        <v>191</v>
      </c>
      <c r="H79" s="505">
        <v>3</v>
      </c>
      <c r="I79" s="505">
        <v>2016</v>
      </c>
      <c r="J79" s="505"/>
      <c r="K79" s="418" t="s">
        <v>8512</v>
      </c>
      <c r="L79" s="518"/>
      <c r="M79" s="506">
        <f t="shared" si="28"/>
        <v>2763</v>
      </c>
      <c r="N79" s="507"/>
      <c r="O79" s="506">
        <f t="shared" si="29"/>
        <v>46.05</v>
      </c>
      <c r="P79" s="505"/>
      <c r="Q79" s="505">
        <v>921</v>
      </c>
      <c r="R79" s="526">
        <v>15.35</v>
      </c>
      <c r="S79" s="418"/>
      <c r="T79" s="508"/>
      <c r="U79" s="518"/>
      <c r="V79" s="418"/>
      <c r="W79" s="418"/>
      <c r="X79" s="524"/>
      <c r="Y79" s="418"/>
      <c r="Z79" s="429" t="s">
        <v>8457</v>
      </c>
    </row>
    <row r="80" spans="1:37">
      <c r="A80" s="505">
        <v>528200</v>
      </c>
      <c r="B80" s="496">
        <f t="shared" si="25"/>
        <v>0.96715328467153283</v>
      </c>
      <c r="C80" s="419">
        <f t="shared" si="26"/>
        <v>0.32238442822384428</v>
      </c>
      <c r="D80" s="505">
        <v>12</v>
      </c>
      <c r="E80" s="419">
        <f t="shared" si="27"/>
        <v>11.605839416058394</v>
      </c>
      <c r="F80" s="525">
        <v>1332</v>
      </c>
      <c r="G80" s="505">
        <v>137</v>
      </c>
      <c r="H80" s="505">
        <v>3</v>
      </c>
      <c r="I80" s="505">
        <v>2016</v>
      </c>
      <c r="J80" s="505"/>
      <c r="K80" s="418" t="s">
        <v>8512</v>
      </c>
      <c r="L80" s="518"/>
      <c r="M80" s="506">
        <f t="shared" si="28"/>
        <v>1590</v>
      </c>
      <c r="N80" s="507"/>
      <c r="O80" s="506">
        <f t="shared" si="29"/>
        <v>26.490000000000002</v>
      </c>
      <c r="P80" s="505"/>
      <c r="Q80" s="505">
        <v>530</v>
      </c>
      <c r="R80" s="526">
        <v>8.83</v>
      </c>
      <c r="S80" s="418"/>
      <c r="T80" s="508"/>
      <c r="U80" s="518"/>
      <c r="V80" s="418"/>
      <c r="W80" s="418"/>
      <c r="X80" s="524"/>
      <c r="Y80" s="418"/>
      <c r="Z80" s="429" t="s">
        <v>8457</v>
      </c>
    </row>
    <row r="81" spans="1:28">
      <c r="A81" s="505">
        <v>538500</v>
      </c>
      <c r="B81" s="496">
        <f t="shared" si="25"/>
        <v>0.81129807692307687</v>
      </c>
      <c r="C81" s="419">
        <f t="shared" si="26"/>
        <v>0.27043269230769229</v>
      </c>
      <c r="D81" s="505">
        <v>13</v>
      </c>
      <c r="E81" s="419">
        <f t="shared" si="27"/>
        <v>10.546875</v>
      </c>
      <c r="F81" s="525">
        <v>1418</v>
      </c>
      <c r="G81" s="505">
        <v>128</v>
      </c>
      <c r="H81" s="505">
        <v>3</v>
      </c>
      <c r="I81" s="505">
        <v>2016</v>
      </c>
      <c r="J81" s="505"/>
      <c r="K81" s="418" t="s">
        <v>8512</v>
      </c>
      <c r="L81" s="518"/>
      <c r="M81" s="506">
        <f t="shared" si="28"/>
        <v>1350</v>
      </c>
      <c r="N81" s="507"/>
      <c r="O81" s="506">
        <f t="shared" si="29"/>
        <v>22.5</v>
      </c>
      <c r="P81" s="505"/>
      <c r="Q81" s="505">
        <v>450</v>
      </c>
      <c r="R81" s="526">
        <v>7.5</v>
      </c>
      <c r="S81" s="418"/>
      <c r="T81" s="508"/>
      <c r="U81" s="518"/>
      <c r="V81" s="418"/>
      <c r="W81" s="418"/>
      <c r="X81" s="524"/>
      <c r="Y81" s="418"/>
      <c r="Z81" s="429" t="s">
        <v>8457</v>
      </c>
    </row>
    <row r="82" spans="1:28">
      <c r="A82" s="505">
        <v>546600</v>
      </c>
      <c r="B82" s="496">
        <f t="shared" si="25"/>
        <v>0.56438127090301005</v>
      </c>
      <c r="C82" s="419">
        <f t="shared" si="26"/>
        <v>0.18812709030100336</v>
      </c>
      <c r="D82" s="505">
        <v>13</v>
      </c>
      <c r="E82" s="419">
        <f t="shared" si="27"/>
        <v>7.3369565217391308</v>
      </c>
      <c r="F82" s="525">
        <v>1431</v>
      </c>
      <c r="G82" s="505">
        <v>92</v>
      </c>
      <c r="H82" s="505">
        <v>3</v>
      </c>
      <c r="I82" s="505">
        <v>2016</v>
      </c>
      <c r="J82" s="505"/>
      <c r="K82" s="418" t="s">
        <v>8512</v>
      </c>
      <c r="L82" s="518"/>
      <c r="M82" s="506">
        <f t="shared" si="28"/>
        <v>675</v>
      </c>
      <c r="N82" s="507"/>
      <c r="O82" s="506">
        <f t="shared" si="29"/>
        <v>11.25</v>
      </c>
      <c r="P82" s="505"/>
      <c r="Q82" s="505">
        <v>225</v>
      </c>
      <c r="R82" s="526">
        <v>3.75</v>
      </c>
      <c r="S82" s="418"/>
      <c r="T82" s="508"/>
      <c r="U82" s="518"/>
      <c r="V82" s="418"/>
      <c r="W82" s="418"/>
      <c r="X82" s="524"/>
      <c r="Y82" s="418"/>
      <c r="Z82" s="429" t="s">
        <v>8457</v>
      </c>
    </row>
    <row r="83" spans="1:28">
      <c r="A83" s="505">
        <v>549280</v>
      </c>
      <c r="B83" s="496">
        <f t="shared" si="25"/>
        <v>0.59233449477351918</v>
      </c>
      <c r="C83" s="419">
        <f t="shared" si="26"/>
        <v>0.19744483159117307</v>
      </c>
      <c r="D83" s="505">
        <v>14</v>
      </c>
      <c r="E83" s="419">
        <f t="shared" si="27"/>
        <v>8.2926829268292686</v>
      </c>
      <c r="F83" s="525">
        <v>1454</v>
      </c>
      <c r="G83" s="505">
        <v>123</v>
      </c>
      <c r="H83" s="505">
        <v>3</v>
      </c>
      <c r="I83" s="505">
        <v>2016</v>
      </c>
      <c r="J83" s="505"/>
      <c r="K83" s="418" t="s">
        <v>8512</v>
      </c>
      <c r="L83" s="518"/>
      <c r="M83" s="506">
        <f t="shared" si="28"/>
        <v>1020</v>
      </c>
      <c r="N83" s="507"/>
      <c r="O83" s="506">
        <f t="shared" si="29"/>
        <v>17.009999999999998</v>
      </c>
      <c r="P83" s="505"/>
      <c r="Q83" s="505">
        <v>340</v>
      </c>
      <c r="R83" s="526">
        <v>5.67</v>
      </c>
      <c r="S83" s="418"/>
      <c r="T83" s="508"/>
      <c r="U83" s="518"/>
      <c r="V83" s="418"/>
      <c r="W83" s="418"/>
      <c r="X83" s="524"/>
      <c r="Y83" s="418"/>
      <c r="Z83" s="429" t="s">
        <v>8457</v>
      </c>
    </row>
    <row r="84" spans="1:28">
      <c r="A84" s="527"/>
      <c r="B84" s="527"/>
      <c r="C84" s="527"/>
      <c r="D84" s="424"/>
      <c r="E84" s="424"/>
      <c r="F84" s="423"/>
      <c r="G84" s="424"/>
      <c r="H84" s="424"/>
      <c r="I84" s="424"/>
      <c r="J84" s="424"/>
      <c r="K84" s="423"/>
      <c r="L84" s="418"/>
      <c r="M84" s="424"/>
      <c r="N84" s="427"/>
      <c r="O84" s="424"/>
      <c r="P84" s="424"/>
      <c r="Q84" s="424"/>
      <c r="R84" s="424"/>
      <c r="S84" s="424"/>
      <c r="T84" s="528"/>
      <c r="U84" s="418"/>
      <c r="V84" s="418"/>
      <c r="W84" s="418"/>
      <c r="X84" s="518"/>
      <c r="Y84" s="518"/>
      <c r="Z84" s="529"/>
    </row>
    <row r="85" spans="1:28">
      <c r="A85" s="418"/>
      <c r="B85" s="527"/>
      <c r="C85" s="527"/>
      <c r="D85" s="424"/>
      <c r="E85" s="424"/>
      <c r="F85" s="424"/>
      <c r="G85" s="424"/>
      <c r="H85" s="418"/>
      <c r="I85" s="424"/>
      <c r="J85" s="424"/>
      <c r="K85" s="424"/>
      <c r="L85" s="424"/>
      <c r="M85" s="418"/>
      <c r="N85" s="518"/>
      <c r="O85" s="423"/>
      <c r="P85" s="427"/>
      <c r="Q85" s="423"/>
      <c r="R85" s="424"/>
      <c r="S85" s="424"/>
      <c r="T85" s="424"/>
      <c r="U85" s="418"/>
      <c r="V85" s="428"/>
      <c r="W85" s="418"/>
      <c r="X85" s="418"/>
      <c r="Y85" s="524"/>
      <c r="Z85" s="418"/>
      <c r="AA85" s="418"/>
      <c r="AB85" s="429"/>
    </row>
    <row r="86" spans="1:28">
      <c r="A86" s="330" t="s">
        <v>8577</v>
      </c>
      <c r="B86" s="530" t="s">
        <v>8578</v>
      </c>
      <c r="C86" s="418"/>
      <c r="D86" s="520"/>
      <c r="E86" s="520"/>
      <c r="F86" s="520"/>
      <c r="G86" s="520"/>
      <c r="H86" s="418"/>
      <c r="I86" s="423"/>
      <c r="J86" s="523"/>
      <c r="K86" s="424"/>
      <c r="L86" s="424"/>
      <c r="M86" s="418"/>
      <c r="N86" s="518"/>
      <c r="O86" s="423"/>
      <c r="P86" s="427"/>
      <c r="Q86" s="423"/>
      <c r="R86" s="523"/>
      <c r="S86" s="424"/>
      <c r="T86" s="424"/>
      <c r="U86" s="418"/>
      <c r="V86" s="428"/>
      <c r="W86" s="418"/>
      <c r="X86" s="418"/>
      <c r="Y86" s="524"/>
      <c r="Z86" s="418"/>
      <c r="AA86" s="418"/>
      <c r="AB86" s="429"/>
    </row>
    <row r="87" spans="1:28" ht="41.4">
      <c r="A87" s="249"/>
      <c r="B87" s="249" t="s">
        <v>8579</v>
      </c>
      <c r="C87" s="249" t="s">
        <v>8580</v>
      </c>
      <c r="D87" s="531" t="s">
        <v>8579</v>
      </c>
      <c r="E87" s="531" t="s">
        <v>8581</v>
      </c>
      <c r="F87" s="516" t="s">
        <v>8582</v>
      </c>
      <c r="G87" s="516" t="s">
        <v>8583</v>
      </c>
      <c r="H87" s="32" t="s">
        <v>8584</v>
      </c>
      <c r="I87" s="375" t="s">
        <v>8585</v>
      </c>
      <c r="J87" s="532" t="s">
        <v>8586</v>
      </c>
      <c r="K87" s="32"/>
      <c r="L87" s="32"/>
      <c r="M87" s="249"/>
      <c r="N87" s="533"/>
      <c r="O87" s="375"/>
      <c r="P87" s="534"/>
      <c r="Q87" s="375"/>
      <c r="R87" s="532"/>
      <c r="S87" s="32"/>
      <c r="T87" s="32"/>
      <c r="U87" s="249"/>
      <c r="V87" s="535"/>
      <c r="W87" s="249"/>
      <c r="X87" s="249"/>
      <c r="Y87" s="536"/>
      <c r="Z87" s="249"/>
      <c r="AA87" s="249"/>
      <c r="AB87" s="537"/>
    </row>
    <row r="88" spans="1:28">
      <c r="A88" s="418" t="s">
        <v>8587</v>
      </c>
      <c r="B88" s="418">
        <v>3</v>
      </c>
      <c r="C88" s="418">
        <v>21</v>
      </c>
      <c r="D88" s="538">
        <f t="shared" ref="D88:D93" si="30">B88*C88</f>
        <v>63</v>
      </c>
      <c r="E88" s="539">
        <v>10</v>
      </c>
      <c r="F88" s="520">
        <f t="shared" ref="F88:F93" si="31">B88*C88*E88</f>
        <v>630</v>
      </c>
      <c r="G88" s="540">
        <v>3</v>
      </c>
      <c r="H88" s="541"/>
      <c r="I88" s="541"/>
      <c r="J88" s="523"/>
      <c r="K88" s="424"/>
      <c r="L88" s="424"/>
      <c r="M88" s="418"/>
      <c r="N88" s="518"/>
      <c r="O88" s="423"/>
      <c r="P88" s="427"/>
      <c r="Q88" s="423"/>
      <c r="R88" s="523"/>
      <c r="S88" s="424"/>
      <c r="T88" s="424"/>
      <c r="U88" s="418"/>
      <c r="V88" s="428"/>
      <c r="W88" s="418"/>
      <c r="X88" s="418"/>
      <c r="Y88" s="524"/>
      <c r="Z88" s="418"/>
      <c r="AA88" s="418"/>
      <c r="AB88" s="429"/>
    </row>
    <row r="89" spans="1:28">
      <c r="A89" s="418" t="s">
        <v>8588</v>
      </c>
      <c r="B89" s="418">
        <v>4</v>
      </c>
      <c r="C89" s="418">
        <v>3</v>
      </c>
      <c r="D89" s="542">
        <f t="shared" si="30"/>
        <v>12</v>
      </c>
      <c r="E89" s="539">
        <v>20</v>
      </c>
      <c r="F89" s="520">
        <f t="shared" si="31"/>
        <v>240</v>
      </c>
      <c r="G89" s="520"/>
      <c r="H89" s="541">
        <f t="shared" ref="H89:H93" si="32">D89/D$91</f>
        <v>0.21425893191922438</v>
      </c>
      <c r="I89" s="541">
        <f t="shared" ref="I89:I93" si="33">F89/F$91</f>
        <v>0.42851786383844881</v>
      </c>
      <c r="J89" s="523">
        <f>F89/F97</f>
        <v>0.21428571428571427</v>
      </c>
      <c r="K89" s="424"/>
      <c r="L89" s="424"/>
      <c r="M89" s="418"/>
      <c r="N89" s="518"/>
      <c r="O89" s="423"/>
      <c r="P89" s="427"/>
      <c r="Q89" s="423"/>
      <c r="R89" s="523"/>
      <c r="S89" s="424"/>
      <c r="T89" s="424"/>
      <c r="U89" s="418"/>
      <c r="V89" s="428"/>
      <c r="W89" s="418"/>
      <c r="X89" s="418"/>
      <c r="Y89" s="524"/>
      <c r="Z89" s="418"/>
      <c r="AA89" s="418"/>
      <c r="AB89" s="429"/>
    </row>
    <row r="90" spans="1:28">
      <c r="A90" s="418" t="s">
        <v>8589</v>
      </c>
      <c r="B90" s="418">
        <v>0.33300000000000002</v>
      </c>
      <c r="C90" s="418">
        <f t="shared" ref="C90:C91" si="34">C$88</f>
        <v>21</v>
      </c>
      <c r="D90" s="542">
        <f t="shared" si="30"/>
        <v>6.9930000000000003</v>
      </c>
      <c r="E90" s="539">
        <f t="shared" ref="E90:E91" si="35">E$88</f>
        <v>10</v>
      </c>
      <c r="F90" s="520">
        <f t="shared" si="31"/>
        <v>69.930000000000007</v>
      </c>
      <c r="G90" s="520"/>
      <c r="H90" s="541">
        <f t="shared" si="32"/>
        <v>0.12485939257592801</v>
      </c>
      <c r="I90" s="541">
        <f t="shared" si="33"/>
        <v>0.12485939257592804</v>
      </c>
      <c r="J90" s="523"/>
      <c r="K90" s="424"/>
      <c r="L90" s="424"/>
      <c r="M90" s="418"/>
      <c r="N90" s="518"/>
      <c r="O90" s="423"/>
      <c r="P90" s="427"/>
      <c r="Q90" s="423"/>
      <c r="R90" s="523"/>
      <c r="S90" s="424"/>
      <c r="T90" s="424"/>
      <c r="U90" s="418"/>
      <c r="V90" s="428"/>
      <c r="W90" s="418"/>
      <c r="X90" s="418"/>
      <c r="Y90" s="524"/>
      <c r="Z90" s="418"/>
      <c r="AA90" s="418"/>
      <c r="AB90" s="429"/>
    </row>
    <row r="91" spans="1:28">
      <c r="A91" s="418" t="s">
        <v>8590</v>
      </c>
      <c r="B91" s="418">
        <f>B88-B90</f>
        <v>2.6669999999999998</v>
      </c>
      <c r="C91" s="418">
        <f t="shared" si="34"/>
        <v>21</v>
      </c>
      <c r="D91" s="538">
        <f t="shared" si="30"/>
        <v>56.006999999999998</v>
      </c>
      <c r="E91" s="539">
        <f t="shared" si="35"/>
        <v>10</v>
      </c>
      <c r="F91" s="520">
        <f t="shared" si="31"/>
        <v>560.06999999999994</v>
      </c>
      <c r="G91" s="520"/>
      <c r="H91" s="541">
        <f t="shared" si="32"/>
        <v>1</v>
      </c>
      <c r="I91" s="541">
        <f t="shared" si="33"/>
        <v>1</v>
      </c>
      <c r="J91" s="523"/>
      <c r="K91" s="424"/>
      <c r="L91" s="424"/>
      <c r="M91" s="418"/>
      <c r="N91" s="518"/>
      <c r="O91" s="423"/>
      <c r="P91" s="427"/>
      <c r="Q91" s="423"/>
      <c r="R91" s="523"/>
      <c r="S91" s="424"/>
      <c r="T91" s="424"/>
      <c r="U91" s="418"/>
      <c r="V91" s="428"/>
      <c r="W91" s="418"/>
      <c r="X91" s="418"/>
      <c r="Y91" s="524"/>
      <c r="Z91" s="418"/>
      <c r="AA91" s="418"/>
      <c r="AB91" s="429"/>
    </row>
    <row r="92" spans="1:28">
      <c r="A92" s="418" t="s">
        <v>8591</v>
      </c>
      <c r="B92" s="418">
        <v>5.5</v>
      </c>
      <c r="C92" s="418">
        <v>2</v>
      </c>
      <c r="D92" s="542">
        <f t="shared" si="30"/>
        <v>11</v>
      </c>
      <c r="E92" s="539">
        <f>E89</f>
        <v>20</v>
      </c>
      <c r="F92" s="520">
        <f t="shared" si="31"/>
        <v>220</v>
      </c>
      <c r="G92" s="520"/>
      <c r="H92" s="541">
        <f t="shared" si="32"/>
        <v>0.19640402092595569</v>
      </c>
      <c r="I92" s="541">
        <f t="shared" si="33"/>
        <v>0.39280804185191143</v>
      </c>
      <c r="J92" s="523"/>
      <c r="K92" s="424"/>
      <c r="L92" s="424"/>
      <c r="M92" s="418"/>
      <c r="N92" s="518"/>
      <c r="O92" s="423"/>
      <c r="P92" s="427"/>
      <c r="Q92" s="423"/>
      <c r="R92" s="523"/>
      <c r="S92" s="424"/>
      <c r="T92" s="424"/>
      <c r="U92" s="418"/>
      <c r="V92" s="428"/>
      <c r="W92" s="418"/>
      <c r="X92" s="418"/>
      <c r="Y92" s="524"/>
      <c r="Z92" s="418"/>
      <c r="AA92" s="418"/>
      <c r="AB92" s="429"/>
    </row>
    <row r="93" spans="1:28">
      <c r="A93" s="418" t="s">
        <v>8592</v>
      </c>
      <c r="B93" s="418">
        <v>3</v>
      </c>
      <c r="C93" s="418">
        <v>1</v>
      </c>
      <c r="D93" s="542">
        <f t="shared" si="30"/>
        <v>3</v>
      </c>
      <c r="E93" s="539">
        <f>E88</f>
        <v>10</v>
      </c>
      <c r="F93" s="520">
        <f t="shared" si="31"/>
        <v>30</v>
      </c>
      <c r="G93" s="520"/>
      <c r="H93" s="541">
        <f t="shared" si="32"/>
        <v>5.3564732979806094E-2</v>
      </c>
      <c r="I93" s="541">
        <f t="shared" si="33"/>
        <v>5.3564732979806101E-2</v>
      </c>
      <c r="J93" s="523"/>
      <c r="K93" s="424"/>
      <c r="L93" s="424"/>
      <c r="M93" s="418"/>
      <c r="N93" s="518"/>
      <c r="O93" s="423"/>
      <c r="P93" s="427"/>
      <c r="Q93" s="423"/>
      <c r="R93" s="523"/>
      <c r="S93" s="424"/>
      <c r="T93" s="424"/>
      <c r="U93" s="418"/>
      <c r="V93" s="428"/>
      <c r="W93" s="418"/>
      <c r="X93" s="418"/>
      <c r="Y93" s="524"/>
      <c r="Z93" s="418"/>
      <c r="AA93" s="418"/>
      <c r="AB93" s="429"/>
    </row>
    <row r="94" spans="1:28">
      <c r="A94" s="418"/>
      <c r="B94" s="418"/>
      <c r="C94" s="418"/>
      <c r="D94" s="520"/>
      <c r="E94" s="520"/>
      <c r="F94" s="520"/>
      <c r="G94" s="520"/>
      <c r="H94" s="541"/>
      <c r="I94" s="541"/>
      <c r="J94" s="523"/>
      <c r="K94" s="424"/>
      <c r="L94" s="424"/>
      <c r="M94" s="418"/>
      <c r="N94" s="518"/>
      <c r="O94" s="423"/>
      <c r="P94" s="427"/>
      <c r="Q94" s="423"/>
      <c r="R94" s="523"/>
      <c r="S94" s="424"/>
      <c r="T94" s="424"/>
      <c r="U94" s="418"/>
      <c r="V94" s="428"/>
      <c r="W94" s="418"/>
      <c r="X94" s="418"/>
      <c r="Y94" s="524"/>
      <c r="Z94" s="418"/>
      <c r="AA94" s="418"/>
      <c r="AB94" s="429"/>
    </row>
    <row r="95" spans="1:28">
      <c r="A95" s="418" t="s">
        <v>8593</v>
      </c>
      <c r="B95" s="418"/>
      <c r="C95" s="418"/>
      <c r="D95" s="543">
        <f>D91</f>
        <v>56.006999999999998</v>
      </c>
      <c r="E95" s="520"/>
      <c r="F95" s="520">
        <f>F91</f>
        <v>560.06999999999994</v>
      </c>
      <c r="G95" s="520"/>
      <c r="H95" s="541"/>
      <c r="I95" s="541"/>
      <c r="J95" s="523"/>
      <c r="K95" s="424"/>
      <c r="L95" s="424"/>
      <c r="M95" s="418"/>
      <c r="N95" s="518"/>
      <c r="O95" s="423"/>
      <c r="P95" s="427"/>
      <c r="Q95" s="423"/>
      <c r="R95" s="523"/>
      <c r="S95" s="424"/>
      <c r="T95" s="424"/>
      <c r="U95" s="418"/>
      <c r="V95" s="428"/>
      <c r="W95" s="418"/>
      <c r="X95" s="418"/>
      <c r="Y95" s="524"/>
      <c r="Z95" s="418"/>
      <c r="AA95" s="418"/>
      <c r="AB95" s="429"/>
    </row>
    <row r="96" spans="1:28">
      <c r="A96" s="418" t="s">
        <v>8594</v>
      </c>
      <c r="B96" s="418"/>
      <c r="C96" s="418"/>
      <c r="D96" s="544">
        <f>SUM(D89:D90,D92:D93)</f>
        <v>32.993000000000002</v>
      </c>
      <c r="E96" s="520"/>
      <c r="F96" s="520">
        <f>SUM(F89:F90,F92:F93)</f>
        <v>559.93000000000006</v>
      </c>
      <c r="G96" s="545">
        <f t="shared" ref="G96:G98" si="36">F96/F$97</f>
        <v>0.49993750000000003</v>
      </c>
      <c r="H96" s="541">
        <f t="shared" ref="H96:I96" si="37">SUM(H89:H90,H92:H93)</f>
        <v>0.58908707840091423</v>
      </c>
      <c r="I96" s="541">
        <f t="shared" si="37"/>
        <v>0.99975003124609441</v>
      </c>
      <c r="J96" s="523"/>
      <c r="K96" s="424"/>
      <c r="L96" s="424"/>
      <c r="M96" s="418"/>
      <c r="N96" s="518"/>
      <c r="O96" s="423"/>
      <c r="P96" s="427"/>
      <c r="Q96" s="423"/>
      <c r="R96" s="523"/>
      <c r="S96" s="424"/>
      <c r="T96" s="424"/>
      <c r="U96" s="418"/>
      <c r="V96" s="428"/>
      <c r="W96" s="418"/>
      <c r="X96" s="418"/>
      <c r="Y96" s="524"/>
      <c r="Z96" s="418"/>
      <c r="AA96" s="418"/>
      <c r="AB96" s="429"/>
    </row>
    <row r="97" spans="1:28">
      <c r="A97" s="418" t="s">
        <v>8595</v>
      </c>
      <c r="B97" s="418"/>
      <c r="C97" s="418"/>
      <c r="D97" s="520"/>
      <c r="E97" s="520"/>
      <c r="F97" s="520">
        <f>SUM(F95:F96)</f>
        <v>1120</v>
      </c>
      <c r="G97" s="545">
        <f t="shared" si="36"/>
        <v>1</v>
      </c>
      <c r="H97" s="418"/>
      <c r="I97" s="423"/>
      <c r="J97" s="523"/>
      <c r="K97" s="424"/>
      <c r="L97" s="424"/>
      <c r="M97" s="418"/>
      <c r="N97" s="518"/>
      <c r="O97" s="423"/>
      <c r="P97" s="427"/>
      <c r="Q97" s="423"/>
      <c r="R97" s="523"/>
      <c r="S97" s="424"/>
      <c r="T97" s="424"/>
      <c r="U97" s="418"/>
      <c r="V97" s="428"/>
      <c r="W97" s="418"/>
      <c r="X97" s="418"/>
      <c r="Y97" s="524"/>
      <c r="Z97" s="418"/>
      <c r="AA97" s="418"/>
      <c r="AB97" s="429"/>
    </row>
    <row r="98" spans="1:28">
      <c r="A98" s="418" t="s">
        <v>8596</v>
      </c>
      <c r="B98" s="418"/>
      <c r="C98" s="418"/>
      <c r="D98" s="520"/>
      <c r="E98" s="520"/>
      <c r="F98" s="520">
        <f>F91+F90</f>
        <v>630</v>
      </c>
      <c r="G98" s="545">
        <f t="shared" si="36"/>
        <v>0.5625</v>
      </c>
      <c r="H98" s="418"/>
      <c r="I98" s="423"/>
      <c r="J98" s="523"/>
      <c r="K98" s="424"/>
      <c r="L98" s="424"/>
      <c r="M98" s="418"/>
      <c r="N98" s="518"/>
      <c r="O98" s="423"/>
      <c r="P98" s="427"/>
      <c r="Q98" s="423"/>
      <c r="R98" s="523"/>
      <c r="S98" s="424"/>
      <c r="T98" s="424"/>
      <c r="U98" s="418"/>
      <c r="V98" s="428"/>
      <c r="W98" s="418"/>
      <c r="X98" s="418"/>
      <c r="Y98" s="524"/>
      <c r="Z98" s="418"/>
      <c r="AA98" s="418"/>
      <c r="AB98" s="429"/>
    </row>
    <row r="99" spans="1:28">
      <c r="A99" s="418"/>
      <c r="B99" s="418"/>
      <c r="C99" s="418"/>
      <c r="D99" s="520"/>
      <c r="E99" s="520"/>
      <c r="F99" s="520"/>
      <c r="G99" s="520"/>
      <c r="H99" s="418"/>
      <c r="I99" s="423"/>
      <c r="J99" s="523"/>
      <c r="K99" s="424"/>
      <c r="L99" s="424"/>
      <c r="M99" s="418"/>
      <c r="N99" s="518"/>
      <c r="O99" s="423"/>
      <c r="P99" s="427"/>
      <c r="Q99" s="423"/>
      <c r="R99" s="523"/>
      <c r="S99" s="424"/>
      <c r="T99" s="424"/>
      <c r="U99" s="418"/>
      <c r="V99" s="428"/>
      <c r="W99" s="418"/>
      <c r="X99" s="418"/>
      <c r="Y99" s="524"/>
      <c r="Z99" s="418"/>
      <c r="AA99" s="418"/>
      <c r="AB99" s="429"/>
    </row>
    <row r="100" spans="1:28">
      <c r="A100" s="418"/>
      <c r="B100" s="418"/>
      <c r="C100" s="418"/>
      <c r="D100" s="520"/>
      <c r="E100" s="520"/>
      <c r="F100" s="520"/>
      <c r="G100" s="520"/>
      <c r="H100" s="418"/>
      <c r="I100" s="423"/>
      <c r="J100" s="523"/>
      <c r="K100" s="424"/>
      <c r="L100" s="424"/>
      <c r="M100" s="418"/>
      <c r="N100" s="518"/>
      <c r="O100" s="423"/>
      <c r="P100" s="427"/>
      <c r="Q100" s="423"/>
      <c r="R100" s="523"/>
      <c r="S100" s="424"/>
      <c r="T100" s="424"/>
      <c r="U100" s="418"/>
      <c r="V100" s="428"/>
      <c r="W100" s="418"/>
      <c r="X100" s="418"/>
      <c r="Y100" s="524"/>
      <c r="Z100" s="418"/>
      <c r="AA100" s="418"/>
      <c r="AB100" s="429"/>
    </row>
    <row r="101" spans="1:28">
      <c r="A101" s="418"/>
      <c r="B101" s="418"/>
      <c r="C101" s="418"/>
      <c r="D101" s="520"/>
      <c r="E101" s="520"/>
      <c r="F101" s="520"/>
      <c r="G101" s="520"/>
      <c r="H101" s="418"/>
      <c r="I101" s="423"/>
      <c r="J101" s="523"/>
      <c r="K101" s="424"/>
      <c r="L101" s="424"/>
      <c r="M101" s="418"/>
      <c r="N101" s="518"/>
      <c r="O101" s="423"/>
      <c r="P101" s="427"/>
      <c r="Q101" s="423"/>
      <c r="R101" s="523"/>
      <c r="S101" s="424"/>
      <c r="T101" s="424"/>
      <c r="U101" s="418"/>
      <c r="V101" s="428"/>
      <c r="W101" s="418"/>
      <c r="X101" s="418"/>
      <c r="Y101" s="524"/>
      <c r="Z101" s="418"/>
      <c r="AA101" s="418"/>
      <c r="AB101" s="429"/>
    </row>
    <row r="102" spans="1:28">
      <c r="A102" s="418"/>
      <c r="B102" s="418"/>
      <c r="C102" s="418"/>
      <c r="D102" s="520"/>
      <c r="E102" s="520"/>
      <c r="F102" s="520"/>
      <c r="G102" s="520"/>
      <c r="H102" s="418"/>
      <c r="I102" s="423"/>
      <c r="J102" s="523"/>
      <c r="K102" s="424"/>
      <c r="L102" s="424"/>
      <c r="M102" s="418"/>
      <c r="N102" s="518"/>
      <c r="O102" s="423"/>
      <c r="P102" s="427"/>
      <c r="Q102" s="423"/>
      <c r="R102" s="523"/>
      <c r="S102" s="424"/>
      <c r="T102" s="424"/>
      <c r="U102" s="418"/>
      <c r="V102" s="428"/>
      <c r="W102" s="418"/>
      <c r="X102" s="418"/>
      <c r="Y102" s="524"/>
      <c r="Z102" s="418"/>
      <c r="AA102" s="418"/>
      <c r="AB102" s="429"/>
    </row>
    <row r="103" spans="1:28">
      <c r="A103" s="418"/>
      <c r="B103" s="418"/>
      <c r="C103" s="418"/>
      <c r="D103" s="520"/>
      <c r="E103" s="520"/>
      <c r="F103" s="520"/>
      <c r="G103" s="520"/>
      <c r="H103" s="418"/>
      <c r="I103" s="423"/>
      <c r="J103" s="523"/>
      <c r="K103" s="424"/>
      <c r="L103" s="424"/>
      <c r="M103" s="418"/>
      <c r="N103" s="518"/>
      <c r="O103" s="423"/>
      <c r="P103" s="427"/>
      <c r="Q103" s="423"/>
      <c r="R103" s="523"/>
      <c r="S103" s="424"/>
      <c r="T103" s="424"/>
      <c r="U103" s="418"/>
      <c r="V103" s="428"/>
      <c r="W103" s="418"/>
      <c r="X103" s="418"/>
      <c r="Y103" s="524"/>
      <c r="Z103" s="418"/>
      <c r="AA103" s="418"/>
      <c r="AB103" s="429"/>
    </row>
    <row r="104" spans="1:28">
      <c r="A104" s="418"/>
      <c r="B104" s="418"/>
      <c r="C104" s="418"/>
      <c r="D104" s="520"/>
      <c r="E104" s="520"/>
      <c r="F104" s="520"/>
      <c r="G104" s="520"/>
      <c r="H104" s="418"/>
      <c r="I104" s="423"/>
      <c r="J104" s="523"/>
      <c r="K104" s="424"/>
      <c r="L104" s="424"/>
      <c r="M104" s="418"/>
      <c r="N104" s="518"/>
      <c r="O104" s="423"/>
      <c r="P104" s="427"/>
      <c r="Q104" s="423"/>
      <c r="R104" s="523"/>
      <c r="S104" s="424"/>
      <c r="T104" s="424"/>
      <c r="U104" s="418"/>
      <c r="V104" s="428"/>
      <c r="W104" s="418"/>
      <c r="X104" s="418"/>
      <c r="Y104" s="524"/>
      <c r="Z104" s="418"/>
      <c r="AA104" s="418"/>
      <c r="AB104" s="429"/>
    </row>
    <row r="105" spans="1:28">
      <c r="A105" s="418"/>
      <c r="B105" s="418"/>
      <c r="C105" s="418"/>
      <c r="D105" s="520"/>
      <c r="E105" s="520"/>
      <c r="F105" s="520"/>
      <c r="G105" s="520"/>
      <c r="H105" s="418"/>
      <c r="I105" s="423"/>
      <c r="J105" s="523"/>
      <c r="K105" s="424"/>
      <c r="L105" s="424"/>
      <c r="M105" s="418"/>
      <c r="N105" s="518"/>
      <c r="O105" s="423"/>
      <c r="P105" s="427"/>
      <c r="Q105" s="423"/>
      <c r="R105" s="523"/>
      <c r="S105" s="424"/>
      <c r="T105" s="424"/>
      <c r="U105" s="418"/>
      <c r="V105" s="428"/>
      <c r="W105" s="418"/>
      <c r="X105" s="418"/>
      <c r="Y105" s="524"/>
      <c r="Z105" s="418"/>
      <c r="AA105" s="418"/>
      <c r="AB105" s="429"/>
    </row>
    <row r="106" spans="1:28">
      <c r="A106" s="418"/>
      <c r="B106" s="418"/>
      <c r="C106" s="418"/>
      <c r="D106" s="520"/>
      <c r="E106" s="520"/>
      <c r="F106" s="520"/>
      <c r="G106" s="520"/>
      <c r="H106" s="418"/>
      <c r="I106" s="423"/>
      <c r="J106" s="523"/>
      <c r="K106" s="424"/>
      <c r="L106" s="424"/>
      <c r="M106" s="418"/>
      <c r="N106" s="518"/>
      <c r="O106" s="423"/>
      <c r="P106" s="427"/>
      <c r="Q106" s="423"/>
      <c r="R106" s="523"/>
      <c r="S106" s="424"/>
      <c r="T106" s="424"/>
      <c r="U106" s="418"/>
      <c r="V106" s="428"/>
      <c r="W106" s="418"/>
      <c r="X106" s="418"/>
      <c r="Y106" s="524"/>
      <c r="Z106" s="418"/>
      <c r="AA106" s="418"/>
      <c r="AB106" s="429"/>
    </row>
    <row r="107" spans="1:28">
      <c r="A107" s="418"/>
      <c r="B107" s="418"/>
      <c r="C107" s="418"/>
      <c r="D107" s="520"/>
      <c r="E107" s="520"/>
      <c r="F107" s="520"/>
      <c r="G107" s="520"/>
      <c r="H107" s="418"/>
      <c r="I107" s="423"/>
      <c r="J107" s="523"/>
      <c r="K107" s="424"/>
      <c r="L107" s="424"/>
      <c r="M107" s="418"/>
      <c r="N107" s="518"/>
      <c r="O107" s="423"/>
      <c r="P107" s="427"/>
      <c r="Q107" s="423"/>
      <c r="R107" s="523"/>
      <c r="S107" s="424"/>
      <c r="T107" s="424"/>
      <c r="U107" s="418"/>
      <c r="V107" s="428"/>
      <c r="W107" s="418"/>
      <c r="X107" s="418"/>
      <c r="Y107" s="524"/>
      <c r="Z107" s="418"/>
      <c r="AA107" s="418"/>
      <c r="AB107" s="429"/>
    </row>
    <row r="108" spans="1:28">
      <c r="A108" s="418"/>
      <c r="B108" s="418"/>
      <c r="C108" s="418"/>
      <c r="D108" s="520"/>
      <c r="E108" s="520"/>
      <c r="F108" s="520"/>
      <c r="G108" s="520"/>
      <c r="H108" s="418"/>
      <c r="I108" s="423"/>
      <c r="J108" s="523"/>
      <c r="K108" s="424"/>
      <c r="L108" s="424"/>
      <c r="M108" s="418"/>
      <c r="N108" s="518"/>
      <c r="O108" s="423"/>
      <c r="P108" s="427"/>
      <c r="Q108" s="423"/>
      <c r="R108" s="523"/>
      <c r="S108" s="424"/>
      <c r="T108" s="424"/>
      <c r="U108" s="418"/>
      <c r="V108" s="428"/>
      <c r="W108" s="418"/>
      <c r="X108" s="418"/>
      <c r="Y108" s="524"/>
      <c r="Z108" s="418"/>
      <c r="AA108" s="418"/>
      <c r="AB108" s="429"/>
    </row>
    <row r="109" spans="1:28">
      <c r="A109" s="418"/>
      <c r="B109" s="418"/>
      <c r="C109" s="418"/>
      <c r="D109" s="520"/>
      <c r="E109" s="520"/>
      <c r="F109" s="520"/>
      <c r="G109" s="520"/>
      <c r="H109" s="418"/>
      <c r="I109" s="423"/>
      <c r="J109" s="523"/>
      <c r="K109" s="424"/>
      <c r="L109" s="424"/>
      <c r="M109" s="418"/>
      <c r="N109" s="518"/>
      <c r="O109" s="423"/>
      <c r="P109" s="427"/>
      <c r="Q109" s="423"/>
      <c r="R109" s="523"/>
      <c r="S109" s="424"/>
      <c r="T109" s="424"/>
      <c r="U109" s="418"/>
      <c r="V109" s="428"/>
      <c r="W109" s="418"/>
      <c r="X109" s="418"/>
      <c r="Y109" s="524"/>
      <c r="Z109" s="418"/>
      <c r="AA109" s="418"/>
      <c r="AB109" s="429"/>
    </row>
    <row r="110" spans="1:28">
      <c r="A110" s="418"/>
      <c r="B110" s="418"/>
      <c r="C110" s="418"/>
      <c r="D110" s="520"/>
      <c r="E110" s="520"/>
      <c r="F110" s="520"/>
      <c r="G110" s="520"/>
      <c r="H110" s="418"/>
      <c r="I110" s="423"/>
      <c r="J110" s="523"/>
      <c r="K110" s="424"/>
      <c r="L110" s="424"/>
      <c r="M110" s="418"/>
      <c r="N110" s="518"/>
      <c r="O110" s="423"/>
      <c r="P110" s="427"/>
      <c r="Q110" s="423"/>
      <c r="R110" s="523"/>
      <c r="S110" s="424"/>
      <c r="T110" s="424"/>
      <c r="U110" s="418"/>
      <c r="V110" s="428"/>
      <c r="W110" s="418"/>
      <c r="X110" s="418"/>
      <c r="Y110" s="524"/>
      <c r="Z110" s="418"/>
      <c r="AA110" s="418"/>
      <c r="AB110" s="429"/>
    </row>
    <row r="111" spans="1:28">
      <c r="A111" s="418"/>
      <c r="B111" s="418"/>
      <c r="C111" s="418"/>
      <c r="D111" s="520"/>
      <c r="E111" s="520"/>
      <c r="F111" s="520"/>
      <c r="G111" s="520"/>
      <c r="H111" s="418"/>
      <c r="I111" s="423"/>
      <c r="J111" s="523"/>
      <c r="K111" s="424"/>
      <c r="L111" s="424"/>
      <c r="M111" s="418"/>
      <c r="N111" s="518"/>
      <c r="O111" s="423"/>
      <c r="P111" s="427"/>
      <c r="Q111" s="423"/>
      <c r="R111" s="523"/>
      <c r="S111" s="424"/>
      <c r="T111" s="424"/>
      <c r="U111" s="418"/>
      <c r="V111" s="428"/>
      <c r="W111" s="418"/>
      <c r="X111" s="418"/>
      <c r="Y111" s="524"/>
      <c r="Z111" s="418"/>
      <c r="AA111" s="418"/>
      <c r="AB111" s="429"/>
    </row>
    <row r="112" spans="1:28">
      <c r="A112" s="418"/>
      <c r="B112" s="418"/>
      <c r="C112" s="418"/>
      <c r="D112" s="520"/>
      <c r="E112" s="520"/>
      <c r="F112" s="520"/>
      <c r="G112" s="520"/>
      <c r="H112" s="418"/>
      <c r="I112" s="423"/>
      <c r="J112" s="523"/>
      <c r="K112" s="424"/>
      <c r="L112" s="424"/>
      <c r="M112" s="418"/>
      <c r="N112" s="518"/>
      <c r="O112" s="423"/>
      <c r="P112" s="427"/>
      <c r="Q112" s="423"/>
      <c r="R112" s="523"/>
      <c r="S112" s="424"/>
      <c r="T112" s="424"/>
      <c r="U112" s="418"/>
      <c r="V112" s="428"/>
      <c r="W112" s="418"/>
      <c r="X112" s="418"/>
      <c r="Y112" s="524"/>
      <c r="Z112" s="418"/>
      <c r="AA112" s="418"/>
      <c r="AB112" s="429"/>
    </row>
    <row r="113" spans="1:28">
      <c r="A113" s="418"/>
      <c r="B113" s="418"/>
      <c r="C113" s="418"/>
      <c r="D113" s="520"/>
      <c r="E113" s="520"/>
      <c r="F113" s="520"/>
      <c r="G113" s="520"/>
      <c r="H113" s="418"/>
      <c r="I113" s="423"/>
      <c r="J113" s="523"/>
      <c r="K113" s="424"/>
      <c r="L113" s="424"/>
      <c r="M113" s="418"/>
      <c r="N113" s="518"/>
      <c r="O113" s="423"/>
      <c r="P113" s="427"/>
      <c r="Q113" s="423"/>
      <c r="R113" s="523"/>
      <c r="S113" s="424"/>
      <c r="T113" s="424"/>
      <c r="U113" s="418"/>
      <c r="V113" s="428"/>
      <c r="W113" s="418"/>
      <c r="X113" s="418"/>
      <c r="Y113" s="524"/>
      <c r="Z113" s="418"/>
      <c r="AA113" s="418"/>
      <c r="AB113" s="429"/>
    </row>
    <row r="114" spans="1:28">
      <c r="A114" s="418"/>
      <c r="B114" s="418"/>
      <c r="C114" s="418"/>
      <c r="D114" s="520"/>
      <c r="E114" s="520"/>
      <c r="F114" s="520"/>
      <c r="G114" s="520"/>
      <c r="H114" s="418"/>
      <c r="I114" s="423"/>
      <c r="J114" s="523"/>
      <c r="K114" s="424"/>
      <c r="L114" s="424"/>
      <c r="M114" s="418"/>
      <c r="N114" s="518"/>
      <c r="O114" s="423"/>
      <c r="P114" s="427"/>
      <c r="Q114" s="423"/>
      <c r="R114" s="523"/>
      <c r="S114" s="424"/>
      <c r="T114" s="424"/>
      <c r="U114" s="418"/>
      <c r="V114" s="428"/>
      <c r="W114" s="418"/>
      <c r="X114" s="418"/>
      <c r="Y114" s="524"/>
      <c r="Z114" s="418"/>
      <c r="AA114" s="418"/>
      <c r="AB114" s="429"/>
    </row>
    <row r="115" spans="1:28">
      <c r="A115" s="418"/>
      <c r="B115" s="418"/>
      <c r="C115" s="418"/>
      <c r="D115" s="520"/>
      <c r="E115" s="520"/>
      <c r="F115" s="520"/>
      <c r="G115" s="520"/>
      <c r="H115" s="418"/>
      <c r="I115" s="423"/>
      <c r="J115" s="523"/>
      <c r="K115" s="424"/>
      <c r="L115" s="424"/>
      <c r="M115" s="418"/>
      <c r="N115" s="518"/>
      <c r="O115" s="423"/>
      <c r="P115" s="427"/>
      <c r="Q115" s="423"/>
      <c r="R115" s="523"/>
      <c r="S115" s="424"/>
      <c r="T115" s="424"/>
      <c r="U115" s="418"/>
      <c r="V115" s="428"/>
      <c r="W115" s="418"/>
      <c r="X115" s="418"/>
      <c r="Y115" s="524"/>
      <c r="Z115" s="418"/>
      <c r="AA115" s="418"/>
      <c r="AB115" s="429"/>
    </row>
    <row r="116" spans="1:28">
      <c r="A116" s="418"/>
      <c r="B116" s="418"/>
      <c r="C116" s="418"/>
      <c r="D116" s="520"/>
      <c r="E116" s="520"/>
      <c r="F116" s="520"/>
      <c r="G116" s="520"/>
      <c r="H116" s="418"/>
      <c r="I116" s="423"/>
      <c r="J116" s="523"/>
      <c r="K116" s="424"/>
      <c r="L116" s="424"/>
      <c r="M116" s="418"/>
      <c r="N116" s="518"/>
      <c r="O116" s="423"/>
      <c r="P116" s="427"/>
      <c r="Q116" s="423"/>
      <c r="R116" s="523"/>
      <c r="S116" s="424"/>
      <c r="T116" s="424"/>
      <c r="U116" s="418"/>
      <c r="V116" s="428"/>
      <c r="W116" s="418"/>
      <c r="X116" s="418"/>
      <c r="Y116" s="524"/>
      <c r="Z116" s="418"/>
      <c r="AA116" s="418"/>
      <c r="AB116" s="429"/>
    </row>
    <row r="117" spans="1:28">
      <c r="A117" s="418"/>
      <c r="B117" s="418"/>
      <c r="C117" s="418"/>
      <c r="D117" s="520"/>
      <c r="E117" s="520"/>
      <c r="F117" s="520"/>
      <c r="G117" s="520"/>
      <c r="H117" s="418"/>
      <c r="I117" s="423"/>
      <c r="J117" s="523"/>
      <c r="K117" s="424"/>
      <c r="L117" s="424"/>
      <c r="M117" s="418"/>
      <c r="N117" s="518"/>
      <c r="O117" s="423"/>
      <c r="P117" s="427"/>
      <c r="Q117" s="423"/>
      <c r="R117" s="523"/>
      <c r="S117" s="424"/>
      <c r="T117" s="424"/>
      <c r="U117" s="418"/>
      <c r="V117" s="428"/>
      <c r="W117" s="418"/>
      <c r="X117" s="418"/>
      <c r="Y117" s="524"/>
      <c r="Z117" s="418"/>
      <c r="AA117" s="418"/>
      <c r="AB117" s="429"/>
    </row>
    <row r="118" spans="1:28">
      <c r="A118" s="418"/>
      <c r="B118" s="418"/>
      <c r="C118" s="418"/>
      <c r="D118" s="520"/>
      <c r="E118" s="520"/>
      <c r="F118" s="520"/>
      <c r="G118" s="520"/>
      <c r="H118" s="418"/>
      <c r="I118" s="423"/>
      <c r="J118" s="523"/>
      <c r="K118" s="424"/>
      <c r="L118" s="424"/>
      <c r="M118" s="418"/>
      <c r="N118" s="518"/>
      <c r="O118" s="423"/>
      <c r="P118" s="427"/>
      <c r="Q118" s="423"/>
      <c r="R118" s="523"/>
      <c r="S118" s="424"/>
      <c r="T118" s="424"/>
      <c r="U118" s="418"/>
      <c r="V118" s="428"/>
      <c r="W118" s="418"/>
      <c r="X118" s="418"/>
      <c r="Y118" s="524"/>
      <c r="Z118" s="418"/>
      <c r="AA118" s="418"/>
      <c r="AB118" s="429"/>
    </row>
    <row r="119" spans="1:28">
      <c r="A119" s="418"/>
      <c r="B119" s="418"/>
      <c r="C119" s="418"/>
      <c r="D119" s="520"/>
      <c r="E119" s="520"/>
      <c r="F119" s="520"/>
      <c r="G119" s="520"/>
      <c r="H119" s="418"/>
      <c r="I119" s="423"/>
      <c r="J119" s="523"/>
      <c r="K119" s="424"/>
      <c r="L119" s="424"/>
      <c r="M119" s="418"/>
      <c r="N119" s="518"/>
      <c r="O119" s="423"/>
      <c r="P119" s="427"/>
      <c r="Q119" s="423"/>
      <c r="R119" s="523"/>
      <c r="S119" s="424"/>
      <c r="T119" s="424"/>
      <c r="U119" s="418"/>
      <c r="V119" s="428"/>
      <c r="W119" s="418"/>
      <c r="X119" s="418"/>
      <c r="Y119" s="524"/>
      <c r="Z119" s="418"/>
      <c r="AA119" s="418"/>
      <c r="AB119" s="429"/>
    </row>
    <row r="120" spans="1:28">
      <c r="A120" s="418"/>
      <c r="B120" s="418"/>
      <c r="C120" s="418"/>
      <c r="D120" s="520"/>
      <c r="E120" s="520"/>
      <c r="F120" s="520"/>
      <c r="G120" s="520"/>
      <c r="H120" s="418"/>
      <c r="I120" s="423"/>
      <c r="J120" s="523"/>
      <c r="K120" s="424"/>
      <c r="L120" s="424"/>
      <c r="M120" s="418"/>
      <c r="N120" s="518"/>
      <c r="O120" s="423"/>
      <c r="P120" s="427"/>
      <c r="Q120" s="423"/>
      <c r="R120" s="523"/>
      <c r="S120" s="424"/>
      <c r="T120" s="424"/>
      <c r="U120" s="418"/>
      <c r="V120" s="428"/>
      <c r="W120" s="418"/>
      <c r="X120" s="418"/>
      <c r="Y120" s="524"/>
      <c r="Z120" s="418"/>
      <c r="AA120" s="418"/>
      <c r="AB120" s="429"/>
    </row>
    <row r="121" spans="1:28">
      <c r="A121" s="418"/>
      <c r="B121" s="418"/>
      <c r="C121" s="418"/>
      <c r="D121" s="520"/>
      <c r="E121" s="520"/>
      <c r="F121" s="520"/>
      <c r="G121" s="520"/>
      <c r="H121" s="418"/>
      <c r="I121" s="423"/>
      <c r="J121" s="523"/>
      <c r="K121" s="424"/>
      <c r="L121" s="424"/>
      <c r="M121" s="418"/>
      <c r="N121" s="518"/>
      <c r="O121" s="423"/>
      <c r="P121" s="427"/>
      <c r="Q121" s="423"/>
      <c r="R121" s="523"/>
      <c r="S121" s="424"/>
      <c r="T121" s="424"/>
      <c r="U121" s="418"/>
      <c r="V121" s="428"/>
      <c r="W121" s="418"/>
      <c r="X121" s="418"/>
      <c r="Y121" s="524"/>
      <c r="Z121" s="418"/>
      <c r="AA121" s="418"/>
      <c r="AB121" s="429"/>
    </row>
    <row r="122" spans="1:28">
      <c r="A122" s="418"/>
      <c r="B122" s="418"/>
      <c r="C122" s="418"/>
      <c r="D122" s="520"/>
      <c r="E122" s="520"/>
      <c r="F122" s="520"/>
      <c r="G122" s="520"/>
      <c r="H122" s="418"/>
      <c r="I122" s="423"/>
      <c r="J122" s="523"/>
      <c r="K122" s="424"/>
      <c r="L122" s="424"/>
      <c r="M122" s="418"/>
      <c r="N122" s="518"/>
      <c r="O122" s="423"/>
      <c r="P122" s="427"/>
      <c r="Q122" s="423"/>
      <c r="R122" s="523"/>
      <c r="S122" s="424"/>
      <c r="T122" s="424"/>
      <c r="U122" s="418"/>
      <c r="V122" s="428"/>
      <c r="W122" s="418"/>
      <c r="X122" s="418"/>
      <c r="Y122" s="524"/>
      <c r="Z122" s="418"/>
      <c r="AA122" s="418"/>
      <c r="AB122" s="429"/>
    </row>
    <row r="123" spans="1:28">
      <c r="A123" s="418"/>
      <c r="B123" s="418"/>
      <c r="C123" s="418"/>
      <c r="D123" s="520"/>
      <c r="E123" s="520"/>
      <c r="F123" s="520"/>
      <c r="G123" s="520"/>
      <c r="H123" s="418"/>
      <c r="I123" s="423"/>
      <c r="J123" s="523"/>
      <c r="K123" s="424"/>
      <c r="L123" s="424"/>
      <c r="M123" s="418"/>
      <c r="N123" s="518"/>
      <c r="O123" s="423"/>
      <c r="P123" s="427"/>
      <c r="Q123" s="423"/>
      <c r="R123" s="523"/>
      <c r="S123" s="424"/>
      <c r="T123" s="424"/>
      <c r="U123" s="418"/>
      <c r="V123" s="428"/>
      <c r="W123" s="418"/>
      <c r="X123" s="418"/>
      <c r="Y123" s="524"/>
      <c r="Z123" s="418"/>
      <c r="AA123" s="418"/>
      <c r="AB123" s="429"/>
    </row>
    <row r="124" spans="1:28">
      <c r="A124" s="418"/>
      <c r="B124" s="418"/>
      <c r="C124" s="418"/>
      <c r="D124" s="520"/>
      <c r="E124" s="520"/>
      <c r="F124" s="520"/>
      <c r="G124" s="520"/>
      <c r="H124" s="418"/>
      <c r="I124" s="423"/>
      <c r="J124" s="523"/>
      <c r="K124" s="424"/>
      <c r="L124" s="424"/>
      <c r="M124" s="418"/>
      <c r="N124" s="518"/>
      <c r="O124" s="423"/>
      <c r="P124" s="427"/>
      <c r="Q124" s="423"/>
      <c r="R124" s="523"/>
      <c r="S124" s="424"/>
      <c r="T124" s="424"/>
      <c r="U124" s="418"/>
      <c r="V124" s="428"/>
      <c r="W124" s="418"/>
      <c r="X124" s="418"/>
      <c r="Y124" s="524"/>
      <c r="Z124" s="418"/>
      <c r="AA124" s="418"/>
      <c r="AB124" s="429"/>
    </row>
    <row r="125" spans="1:28">
      <c r="A125" s="418"/>
      <c r="B125" s="418"/>
      <c r="C125" s="418"/>
      <c r="D125" s="520"/>
      <c r="E125" s="520"/>
      <c r="F125" s="520"/>
      <c r="G125" s="520"/>
      <c r="H125" s="418"/>
      <c r="I125" s="423"/>
      <c r="J125" s="523"/>
      <c r="K125" s="424"/>
      <c r="L125" s="424"/>
      <c r="M125" s="418"/>
      <c r="N125" s="518"/>
      <c r="O125" s="423"/>
      <c r="P125" s="427"/>
      <c r="Q125" s="423"/>
      <c r="R125" s="523"/>
      <c r="S125" s="424"/>
      <c r="T125" s="424"/>
      <c r="U125" s="418"/>
      <c r="V125" s="428"/>
      <c r="W125" s="418"/>
      <c r="X125" s="418"/>
      <c r="Y125" s="524"/>
      <c r="Z125" s="418"/>
      <c r="AA125" s="418"/>
      <c r="AB125" s="429"/>
    </row>
    <row r="126" spans="1:28">
      <c r="A126" s="418"/>
      <c r="B126" s="418"/>
      <c r="C126" s="418"/>
      <c r="D126" s="520"/>
      <c r="E126" s="520"/>
      <c r="F126" s="520"/>
      <c r="G126" s="520"/>
      <c r="H126" s="418"/>
      <c r="I126" s="423"/>
      <c r="J126" s="523"/>
      <c r="K126" s="424"/>
      <c r="L126" s="424"/>
      <c r="M126" s="418"/>
      <c r="N126" s="518"/>
      <c r="O126" s="423"/>
      <c r="P126" s="427"/>
      <c r="Q126" s="423"/>
      <c r="R126" s="523"/>
      <c r="S126" s="424"/>
      <c r="T126" s="424"/>
      <c r="U126" s="418"/>
      <c r="V126" s="428"/>
      <c r="W126" s="418"/>
      <c r="X126" s="418"/>
      <c r="Y126" s="524"/>
      <c r="Z126" s="418"/>
      <c r="AA126" s="418"/>
      <c r="AB126" s="429"/>
    </row>
    <row r="127" spans="1:28">
      <c r="A127" s="418"/>
      <c r="B127" s="418"/>
      <c r="C127" s="418"/>
      <c r="D127" s="520"/>
      <c r="E127" s="520"/>
      <c r="F127" s="520"/>
      <c r="G127" s="520"/>
      <c r="H127" s="418"/>
      <c r="I127" s="423"/>
      <c r="J127" s="523"/>
      <c r="K127" s="424"/>
      <c r="L127" s="424"/>
      <c r="M127" s="418"/>
      <c r="N127" s="518"/>
      <c r="O127" s="423"/>
      <c r="P127" s="427"/>
      <c r="Q127" s="423"/>
      <c r="R127" s="523"/>
      <c r="S127" s="424"/>
      <c r="T127" s="424"/>
      <c r="U127" s="418"/>
      <c r="V127" s="428"/>
      <c r="W127" s="418"/>
      <c r="X127" s="418"/>
      <c r="Y127" s="524"/>
      <c r="Z127" s="418"/>
      <c r="AA127" s="418"/>
      <c r="AB127" s="429"/>
    </row>
    <row r="128" spans="1:28">
      <c r="A128" s="418"/>
      <c r="B128" s="418"/>
      <c r="C128" s="418"/>
      <c r="D128" s="520"/>
      <c r="E128" s="520"/>
      <c r="F128" s="520"/>
      <c r="G128" s="520"/>
      <c r="H128" s="418"/>
      <c r="I128" s="423"/>
      <c r="J128" s="523"/>
      <c r="K128" s="424"/>
      <c r="L128" s="424"/>
      <c r="M128" s="418"/>
      <c r="N128" s="518"/>
      <c r="O128" s="423"/>
      <c r="P128" s="427"/>
      <c r="Q128" s="423"/>
      <c r="R128" s="523"/>
      <c r="S128" s="424"/>
      <c r="T128" s="424"/>
      <c r="U128" s="418"/>
      <c r="V128" s="428"/>
      <c r="W128" s="418"/>
      <c r="X128" s="418"/>
      <c r="Y128" s="524"/>
      <c r="Z128" s="418"/>
      <c r="AA128" s="418"/>
      <c r="AB128" s="429"/>
    </row>
    <row r="129" spans="1:28">
      <c r="A129" s="418"/>
      <c r="B129" s="418"/>
      <c r="C129" s="418"/>
      <c r="D129" s="520"/>
      <c r="E129" s="520"/>
      <c r="F129" s="520"/>
      <c r="G129" s="520"/>
      <c r="H129" s="418"/>
      <c r="I129" s="423"/>
      <c r="J129" s="523"/>
      <c r="K129" s="424"/>
      <c r="L129" s="424"/>
      <c r="M129" s="418"/>
      <c r="N129" s="518"/>
      <c r="O129" s="423"/>
      <c r="P129" s="427"/>
      <c r="Q129" s="423"/>
      <c r="R129" s="523"/>
      <c r="S129" s="424"/>
      <c r="T129" s="424"/>
      <c r="U129" s="418"/>
      <c r="V129" s="428"/>
      <c r="W129" s="418"/>
      <c r="X129" s="418"/>
      <c r="Y129" s="524"/>
      <c r="Z129" s="418"/>
      <c r="AA129" s="418"/>
      <c r="AB129" s="429"/>
    </row>
    <row r="130" spans="1:28">
      <c r="A130" s="418"/>
      <c r="B130" s="418"/>
      <c r="C130" s="418"/>
      <c r="D130" s="520"/>
      <c r="E130" s="520"/>
      <c r="F130" s="520"/>
      <c r="G130" s="520"/>
      <c r="H130" s="418"/>
      <c r="I130" s="423"/>
      <c r="J130" s="523"/>
      <c r="K130" s="424"/>
      <c r="L130" s="424"/>
      <c r="M130" s="418"/>
      <c r="N130" s="518"/>
      <c r="O130" s="423"/>
      <c r="P130" s="427"/>
      <c r="Q130" s="423"/>
      <c r="R130" s="523"/>
      <c r="S130" s="424"/>
      <c r="T130" s="424"/>
      <c r="U130" s="418"/>
      <c r="V130" s="428"/>
      <c r="W130" s="418"/>
      <c r="X130" s="418"/>
      <c r="Y130" s="524"/>
      <c r="Z130" s="418"/>
      <c r="AA130" s="418"/>
      <c r="AB130" s="429"/>
    </row>
    <row r="131" spans="1:28">
      <c r="A131" s="418"/>
      <c r="B131" s="418"/>
      <c r="C131" s="418"/>
      <c r="D131" s="520"/>
      <c r="E131" s="520"/>
      <c r="F131" s="520"/>
      <c r="G131" s="520"/>
      <c r="H131" s="418"/>
      <c r="I131" s="423"/>
      <c r="J131" s="523"/>
      <c r="K131" s="424"/>
      <c r="L131" s="424"/>
      <c r="M131" s="418"/>
      <c r="N131" s="518"/>
      <c r="O131" s="423"/>
      <c r="P131" s="427"/>
      <c r="Q131" s="423"/>
      <c r="R131" s="523"/>
      <c r="S131" s="424"/>
      <c r="T131" s="424"/>
      <c r="U131" s="418"/>
      <c r="V131" s="428"/>
      <c r="W131" s="418"/>
      <c r="X131" s="418"/>
      <c r="Y131" s="524"/>
      <c r="Z131" s="418"/>
      <c r="AA131" s="418"/>
      <c r="AB131" s="429"/>
    </row>
    <row r="132" spans="1:28">
      <c r="A132" s="418"/>
      <c r="B132" s="418"/>
      <c r="C132" s="418"/>
      <c r="D132" s="520"/>
      <c r="E132" s="520"/>
      <c r="F132" s="520"/>
      <c r="G132" s="520"/>
      <c r="H132" s="418"/>
      <c r="I132" s="423"/>
      <c r="J132" s="523"/>
      <c r="K132" s="424"/>
      <c r="L132" s="424"/>
      <c r="M132" s="418"/>
      <c r="N132" s="518"/>
      <c r="O132" s="423"/>
      <c r="P132" s="427"/>
      <c r="Q132" s="423"/>
      <c r="R132" s="523"/>
      <c r="S132" s="424"/>
      <c r="T132" s="424"/>
      <c r="U132" s="418"/>
      <c r="V132" s="428"/>
      <c r="W132" s="418"/>
      <c r="X132" s="418"/>
      <c r="Y132" s="524"/>
      <c r="Z132" s="418"/>
      <c r="AA132" s="418"/>
      <c r="AB132" s="429"/>
    </row>
    <row r="133" spans="1:28">
      <c r="A133" s="418"/>
      <c r="B133" s="418"/>
      <c r="C133" s="418"/>
      <c r="D133" s="520"/>
      <c r="E133" s="520"/>
      <c r="F133" s="520"/>
      <c r="G133" s="520"/>
      <c r="H133" s="418"/>
      <c r="I133" s="423"/>
      <c r="J133" s="523"/>
      <c r="K133" s="424"/>
      <c r="L133" s="424"/>
      <c r="M133" s="418"/>
      <c r="N133" s="518"/>
      <c r="O133" s="423"/>
      <c r="P133" s="427"/>
      <c r="Q133" s="423"/>
      <c r="R133" s="523"/>
      <c r="S133" s="424"/>
      <c r="T133" s="424"/>
      <c r="U133" s="418"/>
      <c r="V133" s="428"/>
      <c r="W133" s="418"/>
      <c r="X133" s="418"/>
      <c r="Y133" s="524"/>
      <c r="Z133" s="418"/>
      <c r="AA133" s="418"/>
      <c r="AB133" s="429"/>
    </row>
    <row r="134" spans="1:28">
      <c r="A134" s="418"/>
      <c r="B134" s="418"/>
      <c r="C134" s="418"/>
      <c r="D134" s="520"/>
      <c r="E134" s="520"/>
      <c r="F134" s="520"/>
      <c r="G134" s="520"/>
      <c r="H134" s="418"/>
      <c r="I134" s="423"/>
      <c r="J134" s="523"/>
      <c r="K134" s="424"/>
      <c r="L134" s="424"/>
      <c r="M134" s="418"/>
      <c r="N134" s="518"/>
      <c r="O134" s="423"/>
      <c r="P134" s="427"/>
      <c r="Q134" s="423"/>
      <c r="R134" s="523"/>
      <c r="S134" s="424"/>
      <c r="T134" s="424"/>
      <c r="U134" s="418"/>
      <c r="V134" s="428"/>
      <c r="W134" s="418"/>
      <c r="X134" s="418"/>
      <c r="Y134" s="524"/>
      <c r="Z134" s="418"/>
      <c r="AA134" s="418"/>
      <c r="AB134" s="429"/>
    </row>
    <row r="135" spans="1:28">
      <c r="A135" s="418"/>
      <c r="B135" s="418"/>
      <c r="C135" s="418"/>
      <c r="D135" s="520"/>
      <c r="E135" s="520"/>
      <c r="F135" s="520"/>
      <c r="G135" s="520"/>
      <c r="H135" s="418"/>
      <c r="I135" s="423"/>
      <c r="J135" s="523"/>
      <c r="K135" s="424"/>
      <c r="L135" s="424"/>
      <c r="M135" s="418"/>
      <c r="N135" s="518"/>
      <c r="O135" s="423"/>
      <c r="P135" s="427"/>
      <c r="Q135" s="423"/>
      <c r="R135" s="523"/>
      <c r="S135" s="424"/>
      <c r="T135" s="424"/>
      <c r="U135" s="418"/>
      <c r="V135" s="428"/>
      <c r="W135" s="418"/>
      <c r="X135" s="418"/>
      <c r="Y135" s="524"/>
      <c r="Z135" s="418"/>
      <c r="AA135" s="418"/>
      <c r="AB135" s="429"/>
    </row>
    <row r="136" spans="1:28">
      <c r="A136" s="418"/>
      <c r="B136" s="418"/>
      <c r="C136" s="418"/>
      <c r="D136" s="520"/>
      <c r="E136" s="520"/>
      <c r="F136" s="520"/>
      <c r="G136" s="520"/>
      <c r="H136" s="418"/>
      <c r="I136" s="423"/>
      <c r="J136" s="523"/>
      <c r="K136" s="424"/>
      <c r="L136" s="424"/>
      <c r="M136" s="418"/>
      <c r="N136" s="518"/>
      <c r="O136" s="423"/>
      <c r="P136" s="427"/>
      <c r="Q136" s="423"/>
      <c r="R136" s="523"/>
      <c r="S136" s="424"/>
      <c r="T136" s="424"/>
      <c r="U136" s="418"/>
      <c r="V136" s="428"/>
      <c r="W136" s="418"/>
      <c r="X136" s="418"/>
      <c r="Y136" s="524"/>
      <c r="Z136" s="418"/>
      <c r="AA136" s="418"/>
      <c r="AB136" s="429"/>
    </row>
    <row r="137" spans="1:28">
      <c r="A137" s="418"/>
      <c r="B137" s="418"/>
      <c r="C137" s="418"/>
      <c r="D137" s="520"/>
      <c r="E137" s="520"/>
      <c r="F137" s="520"/>
      <c r="G137" s="520"/>
      <c r="H137" s="418"/>
      <c r="I137" s="423"/>
      <c r="J137" s="523"/>
      <c r="K137" s="424"/>
      <c r="L137" s="424"/>
      <c r="M137" s="418"/>
      <c r="N137" s="518"/>
      <c r="O137" s="423"/>
      <c r="P137" s="427"/>
      <c r="Q137" s="423"/>
      <c r="R137" s="523"/>
      <c r="S137" s="424"/>
      <c r="T137" s="424"/>
      <c r="U137" s="418"/>
      <c r="V137" s="428"/>
      <c r="W137" s="418"/>
      <c r="X137" s="418"/>
      <c r="Y137" s="524"/>
      <c r="Z137" s="418"/>
      <c r="AA137" s="418"/>
      <c r="AB137" s="429"/>
    </row>
    <row r="138" spans="1:28">
      <c r="A138" s="418"/>
      <c r="B138" s="418"/>
      <c r="C138" s="418"/>
      <c r="D138" s="520"/>
      <c r="E138" s="520"/>
      <c r="F138" s="520"/>
      <c r="G138" s="520"/>
      <c r="H138" s="418"/>
      <c r="I138" s="423"/>
      <c r="J138" s="523"/>
      <c r="K138" s="424"/>
      <c r="L138" s="424"/>
      <c r="M138" s="418"/>
      <c r="N138" s="518"/>
      <c r="O138" s="423"/>
      <c r="P138" s="427"/>
      <c r="Q138" s="423"/>
      <c r="R138" s="523"/>
      <c r="S138" s="424"/>
      <c r="T138" s="424"/>
      <c r="U138" s="418"/>
      <c r="V138" s="428"/>
      <c r="W138" s="418"/>
      <c r="X138" s="418"/>
      <c r="Y138" s="524"/>
      <c r="Z138" s="418"/>
      <c r="AA138" s="418"/>
      <c r="AB138" s="429"/>
    </row>
    <row r="139" spans="1:28">
      <c r="A139" s="418"/>
      <c r="B139" s="418"/>
      <c r="C139" s="418"/>
      <c r="D139" s="520"/>
      <c r="E139" s="520"/>
      <c r="F139" s="520"/>
      <c r="G139" s="520"/>
      <c r="H139" s="418"/>
      <c r="I139" s="423"/>
      <c r="J139" s="523"/>
      <c r="K139" s="424"/>
      <c r="L139" s="424"/>
      <c r="M139" s="418"/>
      <c r="N139" s="518"/>
      <c r="O139" s="423"/>
      <c r="P139" s="427"/>
      <c r="Q139" s="423"/>
      <c r="R139" s="523"/>
      <c r="S139" s="424"/>
      <c r="T139" s="424"/>
      <c r="U139" s="418"/>
      <c r="V139" s="428"/>
      <c r="W139" s="418"/>
      <c r="X139" s="418"/>
      <c r="Y139" s="524"/>
      <c r="Z139" s="418"/>
      <c r="AA139" s="418"/>
      <c r="AB139" s="429"/>
    </row>
    <row r="140" spans="1:28">
      <c r="A140" s="418"/>
      <c r="B140" s="418"/>
      <c r="C140" s="418"/>
      <c r="D140" s="520"/>
      <c r="E140" s="520"/>
      <c r="F140" s="520"/>
      <c r="G140" s="520"/>
      <c r="H140" s="418"/>
      <c r="I140" s="423"/>
      <c r="J140" s="523"/>
      <c r="K140" s="424"/>
      <c r="L140" s="424"/>
      <c r="M140" s="418"/>
      <c r="N140" s="518"/>
      <c r="O140" s="423"/>
      <c r="P140" s="427"/>
      <c r="Q140" s="423"/>
      <c r="R140" s="523"/>
      <c r="S140" s="424"/>
      <c r="T140" s="424"/>
      <c r="U140" s="418"/>
      <c r="V140" s="428"/>
      <c r="W140" s="418"/>
      <c r="X140" s="418"/>
      <c r="Y140" s="524"/>
      <c r="Z140" s="418"/>
      <c r="AA140" s="418"/>
      <c r="AB140" s="429"/>
    </row>
    <row r="141" spans="1:28">
      <c r="A141" s="418"/>
      <c r="B141" s="418"/>
      <c r="C141" s="418"/>
      <c r="D141" s="520"/>
      <c r="E141" s="520"/>
      <c r="F141" s="520"/>
      <c r="G141" s="520"/>
      <c r="H141" s="418"/>
      <c r="I141" s="423"/>
      <c r="J141" s="523"/>
      <c r="K141" s="424"/>
      <c r="L141" s="424"/>
      <c r="M141" s="418"/>
      <c r="N141" s="518"/>
      <c r="O141" s="423"/>
      <c r="P141" s="427"/>
      <c r="Q141" s="423"/>
      <c r="R141" s="523"/>
      <c r="S141" s="424"/>
      <c r="T141" s="424"/>
      <c r="U141" s="418"/>
      <c r="V141" s="428"/>
      <c r="W141" s="418"/>
      <c r="X141" s="418"/>
      <c r="Y141" s="524"/>
      <c r="Z141" s="418"/>
      <c r="AA141" s="418"/>
      <c r="AB141" s="429"/>
    </row>
    <row r="142" spans="1:28">
      <c r="A142" s="418"/>
      <c r="B142" s="418"/>
      <c r="C142" s="418"/>
      <c r="D142" s="520"/>
      <c r="E142" s="520"/>
      <c r="F142" s="520"/>
      <c r="G142" s="520"/>
      <c r="H142" s="418"/>
      <c r="I142" s="423"/>
      <c r="J142" s="523"/>
      <c r="K142" s="424"/>
      <c r="L142" s="424"/>
      <c r="M142" s="418"/>
      <c r="N142" s="518"/>
      <c r="O142" s="423"/>
      <c r="P142" s="427"/>
      <c r="Q142" s="423"/>
      <c r="R142" s="523"/>
      <c r="S142" s="424"/>
      <c r="T142" s="424"/>
      <c r="U142" s="418"/>
      <c r="V142" s="428"/>
      <c r="W142" s="418"/>
      <c r="X142" s="418"/>
      <c r="Y142" s="524"/>
      <c r="Z142" s="418"/>
      <c r="AA142" s="418"/>
      <c r="AB142" s="429"/>
    </row>
    <row r="143" spans="1:28">
      <c r="A143" s="418"/>
      <c r="B143" s="418"/>
      <c r="C143" s="418"/>
      <c r="D143" s="520"/>
      <c r="E143" s="520"/>
      <c r="F143" s="520"/>
      <c r="G143" s="520"/>
      <c r="H143" s="418"/>
      <c r="I143" s="423"/>
      <c r="J143" s="523"/>
      <c r="K143" s="424"/>
      <c r="L143" s="424"/>
      <c r="M143" s="418"/>
      <c r="N143" s="518"/>
      <c r="O143" s="423"/>
      <c r="P143" s="427"/>
      <c r="Q143" s="423"/>
      <c r="R143" s="523"/>
      <c r="S143" s="424"/>
      <c r="T143" s="424"/>
      <c r="U143" s="418"/>
      <c r="V143" s="428"/>
      <c r="W143" s="418"/>
      <c r="X143" s="418"/>
      <c r="Y143" s="524"/>
      <c r="Z143" s="418"/>
      <c r="AA143" s="418"/>
      <c r="AB143" s="429"/>
    </row>
    <row r="144" spans="1:28">
      <c r="A144" s="418"/>
      <c r="B144" s="418"/>
      <c r="C144" s="418"/>
      <c r="D144" s="520"/>
      <c r="E144" s="520"/>
      <c r="F144" s="520"/>
      <c r="G144" s="520"/>
      <c r="H144" s="418"/>
      <c r="I144" s="423"/>
      <c r="J144" s="523"/>
      <c r="K144" s="424"/>
      <c r="L144" s="424"/>
      <c r="M144" s="418"/>
      <c r="N144" s="518"/>
      <c r="O144" s="423"/>
      <c r="P144" s="427"/>
      <c r="Q144" s="423"/>
      <c r="R144" s="523"/>
      <c r="S144" s="424"/>
      <c r="T144" s="424"/>
      <c r="U144" s="418"/>
      <c r="V144" s="428"/>
      <c r="W144" s="418"/>
      <c r="X144" s="418"/>
      <c r="Y144" s="524"/>
      <c r="Z144" s="418"/>
      <c r="AA144" s="418"/>
      <c r="AB144" s="429"/>
    </row>
    <row r="145" spans="1:28">
      <c r="A145" s="418"/>
      <c r="B145" s="418"/>
      <c r="C145" s="418"/>
      <c r="D145" s="520"/>
      <c r="E145" s="520"/>
      <c r="F145" s="520"/>
      <c r="G145" s="520"/>
      <c r="H145" s="418"/>
      <c r="I145" s="423"/>
      <c r="J145" s="523"/>
      <c r="K145" s="424"/>
      <c r="L145" s="424"/>
      <c r="M145" s="418"/>
      <c r="N145" s="518"/>
      <c r="O145" s="423"/>
      <c r="P145" s="427"/>
      <c r="Q145" s="423"/>
      <c r="R145" s="523"/>
      <c r="S145" s="424"/>
      <c r="T145" s="424"/>
      <c r="U145" s="418"/>
      <c r="V145" s="428"/>
      <c r="W145" s="418"/>
      <c r="X145" s="418"/>
      <c r="Y145" s="524"/>
      <c r="Z145" s="418"/>
      <c r="AA145" s="418"/>
      <c r="AB145" s="429"/>
    </row>
    <row r="146" spans="1:28">
      <c r="A146" s="418"/>
      <c r="B146" s="418"/>
      <c r="C146" s="418"/>
      <c r="D146" s="520"/>
      <c r="E146" s="520"/>
      <c r="F146" s="520"/>
      <c r="G146" s="520"/>
      <c r="H146" s="418"/>
      <c r="I146" s="423"/>
      <c r="J146" s="523"/>
      <c r="K146" s="424"/>
      <c r="L146" s="424"/>
      <c r="M146" s="418"/>
      <c r="N146" s="518"/>
      <c r="O146" s="423"/>
      <c r="P146" s="427"/>
      <c r="Q146" s="423"/>
      <c r="R146" s="523"/>
      <c r="S146" s="424"/>
      <c r="T146" s="424"/>
      <c r="U146" s="418"/>
      <c r="V146" s="428"/>
      <c r="W146" s="418"/>
      <c r="X146" s="418"/>
      <c r="Y146" s="524"/>
      <c r="Z146" s="418"/>
      <c r="AA146" s="418"/>
      <c r="AB146" s="429"/>
    </row>
    <row r="147" spans="1:28">
      <c r="A147" s="418"/>
      <c r="B147" s="418"/>
      <c r="C147" s="418"/>
      <c r="D147" s="520"/>
      <c r="E147" s="520"/>
      <c r="F147" s="520"/>
      <c r="G147" s="520"/>
      <c r="H147" s="418"/>
      <c r="I147" s="423"/>
      <c r="J147" s="523"/>
      <c r="K147" s="424"/>
      <c r="L147" s="424"/>
      <c r="M147" s="418"/>
      <c r="N147" s="518"/>
      <c r="O147" s="423"/>
      <c r="P147" s="427"/>
      <c r="Q147" s="423"/>
      <c r="R147" s="523"/>
      <c r="S147" s="424"/>
      <c r="T147" s="424"/>
      <c r="U147" s="418"/>
      <c r="V147" s="428"/>
      <c r="W147" s="418"/>
      <c r="X147" s="418"/>
      <c r="Y147" s="524"/>
      <c r="Z147" s="418"/>
      <c r="AA147" s="418"/>
      <c r="AB147" s="429"/>
    </row>
    <row r="148" spans="1:28">
      <c r="A148" s="418"/>
      <c r="B148" s="418"/>
      <c r="C148" s="418"/>
      <c r="D148" s="520"/>
      <c r="E148" s="520"/>
      <c r="F148" s="520"/>
      <c r="G148" s="520"/>
      <c r="H148" s="418"/>
      <c r="I148" s="423"/>
      <c r="J148" s="523"/>
      <c r="K148" s="424"/>
      <c r="L148" s="424"/>
      <c r="M148" s="418"/>
      <c r="N148" s="518"/>
      <c r="O148" s="423"/>
      <c r="P148" s="427"/>
      <c r="Q148" s="423"/>
      <c r="R148" s="523"/>
      <c r="S148" s="424"/>
      <c r="T148" s="424"/>
      <c r="U148" s="418"/>
      <c r="V148" s="428"/>
      <c r="W148" s="418"/>
      <c r="X148" s="418"/>
      <c r="Y148" s="524"/>
      <c r="Z148" s="418"/>
      <c r="AA148" s="418"/>
      <c r="AB148" s="429"/>
    </row>
    <row r="149" spans="1:28">
      <c r="A149" s="418"/>
      <c r="B149" s="418"/>
      <c r="C149" s="418"/>
      <c r="D149" s="520"/>
      <c r="E149" s="520"/>
      <c r="F149" s="520"/>
      <c r="G149" s="520"/>
      <c r="H149" s="418"/>
      <c r="I149" s="423"/>
      <c r="J149" s="523"/>
      <c r="K149" s="424"/>
      <c r="L149" s="424"/>
      <c r="M149" s="418"/>
      <c r="N149" s="518"/>
      <c r="O149" s="423"/>
      <c r="P149" s="427"/>
      <c r="Q149" s="423"/>
      <c r="R149" s="523"/>
      <c r="S149" s="424"/>
      <c r="T149" s="424"/>
      <c r="U149" s="418"/>
      <c r="V149" s="428"/>
      <c r="W149" s="418"/>
      <c r="X149" s="418"/>
      <c r="Y149" s="524"/>
      <c r="Z149" s="418"/>
      <c r="AA149" s="418"/>
      <c r="AB149" s="429"/>
    </row>
    <row r="150" spans="1:28">
      <c r="A150" s="418"/>
      <c r="B150" s="418"/>
      <c r="C150" s="418"/>
      <c r="D150" s="520"/>
      <c r="E150" s="520"/>
      <c r="F150" s="520"/>
      <c r="G150" s="520"/>
      <c r="H150" s="418"/>
      <c r="I150" s="423"/>
      <c r="J150" s="523"/>
      <c r="K150" s="424"/>
      <c r="L150" s="424"/>
      <c r="M150" s="418"/>
      <c r="N150" s="518"/>
      <c r="O150" s="423"/>
      <c r="P150" s="427"/>
      <c r="Q150" s="423"/>
      <c r="R150" s="523"/>
      <c r="S150" s="424"/>
      <c r="T150" s="424"/>
      <c r="U150" s="418"/>
      <c r="V150" s="428"/>
      <c r="W150" s="418"/>
      <c r="X150" s="418"/>
      <c r="Y150" s="524"/>
      <c r="Z150" s="418"/>
      <c r="AA150" s="418"/>
      <c r="AB150" s="429"/>
    </row>
    <row r="151" spans="1:28">
      <c r="A151" s="418"/>
      <c r="B151" s="418"/>
      <c r="C151" s="418"/>
      <c r="D151" s="520"/>
      <c r="E151" s="520"/>
      <c r="F151" s="520"/>
      <c r="G151" s="520"/>
      <c r="H151" s="418"/>
      <c r="I151" s="423"/>
      <c r="J151" s="523"/>
      <c r="K151" s="424"/>
      <c r="L151" s="424"/>
      <c r="M151" s="418"/>
      <c r="N151" s="518"/>
      <c r="O151" s="423"/>
      <c r="P151" s="427"/>
      <c r="Q151" s="423"/>
      <c r="R151" s="523"/>
      <c r="S151" s="424"/>
      <c r="T151" s="424"/>
      <c r="U151" s="418"/>
      <c r="V151" s="428"/>
      <c r="W151" s="418"/>
      <c r="X151" s="418"/>
      <c r="Y151" s="524"/>
      <c r="Z151" s="418"/>
      <c r="AA151" s="418"/>
      <c r="AB151" s="429"/>
    </row>
    <row r="152" spans="1:28">
      <c r="A152" s="418"/>
      <c r="B152" s="418"/>
      <c r="C152" s="418"/>
      <c r="D152" s="520"/>
      <c r="E152" s="520"/>
      <c r="F152" s="520"/>
      <c r="G152" s="520"/>
      <c r="H152" s="418"/>
      <c r="I152" s="423"/>
      <c r="J152" s="523"/>
      <c r="K152" s="424"/>
      <c r="L152" s="424"/>
      <c r="M152" s="418"/>
      <c r="N152" s="518"/>
      <c r="O152" s="423"/>
      <c r="P152" s="427"/>
      <c r="Q152" s="423"/>
      <c r="R152" s="523"/>
      <c r="S152" s="424"/>
      <c r="T152" s="424"/>
      <c r="U152" s="418"/>
      <c r="V152" s="428"/>
      <c r="W152" s="418"/>
      <c r="X152" s="418"/>
      <c r="Y152" s="524"/>
      <c r="Z152" s="418"/>
      <c r="AA152" s="418"/>
      <c r="AB152" s="429"/>
    </row>
    <row r="153" spans="1:28">
      <c r="A153" s="418"/>
      <c r="B153" s="418"/>
      <c r="C153" s="418"/>
      <c r="D153" s="520"/>
      <c r="E153" s="520"/>
      <c r="F153" s="520"/>
      <c r="G153" s="520"/>
      <c r="H153" s="418"/>
      <c r="I153" s="423"/>
      <c r="J153" s="523"/>
      <c r="K153" s="424"/>
      <c r="L153" s="424"/>
      <c r="M153" s="418"/>
      <c r="N153" s="518"/>
      <c r="O153" s="423"/>
      <c r="P153" s="427"/>
      <c r="Q153" s="423"/>
      <c r="R153" s="523"/>
      <c r="S153" s="424"/>
      <c r="T153" s="424"/>
      <c r="U153" s="418"/>
      <c r="V153" s="428"/>
      <c r="W153" s="418"/>
      <c r="X153" s="418"/>
      <c r="Y153" s="524"/>
      <c r="Z153" s="418"/>
      <c r="AA153" s="418"/>
      <c r="AB153" s="429"/>
    </row>
    <row r="154" spans="1:28">
      <c r="A154" s="418"/>
      <c r="B154" s="418"/>
      <c r="C154" s="418"/>
      <c r="D154" s="520"/>
      <c r="E154" s="520"/>
      <c r="F154" s="520"/>
      <c r="G154" s="520"/>
      <c r="H154" s="418"/>
      <c r="I154" s="423"/>
      <c r="J154" s="523"/>
      <c r="K154" s="424"/>
      <c r="L154" s="424"/>
      <c r="M154" s="418"/>
      <c r="N154" s="518"/>
      <c r="O154" s="423"/>
      <c r="P154" s="427"/>
      <c r="Q154" s="423"/>
      <c r="R154" s="523"/>
      <c r="S154" s="424"/>
      <c r="T154" s="424"/>
      <c r="U154" s="418"/>
      <c r="V154" s="428"/>
      <c r="W154" s="418"/>
      <c r="X154" s="418"/>
      <c r="Y154" s="524"/>
      <c r="Z154" s="418"/>
      <c r="AA154" s="418"/>
      <c r="AB154" s="429"/>
    </row>
    <row r="155" spans="1:28">
      <c r="A155" s="418"/>
      <c r="B155" s="418"/>
      <c r="C155" s="418"/>
      <c r="D155" s="520"/>
      <c r="E155" s="520"/>
      <c r="F155" s="520"/>
      <c r="G155" s="520"/>
      <c r="H155" s="418"/>
      <c r="I155" s="423"/>
      <c r="J155" s="523"/>
      <c r="K155" s="424"/>
      <c r="L155" s="424"/>
      <c r="M155" s="418"/>
      <c r="N155" s="518"/>
      <c r="O155" s="423"/>
      <c r="P155" s="427"/>
      <c r="Q155" s="423"/>
      <c r="R155" s="523"/>
      <c r="S155" s="424"/>
      <c r="T155" s="424"/>
      <c r="U155" s="418"/>
      <c r="V155" s="428"/>
      <c r="W155" s="418"/>
      <c r="X155" s="418"/>
      <c r="Y155" s="524"/>
      <c r="Z155" s="418"/>
      <c r="AA155" s="418"/>
      <c r="AB155" s="429"/>
    </row>
    <row r="156" spans="1:28">
      <c r="A156" s="418"/>
      <c r="B156" s="418"/>
      <c r="C156" s="418"/>
      <c r="D156" s="520"/>
      <c r="E156" s="520"/>
      <c r="F156" s="520"/>
      <c r="G156" s="520"/>
      <c r="H156" s="418"/>
      <c r="I156" s="423"/>
      <c r="J156" s="523"/>
      <c r="K156" s="424"/>
      <c r="L156" s="424"/>
      <c r="M156" s="418"/>
      <c r="N156" s="518"/>
      <c r="O156" s="423"/>
      <c r="P156" s="427"/>
      <c r="Q156" s="423"/>
      <c r="R156" s="523"/>
      <c r="S156" s="424"/>
      <c r="T156" s="424"/>
      <c r="U156" s="418"/>
      <c r="V156" s="428"/>
      <c r="W156" s="418"/>
      <c r="X156" s="418"/>
      <c r="Y156" s="524"/>
      <c r="Z156" s="418"/>
      <c r="AA156" s="418"/>
      <c r="AB156" s="429"/>
    </row>
    <row r="157" spans="1:28">
      <c r="A157" s="418"/>
      <c r="B157" s="418"/>
      <c r="C157" s="418"/>
      <c r="D157" s="520"/>
      <c r="E157" s="520"/>
      <c r="F157" s="520"/>
      <c r="G157" s="520"/>
      <c r="H157" s="418"/>
      <c r="I157" s="423"/>
      <c r="J157" s="523"/>
      <c r="K157" s="424"/>
      <c r="L157" s="424"/>
      <c r="M157" s="418"/>
      <c r="N157" s="518"/>
      <c r="O157" s="423"/>
      <c r="P157" s="427"/>
      <c r="Q157" s="423"/>
      <c r="R157" s="523"/>
      <c r="S157" s="424"/>
      <c r="T157" s="424"/>
      <c r="U157" s="418"/>
      <c r="V157" s="428"/>
      <c r="W157" s="418"/>
      <c r="X157" s="418"/>
      <c r="Y157" s="524"/>
      <c r="Z157" s="418"/>
      <c r="AA157" s="418"/>
      <c r="AB157" s="429"/>
    </row>
    <row r="158" spans="1:28">
      <c r="A158" s="418"/>
      <c r="B158" s="418"/>
      <c r="C158" s="418"/>
      <c r="D158" s="520"/>
      <c r="E158" s="520"/>
      <c r="F158" s="520"/>
      <c r="G158" s="520"/>
      <c r="H158" s="418"/>
      <c r="I158" s="423"/>
      <c r="J158" s="523"/>
      <c r="K158" s="424"/>
      <c r="L158" s="424"/>
      <c r="M158" s="418"/>
      <c r="N158" s="518"/>
      <c r="O158" s="423"/>
      <c r="P158" s="427"/>
      <c r="Q158" s="423"/>
      <c r="R158" s="523"/>
      <c r="S158" s="424"/>
      <c r="T158" s="424"/>
      <c r="U158" s="418"/>
      <c r="V158" s="428"/>
      <c r="W158" s="418"/>
      <c r="X158" s="418"/>
      <c r="Y158" s="524"/>
      <c r="Z158" s="418"/>
      <c r="AA158" s="418"/>
      <c r="AB158" s="429"/>
    </row>
    <row r="159" spans="1:28">
      <c r="A159" s="418"/>
      <c r="B159" s="418"/>
      <c r="C159" s="418"/>
      <c r="D159" s="520"/>
      <c r="E159" s="520"/>
      <c r="F159" s="520"/>
      <c r="G159" s="520"/>
      <c r="H159" s="418"/>
      <c r="I159" s="423"/>
      <c r="J159" s="523"/>
      <c r="K159" s="424"/>
      <c r="L159" s="424"/>
      <c r="M159" s="418"/>
      <c r="N159" s="518"/>
      <c r="O159" s="423"/>
      <c r="P159" s="427"/>
      <c r="Q159" s="423"/>
      <c r="R159" s="523"/>
      <c r="S159" s="424"/>
      <c r="T159" s="424"/>
      <c r="U159" s="418"/>
      <c r="V159" s="428"/>
      <c r="W159" s="418"/>
      <c r="X159" s="418"/>
      <c r="Y159" s="524"/>
      <c r="Z159" s="418"/>
      <c r="AA159" s="418"/>
      <c r="AB159" s="429"/>
    </row>
    <row r="160" spans="1:28">
      <c r="A160" s="418"/>
      <c r="B160" s="418"/>
      <c r="C160" s="418"/>
      <c r="D160" s="520"/>
      <c r="E160" s="520"/>
      <c r="F160" s="520"/>
      <c r="G160" s="520"/>
      <c r="H160" s="418"/>
      <c r="I160" s="423"/>
      <c r="J160" s="523"/>
      <c r="K160" s="424"/>
      <c r="L160" s="424"/>
      <c r="M160" s="418"/>
      <c r="N160" s="518"/>
      <c r="O160" s="423"/>
      <c r="P160" s="427"/>
      <c r="Q160" s="423"/>
      <c r="R160" s="523"/>
      <c r="S160" s="424"/>
      <c r="T160" s="424"/>
      <c r="U160" s="418"/>
      <c r="V160" s="428"/>
      <c r="W160" s="418"/>
      <c r="X160" s="418"/>
      <c r="Y160" s="524"/>
      <c r="Z160" s="418"/>
      <c r="AA160" s="418"/>
      <c r="AB160" s="429"/>
    </row>
    <row r="161" spans="1:28">
      <c r="A161" s="418"/>
      <c r="B161" s="418"/>
      <c r="C161" s="418"/>
      <c r="D161" s="520"/>
      <c r="E161" s="520"/>
      <c r="F161" s="520"/>
      <c r="G161" s="520"/>
      <c r="H161" s="418"/>
      <c r="I161" s="423"/>
      <c r="J161" s="523"/>
      <c r="K161" s="424"/>
      <c r="L161" s="424"/>
      <c r="M161" s="418"/>
      <c r="N161" s="518"/>
      <c r="O161" s="423"/>
      <c r="P161" s="427"/>
      <c r="Q161" s="423"/>
      <c r="R161" s="523"/>
      <c r="S161" s="424"/>
      <c r="T161" s="424"/>
      <c r="U161" s="418"/>
      <c r="V161" s="428"/>
      <c r="W161" s="418"/>
      <c r="X161" s="418"/>
      <c r="Y161" s="524"/>
      <c r="Z161" s="418"/>
      <c r="AA161" s="418"/>
      <c r="AB161" s="429"/>
    </row>
    <row r="162" spans="1:28">
      <c r="A162" s="418"/>
      <c r="B162" s="418"/>
      <c r="C162" s="418"/>
      <c r="D162" s="520"/>
      <c r="E162" s="520"/>
      <c r="F162" s="520"/>
      <c r="G162" s="520"/>
      <c r="H162" s="418"/>
      <c r="I162" s="423"/>
      <c r="J162" s="523"/>
      <c r="K162" s="424"/>
      <c r="L162" s="424"/>
      <c r="M162" s="418"/>
      <c r="N162" s="518"/>
      <c r="O162" s="423"/>
      <c r="P162" s="427"/>
      <c r="Q162" s="423"/>
      <c r="R162" s="523"/>
      <c r="S162" s="424"/>
      <c r="T162" s="424"/>
      <c r="U162" s="418"/>
      <c r="V162" s="428"/>
      <c r="W162" s="418"/>
      <c r="X162" s="418"/>
      <c r="Y162" s="524"/>
      <c r="Z162" s="418"/>
      <c r="AA162" s="418"/>
      <c r="AB162" s="429"/>
    </row>
    <row r="163" spans="1:28">
      <c r="A163" s="418"/>
      <c r="B163" s="418"/>
      <c r="C163" s="418"/>
      <c r="D163" s="520"/>
      <c r="E163" s="520"/>
      <c r="F163" s="520"/>
      <c r="G163" s="520"/>
      <c r="H163" s="418"/>
      <c r="I163" s="423"/>
      <c r="J163" s="523"/>
      <c r="K163" s="424"/>
      <c r="L163" s="424"/>
      <c r="M163" s="418"/>
      <c r="N163" s="518"/>
      <c r="O163" s="423"/>
      <c r="P163" s="427"/>
      <c r="Q163" s="423"/>
      <c r="R163" s="523"/>
      <c r="S163" s="424"/>
      <c r="T163" s="424"/>
      <c r="U163" s="418"/>
      <c r="V163" s="428"/>
      <c r="W163" s="418"/>
      <c r="X163" s="418"/>
      <c r="Y163" s="524"/>
      <c r="Z163" s="418"/>
      <c r="AA163" s="418"/>
      <c r="AB163" s="429"/>
    </row>
    <row r="164" spans="1:28">
      <c r="A164" s="418"/>
      <c r="B164" s="418"/>
      <c r="C164" s="418"/>
      <c r="D164" s="520"/>
      <c r="E164" s="520"/>
      <c r="F164" s="520"/>
      <c r="G164" s="520"/>
      <c r="H164" s="418"/>
      <c r="I164" s="423"/>
      <c r="J164" s="523"/>
      <c r="K164" s="424"/>
      <c r="L164" s="424"/>
      <c r="M164" s="418"/>
      <c r="N164" s="518"/>
      <c r="O164" s="423"/>
      <c r="P164" s="427"/>
      <c r="Q164" s="423"/>
      <c r="R164" s="523"/>
      <c r="S164" s="424"/>
      <c r="T164" s="424"/>
      <c r="U164" s="418"/>
      <c r="V164" s="428"/>
      <c r="W164" s="418"/>
      <c r="X164" s="418"/>
      <c r="Y164" s="524"/>
      <c r="Z164" s="418"/>
      <c r="AA164" s="418"/>
      <c r="AB164" s="429"/>
    </row>
    <row r="165" spans="1:28">
      <c r="A165" s="418"/>
      <c r="B165" s="418"/>
      <c r="C165" s="418"/>
      <c r="D165" s="520"/>
      <c r="E165" s="520"/>
      <c r="F165" s="520"/>
      <c r="G165" s="520"/>
      <c r="H165" s="418"/>
      <c r="I165" s="423"/>
      <c r="J165" s="523"/>
      <c r="K165" s="424"/>
      <c r="L165" s="424"/>
      <c r="M165" s="418"/>
      <c r="N165" s="518"/>
      <c r="O165" s="423"/>
      <c r="P165" s="427"/>
      <c r="Q165" s="423"/>
      <c r="R165" s="523"/>
      <c r="S165" s="424"/>
      <c r="T165" s="424"/>
      <c r="U165" s="418"/>
      <c r="V165" s="428"/>
      <c r="W165" s="418"/>
      <c r="X165" s="418"/>
      <c r="Y165" s="524"/>
      <c r="Z165" s="418"/>
      <c r="AA165" s="418"/>
      <c r="AB165" s="429"/>
    </row>
    <row r="166" spans="1:28">
      <c r="A166" s="418"/>
      <c r="B166" s="418"/>
      <c r="C166" s="418"/>
      <c r="D166" s="520"/>
      <c r="E166" s="520"/>
      <c r="F166" s="520"/>
      <c r="G166" s="520"/>
      <c r="H166" s="418"/>
      <c r="I166" s="423"/>
      <c r="J166" s="523"/>
      <c r="K166" s="424"/>
      <c r="L166" s="424"/>
      <c r="M166" s="418"/>
      <c r="N166" s="518"/>
      <c r="O166" s="423"/>
      <c r="P166" s="427"/>
      <c r="Q166" s="423"/>
      <c r="R166" s="523"/>
      <c r="S166" s="424"/>
      <c r="T166" s="424"/>
      <c r="U166" s="418"/>
      <c r="V166" s="428"/>
      <c r="W166" s="418"/>
      <c r="X166" s="418"/>
      <c r="Y166" s="524"/>
      <c r="Z166" s="418"/>
      <c r="AA166" s="418"/>
      <c r="AB166" s="429"/>
    </row>
    <row r="167" spans="1:28">
      <c r="A167" s="418"/>
      <c r="B167" s="418"/>
      <c r="C167" s="418"/>
      <c r="D167" s="520"/>
      <c r="E167" s="520"/>
      <c r="F167" s="520"/>
      <c r="G167" s="520"/>
      <c r="H167" s="418"/>
      <c r="I167" s="423"/>
      <c r="J167" s="523"/>
      <c r="K167" s="424"/>
      <c r="L167" s="424"/>
      <c r="M167" s="418"/>
      <c r="N167" s="518"/>
      <c r="O167" s="423"/>
      <c r="P167" s="427"/>
      <c r="Q167" s="423"/>
      <c r="R167" s="523"/>
      <c r="S167" s="424"/>
      <c r="T167" s="424"/>
      <c r="U167" s="418"/>
      <c r="V167" s="428"/>
      <c r="W167" s="418"/>
      <c r="X167" s="418"/>
      <c r="Y167" s="524"/>
      <c r="Z167" s="418"/>
      <c r="AA167" s="418"/>
      <c r="AB167" s="429"/>
    </row>
    <row r="168" spans="1:28">
      <c r="A168" s="418"/>
      <c r="B168" s="418"/>
      <c r="C168" s="418"/>
      <c r="D168" s="520"/>
      <c r="E168" s="520"/>
      <c r="F168" s="520"/>
      <c r="G168" s="520"/>
      <c r="H168" s="418"/>
      <c r="I168" s="423"/>
      <c r="J168" s="523"/>
      <c r="K168" s="424"/>
      <c r="L168" s="424"/>
      <c r="M168" s="418"/>
      <c r="N168" s="518"/>
      <c r="O168" s="423"/>
      <c r="P168" s="427"/>
      <c r="Q168" s="423"/>
      <c r="R168" s="523"/>
      <c r="S168" s="424"/>
      <c r="T168" s="424"/>
      <c r="U168" s="418"/>
      <c r="V168" s="428"/>
      <c r="W168" s="418"/>
      <c r="X168" s="418"/>
      <c r="Y168" s="524"/>
      <c r="Z168" s="418"/>
      <c r="AA168" s="418"/>
      <c r="AB168" s="429"/>
    </row>
    <row r="169" spans="1:28">
      <c r="A169" s="418"/>
      <c r="B169" s="418"/>
      <c r="C169" s="418"/>
      <c r="D169" s="520"/>
      <c r="E169" s="520"/>
      <c r="F169" s="520"/>
      <c r="G169" s="520"/>
      <c r="H169" s="418"/>
      <c r="I169" s="423"/>
      <c r="J169" s="523"/>
      <c r="K169" s="424"/>
      <c r="L169" s="424"/>
      <c r="M169" s="418"/>
      <c r="N169" s="518"/>
      <c r="O169" s="423"/>
      <c r="P169" s="427"/>
      <c r="Q169" s="423"/>
      <c r="R169" s="523"/>
      <c r="S169" s="424"/>
      <c r="T169" s="424"/>
      <c r="U169" s="418"/>
      <c r="V169" s="428"/>
      <c r="W169" s="418"/>
      <c r="X169" s="418"/>
      <c r="Y169" s="524"/>
      <c r="Z169" s="418"/>
      <c r="AA169" s="418"/>
      <c r="AB169" s="429"/>
    </row>
    <row r="170" spans="1:28">
      <c r="A170" s="418"/>
      <c r="B170" s="418"/>
      <c r="C170" s="418"/>
      <c r="D170" s="520"/>
      <c r="E170" s="520"/>
      <c r="F170" s="520"/>
      <c r="G170" s="520"/>
      <c r="H170" s="418"/>
      <c r="I170" s="423"/>
      <c r="J170" s="523"/>
      <c r="K170" s="424"/>
      <c r="L170" s="424"/>
      <c r="M170" s="418"/>
      <c r="N170" s="518"/>
      <c r="O170" s="423"/>
      <c r="P170" s="427"/>
      <c r="Q170" s="423"/>
      <c r="R170" s="523"/>
      <c r="S170" s="424"/>
      <c r="T170" s="424"/>
      <c r="U170" s="418"/>
      <c r="V170" s="428"/>
      <c r="W170" s="418"/>
      <c r="X170" s="418"/>
      <c r="Y170" s="524"/>
      <c r="Z170" s="418"/>
      <c r="AA170" s="418"/>
      <c r="AB170" s="429"/>
    </row>
    <row r="171" spans="1:28">
      <c r="A171" s="418"/>
      <c r="B171" s="418"/>
      <c r="C171" s="418"/>
      <c r="D171" s="520"/>
      <c r="E171" s="520"/>
      <c r="F171" s="520"/>
      <c r="G171" s="520"/>
      <c r="H171" s="418"/>
      <c r="I171" s="423"/>
      <c r="J171" s="523"/>
      <c r="K171" s="424"/>
      <c r="L171" s="424"/>
      <c r="M171" s="418"/>
      <c r="N171" s="518"/>
      <c r="O171" s="423"/>
      <c r="P171" s="427"/>
      <c r="Q171" s="423"/>
      <c r="R171" s="523"/>
      <c r="S171" s="424"/>
      <c r="T171" s="424"/>
      <c r="U171" s="418"/>
      <c r="V171" s="428"/>
      <c r="W171" s="418"/>
      <c r="X171" s="418"/>
      <c r="Y171" s="524"/>
      <c r="Z171" s="418"/>
      <c r="AA171" s="418"/>
      <c r="AB171" s="429"/>
    </row>
    <row r="172" spans="1:28">
      <c r="A172" s="418"/>
      <c r="B172" s="418"/>
      <c r="C172" s="418"/>
      <c r="D172" s="520"/>
      <c r="E172" s="520"/>
      <c r="F172" s="520"/>
      <c r="G172" s="520"/>
      <c r="H172" s="418"/>
      <c r="I172" s="423"/>
      <c r="J172" s="523"/>
      <c r="K172" s="424"/>
      <c r="L172" s="424"/>
      <c r="M172" s="418"/>
      <c r="N172" s="518"/>
      <c r="O172" s="423"/>
      <c r="P172" s="427"/>
      <c r="Q172" s="423"/>
      <c r="R172" s="523"/>
      <c r="S172" s="424"/>
      <c r="T172" s="424"/>
      <c r="U172" s="418"/>
      <c r="V172" s="428"/>
      <c r="W172" s="418"/>
      <c r="X172" s="418"/>
      <c r="Y172" s="524"/>
      <c r="Z172" s="418"/>
      <c r="AA172" s="418"/>
      <c r="AB172" s="429"/>
    </row>
    <row r="173" spans="1:28">
      <c r="A173" s="418"/>
      <c r="B173" s="418"/>
      <c r="C173" s="418"/>
      <c r="D173" s="520"/>
      <c r="E173" s="520"/>
      <c r="F173" s="520"/>
      <c r="G173" s="520"/>
      <c r="H173" s="418"/>
      <c r="I173" s="423"/>
      <c r="J173" s="523"/>
      <c r="K173" s="424"/>
      <c r="L173" s="424"/>
      <c r="M173" s="418"/>
      <c r="N173" s="518"/>
      <c r="O173" s="423"/>
      <c r="P173" s="427"/>
      <c r="Q173" s="423"/>
      <c r="R173" s="523"/>
      <c r="S173" s="424"/>
      <c r="T173" s="424"/>
      <c r="U173" s="418"/>
      <c r="V173" s="428"/>
      <c r="W173" s="418"/>
      <c r="X173" s="418"/>
      <c r="Y173" s="524"/>
      <c r="Z173" s="418"/>
      <c r="AA173" s="418"/>
      <c r="AB173" s="429"/>
    </row>
    <row r="174" spans="1:28">
      <c r="A174" s="418"/>
      <c r="B174" s="418"/>
      <c r="C174" s="418"/>
      <c r="D174" s="520"/>
      <c r="E174" s="520"/>
      <c r="F174" s="520"/>
      <c r="G174" s="520"/>
      <c r="H174" s="418"/>
      <c r="I174" s="423"/>
      <c r="J174" s="523"/>
      <c r="K174" s="424"/>
      <c r="L174" s="424"/>
      <c r="M174" s="418"/>
      <c r="N174" s="518"/>
      <c r="O174" s="423"/>
      <c r="P174" s="427"/>
      <c r="Q174" s="423"/>
      <c r="R174" s="523"/>
      <c r="S174" s="424"/>
      <c r="T174" s="424"/>
      <c r="U174" s="418"/>
      <c r="V174" s="428"/>
      <c r="W174" s="418"/>
      <c r="X174" s="418"/>
      <c r="Y174" s="524"/>
      <c r="Z174" s="418"/>
      <c r="AA174" s="418"/>
      <c r="AB174" s="429"/>
    </row>
    <row r="175" spans="1:28">
      <c r="A175" s="418"/>
      <c r="B175" s="418"/>
      <c r="C175" s="418"/>
      <c r="D175" s="520"/>
      <c r="E175" s="520"/>
      <c r="F175" s="520"/>
      <c r="G175" s="520"/>
      <c r="H175" s="418"/>
      <c r="I175" s="423"/>
      <c r="J175" s="523"/>
      <c r="K175" s="424"/>
      <c r="L175" s="424"/>
      <c r="M175" s="418"/>
      <c r="N175" s="518"/>
      <c r="O175" s="423"/>
      <c r="P175" s="427"/>
      <c r="Q175" s="423"/>
      <c r="R175" s="523"/>
      <c r="S175" s="424"/>
      <c r="T175" s="424"/>
      <c r="U175" s="418"/>
      <c r="V175" s="428"/>
      <c r="W175" s="418"/>
      <c r="X175" s="418"/>
      <c r="Y175" s="524"/>
      <c r="Z175" s="418"/>
      <c r="AA175" s="418"/>
      <c r="AB175" s="429"/>
    </row>
    <row r="176" spans="1:28">
      <c r="A176" s="418"/>
      <c r="B176" s="418"/>
      <c r="C176" s="418"/>
      <c r="D176" s="520"/>
      <c r="E176" s="520"/>
      <c r="F176" s="520"/>
      <c r="G176" s="520"/>
      <c r="H176" s="418"/>
      <c r="I176" s="423"/>
      <c r="J176" s="523"/>
      <c r="K176" s="424"/>
      <c r="L176" s="424"/>
      <c r="M176" s="418"/>
      <c r="N176" s="518"/>
      <c r="O176" s="423"/>
      <c r="P176" s="427"/>
      <c r="Q176" s="423"/>
      <c r="R176" s="523"/>
      <c r="S176" s="424"/>
      <c r="T176" s="424"/>
      <c r="U176" s="418"/>
      <c r="V176" s="428"/>
      <c r="W176" s="418"/>
      <c r="X176" s="418"/>
      <c r="Y176" s="524"/>
      <c r="Z176" s="418"/>
      <c r="AA176" s="418"/>
      <c r="AB176" s="429"/>
    </row>
    <row r="177" spans="1:28">
      <c r="A177" s="418"/>
      <c r="B177" s="418"/>
      <c r="C177" s="418"/>
      <c r="D177" s="520"/>
      <c r="E177" s="520"/>
      <c r="F177" s="520"/>
      <c r="G177" s="520"/>
      <c r="H177" s="418"/>
      <c r="I177" s="423"/>
      <c r="J177" s="523"/>
      <c r="K177" s="424"/>
      <c r="L177" s="424"/>
      <c r="M177" s="418"/>
      <c r="N177" s="518"/>
      <c r="O177" s="423"/>
      <c r="P177" s="427"/>
      <c r="Q177" s="423"/>
      <c r="R177" s="523"/>
      <c r="S177" s="424"/>
      <c r="T177" s="424"/>
      <c r="U177" s="418"/>
      <c r="V177" s="428"/>
      <c r="W177" s="418"/>
      <c r="X177" s="418"/>
      <c r="Y177" s="524"/>
      <c r="Z177" s="418"/>
      <c r="AA177" s="418"/>
      <c r="AB177" s="429"/>
    </row>
    <row r="178" spans="1:28">
      <c r="A178" s="418"/>
      <c r="B178" s="418"/>
      <c r="C178" s="418"/>
      <c r="D178" s="520"/>
      <c r="E178" s="520"/>
      <c r="F178" s="520"/>
      <c r="G178" s="520"/>
      <c r="H178" s="418"/>
      <c r="I178" s="423"/>
      <c r="J178" s="523"/>
      <c r="K178" s="424"/>
      <c r="L178" s="424"/>
      <c r="M178" s="418"/>
      <c r="N178" s="518"/>
      <c r="O178" s="423"/>
      <c r="P178" s="427"/>
      <c r="Q178" s="423"/>
      <c r="R178" s="523"/>
      <c r="S178" s="424"/>
      <c r="T178" s="424"/>
      <c r="U178" s="418"/>
      <c r="V178" s="428"/>
      <c r="W178" s="418"/>
      <c r="X178" s="418"/>
      <c r="Y178" s="524"/>
      <c r="Z178" s="418"/>
      <c r="AA178" s="418"/>
      <c r="AB178" s="429"/>
    </row>
    <row r="179" spans="1:28">
      <c r="A179" s="418"/>
      <c r="B179" s="418"/>
      <c r="C179" s="418"/>
      <c r="D179" s="520"/>
      <c r="E179" s="520"/>
      <c r="F179" s="520"/>
      <c r="G179" s="520"/>
      <c r="H179" s="418"/>
      <c r="I179" s="423"/>
      <c r="J179" s="523"/>
      <c r="K179" s="424"/>
      <c r="L179" s="424"/>
      <c r="M179" s="418"/>
      <c r="N179" s="518"/>
      <c r="O179" s="423"/>
      <c r="P179" s="427"/>
      <c r="Q179" s="423"/>
      <c r="R179" s="523"/>
      <c r="S179" s="424"/>
      <c r="T179" s="424"/>
      <c r="U179" s="418"/>
      <c r="V179" s="428"/>
      <c r="W179" s="418"/>
      <c r="X179" s="418"/>
      <c r="Y179" s="524"/>
      <c r="Z179" s="418"/>
      <c r="AA179" s="418"/>
      <c r="AB179" s="429"/>
    </row>
    <row r="180" spans="1:28">
      <c r="A180" s="418"/>
      <c r="B180" s="418"/>
      <c r="C180" s="418"/>
      <c r="D180" s="520"/>
      <c r="E180" s="520"/>
      <c r="F180" s="520"/>
      <c r="G180" s="520"/>
      <c r="H180" s="418"/>
      <c r="I180" s="423"/>
      <c r="J180" s="523"/>
      <c r="K180" s="424"/>
      <c r="L180" s="424"/>
      <c r="M180" s="418"/>
      <c r="N180" s="518"/>
      <c r="O180" s="423"/>
      <c r="P180" s="427"/>
      <c r="Q180" s="423"/>
      <c r="R180" s="523"/>
      <c r="S180" s="424"/>
      <c r="T180" s="424"/>
      <c r="U180" s="418"/>
      <c r="V180" s="428"/>
      <c r="W180" s="418"/>
      <c r="X180" s="418"/>
      <c r="Y180" s="524"/>
      <c r="Z180" s="418"/>
      <c r="AA180" s="418"/>
      <c r="AB180" s="429"/>
    </row>
    <row r="181" spans="1:28">
      <c r="A181" s="418"/>
      <c r="B181" s="418"/>
      <c r="C181" s="418"/>
      <c r="D181" s="520"/>
      <c r="E181" s="520"/>
      <c r="F181" s="520"/>
      <c r="G181" s="520"/>
      <c r="H181" s="418"/>
      <c r="I181" s="423"/>
      <c r="J181" s="523"/>
      <c r="K181" s="424"/>
      <c r="L181" s="424"/>
      <c r="M181" s="418"/>
      <c r="N181" s="518"/>
      <c r="O181" s="423"/>
      <c r="P181" s="427"/>
      <c r="Q181" s="423"/>
      <c r="R181" s="523"/>
      <c r="S181" s="424"/>
      <c r="T181" s="424"/>
      <c r="U181" s="418"/>
      <c r="V181" s="428"/>
      <c r="W181" s="418"/>
      <c r="X181" s="418"/>
      <c r="Y181" s="524"/>
      <c r="Z181" s="418"/>
      <c r="AA181" s="418"/>
      <c r="AB181" s="429"/>
    </row>
    <row r="182" spans="1:28">
      <c r="A182" s="418"/>
      <c r="B182" s="418"/>
      <c r="C182" s="418"/>
      <c r="D182" s="520"/>
      <c r="E182" s="520"/>
      <c r="F182" s="520"/>
      <c r="G182" s="520"/>
      <c r="H182" s="418"/>
      <c r="I182" s="423"/>
      <c r="J182" s="523"/>
      <c r="K182" s="424"/>
      <c r="L182" s="424"/>
      <c r="M182" s="418"/>
      <c r="N182" s="518"/>
      <c r="O182" s="423"/>
      <c r="P182" s="427"/>
      <c r="Q182" s="423"/>
      <c r="R182" s="523"/>
      <c r="S182" s="424"/>
      <c r="T182" s="424"/>
      <c r="U182" s="418"/>
      <c r="V182" s="428"/>
      <c r="W182" s="418"/>
      <c r="X182" s="418"/>
      <c r="Y182" s="524"/>
      <c r="Z182" s="418"/>
      <c r="AA182" s="418"/>
      <c r="AB182" s="429"/>
    </row>
    <row r="183" spans="1:28">
      <c r="A183" s="418"/>
      <c r="B183" s="418"/>
      <c r="C183" s="418"/>
      <c r="D183" s="520"/>
      <c r="E183" s="520"/>
      <c r="F183" s="520"/>
      <c r="G183" s="520"/>
      <c r="H183" s="418"/>
      <c r="I183" s="423"/>
      <c r="J183" s="523"/>
      <c r="K183" s="424"/>
      <c r="L183" s="424"/>
      <c r="M183" s="418"/>
      <c r="N183" s="518"/>
      <c r="O183" s="423"/>
      <c r="P183" s="427"/>
      <c r="Q183" s="423"/>
      <c r="R183" s="523"/>
      <c r="S183" s="424"/>
      <c r="T183" s="424"/>
      <c r="U183" s="418"/>
      <c r="V183" s="428"/>
      <c r="W183" s="418"/>
      <c r="X183" s="418"/>
      <c r="Y183" s="524"/>
      <c r="Z183" s="418"/>
      <c r="AA183" s="418"/>
      <c r="AB183" s="429"/>
    </row>
    <row r="184" spans="1:28">
      <c r="A184" s="418"/>
      <c r="B184" s="418"/>
      <c r="C184" s="418"/>
      <c r="D184" s="520"/>
      <c r="E184" s="520"/>
      <c r="F184" s="520"/>
      <c r="G184" s="520"/>
      <c r="H184" s="418"/>
      <c r="I184" s="423"/>
      <c r="J184" s="523"/>
      <c r="K184" s="424"/>
      <c r="L184" s="424"/>
      <c r="M184" s="418"/>
      <c r="N184" s="518"/>
      <c r="O184" s="423"/>
      <c r="P184" s="427"/>
      <c r="Q184" s="423"/>
      <c r="R184" s="523"/>
      <c r="S184" s="424"/>
      <c r="T184" s="424"/>
      <c r="U184" s="418"/>
      <c r="V184" s="428"/>
      <c r="W184" s="418"/>
      <c r="X184" s="418"/>
      <c r="Y184" s="524"/>
      <c r="Z184" s="418"/>
      <c r="AA184" s="418"/>
      <c r="AB184" s="429"/>
    </row>
    <row r="185" spans="1:28">
      <c r="A185" s="418"/>
      <c r="B185" s="418"/>
      <c r="C185" s="418"/>
      <c r="D185" s="520"/>
      <c r="E185" s="520"/>
      <c r="F185" s="520"/>
      <c r="G185" s="520"/>
      <c r="H185" s="418"/>
      <c r="I185" s="423"/>
      <c r="J185" s="523"/>
      <c r="K185" s="424"/>
      <c r="L185" s="424"/>
      <c r="M185" s="418"/>
      <c r="N185" s="518"/>
      <c r="O185" s="423"/>
      <c r="P185" s="427"/>
      <c r="Q185" s="423"/>
      <c r="R185" s="523"/>
      <c r="S185" s="424"/>
      <c r="T185" s="424"/>
      <c r="U185" s="418"/>
      <c r="V185" s="428"/>
      <c r="W185" s="418"/>
      <c r="X185" s="418"/>
      <c r="Y185" s="524"/>
      <c r="Z185" s="418"/>
      <c r="AA185" s="418"/>
      <c r="AB185" s="429"/>
    </row>
    <row r="186" spans="1:28">
      <c r="A186" s="418"/>
      <c r="B186" s="418"/>
      <c r="C186" s="418"/>
      <c r="D186" s="520"/>
      <c r="E186" s="520"/>
      <c r="F186" s="520"/>
      <c r="G186" s="520"/>
      <c r="H186" s="418"/>
      <c r="I186" s="423"/>
      <c r="J186" s="523"/>
      <c r="K186" s="424"/>
      <c r="L186" s="424"/>
      <c r="M186" s="418"/>
      <c r="N186" s="518"/>
      <c r="O186" s="423"/>
      <c r="P186" s="427"/>
      <c r="Q186" s="423"/>
      <c r="R186" s="523"/>
      <c r="S186" s="424"/>
      <c r="T186" s="424"/>
      <c r="U186" s="418"/>
      <c r="V186" s="428"/>
      <c r="W186" s="418"/>
      <c r="X186" s="418"/>
      <c r="Y186" s="524"/>
      <c r="Z186" s="418"/>
      <c r="AA186" s="418"/>
      <c r="AB186" s="429"/>
    </row>
    <row r="187" spans="1:28">
      <c r="A187" s="418"/>
      <c r="B187" s="418"/>
      <c r="C187" s="418"/>
      <c r="D187" s="520"/>
      <c r="E187" s="520"/>
      <c r="F187" s="520"/>
      <c r="G187" s="520"/>
      <c r="H187" s="418"/>
      <c r="I187" s="423"/>
      <c r="J187" s="523"/>
      <c r="K187" s="424"/>
      <c r="L187" s="424"/>
      <c r="M187" s="418"/>
      <c r="N187" s="518"/>
      <c r="O187" s="423"/>
      <c r="P187" s="427"/>
      <c r="Q187" s="423"/>
      <c r="R187" s="523"/>
      <c r="S187" s="424"/>
      <c r="T187" s="424"/>
      <c r="U187" s="418"/>
      <c r="V187" s="428"/>
      <c r="W187" s="418"/>
      <c r="X187" s="418"/>
      <c r="Y187" s="524"/>
      <c r="Z187" s="418"/>
      <c r="AA187" s="418"/>
      <c r="AB187" s="429"/>
    </row>
    <row r="188" spans="1:28">
      <c r="A188" s="418"/>
      <c r="B188" s="418"/>
      <c r="C188" s="418"/>
      <c r="D188" s="520"/>
      <c r="E188" s="520"/>
      <c r="F188" s="520"/>
      <c r="G188" s="520"/>
      <c r="H188" s="418"/>
      <c r="I188" s="423"/>
      <c r="J188" s="523"/>
      <c r="K188" s="424"/>
      <c r="L188" s="424"/>
      <c r="M188" s="418"/>
      <c r="N188" s="518"/>
      <c r="O188" s="423"/>
      <c r="P188" s="427"/>
      <c r="Q188" s="423"/>
      <c r="R188" s="523"/>
      <c r="S188" s="424"/>
      <c r="T188" s="424"/>
      <c r="U188" s="418"/>
      <c r="V188" s="428"/>
      <c r="W188" s="418"/>
      <c r="X188" s="418"/>
      <c r="Y188" s="524"/>
      <c r="Z188" s="418"/>
      <c r="AA188" s="418"/>
      <c r="AB188" s="429"/>
    </row>
    <row r="189" spans="1:28">
      <c r="A189" s="418"/>
      <c r="B189" s="418"/>
      <c r="C189" s="418"/>
      <c r="D189" s="520"/>
      <c r="E189" s="520"/>
      <c r="F189" s="520"/>
      <c r="G189" s="520"/>
      <c r="H189" s="418"/>
      <c r="I189" s="423"/>
      <c r="J189" s="523"/>
      <c r="K189" s="424"/>
      <c r="L189" s="424"/>
      <c r="M189" s="418"/>
      <c r="N189" s="518"/>
      <c r="O189" s="423"/>
      <c r="P189" s="427"/>
      <c r="Q189" s="423"/>
      <c r="R189" s="523"/>
      <c r="S189" s="424"/>
      <c r="T189" s="424"/>
      <c r="U189" s="418"/>
      <c r="V189" s="428"/>
      <c r="W189" s="418"/>
      <c r="X189" s="418"/>
      <c r="Y189" s="524"/>
      <c r="Z189" s="418"/>
      <c r="AA189" s="418"/>
      <c r="AB189" s="429"/>
    </row>
    <row r="190" spans="1:28">
      <c r="A190" s="418"/>
      <c r="B190" s="418"/>
      <c r="C190" s="418"/>
      <c r="D190" s="520"/>
      <c r="E190" s="520"/>
      <c r="F190" s="520"/>
      <c r="G190" s="520"/>
      <c r="H190" s="418"/>
      <c r="I190" s="423"/>
      <c r="J190" s="523"/>
      <c r="K190" s="424"/>
      <c r="L190" s="424"/>
      <c r="M190" s="418"/>
      <c r="N190" s="518"/>
      <c r="O190" s="423"/>
      <c r="P190" s="427"/>
      <c r="Q190" s="423"/>
      <c r="R190" s="523"/>
      <c r="S190" s="424"/>
      <c r="T190" s="424"/>
      <c r="U190" s="418"/>
      <c r="V190" s="428"/>
      <c r="W190" s="418"/>
      <c r="X190" s="418"/>
      <c r="Y190" s="524"/>
      <c r="Z190" s="418"/>
      <c r="AA190" s="418"/>
      <c r="AB190" s="429"/>
    </row>
    <row r="191" spans="1:28">
      <c r="A191" s="418"/>
      <c r="B191" s="418"/>
      <c r="C191" s="418"/>
      <c r="D191" s="520"/>
      <c r="E191" s="520"/>
      <c r="F191" s="520"/>
      <c r="G191" s="520"/>
      <c r="H191" s="418"/>
      <c r="I191" s="423"/>
      <c r="J191" s="523"/>
      <c r="K191" s="424"/>
      <c r="L191" s="424"/>
      <c r="M191" s="418"/>
      <c r="N191" s="518"/>
      <c r="O191" s="423"/>
      <c r="P191" s="427"/>
      <c r="Q191" s="423"/>
      <c r="R191" s="523"/>
      <c r="S191" s="424"/>
      <c r="T191" s="424"/>
      <c r="U191" s="418"/>
      <c r="V191" s="428"/>
      <c r="W191" s="418"/>
      <c r="X191" s="418"/>
      <c r="Y191" s="524"/>
      <c r="Z191" s="418"/>
      <c r="AA191" s="418"/>
      <c r="AB191" s="429"/>
    </row>
    <row r="192" spans="1:28">
      <c r="A192" s="418"/>
      <c r="B192" s="418"/>
      <c r="C192" s="418"/>
      <c r="D192" s="520"/>
      <c r="E192" s="520"/>
      <c r="F192" s="520"/>
      <c r="G192" s="520"/>
      <c r="H192" s="418"/>
      <c r="I192" s="423"/>
      <c r="J192" s="523"/>
      <c r="K192" s="424"/>
      <c r="L192" s="424"/>
      <c r="M192" s="418"/>
      <c r="N192" s="518"/>
      <c r="O192" s="423"/>
      <c r="P192" s="427"/>
      <c r="Q192" s="423"/>
      <c r="R192" s="523"/>
      <c r="S192" s="424"/>
      <c r="T192" s="424"/>
      <c r="U192" s="418"/>
      <c r="V192" s="428"/>
      <c r="W192" s="418"/>
      <c r="X192" s="418"/>
      <c r="Y192" s="524"/>
      <c r="Z192" s="418"/>
      <c r="AA192" s="418"/>
      <c r="AB192" s="429"/>
    </row>
    <row r="193" spans="1:28">
      <c r="A193" s="418"/>
      <c r="B193" s="418"/>
      <c r="C193" s="418"/>
      <c r="D193" s="520"/>
      <c r="E193" s="520"/>
      <c r="F193" s="520"/>
      <c r="G193" s="520"/>
      <c r="H193" s="418"/>
      <c r="I193" s="423"/>
      <c r="J193" s="523"/>
      <c r="K193" s="424"/>
      <c r="L193" s="424"/>
      <c r="M193" s="418"/>
      <c r="N193" s="518"/>
      <c r="O193" s="423"/>
      <c r="P193" s="427"/>
      <c r="Q193" s="423"/>
      <c r="R193" s="523"/>
      <c r="S193" s="424"/>
      <c r="T193" s="424"/>
      <c r="U193" s="418"/>
      <c r="V193" s="428"/>
      <c r="W193" s="418"/>
      <c r="X193" s="418"/>
      <c r="Y193" s="524"/>
      <c r="Z193" s="418"/>
      <c r="AA193" s="418"/>
      <c r="AB193" s="429"/>
    </row>
    <row r="194" spans="1:28">
      <c r="A194" s="418"/>
      <c r="B194" s="418"/>
      <c r="C194" s="418"/>
      <c r="D194" s="520"/>
      <c r="E194" s="520"/>
      <c r="F194" s="520"/>
      <c r="G194" s="520"/>
      <c r="H194" s="418"/>
      <c r="I194" s="423"/>
      <c r="J194" s="523"/>
      <c r="K194" s="424"/>
      <c r="L194" s="424"/>
      <c r="M194" s="418"/>
      <c r="N194" s="518"/>
      <c r="O194" s="423"/>
      <c r="P194" s="427"/>
      <c r="Q194" s="423"/>
      <c r="R194" s="523"/>
      <c r="S194" s="424"/>
      <c r="T194" s="424"/>
      <c r="U194" s="418"/>
      <c r="V194" s="428"/>
      <c r="W194" s="418"/>
      <c r="X194" s="418"/>
      <c r="Y194" s="524"/>
      <c r="Z194" s="418"/>
      <c r="AA194" s="418"/>
      <c r="AB194" s="429"/>
    </row>
    <row r="195" spans="1:28">
      <c r="A195" s="418"/>
      <c r="B195" s="418"/>
      <c r="C195" s="418"/>
      <c r="D195" s="520"/>
      <c r="E195" s="520"/>
      <c r="F195" s="520"/>
      <c r="G195" s="520"/>
      <c r="H195" s="418"/>
      <c r="I195" s="423"/>
      <c r="J195" s="523"/>
      <c r="K195" s="424"/>
      <c r="L195" s="424"/>
      <c r="M195" s="418"/>
      <c r="N195" s="518"/>
      <c r="O195" s="423"/>
      <c r="P195" s="427"/>
      <c r="Q195" s="423"/>
      <c r="R195" s="523"/>
      <c r="S195" s="424"/>
      <c r="T195" s="424"/>
      <c r="U195" s="418"/>
      <c r="V195" s="428"/>
      <c r="W195" s="418"/>
      <c r="X195" s="418"/>
      <c r="Y195" s="524"/>
      <c r="Z195" s="418"/>
      <c r="AA195" s="418"/>
      <c r="AB195" s="429"/>
    </row>
    <row r="196" spans="1:28">
      <c r="A196" s="418"/>
      <c r="B196" s="418"/>
      <c r="C196" s="418"/>
      <c r="D196" s="520"/>
      <c r="E196" s="520"/>
      <c r="F196" s="520"/>
      <c r="G196" s="520"/>
      <c r="H196" s="418"/>
      <c r="I196" s="423"/>
      <c r="J196" s="523"/>
      <c r="K196" s="424"/>
      <c r="L196" s="424"/>
      <c r="M196" s="418"/>
      <c r="N196" s="518"/>
      <c r="O196" s="423"/>
      <c r="P196" s="427"/>
      <c r="Q196" s="423"/>
      <c r="R196" s="523"/>
      <c r="S196" s="424"/>
      <c r="T196" s="424"/>
      <c r="U196" s="418"/>
      <c r="V196" s="428"/>
      <c r="W196" s="418"/>
      <c r="X196" s="418"/>
      <c r="Y196" s="524"/>
      <c r="Z196" s="418"/>
      <c r="AA196" s="418"/>
      <c r="AB196" s="429"/>
    </row>
    <row r="197" spans="1:28">
      <c r="A197" s="418"/>
      <c r="B197" s="418"/>
      <c r="C197" s="418"/>
      <c r="D197" s="520"/>
      <c r="E197" s="520"/>
      <c r="F197" s="520"/>
      <c r="G197" s="520"/>
      <c r="H197" s="418"/>
      <c r="I197" s="423"/>
      <c r="J197" s="523"/>
      <c r="K197" s="424"/>
      <c r="L197" s="424"/>
      <c r="M197" s="418"/>
      <c r="N197" s="518"/>
      <c r="O197" s="423"/>
      <c r="P197" s="427"/>
      <c r="Q197" s="423"/>
      <c r="R197" s="523"/>
      <c r="S197" s="424"/>
      <c r="T197" s="424"/>
      <c r="U197" s="418"/>
      <c r="V197" s="428"/>
      <c r="W197" s="418"/>
      <c r="X197" s="418"/>
      <c r="Y197" s="524"/>
      <c r="Z197" s="418"/>
      <c r="AA197" s="418"/>
      <c r="AB197" s="429"/>
    </row>
    <row r="198" spans="1:28">
      <c r="A198" s="418"/>
      <c r="B198" s="418"/>
      <c r="C198" s="418"/>
      <c r="D198" s="520"/>
      <c r="E198" s="520"/>
      <c r="F198" s="520"/>
      <c r="G198" s="520"/>
      <c r="H198" s="418"/>
      <c r="I198" s="423"/>
      <c r="J198" s="523"/>
      <c r="K198" s="424"/>
      <c r="L198" s="424"/>
      <c r="M198" s="418"/>
      <c r="N198" s="518"/>
      <c r="O198" s="423"/>
      <c r="P198" s="427"/>
      <c r="Q198" s="423"/>
      <c r="R198" s="523"/>
      <c r="S198" s="424"/>
      <c r="T198" s="424"/>
      <c r="U198" s="418"/>
      <c r="V198" s="428"/>
      <c r="W198" s="418"/>
      <c r="X198" s="418"/>
      <c r="Y198" s="524"/>
      <c r="Z198" s="418"/>
      <c r="AA198" s="418"/>
      <c r="AB198" s="429"/>
    </row>
    <row r="199" spans="1:28">
      <c r="A199" s="418"/>
      <c r="B199" s="418"/>
      <c r="C199" s="418"/>
      <c r="D199" s="520"/>
      <c r="E199" s="520"/>
      <c r="F199" s="520"/>
      <c r="G199" s="520"/>
      <c r="H199" s="418"/>
      <c r="I199" s="423"/>
      <c r="J199" s="523"/>
      <c r="K199" s="424"/>
      <c r="L199" s="424"/>
      <c r="M199" s="418"/>
      <c r="N199" s="518"/>
      <c r="O199" s="423"/>
      <c r="P199" s="427"/>
      <c r="Q199" s="423"/>
      <c r="R199" s="523"/>
      <c r="S199" s="424"/>
      <c r="T199" s="424"/>
      <c r="U199" s="418"/>
      <c r="V199" s="428"/>
      <c r="W199" s="418"/>
      <c r="X199" s="418"/>
      <c r="Y199" s="524"/>
      <c r="Z199" s="418"/>
      <c r="AA199" s="418"/>
      <c r="AB199" s="429"/>
    </row>
    <row r="200" spans="1:28">
      <c r="A200" s="418"/>
      <c r="B200" s="418"/>
      <c r="C200" s="418"/>
      <c r="D200" s="520"/>
      <c r="E200" s="520"/>
      <c r="F200" s="520"/>
      <c r="G200" s="520"/>
      <c r="H200" s="418"/>
      <c r="I200" s="423"/>
      <c r="J200" s="523"/>
      <c r="K200" s="424"/>
      <c r="L200" s="424"/>
      <c r="M200" s="418"/>
      <c r="N200" s="518"/>
      <c r="O200" s="423"/>
      <c r="P200" s="427"/>
      <c r="Q200" s="423"/>
      <c r="R200" s="523"/>
      <c r="S200" s="424"/>
      <c r="T200" s="424"/>
      <c r="U200" s="418"/>
      <c r="V200" s="428"/>
      <c r="W200" s="418"/>
      <c r="X200" s="418"/>
      <c r="Y200" s="524"/>
      <c r="Z200" s="418"/>
      <c r="AA200" s="418"/>
      <c r="AB200" s="429"/>
    </row>
    <row r="201" spans="1:28">
      <c r="A201" s="418"/>
      <c r="B201" s="418"/>
      <c r="C201" s="418"/>
      <c r="D201" s="520"/>
      <c r="E201" s="520"/>
      <c r="F201" s="520"/>
      <c r="G201" s="520"/>
      <c r="H201" s="418"/>
      <c r="I201" s="423"/>
      <c r="J201" s="523"/>
      <c r="K201" s="424"/>
      <c r="L201" s="424"/>
      <c r="M201" s="418"/>
      <c r="N201" s="518"/>
      <c r="O201" s="423"/>
      <c r="P201" s="427"/>
      <c r="Q201" s="423"/>
      <c r="R201" s="523"/>
      <c r="S201" s="424"/>
      <c r="T201" s="424"/>
      <c r="U201" s="418"/>
      <c r="V201" s="428"/>
      <c r="W201" s="418"/>
      <c r="X201" s="418"/>
      <c r="Y201" s="524"/>
      <c r="Z201" s="418"/>
      <c r="AA201" s="418"/>
      <c r="AB201" s="429"/>
    </row>
    <row r="202" spans="1:28">
      <c r="A202" s="418"/>
      <c r="B202" s="418"/>
      <c r="C202" s="418"/>
      <c r="D202" s="520"/>
      <c r="E202" s="520"/>
      <c r="F202" s="520"/>
      <c r="G202" s="520"/>
      <c r="H202" s="418"/>
      <c r="I202" s="423"/>
      <c r="J202" s="523"/>
      <c r="K202" s="424"/>
      <c r="L202" s="424"/>
      <c r="M202" s="418"/>
      <c r="N202" s="518"/>
      <c r="O202" s="423"/>
      <c r="P202" s="427"/>
      <c r="Q202" s="423"/>
      <c r="R202" s="523"/>
      <c r="S202" s="424"/>
      <c r="T202" s="424"/>
      <c r="U202" s="418"/>
      <c r="V202" s="428"/>
      <c r="W202" s="418"/>
      <c r="X202" s="418"/>
      <c r="Y202" s="524"/>
      <c r="Z202" s="418"/>
      <c r="AA202" s="418"/>
      <c r="AB202" s="429"/>
    </row>
    <row r="203" spans="1:28">
      <c r="A203" s="418"/>
      <c r="B203" s="418"/>
      <c r="C203" s="418"/>
      <c r="D203" s="520"/>
      <c r="E203" s="520"/>
      <c r="F203" s="520"/>
      <c r="G203" s="520"/>
      <c r="H203" s="418"/>
      <c r="I203" s="423"/>
      <c r="J203" s="523"/>
      <c r="K203" s="424"/>
      <c r="L203" s="424"/>
      <c r="M203" s="418"/>
      <c r="N203" s="518"/>
      <c r="O203" s="423"/>
      <c r="P203" s="427"/>
      <c r="Q203" s="423"/>
      <c r="R203" s="523"/>
      <c r="S203" s="424"/>
      <c r="T203" s="424"/>
      <c r="U203" s="418"/>
      <c r="V203" s="428"/>
      <c r="W203" s="418"/>
      <c r="X203" s="418"/>
      <c r="Y203" s="524"/>
      <c r="Z203" s="418"/>
      <c r="AA203" s="418"/>
      <c r="AB203" s="429"/>
    </row>
    <row r="204" spans="1:28">
      <c r="A204" s="418"/>
      <c r="B204" s="418"/>
      <c r="C204" s="418"/>
      <c r="D204" s="520"/>
      <c r="E204" s="520"/>
      <c r="F204" s="520"/>
      <c r="G204" s="520"/>
      <c r="H204" s="418"/>
      <c r="I204" s="423"/>
      <c r="J204" s="523"/>
      <c r="K204" s="424"/>
      <c r="L204" s="424"/>
      <c r="M204" s="418"/>
      <c r="N204" s="518"/>
      <c r="O204" s="423"/>
      <c r="P204" s="427"/>
      <c r="Q204" s="423"/>
      <c r="R204" s="523"/>
      <c r="S204" s="424"/>
      <c r="T204" s="424"/>
      <c r="U204" s="418"/>
      <c r="V204" s="428"/>
      <c r="W204" s="418"/>
      <c r="X204" s="418"/>
      <c r="Y204" s="524"/>
      <c r="Z204" s="418"/>
      <c r="AA204" s="418"/>
      <c r="AB204" s="429"/>
    </row>
    <row r="205" spans="1:28">
      <c r="A205" s="418"/>
      <c r="B205" s="418"/>
      <c r="C205" s="418"/>
      <c r="D205" s="520"/>
      <c r="E205" s="520"/>
      <c r="F205" s="520"/>
      <c r="G205" s="520"/>
      <c r="H205" s="418"/>
      <c r="I205" s="423"/>
      <c r="J205" s="523"/>
      <c r="K205" s="424"/>
      <c r="L205" s="424"/>
      <c r="M205" s="418"/>
      <c r="N205" s="518"/>
      <c r="O205" s="423"/>
      <c r="P205" s="427"/>
      <c r="Q205" s="423"/>
      <c r="R205" s="523"/>
      <c r="S205" s="424"/>
      <c r="T205" s="424"/>
      <c r="U205" s="418"/>
      <c r="V205" s="428"/>
      <c r="W205" s="418"/>
      <c r="X205" s="418"/>
      <c r="Y205" s="524"/>
      <c r="Z205" s="418"/>
      <c r="AA205" s="418"/>
      <c r="AB205" s="429"/>
    </row>
    <row r="206" spans="1:28">
      <c r="A206" s="418"/>
      <c r="B206" s="418"/>
      <c r="C206" s="418"/>
      <c r="D206" s="520"/>
      <c r="E206" s="520"/>
      <c r="F206" s="520"/>
      <c r="G206" s="520"/>
      <c r="H206" s="418"/>
      <c r="I206" s="423"/>
      <c r="J206" s="523"/>
      <c r="K206" s="424"/>
      <c r="L206" s="424"/>
      <c r="M206" s="418"/>
      <c r="N206" s="518"/>
      <c r="O206" s="423"/>
      <c r="P206" s="427"/>
      <c r="Q206" s="423"/>
      <c r="R206" s="523"/>
      <c r="S206" s="424"/>
      <c r="T206" s="424"/>
      <c r="U206" s="418"/>
      <c r="V206" s="428"/>
      <c r="W206" s="418"/>
      <c r="X206" s="418"/>
      <c r="Y206" s="524"/>
      <c r="Z206" s="418"/>
      <c r="AA206" s="418"/>
      <c r="AB206" s="429"/>
    </row>
    <row r="207" spans="1:28">
      <c r="A207" s="418"/>
      <c r="B207" s="418"/>
      <c r="C207" s="418"/>
      <c r="D207" s="520"/>
      <c r="E207" s="520"/>
      <c r="F207" s="520"/>
      <c r="G207" s="520"/>
      <c r="H207" s="418"/>
      <c r="I207" s="423"/>
      <c r="J207" s="523"/>
      <c r="K207" s="424"/>
      <c r="L207" s="424"/>
      <c r="M207" s="418"/>
      <c r="N207" s="518"/>
      <c r="O207" s="423"/>
      <c r="P207" s="427"/>
      <c r="Q207" s="423"/>
      <c r="R207" s="523"/>
      <c r="S207" s="424"/>
      <c r="T207" s="424"/>
      <c r="U207" s="418"/>
      <c r="V207" s="428"/>
      <c r="W207" s="418"/>
      <c r="X207" s="418"/>
      <c r="Y207" s="524"/>
      <c r="Z207" s="418"/>
      <c r="AA207" s="418"/>
      <c r="AB207" s="429"/>
    </row>
    <row r="208" spans="1:28">
      <c r="A208" s="418"/>
      <c r="B208" s="418"/>
      <c r="C208" s="418"/>
      <c r="D208" s="520"/>
      <c r="E208" s="520"/>
      <c r="F208" s="520"/>
      <c r="G208" s="520"/>
      <c r="H208" s="418"/>
      <c r="I208" s="423"/>
      <c r="J208" s="523"/>
      <c r="K208" s="424"/>
      <c r="L208" s="424"/>
      <c r="M208" s="418"/>
      <c r="N208" s="518"/>
      <c r="O208" s="423"/>
      <c r="P208" s="427"/>
      <c r="Q208" s="423"/>
      <c r="R208" s="523"/>
      <c r="S208" s="424"/>
      <c r="T208" s="424"/>
      <c r="U208" s="418"/>
      <c r="V208" s="428"/>
      <c r="W208" s="418"/>
      <c r="X208" s="418"/>
      <c r="Y208" s="524"/>
      <c r="Z208" s="418"/>
      <c r="AA208" s="418"/>
      <c r="AB208" s="429"/>
    </row>
    <row r="209" spans="1:28">
      <c r="A209" s="418"/>
      <c r="B209" s="418"/>
      <c r="C209" s="418"/>
      <c r="D209" s="520"/>
      <c r="E209" s="520"/>
      <c r="F209" s="520"/>
      <c r="G209" s="520"/>
      <c r="H209" s="418"/>
      <c r="I209" s="423"/>
      <c r="J209" s="523"/>
      <c r="K209" s="424"/>
      <c r="L209" s="424"/>
      <c r="M209" s="418"/>
      <c r="N209" s="518"/>
      <c r="O209" s="423"/>
      <c r="P209" s="427"/>
      <c r="Q209" s="423"/>
      <c r="R209" s="523"/>
      <c r="S209" s="424"/>
      <c r="T209" s="424"/>
      <c r="U209" s="418"/>
      <c r="V209" s="428"/>
      <c r="W209" s="418"/>
      <c r="X209" s="418"/>
      <c r="Y209" s="524"/>
      <c r="Z209" s="418"/>
      <c r="AA209" s="418"/>
      <c r="AB209" s="429"/>
    </row>
    <row r="210" spans="1:28">
      <c r="A210" s="418"/>
      <c r="B210" s="418"/>
      <c r="C210" s="418"/>
      <c r="D210" s="520"/>
      <c r="E210" s="520"/>
      <c r="F210" s="520"/>
      <c r="G210" s="520"/>
      <c r="H210" s="418"/>
      <c r="I210" s="423"/>
      <c r="J210" s="523"/>
      <c r="K210" s="424"/>
      <c r="L210" s="424"/>
      <c r="M210" s="418"/>
      <c r="N210" s="518"/>
      <c r="O210" s="423"/>
      <c r="P210" s="427"/>
      <c r="Q210" s="423"/>
      <c r="R210" s="523"/>
      <c r="S210" s="424"/>
      <c r="T210" s="424"/>
      <c r="U210" s="418"/>
      <c r="V210" s="428"/>
      <c r="W210" s="418"/>
      <c r="X210" s="418"/>
      <c r="Y210" s="524"/>
      <c r="Z210" s="418"/>
      <c r="AA210" s="418"/>
      <c r="AB210" s="429"/>
    </row>
    <row r="211" spans="1:28">
      <c r="A211" s="418"/>
      <c r="B211" s="418"/>
      <c r="C211" s="418"/>
      <c r="D211" s="520"/>
      <c r="E211" s="520"/>
      <c r="F211" s="520"/>
      <c r="G211" s="520"/>
      <c r="H211" s="418"/>
      <c r="I211" s="423"/>
      <c r="J211" s="523"/>
      <c r="K211" s="424"/>
      <c r="L211" s="424"/>
      <c r="M211" s="418"/>
      <c r="N211" s="518"/>
      <c r="O211" s="423"/>
      <c r="P211" s="427"/>
      <c r="Q211" s="423"/>
      <c r="R211" s="523"/>
      <c r="S211" s="424"/>
      <c r="T211" s="424"/>
      <c r="U211" s="418"/>
      <c r="V211" s="428"/>
      <c r="W211" s="418"/>
      <c r="X211" s="418"/>
      <c r="Y211" s="524"/>
      <c r="Z211" s="418"/>
      <c r="AA211" s="418"/>
      <c r="AB211" s="429"/>
    </row>
    <row r="212" spans="1:28">
      <c r="A212" s="418"/>
      <c r="B212" s="418"/>
      <c r="C212" s="418"/>
      <c r="D212" s="520"/>
      <c r="E212" s="520"/>
      <c r="F212" s="520"/>
      <c r="G212" s="520"/>
      <c r="H212" s="418"/>
      <c r="I212" s="423"/>
      <c r="J212" s="523"/>
      <c r="K212" s="424"/>
      <c r="L212" s="424"/>
      <c r="M212" s="418"/>
      <c r="N212" s="518"/>
      <c r="O212" s="423"/>
      <c r="P212" s="427"/>
      <c r="Q212" s="423"/>
      <c r="R212" s="523"/>
      <c r="S212" s="424"/>
      <c r="T212" s="424"/>
      <c r="U212" s="418"/>
      <c r="V212" s="428"/>
      <c r="W212" s="418"/>
      <c r="X212" s="418"/>
      <c r="Y212" s="524"/>
      <c r="Z212" s="418"/>
      <c r="AA212" s="418"/>
      <c r="AB212" s="429"/>
    </row>
    <row r="213" spans="1:28">
      <c r="A213" s="418"/>
      <c r="B213" s="418"/>
      <c r="C213" s="418"/>
      <c r="D213" s="520"/>
      <c r="E213" s="520"/>
      <c r="F213" s="520"/>
      <c r="G213" s="520"/>
      <c r="H213" s="418"/>
      <c r="I213" s="423"/>
      <c r="J213" s="523"/>
      <c r="K213" s="424"/>
      <c r="L213" s="424"/>
      <c r="M213" s="418"/>
      <c r="N213" s="518"/>
      <c r="O213" s="423"/>
      <c r="P213" s="427"/>
      <c r="Q213" s="423"/>
      <c r="R213" s="523"/>
      <c r="S213" s="424"/>
      <c r="T213" s="424"/>
      <c r="U213" s="418"/>
      <c r="V213" s="428"/>
      <c r="W213" s="418"/>
      <c r="X213" s="418"/>
      <c r="Y213" s="524"/>
      <c r="Z213" s="418"/>
      <c r="AA213" s="418"/>
      <c r="AB213" s="429"/>
    </row>
    <row r="214" spans="1:28">
      <c r="A214" s="418"/>
      <c r="B214" s="418"/>
      <c r="C214" s="418"/>
      <c r="D214" s="520"/>
      <c r="E214" s="520"/>
      <c r="F214" s="520"/>
      <c r="G214" s="520"/>
      <c r="H214" s="418"/>
      <c r="I214" s="423"/>
      <c r="J214" s="523"/>
      <c r="K214" s="424"/>
      <c r="L214" s="424"/>
      <c r="M214" s="418"/>
      <c r="N214" s="518"/>
      <c r="O214" s="423"/>
      <c r="P214" s="427"/>
      <c r="Q214" s="423"/>
      <c r="R214" s="523"/>
      <c r="S214" s="424"/>
      <c r="T214" s="424"/>
      <c r="U214" s="418"/>
      <c r="V214" s="428"/>
      <c r="W214" s="418"/>
      <c r="X214" s="418"/>
      <c r="Y214" s="524"/>
      <c r="Z214" s="418"/>
      <c r="AA214" s="418"/>
      <c r="AB214" s="429"/>
    </row>
    <row r="215" spans="1:28">
      <c r="A215" s="418"/>
      <c r="B215" s="418"/>
      <c r="C215" s="418"/>
      <c r="D215" s="520"/>
      <c r="E215" s="520"/>
      <c r="F215" s="520"/>
      <c r="G215" s="520"/>
      <c r="H215" s="418"/>
      <c r="I215" s="423"/>
      <c r="J215" s="523"/>
      <c r="K215" s="424"/>
      <c r="L215" s="424"/>
      <c r="M215" s="418"/>
      <c r="N215" s="518"/>
      <c r="O215" s="423"/>
      <c r="P215" s="427"/>
      <c r="Q215" s="423"/>
      <c r="R215" s="523"/>
      <c r="S215" s="424"/>
      <c r="T215" s="424"/>
      <c r="U215" s="418"/>
      <c r="V215" s="428"/>
      <c r="W215" s="418"/>
      <c r="X215" s="418"/>
      <c r="Y215" s="524"/>
      <c r="Z215" s="418"/>
      <c r="AA215" s="418"/>
      <c r="AB215" s="429"/>
    </row>
    <row r="216" spans="1:28">
      <c r="A216" s="418"/>
      <c r="B216" s="418"/>
      <c r="C216" s="418"/>
      <c r="D216" s="520"/>
      <c r="E216" s="520"/>
      <c r="F216" s="520"/>
      <c r="G216" s="520"/>
      <c r="H216" s="418"/>
      <c r="I216" s="423"/>
      <c r="J216" s="523"/>
      <c r="K216" s="424"/>
      <c r="L216" s="424"/>
      <c r="M216" s="418"/>
      <c r="N216" s="518"/>
      <c r="O216" s="423"/>
      <c r="P216" s="427"/>
      <c r="Q216" s="423"/>
      <c r="R216" s="523"/>
      <c r="S216" s="424"/>
      <c r="T216" s="424"/>
      <c r="U216" s="418"/>
      <c r="V216" s="428"/>
      <c r="W216" s="418"/>
      <c r="X216" s="418"/>
      <c r="Y216" s="524"/>
      <c r="Z216" s="418"/>
      <c r="AA216" s="418"/>
      <c r="AB216" s="429"/>
    </row>
    <row r="217" spans="1:28">
      <c r="A217" s="418"/>
      <c r="B217" s="418"/>
      <c r="C217" s="418"/>
      <c r="D217" s="520"/>
      <c r="E217" s="520"/>
      <c r="F217" s="520"/>
      <c r="G217" s="520"/>
      <c r="H217" s="418"/>
      <c r="I217" s="423"/>
      <c r="J217" s="523"/>
      <c r="K217" s="424"/>
      <c r="L217" s="424"/>
      <c r="M217" s="418"/>
      <c r="N217" s="518"/>
      <c r="O217" s="423"/>
      <c r="P217" s="427"/>
      <c r="Q217" s="423"/>
      <c r="R217" s="523"/>
      <c r="S217" s="424"/>
      <c r="T217" s="424"/>
      <c r="U217" s="418"/>
      <c r="V217" s="428"/>
      <c r="W217" s="418"/>
      <c r="X217" s="418"/>
      <c r="Y217" s="524"/>
      <c r="Z217" s="418"/>
      <c r="AA217" s="418"/>
      <c r="AB217" s="429"/>
    </row>
    <row r="218" spans="1:28">
      <c r="A218" s="418"/>
      <c r="B218" s="418"/>
      <c r="C218" s="418"/>
      <c r="D218" s="520"/>
      <c r="E218" s="520"/>
      <c r="F218" s="520"/>
      <c r="G218" s="520"/>
      <c r="H218" s="418"/>
      <c r="I218" s="423"/>
      <c r="J218" s="523"/>
      <c r="K218" s="424"/>
      <c r="L218" s="424"/>
      <c r="M218" s="418"/>
      <c r="N218" s="518"/>
      <c r="O218" s="423"/>
      <c r="P218" s="427"/>
      <c r="Q218" s="423"/>
      <c r="R218" s="523"/>
      <c r="S218" s="424"/>
      <c r="T218" s="424"/>
      <c r="U218" s="418"/>
      <c r="V218" s="428"/>
      <c r="W218" s="418"/>
      <c r="X218" s="418"/>
      <c r="Y218" s="524"/>
      <c r="Z218" s="418"/>
      <c r="AA218" s="418"/>
      <c r="AB218" s="429"/>
    </row>
    <row r="219" spans="1:28">
      <c r="A219" s="418"/>
      <c r="B219" s="418"/>
      <c r="C219" s="418"/>
      <c r="D219" s="520"/>
      <c r="E219" s="520"/>
      <c r="F219" s="520"/>
      <c r="G219" s="520"/>
      <c r="H219" s="418"/>
      <c r="I219" s="423"/>
      <c r="J219" s="523"/>
      <c r="K219" s="424"/>
      <c r="L219" s="424"/>
      <c r="M219" s="418"/>
      <c r="N219" s="518"/>
      <c r="O219" s="423"/>
      <c r="P219" s="427"/>
      <c r="Q219" s="423"/>
      <c r="R219" s="523"/>
      <c r="S219" s="424"/>
      <c r="T219" s="424"/>
      <c r="U219" s="418"/>
      <c r="V219" s="428"/>
      <c r="W219" s="418"/>
      <c r="X219" s="418"/>
      <c r="Y219" s="524"/>
      <c r="Z219" s="418"/>
      <c r="AA219" s="418"/>
      <c r="AB219" s="429"/>
    </row>
    <row r="220" spans="1:28">
      <c r="A220" s="418"/>
      <c r="B220" s="418"/>
      <c r="C220" s="418"/>
      <c r="D220" s="520"/>
      <c r="E220" s="520"/>
      <c r="F220" s="520"/>
      <c r="G220" s="520"/>
      <c r="H220" s="418"/>
      <c r="I220" s="423"/>
      <c r="J220" s="523"/>
      <c r="K220" s="424"/>
      <c r="L220" s="424"/>
      <c r="M220" s="418"/>
      <c r="N220" s="518"/>
      <c r="O220" s="423"/>
      <c r="P220" s="427"/>
      <c r="Q220" s="423"/>
      <c r="R220" s="523"/>
      <c r="S220" s="424"/>
      <c r="T220" s="424"/>
      <c r="U220" s="418"/>
      <c r="V220" s="428"/>
      <c r="W220" s="418"/>
      <c r="X220" s="418"/>
      <c r="Y220" s="524"/>
      <c r="Z220" s="418"/>
      <c r="AA220" s="418"/>
      <c r="AB220" s="429"/>
    </row>
    <row r="221" spans="1:28">
      <c r="A221" s="418"/>
      <c r="B221" s="418"/>
      <c r="C221" s="418"/>
      <c r="D221" s="520"/>
      <c r="E221" s="520"/>
      <c r="F221" s="520"/>
      <c r="G221" s="520"/>
      <c r="H221" s="418"/>
      <c r="I221" s="423"/>
      <c r="J221" s="523"/>
      <c r="K221" s="424"/>
      <c r="L221" s="424"/>
      <c r="M221" s="418"/>
      <c r="N221" s="518"/>
      <c r="O221" s="423"/>
      <c r="P221" s="427"/>
      <c r="Q221" s="423"/>
      <c r="R221" s="523"/>
      <c r="S221" s="424"/>
      <c r="T221" s="424"/>
      <c r="U221" s="418"/>
      <c r="V221" s="428"/>
      <c r="W221" s="418"/>
      <c r="X221" s="418"/>
      <c r="Y221" s="524"/>
      <c r="Z221" s="418"/>
      <c r="AA221" s="418"/>
      <c r="AB221" s="429"/>
    </row>
    <row r="222" spans="1:28">
      <c r="A222" s="418"/>
      <c r="B222" s="418"/>
      <c r="C222" s="418"/>
      <c r="D222" s="520"/>
      <c r="E222" s="520"/>
      <c r="F222" s="520"/>
      <c r="G222" s="520"/>
      <c r="H222" s="418"/>
      <c r="I222" s="423"/>
      <c r="J222" s="523"/>
      <c r="K222" s="424"/>
      <c r="L222" s="424"/>
      <c r="M222" s="418"/>
      <c r="N222" s="518"/>
      <c r="O222" s="423"/>
      <c r="P222" s="427"/>
      <c r="Q222" s="423"/>
      <c r="R222" s="523"/>
      <c r="S222" s="424"/>
      <c r="T222" s="424"/>
      <c r="U222" s="418"/>
      <c r="V222" s="428"/>
      <c r="W222" s="418"/>
      <c r="X222" s="418"/>
      <c r="Y222" s="524"/>
      <c r="Z222" s="418"/>
      <c r="AA222" s="418"/>
      <c r="AB222" s="429"/>
    </row>
    <row r="223" spans="1:28">
      <c r="A223" s="418"/>
      <c r="B223" s="418"/>
      <c r="C223" s="418"/>
      <c r="D223" s="520"/>
      <c r="E223" s="520"/>
      <c r="F223" s="520"/>
      <c r="G223" s="520"/>
      <c r="H223" s="418"/>
      <c r="I223" s="423"/>
      <c r="J223" s="523"/>
      <c r="K223" s="424"/>
      <c r="L223" s="424"/>
      <c r="M223" s="418"/>
      <c r="N223" s="518"/>
      <c r="O223" s="423"/>
      <c r="P223" s="427"/>
      <c r="Q223" s="423"/>
      <c r="R223" s="523"/>
      <c r="S223" s="424"/>
      <c r="T223" s="424"/>
      <c r="U223" s="418"/>
      <c r="V223" s="428"/>
      <c r="W223" s="418"/>
      <c r="X223" s="418"/>
      <c r="Y223" s="524"/>
      <c r="Z223" s="418"/>
      <c r="AA223" s="418"/>
      <c r="AB223" s="429"/>
    </row>
    <row r="224" spans="1:28">
      <c r="A224" s="418"/>
      <c r="B224" s="418"/>
      <c r="C224" s="418"/>
      <c r="D224" s="520"/>
      <c r="E224" s="520"/>
      <c r="F224" s="520"/>
      <c r="G224" s="520"/>
      <c r="H224" s="418"/>
      <c r="I224" s="423"/>
      <c r="J224" s="523"/>
      <c r="K224" s="424"/>
      <c r="L224" s="424"/>
      <c r="M224" s="418"/>
      <c r="N224" s="518"/>
      <c r="O224" s="423"/>
      <c r="P224" s="427"/>
      <c r="Q224" s="423"/>
      <c r="R224" s="523"/>
      <c r="S224" s="424"/>
      <c r="T224" s="424"/>
      <c r="U224" s="418"/>
      <c r="V224" s="428"/>
      <c r="W224" s="418"/>
      <c r="X224" s="418"/>
      <c r="Y224" s="524"/>
      <c r="Z224" s="418"/>
      <c r="AA224" s="418"/>
      <c r="AB224" s="429"/>
    </row>
    <row r="225" spans="1:28">
      <c r="A225" s="418"/>
      <c r="B225" s="418"/>
      <c r="C225" s="418"/>
      <c r="D225" s="520"/>
      <c r="E225" s="520"/>
      <c r="F225" s="520"/>
      <c r="G225" s="520"/>
      <c r="H225" s="418"/>
      <c r="I225" s="423"/>
      <c r="J225" s="523"/>
      <c r="K225" s="424"/>
      <c r="L225" s="424"/>
      <c r="M225" s="418"/>
      <c r="N225" s="518"/>
      <c r="O225" s="423"/>
      <c r="P225" s="427"/>
      <c r="Q225" s="423"/>
      <c r="R225" s="523"/>
      <c r="S225" s="424"/>
      <c r="T225" s="424"/>
      <c r="U225" s="418"/>
      <c r="V225" s="428"/>
      <c r="W225" s="418"/>
      <c r="X225" s="418"/>
      <c r="Y225" s="524"/>
      <c r="Z225" s="418"/>
      <c r="AA225" s="418"/>
      <c r="AB225" s="429"/>
    </row>
    <row r="226" spans="1:28">
      <c r="A226" s="418"/>
      <c r="B226" s="418"/>
      <c r="C226" s="418"/>
      <c r="D226" s="520"/>
      <c r="E226" s="520"/>
      <c r="F226" s="520"/>
      <c r="G226" s="520"/>
      <c r="H226" s="418"/>
      <c r="I226" s="423"/>
      <c r="J226" s="523"/>
      <c r="K226" s="424"/>
      <c r="L226" s="424"/>
      <c r="M226" s="418"/>
      <c r="N226" s="518"/>
      <c r="O226" s="423"/>
      <c r="P226" s="427"/>
      <c r="Q226" s="423"/>
      <c r="R226" s="523"/>
      <c r="S226" s="424"/>
      <c r="T226" s="424"/>
      <c r="U226" s="418"/>
      <c r="V226" s="428"/>
      <c r="W226" s="418"/>
      <c r="X226" s="418"/>
      <c r="Y226" s="524"/>
      <c r="Z226" s="418"/>
      <c r="AA226" s="418"/>
      <c r="AB226" s="429"/>
    </row>
    <row r="227" spans="1:28">
      <c r="A227" s="418"/>
      <c r="B227" s="418"/>
      <c r="C227" s="418"/>
      <c r="D227" s="520"/>
      <c r="E227" s="520"/>
      <c r="F227" s="520"/>
      <c r="G227" s="520"/>
      <c r="H227" s="418"/>
      <c r="I227" s="423"/>
      <c r="J227" s="523"/>
      <c r="K227" s="424"/>
      <c r="L227" s="424"/>
      <c r="M227" s="418"/>
      <c r="N227" s="518"/>
      <c r="O227" s="423"/>
      <c r="P227" s="427"/>
      <c r="Q227" s="423"/>
      <c r="R227" s="523"/>
      <c r="S227" s="424"/>
      <c r="T227" s="424"/>
      <c r="U227" s="418"/>
      <c r="V227" s="428"/>
      <c r="W227" s="418"/>
      <c r="X227" s="418"/>
      <c r="Y227" s="524"/>
      <c r="Z227" s="418"/>
      <c r="AA227" s="418"/>
      <c r="AB227" s="429"/>
    </row>
    <row r="228" spans="1:28">
      <c r="A228" s="418"/>
      <c r="B228" s="418"/>
      <c r="C228" s="418"/>
      <c r="D228" s="520"/>
      <c r="E228" s="520"/>
      <c r="F228" s="520"/>
      <c r="G228" s="520"/>
      <c r="H228" s="418"/>
      <c r="I228" s="423"/>
      <c r="J228" s="523"/>
      <c r="K228" s="424"/>
      <c r="L228" s="424"/>
      <c r="M228" s="418"/>
      <c r="N228" s="518"/>
      <c r="O228" s="423"/>
      <c r="P228" s="427"/>
      <c r="Q228" s="423"/>
      <c r="R228" s="523"/>
      <c r="S228" s="424"/>
      <c r="T228" s="424"/>
      <c r="U228" s="418"/>
      <c r="V228" s="428"/>
      <c r="W228" s="418"/>
      <c r="X228" s="418"/>
      <c r="Y228" s="524"/>
      <c r="Z228" s="418"/>
      <c r="AA228" s="418"/>
      <c r="AB228" s="429"/>
    </row>
    <row r="229" spans="1:28">
      <c r="A229" s="418"/>
      <c r="B229" s="418"/>
      <c r="C229" s="418"/>
      <c r="D229" s="520"/>
      <c r="E229" s="520"/>
      <c r="F229" s="520"/>
      <c r="G229" s="520"/>
      <c r="H229" s="418"/>
      <c r="I229" s="423"/>
      <c r="J229" s="523"/>
      <c r="K229" s="424"/>
      <c r="L229" s="424"/>
      <c r="M229" s="418"/>
      <c r="N229" s="518"/>
      <c r="O229" s="423"/>
      <c r="P229" s="427"/>
      <c r="Q229" s="423"/>
      <c r="R229" s="523"/>
      <c r="S229" s="424"/>
      <c r="T229" s="424"/>
      <c r="U229" s="418"/>
      <c r="V229" s="428"/>
      <c r="W229" s="418"/>
      <c r="X229" s="418"/>
      <c r="Y229" s="524"/>
      <c r="Z229" s="418"/>
      <c r="AA229" s="418"/>
      <c r="AB229" s="429"/>
    </row>
    <row r="230" spans="1:28">
      <c r="A230" s="418"/>
      <c r="B230" s="418"/>
      <c r="C230" s="418"/>
      <c r="D230" s="520"/>
      <c r="E230" s="520"/>
      <c r="F230" s="520"/>
      <c r="G230" s="520"/>
      <c r="H230" s="418"/>
      <c r="I230" s="423"/>
      <c r="J230" s="523"/>
      <c r="K230" s="424"/>
      <c r="L230" s="424"/>
      <c r="M230" s="418"/>
      <c r="N230" s="518"/>
      <c r="O230" s="423"/>
      <c r="P230" s="427"/>
      <c r="Q230" s="423"/>
      <c r="R230" s="523"/>
      <c r="S230" s="424"/>
      <c r="T230" s="424"/>
      <c r="U230" s="418"/>
      <c r="V230" s="428"/>
      <c r="W230" s="418"/>
      <c r="X230" s="418"/>
      <c r="Y230" s="524"/>
      <c r="Z230" s="418"/>
      <c r="AA230" s="418"/>
      <c r="AB230" s="429"/>
    </row>
    <row r="231" spans="1:28">
      <c r="A231" s="418"/>
      <c r="B231" s="418"/>
      <c r="C231" s="418"/>
      <c r="D231" s="520"/>
      <c r="E231" s="520"/>
      <c r="F231" s="520"/>
      <c r="G231" s="520"/>
      <c r="H231" s="418"/>
      <c r="I231" s="423"/>
      <c r="J231" s="523"/>
      <c r="K231" s="424"/>
      <c r="L231" s="424"/>
      <c r="M231" s="418"/>
      <c r="N231" s="518"/>
      <c r="O231" s="423"/>
      <c r="P231" s="427"/>
      <c r="Q231" s="423"/>
      <c r="R231" s="523"/>
      <c r="S231" s="424"/>
      <c r="T231" s="424"/>
      <c r="U231" s="418"/>
      <c r="V231" s="428"/>
      <c r="W231" s="418"/>
      <c r="X231" s="418"/>
      <c r="Y231" s="524"/>
      <c r="Z231" s="418"/>
      <c r="AA231" s="418"/>
      <c r="AB231" s="429"/>
    </row>
    <row r="232" spans="1:28">
      <c r="A232" s="418"/>
      <c r="B232" s="418"/>
      <c r="C232" s="418"/>
      <c r="D232" s="520"/>
      <c r="E232" s="520"/>
      <c r="F232" s="520"/>
      <c r="G232" s="520"/>
      <c r="H232" s="418"/>
      <c r="I232" s="423"/>
      <c r="J232" s="523"/>
      <c r="K232" s="424"/>
      <c r="L232" s="424"/>
      <c r="M232" s="418"/>
      <c r="N232" s="518"/>
      <c r="O232" s="423"/>
      <c r="P232" s="427"/>
      <c r="Q232" s="423"/>
      <c r="R232" s="523"/>
      <c r="S232" s="424"/>
      <c r="T232" s="424"/>
      <c r="U232" s="418"/>
      <c r="V232" s="428"/>
      <c r="W232" s="418"/>
      <c r="X232" s="418"/>
      <c r="Y232" s="524"/>
      <c r="Z232" s="418"/>
      <c r="AA232" s="418"/>
      <c r="AB232" s="429"/>
    </row>
    <row r="233" spans="1:28">
      <c r="A233" s="418"/>
      <c r="B233" s="418"/>
      <c r="C233" s="418"/>
      <c r="D233" s="520"/>
      <c r="E233" s="520"/>
      <c r="F233" s="520"/>
      <c r="G233" s="520"/>
      <c r="H233" s="418"/>
      <c r="I233" s="423"/>
      <c r="J233" s="523"/>
      <c r="K233" s="424"/>
      <c r="L233" s="424"/>
      <c r="M233" s="418"/>
      <c r="N233" s="518"/>
      <c r="O233" s="423"/>
      <c r="P233" s="427"/>
      <c r="Q233" s="423"/>
      <c r="R233" s="523"/>
      <c r="S233" s="424"/>
      <c r="T233" s="424"/>
      <c r="U233" s="418"/>
      <c r="V233" s="428"/>
      <c r="W233" s="418"/>
      <c r="X233" s="418"/>
      <c r="Y233" s="524"/>
      <c r="Z233" s="418"/>
      <c r="AA233" s="418"/>
      <c r="AB233" s="429"/>
    </row>
    <row r="234" spans="1:28">
      <c r="A234" s="418"/>
      <c r="B234" s="418"/>
      <c r="C234" s="418"/>
      <c r="D234" s="520"/>
      <c r="E234" s="520"/>
      <c r="F234" s="520"/>
      <c r="G234" s="520"/>
      <c r="H234" s="418"/>
      <c r="I234" s="423"/>
      <c r="J234" s="523"/>
      <c r="K234" s="424"/>
      <c r="L234" s="424"/>
      <c r="M234" s="418"/>
      <c r="N234" s="518"/>
      <c r="O234" s="423"/>
      <c r="P234" s="427"/>
      <c r="Q234" s="423"/>
      <c r="R234" s="523"/>
      <c r="S234" s="424"/>
      <c r="T234" s="424"/>
      <c r="U234" s="418"/>
      <c r="V234" s="428"/>
      <c r="W234" s="418"/>
      <c r="X234" s="418"/>
      <c r="Y234" s="524"/>
      <c r="Z234" s="418"/>
      <c r="AA234" s="418"/>
      <c r="AB234" s="429"/>
    </row>
    <row r="235" spans="1:28">
      <c r="A235" s="418"/>
      <c r="B235" s="418"/>
      <c r="C235" s="418"/>
      <c r="D235" s="520"/>
      <c r="E235" s="520"/>
      <c r="F235" s="520"/>
      <c r="G235" s="520"/>
      <c r="H235" s="418"/>
      <c r="I235" s="423"/>
      <c r="J235" s="523"/>
      <c r="K235" s="424"/>
      <c r="L235" s="424"/>
      <c r="M235" s="418"/>
      <c r="N235" s="518"/>
      <c r="O235" s="423"/>
      <c r="P235" s="427"/>
      <c r="Q235" s="423"/>
      <c r="R235" s="523"/>
      <c r="S235" s="424"/>
      <c r="T235" s="424"/>
      <c r="U235" s="418"/>
      <c r="V235" s="428"/>
      <c r="W235" s="418"/>
      <c r="X235" s="418"/>
      <c r="Y235" s="524"/>
      <c r="Z235" s="418"/>
      <c r="AA235" s="418"/>
      <c r="AB235" s="429"/>
    </row>
    <row r="236" spans="1:28">
      <c r="A236" s="418"/>
      <c r="B236" s="418"/>
      <c r="C236" s="418"/>
      <c r="D236" s="520"/>
      <c r="E236" s="520"/>
      <c r="F236" s="520"/>
      <c r="G236" s="520"/>
      <c r="H236" s="418"/>
      <c r="I236" s="423"/>
      <c r="J236" s="523"/>
      <c r="K236" s="424"/>
      <c r="L236" s="424"/>
      <c r="M236" s="418"/>
      <c r="N236" s="518"/>
      <c r="O236" s="423"/>
      <c r="P236" s="427"/>
      <c r="Q236" s="423"/>
      <c r="R236" s="523"/>
      <c r="S236" s="424"/>
      <c r="T236" s="424"/>
      <c r="U236" s="418"/>
      <c r="V236" s="428"/>
      <c r="W236" s="418"/>
      <c r="X236" s="418"/>
      <c r="Y236" s="524"/>
      <c r="Z236" s="418"/>
      <c r="AA236" s="418"/>
      <c r="AB236" s="429"/>
    </row>
    <row r="237" spans="1:28">
      <c r="A237" s="418"/>
      <c r="B237" s="418"/>
      <c r="C237" s="418"/>
      <c r="D237" s="520"/>
      <c r="E237" s="520"/>
      <c r="F237" s="520"/>
      <c r="G237" s="520"/>
      <c r="H237" s="418"/>
      <c r="I237" s="423"/>
      <c r="J237" s="523"/>
      <c r="K237" s="424"/>
      <c r="L237" s="424"/>
      <c r="M237" s="418"/>
      <c r="N237" s="518"/>
      <c r="O237" s="423"/>
      <c r="P237" s="427"/>
      <c r="Q237" s="423"/>
      <c r="R237" s="523"/>
      <c r="S237" s="424"/>
      <c r="T237" s="424"/>
      <c r="U237" s="418"/>
      <c r="V237" s="428"/>
      <c r="W237" s="418"/>
      <c r="X237" s="418"/>
      <c r="Y237" s="524"/>
      <c r="Z237" s="418"/>
      <c r="AA237" s="418"/>
      <c r="AB237" s="429"/>
    </row>
    <row r="238" spans="1:28">
      <c r="A238" s="418"/>
      <c r="B238" s="418"/>
      <c r="C238" s="418"/>
      <c r="D238" s="520"/>
      <c r="E238" s="520"/>
      <c r="F238" s="520"/>
      <c r="G238" s="520"/>
      <c r="H238" s="418"/>
      <c r="I238" s="423"/>
      <c r="J238" s="523"/>
      <c r="K238" s="424"/>
      <c r="L238" s="424"/>
      <c r="M238" s="418"/>
      <c r="N238" s="518"/>
      <c r="O238" s="423"/>
      <c r="P238" s="427"/>
      <c r="Q238" s="423"/>
      <c r="R238" s="523"/>
      <c r="S238" s="424"/>
      <c r="T238" s="424"/>
      <c r="U238" s="418"/>
      <c r="V238" s="428"/>
      <c r="W238" s="418"/>
      <c r="X238" s="418"/>
      <c r="Y238" s="524"/>
      <c r="Z238" s="418"/>
      <c r="AA238" s="418"/>
      <c r="AB238" s="429"/>
    </row>
    <row r="239" spans="1:28">
      <c r="A239" s="418"/>
      <c r="B239" s="418"/>
      <c r="C239" s="418"/>
      <c r="D239" s="520"/>
      <c r="E239" s="520"/>
      <c r="F239" s="520"/>
      <c r="G239" s="520"/>
      <c r="H239" s="418"/>
      <c r="I239" s="423"/>
      <c r="J239" s="523"/>
      <c r="K239" s="424"/>
      <c r="L239" s="424"/>
      <c r="M239" s="418"/>
      <c r="N239" s="518"/>
      <c r="O239" s="423"/>
      <c r="P239" s="427"/>
      <c r="Q239" s="423"/>
      <c r="R239" s="523"/>
      <c r="S239" s="424"/>
      <c r="T239" s="424"/>
      <c r="U239" s="418"/>
      <c r="V239" s="428"/>
      <c r="W239" s="418"/>
      <c r="X239" s="418"/>
      <c r="Y239" s="524"/>
      <c r="Z239" s="418"/>
      <c r="AA239" s="418"/>
      <c r="AB239" s="429"/>
    </row>
    <row r="240" spans="1:28">
      <c r="A240" s="418"/>
      <c r="B240" s="418"/>
      <c r="C240" s="418"/>
      <c r="D240" s="520"/>
      <c r="E240" s="520"/>
      <c r="F240" s="520"/>
      <c r="G240" s="520"/>
      <c r="H240" s="418"/>
      <c r="I240" s="423"/>
      <c r="J240" s="523"/>
      <c r="K240" s="424"/>
      <c r="L240" s="424"/>
      <c r="M240" s="418"/>
      <c r="N240" s="518"/>
      <c r="O240" s="423"/>
      <c r="P240" s="427"/>
      <c r="Q240" s="423"/>
      <c r="R240" s="523"/>
      <c r="S240" s="424"/>
      <c r="T240" s="424"/>
      <c r="U240" s="418"/>
      <c r="V240" s="428"/>
      <c r="W240" s="418"/>
      <c r="X240" s="418"/>
      <c r="Y240" s="524"/>
      <c r="Z240" s="418"/>
      <c r="AA240" s="418"/>
      <c r="AB240" s="429"/>
    </row>
    <row r="241" spans="1:28">
      <c r="A241" s="418"/>
      <c r="B241" s="418"/>
      <c r="C241" s="418"/>
      <c r="D241" s="520"/>
      <c r="E241" s="520"/>
      <c r="F241" s="520"/>
      <c r="G241" s="520"/>
      <c r="H241" s="418"/>
      <c r="I241" s="423"/>
      <c r="J241" s="523"/>
      <c r="K241" s="424"/>
      <c r="L241" s="424"/>
      <c r="M241" s="418"/>
      <c r="N241" s="518"/>
      <c r="O241" s="423"/>
      <c r="P241" s="427"/>
      <c r="Q241" s="423"/>
      <c r="R241" s="523"/>
      <c r="S241" s="424"/>
      <c r="T241" s="424"/>
      <c r="U241" s="418"/>
      <c r="V241" s="428"/>
      <c r="W241" s="418"/>
      <c r="X241" s="418"/>
      <c r="Y241" s="524"/>
      <c r="Z241" s="418"/>
      <c r="AA241" s="418"/>
      <c r="AB241" s="429"/>
    </row>
    <row r="242" spans="1:28">
      <c r="A242" s="418"/>
      <c r="B242" s="418"/>
      <c r="C242" s="418"/>
      <c r="D242" s="520"/>
      <c r="E242" s="520"/>
      <c r="F242" s="520"/>
      <c r="G242" s="520"/>
      <c r="H242" s="418"/>
      <c r="I242" s="423"/>
      <c r="J242" s="523"/>
      <c r="K242" s="424"/>
      <c r="L242" s="424"/>
      <c r="M242" s="418"/>
      <c r="N242" s="518"/>
      <c r="O242" s="423"/>
      <c r="P242" s="427"/>
      <c r="Q242" s="423"/>
      <c r="R242" s="523"/>
      <c r="S242" s="424"/>
      <c r="T242" s="424"/>
      <c r="U242" s="418"/>
      <c r="V242" s="428"/>
      <c r="W242" s="418"/>
      <c r="X242" s="418"/>
      <c r="Y242" s="524"/>
      <c r="Z242" s="418"/>
      <c r="AA242" s="418"/>
      <c r="AB242" s="429"/>
    </row>
    <row r="243" spans="1:28">
      <c r="A243" s="418"/>
      <c r="B243" s="418"/>
      <c r="C243" s="418"/>
      <c r="D243" s="520"/>
      <c r="E243" s="520"/>
      <c r="F243" s="520"/>
      <c r="G243" s="520"/>
      <c r="H243" s="418"/>
      <c r="I243" s="423"/>
      <c r="J243" s="523"/>
      <c r="K243" s="424"/>
      <c r="L243" s="424"/>
      <c r="M243" s="418"/>
      <c r="N243" s="518"/>
      <c r="O243" s="423"/>
      <c r="P243" s="427"/>
      <c r="Q243" s="423"/>
      <c r="R243" s="523"/>
      <c r="S243" s="424"/>
      <c r="T243" s="424"/>
      <c r="U243" s="418"/>
      <c r="V243" s="428"/>
      <c r="W243" s="418"/>
      <c r="X243" s="418"/>
      <c r="Y243" s="524"/>
      <c r="Z243" s="418"/>
      <c r="AA243" s="418"/>
      <c r="AB243" s="429"/>
    </row>
    <row r="244" spans="1:28">
      <c r="A244" s="418"/>
      <c r="B244" s="418"/>
      <c r="C244" s="418"/>
      <c r="D244" s="520"/>
      <c r="E244" s="520"/>
      <c r="F244" s="520"/>
      <c r="G244" s="520"/>
      <c r="H244" s="418"/>
      <c r="I244" s="423"/>
      <c r="J244" s="523"/>
      <c r="K244" s="424"/>
      <c r="L244" s="424"/>
      <c r="M244" s="418"/>
      <c r="N244" s="518"/>
      <c r="O244" s="423"/>
      <c r="P244" s="427"/>
      <c r="Q244" s="423"/>
      <c r="R244" s="523"/>
      <c r="S244" s="424"/>
      <c r="T244" s="424"/>
      <c r="U244" s="418"/>
      <c r="V244" s="428"/>
      <c r="W244" s="418"/>
      <c r="X244" s="418"/>
      <c r="Y244" s="524"/>
      <c r="Z244" s="418"/>
      <c r="AA244" s="418"/>
      <c r="AB244" s="429"/>
    </row>
    <row r="245" spans="1:28">
      <c r="A245" s="418"/>
      <c r="B245" s="418"/>
      <c r="C245" s="418"/>
      <c r="D245" s="520"/>
      <c r="E245" s="520"/>
      <c r="F245" s="520"/>
      <c r="G245" s="520"/>
      <c r="H245" s="418"/>
      <c r="I245" s="423"/>
      <c r="J245" s="523"/>
      <c r="K245" s="424"/>
      <c r="L245" s="424"/>
      <c r="M245" s="418"/>
      <c r="N245" s="518"/>
      <c r="O245" s="423"/>
      <c r="P245" s="427"/>
      <c r="Q245" s="423"/>
      <c r="R245" s="523"/>
      <c r="S245" s="424"/>
      <c r="T245" s="424"/>
      <c r="U245" s="418"/>
      <c r="V245" s="428"/>
      <c r="W245" s="418"/>
      <c r="X245" s="418"/>
      <c r="Y245" s="524"/>
      <c r="Z245" s="418"/>
      <c r="AA245" s="418"/>
      <c r="AB245" s="429"/>
    </row>
    <row r="246" spans="1:28">
      <c r="A246" s="418"/>
      <c r="B246" s="418"/>
      <c r="C246" s="418"/>
      <c r="D246" s="520"/>
      <c r="E246" s="520"/>
      <c r="F246" s="520"/>
      <c r="G246" s="520"/>
      <c r="H246" s="418"/>
      <c r="I246" s="423"/>
      <c r="J246" s="523"/>
      <c r="K246" s="424"/>
      <c r="L246" s="424"/>
      <c r="M246" s="418"/>
      <c r="N246" s="518"/>
      <c r="O246" s="423"/>
      <c r="P246" s="427"/>
      <c r="Q246" s="423"/>
      <c r="R246" s="523"/>
      <c r="S246" s="424"/>
      <c r="T246" s="424"/>
      <c r="U246" s="418"/>
      <c r="V246" s="428"/>
      <c r="W246" s="418"/>
      <c r="X246" s="418"/>
      <c r="Y246" s="524"/>
      <c r="Z246" s="418"/>
      <c r="AA246" s="418"/>
      <c r="AB246" s="429"/>
    </row>
    <row r="247" spans="1:28">
      <c r="A247" s="418"/>
      <c r="B247" s="418"/>
      <c r="C247" s="418"/>
      <c r="D247" s="520"/>
      <c r="E247" s="520"/>
      <c r="F247" s="520"/>
      <c r="G247" s="520"/>
      <c r="H247" s="418"/>
      <c r="I247" s="423"/>
      <c r="J247" s="523"/>
      <c r="K247" s="424"/>
      <c r="L247" s="424"/>
      <c r="M247" s="418"/>
      <c r="N247" s="518"/>
      <c r="O247" s="423"/>
      <c r="P247" s="427"/>
      <c r="Q247" s="423"/>
      <c r="R247" s="523"/>
      <c r="S247" s="424"/>
      <c r="T247" s="424"/>
      <c r="U247" s="418"/>
      <c r="V247" s="428"/>
      <c r="W247" s="418"/>
      <c r="X247" s="418"/>
      <c r="Y247" s="524"/>
      <c r="Z247" s="418"/>
      <c r="AA247" s="418"/>
      <c r="AB247" s="429"/>
    </row>
    <row r="248" spans="1:28">
      <c r="A248" s="418"/>
      <c r="B248" s="418"/>
      <c r="C248" s="418"/>
      <c r="D248" s="520"/>
      <c r="E248" s="520"/>
      <c r="F248" s="520"/>
      <c r="G248" s="520"/>
      <c r="H248" s="418"/>
      <c r="I248" s="423"/>
      <c r="J248" s="523"/>
      <c r="K248" s="424"/>
      <c r="L248" s="424"/>
      <c r="M248" s="418"/>
      <c r="N248" s="518"/>
      <c r="O248" s="423"/>
      <c r="P248" s="427"/>
      <c r="Q248" s="423"/>
      <c r="R248" s="523"/>
      <c r="S248" s="424"/>
      <c r="T248" s="424"/>
      <c r="U248" s="418"/>
      <c r="V248" s="428"/>
      <c r="W248" s="418"/>
      <c r="X248" s="418"/>
      <c r="Y248" s="524"/>
      <c r="Z248" s="418"/>
      <c r="AA248" s="418"/>
      <c r="AB248" s="429"/>
    </row>
    <row r="249" spans="1:28">
      <c r="A249" s="418"/>
      <c r="B249" s="418"/>
      <c r="C249" s="418"/>
      <c r="D249" s="520"/>
      <c r="E249" s="520"/>
      <c r="F249" s="520"/>
      <c r="G249" s="520"/>
      <c r="H249" s="418"/>
      <c r="I249" s="423"/>
      <c r="J249" s="523"/>
      <c r="K249" s="424"/>
      <c r="L249" s="424"/>
      <c r="M249" s="418"/>
      <c r="N249" s="518"/>
      <c r="O249" s="423"/>
      <c r="P249" s="427"/>
      <c r="Q249" s="423"/>
      <c r="R249" s="523"/>
      <c r="S249" s="424"/>
      <c r="T249" s="424"/>
      <c r="U249" s="418"/>
      <c r="V249" s="428"/>
      <c r="W249" s="418"/>
      <c r="X249" s="418"/>
      <c r="Y249" s="524"/>
      <c r="Z249" s="418"/>
      <c r="AA249" s="418"/>
      <c r="AB249" s="429"/>
    </row>
    <row r="250" spans="1:28">
      <c r="A250" s="418"/>
      <c r="B250" s="418"/>
      <c r="C250" s="418"/>
      <c r="D250" s="520"/>
      <c r="E250" s="520"/>
      <c r="F250" s="520"/>
      <c r="G250" s="520"/>
      <c r="H250" s="418"/>
      <c r="I250" s="423"/>
      <c r="J250" s="523"/>
      <c r="K250" s="424"/>
      <c r="L250" s="424"/>
      <c r="M250" s="418"/>
      <c r="N250" s="518"/>
      <c r="O250" s="423"/>
      <c r="P250" s="427"/>
      <c r="Q250" s="423"/>
      <c r="R250" s="523"/>
      <c r="S250" s="424"/>
      <c r="T250" s="424"/>
      <c r="U250" s="418"/>
      <c r="V250" s="428"/>
      <c r="W250" s="418"/>
      <c r="X250" s="418"/>
      <c r="Y250" s="524"/>
      <c r="Z250" s="418"/>
      <c r="AA250" s="418"/>
      <c r="AB250" s="429"/>
    </row>
    <row r="251" spans="1:28">
      <c r="A251" s="418"/>
      <c r="B251" s="418"/>
      <c r="C251" s="418"/>
      <c r="D251" s="520"/>
      <c r="E251" s="520"/>
      <c r="F251" s="520"/>
      <c r="G251" s="520"/>
      <c r="H251" s="418"/>
      <c r="I251" s="423"/>
      <c r="J251" s="523"/>
      <c r="K251" s="424"/>
      <c r="L251" s="424"/>
      <c r="M251" s="418"/>
      <c r="N251" s="518"/>
      <c r="O251" s="423"/>
      <c r="P251" s="427"/>
      <c r="Q251" s="423"/>
      <c r="R251" s="523"/>
      <c r="S251" s="424"/>
      <c r="T251" s="424"/>
      <c r="U251" s="418"/>
      <c r="V251" s="428"/>
      <c r="W251" s="418"/>
      <c r="X251" s="418"/>
      <c r="Y251" s="524"/>
      <c r="Z251" s="418"/>
      <c r="AA251" s="418"/>
      <c r="AB251" s="429"/>
    </row>
    <row r="252" spans="1:28">
      <c r="A252" s="418"/>
      <c r="B252" s="418"/>
      <c r="C252" s="418"/>
      <c r="D252" s="520"/>
      <c r="E252" s="520"/>
      <c r="F252" s="520"/>
      <c r="G252" s="520"/>
      <c r="H252" s="418"/>
      <c r="I252" s="423"/>
      <c r="J252" s="523"/>
      <c r="K252" s="424"/>
      <c r="L252" s="424"/>
      <c r="M252" s="418"/>
      <c r="N252" s="518"/>
      <c r="O252" s="423"/>
      <c r="P252" s="427"/>
      <c r="Q252" s="423"/>
      <c r="R252" s="523"/>
      <c r="S252" s="424"/>
      <c r="T252" s="424"/>
      <c r="U252" s="418"/>
      <c r="V252" s="428"/>
      <c r="W252" s="418"/>
      <c r="X252" s="418"/>
      <c r="Y252" s="524"/>
      <c r="Z252" s="418"/>
      <c r="AA252" s="418"/>
      <c r="AB252" s="429"/>
    </row>
    <row r="253" spans="1:28">
      <c r="A253" s="418"/>
      <c r="B253" s="418"/>
      <c r="C253" s="418"/>
      <c r="D253" s="520"/>
      <c r="E253" s="520"/>
      <c r="F253" s="520"/>
      <c r="G253" s="520"/>
      <c r="H253" s="418"/>
      <c r="I253" s="423"/>
      <c r="J253" s="523"/>
      <c r="K253" s="424"/>
      <c r="L253" s="424"/>
      <c r="M253" s="418"/>
      <c r="N253" s="518"/>
      <c r="O253" s="423"/>
      <c r="P253" s="427"/>
      <c r="Q253" s="423"/>
      <c r="R253" s="523"/>
      <c r="S253" s="424"/>
      <c r="T253" s="424"/>
      <c r="U253" s="418"/>
      <c r="V253" s="428"/>
      <c r="W253" s="418"/>
      <c r="X253" s="418"/>
      <c r="Y253" s="524"/>
      <c r="Z253" s="418"/>
      <c r="AA253" s="418"/>
      <c r="AB253" s="429"/>
    </row>
    <row r="254" spans="1:28">
      <c r="A254" s="418"/>
      <c r="B254" s="418"/>
      <c r="C254" s="418"/>
      <c r="D254" s="520"/>
      <c r="E254" s="520"/>
      <c r="F254" s="520"/>
      <c r="G254" s="520"/>
      <c r="H254" s="418"/>
      <c r="I254" s="423"/>
      <c r="J254" s="523"/>
      <c r="K254" s="424"/>
      <c r="L254" s="424"/>
      <c r="M254" s="418"/>
      <c r="N254" s="518"/>
      <c r="O254" s="423"/>
      <c r="P254" s="427"/>
      <c r="Q254" s="423"/>
      <c r="R254" s="523"/>
      <c r="S254" s="424"/>
      <c r="T254" s="424"/>
      <c r="U254" s="418"/>
      <c r="V254" s="428"/>
      <c r="W254" s="418"/>
      <c r="X254" s="418"/>
      <c r="Y254" s="524"/>
      <c r="Z254" s="418"/>
      <c r="AA254" s="418"/>
      <c r="AB254" s="429"/>
    </row>
    <row r="255" spans="1:28">
      <c r="A255" s="418"/>
      <c r="B255" s="418"/>
      <c r="C255" s="418"/>
      <c r="D255" s="520"/>
      <c r="E255" s="520"/>
      <c r="F255" s="520"/>
      <c r="G255" s="520"/>
      <c r="H255" s="418"/>
      <c r="I255" s="423"/>
      <c r="J255" s="523"/>
      <c r="K255" s="424"/>
      <c r="L255" s="424"/>
      <c r="M255" s="418"/>
      <c r="N255" s="518"/>
      <c r="O255" s="423"/>
      <c r="P255" s="427"/>
      <c r="Q255" s="423"/>
      <c r="R255" s="523"/>
      <c r="S255" s="424"/>
      <c r="T255" s="424"/>
      <c r="U255" s="418"/>
      <c r="V255" s="428"/>
      <c r="W255" s="418"/>
      <c r="X255" s="418"/>
      <c r="Y255" s="524"/>
      <c r="Z255" s="418"/>
      <c r="AA255" s="418"/>
      <c r="AB255" s="429"/>
    </row>
    <row r="256" spans="1:28">
      <c r="A256" s="418"/>
      <c r="B256" s="418"/>
      <c r="C256" s="418"/>
      <c r="D256" s="520"/>
      <c r="E256" s="520"/>
      <c r="F256" s="520"/>
      <c r="G256" s="520"/>
      <c r="H256" s="418"/>
      <c r="I256" s="423"/>
      <c r="J256" s="523"/>
      <c r="K256" s="424"/>
      <c r="L256" s="424"/>
      <c r="M256" s="418"/>
      <c r="N256" s="518"/>
      <c r="O256" s="423"/>
      <c r="P256" s="427"/>
      <c r="Q256" s="423"/>
      <c r="R256" s="523"/>
      <c r="S256" s="424"/>
      <c r="T256" s="424"/>
      <c r="U256" s="418"/>
      <c r="V256" s="428"/>
      <c r="W256" s="418"/>
      <c r="X256" s="418"/>
      <c r="Y256" s="524"/>
      <c r="Z256" s="418"/>
      <c r="AA256" s="418"/>
      <c r="AB256" s="429"/>
    </row>
    <row r="257" spans="1:28">
      <c r="A257" s="418"/>
      <c r="B257" s="418"/>
      <c r="C257" s="418"/>
      <c r="D257" s="520"/>
      <c r="E257" s="520"/>
      <c r="F257" s="520"/>
      <c r="G257" s="520"/>
      <c r="H257" s="418"/>
      <c r="I257" s="423"/>
      <c r="J257" s="523"/>
      <c r="K257" s="424"/>
      <c r="L257" s="424"/>
      <c r="M257" s="418"/>
      <c r="N257" s="518"/>
      <c r="O257" s="423"/>
      <c r="P257" s="427"/>
      <c r="Q257" s="423"/>
      <c r="R257" s="523"/>
      <c r="S257" s="424"/>
      <c r="T257" s="424"/>
      <c r="U257" s="418"/>
      <c r="V257" s="428"/>
      <c r="W257" s="418"/>
      <c r="X257" s="418"/>
      <c r="Y257" s="524"/>
      <c r="Z257" s="418"/>
      <c r="AA257" s="418"/>
      <c r="AB257" s="429"/>
    </row>
    <row r="258" spans="1:28">
      <c r="A258" s="418"/>
      <c r="B258" s="418"/>
      <c r="C258" s="418"/>
      <c r="D258" s="520"/>
      <c r="E258" s="520"/>
      <c r="F258" s="520"/>
      <c r="G258" s="520"/>
      <c r="H258" s="418"/>
      <c r="I258" s="423"/>
      <c r="J258" s="523"/>
      <c r="K258" s="424"/>
      <c r="L258" s="424"/>
      <c r="M258" s="418"/>
      <c r="N258" s="518"/>
      <c r="O258" s="423"/>
      <c r="P258" s="427"/>
      <c r="Q258" s="423"/>
      <c r="R258" s="523"/>
      <c r="S258" s="424"/>
      <c r="T258" s="424"/>
      <c r="U258" s="418"/>
      <c r="V258" s="428"/>
      <c r="W258" s="418"/>
      <c r="X258" s="418"/>
      <c r="Y258" s="524"/>
      <c r="Z258" s="418"/>
      <c r="AA258" s="418"/>
      <c r="AB258" s="429"/>
    </row>
    <row r="259" spans="1:28">
      <c r="A259" s="418"/>
      <c r="B259" s="418"/>
      <c r="C259" s="418"/>
      <c r="D259" s="520"/>
      <c r="E259" s="520"/>
      <c r="F259" s="520"/>
      <c r="G259" s="520"/>
      <c r="H259" s="418"/>
      <c r="I259" s="423"/>
      <c r="J259" s="523"/>
      <c r="K259" s="424"/>
      <c r="L259" s="424"/>
      <c r="M259" s="418"/>
      <c r="N259" s="518"/>
      <c r="O259" s="423"/>
      <c r="P259" s="427"/>
      <c r="Q259" s="423"/>
      <c r="R259" s="523"/>
      <c r="S259" s="424"/>
      <c r="T259" s="424"/>
      <c r="U259" s="418"/>
      <c r="V259" s="428"/>
      <c r="W259" s="418"/>
      <c r="X259" s="418"/>
      <c r="Y259" s="524"/>
      <c r="Z259" s="418"/>
      <c r="AA259" s="418"/>
      <c r="AB259" s="429"/>
    </row>
    <row r="260" spans="1:28">
      <c r="A260" s="418"/>
      <c r="B260" s="418"/>
      <c r="C260" s="418"/>
      <c r="D260" s="520"/>
      <c r="E260" s="520"/>
      <c r="F260" s="520"/>
      <c r="G260" s="520"/>
      <c r="H260" s="418"/>
      <c r="I260" s="423"/>
      <c r="J260" s="523"/>
      <c r="K260" s="424"/>
      <c r="L260" s="424"/>
      <c r="M260" s="418"/>
      <c r="N260" s="518"/>
      <c r="O260" s="423"/>
      <c r="P260" s="427"/>
      <c r="Q260" s="423"/>
      <c r="R260" s="523"/>
      <c r="S260" s="424"/>
      <c r="T260" s="424"/>
      <c r="U260" s="418"/>
      <c r="V260" s="428"/>
      <c r="W260" s="418"/>
      <c r="X260" s="418"/>
      <c r="Y260" s="524"/>
      <c r="Z260" s="418"/>
      <c r="AA260" s="418"/>
      <c r="AB260" s="429"/>
    </row>
    <row r="261" spans="1:28">
      <c r="A261" s="418"/>
      <c r="B261" s="418"/>
      <c r="C261" s="418"/>
      <c r="D261" s="520"/>
      <c r="E261" s="520"/>
      <c r="F261" s="520"/>
      <c r="G261" s="520"/>
      <c r="H261" s="418"/>
      <c r="I261" s="423"/>
      <c r="J261" s="523"/>
      <c r="K261" s="424"/>
      <c r="L261" s="424"/>
      <c r="M261" s="418"/>
      <c r="N261" s="518"/>
      <c r="O261" s="423"/>
      <c r="P261" s="427"/>
      <c r="Q261" s="423"/>
      <c r="R261" s="523"/>
      <c r="S261" s="424"/>
      <c r="T261" s="424"/>
      <c r="U261" s="418"/>
      <c r="V261" s="428"/>
      <c r="W261" s="418"/>
      <c r="X261" s="418"/>
      <c r="Y261" s="524"/>
      <c r="Z261" s="418"/>
      <c r="AA261" s="418"/>
      <c r="AB261" s="429"/>
    </row>
    <row r="262" spans="1:28">
      <c r="A262" s="418"/>
      <c r="B262" s="418"/>
      <c r="C262" s="418"/>
      <c r="D262" s="520"/>
      <c r="E262" s="520"/>
      <c r="F262" s="520"/>
      <c r="G262" s="520"/>
      <c r="H262" s="418"/>
      <c r="I262" s="423"/>
      <c r="J262" s="523"/>
      <c r="K262" s="424"/>
      <c r="L262" s="424"/>
      <c r="M262" s="418"/>
      <c r="N262" s="518"/>
      <c r="O262" s="423"/>
      <c r="P262" s="427"/>
      <c r="Q262" s="423"/>
      <c r="R262" s="523"/>
      <c r="S262" s="424"/>
      <c r="T262" s="424"/>
      <c r="U262" s="418"/>
      <c r="V262" s="428"/>
      <c r="W262" s="418"/>
      <c r="X262" s="418"/>
      <c r="Y262" s="524"/>
      <c r="Z262" s="418"/>
      <c r="AA262" s="418"/>
      <c r="AB262" s="429"/>
    </row>
    <row r="263" spans="1:28">
      <c r="A263" s="418"/>
      <c r="B263" s="418"/>
      <c r="C263" s="418"/>
      <c r="D263" s="520"/>
      <c r="E263" s="520"/>
      <c r="F263" s="520"/>
      <c r="G263" s="520"/>
      <c r="H263" s="418"/>
      <c r="I263" s="423"/>
      <c r="J263" s="523"/>
      <c r="K263" s="424"/>
      <c r="L263" s="424"/>
      <c r="M263" s="418"/>
      <c r="N263" s="518"/>
      <c r="O263" s="423"/>
      <c r="P263" s="427"/>
      <c r="Q263" s="423"/>
      <c r="R263" s="523"/>
      <c r="S263" s="424"/>
      <c r="T263" s="424"/>
      <c r="U263" s="418"/>
      <c r="V263" s="428"/>
      <c r="W263" s="418"/>
      <c r="X263" s="418"/>
      <c r="Y263" s="524"/>
      <c r="Z263" s="418"/>
      <c r="AA263" s="418"/>
      <c r="AB263" s="429"/>
    </row>
    <row r="264" spans="1:28">
      <c r="A264" s="418"/>
      <c r="B264" s="418"/>
      <c r="C264" s="418"/>
      <c r="D264" s="520"/>
      <c r="E264" s="520"/>
      <c r="F264" s="520"/>
      <c r="G264" s="520"/>
      <c r="H264" s="418"/>
      <c r="I264" s="423"/>
      <c r="J264" s="523"/>
      <c r="K264" s="424"/>
      <c r="L264" s="424"/>
      <c r="M264" s="418"/>
      <c r="N264" s="518"/>
      <c r="O264" s="423"/>
      <c r="P264" s="427"/>
      <c r="Q264" s="423"/>
      <c r="R264" s="523"/>
      <c r="S264" s="424"/>
      <c r="T264" s="424"/>
      <c r="U264" s="418"/>
      <c r="V264" s="428"/>
      <c r="W264" s="418"/>
      <c r="X264" s="418"/>
      <c r="Y264" s="524"/>
      <c r="Z264" s="418"/>
      <c r="AA264" s="418"/>
      <c r="AB264" s="429"/>
    </row>
    <row r="265" spans="1:28">
      <c r="A265" s="418"/>
      <c r="B265" s="418"/>
      <c r="C265" s="418"/>
      <c r="D265" s="520"/>
      <c r="E265" s="520"/>
      <c r="F265" s="520"/>
      <c r="G265" s="520"/>
      <c r="H265" s="418"/>
      <c r="I265" s="423"/>
      <c r="J265" s="523"/>
      <c r="K265" s="424"/>
      <c r="L265" s="424"/>
      <c r="M265" s="418"/>
      <c r="N265" s="518"/>
      <c r="O265" s="423"/>
      <c r="P265" s="427"/>
      <c r="Q265" s="423"/>
      <c r="R265" s="523"/>
      <c r="S265" s="424"/>
      <c r="T265" s="424"/>
      <c r="U265" s="418"/>
      <c r="V265" s="428"/>
      <c r="W265" s="418"/>
      <c r="X265" s="418"/>
      <c r="Y265" s="524"/>
      <c r="Z265" s="418"/>
      <c r="AA265" s="418"/>
      <c r="AB265" s="429"/>
    </row>
    <row r="266" spans="1:28">
      <c r="A266" s="418"/>
      <c r="B266" s="418"/>
      <c r="C266" s="418"/>
      <c r="D266" s="520"/>
      <c r="E266" s="520"/>
      <c r="F266" s="520"/>
      <c r="G266" s="520"/>
      <c r="H266" s="418"/>
      <c r="I266" s="423"/>
      <c r="J266" s="523"/>
      <c r="K266" s="424"/>
      <c r="L266" s="424"/>
      <c r="M266" s="418"/>
      <c r="N266" s="518"/>
      <c r="O266" s="423"/>
      <c r="P266" s="427"/>
      <c r="Q266" s="423"/>
      <c r="R266" s="523"/>
      <c r="S266" s="424"/>
      <c r="T266" s="424"/>
      <c r="U266" s="418"/>
      <c r="V266" s="428"/>
      <c r="W266" s="418"/>
      <c r="X266" s="418"/>
      <c r="Y266" s="524"/>
      <c r="Z266" s="418"/>
      <c r="AA266" s="418"/>
      <c r="AB266" s="429"/>
    </row>
    <row r="267" spans="1:28">
      <c r="A267" s="418"/>
      <c r="B267" s="418"/>
      <c r="C267" s="418"/>
      <c r="D267" s="520"/>
      <c r="E267" s="520"/>
      <c r="F267" s="520"/>
      <c r="G267" s="520"/>
      <c r="H267" s="418"/>
      <c r="I267" s="423"/>
      <c r="J267" s="523"/>
      <c r="K267" s="424"/>
      <c r="L267" s="424"/>
      <c r="M267" s="418"/>
      <c r="N267" s="518"/>
      <c r="O267" s="423"/>
      <c r="P267" s="427"/>
      <c r="Q267" s="423"/>
      <c r="R267" s="523"/>
      <c r="S267" s="424"/>
      <c r="T267" s="424"/>
      <c r="U267" s="418"/>
      <c r="V267" s="428"/>
      <c r="W267" s="418"/>
      <c r="X267" s="418"/>
      <c r="Y267" s="524"/>
      <c r="Z267" s="418"/>
      <c r="AA267" s="418"/>
      <c r="AB267" s="429"/>
    </row>
    <row r="268" spans="1:28">
      <c r="A268" s="418"/>
      <c r="B268" s="418"/>
      <c r="C268" s="418"/>
      <c r="D268" s="520"/>
      <c r="E268" s="520"/>
      <c r="F268" s="520"/>
      <c r="G268" s="520"/>
      <c r="H268" s="418"/>
      <c r="I268" s="423"/>
      <c r="J268" s="523"/>
      <c r="K268" s="424"/>
      <c r="L268" s="424"/>
      <c r="M268" s="418"/>
      <c r="N268" s="518"/>
      <c r="O268" s="423"/>
      <c r="P268" s="427"/>
      <c r="Q268" s="423"/>
      <c r="R268" s="523"/>
      <c r="S268" s="424"/>
      <c r="T268" s="424"/>
      <c r="U268" s="418"/>
      <c r="V268" s="428"/>
      <c r="W268" s="418"/>
      <c r="X268" s="418"/>
      <c r="Y268" s="524"/>
      <c r="Z268" s="418"/>
      <c r="AA268" s="418"/>
      <c r="AB268" s="429"/>
    </row>
    <row r="269" spans="1:28">
      <c r="A269" s="418"/>
      <c r="B269" s="418"/>
      <c r="C269" s="418"/>
      <c r="D269" s="520"/>
      <c r="E269" s="520"/>
      <c r="F269" s="520"/>
      <c r="G269" s="520"/>
      <c r="H269" s="418"/>
      <c r="I269" s="423"/>
      <c r="J269" s="523"/>
      <c r="K269" s="424"/>
      <c r="L269" s="424"/>
      <c r="M269" s="418"/>
      <c r="N269" s="518"/>
      <c r="O269" s="423"/>
      <c r="P269" s="427"/>
      <c r="Q269" s="423"/>
      <c r="R269" s="523"/>
      <c r="S269" s="424"/>
      <c r="T269" s="424"/>
      <c r="U269" s="418"/>
      <c r="V269" s="428"/>
      <c r="W269" s="418"/>
      <c r="X269" s="418"/>
      <c r="Y269" s="524"/>
      <c r="Z269" s="418"/>
      <c r="AA269" s="418"/>
      <c r="AB269" s="429"/>
    </row>
    <row r="270" spans="1:28">
      <c r="A270" s="418"/>
      <c r="B270" s="418"/>
      <c r="C270" s="418"/>
      <c r="D270" s="520"/>
      <c r="E270" s="520"/>
      <c r="F270" s="520"/>
      <c r="G270" s="520"/>
      <c r="H270" s="418"/>
      <c r="I270" s="423"/>
      <c r="J270" s="523"/>
      <c r="K270" s="424"/>
      <c r="L270" s="424"/>
      <c r="M270" s="418"/>
      <c r="N270" s="518"/>
      <c r="O270" s="423"/>
      <c r="P270" s="427"/>
      <c r="Q270" s="423"/>
      <c r="R270" s="523"/>
      <c r="S270" s="424"/>
      <c r="T270" s="424"/>
      <c r="U270" s="418"/>
      <c r="V270" s="428"/>
      <c r="W270" s="418"/>
      <c r="X270" s="418"/>
      <c r="Y270" s="524"/>
      <c r="Z270" s="418"/>
      <c r="AA270" s="418"/>
      <c r="AB270" s="429"/>
    </row>
    <row r="271" spans="1:28">
      <c r="A271" s="418"/>
      <c r="B271" s="418"/>
      <c r="C271" s="418"/>
      <c r="D271" s="520"/>
      <c r="E271" s="520"/>
      <c r="F271" s="520"/>
      <c r="G271" s="520"/>
      <c r="H271" s="418"/>
      <c r="I271" s="423"/>
      <c r="J271" s="523"/>
      <c r="K271" s="424"/>
      <c r="L271" s="424"/>
      <c r="M271" s="418"/>
      <c r="N271" s="518"/>
      <c r="O271" s="423"/>
      <c r="P271" s="427"/>
      <c r="Q271" s="423"/>
      <c r="R271" s="523"/>
      <c r="S271" s="424"/>
      <c r="T271" s="424"/>
      <c r="U271" s="418"/>
      <c r="V271" s="428"/>
      <c r="W271" s="418"/>
      <c r="X271" s="418"/>
      <c r="Y271" s="524"/>
      <c r="Z271" s="418"/>
      <c r="AA271" s="418"/>
      <c r="AB271" s="429"/>
    </row>
    <row r="272" spans="1:28">
      <c r="A272" s="418"/>
      <c r="B272" s="418"/>
      <c r="C272" s="418"/>
      <c r="D272" s="520"/>
      <c r="E272" s="520"/>
      <c r="F272" s="520"/>
      <c r="G272" s="520"/>
      <c r="H272" s="418"/>
      <c r="I272" s="423"/>
      <c r="J272" s="523"/>
      <c r="K272" s="424"/>
      <c r="L272" s="424"/>
      <c r="M272" s="418"/>
      <c r="N272" s="518"/>
      <c r="O272" s="423"/>
      <c r="P272" s="427"/>
      <c r="Q272" s="423"/>
      <c r="R272" s="523"/>
      <c r="S272" s="424"/>
      <c r="T272" s="424"/>
      <c r="U272" s="418"/>
      <c r="V272" s="428"/>
      <c r="W272" s="418"/>
      <c r="X272" s="418"/>
      <c r="Y272" s="524"/>
      <c r="Z272" s="418"/>
      <c r="AA272" s="418"/>
      <c r="AB272" s="429"/>
    </row>
    <row r="273" spans="1:28">
      <c r="A273" s="418"/>
      <c r="B273" s="418"/>
      <c r="C273" s="418"/>
      <c r="D273" s="520"/>
      <c r="E273" s="520"/>
      <c r="F273" s="520"/>
      <c r="G273" s="520"/>
      <c r="H273" s="418"/>
      <c r="I273" s="423"/>
      <c r="J273" s="523"/>
      <c r="K273" s="424"/>
      <c r="L273" s="424"/>
      <c r="M273" s="418"/>
      <c r="N273" s="518"/>
      <c r="O273" s="423"/>
      <c r="P273" s="427"/>
      <c r="Q273" s="423"/>
      <c r="R273" s="523"/>
      <c r="S273" s="424"/>
      <c r="T273" s="424"/>
      <c r="U273" s="418"/>
      <c r="V273" s="428"/>
      <c r="W273" s="418"/>
      <c r="X273" s="418"/>
      <c r="Y273" s="524"/>
      <c r="Z273" s="418"/>
      <c r="AA273" s="418"/>
      <c r="AB273" s="429"/>
    </row>
    <row r="274" spans="1:28">
      <c r="A274" s="418"/>
      <c r="B274" s="418"/>
      <c r="C274" s="418"/>
      <c r="D274" s="520"/>
      <c r="E274" s="520"/>
      <c r="F274" s="520"/>
      <c r="G274" s="520"/>
      <c r="H274" s="418"/>
      <c r="I274" s="423"/>
      <c r="J274" s="523"/>
      <c r="K274" s="424"/>
      <c r="L274" s="424"/>
      <c r="M274" s="418"/>
      <c r="N274" s="518"/>
      <c r="O274" s="423"/>
      <c r="P274" s="427"/>
      <c r="Q274" s="423"/>
      <c r="R274" s="523"/>
      <c r="S274" s="424"/>
      <c r="T274" s="424"/>
      <c r="U274" s="418"/>
      <c r="V274" s="428"/>
      <c r="W274" s="418"/>
      <c r="X274" s="418"/>
      <c r="Y274" s="524"/>
      <c r="Z274" s="418"/>
      <c r="AA274" s="418"/>
      <c r="AB274" s="429"/>
    </row>
    <row r="275" spans="1:28">
      <c r="A275" s="418"/>
      <c r="B275" s="418"/>
      <c r="C275" s="418"/>
      <c r="D275" s="520"/>
      <c r="E275" s="520"/>
      <c r="F275" s="520"/>
      <c r="G275" s="520"/>
      <c r="H275" s="418"/>
      <c r="I275" s="423"/>
      <c r="J275" s="523"/>
      <c r="K275" s="424"/>
      <c r="L275" s="424"/>
      <c r="M275" s="418"/>
      <c r="N275" s="518"/>
      <c r="O275" s="423"/>
      <c r="P275" s="427"/>
      <c r="Q275" s="423"/>
      <c r="R275" s="523"/>
      <c r="S275" s="424"/>
      <c r="T275" s="424"/>
      <c r="U275" s="418"/>
      <c r="V275" s="428"/>
      <c r="W275" s="418"/>
      <c r="X275" s="418"/>
      <c r="Y275" s="524"/>
      <c r="Z275" s="418"/>
      <c r="AA275" s="418"/>
      <c r="AB275" s="429"/>
    </row>
    <row r="276" spans="1:28">
      <c r="A276" s="418"/>
      <c r="B276" s="418"/>
      <c r="C276" s="418"/>
      <c r="D276" s="520"/>
      <c r="E276" s="520"/>
      <c r="F276" s="520"/>
      <c r="G276" s="520"/>
      <c r="H276" s="418"/>
      <c r="I276" s="423"/>
      <c r="J276" s="523"/>
      <c r="K276" s="424"/>
      <c r="L276" s="424"/>
      <c r="M276" s="418"/>
      <c r="N276" s="518"/>
      <c r="O276" s="423"/>
      <c r="P276" s="427"/>
      <c r="Q276" s="423"/>
      <c r="R276" s="523"/>
      <c r="S276" s="424"/>
      <c r="T276" s="424"/>
      <c r="U276" s="418"/>
      <c r="V276" s="428"/>
      <c r="W276" s="418"/>
      <c r="X276" s="418"/>
      <c r="Y276" s="524"/>
      <c r="Z276" s="418"/>
      <c r="AA276" s="418"/>
      <c r="AB276" s="429"/>
    </row>
    <row r="277" spans="1:28">
      <c r="A277" s="418"/>
      <c r="B277" s="418"/>
      <c r="C277" s="418"/>
      <c r="D277" s="520"/>
      <c r="E277" s="520"/>
      <c r="F277" s="520"/>
      <c r="G277" s="520"/>
      <c r="H277" s="418"/>
      <c r="I277" s="423"/>
      <c r="J277" s="523"/>
      <c r="K277" s="424"/>
      <c r="L277" s="424"/>
      <c r="M277" s="418"/>
      <c r="N277" s="518"/>
      <c r="O277" s="423"/>
      <c r="P277" s="427"/>
      <c r="Q277" s="423"/>
      <c r="R277" s="523"/>
      <c r="S277" s="424"/>
      <c r="T277" s="424"/>
      <c r="U277" s="418"/>
      <c r="V277" s="428"/>
      <c r="W277" s="418"/>
      <c r="X277" s="418"/>
      <c r="Y277" s="524"/>
      <c r="Z277" s="418"/>
      <c r="AA277" s="418"/>
      <c r="AB277" s="429"/>
    </row>
    <row r="278" spans="1:28">
      <c r="A278" s="418"/>
      <c r="B278" s="418"/>
      <c r="C278" s="418"/>
      <c r="D278" s="520"/>
      <c r="E278" s="520"/>
      <c r="F278" s="520"/>
      <c r="G278" s="520"/>
      <c r="H278" s="418"/>
      <c r="I278" s="423"/>
      <c r="J278" s="523"/>
      <c r="K278" s="424"/>
      <c r="L278" s="424"/>
      <c r="M278" s="418"/>
      <c r="N278" s="518"/>
      <c r="O278" s="423"/>
      <c r="P278" s="427"/>
      <c r="Q278" s="423"/>
      <c r="R278" s="523"/>
      <c r="S278" s="424"/>
      <c r="T278" s="424"/>
      <c r="U278" s="418"/>
      <c r="V278" s="428"/>
      <c r="W278" s="418"/>
      <c r="X278" s="418"/>
      <c r="Y278" s="524"/>
      <c r="Z278" s="418"/>
      <c r="AA278" s="418"/>
      <c r="AB278" s="429"/>
    </row>
    <row r="279" spans="1:28">
      <c r="A279" s="418"/>
      <c r="B279" s="418"/>
      <c r="C279" s="418"/>
      <c r="D279" s="520"/>
      <c r="E279" s="520"/>
      <c r="F279" s="520"/>
      <c r="G279" s="520"/>
      <c r="H279" s="418"/>
      <c r="I279" s="423"/>
      <c r="J279" s="523"/>
      <c r="K279" s="424"/>
      <c r="L279" s="424"/>
      <c r="M279" s="418"/>
      <c r="N279" s="518"/>
      <c r="O279" s="423"/>
      <c r="P279" s="427"/>
      <c r="Q279" s="423"/>
      <c r="R279" s="523"/>
      <c r="S279" s="424"/>
      <c r="T279" s="424"/>
      <c r="U279" s="418"/>
      <c r="V279" s="428"/>
      <c r="W279" s="418"/>
      <c r="X279" s="418"/>
      <c r="Y279" s="524"/>
      <c r="Z279" s="418"/>
      <c r="AA279" s="418"/>
      <c r="AB279" s="429"/>
    </row>
    <row r="280" spans="1:28">
      <c r="A280" s="418"/>
      <c r="B280" s="418"/>
      <c r="C280" s="418"/>
      <c r="D280" s="520"/>
      <c r="E280" s="520"/>
      <c r="F280" s="520"/>
      <c r="G280" s="520"/>
      <c r="H280" s="418"/>
      <c r="I280" s="423"/>
      <c r="J280" s="523"/>
      <c r="K280" s="424"/>
      <c r="L280" s="424"/>
      <c r="M280" s="418"/>
      <c r="N280" s="518"/>
      <c r="O280" s="423"/>
      <c r="P280" s="427"/>
      <c r="Q280" s="423"/>
      <c r="R280" s="523"/>
      <c r="S280" s="424"/>
      <c r="T280" s="424"/>
      <c r="U280" s="418"/>
      <c r="V280" s="428"/>
      <c r="W280" s="418"/>
      <c r="X280" s="418"/>
      <c r="Y280" s="524"/>
      <c r="Z280" s="418"/>
      <c r="AA280" s="418"/>
      <c r="AB280" s="429"/>
    </row>
    <row r="281" spans="1:28">
      <c r="A281" s="418"/>
      <c r="B281" s="418"/>
      <c r="C281" s="418"/>
      <c r="D281" s="520"/>
      <c r="E281" s="520"/>
      <c r="F281" s="520"/>
      <c r="G281" s="520"/>
      <c r="H281" s="418"/>
      <c r="I281" s="423"/>
      <c r="J281" s="523"/>
      <c r="K281" s="424"/>
      <c r="L281" s="424"/>
      <c r="M281" s="418"/>
      <c r="N281" s="518"/>
      <c r="O281" s="423"/>
      <c r="P281" s="427"/>
      <c r="Q281" s="423"/>
      <c r="R281" s="523"/>
      <c r="S281" s="424"/>
      <c r="T281" s="424"/>
      <c r="U281" s="418"/>
      <c r="V281" s="428"/>
      <c r="W281" s="418"/>
      <c r="X281" s="418"/>
      <c r="Y281" s="524"/>
      <c r="Z281" s="418"/>
      <c r="AA281" s="418"/>
      <c r="AB281" s="429"/>
    </row>
    <row r="282" spans="1:28">
      <c r="A282" s="418"/>
      <c r="B282" s="418"/>
      <c r="C282" s="418"/>
      <c r="D282" s="520"/>
      <c r="E282" s="520"/>
      <c r="F282" s="520"/>
      <c r="G282" s="520"/>
      <c r="H282" s="418"/>
      <c r="I282" s="423"/>
      <c r="J282" s="523"/>
      <c r="K282" s="424"/>
      <c r="L282" s="424"/>
      <c r="M282" s="418"/>
      <c r="N282" s="518"/>
      <c r="O282" s="423"/>
      <c r="P282" s="427"/>
      <c r="Q282" s="423"/>
      <c r="R282" s="523"/>
      <c r="S282" s="424"/>
      <c r="T282" s="424"/>
      <c r="U282" s="418"/>
      <c r="V282" s="428"/>
      <c r="W282" s="418"/>
      <c r="X282" s="418"/>
      <c r="Y282" s="524"/>
      <c r="Z282" s="418"/>
      <c r="AA282" s="418"/>
      <c r="AB282" s="429"/>
    </row>
    <row r="283" spans="1:28">
      <c r="A283" s="418"/>
      <c r="B283" s="418"/>
      <c r="C283" s="418"/>
      <c r="D283" s="520"/>
      <c r="E283" s="520"/>
      <c r="F283" s="520"/>
      <c r="G283" s="520"/>
      <c r="H283" s="418"/>
      <c r="I283" s="423"/>
      <c r="J283" s="523"/>
      <c r="K283" s="424"/>
      <c r="L283" s="424"/>
      <c r="M283" s="418"/>
      <c r="N283" s="518"/>
      <c r="O283" s="423"/>
      <c r="P283" s="427"/>
      <c r="Q283" s="423"/>
      <c r="R283" s="523"/>
      <c r="S283" s="424"/>
      <c r="T283" s="424"/>
      <c r="U283" s="418"/>
      <c r="V283" s="428"/>
      <c r="W283" s="418"/>
      <c r="X283" s="418"/>
      <c r="Y283" s="524"/>
      <c r="Z283" s="418"/>
      <c r="AA283" s="418"/>
      <c r="AB283" s="429"/>
    </row>
    <row r="284" spans="1:28">
      <c r="A284" s="418"/>
      <c r="B284" s="418"/>
      <c r="C284" s="418"/>
      <c r="D284" s="520"/>
      <c r="E284" s="520"/>
      <c r="F284" s="520"/>
      <c r="G284" s="520"/>
      <c r="H284" s="418"/>
      <c r="I284" s="423"/>
      <c r="J284" s="523"/>
      <c r="K284" s="424"/>
      <c r="L284" s="424"/>
      <c r="M284" s="418"/>
      <c r="N284" s="518"/>
      <c r="O284" s="423"/>
      <c r="P284" s="427"/>
      <c r="Q284" s="423"/>
      <c r="R284" s="523"/>
      <c r="S284" s="424"/>
      <c r="T284" s="424"/>
      <c r="U284" s="418"/>
      <c r="V284" s="428"/>
      <c r="W284" s="418"/>
      <c r="X284" s="418"/>
      <c r="Y284" s="524"/>
      <c r="Z284" s="418"/>
      <c r="AA284" s="418"/>
      <c r="AB284" s="429"/>
    </row>
    <row r="285" spans="1:28">
      <c r="A285" s="418"/>
      <c r="B285" s="418"/>
      <c r="C285" s="418"/>
      <c r="D285" s="520"/>
      <c r="E285" s="520"/>
      <c r="F285" s="520"/>
      <c r="G285" s="520"/>
      <c r="H285" s="418"/>
      <c r="I285" s="423"/>
      <c r="J285" s="523"/>
      <c r="K285" s="424"/>
      <c r="L285" s="424"/>
      <c r="M285" s="418"/>
      <c r="N285" s="518"/>
      <c r="O285" s="423"/>
      <c r="P285" s="427"/>
      <c r="Q285" s="423"/>
      <c r="R285" s="523"/>
      <c r="S285" s="424"/>
      <c r="T285" s="424"/>
      <c r="U285" s="418"/>
      <c r="V285" s="428"/>
      <c r="W285" s="418"/>
      <c r="X285" s="418"/>
      <c r="Y285" s="524"/>
      <c r="Z285" s="418"/>
      <c r="AA285" s="418"/>
      <c r="AB285" s="429"/>
    </row>
    <row r="286" spans="1:28">
      <c r="A286" s="418"/>
      <c r="B286" s="418"/>
      <c r="C286" s="418"/>
      <c r="D286" s="520"/>
      <c r="E286" s="520"/>
      <c r="F286" s="520"/>
      <c r="G286" s="520"/>
      <c r="H286" s="418"/>
      <c r="I286" s="423"/>
      <c r="J286" s="523"/>
      <c r="K286" s="424"/>
      <c r="L286" s="424"/>
      <c r="M286" s="418"/>
      <c r="N286" s="518"/>
      <c r="O286" s="423"/>
      <c r="P286" s="427"/>
      <c r="Q286" s="423"/>
      <c r="R286" s="523"/>
      <c r="S286" s="424"/>
      <c r="T286" s="424"/>
      <c r="U286" s="418"/>
      <c r="V286" s="428"/>
      <c r="W286" s="418"/>
      <c r="X286" s="418"/>
      <c r="Y286" s="524"/>
      <c r="Z286" s="418"/>
      <c r="AA286" s="418"/>
      <c r="AB286" s="429"/>
    </row>
    <row r="287" spans="1:28">
      <c r="A287" s="418"/>
      <c r="B287" s="418"/>
      <c r="C287" s="418"/>
      <c r="D287" s="520"/>
      <c r="E287" s="520"/>
      <c r="F287" s="520"/>
      <c r="G287" s="520"/>
      <c r="H287" s="418"/>
      <c r="I287" s="423"/>
      <c r="J287" s="523"/>
      <c r="K287" s="424"/>
      <c r="L287" s="424"/>
      <c r="M287" s="418"/>
      <c r="N287" s="518"/>
      <c r="O287" s="423"/>
      <c r="P287" s="427"/>
      <c r="Q287" s="423"/>
      <c r="R287" s="523"/>
      <c r="S287" s="424"/>
      <c r="T287" s="424"/>
      <c r="U287" s="418"/>
      <c r="V287" s="428"/>
      <c r="W287" s="418"/>
      <c r="X287" s="418"/>
      <c r="Y287" s="524"/>
      <c r="Z287" s="418"/>
      <c r="AA287" s="418"/>
      <c r="AB287" s="429"/>
    </row>
    <row r="288" spans="1:28">
      <c r="A288" s="418"/>
      <c r="B288" s="418"/>
      <c r="C288" s="418"/>
      <c r="D288" s="520"/>
      <c r="E288" s="520"/>
      <c r="F288" s="520"/>
      <c r="G288" s="520"/>
      <c r="H288" s="418"/>
      <c r="I288" s="423"/>
      <c r="J288" s="523"/>
      <c r="K288" s="424"/>
      <c r="L288" s="424"/>
      <c r="M288" s="418"/>
      <c r="N288" s="518"/>
      <c r="O288" s="423"/>
      <c r="P288" s="427"/>
      <c r="Q288" s="423"/>
      <c r="R288" s="523"/>
      <c r="S288" s="424"/>
      <c r="T288" s="424"/>
      <c r="U288" s="418"/>
      <c r="V288" s="428"/>
      <c r="W288" s="418"/>
      <c r="X288" s="418"/>
      <c r="Y288" s="524"/>
      <c r="Z288" s="418"/>
      <c r="AA288" s="418"/>
      <c r="AB288" s="429"/>
    </row>
    <row r="289" spans="1:28">
      <c r="A289" s="418"/>
      <c r="B289" s="418"/>
      <c r="C289" s="418"/>
      <c r="D289" s="520"/>
      <c r="E289" s="520"/>
      <c r="F289" s="520"/>
      <c r="G289" s="520"/>
      <c r="H289" s="418"/>
      <c r="I289" s="423"/>
      <c r="J289" s="523"/>
      <c r="K289" s="424"/>
      <c r="L289" s="424"/>
      <c r="M289" s="418"/>
      <c r="N289" s="518"/>
      <c r="O289" s="423"/>
      <c r="P289" s="427"/>
      <c r="Q289" s="423"/>
      <c r="R289" s="523"/>
      <c r="S289" s="424"/>
      <c r="T289" s="424"/>
      <c r="U289" s="418"/>
      <c r="V289" s="428"/>
      <c r="W289" s="418"/>
      <c r="X289" s="418"/>
      <c r="Y289" s="524"/>
      <c r="Z289" s="418"/>
      <c r="AA289" s="418"/>
      <c r="AB289" s="429"/>
    </row>
    <row r="290" spans="1:28">
      <c r="A290" s="418"/>
      <c r="B290" s="418"/>
      <c r="C290" s="418"/>
      <c r="D290" s="520"/>
      <c r="E290" s="520"/>
      <c r="F290" s="520"/>
      <c r="G290" s="520"/>
      <c r="H290" s="418"/>
      <c r="I290" s="423"/>
      <c r="J290" s="523"/>
      <c r="K290" s="424"/>
      <c r="L290" s="424"/>
      <c r="M290" s="418"/>
      <c r="N290" s="518"/>
      <c r="O290" s="423"/>
      <c r="P290" s="427"/>
      <c r="Q290" s="423"/>
      <c r="R290" s="523"/>
      <c r="S290" s="424"/>
      <c r="T290" s="424"/>
      <c r="U290" s="418"/>
      <c r="V290" s="428"/>
      <c r="W290" s="418"/>
      <c r="X290" s="418"/>
      <c r="Y290" s="524"/>
      <c r="Z290" s="418"/>
      <c r="AA290" s="418"/>
      <c r="AB290" s="429"/>
    </row>
    <row r="291" spans="1:28">
      <c r="A291" s="418"/>
      <c r="B291" s="418"/>
      <c r="C291" s="418"/>
      <c r="D291" s="520"/>
      <c r="E291" s="520"/>
      <c r="F291" s="520"/>
      <c r="G291" s="520"/>
      <c r="H291" s="418"/>
      <c r="I291" s="423"/>
      <c r="J291" s="523"/>
      <c r="K291" s="424"/>
      <c r="L291" s="424"/>
      <c r="M291" s="418"/>
      <c r="N291" s="518"/>
      <c r="O291" s="423"/>
      <c r="P291" s="427"/>
      <c r="Q291" s="423"/>
      <c r="R291" s="523"/>
      <c r="S291" s="424"/>
      <c r="T291" s="424"/>
      <c r="U291" s="418"/>
      <c r="V291" s="428"/>
      <c r="W291" s="418"/>
      <c r="X291" s="418"/>
      <c r="Y291" s="524"/>
      <c r="Z291" s="418"/>
      <c r="AA291" s="418"/>
      <c r="AB291" s="429"/>
    </row>
    <row r="292" spans="1:28">
      <c r="A292" s="418"/>
      <c r="B292" s="418"/>
      <c r="C292" s="418"/>
      <c r="D292" s="520"/>
      <c r="E292" s="520"/>
      <c r="F292" s="520"/>
      <c r="G292" s="520"/>
      <c r="H292" s="418"/>
      <c r="I292" s="423"/>
      <c r="J292" s="523"/>
      <c r="K292" s="424"/>
      <c r="L292" s="424"/>
      <c r="M292" s="418"/>
      <c r="N292" s="518"/>
      <c r="O292" s="423"/>
      <c r="P292" s="427"/>
      <c r="Q292" s="423"/>
      <c r="R292" s="523"/>
      <c r="S292" s="424"/>
      <c r="T292" s="424"/>
      <c r="U292" s="418"/>
      <c r="V292" s="428"/>
      <c r="W292" s="418"/>
      <c r="X292" s="418"/>
      <c r="Y292" s="524"/>
      <c r="Z292" s="418"/>
      <c r="AA292" s="418"/>
      <c r="AB292" s="429"/>
    </row>
    <row r="293" spans="1:28">
      <c r="A293" s="418"/>
      <c r="B293" s="418"/>
      <c r="C293" s="418"/>
      <c r="D293" s="520"/>
      <c r="E293" s="520"/>
      <c r="F293" s="520"/>
      <c r="G293" s="520"/>
      <c r="H293" s="418"/>
      <c r="I293" s="423"/>
      <c r="J293" s="523"/>
      <c r="K293" s="424"/>
      <c r="L293" s="424"/>
      <c r="M293" s="418"/>
      <c r="N293" s="518"/>
      <c r="O293" s="423"/>
      <c r="P293" s="427"/>
      <c r="Q293" s="423"/>
      <c r="R293" s="523"/>
      <c r="S293" s="424"/>
      <c r="T293" s="424"/>
      <c r="U293" s="418"/>
      <c r="V293" s="428"/>
      <c r="W293" s="418"/>
      <c r="X293" s="418"/>
      <c r="Y293" s="524"/>
      <c r="Z293" s="418"/>
      <c r="AA293" s="418"/>
      <c r="AB293" s="429"/>
    </row>
    <row r="294" spans="1:28">
      <c r="A294" s="418"/>
      <c r="B294" s="418"/>
      <c r="C294" s="418"/>
      <c r="D294" s="520"/>
      <c r="E294" s="520"/>
      <c r="F294" s="520"/>
      <c r="G294" s="520"/>
      <c r="H294" s="418"/>
      <c r="I294" s="423"/>
      <c r="J294" s="523"/>
      <c r="K294" s="424"/>
      <c r="L294" s="424"/>
      <c r="M294" s="418"/>
      <c r="N294" s="518"/>
      <c r="O294" s="423"/>
      <c r="P294" s="427"/>
      <c r="Q294" s="423"/>
      <c r="R294" s="523"/>
      <c r="S294" s="424"/>
      <c r="T294" s="424"/>
      <c r="U294" s="418"/>
      <c r="V294" s="428"/>
      <c r="W294" s="418"/>
      <c r="X294" s="418"/>
      <c r="Y294" s="524"/>
      <c r="Z294" s="418"/>
      <c r="AA294" s="418"/>
      <c r="AB294" s="429"/>
    </row>
    <row r="295" spans="1:28">
      <c r="A295" s="418"/>
      <c r="B295" s="418"/>
      <c r="C295" s="418"/>
      <c r="D295" s="520"/>
      <c r="E295" s="520"/>
      <c r="F295" s="520"/>
      <c r="G295" s="520"/>
      <c r="H295" s="418"/>
      <c r="I295" s="423"/>
      <c r="J295" s="523"/>
      <c r="K295" s="424"/>
      <c r="L295" s="424"/>
      <c r="M295" s="418"/>
      <c r="N295" s="518"/>
      <c r="O295" s="423"/>
      <c r="P295" s="427"/>
      <c r="Q295" s="423"/>
      <c r="R295" s="523"/>
      <c r="S295" s="424"/>
      <c r="T295" s="424"/>
      <c r="U295" s="418"/>
      <c r="V295" s="428"/>
      <c r="W295" s="418"/>
      <c r="X295" s="418"/>
      <c r="Y295" s="524"/>
      <c r="Z295" s="418"/>
      <c r="AA295" s="418"/>
      <c r="AB295" s="429"/>
    </row>
    <row r="296" spans="1:28">
      <c r="A296" s="418"/>
      <c r="B296" s="418"/>
      <c r="C296" s="418"/>
      <c r="D296" s="520"/>
      <c r="E296" s="520"/>
      <c r="F296" s="520"/>
      <c r="G296" s="520"/>
      <c r="H296" s="418"/>
      <c r="I296" s="423"/>
      <c r="J296" s="523"/>
      <c r="K296" s="424"/>
      <c r="L296" s="424"/>
      <c r="M296" s="418"/>
      <c r="N296" s="518"/>
      <c r="O296" s="423"/>
      <c r="P296" s="427"/>
      <c r="Q296" s="423"/>
      <c r="R296" s="523"/>
      <c r="S296" s="424"/>
      <c r="T296" s="424"/>
      <c r="U296" s="418"/>
      <c r="V296" s="428"/>
      <c r="W296" s="418"/>
      <c r="X296" s="418"/>
      <c r="Y296" s="524"/>
      <c r="Z296" s="418"/>
      <c r="AA296" s="418"/>
      <c r="AB296" s="429"/>
    </row>
    <row r="297" spans="1:28">
      <c r="A297" s="418"/>
      <c r="B297" s="418"/>
      <c r="C297" s="418"/>
      <c r="D297" s="520"/>
      <c r="E297" s="520"/>
      <c r="F297" s="520"/>
      <c r="G297" s="520"/>
      <c r="H297" s="418"/>
      <c r="I297" s="423"/>
      <c r="J297" s="523"/>
      <c r="K297" s="424"/>
      <c r="L297" s="424"/>
      <c r="M297" s="418"/>
      <c r="N297" s="518"/>
      <c r="O297" s="423"/>
      <c r="P297" s="427"/>
      <c r="Q297" s="423"/>
      <c r="R297" s="523"/>
      <c r="S297" s="424"/>
      <c r="T297" s="424"/>
      <c r="U297" s="418"/>
      <c r="V297" s="428"/>
      <c r="W297" s="418"/>
      <c r="X297" s="418"/>
      <c r="Y297" s="524"/>
      <c r="Z297" s="418"/>
      <c r="AA297" s="418"/>
      <c r="AB297" s="429"/>
    </row>
    <row r="298" spans="1:28">
      <c r="A298" s="418"/>
      <c r="B298" s="418"/>
      <c r="C298" s="418"/>
      <c r="D298" s="520"/>
      <c r="E298" s="520"/>
      <c r="F298" s="520"/>
      <c r="G298" s="520"/>
      <c r="H298" s="418"/>
      <c r="I298" s="423"/>
      <c r="J298" s="523"/>
      <c r="K298" s="424"/>
      <c r="L298" s="424"/>
      <c r="M298" s="418"/>
      <c r="N298" s="518"/>
      <c r="O298" s="423"/>
      <c r="P298" s="427"/>
      <c r="Q298" s="423"/>
      <c r="R298" s="523"/>
      <c r="S298" s="424"/>
      <c r="T298" s="424"/>
      <c r="U298" s="418"/>
      <c r="V298" s="428"/>
      <c r="W298" s="418"/>
      <c r="X298" s="418"/>
      <c r="Y298" s="524"/>
      <c r="Z298" s="418"/>
      <c r="AA298" s="418"/>
      <c r="AB298" s="429"/>
    </row>
    <row r="299" spans="1:28">
      <c r="A299" s="418"/>
      <c r="B299" s="418"/>
      <c r="C299" s="418"/>
      <c r="D299" s="520"/>
      <c r="E299" s="520"/>
      <c r="F299" s="520"/>
      <c r="G299" s="520"/>
      <c r="H299" s="418"/>
      <c r="I299" s="423"/>
      <c r="J299" s="523"/>
      <c r="K299" s="424"/>
      <c r="L299" s="424"/>
      <c r="M299" s="418"/>
      <c r="N299" s="518"/>
      <c r="O299" s="423"/>
      <c r="P299" s="427"/>
      <c r="Q299" s="423"/>
      <c r="R299" s="523"/>
      <c r="S299" s="424"/>
      <c r="T299" s="424"/>
      <c r="U299" s="418"/>
      <c r="V299" s="428"/>
      <c r="W299" s="418"/>
      <c r="X299" s="418"/>
      <c r="Y299" s="524"/>
      <c r="Z299" s="418"/>
      <c r="AA299" s="418"/>
      <c r="AB299" s="429"/>
    </row>
    <row r="300" spans="1:28">
      <c r="A300" s="418"/>
      <c r="B300" s="418"/>
      <c r="C300" s="418"/>
      <c r="D300" s="520"/>
      <c r="E300" s="520"/>
      <c r="F300" s="520"/>
      <c r="G300" s="520"/>
      <c r="H300" s="418"/>
      <c r="I300" s="423"/>
      <c r="J300" s="523"/>
      <c r="K300" s="424"/>
      <c r="L300" s="424"/>
      <c r="M300" s="418"/>
      <c r="N300" s="518"/>
      <c r="O300" s="423"/>
      <c r="P300" s="427"/>
      <c r="Q300" s="423"/>
      <c r="R300" s="523"/>
      <c r="S300" s="424"/>
      <c r="T300" s="424"/>
      <c r="U300" s="418"/>
      <c r="V300" s="428"/>
      <c r="W300" s="418"/>
      <c r="X300" s="418"/>
      <c r="Y300" s="524"/>
      <c r="Z300" s="418"/>
      <c r="AA300" s="418"/>
      <c r="AB300" s="429"/>
    </row>
    <row r="301" spans="1:28">
      <c r="A301" s="418"/>
      <c r="B301" s="418"/>
      <c r="C301" s="418"/>
      <c r="D301" s="520"/>
      <c r="E301" s="520"/>
      <c r="F301" s="520"/>
      <c r="G301" s="520"/>
      <c r="H301" s="418"/>
      <c r="I301" s="423"/>
      <c r="J301" s="523"/>
      <c r="K301" s="424"/>
      <c r="L301" s="424"/>
      <c r="M301" s="418"/>
      <c r="N301" s="518"/>
      <c r="O301" s="423"/>
      <c r="P301" s="427"/>
      <c r="Q301" s="423"/>
      <c r="R301" s="523"/>
      <c r="S301" s="424"/>
      <c r="T301" s="424"/>
      <c r="U301" s="418"/>
      <c r="V301" s="428"/>
      <c r="W301" s="418"/>
      <c r="X301" s="418"/>
      <c r="Y301" s="524"/>
      <c r="Z301" s="418"/>
      <c r="AA301" s="418"/>
      <c r="AB301" s="429"/>
    </row>
    <row r="302" spans="1:28">
      <c r="A302" s="418"/>
      <c r="B302" s="418"/>
      <c r="C302" s="418"/>
      <c r="D302" s="520"/>
      <c r="E302" s="520"/>
      <c r="F302" s="520"/>
      <c r="G302" s="520"/>
      <c r="H302" s="418"/>
      <c r="I302" s="423"/>
      <c r="J302" s="523"/>
      <c r="K302" s="424"/>
      <c r="L302" s="424"/>
      <c r="M302" s="418"/>
      <c r="N302" s="518"/>
      <c r="O302" s="423"/>
      <c r="P302" s="427"/>
      <c r="Q302" s="423"/>
      <c r="R302" s="523"/>
      <c r="S302" s="424"/>
      <c r="T302" s="424"/>
      <c r="U302" s="418"/>
      <c r="V302" s="428"/>
      <c r="W302" s="418"/>
      <c r="X302" s="418"/>
      <c r="Y302" s="524"/>
      <c r="Z302" s="418"/>
      <c r="AA302" s="418"/>
      <c r="AB302" s="429"/>
    </row>
    <row r="303" spans="1:28">
      <c r="A303" s="418"/>
      <c r="B303" s="418"/>
      <c r="C303" s="418"/>
      <c r="D303" s="520"/>
      <c r="E303" s="520"/>
      <c r="F303" s="520"/>
      <c r="G303" s="520"/>
      <c r="H303" s="418"/>
      <c r="I303" s="423"/>
      <c r="J303" s="523"/>
      <c r="K303" s="424"/>
      <c r="L303" s="424"/>
      <c r="M303" s="418"/>
      <c r="N303" s="518"/>
      <c r="O303" s="423"/>
      <c r="P303" s="427"/>
      <c r="Q303" s="423"/>
      <c r="R303" s="523"/>
      <c r="S303" s="424"/>
      <c r="T303" s="424"/>
      <c r="U303" s="418"/>
      <c r="V303" s="428"/>
      <c r="W303" s="418"/>
      <c r="X303" s="418"/>
      <c r="Y303" s="524"/>
      <c r="Z303" s="418"/>
      <c r="AA303" s="418"/>
      <c r="AB303" s="429"/>
    </row>
    <row r="304" spans="1:28">
      <c r="A304" s="418"/>
      <c r="B304" s="418"/>
      <c r="C304" s="418"/>
      <c r="D304" s="520"/>
      <c r="E304" s="520"/>
      <c r="F304" s="520"/>
      <c r="G304" s="520"/>
      <c r="H304" s="418"/>
      <c r="I304" s="423"/>
      <c r="J304" s="523"/>
      <c r="K304" s="424"/>
      <c r="L304" s="424"/>
      <c r="M304" s="418"/>
      <c r="N304" s="518"/>
      <c r="O304" s="423"/>
      <c r="P304" s="427"/>
      <c r="Q304" s="423"/>
      <c r="R304" s="523"/>
      <c r="S304" s="424"/>
      <c r="T304" s="424"/>
      <c r="U304" s="418"/>
      <c r="V304" s="428"/>
      <c r="W304" s="418"/>
      <c r="X304" s="418"/>
      <c r="Y304" s="524"/>
      <c r="Z304" s="418"/>
      <c r="AA304" s="418"/>
      <c r="AB304" s="429"/>
    </row>
    <row r="305" spans="1:28">
      <c r="A305" s="418"/>
      <c r="B305" s="418"/>
      <c r="C305" s="418"/>
      <c r="D305" s="520"/>
      <c r="E305" s="520"/>
      <c r="F305" s="520"/>
      <c r="G305" s="520"/>
      <c r="H305" s="418"/>
      <c r="I305" s="423"/>
      <c r="J305" s="523"/>
      <c r="K305" s="424"/>
      <c r="L305" s="424"/>
      <c r="M305" s="418"/>
      <c r="N305" s="518"/>
      <c r="O305" s="423"/>
      <c r="P305" s="427"/>
      <c r="Q305" s="423"/>
      <c r="R305" s="523"/>
      <c r="S305" s="424"/>
      <c r="T305" s="424"/>
      <c r="U305" s="418"/>
      <c r="V305" s="428"/>
      <c r="W305" s="418"/>
      <c r="X305" s="418"/>
      <c r="Y305" s="524"/>
      <c r="Z305" s="418"/>
      <c r="AA305" s="418"/>
      <c r="AB305" s="429"/>
    </row>
    <row r="306" spans="1:28">
      <c r="A306" s="418"/>
      <c r="B306" s="418"/>
      <c r="C306" s="418"/>
      <c r="D306" s="520"/>
      <c r="E306" s="520"/>
      <c r="F306" s="520"/>
      <c r="G306" s="520"/>
      <c r="H306" s="418"/>
      <c r="I306" s="423"/>
      <c r="J306" s="523"/>
      <c r="K306" s="424"/>
      <c r="L306" s="424"/>
      <c r="M306" s="418"/>
      <c r="N306" s="518"/>
      <c r="O306" s="423"/>
      <c r="P306" s="427"/>
      <c r="Q306" s="423"/>
      <c r="R306" s="523"/>
      <c r="S306" s="424"/>
      <c r="T306" s="424"/>
      <c r="U306" s="418"/>
      <c r="V306" s="428"/>
      <c r="W306" s="418"/>
      <c r="X306" s="418"/>
      <c r="Y306" s="524"/>
      <c r="Z306" s="418"/>
      <c r="AA306" s="418"/>
      <c r="AB306" s="429"/>
    </row>
    <row r="307" spans="1:28">
      <c r="A307" s="418"/>
      <c r="B307" s="418"/>
      <c r="C307" s="418"/>
      <c r="D307" s="520"/>
      <c r="E307" s="520"/>
      <c r="F307" s="520"/>
      <c r="G307" s="520"/>
      <c r="H307" s="418"/>
      <c r="I307" s="423"/>
      <c r="J307" s="523"/>
      <c r="K307" s="424"/>
      <c r="L307" s="424"/>
      <c r="M307" s="418"/>
      <c r="N307" s="518"/>
      <c r="O307" s="423"/>
      <c r="P307" s="427"/>
      <c r="Q307" s="423"/>
      <c r="R307" s="523"/>
      <c r="S307" s="424"/>
      <c r="T307" s="424"/>
      <c r="U307" s="418"/>
      <c r="V307" s="428"/>
      <c r="W307" s="418"/>
      <c r="X307" s="418"/>
      <c r="Y307" s="524"/>
      <c r="Z307" s="418"/>
      <c r="AA307" s="418"/>
      <c r="AB307" s="429"/>
    </row>
    <row r="308" spans="1:28">
      <c r="A308" s="418"/>
      <c r="B308" s="418"/>
      <c r="C308" s="418"/>
      <c r="D308" s="520"/>
      <c r="E308" s="520"/>
      <c r="F308" s="520"/>
      <c r="G308" s="520"/>
      <c r="H308" s="418"/>
      <c r="I308" s="423"/>
      <c r="J308" s="523"/>
      <c r="K308" s="424"/>
      <c r="L308" s="424"/>
      <c r="M308" s="418"/>
      <c r="N308" s="518"/>
      <c r="O308" s="423"/>
      <c r="P308" s="427"/>
      <c r="Q308" s="423"/>
      <c r="R308" s="523"/>
      <c r="S308" s="424"/>
      <c r="T308" s="424"/>
      <c r="U308" s="418"/>
      <c r="V308" s="428"/>
      <c r="W308" s="418"/>
      <c r="X308" s="418"/>
      <c r="Y308" s="524"/>
      <c r="Z308" s="418"/>
      <c r="AA308" s="418"/>
      <c r="AB308" s="429"/>
    </row>
    <row r="309" spans="1:28">
      <c r="A309" s="418"/>
      <c r="B309" s="418"/>
      <c r="C309" s="418"/>
      <c r="D309" s="520"/>
      <c r="E309" s="520"/>
      <c r="F309" s="520"/>
      <c r="G309" s="520"/>
      <c r="H309" s="418"/>
      <c r="I309" s="423"/>
      <c r="J309" s="523"/>
      <c r="K309" s="424"/>
      <c r="L309" s="424"/>
      <c r="M309" s="418"/>
      <c r="N309" s="518"/>
      <c r="O309" s="423"/>
      <c r="P309" s="427"/>
      <c r="Q309" s="423"/>
      <c r="R309" s="523"/>
      <c r="S309" s="424"/>
      <c r="T309" s="424"/>
      <c r="U309" s="418"/>
      <c r="V309" s="428"/>
      <c r="W309" s="418"/>
      <c r="X309" s="418"/>
      <c r="Y309" s="524"/>
      <c r="Z309" s="418"/>
      <c r="AA309" s="418"/>
      <c r="AB309" s="429"/>
    </row>
    <row r="310" spans="1:28">
      <c r="A310" s="418"/>
      <c r="B310" s="418"/>
      <c r="C310" s="418"/>
      <c r="D310" s="520"/>
      <c r="E310" s="520"/>
      <c r="F310" s="520"/>
      <c r="G310" s="520"/>
      <c r="H310" s="418"/>
      <c r="I310" s="423"/>
      <c r="J310" s="523"/>
      <c r="K310" s="424"/>
      <c r="L310" s="424"/>
      <c r="M310" s="418"/>
      <c r="N310" s="518"/>
      <c r="O310" s="423"/>
      <c r="P310" s="427"/>
      <c r="Q310" s="423"/>
      <c r="R310" s="523"/>
      <c r="S310" s="424"/>
      <c r="T310" s="424"/>
      <c r="U310" s="418"/>
      <c r="V310" s="428"/>
      <c r="W310" s="418"/>
      <c r="X310" s="418"/>
      <c r="Y310" s="524"/>
      <c r="Z310" s="418"/>
      <c r="AA310" s="418"/>
      <c r="AB310" s="429"/>
    </row>
    <row r="311" spans="1:28">
      <c r="A311" s="418"/>
      <c r="B311" s="418"/>
      <c r="C311" s="418"/>
      <c r="D311" s="520"/>
      <c r="E311" s="520"/>
      <c r="F311" s="520"/>
      <c r="G311" s="520"/>
      <c r="H311" s="418"/>
      <c r="I311" s="423"/>
      <c r="J311" s="523"/>
      <c r="K311" s="424"/>
      <c r="L311" s="424"/>
      <c r="M311" s="418"/>
      <c r="N311" s="518"/>
      <c r="O311" s="423"/>
      <c r="P311" s="427"/>
      <c r="Q311" s="423"/>
      <c r="R311" s="523"/>
      <c r="S311" s="424"/>
      <c r="T311" s="424"/>
      <c r="U311" s="418"/>
      <c r="V311" s="428"/>
      <c r="W311" s="418"/>
      <c r="X311" s="418"/>
      <c r="Y311" s="524"/>
      <c r="Z311" s="418"/>
      <c r="AA311" s="418"/>
      <c r="AB311" s="429"/>
    </row>
    <row r="312" spans="1:28">
      <c r="A312" s="418"/>
      <c r="B312" s="418"/>
      <c r="C312" s="418"/>
      <c r="D312" s="520"/>
      <c r="E312" s="520"/>
      <c r="F312" s="520"/>
      <c r="G312" s="520"/>
      <c r="H312" s="418"/>
      <c r="I312" s="423"/>
      <c r="J312" s="523"/>
      <c r="K312" s="424"/>
      <c r="L312" s="424"/>
      <c r="M312" s="418"/>
      <c r="N312" s="518"/>
      <c r="O312" s="423"/>
      <c r="P312" s="427"/>
      <c r="Q312" s="423"/>
      <c r="R312" s="523"/>
      <c r="S312" s="424"/>
      <c r="T312" s="424"/>
      <c r="U312" s="418"/>
      <c r="V312" s="428"/>
      <c r="W312" s="418"/>
      <c r="X312" s="418"/>
      <c r="Y312" s="524"/>
      <c r="Z312" s="418"/>
      <c r="AA312" s="418"/>
      <c r="AB312" s="429"/>
    </row>
    <row r="313" spans="1:28">
      <c r="A313" s="418"/>
      <c r="B313" s="418"/>
      <c r="C313" s="418"/>
      <c r="D313" s="520"/>
      <c r="E313" s="520"/>
      <c r="F313" s="520"/>
      <c r="G313" s="520"/>
      <c r="H313" s="418"/>
      <c r="I313" s="423"/>
      <c r="J313" s="523"/>
      <c r="K313" s="424"/>
      <c r="L313" s="424"/>
      <c r="M313" s="418"/>
      <c r="N313" s="518"/>
      <c r="O313" s="423"/>
      <c r="P313" s="427"/>
      <c r="Q313" s="423"/>
      <c r="R313" s="523"/>
      <c r="S313" s="424"/>
      <c r="T313" s="424"/>
      <c r="U313" s="418"/>
      <c r="V313" s="428"/>
      <c r="W313" s="418"/>
      <c r="X313" s="418"/>
      <c r="Y313" s="524"/>
      <c r="Z313" s="418"/>
      <c r="AA313" s="418"/>
      <c r="AB313" s="429"/>
    </row>
    <row r="314" spans="1:28">
      <c r="A314" s="418"/>
      <c r="B314" s="418"/>
      <c r="C314" s="418"/>
      <c r="D314" s="520"/>
      <c r="E314" s="520"/>
      <c r="F314" s="520"/>
      <c r="G314" s="520"/>
      <c r="H314" s="418"/>
      <c r="I314" s="423"/>
      <c r="J314" s="523"/>
      <c r="K314" s="424"/>
      <c r="L314" s="424"/>
      <c r="M314" s="418"/>
      <c r="N314" s="518"/>
      <c r="O314" s="423"/>
      <c r="P314" s="427"/>
      <c r="Q314" s="423"/>
      <c r="R314" s="523"/>
      <c r="S314" s="424"/>
      <c r="T314" s="424"/>
      <c r="U314" s="418"/>
      <c r="V314" s="428"/>
      <c r="W314" s="418"/>
      <c r="X314" s="418"/>
      <c r="Y314" s="524"/>
      <c r="Z314" s="418"/>
      <c r="AA314" s="418"/>
      <c r="AB314" s="429"/>
    </row>
    <row r="315" spans="1:28">
      <c r="A315" s="418"/>
      <c r="B315" s="418"/>
      <c r="C315" s="418"/>
      <c r="D315" s="520"/>
      <c r="E315" s="520"/>
      <c r="F315" s="520"/>
      <c r="G315" s="520"/>
      <c r="H315" s="418"/>
      <c r="I315" s="423"/>
      <c r="J315" s="523"/>
      <c r="K315" s="424"/>
      <c r="L315" s="424"/>
      <c r="M315" s="418"/>
      <c r="N315" s="518"/>
      <c r="O315" s="423"/>
      <c r="P315" s="427"/>
      <c r="Q315" s="423"/>
      <c r="R315" s="523"/>
      <c r="S315" s="424"/>
      <c r="T315" s="424"/>
      <c r="U315" s="418"/>
      <c r="V315" s="428"/>
      <c r="W315" s="418"/>
      <c r="X315" s="418"/>
      <c r="Y315" s="524"/>
      <c r="Z315" s="418"/>
      <c r="AA315" s="418"/>
      <c r="AB315" s="429"/>
    </row>
    <row r="316" spans="1:28">
      <c r="A316" s="418"/>
      <c r="B316" s="418"/>
      <c r="C316" s="418"/>
      <c r="D316" s="520"/>
      <c r="E316" s="520"/>
      <c r="F316" s="520"/>
      <c r="G316" s="520"/>
      <c r="H316" s="418"/>
      <c r="I316" s="423"/>
      <c r="J316" s="523"/>
      <c r="K316" s="424"/>
      <c r="L316" s="424"/>
      <c r="M316" s="418"/>
      <c r="N316" s="518"/>
      <c r="O316" s="423"/>
      <c r="P316" s="427"/>
      <c r="Q316" s="423"/>
      <c r="R316" s="523"/>
      <c r="S316" s="424"/>
      <c r="T316" s="424"/>
      <c r="U316" s="418"/>
      <c r="V316" s="428"/>
      <c r="W316" s="418"/>
      <c r="X316" s="418"/>
      <c r="Y316" s="524"/>
      <c r="Z316" s="418"/>
      <c r="AA316" s="418"/>
      <c r="AB316" s="429"/>
    </row>
    <row r="317" spans="1:28">
      <c r="A317" s="418"/>
      <c r="B317" s="418"/>
      <c r="C317" s="418"/>
      <c r="D317" s="520"/>
      <c r="E317" s="520"/>
      <c r="F317" s="520"/>
      <c r="G317" s="520"/>
      <c r="H317" s="418"/>
      <c r="I317" s="423"/>
      <c r="J317" s="523"/>
      <c r="K317" s="424"/>
      <c r="L317" s="424"/>
      <c r="M317" s="418"/>
      <c r="N317" s="518"/>
      <c r="O317" s="423"/>
      <c r="P317" s="427"/>
      <c r="Q317" s="423"/>
      <c r="R317" s="523"/>
      <c r="S317" s="424"/>
      <c r="T317" s="424"/>
      <c r="U317" s="418"/>
      <c r="V317" s="428"/>
      <c r="W317" s="418"/>
      <c r="X317" s="418"/>
      <c r="Y317" s="524"/>
      <c r="Z317" s="418"/>
      <c r="AA317" s="418"/>
      <c r="AB317" s="429"/>
    </row>
    <row r="318" spans="1:28">
      <c r="A318" s="418"/>
      <c r="B318" s="418"/>
      <c r="C318" s="418"/>
      <c r="D318" s="520"/>
      <c r="E318" s="520"/>
      <c r="F318" s="520"/>
      <c r="G318" s="520"/>
      <c r="H318" s="418"/>
      <c r="I318" s="423"/>
      <c r="J318" s="523"/>
      <c r="K318" s="424"/>
      <c r="L318" s="424"/>
      <c r="M318" s="418"/>
      <c r="N318" s="518"/>
      <c r="O318" s="423"/>
      <c r="P318" s="427"/>
      <c r="Q318" s="423"/>
      <c r="R318" s="523"/>
      <c r="S318" s="424"/>
      <c r="T318" s="424"/>
      <c r="U318" s="418"/>
      <c r="V318" s="428"/>
      <c r="W318" s="418"/>
      <c r="X318" s="418"/>
      <c r="Y318" s="524"/>
      <c r="Z318" s="418"/>
      <c r="AA318" s="418"/>
      <c r="AB318" s="429"/>
    </row>
    <row r="319" spans="1:28">
      <c r="A319" s="418"/>
      <c r="B319" s="418"/>
      <c r="C319" s="418"/>
      <c r="D319" s="520"/>
      <c r="E319" s="520"/>
      <c r="F319" s="520"/>
      <c r="G319" s="520"/>
      <c r="H319" s="418"/>
      <c r="I319" s="423"/>
      <c r="J319" s="523"/>
      <c r="K319" s="424"/>
      <c r="L319" s="424"/>
      <c r="M319" s="418"/>
      <c r="N319" s="518"/>
      <c r="O319" s="423"/>
      <c r="P319" s="427"/>
      <c r="Q319" s="423"/>
      <c r="R319" s="523"/>
      <c r="S319" s="424"/>
      <c r="T319" s="424"/>
      <c r="U319" s="418"/>
      <c r="V319" s="428"/>
      <c r="W319" s="418"/>
      <c r="X319" s="418"/>
      <c r="Y319" s="524"/>
      <c r="Z319" s="418"/>
      <c r="AA319" s="418"/>
      <c r="AB319" s="429"/>
    </row>
    <row r="320" spans="1:28">
      <c r="A320" s="418"/>
      <c r="B320" s="418"/>
      <c r="C320" s="418"/>
      <c r="D320" s="520"/>
      <c r="E320" s="520"/>
      <c r="F320" s="520"/>
      <c r="G320" s="520"/>
      <c r="H320" s="418"/>
      <c r="I320" s="423"/>
      <c r="J320" s="523"/>
      <c r="K320" s="424"/>
      <c r="L320" s="424"/>
      <c r="M320" s="418"/>
      <c r="N320" s="518"/>
      <c r="O320" s="423"/>
      <c r="P320" s="427"/>
      <c r="Q320" s="423"/>
      <c r="R320" s="523"/>
      <c r="S320" s="424"/>
      <c r="T320" s="424"/>
      <c r="U320" s="418"/>
      <c r="V320" s="428"/>
      <c r="W320" s="418"/>
      <c r="X320" s="418"/>
      <c r="Y320" s="524"/>
      <c r="Z320" s="418"/>
      <c r="AA320" s="418"/>
      <c r="AB320" s="429"/>
    </row>
    <row r="321" spans="1:28">
      <c r="A321" s="418"/>
      <c r="B321" s="418"/>
      <c r="C321" s="418"/>
      <c r="D321" s="520"/>
      <c r="E321" s="520"/>
      <c r="F321" s="520"/>
      <c r="G321" s="520"/>
      <c r="H321" s="418"/>
      <c r="I321" s="423"/>
      <c r="J321" s="523"/>
      <c r="K321" s="424"/>
      <c r="L321" s="424"/>
      <c r="M321" s="418"/>
      <c r="N321" s="518"/>
      <c r="O321" s="423"/>
      <c r="P321" s="427"/>
      <c r="Q321" s="423"/>
      <c r="R321" s="523"/>
      <c r="S321" s="424"/>
      <c r="T321" s="424"/>
      <c r="U321" s="418"/>
      <c r="V321" s="428"/>
      <c r="W321" s="418"/>
      <c r="X321" s="418"/>
      <c r="Y321" s="524"/>
      <c r="Z321" s="418"/>
      <c r="AA321" s="418"/>
      <c r="AB321" s="429"/>
    </row>
    <row r="322" spans="1:28">
      <c r="A322" s="418"/>
      <c r="B322" s="418"/>
      <c r="C322" s="418"/>
      <c r="D322" s="520"/>
      <c r="E322" s="520"/>
      <c r="F322" s="520"/>
      <c r="G322" s="520"/>
      <c r="H322" s="418"/>
      <c r="I322" s="423"/>
      <c r="J322" s="523"/>
      <c r="K322" s="424"/>
      <c r="L322" s="424"/>
      <c r="M322" s="418"/>
      <c r="N322" s="518"/>
      <c r="O322" s="423"/>
      <c r="P322" s="427"/>
      <c r="Q322" s="423"/>
      <c r="R322" s="523"/>
      <c r="S322" s="424"/>
      <c r="T322" s="424"/>
      <c r="U322" s="418"/>
      <c r="V322" s="428"/>
      <c r="W322" s="418"/>
      <c r="X322" s="418"/>
      <c r="Y322" s="524"/>
      <c r="Z322" s="418"/>
      <c r="AA322" s="418"/>
      <c r="AB322" s="429"/>
    </row>
    <row r="323" spans="1:28">
      <c r="A323" s="418"/>
      <c r="B323" s="418"/>
      <c r="C323" s="418"/>
      <c r="D323" s="520"/>
      <c r="E323" s="520"/>
      <c r="F323" s="520"/>
      <c r="G323" s="520"/>
      <c r="H323" s="418"/>
      <c r="I323" s="423"/>
      <c r="J323" s="523"/>
      <c r="K323" s="424"/>
      <c r="L323" s="424"/>
      <c r="M323" s="418"/>
      <c r="N323" s="518"/>
      <c r="O323" s="423"/>
      <c r="P323" s="427"/>
      <c r="Q323" s="423"/>
      <c r="R323" s="523"/>
      <c r="S323" s="424"/>
      <c r="T323" s="424"/>
      <c r="U323" s="418"/>
      <c r="V323" s="428"/>
      <c r="W323" s="418"/>
      <c r="X323" s="418"/>
      <c r="Y323" s="524"/>
      <c r="Z323" s="418"/>
      <c r="AA323" s="418"/>
      <c r="AB323" s="429"/>
    </row>
    <row r="324" spans="1:28">
      <c r="A324" s="418"/>
      <c r="B324" s="418"/>
      <c r="C324" s="418"/>
      <c r="D324" s="520"/>
      <c r="E324" s="520"/>
      <c r="F324" s="520"/>
      <c r="G324" s="520"/>
      <c r="H324" s="418"/>
      <c r="I324" s="423"/>
      <c r="J324" s="523"/>
      <c r="K324" s="424"/>
      <c r="L324" s="424"/>
      <c r="M324" s="418"/>
      <c r="N324" s="518"/>
      <c r="O324" s="423"/>
      <c r="P324" s="427"/>
      <c r="Q324" s="423"/>
      <c r="R324" s="523"/>
      <c r="S324" s="424"/>
      <c r="T324" s="424"/>
      <c r="U324" s="418"/>
      <c r="V324" s="428"/>
      <c r="W324" s="418"/>
      <c r="X324" s="418"/>
      <c r="Y324" s="524"/>
      <c r="Z324" s="418"/>
      <c r="AA324" s="418"/>
      <c r="AB324" s="429"/>
    </row>
    <row r="325" spans="1:28">
      <c r="A325" s="418"/>
      <c r="B325" s="418"/>
      <c r="C325" s="418"/>
      <c r="D325" s="520"/>
      <c r="E325" s="520"/>
      <c r="F325" s="520"/>
      <c r="G325" s="520"/>
      <c r="H325" s="418"/>
      <c r="I325" s="423"/>
      <c r="J325" s="523"/>
      <c r="K325" s="424"/>
      <c r="L325" s="424"/>
      <c r="M325" s="418"/>
      <c r="N325" s="518"/>
      <c r="O325" s="423"/>
      <c r="P325" s="427"/>
      <c r="Q325" s="423"/>
      <c r="R325" s="523"/>
      <c r="S325" s="424"/>
      <c r="T325" s="424"/>
      <c r="U325" s="418"/>
      <c r="V325" s="428"/>
      <c r="W325" s="418"/>
      <c r="X325" s="418"/>
      <c r="Y325" s="524"/>
      <c r="Z325" s="418"/>
      <c r="AA325" s="418"/>
      <c r="AB325" s="429"/>
    </row>
    <row r="326" spans="1:28">
      <c r="A326" s="418"/>
      <c r="B326" s="418"/>
      <c r="C326" s="418"/>
      <c r="D326" s="520"/>
      <c r="E326" s="520"/>
      <c r="F326" s="520"/>
      <c r="G326" s="520"/>
      <c r="H326" s="418"/>
      <c r="I326" s="423"/>
      <c r="J326" s="523"/>
      <c r="K326" s="424"/>
      <c r="L326" s="424"/>
      <c r="M326" s="418"/>
      <c r="N326" s="518"/>
      <c r="O326" s="423"/>
      <c r="P326" s="427"/>
      <c r="Q326" s="423"/>
      <c r="R326" s="523"/>
      <c r="S326" s="424"/>
      <c r="T326" s="424"/>
      <c r="U326" s="418"/>
      <c r="V326" s="428"/>
      <c r="W326" s="418"/>
      <c r="X326" s="418"/>
      <c r="Y326" s="524"/>
      <c r="Z326" s="418"/>
      <c r="AA326" s="418"/>
      <c r="AB326" s="429"/>
    </row>
    <row r="327" spans="1:28">
      <c r="A327" s="418"/>
      <c r="B327" s="418"/>
      <c r="C327" s="418"/>
      <c r="D327" s="520"/>
      <c r="E327" s="520"/>
      <c r="F327" s="520"/>
      <c r="G327" s="520"/>
      <c r="H327" s="418"/>
      <c r="I327" s="423"/>
      <c r="J327" s="523"/>
      <c r="K327" s="424"/>
      <c r="L327" s="424"/>
      <c r="M327" s="418"/>
      <c r="N327" s="518"/>
      <c r="O327" s="423"/>
      <c r="P327" s="427"/>
      <c r="Q327" s="423"/>
      <c r="R327" s="523"/>
      <c r="S327" s="424"/>
      <c r="T327" s="424"/>
      <c r="U327" s="418"/>
      <c r="V327" s="428"/>
      <c r="W327" s="418"/>
      <c r="X327" s="418"/>
      <c r="Y327" s="524"/>
      <c r="Z327" s="418"/>
      <c r="AA327" s="418"/>
      <c r="AB327" s="429"/>
    </row>
    <row r="328" spans="1:28">
      <c r="A328" s="418"/>
      <c r="B328" s="418"/>
      <c r="C328" s="418"/>
      <c r="D328" s="520"/>
      <c r="E328" s="520"/>
      <c r="F328" s="520"/>
      <c r="G328" s="520"/>
      <c r="H328" s="418"/>
      <c r="I328" s="423"/>
      <c r="J328" s="523"/>
      <c r="K328" s="424"/>
      <c r="L328" s="424"/>
      <c r="M328" s="418"/>
      <c r="N328" s="518"/>
      <c r="O328" s="423"/>
      <c r="P328" s="427"/>
      <c r="Q328" s="423"/>
      <c r="R328" s="523"/>
      <c r="S328" s="424"/>
      <c r="T328" s="424"/>
      <c r="U328" s="418"/>
      <c r="V328" s="428"/>
      <c r="W328" s="418"/>
      <c r="X328" s="418"/>
      <c r="Y328" s="524"/>
      <c r="Z328" s="418"/>
      <c r="AA328" s="418"/>
      <c r="AB328" s="429"/>
    </row>
    <row r="329" spans="1:28">
      <c r="A329" s="418"/>
      <c r="B329" s="418"/>
      <c r="C329" s="418"/>
      <c r="D329" s="520"/>
      <c r="E329" s="520"/>
      <c r="F329" s="520"/>
      <c r="G329" s="520"/>
      <c r="H329" s="418"/>
      <c r="I329" s="423"/>
      <c r="J329" s="523"/>
      <c r="K329" s="424"/>
      <c r="L329" s="424"/>
      <c r="M329" s="418"/>
      <c r="N329" s="518"/>
      <c r="O329" s="423"/>
      <c r="P329" s="427"/>
      <c r="Q329" s="423"/>
      <c r="R329" s="523"/>
      <c r="S329" s="424"/>
      <c r="T329" s="424"/>
      <c r="U329" s="418"/>
      <c r="V329" s="428"/>
      <c r="W329" s="418"/>
      <c r="X329" s="418"/>
      <c r="Y329" s="524"/>
      <c r="Z329" s="418"/>
      <c r="AA329" s="418"/>
      <c r="AB329" s="429"/>
    </row>
    <row r="330" spans="1:28">
      <c r="A330" s="418"/>
      <c r="B330" s="418"/>
      <c r="C330" s="418"/>
      <c r="D330" s="520"/>
      <c r="E330" s="520"/>
      <c r="F330" s="520"/>
      <c r="G330" s="520"/>
      <c r="H330" s="418"/>
      <c r="I330" s="423"/>
      <c r="J330" s="523"/>
      <c r="K330" s="424"/>
      <c r="L330" s="424"/>
      <c r="M330" s="418"/>
      <c r="N330" s="518"/>
      <c r="O330" s="423"/>
      <c r="P330" s="427"/>
      <c r="Q330" s="423"/>
      <c r="R330" s="523"/>
      <c r="S330" s="424"/>
      <c r="T330" s="424"/>
      <c r="U330" s="418"/>
      <c r="V330" s="428"/>
      <c r="W330" s="418"/>
      <c r="X330" s="418"/>
      <c r="Y330" s="524"/>
      <c r="Z330" s="418"/>
      <c r="AA330" s="418"/>
      <c r="AB330" s="429"/>
    </row>
    <row r="331" spans="1:28">
      <c r="A331" s="418"/>
      <c r="B331" s="418"/>
      <c r="C331" s="418"/>
      <c r="D331" s="520"/>
      <c r="E331" s="520"/>
      <c r="F331" s="520"/>
      <c r="G331" s="520"/>
      <c r="H331" s="418"/>
      <c r="I331" s="423"/>
      <c r="J331" s="523"/>
      <c r="K331" s="424"/>
      <c r="L331" s="424"/>
      <c r="M331" s="418"/>
      <c r="N331" s="518"/>
      <c r="O331" s="423"/>
      <c r="P331" s="427"/>
      <c r="Q331" s="423"/>
      <c r="R331" s="523"/>
      <c r="S331" s="424"/>
      <c r="T331" s="424"/>
      <c r="U331" s="418"/>
      <c r="V331" s="428"/>
      <c r="W331" s="418"/>
      <c r="X331" s="418"/>
      <c r="Y331" s="524"/>
      <c r="Z331" s="418"/>
      <c r="AA331" s="418"/>
      <c r="AB331" s="429"/>
    </row>
    <row r="332" spans="1:28">
      <c r="A332" s="418"/>
      <c r="B332" s="418"/>
      <c r="C332" s="418"/>
      <c r="D332" s="520"/>
      <c r="E332" s="520"/>
      <c r="F332" s="520"/>
      <c r="G332" s="520"/>
      <c r="H332" s="418"/>
      <c r="I332" s="423"/>
      <c r="J332" s="523"/>
      <c r="K332" s="424"/>
      <c r="L332" s="424"/>
      <c r="M332" s="418"/>
      <c r="N332" s="518"/>
      <c r="O332" s="423"/>
      <c r="P332" s="427"/>
      <c r="Q332" s="423"/>
      <c r="R332" s="523"/>
      <c r="S332" s="424"/>
      <c r="T332" s="424"/>
      <c r="U332" s="418"/>
      <c r="V332" s="428"/>
      <c r="W332" s="418"/>
      <c r="X332" s="418"/>
      <c r="Y332" s="524"/>
      <c r="Z332" s="418"/>
      <c r="AA332" s="418"/>
      <c r="AB332" s="429"/>
    </row>
    <row r="333" spans="1:28">
      <c r="A333" s="418"/>
      <c r="B333" s="418"/>
      <c r="C333" s="418"/>
      <c r="D333" s="520"/>
      <c r="E333" s="520"/>
      <c r="F333" s="520"/>
      <c r="G333" s="520"/>
      <c r="H333" s="418"/>
      <c r="I333" s="423"/>
      <c r="J333" s="523"/>
      <c r="K333" s="424"/>
      <c r="L333" s="424"/>
      <c r="M333" s="418"/>
      <c r="N333" s="518"/>
      <c r="O333" s="423"/>
      <c r="P333" s="427"/>
      <c r="Q333" s="423"/>
      <c r="R333" s="523"/>
      <c r="S333" s="424"/>
      <c r="T333" s="424"/>
      <c r="U333" s="418"/>
      <c r="V333" s="428"/>
      <c r="W333" s="418"/>
      <c r="X333" s="418"/>
      <c r="Y333" s="524"/>
      <c r="Z333" s="418"/>
      <c r="AA333" s="418"/>
      <c r="AB333" s="429"/>
    </row>
    <row r="334" spans="1:28">
      <c r="A334" s="418"/>
      <c r="B334" s="418"/>
      <c r="C334" s="418"/>
      <c r="D334" s="520"/>
      <c r="E334" s="520"/>
      <c r="F334" s="520"/>
      <c r="G334" s="520"/>
      <c r="H334" s="418"/>
      <c r="I334" s="423"/>
      <c r="J334" s="523"/>
      <c r="K334" s="424"/>
      <c r="L334" s="424"/>
      <c r="M334" s="418"/>
      <c r="N334" s="518"/>
      <c r="O334" s="423"/>
      <c r="P334" s="427"/>
      <c r="Q334" s="423"/>
      <c r="R334" s="523"/>
      <c r="S334" s="424"/>
      <c r="T334" s="424"/>
      <c r="U334" s="418"/>
      <c r="V334" s="428"/>
      <c r="W334" s="418"/>
      <c r="X334" s="418"/>
      <c r="Y334" s="524"/>
      <c r="Z334" s="418"/>
      <c r="AA334" s="418"/>
      <c r="AB334" s="429"/>
    </row>
    <row r="335" spans="1:28">
      <c r="A335" s="418"/>
      <c r="B335" s="418"/>
      <c r="C335" s="418"/>
      <c r="D335" s="520"/>
      <c r="E335" s="520"/>
      <c r="F335" s="520"/>
      <c r="G335" s="520"/>
      <c r="H335" s="418"/>
      <c r="I335" s="423"/>
      <c r="J335" s="523"/>
      <c r="K335" s="424"/>
      <c r="L335" s="424"/>
      <c r="M335" s="418"/>
      <c r="N335" s="518"/>
      <c r="O335" s="423"/>
      <c r="P335" s="427"/>
      <c r="Q335" s="423"/>
      <c r="R335" s="523"/>
      <c r="S335" s="424"/>
      <c r="T335" s="424"/>
      <c r="U335" s="418"/>
      <c r="V335" s="428"/>
      <c r="W335" s="418"/>
      <c r="X335" s="418"/>
      <c r="Y335" s="524"/>
      <c r="Z335" s="418"/>
      <c r="AA335" s="418"/>
      <c r="AB335" s="429"/>
    </row>
    <row r="336" spans="1:28">
      <c r="A336" s="418"/>
      <c r="B336" s="418"/>
      <c r="C336" s="418"/>
      <c r="D336" s="520"/>
      <c r="E336" s="520"/>
      <c r="F336" s="520"/>
      <c r="G336" s="520"/>
      <c r="H336" s="418"/>
      <c r="I336" s="423"/>
      <c r="J336" s="523"/>
      <c r="K336" s="424"/>
      <c r="L336" s="424"/>
      <c r="M336" s="418"/>
      <c r="N336" s="518"/>
      <c r="O336" s="423"/>
      <c r="P336" s="427"/>
      <c r="Q336" s="423"/>
      <c r="R336" s="523"/>
      <c r="S336" s="424"/>
      <c r="T336" s="424"/>
      <c r="U336" s="418"/>
      <c r="V336" s="428"/>
      <c r="W336" s="418"/>
      <c r="X336" s="418"/>
      <c r="Y336" s="524"/>
      <c r="Z336" s="418"/>
      <c r="AA336" s="418"/>
      <c r="AB336" s="429"/>
    </row>
    <row r="337" spans="1:28">
      <c r="A337" s="418"/>
      <c r="B337" s="418"/>
      <c r="C337" s="418"/>
      <c r="D337" s="520"/>
      <c r="E337" s="520"/>
      <c r="F337" s="520"/>
      <c r="G337" s="520"/>
      <c r="H337" s="418"/>
      <c r="I337" s="423"/>
      <c r="J337" s="523"/>
      <c r="K337" s="424"/>
      <c r="L337" s="424"/>
      <c r="M337" s="418"/>
      <c r="N337" s="518"/>
      <c r="O337" s="423"/>
      <c r="P337" s="427"/>
      <c r="Q337" s="423"/>
      <c r="R337" s="523"/>
      <c r="S337" s="424"/>
      <c r="T337" s="424"/>
      <c r="U337" s="418"/>
      <c r="V337" s="428"/>
      <c r="W337" s="418"/>
      <c r="X337" s="418"/>
      <c r="Y337" s="524"/>
      <c r="Z337" s="418"/>
      <c r="AA337" s="418"/>
      <c r="AB337" s="429"/>
    </row>
    <row r="338" spans="1:28">
      <c r="A338" s="418"/>
      <c r="B338" s="418"/>
      <c r="C338" s="418"/>
      <c r="D338" s="520"/>
      <c r="E338" s="520"/>
      <c r="F338" s="520"/>
      <c r="G338" s="520"/>
      <c r="H338" s="418"/>
      <c r="I338" s="423"/>
      <c r="J338" s="523"/>
      <c r="K338" s="424"/>
      <c r="L338" s="424"/>
      <c r="M338" s="418"/>
      <c r="N338" s="518"/>
      <c r="O338" s="423"/>
      <c r="P338" s="427"/>
      <c r="Q338" s="423"/>
      <c r="R338" s="523"/>
      <c r="S338" s="424"/>
      <c r="T338" s="424"/>
      <c r="U338" s="418"/>
      <c r="V338" s="428"/>
      <c r="W338" s="418"/>
      <c r="X338" s="418"/>
      <c r="Y338" s="524"/>
      <c r="Z338" s="418"/>
      <c r="AA338" s="418"/>
      <c r="AB338" s="429"/>
    </row>
    <row r="339" spans="1:28">
      <c r="A339" s="418"/>
      <c r="B339" s="418"/>
      <c r="C339" s="418"/>
      <c r="D339" s="520"/>
      <c r="E339" s="520"/>
      <c r="F339" s="520"/>
      <c r="G339" s="520"/>
      <c r="H339" s="418"/>
      <c r="I339" s="423"/>
      <c r="J339" s="523"/>
      <c r="K339" s="424"/>
      <c r="L339" s="424"/>
      <c r="M339" s="418"/>
      <c r="N339" s="518"/>
      <c r="O339" s="423"/>
      <c r="P339" s="427"/>
      <c r="Q339" s="423"/>
      <c r="R339" s="523"/>
      <c r="S339" s="424"/>
      <c r="T339" s="424"/>
      <c r="U339" s="418"/>
      <c r="V339" s="428"/>
      <c r="W339" s="418"/>
      <c r="X339" s="418"/>
      <c r="Y339" s="524"/>
      <c r="Z339" s="418"/>
      <c r="AA339" s="418"/>
      <c r="AB339" s="429"/>
    </row>
    <row r="340" spans="1:28">
      <c r="A340" s="418"/>
      <c r="B340" s="418"/>
      <c r="C340" s="418"/>
      <c r="D340" s="520"/>
      <c r="E340" s="520"/>
      <c r="F340" s="520"/>
      <c r="G340" s="520"/>
      <c r="H340" s="418"/>
      <c r="I340" s="423"/>
      <c r="J340" s="523"/>
      <c r="K340" s="424"/>
      <c r="L340" s="424"/>
      <c r="M340" s="418"/>
      <c r="N340" s="518"/>
      <c r="O340" s="423"/>
      <c r="P340" s="427"/>
      <c r="Q340" s="423"/>
      <c r="R340" s="523"/>
      <c r="S340" s="424"/>
      <c r="T340" s="424"/>
      <c r="U340" s="418"/>
      <c r="V340" s="428"/>
      <c r="W340" s="418"/>
      <c r="X340" s="418"/>
      <c r="Y340" s="524"/>
      <c r="Z340" s="418"/>
      <c r="AA340" s="418"/>
      <c r="AB340" s="429"/>
    </row>
    <row r="341" spans="1:28">
      <c r="A341" s="418"/>
      <c r="B341" s="418"/>
      <c r="C341" s="418"/>
      <c r="D341" s="520"/>
      <c r="E341" s="520"/>
      <c r="F341" s="520"/>
      <c r="G341" s="520"/>
      <c r="H341" s="418"/>
      <c r="I341" s="423"/>
      <c r="J341" s="523"/>
      <c r="K341" s="424"/>
      <c r="L341" s="424"/>
      <c r="M341" s="418"/>
      <c r="N341" s="518"/>
      <c r="O341" s="423"/>
      <c r="P341" s="427"/>
      <c r="Q341" s="423"/>
      <c r="R341" s="523"/>
      <c r="S341" s="424"/>
      <c r="T341" s="424"/>
      <c r="U341" s="418"/>
      <c r="V341" s="428"/>
      <c r="W341" s="418"/>
      <c r="X341" s="418"/>
      <c r="Y341" s="524"/>
      <c r="Z341" s="418"/>
      <c r="AA341" s="418"/>
      <c r="AB341" s="429"/>
    </row>
    <row r="342" spans="1:28">
      <c r="A342" s="418"/>
      <c r="B342" s="418"/>
      <c r="C342" s="418"/>
      <c r="D342" s="520"/>
      <c r="E342" s="520"/>
      <c r="F342" s="520"/>
      <c r="G342" s="520"/>
      <c r="H342" s="418"/>
      <c r="I342" s="423"/>
      <c r="J342" s="523"/>
      <c r="K342" s="424"/>
      <c r="L342" s="424"/>
      <c r="M342" s="418"/>
      <c r="N342" s="518"/>
      <c r="O342" s="423"/>
      <c r="P342" s="427"/>
      <c r="Q342" s="423"/>
      <c r="R342" s="523"/>
      <c r="S342" s="424"/>
      <c r="T342" s="424"/>
      <c r="U342" s="418"/>
      <c r="V342" s="428"/>
      <c r="W342" s="418"/>
      <c r="X342" s="418"/>
      <c r="Y342" s="524"/>
      <c r="Z342" s="418"/>
      <c r="AA342" s="418"/>
      <c r="AB342" s="429"/>
    </row>
    <row r="343" spans="1:28">
      <c r="A343" s="418"/>
      <c r="B343" s="418"/>
      <c r="C343" s="418"/>
      <c r="D343" s="520"/>
      <c r="E343" s="520"/>
      <c r="F343" s="520"/>
      <c r="G343" s="520"/>
      <c r="H343" s="418"/>
      <c r="I343" s="423"/>
      <c r="J343" s="523"/>
      <c r="K343" s="424"/>
      <c r="L343" s="424"/>
      <c r="M343" s="418"/>
      <c r="N343" s="518"/>
      <c r="O343" s="423"/>
      <c r="P343" s="427"/>
      <c r="Q343" s="423"/>
      <c r="R343" s="523"/>
      <c r="S343" s="424"/>
      <c r="T343" s="424"/>
      <c r="U343" s="418"/>
      <c r="V343" s="428"/>
      <c r="W343" s="418"/>
      <c r="X343" s="418"/>
      <c r="Y343" s="524"/>
      <c r="Z343" s="418"/>
      <c r="AA343" s="418"/>
      <c r="AB343" s="429"/>
    </row>
    <row r="344" spans="1:28">
      <c r="A344" s="418"/>
      <c r="B344" s="418"/>
      <c r="C344" s="418"/>
      <c r="D344" s="520"/>
      <c r="E344" s="520"/>
      <c r="F344" s="520"/>
      <c r="G344" s="520"/>
      <c r="H344" s="418"/>
      <c r="I344" s="423"/>
      <c r="J344" s="523"/>
      <c r="K344" s="424"/>
      <c r="L344" s="424"/>
      <c r="M344" s="418"/>
      <c r="N344" s="518"/>
      <c r="O344" s="423"/>
      <c r="P344" s="427"/>
      <c r="Q344" s="423"/>
      <c r="R344" s="523"/>
      <c r="S344" s="424"/>
      <c r="T344" s="424"/>
      <c r="U344" s="418"/>
      <c r="V344" s="428"/>
      <c r="W344" s="418"/>
      <c r="X344" s="418"/>
      <c r="Y344" s="524"/>
      <c r="Z344" s="418"/>
      <c r="AA344" s="418"/>
      <c r="AB344" s="429"/>
    </row>
    <row r="345" spans="1:28">
      <c r="A345" s="418"/>
      <c r="B345" s="418"/>
      <c r="C345" s="418"/>
      <c r="D345" s="520"/>
      <c r="E345" s="520"/>
      <c r="F345" s="520"/>
      <c r="G345" s="520"/>
      <c r="H345" s="418"/>
      <c r="I345" s="423"/>
      <c r="J345" s="523"/>
      <c r="K345" s="424"/>
      <c r="L345" s="424"/>
      <c r="M345" s="418"/>
      <c r="N345" s="518"/>
      <c r="O345" s="423"/>
      <c r="P345" s="427"/>
      <c r="Q345" s="423"/>
      <c r="R345" s="523"/>
      <c r="S345" s="424"/>
      <c r="T345" s="424"/>
      <c r="U345" s="418"/>
      <c r="V345" s="428"/>
      <c r="W345" s="418"/>
      <c r="X345" s="418"/>
      <c r="Y345" s="524"/>
      <c r="Z345" s="418"/>
      <c r="AA345" s="418"/>
      <c r="AB345" s="429"/>
    </row>
    <row r="346" spans="1:28">
      <c r="A346" s="418"/>
      <c r="B346" s="418"/>
      <c r="C346" s="418"/>
      <c r="D346" s="520"/>
      <c r="E346" s="520"/>
      <c r="F346" s="520"/>
      <c r="G346" s="520"/>
      <c r="H346" s="418"/>
      <c r="I346" s="423"/>
      <c r="J346" s="523"/>
      <c r="K346" s="424"/>
      <c r="L346" s="424"/>
      <c r="M346" s="418"/>
      <c r="N346" s="518"/>
      <c r="O346" s="423"/>
      <c r="P346" s="427"/>
      <c r="Q346" s="423"/>
      <c r="R346" s="523"/>
      <c r="S346" s="424"/>
      <c r="T346" s="424"/>
      <c r="U346" s="418"/>
      <c r="V346" s="428"/>
      <c r="W346" s="418"/>
      <c r="X346" s="418"/>
      <c r="Y346" s="524"/>
      <c r="Z346" s="418"/>
      <c r="AA346" s="418"/>
      <c r="AB346" s="429"/>
    </row>
    <row r="347" spans="1:28">
      <c r="A347" s="418"/>
      <c r="B347" s="418"/>
      <c r="C347" s="418"/>
      <c r="D347" s="520"/>
      <c r="E347" s="520"/>
      <c r="F347" s="520"/>
      <c r="G347" s="520"/>
      <c r="H347" s="418"/>
      <c r="I347" s="423"/>
      <c r="J347" s="523"/>
      <c r="K347" s="424"/>
      <c r="L347" s="424"/>
      <c r="M347" s="418"/>
      <c r="N347" s="518"/>
      <c r="O347" s="423"/>
      <c r="P347" s="427"/>
      <c r="Q347" s="423"/>
      <c r="R347" s="523"/>
      <c r="S347" s="424"/>
      <c r="T347" s="424"/>
      <c r="U347" s="418"/>
      <c r="V347" s="428"/>
      <c r="W347" s="418"/>
      <c r="X347" s="418"/>
      <c r="Y347" s="524"/>
      <c r="Z347" s="418"/>
      <c r="AA347" s="418"/>
      <c r="AB347" s="429"/>
    </row>
    <row r="348" spans="1:28">
      <c r="A348" s="418"/>
      <c r="B348" s="418"/>
      <c r="C348" s="418"/>
      <c r="D348" s="520"/>
      <c r="E348" s="520"/>
      <c r="F348" s="520"/>
      <c r="G348" s="520"/>
      <c r="H348" s="418"/>
      <c r="I348" s="423"/>
      <c r="J348" s="523"/>
      <c r="K348" s="424"/>
      <c r="L348" s="424"/>
      <c r="M348" s="418"/>
      <c r="N348" s="518"/>
      <c r="O348" s="423"/>
      <c r="P348" s="427"/>
      <c r="Q348" s="423"/>
      <c r="R348" s="523"/>
      <c r="S348" s="424"/>
      <c r="T348" s="424"/>
      <c r="U348" s="418"/>
      <c r="V348" s="428"/>
      <c r="W348" s="418"/>
      <c r="X348" s="418"/>
      <c r="Y348" s="524"/>
      <c r="Z348" s="418"/>
      <c r="AA348" s="418"/>
      <c r="AB348" s="429"/>
    </row>
    <row r="349" spans="1:28">
      <c r="A349" s="418"/>
      <c r="B349" s="418"/>
      <c r="C349" s="418"/>
      <c r="D349" s="520"/>
      <c r="E349" s="520"/>
      <c r="F349" s="520"/>
      <c r="G349" s="520"/>
      <c r="H349" s="418"/>
      <c r="I349" s="423"/>
      <c r="J349" s="523"/>
      <c r="K349" s="424"/>
      <c r="L349" s="424"/>
      <c r="M349" s="418"/>
      <c r="N349" s="518"/>
      <c r="O349" s="423"/>
      <c r="P349" s="427"/>
      <c r="Q349" s="423"/>
      <c r="R349" s="523"/>
      <c r="S349" s="424"/>
      <c r="T349" s="424"/>
      <c r="U349" s="418"/>
      <c r="V349" s="428"/>
      <c r="W349" s="418"/>
      <c r="X349" s="418"/>
      <c r="Y349" s="524"/>
      <c r="Z349" s="418"/>
      <c r="AA349" s="418"/>
      <c r="AB349" s="429"/>
    </row>
    <row r="350" spans="1:28">
      <c r="A350" s="418"/>
      <c r="B350" s="418"/>
      <c r="C350" s="418"/>
      <c r="D350" s="520"/>
      <c r="E350" s="520"/>
      <c r="F350" s="520"/>
      <c r="G350" s="520"/>
      <c r="H350" s="418"/>
      <c r="I350" s="423"/>
      <c r="J350" s="523"/>
      <c r="K350" s="424"/>
      <c r="L350" s="424"/>
      <c r="M350" s="418"/>
      <c r="N350" s="518"/>
      <c r="O350" s="423"/>
      <c r="P350" s="427"/>
      <c r="Q350" s="423"/>
      <c r="R350" s="523"/>
      <c r="S350" s="424"/>
      <c r="T350" s="424"/>
      <c r="U350" s="418"/>
      <c r="V350" s="428"/>
      <c r="W350" s="418"/>
      <c r="X350" s="418"/>
      <c r="Y350" s="524"/>
      <c r="Z350" s="418"/>
      <c r="AA350" s="418"/>
      <c r="AB350" s="429"/>
    </row>
    <row r="351" spans="1:28">
      <c r="A351" s="418"/>
      <c r="B351" s="418"/>
      <c r="C351" s="418"/>
      <c r="D351" s="520"/>
      <c r="E351" s="520"/>
      <c r="F351" s="520"/>
      <c r="G351" s="520"/>
      <c r="H351" s="418"/>
      <c r="I351" s="423"/>
      <c r="J351" s="523"/>
      <c r="K351" s="424"/>
      <c r="L351" s="424"/>
      <c r="M351" s="418"/>
      <c r="N351" s="518"/>
      <c r="O351" s="423"/>
      <c r="P351" s="427"/>
      <c r="Q351" s="423"/>
      <c r="R351" s="523"/>
      <c r="S351" s="424"/>
      <c r="T351" s="424"/>
      <c r="U351" s="418"/>
      <c r="V351" s="428"/>
      <c r="W351" s="418"/>
      <c r="X351" s="418"/>
      <c r="Y351" s="524"/>
      <c r="Z351" s="418"/>
      <c r="AA351" s="418"/>
      <c r="AB351" s="429"/>
    </row>
    <row r="352" spans="1:28">
      <c r="A352" s="418"/>
      <c r="B352" s="418"/>
      <c r="C352" s="418"/>
      <c r="D352" s="520"/>
      <c r="E352" s="520"/>
      <c r="F352" s="520"/>
      <c r="G352" s="520"/>
      <c r="H352" s="418"/>
      <c r="I352" s="423"/>
      <c r="J352" s="523"/>
      <c r="K352" s="424"/>
      <c r="L352" s="424"/>
      <c r="M352" s="418"/>
      <c r="N352" s="518"/>
      <c r="O352" s="423"/>
      <c r="P352" s="427"/>
      <c r="Q352" s="423"/>
      <c r="R352" s="523"/>
      <c r="S352" s="424"/>
      <c r="T352" s="424"/>
      <c r="U352" s="418"/>
      <c r="V352" s="428"/>
      <c r="W352" s="418"/>
      <c r="X352" s="418"/>
      <c r="Y352" s="524"/>
      <c r="Z352" s="418"/>
      <c r="AA352" s="418"/>
      <c r="AB352" s="429"/>
    </row>
    <row r="353" spans="1:28">
      <c r="A353" s="418"/>
      <c r="B353" s="418"/>
      <c r="C353" s="418"/>
      <c r="D353" s="520"/>
      <c r="E353" s="520"/>
      <c r="F353" s="520"/>
      <c r="G353" s="520"/>
      <c r="H353" s="418"/>
      <c r="I353" s="423"/>
      <c r="J353" s="523"/>
      <c r="K353" s="424"/>
      <c r="L353" s="424"/>
      <c r="M353" s="418"/>
      <c r="N353" s="518"/>
      <c r="O353" s="423"/>
      <c r="P353" s="427"/>
      <c r="Q353" s="423"/>
      <c r="R353" s="523"/>
      <c r="S353" s="424"/>
      <c r="T353" s="424"/>
      <c r="U353" s="418"/>
      <c r="V353" s="428"/>
      <c r="W353" s="418"/>
      <c r="X353" s="418"/>
      <c r="Y353" s="524"/>
      <c r="Z353" s="418"/>
      <c r="AA353" s="418"/>
      <c r="AB353" s="429"/>
    </row>
    <row r="354" spans="1:28">
      <c r="A354" s="418"/>
      <c r="B354" s="418"/>
      <c r="C354" s="418"/>
      <c r="D354" s="520"/>
      <c r="E354" s="520"/>
      <c r="F354" s="520"/>
      <c r="G354" s="520"/>
      <c r="H354" s="418"/>
      <c r="I354" s="423"/>
      <c r="J354" s="523"/>
      <c r="K354" s="424"/>
      <c r="L354" s="424"/>
      <c r="M354" s="418"/>
      <c r="N354" s="518"/>
      <c r="O354" s="423"/>
      <c r="P354" s="427"/>
      <c r="Q354" s="423"/>
      <c r="R354" s="523"/>
      <c r="S354" s="424"/>
      <c r="T354" s="424"/>
      <c r="U354" s="418"/>
      <c r="V354" s="428"/>
      <c r="W354" s="418"/>
      <c r="X354" s="418"/>
      <c r="Y354" s="524"/>
      <c r="Z354" s="418"/>
      <c r="AA354" s="418"/>
      <c r="AB354" s="429"/>
    </row>
    <row r="355" spans="1:28">
      <c r="A355" s="418"/>
      <c r="B355" s="418"/>
      <c r="C355" s="418"/>
      <c r="D355" s="520"/>
      <c r="E355" s="520"/>
      <c r="F355" s="520"/>
      <c r="G355" s="520"/>
      <c r="H355" s="418"/>
      <c r="I355" s="423"/>
      <c r="J355" s="523"/>
      <c r="K355" s="424"/>
      <c r="L355" s="424"/>
      <c r="M355" s="418"/>
      <c r="N355" s="518"/>
      <c r="O355" s="423"/>
      <c r="P355" s="427"/>
      <c r="Q355" s="423"/>
      <c r="R355" s="523"/>
      <c r="S355" s="424"/>
      <c r="T355" s="424"/>
      <c r="U355" s="418"/>
      <c r="V355" s="428"/>
      <c r="W355" s="418"/>
      <c r="X355" s="418"/>
      <c r="Y355" s="524"/>
      <c r="Z355" s="418"/>
      <c r="AA355" s="418"/>
      <c r="AB355" s="429"/>
    </row>
    <row r="356" spans="1:28">
      <c r="A356" s="418"/>
      <c r="B356" s="418"/>
      <c r="C356" s="418"/>
      <c r="D356" s="520"/>
      <c r="E356" s="520"/>
      <c r="F356" s="520"/>
      <c r="G356" s="520"/>
      <c r="H356" s="418"/>
      <c r="I356" s="423"/>
      <c r="J356" s="523"/>
      <c r="K356" s="424"/>
      <c r="L356" s="424"/>
      <c r="M356" s="418"/>
      <c r="N356" s="518"/>
      <c r="O356" s="423"/>
      <c r="P356" s="427"/>
      <c r="Q356" s="423"/>
      <c r="R356" s="523"/>
      <c r="S356" s="424"/>
      <c r="T356" s="424"/>
      <c r="U356" s="418"/>
      <c r="V356" s="428"/>
      <c r="W356" s="418"/>
      <c r="X356" s="418"/>
      <c r="Y356" s="524"/>
      <c r="Z356" s="418"/>
      <c r="AA356" s="418"/>
      <c r="AB356" s="429"/>
    </row>
    <row r="357" spans="1:28">
      <c r="A357" s="418"/>
      <c r="B357" s="418"/>
      <c r="C357" s="418"/>
      <c r="D357" s="520"/>
      <c r="E357" s="520"/>
      <c r="F357" s="520"/>
      <c r="G357" s="520"/>
      <c r="H357" s="418"/>
      <c r="I357" s="423"/>
      <c r="J357" s="523"/>
      <c r="K357" s="424"/>
      <c r="L357" s="424"/>
      <c r="M357" s="418"/>
      <c r="N357" s="518"/>
      <c r="O357" s="423"/>
      <c r="P357" s="427"/>
      <c r="Q357" s="423"/>
      <c r="R357" s="523"/>
      <c r="S357" s="424"/>
      <c r="T357" s="424"/>
      <c r="U357" s="418"/>
      <c r="V357" s="428"/>
      <c r="W357" s="418"/>
      <c r="X357" s="418"/>
      <c r="Y357" s="524"/>
      <c r="Z357" s="418"/>
      <c r="AA357" s="418"/>
      <c r="AB357" s="429"/>
    </row>
    <row r="358" spans="1:28">
      <c r="A358" s="418"/>
      <c r="B358" s="418"/>
      <c r="C358" s="418"/>
      <c r="D358" s="520"/>
      <c r="E358" s="520"/>
      <c r="F358" s="520"/>
      <c r="G358" s="520"/>
      <c r="H358" s="418"/>
      <c r="I358" s="423"/>
      <c r="J358" s="523"/>
      <c r="K358" s="424"/>
      <c r="L358" s="424"/>
      <c r="M358" s="418"/>
      <c r="N358" s="518"/>
      <c r="O358" s="423"/>
      <c r="P358" s="427"/>
      <c r="Q358" s="423"/>
      <c r="R358" s="523"/>
      <c r="S358" s="424"/>
      <c r="T358" s="424"/>
      <c r="U358" s="418"/>
      <c r="V358" s="428"/>
      <c r="W358" s="418"/>
      <c r="X358" s="418"/>
      <c r="Y358" s="524"/>
      <c r="Z358" s="418"/>
      <c r="AA358" s="418"/>
      <c r="AB358" s="429"/>
    </row>
    <row r="359" spans="1:28">
      <c r="A359" s="418"/>
      <c r="B359" s="418"/>
      <c r="C359" s="418"/>
      <c r="D359" s="520"/>
      <c r="E359" s="520"/>
      <c r="F359" s="520"/>
      <c r="G359" s="520"/>
      <c r="H359" s="418"/>
      <c r="I359" s="423"/>
      <c r="J359" s="523"/>
      <c r="K359" s="424"/>
      <c r="L359" s="424"/>
      <c r="M359" s="418"/>
      <c r="N359" s="518"/>
      <c r="O359" s="423"/>
      <c r="P359" s="427"/>
      <c r="Q359" s="423"/>
      <c r="R359" s="523"/>
      <c r="S359" s="424"/>
      <c r="T359" s="424"/>
      <c r="U359" s="418"/>
      <c r="V359" s="428"/>
      <c r="W359" s="418"/>
      <c r="X359" s="418"/>
      <c r="Y359" s="524"/>
      <c r="Z359" s="418"/>
      <c r="AA359" s="418"/>
      <c r="AB359" s="429"/>
    </row>
    <row r="360" spans="1:28">
      <c r="A360" s="418"/>
      <c r="B360" s="418"/>
      <c r="C360" s="418"/>
      <c r="D360" s="520"/>
      <c r="E360" s="520"/>
      <c r="F360" s="520"/>
      <c r="G360" s="520"/>
      <c r="H360" s="418"/>
      <c r="I360" s="423"/>
      <c r="J360" s="523"/>
      <c r="K360" s="424"/>
      <c r="L360" s="424"/>
      <c r="M360" s="418"/>
      <c r="N360" s="518"/>
      <c r="O360" s="423"/>
      <c r="P360" s="427"/>
      <c r="Q360" s="423"/>
      <c r="R360" s="523"/>
      <c r="S360" s="424"/>
      <c r="T360" s="424"/>
      <c r="U360" s="418"/>
      <c r="V360" s="428"/>
      <c r="W360" s="418"/>
      <c r="X360" s="418"/>
      <c r="Y360" s="524"/>
      <c r="Z360" s="418"/>
      <c r="AA360" s="418"/>
      <c r="AB360" s="429"/>
    </row>
    <row r="361" spans="1:28">
      <c r="A361" s="418"/>
      <c r="B361" s="418"/>
      <c r="C361" s="418"/>
      <c r="D361" s="520"/>
      <c r="E361" s="520"/>
      <c r="F361" s="520"/>
      <c r="G361" s="520"/>
      <c r="H361" s="418"/>
      <c r="I361" s="423"/>
      <c r="J361" s="523"/>
      <c r="K361" s="424"/>
      <c r="L361" s="424"/>
      <c r="M361" s="418"/>
      <c r="N361" s="518"/>
      <c r="O361" s="423"/>
      <c r="P361" s="427"/>
      <c r="Q361" s="423"/>
      <c r="R361" s="523"/>
      <c r="S361" s="424"/>
      <c r="T361" s="424"/>
      <c r="U361" s="418"/>
      <c r="V361" s="428"/>
      <c r="W361" s="418"/>
      <c r="X361" s="418"/>
      <c r="Y361" s="524"/>
      <c r="Z361" s="418"/>
      <c r="AA361" s="418"/>
      <c r="AB361" s="429"/>
    </row>
    <row r="362" spans="1:28">
      <c r="A362" s="418"/>
      <c r="B362" s="418"/>
      <c r="C362" s="418"/>
      <c r="D362" s="520"/>
      <c r="E362" s="520"/>
      <c r="F362" s="520"/>
      <c r="G362" s="520"/>
      <c r="H362" s="418"/>
      <c r="I362" s="423"/>
      <c r="J362" s="523"/>
      <c r="K362" s="424"/>
      <c r="L362" s="424"/>
      <c r="M362" s="418"/>
      <c r="N362" s="518"/>
      <c r="O362" s="423"/>
      <c r="P362" s="427"/>
      <c r="Q362" s="423"/>
      <c r="R362" s="523"/>
      <c r="S362" s="424"/>
      <c r="T362" s="424"/>
      <c r="U362" s="418"/>
      <c r="V362" s="428"/>
      <c r="W362" s="418"/>
      <c r="X362" s="418"/>
      <c r="Y362" s="524"/>
      <c r="Z362" s="418"/>
      <c r="AA362" s="418"/>
      <c r="AB362" s="429"/>
    </row>
    <row r="363" spans="1:28">
      <c r="A363" s="418"/>
      <c r="B363" s="418"/>
      <c r="C363" s="418"/>
      <c r="D363" s="520"/>
      <c r="E363" s="520"/>
      <c r="F363" s="520"/>
      <c r="G363" s="520"/>
      <c r="H363" s="418"/>
      <c r="I363" s="423"/>
      <c r="J363" s="523"/>
      <c r="K363" s="424"/>
      <c r="L363" s="424"/>
      <c r="M363" s="418"/>
      <c r="N363" s="518"/>
      <c r="O363" s="423"/>
      <c r="P363" s="427"/>
      <c r="Q363" s="423"/>
      <c r="R363" s="523"/>
      <c r="S363" s="424"/>
      <c r="T363" s="424"/>
      <c r="U363" s="418"/>
      <c r="V363" s="428"/>
      <c r="W363" s="418"/>
      <c r="X363" s="418"/>
      <c r="Y363" s="524"/>
      <c r="Z363" s="418"/>
      <c r="AA363" s="418"/>
      <c r="AB363" s="429"/>
    </row>
    <row r="364" spans="1:28">
      <c r="A364" s="418"/>
      <c r="B364" s="418"/>
      <c r="C364" s="418"/>
      <c r="D364" s="520"/>
      <c r="E364" s="520"/>
      <c r="F364" s="520"/>
      <c r="G364" s="520"/>
      <c r="H364" s="418"/>
      <c r="I364" s="423"/>
      <c r="J364" s="523"/>
      <c r="K364" s="424"/>
      <c r="L364" s="424"/>
      <c r="M364" s="418"/>
      <c r="N364" s="518"/>
      <c r="O364" s="423"/>
      <c r="P364" s="427"/>
      <c r="Q364" s="423"/>
      <c r="R364" s="523"/>
      <c r="S364" s="424"/>
      <c r="T364" s="424"/>
      <c r="U364" s="418"/>
      <c r="V364" s="428"/>
      <c r="W364" s="418"/>
      <c r="X364" s="418"/>
      <c r="Y364" s="524"/>
      <c r="Z364" s="418"/>
      <c r="AA364" s="418"/>
      <c r="AB364" s="429"/>
    </row>
    <row r="365" spans="1:28">
      <c r="A365" s="418"/>
      <c r="B365" s="418"/>
      <c r="C365" s="418"/>
      <c r="D365" s="520"/>
      <c r="E365" s="520"/>
      <c r="F365" s="520"/>
      <c r="G365" s="520"/>
      <c r="H365" s="418"/>
      <c r="I365" s="423"/>
      <c r="J365" s="523"/>
      <c r="K365" s="424"/>
      <c r="L365" s="424"/>
      <c r="M365" s="418"/>
      <c r="N365" s="518"/>
      <c r="O365" s="423"/>
      <c r="P365" s="427"/>
      <c r="Q365" s="423"/>
      <c r="R365" s="523"/>
      <c r="S365" s="424"/>
      <c r="T365" s="424"/>
      <c r="U365" s="418"/>
      <c r="V365" s="428"/>
      <c r="W365" s="418"/>
      <c r="X365" s="418"/>
      <c r="Y365" s="524"/>
      <c r="Z365" s="418"/>
      <c r="AA365" s="418"/>
      <c r="AB365" s="429"/>
    </row>
    <row r="366" spans="1:28">
      <c r="A366" s="418"/>
      <c r="B366" s="418"/>
      <c r="C366" s="418"/>
      <c r="D366" s="520"/>
      <c r="E366" s="520"/>
      <c r="F366" s="520"/>
      <c r="G366" s="520"/>
      <c r="H366" s="418"/>
      <c r="I366" s="423"/>
      <c r="J366" s="523"/>
      <c r="K366" s="424"/>
      <c r="L366" s="424"/>
      <c r="M366" s="418"/>
      <c r="N366" s="518"/>
      <c r="O366" s="423"/>
      <c r="P366" s="427"/>
      <c r="Q366" s="423"/>
      <c r="R366" s="523"/>
      <c r="S366" s="424"/>
      <c r="T366" s="424"/>
      <c r="U366" s="418"/>
      <c r="V366" s="428"/>
      <c r="W366" s="418"/>
      <c r="X366" s="418"/>
      <c r="Y366" s="524"/>
      <c r="Z366" s="418"/>
      <c r="AA366" s="418"/>
      <c r="AB366" s="429"/>
    </row>
    <row r="367" spans="1:28">
      <c r="A367" s="418"/>
      <c r="B367" s="418"/>
      <c r="C367" s="418"/>
      <c r="D367" s="520"/>
      <c r="E367" s="520"/>
      <c r="F367" s="520"/>
      <c r="G367" s="520"/>
      <c r="H367" s="418"/>
      <c r="I367" s="423"/>
      <c r="J367" s="523"/>
      <c r="K367" s="424"/>
      <c r="L367" s="424"/>
      <c r="M367" s="418"/>
      <c r="N367" s="518"/>
      <c r="O367" s="423"/>
      <c r="P367" s="427"/>
      <c r="Q367" s="423"/>
      <c r="R367" s="523"/>
      <c r="S367" s="424"/>
      <c r="T367" s="424"/>
      <c r="U367" s="418"/>
      <c r="V367" s="428"/>
      <c r="W367" s="418"/>
      <c r="X367" s="418"/>
      <c r="Y367" s="524"/>
      <c r="Z367" s="418"/>
      <c r="AA367" s="418"/>
      <c r="AB367" s="429"/>
    </row>
    <row r="368" spans="1:28">
      <c r="A368" s="418"/>
      <c r="B368" s="418"/>
      <c r="C368" s="418"/>
      <c r="D368" s="520"/>
      <c r="E368" s="520"/>
      <c r="F368" s="520"/>
      <c r="G368" s="520"/>
      <c r="H368" s="418"/>
      <c r="I368" s="423"/>
      <c r="J368" s="523"/>
      <c r="K368" s="424"/>
      <c r="L368" s="424"/>
      <c r="M368" s="418"/>
      <c r="N368" s="518"/>
      <c r="O368" s="423"/>
      <c r="P368" s="427"/>
      <c r="Q368" s="423"/>
      <c r="R368" s="523"/>
      <c r="S368" s="424"/>
      <c r="T368" s="424"/>
      <c r="U368" s="418"/>
      <c r="V368" s="428"/>
      <c r="W368" s="418"/>
      <c r="X368" s="418"/>
      <c r="Y368" s="524"/>
      <c r="Z368" s="418"/>
      <c r="AA368" s="418"/>
      <c r="AB368" s="429"/>
    </row>
    <row r="369" spans="1:28">
      <c r="A369" s="418"/>
      <c r="B369" s="418"/>
      <c r="C369" s="418"/>
      <c r="D369" s="520"/>
      <c r="E369" s="520"/>
      <c r="F369" s="520"/>
      <c r="G369" s="520"/>
      <c r="H369" s="418"/>
      <c r="I369" s="423"/>
      <c r="J369" s="523"/>
      <c r="K369" s="424"/>
      <c r="L369" s="424"/>
      <c r="M369" s="418"/>
      <c r="N369" s="518"/>
      <c r="O369" s="423"/>
      <c r="P369" s="427"/>
      <c r="Q369" s="423"/>
      <c r="R369" s="523"/>
      <c r="S369" s="424"/>
      <c r="T369" s="424"/>
      <c r="U369" s="418"/>
      <c r="V369" s="428"/>
      <c r="W369" s="418"/>
      <c r="X369" s="418"/>
      <c r="Y369" s="524"/>
      <c r="Z369" s="418"/>
      <c r="AA369" s="418"/>
      <c r="AB369" s="429"/>
    </row>
    <row r="370" spans="1:28">
      <c r="A370" s="418"/>
      <c r="B370" s="418"/>
      <c r="C370" s="418"/>
      <c r="D370" s="520"/>
      <c r="E370" s="520"/>
      <c r="F370" s="520"/>
      <c r="G370" s="520"/>
      <c r="H370" s="418"/>
      <c r="I370" s="423"/>
      <c r="J370" s="523"/>
      <c r="K370" s="424"/>
      <c r="L370" s="424"/>
      <c r="M370" s="418"/>
      <c r="N370" s="518"/>
      <c r="O370" s="423"/>
      <c r="P370" s="427"/>
      <c r="Q370" s="423"/>
      <c r="R370" s="523"/>
      <c r="S370" s="424"/>
      <c r="T370" s="424"/>
      <c r="U370" s="418"/>
      <c r="V370" s="428"/>
      <c r="W370" s="418"/>
      <c r="X370" s="418"/>
      <c r="Y370" s="524"/>
      <c r="Z370" s="418"/>
      <c r="AA370" s="418"/>
      <c r="AB370" s="429"/>
    </row>
    <row r="371" spans="1:28">
      <c r="A371" s="418"/>
      <c r="B371" s="418"/>
      <c r="C371" s="418"/>
      <c r="D371" s="520"/>
      <c r="E371" s="520"/>
      <c r="F371" s="520"/>
      <c r="G371" s="520"/>
      <c r="H371" s="418"/>
      <c r="I371" s="423"/>
      <c r="J371" s="523"/>
      <c r="K371" s="424"/>
      <c r="L371" s="424"/>
      <c r="M371" s="418"/>
      <c r="N371" s="518"/>
      <c r="O371" s="423"/>
      <c r="P371" s="427"/>
      <c r="Q371" s="423"/>
      <c r="R371" s="523"/>
      <c r="S371" s="424"/>
      <c r="T371" s="424"/>
      <c r="U371" s="418"/>
      <c r="V371" s="428"/>
      <c r="W371" s="418"/>
      <c r="X371" s="418"/>
      <c r="Y371" s="524"/>
      <c r="Z371" s="418"/>
      <c r="AA371" s="418"/>
      <c r="AB371" s="429"/>
    </row>
    <row r="372" spans="1:28">
      <c r="A372" s="418"/>
      <c r="B372" s="418"/>
      <c r="C372" s="418"/>
      <c r="D372" s="520"/>
      <c r="E372" s="520"/>
      <c r="F372" s="520"/>
      <c r="G372" s="520"/>
      <c r="H372" s="418"/>
      <c r="I372" s="423"/>
      <c r="J372" s="523"/>
      <c r="K372" s="424"/>
      <c r="L372" s="424"/>
      <c r="M372" s="418"/>
      <c r="N372" s="518"/>
      <c r="O372" s="423"/>
      <c r="P372" s="427"/>
      <c r="Q372" s="423"/>
      <c r="R372" s="523"/>
      <c r="S372" s="424"/>
      <c r="T372" s="424"/>
      <c r="U372" s="418"/>
      <c r="V372" s="428"/>
      <c r="W372" s="418"/>
      <c r="X372" s="418"/>
      <c r="Y372" s="524"/>
      <c r="Z372" s="418"/>
      <c r="AA372" s="418"/>
      <c r="AB372" s="429"/>
    </row>
    <row r="373" spans="1:28">
      <c r="A373" s="418"/>
      <c r="B373" s="418"/>
      <c r="C373" s="418"/>
      <c r="D373" s="520"/>
      <c r="E373" s="520"/>
      <c r="F373" s="520"/>
      <c r="G373" s="520"/>
      <c r="H373" s="418"/>
      <c r="I373" s="423"/>
      <c r="J373" s="523"/>
      <c r="K373" s="424"/>
      <c r="L373" s="424"/>
      <c r="M373" s="418"/>
      <c r="N373" s="518"/>
      <c r="O373" s="423"/>
      <c r="P373" s="427"/>
      <c r="Q373" s="423"/>
      <c r="R373" s="523"/>
      <c r="S373" s="424"/>
      <c r="T373" s="424"/>
      <c r="U373" s="418"/>
      <c r="V373" s="428"/>
      <c r="W373" s="418"/>
      <c r="X373" s="418"/>
      <c r="Y373" s="524"/>
      <c r="Z373" s="418"/>
      <c r="AA373" s="418"/>
      <c r="AB373" s="429"/>
    </row>
    <row r="374" spans="1:28">
      <c r="A374" s="418"/>
      <c r="B374" s="418"/>
      <c r="C374" s="418"/>
      <c r="D374" s="520"/>
      <c r="E374" s="520"/>
      <c r="F374" s="520"/>
      <c r="G374" s="520"/>
      <c r="H374" s="418"/>
      <c r="I374" s="423"/>
      <c r="J374" s="523"/>
      <c r="K374" s="424"/>
      <c r="L374" s="424"/>
      <c r="M374" s="418"/>
      <c r="N374" s="518"/>
      <c r="O374" s="423"/>
      <c r="P374" s="427"/>
      <c r="Q374" s="423"/>
      <c r="R374" s="523"/>
      <c r="S374" s="424"/>
      <c r="T374" s="424"/>
      <c r="U374" s="418"/>
      <c r="V374" s="428"/>
      <c r="W374" s="418"/>
      <c r="X374" s="418"/>
      <c r="Y374" s="524"/>
      <c r="Z374" s="418"/>
      <c r="AA374" s="418"/>
      <c r="AB374" s="429"/>
    </row>
    <row r="375" spans="1:28">
      <c r="A375" s="418"/>
      <c r="B375" s="418"/>
      <c r="C375" s="418"/>
      <c r="D375" s="520"/>
      <c r="E375" s="520"/>
      <c r="F375" s="520"/>
      <c r="G375" s="520"/>
      <c r="H375" s="418"/>
      <c r="I375" s="423"/>
      <c r="J375" s="523"/>
      <c r="K375" s="424"/>
      <c r="L375" s="424"/>
      <c r="M375" s="418"/>
      <c r="N375" s="518"/>
      <c r="O375" s="423"/>
      <c r="P375" s="427"/>
      <c r="Q375" s="423"/>
      <c r="R375" s="523"/>
      <c r="S375" s="424"/>
      <c r="T375" s="424"/>
      <c r="U375" s="418"/>
      <c r="V375" s="428"/>
      <c r="W375" s="418"/>
      <c r="X375" s="418"/>
      <c r="Y375" s="524"/>
      <c r="Z375" s="418"/>
      <c r="AA375" s="418"/>
      <c r="AB375" s="429"/>
    </row>
    <row r="376" spans="1:28">
      <c r="A376" s="418"/>
      <c r="B376" s="418"/>
      <c r="C376" s="418"/>
      <c r="D376" s="520"/>
      <c r="E376" s="520"/>
      <c r="F376" s="520"/>
      <c r="G376" s="520"/>
      <c r="H376" s="418"/>
      <c r="I376" s="423"/>
      <c r="J376" s="523"/>
      <c r="K376" s="424"/>
      <c r="L376" s="424"/>
      <c r="M376" s="418"/>
      <c r="N376" s="518"/>
      <c r="O376" s="423"/>
      <c r="P376" s="427"/>
      <c r="Q376" s="423"/>
      <c r="R376" s="523"/>
      <c r="S376" s="424"/>
      <c r="T376" s="424"/>
      <c r="U376" s="418"/>
      <c r="V376" s="428"/>
      <c r="W376" s="418"/>
      <c r="X376" s="418"/>
      <c r="Y376" s="524"/>
      <c r="Z376" s="418"/>
      <c r="AA376" s="418"/>
      <c r="AB376" s="429"/>
    </row>
    <row r="377" spans="1:28">
      <c r="A377" s="418"/>
      <c r="B377" s="418"/>
      <c r="C377" s="418"/>
      <c r="D377" s="520"/>
      <c r="E377" s="520"/>
      <c r="F377" s="520"/>
      <c r="G377" s="520"/>
      <c r="H377" s="418"/>
      <c r="I377" s="423"/>
      <c r="J377" s="523"/>
      <c r="K377" s="424"/>
      <c r="L377" s="424"/>
      <c r="M377" s="418"/>
      <c r="N377" s="518"/>
      <c r="O377" s="423"/>
      <c r="P377" s="427"/>
      <c r="Q377" s="423"/>
      <c r="R377" s="523"/>
      <c r="S377" s="424"/>
      <c r="T377" s="424"/>
      <c r="U377" s="418"/>
      <c r="V377" s="428"/>
      <c r="W377" s="418"/>
      <c r="X377" s="418"/>
      <c r="Y377" s="524"/>
      <c r="Z377" s="418"/>
      <c r="AA377" s="418"/>
      <c r="AB377" s="429"/>
    </row>
    <row r="378" spans="1:28">
      <c r="A378" s="418"/>
      <c r="B378" s="418"/>
      <c r="C378" s="418"/>
      <c r="D378" s="520"/>
      <c r="E378" s="520"/>
      <c r="F378" s="520"/>
      <c r="G378" s="520"/>
      <c r="H378" s="418"/>
      <c r="I378" s="423"/>
      <c r="J378" s="523"/>
      <c r="K378" s="424"/>
      <c r="L378" s="424"/>
      <c r="M378" s="418"/>
      <c r="N378" s="518"/>
      <c r="O378" s="423"/>
      <c r="P378" s="427"/>
      <c r="Q378" s="423"/>
      <c r="R378" s="523"/>
      <c r="S378" s="424"/>
      <c r="T378" s="424"/>
      <c r="U378" s="418"/>
      <c r="V378" s="428"/>
      <c r="W378" s="418"/>
      <c r="X378" s="418"/>
      <c r="Y378" s="524"/>
      <c r="Z378" s="418"/>
      <c r="AA378" s="418"/>
      <c r="AB378" s="429"/>
    </row>
    <row r="379" spans="1:28">
      <c r="A379" s="418"/>
      <c r="B379" s="418"/>
      <c r="C379" s="418"/>
      <c r="D379" s="520"/>
      <c r="E379" s="520"/>
      <c r="F379" s="520"/>
      <c r="G379" s="520"/>
      <c r="H379" s="418"/>
      <c r="I379" s="423"/>
      <c r="J379" s="523"/>
      <c r="K379" s="424"/>
      <c r="L379" s="424"/>
      <c r="M379" s="418"/>
      <c r="N379" s="518"/>
      <c r="O379" s="423"/>
      <c r="P379" s="427"/>
      <c r="Q379" s="423"/>
      <c r="R379" s="523"/>
      <c r="S379" s="424"/>
      <c r="T379" s="424"/>
      <c r="U379" s="418"/>
      <c r="V379" s="428"/>
      <c r="W379" s="418"/>
      <c r="X379" s="418"/>
      <c r="Y379" s="524"/>
      <c r="Z379" s="418"/>
      <c r="AA379" s="418"/>
      <c r="AB379" s="429"/>
    </row>
    <row r="380" spans="1:28">
      <c r="A380" s="418"/>
      <c r="B380" s="418"/>
      <c r="C380" s="418"/>
      <c r="D380" s="520"/>
      <c r="E380" s="520"/>
      <c r="F380" s="520"/>
      <c r="G380" s="520"/>
      <c r="H380" s="418"/>
      <c r="I380" s="423"/>
      <c r="J380" s="523"/>
      <c r="K380" s="424"/>
      <c r="L380" s="424"/>
      <c r="M380" s="418"/>
      <c r="N380" s="518"/>
      <c r="O380" s="423"/>
      <c r="P380" s="427"/>
      <c r="Q380" s="423"/>
      <c r="R380" s="523"/>
      <c r="S380" s="424"/>
      <c r="T380" s="424"/>
      <c r="U380" s="418"/>
      <c r="V380" s="428"/>
      <c r="W380" s="418"/>
      <c r="X380" s="418"/>
      <c r="Y380" s="524"/>
      <c r="Z380" s="418"/>
      <c r="AA380" s="418"/>
      <c r="AB380" s="429"/>
    </row>
    <row r="381" spans="1:28">
      <c r="A381" s="418"/>
      <c r="B381" s="418"/>
      <c r="C381" s="418"/>
      <c r="D381" s="520"/>
      <c r="E381" s="520"/>
      <c r="F381" s="520"/>
      <c r="G381" s="520"/>
      <c r="H381" s="418"/>
      <c r="I381" s="423"/>
      <c r="J381" s="523"/>
      <c r="K381" s="424"/>
      <c r="L381" s="424"/>
      <c r="M381" s="418"/>
      <c r="N381" s="518"/>
      <c r="O381" s="423"/>
      <c r="P381" s="427"/>
      <c r="Q381" s="423"/>
      <c r="R381" s="523"/>
      <c r="S381" s="424"/>
      <c r="T381" s="424"/>
      <c r="U381" s="418"/>
      <c r="V381" s="428"/>
      <c r="W381" s="418"/>
      <c r="X381" s="418"/>
      <c r="Y381" s="524"/>
      <c r="Z381" s="418"/>
      <c r="AA381" s="418"/>
      <c r="AB381" s="429"/>
    </row>
    <row r="382" spans="1:28">
      <c r="A382" s="418"/>
      <c r="B382" s="418"/>
      <c r="C382" s="418"/>
      <c r="D382" s="520"/>
      <c r="E382" s="520"/>
      <c r="F382" s="520"/>
      <c r="G382" s="520"/>
      <c r="H382" s="418"/>
      <c r="I382" s="423"/>
      <c r="J382" s="523"/>
      <c r="K382" s="424"/>
      <c r="L382" s="424"/>
      <c r="M382" s="418"/>
      <c r="N382" s="518"/>
      <c r="O382" s="423"/>
      <c r="P382" s="427"/>
      <c r="Q382" s="423"/>
      <c r="R382" s="523"/>
      <c r="S382" s="424"/>
      <c r="T382" s="424"/>
      <c r="U382" s="418"/>
      <c r="V382" s="428"/>
      <c r="W382" s="418"/>
      <c r="X382" s="418"/>
      <c r="Y382" s="524"/>
      <c r="Z382" s="418"/>
      <c r="AA382" s="418"/>
      <c r="AB382" s="429"/>
    </row>
    <row r="383" spans="1:28">
      <c r="A383" s="418"/>
      <c r="B383" s="418"/>
      <c r="C383" s="418"/>
      <c r="D383" s="520"/>
      <c r="E383" s="520"/>
      <c r="F383" s="520"/>
      <c r="G383" s="520"/>
      <c r="H383" s="418"/>
      <c r="I383" s="423"/>
      <c r="J383" s="523"/>
      <c r="K383" s="424"/>
      <c r="L383" s="424"/>
      <c r="M383" s="418"/>
      <c r="N383" s="518"/>
      <c r="O383" s="423"/>
      <c r="P383" s="427"/>
      <c r="Q383" s="423"/>
      <c r="R383" s="523"/>
      <c r="S383" s="424"/>
      <c r="T383" s="424"/>
      <c r="U383" s="418"/>
      <c r="V383" s="428"/>
      <c r="W383" s="418"/>
      <c r="X383" s="418"/>
      <c r="Y383" s="524"/>
      <c r="Z383" s="418"/>
      <c r="AA383" s="418"/>
      <c r="AB383" s="429"/>
    </row>
    <row r="384" spans="1:28">
      <c r="A384" s="418"/>
      <c r="B384" s="418"/>
      <c r="C384" s="418"/>
      <c r="D384" s="520"/>
      <c r="E384" s="520"/>
      <c r="F384" s="520"/>
      <c r="G384" s="520"/>
      <c r="H384" s="418"/>
      <c r="I384" s="423"/>
      <c r="J384" s="523"/>
      <c r="K384" s="424"/>
      <c r="L384" s="424"/>
      <c r="M384" s="418"/>
      <c r="N384" s="518"/>
      <c r="O384" s="423"/>
      <c r="P384" s="427"/>
      <c r="Q384" s="423"/>
      <c r="R384" s="523"/>
      <c r="S384" s="424"/>
      <c r="T384" s="424"/>
      <c r="U384" s="418"/>
      <c r="V384" s="428"/>
      <c r="W384" s="418"/>
      <c r="X384" s="418"/>
      <c r="Y384" s="524"/>
      <c r="Z384" s="418"/>
      <c r="AA384" s="418"/>
      <c r="AB384" s="429"/>
    </row>
    <row r="385" spans="1:28">
      <c r="A385" s="418"/>
      <c r="B385" s="418"/>
      <c r="C385" s="418"/>
      <c r="D385" s="520"/>
      <c r="E385" s="520"/>
      <c r="F385" s="520"/>
      <c r="G385" s="520"/>
      <c r="H385" s="418"/>
      <c r="I385" s="423"/>
      <c r="J385" s="523"/>
      <c r="K385" s="424"/>
      <c r="L385" s="424"/>
      <c r="M385" s="418"/>
      <c r="N385" s="518"/>
      <c r="O385" s="423"/>
      <c r="P385" s="427"/>
      <c r="Q385" s="423"/>
      <c r="R385" s="523"/>
      <c r="S385" s="424"/>
      <c r="T385" s="424"/>
      <c r="U385" s="418"/>
      <c r="V385" s="428"/>
      <c r="W385" s="418"/>
      <c r="X385" s="418"/>
      <c r="Y385" s="524"/>
      <c r="Z385" s="418"/>
      <c r="AA385" s="418"/>
      <c r="AB385" s="429"/>
    </row>
    <row r="386" spans="1:28">
      <c r="A386" s="418"/>
      <c r="B386" s="418"/>
      <c r="C386" s="418"/>
      <c r="D386" s="520"/>
      <c r="E386" s="520"/>
      <c r="F386" s="520"/>
      <c r="G386" s="520"/>
      <c r="H386" s="418"/>
      <c r="I386" s="423"/>
      <c r="J386" s="523"/>
      <c r="K386" s="424"/>
      <c r="L386" s="424"/>
      <c r="M386" s="418"/>
      <c r="N386" s="518"/>
      <c r="O386" s="423"/>
      <c r="P386" s="427"/>
      <c r="Q386" s="423"/>
      <c r="R386" s="523"/>
      <c r="S386" s="424"/>
      <c r="T386" s="424"/>
      <c r="U386" s="418"/>
      <c r="V386" s="428"/>
      <c r="W386" s="418"/>
      <c r="X386" s="418"/>
      <c r="Y386" s="524"/>
      <c r="Z386" s="418"/>
      <c r="AA386" s="418"/>
      <c r="AB386" s="429"/>
    </row>
    <row r="387" spans="1:28">
      <c r="A387" s="418"/>
      <c r="B387" s="418"/>
      <c r="C387" s="418"/>
      <c r="D387" s="520"/>
      <c r="E387" s="520"/>
      <c r="F387" s="520"/>
      <c r="G387" s="520"/>
      <c r="H387" s="418"/>
      <c r="I387" s="423"/>
      <c r="J387" s="523"/>
      <c r="K387" s="424"/>
      <c r="L387" s="424"/>
      <c r="M387" s="418"/>
      <c r="N387" s="518"/>
      <c r="O387" s="423"/>
      <c r="P387" s="427"/>
      <c r="Q387" s="423"/>
      <c r="R387" s="523"/>
      <c r="S387" s="424"/>
      <c r="T387" s="424"/>
      <c r="U387" s="418"/>
      <c r="V387" s="428"/>
      <c r="W387" s="418"/>
      <c r="X387" s="418"/>
      <c r="Y387" s="524"/>
      <c r="Z387" s="418"/>
      <c r="AA387" s="418"/>
      <c r="AB387" s="429"/>
    </row>
    <row r="388" spans="1:28">
      <c r="A388" s="418"/>
      <c r="B388" s="418"/>
      <c r="C388" s="418"/>
      <c r="D388" s="520"/>
      <c r="E388" s="520"/>
      <c r="F388" s="520"/>
      <c r="G388" s="520"/>
      <c r="H388" s="418"/>
      <c r="I388" s="423"/>
      <c r="J388" s="523"/>
      <c r="K388" s="424"/>
      <c r="L388" s="424"/>
      <c r="M388" s="418"/>
      <c r="N388" s="518"/>
      <c r="O388" s="423"/>
      <c r="P388" s="427"/>
      <c r="Q388" s="423"/>
      <c r="R388" s="523"/>
      <c r="S388" s="424"/>
      <c r="T388" s="424"/>
      <c r="U388" s="418"/>
      <c r="V388" s="428"/>
      <c r="W388" s="418"/>
      <c r="X388" s="418"/>
      <c r="Y388" s="524"/>
      <c r="Z388" s="418"/>
      <c r="AA388" s="418"/>
      <c r="AB388" s="429"/>
    </row>
    <row r="389" spans="1:28">
      <c r="A389" s="418"/>
      <c r="B389" s="418"/>
      <c r="C389" s="418"/>
      <c r="D389" s="520"/>
      <c r="E389" s="520"/>
      <c r="F389" s="520"/>
      <c r="G389" s="520"/>
      <c r="H389" s="418"/>
      <c r="I389" s="423"/>
      <c r="J389" s="523"/>
      <c r="K389" s="424"/>
      <c r="L389" s="424"/>
      <c r="M389" s="418"/>
      <c r="N389" s="518"/>
      <c r="O389" s="423"/>
      <c r="P389" s="427"/>
      <c r="Q389" s="423"/>
      <c r="R389" s="523"/>
      <c r="S389" s="424"/>
      <c r="T389" s="424"/>
      <c r="U389" s="418"/>
      <c r="V389" s="428"/>
      <c r="W389" s="418"/>
      <c r="X389" s="418"/>
      <c r="Y389" s="524"/>
      <c r="Z389" s="418"/>
      <c r="AA389" s="418"/>
      <c r="AB389" s="429"/>
    </row>
    <row r="390" spans="1:28">
      <c r="A390" s="418"/>
      <c r="B390" s="418"/>
      <c r="C390" s="418"/>
      <c r="D390" s="520"/>
      <c r="E390" s="520"/>
      <c r="F390" s="520"/>
      <c r="G390" s="520"/>
      <c r="H390" s="418"/>
      <c r="I390" s="423"/>
      <c r="J390" s="523"/>
      <c r="K390" s="424"/>
      <c r="L390" s="424"/>
      <c r="M390" s="418"/>
      <c r="N390" s="518"/>
      <c r="O390" s="423"/>
      <c r="P390" s="427"/>
      <c r="Q390" s="423"/>
      <c r="R390" s="523"/>
      <c r="S390" s="424"/>
      <c r="T390" s="424"/>
      <c r="U390" s="418"/>
      <c r="V390" s="428"/>
      <c r="W390" s="418"/>
      <c r="X390" s="418"/>
      <c r="Y390" s="524"/>
      <c r="Z390" s="418"/>
      <c r="AA390" s="418"/>
      <c r="AB390" s="429"/>
    </row>
    <row r="391" spans="1:28">
      <c r="A391" s="418"/>
      <c r="B391" s="418"/>
      <c r="C391" s="418"/>
      <c r="D391" s="520"/>
      <c r="E391" s="520"/>
      <c r="F391" s="520"/>
      <c r="G391" s="520"/>
      <c r="H391" s="418"/>
      <c r="I391" s="423"/>
      <c r="J391" s="523"/>
      <c r="K391" s="424"/>
      <c r="L391" s="424"/>
      <c r="M391" s="418"/>
      <c r="N391" s="518"/>
      <c r="O391" s="423"/>
      <c r="P391" s="427"/>
      <c r="Q391" s="423"/>
      <c r="R391" s="523"/>
      <c r="S391" s="424"/>
      <c r="T391" s="424"/>
      <c r="U391" s="418"/>
      <c r="V391" s="428"/>
      <c r="W391" s="418"/>
      <c r="X391" s="418"/>
      <c r="Y391" s="524"/>
      <c r="Z391" s="418"/>
      <c r="AA391" s="418"/>
      <c r="AB391" s="429"/>
    </row>
    <row r="392" spans="1:28">
      <c r="A392" s="418"/>
      <c r="B392" s="418"/>
      <c r="C392" s="418"/>
      <c r="D392" s="520"/>
      <c r="E392" s="520"/>
      <c r="F392" s="520"/>
      <c r="G392" s="520"/>
      <c r="H392" s="418"/>
      <c r="I392" s="423"/>
      <c r="J392" s="523"/>
      <c r="K392" s="424"/>
      <c r="L392" s="424"/>
      <c r="M392" s="418"/>
      <c r="N392" s="518"/>
      <c r="O392" s="423"/>
      <c r="P392" s="427"/>
      <c r="Q392" s="423"/>
      <c r="R392" s="523"/>
      <c r="S392" s="424"/>
      <c r="T392" s="424"/>
      <c r="U392" s="418"/>
      <c r="V392" s="428"/>
      <c r="W392" s="418"/>
      <c r="X392" s="418"/>
      <c r="Y392" s="524"/>
      <c r="Z392" s="418"/>
      <c r="AA392" s="418"/>
      <c r="AB392" s="429"/>
    </row>
    <row r="393" spans="1:28">
      <c r="A393" s="418"/>
      <c r="B393" s="418"/>
      <c r="C393" s="418"/>
      <c r="D393" s="520"/>
      <c r="E393" s="520"/>
      <c r="F393" s="520"/>
      <c r="G393" s="520"/>
      <c r="H393" s="418"/>
      <c r="I393" s="423"/>
      <c r="J393" s="523"/>
      <c r="K393" s="424"/>
      <c r="L393" s="424"/>
      <c r="M393" s="418"/>
      <c r="N393" s="518"/>
      <c r="O393" s="423"/>
      <c r="P393" s="427"/>
      <c r="Q393" s="423"/>
      <c r="R393" s="523"/>
      <c r="S393" s="424"/>
      <c r="T393" s="424"/>
      <c r="U393" s="418"/>
      <c r="V393" s="428"/>
      <c r="W393" s="418"/>
      <c r="X393" s="418"/>
      <c r="Y393" s="524"/>
      <c r="Z393" s="418"/>
      <c r="AA393" s="418"/>
      <c r="AB393" s="429"/>
    </row>
    <row r="394" spans="1:28">
      <c r="A394" s="418"/>
      <c r="B394" s="418"/>
      <c r="C394" s="418"/>
      <c r="D394" s="520"/>
      <c r="E394" s="520"/>
      <c r="F394" s="520"/>
      <c r="G394" s="520"/>
      <c r="H394" s="418"/>
      <c r="I394" s="423"/>
      <c r="J394" s="523"/>
      <c r="K394" s="424"/>
      <c r="L394" s="424"/>
      <c r="M394" s="418"/>
      <c r="N394" s="518"/>
      <c r="O394" s="423"/>
      <c r="P394" s="427"/>
      <c r="Q394" s="423"/>
      <c r="R394" s="523"/>
      <c r="S394" s="424"/>
      <c r="T394" s="424"/>
      <c r="U394" s="418"/>
      <c r="V394" s="428"/>
      <c r="W394" s="418"/>
      <c r="X394" s="418"/>
      <c r="Y394" s="524"/>
      <c r="Z394" s="418"/>
      <c r="AA394" s="418"/>
      <c r="AB394" s="429"/>
    </row>
    <row r="395" spans="1:28">
      <c r="A395" s="418"/>
      <c r="B395" s="418"/>
      <c r="C395" s="418"/>
      <c r="D395" s="520"/>
      <c r="E395" s="520"/>
      <c r="F395" s="520"/>
      <c r="G395" s="520"/>
      <c r="H395" s="418"/>
      <c r="I395" s="423"/>
      <c r="J395" s="523"/>
      <c r="K395" s="424"/>
      <c r="L395" s="424"/>
      <c r="M395" s="418"/>
      <c r="N395" s="518"/>
      <c r="O395" s="423"/>
      <c r="P395" s="427"/>
      <c r="Q395" s="423"/>
      <c r="R395" s="523"/>
      <c r="S395" s="424"/>
      <c r="T395" s="424"/>
      <c r="U395" s="418"/>
      <c r="V395" s="428"/>
      <c r="W395" s="418"/>
      <c r="X395" s="418"/>
      <c r="Y395" s="524"/>
      <c r="Z395" s="418"/>
      <c r="AA395" s="418"/>
      <c r="AB395" s="429"/>
    </row>
    <row r="396" spans="1:28">
      <c r="A396" s="418"/>
      <c r="B396" s="418"/>
      <c r="C396" s="418"/>
      <c r="D396" s="520"/>
      <c r="E396" s="520"/>
      <c r="F396" s="520"/>
      <c r="G396" s="520"/>
      <c r="H396" s="418"/>
      <c r="I396" s="423"/>
      <c r="J396" s="523"/>
      <c r="K396" s="424"/>
      <c r="L396" s="424"/>
      <c r="M396" s="418"/>
      <c r="N396" s="518"/>
      <c r="O396" s="423"/>
      <c r="P396" s="427"/>
      <c r="Q396" s="423"/>
      <c r="R396" s="523"/>
      <c r="S396" s="424"/>
      <c r="T396" s="424"/>
      <c r="U396" s="418"/>
      <c r="V396" s="428"/>
      <c r="W396" s="418"/>
      <c r="X396" s="418"/>
      <c r="Y396" s="524"/>
      <c r="Z396" s="418"/>
      <c r="AA396" s="418"/>
      <c r="AB396" s="429"/>
    </row>
    <row r="397" spans="1:28">
      <c r="A397" s="418"/>
      <c r="B397" s="418"/>
      <c r="C397" s="418"/>
      <c r="D397" s="520"/>
      <c r="E397" s="520"/>
      <c r="F397" s="520"/>
      <c r="G397" s="520"/>
      <c r="H397" s="418"/>
      <c r="I397" s="423"/>
      <c r="J397" s="523"/>
      <c r="K397" s="424"/>
      <c r="L397" s="424"/>
      <c r="M397" s="418"/>
      <c r="N397" s="518"/>
      <c r="O397" s="423"/>
      <c r="P397" s="427"/>
      <c r="Q397" s="423"/>
      <c r="R397" s="523"/>
      <c r="S397" s="424"/>
      <c r="T397" s="424"/>
      <c r="U397" s="418"/>
      <c r="V397" s="428"/>
      <c r="W397" s="418"/>
      <c r="X397" s="418"/>
      <c r="Y397" s="524"/>
      <c r="Z397" s="418"/>
      <c r="AA397" s="418"/>
      <c r="AB397" s="429"/>
    </row>
    <row r="398" spans="1:28">
      <c r="A398" s="418"/>
      <c r="B398" s="418"/>
      <c r="C398" s="418"/>
      <c r="D398" s="520"/>
      <c r="E398" s="520"/>
      <c r="F398" s="520"/>
      <c r="G398" s="520"/>
      <c r="H398" s="418"/>
      <c r="I398" s="423"/>
      <c r="J398" s="523"/>
      <c r="K398" s="424"/>
      <c r="L398" s="424"/>
      <c r="M398" s="418"/>
      <c r="N398" s="518"/>
      <c r="O398" s="423"/>
      <c r="P398" s="427"/>
      <c r="Q398" s="423"/>
      <c r="R398" s="523"/>
      <c r="S398" s="424"/>
      <c r="T398" s="424"/>
      <c r="U398" s="418"/>
      <c r="V398" s="428"/>
      <c r="W398" s="418"/>
      <c r="X398" s="418"/>
      <c r="Y398" s="524"/>
      <c r="Z398" s="418"/>
      <c r="AA398" s="418"/>
      <c r="AB398" s="429"/>
    </row>
    <row r="399" spans="1:28">
      <c r="A399" s="418"/>
      <c r="B399" s="418"/>
      <c r="C399" s="418"/>
      <c r="D399" s="520"/>
      <c r="E399" s="520"/>
      <c r="F399" s="520"/>
      <c r="G399" s="520"/>
      <c r="H399" s="418"/>
      <c r="I399" s="423"/>
      <c r="J399" s="523"/>
      <c r="K399" s="424"/>
      <c r="L399" s="424"/>
      <c r="M399" s="418"/>
      <c r="N399" s="518"/>
      <c r="O399" s="423"/>
      <c r="P399" s="427"/>
      <c r="Q399" s="423"/>
      <c r="R399" s="523"/>
      <c r="S399" s="424"/>
      <c r="T399" s="424"/>
      <c r="U399" s="418"/>
      <c r="V399" s="428"/>
      <c r="W399" s="418"/>
      <c r="X399" s="418"/>
      <c r="Y399" s="524"/>
      <c r="Z399" s="418"/>
      <c r="AA399" s="418"/>
      <c r="AB399" s="429"/>
    </row>
    <row r="400" spans="1:28">
      <c r="A400" s="418"/>
      <c r="B400" s="418"/>
      <c r="C400" s="418"/>
      <c r="D400" s="520"/>
      <c r="E400" s="520"/>
      <c r="F400" s="520"/>
      <c r="G400" s="520"/>
      <c r="H400" s="418"/>
      <c r="I400" s="423"/>
      <c r="J400" s="523"/>
      <c r="K400" s="424"/>
      <c r="L400" s="424"/>
      <c r="M400" s="418"/>
      <c r="N400" s="518"/>
      <c r="O400" s="423"/>
      <c r="P400" s="427"/>
      <c r="Q400" s="423"/>
      <c r="R400" s="523"/>
      <c r="S400" s="424"/>
      <c r="T400" s="424"/>
      <c r="U400" s="418"/>
      <c r="V400" s="428"/>
      <c r="W400" s="418"/>
      <c r="X400" s="418"/>
      <c r="Y400" s="524"/>
      <c r="Z400" s="418"/>
      <c r="AA400" s="418"/>
      <c r="AB400" s="429"/>
    </row>
    <row r="401" spans="1:28">
      <c r="A401" s="418"/>
      <c r="B401" s="418"/>
      <c r="C401" s="418"/>
      <c r="D401" s="520"/>
      <c r="E401" s="520"/>
      <c r="F401" s="520"/>
      <c r="G401" s="520"/>
      <c r="H401" s="418"/>
      <c r="I401" s="423"/>
      <c r="J401" s="523"/>
      <c r="K401" s="424"/>
      <c r="L401" s="424"/>
      <c r="M401" s="418"/>
      <c r="N401" s="518"/>
      <c r="O401" s="423"/>
      <c r="P401" s="427"/>
      <c r="Q401" s="423"/>
      <c r="R401" s="523"/>
      <c r="S401" s="424"/>
      <c r="T401" s="424"/>
      <c r="U401" s="418"/>
      <c r="V401" s="428"/>
      <c r="W401" s="418"/>
      <c r="X401" s="418"/>
      <c r="Y401" s="524"/>
      <c r="Z401" s="418"/>
      <c r="AA401" s="418"/>
      <c r="AB401" s="429"/>
    </row>
    <row r="402" spans="1:28">
      <c r="A402" s="418"/>
      <c r="B402" s="418"/>
      <c r="C402" s="418"/>
      <c r="D402" s="520"/>
      <c r="E402" s="520"/>
      <c r="F402" s="520"/>
      <c r="G402" s="520"/>
      <c r="H402" s="418"/>
      <c r="I402" s="423"/>
      <c r="J402" s="523"/>
      <c r="K402" s="424"/>
      <c r="L402" s="424"/>
      <c r="M402" s="418"/>
      <c r="N402" s="518"/>
      <c r="O402" s="423"/>
      <c r="P402" s="427"/>
      <c r="Q402" s="423"/>
      <c r="R402" s="523"/>
      <c r="S402" s="424"/>
      <c r="T402" s="424"/>
      <c r="U402" s="418"/>
      <c r="V402" s="428"/>
      <c r="W402" s="418"/>
      <c r="X402" s="418"/>
      <c r="Y402" s="524"/>
      <c r="Z402" s="418"/>
      <c r="AA402" s="418"/>
      <c r="AB402" s="429"/>
    </row>
    <row r="403" spans="1:28">
      <c r="A403" s="418"/>
      <c r="B403" s="418"/>
      <c r="C403" s="418"/>
      <c r="D403" s="520"/>
      <c r="E403" s="520"/>
      <c r="F403" s="520"/>
      <c r="G403" s="520"/>
      <c r="H403" s="418"/>
      <c r="I403" s="423"/>
      <c r="J403" s="523"/>
      <c r="K403" s="424"/>
      <c r="L403" s="424"/>
      <c r="M403" s="418"/>
      <c r="N403" s="518"/>
      <c r="O403" s="423"/>
      <c r="P403" s="427"/>
      <c r="Q403" s="423"/>
      <c r="R403" s="523"/>
      <c r="S403" s="424"/>
      <c r="T403" s="424"/>
      <c r="U403" s="418"/>
      <c r="V403" s="428"/>
      <c r="W403" s="418"/>
      <c r="X403" s="418"/>
      <c r="Y403" s="524"/>
      <c r="Z403" s="418"/>
      <c r="AA403" s="418"/>
      <c r="AB403" s="429"/>
    </row>
    <row r="404" spans="1:28">
      <c r="A404" s="418"/>
      <c r="B404" s="418"/>
      <c r="C404" s="418"/>
      <c r="D404" s="520"/>
      <c r="E404" s="520"/>
      <c r="F404" s="520"/>
      <c r="G404" s="520"/>
      <c r="H404" s="418"/>
      <c r="I404" s="423"/>
      <c r="J404" s="523"/>
      <c r="K404" s="424"/>
      <c r="L404" s="424"/>
      <c r="M404" s="418"/>
      <c r="N404" s="518"/>
      <c r="O404" s="423"/>
      <c r="P404" s="427"/>
      <c r="Q404" s="423"/>
      <c r="R404" s="523"/>
      <c r="S404" s="424"/>
      <c r="T404" s="424"/>
      <c r="U404" s="418"/>
      <c r="V404" s="428"/>
      <c r="W404" s="418"/>
      <c r="X404" s="418"/>
      <c r="Y404" s="524"/>
      <c r="Z404" s="418"/>
      <c r="AA404" s="418"/>
      <c r="AB404" s="429"/>
    </row>
    <row r="405" spans="1:28">
      <c r="A405" s="418"/>
      <c r="B405" s="418"/>
      <c r="C405" s="418"/>
      <c r="D405" s="520"/>
      <c r="E405" s="520"/>
      <c r="F405" s="520"/>
      <c r="G405" s="520"/>
      <c r="H405" s="418"/>
      <c r="I405" s="423"/>
      <c r="J405" s="523"/>
      <c r="K405" s="424"/>
      <c r="L405" s="424"/>
      <c r="M405" s="418"/>
      <c r="N405" s="518"/>
      <c r="O405" s="423"/>
      <c r="P405" s="427"/>
      <c r="Q405" s="423"/>
      <c r="R405" s="523"/>
      <c r="S405" s="424"/>
      <c r="T405" s="424"/>
      <c r="U405" s="418"/>
      <c r="V405" s="428"/>
      <c r="W405" s="418"/>
      <c r="X405" s="418"/>
      <c r="Y405" s="524"/>
      <c r="Z405" s="418"/>
      <c r="AA405" s="418"/>
      <c r="AB405" s="429"/>
    </row>
    <row r="406" spans="1:28">
      <c r="A406" s="418"/>
      <c r="B406" s="418"/>
      <c r="C406" s="418"/>
      <c r="D406" s="520"/>
      <c r="E406" s="520"/>
      <c r="F406" s="520"/>
      <c r="G406" s="520"/>
      <c r="H406" s="418"/>
      <c r="I406" s="423"/>
      <c r="J406" s="523"/>
      <c r="K406" s="424"/>
      <c r="L406" s="424"/>
      <c r="M406" s="418"/>
      <c r="N406" s="518"/>
      <c r="O406" s="423"/>
      <c r="P406" s="427"/>
      <c r="Q406" s="423"/>
      <c r="R406" s="523"/>
      <c r="S406" s="424"/>
      <c r="T406" s="424"/>
      <c r="U406" s="418"/>
      <c r="V406" s="428"/>
      <c r="W406" s="418"/>
      <c r="X406" s="418"/>
      <c r="Y406" s="524"/>
      <c r="Z406" s="418"/>
      <c r="AA406" s="418"/>
      <c r="AB406" s="429"/>
    </row>
    <row r="407" spans="1:28">
      <c r="A407" s="418"/>
      <c r="B407" s="418"/>
      <c r="C407" s="418"/>
      <c r="D407" s="520"/>
      <c r="E407" s="520"/>
      <c r="F407" s="520"/>
      <c r="G407" s="520"/>
      <c r="H407" s="418"/>
      <c r="I407" s="423"/>
      <c r="J407" s="523"/>
      <c r="K407" s="424"/>
      <c r="L407" s="424"/>
      <c r="M407" s="418"/>
      <c r="N407" s="518"/>
      <c r="O407" s="423"/>
      <c r="P407" s="427"/>
      <c r="Q407" s="423"/>
      <c r="R407" s="523"/>
      <c r="S407" s="424"/>
      <c r="T407" s="424"/>
      <c r="U407" s="418"/>
      <c r="V407" s="428"/>
      <c r="W407" s="418"/>
      <c r="X407" s="418"/>
      <c r="Y407" s="524"/>
      <c r="Z407" s="418"/>
      <c r="AA407" s="418"/>
      <c r="AB407" s="429"/>
    </row>
    <row r="408" spans="1:28">
      <c r="A408" s="418"/>
      <c r="B408" s="418"/>
      <c r="C408" s="418"/>
      <c r="D408" s="520"/>
      <c r="E408" s="520"/>
      <c r="F408" s="520"/>
      <c r="G408" s="520"/>
      <c r="H408" s="418"/>
      <c r="I408" s="423"/>
      <c r="J408" s="523"/>
      <c r="K408" s="424"/>
      <c r="L408" s="424"/>
      <c r="M408" s="418"/>
      <c r="N408" s="518"/>
      <c r="O408" s="423"/>
      <c r="P408" s="427"/>
      <c r="Q408" s="423"/>
      <c r="R408" s="523"/>
      <c r="S408" s="424"/>
      <c r="T408" s="424"/>
      <c r="U408" s="418"/>
      <c r="V408" s="428"/>
      <c r="W408" s="418"/>
      <c r="X408" s="418"/>
      <c r="Y408" s="524"/>
      <c r="Z408" s="418"/>
      <c r="AA408" s="418"/>
      <c r="AB408" s="429"/>
    </row>
    <row r="409" spans="1:28">
      <c r="A409" s="418"/>
      <c r="B409" s="418"/>
      <c r="C409" s="418"/>
      <c r="D409" s="520"/>
      <c r="E409" s="520"/>
      <c r="F409" s="520"/>
      <c r="G409" s="520"/>
      <c r="H409" s="418"/>
      <c r="I409" s="423"/>
      <c r="J409" s="523"/>
      <c r="K409" s="424"/>
      <c r="L409" s="424"/>
      <c r="M409" s="418"/>
      <c r="N409" s="518"/>
      <c r="O409" s="423"/>
      <c r="P409" s="427"/>
      <c r="Q409" s="423"/>
      <c r="R409" s="523"/>
      <c r="S409" s="424"/>
      <c r="T409" s="424"/>
      <c r="U409" s="418"/>
      <c r="V409" s="428"/>
      <c r="W409" s="418"/>
      <c r="X409" s="418"/>
      <c r="Y409" s="524"/>
      <c r="Z409" s="418"/>
      <c r="AA409" s="418"/>
      <c r="AB409" s="429"/>
    </row>
    <row r="410" spans="1:28">
      <c r="A410" s="418"/>
      <c r="B410" s="418"/>
      <c r="C410" s="418"/>
      <c r="D410" s="520"/>
      <c r="E410" s="520"/>
      <c r="F410" s="520"/>
      <c r="G410" s="520"/>
      <c r="H410" s="418"/>
      <c r="I410" s="423"/>
      <c r="J410" s="523"/>
      <c r="K410" s="424"/>
      <c r="L410" s="424"/>
      <c r="M410" s="418"/>
      <c r="N410" s="518"/>
      <c r="O410" s="423"/>
      <c r="P410" s="427"/>
      <c r="Q410" s="423"/>
      <c r="R410" s="523"/>
      <c r="S410" s="424"/>
      <c r="T410" s="424"/>
      <c r="U410" s="418"/>
      <c r="V410" s="428"/>
      <c r="W410" s="418"/>
      <c r="X410" s="418"/>
      <c r="Y410" s="524"/>
      <c r="Z410" s="418"/>
      <c r="AA410" s="418"/>
      <c r="AB410" s="429"/>
    </row>
    <row r="411" spans="1:28">
      <c r="A411" s="418"/>
      <c r="B411" s="418"/>
      <c r="C411" s="418"/>
      <c r="D411" s="520"/>
      <c r="E411" s="520"/>
      <c r="F411" s="520"/>
      <c r="G411" s="520"/>
      <c r="H411" s="418"/>
      <c r="I411" s="423"/>
      <c r="J411" s="523"/>
      <c r="K411" s="424"/>
      <c r="L411" s="424"/>
      <c r="M411" s="418"/>
      <c r="N411" s="518"/>
      <c r="O411" s="423"/>
      <c r="P411" s="427"/>
      <c r="Q411" s="423"/>
      <c r="R411" s="523"/>
      <c r="S411" s="424"/>
      <c r="T411" s="424"/>
      <c r="U411" s="418"/>
      <c r="V411" s="428"/>
      <c r="W411" s="418"/>
      <c r="X411" s="418"/>
      <c r="Y411" s="524"/>
      <c r="Z411" s="418"/>
      <c r="AA411" s="418"/>
      <c r="AB411" s="429"/>
    </row>
    <row r="412" spans="1:28">
      <c r="A412" s="418"/>
      <c r="B412" s="418"/>
      <c r="C412" s="418"/>
      <c r="D412" s="520"/>
      <c r="E412" s="520"/>
      <c r="F412" s="520"/>
      <c r="G412" s="520"/>
      <c r="H412" s="418"/>
      <c r="I412" s="423"/>
      <c r="J412" s="523"/>
      <c r="K412" s="424"/>
      <c r="L412" s="424"/>
      <c r="M412" s="418"/>
      <c r="N412" s="518"/>
      <c r="O412" s="423"/>
      <c r="P412" s="427"/>
      <c r="Q412" s="423"/>
      <c r="R412" s="523"/>
      <c r="S412" s="424"/>
      <c r="T412" s="424"/>
      <c r="U412" s="418"/>
      <c r="V412" s="428"/>
      <c r="W412" s="418"/>
      <c r="X412" s="418"/>
      <c r="Y412" s="524"/>
      <c r="Z412" s="418"/>
      <c r="AA412" s="418"/>
      <c r="AB412" s="429"/>
    </row>
    <row r="413" spans="1:28">
      <c r="A413" s="418"/>
      <c r="B413" s="418"/>
      <c r="C413" s="418"/>
      <c r="D413" s="520"/>
      <c r="E413" s="520"/>
      <c r="F413" s="520"/>
      <c r="G413" s="520"/>
      <c r="H413" s="418"/>
      <c r="I413" s="423"/>
      <c r="J413" s="523"/>
      <c r="K413" s="424"/>
      <c r="L413" s="424"/>
      <c r="M413" s="418"/>
      <c r="N413" s="518"/>
      <c r="O413" s="423"/>
      <c r="P413" s="427"/>
      <c r="Q413" s="423"/>
      <c r="R413" s="523"/>
      <c r="S413" s="424"/>
      <c r="T413" s="424"/>
      <c r="U413" s="418"/>
      <c r="V413" s="428"/>
      <c r="W413" s="418"/>
      <c r="X413" s="418"/>
      <c r="Y413" s="524"/>
      <c r="Z413" s="418"/>
      <c r="AA413" s="418"/>
      <c r="AB413" s="429"/>
    </row>
    <row r="414" spans="1:28">
      <c r="A414" s="418"/>
      <c r="B414" s="418"/>
      <c r="C414" s="418"/>
      <c r="D414" s="520"/>
      <c r="E414" s="520"/>
      <c r="F414" s="520"/>
      <c r="G414" s="520"/>
      <c r="H414" s="418"/>
      <c r="I414" s="423"/>
      <c r="J414" s="523"/>
      <c r="K414" s="424"/>
      <c r="L414" s="424"/>
      <c r="M414" s="418"/>
      <c r="N414" s="518"/>
      <c r="O414" s="423"/>
      <c r="P414" s="427"/>
      <c r="Q414" s="423"/>
      <c r="R414" s="523"/>
      <c r="S414" s="424"/>
      <c r="T414" s="424"/>
      <c r="U414" s="418"/>
      <c r="V414" s="428"/>
      <c r="W414" s="418"/>
      <c r="X414" s="418"/>
      <c r="Y414" s="524"/>
      <c r="Z414" s="418"/>
      <c r="AA414" s="418"/>
      <c r="AB414" s="429"/>
    </row>
    <row r="415" spans="1:28">
      <c r="A415" s="418"/>
      <c r="B415" s="418"/>
      <c r="C415" s="418"/>
      <c r="D415" s="520"/>
      <c r="E415" s="520"/>
      <c r="F415" s="520"/>
      <c r="G415" s="520"/>
      <c r="H415" s="418"/>
      <c r="I415" s="423"/>
      <c r="J415" s="523"/>
      <c r="K415" s="424"/>
      <c r="L415" s="424"/>
      <c r="M415" s="418"/>
      <c r="N415" s="518"/>
      <c r="O415" s="423"/>
      <c r="P415" s="427"/>
      <c r="Q415" s="423"/>
      <c r="R415" s="523"/>
      <c r="S415" s="424"/>
      <c r="T415" s="424"/>
      <c r="U415" s="418"/>
      <c r="V415" s="428"/>
      <c r="W415" s="418"/>
      <c r="X415" s="418"/>
      <c r="Y415" s="524"/>
      <c r="Z415" s="418"/>
      <c r="AA415" s="418"/>
      <c r="AB415" s="429"/>
    </row>
    <row r="416" spans="1:28">
      <c r="A416" s="418"/>
      <c r="B416" s="418"/>
      <c r="C416" s="418"/>
      <c r="D416" s="520"/>
      <c r="E416" s="520"/>
      <c r="F416" s="520"/>
      <c r="G416" s="520"/>
      <c r="H416" s="418"/>
      <c r="I416" s="423"/>
      <c r="J416" s="523"/>
      <c r="K416" s="424"/>
      <c r="L416" s="424"/>
      <c r="M416" s="418"/>
      <c r="N416" s="518"/>
      <c r="O416" s="423"/>
      <c r="P416" s="427"/>
      <c r="Q416" s="423"/>
      <c r="R416" s="523"/>
      <c r="S416" s="424"/>
      <c r="T416" s="424"/>
      <c r="U416" s="418"/>
      <c r="V416" s="428"/>
      <c r="W416" s="418"/>
      <c r="X416" s="418"/>
      <c r="Y416" s="524"/>
      <c r="Z416" s="418"/>
      <c r="AA416" s="418"/>
      <c r="AB416" s="429"/>
    </row>
    <row r="417" spans="1:28">
      <c r="A417" s="418"/>
      <c r="B417" s="418"/>
      <c r="C417" s="418"/>
      <c r="D417" s="520"/>
      <c r="E417" s="520"/>
      <c r="F417" s="520"/>
      <c r="G417" s="520"/>
      <c r="H417" s="418"/>
      <c r="I417" s="423"/>
      <c r="J417" s="523"/>
      <c r="K417" s="424"/>
      <c r="L417" s="424"/>
      <c r="M417" s="418"/>
      <c r="N417" s="518"/>
      <c r="O417" s="423"/>
      <c r="P417" s="427"/>
      <c r="Q417" s="423"/>
      <c r="R417" s="523"/>
      <c r="S417" s="424"/>
      <c r="T417" s="424"/>
      <c r="U417" s="418"/>
      <c r="V417" s="428"/>
      <c r="W417" s="418"/>
      <c r="X417" s="418"/>
      <c r="Y417" s="524"/>
      <c r="Z417" s="418"/>
      <c r="AA417" s="418"/>
      <c r="AB417" s="429"/>
    </row>
    <row r="418" spans="1:28">
      <c r="A418" s="418"/>
      <c r="B418" s="418"/>
      <c r="C418" s="418"/>
      <c r="D418" s="520"/>
      <c r="E418" s="520"/>
      <c r="F418" s="520"/>
      <c r="G418" s="520"/>
      <c r="H418" s="418"/>
      <c r="I418" s="423"/>
      <c r="J418" s="523"/>
      <c r="K418" s="424"/>
      <c r="L418" s="424"/>
      <c r="M418" s="418"/>
      <c r="N418" s="518"/>
      <c r="O418" s="423"/>
      <c r="P418" s="427"/>
      <c r="Q418" s="423"/>
      <c r="R418" s="523"/>
      <c r="S418" s="424"/>
      <c r="T418" s="424"/>
      <c r="U418" s="418"/>
      <c r="V418" s="428"/>
      <c r="W418" s="418"/>
      <c r="X418" s="418"/>
      <c r="Y418" s="524"/>
      <c r="Z418" s="418"/>
      <c r="AA418" s="418"/>
      <c r="AB418" s="429"/>
    </row>
    <row r="419" spans="1:28">
      <c r="A419" s="418"/>
      <c r="B419" s="418"/>
      <c r="C419" s="418"/>
      <c r="D419" s="520"/>
      <c r="E419" s="520"/>
      <c r="F419" s="520"/>
      <c r="G419" s="520"/>
      <c r="H419" s="418"/>
      <c r="I419" s="423"/>
      <c r="J419" s="523"/>
      <c r="K419" s="424"/>
      <c r="L419" s="424"/>
      <c r="M419" s="418"/>
      <c r="N419" s="518"/>
      <c r="O419" s="423"/>
      <c r="P419" s="427"/>
      <c r="Q419" s="423"/>
      <c r="R419" s="523"/>
      <c r="S419" s="424"/>
      <c r="T419" s="424"/>
      <c r="U419" s="418"/>
      <c r="V419" s="428"/>
      <c r="W419" s="418"/>
      <c r="X419" s="418"/>
      <c r="Y419" s="524"/>
      <c r="Z419" s="418"/>
      <c r="AA419" s="418"/>
      <c r="AB419" s="429"/>
    </row>
    <row r="420" spans="1:28">
      <c r="A420" s="418"/>
      <c r="B420" s="418"/>
      <c r="C420" s="418"/>
      <c r="D420" s="520"/>
      <c r="E420" s="520"/>
      <c r="F420" s="520"/>
      <c r="G420" s="520"/>
      <c r="H420" s="418"/>
      <c r="I420" s="423"/>
      <c r="J420" s="523"/>
      <c r="K420" s="424"/>
      <c r="L420" s="424"/>
      <c r="M420" s="418"/>
      <c r="N420" s="518"/>
      <c r="O420" s="423"/>
      <c r="P420" s="427"/>
      <c r="Q420" s="423"/>
      <c r="R420" s="523"/>
      <c r="S420" s="424"/>
      <c r="T420" s="424"/>
      <c r="U420" s="418"/>
      <c r="V420" s="428"/>
      <c r="W420" s="418"/>
      <c r="X420" s="418"/>
      <c r="Y420" s="524"/>
      <c r="Z420" s="418"/>
      <c r="AA420" s="418"/>
      <c r="AB420" s="429"/>
    </row>
    <row r="421" spans="1:28">
      <c r="A421" s="418"/>
      <c r="B421" s="418"/>
      <c r="C421" s="418"/>
      <c r="D421" s="520"/>
      <c r="E421" s="520"/>
      <c r="F421" s="520"/>
      <c r="G421" s="520"/>
      <c r="H421" s="418"/>
      <c r="I421" s="423"/>
      <c r="J421" s="523"/>
      <c r="K421" s="424"/>
      <c r="L421" s="424"/>
      <c r="M421" s="418"/>
      <c r="N421" s="518"/>
      <c r="O421" s="423"/>
      <c r="P421" s="427"/>
      <c r="Q421" s="423"/>
      <c r="R421" s="523"/>
      <c r="S421" s="424"/>
      <c r="T421" s="424"/>
      <c r="U421" s="418"/>
      <c r="V421" s="428"/>
      <c r="W421" s="418"/>
      <c r="X421" s="418"/>
      <c r="Y421" s="524"/>
      <c r="Z421" s="418"/>
      <c r="AA421" s="418"/>
      <c r="AB421" s="429"/>
    </row>
    <row r="422" spans="1:28">
      <c r="A422" s="418"/>
      <c r="B422" s="418"/>
      <c r="C422" s="418"/>
      <c r="D422" s="520"/>
      <c r="E422" s="520"/>
      <c r="F422" s="520"/>
      <c r="G422" s="520"/>
      <c r="H422" s="418"/>
      <c r="I422" s="423"/>
      <c r="J422" s="523"/>
      <c r="K422" s="424"/>
      <c r="L422" s="424"/>
      <c r="M422" s="418"/>
      <c r="N422" s="518"/>
      <c r="O422" s="423"/>
      <c r="P422" s="427"/>
      <c r="Q422" s="423"/>
      <c r="R422" s="523"/>
      <c r="S422" s="424"/>
      <c r="T422" s="424"/>
      <c r="U422" s="418"/>
      <c r="V422" s="428"/>
      <c r="W422" s="418"/>
      <c r="X422" s="418"/>
      <c r="Y422" s="524"/>
      <c r="Z422" s="418"/>
      <c r="AA422" s="418"/>
      <c r="AB422" s="429"/>
    </row>
    <row r="423" spans="1:28">
      <c r="A423" s="418"/>
      <c r="B423" s="418"/>
      <c r="C423" s="418"/>
      <c r="D423" s="520"/>
      <c r="E423" s="520"/>
      <c r="F423" s="520"/>
      <c r="G423" s="520"/>
      <c r="H423" s="418"/>
      <c r="I423" s="423"/>
      <c r="J423" s="523"/>
      <c r="K423" s="424"/>
      <c r="L423" s="424"/>
      <c r="M423" s="418"/>
      <c r="N423" s="518"/>
      <c r="O423" s="423"/>
      <c r="P423" s="427"/>
      <c r="Q423" s="423"/>
      <c r="R423" s="523"/>
      <c r="S423" s="424"/>
      <c r="T423" s="424"/>
      <c r="U423" s="418"/>
      <c r="V423" s="428"/>
      <c r="W423" s="418"/>
      <c r="X423" s="418"/>
      <c r="Y423" s="524"/>
      <c r="Z423" s="418"/>
      <c r="AA423" s="418"/>
      <c r="AB423" s="429"/>
    </row>
    <row r="424" spans="1:28">
      <c r="A424" s="418"/>
      <c r="B424" s="418"/>
      <c r="C424" s="418"/>
      <c r="D424" s="520"/>
      <c r="E424" s="520"/>
      <c r="F424" s="520"/>
      <c r="G424" s="520"/>
      <c r="H424" s="418"/>
      <c r="I424" s="423"/>
      <c r="J424" s="523"/>
      <c r="K424" s="424"/>
      <c r="L424" s="424"/>
      <c r="M424" s="418"/>
      <c r="N424" s="518"/>
      <c r="O424" s="423"/>
      <c r="P424" s="427"/>
      <c r="Q424" s="423"/>
      <c r="R424" s="523"/>
      <c r="S424" s="424"/>
      <c r="T424" s="424"/>
      <c r="U424" s="418"/>
      <c r="V424" s="428"/>
      <c r="W424" s="418"/>
      <c r="X424" s="418"/>
      <c r="Y424" s="524"/>
      <c r="Z424" s="418"/>
      <c r="AA424" s="418"/>
      <c r="AB424" s="429"/>
    </row>
    <row r="425" spans="1:28">
      <c r="A425" s="418"/>
      <c r="B425" s="418"/>
      <c r="C425" s="418"/>
      <c r="D425" s="520"/>
      <c r="E425" s="520"/>
      <c r="F425" s="520"/>
      <c r="G425" s="520"/>
      <c r="H425" s="418"/>
      <c r="I425" s="423"/>
      <c r="J425" s="523"/>
      <c r="K425" s="424"/>
      <c r="L425" s="424"/>
      <c r="M425" s="418"/>
      <c r="N425" s="518"/>
      <c r="O425" s="423"/>
      <c r="P425" s="427"/>
      <c r="Q425" s="423"/>
      <c r="R425" s="523"/>
      <c r="S425" s="424"/>
      <c r="T425" s="424"/>
      <c r="U425" s="418"/>
      <c r="V425" s="428"/>
      <c r="W425" s="418"/>
      <c r="X425" s="418"/>
      <c r="Y425" s="524"/>
      <c r="Z425" s="418"/>
      <c r="AA425" s="418"/>
      <c r="AB425" s="429"/>
    </row>
    <row r="426" spans="1:28">
      <c r="A426" s="418"/>
      <c r="B426" s="418"/>
      <c r="C426" s="418"/>
      <c r="D426" s="520"/>
      <c r="E426" s="520"/>
      <c r="F426" s="520"/>
      <c r="G426" s="520"/>
      <c r="H426" s="418"/>
      <c r="I426" s="423"/>
      <c r="J426" s="523"/>
      <c r="K426" s="424"/>
      <c r="L426" s="424"/>
      <c r="M426" s="418"/>
      <c r="N426" s="518"/>
      <c r="O426" s="423"/>
      <c r="P426" s="427"/>
      <c r="Q426" s="423"/>
      <c r="R426" s="523"/>
      <c r="S426" s="424"/>
      <c r="T426" s="424"/>
      <c r="U426" s="418"/>
      <c r="V426" s="428"/>
      <c r="W426" s="418"/>
      <c r="X426" s="418"/>
      <c r="Y426" s="524"/>
      <c r="Z426" s="418"/>
      <c r="AA426" s="418"/>
      <c r="AB426" s="429"/>
    </row>
    <row r="427" spans="1:28">
      <c r="A427" s="418"/>
      <c r="B427" s="418"/>
      <c r="C427" s="418"/>
      <c r="D427" s="520"/>
      <c r="E427" s="520"/>
      <c r="F427" s="520"/>
      <c r="G427" s="520"/>
      <c r="H427" s="418"/>
      <c r="I427" s="423"/>
      <c r="J427" s="523"/>
      <c r="K427" s="424"/>
      <c r="L427" s="424"/>
      <c r="M427" s="418"/>
      <c r="N427" s="518"/>
      <c r="O427" s="423"/>
      <c r="P427" s="427"/>
      <c r="Q427" s="423"/>
      <c r="R427" s="523"/>
      <c r="S427" s="424"/>
      <c r="T427" s="424"/>
      <c r="U427" s="418"/>
      <c r="V427" s="428"/>
      <c r="W427" s="418"/>
      <c r="X427" s="418"/>
      <c r="Y427" s="524"/>
      <c r="Z427" s="418"/>
      <c r="AA427" s="418"/>
      <c r="AB427" s="429"/>
    </row>
    <row r="428" spans="1:28">
      <c r="A428" s="418"/>
      <c r="B428" s="418"/>
      <c r="C428" s="418"/>
      <c r="D428" s="520"/>
      <c r="E428" s="520"/>
      <c r="F428" s="520"/>
      <c r="G428" s="520"/>
      <c r="H428" s="418"/>
      <c r="I428" s="423"/>
      <c r="J428" s="523"/>
      <c r="K428" s="424"/>
      <c r="L428" s="424"/>
      <c r="M428" s="418"/>
      <c r="N428" s="518"/>
      <c r="O428" s="423"/>
      <c r="P428" s="427"/>
      <c r="Q428" s="423"/>
      <c r="R428" s="523"/>
      <c r="S428" s="424"/>
      <c r="T428" s="424"/>
      <c r="U428" s="418"/>
      <c r="V428" s="428"/>
      <c r="W428" s="418"/>
      <c r="X428" s="418"/>
      <c r="Y428" s="524"/>
      <c r="Z428" s="418"/>
      <c r="AA428" s="418"/>
      <c r="AB428" s="429"/>
    </row>
    <row r="429" spans="1:28">
      <c r="A429" s="418"/>
      <c r="B429" s="418"/>
      <c r="C429" s="418"/>
      <c r="D429" s="520"/>
      <c r="E429" s="520"/>
      <c r="F429" s="520"/>
      <c r="G429" s="520"/>
      <c r="H429" s="418"/>
      <c r="I429" s="423"/>
      <c r="J429" s="523"/>
      <c r="K429" s="424"/>
      <c r="L429" s="424"/>
      <c r="M429" s="418"/>
      <c r="N429" s="518"/>
      <c r="O429" s="423"/>
      <c r="P429" s="427"/>
      <c r="Q429" s="423"/>
      <c r="R429" s="523"/>
      <c r="S429" s="424"/>
      <c r="T429" s="424"/>
      <c r="U429" s="418"/>
      <c r="V429" s="428"/>
      <c r="W429" s="418"/>
      <c r="X429" s="418"/>
      <c r="Y429" s="524"/>
      <c r="Z429" s="418"/>
      <c r="AA429" s="418"/>
      <c r="AB429" s="429"/>
    </row>
    <row r="430" spans="1:28">
      <c r="A430" s="418"/>
      <c r="B430" s="418"/>
      <c r="C430" s="418"/>
      <c r="D430" s="520"/>
      <c r="E430" s="520"/>
      <c r="F430" s="520"/>
      <c r="G430" s="520"/>
      <c r="H430" s="418"/>
      <c r="I430" s="423"/>
      <c r="J430" s="523"/>
      <c r="K430" s="424"/>
      <c r="L430" s="424"/>
      <c r="M430" s="418"/>
      <c r="N430" s="518"/>
      <c r="O430" s="423"/>
      <c r="P430" s="427"/>
      <c r="Q430" s="423"/>
      <c r="R430" s="523"/>
      <c r="S430" s="424"/>
      <c r="T430" s="424"/>
      <c r="U430" s="418"/>
      <c r="V430" s="428"/>
      <c r="W430" s="418"/>
      <c r="X430" s="418"/>
      <c r="Y430" s="524"/>
      <c r="Z430" s="418"/>
      <c r="AA430" s="418"/>
      <c r="AB430" s="429"/>
    </row>
    <row r="431" spans="1:28">
      <c r="A431" s="418"/>
      <c r="B431" s="418"/>
      <c r="C431" s="418"/>
      <c r="D431" s="520"/>
      <c r="E431" s="520"/>
      <c r="F431" s="520"/>
      <c r="G431" s="520"/>
      <c r="H431" s="418"/>
      <c r="I431" s="423"/>
      <c r="J431" s="523"/>
      <c r="K431" s="424"/>
      <c r="L431" s="424"/>
      <c r="M431" s="418"/>
      <c r="N431" s="518"/>
      <c r="O431" s="423"/>
      <c r="P431" s="427"/>
      <c r="Q431" s="423"/>
      <c r="R431" s="523"/>
      <c r="S431" s="424"/>
      <c r="T431" s="424"/>
      <c r="U431" s="418"/>
      <c r="V431" s="428"/>
      <c r="W431" s="418"/>
      <c r="X431" s="418"/>
      <c r="Y431" s="524"/>
      <c r="Z431" s="418"/>
      <c r="AA431" s="418"/>
      <c r="AB431" s="429"/>
    </row>
    <row r="432" spans="1:28">
      <c r="A432" s="418"/>
      <c r="B432" s="418"/>
      <c r="C432" s="418"/>
      <c r="D432" s="520"/>
      <c r="E432" s="520"/>
      <c r="F432" s="520"/>
      <c r="G432" s="520"/>
      <c r="H432" s="418"/>
      <c r="I432" s="423"/>
      <c r="J432" s="523"/>
      <c r="K432" s="424"/>
      <c r="L432" s="424"/>
      <c r="M432" s="418"/>
      <c r="N432" s="518"/>
      <c r="O432" s="423"/>
      <c r="P432" s="427"/>
      <c r="Q432" s="423"/>
      <c r="R432" s="523"/>
      <c r="S432" s="424"/>
      <c r="T432" s="424"/>
      <c r="U432" s="418"/>
      <c r="V432" s="428"/>
      <c r="W432" s="418"/>
      <c r="X432" s="418"/>
      <c r="Y432" s="524"/>
      <c r="Z432" s="418"/>
      <c r="AA432" s="418"/>
      <c r="AB432" s="429"/>
    </row>
    <row r="433" spans="1:28">
      <c r="A433" s="418"/>
      <c r="B433" s="418"/>
      <c r="C433" s="418"/>
      <c r="D433" s="520"/>
      <c r="E433" s="520"/>
      <c r="F433" s="520"/>
      <c r="G433" s="520"/>
      <c r="H433" s="418"/>
      <c r="I433" s="423"/>
      <c r="J433" s="523"/>
      <c r="K433" s="424"/>
      <c r="L433" s="424"/>
      <c r="M433" s="418"/>
      <c r="N433" s="518"/>
      <c r="O433" s="423"/>
      <c r="P433" s="427"/>
      <c r="Q433" s="423"/>
      <c r="R433" s="523"/>
      <c r="S433" s="424"/>
      <c r="T433" s="424"/>
      <c r="U433" s="418"/>
      <c r="V433" s="428"/>
      <c r="W433" s="418"/>
      <c r="X433" s="418"/>
      <c r="Y433" s="524"/>
      <c r="Z433" s="418"/>
      <c r="AA433" s="418"/>
      <c r="AB433" s="429"/>
    </row>
    <row r="434" spans="1:28">
      <c r="A434" s="418"/>
      <c r="B434" s="418"/>
      <c r="C434" s="418"/>
      <c r="D434" s="520"/>
      <c r="E434" s="520"/>
      <c r="F434" s="520"/>
      <c r="G434" s="520"/>
      <c r="H434" s="418"/>
      <c r="I434" s="423"/>
      <c r="J434" s="523"/>
      <c r="K434" s="424"/>
      <c r="L434" s="424"/>
      <c r="M434" s="418"/>
      <c r="N434" s="518"/>
      <c r="O434" s="423"/>
      <c r="P434" s="427"/>
      <c r="Q434" s="423"/>
      <c r="R434" s="523"/>
      <c r="S434" s="424"/>
      <c r="T434" s="424"/>
      <c r="U434" s="418"/>
      <c r="V434" s="428"/>
      <c r="W434" s="418"/>
      <c r="X434" s="418"/>
      <c r="Y434" s="524"/>
      <c r="Z434" s="418"/>
      <c r="AA434" s="418"/>
      <c r="AB434" s="429"/>
    </row>
    <row r="435" spans="1:28">
      <c r="A435" s="418"/>
      <c r="B435" s="418"/>
      <c r="C435" s="418"/>
      <c r="D435" s="520"/>
      <c r="E435" s="520"/>
      <c r="F435" s="520"/>
      <c r="G435" s="520"/>
      <c r="H435" s="418"/>
      <c r="I435" s="423"/>
      <c r="J435" s="523"/>
      <c r="K435" s="424"/>
      <c r="L435" s="424"/>
      <c r="M435" s="418"/>
      <c r="N435" s="518"/>
      <c r="O435" s="423"/>
      <c r="P435" s="427"/>
      <c r="Q435" s="423"/>
      <c r="R435" s="523"/>
      <c r="S435" s="424"/>
      <c r="T435" s="424"/>
      <c r="U435" s="418"/>
      <c r="V435" s="428"/>
      <c r="W435" s="418"/>
      <c r="X435" s="418"/>
      <c r="Y435" s="524"/>
      <c r="Z435" s="418"/>
      <c r="AA435" s="418"/>
      <c r="AB435" s="429"/>
    </row>
    <row r="436" spans="1:28">
      <c r="A436" s="418"/>
      <c r="B436" s="418"/>
      <c r="C436" s="418"/>
      <c r="D436" s="520"/>
      <c r="E436" s="520"/>
      <c r="F436" s="520"/>
      <c r="G436" s="520"/>
      <c r="H436" s="418"/>
      <c r="I436" s="423"/>
      <c r="J436" s="523"/>
      <c r="K436" s="424"/>
      <c r="L436" s="424"/>
      <c r="M436" s="418"/>
      <c r="N436" s="518"/>
      <c r="O436" s="423"/>
      <c r="P436" s="427"/>
      <c r="Q436" s="423"/>
      <c r="R436" s="523"/>
      <c r="S436" s="424"/>
      <c r="T436" s="424"/>
      <c r="U436" s="418"/>
      <c r="V436" s="428"/>
      <c r="W436" s="418"/>
      <c r="X436" s="418"/>
      <c r="Y436" s="524"/>
      <c r="Z436" s="418"/>
      <c r="AA436" s="418"/>
      <c r="AB436" s="429"/>
    </row>
    <row r="437" spans="1:28">
      <c r="A437" s="418"/>
      <c r="B437" s="418"/>
      <c r="C437" s="418"/>
      <c r="D437" s="520"/>
      <c r="E437" s="520"/>
      <c r="F437" s="520"/>
      <c r="G437" s="520"/>
      <c r="H437" s="418"/>
      <c r="I437" s="423"/>
      <c r="J437" s="523"/>
      <c r="K437" s="424"/>
      <c r="L437" s="424"/>
      <c r="M437" s="418"/>
      <c r="N437" s="518"/>
      <c r="O437" s="423"/>
      <c r="P437" s="427"/>
      <c r="Q437" s="423"/>
      <c r="R437" s="523"/>
      <c r="S437" s="424"/>
      <c r="T437" s="424"/>
      <c r="U437" s="418"/>
      <c r="V437" s="428"/>
      <c r="W437" s="418"/>
      <c r="X437" s="418"/>
      <c r="Y437" s="524"/>
      <c r="Z437" s="418"/>
      <c r="AA437" s="418"/>
      <c r="AB437" s="429"/>
    </row>
    <row r="438" spans="1:28">
      <c r="A438" s="418"/>
      <c r="B438" s="418"/>
      <c r="C438" s="418"/>
      <c r="D438" s="520"/>
      <c r="E438" s="520"/>
      <c r="F438" s="520"/>
      <c r="G438" s="520"/>
      <c r="H438" s="418"/>
      <c r="I438" s="423"/>
      <c r="J438" s="523"/>
      <c r="K438" s="424"/>
      <c r="L438" s="424"/>
      <c r="M438" s="418"/>
      <c r="N438" s="518"/>
      <c r="O438" s="423"/>
      <c r="P438" s="427"/>
      <c r="Q438" s="423"/>
      <c r="R438" s="523"/>
      <c r="S438" s="424"/>
      <c r="T438" s="424"/>
      <c r="U438" s="418"/>
      <c r="V438" s="428"/>
      <c r="W438" s="418"/>
      <c r="X438" s="418"/>
      <c r="Y438" s="524"/>
      <c r="Z438" s="418"/>
      <c r="AA438" s="418"/>
      <c r="AB438" s="429"/>
    </row>
    <row r="439" spans="1:28">
      <c r="A439" s="418"/>
      <c r="B439" s="418"/>
      <c r="C439" s="418"/>
      <c r="D439" s="520"/>
      <c r="E439" s="520"/>
      <c r="F439" s="520"/>
      <c r="G439" s="520"/>
      <c r="H439" s="418"/>
      <c r="I439" s="423"/>
      <c r="J439" s="523"/>
      <c r="K439" s="424"/>
      <c r="L439" s="424"/>
      <c r="M439" s="418"/>
      <c r="N439" s="518"/>
      <c r="O439" s="423"/>
      <c r="P439" s="427"/>
      <c r="Q439" s="423"/>
      <c r="R439" s="523"/>
      <c r="S439" s="424"/>
      <c r="T439" s="424"/>
      <c r="U439" s="418"/>
      <c r="V439" s="428"/>
      <c r="W439" s="418"/>
      <c r="X439" s="418"/>
      <c r="Y439" s="524"/>
      <c r="Z439" s="418"/>
      <c r="AA439" s="418"/>
      <c r="AB439" s="429"/>
    </row>
    <row r="440" spans="1:28">
      <c r="A440" s="418"/>
      <c r="B440" s="418"/>
      <c r="C440" s="418"/>
      <c r="D440" s="520"/>
      <c r="E440" s="520"/>
      <c r="F440" s="520"/>
      <c r="G440" s="520"/>
      <c r="H440" s="418"/>
      <c r="I440" s="423"/>
      <c r="J440" s="523"/>
      <c r="K440" s="424"/>
      <c r="L440" s="424"/>
      <c r="M440" s="418"/>
      <c r="N440" s="518"/>
      <c r="O440" s="423"/>
      <c r="P440" s="427"/>
      <c r="Q440" s="423"/>
      <c r="R440" s="523"/>
      <c r="S440" s="424"/>
      <c r="T440" s="424"/>
      <c r="U440" s="418"/>
      <c r="V440" s="428"/>
      <c r="W440" s="418"/>
      <c r="X440" s="418"/>
      <c r="Y440" s="524"/>
      <c r="Z440" s="418"/>
      <c r="AA440" s="418"/>
      <c r="AB440" s="429"/>
    </row>
    <row r="441" spans="1:28">
      <c r="A441" s="418"/>
      <c r="B441" s="418"/>
      <c r="C441" s="418"/>
      <c r="D441" s="520"/>
      <c r="E441" s="520"/>
      <c r="F441" s="520"/>
      <c r="G441" s="520"/>
      <c r="H441" s="418"/>
      <c r="I441" s="423"/>
      <c r="J441" s="523"/>
      <c r="K441" s="424"/>
      <c r="L441" s="424"/>
      <c r="M441" s="418"/>
      <c r="N441" s="518"/>
      <c r="O441" s="423"/>
      <c r="P441" s="427"/>
      <c r="Q441" s="423"/>
      <c r="R441" s="523"/>
      <c r="S441" s="424"/>
      <c r="T441" s="424"/>
      <c r="U441" s="418"/>
      <c r="V441" s="428"/>
      <c r="W441" s="418"/>
      <c r="X441" s="418"/>
      <c r="Y441" s="524"/>
      <c r="Z441" s="418"/>
      <c r="AA441" s="418"/>
      <c r="AB441" s="429"/>
    </row>
    <row r="442" spans="1:28">
      <c r="A442" s="418"/>
      <c r="B442" s="418"/>
      <c r="C442" s="418"/>
      <c r="D442" s="520"/>
      <c r="E442" s="520"/>
      <c r="F442" s="520"/>
      <c r="G442" s="520"/>
      <c r="H442" s="418"/>
      <c r="I442" s="423"/>
      <c r="J442" s="523"/>
      <c r="K442" s="424"/>
      <c r="L442" s="424"/>
      <c r="M442" s="418"/>
      <c r="N442" s="518"/>
      <c r="O442" s="423"/>
      <c r="P442" s="427"/>
      <c r="Q442" s="423"/>
      <c r="R442" s="523"/>
      <c r="S442" s="424"/>
      <c r="T442" s="424"/>
      <c r="U442" s="418"/>
      <c r="V442" s="428"/>
      <c r="W442" s="418"/>
      <c r="X442" s="418"/>
      <c r="Y442" s="524"/>
      <c r="Z442" s="418"/>
      <c r="AA442" s="418"/>
      <c r="AB442" s="429"/>
    </row>
    <row r="443" spans="1:28">
      <c r="A443" s="418"/>
      <c r="B443" s="418"/>
      <c r="C443" s="418"/>
      <c r="D443" s="520"/>
      <c r="E443" s="520"/>
      <c r="F443" s="520"/>
      <c r="G443" s="520"/>
      <c r="H443" s="418"/>
      <c r="I443" s="423"/>
      <c r="J443" s="523"/>
      <c r="K443" s="424"/>
      <c r="L443" s="424"/>
      <c r="M443" s="418"/>
      <c r="N443" s="518"/>
      <c r="O443" s="423"/>
      <c r="P443" s="427"/>
      <c r="Q443" s="423"/>
      <c r="R443" s="523"/>
      <c r="S443" s="424"/>
      <c r="T443" s="424"/>
      <c r="U443" s="418"/>
      <c r="V443" s="428"/>
      <c r="W443" s="418"/>
      <c r="X443" s="418"/>
      <c r="Y443" s="524"/>
      <c r="Z443" s="418"/>
      <c r="AA443" s="418"/>
      <c r="AB443" s="429"/>
    </row>
    <row r="444" spans="1:28">
      <c r="A444" s="418"/>
      <c r="B444" s="418"/>
      <c r="C444" s="418"/>
      <c r="D444" s="520"/>
      <c r="E444" s="520"/>
      <c r="F444" s="520"/>
      <c r="G444" s="520"/>
      <c r="H444" s="418"/>
      <c r="I444" s="423"/>
      <c r="J444" s="523"/>
      <c r="K444" s="424"/>
      <c r="L444" s="424"/>
      <c r="M444" s="418"/>
      <c r="N444" s="518"/>
      <c r="O444" s="423"/>
      <c r="P444" s="427"/>
      <c r="Q444" s="423"/>
      <c r="R444" s="523"/>
      <c r="S444" s="424"/>
      <c r="T444" s="424"/>
      <c r="U444" s="418"/>
      <c r="V444" s="428"/>
      <c r="W444" s="418"/>
      <c r="X444" s="418"/>
      <c r="Y444" s="524"/>
      <c r="Z444" s="418"/>
      <c r="AA444" s="418"/>
      <c r="AB444" s="429"/>
    </row>
    <row r="445" spans="1:28">
      <c r="A445" s="418"/>
      <c r="B445" s="418"/>
      <c r="C445" s="418"/>
      <c r="D445" s="520"/>
      <c r="E445" s="520"/>
      <c r="F445" s="520"/>
      <c r="G445" s="520"/>
      <c r="H445" s="418"/>
      <c r="I445" s="423"/>
      <c r="J445" s="523"/>
      <c r="K445" s="424"/>
      <c r="L445" s="424"/>
      <c r="M445" s="418"/>
      <c r="N445" s="518"/>
      <c r="O445" s="423"/>
      <c r="P445" s="427"/>
      <c r="Q445" s="423"/>
      <c r="R445" s="523"/>
      <c r="S445" s="424"/>
      <c r="T445" s="424"/>
      <c r="U445" s="418"/>
      <c r="V445" s="428"/>
      <c r="W445" s="418"/>
      <c r="X445" s="418"/>
      <c r="Y445" s="524"/>
      <c r="Z445" s="418"/>
      <c r="AA445" s="418"/>
      <c r="AB445" s="429"/>
    </row>
    <row r="446" spans="1:28">
      <c r="A446" s="418"/>
      <c r="B446" s="418"/>
      <c r="C446" s="418"/>
      <c r="D446" s="520"/>
      <c r="E446" s="520"/>
      <c r="F446" s="520"/>
      <c r="G446" s="520"/>
      <c r="H446" s="418"/>
      <c r="I446" s="423"/>
      <c r="J446" s="523"/>
      <c r="K446" s="424"/>
      <c r="L446" s="424"/>
      <c r="M446" s="418"/>
      <c r="N446" s="518"/>
      <c r="O446" s="423"/>
      <c r="P446" s="427"/>
      <c r="Q446" s="423"/>
      <c r="R446" s="523"/>
      <c r="S446" s="424"/>
      <c r="T446" s="424"/>
      <c r="U446" s="418"/>
      <c r="V446" s="428"/>
      <c r="W446" s="418"/>
      <c r="X446" s="418"/>
      <c r="Y446" s="524"/>
      <c r="Z446" s="418"/>
      <c r="AA446" s="418"/>
      <c r="AB446" s="429"/>
    </row>
    <row r="447" spans="1:28">
      <c r="A447" s="418"/>
      <c r="B447" s="418"/>
      <c r="C447" s="418"/>
      <c r="D447" s="520"/>
      <c r="E447" s="520"/>
      <c r="F447" s="520"/>
      <c r="G447" s="520"/>
      <c r="H447" s="418"/>
      <c r="I447" s="423"/>
      <c r="J447" s="523"/>
      <c r="K447" s="424"/>
      <c r="L447" s="424"/>
      <c r="M447" s="418"/>
      <c r="N447" s="518"/>
      <c r="O447" s="423"/>
      <c r="P447" s="427"/>
      <c r="Q447" s="423"/>
      <c r="R447" s="523"/>
      <c r="S447" s="424"/>
      <c r="T447" s="424"/>
      <c r="U447" s="418"/>
      <c r="V447" s="428"/>
      <c r="W447" s="418"/>
      <c r="X447" s="418"/>
      <c r="Y447" s="524"/>
      <c r="Z447" s="418"/>
      <c r="AA447" s="418"/>
      <c r="AB447" s="429"/>
    </row>
    <row r="448" spans="1:28">
      <c r="A448" s="418"/>
      <c r="B448" s="418"/>
      <c r="C448" s="418"/>
      <c r="D448" s="520"/>
      <c r="E448" s="520"/>
      <c r="F448" s="520"/>
      <c r="G448" s="520"/>
      <c r="H448" s="418"/>
      <c r="I448" s="423"/>
      <c r="J448" s="523"/>
      <c r="K448" s="424"/>
      <c r="L448" s="424"/>
      <c r="M448" s="418"/>
      <c r="N448" s="518"/>
      <c r="O448" s="423"/>
      <c r="P448" s="427"/>
      <c r="Q448" s="423"/>
      <c r="R448" s="523"/>
      <c r="S448" s="424"/>
      <c r="T448" s="424"/>
      <c r="U448" s="418"/>
      <c r="V448" s="428"/>
      <c r="W448" s="418"/>
      <c r="X448" s="418"/>
      <c r="Y448" s="524"/>
      <c r="Z448" s="418"/>
      <c r="AA448" s="418"/>
      <c r="AB448" s="429"/>
    </row>
    <row r="449" spans="1:28">
      <c r="A449" s="418"/>
      <c r="B449" s="418"/>
      <c r="C449" s="418"/>
      <c r="D449" s="520"/>
      <c r="E449" s="520"/>
      <c r="F449" s="520"/>
      <c r="G449" s="520"/>
      <c r="H449" s="418"/>
      <c r="I449" s="423"/>
      <c r="J449" s="523"/>
      <c r="K449" s="424"/>
      <c r="L449" s="424"/>
      <c r="M449" s="418"/>
      <c r="N449" s="518"/>
      <c r="O449" s="423"/>
      <c r="P449" s="427"/>
      <c r="Q449" s="423"/>
      <c r="R449" s="523"/>
      <c r="S449" s="424"/>
      <c r="T449" s="424"/>
      <c r="U449" s="418"/>
      <c r="V449" s="428"/>
      <c r="W449" s="418"/>
      <c r="X449" s="418"/>
      <c r="Y449" s="524"/>
      <c r="Z449" s="418"/>
      <c r="AA449" s="418"/>
      <c r="AB449" s="429"/>
    </row>
    <row r="450" spans="1:28">
      <c r="A450" s="418"/>
      <c r="B450" s="418"/>
      <c r="C450" s="418"/>
      <c r="D450" s="520"/>
      <c r="E450" s="520"/>
      <c r="F450" s="520"/>
      <c r="G450" s="520"/>
      <c r="H450" s="418"/>
      <c r="I450" s="423"/>
      <c r="J450" s="523"/>
      <c r="K450" s="424"/>
      <c r="L450" s="424"/>
      <c r="M450" s="418"/>
      <c r="N450" s="518"/>
      <c r="O450" s="423"/>
      <c r="P450" s="427"/>
      <c r="Q450" s="423"/>
      <c r="R450" s="523"/>
      <c r="S450" s="424"/>
      <c r="T450" s="424"/>
      <c r="U450" s="418"/>
      <c r="V450" s="428"/>
      <c r="W450" s="418"/>
      <c r="X450" s="418"/>
      <c r="Y450" s="524"/>
      <c r="Z450" s="418"/>
      <c r="AA450" s="418"/>
      <c r="AB450" s="429"/>
    </row>
    <row r="451" spans="1:28">
      <c r="A451" s="418"/>
      <c r="B451" s="418"/>
      <c r="C451" s="418"/>
      <c r="D451" s="520"/>
      <c r="E451" s="520"/>
      <c r="F451" s="520"/>
      <c r="G451" s="520"/>
      <c r="H451" s="418"/>
      <c r="I451" s="423"/>
      <c r="J451" s="523"/>
      <c r="K451" s="424"/>
      <c r="L451" s="424"/>
      <c r="M451" s="418"/>
      <c r="N451" s="518"/>
      <c r="O451" s="423"/>
      <c r="P451" s="427"/>
      <c r="Q451" s="423"/>
      <c r="R451" s="523"/>
      <c r="S451" s="424"/>
      <c r="T451" s="424"/>
      <c r="U451" s="418"/>
      <c r="V451" s="428"/>
      <c r="W451" s="418"/>
      <c r="X451" s="418"/>
      <c r="Y451" s="524"/>
      <c r="Z451" s="418"/>
      <c r="AA451" s="418"/>
      <c r="AB451" s="429"/>
    </row>
    <row r="452" spans="1:28">
      <c r="A452" s="418"/>
      <c r="B452" s="418"/>
      <c r="C452" s="418"/>
      <c r="D452" s="520"/>
      <c r="E452" s="520"/>
      <c r="F452" s="520"/>
      <c r="G452" s="520"/>
      <c r="H452" s="418"/>
      <c r="I452" s="423"/>
      <c r="J452" s="523"/>
      <c r="K452" s="424"/>
      <c r="L452" s="424"/>
      <c r="M452" s="418"/>
      <c r="N452" s="518"/>
      <c r="O452" s="423"/>
      <c r="P452" s="427"/>
      <c r="Q452" s="423"/>
      <c r="R452" s="523"/>
      <c r="S452" s="424"/>
      <c r="T452" s="424"/>
      <c r="U452" s="418"/>
      <c r="V452" s="428"/>
      <c r="W452" s="418"/>
      <c r="X452" s="418"/>
      <c r="Y452" s="524"/>
      <c r="Z452" s="418"/>
      <c r="AA452" s="418"/>
      <c r="AB452" s="429"/>
    </row>
    <row r="453" spans="1:28">
      <c r="A453" s="418"/>
      <c r="B453" s="418"/>
      <c r="C453" s="418"/>
      <c r="D453" s="520"/>
      <c r="E453" s="520"/>
      <c r="F453" s="520"/>
      <c r="G453" s="520"/>
      <c r="H453" s="418"/>
      <c r="I453" s="423"/>
      <c r="J453" s="523"/>
      <c r="K453" s="424"/>
      <c r="L453" s="424"/>
      <c r="M453" s="418"/>
      <c r="N453" s="518"/>
      <c r="O453" s="423"/>
      <c r="P453" s="427"/>
      <c r="Q453" s="423"/>
      <c r="R453" s="523"/>
      <c r="S453" s="424"/>
      <c r="T453" s="424"/>
      <c r="U453" s="418"/>
      <c r="V453" s="428"/>
      <c r="W453" s="418"/>
      <c r="X453" s="418"/>
      <c r="Y453" s="524"/>
      <c r="Z453" s="418"/>
      <c r="AA453" s="418"/>
      <c r="AB453" s="429"/>
    </row>
    <row r="454" spans="1:28">
      <c r="A454" s="418"/>
      <c r="B454" s="418"/>
      <c r="C454" s="418"/>
      <c r="D454" s="520"/>
      <c r="E454" s="520"/>
      <c r="F454" s="520"/>
      <c r="G454" s="520"/>
      <c r="H454" s="418"/>
      <c r="I454" s="423"/>
      <c r="J454" s="523"/>
      <c r="K454" s="424"/>
      <c r="L454" s="424"/>
      <c r="M454" s="418"/>
      <c r="N454" s="518"/>
      <c r="O454" s="423"/>
      <c r="P454" s="427"/>
      <c r="Q454" s="423"/>
      <c r="R454" s="523"/>
      <c r="S454" s="424"/>
      <c r="T454" s="424"/>
      <c r="U454" s="418"/>
      <c r="V454" s="428"/>
      <c r="W454" s="418"/>
      <c r="X454" s="418"/>
      <c r="Y454" s="524"/>
      <c r="Z454" s="418"/>
      <c r="AA454" s="418"/>
      <c r="AB454" s="429"/>
    </row>
    <row r="455" spans="1:28">
      <c r="A455" s="418"/>
      <c r="B455" s="418"/>
      <c r="C455" s="418"/>
      <c r="D455" s="520"/>
      <c r="E455" s="520"/>
      <c r="F455" s="520"/>
      <c r="G455" s="520"/>
      <c r="H455" s="418"/>
      <c r="I455" s="423"/>
      <c r="J455" s="523"/>
      <c r="K455" s="424"/>
      <c r="L455" s="424"/>
      <c r="M455" s="418"/>
      <c r="N455" s="518"/>
      <c r="O455" s="423"/>
      <c r="P455" s="427"/>
      <c r="Q455" s="423"/>
      <c r="R455" s="523"/>
      <c r="S455" s="424"/>
      <c r="T455" s="424"/>
      <c r="U455" s="418"/>
      <c r="V455" s="428"/>
      <c r="W455" s="418"/>
      <c r="X455" s="418"/>
      <c r="Y455" s="524"/>
      <c r="Z455" s="418"/>
      <c r="AA455" s="418"/>
      <c r="AB455" s="429"/>
    </row>
    <row r="456" spans="1:28">
      <c r="A456" s="418"/>
      <c r="B456" s="418"/>
      <c r="C456" s="418"/>
      <c r="D456" s="520"/>
      <c r="E456" s="520"/>
      <c r="F456" s="520"/>
      <c r="G456" s="520"/>
      <c r="H456" s="418"/>
      <c r="I456" s="423"/>
      <c r="J456" s="523"/>
      <c r="K456" s="424"/>
      <c r="L456" s="424"/>
      <c r="M456" s="418"/>
      <c r="N456" s="518"/>
      <c r="O456" s="423"/>
      <c r="P456" s="427"/>
      <c r="Q456" s="423"/>
      <c r="R456" s="523"/>
      <c r="S456" s="424"/>
      <c r="T456" s="424"/>
      <c r="U456" s="418"/>
      <c r="V456" s="428"/>
      <c r="W456" s="418"/>
      <c r="X456" s="418"/>
      <c r="Y456" s="524"/>
      <c r="Z456" s="418"/>
      <c r="AA456" s="418"/>
      <c r="AB456" s="429"/>
    </row>
    <row r="457" spans="1:28">
      <c r="A457" s="418"/>
      <c r="B457" s="418"/>
      <c r="C457" s="418"/>
      <c r="D457" s="520"/>
      <c r="E457" s="520"/>
      <c r="F457" s="520"/>
      <c r="G457" s="520"/>
      <c r="H457" s="418"/>
      <c r="I457" s="423"/>
      <c r="J457" s="523"/>
      <c r="K457" s="424"/>
      <c r="L457" s="424"/>
      <c r="M457" s="418"/>
      <c r="N457" s="518"/>
      <c r="O457" s="423"/>
      <c r="P457" s="427"/>
      <c r="Q457" s="423"/>
      <c r="R457" s="523"/>
      <c r="S457" s="424"/>
      <c r="T457" s="424"/>
      <c r="U457" s="418"/>
      <c r="V457" s="428"/>
      <c r="W457" s="418"/>
      <c r="X457" s="418"/>
      <c r="Y457" s="524"/>
      <c r="Z457" s="418"/>
      <c r="AA457" s="418"/>
      <c r="AB457" s="429"/>
    </row>
    <row r="458" spans="1:28">
      <c r="A458" s="418"/>
      <c r="B458" s="418"/>
      <c r="C458" s="418"/>
      <c r="D458" s="520"/>
      <c r="E458" s="520"/>
      <c r="F458" s="520"/>
      <c r="G458" s="520"/>
      <c r="H458" s="418"/>
      <c r="I458" s="423"/>
      <c r="J458" s="523"/>
      <c r="K458" s="424"/>
      <c r="L458" s="424"/>
      <c r="M458" s="418"/>
      <c r="N458" s="518"/>
      <c r="O458" s="423"/>
      <c r="P458" s="427"/>
      <c r="Q458" s="423"/>
      <c r="R458" s="523"/>
      <c r="S458" s="424"/>
      <c r="T458" s="424"/>
      <c r="U458" s="418"/>
      <c r="V458" s="428"/>
      <c r="W458" s="418"/>
      <c r="X458" s="418"/>
      <c r="Y458" s="524"/>
      <c r="Z458" s="418"/>
      <c r="AA458" s="418"/>
      <c r="AB458" s="429"/>
    </row>
    <row r="459" spans="1:28">
      <c r="A459" s="418"/>
      <c r="B459" s="418"/>
      <c r="C459" s="418"/>
      <c r="D459" s="520"/>
      <c r="E459" s="520"/>
      <c r="F459" s="520"/>
      <c r="G459" s="520"/>
      <c r="H459" s="418"/>
      <c r="I459" s="423"/>
      <c r="J459" s="523"/>
      <c r="K459" s="424"/>
      <c r="L459" s="424"/>
      <c r="M459" s="418"/>
      <c r="N459" s="518"/>
      <c r="O459" s="423"/>
      <c r="P459" s="427"/>
      <c r="Q459" s="423"/>
      <c r="R459" s="523"/>
      <c r="S459" s="424"/>
      <c r="T459" s="424"/>
      <c r="U459" s="418"/>
      <c r="V459" s="428"/>
      <c r="W459" s="418"/>
      <c r="X459" s="418"/>
      <c r="Y459" s="524"/>
      <c r="Z459" s="418"/>
      <c r="AA459" s="418"/>
      <c r="AB459" s="429"/>
    </row>
    <row r="460" spans="1:28">
      <c r="A460" s="418"/>
      <c r="B460" s="418"/>
      <c r="C460" s="418"/>
      <c r="D460" s="520"/>
      <c r="E460" s="520"/>
      <c r="F460" s="520"/>
      <c r="G460" s="520"/>
      <c r="H460" s="418"/>
      <c r="I460" s="423"/>
      <c r="J460" s="523"/>
      <c r="K460" s="424"/>
      <c r="L460" s="424"/>
      <c r="M460" s="418"/>
      <c r="N460" s="518"/>
      <c r="O460" s="423"/>
      <c r="P460" s="427"/>
      <c r="Q460" s="423"/>
      <c r="R460" s="523"/>
      <c r="S460" s="424"/>
      <c r="T460" s="424"/>
      <c r="U460" s="418"/>
      <c r="V460" s="428"/>
      <c r="W460" s="418"/>
      <c r="X460" s="418"/>
      <c r="Y460" s="524"/>
      <c r="Z460" s="418"/>
      <c r="AA460" s="418"/>
      <c r="AB460" s="429"/>
    </row>
    <row r="461" spans="1:28">
      <c r="A461" s="418"/>
      <c r="B461" s="418"/>
      <c r="C461" s="418"/>
      <c r="D461" s="520"/>
      <c r="E461" s="520"/>
      <c r="F461" s="520"/>
      <c r="G461" s="520"/>
      <c r="H461" s="418"/>
      <c r="I461" s="423"/>
      <c r="J461" s="523"/>
      <c r="K461" s="424"/>
      <c r="L461" s="424"/>
      <c r="M461" s="418"/>
      <c r="N461" s="518"/>
      <c r="O461" s="423"/>
      <c r="P461" s="427"/>
      <c r="Q461" s="423"/>
      <c r="R461" s="523"/>
      <c r="S461" s="424"/>
      <c r="T461" s="424"/>
      <c r="U461" s="418"/>
      <c r="V461" s="428"/>
      <c r="W461" s="418"/>
      <c r="X461" s="418"/>
      <c r="Y461" s="524"/>
      <c r="Z461" s="418"/>
      <c r="AA461" s="418"/>
      <c r="AB461" s="429"/>
    </row>
    <row r="462" spans="1:28">
      <c r="A462" s="418"/>
      <c r="B462" s="418"/>
      <c r="C462" s="418"/>
      <c r="D462" s="520"/>
      <c r="E462" s="520"/>
      <c r="F462" s="520"/>
      <c r="G462" s="520"/>
      <c r="H462" s="418"/>
      <c r="I462" s="423"/>
      <c r="J462" s="523"/>
      <c r="K462" s="424"/>
      <c r="L462" s="424"/>
      <c r="M462" s="418"/>
      <c r="N462" s="518"/>
      <c r="O462" s="423"/>
      <c r="P462" s="427"/>
      <c r="Q462" s="423"/>
      <c r="R462" s="523"/>
      <c r="S462" s="424"/>
      <c r="T462" s="424"/>
      <c r="U462" s="418"/>
      <c r="V462" s="428"/>
      <c r="W462" s="418"/>
      <c r="X462" s="418"/>
      <c r="Y462" s="524"/>
      <c r="Z462" s="418"/>
      <c r="AA462" s="418"/>
      <c r="AB462" s="429"/>
    </row>
    <row r="463" spans="1:28">
      <c r="A463" s="418"/>
      <c r="B463" s="418"/>
      <c r="C463" s="418"/>
      <c r="D463" s="520"/>
      <c r="E463" s="520"/>
      <c r="F463" s="520"/>
      <c r="G463" s="520"/>
      <c r="H463" s="418"/>
      <c r="I463" s="423"/>
      <c r="J463" s="523"/>
      <c r="K463" s="424"/>
      <c r="L463" s="424"/>
      <c r="M463" s="418"/>
      <c r="N463" s="518"/>
      <c r="O463" s="423"/>
      <c r="P463" s="427"/>
      <c r="Q463" s="423"/>
      <c r="R463" s="523"/>
      <c r="S463" s="424"/>
      <c r="T463" s="424"/>
      <c r="U463" s="418"/>
      <c r="V463" s="428"/>
      <c r="W463" s="418"/>
      <c r="X463" s="418"/>
      <c r="Y463" s="524"/>
      <c r="Z463" s="418"/>
      <c r="AA463" s="418"/>
      <c r="AB463" s="429"/>
    </row>
    <row r="464" spans="1:28">
      <c r="A464" s="418"/>
      <c r="B464" s="418"/>
      <c r="C464" s="418"/>
      <c r="D464" s="520"/>
      <c r="E464" s="520"/>
      <c r="F464" s="520"/>
      <c r="G464" s="520"/>
      <c r="H464" s="418"/>
      <c r="I464" s="423"/>
      <c r="J464" s="523"/>
      <c r="K464" s="424"/>
      <c r="L464" s="424"/>
      <c r="M464" s="418"/>
      <c r="N464" s="518"/>
      <c r="O464" s="423"/>
      <c r="P464" s="427"/>
      <c r="Q464" s="423"/>
      <c r="R464" s="523"/>
      <c r="S464" s="424"/>
      <c r="T464" s="424"/>
      <c r="U464" s="418"/>
      <c r="V464" s="428"/>
      <c r="W464" s="418"/>
      <c r="X464" s="418"/>
      <c r="Y464" s="524"/>
      <c r="Z464" s="418"/>
      <c r="AA464" s="418"/>
      <c r="AB464" s="429"/>
    </row>
    <row r="465" spans="1:28">
      <c r="A465" s="418"/>
      <c r="B465" s="418"/>
      <c r="C465" s="418"/>
      <c r="D465" s="520"/>
      <c r="E465" s="520"/>
      <c r="F465" s="520"/>
      <c r="G465" s="520"/>
      <c r="H465" s="418"/>
      <c r="I465" s="423"/>
      <c r="J465" s="523"/>
      <c r="K465" s="424"/>
      <c r="L465" s="424"/>
      <c r="M465" s="418"/>
      <c r="N465" s="518"/>
      <c r="O465" s="423"/>
      <c r="P465" s="427"/>
      <c r="Q465" s="423"/>
      <c r="R465" s="523"/>
      <c r="S465" s="424"/>
      <c r="T465" s="424"/>
      <c r="U465" s="418"/>
      <c r="V465" s="428"/>
      <c r="W465" s="418"/>
      <c r="X465" s="418"/>
      <c r="Y465" s="524"/>
      <c r="Z465" s="418"/>
      <c r="AA465" s="418"/>
      <c r="AB465" s="429"/>
    </row>
    <row r="466" spans="1:28">
      <c r="A466" s="418"/>
      <c r="B466" s="418"/>
      <c r="C466" s="418"/>
      <c r="D466" s="520"/>
      <c r="E466" s="520"/>
      <c r="F466" s="520"/>
      <c r="G466" s="520"/>
      <c r="H466" s="418"/>
      <c r="I466" s="423"/>
      <c r="J466" s="523"/>
      <c r="K466" s="424"/>
      <c r="L466" s="424"/>
      <c r="M466" s="418"/>
      <c r="N466" s="518"/>
      <c r="O466" s="423"/>
      <c r="P466" s="427"/>
      <c r="Q466" s="423"/>
      <c r="R466" s="523"/>
      <c r="S466" s="424"/>
      <c r="T466" s="424"/>
      <c r="U466" s="418"/>
      <c r="V466" s="428"/>
      <c r="W466" s="418"/>
      <c r="X466" s="418"/>
      <c r="Y466" s="524"/>
      <c r="Z466" s="418"/>
      <c r="AA466" s="418"/>
      <c r="AB466" s="429"/>
    </row>
    <row r="467" spans="1:28">
      <c r="A467" s="418"/>
      <c r="B467" s="418"/>
      <c r="C467" s="418"/>
      <c r="D467" s="520"/>
      <c r="E467" s="520"/>
      <c r="F467" s="520"/>
      <c r="G467" s="520"/>
      <c r="H467" s="418"/>
      <c r="I467" s="423"/>
      <c r="J467" s="523"/>
      <c r="K467" s="424"/>
      <c r="L467" s="424"/>
      <c r="M467" s="418"/>
      <c r="N467" s="518"/>
      <c r="O467" s="423"/>
      <c r="P467" s="427"/>
      <c r="Q467" s="423"/>
      <c r="R467" s="523"/>
      <c r="S467" s="424"/>
      <c r="T467" s="424"/>
      <c r="U467" s="418"/>
      <c r="V467" s="428"/>
      <c r="W467" s="418"/>
      <c r="X467" s="418"/>
      <c r="Y467" s="524"/>
      <c r="Z467" s="418"/>
      <c r="AA467" s="418"/>
      <c r="AB467" s="429"/>
    </row>
    <row r="468" spans="1:28">
      <c r="A468" s="418"/>
      <c r="B468" s="418"/>
      <c r="C468" s="418"/>
      <c r="D468" s="520"/>
      <c r="E468" s="520"/>
      <c r="F468" s="520"/>
      <c r="G468" s="520"/>
      <c r="H468" s="418"/>
      <c r="I468" s="423"/>
      <c r="J468" s="523"/>
      <c r="K468" s="424"/>
      <c r="L468" s="424"/>
      <c r="M468" s="418"/>
      <c r="N468" s="518"/>
      <c r="O468" s="423"/>
      <c r="P468" s="427"/>
      <c r="Q468" s="423"/>
      <c r="R468" s="523"/>
      <c r="S468" s="424"/>
      <c r="T468" s="424"/>
      <c r="U468" s="418"/>
      <c r="V468" s="428"/>
      <c r="W468" s="418"/>
      <c r="X468" s="418"/>
      <c r="Y468" s="524"/>
      <c r="Z468" s="418"/>
      <c r="AA468" s="418"/>
      <c r="AB468" s="429"/>
    </row>
    <row r="469" spans="1:28">
      <c r="A469" s="418"/>
      <c r="B469" s="418"/>
      <c r="C469" s="418"/>
      <c r="D469" s="520"/>
      <c r="E469" s="520"/>
      <c r="F469" s="520"/>
      <c r="G469" s="520"/>
      <c r="H469" s="418"/>
      <c r="I469" s="423"/>
      <c r="J469" s="523"/>
      <c r="K469" s="424"/>
      <c r="L469" s="424"/>
      <c r="M469" s="418"/>
      <c r="N469" s="518"/>
      <c r="O469" s="423"/>
      <c r="P469" s="427"/>
      <c r="Q469" s="423"/>
      <c r="R469" s="523"/>
      <c r="S469" s="424"/>
      <c r="T469" s="424"/>
      <c r="U469" s="418"/>
      <c r="V469" s="428"/>
      <c r="W469" s="418"/>
      <c r="X469" s="418"/>
      <c r="Y469" s="524"/>
      <c r="Z469" s="418"/>
      <c r="AA469" s="418"/>
      <c r="AB469" s="429"/>
    </row>
    <row r="470" spans="1:28">
      <c r="A470" s="418"/>
      <c r="B470" s="418"/>
      <c r="C470" s="418"/>
      <c r="D470" s="520"/>
      <c r="E470" s="520"/>
      <c r="F470" s="520"/>
      <c r="G470" s="520"/>
      <c r="H470" s="418"/>
      <c r="I470" s="423"/>
      <c r="J470" s="523"/>
      <c r="K470" s="424"/>
      <c r="L470" s="424"/>
      <c r="M470" s="418"/>
      <c r="N470" s="518"/>
      <c r="O470" s="423"/>
      <c r="P470" s="427"/>
      <c r="Q470" s="423"/>
      <c r="R470" s="523"/>
      <c r="S470" s="424"/>
      <c r="T470" s="424"/>
      <c r="U470" s="418"/>
      <c r="V470" s="428"/>
      <c r="W470" s="418"/>
      <c r="X470" s="418"/>
      <c r="Y470" s="524"/>
      <c r="Z470" s="418"/>
      <c r="AA470" s="418"/>
      <c r="AB470" s="429"/>
    </row>
    <row r="471" spans="1:28">
      <c r="A471" s="418"/>
      <c r="B471" s="418"/>
      <c r="C471" s="418"/>
      <c r="D471" s="520"/>
      <c r="E471" s="520"/>
      <c r="F471" s="520"/>
      <c r="G471" s="520"/>
      <c r="H471" s="418"/>
      <c r="I471" s="423"/>
      <c r="J471" s="523"/>
      <c r="K471" s="424"/>
      <c r="L471" s="424"/>
      <c r="M471" s="418"/>
      <c r="N471" s="518"/>
      <c r="O471" s="423"/>
      <c r="P471" s="427"/>
      <c r="Q471" s="423"/>
      <c r="R471" s="523"/>
      <c r="S471" s="424"/>
      <c r="T471" s="424"/>
      <c r="U471" s="418"/>
      <c r="V471" s="428"/>
      <c r="W471" s="418"/>
      <c r="X471" s="418"/>
      <c r="Y471" s="524"/>
      <c r="Z471" s="418"/>
      <c r="AA471" s="418"/>
      <c r="AB471" s="429"/>
    </row>
    <row r="472" spans="1:28">
      <c r="A472" s="418"/>
      <c r="B472" s="418"/>
      <c r="C472" s="418"/>
      <c r="D472" s="520"/>
      <c r="E472" s="520"/>
      <c r="F472" s="520"/>
      <c r="G472" s="520"/>
      <c r="H472" s="418"/>
      <c r="I472" s="423"/>
      <c r="J472" s="523"/>
      <c r="K472" s="424"/>
      <c r="L472" s="424"/>
      <c r="M472" s="418"/>
      <c r="N472" s="518"/>
      <c r="O472" s="423"/>
      <c r="P472" s="427"/>
      <c r="Q472" s="423"/>
      <c r="R472" s="523"/>
      <c r="S472" s="424"/>
      <c r="T472" s="424"/>
      <c r="U472" s="418"/>
      <c r="V472" s="428"/>
      <c r="W472" s="418"/>
      <c r="X472" s="418"/>
      <c r="Y472" s="524"/>
      <c r="Z472" s="418"/>
      <c r="AA472" s="418"/>
      <c r="AB472" s="429"/>
    </row>
    <row r="473" spans="1:28">
      <c r="A473" s="418"/>
      <c r="B473" s="418"/>
      <c r="C473" s="418"/>
      <c r="D473" s="520"/>
      <c r="E473" s="520"/>
      <c r="F473" s="520"/>
      <c r="G473" s="520"/>
      <c r="H473" s="418"/>
      <c r="I473" s="423"/>
      <c r="J473" s="523"/>
      <c r="K473" s="424"/>
      <c r="L473" s="424"/>
      <c r="M473" s="418"/>
      <c r="N473" s="518"/>
      <c r="O473" s="423"/>
      <c r="P473" s="427"/>
      <c r="Q473" s="423"/>
      <c r="R473" s="523"/>
      <c r="S473" s="424"/>
      <c r="T473" s="424"/>
      <c r="U473" s="418"/>
      <c r="V473" s="428"/>
      <c r="W473" s="418"/>
      <c r="X473" s="418"/>
      <c r="Y473" s="524"/>
      <c r="Z473" s="418"/>
      <c r="AA473" s="418"/>
      <c r="AB473" s="429"/>
    </row>
    <row r="474" spans="1:28">
      <c r="A474" s="418"/>
      <c r="B474" s="418"/>
      <c r="C474" s="418"/>
      <c r="D474" s="520"/>
      <c r="E474" s="520"/>
      <c r="F474" s="520"/>
      <c r="G474" s="520"/>
      <c r="H474" s="418"/>
      <c r="I474" s="423"/>
      <c r="J474" s="523"/>
      <c r="K474" s="424"/>
      <c r="L474" s="424"/>
      <c r="M474" s="418"/>
      <c r="N474" s="518"/>
      <c r="O474" s="423"/>
      <c r="P474" s="427"/>
      <c r="Q474" s="423"/>
      <c r="R474" s="523"/>
      <c r="S474" s="424"/>
      <c r="T474" s="424"/>
      <c r="U474" s="418"/>
      <c r="V474" s="428"/>
      <c r="W474" s="418"/>
      <c r="X474" s="418"/>
      <c r="Y474" s="524"/>
      <c r="Z474" s="418"/>
      <c r="AA474" s="418"/>
      <c r="AB474" s="429"/>
    </row>
    <row r="475" spans="1:28">
      <c r="A475" s="418"/>
      <c r="B475" s="418"/>
      <c r="C475" s="418"/>
      <c r="D475" s="520"/>
      <c r="E475" s="520"/>
      <c r="F475" s="520"/>
      <c r="G475" s="520"/>
      <c r="H475" s="418"/>
      <c r="I475" s="423"/>
      <c r="J475" s="523"/>
      <c r="K475" s="424"/>
      <c r="L475" s="424"/>
      <c r="M475" s="418"/>
      <c r="N475" s="518"/>
      <c r="O475" s="423"/>
      <c r="P475" s="427"/>
      <c r="Q475" s="423"/>
      <c r="R475" s="523"/>
      <c r="S475" s="424"/>
      <c r="T475" s="424"/>
      <c r="U475" s="418"/>
      <c r="V475" s="428"/>
      <c r="W475" s="418"/>
      <c r="X475" s="418"/>
      <c r="Y475" s="524"/>
      <c r="Z475" s="418"/>
      <c r="AA475" s="418"/>
      <c r="AB475" s="429"/>
    </row>
    <row r="476" spans="1:28">
      <c r="A476" s="418"/>
      <c r="B476" s="418"/>
      <c r="C476" s="418"/>
      <c r="D476" s="520"/>
      <c r="E476" s="520"/>
      <c r="F476" s="520"/>
      <c r="G476" s="520"/>
      <c r="H476" s="418"/>
      <c r="I476" s="423"/>
      <c r="J476" s="523"/>
      <c r="K476" s="424"/>
      <c r="L476" s="424"/>
      <c r="M476" s="418"/>
      <c r="N476" s="518"/>
      <c r="O476" s="423"/>
      <c r="P476" s="427"/>
      <c r="Q476" s="423"/>
      <c r="R476" s="523"/>
      <c r="S476" s="424"/>
      <c r="T476" s="424"/>
      <c r="U476" s="418"/>
      <c r="V476" s="428"/>
      <c r="W476" s="418"/>
      <c r="X476" s="418"/>
      <c r="Y476" s="524"/>
      <c r="Z476" s="418"/>
      <c r="AA476" s="418"/>
      <c r="AB476" s="429"/>
    </row>
    <row r="477" spans="1:28">
      <c r="A477" s="418"/>
      <c r="B477" s="418"/>
      <c r="C477" s="418"/>
      <c r="D477" s="520"/>
      <c r="E477" s="520"/>
      <c r="F477" s="520"/>
      <c r="G477" s="520"/>
      <c r="H477" s="418"/>
      <c r="I477" s="423"/>
      <c r="J477" s="523"/>
      <c r="K477" s="424"/>
      <c r="L477" s="424"/>
      <c r="M477" s="418"/>
      <c r="N477" s="518"/>
      <c r="O477" s="423"/>
      <c r="P477" s="427"/>
      <c r="Q477" s="423"/>
      <c r="R477" s="523"/>
      <c r="S477" s="424"/>
      <c r="T477" s="424"/>
      <c r="U477" s="418"/>
      <c r="V477" s="428"/>
      <c r="W477" s="418"/>
      <c r="X477" s="418"/>
      <c r="Y477" s="524"/>
      <c r="Z477" s="418"/>
      <c r="AA477" s="418"/>
      <c r="AB477" s="429"/>
    </row>
    <row r="478" spans="1:28">
      <c r="A478" s="418"/>
      <c r="B478" s="418"/>
      <c r="C478" s="418"/>
      <c r="D478" s="520"/>
      <c r="E478" s="520"/>
      <c r="F478" s="520"/>
      <c r="G478" s="520"/>
      <c r="H478" s="418"/>
      <c r="I478" s="423"/>
      <c r="J478" s="523"/>
      <c r="K478" s="424"/>
      <c r="L478" s="424"/>
      <c r="M478" s="418"/>
      <c r="N478" s="518"/>
      <c r="O478" s="423"/>
      <c r="P478" s="427"/>
      <c r="Q478" s="423"/>
      <c r="R478" s="523"/>
      <c r="S478" s="424"/>
      <c r="T478" s="424"/>
      <c r="U478" s="418"/>
      <c r="V478" s="428"/>
      <c r="W478" s="418"/>
      <c r="X478" s="418"/>
      <c r="Y478" s="524"/>
      <c r="Z478" s="418"/>
      <c r="AA478" s="418"/>
      <c r="AB478" s="429"/>
    </row>
    <row r="479" spans="1:28">
      <c r="A479" s="418"/>
      <c r="B479" s="418"/>
      <c r="C479" s="418"/>
      <c r="D479" s="520"/>
      <c r="E479" s="520"/>
      <c r="F479" s="520"/>
      <c r="G479" s="520"/>
      <c r="H479" s="418"/>
      <c r="I479" s="423"/>
      <c r="J479" s="523"/>
      <c r="K479" s="424"/>
      <c r="L479" s="424"/>
      <c r="M479" s="418"/>
      <c r="N479" s="518"/>
      <c r="O479" s="423"/>
      <c r="P479" s="427"/>
      <c r="Q479" s="423"/>
      <c r="R479" s="523"/>
      <c r="S479" s="424"/>
      <c r="T479" s="424"/>
      <c r="U479" s="418"/>
      <c r="V479" s="428"/>
      <c r="W479" s="418"/>
      <c r="X479" s="418"/>
      <c r="Y479" s="524"/>
      <c r="Z479" s="418"/>
      <c r="AA479" s="418"/>
      <c r="AB479" s="429"/>
    </row>
    <row r="480" spans="1:28">
      <c r="A480" s="418"/>
      <c r="B480" s="418"/>
      <c r="C480" s="418"/>
      <c r="D480" s="520"/>
      <c r="E480" s="520"/>
      <c r="F480" s="520"/>
      <c r="G480" s="520"/>
      <c r="H480" s="418"/>
      <c r="I480" s="423"/>
      <c r="J480" s="523"/>
      <c r="K480" s="424"/>
      <c r="L480" s="424"/>
      <c r="M480" s="418"/>
      <c r="N480" s="518"/>
      <c r="O480" s="423"/>
      <c r="P480" s="427"/>
      <c r="Q480" s="423"/>
      <c r="R480" s="523"/>
      <c r="S480" s="424"/>
      <c r="T480" s="424"/>
      <c r="U480" s="418"/>
      <c r="V480" s="428"/>
      <c r="W480" s="418"/>
      <c r="X480" s="418"/>
      <c r="Y480" s="524"/>
      <c r="Z480" s="418"/>
      <c r="AA480" s="418"/>
      <c r="AB480" s="429"/>
    </row>
    <row r="481" spans="1:28">
      <c r="A481" s="418"/>
      <c r="B481" s="418"/>
      <c r="C481" s="418"/>
      <c r="D481" s="520"/>
      <c r="E481" s="520"/>
      <c r="F481" s="520"/>
      <c r="G481" s="520"/>
      <c r="H481" s="418"/>
      <c r="I481" s="423"/>
      <c r="J481" s="523"/>
      <c r="K481" s="424"/>
      <c r="L481" s="424"/>
      <c r="M481" s="418"/>
      <c r="N481" s="518"/>
      <c r="O481" s="423"/>
      <c r="P481" s="427"/>
      <c r="Q481" s="423"/>
      <c r="R481" s="523"/>
      <c r="S481" s="424"/>
      <c r="T481" s="424"/>
      <c r="U481" s="418"/>
      <c r="V481" s="428"/>
      <c r="W481" s="418"/>
      <c r="X481" s="418"/>
      <c r="Y481" s="524"/>
      <c r="Z481" s="418"/>
      <c r="AA481" s="418"/>
      <c r="AB481" s="429"/>
    </row>
    <row r="482" spans="1:28">
      <c r="A482" s="418"/>
      <c r="B482" s="418"/>
      <c r="C482" s="418"/>
      <c r="D482" s="520"/>
      <c r="E482" s="520"/>
      <c r="F482" s="520"/>
      <c r="G482" s="520"/>
      <c r="H482" s="418"/>
      <c r="I482" s="423"/>
      <c r="J482" s="523"/>
      <c r="K482" s="424"/>
      <c r="L482" s="424"/>
      <c r="M482" s="418"/>
      <c r="N482" s="518"/>
      <c r="O482" s="423"/>
      <c r="P482" s="427"/>
      <c r="Q482" s="423"/>
      <c r="R482" s="523"/>
      <c r="S482" s="424"/>
      <c r="T482" s="424"/>
      <c r="U482" s="418"/>
      <c r="V482" s="428"/>
      <c r="W482" s="418"/>
      <c r="X482" s="418"/>
      <c r="Y482" s="524"/>
      <c r="Z482" s="418"/>
      <c r="AA482" s="418"/>
      <c r="AB482" s="429"/>
    </row>
    <row r="483" spans="1:28">
      <c r="A483" s="418"/>
      <c r="B483" s="418"/>
      <c r="C483" s="418"/>
      <c r="D483" s="520"/>
      <c r="E483" s="520"/>
      <c r="F483" s="520"/>
      <c r="G483" s="520"/>
      <c r="H483" s="418"/>
      <c r="I483" s="423"/>
      <c r="J483" s="523"/>
      <c r="K483" s="424"/>
      <c r="L483" s="424"/>
      <c r="M483" s="418"/>
      <c r="N483" s="518"/>
      <c r="O483" s="423"/>
      <c r="P483" s="427"/>
      <c r="Q483" s="423"/>
      <c r="R483" s="523"/>
      <c r="S483" s="424"/>
      <c r="T483" s="424"/>
      <c r="U483" s="418"/>
      <c r="V483" s="428"/>
      <c r="W483" s="418"/>
      <c r="X483" s="418"/>
      <c r="Y483" s="524"/>
      <c r="Z483" s="418"/>
      <c r="AA483" s="418"/>
      <c r="AB483" s="429"/>
    </row>
    <row r="484" spans="1:28">
      <c r="A484" s="418"/>
      <c r="B484" s="418"/>
      <c r="C484" s="418"/>
      <c r="D484" s="520"/>
      <c r="E484" s="520"/>
      <c r="F484" s="520"/>
      <c r="G484" s="520"/>
      <c r="H484" s="418"/>
      <c r="I484" s="423"/>
      <c r="J484" s="523"/>
      <c r="K484" s="424"/>
      <c r="L484" s="424"/>
      <c r="M484" s="418"/>
      <c r="N484" s="518"/>
      <c r="O484" s="423"/>
      <c r="P484" s="427"/>
      <c r="Q484" s="423"/>
      <c r="R484" s="523"/>
      <c r="S484" s="424"/>
      <c r="T484" s="424"/>
      <c r="U484" s="418"/>
      <c r="V484" s="428"/>
      <c r="W484" s="418"/>
      <c r="X484" s="418"/>
      <c r="Y484" s="524"/>
      <c r="Z484" s="418"/>
      <c r="AA484" s="418"/>
      <c r="AB484" s="429"/>
    </row>
    <row r="485" spans="1:28">
      <c r="A485" s="418"/>
      <c r="B485" s="418"/>
      <c r="C485" s="418"/>
      <c r="D485" s="520"/>
      <c r="E485" s="520"/>
      <c r="F485" s="520"/>
      <c r="G485" s="520"/>
      <c r="H485" s="418"/>
      <c r="I485" s="423"/>
      <c r="J485" s="523"/>
      <c r="K485" s="424"/>
      <c r="L485" s="424"/>
      <c r="M485" s="418"/>
      <c r="N485" s="518"/>
      <c r="O485" s="423"/>
      <c r="P485" s="427"/>
      <c r="Q485" s="423"/>
      <c r="R485" s="523"/>
      <c r="S485" s="424"/>
      <c r="T485" s="424"/>
      <c r="U485" s="418"/>
      <c r="V485" s="428"/>
      <c r="W485" s="418"/>
      <c r="X485" s="418"/>
      <c r="Y485" s="524"/>
      <c r="Z485" s="418"/>
      <c r="AA485" s="418"/>
      <c r="AB485" s="429"/>
    </row>
    <row r="486" spans="1:28">
      <c r="A486" s="418"/>
      <c r="B486" s="418"/>
      <c r="C486" s="418"/>
      <c r="D486" s="520"/>
      <c r="E486" s="520"/>
      <c r="F486" s="520"/>
      <c r="G486" s="520"/>
      <c r="H486" s="418"/>
      <c r="I486" s="423"/>
      <c r="J486" s="523"/>
      <c r="K486" s="424"/>
      <c r="L486" s="424"/>
      <c r="M486" s="418"/>
      <c r="N486" s="518"/>
      <c r="O486" s="423"/>
      <c r="P486" s="427"/>
      <c r="Q486" s="423"/>
      <c r="R486" s="523"/>
      <c r="S486" s="424"/>
      <c r="T486" s="424"/>
      <c r="U486" s="418"/>
      <c r="V486" s="428"/>
      <c r="W486" s="418"/>
      <c r="X486" s="418"/>
      <c r="Y486" s="524"/>
      <c r="Z486" s="418"/>
      <c r="AA486" s="418"/>
      <c r="AB486" s="429"/>
    </row>
    <row r="487" spans="1:28">
      <c r="A487" s="418"/>
      <c r="B487" s="418"/>
      <c r="C487" s="418"/>
      <c r="D487" s="520"/>
      <c r="E487" s="520"/>
      <c r="F487" s="520"/>
      <c r="G487" s="520"/>
      <c r="H487" s="418"/>
      <c r="I487" s="423"/>
      <c r="J487" s="523"/>
      <c r="K487" s="424"/>
      <c r="L487" s="424"/>
      <c r="M487" s="418"/>
      <c r="N487" s="518"/>
      <c r="O487" s="423"/>
      <c r="P487" s="427"/>
      <c r="Q487" s="423"/>
      <c r="R487" s="523"/>
      <c r="S487" s="424"/>
      <c r="T487" s="424"/>
      <c r="U487" s="418"/>
      <c r="V487" s="428"/>
      <c r="W487" s="418"/>
      <c r="X487" s="418"/>
      <c r="Y487" s="524"/>
      <c r="Z487" s="418"/>
      <c r="AA487" s="418"/>
      <c r="AB487" s="429"/>
    </row>
    <row r="488" spans="1:28">
      <c r="A488" s="418"/>
      <c r="B488" s="418"/>
      <c r="C488" s="418"/>
      <c r="D488" s="520"/>
      <c r="E488" s="520"/>
      <c r="F488" s="520"/>
      <c r="G488" s="520"/>
      <c r="H488" s="418"/>
      <c r="I488" s="423"/>
      <c r="J488" s="523"/>
      <c r="K488" s="424"/>
      <c r="L488" s="424"/>
      <c r="M488" s="418"/>
      <c r="N488" s="518"/>
      <c r="O488" s="423"/>
      <c r="P488" s="427"/>
      <c r="Q488" s="423"/>
      <c r="R488" s="523"/>
      <c r="S488" s="424"/>
      <c r="T488" s="424"/>
      <c r="U488" s="418"/>
      <c r="V488" s="428"/>
      <c r="W488" s="418"/>
      <c r="X488" s="418"/>
      <c r="Y488" s="524"/>
      <c r="Z488" s="418"/>
      <c r="AA488" s="418"/>
      <c r="AB488" s="429"/>
    </row>
    <row r="489" spans="1:28">
      <c r="A489" s="418"/>
      <c r="B489" s="418"/>
      <c r="C489" s="418"/>
      <c r="D489" s="520"/>
      <c r="E489" s="520"/>
      <c r="F489" s="520"/>
      <c r="G489" s="520"/>
      <c r="H489" s="418"/>
      <c r="I489" s="423"/>
      <c r="J489" s="523"/>
      <c r="K489" s="424"/>
      <c r="L489" s="424"/>
      <c r="M489" s="418"/>
      <c r="N489" s="518"/>
      <c r="O489" s="423"/>
      <c r="P489" s="427"/>
      <c r="Q489" s="423"/>
      <c r="R489" s="523"/>
      <c r="S489" s="424"/>
      <c r="T489" s="424"/>
      <c r="U489" s="418"/>
      <c r="V489" s="428"/>
      <c r="W489" s="418"/>
      <c r="X489" s="418"/>
      <c r="Y489" s="524"/>
      <c r="Z489" s="418"/>
      <c r="AA489" s="418"/>
      <c r="AB489" s="429"/>
    </row>
    <row r="490" spans="1:28">
      <c r="A490" s="418"/>
      <c r="B490" s="418"/>
      <c r="C490" s="418"/>
      <c r="D490" s="520"/>
      <c r="E490" s="520"/>
      <c r="F490" s="520"/>
      <c r="G490" s="520"/>
      <c r="H490" s="418"/>
      <c r="I490" s="423"/>
      <c r="J490" s="523"/>
      <c r="K490" s="424"/>
      <c r="L490" s="424"/>
      <c r="M490" s="418"/>
      <c r="N490" s="518"/>
      <c r="O490" s="423"/>
      <c r="P490" s="427"/>
      <c r="Q490" s="423"/>
      <c r="R490" s="523"/>
      <c r="S490" s="424"/>
      <c r="T490" s="424"/>
      <c r="U490" s="418"/>
      <c r="V490" s="428"/>
      <c r="W490" s="418"/>
      <c r="X490" s="418"/>
      <c r="Y490" s="524"/>
      <c r="Z490" s="418"/>
      <c r="AA490" s="418"/>
      <c r="AB490" s="429"/>
    </row>
    <row r="491" spans="1:28">
      <c r="A491" s="418"/>
      <c r="B491" s="418"/>
      <c r="C491" s="418"/>
      <c r="D491" s="520"/>
      <c r="E491" s="520"/>
      <c r="F491" s="520"/>
      <c r="G491" s="520"/>
      <c r="H491" s="418"/>
      <c r="I491" s="423"/>
      <c r="J491" s="523"/>
      <c r="K491" s="424"/>
      <c r="L491" s="424"/>
      <c r="M491" s="418"/>
      <c r="N491" s="518"/>
      <c r="O491" s="423"/>
      <c r="P491" s="427"/>
      <c r="Q491" s="423"/>
      <c r="R491" s="523"/>
      <c r="S491" s="424"/>
      <c r="T491" s="424"/>
      <c r="U491" s="418"/>
      <c r="V491" s="428"/>
      <c r="W491" s="418"/>
      <c r="X491" s="418"/>
      <c r="Y491" s="524"/>
      <c r="Z491" s="418"/>
      <c r="AA491" s="418"/>
      <c r="AB491" s="429"/>
    </row>
    <row r="492" spans="1:28">
      <c r="A492" s="418"/>
      <c r="B492" s="418"/>
      <c r="C492" s="418"/>
      <c r="D492" s="520"/>
      <c r="E492" s="520"/>
      <c r="F492" s="520"/>
      <c r="G492" s="520"/>
      <c r="H492" s="418"/>
      <c r="I492" s="423"/>
      <c r="J492" s="523"/>
      <c r="K492" s="424"/>
      <c r="L492" s="424"/>
      <c r="M492" s="418"/>
      <c r="N492" s="518"/>
      <c r="O492" s="423"/>
      <c r="P492" s="427"/>
      <c r="Q492" s="423"/>
      <c r="R492" s="523"/>
      <c r="S492" s="424"/>
      <c r="T492" s="424"/>
      <c r="U492" s="418"/>
      <c r="V492" s="428"/>
      <c r="W492" s="418"/>
      <c r="X492" s="418"/>
      <c r="Y492" s="524"/>
      <c r="Z492" s="418"/>
      <c r="AA492" s="418"/>
      <c r="AB492" s="429"/>
    </row>
    <row r="493" spans="1:28">
      <c r="A493" s="418"/>
      <c r="B493" s="418"/>
      <c r="C493" s="418"/>
      <c r="D493" s="520"/>
      <c r="E493" s="520"/>
      <c r="F493" s="520"/>
      <c r="G493" s="520"/>
      <c r="H493" s="418"/>
      <c r="I493" s="423"/>
      <c r="J493" s="523"/>
      <c r="K493" s="424"/>
      <c r="L493" s="424"/>
      <c r="M493" s="418"/>
      <c r="N493" s="518"/>
      <c r="O493" s="423"/>
      <c r="P493" s="427"/>
      <c r="Q493" s="423"/>
      <c r="R493" s="523"/>
      <c r="S493" s="424"/>
      <c r="T493" s="424"/>
      <c r="U493" s="418"/>
      <c r="V493" s="428"/>
      <c r="W493" s="418"/>
      <c r="X493" s="418"/>
      <c r="Y493" s="524"/>
      <c r="Z493" s="418"/>
      <c r="AA493" s="418"/>
      <c r="AB493" s="429"/>
    </row>
    <row r="494" spans="1:28">
      <c r="A494" s="418"/>
      <c r="B494" s="418"/>
      <c r="C494" s="418"/>
      <c r="D494" s="520"/>
      <c r="E494" s="520"/>
      <c r="F494" s="520"/>
      <c r="G494" s="520"/>
      <c r="H494" s="418"/>
      <c r="I494" s="423"/>
      <c r="J494" s="523"/>
      <c r="K494" s="424"/>
      <c r="L494" s="424"/>
      <c r="M494" s="418"/>
      <c r="N494" s="518"/>
      <c r="O494" s="423"/>
      <c r="P494" s="427"/>
      <c r="Q494" s="423"/>
      <c r="R494" s="523"/>
      <c r="S494" s="424"/>
      <c r="T494" s="424"/>
      <c r="U494" s="418"/>
      <c r="V494" s="428"/>
      <c r="W494" s="418"/>
      <c r="X494" s="418"/>
      <c r="Y494" s="524"/>
      <c r="Z494" s="418"/>
      <c r="AA494" s="418"/>
      <c r="AB494" s="429"/>
    </row>
    <row r="495" spans="1:28">
      <c r="A495" s="418"/>
      <c r="B495" s="418"/>
      <c r="C495" s="418"/>
      <c r="D495" s="520"/>
      <c r="E495" s="520"/>
      <c r="F495" s="520"/>
      <c r="G495" s="520"/>
      <c r="H495" s="418"/>
      <c r="I495" s="423"/>
      <c r="J495" s="523"/>
      <c r="K495" s="424"/>
      <c r="L495" s="424"/>
      <c r="M495" s="418"/>
      <c r="N495" s="518"/>
      <c r="O495" s="423"/>
      <c r="P495" s="427"/>
      <c r="Q495" s="423"/>
      <c r="R495" s="523"/>
      <c r="S495" s="424"/>
      <c r="T495" s="424"/>
      <c r="U495" s="418"/>
      <c r="V495" s="428"/>
      <c r="W495" s="418"/>
      <c r="X495" s="418"/>
      <c r="Y495" s="524"/>
      <c r="Z495" s="418"/>
      <c r="AA495" s="418"/>
      <c r="AB495" s="429"/>
    </row>
    <row r="496" spans="1:28">
      <c r="A496" s="418"/>
      <c r="B496" s="418"/>
      <c r="C496" s="418"/>
      <c r="D496" s="520"/>
      <c r="E496" s="520"/>
      <c r="F496" s="520"/>
      <c r="G496" s="520"/>
      <c r="H496" s="418"/>
      <c r="I496" s="423"/>
      <c r="J496" s="523"/>
      <c r="K496" s="424"/>
      <c r="L496" s="424"/>
      <c r="M496" s="418"/>
      <c r="N496" s="518"/>
      <c r="O496" s="423"/>
      <c r="P496" s="427"/>
      <c r="Q496" s="423"/>
      <c r="R496" s="523"/>
      <c r="S496" s="424"/>
      <c r="T496" s="424"/>
      <c r="U496" s="418"/>
      <c r="V496" s="428"/>
      <c r="W496" s="418"/>
      <c r="X496" s="418"/>
      <c r="Y496" s="524"/>
      <c r="Z496" s="418"/>
      <c r="AA496" s="418"/>
      <c r="AB496" s="429"/>
    </row>
    <row r="497" spans="1:28">
      <c r="A497" s="418"/>
      <c r="B497" s="418"/>
      <c r="C497" s="418"/>
      <c r="D497" s="520"/>
      <c r="E497" s="520"/>
      <c r="F497" s="520"/>
      <c r="G497" s="520"/>
      <c r="H497" s="418"/>
      <c r="I497" s="423"/>
      <c r="J497" s="523"/>
      <c r="K497" s="424"/>
      <c r="L497" s="424"/>
      <c r="M497" s="418"/>
      <c r="N497" s="518"/>
      <c r="O497" s="423"/>
      <c r="P497" s="427"/>
      <c r="Q497" s="423"/>
      <c r="R497" s="523"/>
      <c r="S497" s="424"/>
      <c r="T497" s="424"/>
      <c r="U497" s="418"/>
      <c r="V497" s="428"/>
      <c r="W497" s="418"/>
      <c r="X497" s="418"/>
      <c r="Y497" s="524"/>
      <c r="Z497" s="418"/>
      <c r="AA497" s="418"/>
      <c r="AB497" s="429"/>
    </row>
    <row r="498" spans="1:28">
      <c r="A498" s="418"/>
      <c r="B498" s="418"/>
      <c r="C498" s="418"/>
      <c r="D498" s="520"/>
      <c r="E498" s="520"/>
      <c r="F498" s="520"/>
      <c r="G498" s="520"/>
      <c r="H498" s="418"/>
      <c r="I498" s="423"/>
      <c r="J498" s="523"/>
      <c r="K498" s="424"/>
      <c r="L498" s="424"/>
      <c r="M498" s="418"/>
      <c r="N498" s="518"/>
      <c r="O498" s="423"/>
      <c r="P498" s="427"/>
      <c r="Q498" s="423"/>
      <c r="R498" s="523"/>
      <c r="S498" s="424"/>
      <c r="T498" s="424"/>
      <c r="U498" s="418"/>
      <c r="V498" s="428"/>
      <c r="W498" s="418"/>
      <c r="X498" s="418"/>
      <c r="Y498" s="524"/>
      <c r="Z498" s="418"/>
      <c r="AA498" s="418"/>
      <c r="AB498" s="429"/>
    </row>
    <row r="499" spans="1:28">
      <c r="A499" s="418"/>
      <c r="B499" s="418"/>
      <c r="C499" s="418"/>
      <c r="D499" s="520"/>
      <c r="E499" s="520"/>
      <c r="F499" s="520"/>
      <c r="G499" s="520"/>
      <c r="H499" s="418"/>
      <c r="I499" s="423"/>
      <c r="J499" s="523"/>
      <c r="K499" s="424"/>
      <c r="L499" s="424"/>
      <c r="M499" s="418"/>
      <c r="N499" s="518"/>
      <c r="O499" s="423"/>
      <c r="P499" s="427"/>
      <c r="Q499" s="423"/>
      <c r="R499" s="523"/>
      <c r="S499" s="424"/>
      <c r="T499" s="424"/>
      <c r="U499" s="418"/>
      <c r="V499" s="428"/>
      <c r="W499" s="418"/>
      <c r="X499" s="418"/>
      <c r="Y499" s="524"/>
      <c r="Z499" s="418"/>
      <c r="AA499" s="418"/>
      <c r="AB499" s="429"/>
    </row>
    <row r="500" spans="1:28">
      <c r="A500" s="418"/>
      <c r="B500" s="418"/>
      <c r="C500" s="418"/>
      <c r="D500" s="520"/>
      <c r="E500" s="520"/>
      <c r="F500" s="520"/>
      <c r="G500" s="520"/>
      <c r="H500" s="418"/>
      <c r="I500" s="423"/>
      <c r="J500" s="523"/>
      <c r="K500" s="424"/>
      <c r="L500" s="424"/>
      <c r="M500" s="418"/>
      <c r="N500" s="518"/>
      <c r="O500" s="423"/>
      <c r="P500" s="427"/>
      <c r="Q500" s="423"/>
      <c r="R500" s="523"/>
      <c r="S500" s="424"/>
      <c r="T500" s="424"/>
      <c r="U500" s="418"/>
      <c r="V500" s="428"/>
      <c r="W500" s="418"/>
      <c r="X500" s="418"/>
      <c r="Y500" s="524"/>
      <c r="Z500" s="418"/>
      <c r="AA500" s="418"/>
      <c r="AB500" s="429"/>
    </row>
    <row r="501" spans="1:28">
      <c r="A501" s="418"/>
      <c r="B501" s="418"/>
      <c r="C501" s="418"/>
      <c r="D501" s="520"/>
      <c r="E501" s="520"/>
      <c r="F501" s="520"/>
      <c r="G501" s="520"/>
      <c r="H501" s="418"/>
      <c r="I501" s="423"/>
      <c r="J501" s="523"/>
      <c r="K501" s="424"/>
      <c r="L501" s="424"/>
      <c r="M501" s="418"/>
      <c r="N501" s="518"/>
      <c r="O501" s="423"/>
      <c r="P501" s="427"/>
      <c r="Q501" s="423"/>
      <c r="R501" s="523"/>
      <c r="S501" s="424"/>
      <c r="T501" s="424"/>
      <c r="U501" s="418"/>
      <c r="V501" s="428"/>
      <c r="W501" s="418"/>
      <c r="X501" s="418"/>
      <c r="Y501" s="524"/>
      <c r="Z501" s="418"/>
      <c r="AA501" s="418"/>
      <c r="AB501" s="429"/>
    </row>
    <row r="502" spans="1:28">
      <c r="A502" s="418"/>
      <c r="B502" s="418"/>
      <c r="C502" s="418"/>
      <c r="D502" s="520"/>
      <c r="E502" s="520"/>
      <c r="F502" s="520"/>
      <c r="G502" s="520"/>
      <c r="H502" s="418"/>
      <c r="I502" s="423"/>
      <c r="J502" s="523"/>
      <c r="K502" s="424"/>
      <c r="L502" s="424"/>
      <c r="M502" s="418"/>
      <c r="N502" s="518"/>
      <c r="O502" s="423"/>
      <c r="P502" s="427"/>
      <c r="Q502" s="423"/>
      <c r="R502" s="523"/>
      <c r="S502" s="424"/>
      <c r="T502" s="424"/>
      <c r="U502" s="418"/>
      <c r="V502" s="428"/>
      <c r="W502" s="418"/>
      <c r="X502" s="418"/>
      <c r="Y502" s="524"/>
      <c r="Z502" s="418"/>
      <c r="AA502" s="418"/>
      <c r="AB502" s="429"/>
    </row>
    <row r="503" spans="1:28">
      <c r="A503" s="418"/>
      <c r="B503" s="418"/>
      <c r="C503" s="418"/>
      <c r="D503" s="520"/>
      <c r="E503" s="520"/>
      <c r="F503" s="520"/>
      <c r="G503" s="520"/>
      <c r="H503" s="418"/>
      <c r="I503" s="423"/>
      <c r="J503" s="523"/>
      <c r="K503" s="424"/>
      <c r="L503" s="424"/>
      <c r="M503" s="418"/>
      <c r="N503" s="518"/>
      <c r="O503" s="423"/>
      <c r="P503" s="427"/>
      <c r="Q503" s="423"/>
      <c r="R503" s="523"/>
      <c r="S503" s="424"/>
      <c r="T503" s="424"/>
      <c r="U503" s="418"/>
      <c r="V503" s="428"/>
      <c r="W503" s="418"/>
      <c r="X503" s="418"/>
      <c r="Y503" s="524"/>
      <c r="Z503" s="418"/>
      <c r="AA503" s="418"/>
      <c r="AB503" s="429"/>
    </row>
    <row r="504" spans="1:28">
      <c r="A504" s="418"/>
      <c r="B504" s="418"/>
      <c r="C504" s="418"/>
      <c r="D504" s="520"/>
      <c r="E504" s="520"/>
      <c r="F504" s="520"/>
      <c r="G504" s="520"/>
      <c r="H504" s="418"/>
      <c r="I504" s="423"/>
      <c r="J504" s="523"/>
      <c r="K504" s="424"/>
      <c r="L504" s="424"/>
      <c r="M504" s="418"/>
      <c r="N504" s="518"/>
      <c r="O504" s="423"/>
      <c r="P504" s="427"/>
      <c r="Q504" s="423"/>
      <c r="R504" s="523"/>
      <c r="S504" s="424"/>
      <c r="T504" s="424"/>
      <c r="U504" s="418"/>
      <c r="V504" s="428"/>
      <c r="W504" s="418"/>
      <c r="X504" s="418"/>
      <c r="Y504" s="524"/>
      <c r="Z504" s="418"/>
      <c r="AA504" s="418"/>
      <c r="AB504" s="429"/>
    </row>
    <row r="505" spans="1:28">
      <c r="A505" s="418"/>
      <c r="B505" s="418"/>
      <c r="C505" s="418"/>
      <c r="D505" s="520"/>
      <c r="E505" s="520"/>
      <c r="F505" s="520"/>
      <c r="G505" s="520"/>
      <c r="H505" s="418"/>
      <c r="I505" s="423"/>
      <c r="J505" s="523"/>
      <c r="K505" s="424"/>
      <c r="L505" s="424"/>
      <c r="M505" s="418"/>
      <c r="N505" s="518"/>
      <c r="O505" s="423"/>
      <c r="P505" s="427"/>
      <c r="Q505" s="423"/>
      <c r="R505" s="523"/>
      <c r="S505" s="424"/>
      <c r="T505" s="424"/>
      <c r="U505" s="418"/>
      <c r="V505" s="428"/>
      <c r="W505" s="418"/>
      <c r="X505" s="418"/>
      <c r="Y505" s="524"/>
      <c r="Z505" s="418"/>
      <c r="AA505" s="418"/>
      <c r="AB505" s="429"/>
    </row>
    <row r="506" spans="1:28">
      <c r="A506" s="418"/>
      <c r="B506" s="418"/>
      <c r="C506" s="418"/>
      <c r="D506" s="520"/>
      <c r="E506" s="520"/>
      <c r="F506" s="520"/>
      <c r="G506" s="520"/>
      <c r="H506" s="418"/>
      <c r="I506" s="423"/>
      <c r="J506" s="523"/>
      <c r="K506" s="424"/>
      <c r="L506" s="424"/>
      <c r="M506" s="418"/>
      <c r="N506" s="518"/>
      <c r="O506" s="423"/>
      <c r="P506" s="427"/>
      <c r="Q506" s="423"/>
      <c r="R506" s="523"/>
      <c r="S506" s="424"/>
      <c r="T506" s="424"/>
      <c r="U506" s="418"/>
      <c r="V506" s="428"/>
      <c r="W506" s="418"/>
      <c r="X506" s="418"/>
      <c r="Y506" s="524"/>
      <c r="Z506" s="418"/>
      <c r="AA506" s="418"/>
      <c r="AB506" s="429"/>
    </row>
    <row r="507" spans="1:28">
      <c r="A507" s="418"/>
      <c r="B507" s="418"/>
      <c r="C507" s="418"/>
      <c r="D507" s="520"/>
      <c r="E507" s="520"/>
      <c r="F507" s="520"/>
      <c r="G507" s="520"/>
      <c r="H507" s="418"/>
      <c r="I507" s="423"/>
      <c r="J507" s="523"/>
      <c r="K507" s="424"/>
      <c r="L507" s="424"/>
      <c r="M507" s="418"/>
      <c r="N507" s="518"/>
      <c r="O507" s="423"/>
      <c r="P507" s="427"/>
      <c r="Q507" s="423"/>
      <c r="R507" s="523"/>
      <c r="S507" s="424"/>
      <c r="T507" s="424"/>
      <c r="U507" s="418"/>
      <c r="V507" s="428"/>
      <c r="W507" s="418"/>
      <c r="X507" s="418"/>
      <c r="Y507" s="524"/>
      <c r="Z507" s="418"/>
      <c r="AA507" s="418"/>
      <c r="AB507" s="429"/>
    </row>
    <row r="508" spans="1:28">
      <c r="A508" s="418"/>
      <c r="B508" s="418"/>
      <c r="C508" s="418"/>
      <c r="D508" s="520"/>
      <c r="E508" s="520"/>
      <c r="F508" s="520"/>
      <c r="G508" s="520"/>
      <c r="H508" s="418"/>
      <c r="I508" s="423"/>
      <c r="J508" s="523"/>
      <c r="K508" s="424"/>
      <c r="L508" s="424"/>
      <c r="M508" s="418"/>
      <c r="N508" s="518"/>
      <c r="O508" s="423"/>
      <c r="P508" s="427"/>
      <c r="Q508" s="423"/>
      <c r="R508" s="523"/>
      <c r="S508" s="424"/>
      <c r="T508" s="424"/>
      <c r="U508" s="418"/>
      <c r="V508" s="428"/>
      <c r="W508" s="418"/>
      <c r="X508" s="418"/>
      <c r="Y508" s="524"/>
      <c r="Z508" s="418"/>
      <c r="AA508" s="418"/>
      <c r="AB508" s="429"/>
    </row>
    <row r="509" spans="1:28">
      <c r="A509" s="418"/>
      <c r="B509" s="418"/>
      <c r="C509" s="418"/>
      <c r="D509" s="520"/>
      <c r="E509" s="520"/>
      <c r="F509" s="520"/>
      <c r="G509" s="520"/>
      <c r="H509" s="418"/>
      <c r="I509" s="423"/>
      <c r="J509" s="523"/>
      <c r="K509" s="424"/>
      <c r="L509" s="424"/>
      <c r="M509" s="418"/>
      <c r="N509" s="518"/>
      <c r="O509" s="423"/>
      <c r="P509" s="427"/>
      <c r="Q509" s="423"/>
      <c r="R509" s="523"/>
      <c r="S509" s="424"/>
      <c r="T509" s="424"/>
      <c r="U509" s="418"/>
      <c r="V509" s="428"/>
      <c r="W509" s="418"/>
      <c r="X509" s="418"/>
      <c r="Y509" s="524"/>
      <c r="Z509" s="418"/>
      <c r="AA509" s="418"/>
      <c r="AB509" s="429"/>
    </row>
    <row r="510" spans="1:28">
      <c r="A510" s="418"/>
      <c r="B510" s="418"/>
      <c r="C510" s="418"/>
      <c r="D510" s="520"/>
      <c r="E510" s="520"/>
      <c r="F510" s="520"/>
      <c r="G510" s="520"/>
      <c r="H510" s="418"/>
      <c r="I510" s="423"/>
      <c r="J510" s="523"/>
      <c r="K510" s="424"/>
      <c r="L510" s="424"/>
      <c r="M510" s="418"/>
      <c r="N510" s="518"/>
      <c r="O510" s="423"/>
      <c r="P510" s="427"/>
      <c r="Q510" s="423"/>
      <c r="R510" s="523"/>
      <c r="S510" s="424"/>
      <c r="T510" s="424"/>
      <c r="U510" s="418"/>
      <c r="V510" s="428"/>
      <c r="W510" s="418"/>
      <c r="X510" s="418"/>
      <c r="Y510" s="524"/>
      <c r="Z510" s="418"/>
      <c r="AA510" s="418"/>
      <c r="AB510" s="429"/>
    </row>
    <row r="511" spans="1:28">
      <c r="A511" s="418"/>
      <c r="B511" s="418"/>
      <c r="C511" s="418"/>
      <c r="D511" s="520"/>
      <c r="E511" s="520"/>
      <c r="F511" s="520"/>
      <c r="G511" s="520"/>
      <c r="H511" s="418"/>
      <c r="I511" s="423"/>
      <c r="J511" s="523"/>
      <c r="K511" s="424"/>
      <c r="L511" s="424"/>
      <c r="M511" s="418"/>
      <c r="N511" s="518"/>
      <c r="O511" s="423"/>
      <c r="P511" s="427"/>
      <c r="Q511" s="423"/>
      <c r="R511" s="523"/>
      <c r="S511" s="424"/>
      <c r="T511" s="424"/>
      <c r="U511" s="418"/>
      <c r="V511" s="428"/>
      <c r="W511" s="418"/>
      <c r="X511" s="418"/>
      <c r="Y511" s="524"/>
      <c r="Z511" s="418"/>
      <c r="AA511" s="418"/>
      <c r="AB511" s="429"/>
    </row>
    <row r="512" spans="1:28">
      <c r="A512" s="418"/>
      <c r="B512" s="418"/>
      <c r="C512" s="418"/>
      <c r="D512" s="520"/>
      <c r="E512" s="520"/>
      <c r="F512" s="520"/>
      <c r="G512" s="520"/>
      <c r="H512" s="418"/>
      <c r="I512" s="423"/>
      <c r="J512" s="523"/>
      <c r="K512" s="424"/>
      <c r="L512" s="424"/>
      <c r="M512" s="418"/>
      <c r="N512" s="518"/>
      <c r="O512" s="423"/>
      <c r="P512" s="427"/>
      <c r="Q512" s="423"/>
      <c r="R512" s="523"/>
      <c r="S512" s="424"/>
      <c r="T512" s="424"/>
      <c r="U512" s="418"/>
      <c r="V512" s="428"/>
      <c r="W512" s="418"/>
      <c r="X512" s="418"/>
      <c r="Y512" s="524"/>
      <c r="Z512" s="418"/>
      <c r="AA512" s="418"/>
      <c r="AB512" s="429"/>
    </row>
    <row r="513" spans="1:28">
      <c r="A513" s="418"/>
      <c r="B513" s="418"/>
      <c r="C513" s="418"/>
      <c r="D513" s="520"/>
      <c r="E513" s="520"/>
      <c r="F513" s="520"/>
      <c r="G513" s="520"/>
      <c r="H513" s="418"/>
      <c r="I513" s="423"/>
      <c r="J513" s="523"/>
      <c r="K513" s="424"/>
      <c r="L513" s="424"/>
      <c r="M513" s="418"/>
      <c r="N513" s="518"/>
      <c r="O513" s="423"/>
      <c r="P513" s="427"/>
      <c r="Q513" s="423"/>
      <c r="R513" s="523"/>
      <c r="S513" s="424"/>
      <c r="T513" s="424"/>
      <c r="U513" s="418"/>
      <c r="V513" s="428"/>
      <c r="W513" s="418"/>
      <c r="X513" s="418"/>
      <c r="Y513" s="524"/>
      <c r="Z513" s="418"/>
      <c r="AA513" s="418"/>
      <c r="AB513" s="429"/>
    </row>
    <row r="514" spans="1:28">
      <c r="A514" s="418"/>
      <c r="B514" s="418"/>
      <c r="C514" s="418"/>
      <c r="D514" s="520"/>
      <c r="E514" s="520"/>
      <c r="F514" s="520"/>
      <c r="G514" s="520"/>
      <c r="H514" s="418"/>
      <c r="I514" s="423"/>
      <c r="J514" s="523"/>
      <c r="K514" s="424"/>
      <c r="L514" s="424"/>
      <c r="M514" s="418"/>
      <c r="N514" s="518"/>
      <c r="O514" s="423"/>
      <c r="P514" s="427"/>
      <c r="Q514" s="423"/>
      <c r="R514" s="523"/>
      <c r="S514" s="424"/>
      <c r="T514" s="424"/>
      <c r="U514" s="418"/>
      <c r="V514" s="428"/>
      <c r="W514" s="418"/>
      <c r="X514" s="418"/>
      <c r="Y514" s="524"/>
      <c r="Z514" s="418"/>
      <c r="AA514" s="418"/>
      <c r="AB514" s="429"/>
    </row>
    <row r="515" spans="1:28">
      <c r="A515" s="418"/>
      <c r="B515" s="418"/>
      <c r="C515" s="418"/>
      <c r="D515" s="520"/>
      <c r="E515" s="520"/>
      <c r="F515" s="520"/>
      <c r="G515" s="520"/>
      <c r="H515" s="418"/>
      <c r="I515" s="423"/>
      <c r="J515" s="523"/>
      <c r="K515" s="424"/>
      <c r="L515" s="424"/>
      <c r="M515" s="418"/>
      <c r="N515" s="518"/>
      <c r="O515" s="423"/>
      <c r="P515" s="427"/>
      <c r="Q515" s="423"/>
      <c r="R515" s="523"/>
      <c r="S515" s="424"/>
      <c r="T515" s="424"/>
      <c r="U515" s="418"/>
      <c r="V515" s="428"/>
      <c r="W515" s="418"/>
      <c r="X515" s="418"/>
      <c r="Y515" s="524"/>
      <c r="Z515" s="418"/>
      <c r="AA515" s="418"/>
      <c r="AB515" s="429"/>
    </row>
    <row r="516" spans="1:28">
      <c r="A516" s="418"/>
      <c r="B516" s="418"/>
      <c r="C516" s="418"/>
      <c r="D516" s="520"/>
      <c r="E516" s="520"/>
      <c r="F516" s="520"/>
      <c r="G516" s="520"/>
      <c r="H516" s="418"/>
      <c r="I516" s="423"/>
      <c r="J516" s="523"/>
      <c r="K516" s="424"/>
      <c r="L516" s="424"/>
      <c r="M516" s="418"/>
      <c r="N516" s="518"/>
      <c r="O516" s="423"/>
      <c r="P516" s="427"/>
      <c r="Q516" s="423"/>
      <c r="R516" s="523"/>
      <c r="S516" s="424"/>
      <c r="T516" s="424"/>
      <c r="U516" s="418"/>
      <c r="V516" s="428"/>
      <c r="W516" s="418"/>
      <c r="X516" s="418"/>
      <c r="Y516" s="524"/>
      <c r="Z516" s="418"/>
      <c r="AA516" s="418"/>
      <c r="AB516" s="429"/>
    </row>
    <row r="517" spans="1:28">
      <c r="A517" s="418"/>
      <c r="B517" s="418"/>
      <c r="C517" s="418"/>
      <c r="D517" s="520"/>
      <c r="E517" s="520"/>
      <c r="F517" s="520"/>
      <c r="G517" s="520"/>
      <c r="H517" s="418"/>
      <c r="I517" s="423"/>
      <c r="J517" s="523"/>
      <c r="K517" s="424"/>
      <c r="L517" s="424"/>
      <c r="M517" s="418"/>
      <c r="N517" s="518"/>
      <c r="O517" s="423"/>
      <c r="P517" s="427"/>
      <c r="Q517" s="423"/>
      <c r="R517" s="523"/>
      <c r="S517" s="424"/>
      <c r="T517" s="424"/>
      <c r="U517" s="418"/>
      <c r="V517" s="428"/>
      <c r="W517" s="418"/>
      <c r="X517" s="418"/>
      <c r="Y517" s="524"/>
      <c r="Z517" s="418"/>
      <c r="AA517" s="418"/>
      <c r="AB517" s="429"/>
    </row>
    <row r="518" spans="1:28">
      <c r="A518" s="418"/>
      <c r="B518" s="418"/>
      <c r="C518" s="418"/>
      <c r="D518" s="520"/>
      <c r="E518" s="520"/>
      <c r="F518" s="520"/>
      <c r="G518" s="520"/>
      <c r="H518" s="418"/>
      <c r="I518" s="423"/>
      <c r="J518" s="523"/>
      <c r="K518" s="424"/>
      <c r="L518" s="424"/>
      <c r="M518" s="418"/>
      <c r="N518" s="518"/>
      <c r="O518" s="423"/>
      <c r="P518" s="427"/>
      <c r="Q518" s="423"/>
      <c r="R518" s="523"/>
      <c r="S518" s="424"/>
      <c r="T518" s="424"/>
      <c r="U518" s="418"/>
      <c r="V518" s="428"/>
      <c r="W518" s="418"/>
      <c r="X518" s="418"/>
      <c r="Y518" s="524"/>
      <c r="Z518" s="418"/>
      <c r="AA518" s="418"/>
      <c r="AB518" s="429"/>
    </row>
    <row r="519" spans="1:28">
      <c r="A519" s="418"/>
      <c r="B519" s="418"/>
      <c r="C519" s="418"/>
      <c r="D519" s="520"/>
      <c r="E519" s="520"/>
      <c r="F519" s="520"/>
      <c r="G519" s="520"/>
      <c r="H519" s="418"/>
      <c r="I519" s="423"/>
      <c r="J519" s="523"/>
      <c r="K519" s="424"/>
      <c r="L519" s="424"/>
      <c r="M519" s="418"/>
      <c r="N519" s="518"/>
      <c r="O519" s="423"/>
      <c r="P519" s="427"/>
      <c r="Q519" s="423"/>
      <c r="R519" s="523"/>
      <c r="S519" s="424"/>
      <c r="T519" s="424"/>
      <c r="U519" s="418"/>
      <c r="V519" s="428"/>
      <c r="W519" s="418"/>
      <c r="X519" s="418"/>
      <c r="Y519" s="524"/>
      <c r="Z519" s="418"/>
      <c r="AA519" s="418"/>
      <c r="AB519" s="429"/>
    </row>
    <row r="520" spans="1:28">
      <c r="A520" s="418"/>
      <c r="B520" s="418"/>
      <c r="C520" s="418"/>
      <c r="D520" s="520"/>
      <c r="E520" s="520"/>
      <c r="F520" s="520"/>
      <c r="G520" s="520"/>
      <c r="H520" s="418"/>
      <c r="I520" s="423"/>
      <c r="J520" s="523"/>
      <c r="K520" s="424"/>
      <c r="L520" s="424"/>
      <c r="M520" s="418"/>
      <c r="N520" s="518"/>
      <c r="O520" s="423"/>
      <c r="P520" s="427"/>
      <c r="Q520" s="423"/>
      <c r="R520" s="523"/>
      <c r="S520" s="424"/>
      <c r="T520" s="424"/>
      <c r="U520" s="418"/>
      <c r="V520" s="428"/>
      <c r="W520" s="418"/>
      <c r="X520" s="418"/>
      <c r="Y520" s="524"/>
      <c r="Z520" s="418"/>
      <c r="AA520" s="418"/>
      <c r="AB520" s="429"/>
    </row>
    <row r="521" spans="1:28">
      <c r="A521" s="418"/>
      <c r="B521" s="418"/>
      <c r="C521" s="418"/>
      <c r="D521" s="520"/>
      <c r="E521" s="520"/>
      <c r="F521" s="520"/>
      <c r="G521" s="520"/>
      <c r="H521" s="418"/>
      <c r="I521" s="423"/>
      <c r="J521" s="523"/>
      <c r="K521" s="424"/>
      <c r="L521" s="424"/>
      <c r="M521" s="418"/>
      <c r="N521" s="518"/>
      <c r="O521" s="423"/>
      <c r="P521" s="427"/>
      <c r="Q521" s="423"/>
      <c r="R521" s="523"/>
      <c r="S521" s="424"/>
      <c r="T521" s="424"/>
      <c r="U521" s="418"/>
      <c r="V521" s="428"/>
      <c r="W521" s="418"/>
      <c r="X521" s="418"/>
      <c r="Y521" s="524"/>
      <c r="Z521" s="418"/>
      <c r="AA521" s="418"/>
      <c r="AB521" s="429"/>
    </row>
    <row r="522" spans="1:28">
      <c r="A522" s="418"/>
      <c r="B522" s="418"/>
      <c r="C522" s="418"/>
      <c r="D522" s="520"/>
      <c r="E522" s="520"/>
      <c r="F522" s="520"/>
      <c r="G522" s="520"/>
      <c r="H522" s="418"/>
      <c r="I522" s="423"/>
      <c r="J522" s="523"/>
      <c r="K522" s="424"/>
      <c r="L522" s="424"/>
      <c r="M522" s="418"/>
      <c r="N522" s="518"/>
      <c r="O522" s="423"/>
      <c r="P522" s="427"/>
      <c r="Q522" s="423"/>
      <c r="R522" s="523"/>
      <c r="S522" s="424"/>
      <c r="T522" s="424"/>
      <c r="U522" s="418"/>
      <c r="V522" s="428"/>
      <c r="W522" s="418"/>
      <c r="X522" s="418"/>
      <c r="Y522" s="524"/>
      <c r="Z522" s="418"/>
      <c r="AA522" s="418"/>
      <c r="AB522" s="429"/>
    </row>
    <row r="523" spans="1:28">
      <c r="A523" s="418"/>
      <c r="B523" s="418"/>
      <c r="C523" s="418"/>
      <c r="D523" s="520"/>
      <c r="E523" s="520"/>
      <c r="F523" s="520"/>
      <c r="G523" s="520"/>
      <c r="H523" s="418"/>
      <c r="I523" s="423"/>
      <c r="J523" s="523"/>
      <c r="K523" s="424"/>
      <c r="L523" s="424"/>
      <c r="M523" s="418"/>
      <c r="N523" s="518"/>
      <c r="O523" s="423"/>
      <c r="P523" s="427"/>
      <c r="Q523" s="423"/>
      <c r="R523" s="523"/>
      <c r="S523" s="424"/>
      <c r="T523" s="424"/>
      <c r="U523" s="418"/>
      <c r="V523" s="428"/>
      <c r="W523" s="418"/>
      <c r="X523" s="418"/>
      <c r="Y523" s="524"/>
      <c r="Z523" s="418"/>
      <c r="AA523" s="418"/>
      <c r="AB523" s="429"/>
    </row>
    <row r="524" spans="1:28">
      <c r="A524" s="418"/>
      <c r="B524" s="418"/>
      <c r="C524" s="418"/>
      <c r="D524" s="520"/>
      <c r="E524" s="520"/>
      <c r="F524" s="520"/>
      <c r="G524" s="520"/>
      <c r="H524" s="418"/>
      <c r="I524" s="423"/>
      <c r="J524" s="523"/>
      <c r="K524" s="424"/>
      <c r="L524" s="424"/>
      <c r="M524" s="418"/>
      <c r="N524" s="518"/>
      <c r="O524" s="423"/>
      <c r="P524" s="427"/>
      <c r="Q524" s="423"/>
      <c r="R524" s="523"/>
      <c r="S524" s="424"/>
      <c r="T524" s="424"/>
      <c r="U524" s="418"/>
      <c r="V524" s="428"/>
      <c r="W524" s="418"/>
      <c r="X524" s="418"/>
      <c r="Y524" s="524"/>
      <c r="Z524" s="418"/>
      <c r="AA524" s="418"/>
      <c r="AB524" s="429"/>
    </row>
    <row r="525" spans="1:28">
      <c r="A525" s="418"/>
      <c r="B525" s="418"/>
      <c r="C525" s="418"/>
      <c r="D525" s="520"/>
      <c r="E525" s="520"/>
      <c r="F525" s="520"/>
      <c r="G525" s="520"/>
      <c r="H525" s="418"/>
      <c r="I525" s="423"/>
      <c r="J525" s="523"/>
      <c r="K525" s="424"/>
      <c r="L525" s="424"/>
      <c r="M525" s="418"/>
      <c r="N525" s="518"/>
      <c r="O525" s="423"/>
      <c r="P525" s="427"/>
      <c r="Q525" s="423"/>
      <c r="R525" s="523"/>
      <c r="S525" s="424"/>
      <c r="T525" s="424"/>
      <c r="U525" s="418"/>
      <c r="V525" s="428"/>
      <c r="W525" s="418"/>
      <c r="X525" s="418"/>
      <c r="Y525" s="524"/>
      <c r="Z525" s="418"/>
      <c r="AA525" s="418"/>
      <c r="AB525" s="429"/>
    </row>
    <row r="526" spans="1:28">
      <c r="A526" s="418"/>
      <c r="B526" s="418"/>
      <c r="C526" s="418"/>
      <c r="D526" s="520"/>
      <c r="E526" s="520"/>
      <c r="F526" s="520"/>
      <c r="G526" s="520"/>
      <c r="H526" s="418"/>
      <c r="I526" s="423"/>
      <c r="J526" s="523"/>
      <c r="K526" s="424"/>
      <c r="L526" s="424"/>
      <c r="M526" s="418"/>
      <c r="N526" s="518"/>
      <c r="O526" s="423"/>
      <c r="P526" s="427"/>
      <c r="Q526" s="423"/>
      <c r="R526" s="523"/>
      <c r="S526" s="424"/>
      <c r="T526" s="424"/>
      <c r="U526" s="418"/>
      <c r="V526" s="428"/>
      <c r="W526" s="418"/>
      <c r="X526" s="418"/>
      <c r="Y526" s="524"/>
      <c r="Z526" s="418"/>
      <c r="AA526" s="418"/>
      <c r="AB526" s="429"/>
    </row>
    <row r="527" spans="1:28">
      <c r="A527" s="418"/>
      <c r="B527" s="418"/>
      <c r="C527" s="418"/>
      <c r="D527" s="520"/>
      <c r="E527" s="520"/>
      <c r="F527" s="520"/>
      <c r="G527" s="520"/>
      <c r="H527" s="418"/>
      <c r="I527" s="423"/>
      <c r="J527" s="523"/>
      <c r="K527" s="424"/>
      <c r="L527" s="424"/>
      <c r="M527" s="418"/>
      <c r="N527" s="518"/>
      <c r="O527" s="423"/>
      <c r="P527" s="427"/>
      <c r="Q527" s="423"/>
      <c r="R527" s="523"/>
      <c r="S527" s="424"/>
      <c r="T527" s="424"/>
      <c r="U527" s="418"/>
      <c r="V527" s="428"/>
      <c r="W527" s="418"/>
      <c r="X527" s="418"/>
      <c r="Y527" s="524"/>
      <c r="Z527" s="418"/>
      <c r="AA527" s="418"/>
      <c r="AB527" s="429"/>
    </row>
    <row r="528" spans="1:28">
      <c r="A528" s="418"/>
      <c r="B528" s="418"/>
      <c r="C528" s="418"/>
      <c r="D528" s="520"/>
      <c r="E528" s="520"/>
      <c r="F528" s="520"/>
      <c r="G528" s="520"/>
      <c r="H528" s="418"/>
      <c r="I528" s="423"/>
      <c r="J528" s="523"/>
      <c r="K528" s="424"/>
      <c r="L528" s="424"/>
      <c r="M528" s="418"/>
      <c r="N528" s="518"/>
      <c r="O528" s="423"/>
      <c r="P528" s="427"/>
      <c r="Q528" s="423"/>
      <c r="R528" s="523"/>
      <c r="S528" s="424"/>
      <c r="T528" s="424"/>
      <c r="U528" s="418"/>
      <c r="V528" s="428"/>
      <c r="W528" s="418"/>
      <c r="X528" s="418"/>
      <c r="Y528" s="524"/>
      <c r="Z528" s="418"/>
      <c r="AA528" s="418"/>
      <c r="AB528" s="429"/>
    </row>
    <row r="529" spans="1:28">
      <c r="A529" s="418"/>
      <c r="B529" s="418"/>
      <c r="C529" s="418"/>
      <c r="D529" s="520"/>
      <c r="E529" s="520"/>
      <c r="F529" s="520"/>
      <c r="G529" s="520"/>
      <c r="H529" s="418"/>
      <c r="I529" s="423"/>
      <c r="J529" s="523"/>
      <c r="K529" s="424"/>
      <c r="L529" s="424"/>
      <c r="M529" s="418"/>
      <c r="N529" s="518"/>
      <c r="O529" s="423"/>
      <c r="P529" s="427"/>
      <c r="Q529" s="423"/>
      <c r="R529" s="523"/>
      <c r="S529" s="424"/>
      <c r="T529" s="424"/>
      <c r="U529" s="418"/>
      <c r="V529" s="428"/>
      <c r="W529" s="418"/>
      <c r="X529" s="418"/>
      <c r="Y529" s="524"/>
      <c r="Z529" s="418"/>
      <c r="AA529" s="418"/>
      <c r="AB529" s="429"/>
    </row>
    <row r="530" spans="1:28">
      <c r="A530" s="418"/>
      <c r="B530" s="418"/>
      <c r="C530" s="418"/>
      <c r="D530" s="520"/>
      <c r="E530" s="520"/>
      <c r="F530" s="520"/>
      <c r="G530" s="520"/>
      <c r="H530" s="418"/>
      <c r="I530" s="423"/>
      <c r="J530" s="523"/>
      <c r="K530" s="424"/>
      <c r="L530" s="424"/>
      <c r="M530" s="418"/>
      <c r="N530" s="518"/>
      <c r="O530" s="423"/>
      <c r="P530" s="427"/>
      <c r="Q530" s="423"/>
      <c r="R530" s="523"/>
      <c r="S530" s="424"/>
      <c r="T530" s="424"/>
      <c r="U530" s="418"/>
      <c r="V530" s="428"/>
      <c r="W530" s="418"/>
      <c r="X530" s="418"/>
      <c r="Y530" s="524"/>
      <c r="Z530" s="418"/>
      <c r="AA530" s="418"/>
      <c r="AB530" s="429"/>
    </row>
    <row r="531" spans="1:28">
      <c r="A531" s="418"/>
      <c r="B531" s="418"/>
      <c r="C531" s="418"/>
      <c r="D531" s="520"/>
      <c r="E531" s="520"/>
      <c r="F531" s="520"/>
      <c r="G531" s="520"/>
      <c r="H531" s="418"/>
      <c r="I531" s="423"/>
      <c r="J531" s="523"/>
      <c r="K531" s="424"/>
      <c r="L531" s="424"/>
      <c r="M531" s="418"/>
      <c r="N531" s="518"/>
      <c r="O531" s="423"/>
      <c r="P531" s="427"/>
      <c r="Q531" s="423"/>
      <c r="R531" s="523"/>
      <c r="S531" s="424"/>
      <c r="T531" s="424"/>
      <c r="U531" s="418"/>
      <c r="V531" s="428"/>
      <c r="W531" s="418"/>
      <c r="X531" s="418"/>
      <c r="Y531" s="524"/>
      <c r="Z531" s="418"/>
      <c r="AA531" s="418"/>
      <c r="AB531" s="429"/>
    </row>
    <row r="532" spans="1:28">
      <c r="A532" s="418"/>
      <c r="B532" s="418"/>
      <c r="C532" s="418"/>
      <c r="D532" s="520"/>
      <c r="E532" s="520"/>
      <c r="F532" s="520"/>
      <c r="G532" s="520"/>
      <c r="H532" s="418"/>
      <c r="I532" s="423"/>
      <c r="J532" s="523"/>
      <c r="K532" s="424"/>
      <c r="L532" s="424"/>
      <c r="M532" s="418"/>
      <c r="N532" s="518"/>
      <c r="O532" s="423"/>
      <c r="P532" s="427"/>
      <c r="Q532" s="423"/>
      <c r="R532" s="523"/>
      <c r="S532" s="424"/>
      <c r="T532" s="424"/>
      <c r="U532" s="418"/>
      <c r="V532" s="428"/>
      <c r="W532" s="418"/>
      <c r="X532" s="418"/>
      <c r="Y532" s="524"/>
      <c r="Z532" s="418"/>
      <c r="AA532" s="418"/>
      <c r="AB532" s="429"/>
    </row>
    <row r="533" spans="1:28">
      <c r="A533" s="418"/>
      <c r="B533" s="418"/>
      <c r="C533" s="418"/>
      <c r="D533" s="520"/>
      <c r="E533" s="520"/>
      <c r="F533" s="520"/>
      <c r="G533" s="520"/>
      <c r="H533" s="418"/>
      <c r="I533" s="423"/>
      <c r="J533" s="523"/>
      <c r="K533" s="424"/>
      <c r="L533" s="424"/>
      <c r="M533" s="418"/>
      <c r="N533" s="518"/>
      <c r="O533" s="423"/>
      <c r="P533" s="427"/>
      <c r="Q533" s="423"/>
      <c r="R533" s="523"/>
      <c r="S533" s="424"/>
      <c r="T533" s="424"/>
      <c r="U533" s="418"/>
      <c r="V533" s="428"/>
      <c r="W533" s="418"/>
      <c r="X533" s="418"/>
      <c r="Y533" s="524"/>
      <c r="Z533" s="418"/>
      <c r="AA533" s="418"/>
      <c r="AB533" s="429"/>
    </row>
    <row r="534" spans="1:28">
      <c r="A534" s="418"/>
      <c r="B534" s="418"/>
      <c r="C534" s="418"/>
      <c r="D534" s="520"/>
      <c r="E534" s="520"/>
      <c r="F534" s="520"/>
      <c r="G534" s="520"/>
      <c r="H534" s="418"/>
      <c r="I534" s="423"/>
      <c r="J534" s="523"/>
      <c r="K534" s="424"/>
      <c r="L534" s="424"/>
      <c r="M534" s="418"/>
      <c r="N534" s="518"/>
      <c r="O534" s="423"/>
      <c r="P534" s="427"/>
      <c r="Q534" s="423"/>
      <c r="R534" s="523"/>
      <c r="S534" s="424"/>
      <c r="T534" s="424"/>
      <c r="U534" s="418"/>
      <c r="V534" s="428"/>
      <c r="W534" s="418"/>
      <c r="X534" s="418"/>
      <c r="Y534" s="524"/>
      <c r="Z534" s="418"/>
      <c r="AA534" s="418"/>
      <c r="AB534" s="429"/>
    </row>
    <row r="535" spans="1:28">
      <c r="A535" s="418"/>
      <c r="B535" s="418"/>
      <c r="C535" s="418"/>
      <c r="D535" s="520"/>
      <c r="E535" s="520"/>
      <c r="F535" s="520"/>
      <c r="G535" s="520"/>
      <c r="H535" s="418"/>
      <c r="I535" s="423"/>
      <c r="J535" s="523"/>
      <c r="K535" s="424"/>
      <c r="L535" s="424"/>
      <c r="M535" s="418"/>
      <c r="N535" s="518"/>
      <c r="O535" s="423"/>
      <c r="P535" s="427"/>
      <c r="Q535" s="423"/>
      <c r="R535" s="523"/>
      <c r="S535" s="424"/>
      <c r="T535" s="424"/>
      <c r="U535" s="418"/>
      <c r="V535" s="428"/>
      <c r="W535" s="418"/>
      <c r="X535" s="418"/>
      <c r="Y535" s="524"/>
      <c r="Z535" s="418"/>
      <c r="AA535" s="418"/>
      <c r="AB535" s="429"/>
    </row>
    <row r="536" spans="1:28">
      <c r="A536" s="418"/>
      <c r="B536" s="418"/>
      <c r="C536" s="418"/>
      <c r="D536" s="520"/>
      <c r="E536" s="520"/>
      <c r="F536" s="520"/>
      <c r="G536" s="520"/>
      <c r="H536" s="418"/>
      <c r="I536" s="423"/>
      <c r="J536" s="523"/>
      <c r="K536" s="424"/>
      <c r="L536" s="424"/>
      <c r="M536" s="418"/>
      <c r="N536" s="518"/>
      <c r="O536" s="423"/>
      <c r="P536" s="427"/>
      <c r="Q536" s="423"/>
      <c r="R536" s="523"/>
      <c r="S536" s="424"/>
      <c r="T536" s="424"/>
      <c r="U536" s="418"/>
      <c r="V536" s="428"/>
      <c r="W536" s="418"/>
      <c r="X536" s="418"/>
      <c r="Y536" s="524"/>
      <c r="Z536" s="418"/>
      <c r="AA536" s="418"/>
      <c r="AB536" s="429"/>
    </row>
    <row r="537" spans="1:28">
      <c r="A537" s="418"/>
      <c r="B537" s="418"/>
      <c r="C537" s="418"/>
      <c r="D537" s="520"/>
      <c r="E537" s="520"/>
      <c r="F537" s="520"/>
      <c r="G537" s="520"/>
      <c r="H537" s="418"/>
      <c r="I537" s="423"/>
      <c r="J537" s="523"/>
      <c r="K537" s="424"/>
      <c r="L537" s="424"/>
      <c r="M537" s="418"/>
      <c r="N537" s="518"/>
      <c r="O537" s="423"/>
      <c r="P537" s="427"/>
      <c r="Q537" s="423"/>
      <c r="R537" s="523"/>
      <c r="S537" s="424"/>
      <c r="T537" s="424"/>
      <c r="U537" s="418"/>
      <c r="V537" s="428"/>
      <c r="W537" s="418"/>
      <c r="X537" s="418"/>
      <c r="Y537" s="524"/>
      <c r="Z537" s="418"/>
      <c r="AA537" s="418"/>
      <c r="AB537" s="429"/>
    </row>
    <row r="538" spans="1:28">
      <c r="A538" s="418"/>
      <c r="B538" s="418"/>
      <c r="C538" s="418"/>
      <c r="D538" s="520"/>
      <c r="E538" s="520"/>
      <c r="F538" s="520"/>
      <c r="G538" s="520"/>
      <c r="H538" s="418"/>
      <c r="I538" s="423"/>
      <c r="J538" s="523"/>
      <c r="K538" s="424"/>
      <c r="L538" s="424"/>
      <c r="M538" s="418"/>
      <c r="N538" s="518"/>
      <c r="O538" s="423"/>
      <c r="P538" s="427"/>
      <c r="Q538" s="423"/>
      <c r="R538" s="523"/>
      <c r="S538" s="424"/>
      <c r="T538" s="424"/>
      <c r="U538" s="418"/>
      <c r="V538" s="428"/>
      <c r="W538" s="418"/>
      <c r="X538" s="418"/>
      <c r="Y538" s="524"/>
      <c r="Z538" s="418"/>
      <c r="AA538" s="418"/>
      <c r="AB538" s="429"/>
    </row>
    <row r="539" spans="1:28">
      <c r="A539" s="418"/>
      <c r="B539" s="418"/>
      <c r="C539" s="418"/>
      <c r="D539" s="520"/>
      <c r="E539" s="520"/>
      <c r="F539" s="520"/>
      <c r="G539" s="520"/>
      <c r="H539" s="418"/>
      <c r="I539" s="423"/>
      <c r="J539" s="523"/>
      <c r="K539" s="424"/>
      <c r="L539" s="424"/>
      <c r="M539" s="418"/>
      <c r="N539" s="518"/>
      <c r="O539" s="423"/>
      <c r="P539" s="427"/>
      <c r="Q539" s="423"/>
      <c r="R539" s="523"/>
      <c r="S539" s="424"/>
      <c r="T539" s="424"/>
      <c r="U539" s="418"/>
      <c r="V539" s="428"/>
      <c r="W539" s="418"/>
      <c r="X539" s="418"/>
      <c r="Y539" s="524"/>
      <c r="Z539" s="418"/>
      <c r="AA539" s="418"/>
      <c r="AB539" s="429"/>
    </row>
    <row r="540" spans="1:28">
      <c r="A540" s="418"/>
      <c r="B540" s="418"/>
      <c r="C540" s="418"/>
      <c r="D540" s="520"/>
      <c r="E540" s="520"/>
      <c r="F540" s="520"/>
      <c r="G540" s="520"/>
      <c r="H540" s="418"/>
      <c r="I540" s="423"/>
      <c r="J540" s="523"/>
      <c r="K540" s="424"/>
      <c r="L540" s="424"/>
      <c r="M540" s="418"/>
      <c r="N540" s="518"/>
      <c r="O540" s="423"/>
      <c r="P540" s="427"/>
      <c r="Q540" s="423"/>
      <c r="R540" s="523"/>
      <c r="S540" s="424"/>
      <c r="T540" s="424"/>
      <c r="U540" s="418"/>
      <c r="V540" s="428"/>
      <c r="W540" s="418"/>
      <c r="X540" s="418"/>
      <c r="Y540" s="524"/>
      <c r="Z540" s="418"/>
      <c r="AA540" s="418"/>
      <c r="AB540" s="429"/>
    </row>
    <row r="541" spans="1:28">
      <c r="A541" s="418"/>
      <c r="B541" s="418"/>
      <c r="C541" s="418"/>
      <c r="D541" s="520"/>
      <c r="E541" s="520"/>
      <c r="F541" s="520"/>
      <c r="G541" s="520"/>
      <c r="H541" s="418"/>
      <c r="I541" s="423"/>
      <c r="J541" s="523"/>
      <c r="K541" s="424"/>
      <c r="L541" s="424"/>
      <c r="M541" s="418"/>
      <c r="N541" s="518"/>
      <c r="O541" s="423"/>
      <c r="P541" s="427"/>
      <c r="Q541" s="423"/>
      <c r="R541" s="523"/>
      <c r="S541" s="424"/>
      <c r="T541" s="424"/>
      <c r="U541" s="418"/>
      <c r="V541" s="428"/>
      <c r="W541" s="418"/>
      <c r="X541" s="418"/>
      <c r="Y541" s="524"/>
      <c r="Z541" s="418"/>
      <c r="AA541" s="418"/>
      <c r="AB541" s="429"/>
    </row>
    <row r="542" spans="1:28">
      <c r="A542" s="418"/>
      <c r="B542" s="418"/>
      <c r="C542" s="418"/>
      <c r="D542" s="520"/>
      <c r="E542" s="520"/>
      <c r="F542" s="520"/>
      <c r="G542" s="520"/>
      <c r="H542" s="418"/>
      <c r="I542" s="423"/>
      <c r="J542" s="523"/>
      <c r="K542" s="424"/>
      <c r="L542" s="424"/>
      <c r="M542" s="418"/>
      <c r="N542" s="518"/>
      <c r="O542" s="423"/>
      <c r="P542" s="427"/>
      <c r="Q542" s="423"/>
      <c r="R542" s="523"/>
      <c r="S542" s="424"/>
      <c r="T542" s="424"/>
      <c r="U542" s="418"/>
      <c r="V542" s="428"/>
      <c r="W542" s="418"/>
      <c r="X542" s="418"/>
      <c r="Y542" s="524"/>
      <c r="Z542" s="418"/>
      <c r="AA542" s="418"/>
      <c r="AB542" s="429"/>
    </row>
    <row r="543" spans="1:28">
      <c r="A543" s="418"/>
      <c r="B543" s="418"/>
      <c r="C543" s="418"/>
      <c r="D543" s="520"/>
      <c r="E543" s="520"/>
      <c r="F543" s="520"/>
      <c r="G543" s="520"/>
      <c r="H543" s="418"/>
      <c r="I543" s="423"/>
      <c r="J543" s="523"/>
      <c r="K543" s="424"/>
      <c r="L543" s="424"/>
      <c r="M543" s="418"/>
      <c r="N543" s="518"/>
      <c r="O543" s="423"/>
      <c r="P543" s="427"/>
      <c r="Q543" s="423"/>
      <c r="R543" s="523"/>
      <c r="S543" s="424"/>
      <c r="T543" s="424"/>
      <c r="U543" s="418"/>
      <c r="V543" s="428"/>
      <c r="W543" s="418"/>
      <c r="X543" s="418"/>
      <c r="Y543" s="524"/>
      <c r="Z543" s="418"/>
      <c r="AA543" s="418"/>
      <c r="AB543" s="429"/>
    </row>
    <row r="544" spans="1:28">
      <c r="A544" s="418"/>
      <c r="B544" s="418"/>
      <c r="C544" s="418"/>
      <c r="D544" s="520"/>
      <c r="E544" s="520"/>
      <c r="F544" s="520"/>
      <c r="G544" s="520"/>
      <c r="H544" s="418"/>
      <c r="I544" s="423"/>
      <c r="J544" s="523"/>
      <c r="K544" s="424"/>
      <c r="L544" s="424"/>
      <c r="M544" s="418"/>
      <c r="N544" s="518"/>
      <c r="O544" s="423"/>
      <c r="P544" s="427"/>
      <c r="Q544" s="423"/>
      <c r="R544" s="523"/>
      <c r="S544" s="424"/>
      <c r="T544" s="424"/>
      <c r="U544" s="418"/>
      <c r="V544" s="428"/>
      <c r="W544" s="418"/>
      <c r="X544" s="418"/>
      <c r="Y544" s="524"/>
      <c r="Z544" s="418"/>
      <c r="AA544" s="418"/>
      <c r="AB544" s="429"/>
    </row>
    <row r="545" spans="1:28">
      <c r="A545" s="418"/>
      <c r="B545" s="418"/>
      <c r="C545" s="418"/>
      <c r="D545" s="520"/>
      <c r="E545" s="520"/>
      <c r="F545" s="520"/>
      <c r="G545" s="520"/>
      <c r="H545" s="418"/>
      <c r="I545" s="423"/>
      <c r="J545" s="523"/>
      <c r="K545" s="424"/>
      <c r="L545" s="424"/>
      <c r="M545" s="418"/>
      <c r="N545" s="518"/>
      <c r="O545" s="423"/>
      <c r="P545" s="427"/>
      <c r="Q545" s="423"/>
      <c r="R545" s="523"/>
      <c r="S545" s="424"/>
      <c r="T545" s="424"/>
      <c r="U545" s="418"/>
      <c r="V545" s="428"/>
      <c r="W545" s="418"/>
      <c r="X545" s="418"/>
      <c r="Y545" s="524"/>
      <c r="Z545" s="418"/>
      <c r="AA545" s="418"/>
      <c r="AB545" s="429"/>
    </row>
    <row r="546" spans="1:28">
      <c r="A546" s="418"/>
      <c r="B546" s="418"/>
      <c r="C546" s="418"/>
      <c r="D546" s="520"/>
      <c r="E546" s="520"/>
      <c r="F546" s="520"/>
      <c r="G546" s="520"/>
      <c r="H546" s="418"/>
      <c r="I546" s="423"/>
      <c r="J546" s="523"/>
      <c r="K546" s="424"/>
      <c r="L546" s="424"/>
      <c r="M546" s="418"/>
      <c r="N546" s="518"/>
      <c r="O546" s="423"/>
      <c r="P546" s="427"/>
      <c r="Q546" s="423"/>
      <c r="R546" s="523"/>
      <c r="S546" s="424"/>
      <c r="T546" s="424"/>
      <c r="U546" s="418"/>
      <c r="V546" s="428"/>
      <c r="W546" s="418"/>
      <c r="X546" s="418"/>
      <c r="Y546" s="524"/>
      <c r="Z546" s="418"/>
      <c r="AA546" s="418"/>
      <c r="AB546" s="429"/>
    </row>
    <row r="547" spans="1:28">
      <c r="A547" s="418"/>
      <c r="B547" s="418"/>
      <c r="C547" s="418"/>
      <c r="D547" s="520"/>
      <c r="E547" s="520"/>
      <c r="F547" s="520"/>
      <c r="G547" s="520"/>
      <c r="H547" s="418"/>
      <c r="I547" s="423"/>
      <c r="J547" s="523"/>
      <c r="K547" s="424"/>
      <c r="L547" s="424"/>
      <c r="M547" s="418"/>
      <c r="N547" s="518"/>
      <c r="O547" s="423"/>
      <c r="P547" s="427"/>
      <c r="Q547" s="423"/>
      <c r="R547" s="523"/>
      <c r="S547" s="424"/>
      <c r="T547" s="424"/>
      <c r="U547" s="418"/>
      <c r="V547" s="428"/>
      <c r="W547" s="418"/>
      <c r="X547" s="418"/>
      <c r="Y547" s="524"/>
      <c r="Z547" s="418"/>
      <c r="AA547" s="418"/>
      <c r="AB547" s="429"/>
    </row>
    <row r="548" spans="1:28">
      <c r="A548" s="418"/>
      <c r="B548" s="418"/>
      <c r="C548" s="418"/>
      <c r="D548" s="520"/>
      <c r="E548" s="520"/>
      <c r="F548" s="520"/>
      <c r="G548" s="520"/>
      <c r="H548" s="418"/>
      <c r="I548" s="423"/>
      <c r="J548" s="523"/>
      <c r="K548" s="424"/>
      <c r="L548" s="424"/>
      <c r="M548" s="418"/>
      <c r="N548" s="518"/>
      <c r="O548" s="423"/>
      <c r="P548" s="427"/>
      <c r="Q548" s="423"/>
      <c r="R548" s="523"/>
      <c r="S548" s="424"/>
      <c r="T548" s="424"/>
      <c r="U548" s="418"/>
      <c r="V548" s="428"/>
      <c r="W548" s="418"/>
      <c r="X548" s="418"/>
      <c r="Y548" s="524"/>
      <c r="Z548" s="418"/>
      <c r="AA548" s="418"/>
      <c r="AB548" s="429"/>
    </row>
    <row r="549" spans="1:28">
      <c r="A549" s="418"/>
      <c r="B549" s="418"/>
      <c r="C549" s="418"/>
      <c r="D549" s="520"/>
      <c r="E549" s="520"/>
      <c r="F549" s="520"/>
      <c r="G549" s="520"/>
      <c r="H549" s="418"/>
      <c r="I549" s="423"/>
      <c r="J549" s="523"/>
      <c r="K549" s="424"/>
      <c r="L549" s="424"/>
      <c r="M549" s="418"/>
      <c r="N549" s="518"/>
      <c r="O549" s="423"/>
      <c r="P549" s="427"/>
      <c r="Q549" s="423"/>
      <c r="R549" s="523"/>
      <c r="S549" s="424"/>
      <c r="T549" s="424"/>
      <c r="U549" s="418"/>
      <c r="V549" s="428"/>
      <c r="W549" s="418"/>
      <c r="X549" s="418"/>
      <c r="Y549" s="524"/>
      <c r="Z549" s="418"/>
      <c r="AA549" s="418"/>
      <c r="AB549" s="429"/>
    </row>
    <row r="550" spans="1:28">
      <c r="A550" s="418"/>
      <c r="B550" s="418"/>
      <c r="C550" s="418"/>
      <c r="D550" s="520"/>
      <c r="E550" s="520"/>
      <c r="F550" s="520"/>
      <c r="G550" s="520"/>
      <c r="H550" s="418"/>
      <c r="I550" s="423"/>
      <c r="J550" s="523"/>
      <c r="K550" s="424"/>
      <c r="L550" s="424"/>
      <c r="M550" s="418"/>
      <c r="N550" s="518"/>
      <c r="O550" s="423"/>
      <c r="P550" s="427"/>
      <c r="Q550" s="423"/>
      <c r="R550" s="523"/>
      <c r="S550" s="424"/>
      <c r="T550" s="424"/>
      <c r="U550" s="418"/>
      <c r="V550" s="428"/>
      <c r="W550" s="418"/>
      <c r="X550" s="418"/>
      <c r="Y550" s="524"/>
      <c r="Z550" s="418"/>
      <c r="AA550" s="418"/>
      <c r="AB550" s="429"/>
    </row>
    <row r="551" spans="1:28">
      <c r="A551" s="418"/>
      <c r="B551" s="418"/>
      <c r="C551" s="418"/>
      <c r="D551" s="520"/>
      <c r="E551" s="520"/>
      <c r="F551" s="520"/>
      <c r="G551" s="520"/>
      <c r="H551" s="418"/>
      <c r="I551" s="423"/>
      <c r="J551" s="523"/>
      <c r="K551" s="424"/>
      <c r="L551" s="424"/>
      <c r="M551" s="418"/>
      <c r="N551" s="518"/>
      <c r="O551" s="423"/>
      <c r="P551" s="427"/>
      <c r="Q551" s="423"/>
      <c r="R551" s="523"/>
      <c r="S551" s="424"/>
      <c r="T551" s="424"/>
      <c r="U551" s="418"/>
      <c r="V551" s="428"/>
      <c r="W551" s="418"/>
      <c r="X551" s="418"/>
      <c r="Y551" s="524"/>
      <c r="Z551" s="418"/>
      <c r="AA551" s="418"/>
      <c r="AB551" s="429"/>
    </row>
    <row r="552" spans="1:28">
      <c r="A552" s="418"/>
      <c r="B552" s="418"/>
      <c r="C552" s="418"/>
      <c r="D552" s="520"/>
      <c r="E552" s="520"/>
      <c r="F552" s="520"/>
      <c r="G552" s="520"/>
      <c r="H552" s="418"/>
      <c r="I552" s="423"/>
      <c r="J552" s="523"/>
      <c r="K552" s="424"/>
      <c r="L552" s="424"/>
      <c r="M552" s="418"/>
      <c r="N552" s="518"/>
      <c r="O552" s="423"/>
      <c r="P552" s="427"/>
      <c r="Q552" s="423"/>
      <c r="R552" s="523"/>
      <c r="S552" s="424"/>
      <c r="T552" s="424"/>
      <c r="U552" s="418"/>
      <c r="V552" s="428"/>
      <c r="W552" s="418"/>
      <c r="X552" s="418"/>
      <c r="Y552" s="524"/>
      <c r="Z552" s="418"/>
      <c r="AA552" s="418"/>
      <c r="AB552" s="429"/>
    </row>
    <row r="553" spans="1:28">
      <c r="A553" s="418"/>
      <c r="B553" s="418"/>
      <c r="C553" s="418"/>
      <c r="D553" s="520"/>
      <c r="E553" s="520"/>
      <c r="F553" s="520"/>
      <c r="G553" s="520"/>
      <c r="H553" s="418"/>
      <c r="I553" s="423"/>
      <c r="J553" s="523"/>
      <c r="K553" s="424"/>
      <c r="L553" s="424"/>
      <c r="M553" s="418"/>
      <c r="N553" s="518"/>
      <c r="O553" s="423"/>
      <c r="P553" s="427"/>
      <c r="Q553" s="423"/>
      <c r="R553" s="523"/>
      <c r="S553" s="424"/>
      <c r="T553" s="424"/>
      <c r="U553" s="418"/>
      <c r="V553" s="428"/>
      <c r="W553" s="418"/>
      <c r="X553" s="418"/>
      <c r="Y553" s="524"/>
      <c r="Z553" s="418"/>
      <c r="AA553" s="418"/>
      <c r="AB553" s="429"/>
    </row>
    <row r="554" spans="1:28">
      <c r="A554" s="418"/>
      <c r="B554" s="418"/>
      <c r="C554" s="418"/>
      <c r="D554" s="520"/>
      <c r="E554" s="520"/>
      <c r="F554" s="520"/>
      <c r="G554" s="520"/>
      <c r="H554" s="418"/>
      <c r="I554" s="423"/>
      <c r="J554" s="523"/>
      <c r="K554" s="424"/>
      <c r="L554" s="424"/>
      <c r="M554" s="418"/>
      <c r="N554" s="518"/>
      <c r="O554" s="423"/>
      <c r="P554" s="427"/>
      <c r="Q554" s="423"/>
      <c r="R554" s="523"/>
      <c r="S554" s="424"/>
      <c r="T554" s="424"/>
      <c r="U554" s="418"/>
      <c r="V554" s="428"/>
      <c r="W554" s="418"/>
      <c r="X554" s="418"/>
      <c r="Y554" s="524"/>
      <c r="Z554" s="418"/>
      <c r="AA554" s="418"/>
      <c r="AB554" s="429"/>
    </row>
    <row r="555" spans="1:28">
      <c r="A555" s="418"/>
      <c r="B555" s="418"/>
      <c r="C555" s="418"/>
      <c r="D555" s="520"/>
      <c r="E555" s="520"/>
      <c r="F555" s="520"/>
      <c r="G555" s="520"/>
      <c r="H555" s="418"/>
      <c r="I555" s="423"/>
      <c r="J555" s="523"/>
      <c r="K555" s="424"/>
      <c r="L555" s="424"/>
      <c r="M555" s="418"/>
      <c r="N555" s="518"/>
      <c r="O555" s="423"/>
      <c r="P555" s="427"/>
      <c r="Q555" s="423"/>
      <c r="R555" s="523"/>
      <c r="S555" s="424"/>
      <c r="T555" s="424"/>
      <c r="U555" s="418"/>
      <c r="V555" s="428"/>
      <c r="W555" s="418"/>
      <c r="X555" s="418"/>
      <c r="Y555" s="524"/>
      <c r="Z555" s="418"/>
      <c r="AA555" s="418"/>
      <c r="AB555" s="429"/>
    </row>
    <row r="556" spans="1:28">
      <c r="A556" s="418"/>
      <c r="B556" s="418"/>
      <c r="C556" s="418"/>
      <c r="D556" s="520"/>
      <c r="E556" s="520"/>
      <c r="F556" s="520"/>
      <c r="G556" s="520"/>
      <c r="H556" s="418"/>
      <c r="I556" s="423"/>
      <c r="J556" s="523"/>
      <c r="K556" s="424"/>
      <c r="L556" s="424"/>
      <c r="M556" s="418"/>
      <c r="N556" s="518"/>
      <c r="O556" s="423"/>
      <c r="P556" s="427"/>
      <c r="Q556" s="423"/>
      <c r="R556" s="523"/>
      <c r="S556" s="424"/>
      <c r="T556" s="424"/>
      <c r="U556" s="418"/>
      <c r="V556" s="428"/>
      <c r="W556" s="418"/>
      <c r="X556" s="418"/>
      <c r="Y556" s="524"/>
      <c r="Z556" s="418"/>
      <c r="AA556" s="418"/>
      <c r="AB556" s="429"/>
    </row>
    <row r="557" spans="1:28">
      <c r="A557" s="418"/>
      <c r="B557" s="418"/>
      <c r="C557" s="418"/>
      <c r="D557" s="520"/>
      <c r="E557" s="520"/>
      <c r="F557" s="520"/>
      <c r="G557" s="520"/>
      <c r="H557" s="418"/>
      <c r="I557" s="423"/>
      <c r="J557" s="523"/>
      <c r="K557" s="424"/>
      <c r="L557" s="424"/>
      <c r="M557" s="418"/>
      <c r="N557" s="518"/>
      <c r="O557" s="423"/>
      <c r="P557" s="427"/>
      <c r="Q557" s="423"/>
      <c r="R557" s="523"/>
      <c r="S557" s="424"/>
      <c r="T557" s="424"/>
      <c r="U557" s="418"/>
      <c r="V557" s="428"/>
      <c r="W557" s="418"/>
      <c r="X557" s="418"/>
      <c r="Y557" s="524"/>
      <c r="Z557" s="418"/>
      <c r="AA557" s="418"/>
      <c r="AB557" s="429"/>
    </row>
    <row r="558" spans="1:28">
      <c r="A558" s="418"/>
      <c r="B558" s="418"/>
      <c r="C558" s="418"/>
      <c r="D558" s="520"/>
      <c r="E558" s="520"/>
      <c r="F558" s="520"/>
      <c r="G558" s="520"/>
      <c r="H558" s="418"/>
      <c r="I558" s="423"/>
      <c r="J558" s="523"/>
      <c r="K558" s="424"/>
      <c r="L558" s="424"/>
      <c r="M558" s="418"/>
      <c r="N558" s="518"/>
      <c r="O558" s="423"/>
      <c r="P558" s="427"/>
      <c r="Q558" s="423"/>
      <c r="R558" s="523"/>
      <c r="S558" s="424"/>
      <c r="T558" s="424"/>
      <c r="U558" s="418"/>
      <c r="V558" s="428"/>
      <c r="W558" s="418"/>
      <c r="X558" s="418"/>
      <c r="Y558" s="524"/>
      <c r="Z558" s="418"/>
      <c r="AA558" s="418"/>
      <c r="AB558" s="429"/>
    </row>
    <row r="559" spans="1:28">
      <c r="A559" s="418"/>
      <c r="B559" s="418"/>
      <c r="C559" s="418"/>
      <c r="D559" s="520"/>
      <c r="E559" s="520"/>
      <c r="F559" s="520"/>
      <c r="G559" s="520"/>
      <c r="H559" s="418"/>
      <c r="I559" s="423"/>
      <c r="J559" s="523"/>
      <c r="K559" s="424"/>
      <c r="L559" s="424"/>
      <c r="M559" s="418"/>
      <c r="N559" s="518"/>
      <c r="O559" s="423"/>
      <c r="P559" s="427"/>
      <c r="Q559" s="423"/>
      <c r="R559" s="523"/>
      <c r="S559" s="424"/>
      <c r="T559" s="424"/>
      <c r="U559" s="418"/>
      <c r="V559" s="428"/>
      <c r="W559" s="418"/>
      <c r="X559" s="418"/>
      <c r="Y559" s="524"/>
      <c r="Z559" s="418"/>
      <c r="AA559" s="418"/>
      <c r="AB559" s="429"/>
    </row>
    <row r="560" spans="1:28">
      <c r="A560" s="418"/>
      <c r="B560" s="418"/>
      <c r="C560" s="418"/>
      <c r="D560" s="520"/>
      <c r="E560" s="520"/>
      <c r="F560" s="520"/>
      <c r="G560" s="520"/>
      <c r="H560" s="418"/>
      <c r="I560" s="423"/>
      <c r="J560" s="523"/>
      <c r="K560" s="424"/>
      <c r="L560" s="424"/>
      <c r="M560" s="418"/>
      <c r="N560" s="518"/>
      <c r="O560" s="423"/>
      <c r="P560" s="427"/>
      <c r="Q560" s="423"/>
      <c r="R560" s="523"/>
      <c r="S560" s="424"/>
      <c r="T560" s="424"/>
      <c r="U560" s="418"/>
      <c r="V560" s="428"/>
      <c r="W560" s="418"/>
      <c r="X560" s="418"/>
      <c r="Y560" s="524"/>
      <c r="Z560" s="418"/>
      <c r="AA560" s="418"/>
      <c r="AB560" s="429"/>
    </row>
    <row r="561" spans="1:28">
      <c r="A561" s="418"/>
      <c r="B561" s="418"/>
      <c r="C561" s="418"/>
      <c r="D561" s="520"/>
      <c r="E561" s="520"/>
      <c r="F561" s="520"/>
      <c r="G561" s="520"/>
      <c r="H561" s="418"/>
      <c r="I561" s="423"/>
      <c r="J561" s="523"/>
      <c r="K561" s="424"/>
      <c r="L561" s="424"/>
      <c r="M561" s="418"/>
      <c r="N561" s="518"/>
      <c r="O561" s="423"/>
      <c r="P561" s="427"/>
      <c r="Q561" s="423"/>
      <c r="R561" s="523"/>
      <c r="S561" s="424"/>
      <c r="T561" s="424"/>
      <c r="U561" s="418"/>
      <c r="V561" s="428"/>
      <c r="W561" s="418"/>
      <c r="X561" s="418"/>
      <c r="Y561" s="524"/>
      <c r="Z561" s="418"/>
      <c r="AA561" s="418"/>
      <c r="AB561" s="429"/>
    </row>
    <row r="562" spans="1:28">
      <c r="A562" s="418"/>
      <c r="B562" s="418"/>
      <c r="C562" s="418"/>
      <c r="D562" s="520"/>
      <c r="E562" s="520"/>
      <c r="F562" s="520"/>
      <c r="G562" s="520"/>
      <c r="H562" s="418"/>
      <c r="I562" s="423"/>
      <c r="J562" s="523"/>
      <c r="K562" s="424"/>
      <c r="L562" s="424"/>
      <c r="M562" s="418"/>
      <c r="N562" s="518"/>
      <c r="O562" s="423"/>
      <c r="P562" s="427"/>
      <c r="Q562" s="423"/>
      <c r="R562" s="523"/>
      <c r="S562" s="424"/>
      <c r="T562" s="424"/>
      <c r="U562" s="418"/>
      <c r="V562" s="428"/>
      <c r="W562" s="418"/>
      <c r="X562" s="418"/>
      <c r="Y562" s="524"/>
      <c r="Z562" s="418"/>
      <c r="AA562" s="418"/>
      <c r="AB562" s="429"/>
    </row>
    <row r="563" spans="1:28">
      <c r="A563" s="418"/>
      <c r="B563" s="418"/>
      <c r="C563" s="418"/>
      <c r="D563" s="520"/>
      <c r="E563" s="520"/>
      <c r="F563" s="520"/>
      <c r="G563" s="520"/>
      <c r="H563" s="418"/>
      <c r="I563" s="423"/>
      <c r="J563" s="523"/>
      <c r="K563" s="424"/>
      <c r="L563" s="424"/>
      <c r="M563" s="418"/>
      <c r="N563" s="518"/>
      <c r="O563" s="423"/>
      <c r="P563" s="427"/>
      <c r="Q563" s="423"/>
      <c r="R563" s="523"/>
      <c r="S563" s="424"/>
      <c r="T563" s="424"/>
      <c r="U563" s="418"/>
      <c r="V563" s="428"/>
      <c r="W563" s="418"/>
      <c r="X563" s="418"/>
      <c r="Y563" s="524"/>
      <c r="Z563" s="418"/>
      <c r="AA563" s="418"/>
      <c r="AB563" s="429"/>
    </row>
    <row r="564" spans="1:28">
      <c r="A564" s="418"/>
      <c r="B564" s="418"/>
      <c r="C564" s="418"/>
      <c r="D564" s="520"/>
      <c r="E564" s="520"/>
      <c r="F564" s="520"/>
      <c r="G564" s="520"/>
      <c r="H564" s="418"/>
      <c r="I564" s="423"/>
      <c r="J564" s="523"/>
      <c r="K564" s="424"/>
      <c r="L564" s="424"/>
      <c r="M564" s="418"/>
      <c r="N564" s="518"/>
      <c r="O564" s="423"/>
      <c r="P564" s="427"/>
      <c r="Q564" s="423"/>
      <c r="R564" s="523"/>
      <c r="S564" s="424"/>
      <c r="T564" s="424"/>
      <c r="U564" s="418"/>
      <c r="V564" s="428"/>
      <c r="W564" s="418"/>
      <c r="X564" s="418"/>
      <c r="Y564" s="524"/>
      <c r="Z564" s="418"/>
      <c r="AA564" s="418"/>
      <c r="AB564" s="429"/>
    </row>
    <row r="565" spans="1:28">
      <c r="A565" s="418"/>
      <c r="B565" s="418"/>
      <c r="C565" s="418"/>
      <c r="D565" s="520"/>
      <c r="E565" s="520"/>
      <c r="F565" s="520"/>
      <c r="G565" s="520"/>
      <c r="H565" s="418"/>
      <c r="I565" s="423"/>
      <c r="J565" s="523"/>
      <c r="K565" s="424"/>
      <c r="L565" s="424"/>
      <c r="M565" s="418"/>
      <c r="N565" s="518"/>
      <c r="O565" s="423"/>
      <c r="P565" s="427"/>
      <c r="Q565" s="423"/>
      <c r="R565" s="523"/>
      <c r="S565" s="424"/>
      <c r="T565" s="424"/>
      <c r="U565" s="418"/>
      <c r="V565" s="428"/>
      <c r="W565" s="418"/>
      <c r="X565" s="418"/>
      <c r="Y565" s="524"/>
      <c r="Z565" s="418"/>
      <c r="AA565" s="418"/>
      <c r="AB565" s="429"/>
    </row>
    <row r="566" spans="1:28">
      <c r="A566" s="418"/>
      <c r="B566" s="418"/>
      <c r="C566" s="418"/>
      <c r="D566" s="520"/>
      <c r="E566" s="520"/>
      <c r="F566" s="520"/>
      <c r="G566" s="520"/>
      <c r="H566" s="418"/>
      <c r="I566" s="423"/>
      <c r="J566" s="523"/>
      <c r="K566" s="424"/>
      <c r="L566" s="424"/>
      <c r="M566" s="418"/>
      <c r="N566" s="518"/>
      <c r="O566" s="423"/>
      <c r="P566" s="427"/>
      <c r="Q566" s="423"/>
      <c r="R566" s="523"/>
      <c r="S566" s="424"/>
      <c r="T566" s="424"/>
      <c r="U566" s="418"/>
      <c r="V566" s="428"/>
      <c r="W566" s="418"/>
      <c r="X566" s="418"/>
      <c r="Y566" s="524"/>
      <c r="Z566" s="418"/>
      <c r="AA566" s="418"/>
      <c r="AB566" s="429"/>
    </row>
    <row r="567" spans="1:28">
      <c r="A567" s="418"/>
      <c r="B567" s="418"/>
      <c r="C567" s="418"/>
      <c r="D567" s="520"/>
      <c r="E567" s="520"/>
      <c r="F567" s="520"/>
      <c r="G567" s="520"/>
      <c r="H567" s="418"/>
      <c r="I567" s="423"/>
      <c r="J567" s="523"/>
      <c r="K567" s="424"/>
      <c r="L567" s="424"/>
      <c r="M567" s="418"/>
      <c r="N567" s="518"/>
      <c r="O567" s="423"/>
      <c r="P567" s="427"/>
      <c r="Q567" s="423"/>
      <c r="R567" s="523"/>
      <c r="S567" s="424"/>
      <c r="T567" s="424"/>
      <c r="U567" s="418"/>
      <c r="V567" s="428"/>
      <c r="W567" s="418"/>
      <c r="X567" s="418"/>
      <c r="Y567" s="524"/>
      <c r="Z567" s="418"/>
      <c r="AA567" s="418"/>
      <c r="AB567" s="429"/>
    </row>
    <row r="568" spans="1:28">
      <c r="A568" s="418"/>
      <c r="B568" s="418"/>
      <c r="C568" s="418"/>
      <c r="D568" s="520"/>
      <c r="E568" s="520"/>
      <c r="F568" s="520"/>
      <c r="G568" s="520"/>
      <c r="H568" s="418"/>
      <c r="I568" s="423"/>
      <c r="J568" s="523"/>
      <c r="K568" s="424"/>
      <c r="L568" s="424"/>
      <c r="M568" s="418"/>
      <c r="N568" s="518"/>
      <c r="O568" s="423"/>
      <c r="P568" s="427"/>
      <c r="Q568" s="423"/>
      <c r="R568" s="523"/>
      <c r="S568" s="424"/>
      <c r="T568" s="424"/>
      <c r="U568" s="418"/>
      <c r="V568" s="428"/>
      <c r="W568" s="418"/>
      <c r="X568" s="418"/>
      <c r="Y568" s="524"/>
      <c r="Z568" s="418"/>
      <c r="AA568" s="418"/>
      <c r="AB568" s="429"/>
    </row>
    <row r="569" spans="1:28">
      <c r="A569" s="418"/>
      <c r="B569" s="418"/>
      <c r="C569" s="418"/>
      <c r="D569" s="520"/>
      <c r="E569" s="520"/>
      <c r="F569" s="520"/>
      <c r="G569" s="520"/>
      <c r="H569" s="418"/>
      <c r="I569" s="423"/>
      <c r="J569" s="523"/>
      <c r="K569" s="424"/>
      <c r="L569" s="424"/>
      <c r="M569" s="418"/>
      <c r="N569" s="518"/>
      <c r="O569" s="423"/>
      <c r="P569" s="427"/>
      <c r="Q569" s="423"/>
      <c r="R569" s="523"/>
      <c r="S569" s="424"/>
      <c r="T569" s="424"/>
      <c r="U569" s="418"/>
      <c r="V569" s="428"/>
      <c r="W569" s="418"/>
      <c r="X569" s="418"/>
      <c r="Y569" s="524"/>
      <c r="Z569" s="418"/>
      <c r="AA569" s="418"/>
      <c r="AB569" s="429"/>
    </row>
    <row r="570" spans="1:28">
      <c r="A570" s="418"/>
      <c r="B570" s="418"/>
      <c r="C570" s="418"/>
      <c r="D570" s="520"/>
      <c r="E570" s="520"/>
      <c r="F570" s="520"/>
      <c r="G570" s="520"/>
      <c r="H570" s="418"/>
      <c r="I570" s="423"/>
      <c r="J570" s="523"/>
      <c r="K570" s="424"/>
      <c r="L570" s="424"/>
      <c r="M570" s="418"/>
      <c r="N570" s="518"/>
      <c r="O570" s="423"/>
      <c r="P570" s="427"/>
      <c r="Q570" s="423"/>
      <c r="R570" s="523"/>
      <c r="S570" s="424"/>
      <c r="T570" s="424"/>
      <c r="U570" s="418"/>
      <c r="V570" s="428"/>
      <c r="W570" s="418"/>
      <c r="X570" s="418"/>
      <c r="Y570" s="524"/>
      <c r="Z570" s="418"/>
      <c r="AA570" s="418"/>
      <c r="AB570" s="429"/>
    </row>
    <row r="571" spans="1:28">
      <c r="A571" s="418"/>
      <c r="B571" s="418"/>
      <c r="C571" s="418"/>
      <c r="D571" s="520"/>
      <c r="E571" s="520"/>
      <c r="F571" s="520"/>
      <c r="G571" s="520"/>
      <c r="H571" s="418"/>
      <c r="I571" s="423"/>
      <c r="J571" s="523"/>
      <c r="K571" s="424"/>
      <c r="L571" s="424"/>
      <c r="M571" s="418"/>
      <c r="N571" s="518"/>
      <c r="O571" s="423"/>
      <c r="P571" s="427"/>
      <c r="Q571" s="423"/>
      <c r="R571" s="523"/>
      <c r="S571" s="424"/>
      <c r="T571" s="424"/>
      <c r="U571" s="418"/>
      <c r="V571" s="428"/>
      <c r="W571" s="418"/>
      <c r="X571" s="418"/>
      <c r="Y571" s="524"/>
      <c r="Z571" s="418"/>
      <c r="AA571" s="418"/>
      <c r="AB571" s="429"/>
    </row>
    <row r="572" spans="1:28">
      <c r="A572" s="418"/>
      <c r="B572" s="418"/>
      <c r="C572" s="418"/>
      <c r="D572" s="520"/>
      <c r="E572" s="520"/>
      <c r="F572" s="520"/>
      <c r="G572" s="520"/>
      <c r="H572" s="418"/>
      <c r="I572" s="423"/>
      <c r="J572" s="523"/>
      <c r="K572" s="424"/>
      <c r="L572" s="424"/>
      <c r="M572" s="418"/>
      <c r="N572" s="518"/>
      <c r="O572" s="423"/>
      <c r="P572" s="427"/>
      <c r="Q572" s="423"/>
      <c r="R572" s="523"/>
      <c r="S572" s="424"/>
      <c r="T572" s="424"/>
      <c r="U572" s="418"/>
      <c r="V572" s="428"/>
      <c r="W572" s="418"/>
      <c r="X572" s="418"/>
      <c r="Y572" s="524"/>
      <c r="Z572" s="418"/>
      <c r="AA572" s="418"/>
      <c r="AB572" s="429"/>
    </row>
    <row r="573" spans="1:28">
      <c r="A573" s="418"/>
      <c r="B573" s="418"/>
      <c r="C573" s="418"/>
      <c r="D573" s="520"/>
      <c r="E573" s="520"/>
      <c r="F573" s="520"/>
      <c r="G573" s="520"/>
      <c r="H573" s="418"/>
      <c r="I573" s="423"/>
      <c r="J573" s="523"/>
      <c r="K573" s="424"/>
      <c r="L573" s="424"/>
      <c r="M573" s="418"/>
      <c r="N573" s="518"/>
      <c r="O573" s="423"/>
      <c r="P573" s="427"/>
      <c r="Q573" s="423"/>
      <c r="R573" s="523"/>
      <c r="S573" s="424"/>
      <c r="T573" s="424"/>
      <c r="U573" s="418"/>
      <c r="V573" s="428"/>
      <c r="W573" s="418"/>
      <c r="X573" s="418"/>
      <c r="Y573" s="524"/>
      <c r="Z573" s="418"/>
      <c r="AA573" s="418"/>
      <c r="AB573" s="429"/>
    </row>
    <row r="574" spans="1:28">
      <c r="A574" s="418"/>
      <c r="B574" s="418"/>
      <c r="C574" s="418"/>
      <c r="D574" s="520"/>
      <c r="E574" s="520"/>
      <c r="F574" s="520"/>
      <c r="G574" s="520"/>
      <c r="H574" s="418"/>
      <c r="I574" s="423"/>
      <c r="J574" s="523"/>
      <c r="K574" s="424"/>
      <c r="L574" s="424"/>
      <c r="M574" s="418"/>
      <c r="N574" s="518"/>
      <c r="O574" s="423"/>
      <c r="P574" s="427"/>
      <c r="Q574" s="423"/>
      <c r="R574" s="523"/>
      <c r="S574" s="424"/>
      <c r="T574" s="424"/>
      <c r="U574" s="418"/>
      <c r="V574" s="428"/>
      <c r="W574" s="418"/>
      <c r="X574" s="418"/>
      <c r="Y574" s="524"/>
      <c r="Z574" s="418"/>
      <c r="AA574" s="418"/>
      <c r="AB574" s="429"/>
    </row>
    <row r="575" spans="1:28">
      <c r="A575" s="418"/>
      <c r="B575" s="418"/>
      <c r="C575" s="418"/>
      <c r="D575" s="520"/>
      <c r="E575" s="520"/>
      <c r="F575" s="520"/>
      <c r="G575" s="520"/>
      <c r="H575" s="418"/>
      <c r="I575" s="423"/>
      <c r="J575" s="523"/>
      <c r="K575" s="424"/>
      <c r="L575" s="424"/>
      <c r="M575" s="418"/>
      <c r="N575" s="518"/>
      <c r="O575" s="423"/>
      <c r="P575" s="427"/>
      <c r="Q575" s="423"/>
      <c r="R575" s="523"/>
      <c r="S575" s="424"/>
      <c r="T575" s="424"/>
      <c r="U575" s="418"/>
      <c r="V575" s="428"/>
      <c r="W575" s="418"/>
      <c r="X575" s="418"/>
      <c r="Y575" s="524"/>
      <c r="Z575" s="418"/>
      <c r="AA575" s="418"/>
      <c r="AB575" s="429"/>
    </row>
    <row r="576" spans="1:28">
      <c r="A576" s="418"/>
      <c r="B576" s="418"/>
      <c r="C576" s="418"/>
      <c r="D576" s="520"/>
      <c r="E576" s="520"/>
      <c r="F576" s="520"/>
      <c r="G576" s="520"/>
      <c r="H576" s="418"/>
      <c r="I576" s="423"/>
      <c r="J576" s="523"/>
      <c r="K576" s="424"/>
      <c r="L576" s="424"/>
      <c r="M576" s="418"/>
      <c r="N576" s="518"/>
      <c r="O576" s="423"/>
      <c r="P576" s="427"/>
      <c r="Q576" s="423"/>
      <c r="R576" s="523"/>
      <c r="S576" s="424"/>
      <c r="T576" s="424"/>
      <c r="U576" s="418"/>
      <c r="V576" s="428"/>
      <c r="W576" s="418"/>
      <c r="X576" s="418"/>
      <c r="Y576" s="524"/>
      <c r="Z576" s="418"/>
      <c r="AA576" s="418"/>
      <c r="AB576" s="429"/>
    </row>
    <row r="577" spans="1:28">
      <c r="A577" s="418"/>
      <c r="B577" s="418"/>
      <c r="C577" s="418"/>
      <c r="D577" s="520"/>
      <c r="E577" s="520"/>
      <c r="F577" s="520"/>
      <c r="G577" s="520"/>
      <c r="H577" s="418"/>
      <c r="I577" s="423"/>
      <c r="J577" s="523"/>
      <c r="K577" s="424"/>
      <c r="L577" s="424"/>
      <c r="M577" s="418"/>
      <c r="N577" s="518"/>
      <c r="O577" s="423"/>
      <c r="P577" s="427"/>
      <c r="Q577" s="423"/>
      <c r="R577" s="523"/>
      <c r="S577" s="424"/>
      <c r="T577" s="424"/>
      <c r="U577" s="418"/>
      <c r="V577" s="428"/>
      <c r="W577" s="418"/>
      <c r="X577" s="418"/>
      <c r="Y577" s="524"/>
      <c r="Z577" s="418"/>
      <c r="AA577" s="418"/>
      <c r="AB577" s="429"/>
    </row>
    <row r="578" spans="1:28">
      <c r="A578" s="418"/>
      <c r="B578" s="418"/>
      <c r="C578" s="418"/>
      <c r="D578" s="520"/>
      <c r="E578" s="520"/>
      <c r="F578" s="520"/>
      <c r="G578" s="520"/>
      <c r="H578" s="418"/>
      <c r="I578" s="423"/>
      <c r="J578" s="523"/>
      <c r="K578" s="424"/>
      <c r="L578" s="424"/>
      <c r="M578" s="418"/>
      <c r="N578" s="518"/>
      <c r="O578" s="423"/>
      <c r="P578" s="427"/>
      <c r="Q578" s="423"/>
      <c r="R578" s="523"/>
      <c r="S578" s="424"/>
      <c r="T578" s="424"/>
      <c r="U578" s="418"/>
      <c r="V578" s="428"/>
      <c r="W578" s="418"/>
      <c r="X578" s="418"/>
      <c r="Y578" s="524"/>
      <c r="Z578" s="418"/>
      <c r="AA578" s="418"/>
      <c r="AB578" s="429"/>
    </row>
    <row r="579" spans="1:28">
      <c r="A579" s="418"/>
      <c r="B579" s="418"/>
      <c r="C579" s="418"/>
      <c r="D579" s="520"/>
      <c r="E579" s="520"/>
      <c r="F579" s="520"/>
      <c r="G579" s="520"/>
      <c r="H579" s="418"/>
      <c r="I579" s="423"/>
      <c r="J579" s="523"/>
      <c r="K579" s="424"/>
      <c r="L579" s="424"/>
      <c r="M579" s="418"/>
      <c r="N579" s="518"/>
      <c r="O579" s="423"/>
      <c r="P579" s="427"/>
      <c r="Q579" s="423"/>
      <c r="R579" s="523"/>
      <c r="S579" s="424"/>
      <c r="T579" s="424"/>
      <c r="U579" s="418"/>
      <c r="V579" s="428"/>
      <c r="W579" s="418"/>
      <c r="X579" s="418"/>
      <c r="Y579" s="524"/>
      <c r="Z579" s="418"/>
      <c r="AA579" s="418"/>
      <c r="AB579" s="429"/>
    </row>
    <row r="580" spans="1:28">
      <c r="A580" s="418"/>
      <c r="B580" s="418"/>
      <c r="C580" s="418"/>
      <c r="D580" s="520"/>
      <c r="E580" s="520"/>
      <c r="F580" s="520"/>
      <c r="G580" s="520"/>
      <c r="H580" s="418"/>
      <c r="I580" s="423"/>
      <c r="J580" s="523"/>
      <c r="K580" s="424"/>
      <c r="L580" s="424"/>
      <c r="M580" s="418"/>
      <c r="N580" s="518"/>
      <c r="O580" s="423"/>
      <c r="P580" s="427"/>
      <c r="Q580" s="423"/>
      <c r="R580" s="523"/>
      <c r="S580" s="424"/>
      <c r="T580" s="424"/>
      <c r="U580" s="418"/>
      <c r="V580" s="428"/>
      <c r="W580" s="418"/>
      <c r="X580" s="418"/>
      <c r="Y580" s="524"/>
      <c r="Z580" s="418"/>
      <c r="AA580" s="418"/>
      <c r="AB580" s="429"/>
    </row>
    <row r="581" spans="1:28">
      <c r="A581" s="418"/>
      <c r="B581" s="418"/>
      <c r="C581" s="418"/>
      <c r="D581" s="520"/>
      <c r="E581" s="520"/>
      <c r="F581" s="520"/>
      <c r="G581" s="520"/>
      <c r="H581" s="418"/>
      <c r="I581" s="423"/>
      <c r="J581" s="523"/>
      <c r="K581" s="424"/>
      <c r="L581" s="424"/>
      <c r="M581" s="418"/>
      <c r="N581" s="518"/>
      <c r="O581" s="423"/>
      <c r="P581" s="427"/>
      <c r="Q581" s="423"/>
      <c r="R581" s="523"/>
      <c r="S581" s="424"/>
      <c r="T581" s="424"/>
      <c r="U581" s="418"/>
      <c r="V581" s="428"/>
      <c r="W581" s="418"/>
      <c r="X581" s="418"/>
      <c r="Y581" s="524"/>
      <c r="Z581" s="418"/>
      <c r="AA581" s="418"/>
      <c r="AB581" s="429"/>
    </row>
    <row r="582" spans="1:28">
      <c r="A582" s="418"/>
      <c r="B582" s="418"/>
      <c r="C582" s="418"/>
      <c r="D582" s="520"/>
      <c r="E582" s="520"/>
      <c r="F582" s="520"/>
      <c r="G582" s="520"/>
      <c r="H582" s="418"/>
      <c r="I582" s="423"/>
      <c r="J582" s="523"/>
      <c r="K582" s="424"/>
      <c r="L582" s="424"/>
      <c r="M582" s="418"/>
      <c r="N582" s="518"/>
      <c r="O582" s="423"/>
      <c r="P582" s="427"/>
      <c r="Q582" s="423"/>
      <c r="R582" s="523"/>
      <c r="S582" s="424"/>
      <c r="T582" s="424"/>
      <c r="U582" s="418"/>
      <c r="V582" s="428"/>
      <c r="W582" s="418"/>
      <c r="X582" s="418"/>
      <c r="Y582" s="524"/>
      <c r="Z582" s="418"/>
      <c r="AA582" s="418"/>
      <c r="AB582" s="429"/>
    </row>
    <row r="583" spans="1:28">
      <c r="A583" s="418"/>
      <c r="B583" s="418"/>
      <c r="C583" s="418"/>
      <c r="D583" s="520"/>
      <c r="E583" s="520"/>
      <c r="F583" s="520"/>
      <c r="G583" s="520"/>
      <c r="H583" s="418"/>
      <c r="I583" s="423"/>
      <c r="J583" s="523"/>
      <c r="K583" s="424"/>
      <c r="L583" s="424"/>
      <c r="M583" s="418"/>
      <c r="N583" s="518"/>
      <c r="O583" s="423"/>
      <c r="P583" s="427"/>
      <c r="Q583" s="423"/>
      <c r="R583" s="523"/>
      <c r="S583" s="424"/>
      <c r="T583" s="424"/>
      <c r="U583" s="418"/>
      <c r="V583" s="428"/>
      <c r="W583" s="418"/>
      <c r="X583" s="418"/>
      <c r="Y583" s="524"/>
      <c r="Z583" s="418"/>
      <c r="AA583" s="418"/>
      <c r="AB583" s="429"/>
    </row>
    <row r="584" spans="1:28">
      <c r="A584" s="418"/>
      <c r="B584" s="418"/>
      <c r="C584" s="418"/>
      <c r="D584" s="520"/>
      <c r="E584" s="520"/>
      <c r="F584" s="520"/>
      <c r="G584" s="520"/>
      <c r="H584" s="418"/>
      <c r="I584" s="423"/>
      <c r="J584" s="523"/>
      <c r="K584" s="424"/>
      <c r="L584" s="424"/>
      <c r="M584" s="418"/>
      <c r="N584" s="518"/>
      <c r="O584" s="423"/>
      <c r="P584" s="427"/>
      <c r="Q584" s="423"/>
      <c r="R584" s="523"/>
      <c r="S584" s="424"/>
      <c r="T584" s="424"/>
      <c r="U584" s="418"/>
      <c r="V584" s="428"/>
      <c r="W584" s="418"/>
      <c r="X584" s="418"/>
      <c r="Y584" s="524"/>
      <c r="Z584" s="418"/>
      <c r="AA584" s="418"/>
      <c r="AB584" s="429"/>
    </row>
    <row r="585" spans="1:28">
      <c r="A585" s="418"/>
      <c r="B585" s="418"/>
      <c r="C585" s="418"/>
      <c r="D585" s="520"/>
      <c r="E585" s="520"/>
      <c r="F585" s="520"/>
      <c r="G585" s="520"/>
      <c r="H585" s="418"/>
      <c r="I585" s="423"/>
      <c r="J585" s="523"/>
      <c r="K585" s="424"/>
      <c r="L585" s="424"/>
      <c r="M585" s="418"/>
      <c r="N585" s="518"/>
      <c r="O585" s="423"/>
      <c r="P585" s="427"/>
      <c r="Q585" s="423"/>
      <c r="R585" s="523"/>
      <c r="S585" s="424"/>
      <c r="T585" s="424"/>
      <c r="U585" s="418"/>
      <c r="V585" s="428"/>
      <c r="W585" s="418"/>
      <c r="X585" s="418"/>
      <c r="Y585" s="524"/>
      <c r="Z585" s="418"/>
      <c r="AA585" s="418"/>
      <c r="AB585" s="429"/>
    </row>
    <row r="586" spans="1:28">
      <c r="A586" s="418"/>
      <c r="B586" s="418"/>
      <c r="C586" s="418"/>
      <c r="D586" s="520"/>
      <c r="E586" s="520"/>
      <c r="F586" s="520"/>
      <c r="G586" s="520"/>
      <c r="H586" s="418"/>
      <c r="I586" s="423"/>
      <c r="J586" s="523"/>
      <c r="K586" s="424"/>
      <c r="L586" s="424"/>
      <c r="M586" s="418"/>
      <c r="N586" s="518"/>
      <c r="O586" s="423"/>
      <c r="P586" s="427"/>
      <c r="Q586" s="423"/>
      <c r="R586" s="523"/>
      <c r="S586" s="424"/>
      <c r="T586" s="424"/>
      <c r="U586" s="418"/>
      <c r="V586" s="428"/>
      <c r="W586" s="418"/>
      <c r="X586" s="418"/>
      <c r="Y586" s="524"/>
      <c r="Z586" s="418"/>
      <c r="AA586" s="418"/>
      <c r="AB586" s="429"/>
    </row>
    <row r="587" spans="1:28">
      <c r="A587" s="418"/>
      <c r="B587" s="418"/>
      <c r="C587" s="418"/>
      <c r="D587" s="520"/>
      <c r="E587" s="520"/>
      <c r="F587" s="520"/>
      <c r="G587" s="520"/>
      <c r="H587" s="418"/>
      <c r="I587" s="423"/>
      <c r="J587" s="523"/>
      <c r="K587" s="424"/>
      <c r="L587" s="424"/>
      <c r="M587" s="418"/>
      <c r="N587" s="518"/>
      <c r="O587" s="423"/>
      <c r="P587" s="427"/>
      <c r="Q587" s="423"/>
      <c r="R587" s="523"/>
      <c r="S587" s="424"/>
      <c r="T587" s="424"/>
      <c r="U587" s="418"/>
      <c r="V587" s="428"/>
      <c r="W587" s="418"/>
      <c r="X587" s="418"/>
      <c r="Y587" s="524"/>
      <c r="Z587" s="418"/>
      <c r="AA587" s="418"/>
      <c r="AB587" s="429"/>
    </row>
    <row r="588" spans="1:28">
      <c r="A588" s="418"/>
      <c r="B588" s="418"/>
      <c r="C588" s="418"/>
      <c r="D588" s="520"/>
      <c r="E588" s="520"/>
      <c r="F588" s="520"/>
      <c r="G588" s="520"/>
      <c r="H588" s="418"/>
      <c r="I588" s="423"/>
      <c r="J588" s="523"/>
      <c r="K588" s="424"/>
      <c r="L588" s="424"/>
      <c r="M588" s="418"/>
      <c r="N588" s="518"/>
      <c r="O588" s="423"/>
      <c r="P588" s="427"/>
      <c r="Q588" s="423"/>
      <c r="R588" s="523"/>
      <c r="S588" s="424"/>
      <c r="T588" s="424"/>
      <c r="U588" s="418"/>
      <c r="V588" s="428"/>
      <c r="W588" s="418"/>
      <c r="X588" s="418"/>
      <c r="Y588" s="524"/>
      <c r="Z588" s="418"/>
      <c r="AA588" s="418"/>
      <c r="AB588" s="429"/>
    </row>
    <row r="589" spans="1:28">
      <c r="A589" s="418"/>
      <c r="B589" s="418"/>
      <c r="C589" s="418"/>
      <c r="D589" s="520"/>
      <c r="E589" s="520"/>
      <c r="F589" s="520"/>
      <c r="G589" s="520"/>
      <c r="H589" s="418"/>
      <c r="I589" s="423"/>
      <c r="J589" s="523"/>
      <c r="K589" s="424"/>
      <c r="L589" s="424"/>
      <c r="M589" s="418"/>
      <c r="N589" s="518"/>
      <c r="O589" s="423"/>
      <c r="P589" s="427"/>
      <c r="Q589" s="423"/>
      <c r="R589" s="523"/>
      <c r="S589" s="424"/>
      <c r="T589" s="424"/>
      <c r="U589" s="418"/>
      <c r="V589" s="428"/>
      <c r="W589" s="418"/>
      <c r="X589" s="418"/>
      <c r="Y589" s="524"/>
      <c r="Z589" s="418"/>
      <c r="AA589" s="418"/>
      <c r="AB589" s="429"/>
    </row>
    <row r="590" spans="1:28">
      <c r="A590" s="418"/>
      <c r="B590" s="418"/>
      <c r="C590" s="418"/>
      <c r="D590" s="520"/>
      <c r="E590" s="520"/>
      <c r="F590" s="520"/>
      <c r="G590" s="520"/>
      <c r="H590" s="418"/>
      <c r="I590" s="423"/>
      <c r="J590" s="523"/>
      <c r="K590" s="424"/>
      <c r="L590" s="424"/>
      <c r="M590" s="418"/>
      <c r="N590" s="518"/>
      <c r="O590" s="423"/>
      <c r="P590" s="427"/>
      <c r="Q590" s="423"/>
      <c r="R590" s="523"/>
      <c r="S590" s="424"/>
      <c r="T590" s="424"/>
      <c r="U590" s="418"/>
      <c r="V590" s="428"/>
      <c r="W590" s="418"/>
      <c r="X590" s="418"/>
      <c r="Y590" s="524"/>
      <c r="Z590" s="418"/>
      <c r="AA590" s="418"/>
      <c r="AB590" s="429"/>
    </row>
    <row r="591" spans="1:28">
      <c r="A591" s="418"/>
      <c r="B591" s="418"/>
      <c r="C591" s="418"/>
      <c r="D591" s="520"/>
      <c r="E591" s="520"/>
      <c r="F591" s="520"/>
      <c r="G591" s="520"/>
      <c r="H591" s="418"/>
      <c r="I591" s="423"/>
      <c r="J591" s="523"/>
      <c r="K591" s="424"/>
      <c r="L591" s="424"/>
      <c r="M591" s="418"/>
      <c r="N591" s="518"/>
      <c r="O591" s="423"/>
      <c r="P591" s="427"/>
      <c r="Q591" s="423"/>
      <c r="R591" s="523"/>
      <c r="S591" s="424"/>
      <c r="T591" s="424"/>
      <c r="U591" s="418"/>
      <c r="V591" s="428"/>
      <c r="W591" s="418"/>
      <c r="X591" s="418"/>
      <c r="Y591" s="524"/>
      <c r="Z591" s="418"/>
      <c r="AA591" s="418"/>
      <c r="AB591" s="429"/>
    </row>
    <row r="592" spans="1:28">
      <c r="A592" s="418"/>
      <c r="B592" s="418"/>
      <c r="C592" s="418"/>
      <c r="D592" s="520"/>
      <c r="E592" s="520"/>
      <c r="F592" s="520"/>
      <c r="G592" s="520"/>
      <c r="H592" s="418"/>
      <c r="I592" s="423"/>
      <c r="J592" s="523"/>
      <c r="K592" s="424"/>
      <c r="L592" s="424"/>
      <c r="M592" s="418"/>
      <c r="N592" s="518"/>
      <c r="O592" s="423"/>
      <c r="P592" s="427"/>
      <c r="Q592" s="423"/>
      <c r="R592" s="523"/>
      <c r="S592" s="424"/>
      <c r="T592" s="424"/>
      <c r="U592" s="418"/>
      <c r="V592" s="428"/>
      <c r="W592" s="418"/>
      <c r="X592" s="418"/>
      <c r="Y592" s="524"/>
      <c r="Z592" s="418"/>
      <c r="AA592" s="418"/>
      <c r="AB592" s="429"/>
    </row>
    <row r="593" spans="1:28">
      <c r="A593" s="418"/>
      <c r="B593" s="418"/>
      <c r="C593" s="418"/>
      <c r="D593" s="520"/>
      <c r="E593" s="520"/>
      <c r="F593" s="520"/>
      <c r="G593" s="520"/>
      <c r="H593" s="418"/>
      <c r="I593" s="423"/>
      <c r="J593" s="523"/>
      <c r="K593" s="424"/>
      <c r="L593" s="424"/>
      <c r="M593" s="418"/>
      <c r="N593" s="518"/>
      <c r="O593" s="423"/>
      <c r="P593" s="427"/>
      <c r="Q593" s="423"/>
      <c r="R593" s="523"/>
      <c r="S593" s="424"/>
      <c r="T593" s="424"/>
      <c r="U593" s="418"/>
      <c r="V593" s="428"/>
      <c r="W593" s="418"/>
      <c r="X593" s="418"/>
      <c r="Y593" s="524"/>
      <c r="Z593" s="418"/>
      <c r="AA593" s="418"/>
      <c r="AB593" s="429"/>
    </row>
    <row r="594" spans="1:28">
      <c r="A594" s="418"/>
      <c r="B594" s="418"/>
      <c r="C594" s="418"/>
      <c r="D594" s="520"/>
      <c r="E594" s="520"/>
      <c r="F594" s="520"/>
      <c r="G594" s="520"/>
      <c r="H594" s="418"/>
      <c r="I594" s="423"/>
      <c r="J594" s="523"/>
      <c r="K594" s="424"/>
      <c r="L594" s="424"/>
      <c r="M594" s="418"/>
      <c r="N594" s="518"/>
      <c r="O594" s="423"/>
      <c r="P594" s="427"/>
      <c r="Q594" s="423"/>
      <c r="R594" s="523"/>
      <c r="S594" s="424"/>
      <c r="T594" s="424"/>
      <c r="U594" s="418"/>
      <c r="V594" s="428"/>
      <c r="W594" s="418"/>
      <c r="X594" s="418"/>
      <c r="Y594" s="524"/>
      <c r="Z594" s="418"/>
      <c r="AA594" s="418"/>
      <c r="AB594" s="429"/>
    </row>
    <row r="595" spans="1:28">
      <c r="A595" s="418"/>
      <c r="B595" s="418"/>
      <c r="C595" s="418"/>
      <c r="D595" s="520"/>
      <c r="E595" s="520"/>
      <c r="F595" s="520"/>
      <c r="G595" s="520"/>
      <c r="H595" s="418"/>
      <c r="I595" s="423"/>
      <c r="J595" s="523"/>
      <c r="K595" s="424"/>
      <c r="L595" s="424"/>
      <c r="M595" s="418"/>
      <c r="N595" s="518"/>
      <c r="O595" s="423"/>
      <c r="P595" s="427"/>
      <c r="Q595" s="423"/>
      <c r="R595" s="523"/>
      <c r="S595" s="424"/>
      <c r="T595" s="424"/>
      <c r="U595" s="418"/>
      <c r="V595" s="428"/>
      <c r="W595" s="418"/>
      <c r="X595" s="418"/>
      <c r="Y595" s="524"/>
      <c r="Z595" s="418"/>
      <c r="AA595" s="418"/>
      <c r="AB595" s="429"/>
    </row>
    <row r="596" spans="1:28">
      <c r="A596" s="418"/>
      <c r="B596" s="418"/>
      <c r="C596" s="418"/>
      <c r="D596" s="520"/>
      <c r="E596" s="520"/>
      <c r="F596" s="520"/>
      <c r="G596" s="520"/>
      <c r="H596" s="418"/>
      <c r="I596" s="423"/>
      <c r="J596" s="523"/>
      <c r="K596" s="424"/>
      <c r="L596" s="424"/>
      <c r="M596" s="418"/>
      <c r="N596" s="518"/>
      <c r="O596" s="423"/>
      <c r="P596" s="427"/>
      <c r="Q596" s="423"/>
      <c r="R596" s="523"/>
      <c r="S596" s="424"/>
      <c r="T596" s="424"/>
      <c r="U596" s="418"/>
      <c r="V596" s="428"/>
      <c r="W596" s="418"/>
      <c r="X596" s="418"/>
      <c r="Y596" s="524"/>
      <c r="Z596" s="418"/>
      <c r="AA596" s="418"/>
      <c r="AB596" s="429"/>
    </row>
    <row r="597" spans="1:28">
      <c r="A597" s="418"/>
      <c r="B597" s="418"/>
      <c r="C597" s="418"/>
      <c r="D597" s="520"/>
      <c r="E597" s="520"/>
      <c r="F597" s="520"/>
      <c r="G597" s="520"/>
      <c r="H597" s="418"/>
      <c r="I597" s="423"/>
      <c r="J597" s="523"/>
      <c r="K597" s="424"/>
      <c r="L597" s="424"/>
      <c r="M597" s="418"/>
      <c r="N597" s="518"/>
      <c r="O597" s="423"/>
      <c r="P597" s="427"/>
      <c r="Q597" s="423"/>
      <c r="R597" s="523"/>
      <c r="S597" s="424"/>
      <c r="T597" s="424"/>
      <c r="U597" s="418"/>
      <c r="V597" s="428"/>
      <c r="W597" s="418"/>
      <c r="X597" s="418"/>
      <c r="Y597" s="524"/>
      <c r="Z597" s="418"/>
      <c r="AA597" s="418"/>
      <c r="AB597" s="429"/>
    </row>
    <row r="598" spans="1:28">
      <c r="A598" s="418"/>
      <c r="B598" s="418"/>
      <c r="C598" s="418"/>
      <c r="D598" s="520"/>
      <c r="E598" s="520"/>
      <c r="F598" s="520"/>
      <c r="G598" s="520"/>
      <c r="H598" s="418"/>
      <c r="I598" s="423"/>
      <c r="J598" s="523"/>
      <c r="K598" s="424"/>
      <c r="L598" s="424"/>
      <c r="M598" s="418"/>
      <c r="N598" s="518"/>
      <c r="O598" s="423"/>
      <c r="P598" s="427"/>
      <c r="Q598" s="423"/>
      <c r="R598" s="523"/>
      <c r="S598" s="424"/>
      <c r="T598" s="424"/>
      <c r="U598" s="418"/>
      <c r="V598" s="428"/>
      <c r="W598" s="418"/>
      <c r="X598" s="418"/>
      <c r="Y598" s="524"/>
      <c r="Z598" s="418"/>
      <c r="AA598" s="418"/>
      <c r="AB598" s="429"/>
    </row>
    <row r="599" spans="1:28">
      <c r="A599" s="418"/>
      <c r="B599" s="418"/>
      <c r="C599" s="418"/>
      <c r="D599" s="520"/>
      <c r="E599" s="520"/>
      <c r="F599" s="520"/>
      <c r="G599" s="520"/>
      <c r="H599" s="418"/>
      <c r="I599" s="423"/>
      <c r="J599" s="523"/>
      <c r="K599" s="424"/>
      <c r="L599" s="424"/>
      <c r="M599" s="418"/>
      <c r="N599" s="518"/>
      <c r="O599" s="423"/>
      <c r="P599" s="427"/>
      <c r="Q599" s="423"/>
      <c r="R599" s="523"/>
      <c r="S599" s="424"/>
      <c r="T599" s="424"/>
      <c r="U599" s="418"/>
      <c r="V599" s="428"/>
      <c r="W599" s="418"/>
      <c r="X599" s="418"/>
      <c r="Y599" s="524"/>
      <c r="Z599" s="418"/>
      <c r="AA599" s="418"/>
      <c r="AB599" s="429"/>
    </row>
    <row r="600" spans="1:28">
      <c r="A600" s="418"/>
      <c r="B600" s="418"/>
      <c r="C600" s="418"/>
      <c r="D600" s="520"/>
      <c r="E600" s="520"/>
      <c r="F600" s="520"/>
      <c r="G600" s="520"/>
      <c r="H600" s="418"/>
      <c r="I600" s="423"/>
      <c r="J600" s="523"/>
      <c r="K600" s="424"/>
      <c r="L600" s="424"/>
      <c r="M600" s="418"/>
      <c r="N600" s="518"/>
      <c r="O600" s="423"/>
      <c r="P600" s="427"/>
      <c r="Q600" s="423"/>
      <c r="R600" s="523"/>
      <c r="S600" s="424"/>
      <c r="T600" s="424"/>
      <c r="U600" s="418"/>
      <c r="V600" s="428"/>
      <c r="W600" s="418"/>
      <c r="X600" s="418"/>
      <c r="Y600" s="524"/>
      <c r="Z600" s="418"/>
      <c r="AA600" s="418"/>
      <c r="AB600" s="429"/>
    </row>
    <row r="601" spans="1:28">
      <c r="A601" s="418"/>
      <c r="B601" s="418"/>
      <c r="C601" s="418"/>
      <c r="D601" s="520"/>
      <c r="E601" s="520"/>
      <c r="F601" s="520"/>
      <c r="G601" s="520"/>
      <c r="H601" s="418"/>
      <c r="I601" s="423"/>
      <c r="J601" s="523"/>
      <c r="K601" s="424"/>
      <c r="L601" s="424"/>
      <c r="M601" s="418"/>
      <c r="N601" s="518"/>
      <c r="O601" s="423"/>
      <c r="P601" s="427"/>
      <c r="Q601" s="423"/>
      <c r="R601" s="523"/>
      <c r="S601" s="424"/>
      <c r="T601" s="424"/>
      <c r="U601" s="418"/>
      <c r="V601" s="428"/>
      <c r="W601" s="418"/>
      <c r="X601" s="418"/>
      <c r="Y601" s="524"/>
      <c r="Z601" s="418"/>
      <c r="AA601" s="418"/>
      <c r="AB601" s="429"/>
    </row>
    <row r="602" spans="1:28">
      <c r="A602" s="418"/>
      <c r="B602" s="418"/>
      <c r="C602" s="418"/>
      <c r="D602" s="520"/>
      <c r="E602" s="520"/>
      <c r="F602" s="520"/>
      <c r="G602" s="520"/>
      <c r="H602" s="418"/>
      <c r="I602" s="423"/>
      <c r="J602" s="523"/>
      <c r="K602" s="424"/>
      <c r="L602" s="424"/>
      <c r="M602" s="418"/>
      <c r="N602" s="518"/>
      <c r="O602" s="423"/>
      <c r="P602" s="427"/>
      <c r="Q602" s="423"/>
      <c r="R602" s="523"/>
      <c r="S602" s="424"/>
      <c r="T602" s="424"/>
      <c r="U602" s="418"/>
      <c r="V602" s="428"/>
      <c r="W602" s="418"/>
      <c r="X602" s="418"/>
      <c r="Y602" s="524"/>
      <c r="Z602" s="418"/>
      <c r="AA602" s="418"/>
      <c r="AB602" s="429"/>
    </row>
    <row r="603" spans="1:28">
      <c r="A603" s="418"/>
      <c r="B603" s="418"/>
      <c r="C603" s="418"/>
      <c r="D603" s="520"/>
      <c r="E603" s="520"/>
      <c r="F603" s="520"/>
      <c r="G603" s="520"/>
      <c r="H603" s="418"/>
      <c r="I603" s="423"/>
      <c r="J603" s="523"/>
      <c r="K603" s="424"/>
      <c r="L603" s="424"/>
      <c r="M603" s="418"/>
      <c r="N603" s="518"/>
      <c r="O603" s="423"/>
      <c r="P603" s="427"/>
      <c r="Q603" s="423"/>
      <c r="R603" s="523"/>
      <c r="S603" s="424"/>
      <c r="T603" s="424"/>
      <c r="U603" s="418"/>
      <c r="V603" s="428"/>
      <c r="W603" s="418"/>
      <c r="X603" s="418"/>
      <c r="Y603" s="524"/>
      <c r="Z603" s="418"/>
      <c r="AA603" s="418"/>
      <c r="AB603" s="429"/>
    </row>
    <row r="604" spans="1:28">
      <c r="A604" s="418"/>
      <c r="B604" s="418"/>
      <c r="C604" s="418"/>
      <c r="D604" s="520"/>
      <c r="E604" s="520"/>
      <c r="F604" s="520"/>
      <c r="G604" s="520"/>
      <c r="H604" s="418"/>
      <c r="I604" s="423"/>
      <c r="J604" s="523"/>
      <c r="K604" s="424"/>
      <c r="L604" s="424"/>
      <c r="M604" s="418"/>
      <c r="N604" s="518"/>
      <c r="O604" s="423"/>
      <c r="P604" s="427"/>
      <c r="Q604" s="423"/>
      <c r="R604" s="523"/>
      <c r="S604" s="424"/>
      <c r="T604" s="424"/>
      <c r="U604" s="418"/>
      <c r="V604" s="428"/>
      <c r="W604" s="418"/>
      <c r="X604" s="418"/>
      <c r="Y604" s="524"/>
      <c r="Z604" s="418"/>
      <c r="AA604" s="418"/>
      <c r="AB604" s="429"/>
    </row>
    <row r="605" spans="1:28">
      <c r="A605" s="418"/>
      <c r="B605" s="418"/>
      <c r="C605" s="418"/>
      <c r="D605" s="520"/>
      <c r="E605" s="520"/>
      <c r="F605" s="520"/>
      <c r="G605" s="520"/>
      <c r="H605" s="418"/>
      <c r="I605" s="423"/>
      <c r="J605" s="523"/>
      <c r="K605" s="424"/>
      <c r="L605" s="424"/>
      <c r="M605" s="418"/>
      <c r="N605" s="518"/>
      <c r="O605" s="423"/>
      <c r="P605" s="427"/>
      <c r="Q605" s="423"/>
      <c r="R605" s="523"/>
      <c r="S605" s="424"/>
      <c r="T605" s="424"/>
      <c r="U605" s="418"/>
      <c r="V605" s="428"/>
      <c r="W605" s="418"/>
      <c r="X605" s="418"/>
      <c r="Y605" s="524"/>
      <c r="Z605" s="418"/>
      <c r="AA605" s="418"/>
      <c r="AB605" s="429"/>
    </row>
    <row r="606" spans="1:28">
      <c r="A606" s="418"/>
      <c r="B606" s="418"/>
      <c r="C606" s="418"/>
      <c r="D606" s="520"/>
      <c r="E606" s="520"/>
      <c r="F606" s="520"/>
      <c r="G606" s="520"/>
      <c r="H606" s="418"/>
      <c r="I606" s="423"/>
      <c r="J606" s="523"/>
      <c r="K606" s="424"/>
      <c r="L606" s="424"/>
      <c r="M606" s="418"/>
      <c r="N606" s="518"/>
      <c r="O606" s="423"/>
      <c r="P606" s="427"/>
      <c r="Q606" s="423"/>
      <c r="R606" s="523"/>
      <c r="S606" s="424"/>
      <c r="T606" s="424"/>
      <c r="U606" s="418"/>
      <c r="V606" s="428"/>
      <c r="W606" s="418"/>
      <c r="X606" s="418"/>
      <c r="Y606" s="524"/>
      <c r="Z606" s="418"/>
      <c r="AA606" s="418"/>
      <c r="AB606" s="429"/>
    </row>
    <row r="607" spans="1:28">
      <c r="A607" s="418"/>
      <c r="B607" s="418"/>
      <c r="C607" s="418"/>
      <c r="D607" s="520"/>
      <c r="E607" s="520"/>
      <c r="F607" s="520"/>
      <c r="G607" s="520"/>
      <c r="H607" s="418"/>
      <c r="I607" s="423"/>
      <c r="J607" s="523"/>
      <c r="K607" s="424"/>
      <c r="L607" s="424"/>
      <c r="M607" s="418"/>
      <c r="N607" s="518"/>
      <c r="O607" s="423"/>
      <c r="P607" s="427"/>
      <c r="Q607" s="423"/>
      <c r="R607" s="523"/>
      <c r="S607" s="424"/>
      <c r="T607" s="424"/>
      <c r="U607" s="418"/>
      <c r="V607" s="428"/>
      <c r="W607" s="418"/>
      <c r="X607" s="418"/>
      <c r="Y607" s="524"/>
      <c r="Z607" s="418"/>
      <c r="AA607" s="418"/>
      <c r="AB607" s="429"/>
    </row>
    <row r="608" spans="1:28">
      <c r="A608" s="418"/>
      <c r="B608" s="418"/>
      <c r="C608" s="418"/>
      <c r="D608" s="520"/>
      <c r="E608" s="520"/>
      <c r="F608" s="520"/>
      <c r="G608" s="520"/>
      <c r="H608" s="418"/>
      <c r="I608" s="423"/>
      <c r="J608" s="523"/>
      <c r="K608" s="424"/>
      <c r="L608" s="424"/>
      <c r="M608" s="418"/>
      <c r="N608" s="518"/>
      <c r="O608" s="423"/>
      <c r="P608" s="427"/>
      <c r="Q608" s="423"/>
      <c r="R608" s="523"/>
      <c r="S608" s="424"/>
      <c r="T608" s="424"/>
      <c r="U608" s="418"/>
      <c r="V608" s="428"/>
      <c r="W608" s="418"/>
      <c r="X608" s="418"/>
      <c r="Y608" s="524"/>
      <c r="Z608" s="418"/>
      <c r="AA608" s="418"/>
      <c r="AB608" s="429"/>
    </row>
    <row r="609" spans="1:28">
      <c r="A609" s="418"/>
      <c r="B609" s="418"/>
      <c r="C609" s="418"/>
      <c r="D609" s="520"/>
      <c r="E609" s="520"/>
      <c r="F609" s="520"/>
      <c r="G609" s="520"/>
      <c r="H609" s="418"/>
      <c r="I609" s="423"/>
      <c r="J609" s="523"/>
      <c r="K609" s="424"/>
      <c r="L609" s="424"/>
      <c r="M609" s="418"/>
      <c r="N609" s="518"/>
      <c r="O609" s="423"/>
      <c r="P609" s="427"/>
      <c r="Q609" s="423"/>
      <c r="R609" s="523"/>
      <c r="S609" s="424"/>
      <c r="T609" s="424"/>
      <c r="U609" s="418"/>
      <c r="V609" s="428"/>
      <c r="W609" s="418"/>
      <c r="X609" s="418"/>
      <c r="Y609" s="524"/>
      <c r="Z609" s="418"/>
      <c r="AA609" s="418"/>
      <c r="AB609" s="429"/>
    </row>
    <row r="610" spans="1:28">
      <c r="A610" s="418"/>
      <c r="B610" s="418"/>
      <c r="C610" s="418"/>
      <c r="D610" s="520"/>
      <c r="E610" s="520"/>
      <c r="F610" s="520"/>
      <c r="G610" s="520"/>
      <c r="H610" s="418"/>
      <c r="I610" s="423"/>
      <c r="J610" s="523"/>
      <c r="K610" s="424"/>
      <c r="L610" s="424"/>
      <c r="M610" s="418"/>
      <c r="N610" s="518"/>
      <c r="O610" s="423"/>
      <c r="P610" s="427"/>
      <c r="Q610" s="423"/>
      <c r="R610" s="523"/>
      <c r="S610" s="424"/>
      <c r="T610" s="424"/>
      <c r="U610" s="418"/>
      <c r="V610" s="428"/>
      <c r="W610" s="418"/>
      <c r="X610" s="418"/>
      <c r="Y610" s="524"/>
      <c r="Z610" s="418"/>
      <c r="AA610" s="418"/>
      <c r="AB610" s="429"/>
    </row>
    <row r="611" spans="1:28">
      <c r="A611" s="418"/>
      <c r="B611" s="418"/>
      <c r="C611" s="418"/>
      <c r="D611" s="520"/>
      <c r="E611" s="520"/>
      <c r="F611" s="520"/>
      <c r="G611" s="520"/>
      <c r="H611" s="418"/>
      <c r="I611" s="423"/>
      <c r="J611" s="523"/>
      <c r="K611" s="424"/>
      <c r="L611" s="424"/>
      <c r="M611" s="418"/>
      <c r="N611" s="518"/>
      <c r="O611" s="423"/>
      <c r="P611" s="427"/>
      <c r="Q611" s="423"/>
      <c r="R611" s="523"/>
      <c r="S611" s="424"/>
      <c r="T611" s="424"/>
      <c r="U611" s="418"/>
      <c r="V611" s="428"/>
      <c r="W611" s="418"/>
      <c r="X611" s="418"/>
      <c r="Y611" s="524"/>
      <c r="Z611" s="418"/>
      <c r="AA611" s="418"/>
      <c r="AB611" s="429"/>
    </row>
    <row r="612" spans="1:28">
      <c r="A612" s="418"/>
      <c r="B612" s="418"/>
      <c r="C612" s="418"/>
      <c r="D612" s="520"/>
      <c r="E612" s="520"/>
      <c r="F612" s="520"/>
      <c r="G612" s="520"/>
      <c r="H612" s="418"/>
      <c r="I612" s="423"/>
      <c r="J612" s="523"/>
      <c r="K612" s="424"/>
      <c r="L612" s="424"/>
      <c r="M612" s="418"/>
      <c r="N612" s="518"/>
      <c r="O612" s="423"/>
      <c r="P612" s="427"/>
      <c r="Q612" s="423"/>
      <c r="R612" s="523"/>
      <c r="S612" s="424"/>
      <c r="T612" s="424"/>
      <c r="U612" s="418"/>
      <c r="V612" s="428"/>
      <c r="W612" s="418"/>
      <c r="X612" s="418"/>
      <c r="Y612" s="524"/>
      <c r="Z612" s="418"/>
      <c r="AA612" s="418"/>
      <c r="AB612" s="429"/>
    </row>
    <row r="613" spans="1:28">
      <c r="A613" s="418"/>
      <c r="B613" s="418"/>
      <c r="C613" s="418"/>
      <c r="D613" s="520"/>
      <c r="E613" s="520"/>
      <c r="F613" s="520"/>
      <c r="G613" s="520"/>
      <c r="H613" s="418"/>
      <c r="I613" s="423"/>
      <c r="J613" s="523"/>
      <c r="K613" s="424"/>
      <c r="L613" s="424"/>
      <c r="M613" s="418"/>
      <c r="N613" s="518"/>
      <c r="O613" s="423"/>
      <c r="P613" s="427"/>
      <c r="Q613" s="423"/>
      <c r="R613" s="523"/>
      <c r="S613" s="424"/>
      <c r="T613" s="424"/>
      <c r="U613" s="418"/>
      <c r="V613" s="428"/>
      <c r="W613" s="418"/>
      <c r="X613" s="418"/>
      <c r="Y613" s="524"/>
      <c r="Z613" s="418"/>
      <c r="AA613" s="418"/>
      <c r="AB613" s="429"/>
    </row>
    <row r="614" spans="1:28">
      <c r="A614" s="418"/>
      <c r="B614" s="418"/>
      <c r="C614" s="418"/>
      <c r="D614" s="520"/>
      <c r="E614" s="520"/>
      <c r="F614" s="520"/>
      <c r="G614" s="520"/>
      <c r="H614" s="418"/>
      <c r="I614" s="423"/>
      <c r="J614" s="523"/>
      <c r="K614" s="424"/>
      <c r="L614" s="424"/>
      <c r="M614" s="418"/>
      <c r="N614" s="518"/>
      <c r="O614" s="423"/>
      <c r="P614" s="427"/>
      <c r="Q614" s="423"/>
      <c r="R614" s="523"/>
      <c r="S614" s="424"/>
      <c r="T614" s="424"/>
      <c r="U614" s="418"/>
      <c r="V614" s="428"/>
      <c r="W614" s="418"/>
      <c r="X614" s="418"/>
      <c r="Y614" s="524"/>
      <c r="Z614" s="418"/>
      <c r="AA614" s="418"/>
      <c r="AB614" s="429"/>
    </row>
    <row r="615" spans="1:28">
      <c r="A615" s="418"/>
      <c r="B615" s="418"/>
      <c r="C615" s="418"/>
      <c r="D615" s="520"/>
      <c r="E615" s="520"/>
      <c r="F615" s="520"/>
      <c r="G615" s="520"/>
      <c r="H615" s="418"/>
      <c r="I615" s="423"/>
      <c r="J615" s="523"/>
      <c r="K615" s="424"/>
      <c r="L615" s="424"/>
      <c r="M615" s="418"/>
      <c r="N615" s="518"/>
      <c r="O615" s="423"/>
      <c r="P615" s="427"/>
      <c r="Q615" s="423"/>
      <c r="R615" s="523"/>
      <c r="S615" s="424"/>
      <c r="T615" s="424"/>
      <c r="U615" s="418"/>
      <c r="V615" s="428"/>
      <c r="W615" s="418"/>
      <c r="X615" s="418"/>
      <c r="Y615" s="524"/>
      <c r="Z615" s="418"/>
      <c r="AA615" s="418"/>
      <c r="AB615" s="429"/>
    </row>
    <row r="616" spans="1:28">
      <c r="A616" s="418"/>
      <c r="B616" s="418"/>
      <c r="C616" s="418"/>
      <c r="D616" s="520"/>
      <c r="E616" s="520"/>
      <c r="F616" s="520"/>
      <c r="G616" s="520"/>
      <c r="H616" s="418"/>
      <c r="I616" s="423"/>
      <c r="J616" s="523"/>
      <c r="K616" s="424"/>
      <c r="L616" s="424"/>
      <c r="M616" s="418"/>
      <c r="N616" s="518"/>
      <c r="O616" s="423"/>
      <c r="P616" s="427"/>
      <c r="Q616" s="423"/>
      <c r="R616" s="523"/>
      <c r="S616" s="424"/>
      <c r="T616" s="424"/>
      <c r="U616" s="418"/>
      <c r="V616" s="428"/>
      <c r="W616" s="418"/>
      <c r="X616" s="418"/>
      <c r="Y616" s="524"/>
      <c r="Z616" s="418"/>
      <c r="AA616" s="418"/>
      <c r="AB616" s="429"/>
    </row>
    <row r="617" spans="1:28">
      <c r="A617" s="418"/>
      <c r="B617" s="418"/>
      <c r="C617" s="418"/>
      <c r="D617" s="520"/>
      <c r="E617" s="520"/>
      <c r="F617" s="520"/>
      <c r="G617" s="520"/>
      <c r="H617" s="418"/>
      <c r="I617" s="423"/>
      <c r="J617" s="523"/>
      <c r="K617" s="424"/>
      <c r="L617" s="424"/>
      <c r="M617" s="418"/>
      <c r="N617" s="518"/>
      <c r="O617" s="423"/>
      <c r="P617" s="427"/>
      <c r="Q617" s="423"/>
      <c r="R617" s="523"/>
      <c r="S617" s="424"/>
      <c r="T617" s="424"/>
      <c r="U617" s="418"/>
      <c r="V617" s="428"/>
      <c r="W617" s="418"/>
      <c r="X617" s="418"/>
      <c r="Y617" s="524"/>
      <c r="Z617" s="418"/>
      <c r="AA617" s="418"/>
      <c r="AB617" s="429"/>
    </row>
    <row r="618" spans="1:28">
      <c r="A618" s="418"/>
      <c r="B618" s="418"/>
      <c r="C618" s="418"/>
      <c r="D618" s="520"/>
      <c r="E618" s="520"/>
      <c r="F618" s="520"/>
      <c r="G618" s="520"/>
      <c r="H618" s="418"/>
      <c r="I618" s="423"/>
      <c r="J618" s="523"/>
      <c r="K618" s="424"/>
      <c r="L618" s="424"/>
      <c r="M618" s="418"/>
      <c r="N618" s="518"/>
      <c r="O618" s="423"/>
      <c r="P618" s="427"/>
      <c r="Q618" s="423"/>
      <c r="R618" s="523"/>
      <c r="S618" s="424"/>
      <c r="T618" s="424"/>
      <c r="U618" s="418"/>
      <c r="V618" s="428"/>
      <c r="W618" s="418"/>
      <c r="X618" s="418"/>
      <c r="Y618" s="524"/>
      <c r="Z618" s="418"/>
      <c r="AA618" s="418"/>
      <c r="AB618" s="429"/>
    </row>
    <row r="619" spans="1:28">
      <c r="A619" s="418"/>
      <c r="B619" s="418"/>
      <c r="C619" s="418"/>
      <c r="D619" s="520"/>
      <c r="E619" s="520"/>
      <c r="F619" s="520"/>
      <c r="G619" s="520"/>
      <c r="H619" s="418"/>
      <c r="I619" s="423"/>
      <c r="J619" s="523"/>
      <c r="K619" s="424"/>
      <c r="L619" s="424"/>
      <c r="M619" s="418"/>
      <c r="N619" s="518"/>
      <c r="O619" s="423"/>
      <c r="P619" s="427"/>
      <c r="Q619" s="423"/>
      <c r="R619" s="523"/>
      <c r="S619" s="424"/>
      <c r="T619" s="424"/>
      <c r="U619" s="418"/>
      <c r="V619" s="428"/>
      <c r="W619" s="418"/>
      <c r="X619" s="418"/>
      <c r="Y619" s="524"/>
      <c r="Z619" s="418"/>
      <c r="AA619" s="418"/>
      <c r="AB619" s="429"/>
    </row>
    <row r="620" spans="1:28">
      <c r="A620" s="418"/>
      <c r="B620" s="418"/>
      <c r="C620" s="418"/>
      <c r="D620" s="520"/>
      <c r="E620" s="520"/>
      <c r="F620" s="520"/>
      <c r="G620" s="520"/>
      <c r="H620" s="418"/>
      <c r="I620" s="423"/>
      <c r="J620" s="523"/>
      <c r="K620" s="424"/>
      <c r="L620" s="424"/>
      <c r="M620" s="418"/>
      <c r="N620" s="518"/>
      <c r="O620" s="423"/>
      <c r="P620" s="427"/>
      <c r="Q620" s="423"/>
      <c r="R620" s="523"/>
      <c r="S620" s="424"/>
      <c r="T620" s="424"/>
      <c r="U620" s="418"/>
      <c r="V620" s="428"/>
      <c r="W620" s="418"/>
      <c r="X620" s="418"/>
      <c r="Y620" s="524"/>
      <c r="Z620" s="418"/>
      <c r="AA620" s="418"/>
      <c r="AB620" s="429"/>
    </row>
    <row r="621" spans="1:28">
      <c r="A621" s="418"/>
      <c r="B621" s="418"/>
      <c r="C621" s="418"/>
      <c r="D621" s="520"/>
      <c r="E621" s="520"/>
      <c r="F621" s="520"/>
      <c r="G621" s="520"/>
      <c r="H621" s="418"/>
      <c r="I621" s="423"/>
      <c r="J621" s="523"/>
      <c r="K621" s="424"/>
      <c r="L621" s="424"/>
      <c r="M621" s="418"/>
      <c r="N621" s="518"/>
      <c r="O621" s="423"/>
      <c r="P621" s="427"/>
      <c r="Q621" s="423"/>
      <c r="R621" s="523"/>
      <c r="S621" s="424"/>
      <c r="T621" s="424"/>
      <c r="U621" s="418"/>
      <c r="V621" s="428"/>
      <c r="W621" s="418"/>
      <c r="X621" s="418"/>
      <c r="Y621" s="524"/>
      <c r="Z621" s="418"/>
      <c r="AA621" s="418"/>
      <c r="AB621" s="429"/>
    </row>
    <row r="622" spans="1:28">
      <c r="A622" s="418"/>
      <c r="B622" s="418"/>
      <c r="C622" s="418"/>
      <c r="D622" s="520"/>
      <c r="E622" s="520"/>
      <c r="F622" s="520"/>
      <c r="G622" s="520"/>
      <c r="H622" s="418"/>
      <c r="I622" s="423"/>
      <c r="J622" s="523"/>
      <c r="K622" s="424"/>
      <c r="L622" s="424"/>
      <c r="M622" s="418"/>
      <c r="N622" s="518"/>
      <c r="O622" s="423"/>
      <c r="P622" s="427"/>
      <c r="Q622" s="423"/>
      <c r="R622" s="523"/>
      <c r="S622" s="424"/>
      <c r="T622" s="424"/>
      <c r="U622" s="418"/>
      <c r="V622" s="428"/>
      <c r="W622" s="418"/>
      <c r="X622" s="418"/>
      <c r="Y622" s="524"/>
      <c r="Z622" s="418"/>
      <c r="AA622" s="418"/>
      <c r="AB622" s="429"/>
    </row>
    <row r="623" spans="1:28">
      <c r="A623" s="418"/>
      <c r="B623" s="418"/>
      <c r="C623" s="418"/>
      <c r="D623" s="520"/>
      <c r="E623" s="520"/>
      <c r="F623" s="520"/>
      <c r="G623" s="520"/>
      <c r="H623" s="418"/>
      <c r="I623" s="423"/>
      <c r="J623" s="523"/>
      <c r="K623" s="424"/>
      <c r="L623" s="424"/>
      <c r="M623" s="418"/>
      <c r="N623" s="518"/>
      <c r="O623" s="423"/>
      <c r="P623" s="427"/>
      <c r="Q623" s="423"/>
      <c r="R623" s="523"/>
      <c r="S623" s="424"/>
      <c r="T623" s="424"/>
      <c r="U623" s="418"/>
      <c r="V623" s="428"/>
      <c r="W623" s="418"/>
      <c r="X623" s="418"/>
      <c r="Y623" s="524"/>
      <c r="Z623" s="418"/>
      <c r="AA623" s="418"/>
      <c r="AB623" s="429"/>
    </row>
    <row r="624" spans="1:28">
      <c r="A624" s="418"/>
      <c r="B624" s="418"/>
      <c r="C624" s="418"/>
      <c r="D624" s="520"/>
      <c r="E624" s="520"/>
      <c r="F624" s="520"/>
      <c r="G624" s="520"/>
      <c r="H624" s="418"/>
      <c r="I624" s="423"/>
      <c r="J624" s="523"/>
      <c r="K624" s="424"/>
      <c r="L624" s="424"/>
      <c r="M624" s="418"/>
      <c r="N624" s="518"/>
      <c r="O624" s="423"/>
      <c r="P624" s="427"/>
      <c r="Q624" s="423"/>
      <c r="R624" s="523"/>
      <c r="S624" s="424"/>
      <c r="T624" s="424"/>
      <c r="U624" s="418"/>
      <c r="V624" s="428"/>
      <c r="W624" s="418"/>
      <c r="X624" s="418"/>
      <c r="Y624" s="524"/>
      <c r="Z624" s="418"/>
      <c r="AA624" s="418"/>
      <c r="AB624" s="429"/>
    </row>
    <row r="625" spans="1:28">
      <c r="A625" s="418"/>
      <c r="B625" s="418"/>
      <c r="C625" s="418"/>
      <c r="D625" s="520"/>
      <c r="E625" s="520"/>
      <c r="F625" s="520"/>
      <c r="G625" s="520"/>
      <c r="H625" s="418"/>
      <c r="I625" s="423"/>
      <c r="J625" s="523"/>
      <c r="K625" s="424"/>
      <c r="L625" s="424"/>
      <c r="M625" s="418"/>
      <c r="N625" s="518"/>
      <c r="O625" s="423"/>
      <c r="P625" s="427"/>
      <c r="Q625" s="423"/>
      <c r="R625" s="523"/>
      <c r="S625" s="424"/>
      <c r="T625" s="424"/>
      <c r="U625" s="418"/>
      <c r="V625" s="428"/>
      <c r="W625" s="418"/>
      <c r="X625" s="418"/>
      <c r="Y625" s="524"/>
      <c r="Z625" s="418"/>
      <c r="AA625" s="418"/>
      <c r="AB625" s="429"/>
    </row>
    <row r="626" spans="1:28">
      <c r="A626" s="418"/>
      <c r="B626" s="418"/>
      <c r="C626" s="418"/>
      <c r="D626" s="520"/>
      <c r="E626" s="520"/>
      <c r="F626" s="520"/>
      <c r="G626" s="520"/>
      <c r="H626" s="418"/>
      <c r="I626" s="423"/>
      <c r="J626" s="523"/>
      <c r="K626" s="424"/>
      <c r="L626" s="424"/>
      <c r="M626" s="418"/>
      <c r="N626" s="518"/>
      <c r="O626" s="423"/>
      <c r="P626" s="427"/>
      <c r="Q626" s="423"/>
      <c r="R626" s="523"/>
      <c r="S626" s="424"/>
      <c r="T626" s="424"/>
      <c r="U626" s="418"/>
      <c r="V626" s="428"/>
      <c r="W626" s="418"/>
      <c r="X626" s="418"/>
      <c r="Y626" s="524"/>
      <c r="Z626" s="418"/>
      <c r="AA626" s="418"/>
      <c r="AB626" s="429"/>
    </row>
    <row r="627" spans="1:28">
      <c r="A627" s="418"/>
      <c r="B627" s="418"/>
      <c r="C627" s="418"/>
      <c r="D627" s="520"/>
      <c r="E627" s="520"/>
      <c r="F627" s="520"/>
      <c r="G627" s="520"/>
      <c r="H627" s="418"/>
      <c r="I627" s="423"/>
      <c r="J627" s="523"/>
      <c r="K627" s="424"/>
      <c r="L627" s="424"/>
      <c r="M627" s="418"/>
      <c r="N627" s="518"/>
      <c r="O627" s="423"/>
      <c r="P627" s="427"/>
      <c r="Q627" s="423"/>
      <c r="R627" s="523"/>
      <c r="S627" s="424"/>
      <c r="T627" s="424"/>
      <c r="U627" s="418"/>
      <c r="V627" s="428"/>
      <c r="W627" s="418"/>
      <c r="X627" s="418"/>
      <c r="Y627" s="524"/>
      <c r="Z627" s="418"/>
      <c r="AA627" s="418"/>
      <c r="AB627" s="429"/>
    </row>
    <row r="628" spans="1:28">
      <c r="A628" s="418"/>
      <c r="B628" s="418"/>
      <c r="C628" s="418"/>
      <c r="D628" s="520"/>
      <c r="E628" s="520"/>
      <c r="F628" s="520"/>
      <c r="G628" s="520"/>
      <c r="H628" s="418"/>
      <c r="I628" s="423"/>
      <c r="J628" s="523"/>
      <c r="K628" s="424"/>
      <c r="L628" s="424"/>
      <c r="M628" s="418"/>
      <c r="N628" s="518"/>
      <c r="O628" s="423"/>
      <c r="P628" s="427"/>
      <c r="Q628" s="423"/>
      <c r="R628" s="523"/>
      <c r="S628" s="424"/>
      <c r="T628" s="424"/>
      <c r="U628" s="418"/>
      <c r="V628" s="428"/>
      <c r="W628" s="418"/>
      <c r="X628" s="418"/>
      <c r="Y628" s="524"/>
      <c r="Z628" s="418"/>
      <c r="AA628" s="418"/>
      <c r="AB628" s="429"/>
    </row>
    <row r="629" spans="1:28">
      <c r="A629" s="418"/>
      <c r="B629" s="418"/>
      <c r="C629" s="418"/>
      <c r="D629" s="520"/>
      <c r="E629" s="520"/>
      <c r="F629" s="520"/>
      <c r="G629" s="520"/>
      <c r="H629" s="418"/>
      <c r="I629" s="423"/>
      <c r="J629" s="523"/>
      <c r="K629" s="424"/>
      <c r="L629" s="424"/>
      <c r="M629" s="418"/>
      <c r="N629" s="518"/>
      <c r="O629" s="423"/>
      <c r="P629" s="427"/>
      <c r="Q629" s="423"/>
      <c r="R629" s="523"/>
      <c r="S629" s="424"/>
      <c r="T629" s="424"/>
      <c r="U629" s="418"/>
      <c r="V629" s="428"/>
      <c r="W629" s="418"/>
      <c r="X629" s="418"/>
      <c r="Y629" s="524"/>
      <c r="Z629" s="418"/>
      <c r="AA629" s="418"/>
      <c r="AB629" s="429"/>
    </row>
    <row r="630" spans="1:28">
      <c r="A630" s="418"/>
      <c r="B630" s="418"/>
      <c r="C630" s="418"/>
      <c r="D630" s="520"/>
      <c r="E630" s="520"/>
      <c r="F630" s="520"/>
      <c r="G630" s="520"/>
      <c r="H630" s="418"/>
      <c r="I630" s="423"/>
      <c r="J630" s="523"/>
      <c r="K630" s="424"/>
      <c r="L630" s="424"/>
      <c r="M630" s="418"/>
      <c r="N630" s="518"/>
      <c r="O630" s="423"/>
      <c r="P630" s="427"/>
      <c r="Q630" s="423"/>
      <c r="R630" s="523"/>
      <c r="S630" s="424"/>
      <c r="T630" s="424"/>
      <c r="U630" s="418"/>
      <c r="V630" s="428"/>
      <c r="W630" s="418"/>
      <c r="X630" s="418"/>
      <c r="Y630" s="524"/>
      <c r="Z630" s="418"/>
      <c r="AA630" s="418"/>
      <c r="AB630" s="429"/>
    </row>
    <row r="631" spans="1:28">
      <c r="A631" s="418"/>
      <c r="B631" s="418"/>
      <c r="C631" s="418"/>
      <c r="D631" s="520"/>
      <c r="E631" s="520"/>
      <c r="F631" s="520"/>
      <c r="G631" s="520"/>
      <c r="H631" s="418"/>
      <c r="I631" s="423"/>
      <c r="J631" s="523"/>
      <c r="K631" s="424"/>
      <c r="L631" s="424"/>
      <c r="M631" s="418"/>
      <c r="N631" s="518"/>
      <c r="O631" s="423"/>
      <c r="P631" s="427"/>
      <c r="Q631" s="423"/>
      <c r="R631" s="523"/>
      <c r="S631" s="424"/>
      <c r="T631" s="424"/>
      <c r="U631" s="418"/>
      <c r="V631" s="428"/>
      <c r="W631" s="418"/>
      <c r="X631" s="418"/>
      <c r="Y631" s="524"/>
      <c r="Z631" s="418"/>
      <c r="AA631" s="418"/>
      <c r="AB631" s="429"/>
    </row>
    <row r="632" spans="1:28">
      <c r="A632" s="418"/>
      <c r="B632" s="418"/>
      <c r="C632" s="418"/>
      <c r="D632" s="520"/>
      <c r="E632" s="520"/>
      <c r="F632" s="520"/>
      <c r="G632" s="520"/>
      <c r="H632" s="418"/>
      <c r="I632" s="423"/>
      <c r="J632" s="523"/>
      <c r="K632" s="424"/>
      <c r="L632" s="424"/>
      <c r="M632" s="418"/>
      <c r="N632" s="518"/>
      <c r="O632" s="423"/>
      <c r="P632" s="427"/>
      <c r="Q632" s="423"/>
      <c r="R632" s="523"/>
      <c r="S632" s="424"/>
      <c r="T632" s="424"/>
      <c r="U632" s="418"/>
      <c r="V632" s="428"/>
      <c r="W632" s="418"/>
      <c r="X632" s="418"/>
      <c r="Y632" s="524"/>
      <c r="Z632" s="418"/>
      <c r="AA632" s="418"/>
      <c r="AB632" s="429"/>
    </row>
    <row r="633" spans="1:28">
      <c r="A633" s="418"/>
      <c r="B633" s="418"/>
      <c r="C633" s="418"/>
      <c r="D633" s="520"/>
      <c r="E633" s="520"/>
      <c r="F633" s="520"/>
      <c r="G633" s="520"/>
      <c r="H633" s="418"/>
      <c r="I633" s="423"/>
      <c r="J633" s="523"/>
      <c r="K633" s="424"/>
      <c r="L633" s="424"/>
      <c r="M633" s="418"/>
      <c r="N633" s="518"/>
      <c r="O633" s="423"/>
      <c r="P633" s="427"/>
      <c r="Q633" s="423"/>
      <c r="R633" s="523"/>
      <c r="S633" s="424"/>
      <c r="T633" s="424"/>
      <c r="U633" s="418"/>
      <c r="V633" s="428"/>
      <c r="W633" s="418"/>
      <c r="X633" s="418"/>
      <c r="Y633" s="524"/>
      <c r="Z633" s="418"/>
      <c r="AA633" s="418"/>
      <c r="AB633" s="429"/>
    </row>
    <row r="634" spans="1:28">
      <c r="A634" s="418"/>
      <c r="B634" s="418"/>
      <c r="C634" s="418"/>
      <c r="D634" s="520"/>
      <c r="E634" s="520"/>
      <c r="F634" s="520"/>
      <c r="G634" s="520"/>
      <c r="H634" s="418"/>
      <c r="I634" s="423"/>
      <c r="J634" s="523"/>
      <c r="K634" s="424"/>
      <c r="L634" s="424"/>
      <c r="M634" s="418"/>
      <c r="N634" s="518"/>
      <c r="O634" s="423"/>
      <c r="P634" s="427"/>
      <c r="Q634" s="423"/>
      <c r="R634" s="523"/>
      <c r="S634" s="424"/>
      <c r="T634" s="424"/>
      <c r="U634" s="418"/>
      <c r="V634" s="428"/>
      <c r="W634" s="418"/>
      <c r="X634" s="418"/>
      <c r="Y634" s="524"/>
      <c r="Z634" s="418"/>
      <c r="AA634" s="418"/>
      <c r="AB634" s="429"/>
    </row>
    <row r="635" spans="1:28">
      <c r="A635" s="418"/>
      <c r="B635" s="418"/>
      <c r="C635" s="418"/>
      <c r="D635" s="520"/>
      <c r="E635" s="520"/>
      <c r="F635" s="520"/>
      <c r="G635" s="520"/>
      <c r="H635" s="418"/>
      <c r="I635" s="423"/>
      <c r="J635" s="523"/>
      <c r="K635" s="424"/>
      <c r="L635" s="424"/>
      <c r="M635" s="418"/>
      <c r="N635" s="518"/>
      <c r="O635" s="423"/>
      <c r="P635" s="427"/>
      <c r="Q635" s="423"/>
      <c r="R635" s="523"/>
      <c r="S635" s="424"/>
      <c r="T635" s="424"/>
      <c r="U635" s="418"/>
      <c r="V635" s="428"/>
      <c r="W635" s="418"/>
      <c r="X635" s="418"/>
      <c r="Y635" s="524"/>
      <c r="Z635" s="418"/>
      <c r="AA635" s="418"/>
      <c r="AB635" s="429"/>
    </row>
    <row r="636" spans="1:28">
      <c r="A636" s="418"/>
      <c r="B636" s="418"/>
      <c r="C636" s="418"/>
      <c r="D636" s="520"/>
      <c r="E636" s="520"/>
      <c r="F636" s="520"/>
      <c r="G636" s="520"/>
      <c r="H636" s="418"/>
      <c r="I636" s="423"/>
      <c r="J636" s="523"/>
      <c r="K636" s="424"/>
      <c r="L636" s="424"/>
      <c r="M636" s="418"/>
      <c r="N636" s="518"/>
      <c r="O636" s="423"/>
      <c r="P636" s="427"/>
      <c r="Q636" s="423"/>
      <c r="R636" s="523"/>
      <c r="S636" s="424"/>
      <c r="T636" s="424"/>
      <c r="U636" s="418"/>
      <c r="V636" s="428"/>
      <c r="W636" s="418"/>
      <c r="X636" s="418"/>
      <c r="Y636" s="524"/>
      <c r="Z636" s="418"/>
      <c r="AA636" s="418"/>
      <c r="AB636" s="429"/>
    </row>
    <row r="637" spans="1:28">
      <c r="A637" s="418"/>
      <c r="B637" s="418"/>
      <c r="C637" s="418"/>
      <c r="D637" s="520"/>
      <c r="E637" s="520"/>
      <c r="F637" s="520"/>
      <c r="G637" s="520"/>
      <c r="H637" s="418"/>
      <c r="I637" s="423"/>
      <c r="J637" s="523"/>
      <c r="K637" s="424"/>
      <c r="L637" s="424"/>
      <c r="M637" s="418"/>
      <c r="N637" s="518"/>
      <c r="O637" s="423"/>
      <c r="P637" s="427"/>
      <c r="Q637" s="423"/>
      <c r="R637" s="523"/>
      <c r="S637" s="424"/>
      <c r="T637" s="424"/>
      <c r="U637" s="418"/>
      <c r="V637" s="428"/>
      <c r="W637" s="418"/>
      <c r="X637" s="418"/>
      <c r="Y637" s="524"/>
      <c r="Z637" s="418"/>
      <c r="AA637" s="418"/>
      <c r="AB637" s="429"/>
    </row>
    <row r="638" spans="1:28">
      <c r="A638" s="418"/>
      <c r="B638" s="418"/>
      <c r="C638" s="418"/>
      <c r="D638" s="520"/>
      <c r="E638" s="520"/>
      <c r="F638" s="520"/>
      <c r="G638" s="520"/>
      <c r="H638" s="418"/>
      <c r="I638" s="423"/>
      <c r="J638" s="523"/>
      <c r="K638" s="424"/>
      <c r="L638" s="424"/>
      <c r="M638" s="418"/>
      <c r="N638" s="518"/>
      <c r="O638" s="423"/>
      <c r="P638" s="427"/>
      <c r="Q638" s="423"/>
      <c r="R638" s="523"/>
      <c r="S638" s="424"/>
      <c r="T638" s="424"/>
      <c r="U638" s="418"/>
      <c r="V638" s="428"/>
      <c r="W638" s="418"/>
      <c r="X638" s="418"/>
      <c r="Y638" s="524"/>
      <c r="Z638" s="418"/>
      <c r="AA638" s="418"/>
      <c r="AB638" s="429"/>
    </row>
    <row r="639" spans="1:28">
      <c r="A639" s="418"/>
      <c r="B639" s="418"/>
      <c r="C639" s="418"/>
      <c r="D639" s="520"/>
      <c r="E639" s="520"/>
      <c r="F639" s="520"/>
      <c r="G639" s="520"/>
      <c r="H639" s="418"/>
      <c r="I639" s="423"/>
      <c r="J639" s="523"/>
      <c r="K639" s="424"/>
      <c r="L639" s="424"/>
      <c r="M639" s="418"/>
      <c r="N639" s="518"/>
      <c r="O639" s="423"/>
      <c r="P639" s="427"/>
      <c r="Q639" s="423"/>
      <c r="R639" s="523"/>
      <c r="S639" s="424"/>
      <c r="T639" s="424"/>
      <c r="U639" s="418"/>
      <c r="V639" s="428"/>
      <c r="W639" s="418"/>
      <c r="X639" s="418"/>
      <c r="Y639" s="524"/>
      <c r="Z639" s="418"/>
      <c r="AA639" s="418"/>
      <c r="AB639" s="429"/>
    </row>
    <row r="640" spans="1:28">
      <c r="A640" s="418"/>
      <c r="B640" s="418"/>
      <c r="C640" s="418"/>
      <c r="D640" s="520"/>
      <c r="E640" s="520"/>
      <c r="F640" s="520"/>
      <c r="G640" s="520"/>
      <c r="H640" s="418"/>
      <c r="I640" s="423"/>
      <c r="J640" s="523"/>
      <c r="K640" s="424"/>
      <c r="L640" s="424"/>
      <c r="M640" s="418"/>
      <c r="N640" s="518"/>
      <c r="O640" s="423"/>
      <c r="P640" s="427"/>
      <c r="Q640" s="423"/>
      <c r="R640" s="523"/>
      <c r="S640" s="424"/>
      <c r="T640" s="424"/>
      <c r="U640" s="418"/>
      <c r="V640" s="428"/>
      <c r="W640" s="418"/>
      <c r="X640" s="418"/>
      <c r="Y640" s="524"/>
      <c r="Z640" s="418"/>
      <c r="AA640" s="418"/>
      <c r="AB640" s="429"/>
    </row>
    <row r="641" spans="1:28">
      <c r="A641" s="418"/>
      <c r="B641" s="418"/>
      <c r="C641" s="418"/>
      <c r="D641" s="520"/>
      <c r="E641" s="520"/>
      <c r="F641" s="520"/>
      <c r="G641" s="520"/>
      <c r="H641" s="418"/>
      <c r="I641" s="423"/>
      <c r="J641" s="523"/>
      <c r="K641" s="424"/>
      <c r="L641" s="424"/>
      <c r="M641" s="418"/>
      <c r="N641" s="518"/>
      <c r="O641" s="423"/>
      <c r="P641" s="427"/>
      <c r="Q641" s="423"/>
      <c r="R641" s="523"/>
      <c r="S641" s="424"/>
      <c r="T641" s="424"/>
      <c r="U641" s="418"/>
      <c r="V641" s="428"/>
      <c r="W641" s="418"/>
      <c r="X641" s="418"/>
      <c r="Y641" s="524"/>
      <c r="Z641" s="418"/>
      <c r="AA641" s="418"/>
      <c r="AB641" s="429"/>
    </row>
    <row r="642" spans="1:28">
      <c r="A642" s="418"/>
      <c r="B642" s="418"/>
      <c r="C642" s="418"/>
      <c r="D642" s="520"/>
      <c r="E642" s="520"/>
      <c r="F642" s="520"/>
      <c r="G642" s="520"/>
      <c r="H642" s="418"/>
      <c r="I642" s="423"/>
      <c r="J642" s="523"/>
      <c r="K642" s="424"/>
      <c r="L642" s="424"/>
      <c r="M642" s="418"/>
      <c r="N642" s="518"/>
      <c r="O642" s="423"/>
      <c r="P642" s="427"/>
      <c r="Q642" s="423"/>
      <c r="R642" s="523"/>
      <c r="S642" s="424"/>
      <c r="T642" s="424"/>
      <c r="U642" s="418"/>
      <c r="V642" s="428"/>
      <c r="W642" s="418"/>
      <c r="X642" s="418"/>
      <c r="Y642" s="524"/>
      <c r="Z642" s="418"/>
      <c r="AA642" s="418"/>
      <c r="AB642" s="429"/>
    </row>
    <row r="643" spans="1:28">
      <c r="A643" s="418"/>
      <c r="B643" s="418"/>
      <c r="C643" s="418"/>
      <c r="D643" s="520"/>
      <c r="E643" s="520"/>
      <c r="F643" s="520"/>
      <c r="G643" s="520"/>
      <c r="H643" s="418"/>
      <c r="I643" s="423"/>
      <c r="J643" s="523"/>
      <c r="K643" s="424"/>
      <c r="L643" s="424"/>
      <c r="M643" s="418"/>
      <c r="N643" s="518"/>
      <c r="O643" s="423"/>
      <c r="P643" s="427"/>
      <c r="Q643" s="423"/>
      <c r="R643" s="523"/>
      <c r="S643" s="424"/>
      <c r="T643" s="424"/>
      <c r="U643" s="418"/>
      <c r="V643" s="428"/>
      <c r="W643" s="418"/>
      <c r="X643" s="418"/>
      <c r="Y643" s="524"/>
      <c r="Z643" s="418"/>
      <c r="AA643" s="418"/>
      <c r="AB643" s="429"/>
    </row>
    <row r="644" spans="1:28">
      <c r="A644" s="418"/>
      <c r="B644" s="418"/>
      <c r="C644" s="418"/>
      <c r="D644" s="520"/>
      <c r="E644" s="520"/>
      <c r="F644" s="520"/>
      <c r="G644" s="520"/>
      <c r="H644" s="418"/>
      <c r="I644" s="423"/>
      <c r="J644" s="523"/>
      <c r="K644" s="424"/>
      <c r="L644" s="424"/>
      <c r="M644" s="418"/>
      <c r="N644" s="518"/>
      <c r="O644" s="423"/>
      <c r="P644" s="427"/>
      <c r="Q644" s="423"/>
      <c r="R644" s="523"/>
      <c r="S644" s="424"/>
      <c r="T644" s="424"/>
      <c r="U644" s="418"/>
      <c r="V644" s="428"/>
      <c r="W644" s="418"/>
      <c r="X644" s="418"/>
      <c r="Y644" s="524"/>
      <c r="Z644" s="418"/>
      <c r="AA644" s="418"/>
      <c r="AB644" s="429"/>
    </row>
    <row r="645" spans="1:28">
      <c r="A645" s="418"/>
      <c r="B645" s="418"/>
      <c r="C645" s="418"/>
      <c r="D645" s="520"/>
      <c r="E645" s="520"/>
      <c r="F645" s="520"/>
      <c r="G645" s="520"/>
      <c r="H645" s="418"/>
      <c r="I645" s="423"/>
      <c r="J645" s="523"/>
      <c r="K645" s="424"/>
      <c r="L645" s="424"/>
      <c r="M645" s="418"/>
      <c r="N645" s="518"/>
      <c r="O645" s="423"/>
      <c r="P645" s="427"/>
      <c r="Q645" s="423"/>
      <c r="R645" s="523"/>
      <c r="S645" s="424"/>
      <c r="T645" s="424"/>
      <c r="U645" s="418"/>
      <c r="V645" s="428"/>
      <c r="W645" s="418"/>
      <c r="X645" s="418"/>
      <c r="Y645" s="524"/>
      <c r="Z645" s="418"/>
      <c r="AA645" s="418"/>
      <c r="AB645" s="429"/>
    </row>
    <row r="646" spans="1:28">
      <c r="A646" s="418"/>
      <c r="B646" s="418"/>
      <c r="C646" s="418"/>
      <c r="D646" s="520"/>
      <c r="E646" s="520"/>
      <c r="F646" s="520"/>
      <c r="G646" s="520"/>
      <c r="H646" s="418"/>
      <c r="I646" s="423"/>
      <c r="J646" s="523"/>
      <c r="K646" s="424"/>
      <c r="L646" s="424"/>
      <c r="M646" s="418"/>
      <c r="N646" s="518"/>
      <c r="O646" s="423"/>
      <c r="P646" s="427"/>
      <c r="Q646" s="423"/>
      <c r="R646" s="523"/>
      <c r="S646" s="424"/>
      <c r="T646" s="424"/>
      <c r="U646" s="418"/>
      <c r="V646" s="428"/>
      <c r="W646" s="418"/>
      <c r="X646" s="418"/>
      <c r="Y646" s="524"/>
      <c r="Z646" s="418"/>
      <c r="AA646" s="418"/>
      <c r="AB646" s="429"/>
    </row>
    <row r="647" spans="1:28">
      <c r="A647" s="418"/>
      <c r="B647" s="418"/>
      <c r="C647" s="418"/>
      <c r="D647" s="520"/>
      <c r="E647" s="520"/>
      <c r="F647" s="520"/>
      <c r="G647" s="520"/>
      <c r="H647" s="418"/>
      <c r="I647" s="423"/>
      <c r="J647" s="523"/>
      <c r="K647" s="424"/>
      <c r="L647" s="424"/>
      <c r="M647" s="418"/>
      <c r="N647" s="518"/>
      <c r="O647" s="423"/>
      <c r="P647" s="427"/>
      <c r="Q647" s="423"/>
      <c r="R647" s="523"/>
      <c r="S647" s="424"/>
      <c r="T647" s="424"/>
      <c r="U647" s="418"/>
      <c r="V647" s="428"/>
      <c r="W647" s="418"/>
      <c r="X647" s="418"/>
      <c r="Y647" s="524"/>
      <c r="Z647" s="418"/>
      <c r="AA647" s="418"/>
      <c r="AB647" s="429"/>
    </row>
    <row r="648" spans="1:28">
      <c r="A648" s="418"/>
      <c r="B648" s="418"/>
      <c r="C648" s="418"/>
      <c r="D648" s="520"/>
      <c r="E648" s="520"/>
      <c r="F648" s="520"/>
      <c r="G648" s="520"/>
      <c r="H648" s="418"/>
      <c r="I648" s="423"/>
      <c r="J648" s="523"/>
      <c r="K648" s="424"/>
      <c r="L648" s="424"/>
      <c r="M648" s="418"/>
      <c r="N648" s="518"/>
      <c r="O648" s="423"/>
      <c r="P648" s="427"/>
      <c r="Q648" s="423"/>
      <c r="R648" s="523"/>
      <c r="S648" s="424"/>
      <c r="T648" s="424"/>
      <c r="U648" s="418"/>
      <c r="V648" s="428"/>
      <c r="W648" s="418"/>
      <c r="X648" s="418"/>
      <c r="Y648" s="524"/>
      <c r="Z648" s="418"/>
      <c r="AA648" s="418"/>
      <c r="AB648" s="429"/>
    </row>
    <row r="649" spans="1:28">
      <c r="A649" s="418"/>
      <c r="B649" s="418"/>
      <c r="C649" s="418"/>
      <c r="D649" s="520"/>
      <c r="E649" s="520"/>
      <c r="F649" s="520"/>
      <c r="G649" s="520"/>
      <c r="H649" s="418"/>
      <c r="I649" s="423"/>
      <c r="J649" s="523"/>
      <c r="K649" s="424"/>
      <c r="L649" s="424"/>
      <c r="M649" s="418"/>
      <c r="N649" s="518"/>
      <c r="O649" s="423"/>
      <c r="P649" s="427"/>
      <c r="Q649" s="423"/>
      <c r="R649" s="523"/>
      <c r="S649" s="424"/>
      <c r="T649" s="424"/>
      <c r="U649" s="418"/>
      <c r="V649" s="428"/>
      <c r="W649" s="418"/>
      <c r="X649" s="418"/>
      <c r="Y649" s="524"/>
      <c r="Z649" s="418"/>
      <c r="AA649" s="418"/>
      <c r="AB649" s="429"/>
    </row>
    <row r="650" spans="1:28">
      <c r="A650" s="418"/>
      <c r="B650" s="418"/>
      <c r="C650" s="418"/>
      <c r="D650" s="520"/>
      <c r="E650" s="520"/>
      <c r="F650" s="520"/>
      <c r="G650" s="520"/>
      <c r="H650" s="418"/>
      <c r="I650" s="423"/>
      <c r="J650" s="523"/>
      <c r="K650" s="424"/>
      <c r="L650" s="424"/>
      <c r="M650" s="418"/>
      <c r="N650" s="518"/>
      <c r="O650" s="423"/>
      <c r="P650" s="427"/>
      <c r="Q650" s="423"/>
      <c r="R650" s="523"/>
      <c r="S650" s="424"/>
      <c r="T650" s="424"/>
      <c r="U650" s="418"/>
      <c r="V650" s="428"/>
      <c r="W650" s="418"/>
      <c r="X650" s="418"/>
      <c r="Y650" s="524"/>
      <c r="Z650" s="418"/>
      <c r="AA650" s="418"/>
      <c r="AB650" s="429"/>
    </row>
    <row r="651" spans="1:28">
      <c r="A651" s="418"/>
      <c r="B651" s="418"/>
      <c r="C651" s="418"/>
      <c r="D651" s="520"/>
      <c r="E651" s="520"/>
      <c r="F651" s="520"/>
      <c r="G651" s="520"/>
      <c r="H651" s="418"/>
      <c r="I651" s="423"/>
      <c r="J651" s="523"/>
      <c r="K651" s="424"/>
      <c r="L651" s="424"/>
      <c r="M651" s="418"/>
      <c r="N651" s="518"/>
      <c r="O651" s="423"/>
      <c r="P651" s="427"/>
      <c r="Q651" s="423"/>
      <c r="R651" s="523"/>
      <c r="S651" s="424"/>
      <c r="T651" s="424"/>
      <c r="U651" s="418"/>
      <c r="V651" s="428"/>
      <c r="W651" s="418"/>
      <c r="X651" s="418"/>
      <c r="Y651" s="524"/>
      <c r="Z651" s="418"/>
      <c r="AA651" s="418"/>
      <c r="AB651" s="429"/>
    </row>
    <row r="652" spans="1:28">
      <c r="A652" s="418"/>
      <c r="B652" s="418"/>
      <c r="C652" s="418"/>
      <c r="D652" s="520"/>
      <c r="E652" s="520"/>
      <c r="F652" s="520"/>
      <c r="G652" s="520"/>
      <c r="H652" s="418"/>
      <c r="I652" s="423"/>
      <c r="J652" s="523"/>
      <c r="K652" s="424"/>
      <c r="L652" s="424"/>
      <c r="M652" s="418"/>
      <c r="N652" s="518"/>
      <c r="O652" s="423"/>
      <c r="P652" s="427"/>
      <c r="Q652" s="423"/>
      <c r="R652" s="523"/>
      <c r="S652" s="424"/>
      <c r="T652" s="424"/>
      <c r="U652" s="418"/>
      <c r="V652" s="428"/>
      <c r="W652" s="418"/>
      <c r="X652" s="418"/>
      <c r="Y652" s="524"/>
      <c r="Z652" s="418"/>
      <c r="AA652" s="418"/>
      <c r="AB652" s="429"/>
    </row>
    <row r="653" spans="1:28">
      <c r="A653" s="418"/>
      <c r="B653" s="418"/>
      <c r="C653" s="418"/>
      <c r="D653" s="520"/>
      <c r="E653" s="520"/>
      <c r="F653" s="520"/>
      <c r="G653" s="520"/>
      <c r="H653" s="418"/>
      <c r="I653" s="423"/>
      <c r="J653" s="523"/>
      <c r="K653" s="424"/>
      <c r="L653" s="424"/>
      <c r="M653" s="418"/>
      <c r="N653" s="518"/>
      <c r="O653" s="423"/>
      <c r="P653" s="427"/>
      <c r="Q653" s="423"/>
      <c r="R653" s="523"/>
      <c r="S653" s="424"/>
      <c r="T653" s="424"/>
      <c r="U653" s="418"/>
      <c r="V653" s="428"/>
      <c r="W653" s="418"/>
      <c r="X653" s="418"/>
      <c r="Y653" s="524"/>
      <c r="Z653" s="418"/>
      <c r="AA653" s="418"/>
      <c r="AB653" s="429"/>
    </row>
    <row r="654" spans="1:28">
      <c r="A654" s="418"/>
      <c r="B654" s="418"/>
      <c r="C654" s="418"/>
      <c r="D654" s="520"/>
      <c r="E654" s="520"/>
      <c r="F654" s="520"/>
      <c r="G654" s="520"/>
      <c r="H654" s="418"/>
      <c r="I654" s="423"/>
      <c r="J654" s="523"/>
      <c r="K654" s="424"/>
      <c r="L654" s="424"/>
      <c r="M654" s="418"/>
      <c r="N654" s="518"/>
      <c r="O654" s="423"/>
      <c r="P654" s="427"/>
      <c r="Q654" s="423"/>
      <c r="R654" s="523"/>
      <c r="S654" s="424"/>
      <c r="T654" s="424"/>
      <c r="U654" s="418"/>
      <c r="V654" s="428"/>
      <c r="W654" s="418"/>
      <c r="X654" s="418"/>
      <c r="Y654" s="524"/>
      <c r="Z654" s="418"/>
      <c r="AA654" s="418"/>
      <c r="AB654" s="429"/>
    </row>
    <row r="655" spans="1:28">
      <c r="A655" s="418"/>
      <c r="B655" s="418"/>
      <c r="C655" s="418"/>
      <c r="D655" s="520"/>
      <c r="E655" s="520"/>
      <c r="F655" s="520"/>
      <c r="G655" s="520"/>
      <c r="H655" s="418"/>
      <c r="I655" s="423"/>
      <c r="J655" s="523"/>
      <c r="K655" s="424"/>
      <c r="L655" s="424"/>
      <c r="M655" s="418"/>
      <c r="N655" s="518"/>
      <c r="O655" s="423"/>
      <c r="P655" s="427"/>
      <c r="Q655" s="423"/>
      <c r="R655" s="523"/>
      <c r="S655" s="424"/>
      <c r="T655" s="424"/>
      <c r="U655" s="418"/>
      <c r="V655" s="428"/>
      <c r="W655" s="418"/>
      <c r="X655" s="418"/>
      <c r="Y655" s="524"/>
      <c r="Z655" s="418"/>
      <c r="AA655" s="418"/>
      <c r="AB655" s="429"/>
    </row>
    <row r="656" spans="1:28">
      <c r="A656" s="418"/>
      <c r="B656" s="418"/>
      <c r="C656" s="418"/>
      <c r="D656" s="520"/>
      <c r="E656" s="520"/>
      <c r="F656" s="520"/>
      <c r="G656" s="520"/>
      <c r="H656" s="418"/>
      <c r="I656" s="423"/>
      <c r="J656" s="523"/>
      <c r="K656" s="424"/>
      <c r="L656" s="424"/>
      <c r="M656" s="418"/>
      <c r="N656" s="518"/>
      <c r="O656" s="423"/>
      <c r="P656" s="427"/>
      <c r="Q656" s="423"/>
      <c r="R656" s="523"/>
      <c r="S656" s="424"/>
      <c r="T656" s="424"/>
      <c r="U656" s="418"/>
      <c r="V656" s="428"/>
      <c r="W656" s="418"/>
      <c r="X656" s="418"/>
      <c r="Y656" s="524"/>
      <c r="Z656" s="418"/>
      <c r="AA656" s="418"/>
      <c r="AB656" s="429"/>
    </row>
    <row r="657" spans="1:28">
      <c r="A657" s="418"/>
      <c r="B657" s="418"/>
      <c r="C657" s="418"/>
      <c r="D657" s="520"/>
      <c r="E657" s="520"/>
      <c r="F657" s="520"/>
      <c r="G657" s="520"/>
      <c r="H657" s="418"/>
      <c r="I657" s="423"/>
      <c r="J657" s="523"/>
      <c r="K657" s="424"/>
      <c r="L657" s="424"/>
      <c r="M657" s="418"/>
      <c r="N657" s="518"/>
      <c r="O657" s="423"/>
      <c r="P657" s="427"/>
      <c r="Q657" s="423"/>
      <c r="R657" s="523"/>
      <c r="S657" s="424"/>
      <c r="T657" s="424"/>
      <c r="U657" s="418"/>
      <c r="V657" s="428"/>
      <c r="W657" s="418"/>
      <c r="X657" s="418"/>
      <c r="Y657" s="524"/>
      <c r="Z657" s="418"/>
      <c r="AA657" s="418"/>
      <c r="AB657" s="429"/>
    </row>
    <row r="658" spans="1:28">
      <c r="A658" s="418"/>
      <c r="B658" s="418"/>
      <c r="C658" s="418"/>
      <c r="D658" s="520"/>
      <c r="E658" s="520"/>
      <c r="F658" s="520"/>
      <c r="G658" s="520"/>
      <c r="H658" s="418"/>
      <c r="I658" s="423"/>
      <c r="J658" s="523"/>
      <c r="K658" s="424"/>
      <c r="L658" s="424"/>
      <c r="M658" s="418"/>
      <c r="N658" s="518"/>
      <c r="O658" s="423"/>
      <c r="P658" s="427"/>
      <c r="Q658" s="423"/>
      <c r="R658" s="523"/>
      <c r="S658" s="424"/>
      <c r="T658" s="424"/>
      <c r="U658" s="418"/>
      <c r="V658" s="428"/>
      <c r="W658" s="418"/>
      <c r="X658" s="418"/>
      <c r="Y658" s="524"/>
      <c r="Z658" s="418"/>
      <c r="AA658" s="418"/>
      <c r="AB658" s="429"/>
    </row>
    <row r="659" spans="1:28">
      <c r="A659" s="418"/>
      <c r="B659" s="418"/>
      <c r="C659" s="418"/>
      <c r="D659" s="520"/>
      <c r="E659" s="520"/>
      <c r="F659" s="520"/>
      <c r="G659" s="520"/>
      <c r="H659" s="418"/>
      <c r="I659" s="423"/>
      <c r="J659" s="523"/>
      <c r="K659" s="424"/>
      <c r="L659" s="424"/>
      <c r="M659" s="418"/>
      <c r="N659" s="518"/>
      <c r="O659" s="423"/>
      <c r="P659" s="427"/>
      <c r="Q659" s="423"/>
      <c r="R659" s="523"/>
      <c r="S659" s="424"/>
      <c r="T659" s="424"/>
      <c r="U659" s="418"/>
      <c r="V659" s="428"/>
      <c r="W659" s="418"/>
      <c r="X659" s="418"/>
      <c r="Y659" s="524"/>
      <c r="Z659" s="418"/>
      <c r="AA659" s="418"/>
      <c r="AB659" s="429"/>
    </row>
    <row r="660" spans="1:28">
      <c r="A660" s="418"/>
      <c r="B660" s="418"/>
      <c r="C660" s="418"/>
      <c r="D660" s="520"/>
      <c r="E660" s="520"/>
      <c r="F660" s="520"/>
      <c r="G660" s="520"/>
      <c r="H660" s="418"/>
      <c r="I660" s="423"/>
      <c r="J660" s="523"/>
      <c r="K660" s="424"/>
      <c r="L660" s="424"/>
      <c r="M660" s="418"/>
      <c r="N660" s="518"/>
      <c r="O660" s="423"/>
      <c r="P660" s="427"/>
      <c r="Q660" s="423"/>
      <c r="R660" s="523"/>
      <c r="S660" s="424"/>
      <c r="T660" s="424"/>
      <c r="U660" s="418"/>
      <c r="V660" s="428"/>
      <c r="W660" s="418"/>
      <c r="X660" s="418"/>
      <c r="Y660" s="524"/>
      <c r="Z660" s="418"/>
      <c r="AA660" s="418"/>
      <c r="AB660" s="429"/>
    </row>
    <row r="661" spans="1:28">
      <c r="A661" s="418"/>
      <c r="B661" s="418"/>
      <c r="C661" s="418"/>
      <c r="D661" s="520"/>
      <c r="E661" s="520"/>
      <c r="F661" s="520"/>
      <c r="G661" s="520"/>
      <c r="H661" s="418"/>
      <c r="I661" s="423"/>
      <c r="J661" s="523"/>
      <c r="K661" s="424"/>
      <c r="L661" s="424"/>
      <c r="M661" s="418"/>
      <c r="N661" s="518"/>
      <c r="O661" s="423"/>
      <c r="P661" s="427"/>
      <c r="Q661" s="423"/>
      <c r="R661" s="523"/>
      <c r="S661" s="424"/>
      <c r="T661" s="424"/>
      <c r="U661" s="418"/>
      <c r="V661" s="428"/>
      <c r="W661" s="418"/>
      <c r="X661" s="418"/>
      <c r="Y661" s="524"/>
      <c r="Z661" s="418"/>
      <c r="AA661" s="418"/>
      <c r="AB661" s="429"/>
    </row>
    <row r="662" spans="1:28">
      <c r="A662" s="418"/>
      <c r="B662" s="418"/>
      <c r="C662" s="418"/>
      <c r="D662" s="520"/>
      <c r="E662" s="520"/>
      <c r="F662" s="520"/>
      <c r="G662" s="520"/>
      <c r="H662" s="418"/>
      <c r="I662" s="423"/>
      <c r="J662" s="523"/>
      <c r="K662" s="424"/>
      <c r="L662" s="424"/>
      <c r="M662" s="418"/>
      <c r="N662" s="518"/>
      <c r="O662" s="423"/>
      <c r="P662" s="427"/>
      <c r="Q662" s="423"/>
      <c r="R662" s="523"/>
      <c r="S662" s="424"/>
      <c r="T662" s="424"/>
      <c r="U662" s="418"/>
      <c r="V662" s="428"/>
      <c r="W662" s="418"/>
      <c r="X662" s="418"/>
      <c r="Y662" s="524"/>
      <c r="Z662" s="418"/>
      <c r="AA662" s="418"/>
      <c r="AB662" s="429"/>
    </row>
    <row r="663" spans="1:28">
      <c r="A663" s="418"/>
      <c r="B663" s="418"/>
      <c r="C663" s="418"/>
      <c r="D663" s="520"/>
      <c r="E663" s="520"/>
      <c r="F663" s="520"/>
      <c r="G663" s="520"/>
      <c r="H663" s="418"/>
      <c r="I663" s="423"/>
      <c r="J663" s="523"/>
      <c r="K663" s="424"/>
      <c r="L663" s="424"/>
      <c r="M663" s="418"/>
      <c r="N663" s="518"/>
      <c r="O663" s="423"/>
      <c r="P663" s="427"/>
      <c r="Q663" s="423"/>
      <c r="R663" s="523"/>
      <c r="S663" s="424"/>
      <c r="T663" s="424"/>
      <c r="U663" s="418"/>
      <c r="V663" s="428"/>
      <c r="W663" s="418"/>
      <c r="X663" s="418"/>
      <c r="Y663" s="524"/>
      <c r="Z663" s="418"/>
      <c r="AA663" s="418"/>
      <c r="AB663" s="429"/>
    </row>
    <row r="664" spans="1:28">
      <c r="A664" s="418"/>
      <c r="B664" s="418"/>
      <c r="C664" s="418"/>
      <c r="D664" s="520"/>
      <c r="E664" s="520"/>
      <c r="F664" s="520"/>
      <c r="G664" s="520"/>
      <c r="H664" s="418"/>
      <c r="I664" s="423"/>
      <c r="J664" s="523"/>
      <c r="K664" s="424"/>
      <c r="L664" s="424"/>
      <c r="M664" s="418"/>
      <c r="N664" s="518"/>
      <c r="O664" s="423"/>
      <c r="P664" s="427"/>
      <c r="Q664" s="423"/>
      <c r="R664" s="523"/>
      <c r="S664" s="424"/>
      <c r="T664" s="424"/>
      <c r="U664" s="418"/>
      <c r="V664" s="428"/>
      <c r="W664" s="418"/>
      <c r="X664" s="418"/>
      <c r="Y664" s="524"/>
      <c r="Z664" s="418"/>
      <c r="AA664" s="418"/>
      <c r="AB664" s="429"/>
    </row>
    <row r="665" spans="1:28">
      <c r="A665" s="418"/>
      <c r="B665" s="418"/>
      <c r="C665" s="418"/>
      <c r="D665" s="520"/>
      <c r="E665" s="520"/>
      <c r="F665" s="520"/>
      <c r="G665" s="520"/>
      <c r="H665" s="418"/>
      <c r="I665" s="423"/>
      <c r="J665" s="523"/>
      <c r="K665" s="424"/>
      <c r="L665" s="424"/>
      <c r="M665" s="418"/>
      <c r="N665" s="518"/>
      <c r="O665" s="423"/>
      <c r="P665" s="427"/>
      <c r="Q665" s="423"/>
      <c r="R665" s="523"/>
      <c r="S665" s="424"/>
      <c r="T665" s="424"/>
      <c r="U665" s="418"/>
      <c r="V665" s="428"/>
      <c r="W665" s="418"/>
      <c r="X665" s="418"/>
      <c r="Y665" s="524"/>
      <c r="Z665" s="418"/>
      <c r="AA665" s="418"/>
      <c r="AB665" s="429"/>
    </row>
    <row r="666" spans="1:28">
      <c r="A666" s="418"/>
      <c r="B666" s="418"/>
      <c r="C666" s="418"/>
      <c r="D666" s="520"/>
      <c r="E666" s="520"/>
      <c r="F666" s="520"/>
      <c r="G666" s="520"/>
      <c r="H666" s="418"/>
      <c r="I666" s="423"/>
      <c r="J666" s="523"/>
      <c r="K666" s="424"/>
      <c r="L666" s="424"/>
      <c r="M666" s="418"/>
      <c r="N666" s="518"/>
      <c r="O666" s="423"/>
      <c r="P666" s="427"/>
      <c r="Q666" s="423"/>
      <c r="R666" s="523"/>
      <c r="S666" s="424"/>
      <c r="T666" s="424"/>
      <c r="U666" s="418"/>
      <c r="V666" s="428"/>
      <c r="W666" s="418"/>
      <c r="X666" s="418"/>
      <c r="Y666" s="524"/>
      <c r="Z666" s="418"/>
      <c r="AA666" s="418"/>
      <c r="AB666" s="429"/>
    </row>
    <row r="667" spans="1:28">
      <c r="A667" s="418"/>
      <c r="B667" s="418"/>
      <c r="C667" s="418"/>
      <c r="D667" s="520"/>
      <c r="E667" s="520"/>
      <c r="F667" s="520"/>
      <c r="G667" s="520"/>
      <c r="H667" s="418"/>
      <c r="I667" s="423"/>
      <c r="J667" s="523"/>
      <c r="K667" s="424"/>
      <c r="L667" s="424"/>
      <c r="M667" s="418"/>
      <c r="N667" s="518"/>
      <c r="O667" s="423"/>
      <c r="P667" s="427"/>
      <c r="Q667" s="423"/>
      <c r="R667" s="523"/>
      <c r="S667" s="424"/>
      <c r="T667" s="424"/>
      <c r="U667" s="418"/>
      <c r="V667" s="428"/>
      <c r="W667" s="418"/>
      <c r="X667" s="418"/>
      <c r="Y667" s="524"/>
      <c r="Z667" s="418"/>
      <c r="AA667" s="418"/>
      <c r="AB667" s="429"/>
    </row>
    <row r="668" spans="1:28">
      <c r="A668" s="418"/>
      <c r="B668" s="418"/>
      <c r="C668" s="418"/>
      <c r="D668" s="520"/>
      <c r="E668" s="520"/>
      <c r="F668" s="520"/>
      <c r="G668" s="520"/>
      <c r="H668" s="418"/>
      <c r="I668" s="423"/>
      <c r="J668" s="523"/>
      <c r="K668" s="424"/>
      <c r="L668" s="424"/>
      <c r="M668" s="418"/>
      <c r="N668" s="518"/>
      <c r="O668" s="423"/>
      <c r="P668" s="427"/>
      <c r="Q668" s="423"/>
      <c r="R668" s="523"/>
      <c r="S668" s="424"/>
      <c r="T668" s="424"/>
      <c r="U668" s="418"/>
      <c r="V668" s="428"/>
      <c r="W668" s="418"/>
      <c r="X668" s="418"/>
      <c r="Y668" s="524"/>
      <c r="Z668" s="418"/>
      <c r="AA668" s="418"/>
      <c r="AB668" s="429"/>
    </row>
    <row r="669" spans="1:28">
      <c r="A669" s="418"/>
      <c r="B669" s="418"/>
      <c r="C669" s="418"/>
      <c r="D669" s="520"/>
      <c r="E669" s="520"/>
      <c r="F669" s="520"/>
      <c r="G669" s="520"/>
      <c r="H669" s="418"/>
      <c r="I669" s="423"/>
      <c r="J669" s="523"/>
      <c r="K669" s="424"/>
      <c r="L669" s="424"/>
      <c r="M669" s="418"/>
      <c r="N669" s="518"/>
      <c r="O669" s="423"/>
      <c r="P669" s="427"/>
      <c r="Q669" s="423"/>
      <c r="R669" s="523"/>
      <c r="S669" s="424"/>
      <c r="T669" s="424"/>
      <c r="U669" s="418"/>
      <c r="V669" s="428"/>
      <c r="W669" s="418"/>
      <c r="X669" s="418"/>
      <c r="Y669" s="524"/>
      <c r="Z669" s="418"/>
      <c r="AA669" s="418"/>
      <c r="AB669" s="429"/>
    </row>
    <row r="670" spans="1:28">
      <c r="A670" s="418"/>
      <c r="B670" s="418"/>
      <c r="C670" s="418"/>
      <c r="D670" s="520"/>
      <c r="E670" s="520"/>
      <c r="F670" s="520"/>
      <c r="G670" s="520"/>
      <c r="H670" s="418"/>
      <c r="I670" s="423"/>
      <c r="J670" s="523"/>
      <c r="K670" s="424"/>
      <c r="L670" s="424"/>
      <c r="M670" s="418"/>
      <c r="N670" s="518"/>
      <c r="O670" s="423"/>
      <c r="P670" s="427"/>
      <c r="Q670" s="423"/>
      <c r="R670" s="523"/>
      <c r="S670" s="424"/>
      <c r="T670" s="424"/>
      <c r="U670" s="418"/>
      <c r="V670" s="428"/>
      <c r="W670" s="418"/>
      <c r="X670" s="418"/>
      <c r="Y670" s="524"/>
      <c r="Z670" s="418"/>
      <c r="AA670" s="418"/>
      <c r="AB670" s="429"/>
    </row>
    <row r="671" spans="1:28">
      <c r="A671" s="418"/>
      <c r="B671" s="418"/>
      <c r="C671" s="418"/>
      <c r="D671" s="520"/>
      <c r="E671" s="520"/>
      <c r="F671" s="520"/>
      <c r="G671" s="520"/>
      <c r="H671" s="418"/>
      <c r="I671" s="423"/>
      <c r="J671" s="523"/>
      <c r="K671" s="424"/>
      <c r="L671" s="424"/>
      <c r="M671" s="418"/>
      <c r="N671" s="518"/>
      <c r="O671" s="423"/>
      <c r="P671" s="427"/>
      <c r="Q671" s="423"/>
      <c r="R671" s="523"/>
      <c r="S671" s="424"/>
      <c r="T671" s="424"/>
      <c r="U671" s="418"/>
      <c r="V671" s="428"/>
      <c r="W671" s="418"/>
      <c r="X671" s="418"/>
      <c r="Y671" s="524"/>
      <c r="Z671" s="418"/>
      <c r="AA671" s="418"/>
      <c r="AB671" s="429"/>
    </row>
    <row r="672" spans="1:28">
      <c r="A672" s="418"/>
      <c r="B672" s="418"/>
      <c r="C672" s="418"/>
      <c r="D672" s="520"/>
      <c r="E672" s="520"/>
      <c r="F672" s="520"/>
      <c r="G672" s="520"/>
      <c r="H672" s="418"/>
      <c r="I672" s="423"/>
      <c r="J672" s="523"/>
      <c r="K672" s="424"/>
      <c r="L672" s="424"/>
      <c r="M672" s="418"/>
      <c r="N672" s="518"/>
      <c r="O672" s="423"/>
      <c r="P672" s="427"/>
      <c r="Q672" s="423"/>
      <c r="R672" s="523"/>
      <c r="S672" s="424"/>
      <c r="T672" s="424"/>
      <c r="U672" s="418"/>
      <c r="V672" s="428"/>
      <c r="W672" s="418"/>
      <c r="X672" s="418"/>
      <c r="Y672" s="524"/>
      <c r="Z672" s="418"/>
      <c r="AA672" s="418"/>
      <c r="AB672" s="429"/>
    </row>
    <row r="673" spans="1:28">
      <c r="A673" s="418"/>
      <c r="B673" s="418"/>
      <c r="C673" s="418"/>
      <c r="D673" s="520"/>
      <c r="E673" s="520"/>
      <c r="F673" s="520"/>
      <c r="G673" s="520"/>
      <c r="H673" s="418"/>
      <c r="I673" s="423"/>
      <c r="J673" s="523"/>
      <c r="K673" s="424"/>
      <c r="L673" s="424"/>
      <c r="M673" s="418"/>
      <c r="N673" s="518"/>
      <c r="O673" s="423"/>
      <c r="P673" s="427"/>
      <c r="Q673" s="423"/>
      <c r="R673" s="523"/>
      <c r="S673" s="424"/>
      <c r="T673" s="424"/>
      <c r="U673" s="418"/>
      <c r="V673" s="428"/>
      <c r="W673" s="418"/>
      <c r="X673" s="418"/>
      <c r="Y673" s="524"/>
      <c r="Z673" s="418"/>
      <c r="AA673" s="418"/>
      <c r="AB673" s="429"/>
    </row>
    <row r="674" spans="1:28">
      <c r="A674" s="418"/>
      <c r="B674" s="418"/>
      <c r="C674" s="418"/>
      <c r="D674" s="520"/>
      <c r="E674" s="520"/>
      <c r="F674" s="520"/>
      <c r="G674" s="520"/>
      <c r="H674" s="418"/>
      <c r="I674" s="423"/>
      <c r="J674" s="523"/>
      <c r="K674" s="424"/>
      <c r="L674" s="424"/>
      <c r="M674" s="418"/>
      <c r="N674" s="518"/>
      <c r="O674" s="423"/>
      <c r="P674" s="427"/>
      <c r="Q674" s="423"/>
      <c r="R674" s="523"/>
      <c r="S674" s="424"/>
      <c r="T674" s="424"/>
      <c r="U674" s="418"/>
      <c r="V674" s="428"/>
      <c r="W674" s="418"/>
      <c r="X674" s="418"/>
      <c r="Y674" s="524"/>
      <c r="Z674" s="418"/>
      <c r="AA674" s="418"/>
      <c r="AB674" s="429"/>
    </row>
    <row r="675" spans="1:28">
      <c r="A675" s="418"/>
      <c r="B675" s="418"/>
      <c r="C675" s="418"/>
      <c r="D675" s="520"/>
      <c r="E675" s="520"/>
      <c r="F675" s="520"/>
      <c r="G675" s="520"/>
      <c r="H675" s="418"/>
      <c r="I675" s="423"/>
      <c r="J675" s="523"/>
      <c r="K675" s="424"/>
      <c r="L675" s="424"/>
      <c r="M675" s="418"/>
      <c r="N675" s="518"/>
      <c r="O675" s="423"/>
      <c r="P675" s="427"/>
      <c r="Q675" s="423"/>
      <c r="R675" s="523"/>
      <c r="S675" s="424"/>
      <c r="T675" s="424"/>
      <c r="U675" s="418"/>
      <c r="V675" s="428"/>
      <c r="W675" s="418"/>
      <c r="X675" s="418"/>
      <c r="Y675" s="524"/>
      <c r="Z675" s="418"/>
      <c r="AA675" s="418"/>
      <c r="AB675" s="429"/>
    </row>
    <row r="676" spans="1:28">
      <c r="A676" s="418"/>
      <c r="B676" s="418"/>
      <c r="C676" s="418"/>
      <c r="D676" s="520"/>
      <c r="E676" s="520"/>
      <c r="F676" s="520"/>
      <c r="G676" s="520"/>
      <c r="H676" s="418"/>
      <c r="I676" s="423"/>
      <c r="J676" s="523"/>
      <c r="K676" s="424"/>
      <c r="L676" s="424"/>
      <c r="M676" s="418"/>
      <c r="N676" s="518"/>
      <c r="O676" s="423"/>
      <c r="P676" s="427"/>
      <c r="Q676" s="423"/>
      <c r="R676" s="523"/>
      <c r="S676" s="424"/>
      <c r="T676" s="424"/>
      <c r="U676" s="418"/>
      <c r="V676" s="428"/>
      <c r="W676" s="418"/>
      <c r="X676" s="418"/>
      <c r="Y676" s="524"/>
      <c r="Z676" s="418"/>
      <c r="AA676" s="418"/>
      <c r="AB676" s="429"/>
    </row>
    <row r="677" spans="1:28">
      <c r="A677" s="418"/>
      <c r="B677" s="418"/>
      <c r="C677" s="418"/>
      <c r="D677" s="520"/>
      <c r="E677" s="520"/>
      <c r="F677" s="520"/>
      <c r="G677" s="520"/>
      <c r="H677" s="418"/>
      <c r="I677" s="423"/>
      <c r="J677" s="523"/>
      <c r="K677" s="424"/>
      <c r="L677" s="424"/>
      <c r="M677" s="418"/>
      <c r="N677" s="518"/>
      <c r="O677" s="423"/>
      <c r="P677" s="427"/>
      <c r="Q677" s="423"/>
      <c r="R677" s="523"/>
      <c r="S677" s="424"/>
      <c r="T677" s="424"/>
      <c r="U677" s="418"/>
      <c r="V677" s="428"/>
      <c r="W677" s="418"/>
      <c r="X677" s="418"/>
      <c r="Y677" s="524"/>
      <c r="Z677" s="418"/>
      <c r="AA677" s="418"/>
      <c r="AB677" s="429"/>
    </row>
    <row r="678" spans="1:28">
      <c r="A678" s="418"/>
      <c r="B678" s="418"/>
      <c r="C678" s="418"/>
      <c r="D678" s="520"/>
      <c r="E678" s="520"/>
      <c r="F678" s="520"/>
      <c r="G678" s="520"/>
      <c r="H678" s="418"/>
      <c r="I678" s="423"/>
      <c r="J678" s="523"/>
      <c r="K678" s="424"/>
      <c r="L678" s="424"/>
      <c r="M678" s="418"/>
      <c r="N678" s="518"/>
      <c r="O678" s="423"/>
      <c r="P678" s="427"/>
      <c r="Q678" s="423"/>
      <c r="R678" s="523"/>
      <c r="S678" s="424"/>
      <c r="T678" s="424"/>
      <c r="U678" s="418"/>
      <c r="V678" s="428"/>
      <c r="W678" s="418"/>
      <c r="X678" s="418"/>
      <c r="Y678" s="524"/>
      <c r="Z678" s="418"/>
      <c r="AA678" s="418"/>
      <c r="AB678" s="429"/>
    </row>
    <row r="679" spans="1:28">
      <c r="A679" s="418"/>
      <c r="B679" s="418"/>
      <c r="C679" s="418"/>
      <c r="D679" s="520"/>
      <c r="E679" s="520"/>
      <c r="F679" s="520"/>
      <c r="G679" s="520"/>
      <c r="H679" s="418"/>
      <c r="I679" s="423"/>
      <c r="J679" s="523"/>
      <c r="K679" s="424"/>
      <c r="L679" s="424"/>
      <c r="M679" s="418"/>
      <c r="N679" s="518"/>
      <c r="O679" s="423"/>
      <c r="P679" s="427"/>
      <c r="Q679" s="423"/>
      <c r="R679" s="523"/>
      <c r="S679" s="424"/>
      <c r="T679" s="424"/>
      <c r="U679" s="418"/>
      <c r="V679" s="428"/>
      <c r="W679" s="418"/>
      <c r="X679" s="418"/>
      <c r="Y679" s="524"/>
      <c r="Z679" s="418"/>
      <c r="AA679" s="418"/>
      <c r="AB679" s="429"/>
    </row>
    <row r="680" spans="1:28">
      <c r="A680" s="418"/>
      <c r="B680" s="418"/>
      <c r="C680" s="418"/>
      <c r="D680" s="520"/>
      <c r="E680" s="520"/>
      <c r="F680" s="520"/>
      <c r="G680" s="520"/>
      <c r="H680" s="418"/>
      <c r="I680" s="423"/>
      <c r="J680" s="523"/>
      <c r="K680" s="424"/>
      <c r="L680" s="424"/>
      <c r="M680" s="418"/>
      <c r="N680" s="518"/>
      <c r="O680" s="423"/>
      <c r="P680" s="427"/>
      <c r="Q680" s="423"/>
      <c r="R680" s="523"/>
      <c r="S680" s="424"/>
      <c r="T680" s="424"/>
      <c r="U680" s="418"/>
      <c r="V680" s="428"/>
      <c r="W680" s="418"/>
      <c r="X680" s="418"/>
      <c r="Y680" s="524"/>
      <c r="Z680" s="418"/>
      <c r="AA680" s="418"/>
      <c r="AB680" s="429"/>
    </row>
    <row r="681" spans="1:28">
      <c r="A681" s="418"/>
      <c r="B681" s="418"/>
      <c r="C681" s="418"/>
      <c r="D681" s="520"/>
      <c r="E681" s="520"/>
      <c r="F681" s="520"/>
      <c r="G681" s="520"/>
      <c r="H681" s="418"/>
      <c r="I681" s="423"/>
      <c r="J681" s="523"/>
      <c r="K681" s="424"/>
      <c r="L681" s="424"/>
      <c r="M681" s="418"/>
      <c r="N681" s="518"/>
      <c r="O681" s="423"/>
      <c r="P681" s="427"/>
      <c r="Q681" s="423"/>
      <c r="R681" s="523"/>
      <c r="S681" s="424"/>
      <c r="T681" s="424"/>
      <c r="U681" s="418"/>
      <c r="V681" s="428"/>
      <c r="W681" s="418"/>
      <c r="X681" s="418"/>
      <c r="Y681" s="524"/>
      <c r="Z681" s="418"/>
      <c r="AA681" s="418"/>
      <c r="AB681" s="429"/>
    </row>
    <row r="682" spans="1:28">
      <c r="A682" s="418"/>
      <c r="B682" s="418"/>
      <c r="C682" s="418"/>
      <c r="D682" s="520"/>
      <c r="E682" s="520"/>
      <c r="F682" s="520"/>
      <c r="G682" s="520"/>
      <c r="H682" s="418"/>
      <c r="I682" s="423"/>
      <c r="J682" s="523"/>
      <c r="K682" s="424"/>
      <c r="L682" s="424"/>
      <c r="M682" s="418"/>
      <c r="N682" s="518"/>
      <c r="O682" s="423"/>
      <c r="P682" s="427"/>
      <c r="Q682" s="423"/>
      <c r="R682" s="523"/>
      <c r="S682" s="424"/>
      <c r="T682" s="424"/>
      <c r="U682" s="418"/>
      <c r="V682" s="428"/>
      <c r="W682" s="418"/>
      <c r="X682" s="418"/>
      <c r="Y682" s="524"/>
      <c r="Z682" s="418"/>
      <c r="AA682" s="418"/>
      <c r="AB682" s="429"/>
    </row>
    <row r="683" spans="1:28">
      <c r="A683" s="418"/>
      <c r="B683" s="418"/>
      <c r="C683" s="418"/>
      <c r="D683" s="520"/>
      <c r="E683" s="520"/>
      <c r="F683" s="520"/>
      <c r="G683" s="520"/>
      <c r="H683" s="418"/>
      <c r="I683" s="423"/>
      <c r="J683" s="523"/>
      <c r="K683" s="424"/>
      <c r="L683" s="424"/>
      <c r="M683" s="418"/>
      <c r="N683" s="518"/>
      <c r="O683" s="423"/>
      <c r="P683" s="427"/>
      <c r="Q683" s="423"/>
      <c r="R683" s="523"/>
      <c r="S683" s="424"/>
      <c r="T683" s="424"/>
      <c r="U683" s="418"/>
      <c r="V683" s="428"/>
      <c r="W683" s="418"/>
      <c r="X683" s="418"/>
      <c r="Y683" s="524"/>
      <c r="Z683" s="418"/>
      <c r="AA683" s="418"/>
      <c r="AB683" s="429"/>
    </row>
    <row r="684" spans="1:28">
      <c r="A684" s="418"/>
      <c r="B684" s="418"/>
      <c r="C684" s="418"/>
      <c r="D684" s="520"/>
      <c r="E684" s="520"/>
      <c r="F684" s="520"/>
      <c r="G684" s="520"/>
      <c r="H684" s="418"/>
      <c r="I684" s="423"/>
      <c r="J684" s="523"/>
      <c r="K684" s="424"/>
      <c r="L684" s="424"/>
      <c r="M684" s="418"/>
      <c r="N684" s="518"/>
      <c r="O684" s="423"/>
      <c r="P684" s="427"/>
      <c r="Q684" s="423"/>
      <c r="R684" s="523"/>
      <c r="S684" s="424"/>
      <c r="T684" s="424"/>
      <c r="U684" s="418"/>
      <c r="V684" s="428"/>
      <c r="W684" s="418"/>
      <c r="X684" s="418"/>
      <c r="Y684" s="524"/>
      <c r="Z684" s="418"/>
      <c r="AA684" s="418"/>
      <c r="AB684" s="429"/>
    </row>
    <row r="685" spans="1:28">
      <c r="A685" s="418"/>
      <c r="B685" s="418"/>
      <c r="C685" s="418"/>
      <c r="D685" s="520"/>
      <c r="E685" s="520"/>
      <c r="F685" s="520"/>
      <c r="G685" s="520"/>
      <c r="H685" s="418"/>
      <c r="I685" s="423"/>
      <c r="J685" s="523"/>
      <c r="K685" s="424"/>
      <c r="L685" s="424"/>
      <c r="M685" s="418"/>
      <c r="N685" s="518"/>
      <c r="O685" s="423"/>
      <c r="P685" s="427"/>
      <c r="Q685" s="423"/>
      <c r="R685" s="523"/>
      <c r="S685" s="424"/>
      <c r="T685" s="424"/>
      <c r="U685" s="418"/>
      <c r="V685" s="428"/>
      <c r="W685" s="418"/>
      <c r="X685" s="418"/>
      <c r="Y685" s="524"/>
      <c r="Z685" s="418"/>
      <c r="AA685" s="418"/>
      <c r="AB685" s="429"/>
    </row>
    <row r="686" spans="1:28">
      <c r="A686" s="418"/>
      <c r="B686" s="418"/>
      <c r="C686" s="418"/>
      <c r="D686" s="520"/>
      <c r="E686" s="520"/>
      <c r="F686" s="520"/>
      <c r="G686" s="520"/>
      <c r="H686" s="418"/>
      <c r="I686" s="423"/>
      <c r="J686" s="523"/>
      <c r="K686" s="424"/>
      <c r="L686" s="424"/>
      <c r="M686" s="418"/>
      <c r="N686" s="518"/>
      <c r="O686" s="423"/>
      <c r="P686" s="427"/>
      <c r="Q686" s="423"/>
      <c r="R686" s="523"/>
      <c r="S686" s="424"/>
      <c r="T686" s="424"/>
      <c r="U686" s="418"/>
      <c r="V686" s="428"/>
      <c r="W686" s="418"/>
      <c r="X686" s="418"/>
      <c r="Y686" s="524"/>
      <c r="Z686" s="418"/>
      <c r="AA686" s="418"/>
      <c r="AB686" s="429"/>
    </row>
    <row r="687" spans="1:28">
      <c r="A687" s="418"/>
      <c r="B687" s="418"/>
      <c r="C687" s="418"/>
      <c r="D687" s="520"/>
      <c r="E687" s="520"/>
      <c r="F687" s="520"/>
      <c r="G687" s="520"/>
      <c r="H687" s="418"/>
      <c r="I687" s="423"/>
      <c r="J687" s="523"/>
      <c r="K687" s="424"/>
      <c r="L687" s="424"/>
      <c r="M687" s="418"/>
      <c r="N687" s="518"/>
      <c r="O687" s="423"/>
      <c r="P687" s="427"/>
      <c r="Q687" s="423"/>
      <c r="R687" s="523"/>
      <c r="S687" s="424"/>
      <c r="T687" s="424"/>
      <c r="U687" s="418"/>
      <c r="V687" s="428"/>
      <c r="W687" s="418"/>
      <c r="X687" s="418"/>
      <c r="Y687" s="524"/>
      <c r="Z687" s="418"/>
      <c r="AA687" s="418"/>
      <c r="AB687" s="429"/>
    </row>
    <row r="688" spans="1:28">
      <c r="A688" s="418"/>
      <c r="B688" s="418"/>
      <c r="C688" s="418"/>
      <c r="D688" s="520"/>
      <c r="E688" s="520"/>
      <c r="F688" s="520"/>
      <c r="G688" s="520"/>
      <c r="H688" s="418"/>
      <c r="I688" s="423"/>
      <c r="J688" s="523"/>
      <c r="K688" s="424"/>
      <c r="L688" s="424"/>
      <c r="M688" s="418"/>
      <c r="N688" s="518"/>
      <c r="O688" s="423"/>
      <c r="P688" s="427"/>
      <c r="Q688" s="423"/>
      <c r="R688" s="523"/>
      <c r="S688" s="424"/>
      <c r="T688" s="424"/>
      <c r="U688" s="418"/>
      <c r="V688" s="428"/>
      <c r="W688" s="418"/>
      <c r="X688" s="418"/>
      <c r="Y688" s="524"/>
      <c r="Z688" s="418"/>
      <c r="AA688" s="418"/>
      <c r="AB688" s="429"/>
    </row>
    <row r="689" spans="1:28">
      <c r="A689" s="418"/>
      <c r="B689" s="418"/>
      <c r="C689" s="418"/>
      <c r="D689" s="520"/>
      <c r="E689" s="520"/>
      <c r="F689" s="520"/>
      <c r="G689" s="520"/>
      <c r="H689" s="418"/>
      <c r="I689" s="423"/>
      <c r="J689" s="523"/>
      <c r="K689" s="424"/>
      <c r="L689" s="424"/>
      <c r="M689" s="418"/>
      <c r="N689" s="518"/>
      <c r="O689" s="423"/>
      <c r="P689" s="427"/>
      <c r="Q689" s="423"/>
      <c r="R689" s="523"/>
      <c r="S689" s="424"/>
      <c r="T689" s="424"/>
      <c r="U689" s="418"/>
      <c r="V689" s="428"/>
      <c r="W689" s="418"/>
      <c r="X689" s="418"/>
      <c r="Y689" s="524"/>
      <c r="Z689" s="418"/>
      <c r="AA689" s="418"/>
      <c r="AB689" s="429"/>
    </row>
    <row r="690" spans="1:28">
      <c r="A690" s="418"/>
      <c r="B690" s="418"/>
      <c r="C690" s="418"/>
      <c r="D690" s="520"/>
      <c r="E690" s="520"/>
      <c r="F690" s="520"/>
      <c r="G690" s="520"/>
      <c r="H690" s="418"/>
      <c r="I690" s="423"/>
      <c r="J690" s="523"/>
      <c r="K690" s="424"/>
      <c r="L690" s="424"/>
      <c r="M690" s="418"/>
      <c r="N690" s="518"/>
      <c r="O690" s="423"/>
      <c r="P690" s="427"/>
      <c r="Q690" s="423"/>
      <c r="R690" s="523"/>
      <c r="S690" s="424"/>
      <c r="T690" s="424"/>
      <c r="U690" s="418"/>
      <c r="V690" s="428"/>
      <c r="W690" s="418"/>
      <c r="X690" s="418"/>
      <c r="Y690" s="524"/>
      <c r="Z690" s="418"/>
      <c r="AA690" s="418"/>
      <c r="AB690" s="429"/>
    </row>
    <row r="691" spans="1:28">
      <c r="A691" s="418"/>
      <c r="B691" s="418"/>
      <c r="C691" s="418"/>
      <c r="D691" s="520"/>
      <c r="E691" s="520"/>
      <c r="F691" s="520"/>
      <c r="G691" s="520"/>
      <c r="H691" s="418"/>
      <c r="I691" s="423"/>
      <c r="J691" s="523"/>
      <c r="K691" s="424"/>
      <c r="L691" s="424"/>
      <c r="M691" s="418"/>
      <c r="N691" s="518"/>
      <c r="O691" s="423"/>
      <c r="P691" s="427"/>
      <c r="Q691" s="423"/>
      <c r="R691" s="523"/>
      <c r="S691" s="424"/>
      <c r="T691" s="424"/>
      <c r="U691" s="418"/>
      <c r="V691" s="428"/>
      <c r="W691" s="418"/>
      <c r="X691" s="418"/>
      <c r="Y691" s="524"/>
      <c r="Z691" s="418"/>
      <c r="AA691" s="418"/>
      <c r="AB691" s="429"/>
    </row>
    <row r="692" spans="1:28">
      <c r="A692" s="418"/>
      <c r="B692" s="418"/>
      <c r="C692" s="418"/>
      <c r="D692" s="520"/>
      <c r="E692" s="520"/>
      <c r="F692" s="520"/>
      <c r="G692" s="520"/>
      <c r="H692" s="418"/>
      <c r="I692" s="423"/>
      <c r="J692" s="523"/>
      <c r="K692" s="424"/>
      <c r="L692" s="424"/>
      <c r="M692" s="418"/>
      <c r="N692" s="518"/>
      <c r="O692" s="423"/>
      <c r="P692" s="427"/>
      <c r="Q692" s="423"/>
      <c r="R692" s="523"/>
      <c r="S692" s="424"/>
      <c r="T692" s="424"/>
      <c r="U692" s="418"/>
      <c r="V692" s="428"/>
      <c r="W692" s="418"/>
      <c r="X692" s="418"/>
      <c r="Y692" s="524"/>
      <c r="Z692" s="418"/>
      <c r="AA692" s="418"/>
      <c r="AB692" s="429"/>
    </row>
    <row r="693" spans="1:28">
      <c r="A693" s="418"/>
      <c r="B693" s="418"/>
      <c r="C693" s="418"/>
      <c r="D693" s="520"/>
      <c r="E693" s="520"/>
      <c r="F693" s="520"/>
      <c r="G693" s="520"/>
      <c r="H693" s="418"/>
      <c r="I693" s="423"/>
      <c r="J693" s="523"/>
      <c r="K693" s="424"/>
      <c r="L693" s="424"/>
      <c r="M693" s="418"/>
      <c r="N693" s="518"/>
      <c r="O693" s="423"/>
      <c r="P693" s="427"/>
      <c r="Q693" s="423"/>
      <c r="R693" s="523"/>
      <c r="S693" s="424"/>
      <c r="T693" s="424"/>
      <c r="U693" s="418"/>
      <c r="V693" s="428"/>
      <c r="W693" s="418"/>
      <c r="X693" s="418"/>
      <c r="Y693" s="524"/>
      <c r="Z693" s="418"/>
      <c r="AA693" s="418"/>
      <c r="AB693" s="429"/>
    </row>
    <row r="694" spans="1:28">
      <c r="A694" s="418"/>
      <c r="B694" s="418"/>
      <c r="C694" s="418"/>
      <c r="D694" s="520"/>
      <c r="E694" s="520"/>
      <c r="F694" s="520"/>
      <c r="G694" s="520"/>
      <c r="H694" s="418"/>
      <c r="I694" s="423"/>
      <c r="J694" s="523"/>
      <c r="K694" s="424"/>
      <c r="L694" s="424"/>
      <c r="M694" s="418"/>
      <c r="N694" s="518"/>
      <c r="O694" s="423"/>
      <c r="P694" s="427"/>
      <c r="Q694" s="423"/>
      <c r="R694" s="523"/>
      <c r="S694" s="424"/>
      <c r="T694" s="424"/>
      <c r="U694" s="418"/>
      <c r="V694" s="428"/>
      <c r="W694" s="418"/>
      <c r="X694" s="418"/>
      <c r="Y694" s="524"/>
      <c r="Z694" s="418"/>
      <c r="AA694" s="418"/>
      <c r="AB694" s="429"/>
    </row>
    <row r="695" spans="1:28">
      <c r="A695" s="418"/>
      <c r="B695" s="418"/>
      <c r="C695" s="418"/>
      <c r="D695" s="520"/>
      <c r="E695" s="520"/>
      <c r="F695" s="520"/>
      <c r="G695" s="520"/>
      <c r="H695" s="418"/>
      <c r="I695" s="423"/>
      <c r="J695" s="523"/>
      <c r="K695" s="424"/>
      <c r="L695" s="424"/>
      <c r="M695" s="418"/>
      <c r="N695" s="518"/>
      <c r="O695" s="423"/>
      <c r="P695" s="427"/>
      <c r="Q695" s="423"/>
      <c r="R695" s="523"/>
      <c r="S695" s="424"/>
      <c r="T695" s="424"/>
      <c r="U695" s="418"/>
      <c r="V695" s="428"/>
      <c r="W695" s="418"/>
      <c r="X695" s="418"/>
      <c r="Y695" s="524"/>
      <c r="Z695" s="418"/>
      <c r="AA695" s="418"/>
      <c r="AB695" s="429"/>
    </row>
    <row r="696" spans="1:28">
      <c r="A696" s="418"/>
      <c r="B696" s="418"/>
      <c r="C696" s="418"/>
      <c r="D696" s="520"/>
      <c r="E696" s="520"/>
      <c r="F696" s="520"/>
      <c r="G696" s="520"/>
      <c r="H696" s="418"/>
      <c r="I696" s="423"/>
      <c r="J696" s="523"/>
      <c r="K696" s="424"/>
      <c r="L696" s="424"/>
      <c r="M696" s="418"/>
      <c r="N696" s="518"/>
      <c r="O696" s="423"/>
      <c r="P696" s="427"/>
      <c r="Q696" s="423"/>
      <c r="R696" s="523"/>
      <c r="S696" s="424"/>
      <c r="T696" s="424"/>
      <c r="U696" s="418"/>
      <c r="V696" s="428"/>
      <c r="W696" s="418"/>
      <c r="X696" s="418"/>
      <c r="Y696" s="524"/>
      <c r="Z696" s="418"/>
      <c r="AA696" s="418"/>
      <c r="AB696" s="429"/>
    </row>
    <row r="697" spans="1:28">
      <c r="A697" s="418"/>
      <c r="B697" s="418"/>
      <c r="C697" s="418"/>
      <c r="D697" s="520"/>
      <c r="E697" s="520"/>
      <c r="F697" s="520"/>
      <c r="G697" s="520"/>
      <c r="H697" s="418"/>
      <c r="I697" s="423"/>
      <c r="J697" s="523"/>
      <c r="K697" s="424"/>
      <c r="L697" s="424"/>
      <c r="M697" s="418"/>
      <c r="N697" s="518"/>
      <c r="O697" s="423"/>
      <c r="P697" s="427"/>
      <c r="Q697" s="423"/>
      <c r="R697" s="523"/>
      <c r="S697" s="424"/>
      <c r="T697" s="424"/>
      <c r="U697" s="418"/>
      <c r="V697" s="428"/>
      <c r="W697" s="418"/>
      <c r="X697" s="418"/>
      <c r="Y697" s="524"/>
      <c r="Z697" s="418"/>
      <c r="AA697" s="418"/>
      <c r="AB697" s="429"/>
    </row>
    <row r="698" spans="1:28">
      <c r="A698" s="418"/>
      <c r="B698" s="418"/>
      <c r="C698" s="418"/>
      <c r="D698" s="520"/>
      <c r="E698" s="520"/>
      <c r="F698" s="520"/>
      <c r="G698" s="520"/>
      <c r="H698" s="418"/>
      <c r="I698" s="423"/>
      <c r="J698" s="523"/>
      <c r="K698" s="424"/>
      <c r="L698" s="424"/>
      <c r="M698" s="418"/>
      <c r="N698" s="518"/>
      <c r="O698" s="423"/>
      <c r="P698" s="427"/>
      <c r="Q698" s="423"/>
      <c r="R698" s="523"/>
      <c r="S698" s="424"/>
      <c r="T698" s="424"/>
      <c r="U698" s="418"/>
      <c r="V698" s="428"/>
      <c r="W698" s="418"/>
      <c r="X698" s="418"/>
      <c r="Y698" s="524"/>
      <c r="Z698" s="418"/>
      <c r="AA698" s="418"/>
      <c r="AB698" s="429"/>
    </row>
    <row r="699" spans="1:28">
      <c r="A699" s="418"/>
      <c r="B699" s="418"/>
      <c r="C699" s="418"/>
      <c r="D699" s="520"/>
      <c r="E699" s="520"/>
      <c r="F699" s="520"/>
      <c r="G699" s="520"/>
      <c r="H699" s="418"/>
      <c r="I699" s="423"/>
      <c r="J699" s="523"/>
      <c r="K699" s="424"/>
      <c r="L699" s="424"/>
      <c r="M699" s="418"/>
      <c r="N699" s="518"/>
      <c r="O699" s="423"/>
      <c r="P699" s="427"/>
      <c r="Q699" s="423"/>
      <c r="R699" s="523"/>
      <c r="S699" s="424"/>
      <c r="T699" s="424"/>
      <c r="U699" s="418"/>
      <c r="V699" s="428"/>
      <c r="W699" s="418"/>
      <c r="X699" s="418"/>
      <c r="Y699" s="524"/>
      <c r="Z699" s="418"/>
      <c r="AA699" s="418"/>
      <c r="AB699" s="429"/>
    </row>
    <row r="700" spans="1:28">
      <c r="A700" s="418"/>
      <c r="B700" s="418"/>
      <c r="C700" s="418"/>
      <c r="D700" s="520"/>
      <c r="E700" s="520"/>
      <c r="F700" s="520"/>
      <c r="G700" s="520"/>
      <c r="H700" s="418"/>
      <c r="I700" s="423"/>
      <c r="J700" s="523"/>
      <c r="K700" s="424"/>
      <c r="L700" s="424"/>
      <c r="M700" s="418"/>
      <c r="N700" s="518"/>
      <c r="O700" s="423"/>
      <c r="P700" s="427"/>
      <c r="Q700" s="423"/>
      <c r="R700" s="523"/>
      <c r="S700" s="424"/>
      <c r="T700" s="424"/>
      <c r="U700" s="418"/>
      <c r="V700" s="428"/>
      <c r="W700" s="418"/>
      <c r="X700" s="418"/>
      <c r="Y700" s="524"/>
      <c r="Z700" s="418"/>
      <c r="AA700" s="418"/>
      <c r="AB700" s="429"/>
    </row>
    <row r="701" spans="1:28">
      <c r="A701" s="418"/>
      <c r="B701" s="418"/>
      <c r="C701" s="418"/>
      <c r="D701" s="520"/>
      <c r="E701" s="520"/>
      <c r="F701" s="520"/>
      <c r="G701" s="520"/>
      <c r="H701" s="418"/>
      <c r="I701" s="423"/>
      <c r="J701" s="523"/>
      <c r="K701" s="424"/>
      <c r="L701" s="424"/>
      <c r="M701" s="418"/>
      <c r="N701" s="518"/>
      <c r="O701" s="423"/>
      <c r="P701" s="427"/>
      <c r="Q701" s="423"/>
      <c r="R701" s="523"/>
      <c r="S701" s="424"/>
      <c r="T701" s="424"/>
      <c r="U701" s="418"/>
      <c r="V701" s="428"/>
      <c r="W701" s="418"/>
      <c r="X701" s="418"/>
      <c r="Y701" s="524"/>
      <c r="Z701" s="418"/>
      <c r="AA701" s="418"/>
      <c r="AB701" s="429"/>
    </row>
    <row r="702" spans="1:28">
      <c r="A702" s="418"/>
      <c r="B702" s="418"/>
      <c r="C702" s="418"/>
      <c r="D702" s="520"/>
      <c r="E702" s="520"/>
      <c r="F702" s="520"/>
      <c r="G702" s="520"/>
      <c r="H702" s="418"/>
      <c r="I702" s="423"/>
      <c r="J702" s="523"/>
      <c r="K702" s="424"/>
      <c r="L702" s="424"/>
      <c r="M702" s="418"/>
      <c r="N702" s="518"/>
      <c r="O702" s="423"/>
      <c r="P702" s="427"/>
      <c r="Q702" s="423"/>
      <c r="R702" s="523"/>
      <c r="S702" s="424"/>
      <c r="T702" s="424"/>
      <c r="U702" s="418"/>
      <c r="V702" s="428"/>
      <c r="W702" s="418"/>
      <c r="X702" s="418"/>
      <c r="Y702" s="524"/>
      <c r="Z702" s="418"/>
      <c r="AA702" s="418"/>
      <c r="AB702" s="429"/>
    </row>
    <row r="703" spans="1:28">
      <c r="A703" s="418"/>
      <c r="B703" s="418"/>
      <c r="C703" s="418"/>
      <c r="D703" s="520"/>
      <c r="E703" s="520"/>
      <c r="F703" s="520"/>
      <c r="G703" s="520"/>
      <c r="H703" s="418"/>
      <c r="I703" s="423"/>
      <c r="J703" s="523"/>
      <c r="K703" s="424"/>
      <c r="L703" s="424"/>
      <c r="M703" s="418"/>
      <c r="N703" s="518"/>
      <c r="O703" s="423"/>
      <c r="P703" s="427"/>
      <c r="Q703" s="423"/>
      <c r="R703" s="523"/>
      <c r="S703" s="424"/>
      <c r="T703" s="424"/>
      <c r="U703" s="418"/>
      <c r="V703" s="428"/>
      <c r="W703" s="418"/>
      <c r="X703" s="418"/>
      <c r="Y703" s="524"/>
      <c r="Z703" s="418"/>
      <c r="AA703" s="418"/>
      <c r="AB703" s="429"/>
    </row>
    <row r="704" spans="1:28">
      <c r="A704" s="418"/>
      <c r="B704" s="418"/>
      <c r="C704" s="418"/>
      <c r="D704" s="520"/>
      <c r="E704" s="520"/>
      <c r="F704" s="520"/>
      <c r="G704" s="520"/>
      <c r="H704" s="418"/>
      <c r="I704" s="423"/>
      <c r="J704" s="523"/>
      <c r="K704" s="424"/>
      <c r="L704" s="424"/>
      <c r="M704" s="418"/>
      <c r="N704" s="518"/>
      <c r="O704" s="423"/>
      <c r="P704" s="427"/>
      <c r="Q704" s="423"/>
      <c r="R704" s="523"/>
      <c r="S704" s="424"/>
      <c r="T704" s="424"/>
      <c r="U704" s="418"/>
      <c r="V704" s="428"/>
      <c r="W704" s="418"/>
      <c r="X704" s="418"/>
      <c r="Y704" s="524"/>
      <c r="Z704" s="418"/>
      <c r="AA704" s="418"/>
      <c r="AB704" s="429"/>
    </row>
    <row r="705" spans="1:28">
      <c r="A705" s="418"/>
      <c r="B705" s="418"/>
      <c r="C705" s="418"/>
      <c r="D705" s="520"/>
      <c r="E705" s="520"/>
      <c r="F705" s="520"/>
      <c r="G705" s="520"/>
      <c r="H705" s="418"/>
      <c r="I705" s="423"/>
      <c r="J705" s="523"/>
      <c r="K705" s="424"/>
      <c r="L705" s="424"/>
      <c r="M705" s="418"/>
      <c r="N705" s="518"/>
      <c r="O705" s="423"/>
      <c r="P705" s="427"/>
      <c r="Q705" s="423"/>
      <c r="R705" s="523"/>
      <c r="S705" s="424"/>
      <c r="T705" s="424"/>
      <c r="U705" s="418"/>
      <c r="V705" s="428"/>
      <c r="W705" s="418"/>
      <c r="X705" s="418"/>
      <c r="Y705" s="524"/>
      <c r="Z705" s="418"/>
      <c r="AA705" s="418"/>
      <c r="AB705" s="429"/>
    </row>
    <row r="706" spans="1:28">
      <c r="A706" s="418"/>
      <c r="B706" s="418"/>
      <c r="C706" s="418"/>
      <c r="D706" s="520"/>
      <c r="E706" s="520"/>
      <c r="F706" s="520"/>
      <c r="G706" s="520"/>
      <c r="H706" s="418"/>
      <c r="I706" s="423"/>
      <c r="J706" s="523"/>
      <c r="K706" s="424"/>
      <c r="L706" s="424"/>
      <c r="M706" s="418"/>
      <c r="N706" s="518"/>
      <c r="O706" s="423"/>
      <c r="P706" s="427"/>
      <c r="Q706" s="423"/>
      <c r="R706" s="523"/>
      <c r="S706" s="424"/>
      <c r="T706" s="424"/>
      <c r="U706" s="418"/>
      <c r="V706" s="428"/>
      <c r="W706" s="418"/>
      <c r="X706" s="418"/>
      <c r="Y706" s="524"/>
      <c r="Z706" s="418"/>
      <c r="AA706" s="418"/>
      <c r="AB706" s="429"/>
    </row>
    <row r="707" spans="1:28">
      <c r="A707" s="418"/>
      <c r="B707" s="418"/>
      <c r="C707" s="418"/>
      <c r="D707" s="520"/>
      <c r="E707" s="520"/>
      <c r="F707" s="520"/>
      <c r="G707" s="520"/>
      <c r="H707" s="418"/>
      <c r="I707" s="423"/>
      <c r="J707" s="523"/>
      <c r="K707" s="424"/>
      <c r="L707" s="424"/>
      <c r="M707" s="418"/>
      <c r="N707" s="518"/>
      <c r="O707" s="423"/>
      <c r="P707" s="427"/>
      <c r="Q707" s="423"/>
      <c r="R707" s="523"/>
      <c r="S707" s="424"/>
      <c r="T707" s="424"/>
      <c r="U707" s="418"/>
      <c r="V707" s="428"/>
      <c r="W707" s="418"/>
      <c r="X707" s="418"/>
      <c r="Y707" s="524"/>
      <c r="Z707" s="418"/>
      <c r="AA707" s="418"/>
      <c r="AB707" s="429"/>
    </row>
    <row r="708" spans="1:28">
      <c r="A708" s="418"/>
      <c r="B708" s="418"/>
      <c r="C708" s="418"/>
      <c r="D708" s="520"/>
      <c r="E708" s="520"/>
      <c r="F708" s="520"/>
      <c r="G708" s="520"/>
      <c r="H708" s="418"/>
      <c r="I708" s="423"/>
      <c r="J708" s="523"/>
      <c r="K708" s="424"/>
      <c r="L708" s="424"/>
      <c r="M708" s="418"/>
      <c r="N708" s="518"/>
      <c r="O708" s="423"/>
      <c r="P708" s="427"/>
      <c r="Q708" s="423"/>
      <c r="R708" s="523"/>
      <c r="S708" s="424"/>
      <c r="T708" s="424"/>
      <c r="U708" s="418"/>
      <c r="V708" s="428"/>
      <c r="W708" s="418"/>
      <c r="X708" s="418"/>
      <c r="Y708" s="524"/>
      <c r="Z708" s="418"/>
      <c r="AA708" s="418"/>
      <c r="AB708" s="429"/>
    </row>
    <row r="709" spans="1:28">
      <c r="A709" s="418"/>
      <c r="B709" s="418"/>
      <c r="C709" s="418"/>
      <c r="D709" s="520"/>
      <c r="E709" s="520"/>
      <c r="F709" s="520"/>
      <c r="G709" s="520"/>
      <c r="H709" s="418"/>
      <c r="I709" s="423"/>
      <c r="J709" s="523"/>
      <c r="K709" s="424"/>
      <c r="L709" s="424"/>
      <c r="M709" s="418"/>
      <c r="N709" s="518"/>
      <c r="O709" s="423"/>
      <c r="P709" s="427"/>
      <c r="Q709" s="423"/>
      <c r="R709" s="523"/>
      <c r="S709" s="424"/>
      <c r="T709" s="424"/>
      <c r="U709" s="418"/>
      <c r="V709" s="428"/>
      <c r="W709" s="418"/>
      <c r="X709" s="418"/>
      <c r="Y709" s="524"/>
      <c r="Z709" s="418"/>
      <c r="AA709" s="418"/>
      <c r="AB709" s="429"/>
    </row>
    <row r="710" spans="1:28">
      <c r="A710" s="418"/>
      <c r="B710" s="418"/>
      <c r="C710" s="418"/>
      <c r="D710" s="520"/>
      <c r="E710" s="520"/>
      <c r="F710" s="520"/>
      <c r="G710" s="520"/>
      <c r="H710" s="418"/>
      <c r="I710" s="423"/>
      <c r="J710" s="523"/>
      <c r="K710" s="424"/>
      <c r="L710" s="424"/>
      <c r="M710" s="418"/>
      <c r="N710" s="518"/>
      <c r="O710" s="423"/>
      <c r="P710" s="427"/>
      <c r="Q710" s="423"/>
      <c r="R710" s="523"/>
      <c r="S710" s="424"/>
      <c r="T710" s="424"/>
      <c r="U710" s="418"/>
      <c r="V710" s="428"/>
      <c r="W710" s="418"/>
      <c r="X710" s="418"/>
      <c r="Y710" s="524"/>
      <c r="Z710" s="418"/>
      <c r="AA710" s="418"/>
      <c r="AB710" s="429"/>
    </row>
    <row r="711" spans="1:28">
      <c r="A711" s="418"/>
      <c r="B711" s="418"/>
      <c r="C711" s="418"/>
      <c r="D711" s="520"/>
      <c r="E711" s="520"/>
      <c r="F711" s="520"/>
      <c r="G711" s="520"/>
      <c r="H711" s="418"/>
      <c r="I711" s="423"/>
      <c r="J711" s="523"/>
      <c r="K711" s="424"/>
      <c r="L711" s="424"/>
      <c r="M711" s="418"/>
      <c r="N711" s="518"/>
      <c r="O711" s="423"/>
      <c r="P711" s="427"/>
      <c r="Q711" s="423"/>
      <c r="R711" s="523"/>
      <c r="S711" s="424"/>
      <c r="T711" s="424"/>
      <c r="U711" s="418"/>
      <c r="V711" s="428"/>
      <c r="W711" s="418"/>
      <c r="X711" s="418"/>
      <c r="Y711" s="524"/>
      <c r="Z711" s="418"/>
      <c r="AA711" s="418"/>
      <c r="AB711" s="429"/>
    </row>
    <row r="712" spans="1:28">
      <c r="A712" s="418"/>
      <c r="B712" s="418"/>
      <c r="C712" s="418"/>
      <c r="D712" s="520"/>
      <c r="E712" s="520"/>
      <c r="F712" s="520"/>
      <c r="G712" s="520"/>
      <c r="H712" s="418"/>
      <c r="I712" s="423"/>
      <c r="J712" s="523"/>
      <c r="K712" s="424"/>
      <c r="L712" s="424"/>
      <c r="M712" s="418"/>
      <c r="N712" s="518"/>
      <c r="O712" s="423"/>
      <c r="P712" s="427"/>
      <c r="Q712" s="423"/>
      <c r="R712" s="523"/>
      <c r="S712" s="424"/>
      <c r="T712" s="424"/>
      <c r="U712" s="418"/>
      <c r="V712" s="428"/>
      <c r="W712" s="418"/>
      <c r="X712" s="418"/>
      <c r="Y712" s="524"/>
      <c r="Z712" s="418"/>
      <c r="AA712" s="418"/>
      <c r="AB712" s="429"/>
    </row>
    <row r="713" spans="1:28">
      <c r="A713" s="418"/>
      <c r="B713" s="418"/>
      <c r="C713" s="418"/>
      <c r="D713" s="520"/>
      <c r="E713" s="520"/>
      <c r="F713" s="520"/>
      <c r="G713" s="520"/>
      <c r="H713" s="418"/>
      <c r="I713" s="423"/>
      <c r="J713" s="523"/>
      <c r="K713" s="424"/>
      <c r="L713" s="424"/>
      <c r="M713" s="418"/>
      <c r="N713" s="518"/>
      <c r="O713" s="423"/>
      <c r="P713" s="427"/>
      <c r="Q713" s="423"/>
      <c r="R713" s="523"/>
      <c r="S713" s="424"/>
      <c r="T713" s="424"/>
      <c r="U713" s="418"/>
      <c r="V713" s="428"/>
      <c r="W713" s="418"/>
      <c r="X713" s="418"/>
      <c r="Y713" s="524"/>
      <c r="Z713" s="418"/>
      <c r="AA713" s="418"/>
      <c r="AB713" s="429"/>
    </row>
    <row r="714" spans="1:28">
      <c r="A714" s="418"/>
      <c r="B714" s="418"/>
      <c r="C714" s="418"/>
      <c r="D714" s="520"/>
      <c r="E714" s="520"/>
      <c r="F714" s="520"/>
      <c r="G714" s="520"/>
      <c r="H714" s="418"/>
      <c r="I714" s="423"/>
      <c r="J714" s="523"/>
      <c r="K714" s="424"/>
      <c r="L714" s="424"/>
      <c r="M714" s="418"/>
      <c r="N714" s="518"/>
      <c r="O714" s="423"/>
      <c r="P714" s="427"/>
      <c r="Q714" s="423"/>
      <c r="R714" s="523"/>
      <c r="S714" s="424"/>
      <c r="T714" s="424"/>
      <c r="U714" s="418"/>
      <c r="V714" s="428"/>
      <c r="W714" s="418"/>
      <c r="X714" s="418"/>
      <c r="Y714" s="524"/>
      <c r="Z714" s="418"/>
      <c r="AA714" s="418"/>
      <c r="AB714" s="429"/>
    </row>
    <row r="715" spans="1:28">
      <c r="A715" s="418"/>
      <c r="B715" s="418"/>
      <c r="C715" s="418"/>
      <c r="D715" s="520"/>
      <c r="E715" s="520"/>
      <c r="F715" s="520"/>
      <c r="G715" s="520"/>
      <c r="H715" s="418"/>
      <c r="I715" s="423"/>
      <c r="J715" s="523"/>
      <c r="K715" s="424"/>
      <c r="L715" s="424"/>
      <c r="M715" s="418"/>
      <c r="N715" s="518"/>
      <c r="O715" s="423"/>
      <c r="P715" s="427"/>
      <c r="Q715" s="423"/>
      <c r="R715" s="523"/>
      <c r="S715" s="424"/>
      <c r="T715" s="424"/>
      <c r="U715" s="418"/>
      <c r="V715" s="428"/>
      <c r="W715" s="418"/>
      <c r="X715" s="418"/>
      <c r="Y715" s="524"/>
      <c r="Z715" s="418"/>
      <c r="AA715" s="418"/>
      <c r="AB715" s="429"/>
    </row>
    <row r="716" spans="1:28">
      <c r="A716" s="418"/>
      <c r="B716" s="418"/>
      <c r="C716" s="418"/>
      <c r="D716" s="520"/>
      <c r="E716" s="520"/>
      <c r="F716" s="520"/>
      <c r="G716" s="520"/>
      <c r="H716" s="418"/>
      <c r="I716" s="423"/>
      <c r="J716" s="523"/>
      <c r="K716" s="424"/>
      <c r="L716" s="424"/>
      <c r="M716" s="418"/>
      <c r="N716" s="518"/>
      <c r="O716" s="423"/>
      <c r="P716" s="427"/>
      <c r="Q716" s="423"/>
      <c r="R716" s="523"/>
      <c r="S716" s="424"/>
      <c r="T716" s="424"/>
      <c r="U716" s="418"/>
      <c r="V716" s="428"/>
      <c r="W716" s="418"/>
      <c r="X716" s="418"/>
      <c r="Y716" s="524"/>
      <c r="Z716" s="418"/>
      <c r="AA716" s="418"/>
      <c r="AB716" s="429"/>
    </row>
    <row r="717" spans="1:28">
      <c r="A717" s="418"/>
      <c r="B717" s="418"/>
      <c r="C717" s="418"/>
      <c r="D717" s="520"/>
      <c r="E717" s="520"/>
      <c r="F717" s="520"/>
      <c r="G717" s="520"/>
      <c r="H717" s="418"/>
      <c r="I717" s="423"/>
      <c r="J717" s="523"/>
      <c r="K717" s="424"/>
      <c r="L717" s="424"/>
      <c r="M717" s="418"/>
      <c r="N717" s="518"/>
      <c r="O717" s="423"/>
      <c r="P717" s="427"/>
      <c r="Q717" s="423"/>
      <c r="R717" s="523"/>
      <c r="S717" s="424"/>
      <c r="T717" s="424"/>
      <c r="U717" s="418"/>
      <c r="V717" s="428"/>
      <c r="W717" s="418"/>
      <c r="X717" s="418"/>
      <c r="Y717" s="524"/>
      <c r="Z717" s="418"/>
      <c r="AA717" s="418"/>
      <c r="AB717" s="429"/>
    </row>
    <row r="718" spans="1:28">
      <c r="A718" s="418"/>
      <c r="B718" s="418"/>
      <c r="C718" s="418"/>
      <c r="D718" s="520"/>
      <c r="E718" s="520"/>
      <c r="F718" s="520"/>
      <c r="G718" s="520"/>
      <c r="H718" s="418"/>
      <c r="I718" s="423"/>
      <c r="J718" s="523"/>
      <c r="K718" s="424"/>
      <c r="L718" s="424"/>
      <c r="M718" s="418"/>
      <c r="N718" s="518"/>
      <c r="O718" s="423"/>
      <c r="P718" s="427"/>
      <c r="Q718" s="423"/>
      <c r="R718" s="523"/>
      <c r="S718" s="424"/>
      <c r="T718" s="424"/>
      <c r="U718" s="418"/>
      <c r="V718" s="428"/>
      <c r="W718" s="418"/>
      <c r="X718" s="418"/>
      <c r="Y718" s="524"/>
      <c r="Z718" s="418"/>
      <c r="AA718" s="418"/>
      <c r="AB718" s="429"/>
    </row>
    <row r="719" spans="1:28">
      <c r="A719" s="418"/>
      <c r="B719" s="418"/>
      <c r="C719" s="418"/>
      <c r="D719" s="520"/>
      <c r="E719" s="520"/>
      <c r="F719" s="520"/>
      <c r="G719" s="520"/>
      <c r="H719" s="418"/>
      <c r="I719" s="423"/>
      <c r="J719" s="523"/>
      <c r="K719" s="424"/>
      <c r="L719" s="424"/>
      <c r="M719" s="418"/>
      <c r="N719" s="518"/>
      <c r="O719" s="423"/>
      <c r="P719" s="427"/>
      <c r="Q719" s="423"/>
      <c r="R719" s="523"/>
      <c r="S719" s="424"/>
      <c r="T719" s="424"/>
      <c r="U719" s="418"/>
      <c r="V719" s="428"/>
      <c r="W719" s="418"/>
      <c r="X719" s="418"/>
      <c r="Y719" s="524"/>
      <c r="Z719" s="418"/>
      <c r="AA719" s="418"/>
      <c r="AB719" s="429"/>
    </row>
    <row r="720" spans="1:28">
      <c r="A720" s="418"/>
      <c r="B720" s="418"/>
      <c r="C720" s="418"/>
      <c r="D720" s="520"/>
      <c r="E720" s="520"/>
      <c r="F720" s="520"/>
      <c r="G720" s="520"/>
      <c r="H720" s="418"/>
      <c r="I720" s="423"/>
      <c r="J720" s="523"/>
      <c r="K720" s="424"/>
      <c r="L720" s="424"/>
      <c r="M720" s="418"/>
      <c r="N720" s="518"/>
      <c r="O720" s="423"/>
      <c r="P720" s="427"/>
      <c r="Q720" s="423"/>
      <c r="R720" s="523"/>
      <c r="S720" s="424"/>
      <c r="T720" s="424"/>
      <c r="U720" s="418"/>
      <c r="V720" s="428"/>
      <c r="W720" s="418"/>
      <c r="X720" s="418"/>
      <c r="Y720" s="524"/>
      <c r="Z720" s="418"/>
      <c r="AA720" s="418"/>
      <c r="AB720" s="429"/>
    </row>
    <row r="721" spans="1:28">
      <c r="A721" s="418"/>
      <c r="B721" s="418"/>
      <c r="C721" s="418"/>
      <c r="D721" s="520"/>
      <c r="E721" s="520"/>
      <c r="F721" s="520"/>
      <c r="G721" s="520"/>
      <c r="H721" s="418"/>
      <c r="I721" s="423"/>
      <c r="J721" s="523"/>
      <c r="K721" s="424"/>
      <c r="L721" s="424"/>
      <c r="M721" s="418"/>
      <c r="N721" s="518"/>
      <c r="O721" s="423"/>
      <c r="P721" s="427"/>
      <c r="Q721" s="423"/>
      <c r="R721" s="523"/>
      <c r="S721" s="424"/>
      <c r="T721" s="424"/>
      <c r="U721" s="418"/>
      <c r="V721" s="428"/>
      <c r="W721" s="418"/>
      <c r="X721" s="418"/>
      <c r="Y721" s="524"/>
      <c r="Z721" s="418"/>
      <c r="AA721" s="418"/>
      <c r="AB721" s="429"/>
    </row>
    <row r="722" spans="1:28">
      <c r="A722" s="418"/>
      <c r="B722" s="418"/>
      <c r="C722" s="418"/>
      <c r="D722" s="520"/>
      <c r="E722" s="520"/>
      <c r="F722" s="520"/>
      <c r="G722" s="520"/>
      <c r="H722" s="418"/>
      <c r="I722" s="423"/>
      <c r="J722" s="523"/>
      <c r="K722" s="424"/>
      <c r="L722" s="424"/>
      <c r="M722" s="418"/>
      <c r="N722" s="518"/>
      <c r="O722" s="423"/>
      <c r="P722" s="427"/>
      <c r="Q722" s="423"/>
      <c r="R722" s="523"/>
      <c r="S722" s="424"/>
      <c r="T722" s="424"/>
      <c r="U722" s="418"/>
      <c r="V722" s="428"/>
      <c r="W722" s="418"/>
      <c r="X722" s="418"/>
      <c r="Y722" s="524"/>
      <c r="Z722" s="418"/>
      <c r="AA722" s="418"/>
      <c r="AB722" s="429"/>
    </row>
    <row r="723" spans="1:28">
      <c r="A723" s="418"/>
      <c r="B723" s="418"/>
      <c r="C723" s="418"/>
      <c r="D723" s="520"/>
      <c r="E723" s="520"/>
      <c r="F723" s="520"/>
      <c r="G723" s="520"/>
      <c r="H723" s="418"/>
      <c r="I723" s="423"/>
      <c r="J723" s="523"/>
      <c r="K723" s="424"/>
      <c r="L723" s="424"/>
      <c r="M723" s="418"/>
      <c r="N723" s="518"/>
      <c r="O723" s="423"/>
      <c r="P723" s="427"/>
      <c r="Q723" s="423"/>
      <c r="R723" s="523"/>
      <c r="S723" s="424"/>
      <c r="T723" s="424"/>
      <c r="U723" s="418"/>
      <c r="V723" s="428"/>
      <c r="W723" s="418"/>
      <c r="X723" s="418"/>
      <c r="Y723" s="524"/>
      <c r="Z723" s="418"/>
      <c r="AA723" s="418"/>
      <c r="AB723" s="429"/>
    </row>
    <row r="724" spans="1:28">
      <c r="A724" s="418"/>
      <c r="B724" s="418"/>
      <c r="C724" s="418"/>
      <c r="D724" s="520"/>
      <c r="E724" s="520"/>
      <c r="F724" s="520"/>
      <c r="G724" s="520"/>
      <c r="H724" s="418"/>
      <c r="I724" s="423"/>
      <c r="J724" s="523"/>
      <c r="K724" s="424"/>
      <c r="L724" s="424"/>
      <c r="M724" s="418"/>
      <c r="N724" s="518"/>
      <c r="O724" s="423"/>
      <c r="P724" s="427"/>
      <c r="Q724" s="423"/>
      <c r="R724" s="523"/>
      <c r="S724" s="424"/>
      <c r="T724" s="424"/>
      <c r="U724" s="418"/>
      <c r="V724" s="428"/>
      <c r="W724" s="418"/>
      <c r="X724" s="418"/>
      <c r="Y724" s="524"/>
      <c r="Z724" s="418"/>
      <c r="AA724" s="418"/>
      <c r="AB724" s="429"/>
    </row>
    <row r="725" spans="1:28">
      <c r="A725" s="418"/>
      <c r="B725" s="418"/>
      <c r="C725" s="418"/>
      <c r="D725" s="520"/>
      <c r="E725" s="520"/>
      <c r="F725" s="520"/>
      <c r="G725" s="520"/>
      <c r="H725" s="418"/>
      <c r="I725" s="423"/>
      <c r="J725" s="523"/>
      <c r="K725" s="424"/>
      <c r="L725" s="424"/>
      <c r="M725" s="418"/>
      <c r="N725" s="518"/>
      <c r="O725" s="423"/>
      <c r="P725" s="427"/>
      <c r="Q725" s="423"/>
      <c r="R725" s="523"/>
      <c r="S725" s="424"/>
      <c r="T725" s="424"/>
      <c r="U725" s="418"/>
      <c r="V725" s="428"/>
      <c r="W725" s="418"/>
      <c r="X725" s="418"/>
      <c r="Y725" s="524"/>
      <c r="Z725" s="418"/>
      <c r="AA725" s="418"/>
      <c r="AB725" s="429"/>
    </row>
    <row r="726" spans="1:28">
      <c r="A726" s="418"/>
      <c r="B726" s="418"/>
      <c r="C726" s="418"/>
      <c r="D726" s="520"/>
      <c r="E726" s="520"/>
      <c r="F726" s="520"/>
      <c r="G726" s="520"/>
      <c r="H726" s="418"/>
      <c r="I726" s="423"/>
      <c r="J726" s="523"/>
      <c r="K726" s="424"/>
      <c r="L726" s="424"/>
      <c r="M726" s="418"/>
      <c r="N726" s="518"/>
      <c r="O726" s="423"/>
      <c r="P726" s="427"/>
      <c r="Q726" s="423"/>
      <c r="R726" s="523"/>
      <c r="S726" s="424"/>
      <c r="T726" s="424"/>
      <c r="U726" s="418"/>
      <c r="V726" s="428"/>
      <c r="W726" s="418"/>
      <c r="X726" s="418"/>
      <c r="Y726" s="524"/>
      <c r="Z726" s="418"/>
      <c r="AA726" s="418"/>
      <c r="AB726" s="429"/>
    </row>
    <row r="727" spans="1:28">
      <c r="A727" s="418"/>
      <c r="B727" s="418"/>
      <c r="C727" s="418"/>
      <c r="D727" s="520"/>
      <c r="E727" s="520"/>
      <c r="F727" s="520"/>
      <c r="G727" s="520"/>
      <c r="H727" s="418"/>
      <c r="I727" s="423"/>
      <c r="J727" s="523"/>
      <c r="K727" s="424"/>
      <c r="L727" s="424"/>
      <c r="M727" s="418"/>
      <c r="N727" s="518"/>
      <c r="O727" s="423"/>
      <c r="P727" s="427"/>
      <c r="Q727" s="423"/>
      <c r="R727" s="523"/>
      <c r="S727" s="424"/>
      <c r="T727" s="424"/>
      <c r="U727" s="418"/>
      <c r="V727" s="428"/>
      <c r="W727" s="418"/>
      <c r="X727" s="418"/>
      <c r="Y727" s="524"/>
      <c r="Z727" s="418"/>
      <c r="AA727" s="418"/>
      <c r="AB727" s="429"/>
    </row>
    <row r="728" spans="1:28">
      <c r="A728" s="418"/>
      <c r="B728" s="418"/>
      <c r="C728" s="418"/>
      <c r="D728" s="520"/>
      <c r="E728" s="520"/>
      <c r="F728" s="520"/>
      <c r="G728" s="520"/>
      <c r="H728" s="418"/>
      <c r="I728" s="423"/>
      <c r="J728" s="523"/>
      <c r="K728" s="424"/>
      <c r="L728" s="424"/>
      <c r="M728" s="418"/>
      <c r="N728" s="518"/>
      <c r="O728" s="423"/>
      <c r="P728" s="427"/>
      <c r="Q728" s="423"/>
      <c r="R728" s="523"/>
      <c r="S728" s="424"/>
      <c r="T728" s="424"/>
      <c r="U728" s="418"/>
      <c r="V728" s="428"/>
      <c r="W728" s="418"/>
      <c r="X728" s="418"/>
      <c r="Y728" s="524"/>
      <c r="Z728" s="418"/>
      <c r="AA728" s="418"/>
      <c r="AB728" s="429"/>
    </row>
    <row r="729" spans="1:28">
      <c r="A729" s="418"/>
      <c r="B729" s="418"/>
      <c r="C729" s="418"/>
      <c r="D729" s="520"/>
      <c r="E729" s="520"/>
      <c r="F729" s="520"/>
      <c r="G729" s="520"/>
      <c r="H729" s="418"/>
      <c r="I729" s="423"/>
      <c r="J729" s="523"/>
      <c r="K729" s="424"/>
      <c r="L729" s="424"/>
      <c r="M729" s="418"/>
      <c r="N729" s="518"/>
      <c r="O729" s="423"/>
      <c r="P729" s="427"/>
      <c r="Q729" s="423"/>
      <c r="R729" s="523"/>
      <c r="S729" s="424"/>
      <c r="T729" s="424"/>
      <c r="U729" s="418"/>
      <c r="V729" s="428"/>
      <c r="W729" s="418"/>
      <c r="X729" s="418"/>
      <c r="Y729" s="524"/>
      <c r="Z729" s="418"/>
      <c r="AA729" s="418"/>
      <c r="AB729" s="429"/>
    </row>
    <row r="730" spans="1:28">
      <c r="A730" s="418"/>
      <c r="B730" s="418"/>
      <c r="C730" s="418"/>
      <c r="D730" s="520"/>
      <c r="E730" s="520"/>
      <c r="F730" s="520"/>
      <c r="G730" s="520"/>
      <c r="H730" s="418"/>
      <c r="I730" s="423"/>
      <c r="J730" s="523"/>
      <c r="K730" s="424"/>
      <c r="L730" s="424"/>
      <c r="M730" s="418"/>
      <c r="N730" s="518"/>
      <c r="O730" s="423"/>
      <c r="P730" s="427"/>
      <c r="Q730" s="423"/>
      <c r="R730" s="523"/>
      <c r="S730" s="424"/>
      <c r="T730" s="424"/>
      <c r="U730" s="418"/>
      <c r="V730" s="428"/>
      <c r="W730" s="418"/>
      <c r="X730" s="418"/>
      <c r="Y730" s="524"/>
      <c r="Z730" s="418"/>
      <c r="AA730" s="418"/>
      <c r="AB730" s="429"/>
    </row>
    <row r="731" spans="1:28">
      <c r="A731" s="418"/>
      <c r="B731" s="418"/>
      <c r="C731" s="418"/>
      <c r="D731" s="520"/>
      <c r="E731" s="520"/>
      <c r="F731" s="520"/>
      <c r="G731" s="520"/>
      <c r="H731" s="418"/>
      <c r="I731" s="423"/>
      <c r="J731" s="523"/>
      <c r="K731" s="424"/>
      <c r="L731" s="424"/>
      <c r="M731" s="418"/>
      <c r="N731" s="518"/>
      <c r="O731" s="423"/>
      <c r="P731" s="427"/>
      <c r="Q731" s="423"/>
      <c r="R731" s="523"/>
      <c r="S731" s="424"/>
      <c r="T731" s="424"/>
      <c r="U731" s="418"/>
      <c r="V731" s="428"/>
      <c r="W731" s="418"/>
      <c r="X731" s="418"/>
      <c r="Y731" s="524"/>
      <c r="Z731" s="418"/>
      <c r="AA731" s="418"/>
      <c r="AB731" s="429"/>
    </row>
    <row r="732" spans="1:28">
      <c r="A732" s="418"/>
      <c r="B732" s="418"/>
      <c r="C732" s="418"/>
      <c r="D732" s="520"/>
      <c r="E732" s="520"/>
      <c r="F732" s="520"/>
      <c r="G732" s="520"/>
      <c r="H732" s="418"/>
      <c r="I732" s="423"/>
      <c r="J732" s="523"/>
      <c r="K732" s="424"/>
      <c r="L732" s="424"/>
      <c r="M732" s="418"/>
      <c r="N732" s="518"/>
      <c r="O732" s="423"/>
      <c r="P732" s="427"/>
      <c r="Q732" s="423"/>
      <c r="R732" s="523"/>
      <c r="S732" s="424"/>
      <c r="T732" s="424"/>
      <c r="U732" s="418"/>
      <c r="V732" s="428"/>
      <c r="W732" s="418"/>
      <c r="X732" s="418"/>
      <c r="Y732" s="524"/>
      <c r="Z732" s="418"/>
      <c r="AA732" s="418"/>
      <c r="AB732" s="429"/>
    </row>
    <row r="733" spans="1:28">
      <c r="A733" s="418"/>
      <c r="B733" s="418"/>
      <c r="C733" s="418"/>
      <c r="D733" s="520"/>
      <c r="E733" s="520"/>
      <c r="F733" s="520"/>
      <c r="G733" s="520"/>
      <c r="H733" s="418"/>
      <c r="I733" s="423"/>
      <c r="J733" s="523"/>
      <c r="K733" s="424"/>
      <c r="L733" s="424"/>
      <c r="M733" s="418"/>
      <c r="N733" s="518"/>
      <c r="O733" s="423"/>
      <c r="P733" s="427"/>
      <c r="Q733" s="423"/>
      <c r="R733" s="523"/>
      <c r="S733" s="424"/>
      <c r="T733" s="424"/>
      <c r="U733" s="418"/>
      <c r="V733" s="428"/>
      <c r="W733" s="418"/>
      <c r="X733" s="418"/>
      <c r="Y733" s="524"/>
      <c r="Z733" s="418"/>
      <c r="AA733" s="418"/>
      <c r="AB733" s="429"/>
    </row>
    <row r="734" spans="1:28">
      <c r="A734" s="418"/>
      <c r="B734" s="418"/>
      <c r="C734" s="418"/>
      <c r="D734" s="520"/>
      <c r="E734" s="520"/>
      <c r="F734" s="520"/>
      <c r="G734" s="520"/>
      <c r="H734" s="418"/>
      <c r="I734" s="423"/>
      <c r="J734" s="523"/>
      <c r="K734" s="424"/>
      <c r="L734" s="424"/>
      <c r="M734" s="418"/>
      <c r="N734" s="518"/>
      <c r="O734" s="423"/>
      <c r="P734" s="427"/>
      <c r="Q734" s="423"/>
      <c r="R734" s="523"/>
      <c r="S734" s="424"/>
      <c r="T734" s="424"/>
      <c r="U734" s="418"/>
      <c r="V734" s="428"/>
      <c r="W734" s="418"/>
      <c r="X734" s="418"/>
      <c r="Y734" s="524"/>
      <c r="Z734" s="418"/>
      <c r="AA734" s="418"/>
      <c r="AB734" s="429"/>
    </row>
    <row r="735" spans="1:28">
      <c r="A735" s="418"/>
      <c r="B735" s="418"/>
      <c r="C735" s="418"/>
      <c r="D735" s="520"/>
      <c r="E735" s="520"/>
      <c r="F735" s="520"/>
      <c r="G735" s="520"/>
      <c r="H735" s="418"/>
      <c r="I735" s="423"/>
      <c r="J735" s="523"/>
      <c r="K735" s="424"/>
      <c r="L735" s="424"/>
      <c r="M735" s="418"/>
      <c r="N735" s="518"/>
      <c r="O735" s="423"/>
      <c r="P735" s="427"/>
      <c r="Q735" s="423"/>
      <c r="R735" s="523"/>
      <c r="S735" s="424"/>
      <c r="T735" s="424"/>
      <c r="U735" s="418"/>
      <c r="V735" s="428"/>
      <c r="W735" s="418"/>
      <c r="X735" s="418"/>
      <c r="Y735" s="524"/>
      <c r="Z735" s="418"/>
      <c r="AA735" s="418"/>
      <c r="AB735" s="429"/>
    </row>
    <row r="736" spans="1:28">
      <c r="A736" s="418"/>
      <c r="B736" s="418"/>
      <c r="C736" s="418"/>
      <c r="D736" s="520"/>
      <c r="E736" s="520"/>
      <c r="F736" s="520"/>
      <c r="G736" s="520"/>
      <c r="H736" s="418"/>
      <c r="I736" s="423"/>
      <c r="J736" s="523"/>
      <c r="K736" s="424"/>
      <c r="L736" s="424"/>
      <c r="M736" s="418"/>
      <c r="N736" s="518"/>
      <c r="O736" s="423"/>
      <c r="P736" s="427"/>
      <c r="Q736" s="423"/>
      <c r="R736" s="523"/>
      <c r="S736" s="424"/>
      <c r="T736" s="424"/>
      <c r="U736" s="418"/>
      <c r="V736" s="428"/>
      <c r="W736" s="418"/>
      <c r="X736" s="418"/>
      <c r="Y736" s="524"/>
      <c r="Z736" s="418"/>
      <c r="AA736" s="418"/>
      <c r="AB736" s="429"/>
    </row>
    <row r="737" spans="1:28">
      <c r="A737" s="418"/>
      <c r="B737" s="418"/>
      <c r="C737" s="418"/>
      <c r="D737" s="520"/>
      <c r="E737" s="520"/>
      <c r="F737" s="520"/>
      <c r="G737" s="520"/>
      <c r="H737" s="418"/>
      <c r="I737" s="423"/>
      <c r="J737" s="523"/>
      <c r="K737" s="424"/>
      <c r="L737" s="424"/>
      <c r="M737" s="418"/>
      <c r="N737" s="518"/>
      <c r="O737" s="423"/>
      <c r="P737" s="427"/>
      <c r="Q737" s="423"/>
      <c r="R737" s="523"/>
      <c r="S737" s="424"/>
      <c r="T737" s="424"/>
      <c r="U737" s="418"/>
      <c r="V737" s="428"/>
      <c r="W737" s="418"/>
      <c r="X737" s="418"/>
      <c r="Y737" s="524"/>
      <c r="Z737" s="418"/>
      <c r="AA737" s="418"/>
      <c r="AB737" s="429"/>
    </row>
    <row r="738" spans="1:28">
      <c r="A738" s="418"/>
      <c r="B738" s="418"/>
      <c r="C738" s="418"/>
      <c r="D738" s="520"/>
      <c r="E738" s="520"/>
      <c r="F738" s="520"/>
      <c r="G738" s="520"/>
      <c r="H738" s="418"/>
      <c r="I738" s="423"/>
      <c r="J738" s="523"/>
      <c r="K738" s="424"/>
      <c r="L738" s="424"/>
      <c r="M738" s="418"/>
      <c r="N738" s="518"/>
      <c r="O738" s="423"/>
      <c r="P738" s="427"/>
      <c r="Q738" s="423"/>
      <c r="R738" s="523"/>
      <c r="S738" s="424"/>
      <c r="T738" s="424"/>
      <c r="U738" s="418"/>
      <c r="V738" s="428"/>
      <c r="W738" s="418"/>
      <c r="X738" s="418"/>
      <c r="Y738" s="524"/>
      <c r="Z738" s="418"/>
      <c r="AA738" s="418"/>
      <c r="AB738" s="429"/>
    </row>
    <row r="739" spans="1:28">
      <c r="A739" s="418"/>
      <c r="B739" s="418"/>
      <c r="C739" s="418"/>
      <c r="D739" s="520"/>
      <c r="E739" s="520"/>
      <c r="F739" s="520"/>
      <c r="G739" s="520"/>
      <c r="H739" s="418"/>
      <c r="I739" s="423"/>
      <c r="J739" s="523"/>
      <c r="K739" s="424"/>
      <c r="L739" s="424"/>
      <c r="M739" s="418"/>
      <c r="N739" s="518"/>
      <c r="O739" s="423"/>
      <c r="P739" s="427"/>
      <c r="Q739" s="423"/>
      <c r="R739" s="523"/>
      <c r="S739" s="424"/>
      <c r="T739" s="424"/>
      <c r="U739" s="418"/>
      <c r="V739" s="428"/>
      <c r="W739" s="418"/>
      <c r="X739" s="418"/>
      <c r="Y739" s="524"/>
      <c r="Z739" s="418"/>
      <c r="AA739" s="418"/>
      <c r="AB739" s="429"/>
    </row>
    <row r="740" spans="1:28">
      <c r="A740" s="418"/>
      <c r="B740" s="418"/>
      <c r="C740" s="418"/>
      <c r="D740" s="520"/>
      <c r="E740" s="520"/>
      <c r="F740" s="520"/>
      <c r="G740" s="520"/>
      <c r="H740" s="418"/>
      <c r="I740" s="423"/>
      <c r="J740" s="523"/>
      <c r="K740" s="424"/>
      <c r="L740" s="424"/>
      <c r="M740" s="418"/>
      <c r="N740" s="518"/>
      <c r="O740" s="423"/>
      <c r="P740" s="427"/>
      <c r="Q740" s="423"/>
      <c r="R740" s="523"/>
      <c r="S740" s="424"/>
      <c r="T740" s="424"/>
      <c r="U740" s="418"/>
      <c r="V740" s="428"/>
      <c r="W740" s="418"/>
      <c r="X740" s="418"/>
      <c r="Y740" s="524"/>
      <c r="Z740" s="418"/>
      <c r="AA740" s="418"/>
      <c r="AB740" s="429"/>
    </row>
    <row r="741" spans="1:28">
      <c r="A741" s="418"/>
      <c r="B741" s="418"/>
      <c r="C741" s="418"/>
      <c r="D741" s="520"/>
      <c r="E741" s="520"/>
      <c r="F741" s="520"/>
      <c r="G741" s="520"/>
      <c r="H741" s="418"/>
      <c r="I741" s="423"/>
      <c r="J741" s="523"/>
      <c r="K741" s="424"/>
      <c r="L741" s="424"/>
      <c r="M741" s="418"/>
      <c r="N741" s="518"/>
      <c r="O741" s="423"/>
      <c r="P741" s="427"/>
      <c r="Q741" s="423"/>
      <c r="R741" s="523"/>
      <c r="S741" s="424"/>
      <c r="T741" s="424"/>
      <c r="U741" s="418"/>
      <c r="V741" s="428"/>
      <c r="W741" s="418"/>
      <c r="X741" s="418"/>
      <c r="Y741" s="524"/>
      <c r="Z741" s="418"/>
      <c r="AA741" s="418"/>
      <c r="AB741" s="429"/>
    </row>
    <row r="742" spans="1:28">
      <c r="A742" s="418"/>
      <c r="B742" s="418"/>
      <c r="C742" s="418"/>
      <c r="D742" s="520"/>
      <c r="E742" s="520"/>
      <c r="F742" s="520"/>
      <c r="G742" s="520"/>
      <c r="H742" s="418"/>
      <c r="I742" s="423"/>
      <c r="J742" s="523"/>
      <c r="K742" s="424"/>
      <c r="L742" s="424"/>
      <c r="M742" s="418"/>
      <c r="N742" s="518"/>
      <c r="O742" s="423"/>
      <c r="P742" s="427"/>
      <c r="Q742" s="423"/>
      <c r="R742" s="523"/>
      <c r="S742" s="424"/>
      <c r="T742" s="424"/>
      <c r="U742" s="418"/>
      <c r="V742" s="428"/>
      <c r="W742" s="418"/>
      <c r="X742" s="418"/>
      <c r="Y742" s="524"/>
      <c r="Z742" s="418"/>
      <c r="AA742" s="418"/>
      <c r="AB742" s="429"/>
    </row>
    <row r="743" spans="1:28">
      <c r="A743" s="418"/>
      <c r="B743" s="418"/>
      <c r="C743" s="418"/>
      <c r="D743" s="520"/>
      <c r="E743" s="520"/>
      <c r="F743" s="520"/>
      <c r="G743" s="520"/>
      <c r="H743" s="418"/>
      <c r="I743" s="423"/>
      <c r="J743" s="523"/>
      <c r="K743" s="424"/>
      <c r="L743" s="424"/>
      <c r="M743" s="418"/>
      <c r="N743" s="518"/>
      <c r="O743" s="423"/>
      <c r="P743" s="427"/>
      <c r="Q743" s="423"/>
      <c r="R743" s="523"/>
      <c r="S743" s="424"/>
      <c r="T743" s="424"/>
      <c r="U743" s="418"/>
      <c r="V743" s="428"/>
      <c r="W743" s="418"/>
      <c r="X743" s="418"/>
      <c r="Y743" s="524"/>
      <c r="Z743" s="418"/>
      <c r="AA743" s="418"/>
      <c r="AB743" s="429"/>
    </row>
    <row r="744" spans="1:28">
      <c r="A744" s="418"/>
      <c r="B744" s="418"/>
      <c r="C744" s="418"/>
      <c r="D744" s="520"/>
      <c r="E744" s="520"/>
      <c r="F744" s="520"/>
      <c r="G744" s="520"/>
      <c r="H744" s="418"/>
      <c r="I744" s="423"/>
      <c r="J744" s="523"/>
      <c r="K744" s="424"/>
      <c r="L744" s="424"/>
      <c r="M744" s="418"/>
      <c r="N744" s="518"/>
      <c r="O744" s="423"/>
      <c r="P744" s="427"/>
      <c r="Q744" s="423"/>
      <c r="R744" s="523"/>
      <c r="S744" s="424"/>
      <c r="T744" s="424"/>
      <c r="U744" s="418"/>
      <c r="V744" s="428"/>
      <c r="W744" s="418"/>
      <c r="X744" s="418"/>
      <c r="Y744" s="524"/>
      <c r="Z744" s="418"/>
      <c r="AA744" s="418"/>
      <c r="AB744" s="429"/>
    </row>
    <row r="745" spans="1:28">
      <c r="A745" s="418"/>
      <c r="B745" s="418"/>
      <c r="C745" s="418"/>
      <c r="D745" s="520"/>
      <c r="E745" s="520"/>
      <c r="F745" s="520"/>
      <c r="G745" s="520"/>
      <c r="H745" s="418"/>
      <c r="I745" s="423"/>
      <c r="J745" s="523"/>
      <c r="K745" s="424"/>
      <c r="L745" s="424"/>
      <c r="M745" s="418"/>
      <c r="N745" s="518"/>
      <c r="O745" s="423"/>
      <c r="P745" s="427"/>
      <c r="Q745" s="423"/>
      <c r="R745" s="523"/>
      <c r="S745" s="424"/>
      <c r="T745" s="424"/>
      <c r="U745" s="418"/>
      <c r="V745" s="428"/>
      <c r="W745" s="418"/>
      <c r="X745" s="418"/>
      <c r="Y745" s="524"/>
      <c r="Z745" s="418"/>
      <c r="AA745" s="418"/>
      <c r="AB745" s="429"/>
    </row>
    <row r="746" spans="1:28">
      <c r="A746" s="418"/>
      <c r="B746" s="418"/>
      <c r="C746" s="418"/>
      <c r="D746" s="520"/>
      <c r="E746" s="520"/>
      <c r="F746" s="520"/>
      <c r="G746" s="520"/>
      <c r="H746" s="418"/>
      <c r="I746" s="423"/>
      <c r="J746" s="523"/>
      <c r="K746" s="424"/>
      <c r="L746" s="424"/>
      <c r="M746" s="418"/>
      <c r="N746" s="518"/>
      <c r="O746" s="423"/>
      <c r="P746" s="427"/>
      <c r="Q746" s="423"/>
      <c r="R746" s="523"/>
      <c r="S746" s="424"/>
      <c r="T746" s="424"/>
      <c r="U746" s="418"/>
      <c r="V746" s="428"/>
      <c r="W746" s="418"/>
      <c r="X746" s="418"/>
      <c r="Y746" s="524"/>
      <c r="Z746" s="418"/>
      <c r="AA746" s="418"/>
      <c r="AB746" s="429"/>
    </row>
    <row r="747" spans="1:28">
      <c r="A747" s="418"/>
      <c r="B747" s="418"/>
      <c r="C747" s="418"/>
      <c r="D747" s="520"/>
      <c r="E747" s="520"/>
      <c r="F747" s="520"/>
      <c r="G747" s="520"/>
      <c r="H747" s="418"/>
      <c r="I747" s="423"/>
      <c r="J747" s="523"/>
      <c r="K747" s="424"/>
      <c r="L747" s="424"/>
      <c r="M747" s="418"/>
      <c r="N747" s="518"/>
      <c r="O747" s="423"/>
      <c r="P747" s="427"/>
      <c r="Q747" s="423"/>
      <c r="R747" s="523"/>
      <c r="S747" s="424"/>
      <c r="T747" s="424"/>
      <c r="U747" s="418"/>
      <c r="V747" s="428"/>
      <c r="W747" s="418"/>
      <c r="X747" s="418"/>
      <c r="Y747" s="524"/>
      <c r="Z747" s="418"/>
      <c r="AA747" s="418"/>
      <c r="AB747" s="429"/>
    </row>
    <row r="748" spans="1:28">
      <c r="A748" s="418"/>
      <c r="B748" s="418"/>
      <c r="C748" s="418"/>
      <c r="D748" s="520"/>
      <c r="E748" s="520"/>
      <c r="F748" s="520"/>
      <c r="G748" s="520"/>
      <c r="H748" s="418"/>
      <c r="I748" s="423"/>
      <c r="J748" s="523"/>
      <c r="K748" s="424"/>
      <c r="L748" s="424"/>
      <c r="M748" s="418"/>
      <c r="N748" s="518"/>
      <c r="O748" s="423"/>
      <c r="P748" s="427"/>
      <c r="Q748" s="423"/>
      <c r="R748" s="523"/>
      <c r="S748" s="424"/>
      <c r="T748" s="424"/>
      <c r="U748" s="418"/>
      <c r="V748" s="428"/>
      <c r="W748" s="418"/>
      <c r="X748" s="418"/>
      <c r="Y748" s="524"/>
      <c r="Z748" s="418"/>
      <c r="AA748" s="418"/>
      <c r="AB748" s="429"/>
    </row>
    <row r="749" spans="1:28">
      <c r="A749" s="418"/>
      <c r="B749" s="418"/>
      <c r="C749" s="418"/>
      <c r="D749" s="520"/>
      <c r="E749" s="520"/>
      <c r="F749" s="520"/>
      <c r="G749" s="520"/>
      <c r="H749" s="418"/>
      <c r="I749" s="423"/>
      <c r="J749" s="523"/>
      <c r="K749" s="424"/>
      <c r="L749" s="424"/>
      <c r="M749" s="418"/>
      <c r="N749" s="518"/>
      <c r="O749" s="423"/>
      <c r="P749" s="427"/>
      <c r="Q749" s="423"/>
      <c r="R749" s="523"/>
      <c r="S749" s="424"/>
      <c r="T749" s="424"/>
      <c r="U749" s="418"/>
      <c r="V749" s="428"/>
      <c r="W749" s="418"/>
      <c r="X749" s="418"/>
      <c r="Y749" s="524"/>
      <c r="Z749" s="418"/>
      <c r="AA749" s="418"/>
      <c r="AB749" s="429"/>
    </row>
    <row r="750" spans="1:28">
      <c r="A750" s="418"/>
      <c r="B750" s="418"/>
      <c r="C750" s="418"/>
      <c r="D750" s="520"/>
      <c r="E750" s="520"/>
      <c r="F750" s="520"/>
      <c r="G750" s="520"/>
      <c r="H750" s="418"/>
      <c r="I750" s="423"/>
      <c r="J750" s="523"/>
      <c r="K750" s="424"/>
      <c r="L750" s="424"/>
      <c r="M750" s="418"/>
      <c r="N750" s="518"/>
      <c r="O750" s="423"/>
      <c r="P750" s="427"/>
      <c r="Q750" s="423"/>
      <c r="R750" s="523"/>
      <c r="S750" s="424"/>
      <c r="T750" s="424"/>
      <c r="U750" s="418"/>
      <c r="V750" s="428"/>
      <c r="W750" s="418"/>
      <c r="X750" s="418"/>
      <c r="Y750" s="524"/>
      <c r="Z750" s="418"/>
      <c r="AA750" s="418"/>
      <c r="AB750" s="429"/>
    </row>
    <row r="751" spans="1:28">
      <c r="A751" s="418"/>
      <c r="B751" s="418"/>
      <c r="C751" s="418"/>
      <c r="D751" s="520"/>
      <c r="E751" s="520"/>
      <c r="F751" s="520"/>
      <c r="G751" s="520"/>
      <c r="H751" s="418"/>
      <c r="I751" s="423"/>
      <c r="J751" s="523"/>
      <c r="K751" s="424"/>
      <c r="L751" s="424"/>
      <c r="M751" s="418"/>
      <c r="N751" s="518"/>
      <c r="O751" s="423"/>
      <c r="P751" s="427"/>
      <c r="Q751" s="423"/>
      <c r="R751" s="523"/>
      <c r="S751" s="424"/>
      <c r="T751" s="424"/>
      <c r="U751" s="418"/>
      <c r="V751" s="428"/>
      <c r="W751" s="418"/>
      <c r="X751" s="418"/>
      <c r="Y751" s="524"/>
      <c r="Z751" s="418"/>
      <c r="AA751" s="418"/>
      <c r="AB751" s="429"/>
    </row>
    <row r="752" spans="1:28">
      <c r="A752" s="418"/>
      <c r="B752" s="418"/>
      <c r="C752" s="418"/>
      <c r="D752" s="520"/>
      <c r="E752" s="520"/>
      <c r="F752" s="520"/>
      <c r="G752" s="520"/>
      <c r="H752" s="418"/>
      <c r="I752" s="423"/>
      <c r="J752" s="523"/>
      <c r="K752" s="424"/>
      <c r="L752" s="424"/>
      <c r="M752" s="418"/>
      <c r="N752" s="518"/>
      <c r="O752" s="423"/>
      <c r="P752" s="427"/>
      <c r="Q752" s="423"/>
      <c r="R752" s="523"/>
      <c r="S752" s="424"/>
      <c r="T752" s="424"/>
      <c r="U752" s="418"/>
      <c r="V752" s="428"/>
      <c r="W752" s="418"/>
      <c r="X752" s="418"/>
      <c r="Y752" s="524"/>
      <c r="Z752" s="418"/>
      <c r="AA752" s="418"/>
      <c r="AB752" s="429"/>
    </row>
    <row r="753" spans="1:28">
      <c r="A753" s="418"/>
      <c r="B753" s="418"/>
      <c r="C753" s="418"/>
      <c r="D753" s="520"/>
      <c r="E753" s="520"/>
      <c r="F753" s="520"/>
      <c r="G753" s="520"/>
      <c r="H753" s="418"/>
      <c r="I753" s="423"/>
      <c r="J753" s="523"/>
      <c r="K753" s="424"/>
      <c r="L753" s="424"/>
      <c r="M753" s="418"/>
      <c r="N753" s="518"/>
      <c r="O753" s="423"/>
      <c r="P753" s="427"/>
      <c r="Q753" s="423"/>
      <c r="R753" s="523"/>
      <c r="S753" s="424"/>
      <c r="T753" s="424"/>
      <c r="U753" s="418"/>
      <c r="V753" s="428"/>
      <c r="W753" s="418"/>
      <c r="X753" s="418"/>
      <c r="Y753" s="524"/>
      <c r="Z753" s="418"/>
      <c r="AA753" s="418"/>
      <c r="AB753" s="429"/>
    </row>
    <row r="754" spans="1:28">
      <c r="A754" s="418"/>
      <c r="B754" s="418"/>
      <c r="C754" s="418"/>
      <c r="D754" s="520"/>
      <c r="E754" s="520"/>
      <c r="F754" s="520"/>
      <c r="G754" s="520"/>
      <c r="H754" s="418"/>
      <c r="I754" s="423"/>
      <c r="J754" s="523"/>
      <c r="K754" s="424"/>
      <c r="L754" s="424"/>
      <c r="M754" s="418"/>
      <c r="N754" s="518"/>
      <c r="O754" s="423"/>
      <c r="P754" s="427"/>
      <c r="Q754" s="423"/>
      <c r="R754" s="523"/>
      <c r="S754" s="424"/>
      <c r="T754" s="424"/>
      <c r="U754" s="418"/>
      <c r="V754" s="428"/>
      <c r="W754" s="418"/>
      <c r="X754" s="418"/>
      <c r="Y754" s="524"/>
      <c r="Z754" s="418"/>
      <c r="AA754" s="418"/>
      <c r="AB754" s="429"/>
    </row>
    <row r="755" spans="1:28">
      <c r="A755" s="418"/>
      <c r="B755" s="418"/>
      <c r="C755" s="418"/>
      <c r="D755" s="520"/>
      <c r="E755" s="520"/>
      <c r="F755" s="520"/>
      <c r="G755" s="520"/>
      <c r="H755" s="418"/>
      <c r="I755" s="423"/>
      <c r="J755" s="523"/>
      <c r="K755" s="424"/>
      <c r="L755" s="424"/>
      <c r="M755" s="418"/>
      <c r="N755" s="518"/>
      <c r="O755" s="423"/>
      <c r="P755" s="427"/>
      <c r="Q755" s="423"/>
      <c r="R755" s="523"/>
      <c r="S755" s="424"/>
      <c r="T755" s="424"/>
      <c r="U755" s="418"/>
      <c r="V755" s="428"/>
      <c r="W755" s="418"/>
      <c r="X755" s="418"/>
      <c r="Y755" s="524"/>
      <c r="Z755" s="418"/>
      <c r="AA755" s="418"/>
      <c r="AB755" s="429"/>
    </row>
    <row r="756" spans="1:28">
      <c r="A756" s="418"/>
      <c r="B756" s="418"/>
      <c r="C756" s="418"/>
      <c r="D756" s="520"/>
      <c r="E756" s="520"/>
      <c r="F756" s="520"/>
      <c r="G756" s="520"/>
      <c r="H756" s="418"/>
      <c r="I756" s="423"/>
      <c r="J756" s="523"/>
      <c r="K756" s="424"/>
      <c r="L756" s="424"/>
      <c r="M756" s="418"/>
      <c r="N756" s="518"/>
      <c r="O756" s="423"/>
      <c r="P756" s="427"/>
      <c r="Q756" s="423"/>
      <c r="R756" s="523"/>
      <c r="S756" s="424"/>
      <c r="T756" s="424"/>
      <c r="U756" s="418"/>
      <c r="V756" s="428"/>
      <c r="W756" s="418"/>
      <c r="X756" s="418"/>
      <c r="Y756" s="524"/>
      <c r="Z756" s="418"/>
      <c r="AA756" s="418"/>
      <c r="AB756" s="429"/>
    </row>
    <row r="757" spans="1:28">
      <c r="A757" s="418"/>
      <c r="B757" s="418"/>
      <c r="C757" s="418"/>
      <c r="D757" s="520"/>
      <c r="E757" s="520"/>
      <c r="F757" s="520"/>
      <c r="G757" s="520"/>
      <c r="H757" s="418"/>
      <c r="I757" s="423"/>
      <c r="J757" s="523"/>
      <c r="K757" s="424"/>
      <c r="L757" s="424"/>
      <c r="M757" s="418"/>
      <c r="N757" s="518"/>
      <c r="O757" s="423"/>
      <c r="P757" s="427"/>
      <c r="Q757" s="423"/>
      <c r="R757" s="523"/>
      <c r="S757" s="424"/>
      <c r="T757" s="424"/>
      <c r="U757" s="418"/>
      <c r="V757" s="428"/>
      <c r="W757" s="418"/>
      <c r="X757" s="418"/>
      <c r="Y757" s="524"/>
      <c r="Z757" s="418"/>
      <c r="AA757" s="418"/>
      <c r="AB757" s="429"/>
    </row>
    <row r="758" spans="1:28">
      <c r="A758" s="418"/>
      <c r="B758" s="418"/>
      <c r="C758" s="418"/>
      <c r="D758" s="520"/>
      <c r="E758" s="520"/>
      <c r="F758" s="520"/>
      <c r="G758" s="520"/>
      <c r="H758" s="418"/>
      <c r="I758" s="423"/>
      <c r="J758" s="523"/>
      <c r="K758" s="424"/>
      <c r="L758" s="424"/>
      <c r="M758" s="418"/>
      <c r="N758" s="518"/>
      <c r="O758" s="423"/>
      <c r="P758" s="427"/>
      <c r="Q758" s="423"/>
      <c r="R758" s="523"/>
      <c r="S758" s="424"/>
      <c r="T758" s="424"/>
      <c r="U758" s="418"/>
      <c r="V758" s="428"/>
      <c r="W758" s="418"/>
      <c r="X758" s="418"/>
      <c r="Y758" s="524"/>
      <c r="Z758" s="418"/>
      <c r="AA758" s="418"/>
      <c r="AB758" s="429"/>
    </row>
    <row r="759" spans="1:28">
      <c r="A759" s="418"/>
      <c r="B759" s="418"/>
      <c r="C759" s="418"/>
      <c r="D759" s="520"/>
      <c r="E759" s="520"/>
      <c r="F759" s="520"/>
      <c r="G759" s="520"/>
      <c r="H759" s="418"/>
      <c r="I759" s="423"/>
      <c r="J759" s="523"/>
      <c r="K759" s="424"/>
      <c r="L759" s="424"/>
      <c r="M759" s="418"/>
      <c r="N759" s="518"/>
      <c r="O759" s="423"/>
      <c r="P759" s="427"/>
      <c r="Q759" s="423"/>
      <c r="R759" s="523"/>
      <c r="S759" s="424"/>
      <c r="T759" s="424"/>
      <c r="U759" s="418"/>
      <c r="V759" s="428"/>
      <c r="W759" s="418"/>
      <c r="X759" s="418"/>
      <c r="Y759" s="524"/>
      <c r="Z759" s="418"/>
      <c r="AA759" s="418"/>
      <c r="AB759" s="429"/>
    </row>
    <row r="760" spans="1:28">
      <c r="A760" s="418"/>
      <c r="B760" s="418"/>
      <c r="C760" s="418"/>
      <c r="D760" s="520"/>
      <c r="E760" s="520"/>
      <c r="F760" s="520"/>
      <c r="G760" s="520"/>
      <c r="H760" s="418"/>
      <c r="I760" s="423"/>
      <c r="J760" s="523"/>
      <c r="K760" s="424"/>
      <c r="L760" s="424"/>
      <c r="M760" s="418"/>
      <c r="N760" s="518"/>
      <c r="O760" s="423"/>
      <c r="P760" s="427"/>
      <c r="Q760" s="423"/>
      <c r="R760" s="523"/>
      <c r="S760" s="424"/>
      <c r="T760" s="424"/>
      <c r="U760" s="418"/>
      <c r="V760" s="428"/>
      <c r="W760" s="418"/>
      <c r="X760" s="418"/>
      <c r="Y760" s="524"/>
      <c r="Z760" s="418"/>
      <c r="AA760" s="418"/>
      <c r="AB760" s="429"/>
    </row>
    <row r="761" spans="1:28">
      <c r="A761" s="418"/>
      <c r="B761" s="418"/>
      <c r="C761" s="418"/>
      <c r="D761" s="520"/>
      <c r="E761" s="520"/>
      <c r="F761" s="520"/>
      <c r="G761" s="520"/>
      <c r="H761" s="418"/>
      <c r="I761" s="423"/>
      <c r="J761" s="523"/>
      <c r="K761" s="424"/>
      <c r="L761" s="424"/>
      <c r="M761" s="418"/>
      <c r="N761" s="518"/>
      <c r="O761" s="423"/>
      <c r="P761" s="427"/>
      <c r="Q761" s="423"/>
      <c r="R761" s="523"/>
      <c r="S761" s="424"/>
      <c r="T761" s="424"/>
      <c r="U761" s="418"/>
      <c r="V761" s="428"/>
      <c r="W761" s="418"/>
      <c r="X761" s="418"/>
      <c r="Y761" s="524"/>
      <c r="Z761" s="418"/>
      <c r="AA761" s="418"/>
      <c r="AB761" s="429"/>
    </row>
    <row r="762" spans="1:28">
      <c r="A762" s="418"/>
      <c r="B762" s="418"/>
      <c r="C762" s="418"/>
      <c r="D762" s="520"/>
      <c r="E762" s="520"/>
      <c r="F762" s="520"/>
      <c r="G762" s="520"/>
      <c r="H762" s="418"/>
      <c r="I762" s="423"/>
      <c r="J762" s="523"/>
      <c r="K762" s="424"/>
      <c r="L762" s="424"/>
      <c r="M762" s="418"/>
      <c r="N762" s="518"/>
      <c r="O762" s="423"/>
      <c r="P762" s="427"/>
      <c r="Q762" s="423"/>
      <c r="R762" s="523"/>
      <c r="S762" s="424"/>
      <c r="T762" s="424"/>
      <c r="U762" s="418"/>
      <c r="V762" s="428"/>
      <c r="W762" s="418"/>
      <c r="X762" s="418"/>
      <c r="Y762" s="524"/>
      <c r="Z762" s="418"/>
      <c r="AA762" s="418"/>
      <c r="AB762" s="429"/>
    </row>
    <row r="763" spans="1:28">
      <c r="A763" s="418"/>
      <c r="B763" s="418"/>
      <c r="C763" s="418"/>
      <c r="D763" s="520"/>
      <c r="E763" s="520"/>
      <c r="F763" s="520"/>
      <c r="G763" s="520"/>
      <c r="H763" s="418"/>
      <c r="I763" s="423"/>
      <c r="J763" s="523"/>
      <c r="K763" s="424"/>
      <c r="L763" s="424"/>
      <c r="M763" s="418"/>
      <c r="N763" s="518"/>
      <c r="O763" s="423"/>
      <c r="P763" s="427"/>
      <c r="Q763" s="423"/>
      <c r="R763" s="523"/>
      <c r="S763" s="424"/>
      <c r="T763" s="424"/>
      <c r="U763" s="418"/>
      <c r="V763" s="428"/>
      <c r="W763" s="418"/>
      <c r="X763" s="418"/>
      <c r="Y763" s="524"/>
      <c r="Z763" s="418"/>
      <c r="AA763" s="418"/>
      <c r="AB763" s="429"/>
    </row>
    <row r="764" spans="1:28">
      <c r="A764" s="418"/>
      <c r="B764" s="418"/>
      <c r="C764" s="418"/>
      <c r="D764" s="520"/>
      <c r="E764" s="520"/>
      <c r="F764" s="520"/>
      <c r="G764" s="520"/>
      <c r="H764" s="418"/>
      <c r="I764" s="423"/>
      <c r="J764" s="523"/>
      <c r="K764" s="424"/>
      <c r="L764" s="424"/>
      <c r="M764" s="418"/>
      <c r="N764" s="518"/>
      <c r="O764" s="423"/>
      <c r="P764" s="427"/>
      <c r="Q764" s="423"/>
      <c r="R764" s="523"/>
      <c r="S764" s="424"/>
      <c r="T764" s="424"/>
      <c r="U764" s="418"/>
      <c r="V764" s="428"/>
      <c r="W764" s="418"/>
      <c r="X764" s="418"/>
      <c r="Y764" s="524"/>
      <c r="Z764" s="418"/>
      <c r="AA764" s="418"/>
      <c r="AB764" s="429"/>
    </row>
    <row r="765" spans="1:28">
      <c r="A765" s="418"/>
      <c r="B765" s="418"/>
      <c r="C765" s="418"/>
      <c r="D765" s="520"/>
      <c r="E765" s="520"/>
      <c r="F765" s="520"/>
      <c r="G765" s="520"/>
      <c r="H765" s="418"/>
      <c r="I765" s="423"/>
      <c r="J765" s="523"/>
      <c r="K765" s="424"/>
      <c r="L765" s="424"/>
      <c r="M765" s="418"/>
      <c r="N765" s="518"/>
      <c r="O765" s="423"/>
      <c r="P765" s="427"/>
      <c r="Q765" s="423"/>
      <c r="R765" s="523"/>
      <c r="S765" s="424"/>
      <c r="T765" s="424"/>
      <c r="U765" s="418"/>
      <c r="V765" s="428"/>
      <c r="W765" s="418"/>
      <c r="X765" s="418"/>
      <c r="Y765" s="524"/>
      <c r="Z765" s="418"/>
      <c r="AA765" s="418"/>
      <c r="AB765" s="429"/>
    </row>
    <row r="766" spans="1:28">
      <c r="A766" s="418"/>
      <c r="B766" s="418"/>
      <c r="C766" s="418"/>
      <c r="D766" s="520"/>
      <c r="E766" s="520"/>
      <c r="F766" s="520"/>
      <c r="G766" s="520"/>
      <c r="H766" s="418"/>
      <c r="I766" s="423"/>
      <c r="J766" s="523"/>
      <c r="K766" s="424"/>
      <c r="L766" s="424"/>
      <c r="M766" s="418"/>
      <c r="N766" s="518"/>
      <c r="O766" s="423"/>
      <c r="P766" s="427"/>
      <c r="Q766" s="423"/>
      <c r="R766" s="523"/>
      <c r="S766" s="424"/>
      <c r="T766" s="424"/>
      <c r="U766" s="418"/>
      <c r="V766" s="428"/>
      <c r="W766" s="418"/>
      <c r="X766" s="418"/>
      <c r="Y766" s="524"/>
      <c r="Z766" s="418"/>
      <c r="AA766" s="418"/>
      <c r="AB766" s="429"/>
    </row>
    <row r="767" spans="1:28">
      <c r="A767" s="418"/>
      <c r="B767" s="418"/>
      <c r="C767" s="418"/>
      <c r="D767" s="520"/>
      <c r="E767" s="520"/>
      <c r="F767" s="520"/>
      <c r="G767" s="520"/>
      <c r="H767" s="418"/>
      <c r="I767" s="423"/>
      <c r="J767" s="523"/>
      <c r="K767" s="424"/>
      <c r="L767" s="424"/>
      <c r="M767" s="418"/>
      <c r="N767" s="518"/>
      <c r="O767" s="423"/>
      <c r="P767" s="427"/>
      <c r="Q767" s="423"/>
      <c r="R767" s="523"/>
      <c r="S767" s="424"/>
      <c r="T767" s="424"/>
      <c r="U767" s="418"/>
      <c r="V767" s="428"/>
      <c r="W767" s="418"/>
      <c r="X767" s="418"/>
      <c r="Y767" s="524"/>
      <c r="Z767" s="418"/>
      <c r="AA767" s="418"/>
      <c r="AB767" s="429"/>
    </row>
    <row r="768" spans="1:28">
      <c r="A768" s="418"/>
      <c r="B768" s="418"/>
      <c r="C768" s="418"/>
      <c r="D768" s="520"/>
      <c r="E768" s="520"/>
      <c r="F768" s="520"/>
      <c r="G768" s="520"/>
      <c r="H768" s="418"/>
      <c r="I768" s="423"/>
      <c r="J768" s="523"/>
      <c r="K768" s="424"/>
      <c r="L768" s="424"/>
      <c r="M768" s="418"/>
      <c r="N768" s="518"/>
      <c r="O768" s="423"/>
      <c r="P768" s="427"/>
      <c r="Q768" s="423"/>
      <c r="R768" s="523"/>
      <c r="S768" s="424"/>
      <c r="T768" s="424"/>
      <c r="U768" s="418"/>
      <c r="V768" s="428"/>
      <c r="W768" s="418"/>
      <c r="X768" s="418"/>
      <c r="Y768" s="524"/>
      <c r="Z768" s="418"/>
      <c r="AA768" s="418"/>
      <c r="AB768" s="429"/>
    </row>
    <row r="769" spans="1:28">
      <c r="A769" s="418"/>
      <c r="B769" s="418"/>
      <c r="C769" s="418"/>
      <c r="D769" s="520"/>
      <c r="E769" s="520"/>
      <c r="F769" s="520"/>
      <c r="G769" s="520"/>
      <c r="H769" s="418"/>
      <c r="I769" s="423"/>
      <c r="J769" s="523"/>
      <c r="K769" s="424"/>
      <c r="L769" s="424"/>
      <c r="M769" s="418"/>
      <c r="N769" s="518"/>
      <c r="O769" s="423"/>
      <c r="P769" s="427"/>
      <c r="Q769" s="423"/>
      <c r="R769" s="523"/>
      <c r="S769" s="424"/>
      <c r="T769" s="424"/>
      <c r="U769" s="418"/>
      <c r="V769" s="428"/>
      <c r="W769" s="418"/>
      <c r="X769" s="418"/>
      <c r="Y769" s="524"/>
      <c r="Z769" s="418"/>
      <c r="AA769" s="418"/>
      <c r="AB769" s="429"/>
    </row>
    <row r="770" spans="1:28">
      <c r="A770" s="418"/>
      <c r="B770" s="418"/>
      <c r="C770" s="418"/>
      <c r="D770" s="520"/>
      <c r="E770" s="520"/>
      <c r="F770" s="520"/>
      <c r="G770" s="520"/>
      <c r="H770" s="418"/>
      <c r="I770" s="423"/>
      <c r="J770" s="523"/>
      <c r="K770" s="424"/>
      <c r="L770" s="424"/>
      <c r="M770" s="418"/>
      <c r="N770" s="518"/>
      <c r="O770" s="423"/>
      <c r="P770" s="427"/>
      <c r="Q770" s="423"/>
      <c r="R770" s="523"/>
      <c r="S770" s="424"/>
      <c r="T770" s="424"/>
      <c r="U770" s="418"/>
      <c r="V770" s="428"/>
      <c r="W770" s="418"/>
      <c r="X770" s="418"/>
      <c r="Y770" s="524"/>
      <c r="Z770" s="418"/>
      <c r="AA770" s="418"/>
      <c r="AB770" s="429"/>
    </row>
    <row r="771" spans="1:28">
      <c r="A771" s="418"/>
      <c r="B771" s="418"/>
      <c r="C771" s="418"/>
      <c r="D771" s="520"/>
      <c r="E771" s="520"/>
      <c r="F771" s="520"/>
      <c r="G771" s="520"/>
      <c r="H771" s="418"/>
      <c r="I771" s="423"/>
      <c r="J771" s="523"/>
      <c r="K771" s="424"/>
      <c r="L771" s="424"/>
      <c r="M771" s="418"/>
      <c r="N771" s="518"/>
      <c r="O771" s="423"/>
      <c r="P771" s="427"/>
      <c r="Q771" s="423"/>
      <c r="R771" s="523"/>
      <c r="S771" s="424"/>
      <c r="T771" s="424"/>
      <c r="U771" s="418"/>
      <c r="V771" s="428"/>
      <c r="W771" s="418"/>
      <c r="X771" s="418"/>
      <c r="Y771" s="524"/>
      <c r="Z771" s="418"/>
      <c r="AA771" s="418"/>
      <c r="AB771" s="429"/>
    </row>
    <row r="772" spans="1:28">
      <c r="A772" s="418"/>
      <c r="B772" s="418"/>
      <c r="C772" s="418"/>
      <c r="D772" s="520"/>
      <c r="E772" s="520"/>
      <c r="F772" s="520"/>
      <c r="G772" s="520"/>
      <c r="H772" s="418"/>
      <c r="I772" s="423"/>
      <c r="J772" s="523"/>
      <c r="K772" s="424"/>
      <c r="L772" s="424"/>
      <c r="M772" s="418"/>
      <c r="N772" s="518"/>
      <c r="O772" s="423"/>
      <c r="P772" s="427"/>
      <c r="Q772" s="423"/>
      <c r="R772" s="523"/>
      <c r="S772" s="424"/>
      <c r="T772" s="424"/>
      <c r="U772" s="418"/>
      <c r="V772" s="428"/>
      <c r="W772" s="418"/>
      <c r="X772" s="418"/>
      <c r="Y772" s="524"/>
      <c r="Z772" s="418"/>
      <c r="AA772" s="418"/>
      <c r="AB772" s="429"/>
    </row>
    <row r="773" spans="1:28">
      <c r="A773" s="418"/>
      <c r="B773" s="418"/>
      <c r="C773" s="418"/>
      <c r="D773" s="520"/>
      <c r="E773" s="520"/>
      <c r="F773" s="520"/>
      <c r="G773" s="520"/>
      <c r="H773" s="418"/>
      <c r="I773" s="423"/>
      <c r="J773" s="523"/>
      <c r="K773" s="424"/>
      <c r="L773" s="424"/>
      <c r="M773" s="418"/>
      <c r="N773" s="518"/>
      <c r="O773" s="423"/>
      <c r="P773" s="427"/>
      <c r="Q773" s="423"/>
      <c r="R773" s="523"/>
      <c r="S773" s="424"/>
      <c r="T773" s="424"/>
      <c r="U773" s="418"/>
      <c r="V773" s="428"/>
      <c r="W773" s="418"/>
      <c r="X773" s="418"/>
      <c r="Y773" s="524"/>
      <c r="Z773" s="418"/>
      <c r="AA773" s="418"/>
      <c r="AB773" s="429"/>
    </row>
    <row r="774" spans="1:28">
      <c r="A774" s="418"/>
      <c r="B774" s="418"/>
      <c r="C774" s="418"/>
      <c r="D774" s="520"/>
      <c r="E774" s="520"/>
      <c r="F774" s="520"/>
      <c r="G774" s="520"/>
      <c r="H774" s="418"/>
      <c r="I774" s="423"/>
      <c r="J774" s="523"/>
      <c r="K774" s="424"/>
      <c r="L774" s="424"/>
      <c r="M774" s="418"/>
      <c r="N774" s="518"/>
      <c r="O774" s="423"/>
      <c r="P774" s="427"/>
      <c r="Q774" s="423"/>
      <c r="R774" s="523"/>
      <c r="S774" s="424"/>
      <c r="T774" s="424"/>
      <c r="U774" s="418"/>
      <c r="V774" s="428"/>
      <c r="W774" s="418"/>
      <c r="X774" s="418"/>
      <c r="Y774" s="524"/>
      <c r="Z774" s="418"/>
      <c r="AA774" s="418"/>
      <c r="AB774" s="429"/>
    </row>
    <row r="775" spans="1:28">
      <c r="A775" s="418"/>
      <c r="B775" s="418"/>
      <c r="C775" s="418"/>
      <c r="D775" s="520"/>
      <c r="E775" s="520"/>
      <c r="F775" s="520"/>
      <c r="G775" s="520"/>
      <c r="H775" s="418"/>
      <c r="I775" s="423"/>
      <c r="J775" s="523"/>
      <c r="K775" s="424"/>
      <c r="L775" s="424"/>
      <c r="M775" s="418"/>
      <c r="N775" s="518"/>
      <c r="O775" s="423"/>
      <c r="P775" s="427"/>
      <c r="Q775" s="423"/>
      <c r="R775" s="523"/>
      <c r="S775" s="424"/>
      <c r="T775" s="424"/>
      <c r="U775" s="418"/>
      <c r="V775" s="428"/>
      <c r="W775" s="418"/>
      <c r="X775" s="418"/>
      <c r="Y775" s="524"/>
      <c r="Z775" s="418"/>
      <c r="AA775" s="418"/>
      <c r="AB775" s="429"/>
    </row>
    <row r="776" spans="1:28">
      <c r="A776" s="418"/>
      <c r="B776" s="418"/>
      <c r="C776" s="418"/>
      <c r="D776" s="520"/>
      <c r="E776" s="520"/>
      <c r="F776" s="520"/>
      <c r="G776" s="520"/>
      <c r="H776" s="418"/>
      <c r="I776" s="423"/>
      <c r="J776" s="523"/>
      <c r="K776" s="424"/>
      <c r="L776" s="424"/>
      <c r="M776" s="418"/>
      <c r="N776" s="518"/>
      <c r="O776" s="423"/>
      <c r="P776" s="427"/>
      <c r="Q776" s="423"/>
      <c r="R776" s="523"/>
      <c r="S776" s="424"/>
      <c r="T776" s="424"/>
      <c r="U776" s="418"/>
      <c r="V776" s="428"/>
      <c r="W776" s="418"/>
      <c r="X776" s="418"/>
      <c r="Y776" s="524"/>
      <c r="Z776" s="418"/>
      <c r="AA776" s="418"/>
      <c r="AB776" s="429"/>
    </row>
    <row r="777" spans="1:28">
      <c r="A777" s="418"/>
      <c r="B777" s="418"/>
      <c r="C777" s="418"/>
      <c r="D777" s="520"/>
      <c r="E777" s="520"/>
      <c r="F777" s="520"/>
      <c r="G777" s="520"/>
      <c r="H777" s="418"/>
      <c r="I777" s="423"/>
      <c r="J777" s="523"/>
      <c r="K777" s="424"/>
      <c r="L777" s="424"/>
      <c r="M777" s="418"/>
      <c r="N777" s="518"/>
      <c r="O777" s="423"/>
      <c r="P777" s="427"/>
      <c r="Q777" s="423"/>
      <c r="R777" s="523"/>
      <c r="S777" s="424"/>
      <c r="T777" s="424"/>
      <c r="U777" s="418"/>
      <c r="V777" s="428"/>
      <c r="W777" s="418"/>
      <c r="X777" s="418"/>
      <c r="Y777" s="524"/>
      <c r="Z777" s="418"/>
      <c r="AA777" s="418"/>
      <c r="AB777" s="429"/>
    </row>
    <row r="778" spans="1:28">
      <c r="A778" s="418"/>
      <c r="B778" s="418"/>
      <c r="C778" s="418"/>
      <c r="D778" s="520"/>
      <c r="E778" s="520"/>
      <c r="F778" s="520"/>
      <c r="G778" s="520"/>
      <c r="H778" s="418"/>
      <c r="I778" s="423"/>
      <c r="J778" s="523"/>
      <c r="K778" s="424"/>
      <c r="L778" s="424"/>
      <c r="M778" s="418"/>
      <c r="N778" s="518"/>
      <c r="O778" s="423"/>
      <c r="P778" s="427"/>
      <c r="Q778" s="423"/>
      <c r="R778" s="523"/>
      <c r="S778" s="424"/>
      <c r="T778" s="424"/>
      <c r="U778" s="418"/>
      <c r="V778" s="428"/>
      <c r="W778" s="418"/>
      <c r="X778" s="418"/>
      <c r="Y778" s="524"/>
      <c r="Z778" s="418"/>
      <c r="AA778" s="418"/>
      <c r="AB778" s="429"/>
    </row>
    <row r="779" spans="1:28">
      <c r="A779" s="418"/>
      <c r="B779" s="418"/>
      <c r="C779" s="418"/>
      <c r="D779" s="520"/>
      <c r="E779" s="520"/>
      <c r="F779" s="520"/>
      <c r="G779" s="520"/>
      <c r="H779" s="418"/>
      <c r="I779" s="423"/>
      <c r="J779" s="523"/>
      <c r="K779" s="424"/>
      <c r="L779" s="424"/>
      <c r="M779" s="418"/>
      <c r="N779" s="518"/>
      <c r="O779" s="423"/>
      <c r="P779" s="427"/>
      <c r="Q779" s="423"/>
      <c r="R779" s="523"/>
      <c r="S779" s="424"/>
      <c r="T779" s="424"/>
      <c r="U779" s="418"/>
      <c r="V779" s="428"/>
      <c r="W779" s="418"/>
      <c r="X779" s="418"/>
      <c r="Y779" s="524"/>
      <c r="Z779" s="418"/>
      <c r="AA779" s="418"/>
      <c r="AB779" s="429"/>
    </row>
    <row r="780" spans="1:28">
      <c r="A780" s="418"/>
      <c r="B780" s="418"/>
      <c r="C780" s="418"/>
      <c r="D780" s="520"/>
      <c r="E780" s="520"/>
      <c r="F780" s="520"/>
      <c r="G780" s="520"/>
      <c r="H780" s="418"/>
      <c r="I780" s="423"/>
      <c r="J780" s="523"/>
      <c r="K780" s="424"/>
      <c r="L780" s="424"/>
      <c r="M780" s="418"/>
      <c r="N780" s="518"/>
      <c r="O780" s="423"/>
      <c r="P780" s="427"/>
      <c r="Q780" s="423"/>
      <c r="R780" s="523"/>
      <c r="S780" s="424"/>
      <c r="T780" s="424"/>
      <c r="U780" s="418"/>
      <c r="V780" s="428"/>
      <c r="W780" s="418"/>
      <c r="X780" s="418"/>
      <c r="Y780" s="524"/>
      <c r="Z780" s="418"/>
      <c r="AA780" s="418"/>
      <c r="AB780" s="429"/>
    </row>
    <row r="781" spans="1:28">
      <c r="A781" s="418"/>
      <c r="B781" s="418"/>
      <c r="C781" s="418"/>
      <c r="D781" s="520"/>
      <c r="E781" s="520"/>
      <c r="F781" s="520"/>
      <c r="G781" s="520"/>
      <c r="H781" s="418"/>
      <c r="I781" s="423"/>
      <c r="J781" s="523"/>
      <c r="K781" s="424"/>
      <c r="L781" s="424"/>
      <c r="M781" s="418"/>
      <c r="N781" s="518"/>
      <c r="O781" s="423"/>
      <c r="P781" s="427"/>
      <c r="Q781" s="423"/>
      <c r="R781" s="523"/>
      <c r="S781" s="424"/>
      <c r="T781" s="424"/>
      <c r="U781" s="418"/>
      <c r="V781" s="428"/>
      <c r="W781" s="418"/>
      <c r="X781" s="418"/>
      <c r="Y781" s="524"/>
      <c r="Z781" s="418"/>
      <c r="AA781" s="418"/>
      <c r="AB781" s="429"/>
    </row>
    <row r="782" spans="1:28">
      <c r="A782" s="418"/>
      <c r="B782" s="418"/>
      <c r="C782" s="418"/>
      <c r="D782" s="520"/>
      <c r="E782" s="520"/>
      <c r="F782" s="520"/>
      <c r="G782" s="520"/>
      <c r="H782" s="418"/>
      <c r="I782" s="423"/>
      <c r="J782" s="523"/>
      <c r="K782" s="424"/>
      <c r="L782" s="424"/>
      <c r="M782" s="418"/>
      <c r="N782" s="518"/>
      <c r="O782" s="423"/>
      <c r="P782" s="427"/>
      <c r="Q782" s="423"/>
      <c r="R782" s="523"/>
      <c r="S782" s="424"/>
      <c r="T782" s="424"/>
      <c r="U782" s="418"/>
      <c r="V782" s="428"/>
      <c r="W782" s="418"/>
      <c r="X782" s="418"/>
      <c r="Y782" s="524"/>
      <c r="Z782" s="418"/>
      <c r="AA782" s="418"/>
      <c r="AB782" s="429"/>
    </row>
    <row r="783" spans="1:28">
      <c r="A783" s="418"/>
      <c r="B783" s="418"/>
      <c r="C783" s="418"/>
      <c r="D783" s="520"/>
      <c r="E783" s="520"/>
      <c r="F783" s="520"/>
      <c r="G783" s="520"/>
      <c r="H783" s="418"/>
      <c r="I783" s="423"/>
      <c r="J783" s="523"/>
      <c r="K783" s="424"/>
      <c r="L783" s="424"/>
      <c r="M783" s="418"/>
      <c r="N783" s="518"/>
      <c r="O783" s="423"/>
      <c r="P783" s="427"/>
      <c r="Q783" s="423"/>
      <c r="R783" s="523"/>
      <c r="S783" s="424"/>
      <c r="T783" s="424"/>
      <c r="U783" s="418"/>
      <c r="V783" s="428"/>
      <c r="W783" s="418"/>
      <c r="X783" s="418"/>
      <c r="Y783" s="524"/>
      <c r="Z783" s="418"/>
      <c r="AA783" s="418"/>
      <c r="AB783" s="429"/>
    </row>
    <row r="784" spans="1:28">
      <c r="A784" s="418"/>
      <c r="B784" s="418"/>
      <c r="C784" s="418"/>
      <c r="D784" s="520"/>
      <c r="E784" s="520"/>
      <c r="F784" s="520"/>
      <c r="G784" s="520"/>
      <c r="H784" s="418"/>
      <c r="I784" s="423"/>
      <c r="J784" s="523"/>
      <c r="K784" s="424"/>
      <c r="L784" s="424"/>
      <c r="M784" s="418"/>
      <c r="N784" s="518"/>
      <c r="O784" s="423"/>
      <c r="P784" s="427"/>
      <c r="Q784" s="423"/>
      <c r="R784" s="523"/>
      <c r="S784" s="424"/>
      <c r="T784" s="424"/>
      <c r="U784" s="418"/>
      <c r="V784" s="428"/>
      <c r="W784" s="418"/>
      <c r="X784" s="418"/>
      <c r="Y784" s="524"/>
      <c r="Z784" s="418"/>
      <c r="AA784" s="418"/>
      <c r="AB784" s="429"/>
    </row>
    <row r="785" spans="1:28">
      <c r="A785" s="418"/>
      <c r="B785" s="418"/>
      <c r="C785" s="418"/>
      <c r="D785" s="520"/>
      <c r="E785" s="520"/>
      <c r="F785" s="520"/>
      <c r="G785" s="520"/>
      <c r="H785" s="418"/>
      <c r="I785" s="423"/>
      <c r="J785" s="523"/>
      <c r="K785" s="424"/>
      <c r="L785" s="424"/>
      <c r="M785" s="418"/>
      <c r="N785" s="518"/>
      <c r="O785" s="423"/>
      <c r="P785" s="427"/>
      <c r="Q785" s="423"/>
      <c r="R785" s="523"/>
      <c r="S785" s="424"/>
      <c r="T785" s="424"/>
      <c r="U785" s="418"/>
      <c r="V785" s="428"/>
      <c r="W785" s="418"/>
      <c r="X785" s="418"/>
      <c r="Y785" s="524"/>
      <c r="Z785" s="418"/>
      <c r="AA785" s="418"/>
      <c r="AB785" s="429"/>
    </row>
    <row r="786" spans="1:28">
      <c r="A786" s="418"/>
      <c r="B786" s="418"/>
      <c r="C786" s="418"/>
      <c r="D786" s="520"/>
      <c r="E786" s="520"/>
      <c r="F786" s="520"/>
      <c r="G786" s="520"/>
      <c r="H786" s="418"/>
      <c r="I786" s="423"/>
      <c r="J786" s="523"/>
      <c r="K786" s="424"/>
      <c r="L786" s="424"/>
      <c r="M786" s="418"/>
      <c r="N786" s="518"/>
      <c r="O786" s="423"/>
      <c r="P786" s="427"/>
      <c r="Q786" s="423"/>
      <c r="R786" s="523"/>
      <c r="S786" s="424"/>
      <c r="T786" s="424"/>
      <c r="U786" s="418"/>
      <c r="V786" s="428"/>
      <c r="W786" s="418"/>
      <c r="X786" s="418"/>
      <c r="Y786" s="524"/>
      <c r="Z786" s="418"/>
      <c r="AA786" s="418"/>
      <c r="AB786" s="429"/>
    </row>
    <row r="787" spans="1:28">
      <c r="A787" s="418"/>
      <c r="B787" s="418"/>
      <c r="C787" s="418"/>
      <c r="D787" s="520"/>
      <c r="E787" s="520"/>
      <c r="F787" s="520"/>
      <c r="G787" s="520"/>
      <c r="H787" s="418"/>
      <c r="I787" s="423"/>
      <c r="J787" s="523"/>
      <c r="K787" s="424"/>
      <c r="L787" s="424"/>
      <c r="M787" s="418"/>
      <c r="N787" s="518"/>
      <c r="O787" s="423"/>
      <c r="P787" s="427"/>
      <c r="Q787" s="423"/>
      <c r="R787" s="523"/>
      <c r="S787" s="424"/>
      <c r="T787" s="424"/>
      <c r="U787" s="418"/>
      <c r="V787" s="428"/>
      <c r="W787" s="418"/>
      <c r="X787" s="418"/>
      <c r="Y787" s="524"/>
      <c r="Z787" s="418"/>
      <c r="AA787" s="418"/>
      <c r="AB787" s="429"/>
    </row>
    <row r="788" spans="1:28">
      <c r="A788" s="418"/>
      <c r="B788" s="418"/>
      <c r="C788" s="418"/>
      <c r="D788" s="520"/>
      <c r="E788" s="520"/>
      <c r="F788" s="520"/>
      <c r="G788" s="520"/>
      <c r="H788" s="418"/>
      <c r="I788" s="423"/>
      <c r="J788" s="523"/>
      <c r="K788" s="424"/>
      <c r="L788" s="424"/>
      <c r="M788" s="418"/>
      <c r="N788" s="518"/>
      <c r="O788" s="423"/>
      <c r="P788" s="427"/>
      <c r="Q788" s="423"/>
      <c r="R788" s="523"/>
      <c r="S788" s="424"/>
      <c r="T788" s="424"/>
      <c r="U788" s="418"/>
      <c r="V788" s="428"/>
      <c r="W788" s="418"/>
      <c r="X788" s="418"/>
      <c r="Y788" s="524"/>
      <c r="Z788" s="418"/>
      <c r="AA788" s="418"/>
      <c r="AB788" s="429"/>
    </row>
    <row r="789" spans="1:28">
      <c r="A789" s="418"/>
      <c r="B789" s="418"/>
      <c r="C789" s="418"/>
      <c r="D789" s="520"/>
      <c r="E789" s="520"/>
      <c r="F789" s="520"/>
      <c r="G789" s="520"/>
      <c r="H789" s="418"/>
      <c r="I789" s="423"/>
      <c r="J789" s="523"/>
      <c r="K789" s="424"/>
      <c r="L789" s="424"/>
      <c r="M789" s="418"/>
      <c r="N789" s="518"/>
      <c r="O789" s="423"/>
      <c r="P789" s="427"/>
      <c r="Q789" s="423"/>
      <c r="R789" s="523"/>
      <c r="S789" s="424"/>
      <c r="T789" s="424"/>
      <c r="U789" s="418"/>
      <c r="V789" s="428"/>
      <c r="W789" s="418"/>
      <c r="X789" s="418"/>
      <c r="Y789" s="524"/>
      <c r="Z789" s="418"/>
      <c r="AA789" s="418"/>
      <c r="AB789" s="429"/>
    </row>
    <row r="790" spans="1:28">
      <c r="A790" s="418"/>
      <c r="B790" s="418"/>
      <c r="C790" s="418"/>
      <c r="D790" s="520"/>
      <c r="E790" s="520"/>
      <c r="F790" s="520"/>
      <c r="G790" s="520"/>
      <c r="H790" s="418"/>
      <c r="I790" s="423"/>
      <c r="J790" s="523"/>
      <c r="K790" s="424"/>
      <c r="L790" s="424"/>
      <c r="M790" s="418"/>
      <c r="N790" s="518"/>
      <c r="O790" s="423"/>
      <c r="P790" s="427"/>
      <c r="Q790" s="423"/>
      <c r="R790" s="523"/>
      <c r="S790" s="424"/>
      <c r="T790" s="424"/>
      <c r="U790" s="418"/>
      <c r="V790" s="428"/>
      <c r="W790" s="418"/>
      <c r="X790" s="418"/>
      <c r="Y790" s="524"/>
      <c r="Z790" s="418"/>
      <c r="AA790" s="418"/>
      <c r="AB790" s="429"/>
    </row>
    <row r="791" spans="1:28">
      <c r="A791" s="418"/>
      <c r="B791" s="418"/>
      <c r="C791" s="418"/>
      <c r="D791" s="520"/>
      <c r="E791" s="520"/>
      <c r="F791" s="520"/>
      <c r="G791" s="520"/>
      <c r="H791" s="418"/>
      <c r="I791" s="423"/>
      <c r="J791" s="523"/>
      <c r="K791" s="424"/>
      <c r="L791" s="424"/>
      <c r="M791" s="418"/>
      <c r="N791" s="518"/>
      <c r="O791" s="423"/>
      <c r="P791" s="427"/>
      <c r="Q791" s="423"/>
      <c r="R791" s="523"/>
      <c r="S791" s="424"/>
      <c r="T791" s="424"/>
      <c r="U791" s="418"/>
      <c r="V791" s="428"/>
      <c r="W791" s="418"/>
      <c r="X791" s="418"/>
      <c r="Y791" s="524"/>
      <c r="Z791" s="418"/>
      <c r="AA791" s="418"/>
      <c r="AB791" s="429"/>
    </row>
    <row r="792" spans="1:28">
      <c r="A792" s="418"/>
      <c r="B792" s="418"/>
      <c r="C792" s="418"/>
      <c r="D792" s="520"/>
      <c r="E792" s="520"/>
      <c r="F792" s="520"/>
      <c r="G792" s="520"/>
      <c r="H792" s="418"/>
      <c r="I792" s="423"/>
      <c r="J792" s="523"/>
      <c r="K792" s="424"/>
      <c r="L792" s="424"/>
      <c r="M792" s="418"/>
      <c r="N792" s="518"/>
      <c r="O792" s="423"/>
      <c r="P792" s="427"/>
      <c r="Q792" s="423"/>
      <c r="R792" s="523"/>
      <c r="S792" s="424"/>
      <c r="T792" s="424"/>
      <c r="U792" s="418"/>
      <c r="V792" s="428"/>
      <c r="W792" s="418"/>
      <c r="X792" s="418"/>
      <c r="Y792" s="524"/>
      <c r="Z792" s="418"/>
      <c r="AA792" s="418"/>
      <c r="AB792" s="429"/>
    </row>
    <row r="793" spans="1:28">
      <c r="A793" s="418"/>
      <c r="B793" s="418"/>
      <c r="C793" s="418"/>
      <c r="D793" s="520"/>
      <c r="E793" s="520"/>
      <c r="F793" s="520"/>
      <c r="G793" s="520"/>
      <c r="H793" s="418"/>
      <c r="I793" s="423"/>
      <c r="J793" s="523"/>
      <c r="K793" s="424"/>
      <c r="L793" s="424"/>
      <c r="M793" s="418"/>
      <c r="N793" s="518"/>
      <c r="O793" s="423"/>
      <c r="P793" s="427"/>
      <c r="Q793" s="423"/>
      <c r="R793" s="523"/>
      <c r="S793" s="424"/>
      <c r="T793" s="424"/>
      <c r="U793" s="418"/>
      <c r="V793" s="428"/>
      <c r="W793" s="418"/>
      <c r="X793" s="418"/>
      <c r="Y793" s="524"/>
      <c r="Z793" s="418"/>
      <c r="AA793" s="418"/>
      <c r="AB793" s="429"/>
    </row>
    <row r="794" spans="1:28">
      <c r="A794" s="418"/>
      <c r="B794" s="418"/>
      <c r="C794" s="418"/>
      <c r="D794" s="520"/>
      <c r="E794" s="520"/>
      <c r="F794" s="520"/>
      <c r="G794" s="520"/>
      <c r="H794" s="418"/>
      <c r="I794" s="423"/>
      <c r="J794" s="523"/>
      <c r="K794" s="424"/>
      <c r="L794" s="424"/>
      <c r="M794" s="418"/>
      <c r="N794" s="518"/>
      <c r="O794" s="423"/>
      <c r="P794" s="427"/>
      <c r="Q794" s="423"/>
      <c r="R794" s="523"/>
      <c r="S794" s="424"/>
      <c r="T794" s="424"/>
      <c r="U794" s="418"/>
      <c r="V794" s="428"/>
      <c r="W794" s="418"/>
      <c r="X794" s="418"/>
      <c r="Y794" s="524"/>
      <c r="Z794" s="418"/>
      <c r="AA794" s="418"/>
      <c r="AB794" s="429"/>
    </row>
    <row r="795" spans="1:28">
      <c r="A795" s="418"/>
      <c r="B795" s="418"/>
      <c r="C795" s="418"/>
      <c r="D795" s="520"/>
      <c r="E795" s="520"/>
      <c r="F795" s="520"/>
      <c r="G795" s="520"/>
      <c r="H795" s="418"/>
      <c r="I795" s="423"/>
      <c r="J795" s="523"/>
      <c r="K795" s="424"/>
      <c r="L795" s="424"/>
      <c r="M795" s="418"/>
      <c r="N795" s="518"/>
      <c r="O795" s="423"/>
      <c r="P795" s="427"/>
      <c r="Q795" s="423"/>
      <c r="R795" s="523"/>
      <c r="S795" s="424"/>
      <c r="T795" s="424"/>
      <c r="U795" s="418"/>
      <c r="V795" s="428"/>
      <c r="W795" s="418"/>
      <c r="X795" s="418"/>
      <c r="Y795" s="524"/>
      <c r="Z795" s="418"/>
      <c r="AA795" s="418"/>
      <c r="AB795" s="429"/>
    </row>
    <row r="796" spans="1:28">
      <c r="A796" s="418"/>
      <c r="B796" s="418"/>
      <c r="C796" s="418"/>
      <c r="D796" s="520"/>
      <c r="E796" s="520"/>
      <c r="F796" s="520"/>
      <c r="G796" s="520"/>
      <c r="H796" s="418"/>
      <c r="I796" s="423"/>
      <c r="J796" s="523"/>
      <c r="K796" s="424"/>
      <c r="L796" s="424"/>
      <c r="M796" s="418"/>
      <c r="N796" s="518"/>
      <c r="O796" s="423"/>
      <c r="P796" s="427"/>
      <c r="Q796" s="423"/>
      <c r="R796" s="523"/>
      <c r="S796" s="424"/>
      <c r="T796" s="424"/>
      <c r="U796" s="418"/>
      <c r="V796" s="428"/>
      <c r="W796" s="418"/>
      <c r="X796" s="418"/>
      <c r="Y796" s="524"/>
      <c r="Z796" s="418"/>
      <c r="AA796" s="418"/>
      <c r="AB796" s="429"/>
    </row>
    <row r="797" spans="1:28">
      <c r="A797" s="418"/>
      <c r="B797" s="418"/>
      <c r="C797" s="418"/>
      <c r="D797" s="520"/>
      <c r="E797" s="520"/>
      <c r="F797" s="520"/>
      <c r="G797" s="520"/>
      <c r="H797" s="418"/>
      <c r="I797" s="423"/>
      <c r="J797" s="523"/>
      <c r="K797" s="424"/>
      <c r="L797" s="424"/>
      <c r="M797" s="418"/>
      <c r="N797" s="518"/>
      <c r="O797" s="423"/>
      <c r="P797" s="427"/>
      <c r="Q797" s="423"/>
      <c r="R797" s="523"/>
      <c r="S797" s="424"/>
      <c r="T797" s="424"/>
      <c r="U797" s="418"/>
      <c r="V797" s="428"/>
      <c r="W797" s="418"/>
      <c r="X797" s="418"/>
      <c r="Y797" s="524"/>
      <c r="Z797" s="418"/>
      <c r="AA797" s="418"/>
      <c r="AB797" s="429"/>
    </row>
    <row r="798" spans="1:28">
      <c r="A798" s="418"/>
      <c r="B798" s="418"/>
      <c r="C798" s="418"/>
      <c r="D798" s="520"/>
      <c r="E798" s="520"/>
      <c r="F798" s="520"/>
      <c r="G798" s="520"/>
      <c r="H798" s="418"/>
      <c r="I798" s="423"/>
      <c r="J798" s="523"/>
      <c r="K798" s="424"/>
      <c r="L798" s="424"/>
      <c r="M798" s="418"/>
      <c r="N798" s="518"/>
      <c r="O798" s="423"/>
      <c r="P798" s="427"/>
      <c r="Q798" s="423"/>
      <c r="R798" s="523"/>
      <c r="S798" s="424"/>
      <c r="T798" s="424"/>
      <c r="U798" s="418"/>
      <c r="V798" s="428"/>
      <c r="W798" s="418"/>
      <c r="X798" s="418"/>
      <c r="Y798" s="524"/>
      <c r="Z798" s="418"/>
      <c r="AA798" s="418"/>
      <c r="AB798" s="429"/>
    </row>
    <row r="799" spans="1:28">
      <c r="A799" s="418"/>
      <c r="B799" s="418"/>
      <c r="C799" s="418"/>
      <c r="D799" s="520"/>
      <c r="E799" s="520"/>
      <c r="F799" s="520"/>
      <c r="G799" s="520"/>
      <c r="H799" s="418"/>
      <c r="I799" s="423"/>
      <c r="J799" s="523"/>
      <c r="K799" s="424"/>
      <c r="L799" s="424"/>
      <c r="M799" s="418"/>
      <c r="N799" s="518"/>
      <c r="O799" s="423"/>
      <c r="P799" s="427"/>
      <c r="Q799" s="423"/>
      <c r="R799" s="523"/>
      <c r="S799" s="424"/>
      <c r="T799" s="424"/>
      <c r="U799" s="418"/>
      <c r="V799" s="428"/>
      <c r="W799" s="418"/>
      <c r="X799" s="418"/>
      <c r="Y799" s="524"/>
      <c r="Z799" s="418"/>
      <c r="AA799" s="418"/>
      <c r="AB799" s="429"/>
    </row>
    <row r="800" spans="1:28">
      <c r="A800" s="418"/>
      <c r="B800" s="418"/>
      <c r="C800" s="418"/>
      <c r="D800" s="520"/>
      <c r="E800" s="520"/>
      <c r="F800" s="520"/>
      <c r="G800" s="520"/>
      <c r="H800" s="418"/>
      <c r="I800" s="423"/>
      <c r="J800" s="523"/>
      <c r="K800" s="424"/>
      <c r="L800" s="424"/>
      <c r="M800" s="418"/>
      <c r="N800" s="518"/>
      <c r="O800" s="423"/>
      <c r="P800" s="427"/>
      <c r="Q800" s="423"/>
      <c r="R800" s="523"/>
      <c r="S800" s="424"/>
      <c r="T800" s="424"/>
      <c r="U800" s="418"/>
      <c r="V800" s="428"/>
      <c r="W800" s="418"/>
      <c r="X800" s="418"/>
      <c r="Y800" s="524"/>
      <c r="Z800" s="418"/>
      <c r="AA800" s="418"/>
      <c r="AB800" s="429"/>
    </row>
    <row r="801" spans="1:28">
      <c r="A801" s="418"/>
      <c r="B801" s="418"/>
      <c r="C801" s="418"/>
      <c r="D801" s="520"/>
      <c r="E801" s="520"/>
      <c r="F801" s="520"/>
      <c r="G801" s="520"/>
      <c r="H801" s="418"/>
      <c r="I801" s="423"/>
      <c r="J801" s="523"/>
      <c r="K801" s="424"/>
      <c r="L801" s="424"/>
      <c r="M801" s="418"/>
      <c r="N801" s="518"/>
      <c r="O801" s="423"/>
      <c r="P801" s="427"/>
      <c r="Q801" s="423"/>
      <c r="R801" s="523"/>
      <c r="S801" s="424"/>
      <c r="T801" s="424"/>
      <c r="U801" s="418"/>
      <c r="V801" s="428"/>
      <c r="W801" s="418"/>
      <c r="X801" s="418"/>
      <c r="Y801" s="524"/>
      <c r="Z801" s="418"/>
      <c r="AA801" s="418"/>
      <c r="AB801" s="429"/>
    </row>
    <row r="802" spans="1:28">
      <c r="A802" s="418"/>
      <c r="B802" s="418"/>
      <c r="C802" s="418"/>
      <c r="D802" s="520"/>
      <c r="E802" s="520"/>
      <c r="F802" s="520"/>
      <c r="G802" s="520"/>
      <c r="H802" s="418"/>
      <c r="I802" s="423"/>
      <c r="J802" s="523"/>
      <c r="K802" s="424"/>
      <c r="L802" s="424"/>
      <c r="M802" s="418"/>
      <c r="N802" s="518"/>
      <c r="O802" s="423"/>
      <c r="P802" s="427"/>
      <c r="Q802" s="423"/>
      <c r="R802" s="523"/>
      <c r="S802" s="424"/>
      <c r="T802" s="424"/>
      <c r="U802" s="418"/>
      <c r="V802" s="428"/>
      <c r="W802" s="418"/>
      <c r="X802" s="418"/>
      <c r="Y802" s="524"/>
      <c r="Z802" s="418"/>
      <c r="AA802" s="418"/>
      <c r="AB802" s="429"/>
    </row>
    <row r="803" spans="1:28">
      <c r="A803" s="418"/>
      <c r="B803" s="418"/>
      <c r="C803" s="418"/>
      <c r="D803" s="520"/>
      <c r="E803" s="520"/>
      <c r="F803" s="520"/>
      <c r="G803" s="520"/>
      <c r="H803" s="418"/>
      <c r="I803" s="423"/>
      <c r="J803" s="523"/>
      <c r="K803" s="424"/>
      <c r="L803" s="424"/>
      <c r="M803" s="418"/>
      <c r="N803" s="518"/>
      <c r="O803" s="423"/>
      <c r="P803" s="427"/>
      <c r="Q803" s="423"/>
      <c r="R803" s="523"/>
      <c r="S803" s="424"/>
      <c r="T803" s="424"/>
      <c r="U803" s="418"/>
      <c r="V803" s="428"/>
      <c r="W803" s="418"/>
      <c r="X803" s="418"/>
      <c r="Y803" s="524"/>
      <c r="Z803" s="418"/>
      <c r="AA803" s="418"/>
      <c r="AB803" s="429"/>
    </row>
    <row r="804" spans="1:28">
      <c r="A804" s="418"/>
      <c r="B804" s="418"/>
      <c r="C804" s="418"/>
      <c r="D804" s="520"/>
      <c r="E804" s="520"/>
      <c r="F804" s="520"/>
      <c r="G804" s="520"/>
      <c r="H804" s="418"/>
      <c r="I804" s="423"/>
      <c r="J804" s="523"/>
      <c r="K804" s="424"/>
      <c r="L804" s="424"/>
      <c r="M804" s="418"/>
      <c r="N804" s="518"/>
      <c r="O804" s="423"/>
      <c r="P804" s="427"/>
      <c r="Q804" s="423"/>
      <c r="R804" s="523"/>
      <c r="S804" s="424"/>
      <c r="T804" s="424"/>
      <c r="U804" s="418"/>
      <c r="V804" s="428"/>
      <c r="W804" s="418"/>
      <c r="X804" s="418"/>
      <c r="Y804" s="524"/>
      <c r="Z804" s="418"/>
      <c r="AA804" s="418"/>
      <c r="AB804" s="429"/>
    </row>
    <row r="805" spans="1:28">
      <c r="A805" s="418"/>
      <c r="B805" s="418"/>
      <c r="C805" s="418"/>
      <c r="D805" s="520"/>
      <c r="E805" s="520"/>
      <c r="F805" s="520"/>
      <c r="G805" s="520"/>
      <c r="H805" s="418"/>
      <c r="I805" s="423"/>
      <c r="J805" s="523"/>
      <c r="K805" s="424"/>
      <c r="L805" s="424"/>
      <c r="M805" s="418"/>
      <c r="N805" s="518"/>
      <c r="O805" s="423"/>
      <c r="P805" s="427"/>
      <c r="Q805" s="423"/>
      <c r="R805" s="523"/>
      <c r="S805" s="424"/>
      <c r="T805" s="424"/>
      <c r="U805" s="418"/>
      <c r="V805" s="428"/>
      <c r="W805" s="418"/>
      <c r="X805" s="418"/>
      <c r="Y805" s="524"/>
      <c r="Z805" s="418"/>
      <c r="AA805" s="418"/>
      <c r="AB805" s="429"/>
    </row>
    <row r="806" spans="1:28">
      <c r="A806" s="418"/>
      <c r="B806" s="418"/>
      <c r="C806" s="418"/>
      <c r="D806" s="520"/>
      <c r="E806" s="520"/>
      <c r="F806" s="520"/>
      <c r="G806" s="520"/>
      <c r="H806" s="418"/>
      <c r="I806" s="423"/>
      <c r="J806" s="523"/>
      <c r="K806" s="424"/>
      <c r="L806" s="424"/>
      <c r="M806" s="418"/>
      <c r="N806" s="518"/>
      <c r="O806" s="423"/>
      <c r="P806" s="427"/>
      <c r="Q806" s="423"/>
      <c r="R806" s="523"/>
      <c r="S806" s="424"/>
      <c r="T806" s="424"/>
      <c r="U806" s="418"/>
      <c r="V806" s="428"/>
      <c r="W806" s="418"/>
      <c r="X806" s="418"/>
      <c r="Y806" s="524"/>
      <c r="Z806" s="418"/>
      <c r="AA806" s="418"/>
      <c r="AB806" s="429"/>
    </row>
    <row r="807" spans="1:28">
      <c r="A807" s="418"/>
      <c r="B807" s="418"/>
      <c r="C807" s="418"/>
      <c r="D807" s="520"/>
      <c r="E807" s="520"/>
      <c r="F807" s="520"/>
      <c r="G807" s="520"/>
      <c r="H807" s="418"/>
      <c r="I807" s="423"/>
      <c r="J807" s="523"/>
      <c r="K807" s="424"/>
      <c r="L807" s="424"/>
      <c r="M807" s="418"/>
      <c r="N807" s="518"/>
      <c r="O807" s="423"/>
      <c r="P807" s="427"/>
      <c r="Q807" s="423"/>
      <c r="R807" s="523"/>
      <c r="S807" s="424"/>
      <c r="T807" s="424"/>
      <c r="U807" s="418"/>
      <c r="V807" s="428"/>
      <c r="W807" s="418"/>
      <c r="X807" s="418"/>
      <c r="Y807" s="524"/>
      <c r="Z807" s="418"/>
      <c r="AA807" s="418"/>
      <c r="AB807" s="429"/>
    </row>
    <row r="808" spans="1:28">
      <c r="A808" s="418"/>
      <c r="B808" s="418"/>
      <c r="C808" s="418"/>
      <c r="D808" s="520"/>
      <c r="E808" s="520"/>
      <c r="F808" s="520"/>
      <c r="G808" s="520"/>
      <c r="H808" s="418"/>
      <c r="I808" s="423"/>
      <c r="J808" s="523"/>
      <c r="K808" s="424"/>
      <c r="L808" s="424"/>
      <c r="M808" s="418"/>
      <c r="N808" s="518"/>
      <c r="O808" s="423"/>
      <c r="P808" s="427"/>
      <c r="Q808" s="423"/>
      <c r="R808" s="523"/>
      <c r="S808" s="424"/>
      <c r="T808" s="424"/>
      <c r="U808" s="418"/>
      <c r="V808" s="428"/>
      <c r="W808" s="418"/>
      <c r="X808" s="418"/>
      <c r="Y808" s="524"/>
      <c r="Z808" s="418"/>
      <c r="AA808" s="418"/>
      <c r="AB808" s="429"/>
    </row>
    <row r="809" spans="1:28">
      <c r="A809" s="418"/>
      <c r="B809" s="418"/>
      <c r="C809" s="418"/>
      <c r="D809" s="520"/>
      <c r="E809" s="520"/>
      <c r="F809" s="520"/>
      <c r="G809" s="520"/>
      <c r="H809" s="418"/>
      <c r="I809" s="423"/>
      <c r="J809" s="523"/>
      <c r="K809" s="424"/>
      <c r="L809" s="424"/>
      <c r="M809" s="418"/>
      <c r="N809" s="518"/>
      <c r="O809" s="423"/>
      <c r="P809" s="427"/>
      <c r="Q809" s="423"/>
      <c r="R809" s="523"/>
      <c r="S809" s="424"/>
      <c r="T809" s="424"/>
      <c r="U809" s="418"/>
      <c r="V809" s="428"/>
      <c r="W809" s="418"/>
      <c r="X809" s="418"/>
      <c r="Y809" s="524"/>
      <c r="Z809" s="418"/>
      <c r="AA809" s="418"/>
      <c r="AB809" s="429"/>
    </row>
    <row r="810" spans="1:28">
      <c r="A810" s="418"/>
      <c r="B810" s="418"/>
      <c r="C810" s="418"/>
      <c r="D810" s="520"/>
      <c r="E810" s="520"/>
      <c r="F810" s="520"/>
      <c r="G810" s="520"/>
      <c r="H810" s="418"/>
      <c r="I810" s="423"/>
      <c r="J810" s="523"/>
      <c r="K810" s="424"/>
      <c r="L810" s="424"/>
      <c r="M810" s="418"/>
      <c r="N810" s="518"/>
      <c r="O810" s="423"/>
      <c r="P810" s="427"/>
      <c r="Q810" s="423"/>
      <c r="R810" s="523"/>
      <c r="S810" s="424"/>
      <c r="T810" s="424"/>
      <c r="U810" s="418"/>
      <c r="V810" s="428"/>
      <c r="W810" s="418"/>
      <c r="X810" s="418"/>
      <c r="Y810" s="524"/>
      <c r="Z810" s="418"/>
      <c r="AA810" s="418"/>
      <c r="AB810" s="429"/>
    </row>
    <row r="811" spans="1:28">
      <c r="A811" s="418"/>
      <c r="B811" s="418"/>
      <c r="C811" s="418"/>
      <c r="D811" s="520"/>
      <c r="E811" s="520"/>
      <c r="F811" s="520"/>
      <c r="G811" s="520"/>
      <c r="H811" s="418"/>
      <c r="I811" s="423"/>
      <c r="J811" s="523"/>
      <c r="K811" s="424"/>
      <c r="L811" s="424"/>
      <c r="M811" s="418"/>
      <c r="N811" s="518"/>
      <c r="O811" s="423"/>
      <c r="P811" s="427"/>
      <c r="Q811" s="423"/>
      <c r="R811" s="523"/>
      <c r="S811" s="424"/>
      <c r="T811" s="424"/>
      <c r="U811" s="418"/>
      <c r="V811" s="428"/>
      <c r="W811" s="418"/>
      <c r="X811" s="418"/>
      <c r="Y811" s="524"/>
      <c r="Z811" s="418"/>
      <c r="AA811" s="418"/>
      <c r="AB811" s="429"/>
    </row>
    <row r="812" spans="1:28">
      <c r="A812" s="418"/>
      <c r="B812" s="418"/>
      <c r="C812" s="418"/>
      <c r="D812" s="520"/>
      <c r="E812" s="520"/>
      <c r="F812" s="520"/>
      <c r="G812" s="520"/>
      <c r="H812" s="418"/>
      <c r="I812" s="423"/>
      <c r="J812" s="523"/>
      <c r="K812" s="424"/>
      <c r="L812" s="424"/>
      <c r="M812" s="418"/>
      <c r="N812" s="518"/>
      <c r="O812" s="423"/>
      <c r="P812" s="427"/>
      <c r="Q812" s="423"/>
      <c r="R812" s="523"/>
      <c r="S812" s="424"/>
      <c r="T812" s="424"/>
      <c r="U812" s="418"/>
      <c r="V812" s="428"/>
      <c r="W812" s="418"/>
      <c r="X812" s="418"/>
      <c r="Y812" s="524"/>
      <c r="Z812" s="418"/>
      <c r="AA812" s="418"/>
      <c r="AB812" s="429"/>
    </row>
    <row r="813" spans="1:28">
      <c r="A813" s="418"/>
      <c r="B813" s="418"/>
      <c r="C813" s="418"/>
      <c r="D813" s="520"/>
      <c r="E813" s="520"/>
      <c r="F813" s="520"/>
      <c r="G813" s="520"/>
      <c r="H813" s="418"/>
      <c r="I813" s="423"/>
      <c r="J813" s="523"/>
      <c r="K813" s="424"/>
      <c r="L813" s="424"/>
      <c r="M813" s="418"/>
      <c r="N813" s="518"/>
      <c r="O813" s="423"/>
      <c r="P813" s="427"/>
      <c r="Q813" s="423"/>
      <c r="R813" s="523"/>
      <c r="S813" s="424"/>
      <c r="T813" s="424"/>
      <c r="U813" s="418"/>
      <c r="V813" s="428"/>
      <c r="W813" s="418"/>
      <c r="X813" s="418"/>
      <c r="Y813" s="524"/>
      <c r="Z813" s="418"/>
      <c r="AA813" s="418"/>
      <c r="AB813" s="429"/>
    </row>
    <row r="814" spans="1:28">
      <c r="A814" s="418"/>
      <c r="B814" s="418"/>
      <c r="C814" s="418"/>
      <c r="D814" s="520"/>
      <c r="E814" s="520"/>
      <c r="F814" s="520"/>
      <c r="G814" s="520"/>
      <c r="H814" s="418"/>
      <c r="I814" s="423"/>
      <c r="J814" s="523"/>
      <c r="K814" s="424"/>
      <c r="L814" s="424"/>
      <c r="M814" s="418"/>
      <c r="N814" s="518"/>
      <c r="O814" s="423"/>
      <c r="P814" s="427"/>
      <c r="Q814" s="423"/>
      <c r="R814" s="523"/>
      <c r="S814" s="424"/>
      <c r="T814" s="424"/>
      <c r="U814" s="418"/>
      <c r="V814" s="428"/>
      <c r="W814" s="418"/>
      <c r="X814" s="418"/>
      <c r="Y814" s="524"/>
      <c r="Z814" s="418"/>
      <c r="AA814" s="418"/>
      <c r="AB814" s="429"/>
    </row>
    <row r="815" spans="1:28">
      <c r="A815" s="418"/>
      <c r="B815" s="418"/>
      <c r="C815" s="418"/>
      <c r="D815" s="520"/>
      <c r="E815" s="520"/>
      <c r="F815" s="520"/>
      <c r="G815" s="520"/>
      <c r="H815" s="418"/>
      <c r="I815" s="423"/>
      <c r="J815" s="523"/>
      <c r="K815" s="424"/>
      <c r="L815" s="424"/>
      <c r="M815" s="418"/>
      <c r="N815" s="518"/>
      <c r="O815" s="423"/>
      <c r="P815" s="427"/>
      <c r="Q815" s="423"/>
      <c r="R815" s="523"/>
      <c r="S815" s="424"/>
      <c r="T815" s="424"/>
      <c r="U815" s="418"/>
      <c r="V815" s="428"/>
      <c r="W815" s="418"/>
      <c r="X815" s="418"/>
      <c r="Y815" s="524"/>
      <c r="Z815" s="418"/>
      <c r="AA815" s="418"/>
      <c r="AB815" s="429"/>
    </row>
    <row r="816" spans="1:28">
      <c r="A816" s="418"/>
      <c r="B816" s="418"/>
      <c r="C816" s="418"/>
      <c r="D816" s="520"/>
      <c r="E816" s="520"/>
      <c r="F816" s="520"/>
      <c r="G816" s="520"/>
      <c r="H816" s="418"/>
      <c r="I816" s="423"/>
      <c r="J816" s="523"/>
      <c r="K816" s="424"/>
      <c r="L816" s="424"/>
      <c r="M816" s="418"/>
      <c r="N816" s="518"/>
      <c r="O816" s="423"/>
      <c r="P816" s="427"/>
      <c r="Q816" s="423"/>
      <c r="R816" s="523"/>
      <c r="S816" s="424"/>
      <c r="T816" s="424"/>
      <c r="U816" s="418"/>
      <c r="V816" s="428"/>
      <c r="W816" s="418"/>
      <c r="X816" s="418"/>
      <c r="Y816" s="524"/>
      <c r="Z816" s="418"/>
      <c r="AA816" s="418"/>
      <c r="AB816" s="429"/>
    </row>
    <row r="817" spans="1:28">
      <c r="A817" s="418"/>
      <c r="B817" s="418"/>
      <c r="C817" s="418"/>
      <c r="D817" s="520"/>
      <c r="E817" s="520"/>
      <c r="F817" s="520"/>
      <c r="G817" s="520"/>
      <c r="H817" s="418"/>
      <c r="I817" s="423"/>
      <c r="J817" s="523"/>
      <c r="K817" s="424"/>
      <c r="L817" s="424"/>
      <c r="M817" s="418"/>
      <c r="N817" s="518"/>
      <c r="O817" s="423"/>
      <c r="P817" s="427"/>
      <c r="Q817" s="423"/>
      <c r="R817" s="523"/>
      <c r="S817" s="424"/>
      <c r="T817" s="424"/>
      <c r="U817" s="418"/>
      <c r="V817" s="428"/>
      <c r="W817" s="418"/>
      <c r="X817" s="418"/>
      <c r="Y817" s="524"/>
      <c r="Z817" s="418"/>
      <c r="AA817" s="418"/>
      <c r="AB817" s="429"/>
    </row>
    <row r="818" spans="1:28">
      <c r="A818" s="418"/>
      <c r="B818" s="418"/>
      <c r="C818" s="418"/>
      <c r="D818" s="520"/>
      <c r="E818" s="520"/>
      <c r="F818" s="520"/>
      <c r="G818" s="520"/>
      <c r="H818" s="418"/>
      <c r="I818" s="423"/>
      <c r="J818" s="523"/>
      <c r="K818" s="424"/>
      <c r="L818" s="424"/>
      <c r="M818" s="418"/>
      <c r="N818" s="518"/>
      <c r="O818" s="423"/>
      <c r="P818" s="427"/>
      <c r="Q818" s="423"/>
      <c r="R818" s="523"/>
      <c r="S818" s="424"/>
      <c r="T818" s="424"/>
      <c r="U818" s="418"/>
      <c r="V818" s="428"/>
      <c r="W818" s="418"/>
      <c r="X818" s="418"/>
      <c r="Y818" s="524"/>
      <c r="Z818" s="418"/>
      <c r="AA818" s="418"/>
      <c r="AB818" s="429"/>
    </row>
    <row r="819" spans="1:28">
      <c r="A819" s="418"/>
      <c r="B819" s="418"/>
      <c r="C819" s="418"/>
      <c r="D819" s="520"/>
      <c r="E819" s="520"/>
      <c r="F819" s="520"/>
      <c r="G819" s="520"/>
      <c r="H819" s="418"/>
      <c r="I819" s="423"/>
      <c r="J819" s="523"/>
      <c r="K819" s="424"/>
      <c r="L819" s="424"/>
      <c r="M819" s="418"/>
      <c r="N819" s="518"/>
      <c r="O819" s="423"/>
      <c r="P819" s="427"/>
      <c r="Q819" s="423"/>
      <c r="R819" s="523"/>
      <c r="S819" s="424"/>
      <c r="T819" s="424"/>
      <c r="U819" s="418"/>
      <c r="V819" s="428"/>
      <c r="W819" s="418"/>
      <c r="X819" s="418"/>
      <c r="Y819" s="524"/>
      <c r="Z819" s="418"/>
      <c r="AA819" s="418"/>
      <c r="AB819" s="429"/>
    </row>
    <row r="820" spans="1:28">
      <c r="A820" s="418"/>
      <c r="B820" s="418"/>
      <c r="C820" s="418"/>
      <c r="D820" s="520"/>
      <c r="E820" s="520"/>
      <c r="F820" s="520"/>
      <c r="G820" s="520"/>
      <c r="H820" s="418"/>
      <c r="I820" s="423"/>
      <c r="J820" s="523"/>
      <c r="K820" s="424"/>
      <c r="L820" s="424"/>
      <c r="M820" s="418"/>
      <c r="N820" s="518"/>
      <c r="O820" s="423"/>
      <c r="P820" s="427"/>
      <c r="Q820" s="423"/>
      <c r="R820" s="523"/>
      <c r="S820" s="424"/>
      <c r="T820" s="424"/>
      <c r="U820" s="418"/>
      <c r="V820" s="428"/>
      <c r="W820" s="418"/>
      <c r="X820" s="418"/>
      <c r="Y820" s="524"/>
      <c r="Z820" s="418"/>
      <c r="AA820" s="418"/>
      <c r="AB820" s="429"/>
    </row>
    <row r="821" spans="1:28">
      <c r="A821" s="418"/>
      <c r="B821" s="418"/>
      <c r="C821" s="418"/>
      <c r="D821" s="520"/>
      <c r="E821" s="520"/>
      <c r="F821" s="520"/>
      <c r="G821" s="520"/>
      <c r="H821" s="418"/>
      <c r="I821" s="423"/>
      <c r="J821" s="523"/>
      <c r="K821" s="424"/>
      <c r="L821" s="424"/>
      <c r="M821" s="418"/>
      <c r="N821" s="518"/>
      <c r="O821" s="423"/>
      <c r="P821" s="427"/>
      <c r="Q821" s="423"/>
      <c r="R821" s="523"/>
      <c r="S821" s="424"/>
      <c r="T821" s="424"/>
      <c r="U821" s="418"/>
      <c r="V821" s="428"/>
      <c r="W821" s="418"/>
      <c r="X821" s="418"/>
      <c r="Y821" s="524"/>
      <c r="Z821" s="418"/>
      <c r="AA821" s="418"/>
      <c r="AB821" s="429"/>
    </row>
    <row r="822" spans="1:28">
      <c r="A822" s="418"/>
      <c r="B822" s="418"/>
      <c r="C822" s="418"/>
      <c r="D822" s="520"/>
      <c r="E822" s="520"/>
      <c r="F822" s="520"/>
      <c r="G822" s="520"/>
      <c r="H822" s="418"/>
      <c r="I822" s="423"/>
      <c r="J822" s="523"/>
      <c r="K822" s="424"/>
      <c r="L822" s="424"/>
      <c r="M822" s="418"/>
      <c r="N822" s="518"/>
      <c r="O822" s="423"/>
      <c r="P822" s="427"/>
      <c r="Q822" s="423"/>
      <c r="R822" s="523"/>
      <c r="S822" s="424"/>
      <c r="T822" s="424"/>
      <c r="U822" s="418"/>
      <c r="V822" s="428"/>
      <c r="W822" s="418"/>
      <c r="X822" s="418"/>
      <c r="Y822" s="524"/>
      <c r="Z822" s="418"/>
      <c r="AA822" s="418"/>
      <c r="AB822" s="429"/>
    </row>
    <row r="823" spans="1:28">
      <c r="A823" s="418"/>
      <c r="B823" s="418"/>
      <c r="C823" s="418"/>
      <c r="D823" s="520"/>
      <c r="E823" s="520"/>
      <c r="F823" s="520"/>
      <c r="G823" s="520"/>
      <c r="H823" s="418"/>
      <c r="I823" s="423"/>
      <c r="J823" s="523"/>
      <c r="K823" s="424"/>
      <c r="L823" s="424"/>
      <c r="M823" s="418"/>
      <c r="N823" s="518"/>
      <c r="O823" s="423"/>
      <c r="P823" s="427"/>
      <c r="Q823" s="423"/>
      <c r="R823" s="523"/>
      <c r="S823" s="424"/>
      <c r="T823" s="424"/>
      <c r="U823" s="418"/>
      <c r="V823" s="428"/>
      <c r="W823" s="418"/>
      <c r="X823" s="418"/>
      <c r="Y823" s="524"/>
      <c r="Z823" s="418"/>
      <c r="AA823" s="418"/>
      <c r="AB823" s="429"/>
    </row>
    <row r="824" spans="1:28">
      <c r="A824" s="418"/>
      <c r="B824" s="418"/>
      <c r="C824" s="418"/>
      <c r="D824" s="520"/>
      <c r="E824" s="520"/>
      <c r="F824" s="520"/>
      <c r="G824" s="520"/>
      <c r="H824" s="418"/>
      <c r="I824" s="423"/>
      <c r="J824" s="523"/>
      <c r="K824" s="424"/>
      <c r="L824" s="424"/>
      <c r="M824" s="418"/>
      <c r="N824" s="518"/>
      <c r="O824" s="423"/>
      <c r="P824" s="427"/>
      <c r="Q824" s="423"/>
      <c r="R824" s="523"/>
      <c r="S824" s="424"/>
      <c r="T824" s="424"/>
      <c r="U824" s="418"/>
      <c r="V824" s="428"/>
      <c r="W824" s="418"/>
      <c r="X824" s="418"/>
      <c r="Y824" s="524"/>
      <c r="Z824" s="418"/>
      <c r="AA824" s="418"/>
      <c r="AB824" s="429"/>
    </row>
    <row r="825" spans="1:28">
      <c r="A825" s="418"/>
      <c r="B825" s="418"/>
      <c r="C825" s="418"/>
      <c r="D825" s="520"/>
      <c r="E825" s="520"/>
      <c r="F825" s="520"/>
      <c r="G825" s="520"/>
      <c r="H825" s="418"/>
      <c r="I825" s="423"/>
      <c r="J825" s="523"/>
      <c r="K825" s="424"/>
      <c r="L825" s="424"/>
      <c r="M825" s="418"/>
      <c r="N825" s="518"/>
      <c r="O825" s="423"/>
      <c r="P825" s="427"/>
      <c r="Q825" s="423"/>
      <c r="R825" s="523"/>
      <c r="S825" s="424"/>
      <c r="T825" s="424"/>
      <c r="U825" s="418"/>
      <c r="V825" s="428"/>
      <c r="W825" s="418"/>
      <c r="X825" s="418"/>
      <c r="Y825" s="524"/>
      <c r="Z825" s="418"/>
      <c r="AA825" s="418"/>
      <c r="AB825" s="429"/>
    </row>
    <row r="826" spans="1:28">
      <c r="A826" s="418"/>
      <c r="B826" s="418"/>
      <c r="C826" s="418"/>
      <c r="D826" s="520"/>
      <c r="E826" s="520"/>
      <c r="F826" s="520"/>
      <c r="G826" s="520"/>
      <c r="H826" s="418"/>
      <c r="I826" s="423"/>
      <c r="J826" s="523"/>
      <c r="K826" s="424"/>
      <c r="L826" s="424"/>
      <c r="M826" s="418"/>
      <c r="N826" s="518"/>
      <c r="O826" s="423"/>
      <c r="P826" s="427"/>
      <c r="Q826" s="423"/>
      <c r="R826" s="523"/>
      <c r="S826" s="424"/>
      <c r="T826" s="424"/>
      <c r="U826" s="418"/>
      <c r="V826" s="428"/>
      <c r="W826" s="418"/>
      <c r="X826" s="418"/>
      <c r="Y826" s="524"/>
      <c r="Z826" s="418"/>
      <c r="AA826" s="418"/>
      <c r="AB826" s="429"/>
    </row>
    <row r="827" spans="1:28">
      <c r="A827" s="418"/>
      <c r="B827" s="418"/>
      <c r="C827" s="418"/>
      <c r="D827" s="520"/>
      <c r="E827" s="520"/>
      <c r="F827" s="520"/>
      <c r="G827" s="520"/>
      <c r="H827" s="418"/>
      <c r="I827" s="423"/>
      <c r="J827" s="523"/>
      <c r="K827" s="424"/>
      <c r="L827" s="424"/>
      <c r="M827" s="418"/>
      <c r="N827" s="518"/>
      <c r="O827" s="423"/>
      <c r="P827" s="427"/>
      <c r="Q827" s="423"/>
      <c r="R827" s="523"/>
      <c r="S827" s="424"/>
      <c r="T827" s="424"/>
      <c r="U827" s="418"/>
      <c r="V827" s="428"/>
      <c r="W827" s="418"/>
      <c r="X827" s="418"/>
      <c r="Y827" s="524"/>
      <c r="Z827" s="418"/>
      <c r="AA827" s="418"/>
      <c r="AB827" s="429"/>
    </row>
    <row r="828" spans="1:28">
      <c r="A828" s="418"/>
      <c r="B828" s="418"/>
      <c r="C828" s="418"/>
      <c r="D828" s="520"/>
      <c r="E828" s="520"/>
      <c r="F828" s="520"/>
      <c r="G828" s="520"/>
      <c r="H828" s="418"/>
      <c r="I828" s="423"/>
      <c r="J828" s="523"/>
      <c r="K828" s="424"/>
      <c r="L828" s="424"/>
      <c r="M828" s="418"/>
      <c r="N828" s="518"/>
      <c r="O828" s="423"/>
      <c r="P828" s="427"/>
      <c r="Q828" s="423"/>
      <c r="R828" s="523"/>
      <c r="S828" s="424"/>
      <c r="T828" s="424"/>
      <c r="U828" s="418"/>
      <c r="V828" s="428"/>
      <c r="W828" s="418"/>
      <c r="X828" s="418"/>
      <c r="Y828" s="524"/>
      <c r="Z828" s="418"/>
      <c r="AA828" s="418"/>
      <c r="AB828" s="429"/>
    </row>
    <row r="829" spans="1:28">
      <c r="A829" s="418"/>
      <c r="B829" s="418"/>
      <c r="C829" s="418"/>
      <c r="D829" s="520"/>
      <c r="E829" s="520"/>
      <c r="F829" s="520"/>
      <c r="G829" s="520"/>
      <c r="H829" s="418"/>
      <c r="I829" s="423"/>
      <c r="J829" s="523"/>
      <c r="K829" s="424"/>
      <c r="L829" s="424"/>
      <c r="M829" s="418"/>
      <c r="N829" s="518"/>
      <c r="O829" s="423"/>
      <c r="P829" s="427"/>
      <c r="Q829" s="423"/>
      <c r="R829" s="523"/>
      <c r="S829" s="424"/>
      <c r="T829" s="424"/>
      <c r="U829" s="418"/>
      <c r="V829" s="428"/>
      <c r="W829" s="418"/>
      <c r="X829" s="418"/>
      <c r="Y829" s="524"/>
      <c r="Z829" s="418"/>
      <c r="AA829" s="418"/>
      <c r="AB829" s="429"/>
    </row>
    <row r="830" spans="1:28">
      <c r="A830" s="418"/>
      <c r="B830" s="418"/>
      <c r="C830" s="418"/>
      <c r="D830" s="520"/>
      <c r="E830" s="520"/>
      <c r="F830" s="520"/>
      <c r="G830" s="520"/>
      <c r="H830" s="418"/>
      <c r="I830" s="423"/>
      <c r="J830" s="523"/>
      <c r="K830" s="424"/>
      <c r="L830" s="424"/>
      <c r="M830" s="418"/>
      <c r="N830" s="518"/>
      <c r="O830" s="423"/>
      <c r="P830" s="427"/>
      <c r="Q830" s="423"/>
      <c r="R830" s="523"/>
      <c r="S830" s="424"/>
      <c r="T830" s="424"/>
      <c r="U830" s="418"/>
      <c r="V830" s="428"/>
      <c r="W830" s="418"/>
      <c r="X830" s="418"/>
      <c r="Y830" s="524"/>
      <c r="Z830" s="418"/>
      <c r="AA830" s="418"/>
      <c r="AB830" s="429"/>
    </row>
    <row r="831" spans="1:28">
      <c r="A831" s="418"/>
      <c r="B831" s="418"/>
      <c r="C831" s="418"/>
      <c r="D831" s="520"/>
      <c r="E831" s="520"/>
      <c r="F831" s="520"/>
      <c r="G831" s="520"/>
      <c r="H831" s="418"/>
      <c r="I831" s="423"/>
      <c r="J831" s="523"/>
      <c r="K831" s="424"/>
      <c r="L831" s="424"/>
      <c r="M831" s="418"/>
      <c r="N831" s="518"/>
      <c r="O831" s="423"/>
      <c r="P831" s="427"/>
      <c r="Q831" s="423"/>
      <c r="R831" s="523"/>
      <c r="S831" s="424"/>
      <c r="T831" s="424"/>
      <c r="U831" s="418"/>
      <c r="V831" s="428"/>
      <c r="W831" s="418"/>
      <c r="X831" s="418"/>
      <c r="Y831" s="524"/>
      <c r="Z831" s="418"/>
      <c r="AA831" s="418"/>
      <c r="AB831" s="429"/>
    </row>
    <row r="832" spans="1:28">
      <c r="A832" s="418"/>
      <c r="B832" s="418"/>
      <c r="C832" s="418"/>
      <c r="D832" s="520"/>
      <c r="E832" s="520"/>
      <c r="F832" s="520"/>
      <c r="G832" s="520"/>
      <c r="H832" s="418"/>
      <c r="I832" s="423"/>
      <c r="J832" s="523"/>
      <c r="K832" s="424"/>
      <c r="L832" s="424"/>
      <c r="M832" s="418"/>
      <c r="N832" s="518"/>
      <c r="O832" s="423"/>
      <c r="P832" s="427"/>
      <c r="Q832" s="423"/>
      <c r="R832" s="523"/>
      <c r="S832" s="424"/>
      <c r="T832" s="424"/>
      <c r="U832" s="418"/>
      <c r="V832" s="428"/>
      <c r="W832" s="418"/>
      <c r="X832" s="418"/>
      <c r="Y832" s="524"/>
      <c r="Z832" s="418"/>
      <c r="AA832" s="418"/>
      <c r="AB832" s="429"/>
    </row>
    <row r="833" spans="1:28">
      <c r="A833" s="418"/>
      <c r="B833" s="418"/>
      <c r="C833" s="418"/>
      <c r="D833" s="520"/>
      <c r="E833" s="520"/>
      <c r="F833" s="520"/>
      <c r="G833" s="520"/>
      <c r="H833" s="418"/>
      <c r="I833" s="423"/>
      <c r="J833" s="523"/>
      <c r="K833" s="424"/>
      <c r="L833" s="424"/>
      <c r="M833" s="418"/>
      <c r="N833" s="518"/>
      <c r="O833" s="423"/>
      <c r="P833" s="427"/>
      <c r="Q833" s="423"/>
      <c r="R833" s="523"/>
      <c r="S833" s="424"/>
      <c r="T833" s="424"/>
      <c r="U833" s="418"/>
      <c r="V833" s="428"/>
      <c r="W833" s="418"/>
      <c r="X833" s="418"/>
      <c r="Y833" s="524"/>
      <c r="Z833" s="418"/>
      <c r="AA833" s="418"/>
      <c r="AB833" s="429"/>
    </row>
    <row r="834" spans="1:28">
      <c r="A834" s="418"/>
      <c r="B834" s="418"/>
      <c r="C834" s="418"/>
      <c r="D834" s="520"/>
      <c r="E834" s="520"/>
      <c r="F834" s="520"/>
      <c r="G834" s="520"/>
      <c r="H834" s="418"/>
      <c r="I834" s="423"/>
      <c r="J834" s="523"/>
      <c r="K834" s="424"/>
      <c r="L834" s="424"/>
      <c r="M834" s="418"/>
      <c r="N834" s="518"/>
      <c r="O834" s="423"/>
      <c r="P834" s="427"/>
      <c r="Q834" s="423"/>
      <c r="R834" s="523"/>
      <c r="S834" s="424"/>
      <c r="T834" s="424"/>
      <c r="U834" s="418"/>
      <c r="V834" s="428"/>
      <c r="W834" s="418"/>
      <c r="X834" s="418"/>
      <c r="Y834" s="524"/>
      <c r="Z834" s="418"/>
      <c r="AA834" s="418"/>
      <c r="AB834" s="429"/>
    </row>
    <row r="835" spans="1:28">
      <c r="A835" s="418"/>
      <c r="B835" s="418"/>
      <c r="C835" s="418"/>
      <c r="D835" s="520"/>
      <c r="E835" s="520"/>
      <c r="F835" s="520"/>
      <c r="G835" s="520"/>
      <c r="H835" s="418"/>
      <c r="I835" s="423"/>
      <c r="J835" s="523"/>
      <c r="K835" s="424"/>
      <c r="L835" s="424"/>
      <c r="M835" s="418"/>
      <c r="N835" s="518"/>
      <c r="O835" s="423"/>
      <c r="P835" s="427"/>
      <c r="Q835" s="423"/>
      <c r="R835" s="523"/>
      <c r="S835" s="424"/>
      <c r="T835" s="424"/>
      <c r="U835" s="418"/>
      <c r="V835" s="428"/>
      <c r="W835" s="418"/>
      <c r="X835" s="418"/>
      <c r="Y835" s="524"/>
      <c r="Z835" s="418"/>
      <c r="AA835" s="418"/>
      <c r="AB835" s="429"/>
    </row>
    <row r="836" spans="1:28">
      <c r="A836" s="418"/>
      <c r="B836" s="418"/>
      <c r="C836" s="418"/>
      <c r="D836" s="520"/>
      <c r="E836" s="520"/>
      <c r="F836" s="520"/>
      <c r="G836" s="520"/>
      <c r="H836" s="418"/>
      <c r="I836" s="423"/>
      <c r="J836" s="523"/>
      <c r="K836" s="424"/>
      <c r="L836" s="424"/>
      <c r="M836" s="418"/>
      <c r="N836" s="518"/>
      <c r="O836" s="423"/>
      <c r="P836" s="427"/>
      <c r="Q836" s="423"/>
      <c r="R836" s="523"/>
      <c r="S836" s="424"/>
      <c r="T836" s="424"/>
      <c r="U836" s="418"/>
      <c r="V836" s="428"/>
      <c r="W836" s="418"/>
      <c r="X836" s="418"/>
      <c r="Y836" s="524"/>
      <c r="Z836" s="418"/>
      <c r="AA836" s="418"/>
      <c r="AB836" s="429"/>
    </row>
    <row r="837" spans="1:28">
      <c r="A837" s="418"/>
      <c r="B837" s="418"/>
      <c r="C837" s="418"/>
      <c r="D837" s="520"/>
      <c r="E837" s="520"/>
      <c r="F837" s="520"/>
      <c r="G837" s="520"/>
      <c r="H837" s="418"/>
      <c r="I837" s="423"/>
      <c r="J837" s="523"/>
      <c r="K837" s="424"/>
      <c r="L837" s="424"/>
      <c r="M837" s="418"/>
      <c r="N837" s="518"/>
      <c r="O837" s="423"/>
      <c r="P837" s="427"/>
      <c r="Q837" s="423"/>
      <c r="R837" s="523"/>
      <c r="S837" s="424"/>
      <c r="T837" s="424"/>
      <c r="U837" s="418"/>
      <c r="V837" s="428"/>
      <c r="W837" s="418"/>
      <c r="X837" s="418"/>
      <c r="Y837" s="524"/>
      <c r="Z837" s="418"/>
      <c r="AA837" s="418"/>
      <c r="AB837" s="429"/>
    </row>
    <row r="838" spans="1:28">
      <c r="A838" s="418"/>
      <c r="B838" s="418"/>
      <c r="C838" s="418"/>
      <c r="D838" s="520"/>
      <c r="E838" s="520"/>
      <c r="F838" s="520"/>
      <c r="G838" s="520"/>
      <c r="H838" s="418"/>
      <c r="I838" s="423"/>
      <c r="J838" s="523"/>
      <c r="K838" s="424"/>
      <c r="L838" s="424"/>
      <c r="M838" s="418"/>
      <c r="N838" s="518"/>
      <c r="O838" s="423"/>
      <c r="P838" s="427"/>
      <c r="Q838" s="423"/>
      <c r="R838" s="523"/>
      <c r="S838" s="424"/>
      <c r="T838" s="424"/>
      <c r="U838" s="418"/>
      <c r="V838" s="428"/>
      <c r="W838" s="418"/>
      <c r="X838" s="418"/>
      <c r="Y838" s="524"/>
      <c r="Z838" s="418"/>
      <c r="AA838" s="418"/>
      <c r="AB838" s="429"/>
    </row>
    <row r="839" spans="1:28">
      <c r="A839" s="418"/>
      <c r="B839" s="418"/>
      <c r="C839" s="418"/>
      <c r="D839" s="520"/>
      <c r="E839" s="520"/>
      <c r="F839" s="520"/>
      <c r="G839" s="520"/>
      <c r="H839" s="418"/>
      <c r="I839" s="423"/>
      <c r="J839" s="523"/>
      <c r="K839" s="424"/>
      <c r="L839" s="424"/>
      <c r="M839" s="418"/>
      <c r="N839" s="518"/>
      <c r="O839" s="423"/>
      <c r="P839" s="427"/>
      <c r="Q839" s="423"/>
      <c r="R839" s="523"/>
      <c r="S839" s="424"/>
      <c r="T839" s="424"/>
      <c r="U839" s="418"/>
      <c r="V839" s="428"/>
      <c r="W839" s="418"/>
      <c r="X839" s="418"/>
      <c r="Y839" s="524"/>
      <c r="Z839" s="418"/>
      <c r="AA839" s="418"/>
      <c r="AB839" s="429"/>
    </row>
    <row r="840" spans="1:28">
      <c r="A840" s="418"/>
      <c r="B840" s="418"/>
      <c r="C840" s="418"/>
      <c r="D840" s="520"/>
      <c r="E840" s="520"/>
      <c r="F840" s="520"/>
      <c r="G840" s="520"/>
      <c r="H840" s="418"/>
      <c r="I840" s="423"/>
      <c r="J840" s="523"/>
      <c r="K840" s="424"/>
      <c r="L840" s="424"/>
      <c r="M840" s="418"/>
      <c r="N840" s="518"/>
      <c r="O840" s="423"/>
      <c r="P840" s="427"/>
      <c r="Q840" s="423"/>
      <c r="R840" s="523"/>
      <c r="S840" s="424"/>
      <c r="T840" s="424"/>
      <c r="U840" s="418"/>
      <c r="V840" s="428"/>
      <c r="W840" s="418"/>
      <c r="X840" s="418"/>
      <c r="Y840" s="524"/>
      <c r="Z840" s="418"/>
      <c r="AA840" s="418"/>
      <c r="AB840" s="429"/>
    </row>
    <row r="841" spans="1:28">
      <c r="A841" s="418"/>
      <c r="B841" s="418"/>
      <c r="C841" s="418"/>
      <c r="D841" s="520"/>
      <c r="E841" s="520"/>
      <c r="F841" s="520"/>
      <c r="G841" s="520"/>
      <c r="H841" s="418"/>
      <c r="I841" s="423"/>
      <c r="J841" s="523"/>
      <c r="K841" s="424"/>
      <c r="L841" s="424"/>
      <c r="M841" s="418"/>
      <c r="N841" s="518"/>
      <c r="O841" s="423"/>
      <c r="P841" s="427"/>
      <c r="Q841" s="423"/>
      <c r="R841" s="523"/>
      <c r="S841" s="424"/>
      <c r="T841" s="424"/>
      <c r="U841" s="418"/>
      <c r="V841" s="428"/>
      <c r="W841" s="418"/>
      <c r="X841" s="418"/>
      <c r="Y841" s="524"/>
      <c r="Z841" s="418"/>
      <c r="AA841" s="418"/>
      <c r="AB841" s="429"/>
    </row>
    <row r="842" spans="1:28">
      <c r="A842" s="418"/>
      <c r="B842" s="418"/>
      <c r="C842" s="418"/>
      <c r="D842" s="520"/>
      <c r="E842" s="520"/>
      <c r="F842" s="520"/>
      <c r="G842" s="520"/>
      <c r="H842" s="418"/>
      <c r="I842" s="423"/>
      <c r="J842" s="523"/>
      <c r="K842" s="424"/>
      <c r="L842" s="424"/>
      <c r="M842" s="418"/>
      <c r="N842" s="518"/>
      <c r="O842" s="423"/>
      <c r="P842" s="427"/>
      <c r="Q842" s="423"/>
      <c r="R842" s="523"/>
      <c r="S842" s="424"/>
      <c r="T842" s="424"/>
      <c r="U842" s="418"/>
      <c r="V842" s="428"/>
      <c r="W842" s="418"/>
      <c r="X842" s="418"/>
      <c r="Y842" s="524"/>
      <c r="Z842" s="418"/>
      <c r="AA842" s="418"/>
      <c r="AB842" s="429"/>
    </row>
    <row r="843" spans="1:28">
      <c r="A843" s="418"/>
      <c r="B843" s="418"/>
      <c r="C843" s="418"/>
      <c r="D843" s="520"/>
      <c r="E843" s="520"/>
      <c r="F843" s="520"/>
      <c r="G843" s="520"/>
      <c r="H843" s="418"/>
      <c r="I843" s="423"/>
      <c r="J843" s="523"/>
      <c r="K843" s="424"/>
      <c r="L843" s="424"/>
      <c r="M843" s="418"/>
      <c r="N843" s="518"/>
      <c r="O843" s="423"/>
      <c r="P843" s="427"/>
      <c r="Q843" s="423"/>
      <c r="R843" s="523"/>
      <c r="S843" s="424"/>
      <c r="T843" s="424"/>
      <c r="U843" s="418"/>
      <c r="V843" s="428"/>
      <c r="W843" s="418"/>
      <c r="X843" s="418"/>
      <c r="Y843" s="524"/>
      <c r="Z843" s="418"/>
      <c r="AA843" s="418"/>
      <c r="AB843" s="429"/>
    </row>
    <row r="844" spans="1:28">
      <c r="A844" s="418"/>
      <c r="B844" s="418"/>
      <c r="C844" s="418"/>
      <c r="D844" s="520"/>
      <c r="E844" s="520"/>
      <c r="F844" s="520"/>
      <c r="G844" s="520"/>
      <c r="H844" s="418"/>
      <c r="I844" s="423"/>
      <c r="J844" s="523"/>
      <c r="K844" s="424"/>
      <c r="L844" s="424"/>
      <c r="M844" s="418"/>
      <c r="N844" s="518"/>
      <c r="O844" s="423"/>
      <c r="P844" s="427"/>
      <c r="Q844" s="423"/>
      <c r="R844" s="523"/>
      <c r="S844" s="424"/>
      <c r="T844" s="424"/>
      <c r="U844" s="418"/>
      <c r="V844" s="428"/>
      <c r="W844" s="418"/>
      <c r="X844" s="418"/>
      <c r="Y844" s="524"/>
      <c r="Z844" s="418"/>
      <c r="AA844" s="418"/>
      <c r="AB844" s="429"/>
    </row>
    <row r="845" spans="1:28">
      <c r="A845" s="418"/>
      <c r="B845" s="418"/>
      <c r="C845" s="418"/>
      <c r="D845" s="520"/>
      <c r="E845" s="520"/>
      <c r="F845" s="520"/>
      <c r="G845" s="520"/>
      <c r="H845" s="418"/>
      <c r="I845" s="423"/>
      <c r="J845" s="523"/>
      <c r="K845" s="424"/>
      <c r="L845" s="424"/>
      <c r="M845" s="418"/>
      <c r="N845" s="518"/>
      <c r="O845" s="423"/>
      <c r="P845" s="427"/>
      <c r="Q845" s="423"/>
      <c r="R845" s="523"/>
      <c r="S845" s="424"/>
      <c r="T845" s="424"/>
      <c r="U845" s="418"/>
      <c r="V845" s="428"/>
      <c r="W845" s="418"/>
      <c r="X845" s="418"/>
      <c r="Y845" s="524"/>
      <c r="Z845" s="418"/>
      <c r="AA845" s="418"/>
      <c r="AB845" s="429"/>
    </row>
    <row r="846" spans="1:28">
      <c r="A846" s="418"/>
      <c r="B846" s="418"/>
      <c r="C846" s="418"/>
      <c r="D846" s="520"/>
      <c r="E846" s="520"/>
      <c r="F846" s="520"/>
      <c r="G846" s="520"/>
      <c r="H846" s="418"/>
      <c r="I846" s="423"/>
      <c r="J846" s="523"/>
      <c r="K846" s="424"/>
      <c r="L846" s="424"/>
      <c r="M846" s="418"/>
      <c r="N846" s="518"/>
      <c r="O846" s="423"/>
      <c r="P846" s="427"/>
      <c r="Q846" s="423"/>
      <c r="R846" s="523"/>
      <c r="S846" s="424"/>
      <c r="T846" s="424"/>
      <c r="U846" s="418"/>
      <c r="V846" s="428"/>
      <c r="W846" s="418"/>
      <c r="X846" s="418"/>
      <c r="Y846" s="524"/>
      <c r="Z846" s="418"/>
      <c r="AA846" s="418"/>
      <c r="AB846" s="429"/>
    </row>
    <row r="847" spans="1:28">
      <c r="A847" s="418"/>
      <c r="B847" s="418"/>
      <c r="C847" s="418"/>
      <c r="D847" s="520"/>
      <c r="E847" s="520"/>
      <c r="F847" s="520"/>
      <c r="G847" s="520"/>
      <c r="H847" s="418"/>
      <c r="I847" s="423"/>
      <c r="J847" s="523"/>
      <c r="K847" s="424"/>
      <c r="L847" s="424"/>
      <c r="M847" s="418"/>
      <c r="N847" s="518"/>
      <c r="O847" s="423"/>
      <c r="P847" s="427"/>
      <c r="Q847" s="423"/>
      <c r="R847" s="523"/>
      <c r="S847" s="424"/>
      <c r="T847" s="424"/>
      <c r="U847" s="418"/>
      <c r="V847" s="428"/>
      <c r="W847" s="418"/>
      <c r="X847" s="418"/>
      <c r="Y847" s="524"/>
      <c r="Z847" s="418"/>
      <c r="AA847" s="418"/>
      <c r="AB847" s="429"/>
    </row>
    <row r="848" spans="1:28">
      <c r="A848" s="418"/>
      <c r="B848" s="418"/>
      <c r="C848" s="418"/>
      <c r="D848" s="520"/>
      <c r="E848" s="520"/>
      <c r="F848" s="520"/>
      <c r="G848" s="520"/>
      <c r="H848" s="418"/>
      <c r="I848" s="423"/>
      <c r="J848" s="523"/>
      <c r="K848" s="424"/>
      <c r="L848" s="424"/>
      <c r="M848" s="418"/>
      <c r="N848" s="518"/>
      <c r="O848" s="423"/>
      <c r="P848" s="427"/>
      <c r="Q848" s="423"/>
      <c r="R848" s="523"/>
      <c r="S848" s="424"/>
      <c r="T848" s="424"/>
      <c r="U848" s="418"/>
      <c r="V848" s="428"/>
      <c r="W848" s="418"/>
      <c r="X848" s="418"/>
      <c r="Y848" s="524"/>
      <c r="Z848" s="418"/>
      <c r="AA848" s="418"/>
      <c r="AB848" s="429"/>
    </row>
    <row r="849" spans="1:28">
      <c r="A849" s="418"/>
      <c r="B849" s="418"/>
      <c r="C849" s="418"/>
      <c r="D849" s="520"/>
      <c r="E849" s="520"/>
      <c r="F849" s="520"/>
      <c r="G849" s="520"/>
      <c r="H849" s="418"/>
      <c r="I849" s="423"/>
      <c r="J849" s="523"/>
      <c r="K849" s="424"/>
      <c r="L849" s="424"/>
      <c r="M849" s="418"/>
      <c r="N849" s="518"/>
      <c r="O849" s="423"/>
      <c r="P849" s="427"/>
      <c r="Q849" s="423"/>
      <c r="R849" s="523"/>
      <c r="S849" s="424"/>
      <c r="T849" s="424"/>
      <c r="U849" s="418"/>
      <c r="V849" s="428"/>
      <c r="W849" s="418"/>
      <c r="X849" s="418"/>
      <c r="Y849" s="524"/>
      <c r="Z849" s="418"/>
      <c r="AA849" s="418"/>
      <c r="AB849" s="429"/>
    </row>
    <row r="850" spans="1:28">
      <c r="A850" s="418"/>
      <c r="B850" s="418"/>
      <c r="C850" s="418"/>
      <c r="D850" s="520"/>
      <c r="E850" s="520"/>
      <c r="F850" s="520"/>
      <c r="G850" s="520"/>
      <c r="H850" s="418"/>
      <c r="I850" s="423"/>
      <c r="J850" s="523"/>
      <c r="K850" s="424"/>
      <c r="L850" s="424"/>
      <c r="M850" s="418"/>
      <c r="N850" s="518"/>
      <c r="O850" s="423"/>
      <c r="P850" s="427"/>
      <c r="Q850" s="423"/>
      <c r="R850" s="523"/>
      <c r="S850" s="424"/>
      <c r="T850" s="424"/>
      <c r="U850" s="418"/>
      <c r="V850" s="428"/>
      <c r="W850" s="418"/>
      <c r="X850" s="418"/>
      <c r="Y850" s="524"/>
      <c r="Z850" s="418"/>
      <c r="AA850" s="418"/>
      <c r="AB850" s="429"/>
    </row>
    <row r="851" spans="1:28">
      <c r="A851" s="418"/>
      <c r="B851" s="418"/>
      <c r="C851" s="418"/>
      <c r="D851" s="520"/>
      <c r="E851" s="520"/>
      <c r="F851" s="520"/>
      <c r="G851" s="520"/>
      <c r="H851" s="418"/>
      <c r="I851" s="423"/>
      <c r="J851" s="523"/>
      <c r="K851" s="424"/>
      <c r="L851" s="424"/>
      <c r="M851" s="418"/>
      <c r="N851" s="518"/>
      <c r="O851" s="423"/>
      <c r="P851" s="427"/>
      <c r="Q851" s="423"/>
      <c r="R851" s="523"/>
      <c r="S851" s="424"/>
      <c r="T851" s="424"/>
      <c r="U851" s="418"/>
      <c r="V851" s="428"/>
      <c r="W851" s="418"/>
      <c r="X851" s="418"/>
      <c r="Y851" s="524"/>
      <c r="Z851" s="418"/>
      <c r="AA851" s="418"/>
      <c r="AB851" s="429"/>
    </row>
    <row r="852" spans="1:28">
      <c r="A852" s="418"/>
      <c r="B852" s="418"/>
      <c r="C852" s="418"/>
      <c r="D852" s="520"/>
      <c r="E852" s="520"/>
      <c r="F852" s="520"/>
      <c r="G852" s="520"/>
      <c r="H852" s="418"/>
      <c r="I852" s="423"/>
      <c r="J852" s="523"/>
      <c r="K852" s="424"/>
      <c r="L852" s="424"/>
      <c r="M852" s="418"/>
      <c r="N852" s="518"/>
      <c r="O852" s="423"/>
      <c r="P852" s="427"/>
      <c r="Q852" s="423"/>
      <c r="R852" s="523"/>
      <c r="S852" s="424"/>
      <c r="T852" s="424"/>
      <c r="U852" s="418"/>
      <c r="V852" s="428"/>
      <c r="W852" s="418"/>
      <c r="X852" s="418"/>
      <c r="Y852" s="524"/>
      <c r="Z852" s="418"/>
      <c r="AA852" s="418"/>
      <c r="AB852" s="429"/>
    </row>
    <row r="853" spans="1:28">
      <c r="A853" s="418"/>
      <c r="B853" s="418"/>
      <c r="C853" s="418"/>
      <c r="D853" s="520"/>
      <c r="E853" s="520"/>
      <c r="F853" s="520"/>
      <c r="G853" s="520"/>
      <c r="H853" s="418"/>
      <c r="I853" s="423"/>
      <c r="J853" s="523"/>
      <c r="K853" s="424"/>
      <c r="L853" s="424"/>
      <c r="M853" s="418"/>
      <c r="N853" s="518"/>
      <c r="O853" s="423"/>
      <c r="P853" s="427"/>
      <c r="Q853" s="423"/>
      <c r="R853" s="523"/>
      <c r="S853" s="424"/>
      <c r="T853" s="424"/>
      <c r="U853" s="418"/>
      <c r="V853" s="428"/>
      <c r="W853" s="418"/>
      <c r="X853" s="418"/>
      <c r="Y853" s="524"/>
      <c r="Z853" s="418"/>
      <c r="AA853" s="418"/>
      <c r="AB853" s="429"/>
    </row>
    <row r="854" spans="1:28">
      <c r="A854" s="418"/>
      <c r="B854" s="418"/>
      <c r="C854" s="418"/>
      <c r="D854" s="520"/>
      <c r="E854" s="520"/>
      <c r="F854" s="520"/>
      <c r="G854" s="520"/>
      <c r="H854" s="418"/>
      <c r="I854" s="423"/>
      <c r="J854" s="523"/>
      <c r="K854" s="424"/>
      <c r="L854" s="424"/>
      <c r="M854" s="418"/>
      <c r="N854" s="518"/>
      <c r="O854" s="423"/>
      <c r="P854" s="427"/>
      <c r="Q854" s="423"/>
      <c r="R854" s="523"/>
      <c r="S854" s="424"/>
      <c r="T854" s="424"/>
      <c r="U854" s="418"/>
      <c r="V854" s="428"/>
      <c r="W854" s="418"/>
      <c r="X854" s="418"/>
      <c r="Y854" s="524"/>
      <c r="Z854" s="418"/>
      <c r="AA854" s="418"/>
      <c r="AB854" s="429"/>
    </row>
    <row r="855" spans="1:28">
      <c r="A855" s="418"/>
      <c r="B855" s="418"/>
      <c r="C855" s="418"/>
      <c r="D855" s="520"/>
      <c r="E855" s="520"/>
      <c r="F855" s="520"/>
      <c r="G855" s="520"/>
      <c r="H855" s="418"/>
      <c r="I855" s="423"/>
      <c r="J855" s="523"/>
      <c r="K855" s="424"/>
      <c r="L855" s="424"/>
      <c r="M855" s="418"/>
      <c r="N855" s="518"/>
      <c r="O855" s="423"/>
      <c r="P855" s="427"/>
      <c r="Q855" s="423"/>
      <c r="R855" s="523"/>
      <c r="S855" s="424"/>
      <c r="T855" s="424"/>
      <c r="U855" s="418"/>
      <c r="V855" s="428"/>
      <c r="W855" s="418"/>
      <c r="X855" s="418"/>
      <c r="Y855" s="524"/>
      <c r="Z855" s="418"/>
      <c r="AA855" s="418"/>
      <c r="AB855" s="429"/>
    </row>
    <row r="856" spans="1:28">
      <c r="A856" s="418"/>
      <c r="B856" s="418"/>
      <c r="C856" s="418"/>
      <c r="D856" s="520"/>
      <c r="E856" s="520"/>
      <c r="F856" s="520"/>
      <c r="G856" s="520"/>
      <c r="H856" s="418"/>
      <c r="I856" s="423"/>
      <c r="J856" s="523"/>
      <c r="K856" s="424"/>
      <c r="L856" s="424"/>
      <c r="M856" s="418"/>
      <c r="N856" s="518"/>
      <c r="O856" s="423"/>
      <c r="P856" s="427"/>
      <c r="Q856" s="423"/>
      <c r="R856" s="523"/>
      <c r="S856" s="424"/>
      <c r="T856" s="424"/>
      <c r="U856" s="418"/>
      <c r="V856" s="428"/>
      <c r="W856" s="418"/>
      <c r="X856" s="418"/>
      <c r="Y856" s="524"/>
      <c r="Z856" s="418"/>
      <c r="AA856" s="418"/>
      <c r="AB856" s="429"/>
    </row>
    <row r="857" spans="1:28">
      <c r="A857" s="418"/>
      <c r="B857" s="418"/>
      <c r="C857" s="418"/>
      <c r="D857" s="520"/>
      <c r="E857" s="520"/>
      <c r="F857" s="520"/>
      <c r="G857" s="520"/>
      <c r="H857" s="418"/>
      <c r="I857" s="423"/>
      <c r="J857" s="523"/>
      <c r="K857" s="424"/>
      <c r="L857" s="424"/>
      <c r="M857" s="418"/>
      <c r="N857" s="518"/>
      <c r="O857" s="423"/>
      <c r="P857" s="427"/>
      <c r="Q857" s="423"/>
      <c r="R857" s="523"/>
      <c r="S857" s="424"/>
      <c r="T857" s="424"/>
      <c r="U857" s="418"/>
      <c r="V857" s="428"/>
      <c r="W857" s="418"/>
      <c r="X857" s="418"/>
      <c r="Y857" s="524"/>
      <c r="Z857" s="418"/>
      <c r="AA857" s="418"/>
      <c r="AB857" s="429"/>
    </row>
    <row r="858" spans="1:28">
      <c r="A858" s="418"/>
      <c r="B858" s="418"/>
      <c r="C858" s="418"/>
      <c r="D858" s="520"/>
      <c r="E858" s="520"/>
      <c r="F858" s="520"/>
      <c r="G858" s="520"/>
      <c r="H858" s="418"/>
      <c r="I858" s="423"/>
      <c r="J858" s="523"/>
      <c r="K858" s="424"/>
      <c r="L858" s="424"/>
      <c r="M858" s="418"/>
      <c r="N858" s="518"/>
      <c r="O858" s="423"/>
      <c r="P858" s="427"/>
      <c r="Q858" s="423"/>
      <c r="R858" s="523"/>
      <c r="S858" s="424"/>
      <c r="T858" s="424"/>
      <c r="U858" s="418"/>
      <c r="V858" s="428"/>
      <c r="W858" s="418"/>
      <c r="X858" s="418"/>
      <c r="Y858" s="524"/>
      <c r="Z858" s="418"/>
      <c r="AA858" s="418"/>
      <c r="AB858" s="429"/>
    </row>
    <row r="859" spans="1:28">
      <c r="A859" s="418"/>
      <c r="B859" s="418"/>
      <c r="C859" s="418"/>
      <c r="D859" s="520"/>
      <c r="E859" s="520"/>
      <c r="F859" s="520"/>
      <c r="G859" s="520"/>
      <c r="H859" s="418"/>
      <c r="I859" s="423"/>
      <c r="J859" s="523"/>
      <c r="K859" s="424"/>
      <c r="L859" s="424"/>
      <c r="M859" s="418"/>
      <c r="N859" s="518"/>
      <c r="O859" s="423"/>
      <c r="P859" s="427"/>
      <c r="Q859" s="423"/>
      <c r="R859" s="523"/>
      <c r="S859" s="424"/>
      <c r="T859" s="424"/>
      <c r="U859" s="418"/>
      <c r="V859" s="428"/>
      <c r="W859" s="418"/>
      <c r="X859" s="418"/>
      <c r="Y859" s="524"/>
      <c r="Z859" s="418"/>
      <c r="AA859" s="418"/>
      <c r="AB859" s="429"/>
    </row>
    <row r="860" spans="1:28">
      <c r="A860" s="418"/>
      <c r="B860" s="418"/>
      <c r="C860" s="418"/>
      <c r="D860" s="520"/>
      <c r="E860" s="520"/>
      <c r="F860" s="520"/>
      <c r="G860" s="520"/>
      <c r="H860" s="418"/>
      <c r="I860" s="423"/>
      <c r="J860" s="523"/>
      <c r="K860" s="424"/>
      <c r="L860" s="424"/>
      <c r="M860" s="418"/>
      <c r="N860" s="518"/>
      <c r="O860" s="423"/>
      <c r="P860" s="427"/>
      <c r="Q860" s="423"/>
      <c r="R860" s="523"/>
      <c r="S860" s="424"/>
      <c r="T860" s="424"/>
      <c r="U860" s="418"/>
      <c r="V860" s="428"/>
      <c r="W860" s="418"/>
      <c r="X860" s="418"/>
      <c r="Y860" s="524"/>
      <c r="Z860" s="418"/>
      <c r="AA860" s="418"/>
      <c r="AB860" s="429"/>
    </row>
    <row r="861" spans="1:28">
      <c r="A861" s="418"/>
      <c r="B861" s="418"/>
      <c r="C861" s="418"/>
      <c r="D861" s="520"/>
      <c r="E861" s="520"/>
      <c r="F861" s="520"/>
      <c r="G861" s="520"/>
      <c r="H861" s="418"/>
      <c r="I861" s="423"/>
      <c r="J861" s="523"/>
      <c r="K861" s="424"/>
      <c r="L861" s="424"/>
      <c r="M861" s="418"/>
      <c r="N861" s="518"/>
      <c r="O861" s="423"/>
      <c r="P861" s="427"/>
      <c r="Q861" s="423"/>
      <c r="R861" s="523"/>
      <c r="S861" s="424"/>
      <c r="T861" s="424"/>
      <c r="U861" s="418"/>
      <c r="V861" s="428"/>
      <c r="W861" s="418"/>
      <c r="X861" s="418"/>
      <c r="Y861" s="524"/>
      <c r="Z861" s="418"/>
      <c r="AA861" s="418"/>
      <c r="AB861" s="429"/>
    </row>
    <row r="862" spans="1:28">
      <c r="A862" s="418"/>
      <c r="B862" s="418"/>
      <c r="C862" s="418"/>
      <c r="D862" s="520"/>
      <c r="E862" s="520"/>
      <c r="F862" s="520"/>
      <c r="G862" s="520"/>
      <c r="H862" s="418"/>
      <c r="I862" s="423"/>
      <c r="J862" s="523"/>
      <c r="K862" s="424"/>
      <c r="L862" s="424"/>
      <c r="M862" s="418"/>
      <c r="N862" s="518"/>
      <c r="O862" s="423"/>
      <c r="P862" s="427"/>
      <c r="Q862" s="423"/>
      <c r="R862" s="523"/>
      <c r="S862" s="424"/>
      <c r="T862" s="424"/>
      <c r="U862" s="418"/>
      <c r="V862" s="428"/>
      <c r="W862" s="418"/>
      <c r="X862" s="418"/>
      <c r="Y862" s="524"/>
      <c r="Z862" s="418"/>
      <c r="AA862" s="418"/>
      <c r="AB862" s="429"/>
    </row>
    <row r="863" spans="1:28">
      <c r="A863" s="418"/>
      <c r="B863" s="418"/>
      <c r="C863" s="418"/>
      <c r="D863" s="520"/>
      <c r="E863" s="520"/>
      <c r="F863" s="520"/>
      <c r="G863" s="520"/>
      <c r="H863" s="418"/>
      <c r="I863" s="423"/>
      <c r="J863" s="523"/>
      <c r="K863" s="424"/>
      <c r="L863" s="424"/>
      <c r="M863" s="418"/>
      <c r="N863" s="518"/>
      <c r="O863" s="423"/>
      <c r="P863" s="427"/>
      <c r="Q863" s="423"/>
      <c r="R863" s="523"/>
      <c r="S863" s="424"/>
      <c r="T863" s="424"/>
      <c r="U863" s="418"/>
      <c r="V863" s="428"/>
      <c r="W863" s="418"/>
      <c r="X863" s="418"/>
      <c r="Y863" s="524"/>
      <c r="Z863" s="418"/>
      <c r="AA863" s="418"/>
      <c r="AB863" s="429"/>
    </row>
    <row r="864" spans="1:28">
      <c r="A864" s="418"/>
      <c r="B864" s="418"/>
      <c r="C864" s="418"/>
      <c r="D864" s="520"/>
      <c r="E864" s="520"/>
      <c r="F864" s="520"/>
      <c r="G864" s="520"/>
      <c r="H864" s="418"/>
      <c r="I864" s="423"/>
      <c r="J864" s="523"/>
      <c r="K864" s="424"/>
      <c r="L864" s="424"/>
      <c r="M864" s="418"/>
      <c r="N864" s="518"/>
      <c r="O864" s="423"/>
      <c r="P864" s="427"/>
      <c r="Q864" s="423"/>
      <c r="R864" s="523"/>
      <c r="S864" s="424"/>
      <c r="T864" s="424"/>
      <c r="U864" s="418"/>
      <c r="V864" s="428"/>
      <c r="W864" s="418"/>
      <c r="X864" s="418"/>
      <c r="Y864" s="524"/>
      <c r="Z864" s="418"/>
      <c r="AA864" s="418"/>
      <c r="AB864" s="429"/>
    </row>
    <row r="865" spans="1:28">
      <c r="A865" s="418"/>
      <c r="B865" s="418"/>
      <c r="C865" s="418"/>
      <c r="D865" s="520"/>
      <c r="E865" s="520"/>
      <c r="F865" s="520"/>
      <c r="G865" s="520"/>
      <c r="H865" s="418"/>
      <c r="I865" s="423"/>
      <c r="J865" s="523"/>
      <c r="K865" s="424"/>
      <c r="L865" s="424"/>
      <c r="M865" s="418"/>
      <c r="N865" s="518"/>
      <c r="O865" s="423"/>
      <c r="P865" s="427"/>
      <c r="Q865" s="423"/>
      <c r="R865" s="523"/>
      <c r="S865" s="424"/>
      <c r="T865" s="424"/>
      <c r="U865" s="418"/>
      <c r="V865" s="428"/>
      <c r="W865" s="418"/>
      <c r="X865" s="418"/>
      <c r="Y865" s="524"/>
      <c r="Z865" s="418"/>
      <c r="AA865" s="418"/>
      <c r="AB865" s="429"/>
    </row>
    <row r="866" spans="1:28">
      <c r="A866" s="418"/>
      <c r="B866" s="418"/>
      <c r="C866" s="418"/>
      <c r="D866" s="520"/>
      <c r="E866" s="520"/>
      <c r="F866" s="520"/>
      <c r="G866" s="520"/>
      <c r="H866" s="418"/>
      <c r="I866" s="423"/>
      <c r="J866" s="523"/>
      <c r="K866" s="424"/>
      <c r="L866" s="424"/>
      <c r="M866" s="418"/>
      <c r="N866" s="518"/>
      <c r="O866" s="423"/>
      <c r="P866" s="427"/>
      <c r="Q866" s="423"/>
      <c r="R866" s="523"/>
      <c r="S866" s="424"/>
      <c r="T866" s="424"/>
      <c r="U866" s="418"/>
      <c r="V866" s="428"/>
      <c r="W866" s="418"/>
      <c r="X866" s="418"/>
      <c r="Y866" s="524"/>
      <c r="Z866" s="418"/>
      <c r="AA866" s="418"/>
      <c r="AB866" s="429"/>
    </row>
    <row r="867" spans="1:28">
      <c r="A867" s="418"/>
      <c r="B867" s="418"/>
      <c r="C867" s="418"/>
      <c r="D867" s="520"/>
      <c r="E867" s="520"/>
      <c r="F867" s="520"/>
      <c r="G867" s="520"/>
      <c r="H867" s="418"/>
      <c r="I867" s="423"/>
      <c r="J867" s="523"/>
      <c r="K867" s="424"/>
      <c r="L867" s="424"/>
      <c r="M867" s="418"/>
      <c r="N867" s="518"/>
      <c r="O867" s="423"/>
      <c r="P867" s="427"/>
      <c r="Q867" s="423"/>
      <c r="R867" s="523"/>
      <c r="S867" s="424"/>
      <c r="T867" s="424"/>
      <c r="U867" s="418"/>
      <c r="V867" s="428"/>
      <c r="W867" s="418"/>
      <c r="X867" s="418"/>
      <c r="Y867" s="524"/>
      <c r="Z867" s="418"/>
      <c r="AA867" s="418"/>
      <c r="AB867" s="429"/>
    </row>
    <row r="868" spans="1:28">
      <c r="A868" s="418"/>
      <c r="B868" s="418"/>
      <c r="C868" s="418"/>
      <c r="D868" s="520"/>
      <c r="E868" s="520"/>
      <c r="F868" s="520"/>
      <c r="G868" s="520"/>
      <c r="H868" s="418"/>
      <c r="I868" s="423"/>
      <c r="J868" s="523"/>
      <c r="K868" s="424"/>
      <c r="L868" s="424"/>
      <c r="M868" s="418"/>
      <c r="N868" s="518"/>
      <c r="O868" s="423"/>
      <c r="P868" s="427"/>
      <c r="Q868" s="423"/>
      <c r="R868" s="523"/>
      <c r="S868" s="424"/>
      <c r="T868" s="424"/>
      <c r="U868" s="418"/>
      <c r="V868" s="428"/>
      <c r="W868" s="418"/>
      <c r="X868" s="418"/>
      <c r="Y868" s="524"/>
      <c r="Z868" s="418"/>
      <c r="AA868" s="418"/>
      <c r="AB868" s="429"/>
    </row>
    <row r="869" spans="1:28">
      <c r="A869" s="418"/>
      <c r="B869" s="418"/>
      <c r="C869" s="418"/>
      <c r="D869" s="520"/>
      <c r="E869" s="520"/>
      <c r="F869" s="520"/>
      <c r="G869" s="520"/>
      <c r="H869" s="418"/>
      <c r="I869" s="423"/>
      <c r="J869" s="523"/>
      <c r="K869" s="424"/>
      <c r="L869" s="424"/>
      <c r="M869" s="418"/>
      <c r="N869" s="518"/>
      <c r="O869" s="423"/>
      <c r="P869" s="427"/>
      <c r="Q869" s="423"/>
      <c r="R869" s="523"/>
      <c r="S869" s="424"/>
      <c r="T869" s="424"/>
      <c r="U869" s="418"/>
      <c r="V869" s="428"/>
      <c r="W869" s="418"/>
      <c r="X869" s="418"/>
      <c r="Y869" s="524"/>
      <c r="Z869" s="418"/>
      <c r="AA869" s="418"/>
      <c r="AB869" s="429"/>
    </row>
    <row r="870" spans="1:28">
      <c r="A870" s="418"/>
      <c r="B870" s="418"/>
      <c r="C870" s="418"/>
      <c r="D870" s="520"/>
      <c r="E870" s="520"/>
      <c r="F870" s="520"/>
      <c r="G870" s="520"/>
      <c r="H870" s="418"/>
      <c r="I870" s="423"/>
      <c r="J870" s="523"/>
      <c r="K870" s="424"/>
      <c r="L870" s="424"/>
      <c r="M870" s="418"/>
      <c r="N870" s="518"/>
      <c r="O870" s="423"/>
      <c r="P870" s="427"/>
      <c r="Q870" s="423"/>
      <c r="R870" s="523"/>
      <c r="S870" s="424"/>
      <c r="T870" s="424"/>
      <c r="U870" s="418"/>
      <c r="V870" s="428"/>
      <c r="W870" s="418"/>
      <c r="X870" s="418"/>
      <c r="Y870" s="524"/>
      <c r="Z870" s="418"/>
      <c r="AA870" s="418"/>
      <c r="AB870" s="429"/>
    </row>
    <row r="871" spans="1:28">
      <c r="A871" s="418"/>
      <c r="B871" s="418"/>
      <c r="C871" s="418"/>
      <c r="D871" s="520"/>
      <c r="E871" s="520"/>
      <c r="F871" s="520"/>
      <c r="G871" s="520"/>
      <c r="H871" s="418"/>
      <c r="I871" s="423"/>
      <c r="J871" s="523"/>
      <c r="K871" s="424"/>
      <c r="L871" s="424"/>
      <c r="M871" s="418"/>
      <c r="N871" s="518"/>
      <c r="O871" s="423"/>
      <c r="P871" s="427"/>
      <c r="Q871" s="423"/>
      <c r="R871" s="523"/>
      <c r="S871" s="424"/>
      <c r="T871" s="424"/>
      <c r="U871" s="418"/>
      <c r="V871" s="428"/>
      <c r="W871" s="418"/>
      <c r="X871" s="418"/>
      <c r="Y871" s="524"/>
      <c r="Z871" s="418"/>
      <c r="AA871" s="418"/>
      <c r="AB871" s="429"/>
    </row>
    <row r="872" spans="1:28">
      <c r="A872" s="418"/>
      <c r="B872" s="418"/>
      <c r="C872" s="418"/>
      <c r="D872" s="520"/>
      <c r="E872" s="520"/>
      <c r="F872" s="520"/>
      <c r="G872" s="520"/>
      <c r="H872" s="418"/>
      <c r="I872" s="423"/>
      <c r="J872" s="523"/>
      <c r="K872" s="424"/>
      <c r="L872" s="424"/>
      <c r="M872" s="418"/>
      <c r="N872" s="518"/>
      <c r="O872" s="423"/>
      <c r="P872" s="427"/>
      <c r="Q872" s="423"/>
      <c r="R872" s="523"/>
      <c r="S872" s="424"/>
      <c r="T872" s="424"/>
      <c r="U872" s="418"/>
      <c r="V872" s="428"/>
      <c r="W872" s="418"/>
      <c r="X872" s="418"/>
      <c r="Y872" s="524"/>
      <c r="Z872" s="418"/>
      <c r="AA872" s="418"/>
      <c r="AB872" s="429"/>
    </row>
    <row r="873" spans="1:28">
      <c r="A873" s="418"/>
      <c r="B873" s="418"/>
      <c r="C873" s="418"/>
      <c r="D873" s="520"/>
      <c r="E873" s="520"/>
      <c r="F873" s="520"/>
      <c r="G873" s="520"/>
      <c r="H873" s="418"/>
      <c r="I873" s="423"/>
      <c r="J873" s="523"/>
      <c r="K873" s="424"/>
      <c r="L873" s="424"/>
      <c r="M873" s="418"/>
      <c r="N873" s="518"/>
      <c r="O873" s="423"/>
      <c r="P873" s="427"/>
      <c r="Q873" s="423"/>
      <c r="R873" s="523"/>
      <c r="S873" s="424"/>
      <c r="T873" s="424"/>
      <c r="U873" s="418"/>
      <c r="V873" s="428"/>
      <c r="W873" s="418"/>
      <c r="X873" s="418"/>
      <c r="Y873" s="524"/>
      <c r="Z873" s="418"/>
      <c r="AA873" s="418"/>
      <c r="AB873" s="429"/>
    </row>
    <row r="874" spans="1:28">
      <c r="A874" s="418"/>
      <c r="B874" s="418"/>
      <c r="C874" s="418"/>
      <c r="D874" s="520"/>
      <c r="E874" s="520"/>
      <c r="F874" s="520"/>
      <c r="G874" s="520"/>
      <c r="H874" s="418"/>
      <c r="I874" s="423"/>
      <c r="J874" s="523"/>
      <c r="K874" s="424"/>
      <c r="L874" s="424"/>
      <c r="M874" s="418"/>
      <c r="N874" s="518"/>
      <c r="O874" s="423"/>
      <c r="P874" s="427"/>
      <c r="Q874" s="423"/>
      <c r="R874" s="523"/>
      <c r="S874" s="424"/>
      <c r="T874" s="424"/>
      <c r="U874" s="418"/>
      <c r="V874" s="428"/>
      <c r="W874" s="418"/>
      <c r="X874" s="418"/>
      <c r="Y874" s="524"/>
      <c r="Z874" s="418"/>
      <c r="AA874" s="418"/>
      <c r="AB874" s="429"/>
    </row>
    <row r="875" spans="1:28">
      <c r="A875" s="418"/>
      <c r="B875" s="418"/>
      <c r="C875" s="418"/>
      <c r="D875" s="520"/>
      <c r="E875" s="520"/>
      <c r="F875" s="520"/>
      <c r="G875" s="520"/>
      <c r="H875" s="418"/>
      <c r="I875" s="423"/>
      <c r="J875" s="523"/>
      <c r="K875" s="424"/>
      <c r="L875" s="424"/>
      <c r="M875" s="418"/>
      <c r="N875" s="518"/>
      <c r="O875" s="423"/>
      <c r="P875" s="427"/>
      <c r="Q875" s="423"/>
      <c r="R875" s="523"/>
      <c r="S875" s="424"/>
      <c r="T875" s="424"/>
      <c r="U875" s="418"/>
      <c r="V875" s="428"/>
      <c r="W875" s="418"/>
      <c r="X875" s="418"/>
      <c r="Y875" s="524"/>
      <c r="Z875" s="418"/>
      <c r="AA875" s="418"/>
      <c r="AB875" s="429"/>
    </row>
    <row r="876" spans="1:28">
      <c r="A876" s="418"/>
      <c r="B876" s="418"/>
      <c r="C876" s="418"/>
      <c r="D876" s="520"/>
      <c r="E876" s="520"/>
      <c r="F876" s="520"/>
      <c r="G876" s="520"/>
      <c r="H876" s="418"/>
      <c r="I876" s="423"/>
      <c r="J876" s="523"/>
      <c r="K876" s="424"/>
      <c r="L876" s="424"/>
      <c r="M876" s="418"/>
      <c r="N876" s="518"/>
      <c r="O876" s="423"/>
      <c r="P876" s="427"/>
      <c r="Q876" s="423"/>
      <c r="R876" s="523"/>
      <c r="S876" s="424"/>
      <c r="T876" s="424"/>
      <c r="U876" s="418"/>
      <c r="V876" s="428"/>
      <c r="W876" s="418"/>
      <c r="X876" s="418"/>
      <c r="Y876" s="524"/>
      <c r="Z876" s="418"/>
      <c r="AA876" s="418"/>
      <c r="AB876" s="429"/>
    </row>
    <row r="877" spans="1:28">
      <c r="A877" s="418"/>
      <c r="B877" s="418"/>
      <c r="C877" s="418"/>
      <c r="D877" s="520"/>
      <c r="E877" s="520"/>
      <c r="F877" s="520"/>
      <c r="G877" s="520"/>
      <c r="H877" s="418"/>
      <c r="I877" s="423"/>
      <c r="J877" s="523"/>
      <c r="K877" s="424"/>
      <c r="L877" s="424"/>
      <c r="M877" s="418"/>
      <c r="N877" s="518"/>
      <c r="O877" s="423"/>
      <c r="P877" s="427"/>
      <c r="Q877" s="423"/>
      <c r="R877" s="523"/>
      <c r="S877" s="424"/>
      <c r="T877" s="424"/>
      <c r="U877" s="418"/>
      <c r="V877" s="428"/>
      <c r="W877" s="418"/>
      <c r="X877" s="418"/>
      <c r="Y877" s="524"/>
      <c r="Z877" s="418"/>
      <c r="AA877" s="418"/>
      <c r="AB877" s="429"/>
    </row>
    <row r="878" spans="1:28">
      <c r="A878" s="418"/>
      <c r="B878" s="418"/>
      <c r="C878" s="418"/>
      <c r="D878" s="520"/>
      <c r="E878" s="520"/>
      <c r="F878" s="520"/>
      <c r="G878" s="520"/>
      <c r="H878" s="418"/>
      <c r="I878" s="423"/>
      <c r="J878" s="523"/>
      <c r="K878" s="424"/>
      <c r="L878" s="424"/>
      <c r="M878" s="418"/>
      <c r="N878" s="518"/>
      <c r="O878" s="423"/>
      <c r="P878" s="427"/>
      <c r="Q878" s="423"/>
      <c r="R878" s="523"/>
      <c r="S878" s="424"/>
      <c r="T878" s="424"/>
      <c r="U878" s="418"/>
      <c r="V878" s="428"/>
      <c r="W878" s="418"/>
      <c r="X878" s="418"/>
      <c r="Y878" s="524"/>
      <c r="Z878" s="418"/>
      <c r="AA878" s="418"/>
      <c r="AB878" s="429"/>
    </row>
    <row r="879" spans="1:28">
      <c r="A879" s="418"/>
      <c r="B879" s="418"/>
      <c r="C879" s="418"/>
      <c r="D879" s="520"/>
      <c r="E879" s="520"/>
      <c r="F879" s="520"/>
      <c r="G879" s="520"/>
      <c r="H879" s="418"/>
      <c r="I879" s="423"/>
      <c r="J879" s="523"/>
      <c r="K879" s="424"/>
      <c r="L879" s="424"/>
      <c r="M879" s="418"/>
      <c r="N879" s="518"/>
      <c r="O879" s="423"/>
      <c r="P879" s="427"/>
      <c r="Q879" s="423"/>
      <c r="R879" s="523"/>
      <c r="S879" s="424"/>
      <c r="T879" s="424"/>
      <c r="U879" s="418"/>
      <c r="V879" s="428"/>
      <c r="W879" s="418"/>
      <c r="X879" s="418"/>
      <c r="Y879" s="524"/>
      <c r="Z879" s="418"/>
      <c r="AA879" s="418"/>
      <c r="AB879" s="429"/>
    </row>
    <row r="880" spans="1:28">
      <c r="A880" s="418"/>
      <c r="B880" s="418"/>
      <c r="C880" s="418"/>
      <c r="D880" s="520"/>
      <c r="E880" s="520"/>
      <c r="F880" s="520"/>
      <c r="G880" s="520"/>
      <c r="H880" s="418"/>
      <c r="I880" s="423"/>
      <c r="J880" s="523"/>
      <c r="K880" s="424"/>
      <c r="L880" s="424"/>
      <c r="M880" s="418"/>
      <c r="N880" s="518"/>
      <c r="O880" s="423"/>
      <c r="P880" s="427"/>
      <c r="Q880" s="423"/>
      <c r="R880" s="523"/>
      <c r="S880" s="424"/>
      <c r="T880" s="424"/>
      <c r="U880" s="418"/>
      <c r="V880" s="428"/>
      <c r="W880" s="418"/>
      <c r="X880" s="418"/>
      <c r="Y880" s="524"/>
      <c r="Z880" s="418"/>
      <c r="AA880" s="418"/>
      <c r="AB880" s="429"/>
    </row>
    <row r="881" spans="1:28">
      <c r="A881" s="418"/>
      <c r="B881" s="418"/>
      <c r="C881" s="418"/>
      <c r="D881" s="520"/>
      <c r="E881" s="520"/>
      <c r="F881" s="520"/>
      <c r="G881" s="520"/>
      <c r="H881" s="418"/>
      <c r="I881" s="423"/>
      <c r="J881" s="523"/>
      <c r="K881" s="424"/>
      <c r="L881" s="424"/>
      <c r="M881" s="418"/>
      <c r="N881" s="518"/>
      <c r="O881" s="423"/>
      <c r="P881" s="427"/>
      <c r="Q881" s="423"/>
      <c r="R881" s="523"/>
      <c r="S881" s="424"/>
      <c r="T881" s="424"/>
      <c r="U881" s="418"/>
      <c r="V881" s="428"/>
      <c r="W881" s="418"/>
      <c r="X881" s="418"/>
      <c r="Y881" s="524"/>
      <c r="Z881" s="418"/>
      <c r="AA881" s="418"/>
      <c r="AB881" s="429"/>
    </row>
    <row r="882" spans="1:28">
      <c r="A882" s="418"/>
      <c r="B882" s="418"/>
      <c r="C882" s="418"/>
      <c r="D882" s="520"/>
      <c r="E882" s="520"/>
      <c r="F882" s="520"/>
      <c r="G882" s="520"/>
      <c r="H882" s="418"/>
      <c r="I882" s="423"/>
      <c r="J882" s="523"/>
      <c r="K882" s="424"/>
      <c r="L882" s="424"/>
      <c r="M882" s="418"/>
      <c r="N882" s="518"/>
      <c r="O882" s="423"/>
      <c r="P882" s="427"/>
      <c r="Q882" s="423"/>
      <c r="R882" s="523"/>
      <c r="S882" s="424"/>
      <c r="T882" s="424"/>
      <c r="U882" s="418"/>
      <c r="V882" s="428"/>
      <c r="W882" s="418"/>
      <c r="X882" s="418"/>
      <c r="Y882" s="524"/>
      <c r="Z882" s="418"/>
      <c r="AA882" s="418"/>
      <c r="AB882" s="429"/>
    </row>
    <row r="883" spans="1:28">
      <c r="A883" s="418"/>
      <c r="B883" s="418"/>
      <c r="C883" s="418"/>
      <c r="D883" s="520"/>
      <c r="E883" s="520"/>
      <c r="F883" s="520"/>
      <c r="G883" s="520"/>
      <c r="H883" s="418"/>
      <c r="I883" s="423"/>
      <c r="J883" s="523"/>
      <c r="K883" s="424"/>
      <c r="L883" s="424"/>
      <c r="M883" s="418"/>
      <c r="N883" s="518"/>
      <c r="O883" s="423"/>
      <c r="P883" s="427"/>
      <c r="Q883" s="423"/>
      <c r="R883" s="523"/>
      <c r="S883" s="424"/>
      <c r="T883" s="424"/>
      <c r="U883" s="418"/>
      <c r="V883" s="428"/>
      <c r="W883" s="418"/>
      <c r="X883" s="418"/>
      <c r="Y883" s="524"/>
      <c r="Z883" s="418"/>
      <c r="AA883" s="418"/>
      <c r="AB883" s="429"/>
    </row>
    <row r="884" spans="1:28">
      <c r="A884" s="418"/>
      <c r="B884" s="418"/>
      <c r="C884" s="418"/>
      <c r="D884" s="520"/>
      <c r="E884" s="520"/>
      <c r="F884" s="520"/>
      <c r="G884" s="520"/>
      <c r="H884" s="418"/>
      <c r="I884" s="423"/>
      <c r="J884" s="523"/>
      <c r="K884" s="424"/>
      <c r="L884" s="424"/>
      <c r="M884" s="418"/>
      <c r="N884" s="518"/>
      <c r="O884" s="423"/>
      <c r="P884" s="427"/>
      <c r="Q884" s="423"/>
      <c r="R884" s="523"/>
      <c r="S884" s="424"/>
      <c r="T884" s="424"/>
      <c r="U884" s="418"/>
      <c r="V884" s="428"/>
      <c r="W884" s="418"/>
      <c r="X884" s="418"/>
      <c r="Y884" s="524"/>
      <c r="Z884" s="418"/>
      <c r="AA884" s="418"/>
      <c r="AB884" s="429"/>
    </row>
    <row r="885" spans="1:28">
      <c r="A885" s="418"/>
      <c r="B885" s="418"/>
      <c r="C885" s="418"/>
      <c r="D885" s="520"/>
      <c r="E885" s="520"/>
      <c r="F885" s="520"/>
      <c r="G885" s="520"/>
      <c r="H885" s="418"/>
      <c r="I885" s="423"/>
      <c r="J885" s="523"/>
      <c r="K885" s="424"/>
      <c r="L885" s="424"/>
      <c r="M885" s="418"/>
      <c r="N885" s="518"/>
      <c r="O885" s="423"/>
      <c r="P885" s="427"/>
      <c r="Q885" s="423"/>
      <c r="R885" s="523"/>
      <c r="S885" s="424"/>
      <c r="T885" s="424"/>
      <c r="U885" s="418"/>
      <c r="V885" s="428"/>
      <c r="W885" s="418"/>
      <c r="X885" s="418"/>
      <c r="Y885" s="524"/>
      <c r="Z885" s="418"/>
      <c r="AA885" s="418"/>
      <c r="AB885" s="429"/>
    </row>
    <row r="886" spans="1:28">
      <c r="A886" s="418"/>
      <c r="B886" s="418"/>
      <c r="C886" s="418"/>
      <c r="D886" s="520"/>
      <c r="E886" s="520"/>
      <c r="F886" s="520"/>
      <c r="G886" s="520"/>
      <c r="H886" s="418"/>
      <c r="I886" s="423"/>
      <c r="J886" s="523"/>
      <c r="K886" s="424"/>
      <c r="L886" s="424"/>
      <c r="M886" s="418"/>
      <c r="N886" s="518"/>
      <c r="O886" s="423"/>
      <c r="P886" s="427"/>
      <c r="Q886" s="423"/>
      <c r="R886" s="523"/>
      <c r="S886" s="424"/>
      <c r="T886" s="424"/>
      <c r="U886" s="418"/>
      <c r="V886" s="428"/>
      <c r="W886" s="418"/>
      <c r="X886" s="418"/>
      <c r="Y886" s="524"/>
      <c r="Z886" s="418"/>
      <c r="AA886" s="418"/>
      <c r="AB886" s="429"/>
    </row>
    <row r="887" spans="1:28">
      <c r="A887" s="418"/>
      <c r="B887" s="418"/>
      <c r="C887" s="418"/>
      <c r="D887" s="520"/>
      <c r="E887" s="520"/>
      <c r="F887" s="520"/>
      <c r="G887" s="520"/>
      <c r="H887" s="418"/>
      <c r="I887" s="423"/>
      <c r="J887" s="523"/>
      <c r="K887" s="424"/>
      <c r="L887" s="424"/>
      <c r="M887" s="418"/>
      <c r="N887" s="518"/>
      <c r="O887" s="423"/>
      <c r="P887" s="427"/>
      <c r="Q887" s="423"/>
      <c r="R887" s="523"/>
      <c r="S887" s="424"/>
      <c r="T887" s="424"/>
      <c r="U887" s="418"/>
      <c r="V887" s="428"/>
      <c r="W887" s="418"/>
      <c r="X887" s="418"/>
      <c r="Y887" s="524"/>
      <c r="Z887" s="418"/>
      <c r="AA887" s="418"/>
      <c r="AB887" s="429"/>
    </row>
    <row r="888" spans="1:28">
      <c r="A888" s="418"/>
      <c r="B888" s="418"/>
      <c r="C888" s="418"/>
      <c r="D888" s="520"/>
      <c r="E888" s="520"/>
      <c r="F888" s="520"/>
      <c r="G888" s="520"/>
      <c r="H888" s="418"/>
      <c r="I888" s="423"/>
      <c r="J888" s="523"/>
      <c r="K888" s="424"/>
      <c r="L888" s="424"/>
      <c r="M888" s="418"/>
      <c r="N888" s="518"/>
      <c r="O888" s="423"/>
      <c r="P888" s="427"/>
      <c r="Q888" s="423"/>
      <c r="R888" s="523"/>
      <c r="S888" s="424"/>
      <c r="T888" s="424"/>
      <c r="U888" s="418"/>
      <c r="V888" s="428"/>
      <c r="W888" s="418"/>
      <c r="X888" s="418"/>
      <c r="Y888" s="524"/>
      <c r="Z888" s="418"/>
      <c r="AA888" s="418"/>
      <c r="AB888" s="429"/>
    </row>
    <row r="889" spans="1:28">
      <c r="A889" s="418"/>
      <c r="B889" s="418"/>
      <c r="C889" s="418"/>
      <c r="D889" s="520"/>
      <c r="E889" s="520"/>
      <c r="F889" s="520"/>
      <c r="G889" s="520"/>
      <c r="H889" s="418"/>
      <c r="I889" s="423"/>
      <c r="J889" s="523"/>
      <c r="K889" s="424"/>
      <c r="L889" s="424"/>
      <c r="M889" s="418"/>
      <c r="N889" s="518"/>
      <c r="O889" s="423"/>
      <c r="P889" s="427"/>
      <c r="Q889" s="423"/>
      <c r="R889" s="523"/>
      <c r="S889" s="424"/>
      <c r="T889" s="424"/>
      <c r="U889" s="418"/>
      <c r="V889" s="428"/>
      <c r="W889" s="418"/>
      <c r="X889" s="418"/>
      <c r="Y889" s="524"/>
      <c r="Z889" s="418"/>
      <c r="AA889" s="418"/>
      <c r="AB889" s="429"/>
    </row>
    <row r="890" spans="1:28">
      <c r="A890" s="418"/>
      <c r="B890" s="418"/>
      <c r="C890" s="418"/>
      <c r="D890" s="520"/>
      <c r="E890" s="520"/>
      <c r="F890" s="520"/>
      <c r="G890" s="520"/>
      <c r="H890" s="418"/>
      <c r="I890" s="423"/>
      <c r="J890" s="523"/>
      <c r="K890" s="424"/>
      <c r="L890" s="424"/>
      <c r="M890" s="418"/>
      <c r="N890" s="518"/>
      <c r="O890" s="423"/>
      <c r="P890" s="427"/>
      <c r="Q890" s="423"/>
      <c r="R890" s="523"/>
      <c r="S890" s="424"/>
      <c r="T890" s="424"/>
      <c r="U890" s="418"/>
      <c r="V890" s="428"/>
      <c r="W890" s="418"/>
      <c r="X890" s="418"/>
      <c r="Y890" s="524"/>
      <c r="Z890" s="418"/>
      <c r="AA890" s="418"/>
      <c r="AB890" s="429"/>
    </row>
    <row r="891" spans="1:28">
      <c r="A891" s="418"/>
      <c r="B891" s="418"/>
      <c r="C891" s="418"/>
      <c r="D891" s="520"/>
      <c r="E891" s="520"/>
      <c r="F891" s="520"/>
      <c r="G891" s="520"/>
      <c r="H891" s="418"/>
      <c r="I891" s="423"/>
      <c r="J891" s="523"/>
      <c r="K891" s="424"/>
      <c r="L891" s="424"/>
      <c r="M891" s="418"/>
      <c r="N891" s="518"/>
      <c r="O891" s="423"/>
      <c r="P891" s="427"/>
      <c r="Q891" s="423"/>
      <c r="R891" s="523"/>
      <c r="S891" s="424"/>
      <c r="T891" s="424"/>
      <c r="U891" s="418"/>
      <c r="V891" s="428"/>
      <c r="W891" s="418"/>
      <c r="X891" s="418"/>
      <c r="Y891" s="524"/>
      <c r="Z891" s="418"/>
      <c r="AA891" s="418"/>
      <c r="AB891" s="429"/>
    </row>
    <row r="892" spans="1:28">
      <c r="A892" s="418"/>
      <c r="B892" s="418"/>
      <c r="C892" s="418"/>
      <c r="D892" s="520"/>
      <c r="E892" s="520"/>
      <c r="F892" s="520"/>
      <c r="G892" s="520"/>
      <c r="H892" s="418"/>
      <c r="I892" s="423"/>
      <c r="J892" s="523"/>
      <c r="K892" s="424"/>
      <c r="L892" s="424"/>
      <c r="M892" s="418"/>
      <c r="N892" s="518"/>
      <c r="O892" s="423"/>
      <c r="P892" s="427"/>
      <c r="Q892" s="423"/>
      <c r="R892" s="523"/>
      <c r="S892" s="424"/>
      <c r="T892" s="424"/>
      <c r="U892" s="418"/>
      <c r="V892" s="428"/>
      <c r="W892" s="418"/>
      <c r="X892" s="418"/>
      <c r="Y892" s="524"/>
      <c r="Z892" s="418"/>
      <c r="AA892" s="418"/>
      <c r="AB892" s="429"/>
    </row>
    <row r="893" spans="1:28">
      <c r="A893" s="418"/>
      <c r="B893" s="418"/>
      <c r="C893" s="418"/>
      <c r="D893" s="520"/>
      <c r="E893" s="520"/>
      <c r="F893" s="520"/>
      <c r="G893" s="520"/>
      <c r="H893" s="418"/>
      <c r="I893" s="423"/>
      <c r="J893" s="523"/>
      <c r="K893" s="424"/>
      <c r="L893" s="424"/>
      <c r="M893" s="418"/>
      <c r="N893" s="518"/>
      <c r="O893" s="423"/>
      <c r="P893" s="427"/>
      <c r="Q893" s="423"/>
      <c r="R893" s="523"/>
      <c r="S893" s="424"/>
      <c r="T893" s="424"/>
      <c r="U893" s="418"/>
      <c r="V893" s="428"/>
      <c r="W893" s="418"/>
      <c r="X893" s="418"/>
      <c r="Y893" s="524"/>
      <c r="Z893" s="418"/>
      <c r="AA893" s="418"/>
      <c r="AB893" s="429"/>
    </row>
    <row r="894" spans="1:28">
      <c r="A894" s="418"/>
      <c r="B894" s="418"/>
      <c r="C894" s="418"/>
      <c r="D894" s="520"/>
      <c r="E894" s="520"/>
      <c r="F894" s="520"/>
      <c r="G894" s="520"/>
      <c r="H894" s="418"/>
      <c r="I894" s="423"/>
      <c r="J894" s="523"/>
      <c r="K894" s="424"/>
      <c r="L894" s="424"/>
      <c r="M894" s="418"/>
      <c r="N894" s="518"/>
      <c r="O894" s="423"/>
      <c r="P894" s="427"/>
      <c r="Q894" s="423"/>
      <c r="R894" s="523"/>
      <c r="S894" s="424"/>
      <c r="T894" s="424"/>
      <c r="U894" s="418"/>
      <c r="V894" s="428"/>
      <c r="W894" s="418"/>
      <c r="X894" s="418"/>
      <c r="Y894" s="524"/>
      <c r="Z894" s="418"/>
      <c r="AA894" s="418"/>
      <c r="AB894" s="429"/>
    </row>
    <row r="895" spans="1:28">
      <c r="A895" s="418"/>
      <c r="B895" s="418"/>
      <c r="C895" s="418"/>
      <c r="D895" s="520"/>
      <c r="E895" s="520"/>
      <c r="F895" s="520"/>
      <c r="G895" s="520"/>
      <c r="H895" s="418"/>
      <c r="I895" s="423"/>
      <c r="J895" s="523"/>
      <c r="K895" s="424"/>
      <c r="L895" s="424"/>
      <c r="M895" s="418"/>
      <c r="N895" s="518"/>
      <c r="O895" s="423"/>
      <c r="P895" s="427"/>
      <c r="Q895" s="423"/>
      <c r="R895" s="523"/>
      <c r="S895" s="424"/>
      <c r="T895" s="424"/>
      <c r="U895" s="418"/>
      <c r="V895" s="428"/>
      <c r="W895" s="418"/>
      <c r="X895" s="418"/>
      <c r="Y895" s="524"/>
      <c r="Z895" s="418"/>
      <c r="AA895" s="418"/>
      <c r="AB895" s="429"/>
    </row>
    <row r="896" spans="1:28">
      <c r="A896" s="418"/>
      <c r="B896" s="418"/>
      <c r="C896" s="418"/>
      <c r="D896" s="520"/>
      <c r="E896" s="520"/>
      <c r="F896" s="520"/>
      <c r="G896" s="520"/>
      <c r="H896" s="418"/>
      <c r="I896" s="423"/>
      <c r="J896" s="523"/>
      <c r="K896" s="424"/>
      <c r="L896" s="424"/>
      <c r="M896" s="418"/>
      <c r="N896" s="518"/>
      <c r="O896" s="423"/>
      <c r="P896" s="427"/>
      <c r="Q896" s="423"/>
      <c r="R896" s="523"/>
      <c r="S896" s="424"/>
      <c r="T896" s="424"/>
      <c r="U896" s="418"/>
      <c r="V896" s="428"/>
      <c r="W896" s="418"/>
      <c r="X896" s="418"/>
      <c r="Y896" s="524"/>
      <c r="Z896" s="418"/>
      <c r="AA896" s="418"/>
      <c r="AB896" s="429"/>
    </row>
    <row r="897" spans="1:28">
      <c r="A897" s="418"/>
      <c r="B897" s="418"/>
      <c r="C897" s="418"/>
      <c r="D897" s="520"/>
      <c r="E897" s="520"/>
      <c r="F897" s="520"/>
      <c r="G897" s="520"/>
      <c r="H897" s="418"/>
      <c r="I897" s="423"/>
      <c r="J897" s="523"/>
      <c r="K897" s="424"/>
      <c r="L897" s="424"/>
      <c r="M897" s="418"/>
      <c r="N897" s="518"/>
      <c r="O897" s="423"/>
      <c r="P897" s="427"/>
      <c r="Q897" s="423"/>
      <c r="R897" s="523"/>
      <c r="S897" s="424"/>
      <c r="T897" s="424"/>
      <c r="U897" s="418"/>
      <c r="V897" s="428"/>
      <c r="W897" s="418"/>
      <c r="X897" s="418"/>
      <c r="Y897" s="524"/>
      <c r="Z897" s="418"/>
      <c r="AA897" s="418"/>
      <c r="AB897" s="429"/>
    </row>
    <row r="898" spans="1:28">
      <c r="A898" s="418"/>
      <c r="B898" s="418"/>
      <c r="C898" s="418"/>
      <c r="D898" s="520"/>
      <c r="E898" s="520"/>
      <c r="F898" s="520"/>
      <c r="G898" s="520"/>
      <c r="H898" s="418"/>
      <c r="I898" s="423"/>
      <c r="J898" s="523"/>
      <c r="K898" s="424"/>
      <c r="L898" s="424"/>
      <c r="M898" s="418"/>
      <c r="N898" s="518"/>
      <c r="O898" s="423"/>
      <c r="P898" s="427"/>
      <c r="Q898" s="423"/>
      <c r="R898" s="523"/>
      <c r="S898" s="424"/>
      <c r="T898" s="424"/>
      <c r="U898" s="418"/>
      <c r="V898" s="428"/>
      <c r="W898" s="418"/>
      <c r="X898" s="418"/>
      <c r="Y898" s="524"/>
      <c r="Z898" s="418"/>
      <c r="AA898" s="418"/>
      <c r="AB898" s="429"/>
    </row>
    <row r="899" spans="1:28">
      <c r="A899" s="418"/>
      <c r="B899" s="418"/>
      <c r="C899" s="418"/>
      <c r="D899" s="520"/>
      <c r="E899" s="520"/>
      <c r="F899" s="520"/>
      <c r="G899" s="520"/>
      <c r="H899" s="418"/>
      <c r="I899" s="423"/>
      <c r="J899" s="523"/>
      <c r="K899" s="424"/>
      <c r="L899" s="424"/>
      <c r="M899" s="418"/>
      <c r="N899" s="518"/>
      <c r="O899" s="423"/>
      <c r="P899" s="427"/>
      <c r="Q899" s="423"/>
      <c r="R899" s="523"/>
      <c r="S899" s="424"/>
      <c r="T899" s="424"/>
      <c r="U899" s="418"/>
      <c r="V899" s="428"/>
      <c r="W899" s="418"/>
      <c r="X899" s="418"/>
      <c r="Y899" s="524"/>
      <c r="Z899" s="418"/>
      <c r="AA899" s="418"/>
      <c r="AB899" s="429"/>
    </row>
    <row r="900" spans="1:28">
      <c r="A900" s="418"/>
      <c r="B900" s="418"/>
      <c r="C900" s="418"/>
      <c r="D900" s="520"/>
      <c r="E900" s="520"/>
      <c r="F900" s="520"/>
      <c r="G900" s="520"/>
      <c r="H900" s="418"/>
      <c r="I900" s="423"/>
      <c r="J900" s="523"/>
      <c r="K900" s="424"/>
      <c r="L900" s="424"/>
      <c r="M900" s="418"/>
      <c r="N900" s="518"/>
      <c r="O900" s="423"/>
      <c r="P900" s="427"/>
      <c r="Q900" s="423"/>
      <c r="R900" s="523"/>
      <c r="S900" s="424"/>
      <c r="T900" s="424"/>
      <c r="U900" s="418"/>
      <c r="V900" s="428"/>
      <c r="W900" s="418"/>
      <c r="X900" s="418"/>
      <c r="Y900" s="524"/>
      <c r="Z900" s="418"/>
      <c r="AA900" s="418"/>
      <c r="AB900" s="429"/>
    </row>
    <row r="901" spans="1:28">
      <c r="A901" s="418"/>
      <c r="B901" s="418"/>
      <c r="C901" s="418"/>
      <c r="D901" s="520"/>
      <c r="E901" s="520"/>
      <c r="F901" s="520"/>
      <c r="G901" s="520"/>
      <c r="H901" s="418"/>
      <c r="I901" s="423"/>
      <c r="J901" s="523"/>
      <c r="K901" s="424"/>
      <c r="L901" s="424"/>
      <c r="M901" s="418"/>
      <c r="N901" s="518"/>
      <c r="O901" s="423"/>
      <c r="P901" s="427"/>
      <c r="Q901" s="423"/>
      <c r="R901" s="523"/>
      <c r="S901" s="424"/>
      <c r="T901" s="424"/>
      <c r="U901" s="418"/>
      <c r="V901" s="428"/>
      <c r="W901" s="418"/>
      <c r="X901" s="418"/>
      <c r="Y901" s="524"/>
      <c r="Z901" s="418"/>
      <c r="AA901" s="418"/>
      <c r="AB901" s="429"/>
    </row>
    <row r="902" spans="1:28">
      <c r="A902" s="418"/>
      <c r="B902" s="418"/>
      <c r="C902" s="418"/>
      <c r="D902" s="520"/>
      <c r="E902" s="520"/>
      <c r="F902" s="520"/>
      <c r="G902" s="520"/>
      <c r="H902" s="418"/>
      <c r="I902" s="423"/>
      <c r="J902" s="523"/>
      <c r="K902" s="424"/>
      <c r="L902" s="424"/>
      <c r="M902" s="418"/>
      <c r="N902" s="518"/>
      <c r="O902" s="423"/>
      <c r="P902" s="427"/>
      <c r="Q902" s="423"/>
      <c r="R902" s="523"/>
      <c r="S902" s="424"/>
      <c r="T902" s="424"/>
      <c r="U902" s="418"/>
      <c r="V902" s="428"/>
      <c r="W902" s="418"/>
      <c r="X902" s="418"/>
      <c r="Y902" s="524"/>
      <c r="Z902" s="418"/>
      <c r="AA902" s="418"/>
      <c r="AB902" s="429"/>
    </row>
    <row r="903" spans="1:28">
      <c r="A903" s="418"/>
      <c r="B903" s="418"/>
      <c r="C903" s="418"/>
      <c r="D903" s="520"/>
      <c r="E903" s="520"/>
      <c r="F903" s="520"/>
      <c r="G903" s="520"/>
      <c r="H903" s="418"/>
      <c r="I903" s="423"/>
      <c r="J903" s="523"/>
      <c r="K903" s="424"/>
      <c r="L903" s="424"/>
      <c r="M903" s="418"/>
      <c r="N903" s="518"/>
      <c r="O903" s="423"/>
      <c r="P903" s="427"/>
      <c r="Q903" s="423"/>
      <c r="R903" s="523"/>
      <c r="S903" s="424"/>
      <c r="T903" s="424"/>
      <c r="U903" s="418"/>
      <c r="V903" s="428"/>
      <c r="W903" s="418"/>
      <c r="X903" s="418"/>
      <c r="Y903" s="524"/>
      <c r="Z903" s="418"/>
      <c r="AA903" s="418"/>
      <c r="AB903" s="429"/>
    </row>
    <row r="904" spans="1:28">
      <c r="A904" s="418"/>
      <c r="B904" s="418"/>
      <c r="C904" s="418"/>
      <c r="D904" s="520"/>
      <c r="E904" s="520"/>
      <c r="F904" s="520"/>
      <c r="G904" s="520"/>
      <c r="H904" s="418"/>
      <c r="I904" s="423"/>
      <c r="J904" s="523"/>
      <c r="K904" s="424"/>
      <c r="L904" s="424"/>
      <c r="M904" s="418"/>
      <c r="N904" s="518"/>
      <c r="O904" s="423"/>
      <c r="P904" s="427"/>
      <c r="Q904" s="423"/>
      <c r="R904" s="523"/>
      <c r="S904" s="424"/>
      <c r="T904" s="424"/>
      <c r="U904" s="418"/>
      <c r="V904" s="428"/>
      <c r="W904" s="418"/>
      <c r="X904" s="418"/>
      <c r="Y904" s="524"/>
      <c r="Z904" s="418"/>
      <c r="AA904" s="418"/>
      <c r="AB904" s="429"/>
    </row>
    <row r="905" spans="1:28">
      <c r="A905" s="418"/>
      <c r="B905" s="418"/>
      <c r="C905" s="418"/>
      <c r="D905" s="520"/>
      <c r="E905" s="520"/>
      <c r="F905" s="520"/>
      <c r="G905" s="520"/>
      <c r="H905" s="418"/>
      <c r="I905" s="423"/>
      <c r="J905" s="523"/>
      <c r="K905" s="424"/>
      <c r="L905" s="424"/>
      <c r="M905" s="418"/>
      <c r="N905" s="518"/>
      <c r="O905" s="423"/>
      <c r="P905" s="427"/>
      <c r="Q905" s="423"/>
      <c r="R905" s="523"/>
      <c r="S905" s="424"/>
      <c r="T905" s="424"/>
      <c r="U905" s="418"/>
      <c r="V905" s="428"/>
      <c r="W905" s="418"/>
      <c r="X905" s="418"/>
      <c r="Y905" s="524"/>
      <c r="Z905" s="418"/>
      <c r="AA905" s="418"/>
      <c r="AB905" s="429"/>
    </row>
    <row r="906" spans="1:28">
      <c r="A906" s="418"/>
      <c r="B906" s="418"/>
      <c r="C906" s="418"/>
      <c r="D906" s="520"/>
      <c r="E906" s="520"/>
      <c r="F906" s="520"/>
      <c r="G906" s="520"/>
      <c r="H906" s="418"/>
      <c r="I906" s="423"/>
      <c r="J906" s="523"/>
      <c r="K906" s="424"/>
      <c r="L906" s="424"/>
      <c r="M906" s="418"/>
      <c r="N906" s="518"/>
      <c r="O906" s="423"/>
      <c r="P906" s="427"/>
      <c r="Q906" s="423"/>
      <c r="R906" s="523"/>
      <c r="S906" s="424"/>
      <c r="T906" s="424"/>
      <c r="U906" s="418"/>
      <c r="V906" s="428"/>
      <c r="W906" s="418"/>
      <c r="X906" s="418"/>
      <c r="Y906" s="524"/>
      <c r="Z906" s="418"/>
      <c r="AA906" s="418"/>
      <c r="AB906" s="429"/>
    </row>
    <row r="907" spans="1:28">
      <c r="A907" s="418"/>
      <c r="B907" s="418"/>
      <c r="C907" s="418"/>
      <c r="D907" s="520"/>
      <c r="E907" s="520"/>
      <c r="F907" s="520"/>
      <c r="G907" s="520"/>
      <c r="H907" s="418"/>
      <c r="I907" s="423"/>
      <c r="J907" s="523"/>
      <c r="K907" s="424"/>
      <c r="L907" s="424"/>
      <c r="M907" s="418"/>
      <c r="N907" s="518"/>
      <c r="O907" s="423"/>
      <c r="P907" s="427"/>
      <c r="Q907" s="423"/>
      <c r="R907" s="523"/>
      <c r="S907" s="424"/>
      <c r="T907" s="424"/>
      <c r="U907" s="418"/>
      <c r="V907" s="428"/>
      <c r="W907" s="418"/>
      <c r="X907" s="418"/>
      <c r="Y907" s="524"/>
      <c r="Z907" s="418"/>
      <c r="AA907" s="418"/>
      <c r="AB907" s="429"/>
    </row>
    <row r="908" spans="1:28">
      <c r="A908" s="418"/>
      <c r="B908" s="418"/>
      <c r="C908" s="418"/>
      <c r="D908" s="520"/>
      <c r="E908" s="520"/>
      <c r="F908" s="520"/>
      <c r="G908" s="520"/>
      <c r="H908" s="418"/>
      <c r="I908" s="423"/>
      <c r="J908" s="523"/>
      <c r="K908" s="424"/>
      <c r="L908" s="424"/>
      <c r="M908" s="418"/>
      <c r="N908" s="518"/>
      <c r="O908" s="423"/>
      <c r="P908" s="427"/>
      <c r="Q908" s="423"/>
      <c r="R908" s="523"/>
      <c r="S908" s="424"/>
      <c r="T908" s="424"/>
      <c r="U908" s="418"/>
      <c r="V908" s="428"/>
      <c r="W908" s="418"/>
      <c r="X908" s="418"/>
      <c r="Y908" s="524"/>
      <c r="Z908" s="418"/>
      <c r="AA908" s="418"/>
      <c r="AB908" s="429"/>
    </row>
    <row r="909" spans="1:28">
      <c r="A909" s="418"/>
      <c r="B909" s="418"/>
      <c r="C909" s="418"/>
      <c r="D909" s="520"/>
      <c r="E909" s="520"/>
      <c r="F909" s="520"/>
      <c r="G909" s="520"/>
      <c r="H909" s="418"/>
      <c r="I909" s="423"/>
      <c r="J909" s="523"/>
      <c r="K909" s="424"/>
      <c r="L909" s="424"/>
      <c r="M909" s="418"/>
      <c r="N909" s="518"/>
      <c r="O909" s="423"/>
      <c r="P909" s="427"/>
      <c r="Q909" s="423"/>
      <c r="R909" s="523"/>
      <c r="S909" s="424"/>
      <c r="T909" s="424"/>
      <c r="U909" s="418"/>
      <c r="V909" s="428"/>
      <c r="W909" s="418"/>
      <c r="X909" s="418"/>
      <c r="Y909" s="524"/>
      <c r="Z909" s="418"/>
      <c r="AA909" s="418"/>
      <c r="AB909" s="429"/>
    </row>
    <row r="910" spans="1:28">
      <c r="A910" s="418"/>
      <c r="B910" s="418"/>
      <c r="C910" s="418"/>
      <c r="D910" s="520"/>
      <c r="E910" s="520"/>
      <c r="F910" s="520"/>
      <c r="G910" s="520"/>
      <c r="H910" s="418"/>
      <c r="I910" s="423"/>
      <c r="J910" s="523"/>
      <c r="K910" s="424"/>
      <c r="L910" s="424"/>
      <c r="M910" s="418"/>
      <c r="N910" s="518"/>
      <c r="O910" s="423"/>
      <c r="P910" s="427"/>
      <c r="Q910" s="423"/>
      <c r="R910" s="523"/>
      <c r="S910" s="424"/>
      <c r="T910" s="424"/>
      <c r="U910" s="418"/>
      <c r="V910" s="428"/>
      <c r="W910" s="418"/>
      <c r="X910" s="418"/>
      <c r="Y910" s="524"/>
      <c r="Z910" s="418"/>
      <c r="AA910" s="418"/>
      <c r="AB910" s="429"/>
    </row>
    <row r="911" spans="1:28">
      <c r="A911" s="418"/>
      <c r="B911" s="418"/>
      <c r="C911" s="418"/>
      <c r="D911" s="520"/>
      <c r="E911" s="520"/>
      <c r="F911" s="520"/>
      <c r="G911" s="520"/>
      <c r="H911" s="418"/>
      <c r="I911" s="423"/>
      <c r="J911" s="523"/>
      <c r="K911" s="424"/>
      <c r="L911" s="424"/>
      <c r="M911" s="418"/>
      <c r="N911" s="518"/>
      <c r="O911" s="423"/>
      <c r="P911" s="427"/>
      <c r="Q911" s="423"/>
      <c r="R911" s="523"/>
      <c r="S911" s="424"/>
      <c r="T911" s="424"/>
      <c r="U911" s="418"/>
      <c r="V911" s="428"/>
      <c r="W911" s="418"/>
      <c r="X911" s="418"/>
      <c r="Y911" s="524"/>
      <c r="Z911" s="418"/>
      <c r="AA911" s="418"/>
      <c r="AB911" s="429"/>
    </row>
    <row r="912" spans="1:28">
      <c r="A912" s="418"/>
      <c r="B912" s="418"/>
      <c r="C912" s="418"/>
      <c r="D912" s="520"/>
      <c r="E912" s="520"/>
      <c r="F912" s="520"/>
      <c r="G912" s="520"/>
      <c r="H912" s="418"/>
      <c r="I912" s="423"/>
      <c r="J912" s="523"/>
      <c r="K912" s="424"/>
      <c r="L912" s="424"/>
      <c r="M912" s="418"/>
      <c r="N912" s="518"/>
      <c r="O912" s="423"/>
      <c r="P912" s="427"/>
      <c r="Q912" s="423"/>
      <c r="R912" s="523"/>
      <c r="S912" s="424"/>
      <c r="T912" s="424"/>
      <c r="U912" s="418"/>
      <c r="V912" s="428"/>
      <c r="W912" s="418"/>
      <c r="X912" s="418"/>
      <c r="Y912" s="524"/>
      <c r="Z912" s="418"/>
      <c r="AA912" s="418"/>
      <c r="AB912" s="429"/>
    </row>
    <row r="913" spans="1:28">
      <c r="A913" s="418"/>
      <c r="B913" s="418"/>
      <c r="C913" s="418"/>
      <c r="D913" s="520"/>
      <c r="E913" s="520"/>
      <c r="F913" s="520"/>
      <c r="G913" s="520"/>
      <c r="H913" s="418"/>
      <c r="I913" s="423"/>
      <c r="J913" s="523"/>
      <c r="K913" s="424"/>
      <c r="L913" s="424"/>
      <c r="M913" s="418"/>
      <c r="N913" s="518"/>
      <c r="O913" s="423"/>
      <c r="P913" s="427"/>
      <c r="Q913" s="423"/>
      <c r="R913" s="523"/>
      <c r="S913" s="424"/>
      <c r="T913" s="424"/>
      <c r="U913" s="418"/>
      <c r="V913" s="428"/>
      <c r="W913" s="418"/>
      <c r="X913" s="418"/>
      <c r="Y913" s="524"/>
      <c r="Z913" s="418"/>
      <c r="AA913" s="418"/>
      <c r="AB913" s="429"/>
    </row>
    <row r="914" spans="1:28">
      <c r="A914" s="418"/>
      <c r="B914" s="418"/>
      <c r="C914" s="418"/>
      <c r="D914" s="520"/>
      <c r="E914" s="520"/>
      <c r="F914" s="520"/>
      <c r="G914" s="520"/>
      <c r="H914" s="418"/>
      <c r="I914" s="423"/>
      <c r="J914" s="523"/>
      <c r="K914" s="424"/>
      <c r="L914" s="424"/>
      <c r="M914" s="418"/>
      <c r="N914" s="518"/>
      <c r="O914" s="423"/>
      <c r="P914" s="427"/>
      <c r="Q914" s="423"/>
      <c r="R914" s="523"/>
      <c r="S914" s="424"/>
      <c r="T914" s="424"/>
      <c r="U914" s="418"/>
      <c r="V914" s="428"/>
      <c r="W914" s="418"/>
      <c r="X914" s="418"/>
      <c r="Y914" s="524"/>
      <c r="Z914" s="418"/>
      <c r="AA914" s="418"/>
      <c r="AB914" s="429"/>
    </row>
    <row r="915" spans="1:28">
      <c r="A915" s="418"/>
      <c r="B915" s="418"/>
      <c r="C915" s="418"/>
      <c r="D915" s="520"/>
      <c r="E915" s="520"/>
      <c r="F915" s="520"/>
      <c r="G915" s="520"/>
      <c r="H915" s="418"/>
      <c r="I915" s="423"/>
      <c r="J915" s="523"/>
      <c r="K915" s="424"/>
      <c r="L915" s="424"/>
      <c r="M915" s="418"/>
      <c r="N915" s="518"/>
      <c r="O915" s="423"/>
      <c r="P915" s="427"/>
      <c r="Q915" s="423"/>
      <c r="R915" s="523"/>
      <c r="S915" s="424"/>
      <c r="T915" s="424"/>
      <c r="U915" s="418"/>
      <c r="V915" s="428"/>
      <c r="W915" s="418"/>
      <c r="X915" s="418"/>
      <c r="Y915" s="524"/>
      <c r="Z915" s="418"/>
      <c r="AA915" s="418"/>
      <c r="AB915" s="429"/>
    </row>
    <row r="916" spans="1:28">
      <c r="A916" s="418"/>
      <c r="B916" s="418"/>
      <c r="C916" s="418"/>
      <c r="D916" s="520"/>
      <c r="E916" s="520"/>
      <c r="F916" s="520"/>
      <c r="G916" s="520"/>
      <c r="H916" s="418"/>
      <c r="I916" s="423"/>
      <c r="J916" s="523"/>
      <c r="K916" s="424"/>
      <c r="L916" s="424"/>
      <c r="M916" s="418"/>
      <c r="N916" s="518"/>
      <c r="O916" s="423"/>
      <c r="P916" s="427"/>
      <c r="Q916" s="423"/>
      <c r="R916" s="523"/>
      <c r="S916" s="424"/>
      <c r="T916" s="424"/>
      <c r="U916" s="418"/>
      <c r="V916" s="428"/>
      <c r="W916" s="418"/>
      <c r="X916" s="418"/>
      <c r="Y916" s="524"/>
      <c r="Z916" s="418"/>
      <c r="AA916" s="418"/>
      <c r="AB916" s="429"/>
    </row>
    <row r="917" spans="1:28">
      <c r="A917" s="418"/>
      <c r="B917" s="418"/>
      <c r="C917" s="418"/>
      <c r="D917" s="520"/>
      <c r="E917" s="520"/>
      <c r="F917" s="520"/>
      <c r="G917" s="520"/>
      <c r="H917" s="418"/>
      <c r="I917" s="423"/>
      <c r="J917" s="523"/>
      <c r="K917" s="424"/>
      <c r="L917" s="424"/>
      <c r="M917" s="418"/>
      <c r="N917" s="518"/>
      <c r="O917" s="423"/>
      <c r="P917" s="427"/>
      <c r="Q917" s="423"/>
      <c r="R917" s="523"/>
      <c r="S917" s="424"/>
      <c r="T917" s="424"/>
      <c r="U917" s="418"/>
      <c r="V917" s="428"/>
      <c r="W917" s="418"/>
      <c r="X917" s="418"/>
      <c r="Y917" s="524"/>
      <c r="Z917" s="418"/>
      <c r="AA917" s="418"/>
      <c r="AB917" s="429"/>
    </row>
    <row r="918" spans="1:28">
      <c r="A918" s="418"/>
      <c r="B918" s="418"/>
      <c r="C918" s="418"/>
      <c r="D918" s="520"/>
      <c r="E918" s="520"/>
      <c r="F918" s="520"/>
      <c r="G918" s="520"/>
      <c r="H918" s="418"/>
      <c r="I918" s="423"/>
      <c r="J918" s="523"/>
      <c r="K918" s="424"/>
      <c r="L918" s="424"/>
      <c r="M918" s="418"/>
      <c r="N918" s="518"/>
      <c r="O918" s="423"/>
      <c r="P918" s="427"/>
      <c r="Q918" s="423"/>
      <c r="R918" s="523"/>
      <c r="S918" s="424"/>
      <c r="T918" s="424"/>
      <c r="U918" s="418"/>
      <c r="V918" s="428"/>
      <c r="W918" s="418"/>
      <c r="X918" s="418"/>
      <c r="Y918" s="524"/>
      <c r="Z918" s="418"/>
      <c r="AA918" s="418"/>
      <c r="AB918" s="429"/>
    </row>
    <row r="919" spans="1:28">
      <c r="A919" s="418"/>
      <c r="B919" s="418"/>
      <c r="C919" s="418"/>
      <c r="D919" s="520"/>
      <c r="E919" s="520"/>
      <c r="F919" s="520"/>
      <c r="G919" s="520"/>
      <c r="H919" s="418"/>
      <c r="I919" s="423"/>
      <c r="J919" s="523"/>
      <c r="K919" s="424"/>
      <c r="L919" s="424"/>
      <c r="M919" s="418"/>
      <c r="N919" s="518"/>
      <c r="O919" s="423"/>
      <c r="P919" s="427"/>
      <c r="Q919" s="423"/>
      <c r="R919" s="523"/>
      <c r="S919" s="424"/>
      <c r="T919" s="424"/>
      <c r="U919" s="418"/>
      <c r="V919" s="428"/>
      <c r="W919" s="418"/>
      <c r="X919" s="418"/>
      <c r="Y919" s="524"/>
      <c r="Z919" s="418"/>
      <c r="AA919" s="418"/>
      <c r="AB919" s="429"/>
    </row>
    <row r="920" spans="1:28">
      <c r="A920" s="418"/>
      <c r="B920" s="418"/>
      <c r="C920" s="418"/>
      <c r="D920" s="520"/>
      <c r="E920" s="520"/>
      <c r="F920" s="520"/>
      <c r="G920" s="520"/>
      <c r="H920" s="418"/>
      <c r="I920" s="423"/>
      <c r="J920" s="523"/>
      <c r="K920" s="424"/>
      <c r="L920" s="424"/>
      <c r="M920" s="418"/>
      <c r="N920" s="518"/>
      <c r="O920" s="423"/>
      <c r="P920" s="427"/>
      <c r="Q920" s="423"/>
      <c r="R920" s="523"/>
      <c r="S920" s="424"/>
      <c r="T920" s="424"/>
      <c r="U920" s="418"/>
      <c r="V920" s="428"/>
      <c r="W920" s="418"/>
      <c r="X920" s="418"/>
      <c r="Y920" s="524"/>
      <c r="Z920" s="418"/>
      <c r="AA920" s="418"/>
      <c r="AB920" s="429"/>
    </row>
    <row r="921" spans="1:28">
      <c r="A921" s="418"/>
      <c r="B921" s="418"/>
      <c r="C921" s="418"/>
      <c r="D921" s="520"/>
      <c r="E921" s="520"/>
      <c r="F921" s="520"/>
      <c r="G921" s="520"/>
      <c r="H921" s="418"/>
      <c r="I921" s="423"/>
      <c r="J921" s="523"/>
      <c r="K921" s="424"/>
      <c r="L921" s="424"/>
      <c r="M921" s="418"/>
      <c r="N921" s="518"/>
      <c r="O921" s="423"/>
      <c r="P921" s="427"/>
      <c r="Q921" s="423"/>
      <c r="R921" s="523"/>
      <c r="S921" s="424"/>
      <c r="T921" s="424"/>
      <c r="U921" s="418"/>
      <c r="V921" s="428"/>
      <c r="W921" s="418"/>
      <c r="X921" s="418"/>
      <c r="Y921" s="524"/>
      <c r="Z921" s="418"/>
      <c r="AA921" s="418"/>
      <c r="AB921" s="429"/>
    </row>
    <row r="922" spans="1:28">
      <c r="A922" s="418"/>
      <c r="B922" s="418"/>
      <c r="C922" s="418"/>
      <c r="D922" s="520"/>
      <c r="E922" s="520"/>
      <c r="F922" s="520"/>
      <c r="G922" s="520"/>
      <c r="H922" s="418"/>
      <c r="I922" s="423"/>
      <c r="J922" s="523"/>
      <c r="K922" s="424"/>
      <c r="L922" s="424"/>
      <c r="M922" s="418"/>
      <c r="N922" s="518"/>
      <c r="O922" s="423"/>
      <c r="P922" s="427"/>
      <c r="Q922" s="423"/>
      <c r="R922" s="523"/>
      <c r="S922" s="424"/>
      <c r="T922" s="424"/>
      <c r="U922" s="418"/>
      <c r="V922" s="428"/>
      <c r="W922" s="418"/>
      <c r="X922" s="418"/>
      <c r="Y922" s="524"/>
      <c r="Z922" s="418"/>
      <c r="AA922" s="418"/>
      <c r="AB922" s="429"/>
    </row>
    <row r="923" spans="1:28">
      <c r="A923" s="418"/>
      <c r="B923" s="418"/>
      <c r="C923" s="418"/>
      <c r="D923" s="520"/>
      <c r="E923" s="520"/>
      <c r="F923" s="520"/>
      <c r="G923" s="520"/>
      <c r="H923" s="418"/>
      <c r="I923" s="423"/>
      <c r="J923" s="523"/>
      <c r="K923" s="424"/>
      <c r="L923" s="424"/>
      <c r="M923" s="418"/>
      <c r="N923" s="518"/>
      <c r="O923" s="423"/>
      <c r="P923" s="427"/>
      <c r="Q923" s="423"/>
      <c r="R923" s="523"/>
      <c r="S923" s="424"/>
      <c r="T923" s="424"/>
      <c r="U923" s="418"/>
      <c r="V923" s="428"/>
      <c r="W923" s="418"/>
      <c r="X923" s="418"/>
      <c r="Y923" s="524"/>
      <c r="Z923" s="418"/>
      <c r="AA923" s="418"/>
      <c r="AB923" s="429"/>
    </row>
    <row r="924" spans="1:28">
      <c r="A924" s="418"/>
      <c r="B924" s="418"/>
      <c r="C924" s="418"/>
      <c r="D924" s="520"/>
      <c r="E924" s="520"/>
      <c r="F924" s="520"/>
      <c r="G924" s="520"/>
      <c r="H924" s="418"/>
      <c r="I924" s="423"/>
      <c r="J924" s="523"/>
      <c r="K924" s="424"/>
      <c r="L924" s="424"/>
      <c r="M924" s="418"/>
      <c r="N924" s="518"/>
      <c r="O924" s="423"/>
      <c r="P924" s="427"/>
      <c r="Q924" s="423"/>
      <c r="R924" s="523"/>
      <c r="S924" s="424"/>
      <c r="T924" s="424"/>
      <c r="U924" s="418"/>
      <c r="V924" s="428"/>
      <c r="W924" s="418"/>
      <c r="X924" s="418"/>
      <c r="Y924" s="524"/>
      <c r="Z924" s="418"/>
      <c r="AA924" s="418"/>
      <c r="AB924" s="429"/>
    </row>
    <row r="925" spans="1:28">
      <c r="A925" s="418"/>
      <c r="B925" s="418"/>
      <c r="C925" s="418"/>
      <c r="D925" s="520"/>
      <c r="E925" s="520"/>
      <c r="F925" s="520"/>
      <c r="G925" s="520"/>
      <c r="H925" s="418"/>
      <c r="I925" s="423"/>
      <c r="J925" s="523"/>
      <c r="K925" s="424"/>
      <c r="L925" s="424"/>
      <c r="M925" s="418"/>
      <c r="N925" s="518"/>
      <c r="O925" s="423"/>
      <c r="P925" s="427"/>
      <c r="Q925" s="423"/>
      <c r="R925" s="523"/>
      <c r="S925" s="424"/>
      <c r="T925" s="424"/>
      <c r="U925" s="418"/>
      <c r="V925" s="428"/>
      <c r="W925" s="418"/>
      <c r="X925" s="418"/>
      <c r="Y925" s="524"/>
      <c r="Z925" s="418"/>
      <c r="AA925" s="418"/>
      <c r="AB925" s="429"/>
    </row>
    <row r="926" spans="1:28">
      <c r="A926" s="418"/>
      <c r="B926" s="418"/>
      <c r="C926" s="418"/>
      <c r="D926" s="520"/>
      <c r="E926" s="520"/>
      <c r="F926" s="520"/>
      <c r="G926" s="520"/>
      <c r="H926" s="418"/>
      <c r="I926" s="423"/>
      <c r="J926" s="523"/>
      <c r="K926" s="424"/>
      <c r="L926" s="424"/>
      <c r="M926" s="418"/>
      <c r="N926" s="518"/>
      <c r="O926" s="423"/>
      <c r="P926" s="427"/>
      <c r="Q926" s="423"/>
      <c r="R926" s="523"/>
      <c r="S926" s="424"/>
      <c r="T926" s="424"/>
      <c r="U926" s="418"/>
      <c r="V926" s="428"/>
      <c r="W926" s="418"/>
      <c r="X926" s="418"/>
      <c r="Y926" s="524"/>
      <c r="Z926" s="418"/>
      <c r="AA926" s="418"/>
      <c r="AB926" s="429"/>
    </row>
    <row r="927" spans="1:28">
      <c r="A927" s="418"/>
      <c r="B927" s="418"/>
      <c r="C927" s="418"/>
      <c r="D927" s="520"/>
      <c r="E927" s="520"/>
      <c r="F927" s="520"/>
      <c r="G927" s="520"/>
      <c r="H927" s="418"/>
      <c r="I927" s="423"/>
      <c r="J927" s="523"/>
      <c r="K927" s="424"/>
      <c r="L927" s="424"/>
      <c r="M927" s="418"/>
      <c r="N927" s="518"/>
      <c r="O927" s="423"/>
      <c r="P927" s="427"/>
      <c r="Q927" s="423"/>
      <c r="R927" s="523"/>
      <c r="S927" s="424"/>
      <c r="T927" s="424"/>
      <c r="U927" s="418"/>
      <c r="V927" s="428"/>
      <c r="W927" s="418"/>
      <c r="X927" s="418"/>
      <c r="Y927" s="524"/>
      <c r="Z927" s="418"/>
      <c r="AA927" s="418"/>
      <c r="AB927" s="429"/>
    </row>
    <row r="928" spans="1:28">
      <c r="A928" s="418"/>
      <c r="B928" s="418"/>
      <c r="C928" s="418"/>
      <c r="D928" s="520"/>
      <c r="E928" s="520"/>
      <c r="F928" s="520"/>
      <c r="G928" s="520"/>
      <c r="H928" s="418"/>
      <c r="I928" s="423"/>
      <c r="J928" s="523"/>
      <c r="K928" s="424"/>
      <c r="L928" s="424"/>
      <c r="M928" s="418"/>
      <c r="N928" s="518"/>
      <c r="O928" s="423"/>
      <c r="P928" s="427"/>
      <c r="Q928" s="423"/>
      <c r="R928" s="523"/>
      <c r="S928" s="424"/>
      <c r="T928" s="424"/>
      <c r="U928" s="418"/>
      <c r="V928" s="428"/>
      <c r="W928" s="418"/>
      <c r="X928" s="418"/>
      <c r="Y928" s="524"/>
      <c r="Z928" s="418"/>
      <c r="AA928" s="418"/>
      <c r="AB928" s="429"/>
    </row>
    <row r="929" spans="1:28">
      <c r="A929" s="418"/>
      <c r="B929" s="418"/>
      <c r="C929" s="418"/>
      <c r="D929" s="520"/>
      <c r="E929" s="520"/>
      <c r="F929" s="520"/>
      <c r="G929" s="520"/>
      <c r="H929" s="418"/>
      <c r="I929" s="423"/>
      <c r="J929" s="523"/>
      <c r="K929" s="424"/>
      <c r="L929" s="424"/>
      <c r="M929" s="418"/>
      <c r="N929" s="518"/>
      <c r="O929" s="423"/>
      <c r="P929" s="427"/>
      <c r="Q929" s="423"/>
      <c r="R929" s="523"/>
      <c r="S929" s="424"/>
      <c r="T929" s="424"/>
      <c r="U929" s="418"/>
      <c r="V929" s="428"/>
      <c r="W929" s="418"/>
      <c r="X929" s="418"/>
      <c r="Y929" s="524"/>
      <c r="Z929" s="418"/>
      <c r="AA929" s="418"/>
      <c r="AB929" s="429"/>
    </row>
    <row r="930" spans="1:28">
      <c r="A930" s="418"/>
      <c r="B930" s="418"/>
      <c r="C930" s="418"/>
      <c r="D930" s="520"/>
      <c r="E930" s="520"/>
      <c r="F930" s="520"/>
      <c r="G930" s="520"/>
      <c r="H930" s="418"/>
      <c r="I930" s="423"/>
      <c r="J930" s="523"/>
      <c r="K930" s="424"/>
      <c r="L930" s="424"/>
      <c r="M930" s="418"/>
      <c r="N930" s="518"/>
      <c r="O930" s="423"/>
      <c r="P930" s="427"/>
      <c r="Q930" s="423"/>
      <c r="R930" s="523"/>
      <c r="S930" s="424"/>
      <c r="T930" s="424"/>
      <c r="U930" s="418"/>
      <c r="V930" s="428"/>
      <c r="W930" s="418"/>
      <c r="X930" s="418"/>
      <c r="Y930" s="524"/>
      <c r="Z930" s="418"/>
      <c r="AA930" s="418"/>
      <c r="AB930" s="429"/>
    </row>
    <row r="931" spans="1:28">
      <c r="A931" s="418"/>
      <c r="B931" s="418"/>
      <c r="C931" s="418"/>
      <c r="D931" s="520"/>
      <c r="E931" s="520"/>
      <c r="F931" s="520"/>
      <c r="G931" s="520"/>
      <c r="H931" s="418"/>
      <c r="I931" s="423"/>
      <c r="J931" s="523"/>
      <c r="K931" s="424"/>
      <c r="L931" s="424"/>
      <c r="M931" s="418"/>
      <c r="N931" s="518"/>
      <c r="O931" s="423"/>
      <c r="P931" s="427"/>
      <c r="Q931" s="423"/>
      <c r="R931" s="523"/>
      <c r="S931" s="424"/>
      <c r="T931" s="424"/>
      <c r="U931" s="418"/>
      <c r="V931" s="428"/>
      <c r="W931" s="418"/>
      <c r="X931" s="418"/>
      <c r="Y931" s="524"/>
      <c r="Z931" s="418"/>
      <c r="AA931" s="418"/>
      <c r="AB931" s="429"/>
    </row>
    <row r="932" spans="1:28">
      <c r="A932" s="418"/>
      <c r="B932" s="418"/>
      <c r="C932" s="418"/>
      <c r="D932" s="520"/>
      <c r="E932" s="520"/>
      <c r="F932" s="520"/>
      <c r="G932" s="520"/>
      <c r="H932" s="418"/>
      <c r="I932" s="423"/>
      <c r="J932" s="523"/>
      <c r="K932" s="424"/>
      <c r="L932" s="424"/>
      <c r="M932" s="418"/>
      <c r="N932" s="518"/>
      <c r="O932" s="423"/>
      <c r="P932" s="427"/>
      <c r="Q932" s="423"/>
      <c r="R932" s="523"/>
      <c r="S932" s="424"/>
      <c r="T932" s="424"/>
      <c r="U932" s="418"/>
      <c r="V932" s="428"/>
      <c r="W932" s="418"/>
      <c r="X932" s="418"/>
      <c r="Y932" s="524"/>
      <c r="Z932" s="418"/>
      <c r="AA932" s="418"/>
      <c r="AB932" s="429"/>
    </row>
    <row r="933" spans="1:28">
      <c r="A933" s="418"/>
      <c r="B933" s="418"/>
      <c r="C933" s="418"/>
      <c r="D933" s="520"/>
      <c r="E933" s="520"/>
      <c r="F933" s="520"/>
      <c r="G933" s="520"/>
      <c r="H933" s="418"/>
      <c r="I933" s="423"/>
      <c r="J933" s="523"/>
      <c r="K933" s="424"/>
      <c r="L933" s="424"/>
      <c r="M933" s="418"/>
      <c r="N933" s="518"/>
      <c r="O933" s="423"/>
      <c r="P933" s="427"/>
      <c r="Q933" s="423"/>
      <c r="R933" s="523"/>
      <c r="S933" s="424"/>
      <c r="T933" s="424"/>
      <c r="U933" s="418"/>
      <c r="V933" s="428"/>
      <c r="W933" s="418"/>
      <c r="X933" s="418"/>
      <c r="Y933" s="524"/>
      <c r="Z933" s="418"/>
      <c r="AA933" s="418"/>
      <c r="AB933" s="429"/>
    </row>
    <row r="934" spans="1:28">
      <c r="A934" s="418"/>
      <c r="B934" s="418"/>
      <c r="C934" s="418"/>
      <c r="D934" s="520"/>
      <c r="E934" s="520"/>
      <c r="F934" s="520"/>
      <c r="G934" s="520"/>
      <c r="H934" s="418"/>
      <c r="I934" s="423"/>
      <c r="J934" s="523"/>
      <c r="K934" s="424"/>
      <c r="L934" s="424"/>
      <c r="M934" s="418"/>
      <c r="N934" s="518"/>
      <c r="O934" s="423"/>
      <c r="P934" s="427"/>
      <c r="Q934" s="423"/>
      <c r="R934" s="523"/>
      <c r="S934" s="424"/>
      <c r="T934" s="424"/>
      <c r="U934" s="418"/>
      <c r="V934" s="428"/>
      <c r="W934" s="418"/>
      <c r="X934" s="418"/>
      <c r="Y934" s="524"/>
      <c r="Z934" s="418"/>
      <c r="AA934" s="418"/>
      <c r="AB934" s="429"/>
    </row>
    <row r="935" spans="1:28">
      <c r="A935" s="418"/>
      <c r="B935" s="418"/>
      <c r="C935" s="418"/>
      <c r="D935" s="520"/>
      <c r="E935" s="520"/>
      <c r="F935" s="520"/>
      <c r="G935" s="520"/>
      <c r="H935" s="418"/>
      <c r="I935" s="423"/>
      <c r="J935" s="523"/>
      <c r="K935" s="424"/>
      <c r="L935" s="424"/>
      <c r="M935" s="418"/>
      <c r="N935" s="518"/>
      <c r="O935" s="423"/>
      <c r="P935" s="427"/>
      <c r="Q935" s="423"/>
      <c r="R935" s="523"/>
      <c r="S935" s="424"/>
      <c r="T935" s="424"/>
      <c r="U935" s="418"/>
      <c r="V935" s="428"/>
      <c r="W935" s="418"/>
      <c r="X935" s="418"/>
      <c r="Y935" s="524"/>
      <c r="Z935" s="418"/>
      <c r="AA935" s="418"/>
      <c r="AB935" s="429"/>
    </row>
    <row r="936" spans="1:28">
      <c r="A936" s="418"/>
      <c r="B936" s="418"/>
      <c r="C936" s="418"/>
      <c r="D936" s="520"/>
      <c r="E936" s="520"/>
      <c r="F936" s="520"/>
      <c r="G936" s="520"/>
      <c r="H936" s="418"/>
      <c r="I936" s="423"/>
      <c r="J936" s="523"/>
      <c r="K936" s="424"/>
      <c r="L936" s="424"/>
      <c r="M936" s="418"/>
      <c r="N936" s="518"/>
      <c r="O936" s="423"/>
      <c r="P936" s="427"/>
      <c r="Q936" s="423"/>
      <c r="R936" s="523"/>
      <c r="S936" s="424"/>
      <c r="T936" s="424"/>
      <c r="U936" s="418"/>
      <c r="V936" s="428"/>
      <c r="W936" s="418"/>
      <c r="X936" s="418"/>
      <c r="Y936" s="524"/>
      <c r="Z936" s="418"/>
      <c r="AA936" s="418"/>
      <c r="AB936" s="429"/>
    </row>
    <row r="937" spans="1:28">
      <c r="A937" s="418"/>
      <c r="B937" s="418"/>
      <c r="C937" s="418"/>
      <c r="D937" s="520"/>
      <c r="E937" s="520"/>
      <c r="F937" s="520"/>
      <c r="G937" s="520"/>
      <c r="H937" s="418"/>
      <c r="I937" s="423"/>
      <c r="J937" s="523"/>
      <c r="K937" s="424"/>
      <c r="L937" s="424"/>
      <c r="M937" s="418"/>
      <c r="N937" s="518"/>
      <c r="O937" s="423"/>
      <c r="P937" s="427"/>
      <c r="Q937" s="423"/>
      <c r="R937" s="523"/>
      <c r="S937" s="424"/>
      <c r="T937" s="424"/>
      <c r="U937" s="418"/>
      <c r="V937" s="428"/>
      <c r="W937" s="418"/>
      <c r="X937" s="418"/>
      <c r="Y937" s="524"/>
      <c r="Z937" s="418"/>
      <c r="AA937" s="418"/>
      <c r="AB937" s="429"/>
    </row>
    <row r="938" spans="1:28">
      <c r="A938" s="418"/>
      <c r="B938" s="418"/>
      <c r="C938" s="418"/>
      <c r="D938" s="520"/>
      <c r="E938" s="520"/>
      <c r="F938" s="520"/>
      <c r="G938" s="520"/>
      <c r="H938" s="418"/>
      <c r="I938" s="423"/>
      <c r="J938" s="523"/>
      <c r="K938" s="424"/>
      <c r="L938" s="424"/>
      <c r="M938" s="418"/>
      <c r="N938" s="518"/>
      <c r="O938" s="423"/>
      <c r="P938" s="427"/>
      <c r="Q938" s="423"/>
      <c r="R938" s="523"/>
      <c r="S938" s="424"/>
      <c r="T938" s="424"/>
      <c r="U938" s="418"/>
      <c r="V938" s="428"/>
      <c r="W938" s="418"/>
      <c r="X938" s="418"/>
      <c r="Y938" s="524"/>
      <c r="Z938" s="418"/>
      <c r="AA938" s="418"/>
      <c r="AB938" s="429"/>
    </row>
    <row r="939" spans="1:28">
      <c r="A939" s="418"/>
      <c r="B939" s="418"/>
      <c r="C939" s="418"/>
      <c r="D939" s="520"/>
      <c r="E939" s="520"/>
      <c r="F939" s="520"/>
      <c r="G939" s="520"/>
      <c r="H939" s="418"/>
      <c r="I939" s="423"/>
      <c r="J939" s="523"/>
      <c r="K939" s="424"/>
      <c r="L939" s="424"/>
      <c r="M939" s="418"/>
      <c r="N939" s="518"/>
      <c r="O939" s="423"/>
      <c r="P939" s="427"/>
      <c r="Q939" s="423"/>
      <c r="R939" s="523"/>
      <c r="S939" s="424"/>
      <c r="T939" s="424"/>
      <c r="U939" s="418"/>
      <c r="V939" s="428"/>
      <c r="W939" s="418"/>
      <c r="X939" s="418"/>
      <c r="Y939" s="524"/>
      <c r="Z939" s="418"/>
      <c r="AA939" s="418"/>
      <c r="AB939" s="429"/>
    </row>
    <row r="940" spans="1:28">
      <c r="A940" s="418"/>
      <c r="B940" s="418"/>
      <c r="C940" s="418"/>
      <c r="D940" s="520"/>
      <c r="E940" s="520"/>
      <c r="F940" s="520"/>
      <c r="G940" s="520"/>
      <c r="H940" s="418"/>
      <c r="I940" s="423"/>
      <c r="J940" s="523"/>
      <c r="K940" s="424"/>
      <c r="L940" s="424"/>
      <c r="M940" s="418"/>
      <c r="N940" s="518"/>
      <c r="O940" s="423"/>
      <c r="P940" s="427"/>
      <c r="Q940" s="423"/>
      <c r="R940" s="523"/>
      <c r="S940" s="424"/>
      <c r="T940" s="424"/>
      <c r="U940" s="418"/>
      <c r="V940" s="428"/>
      <c r="W940" s="418"/>
      <c r="X940" s="418"/>
      <c r="Y940" s="524"/>
      <c r="Z940" s="418"/>
      <c r="AA940" s="418"/>
      <c r="AB940" s="429"/>
    </row>
    <row r="941" spans="1:28">
      <c r="A941" s="418"/>
      <c r="B941" s="418"/>
      <c r="C941" s="418"/>
      <c r="D941" s="520"/>
      <c r="E941" s="520"/>
      <c r="F941" s="520"/>
      <c r="G941" s="520"/>
      <c r="H941" s="418"/>
      <c r="I941" s="423"/>
      <c r="J941" s="523"/>
      <c r="K941" s="424"/>
      <c r="L941" s="424"/>
      <c r="M941" s="418"/>
      <c r="N941" s="518"/>
      <c r="O941" s="423"/>
      <c r="P941" s="427"/>
      <c r="Q941" s="423"/>
      <c r="R941" s="523"/>
      <c r="S941" s="424"/>
      <c r="T941" s="424"/>
      <c r="U941" s="418"/>
      <c r="V941" s="428"/>
      <c r="W941" s="418"/>
      <c r="X941" s="418"/>
      <c r="Y941" s="524"/>
      <c r="Z941" s="418"/>
      <c r="AA941" s="418"/>
      <c r="AB941" s="429"/>
    </row>
    <row r="942" spans="1:28">
      <c r="A942" s="418"/>
      <c r="B942" s="418"/>
      <c r="C942" s="418"/>
      <c r="D942" s="520"/>
      <c r="E942" s="520"/>
      <c r="F942" s="520"/>
      <c r="G942" s="520"/>
      <c r="H942" s="418"/>
      <c r="I942" s="423"/>
      <c r="J942" s="523"/>
      <c r="K942" s="424"/>
      <c r="L942" s="424"/>
      <c r="M942" s="418"/>
      <c r="N942" s="518"/>
      <c r="O942" s="423"/>
      <c r="P942" s="427"/>
      <c r="Q942" s="423"/>
      <c r="R942" s="523"/>
      <c r="S942" s="424"/>
      <c r="T942" s="424"/>
      <c r="U942" s="418"/>
      <c r="V942" s="428"/>
      <c r="W942" s="418"/>
      <c r="X942" s="418"/>
      <c r="Y942" s="524"/>
      <c r="Z942" s="418"/>
      <c r="AA942" s="418"/>
      <c r="AB942" s="429"/>
    </row>
    <row r="943" spans="1:28">
      <c r="A943" s="418"/>
      <c r="B943" s="418"/>
      <c r="C943" s="418"/>
      <c r="D943" s="520"/>
      <c r="E943" s="520"/>
      <c r="F943" s="520"/>
      <c r="G943" s="520"/>
      <c r="H943" s="418"/>
      <c r="I943" s="423"/>
      <c r="J943" s="523"/>
      <c r="K943" s="424"/>
      <c r="L943" s="424"/>
      <c r="M943" s="418"/>
      <c r="N943" s="518"/>
      <c r="O943" s="423"/>
      <c r="P943" s="427"/>
      <c r="Q943" s="423"/>
      <c r="R943" s="523"/>
      <c r="S943" s="424"/>
      <c r="T943" s="424"/>
      <c r="U943" s="418"/>
      <c r="V943" s="428"/>
      <c r="W943" s="418"/>
      <c r="X943" s="418"/>
      <c r="Y943" s="524"/>
      <c r="Z943" s="418"/>
      <c r="AA943" s="418"/>
      <c r="AB943" s="429"/>
    </row>
    <row r="944" spans="1:28">
      <c r="A944" s="418"/>
      <c r="B944" s="418"/>
      <c r="C944" s="418"/>
      <c r="D944" s="520"/>
      <c r="E944" s="520"/>
      <c r="F944" s="520"/>
      <c r="G944" s="520"/>
      <c r="H944" s="418"/>
      <c r="I944" s="423"/>
      <c r="J944" s="523"/>
      <c r="K944" s="424"/>
      <c r="L944" s="424"/>
      <c r="M944" s="418"/>
      <c r="N944" s="518"/>
      <c r="O944" s="423"/>
      <c r="P944" s="427"/>
      <c r="Q944" s="423"/>
      <c r="R944" s="523"/>
      <c r="S944" s="424"/>
      <c r="T944" s="424"/>
      <c r="U944" s="418"/>
      <c r="V944" s="428"/>
      <c r="W944" s="418"/>
      <c r="X944" s="418"/>
      <c r="Y944" s="524"/>
      <c r="Z944" s="418"/>
      <c r="AA944" s="418"/>
      <c r="AB944" s="429"/>
    </row>
    <row r="945" spans="1:28">
      <c r="A945" s="418"/>
      <c r="B945" s="418"/>
      <c r="C945" s="418"/>
      <c r="D945" s="520"/>
      <c r="E945" s="520"/>
      <c r="F945" s="520"/>
      <c r="G945" s="520"/>
      <c r="H945" s="418"/>
      <c r="I945" s="423"/>
      <c r="J945" s="523"/>
      <c r="K945" s="424"/>
      <c r="L945" s="424"/>
      <c r="M945" s="418"/>
      <c r="N945" s="518"/>
      <c r="O945" s="423"/>
      <c r="P945" s="427"/>
      <c r="Q945" s="423"/>
      <c r="R945" s="523"/>
      <c r="S945" s="424"/>
      <c r="T945" s="424"/>
      <c r="U945" s="418"/>
      <c r="V945" s="428"/>
      <c r="W945" s="418"/>
      <c r="X945" s="418"/>
      <c r="Y945" s="524"/>
      <c r="Z945" s="418"/>
      <c r="AA945" s="418"/>
      <c r="AB945" s="429"/>
    </row>
    <row r="946" spans="1:28">
      <c r="A946" s="418"/>
      <c r="B946" s="418"/>
      <c r="C946" s="418"/>
      <c r="D946" s="520"/>
      <c r="E946" s="520"/>
      <c r="F946" s="520"/>
      <c r="G946" s="520"/>
      <c r="H946" s="418"/>
      <c r="I946" s="423"/>
      <c r="J946" s="523"/>
      <c r="K946" s="424"/>
      <c r="L946" s="424"/>
      <c r="M946" s="418"/>
      <c r="N946" s="518"/>
      <c r="O946" s="423"/>
      <c r="P946" s="427"/>
      <c r="Q946" s="423"/>
      <c r="R946" s="523"/>
      <c r="S946" s="424"/>
      <c r="T946" s="424"/>
      <c r="U946" s="418"/>
      <c r="V946" s="428"/>
      <c r="W946" s="418"/>
      <c r="X946" s="418"/>
      <c r="Y946" s="524"/>
      <c r="Z946" s="418"/>
      <c r="AA946" s="418"/>
      <c r="AB946" s="429"/>
    </row>
    <row r="947" spans="1:28">
      <c r="A947" s="418"/>
      <c r="B947" s="418"/>
      <c r="C947" s="418"/>
      <c r="D947" s="520"/>
      <c r="E947" s="520"/>
      <c r="F947" s="520"/>
      <c r="G947" s="520"/>
      <c r="H947" s="418"/>
      <c r="I947" s="423"/>
      <c r="J947" s="523"/>
      <c r="K947" s="424"/>
      <c r="L947" s="424"/>
      <c r="M947" s="418"/>
      <c r="N947" s="518"/>
      <c r="O947" s="423"/>
      <c r="P947" s="427"/>
      <c r="Q947" s="423"/>
      <c r="R947" s="523"/>
      <c r="S947" s="424"/>
      <c r="T947" s="424"/>
      <c r="U947" s="418"/>
      <c r="V947" s="428"/>
      <c r="W947" s="418"/>
      <c r="X947" s="418"/>
      <c r="Y947" s="524"/>
      <c r="Z947" s="418"/>
      <c r="AA947" s="418"/>
      <c r="AB947" s="429"/>
    </row>
    <row r="948" spans="1:28">
      <c r="A948" s="418"/>
      <c r="B948" s="418"/>
      <c r="C948" s="418"/>
      <c r="D948" s="520"/>
      <c r="E948" s="520"/>
      <c r="F948" s="520"/>
      <c r="G948" s="520"/>
      <c r="H948" s="418"/>
      <c r="I948" s="423"/>
      <c r="J948" s="523"/>
      <c r="K948" s="424"/>
      <c r="L948" s="424"/>
      <c r="M948" s="418"/>
      <c r="N948" s="518"/>
      <c r="O948" s="423"/>
      <c r="P948" s="427"/>
      <c r="Q948" s="423"/>
      <c r="R948" s="523"/>
      <c r="S948" s="424"/>
      <c r="T948" s="424"/>
      <c r="U948" s="418"/>
      <c r="V948" s="428"/>
      <c r="W948" s="418"/>
      <c r="X948" s="418"/>
      <c r="Y948" s="524"/>
      <c r="Z948" s="418"/>
      <c r="AA948" s="418"/>
      <c r="AB948" s="429"/>
    </row>
    <row r="949" spans="1:28">
      <c r="A949" s="418"/>
      <c r="B949" s="418"/>
      <c r="C949" s="418"/>
      <c r="D949" s="520"/>
      <c r="E949" s="520"/>
      <c r="F949" s="520"/>
      <c r="G949" s="520"/>
      <c r="H949" s="418"/>
      <c r="I949" s="423"/>
      <c r="J949" s="523"/>
      <c r="K949" s="424"/>
      <c r="L949" s="424"/>
      <c r="M949" s="418"/>
      <c r="N949" s="518"/>
      <c r="O949" s="423"/>
      <c r="P949" s="427"/>
      <c r="Q949" s="423"/>
      <c r="R949" s="523"/>
      <c r="S949" s="424"/>
      <c r="T949" s="424"/>
      <c r="U949" s="418"/>
      <c r="V949" s="428"/>
      <c r="W949" s="418"/>
      <c r="X949" s="418"/>
      <c r="Y949" s="524"/>
      <c r="Z949" s="418"/>
      <c r="AA949" s="418"/>
      <c r="AB949" s="429"/>
    </row>
    <row r="950" spans="1:28">
      <c r="A950" s="418"/>
      <c r="B950" s="418"/>
      <c r="C950" s="418"/>
      <c r="D950" s="520"/>
      <c r="E950" s="520"/>
      <c r="F950" s="520"/>
      <c r="G950" s="520"/>
      <c r="H950" s="418"/>
      <c r="I950" s="423"/>
      <c r="J950" s="523"/>
      <c r="K950" s="424"/>
      <c r="L950" s="424"/>
      <c r="M950" s="418"/>
      <c r="N950" s="518"/>
      <c r="O950" s="423"/>
      <c r="P950" s="427"/>
      <c r="Q950" s="423"/>
      <c r="R950" s="523"/>
      <c r="S950" s="424"/>
      <c r="T950" s="424"/>
      <c r="U950" s="418"/>
      <c r="V950" s="428"/>
      <c r="W950" s="418"/>
      <c r="X950" s="418"/>
      <c r="Y950" s="524"/>
      <c r="Z950" s="418"/>
      <c r="AA950" s="418"/>
      <c r="AB950" s="429"/>
    </row>
    <row r="951" spans="1:28">
      <c r="A951" s="418"/>
      <c r="B951" s="418"/>
      <c r="C951" s="418"/>
      <c r="D951" s="520"/>
      <c r="E951" s="520"/>
      <c r="F951" s="520"/>
      <c r="G951" s="520"/>
      <c r="H951" s="418"/>
      <c r="I951" s="423"/>
      <c r="J951" s="523"/>
      <c r="K951" s="424"/>
      <c r="L951" s="424"/>
      <c r="M951" s="418"/>
      <c r="N951" s="518"/>
      <c r="O951" s="423"/>
      <c r="P951" s="427"/>
      <c r="Q951" s="423"/>
      <c r="R951" s="523"/>
      <c r="S951" s="424"/>
      <c r="T951" s="424"/>
      <c r="U951" s="418"/>
      <c r="V951" s="428"/>
      <c r="W951" s="418"/>
      <c r="X951" s="418"/>
      <c r="Y951" s="524"/>
      <c r="Z951" s="418"/>
      <c r="AA951" s="418"/>
      <c r="AB951" s="429"/>
    </row>
    <row r="952" spans="1:28">
      <c r="A952" s="418"/>
      <c r="B952" s="418"/>
      <c r="C952" s="418"/>
      <c r="D952" s="520"/>
      <c r="E952" s="520"/>
      <c r="F952" s="520"/>
      <c r="G952" s="520"/>
      <c r="H952" s="418"/>
      <c r="I952" s="423"/>
      <c r="J952" s="523"/>
      <c r="K952" s="424"/>
      <c r="L952" s="424"/>
      <c r="M952" s="418"/>
      <c r="N952" s="518"/>
      <c r="O952" s="423"/>
      <c r="P952" s="427"/>
      <c r="Q952" s="423"/>
      <c r="R952" s="523"/>
      <c r="S952" s="424"/>
      <c r="T952" s="424"/>
      <c r="U952" s="418"/>
      <c r="V952" s="428"/>
      <c r="W952" s="418"/>
      <c r="X952" s="418"/>
      <c r="Y952" s="524"/>
      <c r="Z952" s="418"/>
      <c r="AA952" s="418"/>
      <c r="AB952" s="429"/>
    </row>
    <row r="953" spans="1:28">
      <c r="A953" s="418"/>
      <c r="B953" s="418"/>
      <c r="C953" s="418"/>
      <c r="D953" s="520"/>
      <c r="E953" s="520"/>
      <c r="F953" s="520"/>
      <c r="G953" s="520"/>
      <c r="H953" s="418"/>
      <c r="I953" s="423"/>
      <c r="J953" s="523"/>
      <c r="K953" s="424"/>
      <c r="L953" s="424"/>
      <c r="M953" s="418"/>
      <c r="N953" s="518"/>
      <c r="O953" s="423"/>
      <c r="P953" s="427"/>
      <c r="Q953" s="423"/>
      <c r="R953" s="523"/>
      <c r="S953" s="424"/>
      <c r="T953" s="424"/>
      <c r="U953" s="418"/>
      <c r="V953" s="428"/>
      <c r="W953" s="418"/>
      <c r="X953" s="418"/>
      <c r="Y953" s="524"/>
      <c r="Z953" s="418"/>
      <c r="AA953" s="418"/>
      <c r="AB953" s="429"/>
    </row>
    <row r="954" spans="1:28">
      <c r="A954" s="418"/>
      <c r="B954" s="418"/>
      <c r="C954" s="418"/>
      <c r="D954" s="520"/>
      <c r="E954" s="520"/>
      <c r="F954" s="520"/>
      <c r="G954" s="520"/>
      <c r="H954" s="418"/>
      <c r="I954" s="423"/>
      <c r="J954" s="523"/>
      <c r="K954" s="424"/>
      <c r="L954" s="424"/>
      <c r="M954" s="418"/>
      <c r="N954" s="518"/>
      <c r="O954" s="423"/>
      <c r="P954" s="427"/>
      <c r="Q954" s="423"/>
      <c r="R954" s="523"/>
      <c r="S954" s="424"/>
      <c r="T954" s="424"/>
      <c r="U954" s="418"/>
      <c r="V954" s="428"/>
      <c r="W954" s="418"/>
      <c r="X954" s="418"/>
      <c r="Y954" s="524"/>
      <c r="Z954" s="418"/>
      <c r="AA954" s="418"/>
      <c r="AB954" s="429"/>
    </row>
    <row r="955" spans="1:28">
      <c r="A955" s="418"/>
      <c r="B955" s="418"/>
      <c r="C955" s="418"/>
      <c r="D955" s="520"/>
      <c r="E955" s="520"/>
      <c r="F955" s="520"/>
      <c r="G955" s="520"/>
      <c r="H955" s="418"/>
      <c r="I955" s="423"/>
      <c r="J955" s="523"/>
      <c r="K955" s="424"/>
      <c r="L955" s="424"/>
      <c r="M955" s="418"/>
      <c r="N955" s="518"/>
      <c r="O955" s="423"/>
      <c r="P955" s="427"/>
      <c r="Q955" s="423"/>
      <c r="R955" s="523"/>
      <c r="S955" s="424"/>
      <c r="T955" s="424"/>
      <c r="U955" s="418"/>
      <c r="V955" s="428"/>
      <c r="W955" s="418"/>
      <c r="X955" s="418"/>
      <c r="Y955" s="524"/>
      <c r="Z955" s="418"/>
      <c r="AA955" s="418"/>
      <c r="AB955" s="429"/>
    </row>
    <row r="956" spans="1:28">
      <c r="A956" s="418"/>
      <c r="B956" s="418"/>
      <c r="C956" s="418"/>
      <c r="D956" s="520"/>
      <c r="E956" s="520"/>
      <c r="F956" s="520"/>
      <c r="G956" s="520"/>
      <c r="H956" s="418"/>
      <c r="I956" s="423"/>
      <c r="J956" s="523"/>
      <c r="K956" s="424"/>
      <c r="L956" s="424"/>
      <c r="M956" s="418"/>
      <c r="N956" s="518"/>
      <c r="O956" s="423"/>
      <c r="P956" s="427"/>
      <c r="Q956" s="423"/>
      <c r="R956" s="523"/>
      <c r="S956" s="424"/>
      <c r="T956" s="424"/>
      <c r="U956" s="418"/>
      <c r="V956" s="428"/>
      <c r="W956" s="418"/>
      <c r="X956" s="418"/>
      <c r="Y956" s="524"/>
      <c r="Z956" s="418"/>
      <c r="AA956" s="418"/>
      <c r="AB956" s="429"/>
    </row>
    <row r="957" spans="1:28">
      <c r="A957" s="418"/>
      <c r="B957" s="418"/>
      <c r="C957" s="418"/>
      <c r="D957" s="520"/>
      <c r="E957" s="520"/>
      <c r="F957" s="520"/>
      <c r="G957" s="520"/>
      <c r="H957" s="418"/>
      <c r="I957" s="423"/>
      <c r="J957" s="523"/>
      <c r="K957" s="424"/>
      <c r="L957" s="424"/>
      <c r="M957" s="418"/>
      <c r="N957" s="518"/>
      <c r="O957" s="423"/>
      <c r="P957" s="427"/>
      <c r="Q957" s="423"/>
      <c r="R957" s="523"/>
      <c r="S957" s="424"/>
      <c r="T957" s="424"/>
      <c r="U957" s="418"/>
      <c r="V957" s="428"/>
      <c r="W957" s="418"/>
      <c r="X957" s="418"/>
      <c r="Y957" s="524"/>
      <c r="Z957" s="418"/>
      <c r="AA957" s="418"/>
      <c r="AB957" s="429"/>
    </row>
    <row r="958" spans="1:28">
      <c r="A958" s="418"/>
      <c r="B958" s="418"/>
      <c r="C958" s="418"/>
      <c r="D958" s="520"/>
      <c r="E958" s="520"/>
      <c r="F958" s="520"/>
      <c r="G958" s="520"/>
      <c r="H958" s="418"/>
      <c r="I958" s="423"/>
      <c r="J958" s="523"/>
      <c r="K958" s="424"/>
      <c r="L958" s="424"/>
      <c r="M958" s="418"/>
      <c r="N958" s="518"/>
      <c r="O958" s="423"/>
      <c r="P958" s="427"/>
      <c r="Q958" s="423"/>
      <c r="R958" s="523"/>
      <c r="S958" s="424"/>
      <c r="T958" s="424"/>
      <c r="U958" s="418"/>
      <c r="V958" s="428"/>
      <c r="W958" s="418"/>
      <c r="X958" s="418"/>
      <c r="Y958" s="524"/>
      <c r="Z958" s="418"/>
      <c r="AA958" s="418"/>
      <c r="AB958" s="429"/>
    </row>
    <row r="959" spans="1:28">
      <c r="A959" s="418"/>
      <c r="B959" s="418"/>
      <c r="C959" s="418"/>
      <c r="D959" s="520"/>
      <c r="E959" s="520"/>
      <c r="F959" s="520"/>
      <c r="G959" s="520"/>
      <c r="H959" s="418"/>
      <c r="I959" s="423"/>
      <c r="J959" s="523"/>
      <c r="K959" s="424"/>
      <c r="L959" s="424"/>
      <c r="M959" s="418"/>
      <c r="N959" s="518"/>
      <c r="O959" s="423"/>
      <c r="P959" s="427"/>
      <c r="Q959" s="423"/>
      <c r="R959" s="523"/>
      <c r="S959" s="424"/>
      <c r="T959" s="424"/>
      <c r="U959" s="418"/>
      <c r="V959" s="428"/>
      <c r="W959" s="418"/>
      <c r="X959" s="418"/>
      <c r="Y959" s="524"/>
      <c r="Z959" s="418"/>
      <c r="AA959" s="418"/>
      <c r="AB959" s="429"/>
    </row>
    <row r="960" spans="1:28">
      <c r="A960" s="418"/>
      <c r="B960" s="418"/>
      <c r="C960" s="418"/>
      <c r="D960" s="520"/>
      <c r="E960" s="520"/>
      <c r="F960" s="520"/>
      <c r="G960" s="520"/>
      <c r="H960" s="418"/>
      <c r="I960" s="423"/>
      <c r="J960" s="523"/>
      <c r="K960" s="424"/>
      <c r="L960" s="424"/>
      <c r="M960" s="418"/>
      <c r="N960" s="518"/>
      <c r="O960" s="423"/>
      <c r="P960" s="427"/>
      <c r="Q960" s="423"/>
      <c r="R960" s="523"/>
      <c r="S960" s="424"/>
      <c r="T960" s="424"/>
      <c r="U960" s="418"/>
      <c r="V960" s="428"/>
      <c r="W960" s="418"/>
      <c r="X960" s="418"/>
      <c r="Y960" s="524"/>
      <c r="Z960" s="418"/>
      <c r="AA960" s="418"/>
      <c r="AB960" s="429"/>
    </row>
    <row r="961" spans="1:28">
      <c r="A961" s="418"/>
      <c r="B961" s="418"/>
      <c r="C961" s="418"/>
      <c r="D961" s="520"/>
      <c r="E961" s="520"/>
      <c r="F961" s="520"/>
      <c r="G961" s="520"/>
      <c r="H961" s="418"/>
      <c r="I961" s="423"/>
      <c r="J961" s="523"/>
      <c r="K961" s="424"/>
      <c r="L961" s="424"/>
      <c r="M961" s="418"/>
      <c r="N961" s="518"/>
      <c r="O961" s="423"/>
      <c r="P961" s="427"/>
      <c r="Q961" s="423"/>
      <c r="R961" s="523"/>
      <c r="S961" s="424"/>
      <c r="T961" s="424"/>
      <c r="U961" s="418"/>
      <c r="V961" s="428"/>
      <c r="W961" s="418"/>
      <c r="X961" s="418"/>
      <c r="Y961" s="524"/>
      <c r="Z961" s="418"/>
      <c r="AA961" s="418"/>
      <c r="AB961" s="429"/>
    </row>
    <row r="962" spans="1:28">
      <c r="A962" s="418"/>
      <c r="B962" s="418"/>
      <c r="C962" s="418"/>
      <c r="D962" s="520"/>
      <c r="E962" s="520"/>
      <c r="F962" s="520"/>
      <c r="G962" s="520"/>
      <c r="H962" s="418"/>
      <c r="I962" s="423"/>
      <c r="J962" s="523"/>
      <c r="K962" s="424"/>
      <c r="L962" s="424"/>
      <c r="M962" s="418"/>
      <c r="N962" s="518"/>
      <c r="O962" s="423"/>
      <c r="P962" s="427"/>
      <c r="Q962" s="423"/>
      <c r="R962" s="523"/>
      <c r="S962" s="424"/>
      <c r="T962" s="424"/>
      <c r="U962" s="418"/>
      <c r="V962" s="428"/>
      <c r="W962" s="418"/>
      <c r="X962" s="418"/>
      <c r="Y962" s="524"/>
      <c r="Z962" s="418"/>
      <c r="AA962" s="418"/>
      <c r="AB962" s="429"/>
    </row>
    <row r="963" spans="1:28">
      <c r="A963" s="418"/>
      <c r="B963" s="418"/>
      <c r="C963" s="418"/>
      <c r="D963" s="520"/>
      <c r="E963" s="520"/>
      <c r="F963" s="520"/>
      <c r="G963" s="520"/>
      <c r="H963" s="418"/>
      <c r="I963" s="423"/>
      <c r="J963" s="523"/>
      <c r="K963" s="424"/>
      <c r="L963" s="424"/>
      <c r="M963" s="418"/>
      <c r="N963" s="518"/>
      <c r="O963" s="423"/>
      <c r="P963" s="427"/>
      <c r="Q963" s="423"/>
      <c r="R963" s="523"/>
      <c r="S963" s="424"/>
      <c r="T963" s="424"/>
      <c r="U963" s="418"/>
      <c r="V963" s="428"/>
      <c r="W963" s="418"/>
      <c r="X963" s="418"/>
      <c r="Y963" s="524"/>
      <c r="Z963" s="418"/>
      <c r="AA963" s="418"/>
      <c r="AB963" s="429"/>
    </row>
    <row r="964" spans="1:28">
      <c r="A964" s="418"/>
      <c r="B964" s="418"/>
      <c r="C964" s="418"/>
      <c r="D964" s="520"/>
      <c r="E964" s="520"/>
      <c r="F964" s="520"/>
      <c r="G964" s="520"/>
      <c r="H964" s="418"/>
      <c r="I964" s="423"/>
      <c r="J964" s="523"/>
      <c r="K964" s="424"/>
      <c r="L964" s="424"/>
      <c r="M964" s="418"/>
      <c r="N964" s="518"/>
      <c r="O964" s="423"/>
      <c r="P964" s="427"/>
      <c r="Q964" s="423"/>
      <c r="R964" s="523"/>
      <c r="S964" s="424"/>
      <c r="T964" s="424"/>
      <c r="U964" s="418"/>
      <c r="V964" s="428"/>
      <c r="W964" s="418"/>
      <c r="X964" s="418"/>
      <c r="Y964" s="524"/>
      <c r="Z964" s="418"/>
      <c r="AA964" s="418"/>
      <c r="AB964" s="429"/>
    </row>
    <row r="965" spans="1:28">
      <c r="A965" s="418"/>
      <c r="B965" s="418"/>
      <c r="C965" s="418"/>
      <c r="D965" s="520"/>
      <c r="E965" s="520"/>
      <c r="F965" s="520"/>
      <c r="G965" s="520"/>
      <c r="H965" s="418"/>
      <c r="I965" s="423"/>
      <c r="J965" s="523"/>
      <c r="K965" s="424"/>
      <c r="L965" s="424"/>
      <c r="M965" s="418"/>
      <c r="N965" s="518"/>
      <c r="O965" s="423"/>
      <c r="P965" s="427"/>
      <c r="Q965" s="423"/>
      <c r="R965" s="523"/>
      <c r="S965" s="424"/>
      <c r="T965" s="424"/>
      <c r="U965" s="418"/>
      <c r="V965" s="428"/>
      <c r="W965" s="418"/>
      <c r="X965" s="418"/>
      <c r="Y965" s="524"/>
      <c r="Z965" s="418"/>
      <c r="AA965" s="418"/>
      <c r="AB965" s="429"/>
    </row>
    <row r="966" spans="1:28">
      <c r="A966" s="418"/>
      <c r="B966" s="418"/>
      <c r="C966" s="418"/>
      <c r="D966" s="520"/>
      <c r="E966" s="520"/>
      <c r="F966" s="520"/>
      <c r="G966" s="520"/>
      <c r="H966" s="418"/>
      <c r="I966" s="423"/>
      <c r="J966" s="523"/>
      <c r="K966" s="424"/>
      <c r="L966" s="424"/>
      <c r="M966" s="418"/>
      <c r="N966" s="518"/>
      <c r="O966" s="423"/>
      <c r="P966" s="427"/>
      <c r="Q966" s="423"/>
      <c r="R966" s="523"/>
      <c r="S966" s="424"/>
      <c r="T966" s="424"/>
      <c r="U966" s="418"/>
      <c r="V966" s="428"/>
      <c r="W966" s="418"/>
      <c r="X966" s="418"/>
      <c r="Y966" s="524"/>
      <c r="Z966" s="418"/>
      <c r="AA966" s="418"/>
      <c r="AB966" s="429"/>
    </row>
    <row r="967" spans="1:28">
      <c r="A967" s="418"/>
      <c r="B967" s="418"/>
      <c r="C967" s="418"/>
      <c r="D967" s="520"/>
      <c r="E967" s="520"/>
      <c r="F967" s="520"/>
      <c r="G967" s="520"/>
      <c r="H967" s="418"/>
      <c r="I967" s="423"/>
      <c r="J967" s="523"/>
      <c r="K967" s="424"/>
      <c r="L967" s="424"/>
      <c r="M967" s="418"/>
      <c r="N967" s="518"/>
      <c r="O967" s="423"/>
      <c r="P967" s="427"/>
      <c r="Q967" s="423"/>
      <c r="R967" s="523"/>
      <c r="S967" s="424"/>
      <c r="T967" s="424"/>
      <c r="U967" s="418"/>
      <c r="V967" s="428"/>
      <c r="W967" s="418"/>
      <c r="X967" s="418"/>
      <c r="Y967" s="524"/>
      <c r="Z967" s="418"/>
      <c r="AA967" s="418"/>
      <c r="AB967" s="429"/>
    </row>
    <row r="968" spans="1:28">
      <c r="A968" s="418"/>
      <c r="B968" s="418"/>
      <c r="C968" s="418"/>
      <c r="D968" s="520"/>
      <c r="E968" s="520"/>
      <c r="F968" s="520"/>
      <c r="G968" s="520"/>
      <c r="H968" s="418"/>
      <c r="I968" s="423"/>
      <c r="J968" s="523"/>
      <c r="K968" s="424"/>
      <c r="L968" s="424"/>
      <c r="M968" s="418"/>
      <c r="N968" s="518"/>
      <c r="O968" s="423"/>
      <c r="P968" s="427"/>
      <c r="Q968" s="423"/>
      <c r="R968" s="523"/>
      <c r="S968" s="424"/>
      <c r="T968" s="424"/>
      <c r="U968" s="418"/>
      <c r="V968" s="428"/>
      <c r="W968" s="418"/>
      <c r="X968" s="418"/>
      <c r="Y968" s="524"/>
      <c r="Z968" s="418"/>
      <c r="AA968" s="418"/>
      <c r="AB968" s="429"/>
    </row>
    <row r="969" spans="1:28">
      <c r="A969" s="418"/>
      <c r="B969" s="418"/>
      <c r="C969" s="418"/>
      <c r="D969" s="520"/>
      <c r="E969" s="520"/>
      <c r="F969" s="520"/>
      <c r="G969" s="520"/>
      <c r="H969" s="418"/>
      <c r="I969" s="423"/>
      <c r="J969" s="523"/>
      <c r="K969" s="424"/>
      <c r="L969" s="424"/>
      <c r="M969" s="418"/>
      <c r="N969" s="518"/>
      <c r="O969" s="423"/>
      <c r="P969" s="427"/>
      <c r="Q969" s="423"/>
      <c r="R969" s="523"/>
      <c r="S969" s="424"/>
      <c r="T969" s="424"/>
      <c r="U969" s="418"/>
      <c r="V969" s="428"/>
      <c r="W969" s="418"/>
      <c r="X969" s="418"/>
      <c r="Y969" s="524"/>
      <c r="Z969" s="418"/>
      <c r="AA969" s="418"/>
      <c r="AB969" s="429"/>
    </row>
    <row r="970" spans="1:28">
      <c r="A970" s="418"/>
      <c r="B970" s="418"/>
      <c r="C970" s="418"/>
      <c r="D970" s="520"/>
      <c r="E970" s="520"/>
      <c r="F970" s="520"/>
      <c r="G970" s="520"/>
      <c r="H970" s="418"/>
      <c r="I970" s="423"/>
      <c r="J970" s="523"/>
      <c r="K970" s="424"/>
      <c r="L970" s="424"/>
      <c r="M970" s="418"/>
      <c r="N970" s="518"/>
      <c r="O970" s="423"/>
      <c r="P970" s="427"/>
      <c r="Q970" s="423"/>
      <c r="R970" s="523"/>
      <c r="S970" s="424"/>
      <c r="T970" s="424"/>
      <c r="U970" s="418"/>
      <c r="V970" s="428"/>
      <c r="W970" s="418"/>
      <c r="X970" s="418"/>
      <c r="Y970" s="524"/>
      <c r="Z970" s="418"/>
      <c r="AA970" s="418"/>
      <c r="AB970" s="429"/>
    </row>
    <row r="971" spans="1:28">
      <c r="A971" s="418"/>
      <c r="B971" s="418"/>
      <c r="C971" s="418"/>
      <c r="D971" s="520"/>
      <c r="E971" s="520"/>
      <c r="F971" s="520"/>
      <c r="G971" s="520"/>
      <c r="H971" s="418"/>
      <c r="I971" s="423"/>
      <c r="J971" s="523"/>
      <c r="K971" s="424"/>
      <c r="L971" s="424"/>
      <c r="M971" s="418"/>
      <c r="N971" s="518"/>
      <c r="O971" s="423"/>
      <c r="P971" s="427"/>
      <c r="Q971" s="423"/>
      <c r="R971" s="523"/>
      <c r="S971" s="424"/>
      <c r="T971" s="424"/>
      <c r="U971" s="418"/>
      <c r="V971" s="428"/>
      <c r="W971" s="418"/>
      <c r="X971" s="418"/>
      <c r="Y971" s="524"/>
      <c r="Z971" s="418"/>
      <c r="AA971" s="418"/>
      <c r="AB971" s="429"/>
    </row>
    <row r="972" spans="1:28">
      <c r="A972" s="418"/>
      <c r="B972" s="418"/>
      <c r="C972" s="418"/>
      <c r="D972" s="520"/>
      <c r="E972" s="520"/>
      <c r="F972" s="520"/>
      <c r="G972" s="520"/>
      <c r="H972" s="418"/>
      <c r="I972" s="423"/>
      <c r="J972" s="523"/>
      <c r="K972" s="424"/>
      <c r="L972" s="424"/>
      <c r="M972" s="418"/>
      <c r="N972" s="518"/>
      <c r="O972" s="423"/>
      <c r="P972" s="427"/>
      <c r="Q972" s="423"/>
      <c r="R972" s="523"/>
      <c r="S972" s="424"/>
      <c r="T972" s="424"/>
      <c r="U972" s="418"/>
      <c r="V972" s="428"/>
      <c r="W972" s="418"/>
      <c r="X972" s="418"/>
      <c r="Y972" s="524"/>
      <c r="Z972" s="418"/>
      <c r="AA972" s="418"/>
      <c r="AB972" s="429"/>
    </row>
    <row r="973" spans="1:28">
      <c r="A973" s="418"/>
      <c r="B973" s="418"/>
      <c r="C973" s="418"/>
      <c r="D973" s="520"/>
      <c r="E973" s="520"/>
      <c r="F973" s="520"/>
      <c r="G973" s="520"/>
      <c r="H973" s="418"/>
      <c r="I973" s="423"/>
      <c r="J973" s="523"/>
      <c r="K973" s="424"/>
      <c r="L973" s="424"/>
      <c r="M973" s="418"/>
      <c r="N973" s="518"/>
      <c r="O973" s="423"/>
      <c r="P973" s="427"/>
      <c r="Q973" s="423"/>
      <c r="R973" s="523"/>
      <c r="S973" s="424"/>
      <c r="T973" s="424"/>
      <c r="U973" s="418"/>
      <c r="V973" s="428"/>
      <c r="W973" s="418"/>
      <c r="X973" s="418"/>
      <c r="Y973" s="524"/>
      <c r="Z973" s="418"/>
      <c r="AA973" s="418"/>
      <c r="AB973" s="429"/>
    </row>
    <row r="974" spans="1:28">
      <c r="A974" s="418"/>
      <c r="B974" s="418"/>
      <c r="C974" s="418"/>
      <c r="D974" s="520"/>
      <c r="E974" s="520"/>
      <c r="F974" s="520"/>
      <c r="G974" s="520"/>
      <c r="H974" s="418"/>
      <c r="I974" s="423"/>
      <c r="J974" s="523"/>
      <c r="K974" s="424"/>
      <c r="L974" s="424"/>
      <c r="M974" s="418"/>
      <c r="N974" s="518"/>
      <c r="O974" s="423"/>
      <c r="P974" s="427"/>
      <c r="Q974" s="423"/>
      <c r="R974" s="523"/>
      <c r="S974" s="424"/>
      <c r="T974" s="424"/>
      <c r="U974" s="418"/>
      <c r="V974" s="428"/>
      <c r="W974" s="418"/>
      <c r="X974" s="418"/>
      <c r="Y974" s="524"/>
      <c r="Z974" s="418"/>
      <c r="AA974" s="418"/>
      <c r="AB974" s="429"/>
    </row>
    <row r="975" spans="1:28">
      <c r="A975" s="418"/>
      <c r="B975" s="418"/>
      <c r="C975" s="418"/>
      <c r="D975" s="520"/>
      <c r="E975" s="520"/>
      <c r="F975" s="520"/>
      <c r="G975" s="520"/>
      <c r="H975" s="418"/>
      <c r="I975" s="423"/>
      <c r="J975" s="523"/>
      <c r="K975" s="424"/>
      <c r="L975" s="424"/>
      <c r="M975" s="418"/>
      <c r="N975" s="518"/>
      <c r="O975" s="423"/>
      <c r="P975" s="427"/>
      <c r="Q975" s="423"/>
      <c r="R975" s="523"/>
      <c r="S975" s="424"/>
      <c r="T975" s="424"/>
      <c r="U975" s="418"/>
      <c r="V975" s="428"/>
      <c r="W975" s="418"/>
      <c r="X975" s="418"/>
      <c r="Y975" s="524"/>
      <c r="Z975" s="418"/>
      <c r="AA975" s="418"/>
      <c r="AB975" s="429"/>
    </row>
    <row r="976" spans="1:28">
      <c r="A976" s="418"/>
      <c r="B976" s="418"/>
      <c r="C976" s="418"/>
      <c r="D976" s="520"/>
      <c r="E976" s="520"/>
      <c r="F976" s="520"/>
      <c r="G976" s="520"/>
      <c r="H976" s="418"/>
      <c r="I976" s="423"/>
      <c r="J976" s="523"/>
      <c r="K976" s="424"/>
      <c r="L976" s="424"/>
      <c r="M976" s="418"/>
      <c r="N976" s="518"/>
      <c r="O976" s="423"/>
      <c r="P976" s="427"/>
      <c r="Q976" s="423"/>
      <c r="R976" s="523"/>
      <c r="S976" s="424"/>
      <c r="T976" s="424"/>
      <c r="U976" s="418"/>
      <c r="V976" s="428"/>
      <c r="W976" s="418"/>
      <c r="X976" s="418"/>
      <c r="Y976" s="524"/>
      <c r="Z976" s="418"/>
      <c r="AA976" s="418"/>
      <c r="AB976" s="429"/>
    </row>
    <row r="977" spans="1:28">
      <c r="A977" s="418"/>
      <c r="B977" s="418"/>
      <c r="C977" s="418"/>
      <c r="D977" s="520"/>
      <c r="E977" s="520"/>
      <c r="F977" s="520"/>
      <c r="G977" s="520"/>
      <c r="H977" s="418"/>
      <c r="I977" s="423"/>
      <c r="J977" s="523"/>
      <c r="K977" s="424"/>
      <c r="L977" s="424"/>
      <c r="M977" s="418"/>
      <c r="N977" s="518"/>
      <c r="O977" s="423"/>
      <c r="P977" s="427"/>
      <c r="Q977" s="423"/>
      <c r="R977" s="523"/>
      <c r="S977" s="424"/>
      <c r="T977" s="424"/>
      <c r="U977" s="418"/>
      <c r="V977" s="428"/>
      <c r="W977" s="418"/>
      <c r="X977" s="418"/>
      <c r="Y977" s="524"/>
      <c r="Z977" s="418"/>
      <c r="AA977" s="418"/>
      <c r="AB977" s="429"/>
    </row>
    <row r="978" spans="1:28">
      <c r="A978" s="418"/>
      <c r="B978" s="418"/>
      <c r="C978" s="418"/>
      <c r="D978" s="520"/>
      <c r="E978" s="520"/>
      <c r="F978" s="520"/>
      <c r="G978" s="520"/>
      <c r="H978" s="418"/>
      <c r="I978" s="423"/>
      <c r="J978" s="523"/>
      <c r="K978" s="424"/>
      <c r="L978" s="424"/>
      <c r="M978" s="418"/>
      <c r="N978" s="518"/>
      <c r="O978" s="423"/>
      <c r="P978" s="427"/>
      <c r="Q978" s="423"/>
      <c r="R978" s="523"/>
      <c r="S978" s="424"/>
      <c r="T978" s="424"/>
      <c r="U978" s="418"/>
      <c r="V978" s="428"/>
      <c r="W978" s="418"/>
      <c r="X978" s="418"/>
      <c r="Y978" s="524"/>
      <c r="Z978" s="418"/>
      <c r="AA978" s="418"/>
      <c r="AB978" s="429"/>
    </row>
    <row r="979" spans="1:28">
      <c r="A979" s="418"/>
      <c r="B979" s="418"/>
      <c r="C979" s="418"/>
      <c r="D979" s="520"/>
      <c r="E979" s="520"/>
      <c r="F979" s="520"/>
      <c r="G979" s="520"/>
      <c r="H979" s="418"/>
      <c r="I979" s="423"/>
      <c r="J979" s="523"/>
      <c r="K979" s="424"/>
      <c r="L979" s="424"/>
      <c r="M979" s="418"/>
      <c r="N979" s="518"/>
      <c r="O979" s="423"/>
      <c r="P979" s="427"/>
      <c r="Q979" s="423"/>
      <c r="R979" s="523"/>
      <c r="S979" s="424"/>
      <c r="T979" s="424"/>
      <c r="U979" s="418"/>
      <c r="V979" s="428"/>
      <c r="W979" s="418"/>
      <c r="X979" s="418"/>
      <c r="Y979" s="524"/>
      <c r="Z979" s="418"/>
      <c r="AA979" s="418"/>
      <c r="AB979" s="429"/>
    </row>
    <row r="980" spans="1:28">
      <c r="A980" s="418"/>
      <c r="B980" s="418"/>
      <c r="C980" s="418"/>
      <c r="D980" s="520"/>
      <c r="E980" s="520"/>
      <c r="F980" s="520"/>
      <c r="G980" s="520"/>
      <c r="H980" s="418"/>
      <c r="I980" s="423"/>
      <c r="J980" s="523"/>
      <c r="K980" s="424"/>
      <c r="L980" s="424"/>
      <c r="M980" s="418"/>
      <c r="N980" s="518"/>
      <c r="O980" s="423"/>
      <c r="P980" s="427"/>
      <c r="Q980" s="423"/>
      <c r="R980" s="523"/>
      <c r="S980" s="424"/>
      <c r="T980" s="424"/>
      <c r="U980" s="418"/>
      <c r="V980" s="428"/>
      <c r="W980" s="418"/>
      <c r="X980" s="418"/>
      <c r="Y980" s="524"/>
      <c r="Z980" s="418"/>
      <c r="AA980" s="418"/>
      <c r="AB980" s="429"/>
    </row>
    <row r="981" spans="1:28">
      <c r="A981" s="418"/>
      <c r="B981" s="418"/>
      <c r="C981" s="418"/>
      <c r="D981" s="520"/>
      <c r="E981" s="520"/>
      <c r="F981" s="520"/>
      <c r="G981" s="520"/>
      <c r="H981" s="418"/>
      <c r="I981" s="423"/>
      <c r="J981" s="523"/>
      <c r="K981" s="424"/>
      <c r="L981" s="424"/>
      <c r="M981" s="418"/>
      <c r="N981" s="518"/>
      <c r="O981" s="423"/>
      <c r="P981" s="427"/>
      <c r="Q981" s="423"/>
      <c r="R981" s="523"/>
      <c r="S981" s="424"/>
      <c r="T981" s="424"/>
      <c r="U981" s="418"/>
      <c r="V981" s="428"/>
      <c r="W981" s="418"/>
      <c r="X981" s="418"/>
      <c r="Y981" s="524"/>
      <c r="Z981" s="418"/>
      <c r="AA981" s="418"/>
      <c r="AB981" s="429"/>
    </row>
    <row r="982" spans="1:28">
      <c r="A982" s="418"/>
      <c r="B982" s="418"/>
      <c r="C982" s="418"/>
      <c r="D982" s="520"/>
      <c r="E982" s="520"/>
      <c r="F982" s="520"/>
      <c r="G982" s="520"/>
      <c r="H982" s="418"/>
      <c r="I982" s="423"/>
      <c r="J982" s="523"/>
      <c r="K982" s="424"/>
      <c r="L982" s="424"/>
      <c r="M982" s="418"/>
      <c r="N982" s="518"/>
      <c r="O982" s="423"/>
      <c r="P982" s="427"/>
      <c r="Q982" s="423"/>
      <c r="R982" s="523"/>
      <c r="S982" s="424"/>
      <c r="T982" s="424"/>
      <c r="U982" s="418"/>
      <c r="V982" s="428"/>
      <c r="W982" s="418"/>
      <c r="X982" s="418"/>
      <c r="Y982" s="524"/>
      <c r="Z982" s="418"/>
      <c r="AA982" s="418"/>
      <c r="AB982" s="429"/>
    </row>
    <row r="983" spans="1:28">
      <c r="A983" s="418"/>
      <c r="B983" s="418"/>
      <c r="C983" s="418"/>
      <c r="D983" s="520"/>
      <c r="E983" s="520"/>
      <c r="F983" s="520"/>
      <c r="G983" s="520"/>
      <c r="H983" s="418"/>
      <c r="I983" s="423"/>
      <c r="J983" s="523"/>
      <c r="K983" s="424"/>
      <c r="L983" s="424"/>
      <c r="M983" s="418"/>
      <c r="N983" s="518"/>
      <c r="O983" s="423"/>
      <c r="P983" s="427"/>
      <c r="Q983" s="423"/>
      <c r="R983" s="523"/>
      <c r="S983" s="424"/>
      <c r="T983" s="424"/>
      <c r="U983" s="418"/>
      <c r="V983" s="428"/>
      <c r="W983" s="418"/>
      <c r="X983" s="418"/>
      <c r="Y983" s="524"/>
      <c r="Z983" s="418"/>
      <c r="AA983" s="418"/>
      <c r="AB983" s="429"/>
    </row>
    <row r="984" spans="1:28">
      <c r="A984" s="418"/>
      <c r="B984" s="418"/>
      <c r="C984" s="418"/>
      <c r="D984" s="520"/>
      <c r="E984" s="520"/>
      <c r="F984" s="520"/>
      <c r="G984" s="520"/>
      <c r="H984" s="418"/>
      <c r="I984" s="423"/>
      <c r="J984" s="523"/>
      <c r="K984" s="424"/>
      <c r="L984" s="424"/>
      <c r="M984" s="418"/>
      <c r="N984" s="518"/>
      <c r="O984" s="423"/>
      <c r="P984" s="427"/>
      <c r="Q984" s="423"/>
      <c r="R984" s="523"/>
      <c r="S984" s="424"/>
      <c r="T984" s="424"/>
      <c r="U984" s="418"/>
      <c r="V984" s="428"/>
      <c r="W984" s="418"/>
      <c r="X984" s="418"/>
      <c r="Y984" s="524"/>
      <c r="Z984" s="418"/>
      <c r="AA984" s="418"/>
      <c r="AB984" s="429"/>
    </row>
    <row r="985" spans="1:28">
      <c r="A985" s="418"/>
      <c r="B985" s="418"/>
      <c r="C985" s="418"/>
      <c r="D985" s="520"/>
      <c r="E985" s="520"/>
      <c r="F985" s="520"/>
      <c r="G985" s="520"/>
      <c r="H985" s="418"/>
      <c r="I985" s="423"/>
      <c r="J985" s="523"/>
      <c r="K985" s="424"/>
      <c r="L985" s="424"/>
      <c r="M985" s="418"/>
      <c r="N985" s="518"/>
      <c r="O985" s="423"/>
      <c r="P985" s="427"/>
      <c r="Q985" s="423"/>
      <c r="R985" s="523"/>
      <c r="S985" s="424"/>
      <c r="T985" s="424"/>
      <c r="U985" s="418"/>
      <c r="V985" s="428"/>
      <c r="W985" s="418"/>
      <c r="X985" s="418"/>
      <c r="Y985" s="524"/>
      <c r="Z985" s="418"/>
      <c r="AA985" s="418"/>
      <c r="AB985" s="429"/>
    </row>
    <row r="986" spans="1:28">
      <c r="A986" s="418"/>
      <c r="B986" s="418"/>
      <c r="C986" s="418"/>
      <c r="D986" s="520"/>
      <c r="E986" s="520"/>
      <c r="F986" s="520"/>
      <c r="G986" s="520"/>
      <c r="H986" s="418"/>
      <c r="I986" s="423"/>
      <c r="J986" s="523"/>
      <c r="K986" s="424"/>
      <c r="L986" s="424"/>
      <c r="M986" s="418"/>
      <c r="N986" s="518"/>
      <c r="O986" s="423"/>
      <c r="P986" s="427"/>
      <c r="Q986" s="423"/>
      <c r="R986" s="523"/>
      <c r="S986" s="424"/>
      <c r="T986" s="424"/>
      <c r="U986" s="418"/>
      <c r="V986" s="428"/>
      <c r="W986" s="418"/>
      <c r="X986" s="418"/>
      <c r="Y986" s="524"/>
      <c r="Z986" s="418"/>
      <c r="AA986" s="418"/>
      <c r="AB986" s="429"/>
    </row>
    <row r="987" spans="1:28">
      <c r="A987" s="418"/>
      <c r="B987" s="418"/>
      <c r="C987" s="418"/>
      <c r="D987" s="520"/>
      <c r="E987" s="520"/>
      <c r="F987" s="520"/>
      <c r="G987" s="520"/>
      <c r="H987" s="418"/>
      <c r="I987" s="423"/>
      <c r="J987" s="523"/>
      <c r="K987" s="424"/>
      <c r="L987" s="424"/>
      <c r="M987" s="418"/>
      <c r="N987" s="518"/>
      <c r="O987" s="423"/>
      <c r="P987" s="427"/>
      <c r="Q987" s="423"/>
      <c r="R987" s="523"/>
      <c r="S987" s="424"/>
      <c r="T987" s="424"/>
      <c r="U987" s="418"/>
      <c r="V987" s="428"/>
      <c r="W987" s="418"/>
      <c r="X987" s="418"/>
      <c r="Y987" s="524"/>
      <c r="Z987" s="418"/>
      <c r="AA987" s="418"/>
      <c r="AB987" s="429"/>
    </row>
    <row r="988" spans="1:28">
      <c r="A988" s="418"/>
      <c r="B988" s="418"/>
      <c r="C988" s="418"/>
      <c r="D988" s="520"/>
      <c r="E988" s="520"/>
      <c r="F988" s="520"/>
      <c r="G988" s="520"/>
      <c r="H988" s="418"/>
      <c r="I988" s="423"/>
      <c r="J988" s="523"/>
      <c r="K988" s="424"/>
      <c r="L988" s="424"/>
      <c r="M988" s="418"/>
      <c r="N988" s="518"/>
      <c r="O988" s="423"/>
      <c r="P988" s="427"/>
      <c r="Q988" s="423"/>
      <c r="R988" s="523"/>
      <c r="S988" s="424"/>
      <c r="T988" s="424"/>
      <c r="U988" s="418"/>
      <c r="V988" s="428"/>
      <c r="W988" s="418"/>
      <c r="X988" s="418"/>
      <c r="Y988" s="524"/>
      <c r="Z988" s="418"/>
      <c r="AA988" s="418"/>
      <c r="AB988" s="429"/>
    </row>
    <row r="989" spans="1:28">
      <c r="A989" s="418"/>
      <c r="B989" s="418"/>
      <c r="C989" s="418"/>
      <c r="D989" s="520"/>
      <c r="E989" s="520"/>
      <c r="F989" s="520"/>
      <c r="G989" s="520"/>
      <c r="H989" s="418"/>
      <c r="I989" s="423"/>
      <c r="J989" s="523"/>
      <c r="K989" s="424"/>
      <c r="L989" s="424"/>
      <c r="M989" s="418"/>
      <c r="N989" s="518"/>
      <c r="O989" s="423"/>
      <c r="P989" s="427"/>
      <c r="Q989" s="423"/>
      <c r="R989" s="523"/>
      <c r="S989" s="424"/>
      <c r="T989" s="424"/>
      <c r="U989" s="418"/>
      <c r="V989" s="428"/>
      <c r="W989" s="418"/>
      <c r="X989" s="418"/>
      <c r="Y989" s="524"/>
      <c r="Z989" s="418"/>
      <c r="AA989" s="418"/>
      <c r="AB989" s="429"/>
    </row>
    <row r="990" spans="1:28">
      <c r="A990" s="418"/>
      <c r="B990" s="418"/>
      <c r="C990" s="418"/>
      <c r="D990" s="520"/>
      <c r="E990" s="520"/>
      <c r="F990" s="520"/>
      <c r="G990" s="520"/>
      <c r="H990" s="418"/>
      <c r="I990" s="423"/>
      <c r="J990" s="523"/>
      <c r="K990" s="424"/>
      <c r="L990" s="424"/>
      <c r="M990" s="418"/>
      <c r="N990" s="518"/>
      <c r="O990" s="423"/>
      <c r="P990" s="427"/>
      <c r="Q990" s="423"/>
      <c r="R990" s="523"/>
      <c r="S990" s="424"/>
      <c r="T990" s="424"/>
      <c r="U990" s="418"/>
      <c r="V990" s="428"/>
      <c r="W990" s="418"/>
      <c r="X990" s="418"/>
      <c r="Y990" s="524"/>
      <c r="Z990" s="418"/>
      <c r="AA990" s="418"/>
      <c r="AB990" s="429"/>
    </row>
    <row r="991" spans="1:28">
      <c r="A991" s="418"/>
      <c r="B991" s="418"/>
      <c r="C991" s="418"/>
      <c r="D991" s="520"/>
      <c r="E991" s="520"/>
      <c r="F991" s="520"/>
      <c r="G991" s="520"/>
      <c r="H991" s="418"/>
      <c r="I991" s="423"/>
      <c r="J991" s="523"/>
      <c r="K991" s="424"/>
      <c r="L991" s="424"/>
      <c r="M991" s="418"/>
      <c r="N991" s="518"/>
      <c r="O991" s="423"/>
      <c r="P991" s="427"/>
      <c r="Q991" s="423"/>
      <c r="R991" s="523"/>
      <c r="S991" s="424"/>
      <c r="T991" s="424"/>
      <c r="U991" s="418"/>
      <c r="V991" s="428"/>
      <c r="W991" s="418"/>
      <c r="X991" s="418"/>
      <c r="Y991" s="524"/>
      <c r="Z991" s="418"/>
      <c r="AA991" s="418"/>
      <c r="AB991" s="429"/>
    </row>
    <row r="992" spans="1:28">
      <c r="A992" s="418"/>
      <c r="B992" s="418"/>
      <c r="C992" s="418"/>
      <c r="D992" s="520"/>
      <c r="E992" s="520"/>
      <c r="F992" s="520"/>
      <c r="G992" s="520"/>
      <c r="H992" s="418"/>
      <c r="I992" s="423"/>
      <c r="J992" s="523"/>
      <c r="K992" s="424"/>
      <c r="L992" s="424"/>
      <c r="M992" s="418"/>
      <c r="N992" s="518"/>
      <c r="O992" s="423"/>
      <c r="P992" s="427"/>
      <c r="Q992" s="423"/>
      <c r="R992" s="523"/>
      <c r="S992" s="424"/>
      <c r="T992" s="424"/>
      <c r="U992" s="418"/>
      <c r="V992" s="428"/>
      <c r="W992" s="418"/>
      <c r="X992" s="418"/>
      <c r="Y992" s="524"/>
      <c r="Z992" s="418"/>
      <c r="AA992" s="418"/>
      <c r="AB992" s="429"/>
    </row>
    <row r="993" spans="1:28">
      <c r="A993" s="418"/>
      <c r="B993" s="418"/>
      <c r="C993" s="418"/>
      <c r="D993" s="520"/>
      <c r="E993" s="520"/>
      <c r="F993" s="520"/>
      <c r="G993" s="520"/>
      <c r="H993" s="418"/>
      <c r="I993" s="423"/>
      <c r="J993" s="523"/>
      <c r="K993" s="424"/>
      <c r="L993" s="424"/>
      <c r="M993" s="418"/>
      <c r="N993" s="518"/>
      <c r="O993" s="423"/>
      <c r="P993" s="427"/>
      <c r="Q993" s="423"/>
      <c r="R993" s="523"/>
      <c r="S993" s="424"/>
      <c r="T993" s="424"/>
      <c r="U993" s="418"/>
      <c r="V993" s="428"/>
      <c r="W993" s="418"/>
      <c r="X993" s="418"/>
      <c r="Y993" s="524"/>
      <c r="Z993" s="418"/>
      <c r="AA993" s="418"/>
      <c r="AB993" s="429"/>
    </row>
    <row r="994" spans="1:28">
      <c r="A994" s="418"/>
      <c r="B994" s="418"/>
      <c r="C994" s="418"/>
      <c r="D994" s="520"/>
      <c r="E994" s="520"/>
      <c r="F994" s="520"/>
      <c r="G994" s="520"/>
      <c r="H994" s="418"/>
      <c r="I994" s="423"/>
      <c r="J994" s="523"/>
      <c r="K994" s="424"/>
      <c r="L994" s="424"/>
      <c r="M994" s="418"/>
      <c r="N994" s="518"/>
      <c r="O994" s="423"/>
      <c r="P994" s="427"/>
      <c r="Q994" s="423"/>
      <c r="R994" s="523"/>
      <c r="S994" s="424"/>
      <c r="T994" s="424"/>
      <c r="U994" s="418"/>
      <c r="V994" s="428"/>
      <c r="W994" s="418"/>
      <c r="X994" s="418"/>
      <c r="Y994" s="524"/>
      <c r="Z994" s="418"/>
      <c r="AA994" s="418"/>
      <c r="AB994" s="429"/>
    </row>
    <row r="995" spans="1:28">
      <c r="A995" s="418"/>
      <c r="B995" s="418"/>
      <c r="C995" s="418"/>
      <c r="D995" s="520"/>
      <c r="E995" s="520"/>
      <c r="F995" s="520"/>
      <c r="G995" s="520"/>
      <c r="H995" s="418"/>
      <c r="I995" s="423"/>
      <c r="J995" s="523"/>
      <c r="K995" s="424"/>
      <c r="L995" s="424"/>
      <c r="M995" s="418"/>
      <c r="N995" s="518"/>
      <c r="O995" s="423"/>
      <c r="P995" s="427"/>
      <c r="Q995" s="423"/>
      <c r="R995" s="523"/>
      <c r="S995" s="424"/>
      <c r="T995" s="424"/>
      <c r="U995" s="418"/>
      <c r="V995" s="428"/>
      <c r="W995" s="418"/>
      <c r="X995" s="418"/>
      <c r="Y995" s="524"/>
      <c r="Z995" s="418"/>
      <c r="AA995" s="418"/>
      <c r="AB995" s="429"/>
    </row>
    <row r="996" spans="1:28">
      <c r="A996" s="418"/>
      <c r="B996" s="418"/>
      <c r="C996" s="418"/>
      <c r="D996" s="520"/>
      <c r="E996" s="520"/>
      <c r="F996" s="520"/>
      <c r="G996" s="520"/>
      <c r="H996" s="418"/>
      <c r="I996" s="423"/>
      <c r="J996" s="523"/>
      <c r="K996" s="424"/>
      <c r="L996" s="424"/>
      <c r="M996" s="418"/>
      <c r="N996" s="518"/>
      <c r="O996" s="423"/>
      <c r="P996" s="427"/>
      <c r="Q996" s="423"/>
      <c r="R996" s="523"/>
      <c r="S996" s="424"/>
      <c r="T996" s="424"/>
      <c r="U996" s="418"/>
      <c r="V996" s="428"/>
      <c r="W996" s="418"/>
      <c r="X996" s="418"/>
      <c r="Y996" s="524"/>
      <c r="Z996" s="418"/>
      <c r="AA996" s="418"/>
      <c r="AB996" s="429"/>
    </row>
    <row r="997" spans="1:28">
      <c r="A997" s="418"/>
      <c r="B997" s="418"/>
      <c r="C997" s="418"/>
      <c r="D997" s="520"/>
      <c r="E997" s="520"/>
      <c r="F997" s="520"/>
      <c r="G997" s="520"/>
      <c r="H997" s="418"/>
      <c r="I997" s="423"/>
      <c r="J997" s="523"/>
      <c r="K997" s="424"/>
      <c r="L997" s="424"/>
      <c r="M997" s="418"/>
      <c r="N997" s="518"/>
      <c r="O997" s="423"/>
      <c r="P997" s="427"/>
      <c r="Q997" s="423"/>
      <c r="R997" s="523"/>
      <c r="S997" s="424"/>
      <c r="T997" s="424"/>
      <c r="U997" s="418"/>
      <c r="V997" s="428"/>
      <c r="W997" s="418"/>
      <c r="X997" s="418"/>
      <c r="Y997" s="524"/>
      <c r="Z997" s="418"/>
      <c r="AA997" s="418"/>
      <c r="AB997" s="429"/>
    </row>
    <row r="998" spans="1:28">
      <c r="A998" s="418"/>
      <c r="B998" s="418"/>
      <c r="C998" s="418"/>
      <c r="D998" s="520"/>
      <c r="E998" s="520"/>
      <c r="F998" s="520"/>
      <c r="G998" s="520"/>
      <c r="H998" s="418"/>
      <c r="I998" s="423"/>
      <c r="J998" s="523"/>
      <c r="K998" s="424"/>
      <c r="L998" s="424"/>
      <c r="M998" s="418"/>
      <c r="N998" s="518"/>
      <c r="O998" s="423"/>
      <c r="P998" s="427"/>
      <c r="Q998" s="423"/>
      <c r="R998" s="523"/>
      <c r="S998" s="424"/>
      <c r="T998" s="424"/>
      <c r="U998" s="418"/>
      <c r="V998" s="428"/>
      <c r="W998" s="418"/>
      <c r="X998" s="418"/>
      <c r="Y998" s="524"/>
      <c r="Z998" s="418"/>
      <c r="AA998" s="418"/>
      <c r="AB998" s="429"/>
    </row>
    <row r="999" spans="1:28">
      <c r="A999" s="418"/>
      <c r="B999" s="418"/>
      <c r="C999" s="418"/>
      <c r="D999" s="520"/>
      <c r="E999" s="520"/>
      <c r="F999" s="520"/>
      <c r="G999" s="520"/>
      <c r="H999" s="418"/>
      <c r="I999" s="423"/>
      <c r="J999" s="523"/>
      <c r="K999" s="424"/>
      <c r="L999" s="424"/>
      <c r="M999" s="418"/>
      <c r="N999" s="518"/>
      <c r="O999" s="423"/>
      <c r="P999" s="427"/>
      <c r="Q999" s="423"/>
      <c r="R999" s="523"/>
      <c r="S999" s="424"/>
      <c r="T999" s="424"/>
      <c r="U999" s="418"/>
      <c r="V999" s="428"/>
      <c r="W999" s="418"/>
      <c r="X999" s="418"/>
      <c r="Y999" s="524"/>
      <c r="Z999" s="418"/>
      <c r="AA999" s="418"/>
      <c r="AB999" s="429"/>
    </row>
    <row r="1000" spans="1:28">
      <c r="A1000" s="418"/>
      <c r="B1000" s="418"/>
      <c r="C1000" s="418"/>
      <c r="D1000" s="520"/>
      <c r="E1000" s="520"/>
      <c r="F1000" s="520"/>
      <c r="G1000" s="520"/>
      <c r="H1000" s="418"/>
      <c r="I1000" s="423"/>
      <c r="J1000" s="523"/>
      <c r="K1000" s="424"/>
      <c r="L1000" s="424"/>
      <c r="M1000" s="418"/>
      <c r="N1000" s="518"/>
      <c r="O1000" s="423"/>
      <c r="P1000" s="427"/>
      <c r="Q1000" s="423"/>
      <c r="R1000" s="523"/>
      <c r="S1000" s="424"/>
      <c r="T1000" s="424"/>
      <c r="U1000" s="418"/>
      <c r="V1000" s="428"/>
      <c r="W1000" s="418"/>
      <c r="X1000" s="418"/>
      <c r="Y1000" s="524"/>
      <c r="Z1000" s="418"/>
      <c r="AA1000" s="418"/>
      <c r="AB1000" s="429"/>
    </row>
    <row r="1001" spans="1:28">
      <c r="A1001" s="418"/>
      <c r="B1001" s="418"/>
      <c r="C1001" s="418"/>
      <c r="D1001" s="520"/>
      <c r="E1001" s="520"/>
      <c r="F1001" s="520"/>
      <c r="G1001" s="520"/>
      <c r="H1001" s="418"/>
      <c r="I1001" s="423"/>
      <c r="J1001" s="523"/>
      <c r="K1001" s="424"/>
      <c r="L1001" s="424"/>
      <c r="M1001" s="418"/>
      <c r="N1001" s="518"/>
      <c r="O1001" s="423"/>
      <c r="P1001" s="427"/>
      <c r="Q1001" s="423"/>
      <c r="R1001" s="523"/>
      <c r="S1001" s="424"/>
      <c r="T1001" s="424"/>
      <c r="U1001" s="418"/>
      <c r="V1001" s="428"/>
      <c r="W1001" s="418"/>
      <c r="X1001" s="418"/>
      <c r="Y1001" s="524"/>
      <c r="Z1001" s="418"/>
      <c r="AA1001" s="418"/>
      <c r="AB1001" s="429"/>
    </row>
    <row r="1002" spans="1:28">
      <c r="A1002" s="418"/>
      <c r="B1002" s="418"/>
      <c r="C1002" s="418"/>
      <c r="D1002" s="520"/>
      <c r="E1002" s="520"/>
      <c r="F1002" s="520"/>
      <c r="G1002" s="520"/>
      <c r="H1002" s="418"/>
      <c r="I1002" s="423"/>
      <c r="J1002" s="523"/>
      <c r="K1002" s="424"/>
      <c r="L1002" s="424"/>
      <c r="M1002" s="418"/>
      <c r="N1002" s="518"/>
      <c r="O1002" s="423"/>
      <c r="P1002" s="427"/>
      <c r="Q1002" s="423"/>
      <c r="R1002" s="523"/>
      <c r="S1002" s="424"/>
      <c r="T1002" s="424"/>
      <c r="U1002" s="418"/>
      <c r="V1002" s="428"/>
      <c r="W1002" s="418"/>
      <c r="X1002" s="418"/>
      <c r="Y1002" s="524"/>
      <c r="Z1002" s="418"/>
      <c r="AA1002" s="418"/>
      <c r="AB1002" s="429"/>
    </row>
    <row r="1003" spans="1:28">
      <c r="A1003" s="418"/>
      <c r="B1003" s="418"/>
      <c r="C1003" s="418"/>
      <c r="D1003" s="520"/>
      <c r="E1003" s="520"/>
      <c r="F1003" s="520"/>
      <c r="G1003" s="520"/>
      <c r="H1003" s="418"/>
      <c r="I1003" s="423"/>
      <c r="J1003" s="523"/>
      <c r="K1003" s="424"/>
      <c r="L1003" s="424"/>
      <c r="M1003" s="418"/>
      <c r="N1003" s="518"/>
      <c r="O1003" s="423"/>
      <c r="P1003" s="427"/>
      <c r="Q1003" s="423"/>
      <c r="R1003" s="523"/>
      <c r="S1003" s="424"/>
      <c r="T1003" s="424"/>
      <c r="U1003" s="418"/>
      <c r="V1003" s="428"/>
      <c r="W1003" s="418"/>
      <c r="X1003" s="418"/>
      <c r="Y1003" s="524"/>
      <c r="Z1003" s="418"/>
      <c r="AA1003" s="418"/>
      <c r="AB1003" s="429"/>
    </row>
  </sheetData>
  <sortState xmlns:xlrd2="http://schemas.microsoft.com/office/spreadsheetml/2017/richdata2" ref="AC2:AD77">
    <sortCondition ref="AD2:AD77"/>
  </sortState>
  <hyperlinks>
    <hyperlink ref="B86" r:id="rId1" xr:uid="{09BA6D3B-3FA4-412E-9438-2934A93273C8}"/>
    <hyperlink ref="U13" r:id="rId2" xr:uid="{F4786072-9EC2-4E44-9FA7-8DBC4968874C}"/>
    <hyperlink ref="U14" r:id="rId3" xr:uid="{7427735E-E240-4B20-8505-DE86B175D14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BN7571"/>
  <sheetViews>
    <sheetView zoomScale="122" zoomScaleNormal="122" workbookViewId="0">
      <pane ySplit="1" topLeftCell="A2" activePane="bottomLeft" state="frozen"/>
      <selection pane="bottomLeft"/>
    </sheetView>
  </sheetViews>
  <sheetFormatPr defaultRowHeight="13.8"/>
  <cols>
    <col min="1" max="1" width="52.875" customWidth="1"/>
    <col min="2" max="2" width="4.75" style="55" customWidth="1"/>
    <col min="3" max="3" width="5.75" customWidth="1"/>
    <col min="4" max="4" width="6.25" style="55" customWidth="1"/>
    <col min="5" max="5" width="8.375" style="55" customWidth="1"/>
    <col min="6" max="6" width="4.75" customWidth="1"/>
    <col min="7" max="7" width="7.375" style="62" customWidth="1"/>
    <col min="8" max="8" width="0.75" style="25" customWidth="1"/>
    <col min="9" max="13" width="0.75" customWidth="1"/>
    <col min="14" max="14" width="0.75" style="23" customWidth="1"/>
    <col min="15" max="15" width="4.5" customWidth="1"/>
    <col min="16" max="16" width="5" style="57" customWidth="1"/>
    <col min="17" max="17" width="8.125" style="57" customWidth="1"/>
    <col min="18" max="20" width="6.125" style="23" customWidth="1"/>
    <col min="21" max="21" width="5" customWidth="1"/>
    <col min="22" max="22" width="3.5" style="3" customWidth="1"/>
    <col min="23" max="23" width="4.5" style="1" customWidth="1"/>
    <col min="24" max="24" width="6.875" style="70" customWidth="1"/>
    <col min="25" max="25" width="6.75" style="1" customWidth="1"/>
    <col min="26" max="26" width="6.875" style="43" customWidth="1"/>
    <col min="27" max="28" width="6.5" style="53" customWidth="1"/>
    <col min="29" max="30" width="7.875" customWidth="1"/>
    <col min="31" max="31" width="5.25" customWidth="1"/>
    <col min="32" max="32" width="11.625" style="23" customWidth="1"/>
    <col min="33" max="33" width="3.25" customWidth="1"/>
    <col min="34" max="34" width="7.625" style="272" customWidth="1"/>
    <col min="35" max="35" width="6.375" style="273" customWidth="1"/>
    <col min="36" max="36" width="6.375" style="274" customWidth="1"/>
    <col min="37" max="37" width="7.25" style="339" customWidth="1"/>
    <col min="38" max="38" width="39.875" style="340" customWidth="1"/>
    <col min="39" max="39" width="6.75" style="353" customWidth="1"/>
    <col min="40" max="40" width="6.75" style="357" customWidth="1"/>
    <col min="41" max="41" width="6.75" style="355" customWidth="1"/>
    <col min="42" max="42" width="7.25" style="355" customWidth="1"/>
    <col min="43" max="45" width="7" style="393" customWidth="1"/>
    <col min="46" max="46" width="2.875" style="3" customWidth="1"/>
    <col min="47" max="47" width="16.75" customWidth="1"/>
    <col min="48" max="48" width="10.875" style="20" customWidth="1"/>
    <col min="49" max="49" width="8.375" style="29" customWidth="1"/>
    <col min="50" max="51" width="10.375" customWidth="1"/>
    <col min="52" max="52" width="7.625" customWidth="1"/>
    <col min="53" max="53" width="9.125" customWidth="1"/>
    <col min="55" max="55" width="9.75" customWidth="1"/>
    <col min="56" max="59" width="1.625" customWidth="1"/>
  </cols>
  <sheetData>
    <row r="1" spans="1:66" s="4" customFormat="1" ht="72.599999999999994" customHeight="1">
      <c r="A1" s="4" t="s">
        <v>8772</v>
      </c>
      <c r="B1" s="58" t="s">
        <v>1290</v>
      </c>
      <c r="C1" s="21" t="s">
        <v>0</v>
      </c>
      <c r="D1" s="58" t="s">
        <v>1289</v>
      </c>
      <c r="E1" s="64" t="s">
        <v>4935</v>
      </c>
      <c r="F1" s="21" t="s">
        <v>1</v>
      </c>
      <c r="G1" s="63" t="s">
        <v>6538</v>
      </c>
      <c r="H1" s="24" t="s">
        <v>3</v>
      </c>
      <c r="I1" s="4" t="s">
        <v>4</v>
      </c>
      <c r="J1" s="4" t="s">
        <v>5</v>
      </c>
      <c r="K1" s="4" t="s">
        <v>6</v>
      </c>
      <c r="L1" s="4" t="s">
        <v>7</v>
      </c>
      <c r="M1" s="4" t="s">
        <v>8</v>
      </c>
      <c r="N1" s="21" t="s">
        <v>9</v>
      </c>
      <c r="O1" s="4" t="s">
        <v>1286</v>
      </c>
      <c r="P1" s="56" t="s">
        <v>1285</v>
      </c>
      <c r="Q1" s="268" t="s">
        <v>6499</v>
      </c>
      <c r="R1" s="21" t="s">
        <v>1287</v>
      </c>
      <c r="S1" s="21" t="s">
        <v>1288</v>
      </c>
      <c r="T1" s="21" t="s">
        <v>4933</v>
      </c>
      <c r="U1" s="6" t="s">
        <v>4934</v>
      </c>
      <c r="V1" s="5"/>
      <c r="W1" s="39">
        <v>0</v>
      </c>
      <c r="X1" s="69" t="s">
        <v>4937</v>
      </c>
      <c r="Y1" s="41" t="s">
        <v>6974</v>
      </c>
      <c r="Z1" s="42" t="s">
        <v>6537</v>
      </c>
      <c r="AA1" s="51" t="s">
        <v>6535</v>
      </c>
      <c r="AB1" s="51" t="s">
        <v>6501</v>
      </c>
      <c r="AC1" s="4" t="s">
        <v>8083</v>
      </c>
      <c r="AD1" s="4" t="s">
        <v>8084</v>
      </c>
      <c r="AE1" s="21" t="s">
        <v>5962</v>
      </c>
      <c r="AF1" s="45" t="s">
        <v>4936</v>
      </c>
      <c r="AG1" s="6" t="s">
        <v>1285</v>
      </c>
      <c r="AH1" s="269" t="s">
        <v>6499</v>
      </c>
      <c r="AI1" s="270" t="s">
        <v>1287</v>
      </c>
      <c r="AJ1" s="271" t="s">
        <v>1288</v>
      </c>
      <c r="AK1" s="337" t="s">
        <v>4933</v>
      </c>
      <c r="AL1" s="338" t="s">
        <v>4934</v>
      </c>
      <c r="AM1" s="352" t="s">
        <v>6533</v>
      </c>
      <c r="AN1" s="297" t="s">
        <v>6536</v>
      </c>
      <c r="AO1" s="41" t="s">
        <v>6498</v>
      </c>
      <c r="AP1" s="41" t="s">
        <v>8085</v>
      </c>
      <c r="AQ1" s="391" t="s">
        <v>8417</v>
      </c>
      <c r="AR1" s="391" t="s">
        <v>8424</v>
      </c>
      <c r="AS1" s="391" t="s">
        <v>8421</v>
      </c>
      <c r="AT1" s="27"/>
      <c r="AU1" s="45" t="s">
        <v>4932</v>
      </c>
      <c r="AV1" s="46" t="s">
        <v>5314</v>
      </c>
      <c r="AW1" s="47" t="s">
        <v>5313</v>
      </c>
      <c r="AX1" s="47" t="s">
        <v>5315</v>
      </c>
      <c r="AY1" s="47" t="s">
        <v>8082</v>
      </c>
      <c r="AZ1" s="48" t="s">
        <v>4777</v>
      </c>
      <c r="BA1" s="47" t="s">
        <v>6500</v>
      </c>
      <c r="BB1" s="45" t="s">
        <v>4779</v>
      </c>
      <c r="BC1" s="45" t="s">
        <v>5312</v>
      </c>
      <c r="BD1" s="45" t="s">
        <v>6502</v>
      </c>
      <c r="BE1" s="45" t="s">
        <v>4938</v>
      </c>
      <c r="BF1" s="45" t="s">
        <v>4939</v>
      </c>
      <c r="BG1" s="45" t="s">
        <v>5311</v>
      </c>
      <c r="BH1" s="296" t="s">
        <v>6529</v>
      </c>
      <c r="BI1" s="296" t="s">
        <v>6530</v>
      </c>
      <c r="BJ1" s="296" t="s">
        <v>6975</v>
      </c>
      <c r="BK1" s="296" t="s">
        <v>6976</v>
      </c>
      <c r="BL1" s="296" t="s">
        <v>6967</v>
      </c>
      <c r="BM1" s="296" t="s">
        <v>6531</v>
      </c>
      <c r="BN1" s="296" t="s">
        <v>6532</v>
      </c>
    </row>
    <row r="2" spans="1:66">
      <c r="A2" s="12" t="s">
        <v>1662</v>
      </c>
      <c r="B2" s="54" t="str">
        <f t="shared" ref="B2:B65" si="0">LEFT(A2,14)</f>
        <v>AZ_Maric_2020g</v>
      </c>
      <c r="C2" s="12"/>
      <c r="D2" s="54" t="str">
        <f t="shared" ref="D2:D65" si="1">MID(A2,16,99)</f>
        <v>Gen-alhambra esd #68-question 1 (vote for1)</v>
      </c>
      <c r="E2" s="54" t="s">
        <v>2015</v>
      </c>
      <c r="F2" s="12" t="s">
        <v>1300</v>
      </c>
      <c r="G2" s="59">
        <v>11442</v>
      </c>
      <c r="H2"/>
      <c r="K2" s="2"/>
      <c r="O2">
        <f t="shared" ref="O2:O65" si="2">IF(OR(LOWER(LEFT(E2,8))="write-in",LOWER(LEFT(E2,8))="not qual"),IF(A2=A1,-ABS(O1),0),IF(A2=A1,ABS(O1)+1,1))</f>
        <v>1</v>
      </c>
      <c r="P2" s="57">
        <f t="shared" ref="P2:P65" si="3">1*LEFT(RIGHT(A2,2),1)</f>
        <v>1</v>
      </c>
      <c r="Q2" s="267">
        <f t="shared" ref="Q2:Q65" si="4">IF(A2&lt;&gt;A3,G2,IF(A2=A1,G2+Q3,MAX(G2,(G2+Q3)/P2)))</f>
        <v>16882</v>
      </c>
      <c r="R2" s="23">
        <f t="shared" ref="R2:R65" si="5">IF(O2&gt;P2,"",IF(O2=P2,G2,IF(A2=A3,R3,IF(O2&lt;=0,1,G2))))</f>
        <v>11442</v>
      </c>
      <c r="S2" s="23">
        <f t="shared" ref="S2:S65" si="6">IF(AND(O2&gt;P2,LOWER(LEFT(E2,8))&lt;&gt;"write-in",LOWER(LEFT(E2,8))&lt;&gt;"not qual"),G2,IF(A2=A3,S3,0))</f>
        <v>5440</v>
      </c>
      <c r="T2" s="23">
        <f t="shared" ref="T2:T65" si="7">IF(OR(A2=A1,S2=0),"",R2-ABS(S2))</f>
        <v>6002</v>
      </c>
      <c r="U2" t="str">
        <f t="shared" ref="U2:U65" si="8">IF(A2=A1,"",A2)</f>
        <v>AZ_Maric_2020g~Gen-alhambra esd #68-question 1 (vote for1)</v>
      </c>
      <c r="W2" s="1">
        <f t="shared" ref="W2:W65" si="9">IF(AF2=AF1,W1+1,1)</f>
        <v>1</v>
      </c>
      <c r="X2" s="73">
        <f>IF(AK2=0,AH2,MIN(AH2,6.2/(AK2/AH2)))</f>
        <v>501.5</v>
      </c>
      <c r="Y2" s="322">
        <f t="shared" ref="Y2:Y65" si="10">MAX(X2,0.069*AH2)</f>
        <v>501.5</v>
      </c>
      <c r="Z2" s="43">
        <f t="shared" ref="Z2:Z59" si="11">AA2*100</f>
        <v>99.00498313809446</v>
      </c>
      <c r="AA2" s="52">
        <f t="shared" ref="AA2:AA65" si="12">(1-AK2/AC2)^AB2</f>
        <v>0.9900498313809446</v>
      </c>
      <c r="AB2" s="8">
        <f t="shared" ref="AB2:AB65" si="13">INDEX(BA$2:BA$76,MATCH($AF2,$AU$2:$AU$76,0))+IF(AE2="",0,INDEX(BA$2:BA$76,AE2))</f>
        <v>20895.63</v>
      </c>
      <c r="AC2" s="8">
        <f t="shared" ref="AC2:AC65" si="14">INDEX(AX$2:AX$76,MATCH(AF2,AU$2:AU$76,0))+IF(AE2="",0,INDEX(AX$2:AX$76,AE2))</f>
        <v>2089563</v>
      </c>
      <c r="AD2" s="8">
        <f>AC2/RIGHT(AD$1,4)</f>
        <v>10447.815000000001</v>
      </c>
      <c r="AE2" s="8" t="str">
        <f t="shared" ref="AE2:AE65" si="15">IF(MID(AL2,16,2)&lt;&gt;"w/","",MATCH(CONCATENATE("CO_",MID(AL2,18,5),"_2020g"),AU$2:AU$76,0))</f>
        <v/>
      </c>
      <c r="AF2" s="22" t="str">
        <f t="shared" ref="AF2:AF65" si="16">LEFT(AL2,14)</f>
        <v>AZ_Maric_2020g</v>
      </c>
      <c r="AG2">
        <v>2</v>
      </c>
      <c r="AH2" s="272">
        <v>501.5</v>
      </c>
      <c r="AI2" s="273">
        <v>279</v>
      </c>
      <c r="AJ2" s="274">
        <v>278</v>
      </c>
      <c r="AK2" s="339">
        <v>1</v>
      </c>
      <c r="AL2" s="340" t="s">
        <v>1641</v>
      </c>
      <c r="AM2" s="353">
        <f t="shared" ref="AM2:AM65" si="17">AK2/AC2</f>
        <v>4.7856896394126422E-7</v>
      </c>
      <c r="AN2" s="354"/>
      <c r="AP2" s="23">
        <f>MIN(AD2, MAX(0,ROUNDUP(AD2*(AK2/AC2-0.005)/(RIGHT(AP$1,3)-0.005),0)))</f>
        <v>0</v>
      </c>
      <c r="AQ2" s="392">
        <f>IF($AP2=$AD2,1,IF($AP2=0,0, 1-HYPGEOMDIST(0, ROUNDUP(RIGHT(AQ$1,4)*$AD2,0),$AP2, $AD2)))</f>
        <v>0</v>
      </c>
      <c r="AR2" s="392">
        <f t="shared" ref="AR2:AS2" si="18">IF($AP2=$AD2,1,IF($AP2=0,0, 1-HYPGEOMDIST(0, ROUNDUP(RIGHT(AR$1,4)*$AD2,0),$AP2, $AD2)))</f>
        <v>0</v>
      </c>
      <c r="AS2" s="392">
        <f t="shared" si="18"/>
        <v>0</v>
      </c>
      <c r="AU2" s="9" t="s">
        <v>4774</v>
      </c>
      <c r="AV2" s="38">
        <v>2089563</v>
      </c>
      <c r="AW2" s="9">
        <v>1</v>
      </c>
      <c r="AX2" s="49">
        <f>AW2*AV2</f>
        <v>2089563</v>
      </c>
      <c r="AY2" s="38">
        <f>AX2/RIGHT(AY1,3)</f>
        <v>10447.815000000001</v>
      </c>
      <c r="AZ2" s="50">
        <v>0.01</v>
      </c>
      <c r="BA2" s="49">
        <f t="shared" ref="BA2:BA33" si="19">AZ2*AX2</f>
        <v>20895.63</v>
      </c>
      <c r="BB2" s="9" t="s">
        <v>4780</v>
      </c>
      <c r="BC2" s="9">
        <f t="shared" ref="BC2:BC33" si="20">INDEX(W$2:W$1183,MATCH(AU2,AF$2:AF$1151,1))</f>
        <v>201</v>
      </c>
      <c r="BD2" s="38">
        <f t="shared" ref="BD2:BD33" si="21">SUMIF(AF:AF,AU2,X:X)</f>
        <v>33726.440208615626</v>
      </c>
      <c r="BE2" s="9">
        <f t="shared" ref="BE2:BE33" si="22">INDEX(Y$2:Y$1183,MATCH(AU2,AF$2:AF$1151,0))</f>
        <v>501.5</v>
      </c>
      <c r="BF2" s="9">
        <f t="shared" ref="BF2:BF33" si="23">BC2-BE2</f>
        <v>-300.5</v>
      </c>
      <c r="BG2" s="75">
        <f t="shared" ref="BG2:BG33" si="24">BE2/BC2</f>
        <v>2.4950248756218905</v>
      </c>
    </row>
    <row r="3" spans="1:66">
      <c r="A3" s="12" t="s">
        <v>1662</v>
      </c>
      <c r="B3" s="54" t="str">
        <f t="shared" si="0"/>
        <v>AZ_Maric_2020g</v>
      </c>
      <c r="C3" s="12"/>
      <c r="D3" s="54" t="str">
        <f t="shared" si="1"/>
        <v>Gen-alhambra esd #68-question 1 (vote for1)</v>
      </c>
      <c r="E3" s="54" t="s">
        <v>2016</v>
      </c>
      <c r="F3" s="12" t="s">
        <v>1300</v>
      </c>
      <c r="G3" s="59">
        <v>5440</v>
      </c>
      <c r="H3"/>
      <c r="K3" s="2"/>
      <c r="O3">
        <f t="shared" si="2"/>
        <v>2</v>
      </c>
      <c r="P3" s="57">
        <f t="shared" si="3"/>
        <v>1</v>
      </c>
      <c r="Q3" s="267">
        <f t="shared" si="4"/>
        <v>5440</v>
      </c>
      <c r="R3" s="23" t="str">
        <f t="shared" si="5"/>
        <v/>
      </c>
      <c r="S3" s="23">
        <f t="shared" si="6"/>
        <v>5440</v>
      </c>
      <c r="T3" s="23" t="str">
        <f t="shared" si="7"/>
        <v/>
      </c>
      <c r="U3" t="str">
        <f t="shared" si="8"/>
        <v/>
      </c>
      <c r="W3" s="1">
        <f t="shared" si="9"/>
        <v>2</v>
      </c>
      <c r="X3" s="73">
        <f t="shared" ref="X3:X66" si="25">IF(AK3=0,AH3,MIN(AH3,6.2/(AK3/AH3)))</f>
        <v>116.25</v>
      </c>
      <c r="Y3" s="322">
        <f t="shared" si="10"/>
        <v>116.25</v>
      </c>
      <c r="Z3" s="43">
        <f t="shared" si="11"/>
        <v>92.31162050179779</v>
      </c>
      <c r="AA3" s="52">
        <f t="shared" si="12"/>
        <v>0.92311620501797798</v>
      </c>
      <c r="AB3" s="8">
        <f t="shared" si="13"/>
        <v>20895.63</v>
      </c>
      <c r="AC3" s="8">
        <f t="shared" si="14"/>
        <v>2089563</v>
      </c>
      <c r="AD3" s="8">
        <f t="shared" ref="AD3:AD66" si="26">AC3/RIGHT(AD$1,4)</f>
        <v>10447.815000000001</v>
      </c>
      <c r="AE3" s="8" t="str">
        <f t="shared" si="15"/>
        <v/>
      </c>
      <c r="AF3" s="22" t="str">
        <f t="shared" si="16"/>
        <v>AZ_Maric_2020g</v>
      </c>
      <c r="AG3" s="295">
        <v>1</v>
      </c>
      <c r="AH3" s="294">
        <v>150</v>
      </c>
      <c r="AI3" s="279">
        <v>79</v>
      </c>
      <c r="AJ3" s="279">
        <v>71</v>
      </c>
      <c r="AK3" s="339">
        <v>8</v>
      </c>
      <c r="AL3" s="341" t="s">
        <v>1674</v>
      </c>
      <c r="AM3" s="353">
        <f t="shared" si="17"/>
        <v>3.8285517115301138E-6</v>
      </c>
      <c r="AN3" s="354"/>
      <c r="AP3" s="23">
        <f t="shared" ref="AP3:AP66" si="27">MIN(AD3, MAX(0,ROUNDUP(AD3*(AK3/AC3-0.005)/(RIGHT(AP$1,3)-0.005),0)))</f>
        <v>0</v>
      </c>
      <c r="AQ3" s="392">
        <f t="shared" ref="AQ3:AS66" si="28">IF($AP3=$AD3,1,IF($AP3=0,0, 1-HYPGEOMDIST(0, ROUNDUP(RIGHT(AQ$1,4)*$AD3,0),$AP3, $AD3)))</f>
        <v>0</v>
      </c>
      <c r="AR3" s="392">
        <f t="shared" si="28"/>
        <v>0</v>
      </c>
      <c r="AS3" s="392">
        <f t="shared" si="28"/>
        <v>0</v>
      </c>
      <c r="AU3" s="9" t="s">
        <v>3536</v>
      </c>
      <c r="AV3" s="38">
        <v>1546570</v>
      </c>
      <c r="AW3" s="9">
        <v>1</v>
      </c>
      <c r="AX3" s="49">
        <f>AW3*AV3</f>
        <v>1546570</v>
      </c>
      <c r="AY3" s="38">
        <f t="shared" ref="AY3:AY66" si="29">AX3/RIGHT(AY2,3)</f>
        <v>1897.6319018404909</v>
      </c>
      <c r="AZ3" s="50">
        <v>0.01</v>
      </c>
      <c r="BA3" s="49">
        <f t="shared" si="19"/>
        <v>15465.7</v>
      </c>
      <c r="BB3" s="9" t="s">
        <v>4782</v>
      </c>
      <c r="BC3" s="9">
        <f t="shared" si="20"/>
        <v>166</v>
      </c>
      <c r="BD3" s="38">
        <f t="shared" si="21"/>
        <v>26889.632128033209</v>
      </c>
      <c r="BE3" s="9">
        <f t="shared" si="22"/>
        <v>3610</v>
      </c>
      <c r="BF3" s="9">
        <f t="shared" si="23"/>
        <v>-3444</v>
      </c>
      <c r="BG3" s="75">
        <f t="shared" si="24"/>
        <v>21.746987951807228</v>
      </c>
      <c r="BI3" s="321"/>
    </row>
    <row r="4" spans="1:66">
      <c r="A4" s="12" t="s">
        <v>1663</v>
      </c>
      <c r="B4" s="54" t="str">
        <f t="shared" si="0"/>
        <v>AZ_Maric_2020g</v>
      </c>
      <c r="C4" s="12"/>
      <c r="D4" s="54" t="str">
        <f t="shared" si="1"/>
        <v>Gen-alhambra esd #68-question 2 (vote for1)</v>
      </c>
      <c r="E4" s="54" t="s">
        <v>2061</v>
      </c>
      <c r="F4" s="12" t="s">
        <v>1300</v>
      </c>
      <c r="G4" s="59">
        <v>10688</v>
      </c>
      <c r="H4"/>
      <c r="K4" s="2"/>
      <c r="O4">
        <f t="shared" si="2"/>
        <v>1</v>
      </c>
      <c r="P4" s="57">
        <f t="shared" si="3"/>
        <v>1</v>
      </c>
      <c r="Q4" s="267">
        <f t="shared" si="4"/>
        <v>16623</v>
      </c>
      <c r="R4" s="23">
        <f t="shared" si="5"/>
        <v>10688</v>
      </c>
      <c r="S4" s="23">
        <f t="shared" si="6"/>
        <v>5935</v>
      </c>
      <c r="T4" s="23">
        <f t="shared" si="7"/>
        <v>4753</v>
      </c>
      <c r="U4" t="str">
        <f t="shared" si="8"/>
        <v>AZ_Maric_2020g~Gen-alhambra esd #68-question 2 (vote for1)</v>
      </c>
      <c r="W4" s="1">
        <f t="shared" si="9"/>
        <v>3</v>
      </c>
      <c r="X4" s="73">
        <f t="shared" si="25"/>
        <v>192.42962962962963</v>
      </c>
      <c r="Y4" s="322">
        <f t="shared" si="10"/>
        <v>192.42962962962963</v>
      </c>
      <c r="Z4" s="43">
        <f t="shared" si="11"/>
        <v>91.393100813259394</v>
      </c>
      <c r="AA4" s="52">
        <f t="shared" si="12"/>
        <v>0.91393100813259398</v>
      </c>
      <c r="AB4" s="8">
        <f t="shared" si="13"/>
        <v>20895.63</v>
      </c>
      <c r="AC4" s="8">
        <f t="shared" si="14"/>
        <v>2089563</v>
      </c>
      <c r="AD4" s="8">
        <f t="shared" si="26"/>
        <v>10447.815000000001</v>
      </c>
      <c r="AE4" s="8" t="str">
        <f t="shared" si="15"/>
        <v/>
      </c>
      <c r="AF4" s="22" t="str">
        <f t="shared" si="16"/>
        <v>AZ_Maric_2020g</v>
      </c>
      <c r="AG4">
        <v>3</v>
      </c>
      <c r="AH4" s="272">
        <v>279.33333333333331</v>
      </c>
      <c r="AI4" s="273">
        <v>186</v>
      </c>
      <c r="AJ4" s="274">
        <v>177</v>
      </c>
      <c r="AK4" s="339">
        <v>9</v>
      </c>
      <c r="AL4" s="340" t="s">
        <v>1653</v>
      </c>
      <c r="AM4" s="353">
        <f t="shared" si="17"/>
        <v>4.3071206754713784E-6</v>
      </c>
      <c r="AN4" s="354"/>
      <c r="AP4" s="23">
        <f t="shared" si="27"/>
        <v>0</v>
      </c>
      <c r="AQ4" s="392">
        <f t="shared" si="28"/>
        <v>0</v>
      </c>
      <c r="AR4" s="392">
        <f t="shared" si="28"/>
        <v>0</v>
      </c>
      <c r="AS4" s="392">
        <f t="shared" si="28"/>
        <v>0</v>
      </c>
      <c r="AU4" s="9" t="s">
        <v>3163</v>
      </c>
      <c r="AV4" s="38">
        <v>818021</v>
      </c>
      <c r="AW4" s="9">
        <v>1</v>
      </c>
      <c r="AX4" s="49">
        <f>AW4*AV4</f>
        <v>818021</v>
      </c>
      <c r="AY4" s="38">
        <f t="shared" si="29"/>
        <v>16694.306122448979</v>
      </c>
      <c r="AZ4" s="50">
        <v>0.01</v>
      </c>
      <c r="BA4" s="49">
        <f t="shared" si="19"/>
        <v>8180.21</v>
      </c>
      <c r="BB4" s="9" t="s">
        <v>4778</v>
      </c>
      <c r="BC4" s="9">
        <f t="shared" si="20"/>
        <v>48</v>
      </c>
      <c r="BD4" s="38">
        <f t="shared" si="21"/>
        <v>14950.596270203054</v>
      </c>
      <c r="BE4" s="9">
        <f t="shared" si="22"/>
        <v>7387.5431372549019</v>
      </c>
      <c r="BF4" s="9">
        <f t="shared" si="23"/>
        <v>-7339.5431372549019</v>
      </c>
      <c r="BG4" s="75">
        <f t="shared" si="24"/>
        <v>153.90714869281047</v>
      </c>
    </row>
    <row r="5" spans="1:66">
      <c r="A5" s="12" t="s">
        <v>1663</v>
      </c>
      <c r="B5" s="54" t="str">
        <f t="shared" si="0"/>
        <v>AZ_Maric_2020g</v>
      </c>
      <c r="C5" s="12"/>
      <c r="D5" s="54" t="str">
        <f t="shared" si="1"/>
        <v>Gen-alhambra esd #68-question 2 (vote for1)</v>
      </c>
      <c r="E5" s="54" t="s">
        <v>2062</v>
      </c>
      <c r="F5" s="12" t="s">
        <v>1300</v>
      </c>
      <c r="G5" s="59">
        <v>5935</v>
      </c>
      <c r="H5"/>
      <c r="K5" s="2"/>
      <c r="O5">
        <f t="shared" si="2"/>
        <v>2</v>
      </c>
      <c r="P5" s="57">
        <f t="shared" si="3"/>
        <v>1</v>
      </c>
      <c r="Q5" s="267">
        <f t="shared" si="4"/>
        <v>5935</v>
      </c>
      <c r="R5" s="23" t="str">
        <f t="shared" si="5"/>
        <v/>
      </c>
      <c r="S5" s="23">
        <f t="shared" si="6"/>
        <v>5935</v>
      </c>
      <c r="T5" s="23" t="str">
        <f t="shared" si="7"/>
        <v/>
      </c>
      <c r="U5" t="str">
        <f t="shared" si="8"/>
        <v/>
      </c>
      <c r="W5" s="1">
        <f t="shared" si="9"/>
        <v>4</v>
      </c>
      <c r="X5" s="73">
        <f t="shared" si="25"/>
        <v>2450.5500000000002</v>
      </c>
      <c r="Y5" s="322">
        <f t="shared" si="10"/>
        <v>2450.5500000000002</v>
      </c>
      <c r="Z5" s="43">
        <f t="shared" si="11"/>
        <v>72.614725779480494</v>
      </c>
      <c r="AA5" s="52">
        <f t="shared" si="12"/>
        <v>0.72614725779480493</v>
      </c>
      <c r="AB5" s="8">
        <f t="shared" si="13"/>
        <v>20895.63</v>
      </c>
      <c r="AC5" s="8">
        <f t="shared" si="14"/>
        <v>2089563</v>
      </c>
      <c r="AD5" s="8">
        <f t="shared" si="26"/>
        <v>10447.815000000001</v>
      </c>
      <c r="AE5" s="8" t="str">
        <f t="shared" si="15"/>
        <v/>
      </c>
      <c r="AF5" s="22" t="str">
        <f t="shared" si="16"/>
        <v>AZ_Maric_2020g</v>
      </c>
      <c r="AG5">
        <v>3</v>
      </c>
      <c r="AH5" s="272">
        <v>12648</v>
      </c>
      <c r="AI5" s="273">
        <v>70</v>
      </c>
      <c r="AJ5" s="274">
        <v>38</v>
      </c>
      <c r="AK5" s="339">
        <v>32</v>
      </c>
      <c r="AL5" s="340" t="s">
        <v>1659</v>
      </c>
      <c r="AM5" s="353">
        <f t="shared" si="17"/>
        <v>1.5314206846120455E-5</v>
      </c>
      <c r="AN5" s="354"/>
      <c r="AO5" s="356"/>
      <c r="AP5" s="23">
        <f t="shared" si="27"/>
        <v>0</v>
      </c>
      <c r="AQ5" s="392">
        <f t="shared" si="28"/>
        <v>0</v>
      </c>
      <c r="AR5" s="392">
        <f t="shared" si="28"/>
        <v>0</v>
      </c>
      <c r="AS5" s="392">
        <f t="shared" si="28"/>
        <v>0</v>
      </c>
      <c r="AU5" s="9" t="s">
        <v>4471</v>
      </c>
      <c r="AV5" s="38">
        <v>429922</v>
      </c>
      <c r="AW5" s="9">
        <v>3</v>
      </c>
      <c r="AX5" s="49">
        <f>AW5*AV5</f>
        <v>1289766</v>
      </c>
      <c r="AY5" s="38">
        <f t="shared" si="29"/>
        <v>2872.5300668151449</v>
      </c>
      <c r="AZ5" s="50">
        <v>0.01</v>
      </c>
      <c r="BA5" s="49">
        <f t="shared" si="19"/>
        <v>12897.66</v>
      </c>
      <c r="BB5" s="9" t="s">
        <v>4781</v>
      </c>
      <c r="BC5" s="9">
        <f t="shared" si="20"/>
        <v>87</v>
      </c>
      <c r="BD5" s="38">
        <f t="shared" si="21"/>
        <v>9483.8267958684482</v>
      </c>
      <c r="BE5" s="9">
        <f t="shared" si="22"/>
        <v>15</v>
      </c>
      <c r="BF5" s="9">
        <f t="shared" si="23"/>
        <v>72</v>
      </c>
      <c r="BG5" s="75">
        <f t="shared" si="24"/>
        <v>0.17241379310344829</v>
      </c>
    </row>
    <row r="6" spans="1:66">
      <c r="A6" s="12" t="s">
        <v>1674</v>
      </c>
      <c r="B6" s="54" t="str">
        <f t="shared" si="0"/>
        <v>AZ_Maric_2020g</v>
      </c>
      <c r="C6" s="12"/>
      <c r="D6" s="54" t="str">
        <f t="shared" si="1"/>
        <v>Gen-apache junction-mayor (vote for1)</v>
      </c>
      <c r="E6" s="54" t="s">
        <v>2152</v>
      </c>
      <c r="F6" s="12" t="s">
        <v>1300</v>
      </c>
      <c r="G6" s="59">
        <v>79</v>
      </c>
      <c r="H6"/>
      <c r="K6" s="2"/>
      <c r="O6">
        <f t="shared" si="2"/>
        <v>1</v>
      </c>
      <c r="P6" s="57">
        <f t="shared" si="3"/>
        <v>1</v>
      </c>
      <c r="Q6" s="267">
        <f t="shared" si="4"/>
        <v>150</v>
      </c>
      <c r="R6" s="23">
        <f t="shared" si="5"/>
        <v>79</v>
      </c>
      <c r="S6" s="23">
        <f t="shared" si="6"/>
        <v>71</v>
      </c>
      <c r="T6" s="23">
        <f t="shared" si="7"/>
        <v>8</v>
      </c>
      <c r="U6" t="str">
        <f t="shared" si="8"/>
        <v>AZ_Maric_2020g~Gen-apache junction-mayor (vote for1)</v>
      </c>
      <c r="W6" s="1">
        <f t="shared" si="9"/>
        <v>5</v>
      </c>
      <c r="X6" s="73">
        <f t="shared" si="25"/>
        <v>773.53157894736842</v>
      </c>
      <c r="Y6" s="322">
        <f t="shared" si="10"/>
        <v>773.53157894736842</v>
      </c>
      <c r="Z6" s="43">
        <f t="shared" si="11"/>
        <v>46.765996324652711</v>
      </c>
      <c r="AA6" s="52">
        <f t="shared" si="12"/>
        <v>0.46765996324652709</v>
      </c>
      <c r="AB6" s="8">
        <f t="shared" si="13"/>
        <v>20895.63</v>
      </c>
      <c r="AC6" s="8">
        <f t="shared" si="14"/>
        <v>2089563</v>
      </c>
      <c r="AD6" s="8">
        <f t="shared" si="26"/>
        <v>10447.815000000001</v>
      </c>
      <c r="AE6" s="8" t="str">
        <f t="shared" si="15"/>
        <v/>
      </c>
      <c r="AF6" s="22" t="str">
        <f t="shared" si="16"/>
        <v>AZ_Maric_2020g</v>
      </c>
      <c r="AG6">
        <v>1</v>
      </c>
      <c r="AH6" s="272">
        <v>9482</v>
      </c>
      <c r="AI6" s="273">
        <v>292</v>
      </c>
      <c r="AJ6" s="274">
        <v>216</v>
      </c>
      <c r="AK6" s="339">
        <v>76</v>
      </c>
      <c r="AL6" s="340" t="s">
        <v>1619</v>
      </c>
      <c r="AM6" s="353">
        <f t="shared" si="17"/>
        <v>3.6371241259536086E-5</v>
      </c>
      <c r="AN6" s="354"/>
      <c r="AP6" s="23">
        <f t="shared" si="27"/>
        <v>0</v>
      </c>
      <c r="AQ6" s="392">
        <f t="shared" si="28"/>
        <v>0</v>
      </c>
      <c r="AR6" s="392">
        <f t="shared" si="28"/>
        <v>0</v>
      </c>
      <c r="AS6" s="392">
        <f t="shared" si="28"/>
        <v>0</v>
      </c>
      <c r="AU6" s="9" t="s">
        <v>5634</v>
      </c>
      <c r="AV6" s="9">
        <v>236740</v>
      </c>
      <c r="AW6" s="90">
        <v>1.0113415561375347</v>
      </c>
      <c r="AX6" s="38">
        <v>239424.99999999997</v>
      </c>
      <c r="AY6" s="38">
        <f t="shared" si="29"/>
        <v>465.80739299610889</v>
      </c>
      <c r="AZ6" s="50">
        <v>1.4618356479064428E-3</v>
      </c>
      <c r="BA6" s="49">
        <f t="shared" si="19"/>
        <v>350</v>
      </c>
      <c r="BB6" s="9" t="s">
        <v>5319</v>
      </c>
      <c r="BC6" s="9">
        <f t="shared" si="20"/>
        <v>26</v>
      </c>
      <c r="BD6" s="38">
        <f t="shared" si="21"/>
        <v>1561.6108552800106</v>
      </c>
      <c r="BE6" s="9">
        <f t="shared" si="22"/>
        <v>170.84400000000002</v>
      </c>
      <c r="BF6" s="9">
        <f t="shared" si="23"/>
        <v>-144.84400000000002</v>
      </c>
      <c r="BG6" s="75">
        <f t="shared" si="24"/>
        <v>6.5709230769230782</v>
      </c>
    </row>
    <row r="7" spans="1:66">
      <c r="A7" s="12" t="s">
        <v>1674</v>
      </c>
      <c r="B7" s="54" t="str">
        <f t="shared" si="0"/>
        <v>AZ_Maric_2020g</v>
      </c>
      <c r="C7" s="12"/>
      <c r="D7" s="54" t="str">
        <f t="shared" si="1"/>
        <v>Gen-apache junction-mayor (vote for1)</v>
      </c>
      <c r="E7" s="54" t="s">
        <v>2153</v>
      </c>
      <c r="F7" s="12" t="s">
        <v>1300</v>
      </c>
      <c r="G7" s="59">
        <v>71</v>
      </c>
      <c r="H7"/>
      <c r="K7" s="2"/>
      <c r="O7">
        <f t="shared" si="2"/>
        <v>2</v>
      </c>
      <c r="P7" s="57">
        <f t="shared" si="3"/>
        <v>1</v>
      </c>
      <c r="Q7" s="267">
        <f t="shared" si="4"/>
        <v>71</v>
      </c>
      <c r="R7" s="23" t="str">
        <f t="shared" si="5"/>
        <v/>
      </c>
      <c r="S7" s="23">
        <f t="shared" si="6"/>
        <v>71</v>
      </c>
      <c r="T7" s="23" t="str">
        <f t="shared" si="7"/>
        <v/>
      </c>
      <c r="U7" t="str">
        <f t="shared" si="8"/>
        <v/>
      </c>
      <c r="W7" s="1">
        <f t="shared" si="9"/>
        <v>6</v>
      </c>
      <c r="X7" s="73">
        <f t="shared" si="25"/>
        <v>61.761538461538464</v>
      </c>
      <c r="Y7" s="322">
        <f t="shared" si="10"/>
        <v>71.484000000000009</v>
      </c>
      <c r="Z7" s="43">
        <f t="shared" si="11"/>
        <v>35.34455340094587</v>
      </c>
      <c r="AA7" s="52">
        <f t="shared" si="12"/>
        <v>0.35344553400945872</v>
      </c>
      <c r="AB7" s="8">
        <f t="shared" si="13"/>
        <v>20895.63</v>
      </c>
      <c r="AC7" s="8">
        <f t="shared" si="14"/>
        <v>2089563</v>
      </c>
      <c r="AD7" s="8">
        <f t="shared" si="26"/>
        <v>10447.815000000001</v>
      </c>
      <c r="AE7" s="8" t="str">
        <f t="shared" si="15"/>
        <v/>
      </c>
      <c r="AF7" s="22" t="str">
        <f t="shared" si="16"/>
        <v>AZ_Maric_2020g</v>
      </c>
      <c r="AG7" s="302">
        <v>1</v>
      </c>
      <c r="AH7" s="301">
        <v>1036</v>
      </c>
      <c r="AI7" s="303">
        <v>570</v>
      </c>
      <c r="AJ7" s="303">
        <v>466</v>
      </c>
      <c r="AK7" s="342">
        <v>104</v>
      </c>
      <c r="AL7" s="343" t="s">
        <v>1655</v>
      </c>
      <c r="AM7" s="353">
        <f t="shared" si="17"/>
        <v>4.9771172249891483E-5</v>
      </c>
      <c r="AN7" s="354"/>
      <c r="AP7" s="23">
        <f t="shared" si="27"/>
        <v>0</v>
      </c>
      <c r="AQ7" s="392">
        <f t="shared" si="28"/>
        <v>0</v>
      </c>
      <c r="AR7" s="392">
        <f t="shared" si="28"/>
        <v>0</v>
      </c>
      <c r="AS7" s="392">
        <f t="shared" si="28"/>
        <v>0</v>
      </c>
      <c r="AU7" s="9" t="s">
        <v>5930</v>
      </c>
      <c r="AV7" s="9">
        <v>7808</v>
      </c>
      <c r="AW7" s="90">
        <v>1.0147284836065575</v>
      </c>
      <c r="AX7" s="38">
        <v>7923.0000000000009</v>
      </c>
      <c r="AY7" s="38">
        <f t="shared" si="29"/>
        <v>72.688073394495419</v>
      </c>
      <c r="AZ7" s="50">
        <v>1.199040767386091E-2</v>
      </c>
      <c r="BA7" s="49">
        <f t="shared" si="19"/>
        <v>95</v>
      </c>
      <c r="BB7" s="9" t="s">
        <v>5319</v>
      </c>
      <c r="BC7" s="9">
        <f t="shared" si="20"/>
        <v>26</v>
      </c>
      <c r="BD7" s="38">
        <f t="shared" si="21"/>
        <v>0</v>
      </c>
      <c r="BE7" s="9" t="e">
        <f t="shared" si="22"/>
        <v>#N/A</v>
      </c>
      <c r="BF7" s="9" t="e">
        <f t="shared" si="23"/>
        <v>#N/A</v>
      </c>
      <c r="BG7" s="75" t="e">
        <f t="shared" si="24"/>
        <v>#N/A</v>
      </c>
    </row>
    <row r="8" spans="1:66">
      <c r="A8" s="12" t="s">
        <v>1674</v>
      </c>
      <c r="B8" s="54" t="str">
        <f t="shared" si="0"/>
        <v>AZ_Maric_2020g</v>
      </c>
      <c r="C8" s="12"/>
      <c r="D8" s="54" t="str">
        <f t="shared" si="1"/>
        <v>Gen-apache junction-mayor (vote for1)</v>
      </c>
      <c r="E8" s="54" t="s">
        <v>1299</v>
      </c>
      <c r="G8" s="59">
        <v>0</v>
      </c>
      <c r="H8"/>
      <c r="K8" s="2"/>
      <c r="O8">
        <f t="shared" si="2"/>
        <v>-2</v>
      </c>
      <c r="P8" s="57">
        <f t="shared" si="3"/>
        <v>1</v>
      </c>
      <c r="Q8" s="267">
        <f t="shared" si="4"/>
        <v>0</v>
      </c>
      <c r="R8" s="23">
        <f t="shared" si="5"/>
        <v>1</v>
      </c>
      <c r="S8" s="23">
        <f t="shared" si="6"/>
        <v>0</v>
      </c>
      <c r="T8" s="23" t="str">
        <f t="shared" si="7"/>
        <v/>
      </c>
      <c r="U8" t="str">
        <f t="shared" si="8"/>
        <v/>
      </c>
      <c r="W8" s="1">
        <f t="shared" si="9"/>
        <v>7</v>
      </c>
      <c r="X8" s="73">
        <f t="shared" si="25"/>
        <v>2648.5758620689658</v>
      </c>
      <c r="Y8" s="322">
        <f t="shared" si="10"/>
        <v>3419.2260000000001</v>
      </c>
      <c r="Z8" s="43">
        <f t="shared" si="11"/>
        <v>31.347608700594172</v>
      </c>
      <c r="AA8" s="52">
        <f t="shared" si="12"/>
        <v>0.31347608700594171</v>
      </c>
      <c r="AB8" s="8">
        <f t="shared" si="13"/>
        <v>20895.63</v>
      </c>
      <c r="AC8" s="8">
        <f t="shared" si="14"/>
        <v>2089563</v>
      </c>
      <c r="AD8" s="8">
        <f t="shared" si="26"/>
        <v>10447.815000000001</v>
      </c>
      <c r="AE8" s="8" t="str">
        <f t="shared" si="15"/>
        <v/>
      </c>
      <c r="AF8" s="22" t="str">
        <f t="shared" si="16"/>
        <v>AZ_Maric_2020g</v>
      </c>
      <c r="AG8">
        <v>1</v>
      </c>
      <c r="AH8" s="272">
        <v>49554</v>
      </c>
      <c r="AI8" s="273">
        <v>15929</v>
      </c>
      <c r="AJ8" s="274">
        <v>15813</v>
      </c>
      <c r="AK8" s="339">
        <v>116</v>
      </c>
      <c r="AL8" s="340" t="s">
        <v>1694</v>
      </c>
      <c r="AM8" s="353">
        <f t="shared" si="17"/>
        <v>5.5513999817186659E-5</v>
      </c>
      <c r="AN8" s="354"/>
      <c r="AP8" s="23">
        <f t="shared" si="27"/>
        <v>0</v>
      </c>
      <c r="AQ8" s="392">
        <f t="shared" si="28"/>
        <v>0</v>
      </c>
      <c r="AR8" s="392">
        <f t="shared" si="28"/>
        <v>0</v>
      </c>
      <c r="AS8" s="392">
        <f t="shared" si="28"/>
        <v>0</v>
      </c>
      <c r="AU8" s="9" t="s">
        <v>5635</v>
      </c>
      <c r="AV8" s="9">
        <v>350183</v>
      </c>
      <c r="AW8" s="90">
        <v>1.0118909256017568</v>
      </c>
      <c r="AX8" s="38">
        <v>354347</v>
      </c>
      <c r="AY8" s="38">
        <f t="shared" si="29"/>
        <v>371.4329140461216</v>
      </c>
      <c r="AZ8" s="50">
        <v>9.2282423725895807E-4</v>
      </c>
      <c r="BA8" s="49">
        <f t="shared" si="19"/>
        <v>327</v>
      </c>
      <c r="BB8" s="9" t="s">
        <v>5319</v>
      </c>
      <c r="BC8" s="9">
        <f t="shared" si="20"/>
        <v>25</v>
      </c>
      <c r="BD8" s="38">
        <f t="shared" si="21"/>
        <v>3867.5603728163824</v>
      </c>
      <c r="BE8" s="9">
        <f t="shared" si="22"/>
        <v>149.15094339622644</v>
      </c>
      <c r="BF8" s="9">
        <f t="shared" si="23"/>
        <v>-124.15094339622644</v>
      </c>
      <c r="BG8" s="75">
        <f t="shared" si="24"/>
        <v>5.9660377358490573</v>
      </c>
    </row>
    <row r="9" spans="1:66">
      <c r="A9" s="12" t="s">
        <v>1709</v>
      </c>
      <c r="B9" s="54" t="str">
        <f t="shared" si="0"/>
        <v>AZ_Maric_2020g</v>
      </c>
      <c r="C9" s="12"/>
      <c r="D9" s="54" t="str">
        <f t="shared" si="1"/>
        <v>Gen-appeals court howe, randall (vote for1)</v>
      </c>
      <c r="E9" s="54" t="s">
        <v>1981</v>
      </c>
      <c r="F9" s="12" t="s">
        <v>1300</v>
      </c>
      <c r="G9" s="59">
        <v>995970</v>
      </c>
      <c r="H9"/>
      <c r="K9" s="2"/>
      <c r="O9">
        <f t="shared" si="2"/>
        <v>1</v>
      </c>
      <c r="P9" s="57">
        <f t="shared" si="3"/>
        <v>1</v>
      </c>
      <c r="Q9" s="267">
        <f t="shared" si="4"/>
        <v>1350541</v>
      </c>
      <c r="R9" s="23">
        <f t="shared" si="5"/>
        <v>995970</v>
      </c>
      <c r="S9" s="23">
        <f t="shared" si="6"/>
        <v>354571</v>
      </c>
      <c r="T9" s="23">
        <f t="shared" si="7"/>
        <v>641399</v>
      </c>
      <c r="U9" t="str">
        <f t="shared" si="8"/>
        <v>AZ_Maric_2020g~Gen-appeals court howe, randall (vote for1)</v>
      </c>
      <c r="W9" s="1">
        <f t="shared" si="9"/>
        <v>8</v>
      </c>
      <c r="X9" s="73">
        <f t="shared" si="25"/>
        <v>27.105785123966943</v>
      </c>
      <c r="Y9" s="322">
        <f t="shared" si="10"/>
        <v>36.501000000000005</v>
      </c>
      <c r="Z9" s="43">
        <f t="shared" si="11"/>
        <v>29.818683227302206</v>
      </c>
      <c r="AA9" s="52">
        <f t="shared" si="12"/>
        <v>0.29818683227302206</v>
      </c>
      <c r="AB9" s="8">
        <f t="shared" si="13"/>
        <v>20895.63</v>
      </c>
      <c r="AC9" s="8">
        <f t="shared" si="14"/>
        <v>2089563</v>
      </c>
      <c r="AD9" s="8">
        <f t="shared" si="26"/>
        <v>10447.815000000001</v>
      </c>
      <c r="AE9" s="8" t="str">
        <f t="shared" si="15"/>
        <v/>
      </c>
      <c r="AF9" s="22" t="str">
        <f t="shared" si="16"/>
        <v>AZ_Maric_2020g</v>
      </c>
      <c r="AG9">
        <v>1</v>
      </c>
      <c r="AH9" s="272">
        <v>529</v>
      </c>
      <c r="AI9" s="273">
        <v>323</v>
      </c>
      <c r="AJ9" s="274">
        <v>202</v>
      </c>
      <c r="AK9" s="339">
        <v>121</v>
      </c>
      <c r="AL9" s="340" t="s">
        <v>1642</v>
      </c>
      <c r="AM9" s="353">
        <f t="shared" si="17"/>
        <v>5.7906844636892977E-5</v>
      </c>
      <c r="AN9" s="354"/>
      <c r="AP9" s="23">
        <f t="shared" si="27"/>
        <v>0</v>
      </c>
      <c r="AQ9" s="392">
        <f t="shared" si="28"/>
        <v>0</v>
      </c>
      <c r="AR9" s="392">
        <f t="shared" si="28"/>
        <v>0</v>
      </c>
      <c r="AS9" s="392">
        <f t="shared" si="28"/>
        <v>0</v>
      </c>
      <c r="AU9" s="9" t="s">
        <v>5952</v>
      </c>
      <c r="AV9" s="9">
        <v>9144</v>
      </c>
      <c r="AW9" s="90">
        <v>1.0284339457567804</v>
      </c>
      <c r="AX9" s="38">
        <v>9404</v>
      </c>
      <c r="AY9" s="38">
        <f t="shared" si="29"/>
        <v>77.081967213114751</v>
      </c>
      <c r="AZ9" s="50">
        <v>2.2437260740110591E-2</v>
      </c>
      <c r="BA9" s="49">
        <f t="shared" si="19"/>
        <v>211</v>
      </c>
      <c r="BB9" s="9" t="s">
        <v>5319</v>
      </c>
      <c r="BC9" s="9">
        <f t="shared" si="20"/>
        <v>25</v>
      </c>
      <c r="BD9" s="38">
        <f t="shared" si="21"/>
        <v>0</v>
      </c>
      <c r="BE9" s="9" t="e">
        <f t="shared" si="22"/>
        <v>#N/A</v>
      </c>
      <c r="BF9" s="9" t="e">
        <f t="shared" si="23"/>
        <v>#N/A</v>
      </c>
      <c r="BG9" s="75" t="e">
        <f t="shared" si="24"/>
        <v>#N/A</v>
      </c>
    </row>
    <row r="10" spans="1:66">
      <c r="A10" s="12" t="s">
        <v>1709</v>
      </c>
      <c r="B10" s="54" t="str">
        <f t="shared" si="0"/>
        <v>AZ_Maric_2020g</v>
      </c>
      <c r="C10" s="12"/>
      <c r="D10" s="54" t="str">
        <f t="shared" si="1"/>
        <v>Gen-appeals court howe, randall (vote for1)</v>
      </c>
      <c r="E10" s="54" t="s">
        <v>1982</v>
      </c>
      <c r="F10" s="12" t="s">
        <v>1300</v>
      </c>
      <c r="G10" s="59">
        <v>354571</v>
      </c>
      <c r="H10"/>
      <c r="K10" s="2"/>
      <c r="O10">
        <f t="shared" si="2"/>
        <v>2</v>
      </c>
      <c r="P10" s="57">
        <f t="shared" si="3"/>
        <v>1</v>
      </c>
      <c r="Q10" s="267">
        <f t="shared" si="4"/>
        <v>354571</v>
      </c>
      <c r="R10" s="23" t="str">
        <f t="shared" si="5"/>
        <v/>
      </c>
      <c r="S10" s="23">
        <f t="shared" si="6"/>
        <v>354571</v>
      </c>
      <c r="T10" s="23" t="str">
        <f t="shared" si="7"/>
        <v/>
      </c>
      <c r="U10" t="str">
        <f t="shared" si="8"/>
        <v/>
      </c>
      <c r="W10" s="1">
        <f t="shared" si="9"/>
        <v>9</v>
      </c>
      <c r="X10" s="73">
        <f t="shared" si="25"/>
        <v>512.6036281179139</v>
      </c>
      <c r="Y10" s="322">
        <f t="shared" si="10"/>
        <v>838.60300000000007</v>
      </c>
      <c r="Z10" s="43">
        <f t="shared" si="11"/>
        <v>22.991359618320157</v>
      </c>
      <c r="AA10" s="52">
        <f t="shared" si="12"/>
        <v>0.22991359618320156</v>
      </c>
      <c r="AB10" s="8">
        <f t="shared" si="13"/>
        <v>20895.63</v>
      </c>
      <c r="AC10" s="8">
        <f t="shared" si="14"/>
        <v>2089563</v>
      </c>
      <c r="AD10" s="8">
        <f t="shared" si="26"/>
        <v>10447.815000000001</v>
      </c>
      <c r="AE10" s="8" t="str">
        <f t="shared" si="15"/>
        <v/>
      </c>
      <c r="AF10" s="22" t="str">
        <f t="shared" si="16"/>
        <v>AZ_Maric_2020g</v>
      </c>
      <c r="AG10">
        <v>3</v>
      </c>
      <c r="AH10" s="272">
        <v>12153.666666666666</v>
      </c>
      <c r="AI10" s="273">
        <v>6254</v>
      </c>
      <c r="AJ10" s="274">
        <v>6107</v>
      </c>
      <c r="AK10" s="339">
        <v>147</v>
      </c>
      <c r="AL10" s="340" t="s">
        <v>1637</v>
      </c>
      <c r="AM10" s="353">
        <f t="shared" si="17"/>
        <v>7.0349637699365847E-5</v>
      </c>
      <c r="AN10" s="354"/>
      <c r="AP10" s="23">
        <f t="shared" si="27"/>
        <v>0</v>
      </c>
      <c r="AQ10" s="392">
        <f t="shared" si="28"/>
        <v>0</v>
      </c>
      <c r="AR10" s="392">
        <f t="shared" si="28"/>
        <v>0</v>
      </c>
      <c r="AS10" s="392">
        <f t="shared" si="28"/>
        <v>0</v>
      </c>
      <c r="AU10" s="9" t="s">
        <v>5907</v>
      </c>
      <c r="AV10" s="9">
        <v>2225</v>
      </c>
      <c r="AW10" s="90">
        <v>1.0085393258426967</v>
      </c>
      <c r="AX10" s="38">
        <v>2244</v>
      </c>
      <c r="AY10" s="38">
        <f t="shared" si="29"/>
        <v>15.162162162162161</v>
      </c>
      <c r="AZ10" s="50">
        <v>1.2923351158645277E-2</v>
      </c>
      <c r="BA10" s="49">
        <f t="shared" si="19"/>
        <v>29</v>
      </c>
      <c r="BB10" s="9" t="s">
        <v>5319</v>
      </c>
      <c r="BC10" s="9">
        <f t="shared" si="20"/>
        <v>25</v>
      </c>
      <c r="BD10" s="38">
        <f t="shared" si="21"/>
        <v>0</v>
      </c>
      <c r="BE10" s="9" t="e">
        <f t="shared" si="22"/>
        <v>#N/A</v>
      </c>
      <c r="BF10" s="9" t="e">
        <f t="shared" si="23"/>
        <v>#N/A</v>
      </c>
      <c r="BG10" s="75" t="e">
        <f t="shared" si="24"/>
        <v>#N/A</v>
      </c>
    </row>
    <row r="11" spans="1:66">
      <c r="A11" s="12" t="s">
        <v>1710</v>
      </c>
      <c r="B11" s="54" t="str">
        <f t="shared" si="0"/>
        <v>AZ_Maric_2020g</v>
      </c>
      <c r="C11" s="12"/>
      <c r="D11" s="54" t="str">
        <f t="shared" si="1"/>
        <v>Gen-appeals court mcmurdie, paul (vote for1)</v>
      </c>
      <c r="E11" s="54" t="s">
        <v>1981</v>
      </c>
      <c r="F11" s="12" t="s">
        <v>1300</v>
      </c>
      <c r="G11" s="59">
        <v>999481</v>
      </c>
      <c r="H11"/>
      <c r="K11" s="2"/>
      <c r="O11">
        <f t="shared" si="2"/>
        <v>1</v>
      </c>
      <c r="P11" s="57">
        <f t="shared" si="3"/>
        <v>1</v>
      </c>
      <c r="Q11" s="267">
        <f t="shared" si="4"/>
        <v>1342022</v>
      </c>
      <c r="R11" s="23">
        <f t="shared" si="5"/>
        <v>999481</v>
      </c>
      <c r="S11" s="23">
        <f t="shared" si="6"/>
        <v>342541</v>
      </c>
      <c r="T11" s="23">
        <f t="shared" si="7"/>
        <v>656940</v>
      </c>
      <c r="U11" t="str">
        <f t="shared" si="8"/>
        <v>AZ_Maric_2020g~Gen-appeals court mcmurdie, paul (vote for1)</v>
      </c>
      <c r="W11" s="1">
        <f t="shared" si="9"/>
        <v>10</v>
      </c>
      <c r="X11" s="73">
        <f t="shared" si="25"/>
        <v>153.12899408284022</v>
      </c>
      <c r="Y11" s="322">
        <f t="shared" si="10"/>
        <v>288.00600000000003</v>
      </c>
      <c r="Z11" s="43">
        <f t="shared" si="11"/>
        <v>18.45069133030221</v>
      </c>
      <c r="AA11" s="52">
        <f t="shared" si="12"/>
        <v>0.1845069133030221</v>
      </c>
      <c r="AB11" s="8">
        <f t="shared" si="13"/>
        <v>20895.63</v>
      </c>
      <c r="AC11" s="8">
        <f t="shared" si="14"/>
        <v>2089563</v>
      </c>
      <c r="AD11" s="8">
        <f t="shared" si="26"/>
        <v>10447.815000000001</v>
      </c>
      <c r="AE11" s="8" t="str">
        <f t="shared" si="15"/>
        <v/>
      </c>
      <c r="AF11" s="22" t="str">
        <f t="shared" si="16"/>
        <v>AZ_Maric_2020g</v>
      </c>
      <c r="AG11">
        <v>3</v>
      </c>
      <c r="AH11" s="272">
        <v>4174</v>
      </c>
      <c r="AI11" s="273">
        <v>474</v>
      </c>
      <c r="AJ11" s="274">
        <v>305</v>
      </c>
      <c r="AK11" s="339">
        <v>169</v>
      </c>
      <c r="AL11" s="340" t="s">
        <v>1620</v>
      </c>
      <c r="AM11" s="353">
        <f t="shared" si="17"/>
        <v>8.0878154906073666E-5</v>
      </c>
      <c r="AN11" s="354"/>
      <c r="AP11" s="23">
        <f t="shared" si="27"/>
        <v>0</v>
      </c>
      <c r="AQ11" s="392">
        <f t="shared" si="28"/>
        <v>0</v>
      </c>
      <c r="AR11" s="392">
        <f t="shared" si="28"/>
        <v>0</v>
      </c>
      <c r="AS11" s="392">
        <f t="shared" si="28"/>
        <v>0</v>
      </c>
      <c r="AU11" s="9" t="s">
        <v>5908</v>
      </c>
      <c r="AV11" s="9">
        <v>2274</v>
      </c>
      <c r="AW11" s="90">
        <v>1.0092348284960422</v>
      </c>
      <c r="AX11" s="38">
        <v>2295</v>
      </c>
      <c r="AY11" s="38">
        <f t="shared" si="29"/>
        <v>3.689710610932476</v>
      </c>
      <c r="AZ11" s="50">
        <v>1.0893246187363835E-2</v>
      </c>
      <c r="BA11" s="49">
        <f t="shared" si="19"/>
        <v>25</v>
      </c>
      <c r="BB11" s="9" t="s">
        <v>5319</v>
      </c>
      <c r="BC11" s="9">
        <f t="shared" si="20"/>
        <v>25</v>
      </c>
      <c r="BD11" s="38">
        <f t="shared" si="21"/>
        <v>0</v>
      </c>
      <c r="BE11" s="9" t="e">
        <f t="shared" si="22"/>
        <v>#N/A</v>
      </c>
      <c r="BF11" s="9" t="e">
        <f t="shared" si="23"/>
        <v>#N/A</v>
      </c>
      <c r="BG11" s="75" t="e">
        <f t="shared" si="24"/>
        <v>#N/A</v>
      </c>
    </row>
    <row r="12" spans="1:66">
      <c r="A12" s="12" t="s">
        <v>1710</v>
      </c>
      <c r="B12" s="54" t="str">
        <f t="shared" si="0"/>
        <v>AZ_Maric_2020g</v>
      </c>
      <c r="C12" s="12"/>
      <c r="D12" s="54" t="str">
        <f t="shared" si="1"/>
        <v>Gen-appeals court mcmurdie, paul (vote for1)</v>
      </c>
      <c r="E12" s="54" t="s">
        <v>1982</v>
      </c>
      <c r="F12" s="12" t="s">
        <v>1300</v>
      </c>
      <c r="G12" s="59">
        <v>342541</v>
      </c>
      <c r="H12"/>
      <c r="K12" s="2"/>
      <c r="O12">
        <f t="shared" si="2"/>
        <v>2</v>
      </c>
      <c r="P12" s="57">
        <f t="shared" si="3"/>
        <v>1</v>
      </c>
      <c r="Q12" s="267">
        <f t="shared" si="4"/>
        <v>342541</v>
      </c>
      <c r="R12" s="23" t="str">
        <f t="shared" si="5"/>
        <v/>
      </c>
      <c r="S12" s="23">
        <f t="shared" si="6"/>
        <v>342541</v>
      </c>
      <c r="T12" s="23" t="str">
        <f t="shared" si="7"/>
        <v/>
      </c>
      <c r="U12" t="str">
        <f t="shared" si="8"/>
        <v/>
      </c>
      <c r="W12" s="1">
        <f t="shared" si="9"/>
        <v>11</v>
      </c>
      <c r="X12" s="73">
        <f t="shared" si="25"/>
        <v>178.17206703910617</v>
      </c>
      <c r="Y12" s="322">
        <f t="shared" si="10"/>
        <v>354.93600000000004</v>
      </c>
      <c r="Z12" s="43">
        <f t="shared" si="11"/>
        <v>16.694736873407752</v>
      </c>
      <c r="AA12" s="52">
        <f t="shared" si="12"/>
        <v>0.16694736873407751</v>
      </c>
      <c r="AB12" s="8">
        <f t="shared" si="13"/>
        <v>20895.63</v>
      </c>
      <c r="AC12" s="8">
        <f t="shared" si="14"/>
        <v>2089563</v>
      </c>
      <c r="AD12" s="8">
        <f t="shared" si="26"/>
        <v>10447.815000000001</v>
      </c>
      <c r="AE12" s="8" t="str">
        <f t="shared" si="15"/>
        <v/>
      </c>
      <c r="AF12" s="22" t="str">
        <f t="shared" si="16"/>
        <v>AZ_Maric_2020g</v>
      </c>
      <c r="AG12">
        <v>3</v>
      </c>
      <c r="AH12" s="272">
        <v>5144</v>
      </c>
      <c r="AI12" s="273">
        <v>3386</v>
      </c>
      <c r="AJ12" s="274">
        <v>3207</v>
      </c>
      <c r="AK12" s="339">
        <v>179</v>
      </c>
      <c r="AL12" s="23" t="s">
        <v>1646</v>
      </c>
      <c r="AM12" s="353">
        <f t="shared" si="17"/>
        <v>8.5663844545486303E-5</v>
      </c>
      <c r="AN12" s="354"/>
      <c r="AP12" s="23">
        <f t="shared" si="27"/>
        <v>0</v>
      </c>
      <c r="AQ12" s="392">
        <f t="shared" si="28"/>
        <v>0</v>
      </c>
      <c r="AR12" s="392">
        <f t="shared" si="28"/>
        <v>0</v>
      </c>
      <c r="AS12" s="392">
        <f t="shared" si="28"/>
        <v>0</v>
      </c>
      <c r="AU12" s="9" t="s">
        <v>5636</v>
      </c>
      <c r="AV12" s="9">
        <v>206111</v>
      </c>
      <c r="AW12" s="90">
        <v>1.0113239953229085</v>
      </c>
      <c r="AX12" s="38">
        <v>208445</v>
      </c>
      <c r="AY12" s="38">
        <f t="shared" si="29"/>
        <v>840.50403225806451</v>
      </c>
      <c r="AZ12" s="50">
        <v>3.9530811485044013E-3</v>
      </c>
      <c r="BA12" s="49">
        <f t="shared" si="19"/>
        <v>823.99999999999989</v>
      </c>
      <c r="BB12" s="9" t="s">
        <v>5319</v>
      </c>
      <c r="BC12" s="9">
        <f t="shared" si="20"/>
        <v>33</v>
      </c>
      <c r="BD12" s="38">
        <f t="shared" si="21"/>
        <v>719.98748782751034</v>
      </c>
      <c r="BE12" s="9">
        <f t="shared" si="22"/>
        <v>20.642352941176469</v>
      </c>
      <c r="BF12" s="9">
        <f t="shared" si="23"/>
        <v>12.357647058823531</v>
      </c>
      <c r="BG12" s="75">
        <f t="shared" si="24"/>
        <v>0.62552584670231726</v>
      </c>
    </row>
    <row r="13" spans="1:66">
      <c r="A13" s="12" t="s">
        <v>1711</v>
      </c>
      <c r="B13" s="54" t="str">
        <f t="shared" si="0"/>
        <v>AZ_Maric_2020g</v>
      </c>
      <c r="C13" s="12"/>
      <c r="D13" s="54" t="str">
        <f t="shared" si="1"/>
        <v>Gen-appeals court morse jr., james (vote for1)</v>
      </c>
      <c r="E13" s="54" t="s">
        <v>1981</v>
      </c>
      <c r="F13" s="12" t="s">
        <v>1300</v>
      </c>
      <c r="G13" s="59">
        <v>914505</v>
      </c>
      <c r="H13"/>
      <c r="K13" s="2"/>
      <c r="O13">
        <f t="shared" si="2"/>
        <v>1</v>
      </c>
      <c r="P13" s="57">
        <f t="shared" si="3"/>
        <v>1</v>
      </c>
      <c r="Q13" s="267">
        <f t="shared" si="4"/>
        <v>1345173</v>
      </c>
      <c r="R13" s="23">
        <f t="shared" si="5"/>
        <v>914505</v>
      </c>
      <c r="S13" s="23">
        <f t="shared" si="6"/>
        <v>430668</v>
      </c>
      <c r="T13" s="23">
        <f t="shared" si="7"/>
        <v>483837</v>
      </c>
      <c r="U13" t="str">
        <f t="shared" si="8"/>
        <v>AZ_Maric_2020g~Gen-appeals court morse jr., james (vote for1)</v>
      </c>
      <c r="W13" s="1">
        <f t="shared" si="9"/>
        <v>12</v>
      </c>
      <c r="X13" s="73">
        <f t="shared" si="25"/>
        <v>15.075126903553301</v>
      </c>
      <c r="Y13" s="322">
        <f t="shared" si="10"/>
        <v>33.051000000000002</v>
      </c>
      <c r="Z13" s="43">
        <f t="shared" si="11"/>
        <v>13.944390549272507</v>
      </c>
      <c r="AA13" s="52">
        <f t="shared" si="12"/>
        <v>0.13944390549272506</v>
      </c>
      <c r="AB13" s="8">
        <f t="shared" si="13"/>
        <v>20895.63</v>
      </c>
      <c r="AC13" s="8">
        <f t="shared" si="14"/>
        <v>2089563</v>
      </c>
      <c r="AD13" s="8">
        <f t="shared" si="26"/>
        <v>10447.815000000001</v>
      </c>
      <c r="AE13" s="8" t="str">
        <f t="shared" si="15"/>
        <v/>
      </c>
      <c r="AF13" s="22" t="str">
        <f t="shared" si="16"/>
        <v>AZ_Maric_2020g</v>
      </c>
      <c r="AG13">
        <v>1</v>
      </c>
      <c r="AH13" s="272">
        <v>479</v>
      </c>
      <c r="AI13" s="273">
        <v>338</v>
      </c>
      <c r="AJ13" s="274">
        <v>141</v>
      </c>
      <c r="AK13" s="339">
        <v>197</v>
      </c>
      <c r="AL13" s="340" t="s">
        <v>1633</v>
      </c>
      <c r="AM13" s="353">
        <f t="shared" si="17"/>
        <v>9.4278085896429056E-5</v>
      </c>
      <c r="AN13" s="354"/>
      <c r="AP13" s="23">
        <f t="shared" si="27"/>
        <v>0</v>
      </c>
      <c r="AQ13" s="392">
        <f t="shared" si="28"/>
        <v>0</v>
      </c>
      <c r="AR13" s="392">
        <f t="shared" si="28"/>
        <v>0</v>
      </c>
      <c r="AS13" s="392">
        <f t="shared" si="28"/>
        <v>0</v>
      </c>
      <c r="AU13" s="9" t="s">
        <v>5954</v>
      </c>
      <c r="AV13" s="9">
        <v>46632</v>
      </c>
      <c r="AW13" s="90">
        <v>1.0101003602676273</v>
      </c>
      <c r="AX13" s="38">
        <v>47102.999999999993</v>
      </c>
      <c r="AY13" s="38">
        <f t="shared" si="29"/>
        <v>724.66153846153838</v>
      </c>
      <c r="AZ13" s="50">
        <v>1.337494427106554E-3</v>
      </c>
      <c r="BA13" s="49">
        <f t="shared" si="19"/>
        <v>63</v>
      </c>
      <c r="BB13" s="9" t="s">
        <v>5319</v>
      </c>
      <c r="BC13" s="9">
        <f t="shared" si="20"/>
        <v>33</v>
      </c>
      <c r="BD13" s="38">
        <f t="shared" si="21"/>
        <v>0</v>
      </c>
      <c r="BE13" s="9" t="e">
        <f t="shared" si="22"/>
        <v>#N/A</v>
      </c>
      <c r="BF13" s="9" t="e">
        <f t="shared" si="23"/>
        <v>#N/A</v>
      </c>
      <c r="BG13" s="75" t="e">
        <f t="shared" si="24"/>
        <v>#N/A</v>
      </c>
    </row>
    <row r="14" spans="1:66">
      <c r="A14" s="12" t="s">
        <v>1711</v>
      </c>
      <c r="B14" s="54" t="str">
        <f t="shared" si="0"/>
        <v>AZ_Maric_2020g</v>
      </c>
      <c r="C14" s="12"/>
      <c r="D14" s="54" t="str">
        <f t="shared" si="1"/>
        <v>Gen-appeals court morse jr., james (vote for1)</v>
      </c>
      <c r="E14" s="54" t="s">
        <v>1982</v>
      </c>
      <c r="F14" s="12" t="s">
        <v>1300</v>
      </c>
      <c r="G14" s="59">
        <v>430668</v>
      </c>
      <c r="H14"/>
      <c r="K14" s="2"/>
      <c r="O14">
        <f t="shared" si="2"/>
        <v>2</v>
      </c>
      <c r="P14" s="57">
        <f t="shared" si="3"/>
        <v>1</v>
      </c>
      <c r="Q14" s="267">
        <f t="shared" si="4"/>
        <v>430668</v>
      </c>
      <c r="R14" s="23" t="str">
        <f t="shared" si="5"/>
        <v/>
      </c>
      <c r="S14" s="23">
        <f t="shared" si="6"/>
        <v>430668</v>
      </c>
      <c r="T14" s="23" t="str">
        <f t="shared" si="7"/>
        <v/>
      </c>
      <c r="U14" t="str">
        <f t="shared" si="8"/>
        <v/>
      </c>
      <c r="W14" s="1">
        <f t="shared" si="9"/>
        <v>13</v>
      </c>
      <c r="X14" s="73">
        <f t="shared" si="25"/>
        <v>43.696414342629481</v>
      </c>
      <c r="Y14" s="322">
        <f t="shared" si="10"/>
        <v>122.06100000000001</v>
      </c>
      <c r="Z14" s="43">
        <f t="shared" si="11"/>
        <v>8.1255987864799959</v>
      </c>
      <c r="AA14" s="52">
        <f t="shared" si="12"/>
        <v>8.1255987864799956E-2</v>
      </c>
      <c r="AB14" s="8">
        <f t="shared" si="13"/>
        <v>20895.63</v>
      </c>
      <c r="AC14" s="8">
        <f t="shared" si="14"/>
        <v>2089563</v>
      </c>
      <c r="AD14" s="8">
        <f t="shared" si="26"/>
        <v>10447.815000000001</v>
      </c>
      <c r="AE14" s="8" t="str">
        <f t="shared" si="15"/>
        <v/>
      </c>
      <c r="AF14" s="22" t="str">
        <f t="shared" si="16"/>
        <v>AZ_Maric_2020g</v>
      </c>
      <c r="AG14">
        <v>1</v>
      </c>
      <c r="AH14" s="272">
        <v>1769</v>
      </c>
      <c r="AI14" s="273">
        <v>1010</v>
      </c>
      <c r="AJ14" s="274">
        <v>759</v>
      </c>
      <c r="AK14" s="339">
        <v>251</v>
      </c>
      <c r="AL14" s="340" t="s">
        <v>1627</v>
      </c>
      <c r="AM14" s="353">
        <f t="shared" si="17"/>
        <v>1.2012080994925733E-4</v>
      </c>
      <c r="AN14" s="354"/>
      <c r="AP14" s="23">
        <f t="shared" si="27"/>
        <v>0</v>
      </c>
      <c r="AQ14" s="392">
        <f t="shared" si="28"/>
        <v>0</v>
      </c>
      <c r="AR14" s="392">
        <f t="shared" si="28"/>
        <v>0</v>
      </c>
      <c r="AS14" s="392">
        <f t="shared" si="28"/>
        <v>0</v>
      </c>
      <c r="AU14" s="9" t="s">
        <v>5931</v>
      </c>
      <c r="AV14" s="9">
        <v>13718</v>
      </c>
      <c r="AW14" s="90">
        <v>1.0104971570199737</v>
      </c>
      <c r="AX14" s="38">
        <v>13862</v>
      </c>
      <c r="AY14" s="38">
        <f t="shared" si="29"/>
        <v>25.765799256505577</v>
      </c>
      <c r="AZ14" s="50">
        <v>1.0676670033184244E-2</v>
      </c>
      <c r="BA14" s="49">
        <f t="shared" si="19"/>
        <v>148</v>
      </c>
      <c r="BB14" s="9" t="s">
        <v>5319</v>
      </c>
      <c r="BC14" s="9">
        <f t="shared" si="20"/>
        <v>33</v>
      </c>
      <c r="BD14" s="38">
        <f t="shared" si="21"/>
        <v>0</v>
      </c>
      <c r="BE14" s="9" t="e">
        <f t="shared" si="22"/>
        <v>#N/A</v>
      </c>
      <c r="BF14" s="9" t="e">
        <f t="shared" si="23"/>
        <v>#N/A</v>
      </c>
      <c r="BG14" s="75" t="e">
        <f t="shared" si="24"/>
        <v>#N/A</v>
      </c>
    </row>
    <row r="15" spans="1:66">
      <c r="A15" s="12" t="s">
        <v>1712</v>
      </c>
      <c r="B15" s="54" t="str">
        <f t="shared" si="0"/>
        <v>AZ_Maric_2020g</v>
      </c>
      <c r="C15" s="12"/>
      <c r="D15" s="54" t="str">
        <f t="shared" si="1"/>
        <v>Gen-appeals court perkins, jennifer (vote for1)</v>
      </c>
      <c r="E15" s="54" t="s">
        <v>1981</v>
      </c>
      <c r="F15" s="12" t="s">
        <v>1300</v>
      </c>
      <c r="G15" s="59">
        <v>893308</v>
      </c>
      <c r="H15"/>
      <c r="K15" s="2"/>
      <c r="O15">
        <f t="shared" si="2"/>
        <v>1</v>
      </c>
      <c r="P15" s="57">
        <f t="shared" si="3"/>
        <v>1</v>
      </c>
      <c r="Q15" s="267">
        <f t="shared" si="4"/>
        <v>1355468</v>
      </c>
      <c r="R15" s="23">
        <f t="shared" si="5"/>
        <v>893308</v>
      </c>
      <c r="S15" s="23">
        <f t="shared" si="6"/>
        <v>462160</v>
      </c>
      <c r="T15" s="23">
        <f t="shared" si="7"/>
        <v>431148</v>
      </c>
      <c r="U15" t="str">
        <f t="shared" si="8"/>
        <v>AZ_Maric_2020g~Gen-appeals court perkins, jennifer (vote for1)</v>
      </c>
      <c r="W15" s="1">
        <f t="shared" si="9"/>
        <v>14</v>
      </c>
      <c r="X15" s="73">
        <f t="shared" si="25"/>
        <v>1726.2082758620691</v>
      </c>
      <c r="Y15" s="322">
        <f t="shared" si="10"/>
        <v>5571.1980000000003</v>
      </c>
      <c r="Z15" s="43">
        <f t="shared" si="11"/>
        <v>5.5012147369551654</v>
      </c>
      <c r="AA15" s="52">
        <f t="shared" si="12"/>
        <v>5.5012147369551657E-2</v>
      </c>
      <c r="AB15" s="8">
        <f t="shared" si="13"/>
        <v>20895.63</v>
      </c>
      <c r="AC15" s="8">
        <f t="shared" si="14"/>
        <v>2089563</v>
      </c>
      <c r="AD15" s="8">
        <f t="shared" si="26"/>
        <v>10447.815000000001</v>
      </c>
      <c r="AE15" s="8" t="str">
        <f t="shared" si="15"/>
        <v/>
      </c>
      <c r="AF15" s="22" t="str">
        <f t="shared" si="16"/>
        <v>AZ_Maric_2020g</v>
      </c>
      <c r="AG15">
        <v>3</v>
      </c>
      <c r="AH15" s="272">
        <v>80742</v>
      </c>
      <c r="AI15" s="273">
        <v>32298</v>
      </c>
      <c r="AJ15" s="274">
        <v>32008</v>
      </c>
      <c r="AK15" s="339">
        <v>290</v>
      </c>
      <c r="AL15" s="340" t="s">
        <v>1634</v>
      </c>
      <c r="AM15" s="353">
        <f t="shared" si="17"/>
        <v>1.3878499954296663E-4</v>
      </c>
      <c r="AN15" s="354"/>
      <c r="AP15" s="23">
        <f t="shared" si="27"/>
        <v>0</v>
      </c>
      <c r="AQ15" s="392">
        <f t="shared" si="28"/>
        <v>0</v>
      </c>
      <c r="AR15" s="392">
        <f t="shared" si="28"/>
        <v>0</v>
      </c>
      <c r="AS15" s="392">
        <f t="shared" si="28"/>
        <v>0</v>
      </c>
      <c r="AU15" s="9" t="s">
        <v>5940</v>
      </c>
      <c r="AV15" s="9">
        <v>1136</v>
      </c>
      <c r="AW15" s="90">
        <v>1.0088028169014085</v>
      </c>
      <c r="AX15" s="38">
        <v>1146</v>
      </c>
      <c r="AY15" s="38">
        <f t="shared" si="29"/>
        <v>20.464285714285715</v>
      </c>
      <c r="AZ15" s="50">
        <v>0.26352530541012215</v>
      </c>
      <c r="BA15" s="49">
        <f t="shared" si="19"/>
        <v>302</v>
      </c>
      <c r="BB15" s="9" t="s">
        <v>5319</v>
      </c>
      <c r="BC15" s="9">
        <f t="shared" si="20"/>
        <v>33</v>
      </c>
      <c r="BD15" s="38">
        <f t="shared" si="21"/>
        <v>0</v>
      </c>
      <c r="BE15" s="9" t="e">
        <f t="shared" si="22"/>
        <v>#N/A</v>
      </c>
      <c r="BF15" s="9" t="e">
        <f t="shared" si="23"/>
        <v>#N/A</v>
      </c>
      <c r="BG15" s="75" t="e">
        <f t="shared" si="24"/>
        <v>#N/A</v>
      </c>
    </row>
    <row r="16" spans="1:66">
      <c r="A16" s="12" t="s">
        <v>1712</v>
      </c>
      <c r="B16" s="54" t="str">
        <f t="shared" si="0"/>
        <v>AZ_Maric_2020g</v>
      </c>
      <c r="C16" s="12"/>
      <c r="D16" s="54" t="str">
        <f t="shared" si="1"/>
        <v>Gen-appeals court perkins, jennifer (vote for1)</v>
      </c>
      <c r="E16" s="54" t="s">
        <v>1982</v>
      </c>
      <c r="F16" s="12" t="s">
        <v>1300</v>
      </c>
      <c r="G16" s="59">
        <v>462160</v>
      </c>
      <c r="H16"/>
      <c r="K16" s="2"/>
      <c r="O16">
        <f t="shared" si="2"/>
        <v>2</v>
      </c>
      <c r="P16" s="57">
        <f t="shared" si="3"/>
        <v>1</v>
      </c>
      <c r="Q16" s="267">
        <f t="shared" si="4"/>
        <v>462160</v>
      </c>
      <c r="R16" s="23" t="str">
        <f t="shared" si="5"/>
        <v/>
      </c>
      <c r="S16" s="23">
        <f t="shared" si="6"/>
        <v>462160</v>
      </c>
      <c r="T16" s="23" t="str">
        <f t="shared" si="7"/>
        <v/>
      </c>
      <c r="U16" t="str">
        <f t="shared" si="8"/>
        <v/>
      </c>
      <c r="W16" s="1">
        <f t="shared" si="9"/>
        <v>15</v>
      </c>
      <c r="X16" s="73">
        <f t="shared" si="25"/>
        <v>1355.5606614447347</v>
      </c>
      <c r="Y16" s="322">
        <f t="shared" si="10"/>
        <v>5777.9680000000008</v>
      </c>
      <c r="Z16" s="43">
        <f t="shared" si="11"/>
        <v>2.1701995873856221</v>
      </c>
      <c r="AA16" s="52">
        <f t="shared" si="12"/>
        <v>2.1701995873856222E-2</v>
      </c>
      <c r="AB16" s="8">
        <f t="shared" si="13"/>
        <v>20895.63</v>
      </c>
      <c r="AC16" s="8">
        <f t="shared" si="14"/>
        <v>2089563</v>
      </c>
      <c r="AD16" s="8">
        <f t="shared" si="26"/>
        <v>10447.815000000001</v>
      </c>
      <c r="AE16" s="8" t="str">
        <f t="shared" si="15"/>
        <v/>
      </c>
      <c r="AF16" s="22" t="str">
        <f t="shared" si="16"/>
        <v>AZ_Maric_2020g</v>
      </c>
      <c r="AG16">
        <v>3</v>
      </c>
      <c r="AH16" s="272">
        <v>83738.666666666672</v>
      </c>
      <c r="AI16" s="273">
        <v>41853</v>
      </c>
      <c r="AJ16" s="274">
        <v>41470</v>
      </c>
      <c r="AK16" s="339">
        <v>383</v>
      </c>
      <c r="AL16" s="340" t="s">
        <v>1654</v>
      </c>
      <c r="AM16" s="353">
        <f t="shared" si="17"/>
        <v>1.8329191318950422E-4</v>
      </c>
      <c r="AN16" s="354"/>
      <c r="AP16" s="23">
        <f t="shared" si="27"/>
        <v>0</v>
      </c>
      <c r="AQ16" s="392">
        <f t="shared" si="28"/>
        <v>0</v>
      </c>
      <c r="AR16" s="392">
        <f t="shared" si="28"/>
        <v>0</v>
      </c>
      <c r="AS16" s="392">
        <f t="shared" si="28"/>
        <v>0</v>
      </c>
      <c r="AU16" s="9" t="s">
        <v>5961</v>
      </c>
      <c r="AV16" s="9">
        <v>6548</v>
      </c>
      <c r="AW16" s="90">
        <v>1.0091631032376298</v>
      </c>
      <c r="AX16" s="38">
        <v>6608</v>
      </c>
      <c r="AY16" s="38">
        <f t="shared" si="29"/>
        <v>7.7106184364060679</v>
      </c>
      <c r="AZ16" s="50">
        <v>9.2312348668280864E-3</v>
      </c>
      <c r="BA16" s="49">
        <f t="shared" si="19"/>
        <v>60.999999999999993</v>
      </c>
      <c r="BB16" s="9" t="s">
        <v>5319</v>
      </c>
      <c r="BC16" s="9">
        <f t="shared" si="20"/>
        <v>33</v>
      </c>
      <c r="BD16" s="38">
        <f t="shared" si="21"/>
        <v>0</v>
      </c>
      <c r="BE16" s="9" t="e">
        <f t="shared" si="22"/>
        <v>#N/A</v>
      </c>
      <c r="BF16" s="9" t="e">
        <f t="shared" si="23"/>
        <v>#N/A</v>
      </c>
      <c r="BG16" s="75" t="e">
        <f t="shared" si="24"/>
        <v>#N/A</v>
      </c>
    </row>
    <row r="17" spans="1:59">
      <c r="A17" s="12" t="s">
        <v>1713</v>
      </c>
      <c r="B17" s="54" t="str">
        <f t="shared" si="0"/>
        <v>AZ_Maric_2020g</v>
      </c>
      <c r="C17" s="12"/>
      <c r="D17" s="54" t="str">
        <f t="shared" si="1"/>
        <v>Gen-appeals court thumma, samuel (vote for1)</v>
      </c>
      <c r="E17" s="54" t="s">
        <v>1981</v>
      </c>
      <c r="F17" s="12" t="s">
        <v>1300</v>
      </c>
      <c r="G17" s="59">
        <v>996592</v>
      </c>
      <c r="H17"/>
      <c r="K17" s="2"/>
      <c r="O17">
        <f t="shared" si="2"/>
        <v>1</v>
      </c>
      <c r="P17" s="57">
        <f t="shared" si="3"/>
        <v>1</v>
      </c>
      <c r="Q17" s="267">
        <f t="shared" si="4"/>
        <v>1324373</v>
      </c>
      <c r="R17" s="23">
        <f t="shared" si="5"/>
        <v>996592</v>
      </c>
      <c r="S17" s="23">
        <f t="shared" si="6"/>
        <v>327781</v>
      </c>
      <c r="T17" s="23">
        <f t="shared" si="7"/>
        <v>668811</v>
      </c>
      <c r="U17" t="str">
        <f t="shared" si="8"/>
        <v>AZ_Maric_2020g~Gen-appeals court thumma, samuel (vote for1)</v>
      </c>
      <c r="W17" s="1">
        <f t="shared" si="9"/>
        <v>16</v>
      </c>
      <c r="X17" s="73">
        <f t="shared" si="25"/>
        <v>6531.2461538461539</v>
      </c>
      <c r="Y17" s="322">
        <f t="shared" si="10"/>
        <v>29292.639000000003</v>
      </c>
      <c r="Z17" s="43">
        <f t="shared" si="11"/>
        <v>1.7767422955913641</v>
      </c>
      <c r="AA17" s="52">
        <f t="shared" si="12"/>
        <v>1.7767422955913641E-2</v>
      </c>
      <c r="AB17" s="8">
        <f t="shared" si="13"/>
        <v>20895.63</v>
      </c>
      <c r="AC17" s="8">
        <f t="shared" si="14"/>
        <v>2089563</v>
      </c>
      <c r="AD17" s="8">
        <f t="shared" si="26"/>
        <v>10447.815000000001</v>
      </c>
      <c r="AE17" s="8" t="str">
        <f t="shared" si="15"/>
        <v/>
      </c>
      <c r="AF17" s="22" t="str">
        <f t="shared" si="16"/>
        <v>AZ_Maric_2020g</v>
      </c>
      <c r="AG17">
        <v>1</v>
      </c>
      <c r="AH17" s="272">
        <v>424531</v>
      </c>
      <c r="AI17" s="273">
        <v>212252</v>
      </c>
      <c r="AJ17" s="274">
        <v>211849</v>
      </c>
      <c r="AK17" s="339">
        <v>403</v>
      </c>
      <c r="AL17" s="340" t="s">
        <v>1581</v>
      </c>
      <c r="AM17" s="353">
        <f t="shared" si="17"/>
        <v>1.9286329246832949E-4</v>
      </c>
      <c r="AN17" s="354"/>
      <c r="AP17" s="23">
        <f t="shared" si="27"/>
        <v>0</v>
      </c>
      <c r="AQ17" s="392">
        <f t="shared" si="28"/>
        <v>0</v>
      </c>
      <c r="AR17" s="392">
        <f t="shared" si="28"/>
        <v>0</v>
      </c>
      <c r="AS17" s="392">
        <f t="shared" si="28"/>
        <v>0</v>
      </c>
      <c r="AU17" s="9" t="s">
        <v>5932</v>
      </c>
      <c r="AV17" s="9">
        <v>4333</v>
      </c>
      <c r="AW17" s="90">
        <v>1.0163858758366029</v>
      </c>
      <c r="AX17" s="38">
        <v>4404</v>
      </c>
      <c r="AY17" s="38">
        <f t="shared" si="29"/>
        <v>7.2553542009884682</v>
      </c>
      <c r="AZ17" s="50">
        <v>2.111716621253406E-2</v>
      </c>
      <c r="BA17" s="49">
        <f t="shared" si="19"/>
        <v>93</v>
      </c>
      <c r="BB17" s="9" t="s">
        <v>5319</v>
      </c>
      <c r="BC17" s="9">
        <f t="shared" si="20"/>
        <v>33</v>
      </c>
      <c r="BD17" s="38">
        <f t="shared" si="21"/>
        <v>0</v>
      </c>
      <c r="BE17" s="9" t="e">
        <f t="shared" si="22"/>
        <v>#N/A</v>
      </c>
      <c r="BF17" s="9" t="e">
        <f t="shared" si="23"/>
        <v>#N/A</v>
      </c>
      <c r="BG17" s="75" t="e">
        <f t="shared" si="24"/>
        <v>#N/A</v>
      </c>
    </row>
    <row r="18" spans="1:59">
      <c r="A18" s="12" t="s">
        <v>1713</v>
      </c>
      <c r="B18" s="54" t="str">
        <f t="shared" si="0"/>
        <v>AZ_Maric_2020g</v>
      </c>
      <c r="C18" s="12"/>
      <c r="D18" s="54" t="str">
        <f t="shared" si="1"/>
        <v>Gen-appeals court thumma, samuel (vote for1)</v>
      </c>
      <c r="E18" s="54" t="s">
        <v>1982</v>
      </c>
      <c r="F18" s="12" t="s">
        <v>1300</v>
      </c>
      <c r="G18" s="59">
        <v>327781</v>
      </c>
      <c r="H18"/>
      <c r="K18" s="2"/>
      <c r="O18">
        <f t="shared" si="2"/>
        <v>2</v>
      </c>
      <c r="P18" s="57">
        <f t="shared" si="3"/>
        <v>1</v>
      </c>
      <c r="Q18" s="267">
        <f t="shared" si="4"/>
        <v>327781</v>
      </c>
      <c r="R18" s="23" t="str">
        <f t="shared" si="5"/>
        <v/>
      </c>
      <c r="S18" s="23">
        <f t="shared" si="6"/>
        <v>327781</v>
      </c>
      <c r="T18" s="23" t="str">
        <f t="shared" si="7"/>
        <v/>
      </c>
      <c r="U18" t="str">
        <f t="shared" si="8"/>
        <v/>
      </c>
      <c r="W18" s="1">
        <f t="shared" si="9"/>
        <v>17</v>
      </c>
      <c r="X18" s="73">
        <f t="shared" si="25"/>
        <v>273.75076674737693</v>
      </c>
      <c r="Y18" s="322">
        <f t="shared" si="10"/>
        <v>1258.2380000000001</v>
      </c>
      <c r="Z18" s="43">
        <f t="shared" si="11"/>
        <v>1.6076315148310409</v>
      </c>
      <c r="AA18" s="52">
        <f t="shared" si="12"/>
        <v>1.607631514831041E-2</v>
      </c>
      <c r="AB18" s="8">
        <f t="shared" si="13"/>
        <v>20895.63</v>
      </c>
      <c r="AC18" s="8">
        <f t="shared" si="14"/>
        <v>2089563</v>
      </c>
      <c r="AD18" s="8">
        <f t="shared" si="26"/>
        <v>10447.815000000001</v>
      </c>
      <c r="AE18" s="8" t="str">
        <f t="shared" si="15"/>
        <v/>
      </c>
      <c r="AF18" s="22" t="str">
        <f t="shared" si="16"/>
        <v>AZ_Maric_2020g</v>
      </c>
      <c r="AG18">
        <v>3</v>
      </c>
      <c r="AH18" s="272">
        <v>18235.333333333332</v>
      </c>
      <c r="AI18" s="273">
        <v>13104</v>
      </c>
      <c r="AJ18" s="274">
        <v>12691</v>
      </c>
      <c r="AK18" s="339">
        <v>413</v>
      </c>
      <c r="AL18" s="340" t="s">
        <v>1650</v>
      </c>
      <c r="AM18" s="353">
        <f t="shared" si="17"/>
        <v>1.9764898210774214E-4</v>
      </c>
      <c r="AN18" s="354"/>
      <c r="AP18" s="23">
        <f t="shared" si="27"/>
        <v>0</v>
      </c>
      <c r="AQ18" s="392">
        <f t="shared" si="28"/>
        <v>0</v>
      </c>
      <c r="AR18" s="392">
        <f t="shared" si="28"/>
        <v>0</v>
      </c>
      <c r="AS18" s="392">
        <f t="shared" si="28"/>
        <v>0</v>
      </c>
      <c r="AU18" s="9" t="s">
        <v>5941</v>
      </c>
      <c r="AV18" s="9">
        <v>2094</v>
      </c>
      <c r="AW18" s="90">
        <v>1.0214899713467049</v>
      </c>
      <c r="AX18" s="38">
        <v>2139</v>
      </c>
      <c r="AY18" s="38">
        <f t="shared" si="29"/>
        <v>2.5253837072018892</v>
      </c>
      <c r="AZ18" s="50">
        <v>1.1220196353436185E-2</v>
      </c>
      <c r="BA18" s="49">
        <f t="shared" si="19"/>
        <v>24</v>
      </c>
      <c r="BB18" s="9" t="s">
        <v>5319</v>
      </c>
      <c r="BC18" s="9">
        <f t="shared" si="20"/>
        <v>33</v>
      </c>
      <c r="BD18" s="38">
        <f t="shared" si="21"/>
        <v>0</v>
      </c>
      <c r="BE18" s="9" t="e">
        <f t="shared" si="22"/>
        <v>#N/A</v>
      </c>
      <c r="BF18" s="9" t="e">
        <f t="shared" si="23"/>
        <v>#N/A</v>
      </c>
      <c r="BG18" s="75" t="e">
        <f t="shared" si="24"/>
        <v>#N/A</v>
      </c>
    </row>
    <row r="19" spans="1:59">
      <c r="A19" s="12" t="s">
        <v>1714</v>
      </c>
      <c r="B19" s="54" t="str">
        <f t="shared" si="0"/>
        <v>AZ_Maric_2020g</v>
      </c>
      <c r="C19" s="12"/>
      <c r="D19" s="54" t="str">
        <f t="shared" si="1"/>
        <v>Gen-appeals court weinzweig, david (vote for1)</v>
      </c>
      <c r="E19" s="54" t="s">
        <v>1981</v>
      </c>
      <c r="F19" s="12" t="s">
        <v>1300</v>
      </c>
      <c r="G19" s="59">
        <v>831025</v>
      </c>
      <c r="H19"/>
      <c r="K19" s="2"/>
      <c r="O19">
        <f t="shared" si="2"/>
        <v>1</v>
      </c>
      <c r="P19" s="57">
        <f t="shared" si="3"/>
        <v>1</v>
      </c>
      <c r="Q19" s="267">
        <f t="shared" si="4"/>
        <v>1334265</v>
      </c>
      <c r="R19" s="23">
        <f t="shared" si="5"/>
        <v>831025</v>
      </c>
      <c r="S19" s="23">
        <f t="shared" si="6"/>
        <v>503240</v>
      </c>
      <c r="T19" s="23">
        <f t="shared" si="7"/>
        <v>327785</v>
      </c>
      <c r="U19" t="str">
        <f t="shared" si="8"/>
        <v>AZ_Maric_2020g~Gen-appeals court weinzweig, david (vote for1)</v>
      </c>
      <c r="W19" s="1">
        <f t="shared" si="9"/>
        <v>18</v>
      </c>
      <c r="X19" s="73">
        <f t="shared" si="25"/>
        <v>8.7149674620390449</v>
      </c>
      <c r="Y19" s="322">
        <f t="shared" si="10"/>
        <v>44.712000000000003</v>
      </c>
      <c r="Z19" s="43">
        <f t="shared" si="11"/>
        <v>0.99467580544149137</v>
      </c>
      <c r="AA19" s="52">
        <f t="shared" si="12"/>
        <v>9.9467580544149135E-3</v>
      </c>
      <c r="AB19" s="8">
        <f t="shared" si="13"/>
        <v>20895.63</v>
      </c>
      <c r="AC19" s="8">
        <f t="shared" si="14"/>
        <v>2089563</v>
      </c>
      <c r="AD19" s="8">
        <f t="shared" si="26"/>
        <v>10447.815000000001</v>
      </c>
      <c r="AE19" s="8" t="str">
        <f t="shared" si="15"/>
        <v/>
      </c>
      <c r="AF19" s="22" t="str">
        <f t="shared" si="16"/>
        <v>AZ_Maric_2020g</v>
      </c>
      <c r="AG19">
        <v>1</v>
      </c>
      <c r="AH19" s="272">
        <v>648</v>
      </c>
      <c r="AI19" s="273">
        <v>554</v>
      </c>
      <c r="AJ19" s="274">
        <v>93</v>
      </c>
      <c r="AK19" s="339">
        <v>461</v>
      </c>
      <c r="AL19" s="340" t="s">
        <v>1532</v>
      </c>
      <c r="AM19" s="353">
        <f t="shared" si="17"/>
        <v>2.2062029237692284E-4</v>
      </c>
      <c r="AN19" s="354"/>
      <c r="AP19" s="23">
        <f t="shared" si="27"/>
        <v>0</v>
      </c>
      <c r="AQ19" s="392">
        <f t="shared" si="28"/>
        <v>0</v>
      </c>
      <c r="AR19" s="392">
        <f t="shared" si="28"/>
        <v>0</v>
      </c>
      <c r="AS19" s="392">
        <f t="shared" si="28"/>
        <v>0</v>
      </c>
      <c r="AU19" s="9" t="s">
        <v>5933</v>
      </c>
      <c r="AV19" s="9">
        <v>1750</v>
      </c>
      <c r="AW19" s="90">
        <v>1.0108571428571429</v>
      </c>
      <c r="AX19" s="38">
        <v>1769</v>
      </c>
      <c r="AY19" s="38">
        <f t="shared" si="29"/>
        <v>9.3597883597883591</v>
      </c>
      <c r="AZ19" s="50">
        <v>3.3352176370830981E-2</v>
      </c>
      <c r="BA19" s="49">
        <f t="shared" si="19"/>
        <v>59.000000000000007</v>
      </c>
      <c r="BB19" s="9" t="s">
        <v>5319</v>
      </c>
      <c r="BC19" s="9">
        <f t="shared" si="20"/>
        <v>33</v>
      </c>
      <c r="BD19" s="38">
        <f t="shared" si="21"/>
        <v>0</v>
      </c>
      <c r="BE19" s="9" t="e">
        <f t="shared" si="22"/>
        <v>#N/A</v>
      </c>
      <c r="BF19" s="9" t="e">
        <f t="shared" si="23"/>
        <v>#N/A</v>
      </c>
      <c r="BG19" s="75" t="e">
        <f t="shared" si="24"/>
        <v>#N/A</v>
      </c>
    </row>
    <row r="20" spans="1:59">
      <c r="A20" s="12" t="s">
        <v>1714</v>
      </c>
      <c r="B20" s="54" t="str">
        <f t="shared" si="0"/>
        <v>AZ_Maric_2020g</v>
      </c>
      <c r="C20" s="12"/>
      <c r="D20" s="54" t="str">
        <f t="shared" si="1"/>
        <v>Gen-appeals court weinzweig, david (vote for1)</v>
      </c>
      <c r="E20" s="54" t="s">
        <v>1982</v>
      </c>
      <c r="F20" s="12" t="s">
        <v>1300</v>
      </c>
      <c r="G20" s="59">
        <v>503240</v>
      </c>
      <c r="H20"/>
      <c r="K20" s="2"/>
      <c r="O20">
        <f t="shared" si="2"/>
        <v>2</v>
      </c>
      <c r="P20" s="57">
        <f t="shared" si="3"/>
        <v>1</v>
      </c>
      <c r="Q20" s="267">
        <f t="shared" si="4"/>
        <v>503240</v>
      </c>
      <c r="R20" s="23" t="str">
        <f t="shared" si="5"/>
        <v/>
      </c>
      <c r="S20" s="23">
        <f t="shared" si="6"/>
        <v>503240</v>
      </c>
      <c r="T20" s="23" t="str">
        <f t="shared" si="7"/>
        <v/>
      </c>
      <c r="U20" t="str">
        <f t="shared" si="8"/>
        <v/>
      </c>
      <c r="W20" s="1">
        <f t="shared" si="9"/>
        <v>19</v>
      </c>
      <c r="X20" s="73">
        <f t="shared" si="25"/>
        <v>710.50983606557384</v>
      </c>
      <c r="Y20" s="322">
        <f t="shared" si="10"/>
        <v>3858.7560000000003</v>
      </c>
      <c r="Z20" s="43">
        <f t="shared" si="11"/>
        <v>0.75926854921297049</v>
      </c>
      <c r="AA20" s="52">
        <f t="shared" si="12"/>
        <v>7.5926854921297051E-3</v>
      </c>
      <c r="AB20" s="8">
        <f t="shared" si="13"/>
        <v>20895.63</v>
      </c>
      <c r="AC20" s="8">
        <f t="shared" si="14"/>
        <v>2089563</v>
      </c>
      <c r="AD20" s="8">
        <f t="shared" si="26"/>
        <v>10447.815000000001</v>
      </c>
      <c r="AE20" s="8" t="str">
        <f t="shared" si="15"/>
        <v/>
      </c>
      <c r="AF20" s="22" t="str">
        <f t="shared" si="16"/>
        <v>AZ_Maric_2020g</v>
      </c>
      <c r="AG20">
        <v>3</v>
      </c>
      <c r="AH20" s="272">
        <v>55924</v>
      </c>
      <c r="AI20" s="273">
        <v>33212</v>
      </c>
      <c r="AJ20" s="274">
        <v>32724</v>
      </c>
      <c r="AK20" s="339">
        <v>488</v>
      </c>
      <c r="AL20" s="340" t="s">
        <v>1645</v>
      </c>
      <c r="AM20" s="353">
        <f t="shared" si="17"/>
        <v>2.3354165440333697E-4</v>
      </c>
      <c r="AN20" s="354"/>
      <c r="AP20" s="23">
        <f t="shared" si="27"/>
        <v>0</v>
      </c>
      <c r="AQ20" s="392">
        <f t="shared" si="28"/>
        <v>0</v>
      </c>
      <c r="AR20" s="392">
        <f t="shared" si="28"/>
        <v>0</v>
      </c>
      <c r="AS20" s="392">
        <f t="shared" si="28"/>
        <v>0</v>
      </c>
      <c r="AU20" s="9" t="s">
        <v>5921</v>
      </c>
      <c r="AV20" s="9">
        <v>3635</v>
      </c>
      <c r="AW20" s="90">
        <v>1.0096286107290233</v>
      </c>
      <c r="AX20" s="38">
        <v>3669.9999999999995</v>
      </c>
      <c r="AY20" s="38">
        <f t="shared" si="29"/>
        <v>4.3899521531100474</v>
      </c>
      <c r="AZ20" s="50">
        <v>1.1989100817438694E-2</v>
      </c>
      <c r="BA20" s="49">
        <f t="shared" si="19"/>
        <v>44</v>
      </c>
      <c r="BB20" s="9" t="s">
        <v>5319</v>
      </c>
      <c r="BC20" s="9">
        <f t="shared" si="20"/>
        <v>33</v>
      </c>
      <c r="BD20" s="38">
        <f t="shared" si="21"/>
        <v>0</v>
      </c>
      <c r="BE20" s="9" t="e">
        <f t="shared" si="22"/>
        <v>#N/A</v>
      </c>
      <c r="BF20" s="9" t="e">
        <f t="shared" si="23"/>
        <v>#N/A</v>
      </c>
      <c r="BG20" s="75" t="e">
        <f t="shared" si="24"/>
        <v>#N/A</v>
      </c>
    </row>
    <row r="21" spans="1:59">
      <c r="A21" s="12" t="s">
        <v>1653</v>
      </c>
      <c r="B21" s="54" t="str">
        <f t="shared" si="0"/>
        <v>AZ_Maric_2020g</v>
      </c>
      <c r="C21" s="12"/>
      <c r="D21" s="54" t="str">
        <f t="shared" si="1"/>
        <v>Gen-arlington esd #47-gbm-4yr (vote for3)</v>
      </c>
      <c r="E21" s="54" t="s">
        <v>2092</v>
      </c>
      <c r="F21" s="12" t="s">
        <v>1300</v>
      </c>
      <c r="G21" s="59">
        <v>239</v>
      </c>
      <c r="H21"/>
      <c r="K21" s="2"/>
      <c r="O21">
        <f t="shared" si="2"/>
        <v>1</v>
      </c>
      <c r="P21" s="57">
        <f t="shared" si="3"/>
        <v>3</v>
      </c>
      <c r="Q21" s="267">
        <f t="shared" si="4"/>
        <v>279.33333333333331</v>
      </c>
      <c r="R21" s="23">
        <f t="shared" si="5"/>
        <v>186</v>
      </c>
      <c r="S21" s="23">
        <f t="shared" si="6"/>
        <v>177</v>
      </c>
      <c r="T21" s="23">
        <f t="shared" si="7"/>
        <v>9</v>
      </c>
      <c r="U21" t="str">
        <f t="shared" si="8"/>
        <v>AZ_Maric_2020g~Gen-arlington esd #47-gbm-4yr (vote for3)</v>
      </c>
      <c r="W21" s="1">
        <f t="shared" si="9"/>
        <v>20</v>
      </c>
      <c r="X21" s="73">
        <f t="shared" si="25"/>
        <v>1500.9239436619719</v>
      </c>
      <c r="Y21" s="322">
        <f t="shared" si="10"/>
        <v>8301.8040000000001</v>
      </c>
      <c r="Z21" s="43">
        <f t="shared" si="11"/>
        <v>0.69390448199832033</v>
      </c>
      <c r="AA21" s="52">
        <f t="shared" si="12"/>
        <v>6.939044819983203E-3</v>
      </c>
      <c r="AB21" s="8">
        <f t="shared" si="13"/>
        <v>20895.63</v>
      </c>
      <c r="AC21" s="8">
        <f t="shared" si="14"/>
        <v>2089563</v>
      </c>
      <c r="AD21" s="8">
        <f t="shared" si="26"/>
        <v>10447.815000000001</v>
      </c>
      <c r="AE21" s="8" t="str">
        <f t="shared" si="15"/>
        <v/>
      </c>
      <c r="AF21" s="22" t="str">
        <f t="shared" si="16"/>
        <v>AZ_Maric_2020g</v>
      </c>
      <c r="AG21">
        <v>1</v>
      </c>
      <c r="AH21" s="272">
        <v>120316</v>
      </c>
      <c r="AI21" s="273">
        <v>60339</v>
      </c>
      <c r="AJ21" s="274">
        <v>59842</v>
      </c>
      <c r="AK21" s="339">
        <v>497</v>
      </c>
      <c r="AL21" s="340" t="s">
        <v>1574</v>
      </c>
      <c r="AM21" s="353">
        <f t="shared" si="17"/>
        <v>2.3784877507880835E-4</v>
      </c>
      <c r="AN21" s="354"/>
      <c r="AP21" s="23">
        <f t="shared" si="27"/>
        <v>0</v>
      </c>
      <c r="AQ21" s="392">
        <f t="shared" si="28"/>
        <v>0</v>
      </c>
      <c r="AR21" s="392">
        <f t="shared" si="28"/>
        <v>0</v>
      </c>
      <c r="AS21" s="392">
        <f t="shared" si="28"/>
        <v>0</v>
      </c>
      <c r="AU21" s="9" t="s">
        <v>5913</v>
      </c>
      <c r="AV21" s="9">
        <v>19370</v>
      </c>
      <c r="AW21" s="90">
        <v>1.0094475993804852</v>
      </c>
      <c r="AX21" s="38">
        <v>19553</v>
      </c>
      <c r="AY21" s="38">
        <f t="shared" si="29"/>
        <v>3910.6</v>
      </c>
      <c r="AZ21" s="50">
        <v>2.0457218841098551E-3</v>
      </c>
      <c r="BA21" s="49">
        <f t="shared" si="19"/>
        <v>40</v>
      </c>
      <c r="BB21" s="9" t="s">
        <v>5319</v>
      </c>
      <c r="BC21" s="9">
        <f t="shared" si="20"/>
        <v>33</v>
      </c>
      <c r="BD21" s="38">
        <f t="shared" si="21"/>
        <v>0</v>
      </c>
      <c r="BE21" s="9" t="e">
        <f t="shared" si="22"/>
        <v>#N/A</v>
      </c>
      <c r="BF21" s="9" t="e">
        <f t="shared" si="23"/>
        <v>#N/A</v>
      </c>
      <c r="BG21" s="75" t="e">
        <f t="shared" si="24"/>
        <v>#N/A</v>
      </c>
    </row>
    <row r="22" spans="1:59">
      <c r="A22" s="12" t="s">
        <v>1653</v>
      </c>
      <c r="B22" s="54" t="str">
        <f t="shared" si="0"/>
        <v>AZ_Maric_2020g</v>
      </c>
      <c r="C22" s="12"/>
      <c r="D22" s="54" t="str">
        <f t="shared" si="1"/>
        <v>Gen-arlington esd #47-gbm-4yr (vote for3)</v>
      </c>
      <c r="E22" s="54" t="s">
        <v>2094</v>
      </c>
      <c r="F22" s="12" t="s">
        <v>1300</v>
      </c>
      <c r="G22" s="59">
        <v>233</v>
      </c>
      <c r="H22"/>
      <c r="K22" s="2"/>
      <c r="O22">
        <f t="shared" si="2"/>
        <v>2</v>
      </c>
      <c r="P22" s="57">
        <f t="shared" si="3"/>
        <v>3</v>
      </c>
      <c r="Q22" s="267">
        <f t="shared" si="4"/>
        <v>599</v>
      </c>
      <c r="R22" s="23">
        <f t="shared" si="5"/>
        <v>186</v>
      </c>
      <c r="S22" s="23">
        <f t="shared" si="6"/>
        <v>177</v>
      </c>
      <c r="T22" s="23" t="str">
        <f t="shared" si="7"/>
        <v/>
      </c>
      <c r="U22" t="str">
        <f t="shared" si="8"/>
        <v/>
      </c>
      <c r="W22" s="1">
        <f t="shared" si="9"/>
        <v>21</v>
      </c>
      <c r="X22" s="73">
        <f t="shared" si="25"/>
        <v>591.86817391304351</v>
      </c>
      <c r="Y22" s="322">
        <f t="shared" si="10"/>
        <v>3787.4790000000003</v>
      </c>
      <c r="Z22" s="43">
        <f t="shared" si="11"/>
        <v>0.31802633235059358</v>
      </c>
      <c r="AA22" s="52">
        <f t="shared" si="12"/>
        <v>3.180263323505936E-3</v>
      </c>
      <c r="AB22" s="8">
        <f t="shared" si="13"/>
        <v>20895.63</v>
      </c>
      <c r="AC22" s="8">
        <f t="shared" si="14"/>
        <v>2089563</v>
      </c>
      <c r="AD22" s="8">
        <f t="shared" si="26"/>
        <v>10447.815000000001</v>
      </c>
      <c r="AE22" s="8" t="str">
        <f t="shared" si="15"/>
        <v/>
      </c>
      <c r="AF22" s="22" t="str">
        <f t="shared" si="16"/>
        <v>AZ_Maric_2020g</v>
      </c>
      <c r="AG22">
        <v>3</v>
      </c>
      <c r="AH22" s="272">
        <v>54891</v>
      </c>
      <c r="AI22" s="273">
        <v>25426</v>
      </c>
      <c r="AJ22" s="274">
        <v>24851</v>
      </c>
      <c r="AK22" s="339">
        <v>575</v>
      </c>
      <c r="AL22" s="340" t="s">
        <v>1668</v>
      </c>
      <c r="AM22" s="353">
        <f t="shared" si="17"/>
        <v>2.7517715426622695E-4</v>
      </c>
      <c r="AN22" s="354"/>
      <c r="AO22" s="356"/>
      <c r="AP22" s="23">
        <f t="shared" si="27"/>
        <v>0</v>
      </c>
      <c r="AQ22" s="392">
        <f t="shared" si="28"/>
        <v>0</v>
      </c>
      <c r="AR22" s="392">
        <f t="shared" si="28"/>
        <v>0</v>
      </c>
      <c r="AS22" s="392">
        <f t="shared" si="28"/>
        <v>0</v>
      </c>
      <c r="AU22" s="9" t="s">
        <v>5639</v>
      </c>
      <c r="AV22" s="9">
        <v>393829</v>
      </c>
      <c r="AW22" s="90">
        <v>2.9999415990188636</v>
      </c>
      <c r="AX22" s="38">
        <v>1181464</v>
      </c>
      <c r="AY22" s="38">
        <f t="shared" si="29"/>
        <v>1969106.6666666667</v>
      </c>
      <c r="AZ22" s="50">
        <v>4.4267112666996201E-4</v>
      </c>
      <c r="BA22" s="49">
        <f t="shared" si="19"/>
        <v>523</v>
      </c>
      <c r="BB22" s="9" t="s">
        <v>5319</v>
      </c>
      <c r="BC22" s="9">
        <f t="shared" si="20"/>
        <v>35</v>
      </c>
      <c r="BD22" s="38">
        <f t="shared" si="21"/>
        <v>710.20546164694952</v>
      </c>
      <c r="BE22" s="9">
        <f t="shared" si="22"/>
        <v>2334.27</v>
      </c>
      <c r="BF22" s="9">
        <f t="shared" si="23"/>
        <v>-2299.27</v>
      </c>
      <c r="BG22" s="75">
        <f t="shared" si="24"/>
        <v>66.693428571428569</v>
      </c>
    </row>
    <row r="23" spans="1:59">
      <c r="A23" s="12" t="s">
        <v>1653</v>
      </c>
      <c r="B23" s="54" t="str">
        <f t="shared" si="0"/>
        <v>AZ_Maric_2020g</v>
      </c>
      <c r="C23" s="12"/>
      <c r="D23" s="54" t="str">
        <f t="shared" si="1"/>
        <v>Gen-arlington esd #47-gbm-4yr (vote for3)</v>
      </c>
      <c r="E23" s="54" t="s">
        <v>2093</v>
      </c>
      <c r="F23" s="12" t="s">
        <v>1300</v>
      </c>
      <c r="G23" s="59">
        <v>186</v>
      </c>
      <c r="H23"/>
      <c r="K23" s="2"/>
      <c r="O23">
        <f t="shared" si="2"/>
        <v>3</v>
      </c>
      <c r="P23" s="57">
        <f t="shared" si="3"/>
        <v>3</v>
      </c>
      <c r="Q23" s="267">
        <f t="shared" si="4"/>
        <v>366</v>
      </c>
      <c r="R23" s="23">
        <f t="shared" si="5"/>
        <v>186</v>
      </c>
      <c r="S23" s="23">
        <f t="shared" si="6"/>
        <v>177</v>
      </c>
      <c r="T23" s="23" t="str">
        <f t="shared" si="7"/>
        <v/>
      </c>
      <c r="U23" t="str">
        <f t="shared" si="8"/>
        <v/>
      </c>
      <c r="W23" s="1">
        <f t="shared" si="9"/>
        <v>22</v>
      </c>
      <c r="X23" s="73">
        <f t="shared" si="25"/>
        <v>56.095238095238102</v>
      </c>
      <c r="Y23" s="322">
        <f t="shared" si="10"/>
        <v>367.08000000000004</v>
      </c>
      <c r="Z23" s="43">
        <f t="shared" si="11"/>
        <v>0.27924736390533722</v>
      </c>
      <c r="AA23" s="52">
        <f t="shared" si="12"/>
        <v>2.792473639053372E-3</v>
      </c>
      <c r="AB23" s="8">
        <f t="shared" si="13"/>
        <v>20895.63</v>
      </c>
      <c r="AC23" s="8">
        <f t="shared" si="14"/>
        <v>2089563</v>
      </c>
      <c r="AD23" s="8">
        <f t="shared" si="26"/>
        <v>10447.815000000001</v>
      </c>
      <c r="AE23" s="8" t="str">
        <f t="shared" si="15"/>
        <v/>
      </c>
      <c r="AF23" s="22" t="str">
        <f t="shared" si="16"/>
        <v>AZ_Maric_2020g</v>
      </c>
      <c r="AG23">
        <v>1</v>
      </c>
      <c r="AH23" s="272">
        <v>5320</v>
      </c>
      <c r="AI23" s="273">
        <v>2954</v>
      </c>
      <c r="AJ23" s="274">
        <v>2366</v>
      </c>
      <c r="AK23" s="339">
        <v>588</v>
      </c>
      <c r="AL23" s="340" t="s">
        <v>1670</v>
      </c>
      <c r="AM23" s="353">
        <f t="shared" si="17"/>
        <v>2.8139855079746339E-4</v>
      </c>
      <c r="AN23" s="354"/>
      <c r="AP23" s="23">
        <f t="shared" si="27"/>
        <v>0</v>
      </c>
      <c r="AQ23" s="392">
        <f t="shared" si="28"/>
        <v>0</v>
      </c>
      <c r="AR23" s="392">
        <f t="shared" si="28"/>
        <v>0</v>
      </c>
      <c r="AS23" s="392">
        <f t="shared" si="28"/>
        <v>0</v>
      </c>
      <c r="AU23" s="9" t="s">
        <v>5934</v>
      </c>
      <c r="AV23" s="9">
        <v>1449</v>
      </c>
      <c r="AW23" s="90">
        <v>1.0351966873706004</v>
      </c>
      <c r="AX23" s="38">
        <v>1500</v>
      </c>
      <c r="AY23" s="38">
        <f t="shared" si="29"/>
        <v>2.2488755622188905</v>
      </c>
      <c r="AZ23" s="50">
        <v>3.4666666666666665E-2</v>
      </c>
      <c r="BA23" s="49">
        <f t="shared" si="19"/>
        <v>52</v>
      </c>
      <c r="BB23" s="9" t="s">
        <v>5319</v>
      </c>
      <c r="BC23" s="9">
        <f t="shared" si="20"/>
        <v>35</v>
      </c>
      <c r="BD23" s="38">
        <f t="shared" si="21"/>
        <v>0</v>
      </c>
      <c r="BE23" s="9" t="e">
        <f t="shared" si="22"/>
        <v>#N/A</v>
      </c>
      <c r="BF23" s="9" t="e">
        <f t="shared" si="23"/>
        <v>#N/A</v>
      </c>
      <c r="BG23" s="75" t="e">
        <f t="shared" si="24"/>
        <v>#N/A</v>
      </c>
    </row>
    <row r="24" spans="1:59">
      <c r="A24" s="12" t="s">
        <v>1653</v>
      </c>
      <c r="B24" s="54" t="str">
        <f t="shared" si="0"/>
        <v>AZ_Maric_2020g</v>
      </c>
      <c r="C24" s="12"/>
      <c r="D24" s="54" t="str">
        <f t="shared" si="1"/>
        <v>Gen-arlington esd #47-gbm-4yr (vote for3)</v>
      </c>
      <c r="E24" s="54" t="s">
        <v>2091</v>
      </c>
      <c r="F24" s="12" t="s">
        <v>1300</v>
      </c>
      <c r="G24" s="59">
        <v>177</v>
      </c>
      <c r="H24"/>
      <c r="K24" s="2"/>
      <c r="O24">
        <f t="shared" si="2"/>
        <v>4</v>
      </c>
      <c r="P24" s="57">
        <f t="shared" si="3"/>
        <v>3</v>
      </c>
      <c r="Q24" s="267">
        <f t="shared" si="4"/>
        <v>180</v>
      </c>
      <c r="R24" s="23" t="str">
        <f t="shared" si="5"/>
        <v/>
      </c>
      <c r="S24" s="23">
        <f t="shared" si="6"/>
        <v>177</v>
      </c>
      <c r="T24" s="23" t="str">
        <f t="shared" si="7"/>
        <v/>
      </c>
      <c r="U24" t="str">
        <f t="shared" si="8"/>
        <v/>
      </c>
      <c r="W24" s="1">
        <f t="shared" si="9"/>
        <v>23</v>
      </c>
      <c r="X24" s="73">
        <f t="shared" si="25"/>
        <v>21.836610169491525</v>
      </c>
      <c r="Y24" s="322">
        <f t="shared" si="10"/>
        <v>143.38200000000001</v>
      </c>
      <c r="Z24" s="43">
        <f t="shared" si="11"/>
        <v>0.27371635209725942</v>
      </c>
      <c r="AA24" s="52">
        <f t="shared" si="12"/>
        <v>2.737163520972594E-3</v>
      </c>
      <c r="AB24" s="8">
        <f t="shared" si="13"/>
        <v>20895.63</v>
      </c>
      <c r="AC24" s="8">
        <f t="shared" si="14"/>
        <v>2089563</v>
      </c>
      <c r="AD24" s="8">
        <f t="shared" si="26"/>
        <v>10447.815000000001</v>
      </c>
      <c r="AE24" s="8" t="str">
        <f t="shared" si="15"/>
        <v/>
      </c>
      <c r="AF24" s="22" t="str">
        <f t="shared" si="16"/>
        <v>AZ_Maric_2020g</v>
      </c>
      <c r="AG24">
        <v>1</v>
      </c>
      <c r="AH24" s="272">
        <v>2078</v>
      </c>
      <c r="AI24" s="273">
        <v>1334</v>
      </c>
      <c r="AJ24" s="274">
        <v>744</v>
      </c>
      <c r="AK24" s="339">
        <v>590</v>
      </c>
      <c r="AL24" s="340" t="s">
        <v>1704</v>
      </c>
      <c r="AM24" s="353">
        <f t="shared" si="17"/>
        <v>2.8235568872534594E-4</v>
      </c>
      <c r="AN24" s="354"/>
      <c r="AP24" s="23">
        <f t="shared" si="27"/>
        <v>0</v>
      </c>
      <c r="AQ24" s="392">
        <f t="shared" si="28"/>
        <v>0</v>
      </c>
      <c r="AR24" s="392">
        <f t="shared" si="28"/>
        <v>0</v>
      </c>
      <c r="AS24" s="392">
        <f t="shared" si="28"/>
        <v>0</v>
      </c>
      <c r="AU24" s="9" t="s">
        <v>5640</v>
      </c>
      <c r="AV24" s="9">
        <v>231605</v>
      </c>
      <c r="AW24" s="90">
        <v>1.0115152954383539</v>
      </c>
      <c r="AX24" s="38">
        <v>234271.99999999997</v>
      </c>
      <c r="AY24" s="38">
        <f t="shared" si="29"/>
        <v>263.5230596175478</v>
      </c>
      <c r="AZ24" s="50">
        <v>1.0884783499521924E-3</v>
      </c>
      <c r="BA24" s="49">
        <f t="shared" si="19"/>
        <v>254.99999999999997</v>
      </c>
      <c r="BB24" s="9" t="s">
        <v>5319</v>
      </c>
      <c r="BC24" s="9">
        <f t="shared" si="20"/>
        <v>16</v>
      </c>
      <c r="BD24" s="38">
        <f t="shared" si="21"/>
        <v>1557.9987161817537</v>
      </c>
      <c r="BE24" s="9">
        <f t="shared" si="22"/>
        <v>1802.3950000000002</v>
      </c>
      <c r="BF24" s="9">
        <f t="shared" si="23"/>
        <v>-1786.3950000000002</v>
      </c>
      <c r="BG24" s="75">
        <f t="shared" si="24"/>
        <v>112.64968750000001</v>
      </c>
    </row>
    <row r="25" spans="1:59">
      <c r="A25" s="12" t="s">
        <v>1653</v>
      </c>
      <c r="B25" s="54" t="str">
        <f t="shared" si="0"/>
        <v>AZ_Maric_2020g</v>
      </c>
      <c r="C25" s="12"/>
      <c r="D25" s="54" t="str">
        <f t="shared" si="1"/>
        <v>Gen-arlington esd #47-gbm-4yr (vote for3)</v>
      </c>
      <c r="E25" s="54" t="s">
        <v>1299</v>
      </c>
      <c r="G25" s="59">
        <v>3</v>
      </c>
      <c r="H25"/>
      <c r="K25" s="2"/>
      <c r="O25">
        <f t="shared" si="2"/>
        <v>-4</v>
      </c>
      <c r="P25" s="57">
        <f t="shared" si="3"/>
        <v>3</v>
      </c>
      <c r="Q25" s="267">
        <f t="shared" si="4"/>
        <v>3</v>
      </c>
      <c r="R25" s="23">
        <f t="shared" si="5"/>
        <v>1</v>
      </c>
      <c r="S25" s="23">
        <f t="shared" si="6"/>
        <v>0</v>
      </c>
      <c r="T25" s="23" t="str">
        <f t="shared" si="7"/>
        <v/>
      </c>
      <c r="U25" t="str">
        <f t="shared" si="8"/>
        <v/>
      </c>
      <c r="W25" s="1">
        <f t="shared" si="9"/>
        <v>24</v>
      </c>
      <c r="X25" s="73">
        <f t="shared" si="25"/>
        <v>17.599999999999998</v>
      </c>
      <c r="Y25" s="322">
        <f t="shared" si="10"/>
        <v>121.44000000000001</v>
      </c>
      <c r="Z25" s="43">
        <f t="shared" si="11"/>
        <v>0.20275644358667336</v>
      </c>
      <c r="AA25" s="52">
        <f t="shared" si="12"/>
        <v>2.0275644358667337E-3</v>
      </c>
      <c r="AB25" s="8">
        <f t="shared" si="13"/>
        <v>20895.63</v>
      </c>
      <c r="AC25" s="8">
        <f t="shared" si="14"/>
        <v>2089563</v>
      </c>
      <c r="AD25" s="8">
        <f t="shared" si="26"/>
        <v>10447.815000000001</v>
      </c>
      <c r="AE25" s="8" t="str">
        <f t="shared" si="15"/>
        <v/>
      </c>
      <c r="AF25" s="22" t="str">
        <f t="shared" si="16"/>
        <v>AZ_Maric_2020g</v>
      </c>
      <c r="AG25" s="23">
        <v>1</v>
      </c>
      <c r="AH25" s="8">
        <v>1760</v>
      </c>
      <c r="AI25" s="273">
        <v>1190</v>
      </c>
      <c r="AJ25" s="274">
        <v>570</v>
      </c>
      <c r="AK25" s="339">
        <v>620</v>
      </c>
      <c r="AL25" s="340" t="s">
        <v>1628</v>
      </c>
      <c r="AM25" s="353">
        <f t="shared" si="17"/>
        <v>2.9671275764358386E-4</v>
      </c>
      <c r="AN25" s="354"/>
      <c r="AP25" s="23">
        <f t="shared" si="27"/>
        <v>0</v>
      </c>
      <c r="AQ25" s="392">
        <f t="shared" si="28"/>
        <v>0</v>
      </c>
      <c r="AR25" s="392">
        <f t="shared" si="28"/>
        <v>0</v>
      </c>
      <c r="AS25" s="392">
        <f t="shared" si="28"/>
        <v>0</v>
      </c>
      <c r="AU25" s="9" t="s">
        <v>5914</v>
      </c>
      <c r="AV25" s="9">
        <v>29140</v>
      </c>
      <c r="AW25" s="90">
        <v>2.0106039807824296</v>
      </c>
      <c r="AX25" s="38">
        <v>58589</v>
      </c>
      <c r="AY25" s="38">
        <f t="shared" si="29"/>
        <v>106.91423357664233</v>
      </c>
      <c r="AZ25" s="50">
        <v>1.6726689310280086E-3</v>
      </c>
      <c r="BA25" s="49">
        <f t="shared" si="19"/>
        <v>98</v>
      </c>
      <c r="BB25" s="9" t="s">
        <v>5319</v>
      </c>
      <c r="BC25" s="9">
        <f t="shared" si="20"/>
        <v>16</v>
      </c>
      <c r="BD25" s="38">
        <f t="shared" si="21"/>
        <v>0</v>
      </c>
      <c r="BE25" s="9" t="e">
        <f t="shared" si="22"/>
        <v>#N/A</v>
      </c>
      <c r="BF25" s="9" t="e">
        <f t="shared" si="23"/>
        <v>#N/A</v>
      </c>
      <c r="BG25" s="75" t="e">
        <f t="shared" si="24"/>
        <v>#N/A</v>
      </c>
    </row>
    <row r="26" spans="1:59">
      <c r="A26" s="12" t="s">
        <v>1652</v>
      </c>
      <c r="B26" s="54" t="str">
        <f t="shared" si="0"/>
        <v>AZ_Maric_2020g</v>
      </c>
      <c r="C26" s="12"/>
      <c r="D26" s="54" t="str">
        <f t="shared" si="1"/>
        <v>Gen-avondale esd #44-question (vote for1)</v>
      </c>
      <c r="E26" s="54" t="s">
        <v>2015</v>
      </c>
      <c r="F26" s="12" t="s">
        <v>1300</v>
      </c>
      <c r="G26" s="59">
        <v>11912</v>
      </c>
      <c r="H26"/>
      <c r="K26" s="2"/>
      <c r="O26">
        <f t="shared" si="2"/>
        <v>1</v>
      </c>
      <c r="P26" s="57">
        <f t="shared" si="3"/>
        <v>1</v>
      </c>
      <c r="Q26" s="267">
        <f t="shared" si="4"/>
        <v>18519</v>
      </c>
      <c r="R26" s="23">
        <f t="shared" si="5"/>
        <v>11912</v>
      </c>
      <c r="S26" s="23">
        <f t="shared" si="6"/>
        <v>6607</v>
      </c>
      <c r="T26" s="23">
        <f t="shared" si="7"/>
        <v>5305</v>
      </c>
      <c r="U26" t="str">
        <f t="shared" si="8"/>
        <v>AZ_Maric_2020g~Gen-avondale esd #44-question (vote for1)</v>
      </c>
      <c r="W26" s="1">
        <f t="shared" si="9"/>
        <v>25</v>
      </c>
      <c r="X26" s="73">
        <f t="shared" si="25"/>
        <v>118.9902953586498</v>
      </c>
      <c r="Y26" s="322">
        <f t="shared" si="10"/>
        <v>836.92400000000009</v>
      </c>
      <c r="Z26" s="43">
        <f t="shared" si="11"/>
        <v>0.17982236680701</v>
      </c>
      <c r="AA26" s="52">
        <f t="shared" si="12"/>
        <v>1.7982236680700999E-3</v>
      </c>
      <c r="AB26" s="8">
        <f t="shared" si="13"/>
        <v>20895.63</v>
      </c>
      <c r="AC26" s="8">
        <f t="shared" si="14"/>
        <v>2089563</v>
      </c>
      <c r="AD26" s="8">
        <f t="shared" si="26"/>
        <v>10447.815000000001</v>
      </c>
      <c r="AE26" s="8" t="str">
        <f t="shared" si="15"/>
        <v/>
      </c>
      <c r="AF26" s="22" t="str">
        <f t="shared" si="16"/>
        <v>AZ_Maric_2020g</v>
      </c>
      <c r="AG26" s="23">
        <v>3</v>
      </c>
      <c r="AH26" s="8">
        <v>12129.333333333334</v>
      </c>
      <c r="AI26" s="273">
        <v>5980</v>
      </c>
      <c r="AJ26" s="274">
        <v>5348</v>
      </c>
      <c r="AK26" s="339">
        <v>632</v>
      </c>
      <c r="AL26" s="340" t="s">
        <v>1626</v>
      </c>
      <c r="AM26" s="353">
        <f t="shared" si="17"/>
        <v>3.0245558521087903E-4</v>
      </c>
      <c r="AN26" s="354"/>
      <c r="AP26" s="23">
        <f t="shared" si="27"/>
        <v>0</v>
      </c>
      <c r="AQ26" s="392">
        <f t="shared" si="28"/>
        <v>0</v>
      </c>
      <c r="AR26" s="392">
        <f t="shared" si="28"/>
        <v>0</v>
      </c>
      <c r="AS26" s="392">
        <f t="shared" si="28"/>
        <v>0</v>
      </c>
      <c r="AU26" s="9" t="s">
        <v>5638</v>
      </c>
      <c r="AV26" s="9">
        <v>378851</v>
      </c>
      <c r="AW26" s="90">
        <v>1.0098508384562799</v>
      </c>
      <c r="AX26" s="38">
        <v>382583.00000000006</v>
      </c>
      <c r="AY26" s="38">
        <f t="shared" si="29"/>
        <v>595.9236760124611</v>
      </c>
      <c r="AZ26" s="50">
        <v>3.1235052263169031E-3</v>
      </c>
      <c r="BA26" s="49">
        <f t="shared" si="19"/>
        <v>1195</v>
      </c>
      <c r="BB26" s="9" t="s">
        <v>5319</v>
      </c>
      <c r="BC26" s="9">
        <f t="shared" si="20"/>
        <v>37</v>
      </c>
      <c r="BD26" s="38">
        <f t="shared" si="21"/>
        <v>2601.8355403070955</v>
      </c>
      <c r="BE26" s="9">
        <f t="shared" si="22"/>
        <v>10.576470588235296</v>
      </c>
      <c r="BF26" s="9">
        <f t="shared" si="23"/>
        <v>26.423529411764704</v>
      </c>
      <c r="BG26" s="75">
        <f t="shared" si="24"/>
        <v>0.28585055643879176</v>
      </c>
    </row>
    <row r="27" spans="1:59">
      <c r="A27" s="12" t="s">
        <v>1652</v>
      </c>
      <c r="B27" s="54" t="str">
        <f t="shared" si="0"/>
        <v>AZ_Maric_2020g</v>
      </c>
      <c r="C27" s="12"/>
      <c r="D27" s="54" t="str">
        <f t="shared" si="1"/>
        <v>Gen-avondale esd #44-question (vote for1)</v>
      </c>
      <c r="E27" s="54" t="s">
        <v>2016</v>
      </c>
      <c r="F27" s="12" t="s">
        <v>1300</v>
      </c>
      <c r="G27" s="59">
        <v>6607</v>
      </c>
      <c r="H27"/>
      <c r="K27" s="2"/>
      <c r="O27">
        <f t="shared" si="2"/>
        <v>2</v>
      </c>
      <c r="P27" s="57">
        <f t="shared" si="3"/>
        <v>1</v>
      </c>
      <c r="Q27" s="267">
        <f t="shared" si="4"/>
        <v>6607</v>
      </c>
      <c r="R27" s="23" t="str">
        <f t="shared" si="5"/>
        <v/>
      </c>
      <c r="S27" s="23">
        <f t="shared" si="6"/>
        <v>6607</v>
      </c>
      <c r="T27" s="23" t="str">
        <f t="shared" si="7"/>
        <v/>
      </c>
      <c r="U27" t="str">
        <f t="shared" si="8"/>
        <v/>
      </c>
      <c r="W27" s="1">
        <f t="shared" si="9"/>
        <v>26</v>
      </c>
      <c r="X27" s="73">
        <f t="shared" si="25"/>
        <v>71.498263447691656</v>
      </c>
      <c r="Y27" s="322">
        <f t="shared" si="10"/>
        <v>626.221</v>
      </c>
      <c r="Z27" s="43">
        <f t="shared" si="11"/>
        <v>3.8146844404583539E-2</v>
      </c>
      <c r="AA27" s="52">
        <f t="shared" si="12"/>
        <v>3.8146844404583541E-4</v>
      </c>
      <c r="AB27" s="8">
        <f t="shared" si="13"/>
        <v>20895.63</v>
      </c>
      <c r="AC27" s="8">
        <f t="shared" si="14"/>
        <v>2089563</v>
      </c>
      <c r="AD27" s="8">
        <f t="shared" si="26"/>
        <v>10447.815000000001</v>
      </c>
      <c r="AE27" s="8" t="str">
        <f t="shared" si="15"/>
        <v/>
      </c>
      <c r="AF27" s="22" t="str">
        <f t="shared" si="16"/>
        <v>AZ_Maric_2020g</v>
      </c>
      <c r="AG27">
        <v>3</v>
      </c>
      <c r="AH27" s="272">
        <v>9075.6666666666661</v>
      </c>
      <c r="AI27" s="273">
        <v>6234</v>
      </c>
      <c r="AJ27" s="274">
        <v>5447</v>
      </c>
      <c r="AK27" s="339">
        <v>787</v>
      </c>
      <c r="AL27" s="340" t="s">
        <v>1649</v>
      </c>
      <c r="AM27" s="353">
        <f t="shared" si="17"/>
        <v>3.7663377462177501E-4</v>
      </c>
      <c r="AN27" s="354"/>
      <c r="AP27" s="23">
        <f t="shared" si="27"/>
        <v>0</v>
      </c>
      <c r="AQ27" s="392">
        <f t="shared" si="28"/>
        <v>0</v>
      </c>
      <c r="AR27" s="392">
        <f t="shared" si="28"/>
        <v>0</v>
      </c>
      <c r="AS27" s="392">
        <f t="shared" si="28"/>
        <v>0</v>
      </c>
      <c r="AU27" s="9" t="s">
        <v>5922</v>
      </c>
      <c r="AV27" s="9">
        <v>18983</v>
      </c>
      <c r="AW27" s="90">
        <v>1.0087973449928884</v>
      </c>
      <c r="AX27" s="38">
        <v>19150</v>
      </c>
      <c r="AY27" s="38">
        <f t="shared" si="29"/>
        <v>41.540130151843819</v>
      </c>
      <c r="AZ27" s="50">
        <v>1.2532637075718016E-3</v>
      </c>
      <c r="BA27" s="49">
        <f t="shared" si="19"/>
        <v>24</v>
      </c>
      <c r="BB27" s="9" t="s">
        <v>5319</v>
      </c>
      <c r="BC27" s="9">
        <f t="shared" si="20"/>
        <v>37</v>
      </c>
      <c r="BD27" s="38">
        <f t="shared" si="21"/>
        <v>0</v>
      </c>
      <c r="BE27" s="9" t="e">
        <f t="shared" si="22"/>
        <v>#N/A</v>
      </c>
      <c r="BF27" s="9" t="e">
        <f t="shared" si="23"/>
        <v>#N/A</v>
      </c>
      <c r="BG27" s="75" t="e">
        <f t="shared" si="24"/>
        <v>#N/A</v>
      </c>
    </row>
    <row r="28" spans="1:59">
      <c r="A28" s="12" t="s">
        <v>1675</v>
      </c>
      <c r="B28" s="54" t="str">
        <f t="shared" si="0"/>
        <v>AZ_Maric_2020g</v>
      </c>
      <c r="C28" s="12"/>
      <c r="D28" s="54" t="str">
        <f t="shared" si="1"/>
        <v>Gen-avondale-proposition 443 (vote for1)</v>
      </c>
      <c r="E28" s="54" t="s">
        <v>1982</v>
      </c>
      <c r="F28" s="12" t="s">
        <v>1300</v>
      </c>
      <c r="G28" s="59">
        <v>20217</v>
      </c>
      <c r="H28"/>
      <c r="K28" s="2"/>
      <c r="O28">
        <f t="shared" si="2"/>
        <v>1</v>
      </c>
      <c r="P28" s="57">
        <f t="shared" si="3"/>
        <v>1</v>
      </c>
      <c r="Q28" s="267">
        <f t="shared" si="4"/>
        <v>29841</v>
      </c>
      <c r="R28" s="23">
        <f t="shared" si="5"/>
        <v>20217</v>
      </c>
      <c r="S28" s="23">
        <f t="shared" si="6"/>
        <v>9624</v>
      </c>
      <c r="T28" s="23">
        <f t="shared" si="7"/>
        <v>10593</v>
      </c>
      <c r="U28" t="str">
        <f t="shared" si="8"/>
        <v>AZ_Maric_2020g~Gen-avondale-proposition 443 (vote for1)</v>
      </c>
      <c r="W28" s="1">
        <f t="shared" si="9"/>
        <v>27</v>
      </c>
      <c r="X28" s="73">
        <f t="shared" si="25"/>
        <v>197.36790419161679</v>
      </c>
      <c r="Y28" s="322">
        <f t="shared" si="10"/>
        <v>1834.0890000000002</v>
      </c>
      <c r="Z28" s="43">
        <f t="shared" si="11"/>
        <v>2.3600234989213091E-2</v>
      </c>
      <c r="AA28" s="52">
        <f t="shared" si="12"/>
        <v>2.3600234989213092E-4</v>
      </c>
      <c r="AB28" s="8">
        <f t="shared" si="13"/>
        <v>20895.63</v>
      </c>
      <c r="AC28" s="8">
        <f t="shared" si="14"/>
        <v>2089563</v>
      </c>
      <c r="AD28" s="8">
        <f t="shared" si="26"/>
        <v>10447.815000000001</v>
      </c>
      <c r="AE28" s="8" t="str">
        <f t="shared" si="15"/>
        <v/>
      </c>
      <c r="AF28" s="22" t="str">
        <f t="shared" si="16"/>
        <v>AZ_Maric_2020g</v>
      </c>
      <c r="AG28">
        <v>3</v>
      </c>
      <c r="AH28" s="272">
        <v>26581</v>
      </c>
      <c r="AI28" s="273">
        <v>14349</v>
      </c>
      <c r="AJ28" s="274">
        <v>13514</v>
      </c>
      <c r="AK28" s="339">
        <v>835</v>
      </c>
      <c r="AL28" s="340" t="s">
        <v>1671</v>
      </c>
      <c r="AM28" s="353">
        <f t="shared" si="17"/>
        <v>3.9960508489095568E-4</v>
      </c>
      <c r="AN28" s="354"/>
      <c r="AP28" s="23">
        <f t="shared" si="27"/>
        <v>0</v>
      </c>
      <c r="AQ28" s="392">
        <f t="shared" si="28"/>
        <v>0</v>
      </c>
      <c r="AR28" s="392">
        <f t="shared" si="28"/>
        <v>0</v>
      </c>
      <c r="AS28" s="392">
        <f t="shared" si="28"/>
        <v>0</v>
      </c>
      <c r="AU28" s="9" t="s">
        <v>5935</v>
      </c>
      <c r="AV28" s="9">
        <v>25557</v>
      </c>
      <c r="AW28" s="90">
        <v>1.0286418593731659</v>
      </c>
      <c r="AX28" s="38">
        <v>26289</v>
      </c>
      <c r="AY28" s="38">
        <f t="shared" si="29"/>
        <v>60.020547945205479</v>
      </c>
      <c r="AZ28" s="50">
        <v>2.9289817033740346E-3</v>
      </c>
      <c r="BA28" s="49">
        <f t="shared" si="19"/>
        <v>77</v>
      </c>
      <c r="BB28" s="9" t="s">
        <v>5319</v>
      </c>
      <c r="BC28" s="9">
        <f t="shared" si="20"/>
        <v>37</v>
      </c>
      <c r="BD28" s="38">
        <f t="shared" si="21"/>
        <v>0</v>
      </c>
      <c r="BE28" s="9" t="e">
        <f t="shared" si="22"/>
        <v>#N/A</v>
      </c>
      <c r="BF28" s="9" t="e">
        <f t="shared" si="23"/>
        <v>#N/A</v>
      </c>
      <c r="BG28" s="75" t="e">
        <f t="shared" si="24"/>
        <v>#N/A</v>
      </c>
    </row>
    <row r="29" spans="1:59">
      <c r="A29" s="12" t="s">
        <v>1675</v>
      </c>
      <c r="B29" s="54" t="str">
        <f t="shared" si="0"/>
        <v>AZ_Maric_2020g</v>
      </c>
      <c r="C29" s="12"/>
      <c r="D29" s="54" t="str">
        <f t="shared" si="1"/>
        <v>Gen-avondale-proposition 443 (vote for1)</v>
      </c>
      <c r="E29" s="54" t="s">
        <v>1981</v>
      </c>
      <c r="F29" s="12" t="s">
        <v>1300</v>
      </c>
      <c r="G29" s="59">
        <v>9624</v>
      </c>
      <c r="H29"/>
      <c r="K29" s="2"/>
      <c r="O29">
        <f t="shared" si="2"/>
        <v>2</v>
      </c>
      <c r="P29" s="57">
        <f t="shared" si="3"/>
        <v>1</v>
      </c>
      <c r="Q29" s="267">
        <f t="shared" si="4"/>
        <v>9624</v>
      </c>
      <c r="R29" s="23" t="str">
        <f t="shared" si="5"/>
        <v/>
      </c>
      <c r="S29" s="23">
        <f t="shared" si="6"/>
        <v>9624</v>
      </c>
      <c r="T29" s="23" t="str">
        <f t="shared" si="7"/>
        <v/>
      </c>
      <c r="U29" t="str">
        <f t="shared" si="8"/>
        <v/>
      </c>
      <c r="W29" s="1">
        <f t="shared" si="9"/>
        <v>28</v>
      </c>
      <c r="X29" s="73">
        <f t="shared" si="25"/>
        <v>118.23393425238601</v>
      </c>
      <c r="Y29" s="322">
        <f t="shared" si="10"/>
        <v>1240.827</v>
      </c>
      <c r="Z29" s="43">
        <f t="shared" si="11"/>
        <v>8.0108509365095087E-3</v>
      </c>
      <c r="AA29" s="52">
        <f t="shared" si="12"/>
        <v>8.0108509365095092E-5</v>
      </c>
      <c r="AB29" s="8">
        <f t="shared" si="13"/>
        <v>20895.63</v>
      </c>
      <c r="AC29" s="8">
        <f t="shared" si="14"/>
        <v>2089563</v>
      </c>
      <c r="AD29" s="8">
        <f t="shared" si="26"/>
        <v>10447.815000000001</v>
      </c>
      <c r="AE29" s="8" t="str">
        <f t="shared" si="15"/>
        <v/>
      </c>
      <c r="AF29" s="22" t="str">
        <f t="shared" si="16"/>
        <v>AZ_Maric_2020g</v>
      </c>
      <c r="AG29">
        <v>1</v>
      </c>
      <c r="AH29" s="272">
        <v>17983</v>
      </c>
      <c r="AI29" s="273">
        <v>9463</v>
      </c>
      <c r="AJ29" s="274">
        <v>8520</v>
      </c>
      <c r="AK29" s="339">
        <v>943</v>
      </c>
      <c r="AL29" s="340" t="s">
        <v>1644</v>
      </c>
      <c r="AM29" s="353">
        <f t="shared" si="17"/>
        <v>4.512905329966122E-4</v>
      </c>
      <c r="AN29" s="354"/>
      <c r="AP29" s="23">
        <f t="shared" si="27"/>
        <v>0</v>
      </c>
      <c r="AQ29" s="392">
        <f t="shared" si="28"/>
        <v>0</v>
      </c>
      <c r="AR29" s="392">
        <f t="shared" si="28"/>
        <v>0</v>
      </c>
      <c r="AS29" s="392">
        <f t="shared" si="28"/>
        <v>0</v>
      </c>
      <c r="AU29" s="9" t="s">
        <v>5942</v>
      </c>
      <c r="AV29" s="9">
        <v>30904</v>
      </c>
      <c r="AW29" s="90">
        <v>1.0110341703339374</v>
      </c>
      <c r="AX29" s="38">
        <v>31245.000000000004</v>
      </c>
      <c r="AY29" s="38">
        <f t="shared" si="29"/>
        <v>568.09090909090912</v>
      </c>
      <c r="AZ29" s="50">
        <v>6.8811009761561839E-3</v>
      </c>
      <c r="BA29" s="49">
        <f t="shared" si="19"/>
        <v>215</v>
      </c>
      <c r="BB29" s="9" t="s">
        <v>5319</v>
      </c>
      <c r="BC29" s="9">
        <f t="shared" si="20"/>
        <v>37</v>
      </c>
      <c r="BD29" s="38">
        <f t="shared" si="21"/>
        <v>0</v>
      </c>
      <c r="BE29" s="9" t="e">
        <f t="shared" si="22"/>
        <v>#N/A</v>
      </c>
      <c r="BF29" s="9" t="e">
        <f t="shared" si="23"/>
        <v>#N/A</v>
      </c>
      <c r="BG29" s="75" t="e">
        <f t="shared" si="24"/>
        <v>#N/A</v>
      </c>
    </row>
    <row r="30" spans="1:59">
      <c r="A30" s="12" t="s">
        <v>1646</v>
      </c>
      <c r="B30" s="54" t="str">
        <f t="shared" si="0"/>
        <v>AZ_Maric_2020g</v>
      </c>
      <c r="C30" s="12"/>
      <c r="D30" s="54" t="str">
        <f t="shared" si="1"/>
        <v>Gen-balsz esd #31-gbm-4yr (vote for3)</v>
      </c>
      <c r="E30" s="54" t="s">
        <v>2076</v>
      </c>
      <c r="F30" s="12" t="s">
        <v>1300</v>
      </c>
      <c r="G30" s="59">
        <v>5029</v>
      </c>
      <c r="H30"/>
      <c r="K30" s="2"/>
      <c r="O30">
        <f t="shared" si="2"/>
        <v>1</v>
      </c>
      <c r="P30" s="57">
        <f t="shared" si="3"/>
        <v>3</v>
      </c>
      <c r="Q30" s="267">
        <f t="shared" si="4"/>
        <v>5144</v>
      </c>
      <c r="R30" s="23">
        <f t="shared" si="5"/>
        <v>3386</v>
      </c>
      <c r="S30" s="23">
        <f t="shared" si="6"/>
        <v>3207</v>
      </c>
      <c r="T30" s="23">
        <f t="shared" si="7"/>
        <v>179</v>
      </c>
      <c r="U30" t="str">
        <f t="shared" si="8"/>
        <v>AZ_Maric_2020g~Gen-balsz esd #31-gbm-4yr (vote for3)</v>
      </c>
      <c r="W30" s="1">
        <f t="shared" si="9"/>
        <v>29</v>
      </c>
      <c r="X30" s="73">
        <f t="shared" si="25"/>
        <v>549.47783882783881</v>
      </c>
      <c r="Y30" s="322">
        <f t="shared" si="10"/>
        <v>6677.7510000000002</v>
      </c>
      <c r="Z30" s="43">
        <f t="shared" si="11"/>
        <v>1.8041166639838294E-3</v>
      </c>
      <c r="AA30" s="52">
        <f t="shared" si="12"/>
        <v>1.8041166639838293E-5</v>
      </c>
      <c r="AB30" s="8">
        <f t="shared" si="13"/>
        <v>20895.63</v>
      </c>
      <c r="AC30" s="8">
        <f t="shared" si="14"/>
        <v>2089563</v>
      </c>
      <c r="AD30" s="8">
        <f t="shared" si="26"/>
        <v>10447.815000000001</v>
      </c>
      <c r="AE30" s="8" t="str">
        <f t="shared" si="15"/>
        <v/>
      </c>
      <c r="AF30" s="22" t="str">
        <f t="shared" si="16"/>
        <v>AZ_Maric_2020g</v>
      </c>
      <c r="AG30">
        <v>2</v>
      </c>
      <c r="AH30" s="272">
        <v>96779</v>
      </c>
      <c r="AI30" s="273">
        <v>64501</v>
      </c>
      <c r="AJ30" s="274">
        <v>63409</v>
      </c>
      <c r="AK30" s="339">
        <v>1092</v>
      </c>
      <c r="AL30" s="340" t="s">
        <v>1553</v>
      </c>
      <c r="AM30" s="353">
        <f t="shared" si="17"/>
        <v>5.225973086238606E-4</v>
      </c>
      <c r="AN30" s="354"/>
      <c r="AP30" s="23">
        <f t="shared" si="27"/>
        <v>0</v>
      </c>
      <c r="AQ30" s="392">
        <f t="shared" si="28"/>
        <v>0</v>
      </c>
      <c r="AR30" s="392">
        <f t="shared" si="28"/>
        <v>0</v>
      </c>
      <c r="AS30" s="392">
        <f t="shared" si="28"/>
        <v>0</v>
      </c>
      <c r="AU30" s="9" t="s">
        <v>5923</v>
      </c>
      <c r="AV30" s="9">
        <v>4186</v>
      </c>
      <c r="AW30" s="90">
        <v>1.0126612517916866</v>
      </c>
      <c r="AX30" s="38">
        <v>4239</v>
      </c>
      <c r="AY30" s="38">
        <f t="shared" si="29"/>
        <v>4.6633663366336631</v>
      </c>
      <c r="AZ30" s="50">
        <v>0.12031139419674451</v>
      </c>
      <c r="BA30" s="49">
        <f t="shared" si="19"/>
        <v>510</v>
      </c>
      <c r="BB30" s="9" t="s">
        <v>5319</v>
      </c>
      <c r="BC30" s="9">
        <f t="shared" si="20"/>
        <v>37</v>
      </c>
      <c r="BD30" s="38">
        <f t="shared" si="21"/>
        <v>0</v>
      </c>
      <c r="BE30" s="9" t="e">
        <f t="shared" si="22"/>
        <v>#N/A</v>
      </c>
      <c r="BF30" s="9" t="e">
        <f t="shared" si="23"/>
        <v>#N/A</v>
      </c>
      <c r="BG30" s="75" t="e">
        <f t="shared" si="24"/>
        <v>#N/A</v>
      </c>
    </row>
    <row r="31" spans="1:59">
      <c r="A31" s="12" t="s">
        <v>1646</v>
      </c>
      <c r="B31" s="54" t="str">
        <f t="shared" si="0"/>
        <v>AZ_Maric_2020g</v>
      </c>
      <c r="C31" s="12"/>
      <c r="D31" s="54" t="str">
        <f t="shared" si="1"/>
        <v>Gen-balsz esd #31-gbm-4yr (vote for3)</v>
      </c>
      <c r="E31" s="54" t="s">
        <v>2077</v>
      </c>
      <c r="F31" s="12" t="s">
        <v>1300</v>
      </c>
      <c r="G31" s="59">
        <v>3658</v>
      </c>
      <c r="H31"/>
      <c r="K31" s="2"/>
      <c r="O31">
        <f t="shared" si="2"/>
        <v>2</v>
      </c>
      <c r="P31" s="57">
        <f t="shared" si="3"/>
        <v>3</v>
      </c>
      <c r="Q31" s="267">
        <f t="shared" si="4"/>
        <v>10403</v>
      </c>
      <c r="R31" s="23">
        <f t="shared" si="5"/>
        <v>3386</v>
      </c>
      <c r="S31" s="23">
        <f t="shared" si="6"/>
        <v>3207</v>
      </c>
      <c r="T31" s="23" t="str">
        <f t="shared" si="7"/>
        <v/>
      </c>
      <c r="U31" t="str">
        <f t="shared" si="8"/>
        <v/>
      </c>
      <c r="W31" s="1">
        <f t="shared" si="9"/>
        <v>30</v>
      </c>
      <c r="X31" s="73">
        <f t="shared" si="25"/>
        <v>143.74132132132132</v>
      </c>
      <c r="Y31" s="322">
        <f t="shared" si="10"/>
        <v>1775.6690000000001</v>
      </c>
      <c r="Z31" s="43">
        <f t="shared" si="11"/>
        <v>1.5067819177980476E-3</v>
      </c>
      <c r="AA31" s="52">
        <f t="shared" si="12"/>
        <v>1.5067819177980476E-5</v>
      </c>
      <c r="AB31" s="8">
        <f t="shared" si="13"/>
        <v>20895.63</v>
      </c>
      <c r="AC31" s="8">
        <f t="shared" si="14"/>
        <v>2089563</v>
      </c>
      <c r="AD31" s="8">
        <f t="shared" si="26"/>
        <v>10447.815000000001</v>
      </c>
      <c r="AE31" s="8" t="str">
        <f t="shared" si="15"/>
        <v/>
      </c>
      <c r="AF31" s="22" t="str">
        <f t="shared" si="16"/>
        <v>AZ_Maric_2020g</v>
      </c>
      <c r="AG31">
        <v>3</v>
      </c>
      <c r="AH31" s="272">
        <v>25734.333333333332</v>
      </c>
      <c r="AI31" s="273">
        <v>18260</v>
      </c>
      <c r="AJ31" s="274">
        <v>17150</v>
      </c>
      <c r="AK31" s="339">
        <v>1110</v>
      </c>
      <c r="AL31" s="340" t="s">
        <v>1658</v>
      </c>
      <c r="AM31" s="353">
        <f t="shared" si="17"/>
        <v>5.312115499748033E-4</v>
      </c>
      <c r="AN31" s="354"/>
      <c r="AP31" s="23">
        <f t="shared" si="27"/>
        <v>0</v>
      </c>
      <c r="AQ31" s="392">
        <f t="shared" si="28"/>
        <v>0</v>
      </c>
      <c r="AR31" s="392">
        <f t="shared" si="28"/>
        <v>0</v>
      </c>
      <c r="AS31" s="392">
        <f t="shared" si="28"/>
        <v>0</v>
      </c>
      <c r="AU31" s="9" t="s">
        <v>5915</v>
      </c>
      <c r="AV31" s="9">
        <v>9870</v>
      </c>
      <c r="AW31" s="90">
        <v>1.0621073961499494</v>
      </c>
      <c r="AX31" s="38">
        <v>10483</v>
      </c>
      <c r="AY31" s="38">
        <f t="shared" si="29"/>
        <v>28.642076502732241</v>
      </c>
      <c r="AZ31" s="50">
        <v>5.246589716684155E-3</v>
      </c>
      <c r="BA31" s="49">
        <f t="shared" si="19"/>
        <v>55</v>
      </c>
      <c r="BB31" s="9" t="s">
        <v>5319</v>
      </c>
      <c r="BC31" s="9">
        <f t="shared" si="20"/>
        <v>37</v>
      </c>
      <c r="BD31" s="38">
        <f t="shared" si="21"/>
        <v>0</v>
      </c>
      <c r="BE31" s="9" t="e">
        <f t="shared" si="22"/>
        <v>#N/A</v>
      </c>
      <c r="BF31" s="9" t="e">
        <f t="shared" si="23"/>
        <v>#N/A</v>
      </c>
      <c r="BG31" s="75" t="e">
        <f t="shared" si="24"/>
        <v>#N/A</v>
      </c>
    </row>
    <row r="32" spans="1:59">
      <c r="A32" s="12" t="s">
        <v>1646</v>
      </c>
      <c r="B32" s="54" t="str">
        <f t="shared" si="0"/>
        <v>AZ_Maric_2020g</v>
      </c>
      <c r="C32" s="12"/>
      <c r="D32" s="54" t="str">
        <f t="shared" si="1"/>
        <v>Gen-balsz esd #31-gbm-4yr (vote for3)</v>
      </c>
      <c r="E32" s="54" t="s">
        <v>2078</v>
      </c>
      <c r="F32" s="12" t="s">
        <v>1300</v>
      </c>
      <c r="G32" s="59">
        <v>3386</v>
      </c>
      <c r="H32"/>
      <c r="K32" s="2"/>
      <c r="O32">
        <f t="shared" si="2"/>
        <v>3</v>
      </c>
      <c r="P32" s="57">
        <f t="shared" si="3"/>
        <v>3</v>
      </c>
      <c r="Q32" s="267">
        <f t="shared" si="4"/>
        <v>6745</v>
      </c>
      <c r="R32" s="23">
        <f t="shared" si="5"/>
        <v>3386</v>
      </c>
      <c r="S32" s="23">
        <f t="shared" si="6"/>
        <v>3207</v>
      </c>
      <c r="T32" s="23" t="str">
        <f t="shared" si="7"/>
        <v/>
      </c>
      <c r="U32" t="str">
        <f t="shared" si="8"/>
        <v/>
      </c>
      <c r="W32" s="1">
        <f t="shared" si="9"/>
        <v>31</v>
      </c>
      <c r="X32" s="73">
        <f t="shared" si="25"/>
        <v>154.27595155709344</v>
      </c>
      <c r="Y32" s="322">
        <f t="shared" si="10"/>
        <v>1984.7850000000001</v>
      </c>
      <c r="Z32" s="43">
        <f t="shared" si="11"/>
        <v>9.5096943239990491E-4</v>
      </c>
      <c r="AA32" s="52">
        <f t="shared" si="12"/>
        <v>9.5096943239990487E-6</v>
      </c>
      <c r="AB32" s="8">
        <f t="shared" si="13"/>
        <v>20895.63</v>
      </c>
      <c r="AC32" s="8">
        <f t="shared" si="14"/>
        <v>2089563</v>
      </c>
      <c r="AD32" s="8">
        <f t="shared" si="26"/>
        <v>10447.815000000001</v>
      </c>
      <c r="AE32" s="8" t="str">
        <f t="shared" si="15"/>
        <v/>
      </c>
      <c r="AF32" s="22" t="str">
        <f t="shared" si="16"/>
        <v>AZ_Maric_2020g</v>
      </c>
      <c r="AG32">
        <v>3</v>
      </c>
      <c r="AH32" s="272">
        <v>28765</v>
      </c>
      <c r="AI32" s="273">
        <v>1851</v>
      </c>
      <c r="AJ32" s="274">
        <v>695</v>
      </c>
      <c r="AK32" s="339">
        <v>1156</v>
      </c>
      <c r="AL32" s="340" t="s">
        <v>1660</v>
      </c>
      <c r="AM32" s="353">
        <f t="shared" si="17"/>
        <v>5.5322572231610153E-4</v>
      </c>
      <c r="AN32" s="354"/>
      <c r="AP32" s="23">
        <f t="shared" si="27"/>
        <v>0</v>
      </c>
      <c r="AQ32" s="392">
        <f t="shared" si="28"/>
        <v>0</v>
      </c>
      <c r="AR32" s="392">
        <f t="shared" si="28"/>
        <v>0</v>
      </c>
      <c r="AS32" s="392">
        <f t="shared" si="28"/>
        <v>0</v>
      </c>
      <c r="AU32" s="9" t="s">
        <v>5943</v>
      </c>
      <c r="AV32" s="38">
        <v>11190</v>
      </c>
      <c r="AW32" s="91">
        <v>1.01</v>
      </c>
      <c r="AX32" s="38">
        <v>11301.9</v>
      </c>
      <c r="AY32" s="38">
        <f t="shared" si="29"/>
        <v>35.099068322981367</v>
      </c>
      <c r="AZ32" s="50">
        <v>0</v>
      </c>
      <c r="BA32" s="49">
        <f t="shared" si="19"/>
        <v>0</v>
      </c>
      <c r="BB32" s="9" t="s">
        <v>5319</v>
      </c>
      <c r="BC32" s="9">
        <f t="shared" si="20"/>
        <v>37</v>
      </c>
      <c r="BD32" s="38">
        <f t="shared" si="21"/>
        <v>0</v>
      </c>
      <c r="BE32" s="9" t="e">
        <f t="shared" si="22"/>
        <v>#N/A</v>
      </c>
      <c r="BF32" s="9" t="e">
        <f t="shared" si="23"/>
        <v>#N/A</v>
      </c>
      <c r="BG32" s="75" t="e">
        <f t="shared" si="24"/>
        <v>#N/A</v>
      </c>
    </row>
    <row r="33" spans="1:59">
      <c r="A33" s="12" t="s">
        <v>1646</v>
      </c>
      <c r="B33" s="54" t="str">
        <f t="shared" si="0"/>
        <v>AZ_Maric_2020g</v>
      </c>
      <c r="C33" s="12"/>
      <c r="D33" s="54" t="str">
        <f t="shared" si="1"/>
        <v>Gen-balsz esd #31-gbm-4yr (vote for3)</v>
      </c>
      <c r="E33" s="54" t="s">
        <v>2075</v>
      </c>
      <c r="F33" s="12" t="s">
        <v>1300</v>
      </c>
      <c r="G33" s="59">
        <v>3207</v>
      </c>
      <c r="H33"/>
      <c r="K33" s="2"/>
      <c r="O33">
        <f t="shared" si="2"/>
        <v>4</v>
      </c>
      <c r="P33" s="57">
        <f t="shared" si="3"/>
        <v>3</v>
      </c>
      <c r="Q33" s="267">
        <f t="shared" si="4"/>
        <v>3359</v>
      </c>
      <c r="R33" s="23" t="str">
        <f t="shared" si="5"/>
        <v/>
      </c>
      <c r="S33" s="23">
        <f t="shared" si="6"/>
        <v>3207</v>
      </c>
      <c r="T33" s="23" t="str">
        <f t="shared" si="7"/>
        <v/>
      </c>
      <c r="U33" t="str">
        <f t="shared" si="8"/>
        <v/>
      </c>
      <c r="W33" s="1">
        <f t="shared" si="9"/>
        <v>32</v>
      </c>
      <c r="X33" s="73">
        <f t="shared" si="25"/>
        <v>10.507148864592095</v>
      </c>
      <c r="Y33" s="322">
        <f t="shared" si="10"/>
        <v>139.03500000000003</v>
      </c>
      <c r="Z33" s="43">
        <f t="shared" si="11"/>
        <v>6.8354783916411868E-4</v>
      </c>
      <c r="AA33" s="52">
        <f t="shared" si="12"/>
        <v>6.8354783916411863E-6</v>
      </c>
      <c r="AB33" s="8">
        <f t="shared" si="13"/>
        <v>20895.63</v>
      </c>
      <c r="AC33" s="8">
        <f t="shared" si="14"/>
        <v>2089563</v>
      </c>
      <c r="AD33" s="8">
        <f t="shared" si="26"/>
        <v>10447.815000000001</v>
      </c>
      <c r="AE33" s="8" t="str">
        <f t="shared" si="15"/>
        <v/>
      </c>
      <c r="AF33" s="22" t="str">
        <f t="shared" si="16"/>
        <v>AZ_Maric_2020g</v>
      </c>
      <c r="AG33">
        <v>1</v>
      </c>
      <c r="AH33" s="272">
        <v>2015</v>
      </c>
      <c r="AI33" s="273">
        <v>1602</v>
      </c>
      <c r="AJ33" s="274">
        <v>413</v>
      </c>
      <c r="AK33" s="339">
        <v>1189</v>
      </c>
      <c r="AL33" s="340" t="s">
        <v>1705</v>
      </c>
      <c r="AM33" s="353">
        <f t="shared" si="17"/>
        <v>5.6901849812616328E-4</v>
      </c>
      <c r="AN33" s="354"/>
      <c r="AP33" s="23">
        <f t="shared" si="27"/>
        <v>0</v>
      </c>
      <c r="AQ33" s="392">
        <f t="shared" si="28"/>
        <v>0</v>
      </c>
      <c r="AR33" s="392">
        <f t="shared" si="28"/>
        <v>0</v>
      </c>
      <c r="AS33" s="392">
        <f t="shared" si="28"/>
        <v>0</v>
      </c>
      <c r="AU33" s="9" t="s">
        <v>5944</v>
      </c>
      <c r="AV33" s="9">
        <v>632</v>
      </c>
      <c r="AW33" s="90">
        <v>1.0126582278481013</v>
      </c>
      <c r="AX33" s="38">
        <v>640</v>
      </c>
      <c r="AY33" s="38">
        <f t="shared" si="29"/>
        <v>0.78624078624078619</v>
      </c>
      <c r="AZ33" s="50">
        <v>2.1874999999999999E-2</v>
      </c>
      <c r="BA33" s="49">
        <f t="shared" si="19"/>
        <v>14</v>
      </c>
      <c r="BB33" s="9" t="s">
        <v>5319</v>
      </c>
      <c r="BC33" s="9">
        <f t="shared" si="20"/>
        <v>37</v>
      </c>
      <c r="BD33" s="38">
        <f t="shared" si="21"/>
        <v>0</v>
      </c>
      <c r="BE33" s="9" t="e">
        <f t="shared" si="22"/>
        <v>#N/A</v>
      </c>
      <c r="BF33" s="9" t="e">
        <f t="shared" si="23"/>
        <v>#N/A</v>
      </c>
      <c r="BG33" s="75" t="e">
        <f t="shared" si="24"/>
        <v>#N/A</v>
      </c>
    </row>
    <row r="34" spans="1:59">
      <c r="A34" s="12" t="s">
        <v>1646</v>
      </c>
      <c r="B34" s="54" t="str">
        <f t="shared" si="0"/>
        <v>AZ_Maric_2020g</v>
      </c>
      <c r="C34" s="12"/>
      <c r="D34" s="54" t="str">
        <f t="shared" si="1"/>
        <v>Gen-balsz esd #31-gbm-4yr (vote for3)</v>
      </c>
      <c r="E34" s="54" t="s">
        <v>1299</v>
      </c>
      <c r="G34" s="59">
        <v>152</v>
      </c>
      <c r="H34"/>
      <c r="K34" s="2"/>
      <c r="O34">
        <f t="shared" si="2"/>
        <v>-4</v>
      </c>
      <c r="P34" s="57">
        <f t="shared" si="3"/>
        <v>3</v>
      </c>
      <c r="Q34" s="267">
        <f t="shared" si="4"/>
        <v>152</v>
      </c>
      <c r="R34" s="23">
        <f t="shared" si="5"/>
        <v>1</v>
      </c>
      <c r="S34" s="23">
        <f t="shared" si="6"/>
        <v>0</v>
      </c>
      <c r="T34" s="23" t="str">
        <f t="shared" si="7"/>
        <v/>
      </c>
      <c r="U34" t="str">
        <f t="shared" si="8"/>
        <v/>
      </c>
      <c r="W34" s="1">
        <f t="shared" si="9"/>
        <v>33</v>
      </c>
      <c r="X34" s="73">
        <f t="shared" si="25"/>
        <v>507.01995053586154</v>
      </c>
      <c r="Y34" s="322">
        <f t="shared" si="10"/>
        <v>6844.5240000000003</v>
      </c>
      <c r="Z34" s="43">
        <f t="shared" si="11"/>
        <v>5.3762356563087947E-4</v>
      </c>
      <c r="AA34" s="52">
        <f t="shared" si="12"/>
        <v>5.3762356563087944E-6</v>
      </c>
      <c r="AB34" s="8">
        <f t="shared" si="13"/>
        <v>20895.63</v>
      </c>
      <c r="AC34" s="8">
        <f t="shared" si="14"/>
        <v>2089563</v>
      </c>
      <c r="AD34" s="8">
        <f t="shared" si="26"/>
        <v>10447.815000000001</v>
      </c>
      <c r="AE34" s="8" t="str">
        <f t="shared" si="15"/>
        <v/>
      </c>
      <c r="AF34" s="22" t="str">
        <f t="shared" si="16"/>
        <v>AZ_Maric_2020g</v>
      </c>
      <c r="AG34">
        <v>3</v>
      </c>
      <c r="AH34" s="272">
        <v>99196</v>
      </c>
      <c r="AI34" s="273">
        <v>41361</v>
      </c>
      <c r="AJ34" s="274">
        <v>40148</v>
      </c>
      <c r="AK34" s="339">
        <v>1213</v>
      </c>
      <c r="AL34" s="340" t="s">
        <v>1624</v>
      </c>
      <c r="AM34" s="353">
        <f t="shared" si="17"/>
        <v>5.8050415326075361E-4</v>
      </c>
      <c r="AN34" s="354"/>
      <c r="AP34" s="23">
        <f t="shared" si="27"/>
        <v>0</v>
      </c>
      <c r="AQ34" s="392">
        <f t="shared" si="28"/>
        <v>0</v>
      </c>
      <c r="AR34" s="392">
        <f t="shared" si="28"/>
        <v>0</v>
      </c>
      <c r="AS34" s="392">
        <f t="shared" si="28"/>
        <v>0</v>
      </c>
      <c r="AU34" s="9" t="s">
        <v>5945</v>
      </c>
      <c r="AV34" s="9">
        <v>4406</v>
      </c>
      <c r="AW34" s="90">
        <v>1.0120290512936905</v>
      </c>
      <c r="AX34" s="38">
        <v>4459</v>
      </c>
      <c r="AY34" s="38">
        <f t="shared" si="29"/>
        <v>5.6730279898218834</v>
      </c>
      <c r="AZ34" s="50">
        <v>7.6250280331912985E-3</v>
      </c>
      <c r="BA34" s="49">
        <f t="shared" ref="BA34:BA65" si="30">AZ34*AX34</f>
        <v>34</v>
      </c>
      <c r="BB34" s="9" t="s">
        <v>5319</v>
      </c>
      <c r="BC34" s="9">
        <f t="shared" ref="BC34:BC65" si="31">INDEX(W$2:W$1183,MATCH(AU34,AF$2:AF$1151,1))</f>
        <v>37</v>
      </c>
      <c r="BD34" s="38">
        <f t="shared" ref="BD34:BD65" si="32">SUMIF(AF:AF,AU34,X:X)</f>
        <v>0</v>
      </c>
      <c r="BE34" s="9" t="e">
        <f t="shared" ref="BE34:BE65" si="33">INDEX(Y$2:Y$1183,MATCH(AU34,AF$2:AF$1151,0))</f>
        <v>#N/A</v>
      </c>
      <c r="BF34" s="9" t="e">
        <f t="shared" ref="BF34:BF65" si="34">BC34-BE34</f>
        <v>#N/A</v>
      </c>
      <c r="BG34" s="75" t="e">
        <f t="shared" ref="BG34:BG65" si="35">BE34/BC34</f>
        <v>#N/A</v>
      </c>
    </row>
    <row r="35" spans="1:59">
      <c r="A35" s="12" t="s">
        <v>1647</v>
      </c>
      <c r="B35" s="54" t="str">
        <f t="shared" si="0"/>
        <v>AZ_Maric_2020g</v>
      </c>
      <c r="C35" s="12"/>
      <c r="D35" s="54" t="str">
        <f t="shared" si="1"/>
        <v>Gen-balsz esd #31-question 1 (vote for1)</v>
      </c>
      <c r="E35" s="54" t="s">
        <v>2015</v>
      </c>
      <c r="F35" s="12" t="s">
        <v>1300</v>
      </c>
      <c r="G35" s="59">
        <v>6469</v>
      </c>
      <c r="H35"/>
      <c r="K35" s="2"/>
      <c r="O35">
        <f t="shared" si="2"/>
        <v>1</v>
      </c>
      <c r="P35" s="57">
        <f t="shared" si="3"/>
        <v>1</v>
      </c>
      <c r="Q35" s="267">
        <f t="shared" si="4"/>
        <v>9869</v>
      </c>
      <c r="R35" s="23">
        <f t="shared" si="5"/>
        <v>6469</v>
      </c>
      <c r="S35" s="23">
        <f t="shared" si="6"/>
        <v>3400</v>
      </c>
      <c r="T35" s="23">
        <f t="shared" si="7"/>
        <v>3069</v>
      </c>
      <c r="U35" t="str">
        <f t="shared" si="8"/>
        <v>AZ_Maric_2020g~Gen-balsz esd #31-question 1 (vote for1)</v>
      </c>
      <c r="W35" s="1">
        <f t="shared" si="9"/>
        <v>34</v>
      </c>
      <c r="X35" s="73">
        <f t="shared" si="25"/>
        <v>9.5826606875934246</v>
      </c>
      <c r="Y35" s="322">
        <f t="shared" si="10"/>
        <v>142.69200000000001</v>
      </c>
      <c r="Z35" s="43">
        <f t="shared" si="11"/>
        <v>1.5391417445380376E-4</v>
      </c>
      <c r="AA35" s="52">
        <f t="shared" si="12"/>
        <v>1.5391417445380377E-6</v>
      </c>
      <c r="AB35" s="8">
        <f t="shared" si="13"/>
        <v>20895.63</v>
      </c>
      <c r="AC35" s="8">
        <f t="shared" si="14"/>
        <v>2089563</v>
      </c>
      <c r="AD35" s="8">
        <f t="shared" si="26"/>
        <v>10447.815000000001</v>
      </c>
      <c r="AE35" s="8" t="str">
        <f t="shared" si="15"/>
        <v/>
      </c>
      <c r="AF35" s="22" t="str">
        <f t="shared" si="16"/>
        <v>AZ_Maric_2020g</v>
      </c>
      <c r="AG35">
        <v>1</v>
      </c>
      <c r="AH35" s="272">
        <v>2068</v>
      </c>
      <c r="AI35" s="273">
        <v>1703</v>
      </c>
      <c r="AJ35" s="274">
        <v>365</v>
      </c>
      <c r="AK35" s="339">
        <v>1338</v>
      </c>
      <c r="AL35" s="344" t="s">
        <v>1613</v>
      </c>
      <c r="AM35" s="353">
        <f t="shared" si="17"/>
        <v>6.4032527375341161E-4</v>
      </c>
      <c r="AN35" s="354"/>
      <c r="AP35" s="23">
        <f t="shared" si="27"/>
        <v>0</v>
      </c>
      <c r="AQ35" s="392">
        <f t="shared" si="28"/>
        <v>0</v>
      </c>
      <c r="AR35" s="392">
        <f t="shared" si="28"/>
        <v>0</v>
      </c>
      <c r="AS35" s="392">
        <f t="shared" si="28"/>
        <v>0</v>
      </c>
      <c r="AU35" s="9" t="s">
        <v>5936</v>
      </c>
      <c r="AV35" s="9">
        <v>876</v>
      </c>
      <c r="AW35" s="90">
        <v>1.0148401826484017</v>
      </c>
      <c r="AX35" s="38">
        <v>888.99999999999989</v>
      </c>
      <c r="AY35" s="38">
        <f t="shared" si="29"/>
        <v>4.7287234042553186</v>
      </c>
      <c r="AZ35" s="50">
        <v>4.4994375703037125E-2</v>
      </c>
      <c r="BA35" s="49">
        <f t="shared" si="30"/>
        <v>40</v>
      </c>
      <c r="BB35" s="9" t="s">
        <v>5319</v>
      </c>
      <c r="BC35" s="9">
        <f t="shared" si="31"/>
        <v>37</v>
      </c>
      <c r="BD35" s="38">
        <f t="shared" si="32"/>
        <v>0</v>
      </c>
      <c r="BE35" s="9" t="e">
        <f t="shared" si="33"/>
        <v>#N/A</v>
      </c>
      <c r="BF35" s="9" t="e">
        <f t="shared" si="34"/>
        <v>#N/A</v>
      </c>
      <c r="BG35" s="75" t="e">
        <f t="shared" si="35"/>
        <v>#N/A</v>
      </c>
    </row>
    <row r="36" spans="1:59">
      <c r="A36" s="12" t="s">
        <v>1647</v>
      </c>
      <c r="B36" s="54" t="str">
        <f t="shared" si="0"/>
        <v>AZ_Maric_2020g</v>
      </c>
      <c r="C36" s="12"/>
      <c r="D36" s="54" t="str">
        <f t="shared" si="1"/>
        <v>Gen-balsz esd #31-question 1 (vote for1)</v>
      </c>
      <c r="E36" s="54" t="s">
        <v>2016</v>
      </c>
      <c r="F36" s="12" t="s">
        <v>1300</v>
      </c>
      <c r="G36" s="59">
        <v>3400</v>
      </c>
      <c r="H36"/>
      <c r="K36" s="2"/>
      <c r="O36">
        <f t="shared" si="2"/>
        <v>2</v>
      </c>
      <c r="P36" s="57">
        <f t="shared" si="3"/>
        <v>1</v>
      </c>
      <c r="Q36" s="267">
        <f t="shared" si="4"/>
        <v>3400</v>
      </c>
      <c r="R36" s="23" t="str">
        <f t="shared" si="5"/>
        <v/>
      </c>
      <c r="S36" s="23">
        <f t="shared" si="6"/>
        <v>3400</v>
      </c>
      <c r="T36" s="23" t="str">
        <f t="shared" si="7"/>
        <v/>
      </c>
      <c r="U36" t="str">
        <f t="shared" si="8"/>
        <v/>
      </c>
      <c r="W36" s="1">
        <f t="shared" si="9"/>
        <v>35</v>
      </c>
      <c r="X36" s="73">
        <f t="shared" si="25"/>
        <v>8.459774685222003</v>
      </c>
      <c r="Y36" s="322">
        <f t="shared" si="10"/>
        <v>142.071</v>
      </c>
      <c r="Z36" s="43">
        <f t="shared" si="11"/>
        <v>2.7805376960267467E-5</v>
      </c>
      <c r="AA36" s="52">
        <f t="shared" si="12"/>
        <v>2.7805376960267468E-7</v>
      </c>
      <c r="AB36" s="8">
        <f t="shared" si="13"/>
        <v>20895.63</v>
      </c>
      <c r="AC36" s="8">
        <f t="shared" si="14"/>
        <v>2089563</v>
      </c>
      <c r="AD36" s="8">
        <f t="shared" si="26"/>
        <v>10447.815000000001</v>
      </c>
      <c r="AE36" s="8" t="str">
        <f t="shared" si="15"/>
        <v/>
      </c>
      <c r="AF36" s="22" t="str">
        <f t="shared" si="16"/>
        <v>AZ_Maric_2020g</v>
      </c>
      <c r="AG36">
        <v>1</v>
      </c>
      <c r="AH36" s="272">
        <v>2059</v>
      </c>
      <c r="AI36" s="273">
        <v>1784</v>
      </c>
      <c r="AJ36" s="274">
        <v>275</v>
      </c>
      <c r="AK36" s="339">
        <v>1509</v>
      </c>
      <c r="AL36" s="340" t="s">
        <v>1703</v>
      </c>
      <c r="AM36" s="353">
        <f t="shared" si="17"/>
        <v>7.2216056658736775E-4</v>
      </c>
      <c r="AN36" s="354"/>
      <c r="AP36" s="23">
        <f t="shared" si="27"/>
        <v>0</v>
      </c>
      <c r="AQ36" s="392">
        <f t="shared" si="28"/>
        <v>0</v>
      </c>
      <c r="AR36" s="392">
        <f t="shared" si="28"/>
        <v>0</v>
      </c>
      <c r="AS36" s="392">
        <f t="shared" si="28"/>
        <v>0</v>
      </c>
      <c r="AU36" s="9" t="s">
        <v>5637</v>
      </c>
      <c r="AV36" s="9">
        <v>377358</v>
      </c>
      <c r="AW36" s="90">
        <v>1.0118614154198402</v>
      </c>
      <c r="AX36" s="38">
        <v>381834.00000000006</v>
      </c>
      <c r="AY36" s="38">
        <f t="shared" si="29"/>
        <v>717.73308270676705</v>
      </c>
      <c r="AZ36" s="50">
        <v>5.997370585123377E-4</v>
      </c>
      <c r="BA36" s="49">
        <f t="shared" si="30"/>
        <v>229</v>
      </c>
      <c r="BB36" s="9" t="s">
        <v>5319</v>
      </c>
      <c r="BC36" s="9">
        <f t="shared" si="31"/>
        <v>29</v>
      </c>
      <c r="BD36" s="38">
        <f t="shared" si="32"/>
        <v>1241.2571730138463</v>
      </c>
      <c r="BE36" s="9">
        <f t="shared" si="33"/>
        <v>209.25</v>
      </c>
      <c r="BF36" s="9">
        <f t="shared" si="34"/>
        <v>-180.25</v>
      </c>
      <c r="BG36" s="75">
        <f t="shared" si="35"/>
        <v>7.2155172413793105</v>
      </c>
    </row>
    <row r="37" spans="1:59">
      <c r="A37" s="12" t="s">
        <v>1648</v>
      </c>
      <c r="B37" s="54" t="str">
        <f t="shared" si="0"/>
        <v>AZ_Maric_2020g</v>
      </c>
      <c r="C37" s="12"/>
      <c r="D37" s="54" t="str">
        <f t="shared" si="1"/>
        <v>Gen-balsz esd #31-question 2 (vote for1)</v>
      </c>
      <c r="E37" s="54" t="s">
        <v>2061</v>
      </c>
      <c r="F37" s="12" t="s">
        <v>1300</v>
      </c>
      <c r="G37" s="59">
        <v>6203</v>
      </c>
      <c r="H37"/>
      <c r="K37" s="2"/>
      <c r="O37">
        <f t="shared" si="2"/>
        <v>1</v>
      </c>
      <c r="P37" s="57">
        <f t="shared" si="3"/>
        <v>1</v>
      </c>
      <c r="Q37" s="267">
        <f t="shared" si="4"/>
        <v>9785</v>
      </c>
      <c r="R37" s="23">
        <f t="shared" si="5"/>
        <v>6203</v>
      </c>
      <c r="S37" s="23">
        <f t="shared" si="6"/>
        <v>3582</v>
      </c>
      <c r="T37" s="23">
        <f t="shared" si="7"/>
        <v>2621</v>
      </c>
      <c r="U37" t="str">
        <f t="shared" si="8"/>
        <v>AZ_Maric_2020g~Gen-balsz esd #31-question 2 (vote for1)</v>
      </c>
      <c r="W37" s="1">
        <f t="shared" si="9"/>
        <v>36</v>
      </c>
      <c r="X37" s="73">
        <f t="shared" si="25"/>
        <v>41.572401644157374</v>
      </c>
      <c r="Y37" s="322">
        <f t="shared" si="10"/>
        <v>787.91100000000006</v>
      </c>
      <c r="Z37" s="43">
        <f t="shared" si="11"/>
        <v>3.9897845061221005E-6</v>
      </c>
      <c r="AA37" s="52">
        <f t="shared" si="12"/>
        <v>3.9897845061221005E-8</v>
      </c>
      <c r="AB37" s="8">
        <f t="shared" si="13"/>
        <v>20895.63</v>
      </c>
      <c r="AC37" s="8">
        <f t="shared" si="14"/>
        <v>2089563</v>
      </c>
      <c r="AD37" s="8">
        <f t="shared" si="26"/>
        <v>10447.815000000001</v>
      </c>
      <c r="AE37" s="8" t="str">
        <f t="shared" si="15"/>
        <v/>
      </c>
      <c r="AF37" s="22" t="str">
        <f t="shared" si="16"/>
        <v>AZ_Maric_2020g</v>
      </c>
      <c r="AG37">
        <v>3</v>
      </c>
      <c r="AH37" s="272">
        <v>11419</v>
      </c>
      <c r="AI37" s="273">
        <v>7451</v>
      </c>
      <c r="AJ37" s="274">
        <v>5748</v>
      </c>
      <c r="AK37" s="339">
        <v>1703</v>
      </c>
      <c r="AL37" s="340" t="s">
        <v>1656</v>
      </c>
      <c r="AM37" s="353">
        <f t="shared" si="17"/>
        <v>8.150029455919731E-4</v>
      </c>
      <c r="AN37" s="354"/>
      <c r="AP37" s="23">
        <f t="shared" si="27"/>
        <v>0</v>
      </c>
      <c r="AQ37" s="392">
        <f t="shared" si="28"/>
        <v>0</v>
      </c>
      <c r="AR37" s="392">
        <f t="shared" si="28"/>
        <v>0</v>
      </c>
      <c r="AS37" s="392">
        <f t="shared" si="28"/>
        <v>0</v>
      </c>
      <c r="AU37" s="9" t="s">
        <v>5916</v>
      </c>
      <c r="AV37" s="9">
        <v>903</v>
      </c>
      <c r="AW37" s="90">
        <v>1.0066445182724253</v>
      </c>
      <c r="AX37" s="38">
        <v>909</v>
      </c>
      <c r="AY37" s="38">
        <f t="shared" si="29"/>
        <v>1.1851368970013039</v>
      </c>
      <c r="AZ37" s="50">
        <v>3.6303630363036306E-2</v>
      </c>
      <c r="BA37" s="49">
        <f t="shared" si="30"/>
        <v>33</v>
      </c>
      <c r="BB37" s="9" t="s">
        <v>5319</v>
      </c>
      <c r="BC37" s="9">
        <f t="shared" si="31"/>
        <v>29</v>
      </c>
      <c r="BD37" s="38">
        <f t="shared" si="32"/>
        <v>0</v>
      </c>
      <c r="BE37" s="9" t="e">
        <f t="shared" si="33"/>
        <v>#N/A</v>
      </c>
      <c r="BF37" s="9" t="e">
        <f t="shared" si="34"/>
        <v>#N/A</v>
      </c>
      <c r="BG37" s="75" t="e">
        <f t="shared" si="35"/>
        <v>#N/A</v>
      </c>
    </row>
    <row r="38" spans="1:59">
      <c r="A38" s="12" t="s">
        <v>1648</v>
      </c>
      <c r="B38" s="54" t="str">
        <f t="shared" si="0"/>
        <v>AZ_Maric_2020g</v>
      </c>
      <c r="C38" s="12"/>
      <c r="D38" s="54" t="str">
        <f t="shared" si="1"/>
        <v>Gen-balsz esd #31-question 2 (vote for1)</v>
      </c>
      <c r="E38" s="54" t="s">
        <v>2062</v>
      </c>
      <c r="F38" s="12" t="s">
        <v>1300</v>
      </c>
      <c r="G38" s="59">
        <v>3582</v>
      </c>
      <c r="H38"/>
      <c r="K38" s="2"/>
      <c r="O38">
        <f t="shared" si="2"/>
        <v>2</v>
      </c>
      <c r="P38" s="57">
        <f t="shared" si="3"/>
        <v>1</v>
      </c>
      <c r="Q38" s="267">
        <f t="shared" si="4"/>
        <v>3582</v>
      </c>
      <c r="R38" s="23" t="str">
        <f t="shared" si="5"/>
        <v/>
      </c>
      <c r="S38" s="23">
        <f t="shared" si="6"/>
        <v>3582</v>
      </c>
      <c r="T38" s="23" t="str">
        <f t="shared" si="7"/>
        <v/>
      </c>
      <c r="U38" t="str">
        <f t="shared" si="8"/>
        <v/>
      </c>
      <c r="W38" s="1">
        <f t="shared" si="9"/>
        <v>37</v>
      </c>
      <c r="X38" s="73">
        <f t="shared" si="25"/>
        <v>111.81182212581345</v>
      </c>
      <c r="Y38" s="322">
        <f t="shared" si="10"/>
        <v>2294.5950000000003</v>
      </c>
      <c r="Z38" s="43">
        <f t="shared" si="11"/>
        <v>9.7291309001081733E-7</v>
      </c>
      <c r="AA38" s="52">
        <f t="shared" si="12"/>
        <v>9.7291309001081731E-9</v>
      </c>
      <c r="AB38" s="8">
        <f t="shared" si="13"/>
        <v>20895.63</v>
      </c>
      <c r="AC38" s="8">
        <f t="shared" si="14"/>
        <v>2089563</v>
      </c>
      <c r="AD38" s="8">
        <f t="shared" si="26"/>
        <v>10447.815000000001</v>
      </c>
      <c r="AE38" s="8" t="str">
        <f t="shared" si="15"/>
        <v/>
      </c>
      <c r="AF38" s="22" t="str">
        <f t="shared" si="16"/>
        <v>AZ_Maric_2020g</v>
      </c>
      <c r="AG38">
        <v>3</v>
      </c>
      <c r="AH38" s="272">
        <v>33255</v>
      </c>
      <c r="AI38" s="273">
        <v>2498</v>
      </c>
      <c r="AJ38" s="274">
        <v>654</v>
      </c>
      <c r="AK38" s="339">
        <v>1844</v>
      </c>
      <c r="AL38" s="340" t="s">
        <v>1629</v>
      </c>
      <c r="AM38" s="353">
        <f t="shared" si="17"/>
        <v>8.8248116950769137E-4</v>
      </c>
      <c r="AN38" s="354"/>
      <c r="AP38" s="23">
        <f t="shared" si="27"/>
        <v>0</v>
      </c>
      <c r="AQ38" s="392">
        <f t="shared" si="28"/>
        <v>0</v>
      </c>
      <c r="AR38" s="392">
        <f t="shared" si="28"/>
        <v>0</v>
      </c>
      <c r="AS38" s="392">
        <f t="shared" si="28"/>
        <v>0</v>
      </c>
      <c r="AU38" s="9" t="s">
        <v>5955</v>
      </c>
      <c r="AV38" s="9">
        <v>3871</v>
      </c>
      <c r="AW38" s="90">
        <v>1.0054249547920435</v>
      </c>
      <c r="AX38" s="38">
        <v>3892.0000000000005</v>
      </c>
      <c r="AY38" s="38">
        <f t="shared" si="29"/>
        <v>299.38461538461542</v>
      </c>
      <c r="AZ38" s="50">
        <v>3.3401849948612537E-3</v>
      </c>
      <c r="BA38" s="49">
        <f t="shared" si="30"/>
        <v>13</v>
      </c>
      <c r="BB38" s="9" t="s">
        <v>5319</v>
      </c>
      <c r="BC38" s="9">
        <f t="shared" si="31"/>
        <v>29</v>
      </c>
      <c r="BD38" s="38">
        <f t="shared" si="32"/>
        <v>0</v>
      </c>
      <c r="BE38" s="9" t="e">
        <f t="shared" si="33"/>
        <v>#N/A</v>
      </c>
      <c r="BF38" s="9" t="e">
        <f t="shared" si="34"/>
        <v>#N/A</v>
      </c>
      <c r="BG38" s="75" t="e">
        <f t="shared" si="35"/>
        <v>#N/A</v>
      </c>
    </row>
    <row r="39" spans="1:59">
      <c r="A39" s="12" t="s">
        <v>1581</v>
      </c>
      <c r="B39" s="54" t="str">
        <f t="shared" si="0"/>
        <v>AZ_Maric_2020g</v>
      </c>
      <c r="C39" s="12"/>
      <c r="D39" s="54" t="str">
        <f t="shared" si="1"/>
        <v>Gen-board of supervisors dist 1 (vote for1)</v>
      </c>
      <c r="E39" s="54" t="s">
        <v>1929</v>
      </c>
      <c r="F39" s="12" t="s">
        <v>1296</v>
      </c>
      <c r="G39" s="59">
        <v>212252</v>
      </c>
      <c r="H39"/>
      <c r="K39" s="2"/>
      <c r="O39">
        <f t="shared" si="2"/>
        <v>1</v>
      </c>
      <c r="P39" s="57">
        <f t="shared" si="3"/>
        <v>1</v>
      </c>
      <c r="Q39" s="267">
        <f t="shared" si="4"/>
        <v>424531</v>
      </c>
      <c r="R39" s="23">
        <f t="shared" si="5"/>
        <v>212252</v>
      </c>
      <c r="S39" s="23">
        <f t="shared" si="6"/>
        <v>211849</v>
      </c>
      <c r="T39" s="23">
        <f t="shared" si="7"/>
        <v>403</v>
      </c>
      <c r="U39" t="str">
        <f t="shared" si="8"/>
        <v>AZ_Maric_2020g~Gen-board of supervisors dist 1 (vote for1)</v>
      </c>
      <c r="W39" s="1">
        <f t="shared" si="9"/>
        <v>38</v>
      </c>
      <c r="X39" s="73">
        <f t="shared" si="25"/>
        <v>452.83820704375671</v>
      </c>
      <c r="Y39" s="322">
        <f t="shared" si="10"/>
        <v>9444.3060000000005</v>
      </c>
      <c r="Z39" s="43">
        <f t="shared" si="11"/>
        <v>7.2055923150301555E-7</v>
      </c>
      <c r="AA39" s="52">
        <f t="shared" si="12"/>
        <v>7.2055923150301555E-9</v>
      </c>
      <c r="AB39" s="8">
        <f t="shared" si="13"/>
        <v>20895.63</v>
      </c>
      <c r="AC39" s="8">
        <f t="shared" si="14"/>
        <v>2089563</v>
      </c>
      <c r="AD39" s="8">
        <f t="shared" si="26"/>
        <v>10447.815000000001</v>
      </c>
      <c r="AE39" s="8" t="str">
        <f t="shared" si="15"/>
        <v/>
      </c>
      <c r="AF39" s="22" t="str">
        <f t="shared" si="16"/>
        <v>AZ_Maric_2020g</v>
      </c>
      <c r="AG39">
        <v>3</v>
      </c>
      <c r="AH39" s="272">
        <v>136874</v>
      </c>
      <c r="AI39" s="273">
        <v>70788</v>
      </c>
      <c r="AJ39" s="274">
        <v>68914</v>
      </c>
      <c r="AK39" s="339">
        <v>1874</v>
      </c>
      <c r="AL39" s="340" t="s">
        <v>1630</v>
      </c>
      <c r="AM39" s="353">
        <f t="shared" si="17"/>
        <v>8.9683823842592924E-4</v>
      </c>
      <c r="AN39" s="354"/>
      <c r="AP39" s="23">
        <f t="shared" si="27"/>
        <v>0</v>
      </c>
      <c r="AQ39" s="392">
        <f t="shared" si="28"/>
        <v>0</v>
      </c>
      <c r="AR39" s="392">
        <f t="shared" si="28"/>
        <v>0</v>
      </c>
      <c r="AS39" s="392">
        <f t="shared" si="28"/>
        <v>0</v>
      </c>
      <c r="AU39" s="9" t="s">
        <v>5946</v>
      </c>
      <c r="AV39" s="9">
        <v>35667</v>
      </c>
      <c r="AW39" s="90">
        <v>1.0091961757366754</v>
      </c>
      <c r="AX39" s="38">
        <v>35995</v>
      </c>
      <c r="AY39" s="38">
        <f t="shared" si="29"/>
        <v>58.528455284552848</v>
      </c>
      <c r="AZ39" s="50">
        <v>2.1947492707320459E-3</v>
      </c>
      <c r="BA39" s="49">
        <f t="shared" si="30"/>
        <v>78.999999999999986</v>
      </c>
      <c r="BB39" s="9" t="s">
        <v>5319</v>
      </c>
      <c r="BC39" s="9">
        <f t="shared" si="31"/>
        <v>29</v>
      </c>
      <c r="BD39" s="38">
        <f t="shared" si="32"/>
        <v>0</v>
      </c>
      <c r="BE39" s="9" t="e">
        <f t="shared" si="33"/>
        <v>#N/A</v>
      </c>
      <c r="BF39" s="9" t="e">
        <f t="shared" si="34"/>
        <v>#N/A</v>
      </c>
      <c r="BG39" s="75" t="e">
        <f t="shared" si="35"/>
        <v>#N/A</v>
      </c>
    </row>
    <row r="40" spans="1:59">
      <c r="A40" s="12" t="s">
        <v>1581</v>
      </c>
      <c r="B40" s="54" t="str">
        <f t="shared" si="0"/>
        <v>AZ_Maric_2020g</v>
      </c>
      <c r="C40" s="12"/>
      <c r="D40" s="54" t="str">
        <f t="shared" si="1"/>
        <v>Gen-board of supervisors dist 1 (vote for1)</v>
      </c>
      <c r="E40" s="54" t="s">
        <v>1930</v>
      </c>
      <c r="F40" s="12" t="s">
        <v>1294</v>
      </c>
      <c r="G40" s="59">
        <v>211849</v>
      </c>
      <c r="H40"/>
      <c r="K40" s="2"/>
      <c r="O40">
        <f t="shared" si="2"/>
        <v>2</v>
      </c>
      <c r="P40" s="57">
        <f t="shared" si="3"/>
        <v>1</v>
      </c>
      <c r="Q40" s="267">
        <f t="shared" si="4"/>
        <v>212279</v>
      </c>
      <c r="R40" s="23" t="str">
        <f t="shared" si="5"/>
        <v/>
      </c>
      <c r="S40" s="23">
        <f t="shared" si="6"/>
        <v>211849</v>
      </c>
      <c r="T40" s="23" t="str">
        <f t="shared" si="7"/>
        <v/>
      </c>
      <c r="U40" t="str">
        <f t="shared" si="8"/>
        <v/>
      </c>
      <c r="W40" s="1">
        <f t="shared" si="9"/>
        <v>39</v>
      </c>
      <c r="X40" s="73">
        <f t="shared" si="25"/>
        <v>14.01427193828351</v>
      </c>
      <c r="Y40" s="322">
        <f t="shared" si="10"/>
        <v>323.47200000000004</v>
      </c>
      <c r="Z40" s="43">
        <f t="shared" si="11"/>
        <v>9.7332839753400907E-8</v>
      </c>
      <c r="AA40" s="52">
        <f t="shared" si="12"/>
        <v>9.7332839753400905E-10</v>
      </c>
      <c r="AB40" s="8">
        <f t="shared" si="13"/>
        <v>20895.63</v>
      </c>
      <c r="AC40" s="8">
        <f t="shared" si="14"/>
        <v>2089563</v>
      </c>
      <c r="AD40" s="8">
        <f t="shared" si="26"/>
        <v>10447.815000000001</v>
      </c>
      <c r="AE40" s="8" t="str">
        <f t="shared" si="15"/>
        <v/>
      </c>
      <c r="AF40" s="22" t="str">
        <f t="shared" si="16"/>
        <v>AZ_Maric_2020g</v>
      </c>
      <c r="AG40">
        <v>3</v>
      </c>
      <c r="AH40" s="272">
        <v>4688</v>
      </c>
      <c r="AI40" s="273">
        <v>3923</v>
      </c>
      <c r="AJ40" s="274">
        <v>1849</v>
      </c>
      <c r="AK40" s="339">
        <v>2074</v>
      </c>
      <c r="AL40" s="340" t="s">
        <v>1631</v>
      </c>
      <c r="AM40" s="353">
        <f t="shared" si="17"/>
        <v>9.9255203121418212E-4</v>
      </c>
      <c r="AN40" s="354"/>
      <c r="AP40" s="23">
        <f t="shared" si="27"/>
        <v>0</v>
      </c>
      <c r="AQ40" s="392">
        <f t="shared" si="28"/>
        <v>0</v>
      </c>
      <c r="AR40" s="392">
        <f t="shared" si="28"/>
        <v>0</v>
      </c>
      <c r="AS40" s="392">
        <f t="shared" si="28"/>
        <v>0</v>
      </c>
      <c r="AU40" s="9" t="s">
        <v>5909</v>
      </c>
      <c r="AV40" s="9">
        <v>3961</v>
      </c>
      <c r="AW40" s="90">
        <v>1.0123706134814441</v>
      </c>
      <c r="AX40" s="38">
        <v>4010</v>
      </c>
      <c r="AY40" s="38">
        <f t="shared" si="29"/>
        <v>7.5946969696969697</v>
      </c>
      <c r="AZ40" s="50">
        <v>1.7206982543640899E-2</v>
      </c>
      <c r="BA40" s="49">
        <f t="shared" si="30"/>
        <v>69</v>
      </c>
      <c r="BB40" s="9" t="s">
        <v>5319</v>
      </c>
      <c r="BC40" s="9">
        <f t="shared" si="31"/>
        <v>29</v>
      </c>
      <c r="BD40" s="38">
        <f t="shared" si="32"/>
        <v>0</v>
      </c>
      <c r="BE40" s="9" t="e">
        <f t="shared" si="33"/>
        <v>#N/A</v>
      </c>
      <c r="BF40" s="9" t="e">
        <f t="shared" si="34"/>
        <v>#N/A</v>
      </c>
      <c r="BG40" s="75" t="e">
        <f t="shared" si="35"/>
        <v>#N/A</v>
      </c>
    </row>
    <row r="41" spans="1:59">
      <c r="A41" s="12" t="s">
        <v>1581</v>
      </c>
      <c r="B41" s="54" t="str">
        <f t="shared" si="0"/>
        <v>AZ_Maric_2020g</v>
      </c>
      <c r="C41" s="12"/>
      <c r="D41" s="54" t="str">
        <f t="shared" si="1"/>
        <v>Gen-board of supervisors dist 1 (vote for1)</v>
      </c>
      <c r="E41" s="54" t="s">
        <v>1299</v>
      </c>
      <c r="G41" s="59">
        <v>430</v>
      </c>
      <c r="H41"/>
      <c r="K41" s="2"/>
      <c r="O41">
        <f t="shared" si="2"/>
        <v>-2</v>
      </c>
      <c r="P41" s="57">
        <f t="shared" si="3"/>
        <v>1</v>
      </c>
      <c r="Q41" s="267">
        <f t="shared" si="4"/>
        <v>430</v>
      </c>
      <c r="R41" s="23">
        <f t="shared" si="5"/>
        <v>1</v>
      </c>
      <c r="S41" s="23">
        <f t="shared" si="6"/>
        <v>0</v>
      </c>
      <c r="T41" s="23" t="str">
        <f t="shared" si="7"/>
        <v/>
      </c>
      <c r="U41" t="str">
        <f t="shared" si="8"/>
        <v/>
      </c>
      <c r="W41" s="1">
        <f t="shared" si="9"/>
        <v>40</v>
      </c>
      <c r="X41" s="73">
        <f t="shared" si="25"/>
        <v>210.3223091076357</v>
      </c>
      <c r="Y41" s="322">
        <f t="shared" si="10"/>
        <v>5088.6465000000007</v>
      </c>
      <c r="Z41" s="43">
        <f t="shared" si="11"/>
        <v>3.5770335321565245E-8</v>
      </c>
      <c r="AA41" s="52">
        <f t="shared" si="12"/>
        <v>3.5770335321565243E-10</v>
      </c>
      <c r="AB41" s="8">
        <f t="shared" si="13"/>
        <v>20895.63</v>
      </c>
      <c r="AC41" s="8">
        <f t="shared" si="14"/>
        <v>2089563</v>
      </c>
      <c r="AD41" s="8">
        <f t="shared" si="26"/>
        <v>10447.815000000001</v>
      </c>
      <c r="AE41" s="8" t="str">
        <f t="shared" si="15"/>
        <v/>
      </c>
      <c r="AF41" s="22" t="str">
        <f t="shared" si="16"/>
        <v>AZ_Maric_2020g</v>
      </c>
      <c r="AG41">
        <v>2</v>
      </c>
      <c r="AH41" s="272">
        <v>73748.5</v>
      </c>
      <c r="AI41" s="273">
        <v>49268</v>
      </c>
      <c r="AJ41" s="274">
        <v>47094</v>
      </c>
      <c r="AK41" s="339">
        <v>2174</v>
      </c>
      <c r="AL41" s="340" t="s">
        <v>1559</v>
      </c>
      <c r="AM41" s="353">
        <f t="shared" si="17"/>
        <v>1.0404089276083086E-3</v>
      </c>
      <c r="AN41" s="354"/>
      <c r="AP41" s="23">
        <f t="shared" si="27"/>
        <v>0</v>
      </c>
      <c r="AQ41" s="392">
        <f t="shared" si="28"/>
        <v>0</v>
      </c>
      <c r="AR41" s="392">
        <f t="shared" si="28"/>
        <v>0</v>
      </c>
      <c r="AS41" s="392">
        <f t="shared" si="28"/>
        <v>0</v>
      </c>
      <c r="AU41" s="9" t="s">
        <v>5642</v>
      </c>
      <c r="AV41" s="9">
        <v>224338</v>
      </c>
      <c r="AW41" s="90">
        <v>1.0114024373935757</v>
      </c>
      <c r="AX41" s="38">
        <v>226895.99999999997</v>
      </c>
      <c r="AY41" s="38">
        <f t="shared" si="29"/>
        <v>325.53228120516496</v>
      </c>
      <c r="AZ41" s="50">
        <v>8.9468302658486719E-4</v>
      </c>
      <c r="BA41" s="49">
        <f t="shared" si="30"/>
        <v>203</v>
      </c>
      <c r="BB41" s="9" t="s">
        <v>5319</v>
      </c>
      <c r="BC41" s="9">
        <f t="shared" si="31"/>
        <v>24</v>
      </c>
      <c r="BD41" s="38">
        <f t="shared" si="32"/>
        <v>758.18599938261843</v>
      </c>
      <c r="BE41" s="9">
        <f t="shared" si="33"/>
        <v>36</v>
      </c>
      <c r="BF41" s="9">
        <f t="shared" si="34"/>
        <v>-12</v>
      </c>
      <c r="BG41" s="75">
        <f t="shared" si="35"/>
        <v>1.5</v>
      </c>
    </row>
    <row r="42" spans="1:59">
      <c r="A42" s="12" t="s">
        <v>1582</v>
      </c>
      <c r="B42" s="54" t="str">
        <f t="shared" si="0"/>
        <v>AZ_Maric_2020g</v>
      </c>
      <c r="C42" s="12"/>
      <c r="D42" s="54" t="str">
        <f t="shared" si="1"/>
        <v>Gen-board of supervisors dist 2 (vote for1)</v>
      </c>
      <c r="E42" s="54" t="s">
        <v>1931</v>
      </c>
      <c r="F42" s="12" t="s">
        <v>1296</v>
      </c>
      <c r="G42" s="59">
        <v>255790</v>
      </c>
      <c r="H42"/>
      <c r="K42" s="2"/>
      <c r="O42">
        <f t="shared" si="2"/>
        <v>1</v>
      </c>
      <c r="P42" s="57">
        <f t="shared" si="3"/>
        <v>1</v>
      </c>
      <c r="Q42" s="267">
        <f t="shared" si="4"/>
        <v>424826</v>
      </c>
      <c r="R42" s="23">
        <f t="shared" si="5"/>
        <v>255790</v>
      </c>
      <c r="S42" s="23">
        <f t="shared" si="6"/>
        <v>168122</v>
      </c>
      <c r="T42" s="23">
        <f t="shared" si="7"/>
        <v>87668</v>
      </c>
      <c r="U42" t="str">
        <f t="shared" si="8"/>
        <v>AZ_Maric_2020g~Gen-board of supervisors dist 2 (vote for1)</v>
      </c>
      <c r="W42" s="1">
        <f t="shared" si="9"/>
        <v>41</v>
      </c>
      <c r="X42" s="73">
        <f t="shared" si="25"/>
        <v>12.566803465572276</v>
      </c>
      <c r="Y42" s="322">
        <f t="shared" si="10"/>
        <v>306.70500000000004</v>
      </c>
      <c r="Z42" s="43">
        <f t="shared" si="11"/>
        <v>2.9574726980922834E-8</v>
      </c>
      <c r="AA42" s="52">
        <f t="shared" si="12"/>
        <v>2.9574726980922834E-10</v>
      </c>
      <c r="AB42" s="8">
        <f t="shared" si="13"/>
        <v>20895.63</v>
      </c>
      <c r="AC42" s="8">
        <f t="shared" si="14"/>
        <v>2089563</v>
      </c>
      <c r="AD42" s="8">
        <f t="shared" si="26"/>
        <v>10447.815000000001</v>
      </c>
      <c r="AE42" s="8" t="str">
        <f t="shared" si="15"/>
        <v/>
      </c>
      <c r="AF42" s="22" t="str">
        <f t="shared" si="16"/>
        <v>AZ_Maric_2020g</v>
      </c>
      <c r="AG42">
        <v>1</v>
      </c>
      <c r="AH42" s="272">
        <v>4445</v>
      </c>
      <c r="AI42" s="273">
        <v>3319</v>
      </c>
      <c r="AJ42" s="274">
        <v>1126</v>
      </c>
      <c r="AK42" s="339">
        <v>2193</v>
      </c>
      <c r="AL42" s="340" t="s">
        <v>1640</v>
      </c>
      <c r="AM42" s="353">
        <f t="shared" si="17"/>
        <v>1.0495017379231926E-3</v>
      </c>
      <c r="AN42" s="354"/>
      <c r="AP42" s="23">
        <f t="shared" si="27"/>
        <v>0</v>
      </c>
      <c r="AQ42" s="392">
        <f t="shared" si="28"/>
        <v>0</v>
      </c>
      <c r="AR42" s="392">
        <f t="shared" si="28"/>
        <v>0</v>
      </c>
      <c r="AS42" s="392">
        <f t="shared" si="28"/>
        <v>0</v>
      </c>
      <c r="AU42" s="9" t="s">
        <v>5956</v>
      </c>
      <c r="AV42" s="9">
        <v>7961</v>
      </c>
      <c r="AW42" s="90">
        <v>1.0126868483858811</v>
      </c>
      <c r="AX42" s="38">
        <v>8061.9999999999991</v>
      </c>
      <c r="AY42" s="38">
        <f t="shared" si="29"/>
        <v>48.860606060606052</v>
      </c>
      <c r="AZ42" s="50">
        <v>3.9692384023815438E-3</v>
      </c>
      <c r="BA42" s="49">
        <f t="shared" si="30"/>
        <v>32</v>
      </c>
      <c r="BB42" s="9" t="s">
        <v>5319</v>
      </c>
      <c r="BC42" s="9">
        <f t="shared" si="31"/>
        <v>24</v>
      </c>
      <c r="BD42" s="38">
        <f t="shared" si="32"/>
        <v>0</v>
      </c>
      <c r="BE42" s="9" t="e">
        <f t="shared" si="33"/>
        <v>#N/A</v>
      </c>
      <c r="BF42" s="9" t="e">
        <f t="shared" si="34"/>
        <v>#N/A</v>
      </c>
      <c r="BG42" s="75" t="e">
        <f t="shared" si="35"/>
        <v>#N/A</v>
      </c>
    </row>
    <row r="43" spans="1:59">
      <c r="A43" s="12" t="s">
        <v>1582</v>
      </c>
      <c r="B43" s="54" t="str">
        <f t="shared" si="0"/>
        <v>AZ_Maric_2020g</v>
      </c>
      <c r="C43" s="12"/>
      <c r="D43" s="54" t="str">
        <f t="shared" si="1"/>
        <v>Gen-board of supervisors dist 2 (vote for1)</v>
      </c>
      <c r="E43" s="54" t="s">
        <v>1932</v>
      </c>
      <c r="F43" s="12" t="s">
        <v>1294</v>
      </c>
      <c r="G43" s="59">
        <v>168122</v>
      </c>
      <c r="H43"/>
      <c r="K43" s="2"/>
      <c r="O43">
        <f t="shared" si="2"/>
        <v>2</v>
      </c>
      <c r="P43" s="57">
        <f t="shared" si="3"/>
        <v>1</v>
      </c>
      <c r="Q43" s="267">
        <f t="shared" si="4"/>
        <v>169036</v>
      </c>
      <c r="R43" s="23" t="str">
        <f t="shared" si="5"/>
        <v/>
      </c>
      <c r="S43" s="23">
        <f t="shared" si="6"/>
        <v>168122</v>
      </c>
      <c r="T43" s="23" t="str">
        <f t="shared" si="7"/>
        <v/>
      </c>
      <c r="U43" t="str">
        <f t="shared" si="8"/>
        <v/>
      </c>
      <c r="W43" s="1">
        <f t="shared" si="9"/>
        <v>42</v>
      </c>
      <c r="X43" s="73">
        <f t="shared" si="25"/>
        <v>58.227336623298946</v>
      </c>
      <c r="Y43" s="322">
        <f t="shared" si="10"/>
        <v>1444.4230000000002</v>
      </c>
      <c r="Z43" s="43">
        <f t="shared" si="11"/>
        <v>2.0625720256930877E-8</v>
      </c>
      <c r="AA43" s="52">
        <f t="shared" si="12"/>
        <v>2.0625720256930876E-10</v>
      </c>
      <c r="AB43" s="8">
        <f t="shared" si="13"/>
        <v>20895.63</v>
      </c>
      <c r="AC43" s="8">
        <f t="shared" si="14"/>
        <v>2089563</v>
      </c>
      <c r="AD43" s="8">
        <f t="shared" si="26"/>
        <v>10447.815000000001</v>
      </c>
      <c r="AE43" s="8" t="str">
        <f t="shared" si="15"/>
        <v/>
      </c>
      <c r="AF43" s="22" t="str">
        <f t="shared" si="16"/>
        <v>AZ_Maric_2020g</v>
      </c>
      <c r="AG43">
        <v>3</v>
      </c>
      <c r="AH43" s="272">
        <v>20933.666666666668</v>
      </c>
      <c r="AI43" s="273">
        <v>13884</v>
      </c>
      <c r="AJ43" s="274">
        <v>11655</v>
      </c>
      <c r="AK43" s="339">
        <v>2229</v>
      </c>
      <c r="AL43" s="340" t="s">
        <v>1672</v>
      </c>
      <c r="AM43" s="353">
        <f t="shared" si="17"/>
        <v>1.066730220625078E-3</v>
      </c>
      <c r="AN43" s="354"/>
      <c r="AP43" s="23">
        <f t="shared" si="27"/>
        <v>0</v>
      </c>
      <c r="AQ43" s="392">
        <f t="shared" si="28"/>
        <v>0</v>
      </c>
      <c r="AR43" s="392">
        <f t="shared" si="28"/>
        <v>0</v>
      </c>
      <c r="AS43" s="392">
        <f t="shared" si="28"/>
        <v>0</v>
      </c>
      <c r="AU43" s="9" t="s">
        <v>5937</v>
      </c>
      <c r="AV43" s="9">
        <v>2651</v>
      </c>
      <c r="AW43" s="90">
        <v>1.0052810260279141</v>
      </c>
      <c r="AX43" s="38">
        <v>2665.0000000000005</v>
      </c>
      <c r="AY43" s="38">
        <f t="shared" si="29"/>
        <v>43.688524590163944</v>
      </c>
      <c r="AZ43" s="50">
        <v>1.613508442776735E-2</v>
      </c>
      <c r="BA43" s="49">
        <f t="shared" si="30"/>
        <v>42.999999999999993</v>
      </c>
      <c r="BB43" s="9" t="s">
        <v>5319</v>
      </c>
      <c r="BC43" s="9">
        <f t="shared" si="31"/>
        <v>24</v>
      </c>
      <c r="BD43" s="38">
        <f t="shared" si="32"/>
        <v>0</v>
      </c>
      <c r="BE43" s="9" t="e">
        <f t="shared" si="33"/>
        <v>#N/A</v>
      </c>
      <c r="BF43" s="9" t="e">
        <f t="shared" si="34"/>
        <v>#N/A</v>
      </c>
      <c r="BG43" s="75" t="e">
        <f t="shared" si="35"/>
        <v>#N/A</v>
      </c>
    </row>
    <row r="44" spans="1:59">
      <c r="A44" s="12" t="s">
        <v>1582</v>
      </c>
      <c r="B44" s="54" t="str">
        <f t="shared" si="0"/>
        <v>AZ_Maric_2020g</v>
      </c>
      <c r="C44" s="12"/>
      <c r="D44" s="54" t="str">
        <f t="shared" si="1"/>
        <v>Gen-board of supervisors dist 2 (vote for1)</v>
      </c>
      <c r="E44" s="54" t="s">
        <v>1299</v>
      </c>
      <c r="G44" s="59">
        <v>457</v>
      </c>
      <c r="H44"/>
      <c r="K44" s="2"/>
      <c r="O44">
        <f t="shared" si="2"/>
        <v>-2</v>
      </c>
      <c r="P44" s="57">
        <f t="shared" si="3"/>
        <v>1</v>
      </c>
      <c r="Q44" s="267">
        <f t="shared" si="4"/>
        <v>914</v>
      </c>
      <c r="R44" s="23" t="str">
        <f t="shared" si="5"/>
        <v/>
      </c>
      <c r="S44" s="23">
        <f t="shared" si="6"/>
        <v>113</v>
      </c>
      <c r="T44" s="23" t="str">
        <f t="shared" si="7"/>
        <v/>
      </c>
      <c r="U44" t="str">
        <f t="shared" si="8"/>
        <v/>
      </c>
      <c r="W44" s="1">
        <f t="shared" si="9"/>
        <v>43</v>
      </c>
      <c r="X44" s="73">
        <f t="shared" si="25"/>
        <v>210.89323308270676</v>
      </c>
      <c r="Y44" s="322">
        <f t="shared" si="10"/>
        <v>5618.8080000000009</v>
      </c>
      <c r="Z44" s="43">
        <f t="shared" si="11"/>
        <v>3.9539361676823601E-9</v>
      </c>
      <c r="AA44" s="52">
        <f t="shared" si="12"/>
        <v>3.9539361676823604E-11</v>
      </c>
      <c r="AB44" s="8">
        <f t="shared" si="13"/>
        <v>20895.63</v>
      </c>
      <c r="AC44" s="8">
        <f t="shared" si="14"/>
        <v>2089563</v>
      </c>
      <c r="AD44" s="8">
        <f t="shared" si="26"/>
        <v>10447.815000000001</v>
      </c>
      <c r="AE44" s="8" t="str">
        <f t="shared" si="15"/>
        <v/>
      </c>
      <c r="AF44" s="22" t="str">
        <f t="shared" si="16"/>
        <v>AZ_Maric_2020g</v>
      </c>
      <c r="AG44">
        <v>2</v>
      </c>
      <c r="AH44" s="272">
        <v>81432</v>
      </c>
      <c r="AI44" s="273">
        <v>53441</v>
      </c>
      <c r="AJ44" s="274">
        <v>51047</v>
      </c>
      <c r="AK44" s="339">
        <v>2394</v>
      </c>
      <c r="AL44" s="340" t="s">
        <v>1561</v>
      </c>
      <c r="AM44" s="353">
        <f t="shared" si="17"/>
        <v>1.1456940996753867E-3</v>
      </c>
      <c r="AN44" s="354"/>
      <c r="AP44" s="23">
        <f t="shared" si="27"/>
        <v>0</v>
      </c>
      <c r="AQ44" s="392">
        <f t="shared" si="28"/>
        <v>0</v>
      </c>
      <c r="AR44" s="392">
        <f t="shared" si="28"/>
        <v>0</v>
      </c>
      <c r="AS44" s="392">
        <f t="shared" si="28"/>
        <v>0</v>
      </c>
      <c r="AU44" s="9" t="s">
        <v>5917</v>
      </c>
      <c r="AV44" s="9">
        <v>10532</v>
      </c>
      <c r="AW44" s="90">
        <v>1.0145271553361184</v>
      </c>
      <c r="AX44" s="38">
        <v>10684.999999999998</v>
      </c>
      <c r="AY44" s="38">
        <f t="shared" si="29"/>
        <v>16.721439749608759</v>
      </c>
      <c r="AZ44" s="50">
        <v>1.7781937295273751E-3</v>
      </c>
      <c r="BA44" s="49">
        <f t="shared" si="30"/>
        <v>19</v>
      </c>
      <c r="BB44" s="9" t="s">
        <v>5319</v>
      </c>
      <c r="BC44" s="9">
        <f t="shared" si="31"/>
        <v>24</v>
      </c>
      <c r="BD44" s="38">
        <f t="shared" si="32"/>
        <v>0</v>
      </c>
      <c r="BE44" s="9" t="e">
        <f t="shared" si="33"/>
        <v>#N/A</v>
      </c>
      <c r="BF44" s="9" t="e">
        <f t="shared" si="34"/>
        <v>#N/A</v>
      </c>
      <c r="BG44" s="75" t="e">
        <f t="shared" si="35"/>
        <v>#N/A</v>
      </c>
    </row>
    <row r="45" spans="1:59">
      <c r="A45" s="12" t="s">
        <v>1582</v>
      </c>
      <c r="B45" s="54" t="str">
        <f t="shared" si="0"/>
        <v>AZ_Maric_2020g</v>
      </c>
      <c r="C45" s="12"/>
      <c r="D45" s="54" t="str">
        <f t="shared" si="1"/>
        <v>Gen-board of supervisors dist 2 (vote for1)</v>
      </c>
      <c r="E45" s="54" t="s">
        <v>1765</v>
      </c>
      <c r="G45" s="59">
        <v>344</v>
      </c>
      <c r="H45"/>
      <c r="K45" s="2"/>
      <c r="O45">
        <f t="shared" si="2"/>
        <v>-2</v>
      </c>
      <c r="P45" s="57">
        <f t="shared" si="3"/>
        <v>1</v>
      </c>
      <c r="Q45" s="267">
        <f t="shared" si="4"/>
        <v>457</v>
      </c>
      <c r="R45" s="23" t="str">
        <f t="shared" si="5"/>
        <v/>
      </c>
      <c r="S45" s="23">
        <f t="shared" si="6"/>
        <v>113</v>
      </c>
      <c r="T45" s="23" t="str">
        <f t="shared" si="7"/>
        <v/>
      </c>
      <c r="U45" t="str">
        <f t="shared" si="8"/>
        <v/>
      </c>
      <c r="W45" s="1">
        <f t="shared" si="9"/>
        <v>44</v>
      </c>
      <c r="X45" s="73">
        <f t="shared" si="25"/>
        <v>136.44739284739285</v>
      </c>
      <c r="Y45" s="322">
        <f t="shared" si="10"/>
        <v>3708.2440000000001</v>
      </c>
      <c r="Z45" s="43">
        <f t="shared" si="11"/>
        <v>2.4452698650421935E-9</v>
      </c>
      <c r="AA45" s="52">
        <f t="shared" si="12"/>
        <v>2.4452698650421935E-11</v>
      </c>
      <c r="AB45" s="8">
        <f t="shared" si="13"/>
        <v>20895.63</v>
      </c>
      <c r="AC45" s="8">
        <f t="shared" si="14"/>
        <v>2089563</v>
      </c>
      <c r="AD45" s="8">
        <f t="shared" si="26"/>
        <v>10447.815000000001</v>
      </c>
      <c r="AE45" s="8" t="str">
        <f t="shared" si="15"/>
        <v/>
      </c>
      <c r="AF45" s="22" t="str">
        <f t="shared" si="16"/>
        <v>AZ_Maric_2020g</v>
      </c>
      <c r="AG45">
        <v>3</v>
      </c>
      <c r="AH45" s="272">
        <v>53742.666666666664</v>
      </c>
      <c r="AI45" s="273">
        <v>31133</v>
      </c>
      <c r="AJ45" s="274">
        <v>28691</v>
      </c>
      <c r="AK45" s="339">
        <v>2442</v>
      </c>
      <c r="AL45" s="340" t="s">
        <v>1632</v>
      </c>
      <c r="AM45" s="353">
        <f t="shared" si="17"/>
        <v>1.1686654099445674E-3</v>
      </c>
      <c r="AN45" s="354"/>
      <c r="AP45" s="23">
        <f t="shared" si="27"/>
        <v>0</v>
      </c>
      <c r="AQ45" s="392">
        <f t="shared" si="28"/>
        <v>0</v>
      </c>
      <c r="AR45" s="392">
        <f t="shared" si="28"/>
        <v>0</v>
      </c>
      <c r="AS45" s="392">
        <f t="shared" si="28"/>
        <v>0</v>
      </c>
      <c r="AU45" s="9" t="s">
        <v>5910</v>
      </c>
      <c r="AV45" s="9">
        <v>90623</v>
      </c>
      <c r="AW45" s="90">
        <v>1.0097436633084316</v>
      </c>
      <c r="AX45" s="38">
        <v>91506</v>
      </c>
      <c r="AY45" s="38">
        <f t="shared" si="29"/>
        <v>1039.840909090909</v>
      </c>
      <c r="AZ45" s="50">
        <v>8.5240312110681268E-4</v>
      </c>
      <c r="BA45" s="49">
        <f t="shared" si="30"/>
        <v>78</v>
      </c>
      <c r="BB45" s="9" t="s">
        <v>5319</v>
      </c>
      <c r="BC45" s="9">
        <f t="shared" si="31"/>
        <v>24</v>
      </c>
      <c r="BD45" s="38">
        <f t="shared" si="32"/>
        <v>0</v>
      </c>
      <c r="BE45" s="9" t="e">
        <f t="shared" si="33"/>
        <v>#N/A</v>
      </c>
      <c r="BF45" s="9" t="e">
        <f t="shared" si="34"/>
        <v>#N/A</v>
      </c>
      <c r="BG45" s="75" t="e">
        <f t="shared" si="35"/>
        <v>#N/A</v>
      </c>
    </row>
    <row r="46" spans="1:59">
      <c r="A46" s="12" t="s">
        <v>1582</v>
      </c>
      <c r="B46" s="54" t="str">
        <f t="shared" si="0"/>
        <v>AZ_Maric_2020g</v>
      </c>
      <c r="C46" s="12"/>
      <c r="D46" s="54" t="str">
        <f t="shared" si="1"/>
        <v>Gen-board of supervisors dist 2 (vote for1)</v>
      </c>
      <c r="E46" s="54" t="s">
        <v>1933</v>
      </c>
      <c r="G46" s="59">
        <v>113</v>
      </c>
      <c r="H46"/>
      <c r="K46" s="2"/>
      <c r="O46">
        <f t="shared" si="2"/>
        <v>3</v>
      </c>
      <c r="P46" s="57">
        <f t="shared" si="3"/>
        <v>1</v>
      </c>
      <c r="Q46" s="267">
        <f t="shared" si="4"/>
        <v>113</v>
      </c>
      <c r="R46" s="23" t="str">
        <f t="shared" si="5"/>
        <v/>
      </c>
      <c r="S46" s="23">
        <f t="shared" si="6"/>
        <v>113</v>
      </c>
      <c r="T46" s="23" t="str">
        <f t="shared" si="7"/>
        <v/>
      </c>
      <c r="U46" t="str">
        <f t="shared" si="8"/>
        <v/>
      </c>
      <c r="W46" s="1">
        <f t="shared" si="9"/>
        <v>45</v>
      </c>
      <c r="X46" s="73">
        <f t="shared" si="25"/>
        <v>44.923466774497911</v>
      </c>
      <c r="Y46" s="322">
        <f t="shared" si="10"/>
        <v>1236.3880000000001</v>
      </c>
      <c r="Z46" s="43">
        <f t="shared" si="11"/>
        <v>1.7928212134081957E-9</v>
      </c>
      <c r="AA46" s="52">
        <f t="shared" si="12"/>
        <v>1.7928212134081956E-11</v>
      </c>
      <c r="AB46" s="8">
        <f t="shared" si="13"/>
        <v>20895.63</v>
      </c>
      <c r="AC46" s="8">
        <f t="shared" si="14"/>
        <v>2089563</v>
      </c>
      <c r="AD46" s="8">
        <f t="shared" si="26"/>
        <v>10447.815000000001</v>
      </c>
      <c r="AE46" s="8" t="str">
        <f t="shared" si="15"/>
        <v/>
      </c>
      <c r="AF46" s="22" t="str">
        <f t="shared" si="16"/>
        <v>AZ_Maric_2020g</v>
      </c>
      <c r="AG46">
        <v>3</v>
      </c>
      <c r="AH46" s="272">
        <v>17918.666666666668</v>
      </c>
      <c r="AI46" s="273">
        <v>13745</v>
      </c>
      <c r="AJ46" s="274">
        <v>11272</v>
      </c>
      <c r="AK46" s="339">
        <v>2473</v>
      </c>
      <c r="AL46" s="340" t="s">
        <v>1651</v>
      </c>
      <c r="AM46" s="353">
        <f t="shared" si="17"/>
        <v>1.1835010478267465E-3</v>
      </c>
      <c r="AN46" s="354"/>
      <c r="AP46" s="23">
        <f t="shared" si="27"/>
        <v>0</v>
      </c>
      <c r="AQ46" s="392">
        <f t="shared" si="28"/>
        <v>0</v>
      </c>
      <c r="AR46" s="392">
        <f t="shared" si="28"/>
        <v>0</v>
      </c>
      <c r="AS46" s="392">
        <f t="shared" si="28"/>
        <v>0</v>
      </c>
      <c r="AU46" s="9" t="s">
        <v>5938</v>
      </c>
      <c r="AV46" s="9">
        <v>756</v>
      </c>
      <c r="AW46" s="90">
        <v>1.0145502645502644</v>
      </c>
      <c r="AX46" s="38">
        <v>766.99999999999989</v>
      </c>
      <c r="AY46" s="38">
        <f t="shared" si="29"/>
        <v>8.428571428571427</v>
      </c>
      <c r="AZ46" s="50">
        <v>3.2594524119947857E-2</v>
      </c>
      <c r="BA46" s="49">
        <f t="shared" si="30"/>
        <v>25.000000000000004</v>
      </c>
      <c r="BB46" s="9" t="s">
        <v>5319</v>
      </c>
      <c r="BC46" s="9">
        <f t="shared" si="31"/>
        <v>24</v>
      </c>
      <c r="BD46" s="38">
        <f t="shared" si="32"/>
        <v>0</v>
      </c>
      <c r="BE46" s="9" t="e">
        <f t="shared" si="33"/>
        <v>#N/A</v>
      </c>
      <c r="BF46" s="9" t="e">
        <f t="shared" si="34"/>
        <v>#N/A</v>
      </c>
      <c r="BG46" s="75" t="e">
        <f t="shared" si="35"/>
        <v>#N/A</v>
      </c>
    </row>
    <row r="47" spans="1:59">
      <c r="A47" s="12" t="s">
        <v>1583</v>
      </c>
      <c r="B47" s="54" t="str">
        <f t="shared" si="0"/>
        <v>AZ_Maric_2020g</v>
      </c>
      <c r="C47" s="12"/>
      <c r="D47" s="54" t="str">
        <f t="shared" si="1"/>
        <v>Gen-board of supervisors dist 3 (vote for1)</v>
      </c>
      <c r="E47" s="54" t="s">
        <v>1934</v>
      </c>
      <c r="F47" s="12" t="s">
        <v>1296</v>
      </c>
      <c r="G47" s="59">
        <v>186478</v>
      </c>
      <c r="H47"/>
      <c r="K47" s="2"/>
      <c r="O47">
        <f t="shared" si="2"/>
        <v>1</v>
      </c>
      <c r="P47" s="57">
        <f t="shared" si="3"/>
        <v>1</v>
      </c>
      <c r="Q47" s="267">
        <f t="shared" si="4"/>
        <v>367764</v>
      </c>
      <c r="R47" s="23">
        <f t="shared" si="5"/>
        <v>186478</v>
      </c>
      <c r="S47" s="23">
        <f t="shared" si="6"/>
        <v>180865</v>
      </c>
      <c r="T47" s="23">
        <f t="shared" si="7"/>
        <v>5613</v>
      </c>
      <c r="U47" t="str">
        <f t="shared" si="8"/>
        <v>AZ_Maric_2020g~Gen-board of supervisors dist 3 (vote for1)</v>
      </c>
      <c r="W47" s="1">
        <f t="shared" si="9"/>
        <v>46</v>
      </c>
      <c r="X47" s="73">
        <f t="shared" si="25"/>
        <v>49.667601246105917</v>
      </c>
      <c r="Y47" s="322">
        <f t="shared" si="10"/>
        <v>1419.4680000000001</v>
      </c>
      <c r="Z47" s="43">
        <f t="shared" si="11"/>
        <v>6.9256247421900987E-10</v>
      </c>
      <c r="AA47" s="52">
        <f t="shared" si="12"/>
        <v>6.9256247421900984E-12</v>
      </c>
      <c r="AB47" s="8">
        <f t="shared" si="13"/>
        <v>20895.63</v>
      </c>
      <c r="AC47" s="8">
        <f t="shared" si="14"/>
        <v>2089563</v>
      </c>
      <c r="AD47" s="8">
        <f t="shared" si="26"/>
        <v>10447.815000000001</v>
      </c>
      <c r="AE47" s="8" t="str">
        <f t="shared" si="15"/>
        <v/>
      </c>
      <c r="AF47" s="22" t="str">
        <f t="shared" si="16"/>
        <v>AZ_Maric_2020g</v>
      </c>
      <c r="AG47">
        <v>2</v>
      </c>
      <c r="AH47" s="272">
        <v>20572</v>
      </c>
      <c r="AI47" s="273">
        <v>13408</v>
      </c>
      <c r="AJ47" s="274">
        <v>10840</v>
      </c>
      <c r="AK47" s="339">
        <v>2568</v>
      </c>
      <c r="AL47" s="340" t="s">
        <v>1543</v>
      </c>
      <c r="AM47" s="353">
        <f t="shared" si="17"/>
        <v>1.2289650994011666E-3</v>
      </c>
      <c r="AN47" s="354"/>
      <c r="AP47" s="23">
        <f t="shared" si="27"/>
        <v>0</v>
      </c>
      <c r="AQ47" s="392">
        <f t="shared" si="28"/>
        <v>0</v>
      </c>
      <c r="AR47" s="392">
        <f t="shared" si="28"/>
        <v>0</v>
      </c>
      <c r="AS47" s="392">
        <f t="shared" si="28"/>
        <v>0</v>
      </c>
      <c r="AU47" s="9" t="s">
        <v>5924</v>
      </c>
      <c r="AV47" s="9">
        <v>7026</v>
      </c>
      <c r="AW47" s="90">
        <v>1.0068317677198975</v>
      </c>
      <c r="AX47" s="38">
        <v>7074</v>
      </c>
      <c r="AY47" s="38">
        <f t="shared" si="29"/>
        <v>49.468531468531467</v>
      </c>
      <c r="AZ47" s="50">
        <v>1.031947978512864E-2</v>
      </c>
      <c r="BA47" s="49">
        <f t="shared" si="30"/>
        <v>73</v>
      </c>
      <c r="BB47" s="9" t="s">
        <v>5319</v>
      </c>
      <c r="BC47" s="9">
        <f t="shared" si="31"/>
        <v>24</v>
      </c>
      <c r="BD47" s="38">
        <f t="shared" si="32"/>
        <v>0</v>
      </c>
      <c r="BE47" s="9" t="e">
        <f t="shared" si="33"/>
        <v>#N/A</v>
      </c>
      <c r="BF47" s="9" t="e">
        <f t="shared" si="34"/>
        <v>#N/A</v>
      </c>
      <c r="BG47" s="75" t="e">
        <f t="shared" si="35"/>
        <v>#N/A</v>
      </c>
    </row>
    <row r="48" spans="1:59">
      <c r="A48" s="12" t="s">
        <v>1583</v>
      </c>
      <c r="B48" s="54" t="str">
        <f t="shared" si="0"/>
        <v>AZ_Maric_2020g</v>
      </c>
      <c r="C48" s="12"/>
      <c r="D48" s="54" t="str">
        <f t="shared" si="1"/>
        <v>Gen-board of supervisors dist 3 (vote for1)</v>
      </c>
      <c r="E48" s="54" t="s">
        <v>1935</v>
      </c>
      <c r="F48" s="12" t="s">
        <v>1294</v>
      </c>
      <c r="G48" s="59">
        <v>180865</v>
      </c>
      <c r="H48"/>
      <c r="K48" s="2"/>
      <c r="O48">
        <f t="shared" si="2"/>
        <v>2</v>
      </c>
      <c r="P48" s="57">
        <f t="shared" si="3"/>
        <v>1</v>
      </c>
      <c r="Q48" s="267">
        <f t="shared" si="4"/>
        <v>181286</v>
      </c>
      <c r="R48" s="23" t="str">
        <f t="shared" si="5"/>
        <v/>
      </c>
      <c r="S48" s="23">
        <f t="shared" si="6"/>
        <v>180865</v>
      </c>
      <c r="T48" s="23" t="str">
        <f t="shared" si="7"/>
        <v/>
      </c>
      <c r="U48" t="str">
        <f t="shared" si="8"/>
        <v/>
      </c>
      <c r="W48" s="1">
        <f t="shared" si="9"/>
        <v>47</v>
      </c>
      <c r="X48" s="73">
        <f t="shared" si="25"/>
        <v>23.146508966043498</v>
      </c>
      <c r="Y48" s="322">
        <f t="shared" si="10"/>
        <v>675.16500000000008</v>
      </c>
      <c r="Z48" s="43">
        <f t="shared" si="11"/>
        <v>4.0737720845517721E-10</v>
      </c>
      <c r="AA48" s="52">
        <f t="shared" si="12"/>
        <v>4.0737720845517719E-12</v>
      </c>
      <c r="AB48" s="8">
        <f t="shared" si="13"/>
        <v>20895.63</v>
      </c>
      <c r="AC48" s="8">
        <f t="shared" si="14"/>
        <v>2089563</v>
      </c>
      <c r="AD48" s="8">
        <f t="shared" si="26"/>
        <v>10447.815000000001</v>
      </c>
      <c r="AE48" s="8" t="str">
        <f t="shared" si="15"/>
        <v/>
      </c>
      <c r="AF48" s="22" t="str">
        <f t="shared" si="16"/>
        <v>AZ_Maric_2020g</v>
      </c>
      <c r="AG48">
        <v>1</v>
      </c>
      <c r="AH48" s="272">
        <v>9785</v>
      </c>
      <c r="AI48" s="273">
        <v>6203</v>
      </c>
      <c r="AJ48" s="274">
        <v>3582</v>
      </c>
      <c r="AK48" s="339">
        <v>2621</v>
      </c>
      <c r="AL48" s="340" t="s">
        <v>1648</v>
      </c>
      <c r="AM48" s="353">
        <f t="shared" si="17"/>
        <v>1.2543292544900536E-3</v>
      </c>
      <c r="AN48" s="354"/>
      <c r="AP48" s="23">
        <f t="shared" si="27"/>
        <v>0</v>
      </c>
      <c r="AQ48" s="392">
        <f t="shared" si="28"/>
        <v>0</v>
      </c>
      <c r="AR48" s="392">
        <f t="shared" si="28"/>
        <v>0</v>
      </c>
      <c r="AS48" s="392">
        <f t="shared" si="28"/>
        <v>0</v>
      </c>
      <c r="AU48" s="9" t="s">
        <v>5953</v>
      </c>
      <c r="AV48" s="9">
        <v>15500</v>
      </c>
      <c r="AW48" s="90">
        <v>1.0084516129032257</v>
      </c>
      <c r="AX48" s="38">
        <v>15630.999999999998</v>
      </c>
      <c r="AY48" s="38">
        <f t="shared" si="29"/>
        <v>49.622222222222213</v>
      </c>
      <c r="AZ48" s="50">
        <v>3.4546734054123219E-3</v>
      </c>
      <c r="BA48" s="49">
        <f t="shared" si="30"/>
        <v>54</v>
      </c>
      <c r="BB48" s="9" t="s">
        <v>5319</v>
      </c>
      <c r="BC48" s="9">
        <f t="shared" si="31"/>
        <v>24</v>
      </c>
      <c r="BD48" s="38">
        <f t="shared" si="32"/>
        <v>0</v>
      </c>
      <c r="BE48" s="9" t="e">
        <f t="shared" si="33"/>
        <v>#N/A</v>
      </c>
      <c r="BF48" s="9" t="e">
        <f t="shared" si="34"/>
        <v>#N/A</v>
      </c>
      <c r="BG48" s="75" t="e">
        <f t="shared" si="35"/>
        <v>#N/A</v>
      </c>
    </row>
    <row r="49" spans="1:59">
      <c r="A49" s="12" t="s">
        <v>1583</v>
      </c>
      <c r="B49" s="54" t="str">
        <f t="shared" si="0"/>
        <v>AZ_Maric_2020g</v>
      </c>
      <c r="C49" s="12"/>
      <c r="D49" s="54" t="str">
        <f t="shared" si="1"/>
        <v>Gen-board of supervisors dist 3 (vote for1)</v>
      </c>
      <c r="E49" s="54" t="s">
        <v>1299</v>
      </c>
      <c r="G49" s="59">
        <v>421</v>
      </c>
      <c r="H49"/>
      <c r="K49" s="2"/>
      <c r="O49">
        <f t="shared" si="2"/>
        <v>-2</v>
      </c>
      <c r="P49" s="57">
        <f t="shared" si="3"/>
        <v>1</v>
      </c>
      <c r="Q49" s="267">
        <f t="shared" si="4"/>
        <v>421</v>
      </c>
      <c r="R49" s="23">
        <f t="shared" si="5"/>
        <v>1</v>
      </c>
      <c r="S49" s="23">
        <f t="shared" si="6"/>
        <v>0</v>
      </c>
      <c r="T49" s="23" t="str">
        <f t="shared" si="7"/>
        <v/>
      </c>
      <c r="U49" t="str">
        <f t="shared" si="8"/>
        <v/>
      </c>
      <c r="W49" s="1">
        <f t="shared" si="9"/>
        <v>48</v>
      </c>
      <c r="X49" s="73">
        <f t="shared" si="25"/>
        <v>226.33890616004606</v>
      </c>
      <c r="Y49" s="322">
        <f t="shared" si="10"/>
        <v>7292.3110000000006</v>
      </c>
      <c r="Z49" s="43">
        <f t="shared" si="11"/>
        <v>2.6209403728329554E-11</v>
      </c>
      <c r="AA49" s="52">
        <f t="shared" si="12"/>
        <v>2.6209403728329555E-13</v>
      </c>
      <c r="AB49" s="8">
        <f t="shared" si="13"/>
        <v>20895.63</v>
      </c>
      <c r="AC49" s="8">
        <f t="shared" si="14"/>
        <v>2089563</v>
      </c>
      <c r="AD49" s="8">
        <f t="shared" si="26"/>
        <v>10447.815000000001</v>
      </c>
      <c r="AE49" s="8" t="str">
        <f t="shared" si="15"/>
        <v/>
      </c>
      <c r="AF49" s="22" t="str">
        <f t="shared" si="16"/>
        <v>AZ_Maric_2020g</v>
      </c>
      <c r="AG49">
        <v>3</v>
      </c>
      <c r="AH49" s="272">
        <v>105685.66666666667</v>
      </c>
      <c r="AI49" s="273">
        <v>58194</v>
      </c>
      <c r="AJ49" s="274">
        <v>55299</v>
      </c>
      <c r="AK49" s="339">
        <v>2895</v>
      </c>
      <c r="AL49" s="340" t="s">
        <v>1697</v>
      </c>
      <c r="AM49" s="353">
        <f t="shared" si="17"/>
        <v>1.3854571506099601E-3</v>
      </c>
      <c r="AN49" s="354"/>
      <c r="AP49" s="23">
        <f t="shared" si="27"/>
        <v>0</v>
      </c>
      <c r="AQ49" s="392">
        <f t="shared" si="28"/>
        <v>0</v>
      </c>
      <c r="AR49" s="392">
        <f t="shared" si="28"/>
        <v>0</v>
      </c>
      <c r="AS49" s="392">
        <f t="shared" si="28"/>
        <v>0</v>
      </c>
      <c r="AU49" s="9" t="s">
        <v>5947</v>
      </c>
      <c r="AV49" s="9">
        <v>24922</v>
      </c>
      <c r="AW49" s="90">
        <v>1.0095096701709334</v>
      </c>
      <c r="AX49" s="38">
        <v>25159.000000000004</v>
      </c>
      <c r="AY49" s="38">
        <f t="shared" si="29"/>
        <v>113.32882882882885</v>
      </c>
      <c r="AZ49" s="50">
        <v>1.7091299336221629E-3</v>
      </c>
      <c r="BA49" s="49">
        <f t="shared" si="30"/>
        <v>43</v>
      </c>
      <c r="BB49" s="9" t="s">
        <v>5319</v>
      </c>
      <c r="BC49" s="9">
        <f t="shared" si="31"/>
        <v>24</v>
      </c>
      <c r="BD49" s="38">
        <f t="shared" si="32"/>
        <v>0</v>
      </c>
      <c r="BE49" s="9" t="e">
        <f t="shared" si="33"/>
        <v>#N/A</v>
      </c>
      <c r="BF49" s="9" t="e">
        <f t="shared" si="34"/>
        <v>#N/A</v>
      </c>
      <c r="BG49" s="75" t="e">
        <f t="shared" si="35"/>
        <v>#N/A</v>
      </c>
    </row>
    <row r="50" spans="1:59">
      <c r="A50" s="12" t="s">
        <v>1584</v>
      </c>
      <c r="B50" s="54" t="str">
        <f t="shared" si="0"/>
        <v>AZ_Maric_2020g</v>
      </c>
      <c r="C50" s="12"/>
      <c r="D50" s="54" t="str">
        <f t="shared" si="1"/>
        <v>Gen-board of supervisors dist 4 (vote for1)</v>
      </c>
      <c r="E50" s="54" t="s">
        <v>1936</v>
      </c>
      <c r="F50" s="12" t="s">
        <v>1296</v>
      </c>
      <c r="G50" s="59">
        <v>257774</v>
      </c>
      <c r="H50"/>
      <c r="K50" s="2"/>
      <c r="O50">
        <f t="shared" si="2"/>
        <v>1</v>
      </c>
      <c r="P50" s="57">
        <f t="shared" si="3"/>
        <v>1</v>
      </c>
      <c r="Q50" s="267">
        <f t="shared" si="4"/>
        <v>440439</v>
      </c>
      <c r="R50" s="23">
        <f t="shared" si="5"/>
        <v>257774</v>
      </c>
      <c r="S50" s="23">
        <f t="shared" si="6"/>
        <v>182156</v>
      </c>
      <c r="T50" s="23">
        <f t="shared" si="7"/>
        <v>75618</v>
      </c>
      <c r="U50" t="str">
        <f t="shared" si="8"/>
        <v>AZ_Maric_2020g~Gen-board of supervisors dist 4 (vote for1)</v>
      </c>
      <c r="W50" s="1">
        <f t="shared" si="9"/>
        <v>49</v>
      </c>
      <c r="X50" s="73">
        <f t="shared" si="25"/>
        <v>73.204575163398701</v>
      </c>
      <c r="Y50" s="322">
        <f t="shared" si="10"/>
        <v>2492.9700000000003</v>
      </c>
      <c r="Z50" s="43">
        <f t="shared" si="11"/>
        <v>5.0216760973677035E-12</v>
      </c>
      <c r="AA50" s="52">
        <f t="shared" si="12"/>
        <v>5.0216760973677039E-14</v>
      </c>
      <c r="AB50" s="8">
        <f t="shared" si="13"/>
        <v>20895.63</v>
      </c>
      <c r="AC50" s="8">
        <f t="shared" si="14"/>
        <v>2089563</v>
      </c>
      <c r="AD50" s="8">
        <f t="shared" si="26"/>
        <v>10447.815000000001</v>
      </c>
      <c r="AE50" s="8" t="str">
        <f t="shared" si="15"/>
        <v/>
      </c>
      <c r="AF50" s="22" t="str">
        <f t="shared" si="16"/>
        <v>AZ_Maric_2020g</v>
      </c>
      <c r="AG50">
        <v>1</v>
      </c>
      <c r="AH50" s="272">
        <v>36130</v>
      </c>
      <c r="AI50" s="273">
        <v>19595</v>
      </c>
      <c r="AJ50" s="274">
        <v>16535</v>
      </c>
      <c r="AK50" s="339">
        <v>3060</v>
      </c>
      <c r="AL50" s="340" t="s">
        <v>1661</v>
      </c>
      <c r="AM50" s="353">
        <f t="shared" si="17"/>
        <v>1.4644210296602686E-3</v>
      </c>
      <c r="AN50" s="354"/>
      <c r="AP50" s="23">
        <f t="shared" si="27"/>
        <v>0</v>
      </c>
      <c r="AQ50" s="392">
        <f t="shared" si="28"/>
        <v>0</v>
      </c>
      <c r="AR50" s="392">
        <f t="shared" si="28"/>
        <v>0</v>
      </c>
      <c r="AS50" s="392">
        <f t="shared" si="28"/>
        <v>0</v>
      </c>
      <c r="AU50" s="9" t="s">
        <v>5925</v>
      </c>
      <c r="AV50" s="9">
        <v>13744</v>
      </c>
      <c r="AW50" s="90">
        <v>1.0084400465657741</v>
      </c>
      <c r="AX50" s="38">
        <v>13860</v>
      </c>
      <c r="AY50" s="38">
        <f t="shared" si="29"/>
        <v>16.718938480096501</v>
      </c>
      <c r="AZ50" s="50">
        <v>1.3708513708513709E-3</v>
      </c>
      <c r="BA50" s="49">
        <f t="shared" si="30"/>
        <v>19</v>
      </c>
      <c r="BB50" s="9" t="s">
        <v>5319</v>
      </c>
      <c r="BC50" s="9">
        <f t="shared" si="31"/>
        <v>24</v>
      </c>
      <c r="BD50" s="38">
        <f t="shared" si="32"/>
        <v>0</v>
      </c>
      <c r="BE50" s="9" t="e">
        <f t="shared" si="33"/>
        <v>#N/A</v>
      </c>
      <c r="BF50" s="9" t="e">
        <f t="shared" si="34"/>
        <v>#N/A</v>
      </c>
      <c r="BG50" s="75" t="e">
        <f t="shared" si="35"/>
        <v>#N/A</v>
      </c>
    </row>
    <row r="51" spans="1:59">
      <c r="A51" s="12" t="s">
        <v>1584</v>
      </c>
      <c r="B51" s="54" t="str">
        <f t="shared" si="0"/>
        <v>AZ_Maric_2020g</v>
      </c>
      <c r="C51" s="12"/>
      <c r="D51" s="54" t="str">
        <f t="shared" si="1"/>
        <v>Gen-board of supervisors dist 4 (vote for1)</v>
      </c>
      <c r="E51" s="54" t="s">
        <v>1937</v>
      </c>
      <c r="F51" s="12" t="s">
        <v>1294</v>
      </c>
      <c r="G51" s="59">
        <v>182156</v>
      </c>
      <c r="H51"/>
      <c r="K51" s="2"/>
      <c r="O51">
        <f t="shared" si="2"/>
        <v>2</v>
      </c>
      <c r="P51" s="57">
        <f t="shared" si="3"/>
        <v>1</v>
      </c>
      <c r="Q51" s="267">
        <f t="shared" si="4"/>
        <v>182665</v>
      </c>
      <c r="R51" s="23" t="str">
        <f t="shared" si="5"/>
        <v/>
      </c>
      <c r="S51" s="23">
        <f t="shared" si="6"/>
        <v>182156</v>
      </c>
      <c r="T51" s="23" t="str">
        <f t="shared" si="7"/>
        <v/>
      </c>
      <c r="U51" t="str">
        <f t="shared" si="8"/>
        <v/>
      </c>
      <c r="W51" s="1">
        <f t="shared" si="9"/>
        <v>50</v>
      </c>
      <c r="X51" s="73">
        <f t="shared" si="25"/>
        <v>19.937373737373736</v>
      </c>
      <c r="Y51" s="322">
        <f t="shared" si="10"/>
        <v>680.96100000000001</v>
      </c>
      <c r="Z51" s="43">
        <f t="shared" si="11"/>
        <v>4.5888597665662609E-12</v>
      </c>
      <c r="AA51" s="52">
        <f t="shared" si="12"/>
        <v>4.5888597665662611E-14</v>
      </c>
      <c r="AB51" s="8">
        <f t="shared" si="13"/>
        <v>20895.63</v>
      </c>
      <c r="AC51" s="8">
        <f t="shared" si="14"/>
        <v>2089563</v>
      </c>
      <c r="AD51" s="8">
        <f t="shared" si="26"/>
        <v>10447.815000000001</v>
      </c>
      <c r="AE51" s="8" t="str">
        <f t="shared" si="15"/>
        <v/>
      </c>
      <c r="AF51" s="22" t="str">
        <f t="shared" si="16"/>
        <v>AZ_Maric_2020g</v>
      </c>
      <c r="AG51">
        <v>1</v>
      </c>
      <c r="AH51" s="272">
        <v>9869</v>
      </c>
      <c r="AI51" s="273">
        <v>6469</v>
      </c>
      <c r="AJ51" s="274">
        <v>3400</v>
      </c>
      <c r="AK51" s="339">
        <v>3069</v>
      </c>
      <c r="AL51" s="340" t="s">
        <v>1647</v>
      </c>
      <c r="AM51" s="353">
        <f t="shared" si="17"/>
        <v>1.46872815033574E-3</v>
      </c>
      <c r="AN51" s="354"/>
      <c r="AP51" s="23">
        <f t="shared" si="27"/>
        <v>0</v>
      </c>
      <c r="AQ51" s="392">
        <f t="shared" si="28"/>
        <v>0</v>
      </c>
      <c r="AR51" s="392">
        <f t="shared" si="28"/>
        <v>0</v>
      </c>
      <c r="AS51" s="392">
        <f t="shared" si="28"/>
        <v>0</v>
      </c>
      <c r="AU51" s="9" t="s">
        <v>5918</v>
      </c>
      <c r="AV51" s="9">
        <v>9576</v>
      </c>
      <c r="AW51" s="90">
        <v>1.0133667502088555</v>
      </c>
      <c r="AX51" s="38">
        <v>9704</v>
      </c>
      <c r="AY51" s="38">
        <f t="shared" si="29"/>
        <v>10.055958549222797</v>
      </c>
      <c r="AZ51" s="50">
        <v>2.267106347897774E-3</v>
      </c>
      <c r="BA51" s="49">
        <f t="shared" si="30"/>
        <v>22</v>
      </c>
      <c r="BB51" s="9" t="s">
        <v>5319</v>
      </c>
      <c r="BC51" s="9">
        <f t="shared" si="31"/>
        <v>24</v>
      </c>
      <c r="BD51" s="38">
        <f t="shared" si="32"/>
        <v>0</v>
      </c>
      <c r="BE51" s="9" t="e">
        <f t="shared" si="33"/>
        <v>#N/A</v>
      </c>
      <c r="BF51" s="9" t="e">
        <f t="shared" si="34"/>
        <v>#N/A</v>
      </c>
      <c r="BG51" s="75" t="e">
        <f t="shared" si="35"/>
        <v>#N/A</v>
      </c>
    </row>
    <row r="52" spans="1:59">
      <c r="A52" s="12" t="s">
        <v>1584</v>
      </c>
      <c r="B52" s="54" t="str">
        <f t="shared" si="0"/>
        <v>AZ_Maric_2020g</v>
      </c>
      <c r="C52" s="12"/>
      <c r="D52" s="54" t="str">
        <f t="shared" si="1"/>
        <v>Gen-board of supervisors dist 4 (vote for1)</v>
      </c>
      <c r="E52" s="54" t="s">
        <v>1299</v>
      </c>
      <c r="G52" s="59">
        <v>509</v>
      </c>
      <c r="H52"/>
      <c r="K52" s="2"/>
      <c r="O52">
        <f t="shared" si="2"/>
        <v>-2</v>
      </c>
      <c r="P52" s="57">
        <f t="shared" si="3"/>
        <v>1</v>
      </c>
      <c r="Q52" s="267">
        <f t="shared" si="4"/>
        <v>509</v>
      </c>
      <c r="R52" s="23">
        <f t="shared" si="5"/>
        <v>1</v>
      </c>
      <c r="S52" s="23">
        <f t="shared" si="6"/>
        <v>0</v>
      </c>
      <c r="T52" s="23" t="str">
        <f t="shared" si="7"/>
        <v/>
      </c>
      <c r="U52" t="str">
        <f t="shared" si="8"/>
        <v/>
      </c>
      <c r="W52" s="1">
        <f t="shared" si="9"/>
        <v>51</v>
      </c>
      <c r="X52" s="73">
        <f t="shared" si="25"/>
        <v>40.387248707639287</v>
      </c>
      <c r="Y52" s="322">
        <f t="shared" si="10"/>
        <v>1565.0580000000002</v>
      </c>
      <c r="Z52" s="43">
        <f t="shared" si="11"/>
        <v>7.3325078478807789E-14</v>
      </c>
      <c r="AA52" s="52">
        <f t="shared" si="12"/>
        <v>7.3325078478807793E-16</v>
      </c>
      <c r="AB52" s="8">
        <f t="shared" si="13"/>
        <v>20895.63</v>
      </c>
      <c r="AC52" s="8">
        <f t="shared" si="14"/>
        <v>2089563</v>
      </c>
      <c r="AD52" s="8">
        <f t="shared" si="26"/>
        <v>10447.815000000001</v>
      </c>
      <c r="AE52" s="8" t="str">
        <f t="shared" si="15"/>
        <v/>
      </c>
      <c r="AF52" s="22" t="str">
        <f t="shared" si="16"/>
        <v>AZ_Maric_2020g</v>
      </c>
      <c r="AG52">
        <v>1</v>
      </c>
      <c r="AH52" s="272">
        <v>22682</v>
      </c>
      <c r="AI52" s="273">
        <v>13082</v>
      </c>
      <c r="AJ52" s="274">
        <v>9600</v>
      </c>
      <c r="AK52" s="339">
        <v>3482</v>
      </c>
      <c r="AL52" s="340" t="s">
        <v>1667</v>
      </c>
      <c r="AM52" s="353">
        <f t="shared" si="17"/>
        <v>1.6663771324434821E-3</v>
      </c>
      <c r="AN52" s="354"/>
      <c r="AP52" s="23">
        <f t="shared" si="27"/>
        <v>0</v>
      </c>
      <c r="AQ52" s="392">
        <f t="shared" si="28"/>
        <v>0</v>
      </c>
      <c r="AR52" s="392">
        <f t="shared" si="28"/>
        <v>0</v>
      </c>
      <c r="AS52" s="392">
        <f t="shared" si="28"/>
        <v>0</v>
      </c>
      <c r="AU52" s="9" t="s">
        <v>5919</v>
      </c>
      <c r="AV52" s="9">
        <v>4020</v>
      </c>
      <c r="AW52" s="90">
        <v>1.0074626865671641</v>
      </c>
      <c r="AX52" s="38">
        <v>4049.9999999999995</v>
      </c>
      <c r="AY52" s="38">
        <f t="shared" si="29"/>
        <v>17.763157894736839</v>
      </c>
      <c r="AZ52" s="50">
        <v>3.1358024691358032E-2</v>
      </c>
      <c r="BA52" s="49">
        <f t="shared" si="30"/>
        <v>127.00000000000001</v>
      </c>
      <c r="BB52" s="9" t="s">
        <v>5319</v>
      </c>
      <c r="BC52" s="9">
        <f t="shared" si="31"/>
        <v>24</v>
      </c>
      <c r="BD52" s="38">
        <f t="shared" si="32"/>
        <v>0</v>
      </c>
      <c r="BE52" s="9" t="e">
        <f t="shared" si="33"/>
        <v>#N/A</v>
      </c>
      <c r="BF52" s="9" t="e">
        <f t="shared" si="34"/>
        <v>#N/A</v>
      </c>
      <c r="BG52" s="75" t="e">
        <f t="shared" si="35"/>
        <v>#N/A</v>
      </c>
    </row>
    <row r="53" spans="1:59">
      <c r="A53" s="12" t="s">
        <v>1585</v>
      </c>
      <c r="B53" s="54" t="str">
        <f t="shared" si="0"/>
        <v>AZ_Maric_2020g</v>
      </c>
      <c r="C53" s="12"/>
      <c r="D53" s="54" t="str">
        <f t="shared" si="1"/>
        <v>Gen-board of supervisors dist 5 (vote for1)</v>
      </c>
      <c r="E53" s="54" t="s">
        <v>1938</v>
      </c>
      <c r="F53" s="12" t="s">
        <v>1294</v>
      </c>
      <c r="G53" s="59">
        <v>193508</v>
      </c>
      <c r="H53"/>
      <c r="K53" s="2"/>
      <c r="O53">
        <f t="shared" si="2"/>
        <v>1</v>
      </c>
      <c r="P53" s="57">
        <f t="shared" si="3"/>
        <v>1</v>
      </c>
      <c r="Q53" s="267">
        <f t="shared" si="4"/>
        <v>198280</v>
      </c>
      <c r="R53" s="23">
        <f t="shared" si="5"/>
        <v>193508</v>
      </c>
      <c r="S53" s="23">
        <f t="shared" si="6"/>
        <v>0</v>
      </c>
      <c r="T53" s="23" t="str">
        <f t="shared" si="7"/>
        <v/>
      </c>
      <c r="U53" t="str">
        <f t="shared" si="8"/>
        <v>AZ_Maric_2020g~Gen-board of supervisors dist 5 (vote for1)</v>
      </c>
      <c r="W53" s="1">
        <f t="shared" si="9"/>
        <v>52</v>
      </c>
      <c r="X53" s="73">
        <f t="shared" si="25"/>
        <v>53.954171428571428</v>
      </c>
      <c r="Y53" s="322">
        <f t="shared" si="10"/>
        <v>2101.6020000000003</v>
      </c>
      <c r="Z53" s="43">
        <f t="shared" si="11"/>
        <v>6.122780759120738E-14</v>
      </c>
      <c r="AA53" s="52">
        <f t="shared" si="12"/>
        <v>6.1227807591207379E-16</v>
      </c>
      <c r="AB53" s="8">
        <f t="shared" si="13"/>
        <v>20895.63</v>
      </c>
      <c r="AC53" s="8">
        <f t="shared" si="14"/>
        <v>2089563</v>
      </c>
      <c r="AD53" s="8">
        <f t="shared" si="26"/>
        <v>10447.815000000001</v>
      </c>
      <c r="AE53" s="8" t="str">
        <f t="shared" si="15"/>
        <v/>
      </c>
      <c r="AF53" s="22" t="str">
        <f t="shared" si="16"/>
        <v>AZ_Maric_2020g</v>
      </c>
      <c r="AG53">
        <v>1</v>
      </c>
      <c r="AH53" s="272">
        <v>30458</v>
      </c>
      <c r="AI53" s="273">
        <v>16963</v>
      </c>
      <c r="AJ53" s="274">
        <v>13463</v>
      </c>
      <c r="AK53" s="339">
        <v>3500</v>
      </c>
      <c r="AL53" s="340" t="s">
        <v>1542</v>
      </c>
      <c r="AM53" s="353">
        <f t="shared" si="17"/>
        <v>1.6749913737944249E-3</v>
      </c>
      <c r="AN53" s="354"/>
      <c r="AP53" s="23">
        <f t="shared" si="27"/>
        <v>0</v>
      </c>
      <c r="AQ53" s="392">
        <f t="shared" si="28"/>
        <v>0</v>
      </c>
      <c r="AR53" s="392">
        <f t="shared" si="28"/>
        <v>0</v>
      </c>
      <c r="AS53" s="392">
        <f t="shared" si="28"/>
        <v>0</v>
      </c>
      <c r="AU53" s="9" t="s">
        <v>5911</v>
      </c>
      <c r="AV53" s="9">
        <v>12291</v>
      </c>
      <c r="AW53" s="90">
        <v>1.0093564396713042</v>
      </c>
      <c r="AX53" s="38">
        <v>12406</v>
      </c>
      <c r="AY53" s="38">
        <f t="shared" si="29"/>
        <v>33.711956521739133</v>
      </c>
      <c r="AZ53" s="50">
        <v>1.3300016121231661E-2</v>
      </c>
      <c r="BA53" s="49">
        <f t="shared" si="30"/>
        <v>165</v>
      </c>
      <c r="BB53" s="9" t="s">
        <v>5319</v>
      </c>
      <c r="BC53" s="9">
        <f t="shared" si="31"/>
        <v>24</v>
      </c>
      <c r="BD53" s="38">
        <f t="shared" si="32"/>
        <v>0</v>
      </c>
      <c r="BE53" s="9" t="e">
        <f t="shared" si="33"/>
        <v>#N/A</v>
      </c>
      <c r="BF53" s="9" t="e">
        <f t="shared" si="34"/>
        <v>#N/A</v>
      </c>
      <c r="BG53" s="75" t="e">
        <f t="shared" si="35"/>
        <v>#N/A</v>
      </c>
    </row>
    <row r="54" spans="1:59">
      <c r="A54" s="12" t="s">
        <v>1585</v>
      </c>
      <c r="B54" s="54" t="str">
        <f t="shared" si="0"/>
        <v>AZ_Maric_2020g</v>
      </c>
      <c r="C54" s="12"/>
      <c r="D54" s="54" t="str">
        <f t="shared" si="1"/>
        <v>Gen-board of supervisors dist 5 (vote for1)</v>
      </c>
      <c r="E54" s="54" t="s">
        <v>1299</v>
      </c>
      <c r="G54" s="59">
        <v>4772</v>
      </c>
      <c r="H54"/>
      <c r="K54" s="2"/>
      <c r="O54">
        <f t="shared" si="2"/>
        <v>-1</v>
      </c>
      <c r="P54" s="57">
        <f t="shared" si="3"/>
        <v>1</v>
      </c>
      <c r="Q54" s="267">
        <f t="shared" si="4"/>
        <v>4772</v>
      </c>
      <c r="R54" s="23">
        <f t="shared" si="5"/>
        <v>1</v>
      </c>
      <c r="S54" s="23">
        <f t="shared" si="6"/>
        <v>0</v>
      </c>
      <c r="T54" s="23" t="str">
        <f t="shared" si="7"/>
        <v/>
      </c>
      <c r="U54" t="str">
        <f t="shared" si="8"/>
        <v/>
      </c>
      <c r="W54" s="1">
        <f t="shared" si="9"/>
        <v>53</v>
      </c>
      <c r="X54" s="73">
        <f t="shared" si="25"/>
        <v>76.833771929824564</v>
      </c>
      <c r="Y54" s="322">
        <f t="shared" si="10"/>
        <v>3119.3520000000003</v>
      </c>
      <c r="Z54" s="43">
        <f t="shared" si="11"/>
        <v>1.3902458859534402E-14</v>
      </c>
      <c r="AA54" s="52">
        <f t="shared" si="12"/>
        <v>1.3902458859534402E-16</v>
      </c>
      <c r="AB54" s="8">
        <f t="shared" si="13"/>
        <v>20895.63</v>
      </c>
      <c r="AC54" s="8">
        <f t="shared" si="14"/>
        <v>2089563</v>
      </c>
      <c r="AD54" s="8">
        <f t="shared" si="26"/>
        <v>10447.815000000001</v>
      </c>
      <c r="AE54" s="8" t="str">
        <f t="shared" si="15"/>
        <v/>
      </c>
      <c r="AF54" s="22" t="str">
        <f t="shared" si="16"/>
        <v>AZ_Maric_2020g</v>
      </c>
      <c r="AG54" s="302">
        <v>1</v>
      </c>
      <c r="AH54" s="301">
        <v>45208</v>
      </c>
      <c r="AI54" s="303">
        <v>24395</v>
      </c>
      <c r="AJ54" s="303">
        <v>20747</v>
      </c>
      <c r="AK54" s="342">
        <v>3648</v>
      </c>
      <c r="AL54" s="343" t="s">
        <v>1600</v>
      </c>
      <c r="AM54" s="353">
        <f t="shared" si="17"/>
        <v>1.745819580457732E-3</v>
      </c>
      <c r="AN54" s="354"/>
      <c r="AP54" s="23">
        <f t="shared" si="27"/>
        <v>0</v>
      </c>
      <c r="AQ54" s="392">
        <f t="shared" si="28"/>
        <v>0</v>
      </c>
      <c r="AR54" s="392">
        <f t="shared" si="28"/>
        <v>0</v>
      </c>
      <c r="AS54" s="392">
        <f t="shared" si="28"/>
        <v>0</v>
      </c>
      <c r="AU54" s="9" t="s">
        <v>5948</v>
      </c>
      <c r="AV54" s="9">
        <v>2485</v>
      </c>
      <c r="AW54" s="90">
        <v>1.0305835010060362</v>
      </c>
      <c r="AX54" s="38">
        <v>2561</v>
      </c>
      <c r="AY54" s="38">
        <f t="shared" si="29"/>
        <v>6.5498721227621486</v>
      </c>
      <c r="AZ54" s="50">
        <v>1.2104646622413119E-2</v>
      </c>
      <c r="BA54" s="49">
        <f t="shared" si="30"/>
        <v>31</v>
      </c>
      <c r="BB54" s="9" t="s">
        <v>5319</v>
      </c>
      <c r="BC54" s="9">
        <f t="shared" si="31"/>
        <v>24</v>
      </c>
      <c r="BD54" s="38">
        <f t="shared" si="32"/>
        <v>0</v>
      </c>
      <c r="BE54" s="9" t="e">
        <f t="shared" si="33"/>
        <v>#N/A</v>
      </c>
      <c r="BF54" s="9" t="e">
        <f t="shared" si="34"/>
        <v>#N/A</v>
      </c>
      <c r="BG54" s="75" t="e">
        <f t="shared" si="35"/>
        <v>#N/A</v>
      </c>
    </row>
    <row r="55" spans="1:59">
      <c r="A55" s="12" t="s">
        <v>1649</v>
      </c>
      <c r="B55" s="54" t="str">
        <f t="shared" si="0"/>
        <v>AZ_Maric_2020g</v>
      </c>
      <c r="C55" s="12"/>
      <c r="D55" s="54" t="str">
        <f t="shared" si="1"/>
        <v>Gen-buckeye esd #33-gbm-4yr (vote for3)</v>
      </c>
      <c r="E55" s="54" t="s">
        <v>2081</v>
      </c>
      <c r="F55" s="12" t="s">
        <v>1300</v>
      </c>
      <c r="G55" s="59">
        <v>8670</v>
      </c>
      <c r="H55"/>
      <c r="K55" s="2"/>
      <c r="O55">
        <f t="shared" si="2"/>
        <v>1</v>
      </c>
      <c r="P55" s="57">
        <f t="shared" si="3"/>
        <v>3</v>
      </c>
      <c r="Q55" s="267">
        <f t="shared" si="4"/>
        <v>9075.6666666666661</v>
      </c>
      <c r="R55" s="23">
        <f t="shared" si="5"/>
        <v>6234</v>
      </c>
      <c r="S55" s="23">
        <f t="shared" si="6"/>
        <v>5447</v>
      </c>
      <c r="T55" s="23">
        <f t="shared" si="7"/>
        <v>787</v>
      </c>
      <c r="U55" t="str">
        <f t="shared" si="8"/>
        <v>AZ_Maric_2020g~Gen-buckeye esd #33-gbm-4yr (vote for3)</v>
      </c>
      <c r="W55" s="1">
        <f t="shared" si="9"/>
        <v>54</v>
      </c>
      <c r="X55" s="73">
        <f t="shared" si="25"/>
        <v>105.78857720495324</v>
      </c>
      <c r="Y55" s="322">
        <f t="shared" si="10"/>
        <v>4658.6730000000007</v>
      </c>
      <c r="Z55" s="43">
        <f t="shared" si="11"/>
        <v>6.2903549704915178E-16</v>
      </c>
      <c r="AA55" s="52">
        <f t="shared" si="12"/>
        <v>6.2903549704915181E-18</v>
      </c>
      <c r="AB55" s="8">
        <f t="shared" si="13"/>
        <v>20895.63</v>
      </c>
      <c r="AC55" s="8">
        <f t="shared" si="14"/>
        <v>2089563</v>
      </c>
      <c r="AD55" s="8">
        <f t="shared" si="26"/>
        <v>10447.815000000001</v>
      </c>
      <c r="AE55" s="8" t="str">
        <f t="shared" si="15"/>
        <v/>
      </c>
      <c r="AF55" s="22" t="str">
        <f t="shared" si="16"/>
        <v>AZ_Maric_2020g</v>
      </c>
      <c r="AG55" s="302">
        <v>1</v>
      </c>
      <c r="AH55" s="301">
        <v>67517</v>
      </c>
      <c r="AI55" s="303">
        <v>35286</v>
      </c>
      <c r="AJ55" s="303">
        <v>31329</v>
      </c>
      <c r="AK55" s="342">
        <v>3957</v>
      </c>
      <c r="AL55" s="343" t="s">
        <v>1691</v>
      </c>
      <c r="AM55" s="353">
        <f t="shared" si="17"/>
        <v>1.8936973903155828E-3</v>
      </c>
      <c r="AN55" s="354"/>
      <c r="AP55" s="23">
        <f t="shared" si="27"/>
        <v>0</v>
      </c>
      <c r="AQ55" s="392">
        <f t="shared" si="28"/>
        <v>0</v>
      </c>
      <c r="AR55" s="392">
        <f t="shared" si="28"/>
        <v>0</v>
      </c>
      <c r="AS55" s="392">
        <f t="shared" si="28"/>
        <v>0</v>
      </c>
      <c r="AU55" s="9" t="s">
        <v>5926</v>
      </c>
      <c r="AV55" s="9">
        <v>11957</v>
      </c>
      <c r="AW55" s="90">
        <v>1.0110395584176632</v>
      </c>
      <c r="AX55" s="38">
        <v>12088.999999999998</v>
      </c>
      <c r="AY55" s="38">
        <f t="shared" si="29"/>
        <v>56.22790697674418</v>
      </c>
      <c r="AZ55" s="50">
        <v>7.2793448589626945E-3</v>
      </c>
      <c r="BA55" s="49">
        <f t="shared" si="30"/>
        <v>88</v>
      </c>
      <c r="BB55" s="9" t="s">
        <v>5319</v>
      </c>
      <c r="BC55" s="9">
        <f t="shared" si="31"/>
        <v>24</v>
      </c>
      <c r="BD55" s="38">
        <f t="shared" si="32"/>
        <v>0</v>
      </c>
      <c r="BE55" s="9" t="e">
        <f t="shared" si="33"/>
        <v>#N/A</v>
      </c>
      <c r="BF55" s="9" t="e">
        <f t="shared" si="34"/>
        <v>#N/A</v>
      </c>
      <c r="BG55" s="75" t="e">
        <f t="shared" si="35"/>
        <v>#N/A</v>
      </c>
    </row>
    <row r="56" spans="1:59">
      <c r="A56" s="12" t="s">
        <v>1649</v>
      </c>
      <c r="B56" s="54" t="str">
        <f t="shared" si="0"/>
        <v>AZ_Maric_2020g</v>
      </c>
      <c r="C56" s="12"/>
      <c r="D56" s="54" t="str">
        <f t="shared" si="1"/>
        <v>Gen-buckeye esd #33-gbm-4yr (vote for3)</v>
      </c>
      <c r="E56" s="54" t="s">
        <v>2080</v>
      </c>
      <c r="F56" s="12" t="s">
        <v>1300</v>
      </c>
      <c r="G56" s="59">
        <v>6708</v>
      </c>
      <c r="H56"/>
      <c r="K56" s="2"/>
      <c r="O56">
        <f t="shared" si="2"/>
        <v>2</v>
      </c>
      <c r="P56" s="57">
        <f t="shared" si="3"/>
        <v>3</v>
      </c>
      <c r="Q56" s="267">
        <f t="shared" si="4"/>
        <v>18557</v>
      </c>
      <c r="R56" s="23">
        <f t="shared" si="5"/>
        <v>6234</v>
      </c>
      <c r="S56" s="23">
        <f t="shared" si="6"/>
        <v>5447</v>
      </c>
      <c r="T56" s="23" t="str">
        <f t="shared" si="7"/>
        <v/>
      </c>
      <c r="U56" t="str">
        <f t="shared" si="8"/>
        <v/>
      </c>
      <c r="W56" s="1">
        <f t="shared" si="9"/>
        <v>55</v>
      </c>
      <c r="X56" s="73">
        <f t="shared" si="25"/>
        <v>110.72272692337253</v>
      </c>
      <c r="Y56" s="322">
        <f t="shared" si="10"/>
        <v>5344.2110000000002</v>
      </c>
      <c r="Z56" s="43">
        <f t="shared" si="11"/>
        <v>1.3966074025637122E-17</v>
      </c>
      <c r="AA56" s="52">
        <f t="shared" si="12"/>
        <v>1.3966074025637123E-19</v>
      </c>
      <c r="AB56" s="8">
        <f t="shared" si="13"/>
        <v>20895.63</v>
      </c>
      <c r="AC56" s="8">
        <f t="shared" si="14"/>
        <v>2089563</v>
      </c>
      <c r="AD56" s="8">
        <f t="shared" si="26"/>
        <v>10447.815000000001</v>
      </c>
      <c r="AE56" s="8" t="str">
        <f t="shared" si="15"/>
        <v/>
      </c>
      <c r="AF56" s="22" t="str">
        <f t="shared" si="16"/>
        <v>AZ_Maric_2020g</v>
      </c>
      <c r="AG56">
        <v>3</v>
      </c>
      <c r="AH56" s="272">
        <v>77452.333333333328</v>
      </c>
      <c r="AI56" s="273">
        <v>56164</v>
      </c>
      <c r="AJ56" s="274">
        <v>51827</v>
      </c>
      <c r="AK56" s="339">
        <v>4337</v>
      </c>
      <c r="AL56" s="340" t="s">
        <v>1673</v>
      </c>
      <c r="AM56" s="353">
        <f t="shared" si="17"/>
        <v>2.0755535966132631E-3</v>
      </c>
      <c r="AN56" s="354"/>
      <c r="AP56" s="23">
        <f t="shared" si="27"/>
        <v>0</v>
      </c>
      <c r="AQ56" s="392">
        <f t="shared" si="28"/>
        <v>0</v>
      </c>
      <c r="AR56" s="392">
        <f t="shared" si="28"/>
        <v>0</v>
      </c>
      <c r="AS56" s="392">
        <f t="shared" si="28"/>
        <v>0</v>
      </c>
      <c r="AU56" s="9" t="s">
        <v>5939</v>
      </c>
      <c r="AV56" s="9">
        <v>5561</v>
      </c>
      <c r="AW56" s="90">
        <v>1.0071929509081101</v>
      </c>
      <c r="AX56" s="38">
        <v>5601.0000000000009</v>
      </c>
      <c r="AY56" s="38">
        <f t="shared" si="29"/>
        <v>12.671945701357469</v>
      </c>
      <c r="AZ56" s="50">
        <v>1.5890019639350113E-2</v>
      </c>
      <c r="BA56" s="49">
        <f t="shared" si="30"/>
        <v>89</v>
      </c>
      <c r="BB56" s="9" t="s">
        <v>5319</v>
      </c>
      <c r="BC56" s="9">
        <f t="shared" si="31"/>
        <v>24</v>
      </c>
      <c r="BD56" s="38">
        <f t="shared" si="32"/>
        <v>0</v>
      </c>
      <c r="BE56" s="9" t="e">
        <f t="shared" si="33"/>
        <v>#N/A</v>
      </c>
      <c r="BF56" s="9" t="e">
        <f t="shared" si="34"/>
        <v>#N/A</v>
      </c>
      <c r="BG56" s="75" t="e">
        <f t="shared" si="35"/>
        <v>#N/A</v>
      </c>
    </row>
    <row r="57" spans="1:59">
      <c r="A57" s="12" t="s">
        <v>1649</v>
      </c>
      <c r="B57" s="54" t="str">
        <f t="shared" si="0"/>
        <v>AZ_Maric_2020g</v>
      </c>
      <c r="C57" s="12"/>
      <c r="D57" s="54" t="str">
        <f t="shared" si="1"/>
        <v>Gen-buckeye esd #33-gbm-4yr (vote for3)</v>
      </c>
      <c r="E57" s="54" t="s">
        <v>2082</v>
      </c>
      <c r="F57" s="12" t="s">
        <v>1300</v>
      </c>
      <c r="G57" s="59">
        <v>6234</v>
      </c>
      <c r="H57"/>
      <c r="K57" s="2"/>
      <c r="O57">
        <f t="shared" si="2"/>
        <v>3</v>
      </c>
      <c r="P57" s="57">
        <f t="shared" si="3"/>
        <v>3</v>
      </c>
      <c r="Q57" s="267">
        <f t="shared" si="4"/>
        <v>11849</v>
      </c>
      <c r="R57" s="23">
        <f t="shared" si="5"/>
        <v>6234</v>
      </c>
      <c r="S57" s="23">
        <f t="shared" si="6"/>
        <v>5447</v>
      </c>
      <c r="T57" s="23" t="str">
        <f t="shared" si="7"/>
        <v/>
      </c>
      <c r="U57" t="str">
        <f t="shared" si="8"/>
        <v/>
      </c>
      <c r="W57" s="1">
        <f t="shared" si="9"/>
        <v>56</v>
      </c>
      <c r="X57" s="73">
        <f t="shared" si="25"/>
        <v>2543.7350293542072</v>
      </c>
      <c r="Y57" s="322">
        <f t="shared" si="10"/>
        <v>130194.51300000001</v>
      </c>
      <c r="Z57" s="43">
        <f t="shared" si="11"/>
        <v>1.0110778013740966E-18</v>
      </c>
      <c r="AA57" s="52">
        <f t="shared" si="12"/>
        <v>1.0110778013740965E-20</v>
      </c>
      <c r="AB57" s="8">
        <f t="shared" si="13"/>
        <v>20895.63</v>
      </c>
      <c r="AC57" s="8">
        <f t="shared" si="14"/>
        <v>2089563</v>
      </c>
      <c r="AD57" s="8">
        <f t="shared" si="26"/>
        <v>10447.815000000001</v>
      </c>
      <c r="AE57" s="8" t="str">
        <f t="shared" si="15"/>
        <v/>
      </c>
      <c r="AF57" s="22" t="str">
        <f t="shared" si="16"/>
        <v>AZ_Maric_2020g</v>
      </c>
      <c r="AG57">
        <v>1</v>
      </c>
      <c r="AH57" s="272">
        <v>1886877</v>
      </c>
      <c r="AI57" s="273">
        <v>944953</v>
      </c>
      <c r="AJ57" s="274">
        <v>940354</v>
      </c>
      <c r="AK57" s="339">
        <v>4599</v>
      </c>
      <c r="AL57" s="340" t="s">
        <v>1588</v>
      </c>
      <c r="AM57" s="353">
        <f t="shared" si="17"/>
        <v>2.2009386651658746E-3</v>
      </c>
      <c r="AN57" s="354"/>
      <c r="AP57" s="23">
        <f t="shared" si="27"/>
        <v>0</v>
      </c>
      <c r="AQ57" s="392">
        <f t="shared" si="28"/>
        <v>0</v>
      </c>
      <c r="AR57" s="392">
        <f t="shared" si="28"/>
        <v>0</v>
      </c>
      <c r="AS57" s="392">
        <f t="shared" si="28"/>
        <v>0</v>
      </c>
      <c r="AU57" s="9" t="s">
        <v>5927</v>
      </c>
      <c r="AV57" s="9">
        <v>88301</v>
      </c>
      <c r="AW57" s="90">
        <v>1.0096714646493246</v>
      </c>
      <c r="AX57" s="38">
        <v>89155</v>
      </c>
      <c r="AY57" s="38">
        <f t="shared" si="29"/>
        <v>155.05217391304348</v>
      </c>
      <c r="AZ57" s="50">
        <v>1.6375974426560485E-3</v>
      </c>
      <c r="BA57" s="49">
        <f t="shared" si="30"/>
        <v>146</v>
      </c>
      <c r="BB57" s="9" t="s">
        <v>5319</v>
      </c>
      <c r="BC57" s="9">
        <f t="shared" si="31"/>
        <v>24</v>
      </c>
      <c r="BD57" s="38">
        <f t="shared" si="32"/>
        <v>0</v>
      </c>
      <c r="BE57" s="9" t="e">
        <f t="shared" si="33"/>
        <v>#N/A</v>
      </c>
      <c r="BF57" s="9" t="e">
        <f t="shared" si="34"/>
        <v>#N/A</v>
      </c>
      <c r="BG57" s="75" t="e">
        <f t="shared" si="35"/>
        <v>#N/A</v>
      </c>
    </row>
    <row r="58" spans="1:59">
      <c r="A58" s="12" t="s">
        <v>1649</v>
      </c>
      <c r="B58" s="54" t="str">
        <f t="shared" si="0"/>
        <v>AZ_Maric_2020g</v>
      </c>
      <c r="C58" s="12"/>
      <c r="D58" s="54" t="str">
        <f t="shared" si="1"/>
        <v>Gen-buckeye esd #33-gbm-4yr (vote for3)</v>
      </c>
      <c r="E58" s="54" t="s">
        <v>2079</v>
      </c>
      <c r="F58" s="12" t="s">
        <v>1300</v>
      </c>
      <c r="G58" s="59">
        <v>5447</v>
      </c>
      <c r="H58"/>
      <c r="K58" s="2"/>
      <c r="O58">
        <f t="shared" si="2"/>
        <v>4</v>
      </c>
      <c r="P58" s="57">
        <f t="shared" si="3"/>
        <v>3</v>
      </c>
      <c r="Q58" s="267">
        <f t="shared" si="4"/>
        <v>5615</v>
      </c>
      <c r="R58" s="23" t="str">
        <f t="shared" si="5"/>
        <v/>
      </c>
      <c r="S58" s="23">
        <f t="shared" si="6"/>
        <v>5447</v>
      </c>
      <c r="T58" s="23" t="str">
        <f t="shared" si="7"/>
        <v/>
      </c>
      <c r="U58" t="str">
        <f t="shared" si="8"/>
        <v/>
      </c>
      <c r="W58" s="1">
        <f t="shared" si="9"/>
        <v>57</v>
      </c>
      <c r="X58" s="73">
        <f t="shared" si="25"/>
        <v>133.87093048128344</v>
      </c>
      <c r="Y58" s="322">
        <f t="shared" si="10"/>
        <v>6965.0670000000009</v>
      </c>
      <c r="Z58" s="43">
        <f t="shared" si="11"/>
        <v>4.7204857122784964E-19</v>
      </c>
      <c r="AA58" s="52">
        <f t="shared" si="12"/>
        <v>4.7204857122784965E-21</v>
      </c>
      <c r="AB58" s="8">
        <f t="shared" si="13"/>
        <v>20895.63</v>
      </c>
      <c r="AC58" s="8">
        <f t="shared" si="14"/>
        <v>2089563</v>
      </c>
      <c r="AD58" s="8">
        <f t="shared" si="26"/>
        <v>10447.815000000001</v>
      </c>
      <c r="AE58" s="8" t="str">
        <f t="shared" si="15"/>
        <v/>
      </c>
      <c r="AF58" s="22" t="str">
        <f t="shared" si="16"/>
        <v>AZ_Maric_2020g</v>
      </c>
      <c r="AG58">
        <v>1</v>
      </c>
      <c r="AH58" s="272">
        <v>100943</v>
      </c>
      <c r="AI58" s="273">
        <v>52734</v>
      </c>
      <c r="AJ58" s="274">
        <v>48059</v>
      </c>
      <c r="AK58" s="339">
        <v>4675</v>
      </c>
      <c r="AL58" s="340" t="s">
        <v>1558</v>
      </c>
      <c r="AM58" s="353">
        <f t="shared" si="17"/>
        <v>2.2373099064254107E-3</v>
      </c>
      <c r="AN58" s="354"/>
      <c r="AP58" s="23">
        <f t="shared" si="27"/>
        <v>0</v>
      </c>
      <c r="AQ58" s="392">
        <f t="shared" si="28"/>
        <v>0</v>
      </c>
      <c r="AR58" s="392">
        <f t="shared" si="28"/>
        <v>0</v>
      </c>
      <c r="AS58" s="392">
        <f t="shared" si="28"/>
        <v>0</v>
      </c>
      <c r="AU58" s="9" t="s">
        <v>5957</v>
      </c>
      <c r="AV58" s="9">
        <v>3691</v>
      </c>
      <c r="AW58" s="90">
        <v>1.0048767271742074</v>
      </c>
      <c r="AX58" s="38">
        <v>3708.9999999999995</v>
      </c>
      <c r="AY58" s="38">
        <f t="shared" si="29"/>
        <v>86.255813953488357</v>
      </c>
      <c r="AZ58" s="50">
        <v>4.0711782151523324E-2</v>
      </c>
      <c r="BA58" s="49">
        <f t="shared" si="30"/>
        <v>151</v>
      </c>
      <c r="BB58" s="9" t="s">
        <v>5319</v>
      </c>
      <c r="BC58" s="9">
        <f t="shared" si="31"/>
        <v>24</v>
      </c>
      <c r="BD58" s="38">
        <f t="shared" si="32"/>
        <v>0</v>
      </c>
      <c r="BE58" s="9" t="e">
        <f t="shared" si="33"/>
        <v>#N/A</v>
      </c>
      <c r="BF58" s="9" t="e">
        <f t="shared" si="34"/>
        <v>#N/A</v>
      </c>
      <c r="BG58" s="75" t="e">
        <f t="shared" si="35"/>
        <v>#N/A</v>
      </c>
    </row>
    <row r="59" spans="1:59">
      <c r="A59" s="12" t="s">
        <v>1649</v>
      </c>
      <c r="B59" s="54" t="str">
        <f t="shared" si="0"/>
        <v>AZ_Maric_2020g</v>
      </c>
      <c r="C59" s="12"/>
      <c r="D59" s="54" t="str">
        <f t="shared" si="1"/>
        <v>Gen-buckeye esd #33-gbm-4yr (vote for3)</v>
      </c>
      <c r="E59" s="54" t="s">
        <v>1299</v>
      </c>
      <c r="G59" s="59">
        <v>168</v>
      </c>
      <c r="H59"/>
      <c r="K59" s="2"/>
      <c r="O59">
        <f t="shared" si="2"/>
        <v>-4</v>
      </c>
      <c r="P59" s="57">
        <f t="shared" si="3"/>
        <v>3</v>
      </c>
      <c r="Q59" s="267">
        <f t="shared" si="4"/>
        <v>168</v>
      </c>
      <c r="R59" s="23">
        <f t="shared" si="5"/>
        <v>1</v>
      </c>
      <c r="S59" s="23">
        <f t="shared" si="6"/>
        <v>0</v>
      </c>
      <c r="T59" s="23" t="str">
        <f t="shared" si="7"/>
        <v/>
      </c>
      <c r="U59" t="str">
        <f t="shared" si="8"/>
        <v/>
      </c>
      <c r="W59" s="1">
        <f t="shared" si="9"/>
        <v>58</v>
      </c>
      <c r="X59" s="73">
        <f t="shared" si="25"/>
        <v>21.683694508731328</v>
      </c>
      <c r="Y59" s="322">
        <f t="shared" si="10"/>
        <v>1146.9870000000001</v>
      </c>
      <c r="Z59" s="43">
        <f t="shared" si="11"/>
        <v>2.1600860542636568E-19</v>
      </c>
      <c r="AA59" s="52">
        <f t="shared" si="12"/>
        <v>2.1600860542636568E-21</v>
      </c>
      <c r="AB59" s="8">
        <f t="shared" si="13"/>
        <v>20895.63</v>
      </c>
      <c r="AC59" s="8">
        <f t="shared" si="14"/>
        <v>2089563</v>
      </c>
      <c r="AD59" s="8">
        <f t="shared" si="26"/>
        <v>10447.815000000001</v>
      </c>
      <c r="AE59" s="8" t="str">
        <f t="shared" si="15"/>
        <v/>
      </c>
      <c r="AF59" s="22" t="str">
        <f t="shared" si="16"/>
        <v>AZ_Maric_2020g</v>
      </c>
      <c r="AG59">
        <v>1</v>
      </c>
      <c r="AH59" s="272">
        <v>16623</v>
      </c>
      <c r="AI59" s="273">
        <v>10688</v>
      </c>
      <c r="AJ59" s="274">
        <v>5935</v>
      </c>
      <c r="AK59" s="339">
        <v>4753</v>
      </c>
      <c r="AL59" s="340" t="s">
        <v>1663</v>
      </c>
      <c r="AM59" s="353">
        <f t="shared" si="17"/>
        <v>2.2746382856128292E-3</v>
      </c>
      <c r="AN59" s="354"/>
      <c r="AP59" s="23">
        <f t="shared" si="27"/>
        <v>0</v>
      </c>
      <c r="AQ59" s="392">
        <f t="shared" si="28"/>
        <v>0</v>
      </c>
      <c r="AR59" s="392">
        <f t="shared" si="28"/>
        <v>0</v>
      </c>
      <c r="AS59" s="392">
        <f t="shared" si="28"/>
        <v>0</v>
      </c>
      <c r="AU59" s="9" t="s">
        <v>5958</v>
      </c>
      <c r="AV59" s="9">
        <v>6305</v>
      </c>
      <c r="AW59" s="90">
        <v>1.0231562252180808</v>
      </c>
      <c r="AX59" s="38">
        <v>6451</v>
      </c>
      <c r="AY59" s="38">
        <f t="shared" si="29"/>
        <v>7.2975113122171944</v>
      </c>
      <c r="AZ59" s="50">
        <v>6.2005890559603165E-3</v>
      </c>
      <c r="BA59" s="49">
        <f t="shared" si="30"/>
        <v>40</v>
      </c>
      <c r="BB59" s="9" t="s">
        <v>5319</v>
      </c>
      <c r="BC59" s="9">
        <f t="shared" si="31"/>
        <v>24</v>
      </c>
      <c r="BD59" s="38">
        <f t="shared" si="32"/>
        <v>0</v>
      </c>
      <c r="BE59" s="9" t="e">
        <f t="shared" si="33"/>
        <v>#N/A</v>
      </c>
      <c r="BF59" s="9" t="e">
        <f t="shared" si="34"/>
        <v>#N/A</v>
      </c>
      <c r="BG59" s="75" t="e">
        <f t="shared" si="35"/>
        <v>#N/A</v>
      </c>
    </row>
    <row r="60" spans="1:59">
      <c r="A60" s="12" t="s">
        <v>1620</v>
      </c>
      <c r="B60" s="54" t="str">
        <f t="shared" si="0"/>
        <v>AZ_Maric_2020g</v>
      </c>
      <c r="C60" s="12"/>
      <c r="D60" s="54" t="str">
        <f t="shared" si="1"/>
        <v>Gen-buckeye uhsd #201-gbm-4yr (vote for3)</v>
      </c>
      <c r="E60" s="54" t="s">
        <v>1299</v>
      </c>
      <c r="G60" s="59">
        <v>4174</v>
      </c>
      <c r="H60"/>
      <c r="K60" s="2"/>
      <c r="O60">
        <f t="shared" si="2"/>
        <v>0</v>
      </c>
      <c r="P60" s="57">
        <f t="shared" si="3"/>
        <v>3</v>
      </c>
      <c r="Q60" s="267">
        <f t="shared" si="4"/>
        <v>4174</v>
      </c>
      <c r="R60" s="23">
        <f t="shared" si="5"/>
        <v>474</v>
      </c>
      <c r="S60" s="23">
        <f t="shared" si="6"/>
        <v>305</v>
      </c>
      <c r="T60" s="23">
        <f t="shared" si="7"/>
        <v>169</v>
      </c>
      <c r="U60" t="str">
        <f t="shared" si="8"/>
        <v>AZ_Maric_2020g~Gen-buckeye uhsd #201-gbm-4yr (vote for3)</v>
      </c>
      <c r="W60" s="1">
        <f t="shared" si="9"/>
        <v>59</v>
      </c>
      <c r="X60" s="73">
        <f t="shared" si="25"/>
        <v>139.17557407031092</v>
      </c>
      <c r="Y60" s="322">
        <f t="shared" si="10"/>
        <v>7622.0850000000009</v>
      </c>
      <c r="Z60" s="43">
        <f t="shared" ref="Z60:Z123" si="36">AA60*100</f>
        <v>4.010176285498746E-20</v>
      </c>
      <c r="AA60" s="52">
        <f t="shared" si="12"/>
        <v>4.0101762854987461E-22</v>
      </c>
      <c r="AB60" s="8">
        <f t="shared" si="13"/>
        <v>20895.63</v>
      </c>
      <c r="AC60" s="8">
        <f t="shared" si="14"/>
        <v>2089563</v>
      </c>
      <c r="AD60" s="8">
        <f t="shared" si="26"/>
        <v>10447.815000000001</v>
      </c>
      <c r="AE60" s="8" t="str">
        <f t="shared" si="15"/>
        <v/>
      </c>
      <c r="AF60" s="22" t="str">
        <f t="shared" si="16"/>
        <v>AZ_Maric_2020g</v>
      </c>
      <c r="AG60">
        <v>2</v>
      </c>
      <c r="AH60" s="272">
        <v>110465</v>
      </c>
      <c r="AI60" s="273">
        <v>57760</v>
      </c>
      <c r="AJ60" s="274">
        <v>52839</v>
      </c>
      <c r="AK60" s="339">
        <v>4921</v>
      </c>
      <c r="AL60" s="340" t="s">
        <v>1575</v>
      </c>
      <c r="AM60" s="353">
        <f t="shared" si="17"/>
        <v>2.3550378715549614E-3</v>
      </c>
      <c r="AN60" s="354"/>
      <c r="AP60" s="23">
        <f t="shared" si="27"/>
        <v>0</v>
      </c>
      <c r="AQ60" s="392">
        <f t="shared" si="28"/>
        <v>0</v>
      </c>
      <c r="AR60" s="392">
        <f t="shared" si="28"/>
        <v>0</v>
      </c>
      <c r="AS60" s="392">
        <f t="shared" si="28"/>
        <v>0</v>
      </c>
      <c r="AU60" s="9" t="s">
        <v>5920</v>
      </c>
      <c r="AV60" s="9">
        <v>16876</v>
      </c>
      <c r="AW60" s="90">
        <v>1.9559137236311923</v>
      </c>
      <c r="AX60" s="38">
        <v>33008</v>
      </c>
      <c r="AY60" s="38">
        <f t="shared" si="29"/>
        <v>45.908205841446453</v>
      </c>
      <c r="AZ60" s="50">
        <v>3.6051866214251091E-3</v>
      </c>
      <c r="BA60" s="49">
        <f t="shared" si="30"/>
        <v>119</v>
      </c>
      <c r="BB60" s="9" t="s">
        <v>5319</v>
      </c>
      <c r="BC60" s="9">
        <f t="shared" si="31"/>
        <v>24</v>
      </c>
      <c r="BD60" s="38">
        <f t="shared" si="32"/>
        <v>0</v>
      </c>
      <c r="BE60" s="9" t="e">
        <f t="shared" si="33"/>
        <v>#N/A</v>
      </c>
      <c r="BF60" s="9" t="e">
        <f t="shared" si="34"/>
        <v>#N/A</v>
      </c>
      <c r="BG60" s="75" t="e">
        <f t="shared" si="35"/>
        <v>#N/A</v>
      </c>
    </row>
    <row r="61" spans="1:59">
      <c r="A61" s="12" t="s">
        <v>1620</v>
      </c>
      <c r="B61" s="54" t="str">
        <f t="shared" si="0"/>
        <v>AZ_Maric_2020g</v>
      </c>
      <c r="C61" s="12"/>
      <c r="D61" s="54" t="str">
        <f t="shared" si="1"/>
        <v>Gen-buckeye uhsd #201-gbm-4yr (vote for3)</v>
      </c>
      <c r="E61" s="54" t="s">
        <v>1825</v>
      </c>
      <c r="F61" s="12" t="s">
        <v>1300</v>
      </c>
      <c r="G61" s="59">
        <v>1484</v>
      </c>
      <c r="H61"/>
      <c r="K61" s="2"/>
      <c r="O61">
        <f t="shared" si="2"/>
        <v>0</v>
      </c>
      <c r="P61" s="57">
        <f t="shared" si="3"/>
        <v>3</v>
      </c>
      <c r="Q61" s="267">
        <f t="shared" si="4"/>
        <v>4174</v>
      </c>
      <c r="R61" s="23">
        <f t="shared" si="5"/>
        <v>474</v>
      </c>
      <c r="S61" s="23">
        <f t="shared" si="6"/>
        <v>305</v>
      </c>
      <c r="T61" s="23" t="str">
        <f t="shared" si="7"/>
        <v/>
      </c>
      <c r="U61" t="str">
        <f t="shared" si="8"/>
        <v/>
      </c>
      <c r="W61" s="1">
        <f t="shared" si="9"/>
        <v>60</v>
      </c>
      <c r="X61" s="73">
        <f t="shared" si="25"/>
        <v>21.643317624882187</v>
      </c>
      <c r="Y61" s="322">
        <f t="shared" si="10"/>
        <v>1277.8110000000001</v>
      </c>
      <c r="Z61" s="43">
        <f t="shared" si="36"/>
        <v>8.5385067939857906E-22</v>
      </c>
      <c r="AA61" s="52">
        <f t="shared" si="12"/>
        <v>8.5385067939857899E-24</v>
      </c>
      <c r="AB61" s="8">
        <f t="shared" si="13"/>
        <v>20895.63</v>
      </c>
      <c r="AC61" s="8">
        <f t="shared" si="14"/>
        <v>2089563</v>
      </c>
      <c r="AD61" s="8">
        <f t="shared" si="26"/>
        <v>10447.815000000001</v>
      </c>
      <c r="AE61" s="8" t="str">
        <f t="shared" si="15"/>
        <v/>
      </c>
      <c r="AF61" s="22" t="str">
        <f t="shared" si="16"/>
        <v>AZ_Maric_2020g</v>
      </c>
      <c r="AG61">
        <v>1</v>
      </c>
      <c r="AH61" s="272">
        <v>18519</v>
      </c>
      <c r="AI61" s="273">
        <v>11912</v>
      </c>
      <c r="AJ61" s="274">
        <v>6607</v>
      </c>
      <c r="AK61" s="339">
        <v>5305</v>
      </c>
      <c r="AL61" s="340" t="s">
        <v>1652</v>
      </c>
      <c r="AM61" s="353">
        <f t="shared" si="17"/>
        <v>2.5388083537084068E-3</v>
      </c>
      <c r="AN61" s="354"/>
      <c r="AP61" s="23">
        <f t="shared" si="27"/>
        <v>0</v>
      </c>
      <c r="AQ61" s="392">
        <f t="shared" si="28"/>
        <v>0</v>
      </c>
      <c r="AR61" s="392">
        <f t="shared" si="28"/>
        <v>0</v>
      </c>
      <c r="AS61" s="392">
        <f t="shared" si="28"/>
        <v>0</v>
      </c>
      <c r="AU61" s="9" t="s">
        <v>5949</v>
      </c>
      <c r="AV61" s="9">
        <v>3389</v>
      </c>
      <c r="AW61" s="90">
        <v>2.0126881085866035</v>
      </c>
      <c r="AX61" s="38">
        <v>6821</v>
      </c>
      <c r="AY61" s="38">
        <f t="shared" si="29"/>
        <v>14.668817204301074</v>
      </c>
      <c r="AZ61" s="50">
        <v>1.1435273420319601E-2</v>
      </c>
      <c r="BA61" s="49">
        <f t="shared" si="30"/>
        <v>78</v>
      </c>
      <c r="BB61" s="9" t="s">
        <v>5319</v>
      </c>
      <c r="BC61" s="9">
        <f t="shared" si="31"/>
        <v>24</v>
      </c>
      <c r="BD61" s="38">
        <f t="shared" si="32"/>
        <v>0</v>
      </c>
      <c r="BE61" s="9" t="e">
        <f t="shared" si="33"/>
        <v>#N/A</v>
      </c>
      <c r="BF61" s="9" t="e">
        <f t="shared" si="34"/>
        <v>#N/A</v>
      </c>
      <c r="BG61" s="75" t="e">
        <f t="shared" si="35"/>
        <v>#N/A</v>
      </c>
    </row>
    <row r="62" spans="1:59">
      <c r="A62" s="12" t="s">
        <v>1620</v>
      </c>
      <c r="B62" s="54" t="str">
        <f t="shared" si="0"/>
        <v>AZ_Maric_2020g</v>
      </c>
      <c r="C62" s="12"/>
      <c r="D62" s="54" t="str">
        <f t="shared" si="1"/>
        <v>Gen-buckeye uhsd #201-gbm-4yr (vote for3)</v>
      </c>
      <c r="E62" s="54" t="s">
        <v>1996</v>
      </c>
      <c r="F62" s="12" t="s">
        <v>1300</v>
      </c>
      <c r="G62" s="59">
        <v>570</v>
      </c>
      <c r="H62"/>
      <c r="K62" s="2"/>
      <c r="O62">
        <f t="shared" si="2"/>
        <v>1</v>
      </c>
      <c r="P62" s="57">
        <f t="shared" si="3"/>
        <v>3</v>
      </c>
      <c r="Q62" s="267">
        <f t="shared" si="4"/>
        <v>2690</v>
      </c>
      <c r="R62" s="23">
        <f t="shared" si="5"/>
        <v>474</v>
      </c>
      <c r="S62" s="23">
        <f t="shared" si="6"/>
        <v>305</v>
      </c>
      <c r="T62" s="23" t="str">
        <f t="shared" si="7"/>
        <v/>
      </c>
      <c r="U62" t="str">
        <f t="shared" si="8"/>
        <v/>
      </c>
      <c r="W62" s="1">
        <f t="shared" si="9"/>
        <v>61</v>
      </c>
      <c r="X62" s="73">
        <f t="shared" si="25"/>
        <v>406.22426509887759</v>
      </c>
      <c r="Y62" s="322">
        <f t="shared" si="10"/>
        <v>25375.716</v>
      </c>
      <c r="Z62" s="43">
        <f t="shared" si="36"/>
        <v>3.8927024364700826E-23</v>
      </c>
      <c r="AA62" s="52">
        <f t="shared" si="12"/>
        <v>3.8927024364700825E-25</v>
      </c>
      <c r="AB62" s="8">
        <f t="shared" si="13"/>
        <v>20895.63</v>
      </c>
      <c r="AC62" s="8">
        <f t="shared" si="14"/>
        <v>2089563</v>
      </c>
      <c r="AD62" s="8">
        <f t="shared" si="26"/>
        <v>10447.815000000001</v>
      </c>
      <c r="AE62" s="8" t="str">
        <f t="shared" si="15"/>
        <v/>
      </c>
      <c r="AF62" s="22" t="str">
        <f t="shared" si="16"/>
        <v>AZ_Maric_2020g</v>
      </c>
      <c r="AG62">
        <v>1</v>
      </c>
      <c r="AH62" s="272">
        <v>367764</v>
      </c>
      <c r="AI62" s="273">
        <v>186478</v>
      </c>
      <c r="AJ62" s="274">
        <v>180865</v>
      </c>
      <c r="AK62" s="339">
        <v>5613</v>
      </c>
      <c r="AL62" s="340" t="s">
        <v>1583</v>
      </c>
      <c r="AM62" s="353">
        <f t="shared" si="17"/>
        <v>2.6862075946023165E-3</v>
      </c>
      <c r="AN62" s="354"/>
      <c r="AO62" s="356"/>
      <c r="AP62" s="23">
        <f t="shared" si="27"/>
        <v>0</v>
      </c>
      <c r="AQ62" s="392">
        <f t="shared" si="28"/>
        <v>0</v>
      </c>
      <c r="AR62" s="392">
        <f t="shared" si="28"/>
        <v>0</v>
      </c>
      <c r="AS62" s="392">
        <f t="shared" si="28"/>
        <v>0</v>
      </c>
      <c r="AU62" s="9" t="s">
        <v>5950</v>
      </c>
      <c r="AV62" s="38">
        <v>562</v>
      </c>
      <c r="AW62" s="91">
        <v>1.01</v>
      </c>
      <c r="AX62" s="38">
        <v>567.62</v>
      </c>
      <c r="AY62" s="38">
        <f t="shared" si="29"/>
        <v>51.601818181818182</v>
      </c>
      <c r="AZ62" s="50">
        <v>0</v>
      </c>
      <c r="BA62" s="49">
        <f t="shared" si="30"/>
        <v>0</v>
      </c>
      <c r="BB62" s="9" t="s">
        <v>5319</v>
      </c>
      <c r="BC62" s="9">
        <f t="shared" si="31"/>
        <v>24</v>
      </c>
      <c r="BD62" s="38">
        <f t="shared" si="32"/>
        <v>0</v>
      </c>
      <c r="BE62" s="9" t="e">
        <f t="shared" si="33"/>
        <v>#N/A</v>
      </c>
      <c r="BF62" s="9" t="e">
        <f t="shared" si="34"/>
        <v>#N/A</v>
      </c>
      <c r="BG62" s="75" t="e">
        <f t="shared" si="35"/>
        <v>#N/A</v>
      </c>
    </row>
    <row r="63" spans="1:59">
      <c r="A63" s="12" t="s">
        <v>1620</v>
      </c>
      <c r="B63" s="54" t="str">
        <f t="shared" si="0"/>
        <v>AZ_Maric_2020g</v>
      </c>
      <c r="C63" s="12"/>
      <c r="D63" s="54" t="str">
        <f t="shared" si="1"/>
        <v>Gen-buckeye uhsd #201-gbm-4yr (vote for3)</v>
      </c>
      <c r="E63" s="54" t="s">
        <v>1997</v>
      </c>
      <c r="F63" s="12" t="s">
        <v>1300</v>
      </c>
      <c r="G63" s="59">
        <v>543</v>
      </c>
      <c r="H63"/>
      <c r="K63" s="2"/>
      <c r="O63">
        <f t="shared" si="2"/>
        <v>2</v>
      </c>
      <c r="P63" s="57">
        <f t="shared" si="3"/>
        <v>3</v>
      </c>
      <c r="Q63" s="267">
        <f t="shared" si="4"/>
        <v>2120</v>
      </c>
      <c r="R63" s="23">
        <f t="shared" si="5"/>
        <v>474</v>
      </c>
      <c r="S63" s="23">
        <f t="shared" si="6"/>
        <v>305</v>
      </c>
      <c r="T63" s="23" t="str">
        <f t="shared" si="7"/>
        <v/>
      </c>
      <c r="U63" t="str">
        <f t="shared" si="8"/>
        <v/>
      </c>
      <c r="W63" s="1">
        <f t="shared" si="9"/>
        <v>62</v>
      </c>
      <c r="X63" s="73">
        <f t="shared" si="25"/>
        <v>22.554642097802979</v>
      </c>
      <c r="Y63" s="322">
        <f t="shared" si="10"/>
        <v>1416.7080000000001</v>
      </c>
      <c r="Z63" s="43">
        <f t="shared" si="36"/>
        <v>2.8527012458944719E-23</v>
      </c>
      <c r="AA63" s="52">
        <f t="shared" si="12"/>
        <v>2.8527012458944718E-25</v>
      </c>
      <c r="AB63" s="8">
        <f t="shared" si="13"/>
        <v>20895.63</v>
      </c>
      <c r="AC63" s="8">
        <f t="shared" si="14"/>
        <v>2089563</v>
      </c>
      <c r="AD63" s="8">
        <f t="shared" si="26"/>
        <v>10447.815000000001</v>
      </c>
      <c r="AE63" s="8" t="str">
        <f t="shared" si="15"/>
        <v/>
      </c>
      <c r="AF63" s="22" t="str">
        <f t="shared" si="16"/>
        <v>AZ_Maric_2020g</v>
      </c>
      <c r="AG63">
        <v>1</v>
      </c>
      <c r="AH63" s="272">
        <v>20532</v>
      </c>
      <c r="AI63" s="273">
        <v>13088</v>
      </c>
      <c r="AJ63" s="274">
        <v>7444</v>
      </c>
      <c r="AK63" s="339">
        <v>5644</v>
      </c>
      <c r="AL63" s="340" t="s">
        <v>1639</v>
      </c>
      <c r="AM63" s="353">
        <f t="shared" si="17"/>
        <v>2.7010432324844954E-3</v>
      </c>
      <c r="AN63" s="354"/>
      <c r="AP63" s="23">
        <f t="shared" si="27"/>
        <v>0</v>
      </c>
      <c r="AQ63" s="392">
        <f t="shared" si="28"/>
        <v>0</v>
      </c>
      <c r="AR63" s="392">
        <f t="shared" si="28"/>
        <v>0</v>
      </c>
      <c r="AS63" s="392">
        <f t="shared" si="28"/>
        <v>0</v>
      </c>
      <c r="AU63" s="9" t="s">
        <v>5959</v>
      </c>
      <c r="AV63" s="9">
        <v>5147</v>
      </c>
      <c r="AW63" s="90">
        <v>1.0081600932582087</v>
      </c>
      <c r="AX63" s="38">
        <v>5189</v>
      </c>
      <c r="AY63" s="38">
        <f t="shared" si="29"/>
        <v>28.510989010989011</v>
      </c>
      <c r="AZ63" s="50">
        <v>4.2397379071111964E-3</v>
      </c>
      <c r="BA63" s="49">
        <f t="shared" si="30"/>
        <v>22</v>
      </c>
      <c r="BB63" s="9" t="s">
        <v>5319</v>
      </c>
      <c r="BC63" s="9">
        <f t="shared" si="31"/>
        <v>24</v>
      </c>
      <c r="BD63" s="38">
        <f t="shared" si="32"/>
        <v>0</v>
      </c>
      <c r="BE63" s="9" t="e">
        <f t="shared" si="33"/>
        <v>#N/A</v>
      </c>
      <c r="BF63" s="9" t="e">
        <f t="shared" si="34"/>
        <v>#N/A</v>
      </c>
      <c r="BG63" s="75" t="e">
        <f t="shared" si="35"/>
        <v>#N/A</v>
      </c>
    </row>
    <row r="64" spans="1:59">
      <c r="A64" s="12" t="s">
        <v>1620</v>
      </c>
      <c r="B64" s="54" t="str">
        <f t="shared" si="0"/>
        <v>AZ_Maric_2020g</v>
      </c>
      <c r="C64" s="12"/>
      <c r="D64" s="54" t="str">
        <f t="shared" si="1"/>
        <v>Gen-buckeye uhsd #201-gbm-4yr (vote for3)</v>
      </c>
      <c r="E64" s="54" t="s">
        <v>2000</v>
      </c>
      <c r="F64" s="12" t="s">
        <v>1300</v>
      </c>
      <c r="G64" s="59">
        <v>474</v>
      </c>
      <c r="H64"/>
      <c r="K64" s="2"/>
      <c r="O64">
        <f t="shared" si="2"/>
        <v>3</v>
      </c>
      <c r="P64" s="57">
        <f t="shared" si="3"/>
        <v>3</v>
      </c>
      <c r="Q64" s="267">
        <f t="shared" si="4"/>
        <v>1577</v>
      </c>
      <c r="R64" s="23">
        <f t="shared" si="5"/>
        <v>474</v>
      </c>
      <c r="S64" s="23">
        <f t="shared" si="6"/>
        <v>305</v>
      </c>
      <c r="T64" s="23" t="str">
        <f t="shared" si="7"/>
        <v/>
      </c>
      <c r="U64" t="str">
        <f t="shared" si="8"/>
        <v/>
      </c>
      <c r="W64" s="1">
        <f t="shared" si="9"/>
        <v>63</v>
      </c>
      <c r="X64" s="73">
        <f t="shared" si="25"/>
        <v>10.663656806780834</v>
      </c>
      <c r="Y64" s="322">
        <f t="shared" si="10"/>
        <v>686.06700000000001</v>
      </c>
      <c r="Z64" s="43">
        <f t="shared" si="36"/>
        <v>7.2217393837431262E-24</v>
      </c>
      <c r="AA64" s="52">
        <f t="shared" si="12"/>
        <v>7.2217393837431257E-26</v>
      </c>
      <c r="AB64" s="8">
        <f t="shared" si="13"/>
        <v>20895.63</v>
      </c>
      <c r="AC64" s="8">
        <f t="shared" si="14"/>
        <v>2089563</v>
      </c>
      <c r="AD64" s="8">
        <f t="shared" si="26"/>
        <v>10447.815000000001</v>
      </c>
      <c r="AE64" s="8" t="str">
        <f t="shared" si="15"/>
        <v/>
      </c>
      <c r="AF64" s="22" t="str">
        <f t="shared" si="16"/>
        <v>AZ_Maric_2020g</v>
      </c>
      <c r="AG64">
        <v>1</v>
      </c>
      <c r="AH64" s="272">
        <v>9943</v>
      </c>
      <c r="AI64" s="273">
        <v>7862</v>
      </c>
      <c r="AJ64" s="274">
        <v>2081</v>
      </c>
      <c r="AK64" s="339">
        <v>5781</v>
      </c>
      <c r="AL64" s="340" t="s">
        <v>1677</v>
      </c>
      <c r="AM64" s="353">
        <f t="shared" si="17"/>
        <v>2.7666071805444487E-3</v>
      </c>
      <c r="AN64" s="354"/>
      <c r="AP64" s="23">
        <f t="shared" si="27"/>
        <v>0</v>
      </c>
      <c r="AQ64" s="392">
        <f t="shared" si="28"/>
        <v>0</v>
      </c>
      <c r="AR64" s="392">
        <f t="shared" si="28"/>
        <v>0</v>
      </c>
      <c r="AS64" s="392">
        <f t="shared" si="28"/>
        <v>0</v>
      </c>
      <c r="AU64" s="9" t="s">
        <v>5951</v>
      </c>
      <c r="AV64" s="9">
        <v>1446</v>
      </c>
      <c r="AW64" s="90">
        <v>1.0345781466113417</v>
      </c>
      <c r="AX64" s="38">
        <v>1496</v>
      </c>
      <c r="AY64" s="38">
        <f t="shared" si="29"/>
        <v>1.512639029322548</v>
      </c>
      <c r="AZ64" s="50">
        <v>3.4090909090909088E-2</v>
      </c>
      <c r="BA64" s="49">
        <f t="shared" si="30"/>
        <v>50.999999999999993</v>
      </c>
      <c r="BB64" s="9" t="s">
        <v>5319</v>
      </c>
      <c r="BC64" s="9">
        <f t="shared" si="31"/>
        <v>24</v>
      </c>
      <c r="BD64" s="38">
        <f t="shared" si="32"/>
        <v>0</v>
      </c>
      <c r="BE64" s="9" t="e">
        <f t="shared" si="33"/>
        <v>#N/A</v>
      </c>
      <c r="BF64" s="9" t="e">
        <f t="shared" si="34"/>
        <v>#N/A</v>
      </c>
      <c r="BG64" s="75" t="e">
        <f t="shared" si="35"/>
        <v>#N/A</v>
      </c>
    </row>
    <row r="65" spans="1:66">
      <c r="A65" s="12" t="s">
        <v>1620</v>
      </c>
      <c r="B65" s="54" t="str">
        <f t="shared" si="0"/>
        <v>AZ_Maric_2020g</v>
      </c>
      <c r="C65" s="12"/>
      <c r="D65" s="54" t="str">
        <f t="shared" si="1"/>
        <v>Gen-buckeye uhsd #201-gbm-4yr (vote for3)</v>
      </c>
      <c r="E65" s="54" t="s">
        <v>1995</v>
      </c>
      <c r="F65" s="12" t="s">
        <v>1300</v>
      </c>
      <c r="G65" s="59">
        <v>305</v>
      </c>
      <c r="H65"/>
      <c r="K65" s="2"/>
      <c r="O65">
        <f t="shared" si="2"/>
        <v>4</v>
      </c>
      <c r="P65" s="57">
        <f t="shared" si="3"/>
        <v>3</v>
      </c>
      <c r="Q65" s="267">
        <f t="shared" si="4"/>
        <v>1103</v>
      </c>
      <c r="R65" s="23" t="str">
        <f t="shared" si="5"/>
        <v/>
      </c>
      <c r="S65" s="23">
        <f t="shared" si="6"/>
        <v>305</v>
      </c>
      <c r="T65" s="23" t="str">
        <f t="shared" si="7"/>
        <v/>
      </c>
      <c r="U65" t="str">
        <f t="shared" si="8"/>
        <v/>
      </c>
      <c r="W65" s="1">
        <f t="shared" si="9"/>
        <v>64</v>
      </c>
      <c r="X65" s="73">
        <f t="shared" si="25"/>
        <v>146.5706919945726</v>
      </c>
      <c r="Y65" s="322">
        <f t="shared" si="10"/>
        <v>9617.496000000001</v>
      </c>
      <c r="Z65" s="43">
        <f t="shared" si="36"/>
        <v>2.279311875636668E-24</v>
      </c>
      <c r="AA65" s="52">
        <f t="shared" si="12"/>
        <v>2.279311875636668E-26</v>
      </c>
      <c r="AB65" s="8">
        <f t="shared" si="13"/>
        <v>20895.63</v>
      </c>
      <c r="AC65" s="8">
        <f t="shared" si="14"/>
        <v>2089563</v>
      </c>
      <c r="AD65" s="8">
        <f t="shared" si="26"/>
        <v>10447.815000000001</v>
      </c>
      <c r="AE65" s="8" t="str">
        <f t="shared" si="15"/>
        <v/>
      </c>
      <c r="AF65" s="22" t="str">
        <f t="shared" si="16"/>
        <v>AZ_Maric_2020g</v>
      </c>
      <c r="AG65">
        <v>1</v>
      </c>
      <c r="AH65" s="272">
        <v>139384</v>
      </c>
      <c r="AI65" s="273">
        <v>72467</v>
      </c>
      <c r="AJ65" s="274">
        <v>66571</v>
      </c>
      <c r="AK65" s="339">
        <v>5896</v>
      </c>
      <c r="AL65" s="340" t="s">
        <v>1696</v>
      </c>
      <c r="AM65" s="353">
        <f t="shared" si="17"/>
        <v>2.8216426113976943E-3</v>
      </c>
      <c r="AN65" s="354"/>
      <c r="AP65" s="23">
        <f t="shared" si="27"/>
        <v>0</v>
      </c>
      <c r="AQ65" s="392">
        <f t="shared" si="28"/>
        <v>0</v>
      </c>
      <c r="AR65" s="392">
        <f t="shared" si="28"/>
        <v>0</v>
      </c>
      <c r="AS65" s="392">
        <f t="shared" si="28"/>
        <v>0</v>
      </c>
      <c r="AU65" s="9" t="s">
        <v>4940</v>
      </c>
      <c r="AV65" s="38">
        <v>3295189</v>
      </c>
      <c r="AW65" s="77">
        <v>1.2678868788263875</v>
      </c>
      <c r="AX65" s="49">
        <f>AW65*AV65</f>
        <v>4177926.896353045</v>
      </c>
      <c r="AY65" s="38">
        <f t="shared" si="29"/>
        <v>16384.027044521747</v>
      </c>
      <c r="AZ65" s="50">
        <v>2E-3</v>
      </c>
      <c r="BA65" s="49">
        <f t="shared" si="30"/>
        <v>8355.8537927060897</v>
      </c>
      <c r="BB65" s="9" t="s">
        <v>5316</v>
      </c>
      <c r="BC65" s="9">
        <f t="shared" si="31"/>
        <v>17</v>
      </c>
      <c r="BD65" s="38">
        <f t="shared" si="32"/>
        <v>1121.5625023988352</v>
      </c>
      <c r="BE65" s="9">
        <f t="shared" si="33"/>
        <v>215529.22800000003</v>
      </c>
      <c r="BF65" s="9">
        <f t="shared" si="34"/>
        <v>-215512.22800000003</v>
      </c>
      <c r="BG65" s="75">
        <f t="shared" si="35"/>
        <v>12678.189882352943</v>
      </c>
    </row>
    <row r="66" spans="1:66">
      <c r="A66" s="12" t="s">
        <v>1620</v>
      </c>
      <c r="B66" s="54" t="str">
        <f t="shared" ref="B66:B129" si="37">LEFT(A66,14)</f>
        <v>AZ_Maric_2020g</v>
      </c>
      <c r="C66" s="12"/>
      <c r="D66" s="54" t="str">
        <f t="shared" ref="D66:D129" si="38">MID(A66,16,99)</f>
        <v>Gen-buckeye uhsd #201-gbm-4yr (vote for3)</v>
      </c>
      <c r="E66" s="54" t="s">
        <v>1998</v>
      </c>
      <c r="F66" s="12" t="s">
        <v>1300</v>
      </c>
      <c r="G66" s="59">
        <v>285</v>
      </c>
      <c r="H66"/>
      <c r="K66" s="2"/>
      <c r="O66">
        <f t="shared" ref="O66:O129" si="39">IF(OR(LOWER(LEFT(E66,8))="write-in",LOWER(LEFT(E66,8))="not qual"),IF(A66=A65,-ABS(O65),0),IF(A66=A65,ABS(O65)+1,1))</f>
        <v>5</v>
      </c>
      <c r="P66" s="57">
        <f t="shared" ref="P66:P129" si="40">1*LEFT(RIGHT(A66,2),1)</f>
        <v>3</v>
      </c>
      <c r="Q66" s="267">
        <f t="shared" ref="Q66:Q129" si="41">IF(A66&lt;&gt;A67,G66,IF(A66=A65,G66+Q67,MAX(G66,(G66+Q67)/P66)))</f>
        <v>798</v>
      </c>
      <c r="R66" s="23" t="str">
        <f t="shared" ref="R66:R129" si="42">IF(O66&gt;P66,"",IF(O66=P66,G66,IF(A66=A67,R67,IF(O66&lt;=0,1,G66))))</f>
        <v/>
      </c>
      <c r="S66" s="23">
        <f t="shared" ref="S66:S129" si="43">IF(AND(O66&gt;P66,LOWER(LEFT(E66,8))&lt;&gt;"write-in",LOWER(LEFT(E66,8))&lt;&gt;"not qual"),G66,IF(A66=A67,S67,0))</f>
        <v>285</v>
      </c>
      <c r="T66" s="23" t="str">
        <f t="shared" ref="T66:T129" si="44">IF(OR(A66=A65,S66=0),"",R66-ABS(S66))</f>
        <v/>
      </c>
      <c r="U66" t="str">
        <f t="shared" ref="U66:U129" si="45">IF(A66=A65,"",A66)</f>
        <v/>
      </c>
      <c r="W66" s="1">
        <f t="shared" ref="W66:W129" si="46">IF(AF66=AF65,W65+1,1)</f>
        <v>65</v>
      </c>
      <c r="X66" s="73">
        <f t="shared" si="25"/>
        <v>14.970933333333333</v>
      </c>
      <c r="Y66" s="322">
        <f t="shared" ref="Y66:Y129" si="47">MAX(X66,0.069*AH66)</f>
        <v>999.67200000000014</v>
      </c>
      <c r="Z66" s="43">
        <f t="shared" si="36"/>
        <v>8.0324520383907563E-25</v>
      </c>
      <c r="AA66" s="52">
        <f t="shared" ref="AA66:AA129" si="48">(1-AK66/AC66)^AB66</f>
        <v>8.0324520383907563E-27</v>
      </c>
      <c r="AB66" s="8">
        <f t="shared" ref="AB66:AB129" si="49">INDEX(BA$2:BA$76,MATCH($AF66,$AU$2:$AU$76,0))+IF(AE66="",0,INDEX(BA$2:BA$76,AE66))</f>
        <v>20895.63</v>
      </c>
      <c r="AC66" s="8">
        <f t="shared" ref="AC66:AC129" si="50">INDEX(AX$2:AX$76,MATCH(AF66,AU$2:AU$76,0))+IF(AE66="",0,INDEX(AX$2:AX$76,AE66))</f>
        <v>2089563</v>
      </c>
      <c r="AD66" s="8">
        <f t="shared" si="26"/>
        <v>10447.815000000001</v>
      </c>
      <c r="AE66" s="8" t="str">
        <f t="shared" ref="AE66:AE129" si="51">IF(MID(AL66,16,2)&lt;&gt;"w/","",MATCH(CONCATENATE("CO_",MID(AL66,18,5),"_2020g"),AU$2:AU$76,0))</f>
        <v/>
      </c>
      <c r="AF66" s="22" t="str">
        <f t="shared" ref="AF66:AF129" si="52">LEFT(AL66,14)</f>
        <v>AZ_Maric_2020g</v>
      </c>
      <c r="AG66">
        <v>1</v>
      </c>
      <c r="AH66" s="272">
        <v>14488</v>
      </c>
      <c r="AI66" s="273">
        <v>10244</v>
      </c>
      <c r="AJ66" s="274">
        <v>4244</v>
      </c>
      <c r="AK66" s="339">
        <v>6000</v>
      </c>
      <c r="AL66" s="340" t="s">
        <v>1678</v>
      </c>
      <c r="AM66" s="353">
        <f t="shared" ref="AM66:AM129" si="53">AK66/AC66</f>
        <v>2.8714137836475858E-3</v>
      </c>
      <c r="AN66" s="354"/>
      <c r="AP66" s="23">
        <f t="shared" si="27"/>
        <v>0</v>
      </c>
      <c r="AQ66" s="392">
        <f t="shared" si="28"/>
        <v>0</v>
      </c>
      <c r="AR66" s="392">
        <f t="shared" si="28"/>
        <v>0</v>
      </c>
      <c r="AS66" s="392">
        <f t="shared" si="28"/>
        <v>0</v>
      </c>
      <c r="AU66" s="9" t="s">
        <v>5928</v>
      </c>
      <c r="AV66" s="9">
        <v>18479</v>
      </c>
      <c r="AW66" s="90">
        <v>1.02510958385194</v>
      </c>
      <c r="AX66" s="38">
        <v>18943</v>
      </c>
      <c r="AY66" s="38">
        <f t="shared" si="29"/>
        <v>87.294930875576043</v>
      </c>
      <c r="AZ66" s="50">
        <v>2.6922873884812331E-3</v>
      </c>
      <c r="BA66" s="49">
        <f t="shared" ref="BA66:BA71" si="54">AZ66*AX66</f>
        <v>51</v>
      </c>
      <c r="BB66" s="9" t="s">
        <v>5319</v>
      </c>
      <c r="BC66" s="9">
        <f t="shared" ref="BC66:BC76" si="55">INDEX(W$2:W$1183,MATCH(AU66,AF$2:AF$1151,1))</f>
        <v>17</v>
      </c>
      <c r="BD66" s="38">
        <f t="shared" ref="BD66:BD76" si="56">SUMIF(AF:AF,AU66,X:X)</f>
        <v>0</v>
      </c>
      <c r="BE66" s="9" t="e">
        <f t="shared" ref="BE66:BE76" si="57">INDEX(Y$2:Y$1183,MATCH(AU66,AF$2:AF$1151,0))</f>
        <v>#N/A</v>
      </c>
      <c r="BF66" s="9" t="e">
        <f t="shared" ref="BF66:BF71" si="58">BC66-BE66</f>
        <v>#N/A</v>
      </c>
      <c r="BG66" s="75" t="e">
        <f t="shared" ref="BG66:BG71" si="59">BE66/BC66</f>
        <v>#N/A</v>
      </c>
    </row>
    <row r="67" spans="1:66">
      <c r="A67" s="12" t="s">
        <v>1620</v>
      </c>
      <c r="B67" s="54" t="str">
        <f t="shared" si="37"/>
        <v>AZ_Maric_2020g</v>
      </c>
      <c r="C67" s="12"/>
      <c r="D67" s="54" t="str">
        <f t="shared" si="38"/>
        <v>Gen-buckeye uhsd #201-gbm-4yr (vote for3)</v>
      </c>
      <c r="E67" s="54" t="s">
        <v>1826</v>
      </c>
      <c r="F67" s="12" t="s">
        <v>1300</v>
      </c>
      <c r="G67" s="59">
        <v>239</v>
      </c>
      <c r="H67"/>
      <c r="K67" s="2"/>
      <c r="O67">
        <f t="shared" si="39"/>
        <v>-5</v>
      </c>
      <c r="P67" s="57">
        <f t="shared" si="40"/>
        <v>3</v>
      </c>
      <c r="Q67" s="267">
        <f t="shared" si="41"/>
        <v>513</v>
      </c>
      <c r="R67" s="23" t="str">
        <f t="shared" si="42"/>
        <v/>
      </c>
      <c r="S67" s="23">
        <f t="shared" si="43"/>
        <v>133</v>
      </c>
      <c r="T67" s="23" t="str">
        <f t="shared" si="44"/>
        <v/>
      </c>
      <c r="U67" t="str">
        <f t="shared" si="45"/>
        <v/>
      </c>
      <c r="W67" s="1">
        <f t="shared" si="46"/>
        <v>66</v>
      </c>
      <c r="X67" s="73">
        <f t="shared" ref="X67:X130" si="60">IF(AK67=0,AH67,MIN(AH67,6.2/(AK67/AH67)))</f>
        <v>17.438920359880044</v>
      </c>
      <c r="Y67" s="322">
        <f t="shared" si="47"/>
        <v>1164.8580000000002</v>
      </c>
      <c r="Z67" s="43">
        <f t="shared" si="36"/>
        <v>7.872945310928409E-25</v>
      </c>
      <c r="AA67" s="52">
        <f t="shared" si="48"/>
        <v>7.8729453109284088E-27</v>
      </c>
      <c r="AB67" s="8">
        <f t="shared" si="49"/>
        <v>20895.63</v>
      </c>
      <c r="AC67" s="8">
        <f t="shared" si="50"/>
        <v>2089563</v>
      </c>
      <c r="AD67" s="8">
        <f t="shared" ref="AD67:AD130" si="61">AC67/RIGHT(AD$1,4)</f>
        <v>10447.815000000001</v>
      </c>
      <c r="AE67" s="8" t="str">
        <f t="shared" si="51"/>
        <v/>
      </c>
      <c r="AF67" s="22" t="str">
        <f t="shared" si="52"/>
        <v>AZ_Maric_2020g</v>
      </c>
      <c r="AG67">
        <v>1</v>
      </c>
      <c r="AH67" s="272">
        <v>16882</v>
      </c>
      <c r="AI67" s="273">
        <v>11442</v>
      </c>
      <c r="AJ67" s="274">
        <v>5440</v>
      </c>
      <c r="AK67" s="339">
        <v>6002</v>
      </c>
      <c r="AL67" s="340" t="s">
        <v>1662</v>
      </c>
      <c r="AM67" s="353">
        <f t="shared" si="53"/>
        <v>2.8723709215754682E-3</v>
      </c>
      <c r="AN67" s="354"/>
      <c r="AP67" s="23">
        <f t="shared" ref="AP67:AP75" si="62">MIN(AD67, MAX(0,ROUNDUP(AD67*(AK67/AC67-0.005)/(RIGHT(AP$1,3)-0.005),0)))</f>
        <v>0</v>
      </c>
      <c r="AQ67" s="392">
        <f t="shared" ref="AQ67:AS104" si="63">IF($AP67=$AD67,1,IF($AP67=0,0, 1-HYPGEOMDIST(0, ROUNDUP(RIGHT(AQ$1,4)*$AD67,0),$AP67, $AD67)))</f>
        <v>0</v>
      </c>
      <c r="AR67" s="392">
        <f t="shared" si="63"/>
        <v>0</v>
      </c>
      <c r="AS67" s="392">
        <f t="shared" si="63"/>
        <v>0</v>
      </c>
      <c r="AU67" s="9" t="s">
        <v>5929</v>
      </c>
      <c r="AV67" s="9">
        <v>16939</v>
      </c>
      <c r="AW67" s="90">
        <v>1.0141094515614852</v>
      </c>
      <c r="AX67" s="38">
        <v>17178</v>
      </c>
      <c r="AY67" s="38">
        <f t="shared" ref="AY67:AY76" si="64">AX67/RIGHT(AY66,3)</f>
        <v>29.822916666666668</v>
      </c>
      <c r="AZ67" s="50">
        <v>3.7839096518803121E-3</v>
      </c>
      <c r="BA67" s="49">
        <f t="shared" si="54"/>
        <v>65</v>
      </c>
      <c r="BB67" s="9" t="s">
        <v>5319</v>
      </c>
      <c r="BC67" s="9">
        <f t="shared" si="55"/>
        <v>17</v>
      </c>
      <c r="BD67" s="38">
        <f t="shared" si="56"/>
        <v>0</v>
      </c>
      <c r="BE67" s="9" t="e">
        <f t="shared" si="57"/>
        <v>#N/A</v>
      </c>
      <c r="BF67" s="9" t="e">
        <f t="shared" si="58"/>
        <v>#N/A</v>
      </c>
      <c r="BG67" s="75" t="e">
        <f t="shared" si="59"/>
        <v>#N/A</v>
      </c>
    </row>
    <row r="68" spans="1:66">
      <c r="A68" s="12" t="s">
        <v>1620</v>
      </c>
      <c r="B68" s="54" t="str">
        <f t="shared" si="37"/>
        <v>AZ_Maric_2020g</v>
      </c>
      <c r="C68" s="12"/>
      <c r="D68" s="54" t="str">
        <f t="shared" si="38"/>
        <v>Gen-buckeye uhsd #201-gbm-4yr (vote for3)</v>
      </c>
      <c r="E68" s="54" t="s">
        <v>1928</v>
      </c>
      <c r="F68" s="12" t="s">
        <v>1300</v>
      </c>
      <c r="G68" s="59">
        <v>141</v>
      </c>
      <c r="H68"/>
      <c r="K68" s="2"/>
      <c r="O68">
        <f t="shared" si="39"/>
        <v>-5</v>
      </c>
      <c r="P68" s="57">
        <f t="shared" si="40"/>
        <v>3</v>
      </c>
      <c r="Q68" s="267">
        <f t="shared" si="41"/>
        <v>274</v>
      </c>
      <c r="R68" s="23" t="str">
        <f t="shared" si="42"/>
        <v/>
      </c>
      <c r="S68" s="23">
        <f t="shared" si="43"/>
        <v>133</v>
      </c>
      <c r="T68" s="23" t="str">
        <f t="shared" si="44"/>
        <v/>
      </c>
      <c r="U68" t="str">
        <f t="shared" si="45"/>
        <v/>
      </c>
      <c r="W68" s="1">
        <f t="shared" si="46"/>
        <v>67</v>
      </c>
      <c r="X68" s="73">
        <f t="shared" si="60"/>
        <v>122.91124731841863</v>
      </c>
      <c r="Y68" s="322">
        <f t="shared" si="47"/>
        <v>8926.8060000000005</v>
      </c>
      <c r="Z68" s="43">
        <f t="shared" si="36"/>
        <v>4.1076328907370717E-27</v>
      </c>
      <c r="AA68" s="52">
        <f t="shared" si="48"/>
        <v>4.1076328907370716E-29</v>
      </c>
      <c r="AB68" s="8">
        <f t="shared" si="49"/>
        <v>20895.63</v>
      </c>
      <c r="AC68" s="8">
        <f t="shared" si="50"/>
        <v>2089563</v>
      </c>
      <c r="AD68" s="8">
        <f t="shared" si="61"/>
        <v>10447.815000000001</v>
      </c>
      <c r="AE68" s="8" t="str">
        <f t="shared" si="51"/>
        <v/>
      </c>
      <c r="AF68" s="22" t="str">
        <f t="shared" si="52"/>
        <v>AZ_Maric_2020g</v>
      </c>
      <c r="AG68">
        <v>1</v>
      </c>
      <c r="AH68" s="272">
        <v>129374</v>
      </c>
      <c r="AI68" s="273">
        <v>67889</v>
      </c>
      <c r="AJ68" s="274">
        <v>61363</v>
      </c>
      <c r="AK68" s="339">
        <v>6526</v>
      </c>
      <c r="AL68" s="340" t="s">
        <v>1552</v>
      </c>
      <c r="AM68" s="353">
        <f t="shared" si="53"/>
        <v>3.1231410586806908E-3</v>
      </c>
      <c r="AN68" s="354"/>
      <c r="AP68" s="23">
        <f t="shared" si="62"/>
        <v>0</v>
      </c>
      <c r="AQ68" s="392">
        <f t="shared" si="63"/>
        <v>0</v>
      </c>
      <c r="AR68" s="392">
        <f t="shared" si="63"/>
        <v>0</v>
      </c>
      <c r="AS68" s="392">
        <f t="shared" si="63"/>
        <v>0</v>
      </c>
      <c r="AU68" s="9" t="s">
        <v>5960</v>
      </c>
      <c r="AV68" s="9">
        <v>3008</v>
      </c>
      <c r="AW68" s="90">
        <v>1.0066489361702127</v>
      </c>
      <c r="AX68" s="38">
        <v>3028</v>
      </c>
      <c r="AY68" s="38">
        <f t="shared" si="64"/>
        <v>4.5397301349325341</v>
      </c>
      <c r="AZ68" s="50">
        <v>1.2219286657859974E-2</v>
      </c>
      <c r="BA68" s="49">
        <f t="shared" si="54"/>
        <v>37</v>
      </c>
      <c r="BB68" s="9" t="s">
        <v>5319</v>
      </c>
      <c r="BC68" s="9">
        <f t="shared" si="55"/>
        <v>17</v>
      </c>
      <c r="BD68" s="38">
        <f t="shared" si="56"/>
        <v>0</v>
      </c>
      <c r="BE68" s="9" t="e">
        <f t="shared" si="57"/>
        <v>#N/A</v>
      </c>
      <c r="BF68" s="9" t="e">
        <f t="shared" si="58"/>
        <v>#N/A</v>
      </c>
      <c r="BG68" s="75" t="e">
        <f t="shared" si="59"/>
        <v>#N/A</v>
      </c>
    </row>
    <row r="69" spans="1:66">
      <c r="A69" s="12" t="s">
        <v>1620</v>
      </c>
      <c r="B69" s="54" t="str">
        <f t="shared" si="37"/>
        <v>AZ_Maric_2020g</v>
      </c>
      <c r="C69" s="12"/>
      <c r="D69" s="54" t="str">
        <f t="shared" si="38"/>
        <v>Gen-buckeye uhsd #201-gbm-4yr (vote for3)</v>
      </c>
      <c r="E69" s="54" t="s">
        <v>1999</v>
      </c>
      <c r="F69" s="12" t="s">
        <v>1300</v>
      </c>
      <c r="G69" s="59">
        <v>133</v>
      </c>
      <c r="H69"/>
      <c r="K69" s="2"/>
      <c r="O69">
        <f t="shared" si="39"/>
        <v>6</v>
      </c>
      <c r="P69" s="57">
        <f t="shared" si="40"/>
        <v>3</v>
      </c>
      <c r="Q69" s="267">
        <f t="shared" si="41"/>
        <v>133</v>
      </c>
      <c r="R69" s="23" t="str">
        <f t="shared" si="42"/>
        <v/>
      </c>
      <c r="S69" s="23">
        <f t="shared" si="43"/>
        <v>133</v>
      </c>
      <c r="T69" s="23" t="str">
        <f t="shared" si="44"/>
        <v/>
      </c>
      <c r="U69" t="str">
        <f t="shared" si="45"/>
        <v/>
      </c>
      <c r="W69" s="1">
        <f t="shared" si="46"/>
        <v>68</v>
      </c>
      <c r="X69" s="73">
        <f t="shared" si="60"/>
        <v>73.895843247025894</v>
      </c>
      <c r="Y69" s="322">
        <f t="shared" si="47"/>
        <v>5875.9710000000005</v>
      </c>
      <c r="Z69" s="43">
        <f t="shared" si="36"/>
        <v>8.2506056642954637E-30</v>
      </c>
      <c r="AA69" s="52">
        <f t="shared" si="48"/>
        <v>8.2506056642954644E-32</v>
      </c>
      <c r="AB69" s="8">
        <f t="shared" si="49"/>
        <v>20895.63</v>
      </c>
      <c r="AC69" s="8">
        <f t="shared" si="50"/>
        <v>2089563</v>
      </c>
      <c r="AD69" s="8">
        <f t="shared" si="61"/>
        <v>10447.815000000001</v>
      </c>
      <c r="AE69" s="8" t="str">
        <f t="shared" si="51"/>
        <v/>
      </c>
      <c r="AF69" s="22" t="str">
        <f t="shared" si="52"/>
        <v>AZ_Maric_2020g</v>
      </c>
      <c r="AG69">
        <v>1</v>
      </c>
      <c r="AH69" s="272">
        <v>85159</v>
      </c>
      <c r="AI69" s="273">
        <v>46152</v>
      </c>
      <c r="AJ69" s="274">
        <v>39007</v>
      </c>
      <c r="AK69" s="339">
        <v>7145</v>
      </c>
      <c r="AL69" s="340" t="s">
        <v>1682</v>
      </c>
      <c r="AM69" s="353">
        <f t="shared" si="53"/>
        <v>3.4193752473603333E-3</v>
      </c>
      <c r="AN69" s="354"/>
      <c r="AP69" s="23">
        <f t="shared" si="62"/>
        <v>0</v>
      </c>
      <c r="AQ69" s="392">
        <f t="shared" si="63"/>
        <v>0</v>
      </c>
      <c r="AR69" s="392">
        <f t="shared" si="63"/>
        <v>0</v>
      </c>
      <c r="AS69" s="392">
        <f t="shared" si="63"/>
        <v>0</v>
      </c>
      <c r="AU69" s="9" t="s">
        <v>5641</v>
      </c>
      <c r="AV69" s="9">
        <v>166974</v>
      </c>
      <c r="AW69" s="90">
        <v>1.0126127421035611</v>
      </c>
      <c r="AX69" s="38">
        <v>169080</v>
      </c>
      <c r="AY69" s="38">
        <f t="shared" si="64"/>
        <v>668.300395256917</v>
      </c>
      <c r="AZ69" s="50">
        <v>8.9306837000236578E-4</v>
      </c>
      <c r="BA69" s="49">
        <f t="shared" si="54"/>
        <v>151</v>
      </c>
      <c r="BB69" s="9" t="s">
        <v>5319</v>
      </c>
      <c r="BC69" s="9">
        <f t="shared" si="55"/>
        <v>34</v>
      </c>
      <c r="BD69" s="38">
        <f t="shared" si="56"/>
        <v>3294.1181343777343</v>
      </c>
      <c r="BE69" s="9">
        <f t="shared" si="57"/>
        <v>291</v>
      </c>
      <c r="BF69" s="9">
        <f t="shared" si="58"/>
        <v>-257</v>
      </c>
      <c r="BG69" s="75">
        <f t="shared" si="59"/>
        <v>8.5588235294117645</v>
      </c>
    </row>
    <row r="70" spans="1:66">
      <c r="A70" s="12" t="s">
        <v>1620</v>
      </c>
      <c r="B70" s="54" t="str">
        <f t="shared" si="37"/>
        <v>AZ_Maric_2020g</v>
      </c>
      <c r="C70" s="12"/>
      <c r="D70" s="54" t="str">
        <f t="shared" si="38"/>
        <v>Gen-buckeye uhsd #201-gbm-4yr (vote for3)</v>
      </c>
      <c r="E70" s="54" t="s">
        <v>1994</v>
      </c>
      <c r="G70" s="59">
        <v>0</v>
      </c>
      <c r="H70"/>
      <c r="K70" s="2"/>
      <c r="O70">
        <f t="shared" si="39"/>
        <v>7</v>
      </c>
      <c r="P70" s="57">
        <f t="shared" si="40"/>
        <v>3</v>
      </c>
      <c r="Q70" s="267">
        <f t="shared" si="41"/>
        <v>0</v>
      </c>
      <c r="R70" s="23" t="str">
        <f t="shared" si="42"/>
        <v/>
      </c>
      <c r="S70" s="23">
        <f t="shared" si="43"/>
        <v>0</v>
      </c>
      <c r="T70" s="23" t="str">
        <f t="shared" si="44"/>
        <v/>
      </c>
      <c r="U70" t="str">
        <f t="shared" si="45"/>
        <v/>
      </c>
      <c r="W70" s="1">
        <f t="shared" si="46"/>
        <v>69</v>
      </c>
      <c r="X70" s="73">
        <f t="shared" si="60"/>
        <v>55.107144726511386</v>
      </c>
      <c r="Y70" s="322">
        <f t="shared" si="47"/>
        <v>4686.7560000000003</v>
      </c>
      <c r="Z70" s="43">
        <f t="shared" si="36"/>
        <v>5.6283086603550785E-32</v>
      </c>
      <c r="AA70" s="52">
        <f t="shared" si="48"/>
        <v>5.6283086603550782E-34</v>
      </c>
      <c r="AB70" s="8">
        <f t="shared" si="49"/>
        <v>20895.63</v>
      </c>
      <c r="AC70" s="8">
        <f t="shared" si="50"/>
        <v>2089563</v>
      </c>
      <c r="AD70" s="8">
        <f t="shared" si="61"/>
        <v>10447.815000000001</v>
      </c>
      <c r="AE70" s="8" t="str">
        <f t="shared" si="51"/>
        <v/>
      </c>
      <c r="AF70" s="22" t="str">
        <f t="shared" si="52"/>
        <v>AZ_Maric_2020g</v>
      </c>
      <c r="AG70">
        <v>1</v>
      </c>
      <c r="AH70" s="272">
        <v>67924</v>
      </c>
      <c r="AI70" s="273">
        <v>31600</v>
      </c>
      <c r="AJ70" s="274">
        <v>23958</v>
      </c>
      <c r="AK70" s="339">
        <v>7642</v>
      </c>
      <c r="AL70" s="340" t="s">
        <v>1692</v>
      </c>
      <c r="AM70" s="353">
        <f t="shared" si="53"/>
        <v>3.6572240224391414E-3</v>
      </c>
      <c r="AN70" s="354"/>
      <c r="AO70" s="356"/>
      <c r="AP70" s="23">
        <f t="shared" si="62"/>
        <v>0</v>
      </c>
      <c r="AQ70" s="392">
        <f t="shared" si="63"/>
        <v>0</v>
      </c>
      <c r="AR70" s="392">
        <f t="shared" si="63"/>
        <v>0</v>
      </c>
      <c r="AS70" s="392">
        <f t="shared" si="63"/>
        <v>0</v>
      </c>
      <c r="AU70" s="9" t="s">
        <v>5912</v>
      </c>
      <c r="AV70" s="9">
        <v>4981</v>
      </c>
      <c r="AW70" s="90">
        <v>1.0096366191527808</v>
      </c>
      <c r="AX70" s="38">
        <v>5029.0000000000009</v>
      </c>
      <c r="AY70" s="38">
        <f t="shared" si="64"/>
        <v>5.4841875681570347</v>
      </c>
      <c r="AZ70" s="50">
        <v>1.4714655000994231E-2</v>
      </c>
      <c r="BA70" s="49">
        <f t="shared" si="54"/>
        <v>74</v>
      </c>
      <c r="BB70" s="9" t="s">
        <v>5319</v>
      </c>
      <c r="BC70" s="9">
        <f t="shared" si="55"/>
        <v>34</v>
      </c>
      <c r="BD70" s="38">
        <f t="shared" si="56"/>
        <v>0</v>
      </c>
      <c r="BE70" s="9" t="e">
        <f t="shared" si="57"/>
        <v>#N/A</v>
      </c>
      <c r="BF70" s="9" t="e">
        <f t="shared" si="58"/>
        <v>#N/A</v>
      </c>
      <c r="BG70" s="75" t="e">
        <f t="shared" si="59"/>
        <v>#N/A</v>
      </c>
    </row>
    <row r="71" spans="1:66">
      <c r="A71" s="12" t="s">
        <v>1621</v>
      </c>
      <c r="B71" s="54" t="str">
        <f t="shared" si="37"/>
        <v>AZ_Maric_2020g</v>
      </c>
      <c r="C71" s="12"/>
      <c r="D71" s="54" t="str">
        <f t="shared" si="38"/>
        <v>Gen-buckeye uhsd #201-question (vote for1)</v>
      </c>
      <c r="E71" s="54" t="s">
        <v>2002</v>
      </c>
      <c r="F71" s="12" t="s">
        <v>1300</v>
      </c>
      <c r="G71" s="59">
        <v>21391</v>
      </c>
      <c r="H71"/>
      <c r="K71" s="2"/>
      <c r="O71">
        <f t="shared" si="39"/>
        <v>1</v>
      </c>
      <c r="P71" s="57">
        <f t="shared" si="40"/>
        <v>1</v>
      </c>
      <c r="Q71" s="267">
        <f t="shared" si="41"/>
        <v>35129</v>
      </c>
      <c r="R71" s="23">
        <f t="shared" si="42"/>
        <v>21391</v>
      </c>
      <c r="S71" s="23">
        <f t="shared" si="43"/>
        <v>13738</v>
      </c>
      <c r="T71" s="23">
        <f t="shared" si="44"/>
        <v>7653</v>
      </c>
      <c r="U71" t="str">
        <f t="shared" si="45"/>
        <v>AZ_Maric_2020g~Gen-buckeye uhsd #201-question (vote for1)</v>
      </c>
      <c r="W71" s="1">
        <f t="shared" si="46"/>
        <v>70</v>
      </c>
      <c r="X71" s="73">
        <f t="shared" si="60"/>
        <v>28.459401541879</v>
      </c>
      <c r="Y71" s="322">
        <f t="shared" si="47"/>
        <v>2423.9010000000003</v>
      </c>
      <c r="Z71" s="43">
        <f t="shared" si="36"/>
        <v>5.0399941353457191E-32</v>
      </c>
      <c r="AA71" s="52">
        <f t="shared" si="48"/>
        <v>5.0399941353457196E-34</v>
      </c>
      <c r="AB71" s="8">
        <f t="shared" si="49"/>
        <v>20895.63</v>
      </c>
      <c r="AC71" s="8">
        <f t="shared" si="50"/>
        <v>2089563</v>
      </c>
      <c r="AD71" s="8">
        <f t="shared" si="61"/>
        <v>10447.815000000001</v>
      </c>
      <c r="AE71" s="8" t="str">
        <f t="shared" si="51"/>
        <v/>
      </c>
      <c r="AF71" s="22" t="str">
        <f t="shared" si="52"/>
        <v>AZ_Maric_2020g</v>
      </c>
      <c r="AG71">
        <v>1</v>
      </c>
      <c r="AH71" s="272">
        <v>35129</v>
      </c>
      <c r="AI71" s="273">
        <v>21391</v>
      </c>
      <c r="AJ71" s="274">
        <v>13738</v>
      </c>
      <c r="AK71" s="339">
        <v>7653</v>
      </c>
      <c r="AL71" s="340" t="s">
        <v>1621</v>
      </c>
      <c r="AM71" s="353">
        <f t="shared" si="53"/>
        <v>3.6624882810424955E-3</v>
      </c>
      <c r="AN71" s="354"/>
      <c r="AP71" s="23">
        <f t="shared" si="62"/>
        <v>0</v>
      </c>
      <c r="AQ71" s="392">
        <f t="shared" si="63"/>
        <v>0</v>
      </c>
      <c r="AR71" s="392">
        <f t="shared" si="63"/>
        <v>0</v>
      </c>
      <c r="AS71" s="392">
        <f t="shared" si="63"/>
        <v>0</v>
      </c>
      <c r="AU71" s="9" t="s">
        <v>6965</v>
      </c>
      <c r="AV71" s="20">
        <v>180000</v>
      </c>
      <c r="AW71" s="319">
        <v>1</v>
      </c>
      <c r="AX71" s="38">
        <f>AV71*AW71</f>
        <v>180000</v>
      </c>
      <c r="AY71" s="38">
        <f t="shared" si="64"/>
        <v>256.04551920341396</v>
      </c>
      <c r="AZ71" s="320">
        <v>0.03</v>
      </c>
      <c r="BA71" s="49">
        <f t="shared" si="54"/>
        <v>5400</v>
      </c>
      <c r="BC71" s="9">
        <f t="shared" si="55"/>
        <v>49</v>
      </c>
      <c r="BD71" s="38">
        <f t="shared" si="56"/>
        <v>7284.2874118114469</v>
      </c>
      <c r="BE71" s="9">
        <f t="shared" si="57"/>
        <v>1132.8115384615385</v>
      </c>
      <c r="BF71" s="9">
        <f t="shared" si="58"/>
        <v>-1083.8115384615385</v>
      </c>
      <c r="BG71" s="75">
        <f t="shared" si="59"/>
        <v>23.118602825745683</v>
      </c>
      <c r="BH71" s="289">
        <f>SUMIFS($X:$X,$AF:$AF,$AU71,$AO:$AO,LEFT(BH$1,2))</f>
        <v>2041.7321799898782</v>
      </c>
      <c r="BI71" s="289">
        <f>SUMIFS($X:$X,$AF:$AF,$AU71,$AO:$AO,LEFT(BI$1,2))</f>
        <v>2208.5551164213434</v>
      </c>
      <c r="BJ71" s="289">
        <f>SUMIFS($Y:$Y,$AF:$AF,$AU71,$AO:$AO,LEFT(BJ$1,2))</f>
        <v>12564.224706974199</v>
      </c>
      <c r="BK71" s="289">
        <f>SUMIFS($Y:$Y,$AF:$AF,$AU71,$AO:$AO,LEFT(BK$1,2))</f>
        <v>5893.641592592593</v>
      </c>
      <c r="BL71" s="289">
        <f>SUMIFS($AH:$AH,$AF:$AF,$AU71,$AO:$AO,LEFT(BL$1,2))+6597</f>
        <v>179110</v>
      </c>
    </row>
    <row r="72" spans="1:66">
      <c r="A72" s="12" t="s">
        <v>1621</v>
      </c>
      <c r="B72" s="54" t="str">
        <f t="shared" si="37"/>
        <v>AZ_Maric_2020g</v>
      </c>
      <c r="C72" s="12"/>
      <c r="D72" s="54" t="str">
        <f t="shared" si="38"/>
        <v>Gen-buckeye uhsd #201-question (vote for1)</v>
      </c>
      <c r="E72" s="54" t="s">
        <v>2001</v>
      </c>
      <c r="F72" s="12" t="s">
        <v>1300</v>
      </c>
      <c r="G72" s="59">
        <v>13738</v>
      </c>
      <c r="H72"/>
      <c r="K72" s="2"/>
      <c r="O72">
        <f t="shared" si="39"/>
        <v>2</v>
      </c>
      <c r="P72" s="57">
        <f t="shared" si="40"/>
        <v>1</v>
      </c>
      <c r="Q72" s="267">
        <f t="shared" si="41"/>
        <v>13738</v>
      </c>
      <c r="R72" s="23" t="str">
        <f t="shared" si="42"/>
        <v/>
      </c>
      <c r="S72" s="23">
        <f t="shared" si="43"/>
        <v>13738</v>
      </c>
      <c r="T72" s="23" t="str">
        <f t="shared" si="44"/>
        <v/>
      </c>
      <c r="U72" t="str">
        <f t="shared" si="45"/>
        <v/>
      </c>
      <c r="W72" s="1">
        <f t="shared" si="46"/>
        <v>71</v>
      </c>
      <c r="X72" s="73">
        <f t="shared" si="60"/>
        <v>15.001437556154539</v>
      </c>
      <c r="Y72" s="322">
        <f t="shared" si="47"/>
        <v>1300.7190000000001</v>
      </c>
      <c r="Z72" s="43">
        <f t="shared" si="36"/>
        <v>1.2614807110749917E-32</v>
      </c>
      <c r="AA72" s="52">
        <f t="shared" si="48"/>
        <v>1.2614807110749916E-34</v>
      </c>
      <c r="AB72" s="8">
        <f t="shared" si="49"/>
        <v>20895.63</v>
      </c>
      <c r="AC72" s="8">
        <f t="shared" si="50"/>
        <v>2089563</v>
      </c>
      <c r="AD72" s="8">
        <f t="shared" si="61"/>
        <v>10447.815000000001</v>
      </c>
      <c r="AE72" s="8" t="str">
        <f t="shared" si="51"/>
        <v/>
      </c>
      <c r="AF72" s="22" t="str">
        <f t="shared" si="52"/>
        <v>AZ_Maric_2020g</v>
      </c>
      <c r="AG72" s="302">
        <v>1</v>
      </c>
      <c r="AH72" s="301">
        <v>18851</v>
      </c>
      <c r="AI72" s="303">
        <v>13321</v>
      </c>
      <c r="AJ72" s="303">
        <v>5530</v>
      </c>
      <c r="AK72" s="342">
        <v>7791</v>
      </c>
      <c r="AL72" s="343" t="s">
        <v>1657</v>
      </c>
      <c r="AM72" s="353">
        <f t="shared" si="53"/>
        <v>3.7285307980663897E-3</v>
      </c>
      <c r="AN72" s="354"/>
      <c r="AP72" s="23">
        <f t="shared" si="62"/>
        <v>0</v>
      </c>
      <c r="AQ72" s="392">
        <f t="shared" si="63"/>
        <v>0</v>
      </c>
      <c r="AR72" s="392">
        <f t="shared" si="63"/>
        <v>0</v>
      </c>
      <c r="AS72" s="392">
        <f t="shared" si="63"/>
        <v>0</v>
      </c>
      <c r="AU72" s="9" t="s">
        <v>1528</v>
      </c>
      <c r="AV72" s="38">
        <v>269828</v>
      </c>
      <c r="AW72" s="9">
        <v>1</v>
      </c>
      <c r="AX72" s="49">
        <f>AW72*AV72</f>
        <v>269828</v>
      </c>
      <c r="AY72" s="38">
        <f t="shared" si="64"/>
        <v>651.75845410628017</v>
      </c>
      <c r="AZ72" s="50">
        <v>0.02</v>
      </c>
      <c r="BA72" s="49">
        <f>AZ72*AX72</f>
        <v>5396.56</v>
      </c>
      <c r="BB72" s="9" t="s">
        <v>4783</v>
      </c>
      <c r="BC72" s="9">
        <f t="shared" si="55"/>
        <v>141</v>
      </c>
      <c r="BD72" s="38">
        <f t="shared" si="56"/>
        <v>25595.493786789979</v>
      </c>
      <c r="BE72" s="9">
        <f t="shared" si="57"/>
        <v>18618.132000000001</v>
      </c>
      <c r="BF72" s="9">
        <f>BC72-BE72</f>
        <v>-18477.132000000001</v>
      </c>
      <c r="BG72" s="75">
        <f>BE72/BC72</f>
        <v>132.04348936170214</v>
      </c>
      <c r="BH72" s="289">
        <f>SUMIFS($X:$X,$AF:$AF,$AU72,$AO:$AO,LEFT(BH$1,2))</f>
        <v>14782.198564715025</v>
      </c>
      <c r="BI72" s="289">
        <f>SUMIFS($X:$X,$AF:$AF,$AU72,$AO:$AO,LEFT(BI$1,2))</f>
        <v>9336.8718238929196</v>
      </c>
      <c r="BJ72" s="289">
        <f>SUMIFS($Y:$Y,$AF:$AF,$AU72,$AO:$AO,LEFT(BJ$1,2))</f>
        <v>22540.506522487765</v>
      </c>
      <c r="BK72" s="289">
        <f>SUMIFS($Y:$Y,$AF:$AF,$AU72,$AO:$AO,LEFT(BK$1,2))</f>
        <v>14095.404347504307</v>
      </c>
      <c r="BL72" s="289"/>
    </row>
    <row r="73" spans="1:66">
      <c r="A73" s="12" t="s">
        <v>1667</v>
      </c>
      <c r="B73" s="54" t="str">
        <f t="shared" si="37"/>
        <v>AZ_Maric_2020g</v>
      </c>
      <c r="C73" s="12"/>
      <c r="D73" s="54" t="str">
        <f t="shared" si="38"/>
        <v>Gen-cartwright esd #83-question (vote for1)</v>
      </c>
      <c r="E73" s="54" t="s">
        <v>2001</v>
      </c>
      <c r="F73" s="12" t="s">
        <v>1300</v>
      </c>
      <c r="G73" s="59">
        <v>13082</v>
      </c>
      <c r="H73"/>
      <c r="K73" s="2"/>
      <c r="O73">
        <f t="shared" si="39"/>
        <v>1</v>
      </c>
      <c r="P73" s="57">
        <f t="shared" si="40"/>
        <v>1</v>
      </c>
      <c r="Q73" s="267">
        <f t="shared" si="41"/>
        <v>22682</v>
      </c>
      <c r="R73" s="23">
        <f t="shared" si="42"/>
        <v>13082</v>
      </c>
      <c r="S73" s="23">
        <f t="shared" si="43"/>
        <v>9600</v>
      </c>
      <c r="T73" s="23">
        <f t="shared" si="44"/>
        <v>3482</v>
      </c>
      <c r="U73" t="str">
        <f t="shared" si="45"/>
        <v>AZ_Maric_2020g~Gen-cartwright esd #83-question (vote for1)</v>
      </c>
      <c r="W73" s="1">
        <f t="shared" si="46"/>
        <v>72</v>
      </c>
      <c r="X73" s="73">
        <f t="shared" si="60"/>
        <v>65.201226072813711</v>
      </c>
      <c r="Y73" s="322">
        <f t="shared" si="47"/>
        <v>5799.9330000000009</v>
      </c>
      <c r="Z73" s="43">
        <f t="shared" si="36"/>
        <v>1.6606566494198178E-33</v>
      </c>
      <c r="AA73" s="52">
        <f t="shared" si="48"/>
        <v>1.6606566494198177E-35</v>
      </c>
      <c r="AB73" s="8">
        <f t="shared" si="49"/>
        <v>20895.63</v>
      </c>
      <c r="AC73" s="8">
        <f t="shared" si="50"/>
        <v>2089563</v>
      </c>
      <c r="AD73" s="8">
        <f t="shared" si="61"/>
        <v>10447.815000000001</v>
      </c>
      <c r="AE73" s="8" t="str">
        <f t="shared" si="51"/>
        <v/>
      </c>
      <c r="AF73" s="22" t="str">
        <f t="shared" si="52"/>
        <v>AZ_Maric_2020g</v>
      </c>
      <c r="AG73">
        <v>1</v>
      </c>
      <c r="AH73" s="272">
        <v>84057</v>
      </c>
      <c r="AI73" s="273">
        <v>46025</v>
      </c>
      <c r="AJ73" s="274">
        <v>38032</v>
      </c>
      <c r="AK73" s="339">
        <v>7993</v>
      </c>
      <c r="AL73" s="340" t="s">
        <v>1669</v>
      </c>
      <c r="AM73" s="353">
        <f t="shared" si="53"/>
        <v>3.8252017287825255E-3</v>
      </c>
      <c r="AN73" s="354"/>
      <c r="AP73" s="23">
        <f t="shared" si="62"/>
        <v>0</v>
      </c>
      <c r="AQ73" s="392">
        <f t="shared" si="63"/>
        <v>0</v>
      </c>
      <c r="AR73" s="392">
        <f t="shared" si="63"/>
        <v>0</v>
      </c>
      <c r="AS73" s="392">
        <f t="shared" si="63"/>
        <v>0</v>
      </c>
      <c r="AU73" s="9" t="s">
        <v>1291</v>
      </c>
      <c r="AV73" s="38">
        <v>157264</v>
      </c>
      <c r="AW73" s="9">
        <v>1</v>
      </c>
      <c r="AX73" s="49">
        <f>AW73*AV73</f>
        <v>157264</v>
      </c>
      <c r="AY73" s="38">
        <f t="shared" si="64"/>
        <v>250.4203821656051</v>
      </c>
      <c r="AZ73" s="50">
        <v>0.02</v>
      </c>
      <c r="BA73" s="49">
        <f>AZ73*AX73</f>
        <v>3145.28</v>
      </c>
      <c r="BB73" s="9"/>
      <c r="BC73" s="9">
        <f t="shared" si="55"/>
        <v>139</v>
      </c>
      <c r="BD73" s="38">
        <f t="shared" si="56"/>
        <v>17146.949245913638</v>
      </c>
      <c r="BE73" s="9">
        <f t="shared" si="57"/>
        <v>778.33333333333337</v>
      </c>
      <c r="BF73" s="9">
        <f>BC73-BE73</f>
        <v>-639.33333333333337</v>
      </c>
      <c r="BG73" s="75">
        <f>BE73/BC73</f>
        <v>5.5995203836930463</v>
      </c>
    </row>
    <row r="74" spans="1:66">
      <c r="A74" s="12" t="s">
        <v>1667</v>
      </c>
      <c r="B74" s="54" t="str">
        <f t="shared" si="37"/>
        <v>AZ_Maric_2020g</v>
      </c>
      <c r="C74" s="12"/>
      <c r="D74" s="54" t="str">
        <f t="shared" si="38"/>
        <v>Gen-cartwright esd #83-question (vote for1)</v>
      </c>
      <c r="E74" s="54" t="s">
        <v>2002</v>
      </c>
      <c r="F74" s="12" t="s">
        <v>1300</v>
      </c>
      <c r="G74" s="59">
        <v>9600</v>
      </c>
      <c r="H74"/>
      <c r="K74" s="2"/>
      <c r="O74">
        <f t="shared" si="39"/>
        <v>2</v>
      </c>
      <c r="P74" s="57">
        <f t="shared" si="40"/>
        <v>1</v>
      </c>
      <c r="Q74" s="267">
        <f t="shared" si="41"/>
        <v>9600</v>
      </c>
      <c r="R74" s="23" t="str">
        <f t="shared" si="42"/>
        <v/>
      </c>
      <c r="S74" s="23">
        <f t="shared" si="43"/>
        <v>9600</v>
      </c>
      <c r="T74" s="23" t="str">
        <f t="shared" si="44"/>
        <v/>
      </c>
      <c r="U74" t="str">
        <f t="shared" si="45"/>
        <v/>
      </c>
      <c r="W74" s="1">
        <f t="shared" si="46"/>
        <v>73</v>
      </c>
      <c r="X74" s="73">
        <f t="shared" si="60"/>
        <v>55.370025295109613</v>
      </c>
      <c r="Y74" s="322">
        <f t="shared" si="47"/>
        <v>5846.6460000000006</v>
      </c>
      <c r="Z74" s="43">
        <f t="shared" si="36"/>
        <v>5.0153870138656666E-40</v>
      </c>
      <c r="AA74" s="52">
        <f t="shared" si="48"/>
        <v>5.0153870138656668E-42</v>
      </c>
      <c r="AB74" s="8">
        <f t="shared" si="49"/>
        <v>20895.63</v>
      </c>
      <c r="AC74" s="8">
        <f t="shared" si="50"/>
        <v>2089563</v>
      </c>
      <c r="AD74" s="8">
        <f t="shared" si="61"/>
        <v>10447.815000000001</v>
      </c>
      <c r="AE74" s="8" t="str">
        <f t="shared" si="51"/>
        <v/>
      </c>
      <c r="AF74" s="22" t="str">
        <f t="shared" si="52"/>
        <v>AZ_Maric_2020g</v>
      </c>
      <c r="AG74">
        <v>1</v>
      </c>
      <c r="AH74" s="272">
        <v>84734</v>
      </c>
      <c r="AI74" s="273">
        <v>47111</v>
      </c>
      <c r="AJ74" s="274">
        <v>37623</v>
      </c>
      <c r="AK74" s="339">
        <v>9488</v>
      </c>
      <c r="AL74" s="340" t="s">
        <v>1687</v>
      </c>
      <c r="AM74" s="353">
        <f t="shared" si="53"/>
        <v>4.5406623298747152E-3</v>
      </c>
      <c r="AN74" s="354"/>
      <c r="AP74" s="23">
        <f t="shared" si="62"/>
        <v>0</v>
      </c>
      <c r="AQ74" s="392">
        <f t="shared" si="63"/>
        <v>0</v>
      </c>
      <c r="AR74" s="392">
        <f t="shared" si="63"/>
        <v>0</v>
      </c>
      <c r="AS74" s="392">
        <f t="shared" si="63"/>
        <v>0</v>
      </c>
      <c r="AU74" s="9" t="s">
        <v>1395</v>
      </c>
      <c r="AV74" s="38">
        <v>724800</v>
      </c>
      <c r="AW74" s="9">
        <v>1</v>
      </c>
      <c r="AX74" s="49">
        <f>AW74*AV74</f>
        <v>724800</v>
      </c>
      <c r="AY74" s="38">
        <f t="shared" si="64"/>
        <v>1198.0165289256199</v>
      </c>
      <c r="AZ74" s="50">
        <v>0.02</v>
      </c>
      <c r="BA74" s="49">
        <f>AZ74*AX74</f>
        <v>14496</v>
      </c>
      <c r="BB74" s="9"/>
      <c r="BC74" s="9">
        <f t="shared" si="55"/>
        <v>24</v>
      </c>
      <c r="BD74" s="38">
        <f t="shared" si="56"/>
        <v>1383.7701394342114</v>
      </c>
      <c r="BE74" s="9">
        <f t="shared" si="57"/>
        <v>115.92000000000002</v>
      </c>
      <c r="BF74" s="9">
        <f>BC74-BE74</f>
        <v>-91.920000000000016</v>
      </c>
      <c r="BG74" s="75">
        <f>BE74/BC74</f>
        <v>4.830000000000001</v>
      </c>
      <c r="BM74" s="289">
        <f>SUMIFS($X:$X,$AF:$AF,$AU74,$AO:$AO,LEFT(BM$1,2))</f>
        <v>692.79391343936936</v>
      </c>
      <c r="BN74" s="289">
        <f>SUMIFS($X:$X,$AF:$AF,$AU74,$AO:$AO,LEFT(BN$1,2))</f>
        <v>466.18816792285941</v>
      </c>
    </row>
    <row r="75" spans="1:66">
      <c r="A75" s="12" t="s">
        <v>1671</v>
      </c>
      <c r="B75" s="54" t="str">
        <f t="shared" si="37"/>
        <v>AZ_Maric_2020g</v>
      </c>
      <c r="C75" s="12"/>
      <c r="D75" s="54" t="str">
        <f t="shared" si="38"/>
        <v>Gen-cave creek usd #93-gbm-4yr (vote for3)</v>
      </c>
      <c r="E75" s="54" t="s">
        <v>2137</v>
      </c>
      <c r="F75" s="12" t="s">
        <v>1300</v>
      </c>
      <c r="G75" s="59">
        <v>15173</v>
      </c>
      <c r="H75"/>
      <c r="K75" s="2"/>
      <c r="O75">
        <f t="shared" si="39"/>
        <v>1</v>
      </c>
      <c r="P75" s="57">
        <f t="shared" si="40"/>
        <v>3</v>
      </c>
      <c r="Q75" s="267">
        <f t="shared" si="41"/>
        <v>26581</v>
      </c>
      <c r="R75" s="23">
        <f t="shared" si="42"/>
        <v>14349</v>
      </c>
      <c r="S75" s="23">
        <f t="shared" si="43"/>
        <v>13514</v>
      </c>
      <c r="T75" s="23">
        <f t="shared" si="44"/>
        <v>835</v>
      </c>
      <c r="U75" t="str">
        <f t="shared" si="45"/>
        <v>AZ_Maric_2020g~Gen-cave creek usd #93-gbm-4yr (vote for3)</v>
      </c>
      <c r="W75" s="1">
        <f t="shared" si="46"/>
        <v>74</v>
      </c>
      <c r="X75" s="73">
        <f t="shared" si="60"/>
        <v>73.52322573861845</v>
      </c>
      <c r="Y75" s="322">
        <f t="shared" si="47"/>
        <v>7782.3030000000008</v>
      </c>
      <c r="Z75" s="43">
        <f t="shared" si="36"/>
        <v>3.9807100037180353E-40</v>
      </c>
      <c r="AA75" s="52">
        <f t="shared" si="48"/>
        <v>3.9807100037180353E-42</v>
      </c>
      <c r="AB75" s="8">
        <f t="shared" si="49"/>
        <v>20895.63</v>
      </c>
      <c r="AC75" s="8">
        <f t="shared" si="50"/>
        <v>2089563</v>
      </c>
      <c r="AD75" s="8">
        <f t="shared" si="61"/>
        <v>10447.815000000001</v>
      </c>
      <c r="AE75" s="8" t="str">
        <f t="shared" si="51"/>
        <v/>
      </c>
      <c r="AF75" s="22" t="str">
        <f t="shared" si="52"/>
        <v>AZ_Maric_2020g</v>
      </c>
      <c r="AG75">
        <v>1</v>
      </c>
      <c r="AH75" s="272">
        <v>112787</v>
      </c>
      <c r="AI75" s="273">
        <v>61149</v>
      </c>
      <c r="AJ75" s="274">
        <v>51638</v>
      </c>
      <c r="AK75" s="339">
        <v>9511</v>
      </c>
      <c r="AL75" s="340" t="s">
        <v>1622</v>
      </c>
      <c r="AM75" s="353">
        <f t="shared" si="53"/>
        <v>4.5516694160453643E-3</v>
      </c>
      <c r="AN75" s="354"/>
      <c r="AP75" s="23">
        <f t="shared" si="62"/>
        <v>0</v>
      </c>
      <c r="AQ75" s="392">
        <f t="shared" si="63"/>
        <v>0</v>
      </c>
      <c r="AR75" s="392">
        <f t="shared" si="63"/>
        <v>0</v>
      </c>
      <c r="AS75" s="392">
        <f t="shared" si="63"/>
        <v>0</v>
      </c>
      <c r="AU75" s="9" t="s">
        <v>4775</v>
      </c>
      <c r="AV75" s="38">
        <v>41606</v>
      </c>
      <c r="AW75" s="9">
        <v>1</v>
      </c>
      <c r="AX75" s="49">
        <f>AW75*AV75</f>
        <v>41606</v>
      </c>
      <c r="AY75" s="38">
        <f t="shared" si="64"/>
        <v>74.032028469750884</v>
      </c>
      <c r="AZ75" s="50">
        <v>0.02</v>
      </c>
      <c r="BA75" s="49">
        <f>AZ75*AX75</f>
        <v>832.12</v>
      </c>
      <c r="BB75" s="9" t="s">
        <v>4784</v>
      </c>
      <c r="BC75" s="9">
        <f t="shared" si="55"/>
        <v>6</v>
      </c>
      <c r="BD75" s="38">
        <f t="shared" si="56"/>
        <v>234.58350326543828</v>
      </c>
      <c r="BE75" s="9">
        <f t="shared" si="57"/>
        <v>20.34375</v>
      </c>
      <c r="BF75" s="9">
        <f>BC75-BE75</f>
        <v>-14.34375</v>
      </c>
      <c r="BG75" s="75">
        <f>BE75/BC75</f>
        <v>3.390625</v>
      </c>
    </row>
    <row r="76" spans="1:66">
      <c r="A76" s="12" t="s">
        <v>1671</v>
      </c>
      <c r="B76" s="54" t="str">
        <f t="shared" si="37"/>
        <v>AZ_Maric_2020g</v>
      </c>
      <c r="C76" s="12"/>
      <c r="D76" s="54" t="str">
        <f t="shared" si="38"/>
        <v>Gen-cave creek usd #93-gbm-4yr (vote for3)</v>
      </c>
      <c r="E76" s="54" t="s">
        <v>2138</v>
      </c>
      <c r="F76" s="12" t="s">
        <v>1300</v>
      </c>
      <c r="G76" s="59">
        <v>14457</v>
      </c>
      <c r="H76"/>
      <c r="K76" s="2"/>
      <c r="O76">
        <f t="shared" si="39"/>
        <v>2</v>
      </c>
      <c r="P76" s="57">
        <f t="shared" si="40"/>
        <v>3</v>
      </c>
      <c r="Q76" s="267">
        <f t="shared" si="41"/>
        <v>64570</v>
      </c>
      <c r="R76" s="23">
        <f t="shared" si="42"/>
        <v>14349</v>
      </c>
      <c r="S76" s="23">
        <f t="shared" si="43"/>
        <v>13514</v>
      </c>
      <c r="T76" s="23" t="str">
        <f t="shared" si="44"/>
        <v/>
      </c>
      <c r="U76" t="str">
        <f t="shared" si="45"/>
        <v/>
      </c>
      <c r="W76" s="1">
        <f t="shared" si="46"/>
        <v>75</v>
      </c>
      <c r="X76" s="73">
        <f t="shared" si="60"/>
        <v>53.347280764881262</v>
      </c>
      <c r="Y76" s="322">
        <f t="shared" si="47"/>
        <v>5774.9550000000008</v>
      </c>
      <c r="Z76" s="43">
        <f t="shared" si="36"/>
        <v>4.5451287581015597E-41</v>
      </c>
      <c r="AA76" s="52">
        <f t="shared" si="48"/>
        <v>4.5451287581015598E-43</v>
      </c>
      <c r="AB76" s="8">
        <f t="shared" si="49"/>
        <v>20895.63</v>
      </c>
      <c r="AC76" s="8">
        <f t="shared" si="50"/>
        <v>2089563</v>
      </c>
      <c r="AD76" s="8">
        <f t="shared" si="61"/>
        <v>10447.815000000001</v>
      </c>
      <c r="AE76" s="8" t="str">
        <f t="shared" si="51"/>
        <v/>
      </c>
      <c r="AF76" s="22" t="str">
        <f t="shared" si="52"/>
        <v>AZ_Maric_2020g</v>
      </c>
      <c r="AG76">
        <v>1</v>
      </c>
      <c r="AH76" s="272">
        <v>83695</v>
      </c>
      <c r="AI76" s="273">
        <v>46711</v>
      </c>
      <c r="AJ76" s="274">
        <v>36984</v>
      </c>
      <c r="AK76" s="339">
        <v>9727</v>
      </c>
      <c r="AL76" s="340" t="s">
        <v>1680</v>
      </c>
      <c r="AM76" s="353">
        <f t="shared" si="53"/>
        <v>4.655040312256678E-3</v>
      </c>
      <c r="AN76" s="354"/>
      <c r="AP76" s="23">
        <f>MIN(AD76, MAX(0,ROUNDUP(AD76*(0.5*AK76/AC76-0.005)/(RIGHT(AP$1,3)-0.005),0)))</f>
        <v>0</v>
      </c>
      <c r="AQ76" s="392">
        <f t="shared" si="63"/>
        <v>0</v>
      </c>
      <c r="AR76" s="392">
        <f t="shared" si="63"/>
        <v>0</v>
      </c>
      <c r="AS76" s="392">
        <f t="shared" si="63"/>
        <v>0</v>
      </c>
      <c r="AU76" s="9" t="s">
        <v>4776</v>
      </c>
      <c r="AV76" s="38">
        <v>13512</v>
      </c>
      <c r="AW76" s="9">
        <v>1</v>
      </c>
      <c r="AX76" s="49">
        <f>AW76*AV76</f>
        <v>13512</v>
      </c>
      <c r="AY76" s="38">
        <f t="shared" si="64"/>
        <v>26.546168958742633</v>
      </c>
      <c r="AZ76" s="50">
        <v>0.02</v>
      </c>
      <c r="BA76" s="49">
        <f>AZ76*AX76</f>
        <v>270.24</v>
      </c>
      <c r="BB76" s="9"/>
      <c r="BC76" s="9">
        <f t="shared" si="55"/>
        <v>13</v>
      </c>
      <c r="BD76" s="38">
        <f t="shared" si="56"/>
        <v>1289.3092899596372</v>
      </c>
      <c r="BE76" s="9">
        <f t="shared" si="57"/>
        <v>32</v>
      </c>
      <c r="BF76" s="9">
        <f>BC76-BE76</f>
        <v>-19</v>
      </c>
      <c r="BG76" s="75">
        <f>BE76/BC76</f>
        <v>2.4615384615384617</v>
      </c>
    </row>
    <row r="77" spans="1:66">
      <c r="A77" s="12" t="s">
        <v>1671</v>
      </c>
      <c r="B77" s="54" t="str">
        <f t="shared" si="37"/>
        <v>AZ_Maric_2020g</v>
      </c>
      <c r="C77" s="12"/>
      <c r="D77" s="54" t="str">
        <f t="shared" si="38"/>
        <v>Gen-cave creek usd #93-gbm-4yr (vote for3)</v>
      </c>
      <c r="E77" s="54" t="s">
        <v>2140</v>
      </c>
      <c r="F77" s="12" t="s">
        <v>1300</v>
      </c>
      <c r="G77" s="59">
        <v>14349</v>
      </c>
      <c r="H77"/>
      <c r="K77" s="2"/>
      <c r="O77">
        <f t="shared" si="39"/>
        <v>3</v>
      </c>
      <c r="P77" s="57">
        <f t="shared" si="40"/>
        <v>3</v>
      </c>
      <c r="Q77" s="267">
        <f t="shared" si="41"/>
        <v>50113</v>
      </c>
      <c r="R77" s="23">
        <f t="shared" si="42"/>
        <v>14349</v>
      </c>
      <c r="S77" s="23">
        <f t="shared" si="43"/>
        <v>13514</v>
      </c>
      <c r="T77" s="23" t="str">
        <f t="shared" si="44"/>
        <v/>
      </c>
      <c r="U77" t="str">
        <f t="shared" si="45"/>
        <v/>
      </c>
      <c r="W77" s="1">
        <f t="shared" si="46"/>
        <v>76</v>
      </c>
      <c r="X77" s="73">
        <f t="shared" si="60"/>
        <v>17.465703766638345</v>
      </c>
      <c r="Y77" s="322">
        <f t="shared" si="47"/>
        <v>2059.029</v>
      </c>
      <c r="Z77" s="43">
        <f t="shared" si="36"/>
        <v>7.5540465697958977E-45</v>
      </c>
      <c r="AA77" s="52">
        <f t="shared" si="48"/>
        <v>7.5540465697958982E-47</v>
      </c>
      <c r="AB77" s="8">
        <f t="shared" si="49"/>
        <v>20895.63</v>
      </c>
      <c r="AC77" s="8">
        <f t="shared" si="50"/>
        <v>2089563</v>
      </c>
      <c r="AD77" s="8">
        <f t="shared" si="61"/>
        <v>10447.815000000001</v>
      </c>
      <c r="AE77" s="8" t="str">
        <f t="shared" si="51"/>
        <v/>
      </c>
      <c r="AF77" s="22" t="str">
        <f t="shared" si="52"/>
        <v>AZ_Maric_2020g</v>
      </c>
      <c r="AG77">
        <v>1</v>
      </c>
      <c r="AH77" s="272">
        <v>29841</v>
      </c>
      <c r="AI77" s="273">
        <v>20217</v>
      </c>
      <c r="AJ77" s="274">
        <v>9624</v>
      </c>
      <c r="AK77" s="339">
        <v>10593</v>
      </c>
      <c r="AL77" s="340" t="s">
        <v>1675</v>
      </c>
      <c r="AM77" s="353">
        <f t="shared" si="53"/>
        <v>5.0694810350298122E-3</v>
      </c>
      <c r="AN77" s="354"/>
      <c r="AP77" s="23">
        <f t="shared" ref="AP77:AP140" si="65">MIN(AD77, MAX(0,ROUNDUP(AD77*(0.5*AK77/AC77-0.005)/(RIGHT(AP$1,3)-0.005),0)))</f>
        <v>0</v>
      </c>
      <c r="AQ77" s="392">
        <f t="shared" si="63"/>
        <v>0</v>
      </c>
      <c r="AR77" s="392">
        <f t="shared" si="63"/>
        <v>0</v>
      </c>
      <c r="AS77" s="392">
        <f t="shared" si="63"/>
        <v>0</v>
      </c>
      <c r="BI77" s="321"/>
      <c r="BJ77" s="321"/>
      <c r="BK77" s="321"/>
    </row>
    <row r="78" spans="1:66">
      <c r="A78" s="12" t="s">
        <v>1671</v>
      </c>
      <c r="B78" s="54" t="str">
        <f t="shared" si="37"/>
        <v>AZ_Maric_2020g</v>
      </c>
      <c r="C78" s="12"/>
      <c r="D78" s="54" t="str">
        <f t="shared" si="38"/>
        <v>Gen-cave creek usd #93-gbm-4yr (vote for3)</v>
      </c>
      <c r="E78" s="54" t="s">
        <v>1971</v>
      </c>
      <c r="F78" s="12" t="s">
        <v>1300</v>
      </c>
      <c r="G78" s="59">
        <v>13514</v>
      </c>
      <c r="H78"/>
      <c r="K78" s="2"/>
      <c r="O78">
        <f t="shared" si="39"/>
        <v>4</v>
      </c>
      <c r="P78" s="57">
        <f t="shared" si="40"/>
        <v>3</v>
      </c>
      <c r="Q78" s="267">
        <f t="shared" si="41"/>
        <v>35764</v>
      </c>
      <c r="R78" s="23" t="str">
        <f t="shared" si="42"/>
        <v/>
      </c>
      <c r="S78" s="23">
        <f t="shared" si="43"/>
        <v>13514</v>
      </c>
      <c r="T78" s="23" t="str">
        <f t="shared" si="44"/>
        <v/>
      </c>
      <c r="U78" t="str">
        <f t="shared" si="45"/>
        <v/>
      </c>
      <c r="W78" s="1">
        <f t="shared" si="46"/>
        <v>77</v>
      </c>
      <c r="X78" s="73">
        <f t="shared" si="60"/>
        <v>19.205327094393954</v>
      </c>
      <c r="Y78" s="322">
        <f t="shared" si="47"/>
        <v>2375.2560000000003</v>
      </c>
      <c r="Z78" s="43">
        <f t="shared" si="36"/>
        <v>4.0556225816958225E-47</v>
      </c>
      <c r="AA78" s="52">
        <f t="shared" si="48"/>
        <v>4.0556225816958225E-49</v>
      </c>
      <c r="AB78" s="8">
        <f t="shared" si="49"/>
        <v>20895.63</v>
      </c>
      <c r="AC78" s="8">
        <f t="shared" si="50"/>
        <v>2089563</v>
      </c>
      <c r="AD78" s="8">
        <f t="shared" si="61"/>
        <v>10447.815000000001</v>
      </c>
      <c r="AE78" s="8" t="str">
        <f t="shared" si="51"/>
        <v/>
      </c>
      <c r="AF78" s="22" t="str">
        <f t="shared" si="52"/>
        <v>AZ_Maric_2020g</v>
      </c>
      <c r="AG78">
        <v>2</v>
      </c>
      <c r="AH78" s="272">
        <v>34424</v>
      </c>
      <c r="AI78" s="273">
        <v>25906</v>
      </c>
      <c r="AJ78" s="274">
        <v>14793</v>
      </c>
      <c r="AK78" s="339">
        <v>11113</v>
      </c>
      <c r="AL78" s="340" t="s">
        <v>1541</v>
      </c>
      <c r="AM78" s="353">
        <f t="shared" si="53"/>
        <v>5.3183368962792694E-3</v>
      </c>
      <c r="AN78" s="354"/>
      <c r="AP78" s="23">
        <f t="shared" si="65"/>
        <v>0</v>
      </c>
      <c r="AQ78" s="392">
        <f t="shared" si="63"/>
        <v>0</v>
      </c>
      <c r="AR78" s="392">
        <f t="shared" si="63"/>
        <v>0</v>
      </c>
      <c r="AS78" s="392">
        <f t="shared" si="63"/>
        <v>0</v>
      </c>
      <c r="BI78" s="321"/>
      <c r="BJ78" s="323"/>
      <c r="BK78" s="321"/>
      <c r="BM78" s="289">
        <f>SUMIFS($Y:$Y,$AF:$AF,$AU74,$AO:$AO,LEFT(BM$1,2))</f>
        <v>32590.287000000008</v>
      </c>
      <c r="BN78" s="289">
        <f>SUMIFS($Y:$Y,$AF:$AF,$AU74,$AO:$AO,LEFT(BN$1,2))</f>
        <v>18688.995000000003</v>
      </c>
    </row>
    <row r="79" spans="1:66">
      <c r="A79" s="12" t="s">
        <v>1671</v>
      </c>
      <c r="B79" s="54" t="str">
        <f t="shared" si="37"/>
        <v>AZ_Maric_2020g</v>
      </c>
      <c r="C79" s="12"/>
      <c r="D79" s="54" t="str">
        <f t="shared" si="38"/>
        <v>Gen-cave creek usd #93-gbm-4yr (vote for3)</v>
      </c>
      <c r="E79" s="54" t="s">
        <v>2139</v>
      </c>
      <c r="F79" s="12" t="s">
        <v>1300</v>
      </c>
      <c r="G79" s="59">
        <v>12346</v>
      </c>
      <c r="H79"/>
      <c r="K79" s="2"/>
      <c r="O79">
        <f t="shared" si="39"/>
        <v>5</v>
      </c>
      <c r="P79" s="57">
        <f t="shared" si="40"/>
        <v>3</v>
      </c>
      <c r="Q79" s="267">
        <f t="shared" si="41"/>
        <v>22250</v>
      </c>
      <c r="R79" s="23" t="str">
        <f t="shared" si="42"/>
        <v/>
      </c>
      <c r="S79" s="23">
        <f t="shared" si="43"/>
        <v>12346</v>
      </c>
      <c r="T79" s="23" t="str">
        <f t="shared" si="44"/>
        <v/>
      </c>
      <c r="U79" t="str">
        <f t="shared" si="45"/>
        <v/>
      </c>
      <c r="W79" s="1">
        <f t="shared" si="46"/>
        <v>78</v>
      </c>
      <c r="X79" s="73">
        <f t="shared" si="60"/>
        <v>53.678089637351867</v>
      </c>
      <c r="Y79" s="322">
        <f t="shared" si="47"/>
        <v>6704.4540000000006</v>
      </c>
      <c r="Z79" s="43">
        <f t="shared" si="36"/>
        <v>1.3420435573876904E-47</v>
      </c>
      <c r="AA79" s="52">
        <f t="shared" si="48"/>
        <v>1.3420435573876902E-49</v>
      </c>
      <c r="AB79" s="8">
        <f t="shared" si="49"/>
        <v>20895.63</v>
      </c>
      <c r="AC79" s="8">
        <f t="shared" si="50"/>
        <v>2089563</v>
      </c>
      <c r="AD79" s="8">
        <f t="shared" si="61"/>
        <v>10447.815000000001</v>
      </c>
      <c r="AE79" s="8" t="str">
        <f t="shared" si="51"/>
        <v/>
      </c>
      <c r="AF79" s="22" t="str">
        <f t="shared" si="52"/>
        <v>AZ_Maric_2020g</v>
      </c>
      <c r="AG79">
        <v>2</v>
      </c>
      <c r="AH79" s="272">
        <v>97166</v>
      </c>
      <c r="AI79" s="273">
        <v>66482</v>
      </c>
      <c r="AJ79" s="274">
        <v>55259</v>
      </c>
      <c r="AK79" s="339">
        <v>11223</v>
      </c>
      <c r="AL79" s="340" t="s">
        <v>1549</v>
      </c>
      <c r="AM79" s="353">
        <f t="shared" si="53"/>
        <v>5.3709794823128092E-3</v>
      </c>
      <c r="AN79" s="354"/>
      <c r="AP79" s="23">
        <f t="shared" si="65"/>
        <v>0</v>
      </c>
      <c r="AQ79" s="392">
        <f t="shared" si="63"/>
        <v>0</v>
      </c>
      <c r="AR79" s="392">
        <f t="shared" si="63"/>
        <v>0</v>
      </c>
      <c r="AS79" s="392">
        <f t="shared" si="63"/>
        <v>0</v>
      </c>
      <c r="BI79" s="321"/>
      <c r="BJ79" s="321"/>
      <c r="BK79" s="321"/>
    </row>
    <row r="80" spans="1:66">
      <c r="A80" s="12" t="s">
        <v>1671</v>
      </c>
      <c r="B80" s="54" t="str">
        <f t="shared" si="37"/>
        <v>AZ_Maric_2020g</v>
      </c>
      <c r="C80" s="12"/>
      <c r="D80" s="54" t="str">
        <f t="shared" si="38"/>
        <v>Gen-cave creek usd #93-gbm-4yr (vote for3)</v>
      </c>
      <c r="E80" s="54" t="s">
        <v>2141</v>
      </c>
      <c r="F80" s="12" t="s">
        <v>1300</v>
      </c>
      <c r="G80" s="59">
        <v>9664</v>
      </c>
      <c r="H80"/>
      <c r="K80" s="2"/>
      <c r="O80">
        <f t="shared" si="39"/>
        <v>6</v>
      </c>
      <c r="P80" s="57">
        <f t="shared" si="40"/>
        <v>3</v>
      </c>
      <c r="Q80" s="267">
        <f t="shared" si="41"/>
        <v>9904</v>
      </c>
      <c r="R80" s="23" t="str">
        <f t="shared" si="42"/>
        <v/>
      </c>
      <c r="S80" s="23">
        <f t="shared" si="43"/>
        <v>9664</v>
      </c>
      <c r="T80" s="23" t="str">
        <f t="shared" si="44"/>
        <v/>
      </c>
      <c r="U80" t="str">
        <f t="shared" si="45"/>
        <v/>
      </c>
      <c r="W80" s="1">
        <f t="shared" si="46"/>
        <v>79</v>
      </c>
      <c r="X80" s="73">
        <f t="shared" si="60"/>
        <v>980.23364124958016</v>
      </c>
      <c r="Y80" s="322">
        <f t="shared" si="47"/>
        <v>129904.98900000002</v>
      </c>
      <c r="Z80" s="43">
        <f t="shared" si="36"/>
        <v>1.3686484251916119E-50</v>
      </c>
      <c r="AA80" s="52">
        <f t="shared" si="48"/>
        <v>1.3686484251916119E-52</v>
      </c>
      <c r="AB80" s="8">
        <f t="shared" si="49"/>
        <v>20895.63</v>
      </c>
      <c r="AC80" s="8">
        <f t="shared" si="50"/>
        <v>2089563</v>
      </c>
      <c r="AD80" s="8">
        <f t="shared" si="61"/>
        <v>10447.815000000001</v>
      </c>
      <c r="AE80" s="8" t="str">
        <f t="shared" si="51"/>
        <v/>
      </c>
      <c r="AF80" s="22" t="str">
        <f t="shared" si="52"/>
        <v>AZ_Maric_2020g</v>
      </c>
      <c r="AG80">
        <v>1</v>
      </c>
      <c r="AH80" s="272">
        <v>1882681</v>
      </c>
      <c r="AI80" s="273">
        <v>946409</v>
      </c>
      <c r="AJ80" s="274">
        <v>934501</v>
      </c>
      <c r="AK80" s="339">
        <v>11908</v>
      </c>
      <c r="AL80" s="340" t="s">
        <v>1589</v>
      </c>
      <c r="AM80" s="353">
        <f t="shared" si="53"/>
        <v>5.6987992226125751E-3</v>
      </c>
      <c r="AN80" s="354"/>
      <c r="AP80" s="23">
        <f t="shared" si="65"/>
        <v>0</v>
      </c>
      <c r="AQ80" s="392">
        <f t="shared" si="63"/>
        <v>0</v>
      </c>
      <c r="AR80" s="392">
        <f t="shared" si="63"/>
        <v>0</v>
      </c>
      <c r="AS80" s="392">
        <f t="shared" si="63"/>
        <v>0</v>
      </c>
      <c r="BI80" s="321"/>
      <c r="BJ80" s="321"/>
      <c r="BK80" s="321"/>
    </row>
    <row r="81" spans="1:45">
      <c r="A81" s="12" t="s">
        <v>1671</v>
      </c>
      <c r="B81" s="54" t="str">
        <f t="shared" si="37"/>
        <v>AZ_Maric_2020g</v>
      </c>
      <c r="C81" s="12"/>
      <c r="D81" s="54" t="str">
        <f t="shared" si="38"/>
        <v>Gen-cave creek usd #93-gbm-4yr (vote for3)</v>
      </c>
      <c r="E81" s="54" t="s">
        <v>1299</v>
      </c>
      <c r="G81" s="59">
        <v>240</v>
      </c>
      <c r="H81"/>
      <c r="K81" s="2"/>
      <c r="O81">
        <f t="shared" si="39"/>
        <v>-6</v>
      </c>
      <c r="P81" s="57">
        <f t="shared" si="40"/>
        <v>3</v>
      </c>
      <c r="Q81" s="267">
        <f t="shared" si="41"/>
        <v>240</v>
      </c>
      <c r="R81" s="23">
        <f t="shared" si="42"/>
        <v>1</v>
      </c>
      <c r="S81" s="23">
        <f t="shared" si="43"/>
        <v>0</v>
      </c>
      <c r="T81" s="23" t="str">
        <f t="shared" si="44"/>
        <v/>
      </c>
      <c r="U81" t="str">
        <f t="shared" si="45"/>
        <v/>
      </c>
      <c r="W81" s="1">
        <f t="shared" si="46"/>
        <v>80</v>
      </c>
      <c r="X81" s="73">
        <f t="shared" si="60"/>
        <v>31.319140301474246</v>
      </c>
      <c r="Y81" s="322">
        <f t="shared" si="47"/>
        <v>4208.4135000000006</v>
      </c>
      <c r="Z81" s="43">
        <f t="shared" si="36"/>
        <v>2.5775204470037179E-51</v>
      </c>
      <c r="AA81" s="52">
        <f t="shared" si="48"/>
        <v>2.5775204470037179E-53</v>
      </c>
      <c r="AB81" s="8">
        <f t="shared" si="49"/>
        <v>20895.63</v>
      </c>
      <c r="AC81" s="8">
        <f t="shared" si="50"/>
        <v>2089563</v>
      </c>
      <c r="AD81" s="8">
        <f t="shared" si="61"/>
        <v>10447.815000000001</v>
      </c>
      <c r="AE81" s="8" t="str">
        <f t="shared" si="51"/>
        <v/>
      </c>
      <c r="AF81" s="22" t="str">
        <f t="shared" si="52"/>
        <v>AZ_Maric_2020g</v>
      </c>
      <c r="AG81">
        <v>2</v>
      </c>
      <c r="AH81" s="272">
        <v>60991.5</v>
      </c>
      <c r="AI81" s="273">
        <v>43110</v>
      </c>
      <c r="AJ81" s="274">
        <v>31036</v>
      </c>
      <c r="AK81" s="339">
        <v>12074</v>
      </c>
      <c r="AL81" s="340" t="s">
        <v>1551</v>
      </c>
      <c r="AM81" s="353">
        <f t="shared" si="53"/>
        <v>5.7782416706268248E-3</v>
      </c>
      <c r="AN81" s="354"/>
      <c r="AP81" s="23">
        <f t="shared" si="65"/>
        <v>0</v>
      </c>
      <c r="AQ81" s="392">
        <f t="shared" si="63"/>
        <v>0</v>
      </c>
      <c r="AR81" s="392">
        <f t="shared" si="63"/>
        <v>0</v>
      </c>
      <c r="AS81" s="392">
        <f t="shared" si="63"/>
        <v>0</v>
      </c>
    </row>
    <row r="82" spans="1:45">
      <c r="A82" s="12" t="s">
        <v>1666</v>
      </c>
      <c r="B82" s="54" t="str">
        <f t="shared" si="37"/>
        <v>AZ_Maric_2020g</v>
      </c>
      <c r="C82" s="12"/>
      <c r="D82" s="54" t="str">
        <f t="shared" si="38"/>
        <v>Gen-chandler usd #80-gbm-4yr (vote for3)</v>
      </c>
      <c r="E82" s="54" t="s">
        <v>2127</v>
      </c>
      <c r="F82" s="12" t="s">
        <v>1300</v>
      </c>
      <c r="G82" s="59">
        <v>75592</v>
      </c>
      <c r="H82"/>
      <c r="K82" s="2"/>
      <c r="O82">
        <f t="shared" si="39"/>
        <v>1</v>
      </c>
      <c r="P82" s="57">
        <f t="shared" si="40"/>
        <v>3</v>
      </c>
      <c r="Q82" s="267">
        <f t="shared" si="41"/>
        <v>76180.666666666672</v>
      </c>
      <c r="R82" s="23">
        <f t="shared" si="42"/>
        <v>68402</v>
      </c>
      <c r="S82" s="23">
        <f t="shared" si="43"/>
        <v>5353</v>
      </c>
      <c r="T82" s="23">
        <f t="shared" si="44"/>
        <v>63049</v>
      </c>
      <c r="U82" t="str">
        <f t="shared" si="45"/>
        <v>AZ_Maric_2020g~Gen-chandler usd #80-gbm-4yr (vote for3)</v>
      </c>
      <c r="W82" s="1">
        <f t="shared" si="46"/>
        <v>81</v>
      </c>
      <c r="X82" s="73">
        <f t="shared" si="60"/>
        <v>17.520980294750785</v>
      </c>
      <c r="Y82" s="322">
        <f t="shared" si="47"/>
        <v>2355.1080000000002</v>
      </c>
      <c r="Z82" s="43">
        <f t="shared" si="36"/>
        <v>2.4758786870248276E-51</v>
      </c>
      <c r="AA82" s="52">
        <f t="shared" si="48"/>
        <v>2.4758786870248275E-53</v>
      </c>
      <c r="AB82" s="8">
        <f t="shared" si="49"/>
        <v>20895.63</v>
      </c>
      <c r="AC82" s="8">
        <f t="shared" si="50"/>
        <v>2089563</v>
      </c>
      <c r="AD82" s="8">
        <f t="shared" si="61"/>
        <v>10447.815000000001</v>
      </c>
      <c r="AE82" s="8" t="str">
        <f t="shared" si="51"/>
        <v/>
      </c>
      <c r="AF82" s="22" t="str">
        <f t="shared" si="52"/>
        <v>AZ_Maric_2020g</v>
      </c>
      <c r="AG82">
        <v>1</v>
      </c>
      <c r="AH82" s="272">
        <v>34132</v>
      </c>
      <c r="AI82" s="273">
        <v>23060</v>
      </c>
      <c r="AJ82" s="274">
        <v>10982</v>
      </c>
      <c r="AK82" s="339">
        <v>12078</v>
      </c>
      <c r="AL82" s="340" t="s">
        <v>1534</v>
      </c>
      <c r="AM82" s="353">
        <f t="shared" si="53"/>
        <v>5.7801559464825897E-3</v>
      </c>
      <c r="AN82" s="354"/>
      <c r="AP82" s="23">
        <f t="shared" si="65"/>
        <v>0</v>
      </c>
      <c r="AQ82" s="392">
        <f t="shared" si="63"/>
        <v>0</v>
      </c>
      <c r="AR82" s="392">
        <f t="shared" si="63"/>
        <v>0</v>
      </c>
      <c r="AS82" s="392">
        <f t="shared" si="63"/>
        <v>0</v>
      </c>
    </row>
    <row r="83" spans="1:45">
      <c r="A83" s="12" t="s">
        <v>1666</v>
      </c>
      <c r="B83" s="54" t="str">
        <f t="shared" si="37"/>
        <v>AZ_Maric_2020g</v>
      </c>
      <c r="C83" s="12"/>
      <c r="D83" s="54" t="str">
        <f t="shared" si="38"/>
        <v>Gen-chandler usd #80-gbm-4yr (vote for3)</v>
      </c>
      <c r="E83" s="54" t="s">
        <v>2129</v>
      </c>
      <c r="F83" s="12" t="s">
        <v>1300</v>
      </c>
      <c r="G83" s="59">
        <v>71026</v>
      </c>
      <c r="H83"/>
      <c r="K83" s="2"/>
      <c r="O83">
        <f t="shared" si="39"/>
        <v>2</v>
      </c>
      <c r="P83" s="57">
        <f t="shared" si="40"/>
        <v>3</v>
      </c>
      <c r="Q83" s="267">
        <f t="shared" si="41"/>
        <v>152950</v>
      </c>
      <c r="R83" s="23">
        <f t="shared" si="42"/>
        <v>68402</v>
      </c>
      <c r="S83" s="23">
        <f t="shared" si="43"/>
        <v>5353</v>
      </c>
      <c r="T83" s="23" t="str">
        <f t="shared" si="44"/>
        <v/>
      </c>
      <c r="U83" t="str">
        <f t="shared" si="45"/>
        <v/>
      </c>
      <c r="W83" s="1">
        <f t="shared" si="46"/>
        <v>82</v>
      </c>
      <c r="X83" s="73">
        <f t="shared" si="60"/>
        <v>60.124486369813738</v>
      </c>
      <c r="Y83" s="322">
        <f t="shared" si="47"/>
        <v>8370.1140000000014</v>
      </c>
      <c r="Z83" s="43">
        <f t="shared" si="36"/>
        <v>3.2422206924026504E-53</v>
      </c>
      <c r="AA83" s="52">
        <f t="shared" si="48"/>
        <v>3.2422206924026505E-55</v>
      </c>
      <c r="AB83" s="8">
        <f t="shared" si="49"/>
        <v>20895.63</v>
      </c>
      <c r="AC83" s="8">
        <f t="shared" si="50"/>
        <v>2089563</v>
      </c>
      <c r="AD83" s="8">
        <f t="shared" si="61"/>
        <v>10447.815000000001</v>
      </c>
      <c r="AE83" s="8" t="str">
        <f t="shared" si="51"/>
        <v/>
      </c>
      <c r="AF83" s="22" t="str">
        <f t="shared" si="52"/>
        <v>AZ_Maric_2020g</v>
      </c>
      <c r="AG83">
        <v>2</v>
      </c>
      <c r="AH83" s="272">
        <v>121306</v>
      </c>
      <c r="AI83" s="273">
        <v>67649</v>
      </c>
      <c r="AJ83" s="274">
        <v>55140</v>
      </c>
      <c r="AK83" s="339">
        <v>12509</v>
      </c>
      <c r="AL83" s="340" t="s">
        <v>1555</v>
      </c>
      <c r="AM83" s="353">
        <f t="shared" si="53"/>
        <v>5.9864191699412752E-3</v>
      </c>
      <c r="AN83" s="354"/>
      <c r="AP83" s="23">
        <f t="shared" si="65"/>
        <v>0</v>
      </c>
      <c r="AQ83" s="392">
        <f t="shared" si="63"/>
        <v>0</v>
      </c>
      <c r="AR83" s="392">
        <f t="shared" si="63"/>
        <v>0</v>
      </c>
      <c r="AS83" s="392">
        <f t="shared" si="63"/>
        <v>0</v>
      </c>
    </row>
    <row r="84" spans="1:45">
      <c r="A84" s="12" t="s">
        <v>1666</v>
      </c>
      <c r="B84" s="54" t="str">
        <f t="shared" si="37"/>
        <v>AZ_Maric_2020g</v>
      </c>
      <c r="C84" s="12"/>
      <c r="D84" s="54" t="str">
        <f t="shared" si="38"/>
        <v>Gen-chandler usd #80-gbm-4yr (vote for3)</v>
      </c>
      <c r="E84" s="54" t="s">
        <v>2128</v>
      </c>
      <c r="F84" s="12" t="s">
        <v>1300</v>
      </c>
      <c r="G84" s="59">
        <v>68402</v>
      </c>
      <c r="H84"/>
      <c r="K84" s="2"/>
      <c r="O84">
        <f t="shared" si="39"/>
        <v>3</v>
      </c>
      <c r="P84" s="57">
        <f t="shared" si="40"/>
        <v>3</v>
      </c>
      <c r="Q84" s="267">
        <f t="shared" si="41"/>
        <v>81924</v>
      </c>
      <c r="R84" s="23">
        <f t="shared" si="42"/>
        <v>68402</v>
      </c>
      <c r="S84" s="23">
        <f t="shared" si="43"/>
        <v>5353</v>
      </c>
      <c r="T84" s="23" t="str">
        <f t="shared" si="44"/>
        <v/>
      </c>
      <c r="U84" t="str">
        <f t="shared" si="45"/>
        <v/>
      </c>
      <c r="W84" s="1">
        <f t="shared" si="46"/>
        <v>83</v>
      </c>
      <c r="X84" s="73">
        <f t="shared" si="60"/>
        <v>56.561247002398083</v>
      </c>
      <c r="Y84" s="322">
        <f t="shared" si="47"/>
        <v>7874.6940000000004</v>
      </c>
      <c r="Z84" s="43">
        <f t="shared" si="36"/>
        <v>3.2097667365819258E-53</v>
      </c>
      <c r="AA84" s="52">
        <f t="shared" si="48"/>
        <v>3.209766736581926E-55</v>
      </c>
      <c r="AB84" s="8">
        <f t="shared" si="49"/>
        <v>20895.63</v>
      </c>
      <c r="AC84" s="8">
        <f t="shared" si="50"/>
        <v>2089563</v>
      </c>
      <c r="AD84" s="8">
        <f t="shared" si="61"/>
        <v>10447.815000000001</v>
      </c>
      <c r="AE84" s="8" t="str">
        <f t="shared" si="51"/>
        <v/>
      </c>
      <c r="AF84" s="22" t="str">
        <f t="shared" si="52"/>
        <v>AZ_Maric_2020g</v>
      </c>
      <c r="AG84" s="302">
        <v>1</v>
      </c>
      <c r="AH84" s="301">
        <v>114126</v>
      </c>
      <c r="AI84" s="303">
        <v>63318</v>
      </c>
      <c r="AJ84" s="303">
        <v>50808</v>
      </c>
      <c r="AK84" s="342">
        <v>12510</v>
      </c>
      <c r="AL84" s="343" t="s">
        <v>1636</v>
      </c>
      <c r="AM84" s="353">
        <f t="shared" si="53"/>
        <v>5.9868977389052162E-3</v>
      </c>
      <c r="AN84" s="354"/>
      <c r="AP84" s="23">
        <f t="shared" si="65"/>
        <v>0</v>
      </c>
      <c r="AQ84" s="392">
        <f t="shared" si="63"/>
        <v>0</v>
      </c>
      <c r="AR84" s="392">
        <f t="shared" si="63"/>
        <v>0</v>
      </c>
      <c r="AS84" s="392">
        <f t="shared" si="63"/>
        <v>0</v>
      </c>
    </row>
    <row r="85" spans="1:45">
      <c r="A85" s="12" t="s">
        <v>1666</v>
      </c>
      <c r="B85" s="54" t="str">
        <f t="shared" si="37"/>
        <v>AZ_Maric_2020g</v>
      </c>
      <c r="C85" s="12"/>
      <c r="D85" s="54" t="str">
        <f t="shared" si="38"/>
        <v>Gen-chandler usd #80-gbm-4yr (vote for3)</v>
      </c>
      <c r="E85" s="54" t="s">
        <v>1299</v>
      </c>
      <c r="G85" s="59">
        <v>6761</v>
      </c>
      <c r="H85"/>
      <c r="K85" s="2"/>
      <c r="O85">
        <f t="shared" si="39"/>
        <v>-3</v>
      </c>
      <c r="P85" s="57">
        <f t="shared" si="40"/>
        <v>3</v>
      </c>
      <c r="Q85" s="267">
        <f t="shared" si="41"/>
        <v>13522</v>
      </c>
      <c r="R85" s="23" t="str">
        <f t="shared" si="42"/>
        <v/>
      </c>
      <c r="S85" s="23">
        <f t="shared" si="43"/>
        <v>5353</v>
      </c>
      <c r="T85" s="23" t="str">
        <f t="shared" si="44"/>
        <v/>
      </c>
      <c r="U85" t="str">
        <f t="shared" si="45"/>
        <v/>
      </c>
      <c r="W85" s="1">
        <f t="shared" si="46"/>
        <v>84</v>
      </c>
      <c r="X85" s="73">
        <f t="shared" si="60"/>
        <v>57.472121212121216</v>
      </c>
      <c r="Y85" s="322">
        <f t="shared" si="47"/>
        <v>8020.6980000000003</v>
      </c>
      <c r="Z85" s="43">
        <f t="shared" si="36"/>
        <v>2.3735558756768872E-53</v>
      </c>
      <c r="AA85" s="52">
        <f t="shared" si="48"/>
        <v>2.373555875676887E-55</v>
      </c>
      <c r="AB85" s="8">
        <f t="shared" si="49"/>
        <v>20895.63</v>
      </c>
      <c r="AC85" s="8">
        <f t="shared" si="50"/>
        <v>2089563</v>
      </c>
      <c r="AD85" s="8">
        <f t="shared" si="61"/>
        <v>10447.815000000001</v>
      </c>
      <c r="AE85" s="8" t="str">
        <f t="shared" si="51"/>
        <v/>
      </c>
      <c r="AF85" s="22" t="str">
        <f t="shared" si="52"/>
        <v>AZ_Maric_2020g</v>
      </c>
      <c r="AG85">
        <v>1</v>
      </c>
      <c r="AH85" s="272">
        <v>116242</v>
      </c>
      <c r="AI85" s="273">
        <v>64391</v>
      </c>
      <c r="AJ85" s="274">
        <v>51851</v>
      </c>
      <c r="AK85" s="339">
        <v>12540</v>
      </c>
      <c r="AL85" s="340" t="s">
        <v>1635</v>
      </c>
      <c r="AM85" s="353">
        <f t="shared" si="53"/>
        <v>6.0012548078234541E-3</v>
      </c>
      <c r="AN85" s="354"/>
      <c r="AP85" s="23">
        <f t="shared" si="65"/>
        <v>0</v>
      </c>
      <c r="AQ85" s="392">
        <f t="shared" si="63"/>
        <v>0</v>
      </c>
      <c r="AR85" s="392">
        <f t="shared" si="63"/>
        <v>0</v>
      </c>
      <c r="AS85" s="392">
        <f t="shared" si="63"/>
        <v>0</v>
      </c>
    </row>
    <row r="86" spans="1:45">
      <c r="A86" s="12" t="s">
        <v>1666</v>
      </c>
      <c r="B86" s="54" t="str">
        <f t="shared" si="37"/>
        <v>AZ_Maric_2020g</v>
      </c>
      <c r="C86" s="12"/>
      <c r="D86" s="54" t="str">
        <f t="shared" si="38"/>
        <v>Gen-chandler usd #80-gbm-4yr (vote for3)</v>
      </c>
      <c r="E86" s="54" t="s">
        <v>2130</v>
      </c>
      <c r="F86" s="12" t="s">
        <v>1300</v>
      </c>
      <c r="G86" s="59">
        <v>5353</v>
      </c>
      <c r="H86"/>
      <c r="K86" s="2"/>
      <c r="O86">
        <f t="shared" si="39"/>
        <v>4</v>
      </c>
      <c r="P86" s="57">
        <f t="shared" si="40"/>
        <v>3</v>
      </c>
      <c r="Q86" s="267">
        <f t="shared" si="41"/>
        <v>6761</v>
      </c>
      <c r="R86" s="23" t="str">
        <f t="shared" si="42"/>
        <v/>
      </c>
      <c r="S86" s="23">
        <f t="shared" si="43"/>
        <v>5353</v>
      </c>
      <c r="T86" s="23" t="str">
        <f t="shared" si="44"/>
        <v/>
      </c>
      <c r="U86" t="str">
        <f t="shared" si="45"/>
        <v/>
      </c>
      <c r="W86" s="1">
        <f t="shared" si="46"/>
        <v>85</v>
      </c>
      <c r="X86" s="73">
        <f t="shared" si="60"/>
        <v>31.881293196129626</v>
      </c>
      <c r="Y86" s="322">
        <f t="shared" si="47"/>
        <v>4620.3090000000002</v>
      </c>
      <c r="Z86" s="43">
        <f t="shared" si="36"/>
        <v>1.8587346529323611E-55</v>
      </c>
      <c r="AA86" s="52">
        <f t="shared" si="48"/>
        <v>1.8587346529323613E-57</v>
      </c>
      <c r="AB86" s="8">
        <f t="shared" si="49"/>
        <v>20895.63</v>
      </c>
      <c r="AC86" s="8">
        <f t="shared" si="50"/>
        <v>2089563</v>
      </c>
      <c r="AD86" s="8">
        <f t="shared" si="61"/>
        <v>10447.815000000001</v>
      </c>
      <c r="AE86" s="8" t="str">
        <f t="shared" si="51"/>
        <v/>
      </c>
      <c r="AF86" s="22" t="str">
        <f t="shared" si="52"/>
        <v>AZ_Maric_2020g</v>
      </c>
      <c r="AG86">
        <v>2</v>
      </c>
      <c r="AH86" s="272">
        <v>66961</v>
      </c>
      <c r="AI86" s="273">
        <v>48202</v>
      </c>
      <c r="AJ86" s="274">
        <v>35180</v>
      </c>
      <c r="AK86" s="339">
        <v>13022</v>
      </c>
      <c r="AL86" s="340" t="s">
        <v>1547</v>
      </c>
      <c r="AM86" s="353">
        <f t="shared" si="53"/>
        <v>6.2319250484431437E-3</v>
      </c>
      <c r="AN86" s="354"/>
      <c r="AP86" s="23">
        <f t="shared" si="65"/>
        <v>0</v>
      </c>
      <c r="AQ86" s="392">
        <f t="shared" si="63"/>
        <v>0</v>
      </c>
      <c r="AR86" s="392">
        <f t="shared" si="63"/>
        <v>0</v>
      </c>
      <c r="AS86" s="392">
        <f t="shared" si="63"/>
        <v>0</v>
      </c>
    </row>
    <row r="87" spans="1:45">
      <c r="A87" s="12" t="s">
        <v>1666</v>
      </c>
      <c r="B87" s="54" t="str">
        <f t="shared" si="37"/>
        <v>AZ_Maric_2020g</v>
      </c>
      <c r="C87" s="12"/>
      <c r="D87" s="54" t="str">
        <f t="shared" si="38"/>
        <v>Gen-chandler usd #80-gbm-4yr (vote for3)</v>
      </c>
      <c r="E87" s="54" t="s">
        <v>1825</v>
      </c>
      <c r="F87" s="12" t="s">
        <v>1300</v>
      </c>
      <c r="G87" s="59">
        <v>941</v>
      </c>
      <c r="H87"/>
      <c r="K87" s="2"/>
      <c r="O87">
        <f t="shared" si="39"/>
        <v>-4</v>
      </c>
      <c r="P87" s="57">
        <f t="shared" si="40"/>
        <v>3</v>
      </c>
      <c r="Q87" s="267">
        <f t="shared" si="41"/>
        <v>1408</v>
      </c>
      <c r="R87" s="23">
        <f t="shared" si="42"/>
        <v>1</v>
      </c>
      <c r="S87" s="23">
        <f t="shared" si="43"/>
        <v>0</v>
      </c>
      <c r="T87" s="23" t="str">
        <f t="shared" si="44"/>
        <v/>
      </c>
      <c r="U87" t="str">
        <f t="shared" si="45"/>
        <v/>
      </c>
      <c r="W87" s="1">
        <f t="shared" si="46"/>
        <v>86</v>
      </c>
      <c r="X87" s="73">
        <f t="shared" si="60"/>
        <v>6.5749032914828645</v>
      </c>
      <c r="Y87" s="322">
        <f t="shared" si="47"/>
        <v>1078.1940000000002</v>
      </c>
      <c r="Z87" s="43">
        <f t="shared" si="36"/>
        <v>6.0257420897887069E-63</v>
      </c>
      <c r="AA87" s="52">
        <f t="shared" si="48"/>
        <v>6.0257420897887068E-65</v>
      </c>
      <c r="AB87" s="8">
        <f t="shared" si="49"/>
        <v>20895.63</v>
      </c>
      <c r="AC87" s="8">
        <f t="shared" si="50"/>
        <v>2089563</v>
      </c>
      <c r="AD87" s="8">
        <f t="shared" si="61"/>
        <v>10447.815000000001</v>
      </c>
      <c r="AE87" s="8" t="str">
        <f t="shared" si="51"/>
        <v/>
      </c>
      <c r="AF87" s="22" t="str">
        <f t="shared" si="52"/>
        <v>AZ_Maric_2020g</v>
      </c>
      <c r="AG87">
        <v>1</v>
      </c>
      <c r="AH87" s="272">
        <v>15626</v>
      </c>
      <c r="AI87" s="273">
        <v>14892</v>
      </c>
      <c r="AJ87" s="274">
        <v>157</v>
      </c>
      <c r="AK87" s="339">
        <v>14735</v>
      </c>
      <c r="AL87" s="340" t="s">
        <v>1638</v>
      </c>
      <c r="AM87" s="353">
        <f t="shared" si="53"/>
        <v>7.0517136836745287E-3</v>
      </c>
      <c r="AN87" s="354"/>
      <c r="AP87" s="23">
        <f t="shared" si="65"/>
        <v>0</v>
      </c>
      <c r="AQ87" s="392">
        <f t="shared" si="63"/>
        <v>0</v>
      </c>
      <c r="AR87" s="392">
        <f t="shared" si="63"/>
        <v>0</v>
      </c>
      <c r="AS87" s="392">
        <f t="shared" si="63"/>
        <v>0</v>
      </c>
    </row>
    <row r="88" spans="1:45">
      <c r="A88" s="12" t="s">
        <v>1666</v>
      </c>
      <c r="B88" s="54" t="str">
        <f t="shared" si="37"/>
        <v>AZ_Maric_2020g</v>
      </c>
      <c r="C88" s="12"/>
      <c r="D88" s="54" t="str">
        <f t="shared" si="38"/>
        <v>Gen-chandler usd #80-gbm-4yr (vote for3)</v>
      </c>
      <c r="E88" s="54" t="s">
        <v>1826</v>
      </c>
      <c r="F88" s="12" t="s">
        <v>1300</v>
      </c>
      <c r="G88" s="59">
        <v>285</v>
      </c>
      <c r="H88"/>
      <c r="K88" s="2"/>
      <c r="O88">
        <f t="shared" si="39"/>
        <v>-4</v>
      </c>
      <c r="P88" s="57">
        <f t="shared" si="40"/>
        <v>3</v>
      </c>
      <c r="Q88" s="267">
        <f t="shared" si="41"/>
        <v>467</v>
      </c>
      <c r="R88" s="23">
        <f t="shared" si="42"/>
        <v>1</v>
      </c>
      <c r="S88" s="23">
        <f t="shared" si="43"/>
        <v>0</v>
      </c>
      <c r="T88" s="23" t="str">
        <f t="shared" si="44"/>
        <v/>
      </c>
      <c r="U88" t="str">
        <f t="shared" si="45"/>
        <v/>
      </c>
      <c r="W88" s="1">
        <f t="shared" si="46"/>
        <v>87</v>
      </c>
      <c r="X88" s="73">
        <f t="shared" si="60"/>
        <v>48.077163990137933</v>
      </c>
      <c r="Y88" s="322">
        <f t="shared" si="47"/>
        <v>8029.5300000000007</v>
      </c>
      <c r="Z88" s="43">
        <f t="shared" si="36"/>
        <v>3.8928022987299053E-64</v>
      </c>
      <c r="AA88" s="52">
        <f t="shared" si="48"/>
        <v>3.8928022987299053E-66</v>
      </c>
      <c r="AB88" s="8">
        <f t="shared" si="49"/>
        <v>20895.63</v>
      </c>
      <c r="AC88" s="8">
        <f t="shared" si="50"/>
        <v>2089563</v>
      </c>
      <c r="AD88" s="8">
        <f t="shared" si="61"/>
        <v>10447.815000000001</v>
      </c>
      <c r="AE88" s="8" t="str">
        <f t="shared" si="51"/>
        <v/>
      </c>
      <c r="AF88" s="22" t="str">
        <f t="shared" si="52"/>
        <v>AZ_Maric_2020g</v>
      </c>
      <c r="AG88">
        <v>2</v>
      </c>
      <c r="AH88" s="272">
        <v>116370</v>
      </c>
      <c r="AI88" s="273">
        <v>80264</v>
      </c>
      <c r="AJ88" s="274">
        <v>65257</v>
      </c>
      <c r="AK88" s="339">
        <v>15007</v>
      </c>
      <c r="AL88" s="340" t="s">
        <v>1565</v>
      </c>
      <c r="AM88" s="353">
        <f t="shared" si="53"/>
        <v>7.1818844418665533E-3</v>
      </c>
      <c r="AN88" s="354"/>
      <c r="AP88" s="23">
        <f t="shared" si="65"/>
        <v>0</v>
      </c>
      <c r="AQ88" s="392">
        <f t="shared" si="63"/>
        <v>0</v>
      </c>
      <c r="AR88" s="392">
        <f t="shared" si="63"/>
        <v>0</v>
      </c>
      <c r="AS88" s="392">
        <f t="shared" si="63"/>
        <v>0</v>
      </c>
    </row>
    <row r="89" spans="1:45">
      <c r="A89" s="12" t="s">
        <v>1666</v>
      </c>
      <c r="B89" s="54" t="str">
        <f t="shared" si="37"/>
        <v>AZ_Maric_2020g</v>
      </c>
      <c r="C89" s="12"/>
      <c r="D89" s="54" t="str">
        <f t="shared" si="38"/>
        <v>Gen-chandler usd #80-gbm-4yr (vote for3)</v>
      </c>
      <c r="E89" s="54" t="s">
        <v>1928</v>
      </c>
      <c r="F89" s="12" t="s">
        <v>1300</v>
      </c>
      <c r="G89" s="59">
        <v>182</v>
      </c>
      <c r="H89"/>
      <c r="K89" s="2"/>
      <c r="O89">
        <f t="shared" si="39"/>
        <v>-4</v>
      </c>
      <c r="P89" s="57">
        <f t="shared" si="40"/>
        <v>3</v>
      </c>
      <c r="Q89" s="267">
        <f t="shared" si="41"/>
        <v>182</v>
      </c>
      <c r="R89" s="23">
        <f t="shared" si="42"/>
        <v>1</v>
      </c>
      <c r="S89" s="23">
        <f t="shared" si="43"/>
        <v>0</v>
      </c>
      <c r="T89" s="23" t="str">
        <f t="shared" si="44"/>
        <v/>
      </c>
      <c r="U89" t="str">
        <f t="shared" si="45"/>
        <v/>
      </c>
      <c r="W89" s="1">
        <f t="shared" si="46"/>
        <v>88</v>
      </c>
      <c r="X89" s="73">
        <f t="shared" si="60"/>
        <v>67.617516558420689</v>
      </c>
      <c r="Y89" s="322">
        <f t="shared" si="47"/>
        <v>11702.400000000001</v>
      </c>
      <c r="Z89" s="43">
        <f t="shared" si="36"/>
        <v>1.6229230246055076E-66</v>
      </c>
      <c r="AA89" s="52">
        <f t="shared" si="48"/>
        <v>1.6229230246055077E-68</v>
      </c>
      <c r="AB89" s="8">
        <f t="shared" si="49"/>
        <v>20895.63</v>
      </c>
      <c r="AC89" s="8">
        <f t="shared" si="50"/>
        <v>2089563</v>
      </c>
      <c r="AD89" s="8">
        <f t="shared" si="61"/>
        <v>10447.815000000001</v>
      </c>
      <c r="AE89" s="8" t="str">
        <f t="shared" si="51"/>
        <v/>
      </c>
      <c r="AF89" s="22" t="str">
        <f t="shared" si="52"/>
        <v>AZ_Maric_2020g</v>
      </c>
      <c r="AG89">
        <v>1</v>
      </c>
      <c r="AH89" s="272">
        <v>169600</v>
      </c>
      <c r="AI89" s="273">
        <v>65198</v>
      </c>
      <c r="AJ89" s="274">
        <v>49647</v>
      </c>
      <c r="AK89" s="339">
        <v>15551</v>
      </c>
      <c r="AL89" s="340" t="s">
        <v>1623</v>
      </c>
      <c r="AM89" s="353">
        <f t="shared" si="53"/>
        <v>7.4422259582506006E-3</v>
      </c>
      <c r="AN89" s="354"/>
      <c r="AP89" s="23">
        <f t="shared" si="65"/>
        <v>0</v>
      </c>
      <c r="AQ89" s="392">
        <f t="shared" si="63"/>
        <v>0</v>
      </c>
      <c r="AR89" s="392">
        <f t="shared" si="63"/>
        <v>0</v>
      </c>
      <c r="AS89" s="392">
        <f t="shared" si="63"/>
        <v>0</v>
      </c>
    </row>
    <row r="90" spans="1:45">
      <c r="A90" s="12" t="s">
        <v>1676</v>
      </c>
      <c r="B90" s="54" t="str">
        <f t="shared" si="37"/>
        <v>AZ_Maric_2020g</v>
      </c>
      <c r="C90" s="12"/>
      <c r="D90" s="54" t="str">
        <f t="shared" si="38"/>
        <v>Gen-chandler-question 1 (vote for1)</v>
      </c>
      <c r="E90" s="54" t="s">
        <v>2154</v>
      </c>
      <c r="F90" s="12" t="s">
        <v>1300</v>
      </c>
      <c r="G90" s="59">
        <v>73402</v>
      </c>
      <c r="H90"/>
      <c r="K90" s="2"/>
      <c r="O90">
        <f t="shared" si="39"/>
        <v>1</v>
      </c>
      <c r="P90" s="57">
        <f t="shared" si="40"/>
        <v>1</v>
      </c>
      <c r="Q90" s="267">
        <f t="shared" si="41"/>
        <v>113464</v>
      </c>
      <c r="R90" s="23">
        <f t="shared" si="42"/>
        <v>73402</v>
      </c>
      <c r="S90" s="23">
        <f t="shared" si="43"/>
        <v>40062</v>
      </c>
      <c r="T90" s="23">
        <f t="shared" si="44"/>
        <v>33340</v>
      </c>
      <c r="U90" t="str">
        <f t="shared" si="45"/>
        <v>AZ_Maric_2020g~Gen-chandler-question 1 (vote for1)</v>
      </c>
      <c r="W90" s="1">
        <f t="shared" si="46"/>
        <v>89</v>
      </c>
      <c r="X90" s="73">
        <f t="shared" si="60"/>
        <v>32.273405832921405</v>
      </c>
      <c r="Y90" s="322">
        <f t="shared" si="47"/>
        <v>5812.8360000000002</v>
      </c>
      <c r="Z90" s="43">
        <f t="shared" si="36"/>
        <v>2.7553602735836432E-69</v>
      </c>
      <c r="AA90" s="52">
        <f t="shared" si="48"/>
        <v>2.7553602735836432E-71</v>
      </c>
      <c r="AB90" s="8">
        <f t="shared" si="49"/>
        <v>20895.63</v>
      </c>
      <c r="AC90" s="8">
        <f t="shared" si="50"/>
        <v>2089563</v>
      </c>
      <c r="AD90" s="8">
        <f t="shared" si="61"/>
        <v>10447.815000000001</v>
      </c>
      <c r="AE90" s="8" t="str">
        <f t="shared" si="51"/>
        <v/>
      </c>
      <c r="AF90" s="22" t="str">
        <f t="shared" si="52"/>
        <v>AZ_Maric_2020g</v>
      </c>
      <c r="AG90" s="302">
        <v>1</v>
      </c>
      <c r="AH90" s="301">
        <v>84244</v>
      </c>
      <c r="AI90" s="303">
        <v>50214</v>
      </c>
      <c r="AJ90" s="303">
        <v>34030</v>
      </c>
      <c r="AK90" s="342">
        <v>16184</v>
      </c>
      <c r="AL90" s="343" t="s">
        <v>1683</v>
      </c>
      <c r="AM90" s="353">
        <f t="shared" si="53"/>
        <v>7.7451601124254206E-3</v>
      </c>
      <c r="AN90" s="354"/>
      <c r="AP90" s="23">
        <f t="shared" si="65"/>
        <v>0</v>
      </c>
      <c r="AQ90" s="392">
        <f t="shared" si="63"/>
        <v>0</v>
      </c>
      <c r="AR90" s="392">
        <f t="shared" si="63"/>
        <v>0</v>
      </c>
      <c r="AS90" s="392">
        <f t="shared" si="63"/>
        <v>0</v>
      </c>
    </row>
    <row r="91" spans="1:45">
      <c r="A91" s="12" t="s">
        <v>1676</v>
      </c>
      <c r="B91" s="54" t="str">
        <f t="shared" si="37"/>
        <v>AZ_Maric_2020g</v>
      </c>
      <c r="C91" s="12"/>
      <c r="D91" s="54" t="str">
        <f t="shared" si="38"/>
        <v>Gen-chandler-question 1 (vote for1)</v>
      </c>
      <c r="E91" s="54" t="s">
        <v>2155</v>
      </c>
      <c r="F91" s="12" t="s">
        <v>1300</v>
      </c>
      <c r="G91" s="59">
        <v>40062</v>
      </c>
      <c r="H91"/>
      <c r="K91" s="2"/>
      <c r="O91">
        <f t="shared" si="39"/>
        <v>2</v>
      </c>
      <c r="P91" s="57">
        <f t="shared" si="40"/>
        <v>1</v>
      </c>
      <c r="Q91" s="267">
        <f t="shared" si="41"/>
        <v>40062</v>
      </c>
      <c r="R91" s="23" t="str">
        <f t="shared" si="42"/>
        <v/>
      </c>
      <c r="S91" s="23">
        <f t="shared" si="43"/>
        <v>40062</v>
      </c>
      <c r="T91" s="23" t="str">
        <f t="shared" si="44"/>
        <v/>
      </c>
      <c r="U91" t="str">
        <f t="shared" si="45"/>
        <v/>
      </c>
      <c r="W91" s="1">
        <f t="shared" si="46"/>
        <v>90</v>
      </c>
      <c r="X91" s="73">
        <f t="shared" si="60"/>
        <v>19.484407279881946</v>
      </c>
      <c r="Y91" s="322">
        <f t="shared" si="47"/>
        <v>3526.7280000000005</v>
      </c>
      <c r="Z91" s="43">
        <f t="shared" si="36"/>
        <v>1.2303370516370863E-69</v>
      </c>
      <c r="AA91" s="52">
        <f t="shared" si="48"/>
        <v>1.2303370516370862E-71</v>
      </c>
      <c r="AB91" s="8">
        <f t="shared" si="49"/>
        <v>20895.63</v>
      </c>
      <c r="AC91" s="8">
        <f t="shared" si="50"/>
        <v>2089563</v>
      </c>
      <c r="AD91" s="8">
        <f t="shared" si="61"/>
        <v>10447.815000000001</v>
      </c>
      <c r="AE91" s="8" t="str">
        <f t="shared" si="51"/>
        <v/>
      </c>
      <c r="AF91" s="22" t="str">
        <f t="shared" si="52"/>
        <v>AZ_Maric_2020g</v>
      </c>
      <c r="AG91">
        <v>2</v>
      </c>
      <c r="AH91" s="272">
        <v>51112</v>
      </c>
      <c r="AI91" s="273">
        <v>32075</v>
      </c>
      <c r="AJ91" s="274">
        <v>15811</v>
      </c>
      <c r="AK91" s="339">
        <v>16264</v>
      </c>
      <c r="AL91" s="340" t="s">
        <v>1577</v>
      </c>
      <c r="AM91" s="353">
        <f t="shared" si="53"/>
        <v>7.7834456295407225E-3</v>
      </c>
      <c r="AN91" s="354"/>
      <c r="AP91" s="23">
        <f t="shared" si="65"/>
        <v>0</v>
      </c>
      <c r="AQ91" s="392">
        <f t="shared" si="63"/>
        <v>0</v>
      </c>
      <c r="AR91" s="392">
        <f t="shared" si="63"/>
        <v>0</v>
      </c>
      <c r="AS91" s="392">
        <f t="shared" si="63"/>
        <v>0</v>
      </c>
    </row>
    <row r="92" spans="1:45">
      <c r="A92" s="12" t="s">
        <v>1593</v>
      </c>
      <c r="B92" s="54" t="str">
        <f t="shared" si="37"/>
        <v>AZ_Maric_2020g</v>
      </c>
      <c r="C92" s="12"/>
      <c r="D92" s="54" t="str">
        <f t="shared" si="38"/>
        <v>Gen-constable-arcadia biltmore (vote for1)</v>
      </c>
      <c r="E92" s="54" t="s">
        <v>1954</v>
      </c>
      <c r="F92" s="12" t="s">
        <v>1294</v>
      </c>
      <c r="G92" s="59">
        <v>47848</v>
      </c>
      <c r="H92"/>
      <c r="K92" s="2"/>
      <c r="O92">
        <f t="shared" si="39"/>
        <v>1</v>
      </c>
      <c r="P92" s="57">
        <f t="shared" si="40"/>
        <v>1</v>
      </c>
      <c r="Q92" s="267">
        <f t="shared" si="41"/>
        <v>49126</v>
      </c>
      <c r="R92" s="23">
        <f t="shared" si="42"/>
        <v>47848</v>
      </c>
      <c r="S92" s="23">
        <f t="shared" si="43"/>
        <v>0</v>
      </c>
      <c r="T92" s="23" t="str">
        <f t="shared" si="44"/>
        <v/>
      </c>
      <c r="U92" t="str">
        <f t="shared" si="45"/>
        <v>AZ_Maric_2020g~Gen-constable-arcadia biltmore (vote for1)</v>
      </c>
      <c r="W92" s="1">
        <f t="shared" si="46"/>
        <v>91</v>
      </c>
      <c r="X92" s="73">
        <f t="shared" si="60"/>
        <v>36.766960218645615</v>
      </c>
      <c r="Y92" s="322">
        <f t="shared" si="47"/>
        <v>6737.1600000000008</v>
      </c>
      <c r="Z92" s="43">
        <f t="shared" si="36"/>
        <v>1.6225639729093932E-70</v>
      </c>
      <c r="AA92" s="52">
        <f t="shared" si="48"/>
        <v>1.6225639729093933E-72</v>
      </c>
      <c r="AB92" s="8">
        <f t="shared" si="49"/>
        <v>20895.63</v>
      </c>
      <c r="AC92" s="8">
        <f t="shared" si="50"/>
        <v>2089563</v>
      </c>
      <c r="AD92" s="8">
        <f t="shared" si="61"/>
        <v>10447.815000000001</v>
      </c>
      <c r="AE92" s="8" t="str">
        <f t="shared" si="51"/>
        <v/>
      </c>
      <c r="AF92" s="22" t="str">
        <f t="shared" si="52"/>
        <v>AZ_Maric_2020g</v>
      </c>
      <c r="AG92">
        <v>1</v>
      </c>
      <c r="AH92" s="272">
        <v>97640</v>
      </c>
      <c r="AI92" s="273">
        <v>56986</v>
      </c>
      <c r="AJ92" s="274">
        <v>40521</v>
      </c>
      <c r="AK92" s="339">
        <v>16465</v>
      </c>
      <c r="AL92" s="340" t="s">
        <v>1533</v>
      </c>
      <c r="AM92" s="353">
        <f t="shared" si="53"/>
        <v>7.8796379912929159E-3</v>
      </c>
      <c r="AN92" s="354"/>
      <c r="AO92" s="356"/>
      <c r="AP92" s="23">
        <f t="shared" si="65"/>
        <v>0</v>
      </c>
      <c r="AQ92" s="392">
        <f t="shared" si="63"/>
        <v>0</v>
      </c>
      <c r="AR92" s="392">
        <f t="shared" si="63"/>
        <v>0</v>
      </c>
      <c r="AS92" s="392">
        <f t="shared" si="63"/>
        <v>0</v>
      </c>
    </row>
    <row r="93" spans="1:45">
      <c r="A93" s="12" t="s">
        <v>1593</v>
      </c>
      <c r="B93" s="54" t="str">
        <f t="shared" si="37"/>
        <v>AZ_Maric_2020g</v>
      </c>
      <c r="C93" s="12"/>
      <c r="D93" s="54" t="str">
        <f t="shared" si="38"/>
        <v>Gen-constable-arcadia biltmore (vote for1)</v>
      </c>
      <c r="E93" s="54" t="s">
        <v>1299</v>
      </c>
      <c r="G93" s="59">
        <v>1278</v>
      </c>
      <c r="H93"/>
      <c r="K93" s="2"/>
      <c r="O93">
        <f t="shared" si="39"/>
        <v>-1</v>
      </c>
      <c r="P93" s="57">
        <f t="shared" si="40"/>
        <v>1</v>
      </c>
      <c r="Q93" s="267">
        <f t="shared" si="41"/>
        <v>1278</v>
      </c>
      <c r="R93" s="23">
        <f t="shared" si="42"/>
        <v>1</v>
      </c>
      <c r="S93" s="23">
        <f t="shared" si="43"/>
        <v>0</v>
      </c>
      <c r="T93" s="23" t="str">
        <f t="shared" si="44"/>
        <v/>
      </c>
      <c r="U93" t="str">
        <f t="shared" si="45"/>
        <v/>
      </c>
      <c r="W93" s="1">
        <f t="shared" si="46"/>
        <v>92</v>
      </c>
      <c r="X93" s="73">
        <f t="shared" si="60"/>
        <v>31.430825688073394</v>
      </c>
      <c r="Y93" s="322">
        <f t="shared" si="47"/>
        <v>5909.7810000000009</v>
      </c>
      <c r="Z93" s="43">
        <f t="shared" si="36"/>
        <v>2.1267110604458002E-72</v>
      </c>
      <c r="AA93" s="52">
        <f t="shared" si="48"/>
        <v>2.1267110604458002E-74</v>
      </c>
      <c r="AB93" s="8">
        <f t="shared" si="49"/>
        <v>20895.63</v>
      </c>
      <c r="AC93" s="8">
        <f t="shared" si="50"/>
        <v>2089563</v>
      </c>
      <c r="AD93" s="8">
        <f t="shared" si="61"/>
        <v>10447.815000000001</v>
      </c>
      <c r="AE93" s="8" t="str">
        <f t="shared" si="51"/>
        <v/>
      </c>
      <c r="AF93" s="22" t="str">
        <f t="shared" si="52"/>
        <v>AZ_Maric_2020g</v>
      </c>
      <c r="AG93">
        <v>1</v>
      </c>
      <c r="AH93" s="272">
        <v>85649</v>
      </c>
      <c r="AI93" s="273">
        <v>51272</v>
      </c>
      <c r="AJ93" s="274">
        <v>34377</v>
      </c>
      <c r="AK93" s="339">
        <v>16895</v>
      </c>
      <c r="AL93" s="340" t="s">
        <v>1681</v>
      </c>
      <c r="AM93" s="353">
        <f t="shared" si="53"/>
        <v>8.0854226457876596E-3</v>
      </c>
      <c r="AN93" s="354"/>
      <c r="AO93" s="356"/>
      <c r="AP93" s="23">
        <f t="shared" si="65"/>
        <v>0</v>
      </c>
      <c r="AQ93" s="392">
        <f t="shared" si="63"/>
        <v>0</v>
      </c>
      <c r="AR93" s="392">
        <f t="shared" si="63"/>
        <v>0</v>
      </c>
      <c r="AS93" s="392">
        <f t="shared" si="63"/>
        <v>0</v>
      </c>
    </row>
    <row r="94" spans="1:45">
      <c r="A94" s="12" t="s">
        <v>1611</v>
      </c>
      <c r="B94" s="54" t="str">
        <f t="shared" si="37"/>
        <v>AZ_Maric_2020g</v>
      </c>
      <c r="C94" s="12"/>
      <c r="D94" s="54" t="str">
        <f t="shared" si="38"/>
        <v>Gen-constable-country meadows (vote for1)</v>
      </c>
      <c r="E94" s="54" t="s">
        <v>1973</v>
      </c>
      <c r="F94" s="12" t="s">
        <v>1294</v>
      </c>
      <c r="G94" s="59">
        <v>40195</v>
      </c>
      <c r="H94"/>
      <c r="K94" s="2"/>
      <c r="O94">
        <f t="shared" si="39"/>
        <v>1</v>
      </c>
      <c r="P94" s="57">
        <f t="shared" si="40"/>
        <v>1</v>
      </c>
      <c r="Q94" s="267">
        <f t="shared" si="41"/>
        <v>41224</v>
      </c>
      <c r="R94" s="23">
        <f t="shared" si="42"/>
        <v>40195</v>
      </c>
      <c r="S94" s="23">
        <f t="shared" si="43"/>
        <v>0</v>
      </c>
      <c r="T94" s="23" t="str">
        <f t="shared" si="44"/>
        <v/>
      </c>
      <c r="U94" t="str">
        <f t="shared" si="45"/>
        <v>AZ_Maric_2020g~Gen-constable-country meadows (vote for1)</v>
      </c>
      <c r="W94" s="1">
        <f t="shared" si="46"/>
        <v>93</v>
      </c>
      <c r="X94" s="73">
        <f t="shared" si="60"/>
        <v>32.21179201485608</v>
      </c>
      <c r="Y94" s="322">
        <f t="shared" si="47"/>
        <v>6177.4320000000007</v>
      </c>
      <c r="Z94" s="43">
        <f t="shared" si="36"/>
        <v>7.1135446029157403E-74</v>
      </c>
      <c r="AA94" s="52">
        <f t="shared" si="48"/>
        <v>7.1135446029157407E-76</v>
      </c>
      <c r="AB94" s="8">
        <f t="shared" si="49"/>
        <v>20895.63</v>
      </c>
      <c r="AC94" s="8">
        <f t="shared" si="50"/>
        <v>2089563</v>
      </c>
      <c r="AD94" s="8">
        <f t="shared" si="61"/>
        <v>10447.815000000001</v>
      </c>
      <c r="AE94" s="8" t="str">
        <f t="shared" si="51"/>
        <v/>
      </c>
      <c r="AF94" s="22" t="str">
        <f t="shared" si="52"/>
        <v>AZ_Maric_2020g</v>
      </c>
      <c r="AG94">
        <v>2</v>
      </c>
      <c r="AH94" s="272">
        <v>89528</v>
      </c>
      <c r="AI94" s="273">
        <v>63412</v>
      </c>
      <c r="AJ94" s="274">
        <v>46180</v>
      </c>
      <c r="AK94" s="339">
        <v>17232</v>
      </c>
      <c r="AL94" s="340" t="s">
        <v>1569</v>
      </c>
      <c r="AM94" s="353">
        <f t="shared" si="53"/>
        <v>8.2467003866358666E-3</v>
      </c>
      <c r="AN94" s="354"/>
      <c r="AP94" s="23">
        <f t="shared" si="65"/>
        <v>0</v>
      </c>
      <c r="AQ94" s="392">
        <f t="shared" si="63"/>
        <v>0</v>
      </c>
      <c r="AR94" s="392">
        <f t="shared" si="63"/>
        <v>0</v>
      </c>
      <c r="AS94" s="392">
        <f t="shared" si="63"/>
        <v>0</v>
      </c>
    </row>
    <row r="95" spans="1:45">
      <c r="A95" s="12" t="s">
        <v>1611</v>
      </c>
      <c r="B95" s="54" t="str">
        <f t="shared" si="37"/>
        <v>AZ_Maric_2020g</v>
      </c>
      <c r="C95" s="12"/>
      <c r="D95" s="54" t="str">
        <f t="shared" si="38"/>
        <v>Gen-constable-country meadows (vote for1)</v>
      </c>
      <c r="E95" s="54" t="s">
        <v>1299</v>
      </c>
      <c r="G95" s="59">
        <v>1029</v>
      </c>
      <c r="H95"/>
      <c r="K95" s="2"/>
      <c r="O95">
        <f t="shared" si="39"/>
        <v>-1</v>
      </c>
      <c r="P95" s="57">
        <f t="shared" si="40"/>
        <v>1</v>
      </c>
      <c r="Q95" s="267">
        <f t="shared" si="41"/>
        <v>1029</v>
      </c>
      <c r="R95" s="23">
        <f t="shared" si="42"/>
        <v>1</v>
      </c>
      <c r="S95" s="23">
        <f t="shared" si="43"/>
        <v>0</v>
      </c>
      <c r="T95" s="23" t="str">
        <f t="shared" si="44"/>
        <v/>
      </c>
      <c r="U95" t="str">
        <f t="shared" si="45"/>
        <v/>
      </c>
      <c r="W95" s="1">
        <f t="shared" si="46"/>
        <v>94</v>
      </c>
      <c r="X95" s="73">
        <f t="shared" si="60"/>
        <v>44.612770875469515</v>
      </c>
      <c r="Y95" s="322">
        <f t="shared" si="47"/>
        <v>8591.880000000001</v>
      </c>
      <c r="Z95" s="43">
        <f t="shared" si="36"/>
        <v>3.407290983438454E-74</v>
      </c>
      <c r="AA95" s="52">
        <f t="shared" si="48"/>
        <v>3.407290983438454E-76</v>
      </c>
      <c r="AB95" s="8">
        <f t="shared" si="49"/>
        <v>20895.63</v>
      </c>
      <c r="AC95" s="8">
        <f t="shared" si="50"/>
        <v>2089563</v>
      </c>
      <c r="AD95" s="8">
        <f t="shared" si="61"/>
        <v>10447.815000000001</v>
      </c>
      <c r="AE95" s="8" t="str">
        <f t="shared" si="51"/>
        <v/>
      </c>
      <c r="AF95" s="22" t="str">
        <f t="shared" si="52"/>
        <v>AZ_Maric_2020g</v>
      </c>
      <c r="AG95">
        <v>1</v>
      </c>
      <c r="AH95" s="272">
        <v>124520</v>
      </c>
      <c r="AI95" s="273">
        <v>70426</v>
      </c>
      <c r="AJ95" s="274">
        <v>53121</v>
      </c>
      <c r="AK95" s="339">
        <v>17305</v>
      </c>
      <c r="AL95" s="340" t="s">
        <v>1679</v>
      </c>
      <c r="AM95" s="353">
        <f t="shared" si="53"/>
        <v>8.281635921003578E-3</v>
      </c>
      <c r="AN95" s="354"/>
      <c r="AP95" s="23">
        <f t="shared" si="65"/>
        <v>0</v>
      </c>
      <c r="AQ95" s="392">
        <f t="shared" si="63"/>
        <v>0</v>
      </c>
      <c r="AR95" s="392">
        <f t="shared" si="63"/>
        <v>0</v>
      </c>
      <c r="AS95" s="392">
        <f t="shared" si="63"/>
        <v>0</v>
      </c>
    </row>
    <row r="96" spans="1:45">
      <c r="A96" s="12" t="s">
        <v>1609</v>
      </c>
      <c r="B96" s="54" t="str">
        <f t="shared" si="37"/>
        <v>AZ_Maric_2020g</v>
      </c>
      <c r="C96" s="12"/>
      <c r="D96" s="54" t="str">
        <f t="shared" si="38"/>
        <v>Gen-constable-desert ridge (vote for1)</v>
      </c>
      <c r="E96" s="54" t="s">
        <v>1971</v>
      </c>
      <c r="F96" s="12" t="s">
        <v>1296</v>
      </c>
      <c r="G96" s="59">
        <v>75933</v>
      </c>
      <c r="H96"/>
      <c r="K96" s="2"/>
      <c r="O96">
        <f t="shared" si="39"/>
        <v>1</v>
      </c>
      <c r="P96" s="57">
        <f t="shared" si="40"/>
        <v>1</v>
      </c>
      <c r="Q96" s="267">
        <f t="shared" si="41"/>
        <v>77238</v>
      </c>
      <c r="R96" s="23">
        <f t="shared" si="42"/>
        <v>75933</v>
      </c>
      <c r="S96" s="23">
        <f t="shared" si="43"/>
        <v>0</v>
      </c>
      <c r="T96" s="23" t="str">
        <f t="shared" si="44"/>
        <v/>
      </c>
      <c r="U96" t="str">
        <f t="shared" si="45"/>
        <v>AZ_Maric_2020g~Gen-constable-desert ridge (vote for1)</v>
      </c>
      <c r="W96" s="1">
        <f t="shared" si="46"/>
        <v>95</v>
      </c>
      <c r="X96" s="73">
        <f t="shared" si="60"/>
        <v>29.496277972731981</v>
      </c>
      <c r="Y96" s="322">
        <f t="shared" si="47"/>
        <v>5706.2310000000007</v>
      </c>
      <c r="Z96" s="43">
        <f t="shared" si="36"/>
        <v>1.5517589911856843E-74</v>
      </c>
      <c r="AA96" s="52">
        <f t="shared" si="48"/>
        <v>1.5517589911856842E-76</v>
      </c>
      <c r="AB96" s="8">
        <f t="shared" si="49"/>
        <v>20895.63</v>
      </c>
      <c r="AC96" s="8">
        <f t="shared" si="50"/>
        <v>2089563</v>
      </c>
      <c r="AD96" s="8">
        <f t="shared" si="61"/>
        <v>10447.815000000001</v>
      </c>
      <c r="AE96" s="8" t="str">
        <f t="shared" si="51"/>
        <v/>
      </c>
      <c r="AF96" s="22" t="str">
        <f t="shared" si="52"/>
        <v>AZ_Maric_2020g</v>
      </c>
      <c r="AG96">
        <v>1</v>
      </c>
      <c r="AH96" s="272">
        <v>82699</v>
      </c>
      <c r="AI96" s="273">
        <v>50041</v>
      </c>
      <c r="AJ96" s="274">
        <v>32658</v>
      </c>
      <c r="AK96" s="339">
        <v>17383</v>
      </c>
      <c r="AL96" s="340" t="s">
        <v>1684</v>
      </c>
      <c r="AM96" s="353">
        <f t="shared" si="53"/>
        <v>8.3189643001909969E-3</v>
      </c>
      <c r="AN96" s="354"/>
      <c r="AP96" s="23">
        <f t="shared" si="65"/>
        <v>0</v>
      </c>
      <c r="AQ96" s="392">
        <f t="shared" si="63"/>
        <v>0</v>
      </c>
      <c r="AR96" s="392">
        <f t="shared" si="63"/>
        <v>0</v>
      </c>
      <c r="AS96" s="392">
        <f t="shared" si="63"/>
        <v>0</v>
      </c>
    </row>
    <row r="97" spans="1:45">
      <c r="A97" s="12" t="s">
        <v>1609</v>
      </c>
      <c r="B97" s="54" t="str">
        <f t="shared" si="37"/>
        <v>AZ_Maric_2020g</v>
      </c>
      <c r="C97" s="12"/>
      <c r="D97" s="54" t="str">
        <f t="shared" si="38"/>
        <v>Gen-constable-desert ridge (vote for1)</v>
      </c>
      <c r="E97" s="54" t="s">
        <v>1299</v>
      </c>
      <c r="G97" s="59">
        <v>1305</v>
      </c>
      <c r="H97"/>
      <c r="K97" s="2"/>
      <c r="O97">
        <f t="shared" si="39"/>
        <v>-1</v>
      </c>
      <c r="P97" s="57">
        <f t="shared" si="40"/>
        <v>1</v>
      </c>
      <c r="Q97" s="267">
        <f t="shared" si="41"/>
        <v>1305</v>
      </c>
      <c r="R97" s="23">
        <f t="shared" si="42"/>
        <v>1</v>
      </c>
      <c r="S97" s="23">
        <f t="shared" si="43"/>
        <v>0</v>
      </c>
      <c r="T97" s="23" t="str">
        <f t="shared" si="44"/>
        <v/>
      </c>
      <c r="U97" t="str">
        <f t="shared" si="45"/>
        <v/>
      </c>
      <c r="W97" s="1">
        <f t="shared" si="46"/>
        <v>96</v>
      </c>
      <c r="X97" s="73">
        <f t="shared" si="60"/>
        <v>142.86489883676057</v>
      </c>
      <c r="Y97" s="322">
        <f t="shared" si="47"/>
        <v>28840.068000000003</v>
      </c>
      <c r="Z97" s="43">
        <f t="shared" si="36"/>
        <v>7.5755015923963298E-78</v>
      </c>
      <c r="AA97" s="52">
        <f t="shared" si="48"/>
        <v>7.57550159239633E-80</v>
      </c>
      <c r="AB97" s="8">
        <f t="shared" si="49"/>
        <v>20895.63</v>
      </c>
      <c r="AC97" s="8">
        <f t="shared" si="50"/>
        <v>2089563</v>
      </c>
      <c r="AD97" s="8">
        <f t="shared" si="61"/>
        <v>10447.815000000001</v>
      </c>
      <c r="AE97" s="8" t="str">
        <f t="shared" si="51"/>
        <v/>
      </c>
      <c r="AF97" s="22" t="str">
        <f t="shared" si="52"/>
        <v>AZ_Maric_2020g</v>
      </c>
      <c r="AG97">
        <v>1</v>
      </c>
      <c r="AH97" s="272">
        <v>417972</v>
      </c>
      <c r="AI97" s="273">
        <v>217783</v>
      </c>
      <c r="AJ97" s="274">
        <v>199644</v>
      </c>
      <c r="AK97" s="339">
        <v>18139</v>
      </c>
      <c r="AL97" s="340" t="s">
        <v>1536</v>
      </c>
      <c r="AM97" s="353">
        <f t="shared" si="53"/>
        <v>8.6807624369305923E-3</v>
      </c>
      <c r="AN97" s="354"/>
      <c r="AP97" s="23">
        <f t="shared" si="65"/>
        <v>0</v>
      </c>
      <c r="AQ97" s="392">
        <f t="shared" si="63"/>
        <v>0</v>
      </c>
      <c r="AR97" s="392">
        <f t="shared" si="63"/>
        <v>0</v>
      </c>
      <c r="AS97" s="392">
        <f t="shared" si="63"/>
        <v>0</v>
      </c>
    </row>
    <row r="98" spans="1:45">
      <c r="A98" s="12" t="s">
        <v>1599</v>
      </c>
      <c r="B98" s="54" t="str">
        <f t="shared" si="37"/>
        <v>AZ_Maric_2020g</v>
      </c>
      <c r="C98" s="12"/>
      <c r="D98" s="54" t="str">
        <f t="shared" si="38"/>
        <v>Gen-constable-dreamy draw (vote for1)</v>
      </c>
      <c r="E98" s="54" t="s">
        <v>1960</v>
      </c>
      <c r="F98" s="12" t="s">
        <v>1296</v>
      </c>
      <c r="G98" s="59">
        <v>50030</v>
      </c>
      <c r="H98"/>
      <c r="K98" s="2"/>
      <c r="O98">
        <f t="shared" si="39"/>
        <v>1</v>
      </c>
      <c r="P98" s="57">
        <f t="shared" si="40"/>
        <v>1</v>
      </c>
      <c r="Q98" s="267">
        <f t="shared" si="41"/>
        <v>51655</v>
      </c>
      <c r="R98" s="23">
        <f t="shared" si="42"/>
        <v>50030</v>
      </c>
      <c r="S98" s="23">
        <f t="shared" si="43"/>
        <v>0</v>
      </c>
      <c r="T98" s="23" t="str">
        <f t="shared" si="44"/>
        <v/>
      </c>
      <c r="U98" t="str">
        <f t="shared" si="45"/>
        <v>AZ_Maric_2020g~Gen-constable-dreamy draw (vote for1)</v>
      </c>
      <c r="W98" s="1">
        <f t="shared" si="46"/>
        <v>97</v>
      </c>
      <c r="X98" s="73">
        <f t="shared" si="60"/>
        <v>14.927570676650932</v>
      </c>
      <c r="Y98" s="322">
        <f t="shared" si="47"/>
        <v>3061.5990000000002</v>
      </c>
      <c r="Z98" s="43">
        <f t="shared" si="36"/>
        <v>4.0629333217410438E-79</v>
      </c>
      <c r="AA98" s="52">
        <f t="shared" si="48"/>
        <v>4.0629333217410436E-81</v>
      </c>
      <c r="AB98" s="8">
        <f t="shared" si="49"/>
        <v>20895.63</v>
      </c>
      <c r="AC98" s="8">
        <f t="shared" si="50"/>
        <v>2089563</v>
      </c>
      <c r="AD98" s="8">
        <f t="shared" si="61"/>
        <v>10447.815000000001</v>
      </c>
      <c r="AE98" s="8" t="str">
        <f t="shared" si="51"/>
        <v/>
      </c>
      <c r="AF98" s="22" t="str">
        <f t="shared" si="52"/>
        <v>AZ_Maric_2020g</v>
      </c>
      <c r="AG98">
        <v>1</v>
      </c>
      <c r="AH98" s="272">
        <v>44371</v>
      </c>
      <c r="AI98" s="273">
        <v>31382</v>
      </c>
      <c r="AJ98" s="274">
        <v>12953</v>
      </c>
      <c r="AK98" s="339">
        <v>18429</v>
      </c>
      <c r="AL98" s="340" t="s">
        <v>1540</v>
      </c>
      <c r="AM98" s="353">
        <f t="shared" si="53"/>
        <v>8.8195474364735592E-3</v>
      </c>
      <c r="AN98" s="354"/>
      <c r="AP98" s="23">
        <f t="shared" si="65"/>
        <v>0</v>
      </c>
      <c r="AQ98" s="392">
        <f t="shared" si="63"/>
        <v>0</v>
      </c>
      <c r="AR98" s="392">
        <f t="shared" si="63"/>
        <v>0</v>
      </c>
      <c r="AS98" s="392">
        <f t="shared" si="63"/>
        <v>0</v>
      </c>
    </row>
    <row r="99" spans="1:45">
      <c r="A99" s="12" t="s">
        <v>1599</v>
      </c>
      <c r="B99" s="54" t="str">
        <f t="shared" si="37"/>
        <v>AZ_Maric_2020g</v>
      </c>
      <c r="C99" s="12"/>
      <c r="D99" s="54" t="str">
        <f t="shared" si="38"/>
        <v>Gen-constable-dreamy draw (vote for1)</v>
      </c>
      <c r="E99" s="54" t="s">
        <v>1299</v>
      </c>
      <c r="G99" s="59">
        <v>1625</v>
      </c>
      <c r="H99"/>
      <c r="K99" s="2"/>
      <c r="O99">
        <f t="shared" si="39"/>
        <v>-1</v>
      </c>
      <c r="P99" s="57">
        <f t="shared" si="40"/>
        <v>1</v>
      </c>
      <c r="Q99" s="267">
        <f t="shared" si="41"/>
        <v>1625</v>
      </c>
      <c r="R99" s="23">
        <f t="shared" si="42"/>
        <v>1</v>
      </c>
      <c r="S99" s="23">
        <f t="shared" si="43"/>
        <v>0</v>
      </c>
      <c r="T99" s="23" t="str">
        <f t="shared" si="44"/>
        <v/>
      </c>
      <c r="U99" t="str">
        <f t="shared" si="45"/>
        <v/>
      </c>
      <c r="W99" s="1">
        <f t="shared" si="46"/>
        <v>98</v>
      </c>
      <c r="X99" s="73">
        <f t="shared" si="60"/>
        <v>537.94323486042617</v>
      </c>
      <c r="Y99" s="322">
        <f t="shared" si="47"/>
        <v>117742.15200000002</v>
      </c>
      <c r="Z99" s="43">
        <f t="shared" si="36"/>
        <v>1.523390908699981E-84</v>
      </c>
      <c r="AA99" s="52">
        <f t="shared" si="48"/>
        <v>1.5233909086999809E-86</v>
      </c>
      <c r="AB99" s="8">
        <f t="shared" si="49"/>
        <v>20895.63</v>
      </c>
      <c r="AC99" s="8">
        <f t="shared" si="50"/>
        <v>2089563</v>
      </c>
      <c r="AD99" s="8">
        <f t="shared" si="61"/>
        <v>10447.815000000001</v>
      </c>
      <c r="AE99" s="8" t="str">
        <f t="shared" si="51"/>
        <v/>
      </c>
      <c r="AF99" s="22" t="str">
        <f t="shared" si="52"/>
        <v>AZ_Maric_2020g</v>
      </c>
      <c r="AG99">
        <v>3</v>
      </c>
      <c r="AH99" s="272">
        <v>1706408</v>
      </c>
      <c r="AI99" s="273">
        <v>866823</v>
      </c>
      <c r="AJ99" s="274">
        <v>847156</v>
      </c>
      <c r="AK99" s="339">
        <v>19667</v>
      </c>
      <c r="AL99" s="340" t="s">
        <v>1580</v>
      </c>
      <c r="AM99" s="353">
        <f t="shared" si="53"/>
        <v>9.4120158138328441E-3</v>
      </c>
      <c r="AN99" s="354"/>
      <c r="AP99" s="23">
        <f t="shared" si="65"/>
        <v>0</v>
      </c>
      <c r="AQ99" s="392">
        <f t="shared" si="63"/>
        <v>0</v>
      </c>
      <c r="AR99" s="392">
        <f t="shared" si="63"/>
        <v>0</v>
      </c>
      <c r="AS99" s="392">
        <f t="shared" si="63"/>
        <v>0</v>
      </c>
    </row>
    <row r="100" spans="1:45">
      <c r="A100" s="12" t="s">
        <v>1604</v>
      </c>
      <c r="B100" s="54" t="str">
        <f t="shared" si="37"/>
        <v>AZ_Maric_2020g</v>
      </c>
      <c r="C100" s="12"/>
      <c r="D100" s="54" t="str">
        <f t="shared" si="38"/>
        <v>Gen-constable-highland (vote for1)</v>
      </c>
      <c r="E100" s="54" t="s">
        <v>1966</v>
      </c>
      <c r="F100" s="12" t="s">
        <v>1296</v>
      </c>
      <c r="G100" s="59">
        <v>88555</v>
      </c>
      <c r="H100"/>
      <c r="K100" s="2"/>
      <c r="O100">
        <f t="shared" si="39"/>
        <v>1</v>
      </c>
      <c r="P100" s="57">
        <f t="shared" si="40"/>
        <v>1</v>
      </c>
      <c r="Q100" s="267">
        <f t="shared" si="41"/>
        <v>90301</v>
      </c>
      <c r="R100" s="23">
        <f t="shared" si="42"/>
        <v>88555</v>
      </c>
      <c r="S100" s="23">
        <f t="shared" si="43"/>
        <v>0</v>
      </c>
      <c r="T100" s="23" t="str">
        <f t="shared" si="44"/>
        <v/>
      </c>
      <c r="U100" t="str">
        <f t="shared" si="45"/>
        <v>AZ_Maric_2020g~Gen-constable-highland (vote for1)</v>
      </c>
      <c r="W100" s="1">
        <f t="shared" si="46"/>
        <v>99</v>
      </c>
      <c r="X100" s="73">
        <f t="shared" si="60"/>
        <v>17.716550513913262</v>
      </c>
      <c r="Y100" s="322">
        <f t="shared" si="47"/>
        <v>3932.5170000000003</v>
      </c>
      <c r="Z100" s="43">
        <f t="shared" si="36"/>
        <v>9.2027873198654478E-86</v>
      </c>
      <c r="AA100" s="52">
        <f t="shared" si="48"/>
        <v>9.2027873198654475E-88</v>
      </c>
      <c r="AB100" s="8">
        <f t="shared" si="49"/>
        <v>20895.63</v>
      </c>
      <c r="AC100" s="8">
        <f t="shared" si="50"/>
        <v>2089563</v>
      </c>
      <c r="AD100" s="8">
        <f t="shared" si="61"/>
        <v>10447.815000000001</v>
      </c>
      <c r="AE100" s="8" t="str">
        <f t="shared" si="51"/>
        <v/>
      </c>
      <c r="AF100" s="22" t="str">
        <f t="shared" si="52"/>
        <v>AZ_Maric_2020g</v>
      </c>
      <c r="AG100">
        <v>1</v>
      </c>
      <c r="AH100" s="272">
        <v>56993</v>
      </c>
      <c r="AI100" s="273">
        <v>38469</v>
      </c>
      <c r="AJ100" s="274">
        <v>18524</v>
      </c>
      <c r="AK100" s="339">
        <v>19945</v>
      </c>
      <c r="AL100" s="340" t="s">
        <v>1625</v>
      </c>
      <c r="AM100" s="353">
        <f t="shared" si="53"/>
        <v>9.5450579858085156E-3</v>
      </c>
      <c r="AN100" s="354"/>
      <c r="AP100" s="23">
        <f t="shared" si="65"/>
        <v>0</v>
      </c>
      <c r="AQ100" s="392">
        <f t="shared" si="63"/>
        <v>0</v>
      </c>
      <c r="AR100" s="392">
        <f t="shared" si="63"/>
        <v>0</v>
      </c>
      <c r="AS100" s="392">
        <f t="shared" si="63"/>
        <v>0</v>
      </c>
    </row>
    <row r="101" spans="1:45">
      <c r="A101" s="12" t="s">
        <v>1604</v>
      </c>
      <c r="B101" s="54" t="str">
        <f t="shared" si="37"/>
        <v>AZ_Maric_2020g</v>
      </c>
      <c r="C101" s="12"/>
      <c r="D101" s="54" t="str">
        <f t="shared" si="38"/>
        <v>Gen-constable-highland (vote for1)</v>
      </c>
      <c r="E101" s="54" t="s">
        <v>1299</v>
      </c>
      <c r="G101" s="59">
        <v>1746</v>
      </c>
      <c r="H101"/>
      <c r="K101" s="2"/>
      <c r="O101">
        <f t="shared" si="39"/>
        <v>-1</v>
      </c>
      <c r="P101" s="57">
        <f t="shared" si="40"/>
        <v>1</v>
      </c>
      <c r="Q101" s="267">
        <f t="shared" si="41"/>
        <v>1746</v>
      </c>
      <c r="R101" s="23">
        <f t="shared" si="42"/>
        <v>1</v>
      </c>
      <c r="S101" s="23">
        <f t="shared" si="43"/>
        <v>0</v>
      </c>
      <c r="T101" s="23" t="str">
        <f t="shared" si="44"/>
        <v/>
      </c>
      <c r="U101" t="str">
        <f t="shared" si="45"/>
        <v/>
      </c>
      <c r="W101" s="1">
        <f t="shared" si="46"/>
        <v>100</v>
      </c>
      <c r="X101" s="73">
        <f t="shared" si="60"/>
        <v>38.244827421587821</v>
      </c>
      <c r="Y101" s="322">
        <f t="shared" si="47"/>
        <v>8915.6280000000006</v>
      </c>
      <c r="Z101" s="43">
        <f t="shared" si="36"/>
        <v>3.709265406310837E-90</v>
      </c>
      <c r="AA101" s="52">
        <f t="shared" si="48"/>
        <v>3.7092654063108369E-92</v>
      </c>
      <c r="AB101" s="8">
        <f t="shared" si="49"/>
        <v>20895.63</v>
      </c>
      <c r="AC101" s="8">
        <f t="shared" si="50"/>
        <v>2089563</v>
      </c>
      <c r="AD101" s="8">
        <f t="shared" si="61"/>
        <v>10447.815000000001</v>
      </c>
      <c r="AE101" s="8" t="str">
        <f t="shared" si="51"/>
        <v/>
      </c>
      <c r="AF101" s="22" t="str">
        <f t="shared" si="52"/>
        <v>AZ_Maric_2020g</v>
      </c>
      <c r="AG101">
        <v>1</v>
      </c>
      <c r="AH101" s="272">
        <v>129212</v>
      </c>
      <c r="AI101" s="273">
        <v>75013</v>
      </c>
      <c r="AJ101" s="274">
        <v>54066</v>
      </c>
      <c r="AK101" s="339">
        <v>20947</v>
      </c>
      <c r="AL101" s="340" t="s">
        <v>1554</v>
      </c>
      <c r="AM101" s="353">
        <f t="shared" si="53"/>
        <v>1.0024584087677663E-2</v>
      </c>
      <c r="AN101" s="354"/>
      <c r="AP101" s="23">
        <f t="shared" si="65"/>
        <v>1</v>
      </c>
      <c r="AQ101" s="392">
        <f t="shared" si="63"/>
        <v>1.0050732267637308E-2</v>
      </c>
      <c r="AR101" s="392">
        <f t="shared" si="63"/>
        <v>5.0062218818800686E-2</v>
      </c>
      <c r="AS101" s="392">
        <f t="shared" si="63"/>
        <v>0.20005743275581478</v>
      </c>
    </row>
    <row r="102" spans="1:45">
      <c r="A102" s="12" t="s">
        <v>1595</v>
      </c>
      <c r="B102" s="54" t="str">
        <f t="shared" si="37"/>
        <v>AZ_Maric_2020g</v>
      </c>
      <c r="C102" s="12"/>
      <c r="D102" s="54" t="str">
        <f t="shared" si="38"/>
        <v>Gen-constable-maryvale (vote for1)</v>
      </c>
      <c r="E102" s="54" t="s">
        <v>1956</v>
      </c>
      <c r="F102" s="12" t="s">
        <v>1294</v>
      </c>
      <c r="G102" s="59">
        <v>20266</v>
      </c>
      <c r="H102"/>
      <c r="K102" s="2"/>
      <c r="O102">
        <f t="shared" si="39"/>
        <v>1</v>
      </c>
      <c r="P102" s="57">
        <f t="shared" si="40"/>
        <v>1</v>
      </c>
      <c r="Q102" s="267">
        <f t="shared" si="41"/>
        <v>20613</v>
      </c>
      <c r="R102" s="23">
        <f t="shared" si="42"/>
        <v>20266</v>
      </c>
      <c r="S102" s="23">
        <f t="shared" si="43"/>
        <v>0</v>
      </c>
      <c r="T102" s="23" t="str">
        <f t="shared" si="44"/>
        <v/>
      </c>
      <c r="U102" t="str">
        <f t="shared" si="45"/>
        <v>AZ_Maric_2020g~Gen-constable-maryvale (vote for1)</v>
      </c>
      <c r="W102" s="1">
        <f t="shared" si="46"/>
        <v>101</v>
      </c>
      <c r="X102" s="73">
        <f t="shared" si="60"/>
        <v>12.698473688881</v>
      </c>
      <c r="Y102" s="322">
        <f t="shared" si="47"/>
        <v>3185.1090000000004</v>
      </c>
      <c r="Z102" s="43">
        <f t="shared" si="36"/>
        <v>3.86375662108336E-97</v>
      </c>
      <c r="AA102" s="52">
        <f t="shared" si="48"/>
        <v>3.8637566210833601E-99</v>
      </c>
      <c r="AB102" s="8">
        <f t="shared" si="49"/>
        <v>20895.63</v>
      </c>
      <c r="AC102" s="8">
        <f t="shared" si="50"/>
        <v>2089563</v>
      </c>
      <c r="AD102" s="8">
        <f t="shared" si="61"/>
        <v>10447.815000000001</v>
      </c>
      <c r="AE102" s="8" t="str">
        <f t="shared" si="51"/>
        <v/>
      </c>
      <c r="AF102" s="22" t="str">
        <f t="shared" si="52"/>
        <v>AZ_Maric_2020g</v>
      </c>
      <c r="AG102">
        <v>1</v>
      </c>
      <c r="AH102" s="272">
        <v>46161</v>
      </c>
      <c r="AI102" s="273">
        <v>31093</v>
      </c>
      <c r="AJ102" s="274">
        <v>8555</v>
      </c>
      <c r="AK102" s="339">
        <v>22538</v>
      </c>
      <c r="AL102" s="340" t="s">
        <v>1693</v>
      </c>
      <c r="AM102" s="353">
        <f t="shared" si="53"/>
        <v>1.0785987309308215E-2</v>
      </c>
      <c r="AN102" s="354"/>
      <c r="AP102" s="23">
        <f t="shared" si="65"/>
        <v>7</v>
      </c>
      <c r="AQ102" s="392">
        <f t="shared" si="63"/>
        <v>6.8287967688309359E-2</v>
      </c>
      <c r="AR102" s="392">
        <f t="shared" si="63"/>
        <v>0.30205676941870274</v>
      </c>
      <c r="AS102" s="392">
        <f t="shared" si="63"/>
        <v>0.79049556399324539</v>
      </c>
    </row>
    <row r="103" spans="1:45">
      <c r="A103" s="12" t="s">
        <v>1595</v>
      </c>
      <c r="B103" s="54" t="str">
        <f t="shared" si="37"/>
        <v>AZ_Maric_2020g</v>
      </c>
      <c r="C103" s="12"/>
      <c r="D103" s="54" t="str">
        <f t="shared" si="38"/>
        <v>Gen-constable-maryvale (vote for1)</v>
      </c>
      <c r="E103" s="54" t="s">
        <v>1299</v>
      </c>
      <c r="G103" s="59">
        <v>347</v>
      </c>
      <c r="H103"/>
      <c r="K103" s="2"/>
      <c r="O103">
        <f t="shared" si="39"/>
        <v>-1</v>
      </c>
      <c r="P103" s="57">
        <f t="shared" si="40"/>
        <v>1</v>
      </c>
      <c r="Q103" s="267">
        <f t="shared" si="41"/>
        <v>347</v>
      </c>
      <c r="R103" s="23">
        <f t="shared" si="42"/>
        <v>1</v>
      </c>
      <c r="S103" s="23">
        <f t="shared" si="43"/>
        <v>0</v>
      </c>
      <c r="T103" s="23" t="str">
        <f t="shared" si="44"/>
        <v/>
      </c>
      <c r="U103" t="str">
        <f t="shared" si="45"/>
        <v/>
      </c>
      <c r="W103" s="1">
        <f t="shared" si="46"/>
        <v>102</v>
      </c>
      <c r="X103" s="73">
        <f t="shared" si="60"/>
        <v>18.534895212883299</v>
      </c>
      <c r="Y103" s="322">
        <f t="shared" si="47"/>
        <v>4675.2330000000002</v>
      </c>
      <c r="Z103" s="43">
        <f t="shared" si="36"/>
        <v>1.0701008780146566E-97</v>
      </c>
      <c r="AA103" s="52">
        <f t="shared" si="48"/>
        <v>1.0701008780146566E-99</v>
      </c>
      <c r="AB103" s="8">
        <f t="shared" si="49"/>
        <v>20895.63</v>
      </c>
      <c r="AC103" s="8">
        <f t="shared" si="50"/>
        <v>2089563</v>
      </c>
      <c r="AD103" s="8">
        <f t="shared" si="61"/>
        <v>10447.815000000001</v>
      </c>
      <c r="AE103" s="8" t="str">
        <f t="shared" si="51"/>
        <v/>
      </c>
      <c r="AF103" s="22" t="str">
        <f t="shared" si="52"/>
        <v>AZ_Maric_2020g</v>
      </c>
      <c r="AG103">
        <v>2</v>
      </c>
      <c r="AH103" s="272">
        <v>67757</v>
      </c>
      <c r="AI103" s="273">
        <v>44981</v>
      </c>
      <c r="AJ103" s="274">
        <v>22316</v>
      </c>
      <c r="AK103" s="339">
        <v>22665</v>
      </c>
      <c r="AL103" s="340" t="s">
        <v>1571</v>
      </c>
      <c r="AM103" s="353">
        <f t="shared" si="53"/>
        <v>1.0846765567728754E-2</v>
      </c>
      <c r="AN103" s="354"/>
      <c r="AP103" s="23">
        <f t="shared" si="65"/>
        <v>8</v>
      </c>
      <c r="AQ103" s="392">
        <f t="shared" si="63"/>
        <v>7.7658634679949823E-2</v>
      </c>
      <c r="AR103" s="392">
        <f t="shared" si="63"/>
        <v>0.337020783747632</v>
      </c>
      <c r="AS103" s="392">
        <f t="shared" si="63"/>
        <v>0.83243658614402305</v>
      </c>
    </row>
    <row r="104" spans="1:45">
      <c r="A104" s="12" t="s">
        <v>1601</v>
      </c>
      <c r="B104" s="54" t="str">
        <f t="shared" si="37"/>
        <v>AZ_Maric_2020g</v>
      </c>
      <c r="C104" s="12"/>
      <c r="D104" s="54" t="str">
        <f t="shared" si="38"/>
        <v>Gen-constable-moon valley (vote for1)</v>
      </c>
      <c r="E104" s="54" t="s">
        <v>1963</v>
      </c>
      <c r="F104" s="12" t="s">
        <v>1296</v>
      </c>
      <c r="G104" s="59">
        <v>30215</v>
      </c>
      <c r="H104"/>
      <c r="K104" s="2"/>
      <c r="O104">
        <f t="shared" si="39"/>
        <v>1</v>
      </c>
      <c r="P104" s="57">
        <f t="shared" si="40"/>
        <v>1</v>
      </c>
      <c r="Q104" s="267">
        <f t="shared" si="41"/>
        <v>31622</v>
      </c>
      <c r="R104" s="23">
        <f t="shared" si="42"/>
        <v>30215</v>
      </c>
      <c r="S104" s="23">
        <f t="shared" si="43"/>
        <v>0</v>
      </c>
      <c r="T104" s="23" t="str">
        <f t="shared" si="44"/>
        <v/>
      </c>
      <c r="U104" t="str">
        <f t="shared" si="45"/>
        <v>AZ_Maric_2020g~Gen-constable-moon valley (vote for1)</v>
      </c>
      <c r="W104" s="1">
        <f t="shared" si="46"/>
        <v>103</v>
      </c>
      <c r="X104" s="73">
        <f t="shared" si="60"/>
        <v>15.024625508702053</v>
      </c>
      <c r="Y104" s="322">
        <f t="shared" si="47"/>
        <v>3862.2060000000001</v>
      </c>
      <c r="Z104" s="43">
        <f t="shared" si="36"/>
        <v>1.3431035304920508E-99</v>
      </c>
      <c r="AA104" s="52">
        <f t="shared" si="48"/>
        <v>1.3431035304920508E-101</v>
      </c>
      <c r="AB104" s="8">
        <f t="shared" si="49"/>
        <v>20895.63</v>
      </c>
      <c r="AC104" s="8">
        <f t="shared" si="50"/>
        <v>2089563</v>
      </c>
      <c r="AD104" s="8">
        <f t="shared" si="61"/>
        <v>10447.815000000001</v>
      </c>
      <c r="AE104" s="8" t="str">
        <f t="shared" si="51"/>
        <v/>
      </c>
      <c r="AF104" s="22" t="str">
        <f t="shared" si="52"/>
        <v>AZ_Maric_2020g</v>
      </c>
      <c r="AG104">
        <v>2</v>
      </c>
      <c r="AH104" s="272">
        <v>55974</v>
      </c>
      <c r="AI104" s="273">
        <v>43334</v>
      </c>
      <c r="AJ104" s="274">
        <v>20236</v>
      </c>
      <c r="AK104" s="339">
        <v>23098</v>
      </c>
      <c r="AL104" s="340" t="s">
        <v>1573</v>
      </c>
      <c r="AM104" s="353">
        <f t="shared" si="53"/>
        <v>1.1053985929115322E-2</v>
      </c>
      <c r="AN104" s="354"/>
      <c r="AP104" s="23">
        <f t="shared" si="65"/>
        <v>10</v>
      </c>
      <c r="AQ104" s="392">
        <f t="shared" si="63"/>
        <v>9.6120820138262175E-2</v>
      </c>
      <c r="AR104" s="392">
        <f t="shared" si="63"/>
        <v>0.40179097551045828</v>
      </c>
      <c r="AS104" s="392">
        <f t="shared" si="63"/>
        <v>0.89281848012156084</v>
      </c>
    </row>
    <row r="105" spans="1:45">
      <c r="A105" s="12" t="s">
        <v>1601</v>
      </c>
      <c r="B105" s="54" t="str">
        <f t="shared" si="37"/>
        <v>AZ_Maric_2020g</v>
      </c>
      <c r="C105" s="12"/>
      <c r="D105" s="54" t="str">
        <f t="shared" si="38"/>
        <v>Gen-constable-moon valley (vote for1)</v>
      </c>
      <c r="E105" s="54" t="s">
        <v>1299</v>
      </c>
      <c r="G105" s="59">
        <v>1407</v>
      </c>
      <c r="H105"/>
      <c r="K105" s="2"/>
      <c r="O105">
        <f t="shared" si="39"/>
        <v>-1</v>
      </c>
      <c r="P105" s="57">
        <f t="shared" si="40"/>
        <v>1</v>
      </c>
      <c r="Q105" s="267">
        <f t="shared" si="41"/>
        <v>1407</v>
      </c>
      <c r="R105" s="23">
        <f t="shared" si="42"/>
        <v>1</v>
      </c>
      <c r="S105" s="23">
        <f t="shared" si="43"/>
        <v>0</v>
      </c>
      <c r="T105" s="23" t="str">
        <f t="shared" si="44"/>
        <v/>
      </c>
      <c r="U105" t="str">
        <f t="shared" si="45"/>
        <v/>
      </c>
      <c r="W105" s="1">
        <f t="shared" si="46"/>
        <v>104</v>
      </c>
      <c r="X105" s="73">
        <f t="shared" si="60"/>
        <v>15.205999916551926</v>
      </c>
      <c r="Y105" s="322">
        <f t="shared" si="47"/>
        <v>4055.8890000000001</v>
      </c>
      <c r="Z105" s="43">
        <f t="shared" si="36"/>
        <v>2.0469326625709342E-103</v>
      </c>
      <c r="AA105" s="52">
        <f t="shared" si="48"/>
        <v>2.0469326625709342E-105</v>
      </c>
      <c r="AB105" s="8">
        <f t="shared" si="49"/>
        <v>20895.63</v>
      </c>
      <c r="AC105" s="8">
        <f t="shared" si="50"/>
        <v>2089563</v>
      </c>
      <c r="AD105" s="8">
        <f t="shared" si="61"/>
        <v>10447.815000000001</v>
      </c>
      <c r="AE105" s="8" t="str">
        <f t="shared" si="51"/>
        <v/>
      </c>
      <c r="AF105" s="22" t="str">
        <f t="shared" si="52"/>
        <v>AZ_Maric_2020g</v>
      </c>
      <c r="AG105">
        <v>1</v>
      </c>
      <c r="AH105" s="272">
        <v>58781</v>
      </c>
      <c r="AI105" s="273">
        <v>41272</v>
      </c>
      <c r="AJ105" s="274">
        <v>17305</v>
      </c>
      <c r="AK105" s="339">
        <v>23967</v>
      </c>
      <c r="AL105" s="340" t="s">
        <v>1576</v>
      </c>
      <c r="AM105" s="353">
        <f t="shared" si="53"/>
        <v>1.1469862358780281E-2</v>
      </c>
      <c r="AN105" s="354"/>
      <c r="AP105" s="23">
        <f t="shared" si="65"/>
        <v>13</v>
      </c>
      <c r="AQ105" s="392">
        <f t="shared" ref="AQ105:AQ168" si="66">IF($AP105=$AD105,1,IF($AP105=0,0, 1-HYPGEOMDIST(0, ROUNDUP(RIGHT(AQ$1,4)*$AD105,0),$AP105, $AD105)))</f>
        <v>0.12312991083798064</v>
      </c>
      <c r="AR105" s="392">
        <f t="shared" ref="AR105:AS168" si="67">IF($AP105=$AD105,1,IF($AP105=0,0, 1-HYPGEOMDIST(0, ROUNDUP(RIGHT(AR$1,4)*$AD105,0),$AP105, $AD105)))</f>
        <v>0.48729675372664716</v>
      </c>
      <c r="AS105" s="392">
        <f t="shared" si="67"/>
        <v>0.94517825706808978</v>
      </c>
    </row>
    <row r="106" spans="1:45">
      <c r="A106" s="12" t="s">
        <v>1597</v>
      </c>
      <c r="B106" s="54" t="str">
        <f t="shared" si="37"/>
        <v>AZ_Maric_2020g</v>
      </c>
      <c r="C106" s="12"/>
      <c r="D106" s="54" t="str">
        <f t="shared" si="38"/>
        <v>Gen-constable-north mesa (vote for1)</v>
      </c>
      <c r="E106" s="54" t="s">
        <v>1958</v>
      </c>
      <c r="F106" s="12" t="s">
        <v>1296</v>
      </c>
      <c r="G106" s="59">
        <v>36591</v>
      </c>
      <c r="H106"/>
      <c r="K106" s="2"/>
      <c r="O106">
        <f t="shared" si="39"/>
        <v>1</v>
      </c>
      <c r="P106" s="57">
        <f t="shared" si="40"/>
        <v>1</v>
      </c>
      <c r="Q106" s="267">
        <f t="shared" si="41"/>
        <v>37572</v>
      </c>
      <c r="R106" s="23">
        <f t="shared" si="42"/>
        <v>36591</v>
      </c>
      <c r="S106" s="23">
        <f t="shared" si="43"/>
        <v>0</v>
      </c>
      <c r="T106" s="23" t="str">
        <f t="shared" si="44"/>
        <v/>
      </c>
      <c r="U106" t="str">
        <f t="shared" si="45"/>
        <v>AZ_Maric_2020g~Gen-constable-north mesa (vote for1)</v>
      </c>
      <c r="W106" s="1">
        <f t="shared" si="46"/>
        <v>105</v>
      </c>
      <c r="X106" s="73">
        <f t="shared" si="60"/>
        <v>17.436352146609266</v>
      </c>
      <c r="Y106" s="322">
        <f t="shared" si="47"/>
        <v>4913.1450000000004</v>
      </c>
      <c r="Z106" s="43">
        <f t="shared" si="36"/>
        <v>2.3408244523536776E-109</v>
      </c>
      <c r="AA106" s="52">
        <f t="shared" si="48"/>
        <v>2.3408244523536776E-111</v>
      </c>
      <c r="AB106" s="8">
        <f t="shared" si="49"/>
        <v>20895.63</v>
      </c>
      <c r="AC106" s="8">
        <f t="shared" si="50"/>
        <v>2089563</v>
      </c>
      <c r="AD106" s="8">
        <f t="shared" si="61"/>
        <v>10447.815000000001</v>
      </c>
      <c r="AE106" s="8" t="str">
        <f t="shared" si="51"/>
        <v/>
      </c>
      <c r="AF106" s="22" t="str">
        <f t="shared" si="52"/>
        <v>AZ_Maric_2020g</v>
      </c>
      <c r="AG106">
        <v>1</v>
      </c>
      <c r="AH106" s="272">
        <v>71205</v>
      </c>
      <c r="AI106" s="273">
        <v>48262</v>
      </c>
      <c r="AJ106" s="274">
        <v>22943</v>
      </c>
      <c r="AK106" s="339">
        <v>25319</v>
      </c>
      <c r="AL106" s="340" t="s">
        <v>1702</v>
      </c>
      <c r="AM106" s="353">
        <f t="shared" si="53"/>
        <v>1.2116887598028871E-2</v>
      </c>
      <c r="AN106" s="354"/>
      <c r="AP106" s="23">
        <f t="shared" si="65"/>
        <v>19</v>
      </c>
      <c r="AQ106" s="392">
        <f t="shared" si="66"/>
        <v>0.17477271797357896</v>
      </c>
      <c r="AR106" s="392">
        <f t="shared" si="67"/>
        <v>0.62344105251796678</v>
      </c>
      <c r="AS106" s="392">
        <f t="shared" si="67"/>
        <v>0.98566699773304023</v>
      </c>
    </row>
    <row r="107" spans="1:45">
      <c r="A107" s="12" t="s">
        <v>1597</v>
      </c>
      <c r="B107" s="54" t="str">
        <f t="shared" si="37"/>
        <v>AZ_Maric_2020g</v>
      </c>
      <c r="C107" s="12"/>
      <c r="D107" s="54" t="str">
        <f t="shared" si="38"/>
        <v>Gen-constable-north mesa (vote for1)</v>
      </c>
      <c r="E107" s="54" t="s">
        <v>1299</v>
      </c>
      <c r="G107" s="59">
        <v>981</v>
      </c>
      <c r="H107"/>
      <c r="K107" s="2"/>
      <c r="O107">
        <f t="shared" si="39"/>
        <v>-1</v>
      </c>
      <c r="P107" s="57">
        <f t="shared" si="40"/>
        <v>1</v>
      </c>
      <c r="Q107" s="267">
        <f t="shared" si="41"/>
        <v>981</v>
      </c>
      <c r="R107" s="23">
        <f t="shared" si="42"/>
        <v>1</v>
      </c>
      <c r="S107" s="23">
        <f t="shared" si="43"/>
        <v>0</v>
      </c>
      <c r="T107" s="23" t="str">
        <f t="shared" si="44"/>
        <v/>
      </c>
      <c r="U107" t="str">
        <f t="shared" si="45"/>
        <v/>
      </c>
      <c r="W107" s="1">
        <f t="shared" si="46"/>
        <v>106</v>
      </c>
      <c r="X107" s="73">
        <f t="shared" si="60"/>
        <v>18.135628024074585</v>
      </c>
      <c r="Y107" s="322">
        <f t="shared" si="47"/>
        <v>5130.7710000000006</v>
      </c>
      <c r="Z107" s="43">
        <f t="shared" si="36"/>
        <v>8.3357372317365582E-110</v>
      </c>
      <c r="AA107" s="52">
        <f t="shared" si="48"/>
        <v>8.3357372317365578E-112</v>
      </c>
      <c r="AB107" s="8">
        <f t="shared" si="49"/>
        <v>20895.63</v>
      </c>
      <c r="AC107" s="8">
        <f t="shared" si="50"/>
        <v>2089563</v>
      </c>
      <c r="AD107" s="8">
        <f t="shared" si="61"/>
        <v>10447.815000000001</v>
      </c>
      <c r="AE107" s="8" t="str">
        <f t="shared" si="51"/>
        <v/>
      </c>
      <c r="AF107" s="22" t="str">
        <f t="shared" si="52"/>
        <v>AZ_Maric_2020g</v>
      </c>
      <c r="AG107">
        <v>1</v>
      </c>
      <c r="AH107" s="272">
        <v>74359</v>
      </c>
      <c r="AI107" s="273">
        <v>49806</v>
      </c>
      <c r="AJ107" s="274">
        <v>24385</v>
      </c>
      <c r="AK107" s="339">
        <v>25421</v>
      </c>
      <c r="AL107" s="23" t="s">
        <v>1570</v>
      </c>
      <c r="AM107" s="353">
        <f t="shared" si="53"/>
        <v>1.2165701632350879E-2</v>
      </c>
      <c r="AN107" s="354"/>
      <c r="AP107" s="23">
        <f t="shared" si="65"/>
        <v>20</v>
      </c>
      <c r="AQ107" s="392">
        <f t="shared" si="66"/>
        <v>0.18308196851182013</v>
      </c>
      <c r="AR107" s="392">
        <f t="shared" si="67"/>
        <v>0.64232677648546832</v>
      </c>
      <c r="AS107" s="392">
        <f t="shared" si="67"/>
        <v>0.98853964586671361</v>
      </c>
    </row>
    <row r="108" spans="1:45">
      <c r="A108" s="12" t="s">
        <v>1607</v>
      </c>
      <c r="B108" s="54" t="str">
        <f t="shared" si="37"/>
        <v>AZ_Maric_2020g</v>
      </c>
      <c r="C108" s="12"/>
      <c r="D108" s="54" t="str">
        <f t="shared" si="38"/>
        <v>Gen-constable-san tan (vote for1)</v>
      </c>
      <c r="E108" s="54" t="s">
        <v>1969</v>
      </c>
      <c r="F108" s="12" t="s">
        <v>1296</v>
      </c>
      <c r="G108" s="59">
        <v>100148</v>
      </c>
      <c r="H108"/>
      <c r="K108" s="2"/>
      <c r="O108">
        <f t="shared" si="39"/>
        <v>1</v>
      </c>
      <c r="P108" s="57">
        <f t="shared" si="40"/>
        <v>1</v>
      </c>
      <c r="Q108" s="267">
        <f t="shared" si="41"/>
        <v>101809</v>
      </c>
      <c r="R108" s="23">
        <f t="shared" si="42"/>
        <v>100148</v>
      </c>
      <c r="S108" s="23">
        <f t="shared" si="43"/>
        <v>0</v>
      </c>
      <c r="T108" s="23" t="str">
        <f t="shared" si="44"/>
        <v/>
      </c>
      <c r="U108" t="str">
        <f t="shared" si="45"/>
        <v>AZ_Maric_2020g~Gen-constable-san tan (vote for1)</v>
      </c>
      <c r="W108" s="1">
        <f t="shared" si="46"/>
        <v>107</v>
      </c>
      <c r="X108" s="73">
        <f t="shared" si="60"/>
        <v>27.749013787446785</v>
      </c>
      <c r="Y108" s="322">
        <f t="shared" si="47"/>
        <v>7906.7100000000009</v>
      </c>
      <c r="Z108" s="43">
        <f t="shared" si="36"/>
        <v>1.3205607678973648E-110</v>
      </c>
      <c r="AA108" s="52">
        <f t="shared" si="48"/>
        <v>1.3205607678973648E-112</v>
      </c>
      <c r="AB108" s="8">
        <f t="shared" si="49"/>
        <v>20895.63</v>
      </c>
      <c r="AC108" s="8">
        <f t="shared" si="50"/>
        <v>2089563</v>
      </c>
      <c r="AD108" s="8">
        <f t="shared" si="61"/>
        <v>10447.815000000001</v>
      </c>
      <c r="AE108" s="8" t="str">
        <f t="shared" si="51"/>
        <v/>
      </c>
      <c r="AF108" s="22" t="str">
        <f t="shared" si="52"/>
        <v>AZ_Maric_2020g</v>
      </c>
      <c r="AG108" s="23">
        <v>1</v>
      </c>
      <c r="AH108" s="8">
        <v>114590</v>
      </c>
      <c r="AI108" s="273">
        <v>70046</v>
      </c>
      <c r="AJ108" s="274">
        <v>44443</v>
      </c>
      <c r="AK108" s="339">
        <v>25603</v>
      </c>
      <c r="AL108" s="344" t="s">
        <v>1568</v>
      </c>
      <c r="AM108" s="353">
        <f t="shared" si="53"/>
        <v>1.2252801183788188E-2</v>
      </c>
      <c r="AN108" s="354"/>
      <c r="AP108" s="23">
        <f t="shared" si="65"/>
        <v>20</v>
      </c>
      <c r="AQ108" s="392">
        <f t="shared" si="66"/>
        <v>0.18308196851182013</v>
      </c>
      <c r="AR108" s="392">
        <f t="shared" si="67"/>
        <v>0.64232677648546832</v>
      </c>
      <c r="AS108" s="392">
        <f t="shared" si="67"/>
        <v>0.98853964586671361</v>
      </c>
    </row>
    <row r="109" spans="1:45">
      <c r="A109" s="12" t="s">
        <v>1607</v>
      </c>
      <c r="B109" s="54" t="str">
        <f t="shared" si="37"/>
        <v>AZ_Maric_2020g</v>
      </c>
      <c r="C109" s="12"/>
      <c r="D109" s="54" t="str">
        <f t="shared" si="38"/>
        <v>Gen-constable-san tan (vote for1)</v>
      </c>
      <c r="E109" s="54" t="s">
        <v>1299</v>
      </c>
      <c r="G109" s="59">
        <v>1661</v>
      </c>
      <c r="H109"/>
      <c r="K109" s="2"/>
      <c r="O109">
        <f t="shared" si="39"/>
        <v>-1</v>
      </c>
      <c r="P109" s="57">
        <f t="shared" si="40"/>
        <v>1</v>
      </c>
      <c r="Q109" s="267">
        <f t="shared" si="41"/>
        <v>1661</v>
      </c>
      <c r="R109" s="23">
        <f t="shared" si="42"/>
        <v>1</v>
      </c>
      <c r="S109" s="23">
        <f t="shared" si="43"/>
        <v>0</v>
      </c>
      <c r="T109" s="23" t="str">
        <f t="shared" si="44"/>
        <v/>
      </c>
      <c r="U109" t="str">
        <f t="shared" si="45"/>
        <v/>
      </c>
      <c r="W109" s="1">
        <f t="shared" si="46"/>
        <v>108</v>
      </c>
      <c r="X109" s="73">
        <f t="shared" si="60"/>
        <v>6.7600603504971177</v>
      </c>
      <c r="Y109" s="322">
        <f t="shared" si="47"/>
        <v>1944.6960000000001</v>
      </c>
      <c r="Z109" s="43">
        <f t="shared" si="36"/>
        <v>1.0941494863082023E-111</v>
      </c>
      <c r="AA109" s="52">
        <f t="shared" si="48"/>
        <v>1.0941494863082023E-113</v>
      </c>
      <c r="AB109" s="8">
        <f t="shared" si="49"/>
        <v>20895.63</v>
      </c>
      <c r="AC109" s="8">
        <f t="shared" si="50"/>
        <v>2089563</v>
      </c>
      <c r="AD109" s="8">
        <f t="shared" si="61"/>
        <v>10447.815000000001</v>
      </c>
      <c r="AE109" s="8" t="str">
        <f t="shared" si="51"/>
        <v/>
      </c>
      <c r="AF109" s="22" t="str">
        <f t="shared" si="52"/>
        <v>AZ_Maric_2020g</v>
      </c>
      <c r="AG109">
        <v>3</v>
      </c>
      <c r="AH109" s="272">
        <v>28184</v>
      </c>
      <c r="AI109" s="273">
        <v>26033</v>
      </c>
      <c r="AJ109" s="274">
        <v>184</v>
      </c>
      <c r="AK109" s="339">
        <v>25849</v>
      </c>
      <c r="AL109" s="340" t="s">
        <v>1665</v>
      </c>
      <c r="AM109" s="353">
        <f t="shared" si="53"/>
        <v>1.2370529148917741E-2</v>
      </c>
      <c r="AN109" s="354"/>
      <c r="AP109" s="23">
        <f t="shared" si="65"/>
        <v>21</v>
      </c>
      <c r="AQ109" s="392">
        <f t="shared" si="66"/>
        <v>0.19130834170701161</v>
      </c>
      <c r="AR109" s="392">
        <f t="shared" si="67"/>
        <v>0.66026703695330202</v>
      </c>
      <c r="AS109" s="392">
        <f t="shared" si="67"/>
        <v>0.99083677257032621</v>
      </c>
    </row>
    <row r="110" spans="1:45">
      <c r="A110" s="12" t="s">
        <v>1605</v>
      </c>
      <c r="B110" s="54" t="str">
        <f t="shared" si="37"/>
        <v>AZ_Maric_2020g</v>
      </c>
      <c r="C110" s="12"/>
      <c r="D110" s="54" t="str">
        <f t="shared" si="38"/>
        <v>Gen-constable-term exp  december 31, 2022-kyrene (vote for1)</v>
      </c>
      <c r="E110" s="54" t="s">
        <v>1967</v>
      </c>
      <c r="F110" s="12" t="s">
        <v>1294</v>
      </c>
      <c r="G110" s="59">
        <v>58079</v>
      </c>
      <c r="H110"/>
      <c r="K110" s="2"/>
      <c r="O110">
        <f t="shared" si="39"/>
        <v>1</v>
      </c>
      <c r="P110" s="57">
        <f t="shared" si="40"/>
        <v>1</v>
      </c>
      <c r="Q110" s="267">
        <f t="shared" si="41"/>
        <v>59848</v>
      </c>
      <c r="R110" s="23">
        <f t="shared" si="42"/>
        <v>58079</v>
      </c>
      <c r="S110" s="23">
        <f t="shared" si="43"/>
        <v>0</v>
      </c>
      <c r="T110" s="23" t="str">
        <f t="shared" si="44"/>
        <v/>
      </c>
      <c r="U110" t="str">
        <f t="shared" si="45"/>
        <v>AZ_Maric_2020g~Gen-constable-term exp  december 31, 2022-kyrene (vote for1)</v>
      </c>
      <c r="W110" s="1">
        <f t="shared" si="46"/>
        <v>109</v>
      </c>
      <c r="X110" s="73">
        <f t="shared" si="60"/>
        <v>34.204600536971192</v>
      </c>
      <c r="Y110" s="322">
        <f t="shared" si="47"/>
        <v>10491.864000000001</v>
      </c>
      <c r="Z110" s="43">
        <f t="shared" si="36"/>
        <v>3.1864078166685366E-119</v>
      </c>
      <c r="AA110" s="52">
        <f t="shared" si="48"/>
        <v>3.1864078166685364E-121</v>
      </c>
      <c r="AB110" s="8">
        <f t="shared" si="49"/>
        <v>20895.63</v>
      </c>
      <c r="AC110" s="8">
        <f t="shared" si="50"/>
        <v>2089563</v>
      </c>
      <c r="AD110" s="8">
        <f t="shared" si="61"/>
        <v>10447.815000000001</v>
      </c>
      <c r="AE110" s="8" t="str">
        <f t="shared" si="51"/>
        <v/>
      </c>
      <c r="AF110" s="22" t="str">
        <f t="shared" si="52"/>
        <v>AZ_Maric_2020g</v>
      </c>
      <c r="AG110">
        <v>1</v>
      </c>
      <c r="AH110" s="272">
        <v>152056</v>
      </c>
      <c r="AI110" s="273">
        <v>89677</v>
      </c>
      <c r="AJ110" s="274">
        <v>62115</v>
      </c>
      <c r="AK110" s="339">
        <v>27562</v>
      </c>
      <c r="AL110" s="340" t="s">
        <v>1564</v>
      </c>
      <c r="AM110" s="353">
        <f t="shared" si="53"/>
        <v>1.3190317784149126E-2</v>
      </c>
      <c r="AN110" s="354"/>
      <c r="AP110" s="23">
        <f t="shared" si="65"/>
        <v>29</v>
      </c>
      <c r="AQ110" s="392">
        <f t="shared" si="66"/>
        <v>0.25423233094876796</v>
      </c>
      <c r="AR110" s="392">
        <f t="shared" si="67"/>
        <v>0.77495543582684356</v>
      </c>
      <c r="AS110" s="392">
        <f t="shared" si="67"/>
        <v>0.99847075958646048</v>
      </c>
    </row>
    <row r="111" spans="1:45">
      <c r="A111" s="12" t="s">
        <v>1605</v>
      </c>
      <c r="B111" s="54" t="str">
        <f t="shared" si="37"/>
        <v>AZ_Maric_2020g</v>
      </c>
      <c r="C111" s="12"/>
      <c r="D111" s="54" t="str">
        <f t="shared" si="38"/>
        <v>Gen-constable-term exp  december 31, 2022-kyrene (vote for1)</v>
      </c>
      <c r="E111" s="54" t="s">
        <v>1299</v>
      </c>
      <c r="G111" s="59">
        <v>1769</v>
      </c>
      <c r="H111"/>
      <c r="K111" s="2"/>
      <c r="O111">
        <f t="shared" si="39"/>
        <v>-1</v>
      </c>
      <c r="P111" s="57">
        <f t="shared" si="40"/>
        <v>1</v>
      </c>
      <c r="Q111" s="267">
        <f t="shared" si="41"/>
        <v>1769</v>
      </c>
      <c r="R111" s="23">
        <f t="shared" si="42"/>
        <v>1</v>
      </c>
      <c r="S111" s="23">
        <f t="shared" si="43"/>
        <v>0</v>
      </c>
      <c r="T111" s="23" t="str">
        <f t="shared" si="44"/>
        <v/>
      </c>
      <c r="U111" t="str">
        <f t="shared" si="45"/>
        <v/>
      </c>
      <c r="W111" s="1">
        <f t="shared" si="46"/>
        <v>110</v>
      </c>
      <c r="X111" s="73">
        <f t="shared" si="60"/>
        <v>18.519332848887505</v>
      </c>
      <c r="Y111" s="322">
        <f t="shared" si="47"/>
        <v>5956.1490000000003</v>
      </c>
      <c r="Z111" s="43">
        <f t="shared" si="36"/>
        <v>4.1424962386361684E-125</v>
      </c>
      <c r="AA111" s="52">
        <f t="shared" si="48"/>
        <v>4.1424962386361683E-127</v>
      </c>
      <c r="AB111" s="8">
        <f t="shared" si="49"/>
        <v>20895.63</v>
      </c>
      <c r="AC111" s="8">
        <f t="shared" si="50"/>
        <v>2089563</v>
      </c>
      <c r="AD111" s="8">
        <f t="shared" si="61"/>
        <v>10447.815000000001</v>
      </c>
      <c r="AE111" s="8" t="str">
        <f t="shared" si="51"/>
        <v/>
      </c>
      <c r="AF111" s="22" t="str">
        <f t="shared" si="52"/>
        <v>AZ_Maric_2020g</v>
      </c>
      <c r="AG111">
        <v>1</v>
      </c>
      <c r="AH111" s="272">
        <v>86321</v>
      </c>
      <c r="AI111" s="273">
        <v>57610</v>
      </c>
      <c r="AJ111" s="274">
        <v>28711</v>
      </c>
      <c r="AK111" s="339">
        <v>28899</v>
      </c>
      <c r="AL111" s="340" t="s">
        <v>1686</v>
      </c>
      <c r="AM111" s="353">
        <f t="shared" si="53"/>
        <v>1.3830164488938597E-2</v>
      </c>
      <c r="AN111" s="354"/>
      <c r="AP111" s="23">
        <f t="shared" si="65"/>
        <v>34</v>
      </c>
      <c r="AQ111" s="392">
        <f t="shared" si="66"/>
        <v>0.29107118429309908</v>
      </c>
      <c r="AR111" s="392">
        <f t="shared" si="67"/>
        <v>0.82605829837221711</v>
      </c>
      <c r="AS111" s="392">
        <f t="shared" si="67"/>
        <v>0.9995009398049387</v>
      </c>
    </row>
    <row r="112" spans="1:45">
      <c r="A112" s="12" t="s">
        <v>1580</v>
      </c>
      <c r="B112" s="54" t="str">
        <f t="shared" si="37"/>
        <v>AZ_Maric_2020g</v>
      </c>
      <c r="C112" s="12"/>
      <c r="D112" s="54" t="str">
        <f t="shared" si="38"/>
        <v>Gen-corporation commission (vote for3)</v>
      </c>
      <c r="E112" s="54" t="s">
        <v>1925</v>
      </c>
      <c r="F112" s="12" t="s">
        <v>1294</v>
      </c>
      <c r="G112" s="59">
        <v>902889</v>
      </c>
      <c r="H112"/>
      <c r="K112" s="2"/>
      <c r="O112">
        <f t="shared" si="39"/>
        <v>1</v>
      </c>
      <c r="P112" s="57">
        <f t="shared" si="40"/>
        <v>3</v>
      </c>
      <c r="Q112" s="267">
        <f t="shared" si="41"/>
        <v>1706408</v>
      </c>
      <c r="R112" s="23">
        <f t="shared" si="42"/>
        <v>866823</v>
      </c>
      <c r="S112" s="23">
        <f t="shared" si="43"/>
        <v>847156</v>
      </c>
      <c r="T112" s="23">
        <f t="shared" si="44"/>
        <v>19667</v>
      </c>
      <c r="U112" t="str">
        <f t="shared" si="45"/>
        <v>AZ_Maric_2020g~Gen-corporation commission (vote for3)</v>
      </c>
      <c r="W112" s="1">
        <f t="shared" si="46"/>
        <v>111</v>
      </c>
      <c r="X112" s="73">
        <f t="shared" si="60"/>
        <v>15.403890836598611</v>
      </c>
      <c r="Y112" s="322">
        <f t="shared" si="47"/>
        <v>4987.5960000000005</v>
      </c>
      <c r="Z112" s="43">
        <f t="shared" si="36"/>
        <v>5.7341702412136764E-126</v>
      </c>
      <c r="AA112" s="52">
        <f t="shared" si="48"/>
        <v>5.7341702412136763E-128</v>
      </c>
      <c r="AB112" s="8">
        <f t="shared" si="49"/>
        <v>20895.63</v>
      </c>
      <c r="AC112" s="8">
        <f t="shared" si="50"/>
        <v>2089563</v>
      </c>
      <c r="AD112" s="8">
        <f t="shared" si="61"/>
        <v>10447.815000000001</v>
      </c>
      <c r="AE112" s="8" t="str">
        <f t="shared" si="51"/>
        <v/>
      </c>
      <c r="AF112" s="22" t="str">
        <f t="shared" si="52"/>
        <v>AZ_Maric_2020g</v>
      </c>
      <c r="AG112">
        <v>1</v>
      </c>
      <c r="AH112" s="272">
        <v>72284</v>
      </c>
      <c r="AI112" s="273">
        <v>50689</v>
      </c>
      <c r="AJ112" s="274">
        <v>21595</v>
      </c>
      <c r="AK112" s="339">
        <v>29094</v>
      </c>
      <c r="AL112" s="340" t="s">
        <v>1700</v>
      </c>
      <c r="AM112" s="353">
        <f t="shared" si="53"/>
        <v>1.3923485436907143E-2</v>
      </c>
      <c r="AN112" s="354"/>
      <c r="AP112" s="23">
        <f t="shared" si="65"/>
        <v>35</v>
      </c>
      <c r="AQ112" s="392">
        <f t="shared" si="66"/>
        <v>0.2982197030340219</v>
      </c>
      <c r="AR112" s="392">
        <f t="shared" si="67"/>
        <v>0.8347946385192766</v>
      </c>
      <c r="AS112" s="392">
        <f t="shared" si="67"/>
        <v>0.99960110650115286</v>
      </c>
    </row>
    <row r="113" spans="1:45">
      <c r="A113" s="12" t="s">
        <v>1580</v>
      </c>
      <c r="B113" s="54" t="str">
        <f t="shared" si="37"/>
        <v>AZ_Maric_2020g</v>
      </c>
      <c r="C113" s="12"/>
      <c r="D113" s="54" t="str">
        <f t="shared" si="38"/>
        <v>Gen-corporation commission (vote for3)</v>
      </c>
      <c r="E113" s="54" t="s">
        <v>1920</v>
      </c>
      <c r="F113" s="12" t="s">
        <v>1296</v>
      </c>
      <c r="G113" s="59">
        <v>891072</v>
      </c>
      <c r="H113"/>
      <c r="K113" s="2"/>
      <c r="O113">
        <f t="shared" si="39"/>
        <v>2</v>
      </c>
      <c r="P113" s="57">
        <f t="shared" si="40"/>
        <v>3</v>
      </c>
      <c r="Q113" s="267">
        <f t="shared" si="41"/>
        <v>4216335</v>
      </c>
      <c r="R113" s="23">
        <f t="shared" si="42"/>
        <v>866823</v>
      </c>
      <c r="S113" s="23">
        <f t="shared" si="43"/>
        <v>847156</v>
      </c>
      <c r="T113" s="23" t="str">
        <f t="shared" si="44"/>
        <v/>
      </c>
      <c r="U113" t="str">
        <f t="shared" si="45"/>
        <v/>
      </c>
      <c r="W113" s="1">
        <f t="shared" si="46"/>
        <v>112</v>
      </c>
      <c r="X113" s="73">
        <f t="shared" si="60"/>
        <v>17.846047324549609</v>
      </c>
      <c r="Y113" s="322">
        <f t="shared" si="47"/>
        <v>5909.0220000000008</v>
      </c>
      <c r="Z113" s="43">
        <f t="shared" si="36"/>
        <v>7.2443543985498244E-129</v>
      </c>
      <c r="AA113" s="52">
        <f t="shared" si="48"/>
        <v>7.2443543985498246E-131</v>
      </c>
      <c r="AB113" s="8">
        <f t="shared" si="49"/>
        <v>20895.63</v>
      </c>
      <c r="AC113" s="8">
        <f t="shared" si="50"/>
        <v>2089563</v>
      </c>
      <c r="AD113" s="8">
        <f t="shared" si="61"/>
        <v>10447.815000000001</v>
      </c>
      <c r="AE113" s="8" t="str">
        <f t="shared" si="51"/>
        <v/>
      </c>
      <c r="AF113" s="22" t="str">
        <f t="shared" si="52"/>
        <v>AZ_Maric_2020g</v>
      </c>
      <c r="AG113">
        <v>1</v>
      </c>
      <c r="AH113" s="272">
        <v>85638</v>
      </c>
      <c r="AI113" s="273">
        <v>57695</v>
      </c>
      <c r="AJ113" s="274">
        <v>27943</v>
      </c>
      <c r="AK113" s="339">
        <v>29752</v>
      </c>
      <c r="AL113" s="340" t="s">
        <v>1688</v>
      </c>
      <c r="AM113" s="353">
        <f t="shared" si="53"/>
        <v>1.4238383815180495E-2</v>
      </c>
      <c r="AN113" s="354"/>
      <c r="AP113" s="23">
        <f t="shared" si="65"/>
        <v>38</v>
      </c>
      <c r="AQ113" s="392">
        <f t="shared" si="66"/>
        <v>0.31923966119844793</v>
      </c>
      <c r="AR113" s="392">
        <f t="shared" si="67"/>
        <v>0.85846228796672241</v>
      </c>
      <c r="AS113" s="392">
        <f t="shared" si="67"/>
        <v>0.99979633979218629</v>
      </c>
    </row>
    <row r="114" spans="1:45">
      <c r="A114" s="12" t="s">
        <v>1580</v>
      </c>
      <c r="B114" s="54" t="str">
        <f t="shared" si="37"/>
        <v>AZ_Maric_2020g</v>
      </c>
      <c r="C114" s="12"/>
      <c r="D114" s="54" t="str">
        <f t="shared" si="38"/>
        <v>Gen-corporation commission (vote for3)</v>
      </c>
      <c r="E114" s="54" t="s">
        <v>1921</v>
      </c>
      <c r="F114" s="12" t="s">
        <v>1296</v>
      </c>
      <c r="G114" s="59">
        <v>866823</v>
      </c>
      <c r="H114"/>
      <c r="K114" s="2"/>
      <c r="O114">
        <f t="shared" si="39"/>
        <v>3</v>
      </c>
      <c r="P114" s="57">
        <f t="shared" si="40"/>
        <v>3</v>
      </c>
      <c r="Q114" s="267">
        <f t="shared" si="41"/>
        <v>3325263</v>
      </c>
      <c r="R114" s="23">
        <f t="shared" si="42"/>
        <v>866823</v>
      </c>
      <c r="S114" s="23">
        <f t="shared" si="43"/>
        <v>847156</v>
      </c>
      <c r="T114" s="23" t="str">
        <f t="shared" si="44"/>
        <v/>
      </c>
      <c r="U114" t="str">
        <f t="shared" si="45"/>
        <v/>
      </c>
      <c r="W114" s="1">
        <f t="shared" si="46"/>
        <v>113</v>
      </c>
      <c r="X114" s="73">
        <f t="shared" si="60"/>
        <v>21.100083983203362</v>
      </c>
      <c r="Y114" s="322">
        <f t="shared" si="47"/>
        <v>7829.0160000000005</v>
      </c>
      <c r="Z114" s="43">
        <f t="shared" si="36"/>
        <v>1.0930899654537327E-144</v>
      </c>
      <c r="AA114" s="52">
        <f t="shared" si="48"/>
        <v>1.0930899654537327E-146</v>
      </c>
      <c r="AB114" s="8">
        <f t="shared" si="49"/>
        <v>20895.63</v>
      </c>
      <c r="AC114" s="8">
        <f t="shared" si="50"/>
        <v>2089563</v>
      </c>
      <c r="AD114" s="8">
        <f t="shared" si="61"/>
        <v>10447.815000000001</v>
      </c>
      <c r="AE114" s="8" t="str">
        <f t="shared" si="51"/>
        <v/>
      </c>
      <c r="AF114" s="22" t="str">
        <f t="shared" si="52"/>
        <v>AZ_Maric_2020g</v>
      </c>
      <c r="AG114">
        <v>1</v>
      </c>
      <c r="AH114" s="272">
        <v>113464</v>
      </c>
      <c r="AI114" s="273">
        <v>73402</v>
      </c>
      <c r="AJ114" s="274">
        <v>40062</v>
      </c>
      <c r="AK114" s="339">
        <v>33340</v>
      </c>
      <c r="AL114" s="340" t="s">
        <v>1676</v>
      </c>
      <c r="AM114" s="353">
        <f t="shared" si="53"/>
        <v>1.5955489257801752E-2</v>
      </c>
      <c r="AN114" s="354"/>
      <c r="AP114" s="23">
        <f t="shared" si="65"/>
        <v>53</v>
      </c>
      <c r="AQ114" s="392">
        <f t="shared" si="66"/>
        <v>0.4153416133957486</v>
      </c>
      <c r="AR114" s="392">
        <f t="shared" si="67"/>
        <v>0.9347148885650548</v>
      </c>
      <c r="AS114" s="392">
        <f t="shared" si="67"/>
        <v>0.99999295734942562</v>
      </c>
    </row>
    <row r="115" spans="1:45">
      <c r="A115" s="12" t="s">
        <v>1580</v>
      </c>
      <c r="B115" s="54" t="str">
        <f t="shared" si="37"/>
        <v>AZ_Maric_2020g</v>
      </c>
      <c r="C115" s="12"/>
      <c r="D115" s="54" t="str">
        <f t="shared" si="38"/>
        <v>Gen-corporation commission (vote for3)</v>
      </c>
      <c r="E115" s="54" t="s">
        <v>1922</v>
      </c>
      <c r="F115" s="12" t="s">
        <v>1296</v>
      </c>
      <c r="G115" s="59">
        <v>847156</v>
      </c>
      <c r="H115"/>
      <c r="K115" s="2"/>
      <c r="O115">
        <f t="shared" si="39"/>
        <v>4</v>
      </c>
      <c r="P115" s="57">
        <f t="shared" si="40"/>
        <v>3</v>
      </c>
      <c r="Q115" s="267">
        <f t="shared" si="41"/>
        <v>2458440</v>
      </c>
      <c r="R115" s="23" t="str">
        <f t="shared" si="42"/>
        <v/>
      </c>
      <c r="S115" s="23">
        <f t="shared" si="43"/>
        <v>847156</v>
      </c>
      <c r="T115" s="23" t="str">
        <f t="shared" si="44"/>
        <v/>
      </c>
      <c r="U115" t="str">
        <f t="shared" si="45"/>
        <v/>
      </c>
      <c r="W115" s="1">
        <f t="shared" si="46"/>
        <v>114</v>
      </c>
      <c r="X115" s="73">
        <f t="shared" si="60"/>
        <v>15.592544090935725</v>
      </c>
      <c r="Y115" s="322">
        <f t="shared" si="47"/>
        <v>5923.2705000000005</v>
      </c>
      <c r="Z115" s="43">
        <f t="shared" si="36"/>
        <v>3.4179806725150085E-148</v>
      </c>
      <c r="AA115" s="52">
        <f t="shared" si="48"/>
        <v>3.4179806725150083E-150</v>
      </c>
      <c r="AB115" s="8">
        <f t="shared" si="49"/>
        <v>20895.63</v>
      </c>
      <c r="AC115" s="8">
        <f t="shared" si="50"/>
        <v>2089563</v>
      </c>
      <c r="AD115" s="8">
        <f t="shared" si="61"/>
        <v>10447.815000000001</v>
      </c>
      <c r="AE115" s="8" t="str">
        <f t="shared" si="51"/>
        <v/>
      </c>
      <c r="AF115" s="22" t="str">
        <f t="shared" si="52"/>
        <v>AZ_Maric_2020g</v>
      </c>
      <c r="AG115">
        <v>2</v>
      </c>
      <c r="AH115" s="272">
        <v>85844.5</v>
      </c>
      <c r="AI115" s="273">
        <v>60233</v>
      </c>
      <c r="AJ115" s="274">
        <v>26099</v>
      </c>
      <c r="AK115" s="339">
        <v>34134</v>
      </c>
      <c r="AL115" s="340" t="s">
        <v>1567</v>
      </c>
      <c r="AM115" s="353">
        <f t="shared" si="53"/>
        <v>1.6335473015171114E-2</v>
      </c>
      <c r="AN115" s="354"/>
      <c r="AP115" s="23">
        <f t="shared" si="65"/>
        <v>56</v>
      </c>
      <c r="AQ115" s="392">
        <f t="shared" si="66"/>
        <v>0.43288351892807975</v>
      </c>
      <c r="AR115" s="392">
        <f t="shared" si="67"/>
        <v>0.94408313359390628</v>
      </c>
      <c r="AS115" s="392">
        <f t="shared" si="67"/>
        <v>0.99999640897465147</v>
      </c>
    </row>
    <row r="116" spans="1:45">
      <c r="A116" s="12" t="s">
        <v>1580</v>
      </c>
      <c r="B116" s="54" t="str">
        <f t="shared" si="37"/>
        <v>AZ_Maric_2020g</v>
      </c>
      <c r="C116" s="12"/>
      <c r="D116" s="54" t="str">
        <f t="shared" si="38"/>
        <v>Gen-corporation commission (vote for3)</v>
      </c>
      <c r="E116" s="54" t="s">
        <v>1923</v>
      </c>
      <c r="F116" s="12" t="s">
        <v>1294</v>
      </c>
      <c r="G116" s="59">
        <v>811651</v>
      </c>
      <c r="H116"/>
      <c r="K116" s="2"/>
      <c r="O116">
        <f t="shared" si="39"/>
        <v>5</v>
      </c>
      <c r="P116" s="57">
        <f t="shared" si="40"/>
        <v>3</v>
      </c>
      <c r="Q116" s="267">
        <f t="shared" si="41"/>
        <v>1611284</v>
      </c>
      <c r="R116" s="23" t="str">
        <f t="shared" si="42"/>
        <v/>
      </c>
      <c r="S116" s="23">
        <f t="shared" si="43"/>
        <v>811651</v>
      </c>
      <c r="T116" s="23" t="str">
        <f t="shared" si="44"/>
        <v/>
      </c>
      <c r="U116" t="str">
        <f t="shared" si="45"/>
        <v/>
      </c>
      <c r="W116" s="1">
        <f t="shared" si="46"/>
        <v>115</v>
      </c>
      <c r="X116" s="73">
        <f t="shared" si="60"/>
        <v>57.843002087198521</v>
      </c>
      <c r="Y116" s="322">
        <f t="shared" si="47"/>
        <v>22206.339000000004</v>
      </c>
      <c r="Z116" s="43">
        <f t="shared" si="36"/>
        <v>8.6173668314816762E-150</v>
      </c>
      <c r="AA116" s="52">
        <f t="shared" si="48"/>
        <v>8.617366831481676E-152</v>
      </c>
      <c r="AB116" s="8">
        <f t="shared" si="49"/>
        <v>20895.63</v>
      </c>
      <c r="AC116" s="8">
        <f t="shared" si="50"/>
        <v>2089563</v>
      </c>
      <c r="AD116" s="8">
        <f t="shared" si="61"/>
        <v>10447.815000000001</v>
      </c>
      <c r="AE116" s="8" t="str">
        <f t="shared" si="51"/>
        <v/>
      </c>
      <c r="AF116" s="22" t="str">
        <f t="shared" si="52"/>
        <v>AZ_Maric_2020g</v>
      </c>
      <c r="AG116" s="302">
        <v>1</v>
      </c>
      <c r="AH116" s="301">
        <v>321831</v>
      </c>
      <c r="AI116" s="303">
        <v>177554</v>
      </c>
      <c r="AJ116" s="303">
        <v>143058</v>
      </c>
      <c r="AK116" s="342">
        <v>34496</v>
      </c>
      <c r="AL116" s="343" t="s">
        <v>1617</v>
      </c>
      <c r="AM116" s="353">
        <f t="shared" si="53"/>
        <v>1.6508714980117852E-2</v>
      </c>
      <c r="AN116" s="354"/>
      <c r="AP116" s="23">
        <f t="shared" si="65"/>
        <v>58</v>
      </c>
      <c r="AQ116" s="392">
        <f t="shared" si="66"/>
        <v>0.44428746615157855</v>
      </c>
      <c r="AR116" s="392">
        <f t="shared" si="67"/>
        <v>0.94957055342888208</v>
      </c>
      <c r="AS116" s="392">
        <f t="shared" si="67"/>
        <v>0.99999770831941936</v>
      </c>
    </row>
    <row r="117" spans="1:45">
      <c r="A117" s="12" t="s">
        <v>1580</v>
      </c>
      <c r="B117" s="54" t="str">
        <f t="shared" si="37"/>
        <v>AZ_Maric_2020g</v>
      </c>
      <c r="C117" s="12"/>
      <c r="D117" s="54" t="str">
        <f t="shared" si="38"/>
        <v>Gen-corporation commission (vote for3)</v>
      </c>
      <c r="E117" s="54" t="s">
        <v>1924</v>
      </c>
      <c r="F117" s="12" t="s">
        <v>1294</v>
      </c>
      <c r="G117" s="59">
        <v>791907</v>
      </c>
      <c r="H117"/>
      <c r="K117" s="2"/>
      <c r="O117">
        <f t="shared" si="39"/>
        <v>6</v>
      </c>
      <c r="P117" s="57">
        <f t="shared" si="40"/>
        <v>3</v>
      </c>
      <c r="Q117" s="267">
        <f t="shared" si="41"/>
        <v>799633</v>
      </c>
      <c r="R117" s="23" t="str">
        <f t="shared" si="42"/>
        <v/>
      </c>
      <c r="S117" s="23">
        <f t="shared" si="43"/>
        <v>791907</v>
      </c>
      <c r="T117" s="23" t="str">
        <f t="shared" si="44"/>
        <v/>
      </c>
      <c r="U117" t="str">
        <f t="shared" si="45"/>
        <v/>
      </c>
      <c r="W117" s="1">
        <f t="shared" si="46"/>
        <v>116</v>
      </c>
      <c r="X117" s="73">
        <f t="shared" si="60"/>
        <v>19.020134682032065</v>
      </c>
      <c r="Y117" s="322">
        <f t="shared" si="47"/>
        <v>7512.5820000000003</v>
      </c>
      <c r="Z117" s="43">
        <f t="shared" si="36"/>
        <v>3.4717229225407746E-154</v>
      </c>
      <c r="AA117" s="52">
        <f t="shared" si="48"/>
        <v>3.4717229225407746E-156</v>
      </c>
      <c r="AB117" s="8">
        <f t="shared" si="49"/>
        <v>20895.63</v>
      </c>
      <c r="AC117" s="8">
        <f t="shared" si="50"/>
        <v>2089563</v>
      </c>
      <c r="AD117" s="8">
        <f t="shared" si="61"/>
        <v>10447.815000000001</v>
      </c>
      <c r="AE117" s="8" t="str">
        <f t="shared" si="51"/>
        <v/>
      </c>
      <c r="AF117" s="22" t="str">
        <f t="shared" si="52"/>
        <v>AZ_Maric_2020g</v>
      </c>
      <c r="AG117">
        <v>1</v>
      </c>
      <c r="AH117" s="272">
        <v>108878</v>
      </c>
      <c r="AI117" s="273">
        <v>71839</v>
      </c>
      <c r="AJ117" s="274">
        <v>36348</v>
      </c>
      <c r="AK117" s="339">
        <v>35491</v>
      </c>
      <c r="AL117" s="340" t="s">
        <v>1618</v>
      </c>
      <c r="AM117" s="353">
        <f t="shared" si="53"/>
        <v>1.698489109923941E-2</v>
      </c>
      <c r="AN117" s="354"/>
      <c r="AP117" s="23">
        <f t="shared" si="65"/>
        <v>62</v>
      </c>
      <c r="AQ117" s="392">
        <f t="shared" si="66"/>
        <v>0.46641831082036533</v>
      </c>
      <c r="AR117" s="392">
        <f t="shared" si="67"/>
        <v>0.95898522226224603</v>
      </c>
      <c r="AS117" s="392">
        <f t="shared" si="67"/>
        <v>0.99999906696276408</v>
      </c>
    </row>
    <row r="118" spans="1:45">
      <c r="A118" s="12" t="s">
        <v>1580</v>
      </c>
      <c r="B118" s="54" t="str">
        <f t="shared" si="37"/>
        <v>AZ_Maric_2020g</v>
      </c>
      <c r="C118" s="12"/>
      <c r="D118" s="54" t="str">
        <f t="shared" si="38"/>
        <v>Gen-corporation commission (vote for3)</v>
      </c>
      <c r="E118" s="54" t="s">
        <v>1299</v>
      </c>
      <c r="G118" s="59">
        <v>3863</v>
      </c>
      <c r="H118"/>
      <c r="K118" s="2"/>
      <c r="O118">
        <f t="shared" si="39"/>
        <v>-6</v>
      </c>
      <c r="P118" s="57">
        <f t="shared" si="40"/>
        <v>3</v>
      </c>
      <c r="Q118" s="267">
        <f t="shared" si="41"/>
        <v>7726</v>
      </c>
      <c r="R118" s="23" t="str">
        <f t="shared" si="42"/>
        <v/>
      </c>
      <c r="S118" s="23">
        <f t="shared" si="43"/>
        <v>252</v>
      </c>
      <c r="T118" s="23" t="str">
        <f t="shared" si="44"/>
        <v/>
      </c>
      <c r="U118" t="str">
        <f t="shared" si="45"/>
        <v/>
      </c>
      <c r="W118" s="1">
        <f t="shared" si="46"/>
        <v>117</v>
      </c>
      <c r="X118" s="73">
        <f t="shared" si="60"/>
        <v>26.944658474171142</v>
      </c>
      <c r="Y118" s="322">
        <f t="shared" si="47"/>
        <v>10663.605000000001</v>
      </c>
      <c r="Z118" s="43">
        <f t="shared" si="36"/>
        <v>1.7032598994794308E-154</v>
      </c>
      <c r="AA118" s="52">
        <f t="shared" si="48"/>
        <v>1.7032598994794308E-156</v>
      </c>
      <c r="AB118" s="8">
        <f t="shared" si="49"/>
        <v>20895.63</v>
      </c>
      <c r="AC118" s="8">
        <f t="shared" si="50"/>
        <v>2089563</v>
      </c>
      <c r="AD118" s="8">
        <f t="shared" si="61"/>
        <v>10447.815000000001</v>
      </c>
      <c r="AE118" s="8" t="str">
        <f t="shared" si="51"/>
        <v/>
      </c>
      <c r="AF118" s="22" t="str">
        <f t="shared" si="52"/>
        <v>AZ_Maric_2020g</v>
      </c>
      <c r="AG118">
        <v>1</v>
      </c>
      <c r="AH118" s="272">
        <v>154545</v>
      </c>
      <c r="AI118" s="273">
        <v>94983</v>
      </c>
      <c r="AJ118" s="274">
        <v>59422</v>
      </c>
      <c r="AK118" s="339">
        <v>35561</v>
      </c>
      <c r="AL118" s="340" t="s">
        <v>1544</v>
      </c>
      <c r="AM118" s="353">
        <f t="shared" si="53"/>
        <v>1.70183909267153E-2</v>
      </c>
      <c r="AN118" s="354"/>
      <c r="AP118" s="23">
        <f t="shared" si="65"/>
        <v>62</v>
      </c>
      <c r="AQ118" s="392">
        <f t="shared" si="66"/>
        <v>0.46641831082036533</v>
      </c>
      <c r="AR118" s="392">
        <f t="shared" si="67"/>
        <v>0.95898522226224603</v>
      </c>
      <c r="AS118" s="392">
        <f t="shared" si="67"/>
        <v>0.99999906696276408</v>
      </c>
    </row>
    <row r="119" spans="1:45">
      <c r="A119" s="12" t="s">
        <v>1580</v>
      </c>
      <c r="B119" s="54" t="str">
        <f t="shared" si="37"/>
        <v>AZ_Maric_2020g</v>
      </c>
      <c r="C119" s="12"/>
      <c r="D119" s="54" t="str">
        <f t="shared" si="38"/>
        <v>Gen-corporation commission (vote for3)</v>
      </c>
      <c r="E119" s="54" t="s">
        <v>1825</v>
      </c>
      <c r="G119" s="59">
        <v>2280</v>
      </c>
      <c r="H119"/>
      <c r="K119" s="2"/>
      <c r="O119">
        <f t="shared" si="39"/>
        <v>-6</v>
      </c>
      <c r="P119" s="57">
        <f t="shared" si="40"/>
        <v>3</v>
      </c>
      <c r="Q119" s="267">
        <f t="shared" si="41"/>
        <v>3863</v>
      </c>
      <c r="R119" s="23" t="str">
        <f t="shared" si="42"/>
        <v/>
      </c>
      <c r="S119" s="23">
        <f t="shared" si="43"/>
        <v>252</v>
      </c>
      <c r="T119" s="23" t="str">
        <f t="shared" si="44"/>
        <v/>
      </c>
      <c r="U119" t="str">
        <f t="shared" si="45"/>
        <v/>
      </c>
      <c r="W119" s="1">
        <f t="shared" si="46"/>
        <v>118</v>
      </c>
      <c r="X119" s="73">
        <f t="shared" si="60"/>
        <v>12.107184809719206</v>
      </c>
      <c r="Y119" s="322">
        <f t="shared" si="47"/>
        <v>5024.0970000000007</v>
      </c>
      <c r="Z119" s="43">
        <f t="shared" si="36"/>
        <v>4.0029046684099664E-162</v>
      </c>
      <c r="AA119" s="52">
        <f t="shared" si="48"/>
        <v>4.0029046684099665E-164</v>
      </c>
      <c r="AB119" s="8">
        <f t="shared" si="49"/>
        <v>20895.63</v>
      </c>
      <c r="AC119" s="8">
        <f t="shared" si="50"/>
        <v>2089563</v>
      </c>
      <c r="AD119" s="8">
        <f t="shared" si="61"/>
        <v>10447.815000000001</v>
      </c>
      <c r="AE119" s="8" t="str">
        <f t="shared" si="51"/>
        <v/>
      </c>
      <c r="AF119" s="22" t="str">
        <f t="shared" si="52"/>
        <v>AZ_Maric_2020g</v>
      </c>
      <c r="AG119">
        <v>1</v>
      </c>
      <c r="AH119" s="272">
        <v>72813</v>
      </c>
      <c r="AI119" s="273">
        <v>55050</v>
      </c>
      <c r="AJ119" s="274">
        <v>17763</v>
      </c>
      <c r="AK119" s="339">
        <v>37287</v>
      </c>
      <c r="AL119" s="340" t="s">
        <v>1701</v>
      </c>
      <c r="AM119" s="353">
        <f t="shared" si="53"/>
        <v>1.7844400958477922E-2</v>
      </c>
      <c r="AN119" s="354"/>
      <c r="AP119" s="23">
        <f t="shared" si="65"/>
        <v>69</v>
      </c>
      <c r="AQ119" s="392">
        <f t="shared" si="66"/>
        <v>0.50306653972856941</v>
      </c>
      <c r="AR119" s="392">
        <f t="shared" si="67"/>
        <v>0.97143703742922727</v>
      </c>
      <c r="AS119" s="392">
        <f t="shared" si="67"/>
        <v>0.99999980655975829</v>
      </c>
    </row>
    <row r="120" spans="1:45">
      <c r="A120" s="12" t="s">
        <v>1580</v>
      </c>
      <c r="B120" s="54" t="str">
        <f t="shared" si="37"/>
        <v>AZ_Maric_2020g</v>
      </c>
      <c r="C120" s="12"/>
      <c r="D120" s="54" t="str">
        <f t="shared" si="38"/>
        <v>Gen-corporation commission (vote for3)</v>
      </c>
      <c r="E120" s="54" t="s">
        <v>1826</v>
      </c>
      <c r="G120" s="59">
        <v>691</v>
      </c>
      <c r="H120"/>
      <c r="K120" s="2"/>
      <c r="O120">
        <f t="shared" si="39"/>
        <v>-6</v>
      </c>
      <c r="P120" s="57">
        <f t="shared" si="40"/>
        <v>3</v>
      </c>
      <c r="Q120" s="267">
        <f t="shared" si="41"/>
        <v>1583</v>
      </c>
      <c r="R120" s="23" t="str">
        <f t="shared" si="42"/>
        <v/>
      </c>
      <c r="S120" s="23">
        <f t="shared" si="43"/>
        <v>252</v>
      </c>
      <c r="T120" s="23" t="str">
        <f t="shared" si="44"/>
        <v/>
      </c>
      <c r="U120" t="str">
        <f t="shared" si="45"/>
        <v/>
      </c>
      <c r="W120" s="1">
        <f t="shared" si="46"/>
        <v>119</v>
      </c>
      <c r="X120" s="73">
        <f t="shared" si="60"/>
        <v>311.45829299902141</v>
      </c>
      <c r="Y120" s="322">
        <f t="shared" si="47"/>
        <v>131054.66700000002</v>
      </c>
      <c r="Z120" s="43">
        <f t="shared" si="36"/>
        <v>1.9673240677524334E-164</v>
      </c>
      <c r="AA120" s="52">
        <f t="shared" si="48"/>
        <v>1.9673240677524333E-166</v>
      </c>
      <c r="AB120" s="8">
        <f t="shared" si="49"/>
        <v>20895.63</v>
      </c>
      <c r="AC120" s="8">
        <f t="shared" si="50"/>
        <v>2089563</v>
      </c>
      <c r="AD120" s="8">
        <f t="shared" si="61"/>
        <v>10447.815000000001</v>
      </c>
      <c r="AE120" s="8" t="str">
        <f t="shared" si="51"/>
        <v/>
      </c>
      <c r="AF120" s="22" t="str">
        <f t="shared" si="52"/>
        <v>AZ_Maric_2020g</v>
      </c>
      <c r="AG120">
        <v>1</v>
      </c>
      <c r="AH120" s="272">
        <v>1899343</v>
      </c>
      <c r="AI120" s="273">
        <v>966759</v>
      </c>
      <c r="AJ120" s="274">
        <v>928950</v>
      </c>
      <c r="AK120" s="339">
        <v>37809</v>
      </c>
      <c r="AL120" s="340" t="s">
        <v>1587</v>
      </c>
      <c r="AM120" s="353">
        <f t="shared" si="53"/>
        <v>1.8094213957655262E-2</v>
      </c>
      <c r="AN120" s="354"/>
      <c r="AP120" s="23">
        <f t="shared" si="65"/>
        <v>72</v>
      </c>
      <c r="AQ120" s="392">
        <f t="shared" si="66"/>
        <v>0.51799912993530839</v>
      </c>
      <c r="AR120" s="392">
        <f t="shared" si="67"/>
        <v>0.97554174469926269</v>
      </c>
      <c r="AS120" s="392">
        <f t="shared" si="67"/>
        <v>0.99999990148022977</v>
      </c>
    </row>
    <row r="121" spans="1:45">
      <c r="A121" s="12" t="s">
        <v>1580</v>
      </c>
      <c r="B121" s="54" t="str">
        <f t="shared" si="37"/>
        <v>AZ_Maric_2020g</v>
      </c>
      <c r="C121" s="12"/>
      <c r="D121" s="54" t="str">
        <f t="shared" si="38"/>
        <v>Gen-corporation commission (vote for3)</v>
      </c>
      <c r="E121" s="54" t="s">
        <v>1928</v>
      </c>
      <c r="G121" s="59">
        <v>546</v>
      </c>
      <c r="H121"/>
      <c r="K121" s="2"/>
      <c r="O121">
        <f t="shared" si="39"/>
        <v>-6</v>
      </c>
      <c r="P121" s="57">
        <f t="shared" si="40"/>
        <v>3</v>
      </c>
      <c r="Q121" s="267">
        <f t="shared" si="41"/>
        <v>892</v>
      </c>
      <c r="R121" s="23" t="str">
        <f t="shared" si="42"/>
        <v/>
      </c>
      <c r="S121" s="23">
        <f t="shared" si="43"/>
        <v>252</v>
      </c>
      <c r="T121" s="23" t="str">
        <f t="shared" si="44"/>
        <v/>
      </c>
      <c r="U121" t="str">
        <f t="shared" si="45"/>
        <v/>
      </c>
      <c r="W121" s="1">
        <f t="shared" si="46"/>
        <v>120</v>
      </c>
      <c r="X121" s="73">
        <f t="shared" si="60"/>
        <v>6.9695565404452742</v>
      </c>
      <c r="Y121" s="322">
        <f t="shared" si="47"/>
        <v>2992.6680000000001</v>
      </c>
      <c r="Z121" s="43">
        <f t="shared" si="36"/>
        <v>7.4104966979174568E-168</v>
      </c>
      <c r="AA121" s="52">
        <f t="shared" si="48"/>
        <v>7.410496697917457E-170</v>
      </c>
      <c r="AB121" s="8">
        <f t="shared" si="49"/>
        <v>20895.63</v>
      </c>
      <c r="AC121" s="8">
        <f t="shared" si="50"/>
        <v>2089563</v>
      </c>
      <c r="AD121" s="8">
        <f t="shared" si="61"/>
        <v>10447.815000000001</v>
      </c>
      <c r="AE121" s="8" t="str">
        <f t="shared" si="51"/>
        <v/>
      </c>
      <c r="AF121" s="22" t="str">
        <f t="shared" si="52"/>
        <v>AZ_Maric_2020g</v>
      </c>
      <c r="AG121">
        <v>2</v>
      </c>
      <c r="AH121" s="272">
        <v>43372</v>
      </c>
      <c r="AI121" s="273">
        <v>38617</v>
      </c>
      <c r="AJ121" s="274">
        <v>34</v>
      </c>
      <c r="AK121" s="339">
        <v>38583</v>
      </c>
      <c r="AL121" s="340" t="s">
        <v>1557</v>
      </c>
      <c r="AM121" s="353">
        <f t="shared" si="53"/>
        <v>1.8464626335745801E-2</v>
      </c>
      <c r="AN121" s="354"/>
      <c r="AP121" s="23">
        <f t="shared" si="65"/>
        <v>75</v>
      </c>
      <c r="AQ121" s="392">
        <f t="shared" si="66"/>
        <v>0.53248714960247878</v>
      </c>
      <c r="AR121" s="392">
        <f t="shared" si="67"/>
        <v>0.97905753975260568</v>
      </c>
      <c r="AS121" s="392">
        <f t="shared" si="67"/>
        <v>0.99999994983452511</v>
      </c>
    </row>
    <row r="122" spans="1:45">
      <c r="A122" s="12" t="s">
        <v>1580</v>
      </c>
      <c r="B122" s="54" t="str">
        <f t="shared" si="37"/>
        <v>AZ_Maric_2020g</v>
      </c>
      <c r="C122" s="12"/>
      <c r="D122" s="54" t="str">
        <f t="shared" si="38"/>
        <v>Gen-corporation commission (vote for3)</v>
      </c>
      <c r="E122" s="54" t="s">
        <v>1927</v>
      </c>
      <c r="G122" s="59">
        <v>252</v>
      </c>
      <c r="H122"/>
      <c r="K122" s="2"/>
      <c r="O122">
        <f t="shared" si="39"/>
        <v>7</v>
      </c>
      <c r="P122" s="57">
        <f t="shared" si="40"/>
        <v>3</v>
      </c>
      <c r="Q122" s="267">
        <f t="shared" si="41"/>
        <v>346</v>
      </c>
      <c r="R122" s="23" t="str">
        <f t="shared" si="42"/>
        <v/>
      </c>
      <c r="S122" s="23">
        <f t="shared" si="43"/>
        <v>252</v>
      </c>
      <c r="T122" s="23" t="str">
        <f t="shared" si="44"/>
        <v/>
      </c>
      <c r="U122" t="str">
        <f t="shared" si="45"/>
        <v/>
      </c>
      <c r="W122" s="1">
        <f t="shared" si="46"/>
        <v>121</v>
      </c>
      <c r="X122" s="73">
        <f t="shared" si="60"/>
        <v>23.033971427833322</v>
      </c>
      <c r="Y122" s="322">
        <f t="shared" si="47"/>
        <v>9922.8900000000012</v>
      </c>
      <c r="Z122" s="43">
        <f t="shared" si="36"/>
        <v>2.0526978177630675E-168</v>
      </c>
      <c r="AA122" s="52">
        <f t="shared" si="48"/>
        <v>2.0526978177630674E-170</v>
      </c>
      <c r="AB122" s="8">
        <f t="shared" si="49"/>
        <v>20895.63</v>
      </c>
      <c r="AC122" s="8">
        <f t="shared" si="50"/>
        <v>2089563</v>
      </c>
      <c r="AD122" s="8">
        <f t="shared" si="61"/>
        <v>10447.815000000001</v>
      </c>
      <c r="AE122" s="8" t="str">
        <f t="shared" si="51"/>
        <v/>
      </c>
      <c r="AF122" s="22" t="str">
        <f t="shared" si="52"/>
        <v>AZ_Maric_2020g</v>
      </c>
      <c r="AG122">
        <v>2</v>
      </c>
      <c r="AH122" s="272">
        <v>143810</v>
      </c>
      <c r="AI122" s="273">
        <v>92231</v>
      </c>
      <c r="AJ122" s="274">
        <v>53522</v>
      </c>
      <c r="AK122" s="339">
        <v>38709</v>
      </c>
      <c r="AL122" s="340" t="s">
        <v>1563</v>
      </c>
      <c r="AM122" s="353">
        <f t="shared" si="53"/>
        <v>1.85249260252024E-2</v>
      </c>
      <c r="AN122" s="354"/>
      <c r="AP122" s="23">
        <f t="shared" si="65"/>
        <v>75</v>
      </c>
      <c r="AQ122" s="392">
        <f t="shared" si="66"/>
        <v>0.53248714960247878</v>
      </c>
      <c r="AR122" s="392">
        <f t="shared" si="67"/>
        <v>0.97905753975260568</v>
      </c>
      <c r="AS122" s="392">
        <f t="shared" si="67"/>
        <v>0.99999994983452511</v>
      </c>
    </row>
    <row r="123" spans="1:45">
      <c r="A123" s="12" t="s">
        <v>1580</v>
      </c>
      <c r="B123" s="54" t="str">
        <f t="shared" si="37"/>
        <v>AZ_Maric_2020g</v>
      </c>
      <c r="C123" s="12"/>
      <c r="D123" s="54" t="str">
        <f t="shared" si="38"/>
        <v>Gen-corporation commission (vote for3)</v>
      </c>
      <c r="E123" s="54" t="s">
        <v>1926</v>
      </c>
      <c r="G123" s="59">
        <v>94</v>
      </c>
      <c r="H123"/>
      <c r="K123" s="2"/>
      <c r="O123">
        <f t="shared" si="39"/>
        <v>8</v>
      </c>
      <c r="P123" s="57">
        <f t="shared" si="40"/>
        <v>3</v>
      </c>
      <c r="Q123" s="267">
        <f t="shared" si="41"/>
        <v>94</v>
      </c>
      <c r="R123" s="23" t="str">
        <f t="shared" si="42"/>
        <v/>
      </c>
      <c r="S123" s="23">
        <f t="shared" si="43"/>
        <v>94</v>
      </c>
      <c r="T123" s="23" t="str">
        <f t="shared" si="44"/>
        <v/>
      </c>
      <c r="U123" t="str">
        <f t="shared" si="45"/>
        <v/>
      </c>
      <c r="W123" s="1">
        <f t="shared" si="46"/>
        <v>122</v>
      </c>
      <c r="X123" s="73">
        <f t="shared" si="60"/>
        <v>14.868519978635197</v>
      </c>
      <c r="Y123" s="322">
        <f t="shared" si="47"/>
        <v>6505.8720000000003</v>
      </c>
      <c r="Z123" s="43">
        <f t="shared" si="36"/>
        <v>4.1838603808154429E-171</v>
      </c>
      <c r="AA123" s="52">
        <f t="shared" si="48"/>
        <v>4.1838603808154434E-173</v>
      </c>
      <c r="AB123" s="8">
        <f t="shared" si="49"/>
        <v>20895.63</v>
      </c>
      <c r="AC123" s="8">
        <f t="shared" si="50"/>
        <v>2089563</v>
      </c>
      <c r="AD123" s="8">
        <f t="shared" si="61"/>
        <v>10447.815000000001</v>
      </c>
      <c r="AE123" s="8" t="str">
        <f t="shared" si="51"/>
        <v/>
      </c>
      <c r="AF123" s="22" t="str">
        <f t="shared" si="52"/>
        <v>AZ_Maric_2020g</v>
      </c>
      <c r="AG123">
        <v>1</v>
      </c>
      <c r="AH123" s="272">
        <v>94288</v>
      </c>
      <c r="AI123" s="273">
        <v>66719</v>
      </c>
      <c r="AJ123" s="274">
        <v>27402</v>
      </c>
      <c r="AK123" s="339">
        <v>39317</v>
      </c>
      <c r="AL123" s="344" t="s">
        <v>1566</v>
      </c>
      <c r="AM123" s="353">
        <f t="shared" si="53"/>
        <v>1.8815895955278689E-2</v>
      </c>
      <c r="AN123" s="354"/>
      <c r="AP123" s="23">
        <f t="shared" si="65"/>
        <v>78</v>
      </c>
      <c r="AQ123" s="392">
        <f t="shared" si="66"/>
        <v>0.54654371090457043</v>
      </c>
      <c r="AR123" s="392">
        <f t="shared" si="67"/>
        <v>0.98206877680849336</v>
      </c>
      <c r="AS123" s="392">
        <f t="shared" si="67"/>
        <v>0.99999997446173572</v>
      </c>
    </row>
    <row r="124" spans="1:45">
      <c r="A124" s="12" t="s">
        <v>1586</v>
      </c>
      <c r="B124" s="54" t="str">
        <f t="shared" si="37"/>
        <v>AZ_Maric_2020g</v>
      </c>
      <c r="C124" s="12"/>
      <c r="D124" s="54" t="str">
        <f t="shared" si="38"/>
        <v>Gen-county assessor (vote for1)</v>
      </c>
      <c r="E124" s="54" t="s">
        <v>1939</v>
      </c>
      <c r="F124" s="12" t="s">
        <v>1296</v>
      </c>
      <c r="G124" s="59">
        <v>987860</v>
      </c>
      <c r="H124"/>
      <c r="K124" s="2"/>
      <c r="O124">
        <f t="shared" si="39"/>
        <v>1</v>
      </c>
      <c r="P124" s="57">
        <f t="shared" si="40"/>
        <v>1</v>
      </c>
      <c r="Q124" s="267">
        <f t="shared" si="41"/>
        <v>1888364</v>
      </c>
      <c r="R124" s="23">
        <f t="shared" si="42"/>
        <v>987860</v>
      </c>
      <c r="S124" s="23">
        <f t="shared" si="43"/>
        <v>898722</v>
      </c>
      <c r="T124" s="23">
        <f t="shared" si="44"/>
        <v>89138</v>
      </c>
      <c r="U124" t="str">
        <f t="shared" si="45"/>
        <v>AZ_Maric_2020g~Gen-county assessor (vote for1)</v>
      </c>
      <c r="W124" s="1">
        <f t="shared" si="46"/>
        <v>123</v>
      </c>
      <c r="X124" s="73">
        <f t="shared" si="60"/>
        <v>11.525728592889333</v>
      </c>
      <c r="Y124" s="322">
        <f t="shared" si="47"/>
        <v>5123.1120000000001</v>
      </c>
      <c r="Z124" s="43">
        <f t="shared" ref="Z124:Z187" si="68">AA124*100</f>
        <v>7.3049613946329849E-174</v>
      </c>
      <c r="AA124" s="52">
        <f t="shared" si="48"/>
        <v>7.3049613946329852E-176</v>
      </c>
      <c r="AB124" s="8">
        <f t="shared" si="49"/>
        <v>20895.63</v>
      </c>
      <c r="AC124" s="8">
        <f t="shared" si="50"/>
        <v>2089563</v>
      </c>
      <c r="AD124" s="8">
        <f t="shared" si="61"/>
        <v>10447.815000000001</v>
      </c>
      <c r="AE124" s="8" t="str">
        <f t="shared" si="51"/>
        <v/>
      </c>
      <c r="AF124" s="22" t="str">
        <f t="shared" si="52"/>
        <v>AZ_Maric_2020g</v>
      </c>
      <c r="AG124">
        <v>1</v>
      </c>
      <c r="AH124" s="272">
        <v>74248</v>
      </c>
      <c r="AI124" s="273">
        <v>57027</v>
      </c>
      <c r="AJ124" s="274">
        <v>17087</v>
      </c>
      <c r="AK124" s="339">
        <v>39940</v>
      </c>
      <c r="AL124" s="340" t="s">
        <v>1572</v>
      </c>
      <c r="AM124" s="353">
        <f t="shared" si="53"/>
        <v>1.9114044419814093E-2</v>
      </c>
      <c r="AN124" s="354"/>
      <c r="AP124" s="23">
        <f t="shared" si="65"/>
        <v>81</v>
      </c>
      <c r="AQ124" s="392">
        <f t="shared" si="66"/>
        <v>0.56018154292999767</v>
      </c>
      <c r="AR124" s="392">
        <f t="shared" si="67"/>
        <v>0.98464774725182092</v>
      </c>
      <c r="AS124" s="392">
        <f t="shared" si="67"/>
        <v>0.99999998700181614</v>
      </c>
    </row>
    <row r="125" spans="1:45">
      <c r="A125" s="12" t="s">
        <v>1586</v>
      </c>
      <c r="B125" s="54" t="str">
        <f t="shared" si="37"/>
        <v>AZ_Maric_2020g</v>
      </c>
      <c r="C125" s="12"/>
      <c r="D125" s="54" t="str">
        <f t="shared" si="38"/>
        <v>Gen-county assessor (vote for1)</v>
      </c>
      <c r="E125" s="54" t="s">
        <v>1940</v>
      </c>
      <c r="F125" s="12" t="s">
        <v>1294</v>
      </c>
      <c r="G125" s="59">
        <v>898722</v>
      </c>
      <c r="H125"/>
      <c r="K125" s="2"/>
      <c r="O125">
        <f t="shared" si="39"/>
        <v>2</v>
      </c>
      <c r="P125" s="57">
        <f t="shared" si="40"/>
        <v>1</v>
      </c>
      <c r="Q125" s="267">
        <f t="shared" si="41"/>
        <v>900504</v>
      </c>
      <c r="R125" s="23" t="str">
        <f t="shared" si="42"/>
        <v/>
      </c>
      <c r="S125" s="23">
        <f t="shared" si="43"/>
        <v>898722</v>
      </c>
      <c r="T125" s="23" t="str">
        <f t="shared" si="44"/>
        <v/>
      </c>
      <c r="U125" t="str">
        <f t="shared" si="45"/>
        <v/>
      </c>
      <c r="W125" s="1">
        <f t="shared" si="46"/>
        <v>124</v>
      </c>
      <c r="X125" s="73">
        <f t="shared" si="60"/>
        <v>11.037292614887681</v>
      </c>
      <c r="Y125" s="322">
        <f t="shared" si="47"/>
        <v>5019.75</v>
      </c>
      <c r="Z125" s="43">
        <f t="shared" si="68"/>
        <v>5.7910629116503684E-178</v>
      </c>
      <c r="AA125" s="52">
        <f t="shared" si="48"/>
        <v>5.7910629116503681E-180</v>
      </c>
      <c r="AB125" s="8">
        <f t="shared" si="49"/>
        <v>20895.63</v>
      </c>
      <c r="AC125" s="8">
        <f t="shared" si="50"/>
        <v>2089563</v>
      </c>
      <c r="AD125" s="8">
        <f t="shared" si="61"/>
        <v>10447.815000000001</v>
      </c>
      <c r="AE125" s="8" t="str">
        <f t="shared" si="51"/>
        <v/>
      </c>
      <c r="AF125" s="22" t="str">
        <f t="shared" si="52"/>
        <v>AZ_Maric_2020g</v>
      </c>
      <c r="AG125">
        <v>1</v>
      </c>
      <c r="AH125" s="272">
        <v>72750</v>
      </c>
      <c r="AI125" s="273">
        <v>56808</v>
      </c>
      <c r="AJ125" s="274">
        <v>15942</v>
      </c>
      <c r="AK125" s="339">
        <v>40866</v>
      </c>
      <c r="AL125" s="340" t="s">
        <v>1699</v>
      </c>
      <c r="AM125" s="353">
        <f t="shared" si="53"/>
        <v>1.9557199280423706E-2</v>
      </c>
      <c r="AN125" s="354"/>
      <c r="AP125" s="23">
        <f t="shared" si="65"/>
        <v>84</v>
      </c>
      <c r="AQ125" s="392">
        <f t="shared" si="66"/>
        <v>0.57341300276682428</v>
      </c>
      <c r="AR125" s="392">
        <f t="shared" si="67"/>
        <v>0.98685640180565137</v>
      </c>
      <c r="AS125" s="392">
        <f t="shared" si="67"/>
        <v>0.99999999338577805</v>
      </c>
    </row>
    <row r="126" spans="1:45">
      <c r="A126" s="12" t="s">
        <v>1586</v>
      </c>
      <c r="B126" s="54" t="str">
        <f t="shared" si="37"/>
        <v>AZ_Maric_2020g</v>
      </c>
      <c r="C126" s="12"/>
      <c r="D126" s="54" t="str">
        <f t="shared" si="38"/>
        <v>Gen-county assessor (vote for1)</v>
      </c>
      <c r="E126" s="54" t="s">
        <v>1299</v>
      </c>
      <c r="G126" s="59">
        <v>1782</v>
      </c>
      <c r="H126"/>
      <c r="K126" s="2"/>
      <c r="O126">
        <f t="shared" si="39"/>
        <v>-2</v>
      </c>
      <c r="P126" s="57">
        <f t="shared" si="40"/>
        <v>1</v>
      </c>
      <c r="Q126" s="267">
        <f t="shared" si="41"/>
        <v>1782</v>
      </c>
      <c r="R126" s="23">
        <f t="shared" si="42"/>
        <v>1</v>
      </c>
      <c r="S126" s="23">
        <f t="shared" si="43"/>
        <v>0</v>
      </c>
      <c r="T126" s="23" t="str">
        <f t="shared" si="44"/>
        <v/>
      </c>
      <c r="U126" t="str">
        <f t="shared" si="45"/>
        <v/>
      </c>
      <c r="W126" s="1">
        <f t="shared" si="46"/>
        <v>125</v>
      </c>
      <c r="X126" s="73">
        <f t="shared" si="60"/>
        <v>10.820373620561151</v>
      </c>
      <c r="Y126" s="322">
        <f t="shared" si="47"/>
        <v>5008.6410000000005</v>
      </c>
      <c r="Z126" s="43">
        <f t="shared" si="68"/>
        <v>3.4824574548144324E-181</v>
      </c>
      <c r="AA126" s="52">
        <f t="shared" si="48"/>
        <v>3.4824574548144322E-183</v>
      </c>
      <c r="AB126" s="8">
        <f t="shared" si="49"/>
        <v>20895.63</v>
      </c>
      <c r="AC126" s="8">
        <f t="shared" si="50"/>
        <v>2089563</v>
      </c>
      <c r="AD126" s="8">
        <f t="shared" si="61"/>
        <v>10447.815000000001</v>
      </c>
      <c r="AE126" s="8" t="str">
        <f t="shared" si="51"/>
        <v/>
      </c>
      <c r="AF126" s="22" t="str">
        <f t="shared" si="52"/>
        <v>AZ_Maric_2020g</v>
      </c>
      <c r="AG126">
        <v>1</v>
      </c>
      <c r="AH126" s="272">
        <v>72589</v>
      </c>
      <c r="AI126" s="273">
        <v>57091</v>
      </c>
      <c r="AJ126" s="274">
        <v>15498</v>
      </c>
      <c r="AK126" s="339">
        <v>41593</v>
      </c>
      <c r="AL126" s="340" t="s">
        <v>1698</v>
      </c>
      <c r="AM126" s="353">
        <f t="shared" si="53"/>
        <v>1.9905118917209006E-2</v>
      </c>
      <c r="AN126" s="354"/>
      <c r="AP126" s="23">
        <f t="shared" si="65"/>
        <v>87</v>
      </c>
      <c r="AQ126" s="392">
        <f t="shared" si="66"/>
        <v>0.58625008627076269</v>
      </c>
      <c r="AR126" s="392">
        <f t="shared" si="67"/>
        <v>0.98874782724012589</v>
      </c>
      <c r="AS126" s="392">
        <f t="shared" si="67"/>
        <v>0.99999999663504258</v>
      </c>
    </row>
    <row r="127" spans="1:45">
      <c r="A127" s="12" t="s">
        <v>1587</v>
      </c>
      <c r="B127" s="54" t="str">
        <f t="shared" si="37"/>
        <v>AZ_Maric_2020g</v>
      </c>
      <c r="C127" s="12"/>
      <c r="D127" s="54" t="str">
        <f t="shared" si="38"/>
        <v>Gen-county attorney (vote for1)</v>
      </c>
      <c r="E127" s="54" t="s">
        <v>1941</v>
      </c>
      <c r="F127" s="12" t="s">
        <v>1296</v>
      </c>
      <c r="G127" s="59">
        <v>966759</v>
      </c>
      <c r="H127"/>
      <c r="K127" s="2"/>
      <c r="O127">
        <f t="shared" si="39"/>
        <v>1</v>
      </c>
      <c r="P127" s="57">
        <f t="shared" si="40"/>
        <v>1</v>
      </c>
      <c r="Q127" s="267">
        <f t="shared" si="41"/>
        <v>1899343</v>
      </c>
      <c r="R127" s="23">
        <f t="shared" si="42"/>
        <v>966759</v>
      </c>
      <c r="S127" s="23">
        <f t="shared" si="43"/>
        <v>928950</v>
      </c>
      <c r="T127" s="23">
        <f t="shared" si="44"/>
        <v>37809</v>
      </c>
      <c r="U127" t="str">
        <f t="shared" si="45"/>
        <v>AZ_Maric_2020g~Gen-county attorney (vote for1)</v>
      </c>
      <c r="W127" s="1">
        <f t="shared" si="46"/>
        <v>126</v>
      </c>
      <c r="X127" s="73">
        <f t="shared" si="60"/>
        <v>22.753686531042579</v>
      </c>
      <c r="Y127" s="322">
        <f t="shared" si="47"/>
        <v>10567.902</v>
      </c>
      <c r="Z127" s="43">
        <f t="shared" si="68"/>
        <v>8.3464921187757215E-182</v>
      </c>
      <c r="AA127" s="52">
        <f t="shared" si="48"/>
        <v>8.3464921187757209E-184</v>
      </c>
      <c r="AB127" s="8">
        <f t="shared" si="49"/>
        <v>20895.63</v>
      </c>
      <c r="AC127" s="8">
        <f t="shared" si="50"/>
        <v>2089563</v>
      </c>
      <c r="AD127" s="8">
        <f t="shared" si="61"/>
        <v>10447.815000000001</v>
      </c>
      <c r="AE127" s="8" t="str">
        <f t="shared" si="51"/>
        <v/>
      </c>
      <c r="AF127" s="22" t="str">
        <f t="shared" si="52"/>
        <v>AZ_Maric_2020g</v>
      </c>
      <c r="AG127">
        <v>1</v>
      </c>
      <c r="AH127" s="272">
        <v>153158</v>
      </c>
      <c r="AI127" s="273">
        <v>97386</v>
      </c>
      <c r="AJ127" s="274">
        <v>55653</v>
      </c>
      <c r="AK127" s="339">
        <v>41733</v>
      </c>
      <c r="AL127" s="344" t="s">
        <v>1562</v>
      </c>
      <c r="AM127" s="353">
        <f t="shared" si="53"/>
        <v>1.9972118572160781E-2</v>
      </c>
      <c r="AN127" s="354"/>
      <c r="AP127" s="23">
        <f t="shared" si="65"/>
        <v>88</v>
      </c>
      <c r="AQ127" s="392">
        <f t="shared" si="66"/>
        <v>0.59044349755855874</v>
      </c>
      <c r="AR127" s="392">
        <f t="shared" si="67"/>
        <v>0.98931586646342839</v>
      </c>
      <c r="AS127" s="392">
        <f t="shared" si="67"/>
        <v>0.99999999731388056</v>
      </c>
    </row>
    <row r="128" spans="1:45">
      <c r="A128" s="12" t="s">
        <v>1587</v>
      </c>
      <c r="B128" s="54" t="str">
        <f t="shared" si="37"/>
        <v>AZ_Maric_2020g</v>
      </c>
      <c r="C128" s="12"/>
      <c r="D128" s="54" t="str">
        <f t="shared" si="38"/>
        <v>Gen-county attorney (vote for1)</v>
      </c>
      <c r="E128" s="54" t="s">
        <v>1942</v>
      </c>
      <c r="F128" s="12" t="s">
        <v>1294</v>
      </c>
      <c r="G128" s="59">
        <v>928950</v>
      </c>
      <c r="H128"/>
      <c r="K128" s="2"/>
      <c r="O128">
        <f t="shared" si="39"/>
        <v>2</v>
      </c>
      <c r="P128" s="57">
        <f t="shared" si="40"/>
        <v>1</v>
      </c>
      <c r="Q128" s="267">
        <f t="shared" si="41"/>
        <v>932584</v>
      </c>
      <c r="R128" s="23" t="str">
        <f t="shared" si="42"/>
        <v/>
      </c>
      <c r="S128" s="23">
        <f t="shared" si="43"/>
        <v>928950</v>
      </c>
      <c r="T128" s="23" t="str">
        <f t="shared" si="44"/>
        <v/>
      </c>
      <c r="U128" t="str">
        <f t="shared" si="45"/>
        <v/>
      </c>
      <c r="W128" s="1">
        <f t="shared" si="46"/>
        <v>127</v>
      </c>
      <c r="X128" s="73">
        <f t="shared" si="60"/>
        <v>286.43892793012481</v>
      </c>
      <c r="Y128" s="322">
        <f t="shared" si="47"/>
        <v>143797.932</v>
      </c>
      <c r="Z128" s="43">
        <f t="shared" si="68"/>
        <v>8.8834670861729471E-197</v>
      </c>
      <c r="AA128" s="52">
        <f t="shared" si="48"/>
        <v>8.8834670861729476E-199</v>
      </c>
      <c r="AB128" s="8">
        <f t="shared" si="49"/>
        <v>20895.63</v>
      </c>
      <c r="AC128" s="8">
        <f t="shared" si="50"/>
        <v>2089563</v>
      </c>
      <c r="AD128" s="8">
        <f t="shared" si="61"/>
        <v>10447.815000000001</v>
      </c>
      <c r="AE128" s="8" t="str">
        <f t="shared" si="51"/>
        <v/>
      </c>
      <c r="AF128" s="22" t="str">
        <f t="shared" si="52"/>
        <v>AZ_Maric_2020g</v>
      </c>
      <c r="AG128" s="23">
        <v>1</v>
      </c>
      <c r="AH128" s="8">
        <v>2084028</v>
      </c>
      <c r="AI128" s="273">
        <v>1040774</v>
      </c>
      <c r="AJ128" s="274">
        <v>995665</v>
      </c>
      <c r="AK128" s="339">
        <v>45109</v>
      </c>
      <c r="AL128" s="340" t="s">
        <v>1529</v>
      </c>
      <c r="AM128" s="353">
        <f t="shared" si="53"/>
        <v>2.1587767394426489E-2</v>
      </c>
      <c r="AN128" s="354"/>
      <c r="AO128" s="356"/>
      <c r="AP128" s="23">
        <f t="shared" si="65"/>
        <v>102</v>
      </c>
      <c r="AQ128" s="392">
        <f t="shared" si="66"/>
        <v>0.64491572046627355</v>
      </c>
      <c r="AR128" s="392">
        <f t="shared" si="67"/>
        <v>0.99482934112612498</v>
      </c>
      <c r="AS128" s="392">
        <f t="shared" si="67"/>
        <v>0.99999999988569843</v>
      </c>
    </row>
    <row r="129" spans="1:45">
      <c r="A129" s="12" t="s">
        <v>1587</v>
      </c>
      <c r="B129" s="54" t="str">
        <f t="shared" si="37"/>
        <v>AZ_Maric_2020g</v>
      </c>
      <c r="C129" s="12"/>
      <c r="D129" s="54" t="str">
        <f t="shared" si="38"/>
        <v>Gen-county attorney (vote for1)</v>
      </c>
      <c r="E129" s="54" t="s">
        <v>1299</v>
      </c>
      <c r="G129" s="59">
        <v>1817</v>
      </c>
      <c r="H129"/>
      <c r="K129" s="2"/>
      <c r="O129">
        <f t="shared" si="39"/>
        <v>-2</v>
      </c>
      <c r="P129" s="57">
        <f t="shared" si="40"/>
        <v>1</v>
      </c>
      <c r="Q129" s="267">
        <f t="shared" si="41"/>
        <v>3634</v>
      </c>
      <c r="R129" s="23" t="str">
        <f t="shared" si="42"/>
        <v/>
      </c>
      <c r="S129" s="23">
        <f t="shared" si="43"/>
        <v>62</v>
      </c>
      <c r="T129" s="23" t="str">
        <f t="shared" si="44"/>
        <v/>
      </c>
      <c r="U129" t="str">
        <f t="shared" si="45"/>
        <v/>
      </c>
      <c r="W129" s="1">
        <f t="shared" si="46"/>
        <v>128</v>
      </c>
      <c r="X129" s="73">
        <f t="shared" si="60"/>
        <v>11.516072995262327</v>
      </c>
      <c r="Y129" s="322">
        <f t="shared" si="47"/>
        <v>5843.1960000000008</v>
      </c>
      <c r="Z129" s="43">
        <f t="shared" si="68"/>
        <v>6.3738862417993957E-199</v>
      </c>
      <c r="AA129" s="52">
        <f t="shared" si="48"/>
        <v>6.3738862417993954E-201</v>
      </c>
      <c r="AB129" s="8">
        <f t="shared" si="49"/>
        <v>20895.63</v>
      </c>
      <c r="AC129" s="8">
        <f t="shared" si="50"/>
        <v>2089563</v>
      </c>
      <c r="AD129" s="8">
        <f t="shared" si="61"/>
        <v>10447.815000000001</v>
      </c>
      <c r="AE129" s="8" t="str">
        <f t="shared" si="51"/>
        <v/>
      </c>
      <c r="AF129" s="22" t="str">
        <f t="shared" si="52"/>
        <v>AZ_Maric_2020g</v>
      </c>
      <c r="AG129" s="295">
        <v>1</v>
      </c>
      <c r="AH129" s="294">
        <v>84684</v>
      </c>
      <c r="AI129" s="279">
        <v>65138</v>
      </c>
      <c r="AJ129" s="279">
        <v>19546</v>
      </c>
      <c r="AK129" s="339">
        <v>45592</v>
      </c>
      <c r="AL129" s="341" t="s">
        <v>1689</v>
      </c>
      <c r="AM129" s="353">
        <f t="shared" si="53"/>
        <v>2.1818916204010122E-2</v>
      </c>
      <c r="AN129" s="354"/>
      <c r="AP129" s="23">
        <f t="shared" si="65"/>
        <v>104</v>
      </c>
      <c r="AQ129" s="392">
        <f t="shared" si="66"/>
        <v>0.65208757563766562</v>
      </c>
      <c r="AR129" s="392">
        <f t="shared" si="67"/>
        <v>0.99533896331829519</v>
      </c>
      <c r="AS129" s="392">
        <f t="shared" si="67"/>
        <v>0.99999999992721955</v>
      </c>
    </row>
    <row r="130" spans="1:45">
      <c r="A130" s="12" t="s">
        <v>1587</v>
      </c>
      <c r="B130" s="54" t="str">
        <f t="shared" ref="B130:B193" si="69">LEFT(A130,14)</f>
        <v>AZ_Maric_2020g</v>
      </c>
      <c r="C130" s="12"/>
      <c r="D130" s="54" t="str">
        <f t="shared" ref="D130:D193" si="70">MID(A130,16,99)</f>
        <v>Gen-county attorney (vote for1)</v>
      </c>
      <c r="E130" s="54" t="s">
        <v>1765</v>
      </c>
      <c r="G130" s="59">
        <v>1744</v>
      </c>
      <c r="H130"/>
      <c r="K130" s="2"/>
      <c r="O130">
        <f t="shared" ref="O130:O193" si="71">IF(OR(LOWER(LEFT(E130,8))="write-in",LOWER(LEFT(E130,8))="not qual"),IF(A130=A129,-ABS(O129),0),IF(A130=A129,ABS(O129)+1,1))</f>
        <v>-2</v>
      </c>
      <c r="P130" s="57">
        <f t="shared" ref="P130:P193" si="72">1*LEFT(RIGHT(A130,2),1)</f>
        <v>1</v>
      </c>
      <c r="Q130" s="267">
        <f t="shared" ref="Q130:Q193" si="73">IF(A130&lt;&gt;A131,G130,IF(A130=A129,G130+Q131,MAX(G130,(G130+Q131)/P130)))</f>
        <v>1817</v>
      </c>
      <c r="R130" s="23" t="str">
        <f t="shared" ref="R130:R193" si="74">IF(O130&gt;P130,"",IF(O130=P130,G130,IF(A130=A131,R131,IF(O130&lt;=0,1,G130))))</f>
        <v/>
      </c>
      <c r="S130" s="23">
        <f t="shared" ref="S130:S193" si="75">IF(AND(O130&gt;P130,LOWER(LEFT(E130,8))&lt;&gt;"write-in",LOWER(LEFT(E130,8))&lt;&gt;"not qual"),G130,IF(A130=A131,S131,0))</f>
        <v>62</v>
      </c>
      <c r="T130" s="23" t="str">
        <f t="shared" ref="T130:T193" si="76">IF(OR(A130=A129,S130=0),"",R130-ABS(S130))</f>
        <v/>
      </c>
      <c r="U130" t="str">
        <f t="shared" ref="U130:U193" si="77">IF(A130=A129,"",A130)</f>
        <v/>
      </c>
      <c r="W130" s="1">
        <f t="shared" ref="W130:W193" si="78">IF(AF130=AF129,W129+1,1)</f>
        <v>129</v>
      </c>
      <c r="X130" s="73">
        <f t="shared" si="60"/>
        <v>7.1640693016076726</v>
      </c>
      <c r="Y130" s="322">
        <f t="shared" ref="Y130:Y193" si="79">MAX(X130,0.069*AH130)</f>
        <v>4597.2630000000008</v>
      </c>
      <c r="Z130" s="43">
        <f t="shared" si="68"/>
        <v>1.1519430774900624E-252</v>
      </c>
      <c r="AA130" s="52">
        <f t="shared" ref="AA130:AA193" si="80">(1-AK130/AC130)^AB130</f>
        <v>1.1519430774900626E-254</v>
      </c>
      <c r="AB130" s="8">
        <f t="shared" ref="AB130:AB193" si="81">INDEX(BA$2:BA$76,MATCH($AF130,$AU$2:$AU$76,0))+IF(AE130="",0,INDEX(BA$2:BA$76,AE130))</f>
        <v>20895.63</v>
      </c>
      <c r="AC130" s="8">
        <f t="shared" ref="AC130:AC193" si="82">INDEX(AX$2:AX$76,MATCH(AF130,AU$2:AU$76,0))+IF(AE130="",0,INDEX(AX$2:AX$76,AE130))</f>
        <v>2089563</v>
      </c>
      <c r="AD130" s="8">
        <f t="shared" si="61"/>
        <v>10447.815000000001</v>
      </c>
      <c r="AE130" s="8" t="str">
        <f t="shared" ref="AE130:AE193" si="83">IF(MID(AL130,16,2)&lt;&gt;"w/","",MATCH(CONCATENATE("CO_",MID(AL130,18,5),"_2020g"),AU$2:AU$76,0))</f>
        <v/>
      </c>
      <c r="AF130" s="22" t="str">
        <f t="shared" ref="AF130:AF193" si="84">LEFT(AL130,14)</f>
        <v>AZ_Maric_2020g</v>
      </c>
      <c r="AG130">
        <v>1</v>
      </c>
      <c r="AH130" s="272">
        <v>66627</v>
      </c>
      <c r="AI130" s="273">
        <v>58735</v>
      </c>
      <c r="AJ130" s="274">
        <v>1074</v>
      </c>
      <c r="AK130" s="339">
        <v>57661</v>
      </c>
      <c r="AL130" s="340" t="s">
        <v>1550</v>
      </c>
      <c r="AM130" s="353">
        <f t="shared" ref="AM130:AM193" si="85">AK130/AC130</f>
        <v>2.7594765029817239E-2</v>
      </c>
      <c r="AN130" s="354"/>
      <c r="AP130" s="23">
        <f t="shared" si="65"/>
        <v>155</v>
      </c>
      <c r="AQ130" s="392">
        <f t="shared" si="66"/>
        <v>0.7935011205844692</v>
      </c>
      <c r="AR130" s="392">
        <f t="shared" si="67"/>
        <v>0.99967165167428562</v>
      </c>
      <c r="AS130" s="392">
        <f t="shared" si="67"/>
        <v>0.99999999999999933</v>
      </c>
    </row>
    <row r="131" spans="1:45">
      <c r="A131" s="12" t="s">
        <v>1587</v>
      </c>
      <c r="B131" s="54" t="str">
        <f t="shared" si="69"/>
        <v>AZ_Maric_2020g</v>
      </c>
      <c r="C131" s="12"/>
      <c r="D131" s="54" t="str">
        <f t="shared" si="70"/>
        <v>Gen-county attorney (vote for1)</v>
      </c>
      <c r="E131" s="54" t="s">
        <v>1944</v>
      </c>
      <c r="G131" s="59">
        <v>62</v>
      </c>
      <c r="H131"/>
      <c r="K131" s="2"/>
      <c r="O131">
        <f t="shared" si="71"/>
        <v>3</v>
      </c>
      <c r="P131" s="57">
        <f t="shared" si="72"/>
        <v>1</v>
      </c>
      <c r="Q131" s="267">
        <f t="shared" si="73"/>
        <v>73</v>
      </c>
      <c r="R131" s="23" t="str">
        <f t="shared" si="74"/>
        <v/>
      </c>
      <c r="S131" s="23">
        <f t="shared" si="75"/>
        <v>62</v>
      </c>
      <c r="T131" s="23" t="str">
        <f t="shared" si="76"/>
        <v/>
      </c>
      <c r="U131" t="str">
        <f t="shared" si="77"/>
        <v/>
      </c>
      <c r="W131" s="1">
        <f t="shared" si="78"/>
        <v>130</v>
      </c>
      <c r="X131" s="73">
        <f t="shared" ref="X131:X194" si="86">IF(AK131=0,AH131,MIN(AH131,6.2/(AK131/AH131)))</f>
        <v>7.1608701114953277</v>
      </c>
      <c r="Y131" s="322">
        <f t="shared" si="79"/>
        <v>4862.8210000000008</v>
      </c>
      <c r="Z131" s="43">
        <f t="shared" si="68"/>
        <v>1.126067870337545E-267</v>
      </c>
      <c r="AA131" s="52">
        <f t="shared" si="80"/>
        <v>1.126067870337545E-269</v>
      </c>
      <c r="AB131" s="8">
        <f t="shared" si="81"/>
        <v>20895.63</v>
      </c>
      <c r="AC131" s="8">
        <f t="shared" si="82"/>
        <v>2089563</v>
      </c>
      <c r="AD131" s="8">
        <f t="shared" ref="AD131:AD194" si="87">AC131/RIGHT(AD$1,4)</f>
        <v>10447.815000000001</v>
      </c>
      <c r="AE131" s="8" t="str">
        <f t="shared" si="83"/>
        <v/>
      </c>
      <c r="AF131" s="22" t="str">
        <f t="shared" si="84"/>
        <v>AZ_Maric_2020g</v>
      </c>
      <c r="AG131">
        <v>3</v>
      </c>
      <c r="AH131" s="272">
        <v>70475.666666666672</v>
      </c>
      <c r="AI131" s="273">
        <v>65303</v>
      </c>
      <c r="AJ131" s="274">
        <v>4284</v>
      </c>
      <c r="AK131" s="339">
        <v>61019</v>
      </c>
      <c r="AL131" s="340" t="s">
        <v>1664</v>
      </c>
      <c r="AM131" s="353">
        <f t="shared" si="85"/>
        <v>2.9201799610732004E-2</v>
      </c>
      <c r="AN131" s="354"/>
      <c r="AP131" s="23">
        <f t="shared" si="65"/>
        <v>169</v>
      </c>
      <c r="AQ131" s="392">
        <f t="shared" si="66"/>
        <v>0.82113330362689396</v>
      </c>
      <c r="AR131" s="392">
        <f t="shared" si="67"/>
        <v>0.99984186292853938</v>
      </c>
      <c r="AS131" s="392">
        <f t="shared" si="67"/>
        <v>1</v>
      </c>
    </row>
    <row r="132" spans="1:45">
      <c r="A132" s="12" t="s">
        <v>1587</v>
      </c>
      <c r="B132" s="54" t="str">
        <f t="shared" si="69"/>
        <v>AZ_Maric_2020g</v>
      </c>
      <c r="C132" s="12"/>
      <c r="D132" s="54" t="str">
        <f t="shared" si="70"/>
        <v>Gen-county attorney (vote for1)</v>
      </c>
      <c r="E132" s="54" t="s">
        <v>1943</v>
      </c>
      <c r="G132" s="59">
        <v>11</v>
      </c>
      <c r="H132"/>
      <c r="K132" s="2"/>
      <c r="O132">
        <f t="shared" si="71"/>
        <v>4</v>
      </c>
      <c r="P132" s="57">
        <f t="shared" si="72"/>
        <v>1</v>
      </c>
      <c r="Q132" s="267">
        <f t="shared" si="73"/>
        <v>11</v>
      </c>
      <c r="R132" s="23" t="str">
        <f t="shared" si="74"/>
        <v/>
      </c>
      <c r="S132" s="23">
        <f t="shared" si="75"/>
        <v>11</v>
      </c>
      <c r="T132" s="23" t="str">
        <f t="shared" si="76"/>
        <v/>
      </c>
      <c r="U132" t="str">
        <f t="shared" si="77"/>
        <v/>
      </c>
      <c r="W132" s="1">
        <f t="shared" si="78"/>
        <v>131</v>
      </c>
      <c r="X132" s="73">
        <f t="shared" si="86"/>
        <v>7.4913183925729729</v>
      </c>
      <c r="Y132" s="322">
        <f t="shared" si="79"/>
        <v>5256.4660000000003</v>
      </c>
      <c r="Z132" s="43">
        <f t="shared" si="68"/>
        <v>9.2394740403464565E-277</v>
      </c>
      <c r="AA132" s="52">
        <f t="shared" si="80"/>
        <v>9.2394740403464555E-279</v>
      </c>
      <c r="AB132" s="8">
        <f t="shared" si="81"/>
        <v>20895.63</v>
      </c>
      <c r="AC132" s="8">
        <f t="shared" si="82"/>
        <v>2089563</v>
      </c>
      <c r="AD132" s="8">
        <f t="shared" si="87"/>
        <v>10447.815000000001</v>
      </c>
      <c r="AE132" s="8" t="str">
        <f t="shared" si="83"/>
        <v/>
      </c>
      <c r="AF132" s="22" t="str">
        <f t="shared" si="84"/>
        <v>AZ_Maric_2020g</v>
      </c>
      <c r="AG132">
        <v>3</v>
      </c>
      <c r="AH132" s="272">
        <v>76180.666666666672</v>
      </c>
      <c r="AI132" s="273">
        <v>68402</v>
      </c>
      <c r="AJ132" s="274">
        <v>5353</v>
      </c>
      <c r="AK132" s="339">
        <v>63049</v>
      </c>
      <c r="AL132" s="340" t="s">
        <v>1666</v>
      </c>
      <c r="AM132" s="353">
        <f t="shared" si="85"/>
        <v>3.017329460753277E-2</v>
      </c>
      <c r="AN132" s="354"/>
      <c r="AP132" s="23">
        <f t="shared" si="65"/>
        <v>178</v>
      </c>
      <c r="AQ132" s="392">
        <f t="shared" si="66"/>
        <v>0.83692865370361547</v>
      </c>
      <c r="AR132" s="392">
        <f t="shared" si="67"/>
        <v>0.9999011856464759</v>
      </c>
      <c r="AS132" s="392">
        <f t="shared" si="67"/>
        <v>1</v>
      </c>
    </row>
    <row r="133" spans="1:45">
      <c r="A133" s="12" t="s">
        <v>1588</v>
      </c>
      <c r="B133" s="54" t="str">
        <f t="shared" si="69"/>
        <v>AZ_Maric_2020g</v>
      </c>
      <c r="C133" s="12"/>
      <c r="D133" s="54" t="str">
        <f t="shared" si="70"/>
        <v>Gen-county recorder (vote for1)</v>
      </c>
      <c r="E133" s="54" t="s">
        <v>1945</v>
      </c>
      <c r="F133" s="12" t="s">
        <v>1296</v>
      </c>
      <c r="G133" s="59">
        <v>944953</v>
      </c>
      <c r="H133"/>
      <c r="K133" s="2"/>
      <c r="O133">
        <f t="shared" si="71"/>
        <v>1</v>
      </c>
      <c r="P133" s="57">
        <f t="shared" si="72"/>
        <v>1</v>
      </c>
      <c r="Q133" s="267">
        <f t="shared" si="73"/>
        <v>1886877</v>
      </c>
      <c r="R133" s="23">
        <f t="shared" si="74"/>
        <v>944953</v>
      </c>
      <c r="S133" s="23">
        <f t="shared" si="75"/>
        <v>940354</v>
      </c>
      <c r="T133" s="23">
        <f t="shared" si="76"/>
        <v>4599</v>
      </c>
      <c r="U133" t="str">
        <f t="shared" si="77"/>
        <v>AZ_Maric_2020g~Gen-county recorder (vote for1)</v>
      </c>
      <c r="W133" s="1">
        <f t="shared" si="78"/>
        <v>132</v>
      </c>
      <c r="X133" s="73">
        <f t="shared" si="86"/>
        <v>6.6006713819538776</v>
      </c>
      <c r="Y133" s="322">
        <f t="shared" si="79"/>
        <v>4704.8340000000007</v>
      </c>
      <c r="Z133" s="43">
        <f t="shared" si="68"/>
        <v>3.1292469335335673E-281</v>
      </c>
      <c r="AA133" s="52">
        <f t="shared" si="80"/>
        <v>3.1292469335335674E-283</v>
      </c>
      <c r="AB133" s="8">
        <f t="shared" si="81"/>
        <v>20895.63</v>
      </c>
      <c r="AC133" s="8">
        <f t="shared" si="82"/>
        <v>2089563</v>
      </c>
      <c r="AD133" s="8">
        <f t="shared" si="87"/>
        <v>10447.815000000001</v>
      </c>
      <c r="AE133" s="8" t="str">
        <f t="shared" si="83"/>
        <v/>
      </c>
      <c r="AF133" s="22" t="str">
        <f t="shared" si="84"/>
        <v>AZ_Maric_2020g</v>
      </c>
      <c r="AG133">
        <v>1</v>
      </c>
      <c r="AH133" s="272">
        <v>68186</v>
      </c>
      <c r="AI133" s="273">
        <v>64192</v>
      </c>
      <c r="AJ133" s="274">
        <v>145</v>
      </c>
      <c r="AK133" s="339">
        <v>64047</v>
      </c>
      <c r="AL133" s="340" t="s">
        <v>1546</v>
      </c>
      <c r="AM133" s="353">
        <f t="shared" si="85"/>
        <v>3.0650906433546152E-2</v>
      </c>
      <c r="AN133" s="354"/>
      <c r="AP133" s="23">
        <f t="shared" si="65"/>
        <v>182</v>
      </c>
      <c r="AQ133" s="392">
        <f t="shared" si="66"/>
        <v>0.84349758455891033</v>
      </c>
      <c r="AR133" s="392">
        <f t="shared" si="67"/>
        <v>0.99991983229957593</v>
      </c>
      <c r="AS133" s="392">
        <f t="shared" si="67"/>
        <v>1</v>
      </c>
    </row>
    <row r="134" spans="1:45">
      <c r="A134" s="12" t="s">
        <v>1588</v>
      </c>
      <c r="B134" s="54" t="str">
        <f t="shared" si="69"/>
        <v>AZ_Maric_2020g</v>
      </c>
      <c r="C134" s="12"/>
      <c r="D134" s="54" t="str">
        <f t="shared" si="70"/>
        <v>Gen-county recorder (vote for1)</v>
      </c>
      <c r="E134" s="54" t="s">
        <v>1946</v>
      </c>
      <c r="F134" s="12" t="s">
        <v>1294</v>
      </c>
      <c r="G134" s="59">
        <v>940354</v>
      </c>
      <c r="H134"/>
      <c r="K134" s="2"/>
      <c r="O134">
        <f t="shared" si="71"/>
        <v>2</v>
      </c>
      <c r="P134" s="57">
        <f t="shared" si="72"/>
        <v>1</v>
      </c>
      <c r="Q134" s="267">
        <f t="shared" si="73"/>
        <v>941924</v>
      </c>
      <c r="R134" s="23" t="str">
        <f t="shared" si="74"/>
        <v/>
      </c>
      <c r="S134" s="23">
        <f t="shared" si="75"/>
        <v>940354</v>
      </c>
      <c r="T134" s="23" t="str">
        <f t="shared" si="76"/>
        <v/>
      </c>
      <c r="U134" t="str">
        <f t="shared" si="77"/>
        <v/>
      </c>
      <c r="W134" s="1">
        <f t="shared" si="78"/>
        <v>133</v>
      </c>
      <c r="X134" s="73">
        <f t="shared" si="86"/>
        <v>168.08529471863125</v>
      </c>
      <c r="Y134" s="322">
        <f t="shared" si="79"/>
        <v>137320.83300000001</v>
      </c>
      <c r="Z134" s="43">
        <f t="shared" si="68"/>
        <v>0</v>
      </c>
      <c r="AA134" s="52">
        <f t="shared" si="80"/>
        <v>0</v>
      </c>
      <c r="AB134" s="8">
        <f t="shared" si="81"/>
        <v>20895.63</v>
      </c>
      <c r="AC134" s="8">
        <f t="shared" si="82"/>
        <v>2089563</v>
      </c>
      <c r="AD134" s="8">
        <f t="shared" si="87"/>
        <v>10447.815000000001</v>
      </c>
      <c r="AE134" s="8" t="str">
        <f t="shared" si="83"/>
        <v/>
      </c>
      <c r="AF134" s="22" t="str">
        <f t="shared" si="84"/>
        <v>AZ_Maric_2020g</v>
      </c>
      <c r="AG134">
        <v>1</v>
      </c>
      <c r="AH134" s="272">
        <v>1990157</v>
      </c>
      <c r="AI134" s="273">
        <v>1031783</v>
      </c>
      <c r="AJ134" s="274">
        <v>958374</v>
      </c>
      <c r="AK134" s="339">
        <v>73409</v>
      </c>
      <c r="AL134" s="344" t="s">
        <v>1756</v>
      </c>
      <c r="AM134" s="353">
        <f t="shared" si="85"/>
        <v>3.5131269073964272E-2</v>
      </c>
      <c r="AN134" s="354"/>
      <c r="AP134" s="23">
        <f t="shared" si="65"/>
        <v>221</v>
      </c>
      <c r="AQ134" s="392">
        <f t="shared" si="66"/>
        <v>0.89527469160408879</v>
      </c>
      <c r="AR134" s="392">
        <f t="shared" si="67"/>
        <v>0.99998961061759795</v>
      </c>
      <c r="AS134" s="392">
        <f t="shared" si="67"/>
        <v>1</v>
      </c>
    </row>
    <row r="135" spans="1:45">
      <c r="A135" s="12" t="s">
        <v>1588</v>
      </c>
      <c r="B135" s="54" t="str">
        <f t="shared" si="69"/>
        <v>AZ_Maric_2020g</v>
      </c>
      <c r="C135" s="12"/>
      <c r="D135" s="54" t="str">
        <f t="shared" si="70"/>
        <v>Gen-county recorder (vote for1)</v>
      </c>
      <c r="E135" s="54" t="s">
        <v>1299</v>
      </c>
      <c r="G135" s="59">
        <v>1570</v>
      </c>
      <c r="H135"/>
      <c r="K135" s="2"/>
      <c r="O135">
        <f t="shared" si="71"/>
        <v>-2</v>
      </c>
      <c r="P135" s="57">
        <f t="shared" si="72"/>
        <v>1</v>
      </c>
      <c r="Q135" s="267">
        <f t="shared" si="73"/>
        <v>1570</v>
      </c>
      <c r="R135" s="23">
        <f t="shared" si="74"/>
        <v>1</v>
      </c>
      <c r="S135" s="23">
        <f t="shared" si="75"/>
        <v>0</v>
      </c>
      <c r="T135" s="23" t="str">
        <f t="shared" si="76"/>
        <v/>
      </c>
      <c r="U135" t="str">
        <f t="shared" si="77"/>
        <v/>
      </c>
      <c r="W135" s="1">
        <f t="shared" si="78"/>
        <v>134</v>
      </c>
      <c r="X135" s="73">
        <f t="shared" si="86"/>
        <v>36.112060620487185</v>
      </c>
      <c r="Y135" s="322">
        <f t="shared" si="79"/>
        <v>30390.291000000001</v>
      </c>
      <c r="Z135" s="43">
        <f t="shared" si="68"/>
        <v>0</v>
      </c>
      <c r="AA135" s="52">
        <f t="shared" si="80"/>
        <v>0</v>
      </c>
      <c r="AB135" s="8">
        <f t="shared" si="81"/>
        <v>20895.63</v>
      </c>
      <c r="AC135" s="8">
        <f t="shared" si="82"/>
        <v>2089563</v>
      </c>
      <c r="AD135" s="8">
        <f t="shared" si="87"/>
        <v>10447.815000000001</v>
      </c>
      <c r="AE135" s="8" t="str">
        <f t="shared" si="83"/>
        <v/>
      </c>
      <c r="AF135" s="22" t="str">
        <f t="shared" si="84"/>
        <v>AZ_Maric_2020g</v>
      </c>
      <c r="AG135">
        <v>1</v>
      </c>
      <c r="AH135" s="272">
        <v>440439</v>
      </c>
      <c r="AI135" s="273">
        <v>257774</v>
      </c>
      <c r="AJ135" s="274">
        <v>182156</v>
      </c>
      <c r="AK135" s="339">
        <v>75618</v>
      </c>
      <c r="AL135" s="340" t="s">
        <v>1584</v>
      </c>
      <c r="AM135" s="353">
        <f t="shared" si="85"/>
        <v>3.6188427915310524E-2</v>
      </c>
      <c r="AN135" s="354"/>
      <c r="AP135" s="23">
        <f t="shared" si="65"/>
        <v>230</v>
      </c>
      <c r="AQ135" s="392">
        <f t="shared" si="66"/>
        <v>0.90456789449279296</v>
      </c>
      <c r="AR135" s="392">
        <f t="shared" si="67"/>
        <v>0.99999352396089947</v>
      </c>
      <c r="AS135" s="392">
        <f t="shared" si="67"/>
        <v>1</v>
      </c>
    </row>
    <row r="136" spans="1:45">
      <c r="A136" s="12" t="s">
        <v>1589</v>
      </c>
      <c r="B136" s="54" t="str">
        <f t="shared" si="69"/>
        <v>AZ_Maric_2020g</v>
      </c>
      <c r="C136" s="12"/>
      <c r="D136" s="54" t="str">
        <f t="shared" si="70"/>
        <v>Gen-county school superintendent (vote for1)</v>
      </c>
      <c r="E136" s="54" t="s">
        <v>1947</v>
      </c>
      <c r="F136" s="12" t="s">
        <v>1296</v>
      </c>
      <c r="G136" s="59">
        <v>946409</v>
      </c>
      <c r="H136"/>
      <c r="K136" s="2"/>
      <c r="O136">
        <f t="shared" si="71"/>
        <v>1</v>
      </c>
      <c r="P136" s="57">
        <f t="shared" si="72"/>
        <v>1</v>
      </c>
      <c r="Q136" s="267">
        <f t="shared" si="73"/>
        <v>1882681</v>
      </c>
      <c r="R136" s="23">
        <f t="shared" si="74"/>
        <v>946409</v>
      </c>
      <c r="S136" s="23">
        <f t="shared" si="75"/>
        <v>934501</v>
      </c>
      <c r="T136" s="23">
        <f t="shared" si="76"/>
        <v>11908</v>
      </c>
      <c r="U136" t="str">
        <f t="shared" si="77"/>
        <v>AZ_Maric_2020g~Gen-county school superintendent (vote for1)</v>
      </c>
      <c r="W136" s="1">
        <f t="shared" si="78"/>
        <v>135</v>
      </c>
      <c r="X136" s="73">
        <f t="shared" si="86"/>
        <v>16.575314221872382</v>
      </c>
      <c r="Y136" s="322">
        <f t="shared" si="79"/>
        <v>14529.744000000001</v>
      </c>
      <c r="Z136" s="43">
        <f t="shared" si="68"/>
        <v>0</v>
      </c>
      <c r="AA136" s="52">
        <f t="shared" si="80"/>
        <v>0</v>
      </c>
      <c r="AB136" s="8">
        <f t="shared" si="81"/>
        <v>20895.63</v>
      </c>
      <c r="AC136" s="8">
        <f t="shared" si="82"/>
        <v>2089563</v>
      </c>
      <c r="AD136" s="8">
        <f t="shared" si="87"/>
        <v>10447.815000000001</v>
      </c>
      <c r="AE136" s="8" t="str">
        <f t="shared" si="83"/>
        <v/>
      </c>
      <c r="AF136" s="22" t="str">
        <f t="shared" si="84"/>
        <v>AZ_Maric_2020g</v>
      </c>
      <c r="AG136">
        <v>1</v>
      </c>
      <c r="AH136" s="272">
        <v>210576</v>
      </c>
      <c r="AI136" s="273">
        <v>144671</v>
      </c>
      <c r="AJ136" s="274">
        <v>65905</v>
      </c>
      <c r="AK136" s="339">
        <v>78766</v>
      </c>
      <c r="AL136" s="340" t="s">
        <v>1685</v>
      </c>
      <c r="AM136" s="353">
        <f t="shared" si="85"/>
        <v>3.7694963013797621E-2</v>
      </c>
      <c r="AN136" s="354"/>
      <c r="AP136" s="23">
        <f t="shared" si="65"/>
        <v>244</v>
      </c>
      <c r="AQ136" s="392">
        <f t="shared" si="66"/>
        <v>0.91742555748972909</v>
      </c>
      <c r="AR136" s="392">
        <f t="shared" si="67"/>
        <v>0.99999689818928672</v>
      </c>
      <c r="AS136" s="392">
        <f t="shared" si="67"/>
        <v>1</v>
      </c>
    </row>
    <row r="137" spans="1:45">
      <c r="A137" s="12" t="s">
        <v>1589</v>
      </c>
      <c r="B137" s="54" t="str">
        <f t="shared" si="69"/>
        <v>AZ_Maric_2020g</v>
      </c>
      <c r="C137" s="12"/>
      <c r="D137" s="54" t="str">
        <f t="shared" si="70"/>
        <v>Gen-county school superintendent (vote for1)</v>
      </c>
      <c r="E137" s="54" t="s">
        <v>1948</v>
      </c>
      <c r="F137" s="12" t="s">
        <v>1294</v>
      </c>
      <c r="G137" s="59">
        <v>934501</v>
      </c>
      <c r="H137"/>
      <c r="K137" s="2"/>
      <c r="O137">
        <f t="shared" si="71"/>
        <v>2</v>
      </c>
      <c r="P137" s="57">
        <f t="shared" si="72"/>
        <v>1</v>
      </c>
      <c r="Q137" s="267">
        <f t="shared" si="73"/>
        <v>936272</v>
      </c>
      <c r="R137" s="23" t="str">
        <f t="shared" si="74"/>
        <v/>
      </c>
      <c r="S137" s="23">
        <f t="shared" si="75"/>
        <v>934501</v>
      </c>
      <c r="T137" s="23" t="str">
        <f t="shared" si="76"/>
        <v/>
      </c>
      <c r="U137" t="str">
        <f t="shared" si="77"/>
        <v/>
      </c>
      <c r="W137" s="1">
        <f t="shared" si="78"/>
        <v>136</v>
      </c>
      <c r="X137" s="73">
        <f t="shared" si="86"/>
        <v>34.946130257562181</v>
      </c>
      <c r="Y137" s="322">
        <f t="shared" si="79"/>
        <v>30818.919000000002</v>
      </c>
      <c r="Z137" s="43">
        <f t="shared" si="68"/>
        <v>0</v>
      </c>
      <c r="AA137" s="52">
        <f t="shared" si="80"/>
        <v>0</v>
      </c>
      <c r="AB137" s="8">
        <f t="shared" si="81"/>
        <v>20895.63</v>
      </c>
      <c r="AC137" s="8">
        <f t="shared" si="82"/>
        <v>2089563</v>
      </c>
      <c r="AD137" s="8">
        <f t="shared" si="87"/>
        <v>10447.815000000001</v>
      </c>
      <c r="AE137" s="8" t="str">
        <f t="shared" si="83"/>
        <v/>
      </c>
      <c r="AF137" s="22" t="str">
        <f t="shared" si="84"/>
        <v>AZ_Maric_2020g</v>
      </c>
      <c r="AG137">
        <v>1</v>
      </c>
      <c r="AH137" s="272">
        <v>446651</v>
      </c>
      <c r="AI137" s="273">
        <v>262414</v>
      </c>
      <c r="AJ137" s="274">
        <v>183171</v>
      </c>
      <c r="AK137" s="339">
        <v>79243</v>
      </c>
      <c r="AL137" s="340" t="s">
        <v>1535</v>
      </c>
      <c r="AM137" s="353">
        <f t="shared" si="85"/>
        <v>3.7923240409597603E-2</v>
      </c>
      <c r="AN137" s="354"/>
      <c r="AP137" s="23">
        <f t="shared" si="65"/>
        <v>246</v>
      </c>
      <c r="AQ137" s="392">
        <f t="shared" si="66"/>
        <v>0.91911645693411181</v>
      </c>
      <c r="AR137" s="392">
        <f t="shared" si="67"/>
        <v>0.99999720804809344</v>
      </c>
      <c r="AS137" s="392">
        <f t="shared" si="67"/>
        <v>1</v>
      </c>
    </row>
    <row r="138" spans="1:45">
      <c r="A138" s="12" t="s">
        <v>1589</v>
      </c>
      <c r="B138" s="54" t="str">
        <f t="shared" si="69"/>
        <v>AZ_Maric_2020g</v>
      </c>
      <c r="C138" s="12"/>
      <c r="D138" s="54" t="str">
        <f t="shared" si="70"/>
        <v>Gen-county school superintendent (vote for1)</v>
      </c>
      <c r="E138" s="54" t="s">
        <v>1299</v>
      </c>
      <c r="G138" s="59">
        <v>1771</v>
      </c>
      <c r="H138"/>
      <c r="K138" s="2"/>
      <c r="O138">
        <f t="shared" si="71"/>
        <v>-2</v>
      </c>
      <c r="P138" s="57">
        <f t="shared" si="72"/>
        <v>1</v>
      </c>
      <c r="Q138" s="267">
        <f t="shared" si="73"/>
        <v>1771</v>
      </c>
      <c r="R138" s="23">
        <f t="shared" si="74"/>
        <v>1</v>
      </c>
      <c r="S138" s="23">
        <f t="shared" si="75"/>
        <v>0</v>
      </c>
      <c r="T138" s="23" t="str">
        <f t="shared" si="76"/>
        <v/>
      </c>
      <c r="U138" t="str">
        <f t="shared" si="77"/>
        <v/>
      </c>
      <c r="W138" s="1">
        <f t="shared" si="78"/>
        <v>137</v>
      </c>
      <c r="X138" s="73">
        <f t="shared" si="86"/>
        <v>159.09916077463123</v>
      </c>
      <c r="Y138" s="322">
        <f t="shared" si="79"/>
        <v>141991.30500000002</v>
      </c>
      <c r="Z138" s="43">
        <f t="shared" si="68"/>
        <v>0</v>
      </c>
      <c r="AA138" s="52">
        <f t="shared" si="80"/>
        <v>0</v>
      </c>
      <c r="AB138" s="8">
        <f t="shared" si="81"/>
        <v>20895.63</v>
      </c>
      <c r="AC138" s="8">
        <f t="shared" si="82"/>
        <v>2089563</v>
      </c>
      <c r="AD138" s="8">
        <f t="shared" si="87"/>
        <v>10447.815000000001</v>
      </c>
      <c r="AE138" s="8" t="str">
        <f t="shared" si="83"/>
        <v/>
      </c>
      <c r="AF138" s="22" t="str">
        <f t="shared" si="84"/>
        <v>AZ_Maric_2020g</v>
      </c>
      <c r="AG138">
        <v>1</v>
      </c>
      <c r="AH138" s="272">
        <v>2057845</v>
      </c>
      <c r="AI138" s="273">
        <v>1064396</v>
      </c>
      <c r="AJ138" s="274">
        <v>984203</v>
      </c>
      <c r="AK138" s="339">
        <v>80193</v>
      </c>
      <c r="AL138" s="340" t="s">
        <v>1531</v>
      </c>
      <c r="AM138" s="353">
        <f t="shared" si="85"/>
        <v>3.8377880925341806E-2</v>
      </c>
      <c r="AN138" s="354"/>
      <c r="AP138" s="23">
        <f t="shared" si="65"/>
        <v>250</v>
      </c>
      <c r="AQ138" s="392">
        <f t="shared" si="66"/>
        <v>0.92239603928318081</v>
      </c>
      <c r="AR138" s="392">
        <f t="shared" si="67"/>
        <v>0.99999773814059334</v>
      </c>
      <c r="AS138" s="392">
        <f t="shared" si="67"/>
        <v>1</v>
      </c>
    </row>
    <row r="139" spans="1:45">
      <c r="A139" s="12" t="s">
        <v>1591</v>
      </c>
      <c r="B139" s="54" t="str">
        <f t="shared" si="69"/>
        <v>AZ_Maric_2020g</v>
      </c>
      <c r="C139" s="12"/>
      <c r="D139" s="54" t="str">
        <f t="shared" si="70"/>
        <v>Gen-county treasurer (vote for1)</v>
      </c>
      <c r="E139" s="54" t="s">
        <v>1951</v>
      </c>
      <c r="F139" s="12" t="s">
        <v>1296</v>
      </c>
      <c r="G139" s="59">
        <v>970986</v>
      </c>
      <c r="H139"/>
      <c r="K139" s="2"/>
      <c r="O139">
        <f t="shared" si="71"/>
        <v>1</v>
      </c>
      <c r="P139" s="57">
        <f t="shared" si="72"/>
        <v>1</v>
      </c>
      <c r="Q139" s="267">
        <f t="shared" si="73"/>
        <v>1856980</v>
      </c>
      <c r="R139" s="23">
        <f t="shared" si="74"/>
        <v>970986</v>
      </c>
      <c r="S139" s="23">
        <f t="shared" si="75"/>
        <v>883870</v>
      </c>
      <c r="T139" s="23">
        <f t="shared" si="76"/>
        <v>87116</v>
      </c>
      <c r="U139" t="str">
        <f t="shared" si="77"/>
        <v>AZ_Maric_2020g~Gen-county treasurer (vote for1)</v>
      </c>
      <c r="W139" s="1">
        <f t="shared" si="78"/>
        <v>138</v>
      </c>
      <c r="X139" s="73">
        <f t="shared" si="86"/>
        <v>32.481856540084387</v>
      </c>
      <c r="Y139" s="322">
        <f t="shared" si="79"/>
        <v>29214.669000000002</v>
      </c>
      <c r="Z139" s="43">
        <f t="shared" si="68"/>
        <v>0</v>
      </c>
      <c r="AA139" s="52">
        <f t="shared" si="80"/>
        <v>0</v>
      </c>
      <c r="AB139" s="8">
        <f t="shared" si="81"/>
        <v>20895.63</v>
      </c>
      <c r="AC139" s="8">
        <f t="shared" si="82"/>
        <v>2089563</v>
      </c>
      <c r="AD139" s="8">
        <f t="shared" si="87"/>
        <v>10447.815000000001</v>
      </c>
      <c r="AE139" s="8" t="str">
        <f t="shared" si="83"/>
        <v/>
      </c>
      <c r="AF139" s="22" t="str">
        <f t="shared" si="84"/>
        <v>AZ_Maric_2020g</v>
      </c>
      <c r="AG139">
        <v>1</v>
      </c>
      <c r="AH139" s="272">
        <v>423401</v>
      </c>
      <c r="AI139" s="273">
        <v>251633</v>
      </c>
      <c r="AJ139" s="274">
        <v>170816</v>
      </c>
      <c r="AK139" s="339">
        <v>80817</v>
      </c>
      <c r="AL139" s="340" t="s">
        <v>1538</v>
      </c>
      <c r="AM139" s="353">
        <f t="shared" si="85"/>
        <v>3.8676507958841158E-2</v>
      </c>
      <c r="AN139" s="354"/>
      <c r="AP139" s="23">
        <f t="shared" si="65"/>
        <v>252</v>
      </c>
      <c r="AQ139" s="392">
        <f t="shared" si="66"/>
        <v>0.92398608706873175</v>
      </c>
      <c r="AR139" s="392">
        <f t="shared" si="67"/>
        <v>0.99999796422099507</v>
      </c>
      <c r="AS139" s="392">
        <f t="shared" si="67"/>
        <v>1</v>
      </c>
    </row>
    <row r="140" spans="1:45">
      <c r="A140" s="12" t="s">
        <v>1591</v>
      </c>
      <c r="B140" s="54" t="str">
        <f t="shared" si="69"/>
        <v>AZ_Maric_2020g</v>
      </c>
      <c r="C140" s="12"/>
      <c r="D140" s="54" t="str">
        <f t="shared" si="70"/>
        <v>Gen-county treasurer (vote for1)</v>
      </c>
      <c r="E140" s="54" t="s">
        <v>1952</v>
      </c>
      <c r="F140" s="12" t="s">
        <v>1294</v>
      </c>
      <c r="G140" s="59">
        <v>883870</v>
      </c>
      <c r="H140"/>
      <c r="K140" s="2"/>
      <c r="O140">
        <f t="shared" si="71"/>
        <v>2</v>
      </c>
      <c r="P140" s="57">
        <f t="shared" si="72"/>
        <v>1</v>
      </c>
      <c r="Q140" s="267">
        <f t="shared" si="73"/>
        <v>885994</v>
      </c>
      <c r="R140" s="23" t="str">
        <f t="shared" si="74"/>
        <v/>
      </c>
      <c r="S140" s="23">
        <f t="shared" si="75"/>
        <v>883870</v>
      </c>
      <c r="T140" s="23" t="str">
        <f t="shared" si="76"/>
        <v/>
      </c>
      <c r="U140" t="str">
        <f t="shared" si="77"/>
        <v/>
      </c>
      <c r="W140" s="1">
        <f t="shared" si="78"/>
        <v>139</v>
      </c>
      <c r="X140" s="73">
        <f t="shared" si="86"/>
        <v>26.701538198598531</v>
      </c>
      <c r="Y140" s="322">
        <f t="shared" si="79"/>
        <v>24341.751000000004</v>
      </c>
      <c r="Z140" s="43">
        <f t="shared" si="68"/>
        <v>0</v>
      </c>
      <c r="AA140" s="52">
        <f t="shared" si="80"/>
        <v>0</v>
      </c>
      <c r="AB140" s="8">
        <f t="shared" si="81"/>
        <v>20895.63</v>
      </c>
      <c r="AC140" s="8">
        <f t="shared" si="82"/>
        <v>2089563</v>
      </c>
      <c r="AD140" s="8">
        <f t="shared" si="87"/>
        <v>10447.815000000001</v>
      </c>
      <c r="AE140" s="8" t="str">
        <f t="shared" si="83"/>
        <v/>
      </c>
      <c r="AF140" s="22" t="str">
        <f t="shared" si="84"/>
        <v>AZ_Maric_2020g</v>
      </c>
      <c r="AG140">
        <v>1</v>
      </c>
      <c r="AH140" s="272">
        <v>352779</v>
      </c>
      <c r="AI140" s="273">
        <v>217094</v>
      </c>
      <c r="AJ140" s="274">
        <v>135180</v>
      </c>
      <c r="AK140" s="339">
        <v>81914</v>
      </c>
      <c r="AL140" s="340" t="s">
        <v>1539</v>
      </c>
      <c r="AM140" s="353">
        <f t="shared" si="85"/>
        <v>3.9201498112284724E-2</v>
      </c>
      <c r="AN140" s="354"/>
      <c r="AP140" s="23">
        <f t="shared" si="65"/>
        <v>257</v>
      </c>
      <c r="AQ140" s="392">
        <f t="shared" si="66"/>
        <v>0.92782141972497734</v>
      </c>
      <c r="AR140" s="392">
        <f t="shared" si="67"/>
        <v>0.99999843558173362</v>
      </c>
      <c r="AS140" s="392">
        <f t="shared" si="67"/>
        <v>1</v>
      </c>
    </row>
    <row r="141" spans="1:45">
      <c r="A141" s="12" t="s">
        <v>1591</v>
      </c>
      <c r="B141" s="54" t="str">
        <f t="shared" si="69"/>
        <v>AZ_Maric_2020g</v>
      </c>
      <c r="C141" s="12"/>
      <c r="D141" s="54" t="str">
        <f t="shared" si="70"/>
        <v>Gen-county treasurer (vote for1)</v>
      </c>
      <c r="E141" s="54" t="s">
        <v>1299</v>
      </c>
      <c r="G141" s="59">
        <v>2124</v>
      </c>
      <c r="H141"/>
      <c r="K141" s="2"/>
      <c r="O141">
        <f t="shared" si="71"/>
        <v>-2</v>
      </c>
      <c r="P141" s="57">
        <f t="shared" si="72"/>
        <v>1</v>
      </c>
      <c r="Q141" s="267">
        <f t="shared" si="73"/>
        <v>2124</v>
      </c>
      <c r="R141" s="23">
        <f t="shared" si="74"/>
        <v>1</v>
      </c>
      <c r="S141" s="23">
        <f t="shared" si="75"/>
        <v>0</v>
      </c>
      <c r="T141" s="23" t="str">
        <f t="shared" si="76"/>
        <v/>
      </c>
      <c r="U141" t="str">
        <f t="shared" si="77"/>
        <v/>
      </c>
      <c r="W141" s="1">
        <f t="shared" si="78"/>
        <v>140</v>
      </c>
      <c r="X141" s="73">
        <f t="shared" si="86"/>
        <v>7.5419675004737545</v>
      </c>
      <c r="Y141" s="322">
        <f t="shared" si="79"/>
        <v>7086.7830000000004</v>
      </c>
      <c r="Z141" s="43">
        <f t="shared" si="68"/>
        <v>0</v>
      </c>
      <c r="AA141" s="52">
        <f t="shared" si="80"/>
        <v>0</v>
      </c>
      <c r="AB141" s="8">
        <f t="shared" si="81"/>
        <v>20895.63</v>
      </c>
      <c r="AC141" s="8">
        <f t="shared" si="82"/>
        <v>2089563</v>
      </c>
      <c r="AD141" s="8">
        <f t="shared" si="87"/>
        <v>10447.815000000001</v>
      </c>
      <c r="AE141" s="8" t="str">
        <f t="shared" si="83"/>
        <v/>
      </c>
      <c r="AF141" s="22" t="str">
        <f t="shared" si="84"/>
        <v>AZ_Maric_2020g</v>
      </c>
      <c r="AG141">
        <v>2</v>
      </c>
      <c r="AH141" s="272">
        <v>102707</v>
      </c>
      <c r="AI141" s="273">
        <v>91965</v>
      </c>
      <c r="AJ141" s="274">
        <v>7533</v>
      </c>
      <c r="AK141" s="339">
        <v>84432</v>
      </c>
      <c r="AL141" s="340" t="s">
        <v>1545</v>
      </c>
      <c r="AM141" s="353">
        <f t="shared" si="85"/>
        <v>4.0406534763488829E-2</v>
      </c>
      <c r="AN141" s="354"/>
      <c r="AP141" s="23">
        <f t="shared" ref="AP141:AP204" si="88">MIN(AD141, MAX(0,ROUNDUP(AD141*(0.5*AK141/AC141-0.005)/(RIGHT(AP$1,3)-0.005),0)))</f>
        <v>267</v>
      </c>
      <c r="AQ141" s="392">
        <f t="shared" si="66"/>
        <v>0.93492629408768813</v>
      </c>
      <c r="AR141" s="392">
        <f t="shared" si="67"/>
        <v>0.99999907652658571</v>
      </c>
      <c r="AS141" s="392">
        <f t="shared" si="67"/>
        <v>1</v>
      </c>
    </row>
    <row r="142" spans="1:45">
      <c r="A142" s="12" t="s">
        <v>1638</v>
      </c>
      <c r="B142" s="54" t="str">
        <f t="shared" si="69"/>
        <v>AZ_Maric_2020g</v>
      </c>
      <c r="C142" s="12"/>
      <c r="D142" s="54" t="str">
        <f t="shared" si="70"/>
        <v>Gen-creighton esd #14-gbm-2yr (vote for1)</v>
      </c>
      <c r="E142" s="54" t="s">
        <v>2059</v>
      </c>
      <c r="F142" s="12" t="s">
        <v>1300</v>
      </c>
      <c r="G142" s="59">
        <v>14892</v>
      </c>
      <c r="H142"/>
      <c r="K142" s="2"/>
      <c r="O142">
        <f t="shared" si="71"/>
        <v>1</v>
      </c>
      <c r="P142" s="57">
        <f t="shared" si="72"/>
        <v>1</v>
      </c>
      <c r="Q142" s="267">
        <f t="shared" si="73"/>
        <v>15626</v>
      </c>
      <c r="R142" s="23">
        <f t="shared" si="74"/>
        <v>14892</v>
      </c>
      <c r="S142" s="23">
        <f t="shared" si="75"/>
        <v>157</v>
      </c>
      <c r="T142" s="23">
        <f t="shared" si="76"/>
        <v>14735</v>
      </c>
      <c r="U142" t="str">
        <f t="shared" si="77"/>
        <v>AZ_Maric_2020g~Gen-creighton esd #14-gbm-2yr (vote for1)</v>
      </c>
      <c r="W142" s="1">
        <f t="shared" si="78"/>
        <v>141</v>
      </c>
      <c r="X142" s="73">
        <f t="shared" si="86"/>
        <v>93.131063928529997</v>
      </c>
      <c r="Y142" s="322">
        <f t="shared" si="79"/>
        <v>89332.368000000002</v>
      </c>
      <c r="Z142" s="43">
        <f t="shared" si="68"/>
        <v>0</v>
      </c>
      <c r="AA142" s="52">
        <f t="shared" si="80"/>
        <v>0</v>
      </c>
      <c r="AB142" s="8">
        <f t="shared" si="81"/>
        <v>20895.63</v>
      </c>
      <c r="AC142" s="8">
        <f t="shared" si="82"/>
        <v>2089563</v>
      </c>
      <c r="AD142" s="8">
        <f t="shared" si="87"/>
        <v>10447.815000000001</v>
      </c>
      <c r="AE142" s="8" t="str">
        <f t="shared" si="83"/>
        <v/>
      </c>
      <c r="AF142" s="22" t="str">
        <f t="shared" si="84"/>
        <v>AZ_Maric_2020g</v>
      </c>
      <c r="AG142">
        <v>1</v>
      </c>
      <c r="AH142" s="272">
        <v>1294672</v>
      </c>
      <c r="AI142" s="273">
        <v>690431</v>
      </c>
      <c r="AJ142" s="274">
        <v>604241</v>
      </c>
      <c r="AK142" s="339">
        <v>86190</v>
      </c>
      <c r="AL142" s="340" t="s">
        <v>1728</v>
      </c>
      <c r="AM142" s="353">
        <f t="shared" si="85"/>
        <v>4.124785900209757E-2</v>
      </c>
      <c r="AN142" s="354"/>
      <c r="AP142" s="23">
        <f t="shared" si="88"/>
        <v>275</v>
      </c>
      <c r="AQ142" s="392">
        <f t="shared" si="66"/>
        <v>0.94010765749669079</v>
      </c>
      <c r="AR142" s="392">
        <f t="shared" si="67"/>
        <v>0.99999939449839426</v>
      </c>
      <c r="AS142" s="392">
        <f t="shared" si="67"/>
        <v>1</v>
      </c>
    </row>
    <row r="143" spans="1:45">
      <c r="A143" s="12" t="s">
        <v>1638</v>
      </c>
      <c r="B143" s="54" t="str">
        <f t="shared" si="69"/>
        <v>AZ_Maric_2020g</v>
      </c>
      <c r="C143" s="12"/>
      <c r="D143" s="54" t="str">
        <f t="shared" si="70"/>
        <v>Gen-creighton esd #14-gbm-2yr (vote for1)</v>
      </c>
      <c r="E143" s="54" t="s">
        <v>1299</v>
      </c>
      <c r="G143" s="59">
        <v>367</v>
      </c>
      <c r="H143"/>
      <c r="K143" s="2"/>
      <c r="O143">
        <f t="shared" si="71"/>
        <v>-1</v>
      </c>
      <c r="P143" s="57">
        <f t="shared" si="72"/>
        <v>1</v>
      </c>
      <c r="Q143" s="267">
        <f t="shared" si="73"/>
        <v>734</v>
      </c>
      <c r="R143" s="23" t="str">
        <f t="shared" si="74"/>
        <v/>
      </c>
      <c r="S143" s="23">
        <f t="shared" si="75"/>
        <v>157</v>
      </c>
      <c r="T143" s="23" t="str">
        <f t="shared" si="76"/>
        <v/>
      </c>
      <c r="U143" t="str">
        <f t="shared" si="77"/>
        <v/>
      </c>
      <c r="W143" s="1">
        <f t="shared" si="78"/>
        <v>142</v>
      </c>
      <c r="X143" s="73">
        <f t="shared" si="86"/>
        <v>132.16029202442721</v>
      </c>
      <c r="Y143" s="322">
        <f t="shared" si="79"/>
        <v>128131.62000000001</v>
      </c>
      <c r="Z143" s="43">
        <f t="shared" si="68"/>
        <v>0</v>
      </c>
      <c r="AA143" s="52">
        <f t="shared" si="80"/>
        <v>0</v>
      </c>
      <c r="AB143" s="8">
        <f t="shared" si="81"/>
        <v>20895.63</v>
      </c>
      <c r="AC143" s="8">
        <f t="shared" si="82"/>
        <v>2089563</v>
      </c>
      <c r="AD143" s="8">
        <f t="shared" si="87"/>
        <v>10447.815000000001</v>
      </c>
      <c r="AE143" s="8" t="str">
        <f t="shared" si="83"/>
        <v/>
      </c>
      <c r="AF143" s="22" t="str">
        <f t="shared" si="84"/>
        <v>AZ_Maric_2020g</v>
      </c>
      <c r="AG143">
        <v>1</v>
      </c>
      <c r="AH143" s="272">
        <v>1856980</v>
      </c>
      <c r="AI143" s="273">
        <v>970986</v>
      </c>
      <c r="AJ143" s="274">
        <v>883870</v>
      </c>
      <c r="AK143" s="339">
        <v>87116</v>
      </c>
      <c r="AL143" s="340" t="s">
        <v>1591</v>
      </c>
      <c r="AM143" s="353">
        <f t="shared" si="85"/>
        <v>4.1691013862707176E-2</v>
      </c>
      <c r="AN143" s="354"/>
      <c r="AP143" s="23">
        <f t="shared" si="88"/>
        <v>279</v>
      </c>
      <c r="AQ143" s="392">
        <f t="shared" si="66"/>
        <v>0.94254292737058321</v>
      </c>
      <c r="AR143" s="392">
        <f t="shared" si="67"/>
        <v>0.99999950976396568</v>
      </c>
      <c r="AS143" s="392">
        <f t="shared" si="67"/>
        <v>1</v>
      </c>
    </row>
    <row r="144" spans="1:45">
      <c r="A144" s="12" t="s">
        <v>1638</v>
      </c>
      <c r="B144" s="54" t="str">
        <f t="shared" si="69"/>
        <v>AZ_Maric_2020g</v>
      </c>
      <c r="C144" s="12"/>
      <c r="D144" s="54" t="str">
        <f t="shared" si="70"/>
        <v>Gen-creighton esd #14-gbm-2yr (vote for1)</v>
      </c>
      <c r="E144" s="54" t="s">
        <v>1765</v>
      </c>
      <c r="F144" s="12" t="s">
        <v>1300</v>
      </c>
      <c r="G144" s="59">
        <v>210</v>
      </c>
      <c r="H144"/>
      <c r="K144" s="2"/>
      <c r="O144">
        <f t="shared" si="71"/>
        <v>-1</v>
      </c>
      <c r="P144" s="57">
        <f t="shared" si="72"/>
        <v>1</v>
      </c>
      <c r="Q144" s="267">
        <f t="shared" si="73"/>
        <v>367</v>
      </c>
      <c r="R144" s="23" t="str">
        <f t="shared" si="74"/>
        <v/>
      </c>
      <c r="S144" s="23">
        <f t="shared" si="75"/>
        <v>157</v>
      </c>
      <c r="T144" s="23" t="str">
        <f t="shared" si="76"/>
        <v/>
      </c>
      <c r="U144" t="str">
        <f t="shared" si="77"/>
        <v/>
      </c>
      <c r="W144" s="1">
        <f t="shared" si="78"/>
        <v>143</v>
      </c>
      <c r="X144" s="73">
        <f t="shared" si="86"/>
        <v>30.044271570014146</v>
      </c>
      <c r="Y144" s="322">
        <f t="shared" si="79"/>
        <v>29312.994000000002</v>
      </c>
      <c r="Z144" s="43">
        <f t="shared" si="68"/>
        <v>0</v>
      </c>
      <c r="AA144" s="52">
        <f t="shared" si="80"/>
        <v>0</v>
      </c>
      <c r="AB144" s="8">
        <f t="shared" si="81"/>
        <v>20895.63</v>
      </c>
      <c r="AC144" s="8">
        <f t="shared" si="82"/>
        <v>2089563</v>
      </c>
      <c r="AD144" s="8">
        <f t="shared" si="87"/>
        <v>10447.815000000001</v>
      </c>
      <c r="AE144" s="8" t="str">
        <f t="shared" si="83"/>
        <v/>
      </c>
      <c r="AF144" s="22" t="str">
        <f t="shared" si="84"/>
        <v>AZ_Maric_2020g</v>
      </c>
      <c r="AG144">
        <v>1</v>
      </c>
      <c r="AH144" s="272">
        <v>424826</v>
      </c>
      <c r="AI144" s="273">
        <v>255790</v>
      </c>
      <c r="AJ144" s="274">
        <v>168122</v>
      </c>
      <c r="AK144" s="339">
        <v>87668</v>
      </c>
      <c r="AL144" s="23" t="s">
        <v>1582</v>
      </c>
      <c r="AM144" s="353">
        <f t="shared" si="85"/>
        <v>4.1955183930802754E-2</v>
      </c>
      <c r="AN144" s="354"/>
      <c r="AP144" s="23">
        <f t="shared" si="88"/>
        <v>281</v>
      </c>
      <c r="AQ144" s="392">
        <f t="shared" si="66"/>
        <v>0.94372352067585663</v>
      </c>
      <c r="AR144" s="392">
        <f t="shared" si="67"/>
        <v>0.99999955890076653</v>
      </c>
      <c r="AS144" s="392">
        <f t="shared" si="67"/>
        <v>1</v>
      </c>
    </row>
    <row r="145" spans="1:45">
      <c r="A145" s="12" t="s">
        <v>1638</v>
      </c>
      <c r="B145" s="54" t="str">
        <f t="shared" si="69"/>
        <v>AZ_Maric_2020g</v>
      </c>
      <c r="C145" s="12"/>
      <c r="D145" s="54" t="str">
        <f t="shared" si="70"/>
        <v>Gen-creighton esd #14-gbm-2yr (vote for1)</v>
      </c>
      <c r="E145" s="54" t="s">
        <v>2060</v>
      </c>
      <c r="F145" s="12" t="s">
        <v>1300</v>
      </c>
      <c r="G145" s="59">
        <v>157</v>
      </c>
      <c r="H145"/>
      <c r="K145" s="2"/>
      <c r="O145">
        <f t="shared" si="71"/>
        <v>2</v>
      </c>
      <c r="P145" s="57">
        <f t="shared" si="72"/>
        <v>1</v>
      </c>
      <c r="Q145" s="267">
        <f t="shared" si="73"/>
        <v>157</v>
      </c>
      <c r="R145" s="23" t="str">
        <f t="shared" si="74"/>
        <v/>
      </c>
      <c r="S145" s="23">
        <f t="shared" si="75"/>
        <v>157</v>
      </c>
      <c r="T145" s="23" t="str">
        <f t="shared" si="76"/>
        <v/>
      </c>
      <c r="U145" t="str">
        <f t="shared" si="77"/>
        <v/>
      </c>
      <c r="W145" s="1">
        <f t="shared" si="78"/>
        <v>144</v>
      </c>
      <c r="X145" s="73">
        <f t="shared" si="86"/>
        <v>131.34529381408603</v>
      </c>
      <c r="Y145" s="322">
        <f t="shared" si="79"/>
        <v>130297.11600000001</v>
      </c>
      <c r="Z145" s="43">
        <f t="shared" si="68"/>
        <v>0</v>
      </c>
      <c r="AA145" s="52">
        <f t="shared" si="80"/>
        <v>0</v>
      </c>
      <c r="AB145" s="8">
        <f t="shared" si="81"/>
        <v>20895.63</v>
      </c>
      <c r="AC145" s="8">
        <f t="shared" si="82"/>
        <v>2089563</v>
      </c>
      <c r="AD145" s="8">
        <f t="shared" si="87"/>
        <v>10447.815000000001</v>
      </c>
      <c r="AE145" s="8" t="str">
        <f t="shared" si="83"/>
        <v/>
      </c>
      <c r="AF145" s="22" t="str">
        <f t="shared" si="84"/>
        <v>AZ_Maric_2020g</v>
      </c>
      <c r="AG145">
        <v>1</v>
      </c>
      <c r="AH145" s="272">
        <v>1888364</v>
      </c>
      <c r="AI145" s="273">
        <v>987860</v>
      </c>
      <c r="AJ145" s="274">
        <v>898722</v>
      </c>
      <c r="AK145" s="339">
        <v>89138</v>
      </c>
      <c r="AL145" s="340" t="s">
        <v>1586</v>
      </c>
      <c r="AM145" s="353">
        <f t="shared" si="85"/>
        <v>4.2658680307796418E-2</v>
      </c>
      <c r="AN145" s="354"/>
      <c r="AP145" s="23">
        <f t="shared" si="88"/>
        <v>287</v>
      </c>
      <c r="AQ145" s="392">
        <f t="shared" si="66"/>
        <v>0.94712303842096424</v>
      </c>
      <c r="AR145" s="392">
        <f t="shared" si="67"/>
        <v>0.99999967872724038</v>
      </c>
      <c r="AS145" s="392">
        <f t="shared" si="67"/>
        <v>1</v>
      </c>
    </row>
    <row r="146" spans="1:45">
      <c r="A146" s="12" t="s">
        <v>1637</v>
      </c>
      <c r="B146" s="54" t="str">
        <f t="shared" si="69"/>
        <v>AZ_Maric_2020g</v>
      </c>
      <c r="C146" s="12"/>
      <c r="D146" s="54" t="str">
        <f t="shared" si="70"/>
        <v>Gen-creighton esd #14-gbm-4yr (vote for3)</v>
      </c>
      <c r="E146" s="54" t="s">
        <v>2053</v>
      </c>
      <c r="F146" s="12" t="s">
        <v>1300</v>
      </c>
      <c r="G146" s="59">
        <v>6528</v>
      </c>
      <c r="H146"/>
      <c r="K146" s="2"/>
      <c r="O146">
        <f t="shared" si="71"/>
        <v>1</v>
      </c>
      <c r="P146" s="57">
        <f t="shared" si="72"/>
        <v>3</v>
      </c>
      <c r="Q146" s="267">
        <f t="shared" si="73"/>
        <v>12153.666666666666</v>
      </c>
      <c r="R146" s="23">
        <f t="shared" si="74"/>
        <v>6254</v>
      </c>
      <c r="S146" s="23">
        <f t="shared" si="75"/>
        <v>6107</v>
      </c>
      <c r="T146" s="23">
        <f t="shared" si="76"/>
        <v>147</v>
      </c>
      <c r="U146" t="str">
        <f t="shared" si="77"/>
        <v>AZ_Maric_2020g~Gen-creighton esd #14-gbm-4yr (vote for3)</v>
      </c>
      <c r="W146" s="1">
        <f t="shared" si="78"/>
        <v>145</v>
      </c>
      <c r="X146" s="73">
        <f t="shared" si="86"/>
        <v>6.9944209015983185</v>
      </c>
      <c r="Y146" s="322">
        <f t="shared" si="79"/>
        <v>6998.4630000000006</v>
      </c>
      <c r="Z146" s="43">
        <f t="shared" si="68"/>
        <v>0</v>
      </c>
      <c r="AA146" s="52">
        <f t="shared" si="80"/>
        <v>0</v>
      </c>
      <c r="AB146" s="8">
        <f t="shared" si="81"/>
        <v>20895.63</v>
      </c>
      <c r="AC146" s="8">
        <f t="shared" si="82"/>
        <v>2089563</v>
      </c>
      <c r="AD146" s="8">
        <f t="shared" si="87"/>
        <v>10447.815000000001</v>
      </c>
      <c r="AE146" s="8" t="str">
        <f t="shared" si="83"/>
        <v/>
      </c>
      <c r="AF146" s="22" t="str">
        <f t="shared" si="84"/>
        <v>AZ_Maric_2020g</v>
      </c>
      <c r="AG146">
        <v>1</v>
      </c>
      <c r="AH146" s="272">
        <v>101427</v>
      </c>
      <c r="AI146" s="273">
        <v>91249</v>
      </c>
      <c r="AJ146" s="274">
        <v>1342</v>
      </c>
      <c r="AK146" s="339">
        <v>89907</v>
      </c>
      <c r="AL146" s="340" t="s">
        <v>1548</v>
      </c>
      <c r="AM146" s="353">
        <f t="shared" si="85"/>
        <v>4.3026699841067245E-2</v>
      </c>
      <c r="AN146" s="354"/>
      <c r="AP146" s="23">
        <f t="shared" si="88"/>
        <v>290</v>
      </c>
      <c r="AQ146" s="392">
        <f t="shared" si="66"/>
        <v>0.94874570628165744</v>
      </c>
      <c r="AR146" s="392">
        <f t="shared" si="67"/>
        <v>0.99999972583538865</v>
      </c>
      <c r="AS146" s="392">
        <f t="shared" si="67"/>
        <v>1</v>
      </c>
    </row>
    <row r="147" spans="1:45">
      <c r="A147" s="12" t="s">
        <v>1637</v>
      </c>
      <c r="B147" s="54" t="str">
        <f t="shared" si="69"/>
        <v>AZ_Maric_2020g</v>
      </c>
      <c r="C147" s="12"/>
      <c r="D147" s="54" t="str">
        <f t="shared" si="70"/>
        <v>Gen-creighton esd #14-gbm-4yr (vote for3)</v>
      </c>
      <c r="E147" s="54" t="s">
        <v>2054</v>
      </c>
      <c r="F147" s="12" t="s">
        <v>1300</v>
      </c>
      <c r="G147" s="59">
        <v>6352</v>
      </c>
      <c r="H147"/>
      <c r="K147" s="2"/>
      <c r="O147">
        <f t="shared" si="71"/>
        <v>2</v>
      </c>
      <c r="P147" s="57">
        <f t="shared" si="72"/>
        <v>3</v>
      </c>
      <c r="Q147" s="267">
        <f t="shared" si="73"/>
        <v>29933</v>
      </c>
      <c r="R147" s="23">
        <f t="shared" si="74"/>
        <v>6254</v>
      </c>
      <c r="S147" s="23">
        <f t="shared" si="75"/>
        <v>6107</v>
      </c>
      <c r="T147" s="23" t="str">
        <f t="shared" si="76"/>
        <v/>
      </c>
      <c r="U147" t="str">
        <f t="shared" si="77"/>
        <v/>
      </c>
      <c r="W147" s="1">
        <f t="shared" si="78"/>
        <v>146</v>
      </c>
      <c r="X147" s="73">
        <f t="shared" si="86"/>
        <v>11.650249075729436</v>
      </c>
      <c r="Y147" s="322">
        <f t="shared" si="79"/>
        <v>14939.742000000002</v>
      </c>
      <c r="Z147" s="43">
        <f t="shared" si="68"/>
        <v>0</v>
      </c>
      <c r="AA147" s="52">
        <f t="shared" si="80"/>
        <v>0</v>
      </c>
      <c r="AB147" s="8">
        <f t="shared" si="81"/>
        <v>20895.63</v>
      </c>
      <c r="AC147" s="8">
        <f t="shared" si="82"/>
        <v>2089563</v>
      </c>
      <c r="AD147" s="8">
        <f t="shared" si="87"/>
        <v>10447.815000000001</v>
      </c>
      <c r="AE147" s="8" t="str">
        <f t="shared" si="83"/>
        <v/>
      </c>
      <c r="AF147" s="22" t="str">
        <f t="shared" si="84"/>
        <v>AZ_Maric_2020g</v>
      </c>
      <c r="AG147">
        <v>1</v>
      </c>
      <c r="AH147" s="272">
        <v>216518</v>
      </c>
      <c r="AI147" s="273">
        <v>165452</v>
      </c>
      <c r="AJ147" s="274">
        <v>50226</v>
      </c>
      <c r="AK147" s="339">
        <v>115226</v>
      </c>
      <c r="AL147" s="340" t="s">
        <v>1537</v>
      </c>
      <c r="AM147" s="353">
        <f t="shared" si="85"/>
        <v>5.5143587439096114E-2</v>
      </c>
      <c r="AN147" s="354"/>
      <c r="AP147" s="23">
        <f t="shared" si="88"/>
        <v>397</v>
      </c>
      <c r="AQ147" s="392">
        <f t="shared" si="66"/>
        <v>0.98323933026613841</v>
      </c>
      <c r="AR147" s="392">
        <f t="shared" si="67"/>
        <v>0.9999999990706917</v>
      </c>
      <c r="AS147" s="392">
        <f t="shared" si="67"/>
        <v>1</v>
      </c>
    </row>
    <row r="148" spans="1:45">
      <c r="A148" s="12" t="s">
        <v>1637</v>
      </c>
      <c r="B148" s="54" t="str">
        <f t="shared" si="69"/>
        <v>AZ_Maric_2020g</v>
      </c>
      <c r="C148" s="12"/>
      <c r="D148" s="54" t="str">
        <f t="shared" si="70"/>
        <v>Gen-creighton esd #14-gbm-4yr (vote for3)</v>
      </c>
      <c r="E148" s="54" t="s">
        <v>2055</v>
      </c>
      <c r="F148" s="12" t="s">
        <v>1300</v>
      </c>
      <c r="G148" s="59">
        <v>6254</v>
      </c>
      <c r="H148"/>
      <c r="K148" s="2"/>
      <c r="O148">
        <f t="shared" si="71"/>
        <v>3</v>
      </c>
      <c r="P148" s="57">
        <f t="shared" si="72"/>
        <v>3</v>
      </c>
      <c r="Q148" s="267">
        <f t="shared" si="73"/>
        <v>23581</v>
      </c>
      <c r="R148" s="23">
        <f t="shared" si="74"/>
        <v>6254</v>
      </c>
      <c r="S148" s="23">
        <f t="shared" si="75"/>
        <v>6107</v>
      </c>
      <c r="T148" s="23" t="str">
        <f t="shared" si="76"/>
        <v/>
      </c>
      <c r="U148" t="str">
        <f t="shared" si="77"/>
        <v/>
      </c>
      <c r="W148" s="1">
        <f t="shared" si="78"/>
        <v>147</v>
      </c>
      <c r="X148" s="73">
        <f t="shared" si="86"/>
        <v>15.02375956397921</v>
      </c>
      <c r="Y148" s="322">
        <f t="shared" si="79"/>
        <v>22486.548000000003</v>
      </c>
      <c r="Z148" s="43">
        <f t="shared" si="68"/>
        <v>0</v>
      </c>
      <c r="AA148" s="52">
        <f t="shared" si="80"/>
        <v>0</v>
      </c>
      <c r="AB148" s="8">
        <f t="shared" si="81"/>
        <v>20895.63</v>
      </c>
      <c r="AC148" s="8">
        <f t="shared" si="82"/>
        <v>2089563</v>
      </c>
      <c r="AD148" s="8">
        <f t="shared" si="87"/>
        <v>10447.815000000001</v>
      </c>
      <c r="AE148" s="8" t="str">
        <f t="shared" si="83"/>
        <v/>
      </c>
      <c r="AF148" s="22" t="str">
        <f t="shared" si="84"/>
        <v>AZ_Maric_2020g</v>
      </c>
      <c r="AG148" s="302">
        <v>1</v>
      </c>
      <c r="AH148" s="301">
        <v>325892</v>
      </c>
      <c r="AI148" s="303">
        <v>229581</v>
      </c>
      <c r="AJ148" s="303">
        <v>95092</v>
      </c>
      <c r="AK148" s="342">
        <v>134489</v>
      </c>
      <c r="AL148" s="343" t="s">
        <v>1614</v>
      </c>
      <c r="AM148" s="353">
        <f t="shared" si="85"/>
        <v>6.4362261391496686E-2</v>
      </c>
      <c r="AN148" s="354"/>
      <c r="AO148" s="356"/>
      <c r="AP148" s="23">
        <f t="shared" si="88"/>
        <v>478</v>
      </c>
      <c r="AQ148" s="392">
        <f t="shared" si="66"/>
        <v>0.99286585524416804</v>
      </c>
      <c r="AR148" s="392">
        <f t="shared" si="67"/>
        <v>0.9999999999879654</v>
      </c>
      <c r="AS148" s="392">
        <f t="shared" si="67"/>
        <v>1</v>
      </c>
    </row>
    <row r="149" spans="1:45">
      <c r="A149" s="12" t="s">
        <v>1637</v>
      </c>
      <c r="B149" s="54" t="str">
        <f t="shared" si="69"/>
        <v>AZ_Maric_2020g</v>
      </c>
      <c r="C149" s="12"/>
      <c r="D149" s="54" t="str">
        <f t="shared" si="70"/>
        <v>Gen-creighton esd #14-gbm-4yr (vote for3)</v>
      </c>
      <c r="E149" s="54" t="s">
        <v>2056</v>
      </c>
      <c r="F149" s="12" t="s">
        <v>1300</v>
      </c>
      <c r="G149" s="59">
        <v>6107</v>
      </c>
      <c r="H149"/>
      <c r="K149" s="2"/>
      <c r="O149">
        <f t="shared" si="71"/>
        <v>4</v>
      </c>
      <c r="P149" s="57">
        <f t="shared" si="72"/>
        <v>3</v>
      </c>
      <c r="Q149" s="267">
        <f t="shared" si="73"/>
        <v>17327</v>
      </c>
      <c r="R149" s="23" t="str">
        <f t="shared" si="74"/>
        <v/>
      </c>
      <c r="S149" s="23">
        <f t="shared" si="75"/>
        <v>6107</v>
      </c>
      <c r="T149" s="23" t="str">
        <f t="shared" si="76"/>
        <v/>
      </c>
      <c r="U149" t="str">
        <f t="shared" si="77"/>
        <v/>
      </c>
      <c r="W149" s="1">
        <f t="shared" si="78"/>
        <v>148</v>
      </c>
      <c r="X149" s="73">
        <f t="shared" si="86"/>
        <v>18.141991131874189</v>
      </c>
      <c r="Y149" s="322">
        <f t="shared" si="79"/>
        <v>39933.75</v>
      </c>
      <c r="Z149" s="43">
        <f t="shared" si="68"/>
        <v>0</v>
      </c>
      <c r="AA149" s="52">
        <f t="shared" si="80"/>
        <v>0</v>
      </c>
      <c r="AB149" s="8">
        <f t="shared" si="81"/>
        <v>20895.63</v>
      </c>
      <c r="AC149" s="8">
        <f t="shared" si="82"/>
        <v>2089563</v>
      </c>
      <c r="AD149" s="8">
        <f t="shared" si="87"/>
        <v>10447.815000000001</v>
      </c>
      <c r="AE149" s="8" t="str">
        <f t="shared" si="83"/>
        <v/>
      </c>
      <c r="AF149" s="22" t="str">
        <f t="shared" si="84"/>
        <v>AZ_Maric_2020g</v>
      </c>
      <c r="AG149">
        <v>1</v>
      </c>
      <c r="AH149" s="272">
        <v>578750</v>
      </c>
      <c r="AI149" s="273">
        <v>349959</v>
      </c>
      <c r="AJ149" s="274">
        <v>152172</v>
      </c>
      <c r="AK149" s="339">
        <v>197787</v>
      </c>
      <c r="AL149" s="340" t="s">
        <v>1690</v>
      </c>
      <c r="AM149" s="353">
        <f t="shared" si="85"/>
        <v>9.4654719671050838E-2</v>
      </c>
      <c r="AN149" s="354"/>
      <c r="AP149" s="23">
        <f t="shared" si="88"/>
        <v>744</v>
      </c>
      <c r="AQ149" s="392">
        <f t="shared" si="66"/>
        <v>0.99958933256503724</v>
      </c>
      <c r="AR149" s="392">
        <f t="shared" si="67"/>
        <v>1</v>
      </c>
      <c r="AS149" s="392">
        <f t="shared" si="67"/>
        <v>1</v>
      </c>
    </row>
    <row r="150" spans="1:45">
      <c r="A150" s="12" t="s">
        <v>1637</v>
      </c>
      <c r="B150" s="54" t="str">
        <f t="shared" si="69"/>
        <v>AZ_Maric_2020g</v>
      </c>
      <c r="C150" s="12"/>
      <c r="D150" s="54" t="str">
        <f t="shared" si="70"/>
        <v>Gen-creighton esd #14-gbm-4yr (vote for3)</v>
      </c>
      <c r="E150" s="54" t="s">
        <v>2058</v>
      </c>
      <c r="F150" s="12" t="s">
        <v>1300</v>
      </c>
      <c r="G150" s="59">
        <v>5609</v>
      </c>
      <c r="H150"/>
      <c r="K150" s="2"/>
      <c r="O150">
        <f t="shared" si="71"/>
        <v>5</v>
      </c>
      <c r="P150" s="57">
        <f t="shared" si="72"/>
        <v>3</v>
      </c>
      <c r="Q150" s="267">
        <f t="shared" si="73"/>
        <v>11220</v>
      </c>
      <c r="R150" s="23" t="str">
        <f t="shared" si="74"/>
        <v/>
      </c>
      <c r="S150" s="23">
        <f t="shared" si="75"/>
        <v>5609</v>
      </c>
      <c r="T150" s="23" t="str">
        <f t="shared" si="76"/>
        <v/>
      </c>
      <c r="U150" t="str">
        <f t="shared" si="77"/>
        <v/>
      </c>
      <c r="W150" s="1">
        <f t="shared" si="78"/>
        <v>149</v>
      </c>
      <c r="X150" s="73">
        <f t="shared" si="86"/>
        <v>53.968973550774294</v>
      </c>
      <c r="Y150" s="322">
        <f t="shared" si="79"/>
        <v>135865.00200000001</v>
      </c>
      <c r="Z150" s="43">
        <f t="shared" si="68"/>
        <v>0</v>
      </c>
      <c r="AA150" s="52">
        <f t="shared" si="80"/>
        <v>0</v>
      </c>
      <c r="AB150" s="8">
        <f t="shared" si="81"/>
        <v>20895.63</v>
      </c>
      <c r="AC150" s="8">
        <f t="shared" si="82"/>
        <v>2089563</v>
      </c>
      <c r="AD150" s="8">
        <f t="shared" si="87"/>
        <v>10447.815000000001</v>
      </c>
      <c r="AE150" s="8" t="str">
        <f t="shared" si="83"/>
        <v/>
      </c>
      <c r="AF150" s="22" t="str">
        <f t="shared" si="84"/>
        <v>AZ_Maric_2020g</v>
      </c>
      <c r="AG150">
        <v>1</v>
      </c>
      <c r="AH150" s="272">
        <v>1969058</v>
      </c>
      <c r="AI150" s="273">
        <v>1095955</v>
      </c>
      <c r="AJ150" s="274">
        <v>869748</v>
      </c>
      <c r="AK150" s="339">
        <v>226207</v>
      </c>
      <c r="AL150" s="340" t="s">
        <v>1590</v>
      </c>
      <c r="AM150" s="353">
        <f t="shared" si="85"/>
        <v>0.10825564962626157</v>
      </c>
      <c r="AN150" s="354"/>
      <c r="AP150" s="23">
        <f t="shared" si="88"/>
        <v>863</v>
      </c>
      <c r="AQ150" s="392">
        <f t="shared" si="66"/>
        <v>0.999888386941023</v>
      </c>
      <c r="AR150" s="392">
        <f t="shared" si="67"/>
        <v>1</v>
      </c>
      <c r="AS150" s="392">
        <f t="shared" si="67"/>
        <v>1</v>
      </c>
    </row>
    <row r="151" spans="1:45">
      <c r="A151" s="12" t="s">
        <v>1637</v>
      </c>
      <c r="B151" s="54" t="str">
        <f t="shared" si="69"/>
        <v>AZ_Maric_2020g</v>
      </c>
      <c r="C151" s="12"/>
      <c r="D151" s="54" t="str">
        <f t="shared" si="70"/>
        <v>Gen-creighton esd #14-gbm-4yr (vote for3)</v>
      </c>
      <c r="E151" s="54" t="s">
        <v>2057</v>
      </c>
      <c r="F151" s="12" t="s">
        <v>1300</v>
      </c>
      <c r="G151" s="59">
        <v>5163</v>
      </c>
      <c r="H151"/>
      <c r="K151" s="2"/>
      <c r="O151">
        <f t="shared" si="71"/>
        <v>6</v>
      </c>
      <c r="P151" s="57">
        <f t="shared" si="72"/>
        <v>3</v>
      </c>
      <c r="Q151" s="267">
        <f t="shared" si="73"/>
        <v>5611</v>
      </c>
      <c r="R151" s="23" t="str">
        <f t="shared" si="74"/>
        <v/>
      </c>
      <c r="S151" s="23">
        <f t="shared" si="75"/>
        <v>5163</v>
      </c>
      <c r="T151" s="23" t="str">
        <f t="shared" si="76"/>
        <v/>
      </c>
      <c r="U151" t="str">
        <f t="shared" si="77"/>
        <v/>
      </c>
      <c r="W151" s="1">
        <f t="shared" si="78"/>
        <v>150</v>
      </c>
      <c r="X151" s="73">
        <f t="shared" si="86"/>
        <v>13.592712792043471</v>
      </c>
      <c r="Y151" s="322">
        <f t="shared" si="79"/>
        <v>38557.407000000007</v>
      </c>
      <c r="Z151" s="43">
        <f t="shared" si="68"/>
        <v>0</v>
      </c>
      <c r="AA151" s="52">
        <f t="shared" si="80"/>
        <v>0</v>
      </c>
      <c r="AB151" s="8">
        <f t="shared" si="81"/>
        <v>20895.63</v>
      </c>
      <c r="AC151" s="8">
        <f t="shared" si="82"/>
        <v>2089563</v>
      </c>
      <c r="AD151" s="8">
        <f t="shared" si="87"/>
        <v>10447.815000000001</v>
      </c>
      <c r="AE151" s="8" t="str">
        <f t="shared" si="83"/>
        <v/>
      </c>
      <c r="AF151" s="22" t="str">
        <f t="shared" si="84"/>
        <v>AZ_Maric_2020g</v>
      </c>
      <c r="AG151">
        <v>1</v>
      </c>
      <c r="AH151" s="272">
        <v>558803</v>
      </c>
      <c r="AI151" s="273">
        <v>406844</v>
      </c>
      <c r="AJ151" s="274">
        <v>151959</v>
      </c>
      <c r="AK151" s="339">
        <v>254885</v>
      </c>
      <c r="AL151" s="340" t="s">
        <v>1695</v>
      </c>
      <c r="AM151" s="353">
        <f t="shared" si="85"/>
        <v>0.12198005037416915</v>
      </c>
      <c r="AN151" s="354"/>
      <c r="AP151" s="23">
        <f t="shared" si="88"/>
        <v>984</v>
      </c>
      <c r="AQ151" s="392">
        <f t="shared" si="66"/>
        <v>0.99997081620824269</v>
      </c>
      <c r="AR151" s="392">
        <f t="shared" si="67"/>
        <v>1</v>
      </c>
      <c r="AS151" s="392">
        <f t="shared" si="67"/>
        <v>1</v>
      </c>
    </row>
    <row r="152" spans="1:45">
      <c r="A152" s="12" t="s">
        <v>1637</v>
      </c>
      <c r="B152" s="54" t="str">
        <f t="shared" si="69"/>
        <v>AZ_Maric_2020g</v>
      </c>
      <c r="C152" s="12"/>
      <c r="D152" s="54" t="str">
        <f t="shared" si="70"/>
        <v>Gen-creighton esd #14-gbm-4yr (vote for3)</v>
      </c>
      <c r="E152" s="54" t="s">
        <v>1299</v>
      </c>
      <c r="G152" s="59">
        <v>448</v>
      </c>
      <c r="H152"/>
      <c r="K152" s="2"/>
      <c r="O152">
        <f t="shared" si="71"/>
        <v>-6</v>
      </c>
      <c r="P152" s="57">
        <f t="shared" si="72"/>
        <v>3</v>
      </c>
      <c r="Q152" s="267">
        <f t="shared" si="73"/>
        <v>448</v>
      </c>
      <c r="R152" s="23">
        <f t="shared" si="74"/>
        <v>1</v>
      </c>
      <c r="S152" s="23">
        <f t="shared" si="75"/>
        <v>0</v>
      </c>
      <c r="T152" s="23" t="str">
        <f t="shared" si="76"/>
        <v/>
      </c>
      <c r="U152" t="str">
        <f t="shared" si="77"/>
        <v/>
      </c>
      <c r="W152" s="1">
        <f t="shared" si="78"/>
        <v>151</v>
      </c>
      <c r="X152" s="73">
        <f t="shared" si="86"/>
        <v>25.013039890308001</v>
      </c>
      <c r="Y152" s="322">
        <f t="shared" si="79"/>
        <v>87704.65800000001</v>
      </c>
      <c r="Z152" s="43">
        <f t="shared" si="68"/>
        <v>0</v>
      </c>
      <c r="AA152" s="52">
        <f t="shared" si="80"/>
        <v>0</v>
      </c>
      <c r="AB152" s="8">
        <f t="shared" si="81"/>
        <v>20895.63</v>
      </c>
      <c r="AC152" s="8">
        <f t="shared" si="82"/>
        <v>2089563</v>
      </c>
      <c r="AD152" s="8">
        <f t="shared" si="87"/>
        <v>10447.815000000001</v>
      </c>
      <c r="AE152" s="8" t="str">
        <f t="shared" si="83"/>
        <v/>
      </c>
      <c r="AF152" s="22" t="str">
        <f t="shared" si="84"/>
        <v>AZ_Maric_2020g</v>
      </c>
      <c r="AG152">
        <v>1</v>
      </c>
      <c r="AH152" s="272">
        <v>1271082</v>
      </c>
      <c r="AI152" s="273">
        <v>793073</v>
      </c>
      <c r="AJ152" s="274">
        <v>478009</v>
      </c>
      <c r="AK152" s="339">
        <v>315064</v>
      </c>
      <c r="AL152" s="340" t="s">
        <v>1725</v>
      </c>
      <c r="AM152" s="353">
        <f t="shared" si="85"/>
        <v>0.15077985205519048</v>
      </c>
      <c r="AN152" s="354"/>
      <c r="AP152" s="23">
        <f t="shared" si="88"/>
        <v>1237</v>
      </c>
      <c r="AQ152" s="392">
        <f t="shared" si="66"/>
        <v>0.99999833106517833</v>
      </c>
      <c r="AR152" s="392">
        <f t="shared" si="67"/>
        <v>1</v>
      </c>
      <c r="AS152" s="392">
        <f t="shared" si="67"/>
        <v>1</v>
      </c>
    </row>
    <row r="153" spans="1:45">
      <c r="A153" s="12" t="s">
        <v>1639</v>
      </c>
      <c r="B153" s="54" t="str">
        <f t="shared" si="69"/>
        <v>AZ_Maric_2020g</v>
      </c>
      <c r="C153" s="12"/>
      <c r="D153" s="54" t="str">
        <f t="shared" si="70"/>
        <v>Gen-creighton esd #14-question (vote for1)</v>
      </c>
      <c r="E153" s="54" t="s">
        <v>2061</v>
      </c>
      <c r="F153" s="12" t="s">
        <v>1300</v>
      </c>
      <c r="G153" s="59">
        <v>13088</v>
      </c>
      <c r="H153"/>
      <c r="K153" s="2"/>
      <c r="O153">
        <f t="shared" si="71"/>
        <v>1</v>
      </c>
      <c r="P153" s="57">
        <f t="shared" si="72"/>
        <v>1</v>
      </c>
      <c r="Q153" s="267">
        <f t="shared" si="73"/>
        <v>20532</v>
      </c>
      <c r="R153" s="23">
        <f t="shared" si="74"/>
        <v>13088</v>
      </c>
      <c r="S153" s="23">
        <f t="shared" si="75"/>
        <v>7444</v>
      </c>
      <c r="T153" s="23">
        <f t="shared" si="76"/>
        <v>5644</v>
      </c>
      <c r="U153" t="str">
        <f t="shared" si="77"/>
        <v>AZ_Maric_2020g~Gen-creighton esd #14-question (vote for1)</v>
      </c>
      <c r="W153" s="1">
        <f t="shared" si="78"/>
        <v>152</v>
      </c>
      <c r="X153" s="73">
        <f t="shared" si="86"/>
        <v>25.237405616486416</v>
      </c>
      <c r="Y153" s="322">
        <f t="shared" si="79"/>
        <v>92064.285000000003</v>
      </c>
      <c r="Z153" s="43">
        <f t="shared" si="68"/>
        <v>0</v>
      </c>
      <c r="AA153" s="52">
        <f t="shared" si="80"/>
        <v>0</v>
      </c>
      <c r="AB153" s="8">
        <f t="shared" si="81"/>
        <v>20895.63</v>
      </c>
      <c r="AC153" s="8">
        <f t="shared" si="82"/>
        <v>2089563</v>
      </c>
      <c r="AD153" s="8">
        <f t="shared" si="87"/>
        <v>10447.815000000001</v>
      </c>
      <c r="AE153" s="8" t="str">
        <f t="shared" si="83"/>
        <v/>
      </c>
      <c r="AF153" s="22" t="str">
        <f t="shared" si="84"/>
        <v>AZ_Maric_2020g</v>
      </c>
      <c r="AG153">
        <v>1</v>
      </c>
      <c r="AH153" s="272">
        <v>1334265</v>
      </c>
      <c r="AI153" s="273">
        <v>831025</v>
      </c>
      <c r="AJ153" s="274">
        <v>503240</v>
      </c>
      <c r="AK153" s="339">
        <v>327785</v>
      </c>
      <c r="AL153" s="340" t="s">
        <v>1714</v>
      </c>
      <c r="AM153" s="353">
        <f t="shared" si="85"/>
        <v>0.1568677278454873</v>
      </c>
      <c r="AN153" s="354"/>
      <c r="AP153" s="23">
        <f t="shared" si="88"/>
        <v>1290</v>
      </c>
      <c r="AQ153" s="392">
        <f t="shared" si="66"/>
        <v>0.99999909267242748</v>
      </c>
      <c r="AR153" s="392">
        <f t="shared" si="67"/>
        <v>1</v>
      </c>
      <c r="AS153" s="392">
        <f t="shared" si="67"/>
        <v>1</v>
      </c>
    </row>
    <row r="154" spans="1:45">
      <c r="A154" s="12" t="s">
        <v>1639</v>
      </c>
      <c r="B154" s="54" t="str">
        <f t="shared" si="69"/>
        <v>AZ_Maric_2020g</v>
      </c>
      <c r="C154" s="12"/>
      <c r="D154" s="54" t="str">
        <f t="shared" si="70"/>
        <v>Gen-creighton esd #14-question (vote for1)</v>
      </c>
      <c r="E154" s="54" t="s">
        <v>2062</v>
      </c>
      <c r="F154" s="12" t="s">
        <v>1300</v>
      </c>
      <c r="G154" s="59">
        <v>7444</v>
      </c>
      <c r="H154"/>
      <c r="K154" s="2"/>
      <c r="O154">
        <f t="shared" si="71"/>
        <v>2</v>
      </c>
      <c r="P154" s="57">
        <f t="shared" si="72"/>
        <v>1</v>
      </c>
      <c r="Q154" s="267">
        <f t="shared" si="73"/>
        <v>7444</v>
      </c>
      <c r="R154" s="23" t="str">
        <f t="shared" si="74"/>
        <v/>
      </c>
      <c r="S154" s="23">
        <f t="shared" si="75"/>
        <v>7444</v>
      </c>
      <c r="T154" s="23" t="str">
        <f t="shared" si="76"/>
        <v/>
      </c>
      <c r="U154" t="str">
        <f t="shared" si="77"/>
        <v/>
      </c>
      <c r="W154" s="1">
        <f t="shared" si="78"/>
        <v>153</v>
      </c>
      <c r="X154" s="73">
        <f t="shared" si="86"/>
        <v>23.225450837688026</v>
      </c>
      <c r="Y154" s="322">
        <f t="shared" si="79"/>
        <v>99371.661000000007</v>
      </c>
      <c r="Z154" s="43">
        <f t="shared" si="68"/>
        <v>0</v>
      </c>
      <c r="AA154" s="52">
        <f t="shared" si="80"/>
        <v>0</v>
      </c>
      <c r="AB154" s="8">
        <f t="shared" si="81"/>
        <v>20895.63</v>
      </c>
      <c r="AC154" s="8">
        <f t="shared" si="82"/>
        <v>2089563</v>
      </c>
      <c r="AD154" s="8">
        <f t="shared" si="87"/>
        <v>10447.815000000001</v>
      </c>
      <c r="AE154" s="8" t="str">
        <f t="shared" si="83"/>
        <v/>
      </c>
      <c r="AF154" s="22" t="str">
        <f t="shared" si="84"/>
        <v>AZ_Maric_2020g</v>
      </c>
      <c r="AG154" s="302">
        <v>1</v>
      </c>
      <c r="AH154" s="301">
        <v>1440169</v>
      </c>
      <c r="AI154" s="303">
        <v>908819</v>
      </c>
      <c r="AJ154" s="303">
        <v>524368</v>
      </c>
      <c r="AK154" s="342">
        <v>384451</v>
      </c>
      <c r="AL154" s="343" t="s">
        <v>1616</v>
      </c>
      <c r="AM154" s="353">
        <f t="shared" si="85"/>
        <v>0.18398631675618299</v>
      </c>
      <c r="AN154" s="354"/>
      <c r="AP154" s="23">
        <f t="shared" si="88"/>
        <v>1528</v>
      </c>
      <c r="AQ154" s="392">
        <f t="shared" si="66"/>
        <v>0.99999994377752144</v>
      </c>
      <c r="AR154" s="392">
        <f t="shared" si="67"/>
        <v>1</v>
      </c>
      <c r="AS154" s="392">
        <f t="shared" si="67"/>
        <v>1</v>
      </c>
    </row>
    <row r="155" spans="1:45">
      <c r="A155" s="12" t="s">
        <v>1673</v>
      </c>
      <c r="B155" s="54" t="str">
        <f t="shared" si="69"/>
        <v>AZ_Maric_2020g</v>
      </c>
      <c r="C155" s="12"/>
      <c r="D155" s="54" t="str">
        <f t="shared" si="70"/>
        <v>Gen-deer valley usd #97-gbm-4yr (vote for3)</v>
      </c>
      <c r="E155" s="54" t="s">
        <v>2150</v>
      </c>
      <c r="F155" s="12" t="s">
        <v>1300</v>
      </c>
      <c r="G155" s="59">
        <v>62477</v>
      </c>
      <c r="H155"/>
      <c r="K155" s="2"/>
      <c r="O155">
        <f t="shared" si="71"/>
        <v>1</v>
      </c>
      <c r="P155" s="57">
        <f t="shared" si="72"/>
        <v>3</v>
      </c>
      <c r="Q155" s="267">
        <f t="shared" si="73"/>
        <v>77452.333333333328</v>
      </c>
      <c r="R155" s="23">
        <f t="shared" si="74"/>
        <v>56164</v>
      </c>
      <c r="S155" s="23">
        <f t="shared" si="75"/>
        <v>51827</v>
      </c>
      <c r="T155" s="23">
        <f t="shared" si="76"/>
        <v>4337</v>
      </c>
      <c r="U155" t="str">
        <f t="shared" si="77"/>
        <v>AZ_Maric_2020g~Gen-deer valley usd #97-gbm-4yr (vote for3)</v>
      </c>
      <c r="W155" s="1">
        <f t="shared" si="78"/>
        <v>154</v>
      </c>
      <c r="X155" s="73">
        <f t="shared" si="86"/>
        <v>20.251960914218611</v>
      </c>
      <c r="Y155" s="322">
        <f t="shared" si="79"/>
        <v>86749.905000000013</v>
      </c>
      <c r="Z155" s="43">
        <f t="shared" si="68"/>
        <v>0</v>
      </c>
      <c r="AA155" s="52">
        <f t="shared" si="80"/>
        <v>0</v>
      </c>
      <c r="AB155" s="8">
        <f t="shared" si="81"/>
        <v>20895.63</v>
      </c>
      <c r="AC155" s="8">
        <f t="shared" si="82"/>
        <v>2089563</v>
      </c>
      <c r="AD155" s="8">
        <f t="shared" si="87"/>
        <v>10447.815000000001</v>
      </c>
      <c r="AE155" s="8" t="str">
        <f t="shared" si="83"/>
        <v/>
      </c>
      <c r="AF155" s="22" t="str">
        <f t="shared" si="84"/>
        <v>AZ_Maric_2020g</v>
      </c>
      <c r="AG155">
        <v>1</v>
      </c>
      <c r="AH155" s="272">
        <v>1257245</v>
      </c>
      <c r="AI155" s="273">
        <v>821071</v>
      </c>
      <c r="AJ155" s="274">
        <v>436174</v>
      </c>
      <c r="AK155" s="339">
        <v>384897</v>
      </c>
      <c r="AL155" s="23" t="s">
        <v>1730</v>
      </c>
      <c r="AM155" s="353">
        <f t="shared" si="85"/>
        <v>0.18419975851410081</v>
      </c>
      <c r="AN155" s="354"/>
      <c r="AP155" s="23">
        <f t="shared" si="88"/>
        <v>1530</v>
      </c>
      <c r="AQ155" s="392">
        <f t="shared" si="66"/>
        <v>0.99999994509357437</v>
      </c>
      <c r="AR155" s="392">
        <f t="shared" si="67"/>
        <v>1</v>
      </c>
      <c r="AS155" s="392">
        <f t="shared" si="67"/>
        <v>1</v>
      </c>
    </row>
    <row r="156" spans="1:45">
      <c r="A156" s="12" t="s">
        <v>1673</v>
      </c>
      <c r="B156" s="54" t="str">
        <f t="shared" si="69"/>
        <v>AZ_Maric_2020g</v>
      </c>
      <c r="C156" s="12"/>
      <c r="D156" s="54" t="str">
        <f t="shared" si="70"/>
        <v>Gen-deer valley usd #97-gbm-4yr (vote for3)</v>
      </c>
      <c r="E156" s="54" t="s">
        <v>2147</v>
      </c>
      <c r="F156" s="12" t="s">
        <v>1300</v>
      </c>
      <c r="G156" s="59">
        <v>58743</v>
      </c>
      <c r="H156"/>
      <c r="K156" s="2"/>
      <c r="O156">
        <f t="shared" si="71"/>
        <v>2</v>
      </c>
      <c r="P156" s="57">
        <f t="shared" si="72"/>
        <v>3</v>
      </c>
      <c r="Q156" s="267">
        <f t="shared" si="73"/>
        <v>169880</v>
      </c>
      <c r="R156" s="23">
        <f t="shared" si="74"/>
        <v>56164</v>
      </c>
      <c r="S156" s="23">
        <f t="shared" si="75"/>
        <v>51827</v>
      </c>
      <c r="T156" s="23" t="str">
        <f t="shared" si="76"/>
        <v/>
      </c>
      <c r="U156" t="str">
        <f t="shared" si="77"/>
        <v/>
      </c>
      <c r="W156" s="1">
        <f t="shared" si="78"/>
        <v>155</v>
      </c>
      <c r="X156" s="73">
        <f t="shared" si="86"/>
        <v>20.430721131250383</v>
      </c>
      <c r="Y156" s="322">
        <f t="shared" si="79"/>
        <v>89016.072000000015</v>
      </c>
      <c r="Z156" s="43">
        <f t="shared" si="68"/>
        <v>0</v>
      </c>
      <c r="AA156" s="52">
        <f t="shared" si="80"/>
        <v>0</v>
      </c>
      <c r="AB156" s="8">
        <f t="shared" si="81"/>
        <v>20895.63</v>
      </c>
      <c r="AC156" s="8">
        <f t="shared" si="82"/>
        <v>2089563</v>
      </c>
      <c r="AD156" s="8">
        <f t="shared" si="87"/>
        <v>10447.815000000001</v>
      </c>
      <c r="AE156" s="8" t="str">
        <f t="shared" si="83"/>
        <v/>
      </c>
      <c r="AF156" s="22" t="str">
        <f t="shared" si="84"/>
        <v>AZ_Maric_2020g</v>
      </c>
      <c r="AG156">
        <v>1</v>
      </c>
      <c r="AH156" s="272">
        <v>1290088</v>
      </c>
      <c r="AI156" s="273">
        <v>840792</v>
      </c>
      <c r="AJ156" s="274">
        <v>449296</v>
      </c>
      <c r="AK156" s="339">
        <v>391496</v>
      </c>
      <c r="AL156" s="340" t="s">
        <v>1724</v>
      </c>
      <c r="AM156" s="353">
        <f t="shared" si="85"/>
        <v>0.18735783510714921</v>
      </c>
      <c r="AN156" s="354"/>
      <c r="AP156" s="23">
        <f t="shared" si="88"/>
        <v>1558</v>
      </c>
      <c r="AQ156" s="392">
        <f t="shared" si="66"/>
        <v>0.99999996061203333</v>
      </c>
      <c r="AR156" s="392">
        <f t="shared" si="67"/>
        <v>1</v>
      </c>
      <c r="AS156" s="392">
        <f t="shared" si="67"/>
        <v>1</v>
      </c>
    </row>
    <row r="157" spans="1:45">
      <c r="A157" s="12" t="s">
        <v>1673</v>
      </c>
      <c r="B157" s="54" t="str">
        <f t="shared" si="69"/>
        <v>AZ_Maric_2020g</v>
      </c>
      <c r="C157" s="12"/>
      <c r="D157" s="54" t="str">
        <f t="shared" si="70"/>
        <v>Gen-deer valley usd #97-gbm-4yr (vote for3)</v>
      </c>
      <c r="E157" s="54" t="s">
        <v>2149</v>
      </c>
      <c r="F157" s="12" t="s">
        <v>1300</v>
      </c>
      <c r="G157" s="59">
        <v>56164</v>
      </c>
      <c r="H157"/>
      <c r="K157" s="2"/>
      <c r="O157">
        <f t="shared" si="71"/>
        <v>3</v>
      </c>
      <c r="P157" s="57">
        <f t="shared" si="72"/>
        <v>3</v>
      </c>
      <c r="Q157" s="267">
        <f t="shared" si="73"/>
        <v>111137</v>
      </c>
      <c r="R157" s="23">
        <f t="shared" si="74"/>
        <v>56164</v>
      </c>
      <c r="S157" s="23">
        <f t="shared" si="75"/>
        <v>51827</v>
      </c>
      <c r="T157" s="23" t="str">
        <f t="shared" si="76"/>
        <v/>
      </c>
      <c r="U157" t="str">
        <f t="shared" si="77"/>
        <v/>
      </c>
      <c r="W157" s="1">
        <f t="shared" si="78"/>
        <v>156</v>
      </c>
      <c r="X157" s="73">
        <f t="shared" si="86"/>
        <v>21.58148299319728</v>
      </c>
      <c r="Y157" s="322">
        <f t="shared" si="79"/>
        <v>98858.508000000002</v>
      </c>
      <c r="Z157" s="43">
        <f t="shared" si="68"/>
        <v>0</v>
      </c>
      <c r="AA157" s="52">
        <f t="shared" si="80"/>
        <v>0</v>
      </c>
      <c r="AB157" s="8">
        <f t="shared" si="81"/>
        <v>20895.63</v>
      </c>
      <c r="AC157" s="8">
        <f t="shared" si="82"/>
        <v>2089563</v>
      </c>
      <c r="AD157" s="8">
        <f t="shared" si="87"/>
        <v>10447.815000000001</v>
      </c>
      <c r="AE157" s="8" t="str">
        <f t="shared" si="83"/>
        <v/>
      </c>
      <c r="AF157" s="22" t="str">
        <f t="shared" si="84"/>
        <v>AZ_Maric_2020g</v>
      </c>
      <c r="AG157">
        <v>1</v>
      </c>
      <c r="AH157" s="272">
        <v>1432732</v>
      </c>
      <c r="AI157" s="273">
        <v>922166</v>
      </c>
      <c r="AJ157" s="274">
        <v>510566</v>
      </c>
      <c r="AK157" s="339">
        <v>411600</v>
      </c>
      <c r="AL157" s="340" t="s">
        <v>1707</v>
      </c>
      <c r="AM157" s="353">
        <f t="shared" si="85"/>
        <v>0.19697898555822438</v>
      </c>
      <c r="AN157" s="354"/>
      <c r="AP157" s="23">
        <f t="shared" si="88"/>
        <v>1642</v>
      </c>
      <c r="AQ157" s="392">
        <f t="shared" si="66"/>
        <v>0.9999999855513888</v>
      </c>
      <c r="AR157" s="392">
        <f t="shared" si="67"/>
        <v>1</v>
      </c>
      <c r="AS157" s="392">
        <f t="shared" si="67"/>
        <v>1</v>
      </c>
    </row>
    <row r="158" spans="1:45">
      <c r="A158" s="12" t="s">
        <v>1673</v>
      </c>
      <c r="B158" s="54" t="str">
        <f t="shared" si="69"/>
        <v>AZ_Maric_2020g</v>
      </c>
      <c r="C158" s="12"/>
      <c r="D158" s="54" t="str">
        <f t="shared" si="70"/>
        <v>Gen-deer valley usd #97-gbm-4yr (vote for3)</v>
      </c>
      <c r="E158" s="54" t="s">
        <v>2148</v>
      </c>
      <c r="F158" s="12" t="s">
        <v>1300</v>
      </c>
      <c r="G158" s="59">
        <v>51827</v>
      </c>
      <c r="H158"/>
      <c r="K158" s="2"/>
      <c r="O158">
        <f t="shared" si="71"/>
        <v>4</v>
      </c>
      <c r="P158" s="57">
        <f t="shared" si="72"/>
        <v>3</v>
      </c>
      <c r="Q158" s="267">
        <f t="shared" si="73"/>
        <v>54973</v>
      </c>
      <c r="R158" s="23" t="str">
        <f t="shared" si="74"/>
        <v/>
      </c>
      <c r="S158" s="23">
        <f t="shared" si="75"/>
        <v>51827</v>
      </c>
      <c r="T158" s="23" t="str">
        <f t="shared" si="76"/>
        <v/>
      </c>
      <c r="U158" t="str">
        <f t="shared" si="77"/>
        <v/>
      </c>
      <c r="W158" s="1">
        <f t="shared" si="78"/>
        <v>157</v>
      </c>
      <c r="X158" s="73">
        <f t="shared" si="86"/>
        <v>18.921052531205003</v>
      </c>
      <c r="Y158" s="322">
        <f t="shared" si="79"/>
        <v>88332.006000000008</v>
      </c>
      <c r="Z158" s="43">
        <f t="shared" si="68"/>
        <v>0</v>
      </c>
      <c r="AA158" s="52">
        <f t="shared" si="80"/>
        <v>0</v>
      </c>
      <c r="AB158" s="8">
        <f t="shared" si="81"/>
        <v>20895.63</v>
      </c>
      <c r="AC158" s="8">
        <f t="shared" si="82"/>
        <v>2089563</v>
      </c>
      <c r="AD158" s="8">
        <f t="shared" si="87"/>
        <v>10447.815000000001</v>
      </c>
      <c r="AE158" s="8" t="str">
        <f t="shared" si="83"/>
        <v/>
      </c>
      <c r="AF158" s="22" t="str">
        <f t="shared" si="84"/>
        <v>AZ_Maric_2020g</v>
      </c>
      <c r="AG158">
        <v>1</v>
      </c>
      <c r="AH158" s="272">
        <v>1280174</v>
      </c>
      <c r="AI158" s="273">
        <v>849829</v>
      </c>
      <c r="AJ158" s="274">
        <v>430345</v>
      </c>
      <c r="AK158" s="339">
        <v>419484</v>
      </c>
      <c r="AL158" s="340" t="s">
        <v>1722</v>
      </c>
      <c r="AM158" s="353">
        <f t="shared" si="85"/>
        <v>0.2007520232699373</v>
      </c>
      <c r="AN158" s="354"/>
      <c r="AP158" s="23">
        <f t="shared" si="88"/>
        <v>1675</v>
      </c>
      <c r="AQ158" s="392">
        <f t="shared" si="66"/>
        <v>0.99999999028198738</v>
      </c>
      <c r="AR158" s="392">
        <f t="shared" si="67"/>
        <v>1</v>
      </c>
      <c r="AS158" s="392">
        <f t="shared" si="67"/>
        <v>1</v>
      </c>
    </row>
    <row r="159" spans="1:45">
      <c r="A159" s="12" t="s">
        <v>1673</v>
      </c>
      <c r="B159" s="54" t="str">
        <f t="shared" si="69"/>
        <v>AZ_Maric_2020g</v>
      </c>
      <c r="C159" s="12"/>
      <c r="D159" s="54" t="str">
        <f t="shared" si="70"/>
        <v>Gen-deer valley usd #97-gbm-4yr (vote for3)</v>
      </c>
      <c r="E159" s="54" t="s">
        <v>1299</v>
      </c>
      <c r="G159" s="59">
        <v>1573</v>
      </c>
      <c r="H159"/>
      <c r="K159" s="2"/>
      <c r="O159">
        <f t="shared" si="71"/>
        <v>-4</v>
      </c>
      <c r="P159" s="57">
        <f t="shared" si="72"/>
        <v>3</v>
      </c>
      <c r="Q159" s="267">
        <f t="shared" si="73"/>
        <v>3146</v>
      </c>
      <c r="R159" s="23" t="str">
        <f t="shared" si="74"/>
        <v/>
      </c>
      <c r="S159" s="23">
        <f t="shared" si="75"/>
        <v>446</v>
      </c>
      <c r="T159" s="23" t="str">
        <f t="shared" si="76"/>
        <v/>
      </c>
      <c r="U159" t="str">
        <f t="shared" si="77"/>
        <v/>
      </c>
      <c r="W159" s="1">
        <f t="shared" si="78"/>
        <v>158</v>
      </c>
      <c r="X159" s="73">
        <f t="shared" si="86"/>
        <v>28.925877687058364</v>
      </c>
      <c r="Y159" s="322">
        <f t="shared" si="79"/>
        <v>138312.29400000002</v>
      </c>
      <c r="Z159" s="43">
        <f t="shared" si="68"/>
        <v>0</v>
      </c>
      <c r="AA159" s="52">
        <f t="shared" si="80"/>
        <v>0</v>
      </c>
      <c r="AB159" s="8">
        <f t="shared" si="81"/>
        <v>20895.63</v>
      </c>
      <c r="AC159" s="8">
        <f t="shared" si="82"/>
        <v>2089563</v>
      </c>
      <c r="AD159" s="8">
        <f t="shared" si="87"/>
        <v>10447.815000000001</v>
      </c>
      <c r="AE159" s="8" t="str">
        <f t="shared" si="83"/>
        <v/>
      </c>
      <c r="AF159" s="22" t="str">
        <f t="shared" si="84"/>
        <v>AZ_Maric_2020g</v>
      </c>
      <c r="AG159">
        <v>1</v>
      </c>
      <c r="AH159" s="272">
        <v>2004526</v>
      </c>
      <c r="AI159" s="273">
        <v>1217089</v>
      </c>
      <c r="AJ159" s="274">
        <v>787437</v>
      </c>
      <c r="AK159" s="339">
        <v>429652</v>
      </c>
      <c r="AL159" s="340" t="s">
        <v>1755</v>
      </c>
      <c r="AM159" s="353">
        <f t="shared" si="85"/>
        <v>0.20561811249529208</v>
      </c>
      <c r="AN159" s="354"/>
      <c r="AP159" s="23">
        <f t="shared" si="88"/>
        <v>1718</v>
      </c>
      <c r="AQ159" s="392">
        <f t="shared" si="66"/>
        <v>0.99999999421702201</v>
      </c>
      <c r="AR159" s="392">
        <f t="shared" si="67"/>
        <v>1</v>
      </c>
      <c r="AS159" s="392">
        <f t="shared" si="67"/>
        <v>1</v>
      </c>
    </row>
    <row r="160" spans="1:45">
      <c r="A160" s="12" t="s">
        <v>1673</v>
      </c>
      <c r="B160" s="54" t="str">
        <f t="shared" si="69"/>
        <v>AZ_Maric_2020g</v>
      </c>
      <c r="C160" s="12"/>
      <c r="D160" s="54" t="str">
        <f t="shared" si="70"/>
        <v>Gen-deer valley usd #97-gbm-4yr (vote for3)</v>
      </c>
      <c r="E160" s="54" t="s">
        <v>1825</v>
      </c>
      <c r="F160" s="12" t="s">
        <v>1300</v>
      </c>
      <c r="G160" s="59">
        <v>750</v>
      </c>
      <c r="H160"/>
      <c r="K160" s="2"/>
      <c r="O160">
        <f t="shared" si="71"/>
        <v>-4</v>
      </c>
      <c r="P160" s="57">
        <f t="shared" si="72"/>
        <v>3</v>
      </c>
      <c r="Q160" s="267">
        <f t="shared" si="73"/>
        <v>1573</v>
      </c>
      <c r="R160" s="23" t="str">
        <f t="shared" si="74"/>
        <v/>
      </c>
      <c r="S160" s="23">
        <f t="shared" si="75"/>
        <v>446</v>
      </c>
      <c r="T160" s="23" t="str">
        <f t="shared" si="76"/>
        <v/>
      </c>
      <c r="U160" t="str">
        <f t="shared" si="77"/>
        <v/>
      </c>
      <c r="W160" s="1">
        <f t="shared" si="78"/>
        <v>159</v>
      </c>
      <c r="X160" s="73">
        <f t="shared" si="86"/>
        <v>19.491918320391143</v>
      </c>
      <c r="Y160" s="322">
        <f t="shared" si="79"/>
        <v>93527.292000000001</v>
      </c>
      <c r="Z160" s="43">
        <f t="shared" si="68"/>
        <v>0</v>
      </c>
      <c r="AA160" s="52">
        <f t="shared" si="80"/>
        <v>0</v>
      </c>
      <c r="AB160" s="8">
        <f t="shared" si="81"/>
        <v>20895.63</v>
      </c>
      <c r="AC160" s="8">
        <f t="shared" si="82"/>
        <v>2089563</v>
      </c>
      <c r="AD160" s="8">
        <f t="shared" si="87"/>
        <v>10447.815000000001</v>
      </c>
      <c r="AE160" s="8" t="str">
        <f t="shared" si="83"/>
        <v/>
      </c>
      <c r="AF160" s="22" t="str">
        <f t="shared" si="84"/>
        <v>AZ_Maric_2020g</v>
      </c>
      <c r="AG160">
        <v>1</v>
      </c>
      <c r="AH160" s="272">
        <v>1355468</v>
      </c>
      <c r="AI160" s="273">
        <v>893308</v>
      </c>
      <c r="AJ160" s="274">
        <v>462160</v>
      </c>
      <c r="AK160" s="339">
        <v>431148</v>
      </c>
      <c r="AL160" s="340" t="s">
        <v>1712</v>
      </c>
      <c r="AM160" s="353">
        <f t="shared" si="85"/>
        <v>0.20633405166534821</v>
      </c>
      <c r="AN160" s="354"/>
      <c r="AP160" s="23">
        <f t="shared" si="88"/>
        <v>1724</v>
      </c>
      <c r="AQ160" s="392">
        <f t="shared" si="66"/>
        <v>0.99999999462215883</v>
      </c>
      <c r="AR160" s="392">
        <f t="shared" si="67"/>
        <v>1</v>
      </c>
      <c r="AS160" s="392">
        <f t="shared" si="67"/>
        <v>1</v>
      </c>
    </row>
    <row r="161" spans="1:45">
      <c r="A161" s="12" t="s">
        <v>1673</v>
      </c>
      <c r="B161" s="54" t="str">
        <f t="shared" si="69"/>
        <v>AZ_Maric_2020g</v>
      </c>
      <c r="C161" s="12"/>
      <c r="D161" s="54" t="str">
        <f t="shared" si="70"/>
        <v>Gen-deer valley usd #97-gbm-4yr (vote for3)</v>
      </c>
      <c r="E161" s="54" t="s">
        <v>2151</v>
      </c>
      <c r="F161" s="12" t="s">
        <v>1300</v>
      </c>
      <c r="G161" s="59">
        <v>446</v>
      </c>
      <c r="H161"/>
      <c r="K161" s="2"/>
      <c r="O161">
        <f t="shared" si="71"/>
        <v>5</v>
      </c>
      <c r="P161" s="57">
        <f t="shared" si="72"/>
        <v>3</v>
      </c>
      <c r="Q161" s="267">
        <f t="shared" si="73"/>
        <v>823</v>
      </c>
      <c r="R161" s="23" t="str">
        <f t="shared" si="74"/>
        <v/>
      </c>
      <c r="S161" s="23">
        <f t="shared" si="75"/>
        <v>446</v>
      </c>
      <c r="T161" s="23" t="str">
        <f t="shared" si="76"/>
        <v/>
      </c>
      <c r="U161" t="str">
        <f t="shared" si="77"/>
        <v/>
      </c>
      <c r="W161" s="1">
        <f t="shared" si="78"/>
        <v>160</v>
      </c>
      <c r="X161" s="73">
        <f t="shared" si="86"/>
        <v>25.386467241867614</v>
      </c>
      <c r="Y161" s="322">
        <f t="shared" si="79"/>
        <v>126691.52100000001</v>
      </c>
      <c r="Z161" s="43">
        <f t="shared" si="68"/>
        <v>0</v>
      </c>
      <c r="AA161" s="52">
        <f t="shared" si="80"/>
        <v>0</v>
      </c>
      <c r="AB161" s="8">
        <f t="shared" si="81"/>
        <v>20895.63</v>
      </c>
      <c r="AC161" s="8">
        <f t="shared" si="82"/>
        <v>2089563</v>
      </c>
      <c r="AD161" s="8">
        <f t="shared" si="87"/>
        <v>10447.815000000001</v>
      </c>
      <c r="AE161" s="8" t="str">
        <f t="shared" si="83"/>
        <v/>
      </c>
      <c r="AF161" s="22" t="str">
        <f t="shared" si="84"/>
        <v>AZ_Maric_2020g</v>
      </c>
      <c r="AG161">
        <v>1</v>
      </c>
      <c r="AH161" s="272">
        <v>1836109</v>
      </c>
      <c r="AI161" s="273">
        <v>1142266</v>
      </c>
      <c r="AJ161" s="274">
        <v>693843</v>
      </c>
      <c r="AK161" s="339">
        <v>448423</v>
      </c>
      <c r="AL161" s="340" t="s">
        <v>1615</v>
      </c>
      <c r="AM161" s="353">
        <f t="shared" si="85"/>
        <v>0.21460133051743355</v>
      </c>
      <c r="AN161" s="354"/>
      <c r="AP161" s="23">
        <f t="shared" si="88"/>
        <v>1797</v>
      </c>
      <c r="AQ161" s="392">
        <f t="shared" si="66"/>
        <v>0.9999999977865488</v>
      </c>
      <c r="AR161" s="392">
        <f t="shared" si="67"/>
        <v>1</v>
      </c>
      <c r="AS161" s="392">
        <f t="shared" si="67"/>
        <v>1</v>
      </c>
    </row>
    <row r="162" spans="1:45">
      <c r="A162" s="12" t="s">
        <v>1673</v>
      </c>
      <c r="B162" s="54" t="str">
        <f t="shared" si="69"/>
        <v>AZ_Maric_2020g</v>
      </c>
      <c r="C162" s="12"/>
      <c r="D162" s="54" t="str">
        <f t="shared" si="70"/>
        <v>Gen-deer valley usd #97-gbm-4yr (vote for3)</v>
      </c>
      <c r="E162" s="54" t="s">
        <v>1826</v>
      </c>
      <c r="F162" s="12" t="s">
        <v>1300</v>
      </c>
      <c r="G162" s="59">
        <v>215</v>
      </c>
      <c r="H162"/>
      <c r="K162" s="2"/>
      <c r="O162">
        <f t="shared" si="71"/>
        <v>-5</v>
      </c>
      <c r="P162" s="57">
        <f t="shared" si="72"/>
        <v>3</v>
      </c>
      <c r="Q162" s="267">
        <f t="shared" si="73"/>
        <v>377</v>
      </c>
      <c r="R162" s="23">
        <f t="shared" si="74"/>
        <v>1</v>
      </c>
      <c r="S162" s="23">
        <f t="shared" si="75"/>
        <v>0</v>
      </c>
      <c r="T162" s="23" t="str">
        <f t="shared" si="76"/>
        <v/>
      </c>
      <c r="U162" t="str">
        <f t="shared" si="77"/>
        <v/>
      </c>
      <c r="W162" s="1">
        <f t="shared" si="78"/>
        <v>161</v>
      </c>
      <c r="X162" s="73">
        <f t="shared" si="86"/>
        <v>17.237360102679208</v>
      </c>
      <c r="Y162" s="322">
        <f t="shared" si="79"/>
        <v>92816.937000000005</v>
      </c>
      <c r="Z162" s="43">
        <f t="shared" si="68"/>
        <v>0</v>
      </c>
      <c r="AA162" s="52">
        <f t="shared" si="80"/>
        <v>0</v>
      </c>
      <c r="AB162" s="8">
        <f t="shared" si="81"/>
        <v>20895.63</v>
      </c>
      <c r="AC162" s="8">
        <f t="shared" si="82"/>
        <v>2089563</v>
      </c>
      <c r="AD162" s="8">
        <f t="shared" si="87"/>
        <v>10447.815000000001</v>
      </c>
      <c r="AE162" s="8" t="str">
        <f t="shared" si="83"/>
        <v/>
      </c>
      <c r="AF162" s="22" t="str">
        <f t="shared" si="84"/>
        <v>AZ_Maric_2020g</v>
      </c>
      <c r="AG162" s="295">
        <v>1</v>
      </c>
      <c r="AH162" s="294">
        <v>1345173</v>
      </c>
      <c r="AI162" s="279">
        <v>914505</v>
      </c>
      <c r="AJ162" s="279">
        <v>430668</v>
      </c>
      <c r="AK162" s="339">
        <v>483837</v>
      </c>
      <c r="AL162" s="341" t="s">
        <v>1711</v>
      </c>
      <c r="AM162" s="353">
        <f t="shared" si="85"/>
        <v>0.23154937180644949</v>
      </c>
      <c r="AN162" s="354"/>
      <c r="AP162" s="23">
        <f t="shared" si="88"/>
        <v>1946</v>
      </c>
      <c r="AQ162" s="392">
        <f t="shared" si="66"/>
        <v>0.99999999964690944</v>
      </c>
      <c r="AR162" s="392">
        <f t="shared" si="67"/>
        <v>1</v>
      </c>
      <c r="AS162" s="392">
        <f t="shared" si="67"/>
        <v>1</v>
      </c>
    </row>
    <row r="163" spans="1:45">
      <c r="A163" s="12" t="s">
        <v>1673</v>
      </c>
      <c r="B163" s="54" t="str">
        <f t="shared" si="69"/>
        <v>AZ_Maric_2020g</v>
      </c>
      <c r="C163" s="12"/>
      <c r="D163" s="54" t="str">
        <f t="shared" si="70"/>
        <v>Gen-deer valley usd #97-gbm-4yr (vote for3)</v>
      </c>
      <c r="E163" s="54" t="s">
        <v>1928</v>
      </c>
      <c r="F163" s="12" t="s">
        <v>1300</v>
      </c>
      <c r="G163" s="59">
        <v>162</v>
      </c>
      <c r="H163"/>
      <c r="K163" s="2"/>
      <c r="O163">
        <f t="shared" si="71"/>
        <v>-5</v>
      </c>
      <c r="P163" s="57">
        <f t="shared" si="72"/>
        <v>3</v>
      </c>
      <c r="Q163" s="267">
        <f t="shared" si="73"/>
        <v>162</v>
      </c>
      <c r="R163" s="23">
        <f t="shared" si="74"/>
        <v>1</v>
      </c>
      <c r="S163" s="23">
        <f t="shared" si="75"/>
        <v>0</v>
      </c>
      <c r="T163" s="23" t="str">
        <f t="shared" si="76"/>
        <v/>
      </c>
      <c r="U163" t="str">
        <f t="shared" si="77"/>
        <v/>
      </c>
      <c r="W163" s="1">
        <f t="shared" si="78"/>
        <v>162</v>
      </c>
      <c r="X163" s="73">
        <f t="shared" si="86"/>
        <v>15.474478000603376</v>
      </c>
      <c r="Y163" s="322">
        <f t="shared" si="79"/>
        <v>86767.914000000004</v>
      </c>
      <c r="Z163" s="43">
        <f t="shared" si="68"/>
        <v>0</v>
      </c>
      <c r="AA163" s="52">
        <f t="shared" si="80"/>
        <v>0</v>
      </c>
      <c r="AB163" s="8">
        <f t="shared" si="81"/>
        <v>20895.63</v>
      </c>
      <c r="AC163" s="8">
        <f t="shared" si="82"/>
        <v>2089563</v>
      </c>
      <c r="AD163" s="8">
        <f t="shared" si="87"/>
        <v>10447.815000000001</v>
      </c>
      <c r="AE163" s="8" t="str">
        <f t="shared" si="83"/>
        <v/>
      </c>
      <c r="AF163" s="22" t="str">
        <f t="shared" si="84"/>
        <v>AZ_Maric_2020g</v>
      </c>
      <c r="AG163">
        <v>1</v>
      </c>
      <c r="AH163" s="272">
        <v>1257506</v>
      </c>
      <c r="AI163" s="273">
        <v>880669</v>
      </c>
      <c r="AJ163" s="274">
        <v>376837</v>
      </c>
      <c r="AK163" s="339">
        <v>503832</v>
      </c>
      <c r="AL163" s="340" t="s">
        <v>1744</v>
      </c>
      <c r="AM163" s="353">
        <f t="shared" si="85"/>
        <v>0.24111835824045505</v>
      </c>
      <c r="AN163" s="354"/>
      <c r="AP163" s="23">
        <f t="shared" si="88"/>
        <v>2030</v>
      </c>
      <c r="AQ163" s="392">
        <f t="shared" si="66"/>
        <v>0.99999999987633492</v>
      </c>
      <c r="AR163" s="392">
        <f t="shared" si="67"/>
        <v>1</v>
      </c>
      <c r="AS163" s="392">
        <f t="shared" si="67"/>
        <v>1</v>
      </c>
    </row>
    <row r="164" spans="1:45">
      <c r="A164" s="12" t="s">
        <v>1668</v>
      </c>
      <c r="B164" s="54" t="str">
        <f t="shared" si="69"/>
        <v>AZ_Maric_2020g</v>
      </c>
      <c r="C164" s="12"/>
      <c r="D164" s="54" t="str">
        <f t="shared" si="70"/>
        <v>Gen-dysart usd #89-gbm-4yr (vote for3)</v>
      </c>
      <c r="E164" s="54" t="s">
        <v>2135</v>
      </c>
      <c r="F164" s="12" t="s">
        <v>1300</v>
      </c>
      <c r="G164" s="59">
        <v>36404</v>
      </c>
      <c r="H164"/>
      <c r="K164" s="2"/>
      <c r="O164">
        <f t="shared" si="71"/>
        <v>1</v>
      </c>
      <c r="P164" s="57">
        <f t="shared" si="72"/>
        <v>3</v>
      </c>
      <c r="Q164" s="267">
        <f t="shared" si="73"/>
        <v>54891</v>
      </c>
      <c r="R164" s="23">
        <f t="shared" si="74"/>
        <v>25426</v>
      </c>
      <c r="S164" s="23">
        <f t="shared" si="75"/>
        <v>24851</v>
      </c>
      <c r="T164" s="23">
        <f t="shared" si="76"/>
        <v>575</v>
      </c>
      <c r="U164" t="str">
        <f t="shared" si="77"/>
        <v>AZ_Maric_2020g~Gen-dysart usd #89-gbm-4yr (vote for3)</v>
      </c>
      <c r="W164" s="1">
        <f t="shared" si="78"/>
        <v>163</v>
      </c>
      <c r="X164" s="73">
        <f t="shared" si="86"/>
        <v>15.171024150785209</v>
      </c>
      <c r="Y164" s="322">
        <f t="shared" si="79"/>
        <v>86192.385000000009</v>
      </c>
      <c r="Z164" s="43">
        <f t="shared" si="68"/>
        <v>0</v>
      </c>
      <c r="AA164" s="52">
        <f t="shared" si="80"/>
        <v>0</v>
      </c>
      <c r="AB164" s="8">
        <f t="shared" si="81"/>
        <v>20895.63</v>
      </c>
      <c r="AC164" s="8">
        <f t="shared" si="82"/>
        <v>2089563</v>
      </c>
      <c r="AD164" s="8">
        <f t="shared" si="87"/>
        <v>10447.815000000001</v>
      </c>
      <c r="AE164" s="8" t="str">
        <f t="shared" si="83"/>
        <v/>
      </c>
      <c r="AF164" s="22" t="str">
        <f t="shared" si="84"/>
        <v>AZ_Maric_2020g</v>
      </c>
      <c r="AG164">
        <v>1</v>
      </c>
      <c r="AH164" s="272">
        <v>1249165</v>
      </c>
      <c r="AI164" s="273">
        <v>879833</v>
      </c>
      <c r="AJ164" s="274">
        <v>369332</v>
      </c>
      <c r="AK164" s="339">
        <v>510501</v>
      </c>
      <c r="AL164" s="23" t="s">
        <v>1745</v>
      </c>
      <c r="AM164" s="353">
        <f t="shared" si="85"/>
        <v>0.24430993466097936</v>
      </c>
      <c r="AN164" s="354"/>
      <c r="AP164" s="23">
        <f t="shared" si="88"/>
        <v>2058</v>
      </c>
      <c r="AQ164" s="392">
        <f t="shared" si="66"/>
        <v>0.9999999999130339</v>
      </c>
      <c r="AR164" s="392">
        <f t="shared" si="67"/>
        <v>1</v>
      </c>
      <c r="AS164" s="392">
        <f t="shared" si="67"/>
        <v>1</v>
      </c>
    </row>
    <row r="165" spans="1:45">
      <c r="A165" s="12" t="s">
        <v>1668</v>
      </c>
      <c r="B165" s="54" t="str">
        <f t="shared" si="69"/>
        <v>AZ_Maric_2020g</v>
      </c>
      <c r="C165" s="12"/>
      <c r="D165" s="54" t="str">
        <f t="shared" si="70"/>
        <v>Gen-dysart usd #89-gbm-4yr (vote for3)</v>
      </c>
      <c r="E165" s="54" t="s">
        <v>2131</v>
      </c>
      <c r="F165" s="12" t="s">
        <v>1300</v>
      </c>
      <c r="G165" s="59">
        <v>33206</v>
      </c>
      <c r="H165"/>
      <c r="K165" s="2"/>
      <c r="O165">
        <f t="shared" si="71"/>
        <v>2</v>
      </c>
      <c r="P165" s="57">
        <f t="shared" si="72"/>
        <v>3</v>
      </c>
      <c r="Q165" s="267">
        <f t="shared" si="73"/>
        <v>128269</v>
      </c>
      <c r="R165" s="23">
        <f t="shared" si="74"/>
        <v>25426</v>
      </c>
      <c r="S165" s="23">
        <f t="shared" si="75"/>
        <v>24851</v>
      </c>
      <c r="T165" s="23" t="str">
        <f t="shared" si="76"/>
        <v/>
      </c>
      <c r="U165" t="str">
        <f t="shared" si="77"/>
        <v/>
      </c>
      <c r="W165" s="1">
        <f t="shared" si="78"/>
        <v>164</v>
      </c>
      <c r="X165" s="73">
        <f t="shared" si="86"/>
        <v>14.141858802469386</v>
      </c>
      <c r="Y165" s="322">
        <f t="shared" si="79"/>
        <v>85633.761000000013</v>
      </c>
      <c r="Z165" s="43">
        <f t="shared" si="68"/>
        <v>0</v>
      </c>
      <c r="AA165" s="52">
        <f t="shared" si="80"/>
        <v>0</v>
      </c>
      <c r="AB165" s="8">
        <f t="shared" si="81"/>
        <v>20895.63</v>
      </c>
      <c r="AC165" s="8">
        <f t="shared" si="82"/>
        <v>2089563</v>
      </c>
      <c r="AD165" s="8">
        <f t="shared" si="87"/>
        <v>10447.815000000001</v>
      </c>
      <c r="AE165" s="8" t="str">
        <f t="shared" si="83"/>
        <v/>
      </c>
      <c r="AF165" s="22" t="str">
        <f t="shared" si="84"/>
        <v>AZ_Maric_2020g</v>
      </c>
      <c r="AG165">
        <v>1</v>
      </c>
      <c r="AH165" s="272">
        <v>1241069</v>
      </c>
      <c r="AI165" s="273">
        <v>892586</v>
      </c>
      <c r="AJ165" s="274">
        <v>348483</v>
      </c>
      <c r="AK165" s="339">
        <v>544103</v>
      </c>
      <c r="AL165" s="340" t="s">
        <v>1754</v>
      </c>
      <c r="AM165" s="353">
        <f t="shared" si="85"/>
        <v>0.26039080898733369</v>
      </c>
      <c r="AN165" s="354"/>
      <c r="AP165" s="23">
        <f t="shared" si="88"/>
        <v>2199</v>
      </c>
      <c r="AQ165" s="392">
        <f t="shared" si="66"/>
        <v>0.99999999998549505</v>
      </c>
      <c r="AR165" s="392">
        <f t="shared" si="67"/>
        <v>1</v>
      </c>
      <c r="AS165" s="392">
        <f t="shared" si="67"/>
        <v>1</v>
      </c>
    </row>
    <row r="166" spans="1:45">
      <c r="A166" s="12" t="s">
        <v>1668</v>
      </c>
      <c r="B166" s="54" t="str">
        <f t="shared" si="69"/>
        <v>AZ_Maric_2020g</v>
      </c>
      <c r="C166" s="12"/>
      <c r="D166" s="54" t="str">
        <f t="shared" si="70"/>
        <v>Gen-dysart usd #89-gbm-4yr (vote for3)</v>
      </c>
      <c r="E166" s="54" t="s">
        <v>2132</v>
      </c>
      <c r="F166" s="12" t="s">
        <v>1300</v>
      </c>
      <c r="G166" s="59">
        <v>25426</v>
      </c>
      <c r="H166"/>
      <c r="K166" s="2"/>
      <c r="O166">
        <f t="shared" si="71"/>
        <v>3</v>
      </c>
      <c r="P166" s="57">
        <f t="shared" si="72"/>
        <v>3</v>
      </c>
      <c r="Q166" s="267">
        <f t="shared" si="73"/>
        <v>95063</v>
      </c>
      <c r="R166" s="23">
        <f t="shared" si="74"/>
        <v>25426</v>
      </c>
      <c r="S166" s="23">
        <f t="shared" si="75"/>
        <v>24851</v>
      </c>
      <c r="T166" s="23" t="str">
        <f t="shared" si="76"/>
        <v/>
      </c>
      <c r="U166" t="str">
        <f t="shared" si="77"/>
        <v/>
      </c>
      <c r="W166" s="1">
        <f t="shared" si="78"/>
        <v>165</v>
      </c>
      <c r="X166" s="73">
        <f t="shared" si="86"/>
        <v>14.183023322311263</v>
      </c>
      <c r="Y166" s="322">
        <f t="shared" si="79"/>
        <v>86114.898000000001</v>
      </c>
      <c r="Z166" s="43">
        <f t="shared" si="68"/>
        <v>0</v>
      </c>
      <c r="AA166" s="52">
        <f t="shared" si="80"/>
        <v>0</v>
      </c>
      <c r="AB166" s="8">
        <f t="shared" si="81"/>
        <v>20895.63</v>
      </c>
      <c r="AC166" s="8">
        <f t="shared" si="82"/>
        <v>2089563</v>
      </c>
      <c r="AD166" s="8">
        <f t="shared" si="87"/>
        <v>10447.815000000001</v>
      </c>
      <c r="AE166" s="8" t="str">
        <f t="shared" si="83"/>
        <v/>
      </c>
      <c r="AF166" s="22" t="str">
        <f t="shared" si="84"/>
        <v>AZ_Maric_2020g</v>
      </c>
      <c r="AG166">
        <v>1</v>
      </c>
      <c r="AH166" s="272">
        <v>1248042</v>
      </c>
      <c r="AI166" s="273">
        <v>896807</v>
      </c>
      <c r="AJ166" s="274">
        <v>351235</v>
      </c>
      <c r="AK166" s="339">
        <v>545572</v>
      </c>
      <c r="AL166" s="340" t="s">
        <v>1736</v>
      </c>
      <c r="AM166" s="353">
        <f t="shared" si="85"/>
        <v>0.26109382679536342</v>
      </c>
      <c r="AN166" s="354"/>
      <c r="AP166" s="23">
        <f t="shared" si="88"/>
        <v>2205</v>
      </c>
      <c r="AQ166" s="392">
        <f t="shared" si="66"/>
        <v>0.99999999998656863</v>
      </c>
      <c r="AR166" s="392">
        <f t="shared" si="67"/>
        <v>1</v>
      </c>
      <c r="AS166" s="392">
        <f t="shared" si="67"/>
        <v>1</v>
      </c>
    </row>
    <row r="167" spans="1:45">
      <c r="A167" s="12" t="s">
        <v>1668</v>
      </c>
      <c r="B167" s="54" t="str">
        <f t="shared" si="69"/>
        <v>AZ_Maric_2020g</v>
      </c>
      <c r="C167" s="12"/>
      <c r="D167" s="54" t="str">
        <f t="shared" si="70"/>
        <v>Gen-dysart usd #89-gbm-4yr (vote for3)</v>
      </c>
      <c r="E167" s="54" t="s">
        <v>2133</v>
      </c>
      <c r="F167" s="12" t="s">
        <v>1300</v>
      </c>
      <c r="G167" s="59">
        <v>24851</v>
      </c>
      <c r="H167"/>
      <c r="K167" s="2"/>
      <c r="O167">
        <f t="shared" si="71"/>
        <v>4</v>
      </c>
      <c r="P167" s="57">
        <f t="shared" si="72"/>
        <v>3</v>
      </c>
      <c r="Q167" s="267">
        <f t="shared" si="73"/>
        <v>69637</v>
      </c>
      <c r="R167" s="23" t="str">
        <f t="shared" si="74"/>
        <v/>
      </c>
      <c r="S167" s="23">
        <f t="shared" si="75"/>
        <v>24851</v>
      </c>
      <c r="T167" s="23" t="str">
        <f t="shared" si="76"/>
        <v/>
      </c>
      <c r="U167" t="str">
        <f t="shared" si="77"/>
        <v/>
      </c>
      <c r="W167" s="1">
        <f t="shared" si="78"/>
        <v>166</v>
      </c>
      <c r="X167" s="73">
        <f t="shared" si="86"/>
        <v>14.069767864278708</v>
      </c>
      <c r="Y167" s="322">
        <f t="shared" si="79"/>
        <v>86205.150000000009</v>
      </c>
      <c r="Z167" s="43">
        <f t="shared" si="68"/>
        <v>0</v>
      </c>
      <c r="AA167" s="52">
        <f t="shared" si="80"/>
        <v>0</v>
      </c>
      <c r="AB167" s="8">
        <f t="shared" si="81"/>
        <v>20895.63</v>
      </c>
      <c r="AC167" s="8">
        <f t="shared" si="82"/>
        <v>2089563</v>
      </c>
      <c r="AD167" s="8">
        <f t="shared" si="87"/>
        <v>10447.815000000001</v>
      </c>
      <c r="AE167" s="8" t="str">
        <f t="shared" si="83"/>
        <v/>
      </c>
      <c r="AF167" s="22" t="str">
        <f t="shared" si="84"/>
        <v>AZ_Maric_2020g</v>
      </c>
      <c r="AG167">
        <v>1</v>
      </c>
      <c r="AH167" s="272">
        <v>1249350</v>
      </c>
      <c r="AI167" s="273">
        <v>899945</v>
      </c>
      <c r="AJ167" s="274">
        <v>349405</v>
      </c>
      <c r="AK167" s="339">
        <v>550540</v>
      </c>
      <c r="AL167" s="340" t="s">
        <v>1752</v>
      </c>
      <c r="AM167" s="353">
        <f t="shared" si="85"/>
        <v>0.26347135740822364</v>
      </c>
      <c r="AN167" s="354"/>
      <c r="AP167" s="23">
        <f t="shared" si="88"/>
        <v>2226</v>
      </c>
      <c r="AQ167" s="392">
        <f t="shared" si="66"/>
        <v>0.99999999998974254</v>
      </c>
      <c r="AR167" s="392">
        <f t="shared" si="67"/>
        <v>1</v>
      </c>
      <c r="AS167" s="392">
        <f t="shared" si="67"/>
        <v>1</v>
      </c>
    </row>
    <row r="168" spans="1:45">
      <c r="A168" s="12" t="s">
        <v>1668</v>
      </c>
      <c r="B168" s="54" t="str">
        <f t="shared" si="69"/>
        <v>AZ_Maric_2020g</v>
      </c>
      <c r="C168" s="12"/>
      <c r="D168" s="54" t="str">
        <f t="shared" si="70"/>
        <v>Gen-dysart usd #89-gbm-4yr (vote for3)</v>
      </c>
      <c r="E168" s="54" t="s">
        <v>2136</v>
      </c>
      <c r="F168" s="12" t="s">
        <v>1300</v>
      </c>
      <c r="G168" s="59">
        <v>23297</v>
      </c>
      <c r="H168"/>
      <c r="K168" s="2"/>
      <c r="O168">
        <f t="shared" si="71"/>
        <v>5</v>
      </c>
      <c r="P168" s="57">
        <f t="shared" si="72"/>
        <v>3</v>
      </c>
      <c r="Q168" s="267">
        <f t="shared" si="73"/>
        <v>44786</v>
      </c>
      <c r="R168" s="23" t="str">
        <f t="shared" si="74"/>
        <v/>
      </c>
      <c r="S168" s="23">
        <f t="shared" si="75"/>
        <v>23297</v>
      </c>
      <c r="T168" s="23" t="str">
        <f t="shared" si="76"/>
        <v/>
      </c>
      <c r="U168" t="str">
        <f t="shared" si="77"/>
        <v/>
      </c>
      <c r="W168" s="1">
        <f t="shared" si="78"/>
        <v>167</v>
      </c>
      <c r="X168" s="73">
        <f t="shared" si="86"/>
        <v>14.220432102330147</v>
      </c>
      <c r="Y168" s="322">
        <f t="shared" si="79"/>
        <v>87696.102000000014</v>
      </c>
      <c r="Z168" s="43">
        <f t="shared" si="68"/>
        <v>0</v>
      </c>
      <c r="AA168" s="52">
        <f t="shared" si="80"/>
        <v>0</v>
      </c>
      <c r="AB168" s="8">
        <f t="shared" si="81"/>
        <v>20895.63</v>
      </c>
      <c r="AC168" s="8">
        <f t="shared" si="82"/>
        <v>2089563</v>
      </c>
      <c r="AD168" s="8">
        <f t="shared" si="87"/>
        <v>10447.815000000001</v>
      </c>
      <c r="AE168" s="8" t="str">
        <f t="shared" si="83"/>
        <v/>
      </c>
      <c r="AF168" s="22" t="str">
        <f t="shared" si="84"/>
        <v>AZ_Maric_2020g</v>
      </c>
      <c r="AG168">
        <v>1</v>
      </c>
      <c r="AH168" s="272">
        <v>1270958</v>
      </c>
      <c r="AI168" s="273">
        <v>912543</v>
      </c>
      <c r="AJ168" s="274">
        <v>358415</v>
      </c>
      <c r="AK168" s="339">
        <v>554128</v>
      </c>
      <c r="AL168" s="340" t="s">
        <v>1718</v>
      </c>
      <c r="AM168" s="353">
        <f t="shared" si="85"/>
        <v>0.26518846285084491</v>
      </c>
      <c r="AN168" s="354"/>
      <c r="AP168" s="23">
        <f t="shared" si="88"/>
        <v>2241</v>
      </c>
      <c r="AQ168" s="392">
        <f t="shared" si="66"/>
        <v>0.99999999999154277</v>
      </c>
      <c r="AR168" s="392">
        <f t="shared" si="67"/>
        <v>1</v>
      </c>
      <c r="AS168" s="392">
        <f t="shared" si="67"/>
        <v>1</v>
      </c>
    </row>
    <row r="169" spans="1:45">
      <c r="A169" s="12" t="s">
        <v>1668</v>
      </c>
      <c r="B169" s="54" t="str">
        <f t="shared" si="69"/>
        <v>AZ_Maric_2020g</v>
      </c>
      <c r="C169" s="12"/>
      <c r="D169" s="54" t="str">
        <f t="shared" si="70"/>
        <v>Gen-dysart usd #89-gbm-4yr (vote for3)</v>
      </c>
      <c r="E169" s="54" t="s">
        <v>2134</v>
      </c>
      <c r="F169" s="12" t="s">
        <v>1300</v>
      </c>
      <c r="G169" s="59">
        <v>20813</v>
      </c>
      <c r="H169"/>
      <c r="K169" s="2"/>
      <c r="O169">
        <f t="shared" si="71"/>
        <v>6</v>
      </c>
      <c r="P169" s="57">
        <f t="shared" si="72"/>
        <v>3</v>
      </c>
      <c r="Q169" s="267">
        <f t="shared" si="73"/>
        <v>21489</v>
      </c>
      <c r="R169" s="23" t="str">
        <f t="shared" si="74"/>
        <v/>
      </c>
      <c r="S169" s="23">
        <f t="shared" si="75"/>
        <v>20813</v>
      </c>
      <c r="T169" s="23" t="str">
        <f t="shared" si="76"/>
        <v/>
      </c>
      <c r="U169" t="str">
        <f t="shared" si="77"/>
        <v/>
      </c>
      <c r="W169" s="1">
        <f t="shared" si="78"/>
        <v>168</v>
      </c>
      <c r="X169" s="73">
        <f t="shared" si="86"/>
        <v>14.079434645868751</v>
      </c>
      <c r="Y169" s="322">
        <f t="shared" si="79"/>
        <v>87835.827000000005</v>
      </c>
      <c r="Z169" s="43">
        <f t="shared" si="68"/>
        <v>0</v>
      </c>
      <c r="AA169" s="52">
        <f t="shared" si="80"/>
        <v>0</v>
      </c>
      <c r="AB169" s="8">
        <f t="shared" si="81"/>
        <v>20895.63</v>
      </c>
      <c r="AC169" s="8">
        <f t="shared" si="82"/>
        <v>2089563</v>
      </c>
      <c r="AD169" s="8">
        <f t="shared" si="87"/>
        <v>10447.815000000001</v>
      </c>
      <c r="AE169" s="8" t="str">
        <f t="shared" si="83"/>
        <v/>
      </c>
      <c r="AF169" s="22" t="str">
        <f t="shared" si="84"/>
        <v>AZ_Maric_2020g</v>
      </c>
      <c r="AG169">
        <v>1</v>
      </c>
      <c r="AH169" s="272">
        <v>1272983</v>
      </c>
      <c r="AI169" s="273">
        <v>916776</v>
      </c>
      <c r="AJ169" s="274">
        <v>356207</v>
      </c>
      <c r="AK169" s="339">
        <v>560569</v>
      </c>
      <c r="AL169" s="340" t="s">
        <v>1717</v>
      </c>
      <c r="AM169" s="353">
        <f t="shared" si="85"/>
        <v>0.26827092554759058</v>
      </c>
      <c r="AN169" s="354"/>
      <c r="AP169" s="23">
        <f t="shared" si="88"/>
        <v>2268</v>
      </c>
      <c r="AQ169" s="392">
        <f t="shared" ref="AQ169:AQ232" si="89">IF($AP169=$AD169,1,IF($AP169=0,0, 1-HYPGEOMDIST(0, ROUNDUP(RIGHT(AQ$1,4)*$AD169,0),$AP169, $AD169)))</f>
        <v>0.99999999999402989</v>
      </c>
      <c r="AR169" s="392">
        <f t="shared" ref="AR169:AS232" si="90">IF($AP169=$AD169,1,IF($AP169=0,0, 1-HYPGEOMDIST(0, ROUNDUP(RIGHT(AR$1,4)*$AD169,0),$AP169, $AD169)))</f>
        <v>1</v>
      </c>
      <c r="AS169" s="392">
        <f t="shared" si="90"/>
        <v>1</v>
      </c>
    </row>
    <row r="170" spans="1:45">
      <c r="A170" s="12" t="s">
        <v>1668</v>
      </c>
      <c r="B170" s="54" t="str">
        <f t="shared" si="69"/>
        <v>AZ_Maric_2020g</v>
      </c>
      <c r="C170" s="12"/>
      <c r="D170" s="54" t="str">
        <f t="shared" si="70"/>
        <v>Gen-dysart usd #89-gbm-4yr (vote for3)</v>
      </c>
      <c r="E170" s="54" t="s">
        <v>1299</v>
      </c>
      <c r="G170" s="59">
        <v>676</v>
      </c>
      <c r="H170"/>
      <c r="K170" s="2"/>
      <c r="O170">
        <f t="shared" si="71"/>
        <v>-6</v>
      </c>
      <c r="P170" s="57">
        <f t="shared" si="72"/>
        <v>3</v>
      </c>
      <c r="Q170" s="267">
        <f t="shared" si="73"/>
        <v>676</v>
      </c>
      <c r="R170" s="23">
        <f t="shared" si="74"/>
        <v>1</v>
      </c>
      <c r="S170" s="23">
        <f t="shared" si="75"/>
        <v>0</v>
      </c>
      <c r="T170" s="23" t="str">
        <f t="shared" si="76"/>
        <v/>
      </c>
      <c r="U170" t="str">
        <f t="shared" si="77"/>
        <v/>
      </c>
      <c r="W170" s="1">
        <f t="shared" si="78"/>
        <v>169</v>
      </c>
      <c r="X170" s="73">
        <f t="shared" si="86"/>
        <v>15.53683745214062</v>
      </c>
      <c r="Y170" s="322">
        <f t="shared" si="79"/>
        <v>99354.066000000006</v>
      </c>
      <c r="Z170" s="43">
        <f t="shared" si="68"/>
        <v>0</v>
      </c>
      <c r="AA170" s="52">
        <f t="shared" si="80"/>
        <v>0</v>
      </c>
      <c r="AB170" s="8">
        <f t="shared" si="81"/>
        <v>20895.63</v>
      </c>
      <c r="AC170" s="8">
        <f t="shared" si="82"/>
        <v>2089563</v>
      </c>
      <c r="AD170" s="8">
        <f t="shared" si="87"/>
        <v>10447.815000000001</v>
      </c>
      <c r="AE170" s="8" t="str">
        <f t="shared" si="83"/>
        <v/>
      </c>
      <c r="AF170" s="22" t="str">
        <f t="shared" si="84"/>
        <v>AZ_Maric_2020g</v>
      </c>
      <c r="AG170">
        <v>1</v>
      </c>
      <c r="AH170" s="272">
        <v>1439914</v>
      </c>
      <c r="AI170" s="273">
        <v>1007257</v>
      </c>
      <c r="AJ170" s="274">
        <v>432657</v>
      </c>
      <c r="AK170" s="339">
        <v>574600</v>
      </c>
      <c r="AL170" s="340" t="s">
        <v>1708</v>
      </c>
      <c r="AM170" s="353">
        <f t="shared" si="85"/>
        <v>0.27498572668065047</v>
      </c>
      <c r="AN170" s="354"/>
      <c r="AP170" s="23">
        <f t="shared" si="88"/>
        <v>2327</v>
      </c>
      <c r="AQ170" s="392">
        <f t="shared" si="89"/>
        <v>0.99999999999722211</v>
      </c>
      <c r="AR170" s="392">
        <f t="shared" si="90"/>
        <v>1</v>
      </c>
      <c r="AS170" s="392">
        <f t="shared" si="90"/>
        <v>1</v>
      </c>
    </row>
    <row r="171" spans="1:45">
      <c r="A171" s="12" t="s">
        <v>1669</v>
      </c>
      <c r="B171" s="54" t="str">
        <f t="shared" si="69"/>
        <v>AZ_Maric_2020g</v>
      </c>
      <c r="C171" s="12"/>
      <c r="D171" s="54" t="str">
        <f t="shared" si="70"/>
        <v>Gen-dysart usd #89-question (vote for1)</v>
      </c>
      <c r="E171" s="54" t="s">
        <v>2015</v>
      </c>
      <c r="F171" s="12" t="s">
        <v>1300</v>
      </c>
      <c r="G171" s="59">
        <v>46025</v>
      </c>
      <c r="H171"/>
      <c r="K171" s="2"/>
      <c r="O171">
        <f t="shared" si="71"/>
        <v>1</v>
      </c>
      <c r="P171" s="57">
        <f t="shared" si="72"/>
        <v>1</v>
      </c>
      <c r="Q171" s="267">
        <f t="shared" si="73"/>
        <v>84057</v>
      </c>
      <c r="R171" s="23">
        <f t="shared" si="74"/>
        <v>46025</v>
      </c>
      <c r="S171" s="23">
        <f t="shared" si="75"/>
        <v>38032</v>
      </c>
      <c r="T171" s="23">
        <f t="shared" si="76"/>
        <v>7993</v>
      </c>
      <c r="U171" t="str">
        <f t="shared" si="77"/>
        <v>AZ_Maric_2020g~Gen-dysart usd #89-question (vote for1)</v>
      </c>
      <c r="W171" s="1">
        <f t="shared" si="78"/>
        <v>170</v>
      </c>
      <c r="X171" s="73">
        <f t="shared" si="86"/>
        <v>13.551760073463937</v>
      </c>
      <c r="Y171" s="322">
        <f t="shared" si="79"/>
        <v>86716.716</v>
      </c>
      <c r="Z171" s="43">
        <f t="shared" si="68"/>
        <v>0</v>
      </c>
      <c r="AA171" s="52">
        <f t="shared" si="80"/>
        <v>0</v>
      </c>
      <c r="AB171" s="8">
        <f t="shared" si="81"/>
        <v>20895.63</v>
      </c>
      <c r="AC171" s="8">
        <f t="shared" si="82"/>
        <v>2089563</v>
      </c>
      <c r="AD171" s="8">
        <f t="shared" si="87"/>
        <v>10447.815000000001</v>
      </c>
      <c r="AE171" s="8" t="str">
        <f t="shared" si="83"/>
        <v/>
      </c>
      <c r="AF171" s="22" t="str">
        <f t="shared" si="84"/>
        <v>AZ_Maric_2020g</v>
      </c>
      <c r="AG171">
        <v>1</v>
      </c>
      <c r="AH171" s="272">
        <v>1256764</v>
      </c>
      <c r="AI171" s="273">
        <v>915870</v>
      </c>
      <c r="AJ171" s="274">
        <v>340894</v>
      </c>
      <c r="AK171" s="339">
        <v>574976</v>
      </c>
      <c r="AL171" s="340" t="s">
        <v>1735</v>
      </c>
      <c r="AM171" s="353">
        <f t="shared" si="85"/>
        <v>0.27516566861109237</v>
      </c>
      <c r="AN171" s="354"/>
      <c r="AP171" s="23">
        <f t="shared" si="88"/>
        <v>2329</v>
      </c>
      <c r="AQ171" s="392">
        <f t="shared" si="89"/>
        <v>0.9999999999972935</v>
      </c>
      <c r="AR171" s="392">
        <f t="shared" si="90"/>
        <v>1</v>
      </c>
      <c r="AS171" s="392">
        <f t="shared" si="90"/>
        <v>1</v>
      </c>
    </row>
    <row r="172" spans="1:45">
      <c r="A172" s="12" t="s">
        <v>1669</v>
      </c>
      <c r="B172" s="54" t="str">
        <f t="shared" si="69"/>
        <v>AZ_Maric_2020g</v>
      </c>
      <c r="C172" s="12"/>
      <c r="D172" s="54" t="str">
        <f t="shared" si="70"/>
        <v>Gen-dysart usd #89-question (vote for1)</v>
      </c>
      <c r="E172" s="54" t="s">
        <v>2016</v>
      </c>
      <c r="F172" s="12" t="s">
        <v>1300</v>
      </c>
      <c r="G172" s="59">
        <v>38032</v>
      </c>
      <c r="H172"/>
      <c r="K172" s="2"/>
      <c r="O172">
        <f t="shared" si="71"/>
        <v>2</v>
      </c>
      <c r="P172" s="57">
        <f t="shared" si="72"/>
        <v>1</v>
      </c>
      <c r="Q172" s="267">
        <f t="shared" si="73"/>
        <v>38032</v>
      </c>
      <c r="R172" s="23" t="str">
        <f t="shared" si="74"/>
        <v/>
      </c>
      <c r="S172" s="23">
        <f t="shared" si="75"/>
        <v>38032</v>
      </c>
      <c r="T172" s="23" t="str">
        <f t="shared" si="76"/>
        <v/>
      </c>
      <c r="U172" t="str">
        <f t="shared" si="77"/>
        <v/>
      </c>
      <c r="W172" s="1">
        <f t="shared" si="78"/>
        <v>171</v>
      </c>
      <c r="X172" s="73">
        <f t="shared" si="86"/>
        <v>13.689367323137784</v>
      </c>
      <c r="Y172" s="322">
        <f t="shared" si="79"/>
        <v>87654.081000000006</v>
      </c>
      <c r="Z172" s="43">
        <f t="shared" si="68"/>
        <v>0</v>
      </c>
      <c r="AA172" s="52">
        <f t="shared" si="80"/>
        <v>0</v>
      </c>
      <c r="AB172" s="8">
        <f t="shared" si="81"/>
        <v>20895.63</v>
      </c>
      <c r="AC172" s="8">
        <f t="shared" si="82"/>
        <v>2089563</v>
      </c>
      <c r="AD172" s="8">
        <f t="shared" si="87"/>
        <v>10447.815000000001</v>
      </c>
      <c r="AE172" s="8" t="str">
        <f t="shared" si="83"/>
        <v/>
      </c>
      <c r="AF172" s="22" t="str">
        <f t="shared" si="84"/>
        <v>AZ_Maric_2020g</v>
      </c>
      <c r="AG172">
        <v>1</v>
      </c>
      <c r="AH172" s="272">
        <v>1270349</v>
      </c>
      <c r="AI172" s="273">
        <v>922849</v>
      </c>
      <c r="AJ172" s="274">
        <v>347500</v>
      </c>
      <c r="AK172" s="339">
        <v>575349</v>
      </c>
      <c r="AL172" s="344" t="s">
        <v>1721</v>
      </c>
      <c r="AM172" s="353">
        <f t="shared" si="85"/>
        <v>0.27534417483464246</v>
      </c>
      <c r="AN172" s="354"/>
      <c r="AO172" s="356"/>
      <c r="AP172" s="23">
        <f t="shared" si="88"/>
        <v>2330</v>
      </c>
      <c r="AQ172" s="392">
        <f t="shared" si="89"/>
        <v>0.99999999999732847</v>
      </c>
      <c r="AR172" s="392">
        <f t="shared" si="90"/>
        <v>1</v>
      </c>
      <c r="AS172" s="392">
        <f t="shared" si="90"/>
        <v>1</v>
      </c>
    </row>
    <row r="173" spans="1:45">
      <c r="A173" s="12" t="s">
        <v>1677</v>
      </c>
      <c r="B173" s="54" t="str">
        <f t="shared" si="69"/>
        <v>AZ_Maric_2020g</v>
      </c>
      <c r="C173" s="12"/>
      <c r="D173" s="54" t="str">
        <f t="shared" si="70"/>
        <v>Gen-el mirage-question 1 (vote for1)</v>
      </c>
      <c r="E173" s="54" t="s">
        <v>1981</v>
      </c>
      <c r="F173" s="12" t="s">
        <v>1300</v>
      </c>
      <c r="G173" s="59">
        <v>7862</v>
      </c>
      <c r="H173"/>
      <c r="K173" s="2"/>
      <c r="O173">
        <f t="shared" si="71"/>
        <v>1</v>
      </c>
      <c r="P173" s="57">
        <f t="shared" si="72"/>
        <v>1</v>
      </c>
      <c r="Q173" s="267">
        <f t="shared" si="73"/>
        <v>9943</v>
      </c>
      <c r="R173" s="23">
        <f t="shared" si="74"/>
        <v>7862</v>
      </c>
      <c r="S173" s="23">
        <f t="shared" si="75"/>
        <v>2081</v>
      </c>
      <c r="T173" s="23">
        <f t="shared" si="76"/>
        <v>5781</v>
      </c>
      <c r="U173" t="str">
        <f t="shared" si="77"/>
        <v>AZ_Maric_2020g~Gen-el mirage-question 1 (vote for1)</v>
      </c>
      <c r="W173" s="1">
        <f t="shared" si="78"/>
        <v>172</v>
      </c>
      <c r="X173" s="73">
        <f t="shared" si="86"/>
        <v>13.316846965970361</v>
      </c>
      <c r="Y173" s="322">
        <f t="shared" si="79"/>
        <v>86527.794000000009</v>
      </c>
      <c r="Z173" s="43">
        <f t="shared" si="68"/>
        <v>0</v>
      </c>
      <c r="AA173" s="52">
        <f t="shared" si="80"/>
        <v>0</v>
      </c>
      <c r="AB173" s="8">
        <f t="shared" si="81"/>
        <v>20895.63</v>
      </c>
      <c r="AC173" s="8">
        <f t="shared" si="82"/>
        <v>2089563</v>
      </c>
      <c r="AD173" s="8">
        <f t="shared" si="87"/>
        <v>10447.815000000001</v>
      </c>
      <c r="AE173" s="8" t="str">
        <f t="shared" si="83"/>
        <v/>
      </c>
      <c r="AF173" s="22" t="str">
        <f t="shared" si="84"/>
        <v>AZ_Maric_2020g</v>
      </c>
      <c r="AG173">
        <v>1</v>
      </c>
      <c r="AH173" s="272">
        <v>1254026</v>
      </c>
      <c r="AI173" s="273">
        <v>918935</v>
      </c>
      <c r="AJ173" s="274">
        <v>335091</v>
      </c>
      <c r="AK173" s="339">
        <v>583844</v>
      </c>
      <c r="AL173" s="340" t="s">
        <v>1742</v>
      </c>
      <c r="AM173" s="353">
        <f t="shared" si="85"/>
        <v>0.27940961818332349</v>
      </c>
      <c r="AN173" s="354"/>
      <c r="AP173" s="23">
        <f t="shared" si="88"/>
        <v>2366</v>
      </c>
      <c r="AQ173" s="392">
        <f t="shared" si="89"/>
        <v>0.99999999999832989</v>
      </c>
      <c r="AR173" s="392">
        <f t="shared" si="90"/>
        <v>1</v>
      </c>
      <c r="AS173" s="392">
        <f t="shared" si="90"/>
        <v>1</v>
      </c>
    </row>
    <row r="174" spans="1:45">
      <c r="A174" s="12" t="s">
        <v>1677</v>
      </c>
      <c r="B174" s="54" t="str">
        <f t="shared" si="69"/>
        <v>AZ_Maric_2020g</v>
      </c>
      <c r="C174" s="12"/>
      <c r="D174" s="54" t="str">
        <f t="shared" si="70"/>
        <v>Gen-el mirage-question 1 (vote for1)</v>
      </c>
      <c r="E174" s="54" t="s">
        <v>1982</v>
      </c>
      <c r="F174" s="12" t="s">
        <v>1300</v>
      </c>
      <c r="G174" s="59">
        <v>2081</v>
      </c>
      <c r="H174"/>
      <c r="K174" s="2"/>
      <c r="O174">
        <f t="shared" si="71"/>
        <v>2</v>
      </c>
      <c r="P174" s="57">
        <f t="shared" si="72"/>
        <v>1</v>
      </c>
      <c r="Q174" s="267">
        <f t="shared" si="73"/>
        <v>2081</v>
      </c>
      <c r="R174" s="23" t="str">
        <f t="shared" si="74"/>
        <v/>
      </c>
      <c r="S174" s="23">
        <f t="shared" si="75"/>
        <v>2081</v>
      </c>
      <c r="T174" s="23" t="str">
        <f t="shared" si="76"/>
        <v/>
      </c>
      <c r="U174" t="str">
        <f t="shared" si="77"/>
        <v/>
      </c>
      <c r="W174" s="1">
        <f t="shared" si="78"/>
        <v>173</v>
      </c>
      <c r="X174" s="73">
        <f t="shared" si="86"/>
        <v>12.900110679948261</v>
      </c>
      <c r="Y174" s="322">
        <f t="shared" si="79"/>
        <v>86129.112000000008</v>
      </c>
      <c r="Z174" s="43">
        <f t="shared" si="68"/>
        <v>0</v>
      </c>
      <c r="AA174" s="52">
        <f t="shared" si="80"/>
        <v>0</v>
      </c>
      <c r="AB174" s="8">
        <f t="shared" si="81"/>
        <v>20895.63</v>
      </c>
      <c r="AC174" s="8">
        <f t="shared" si="82"/>
        <v>2089563</v>
      </c>
      <c r="AD174" s="8">
        <f t="shared" si="87"/>
        <v>10447.815000000001</v>
      </c>
      <c r="AE174" s="8" t="str">
        <f t="shared" si="83"/>
        <v/>
      </c>
      <c r="AF174" s="22" t="str">
        <f t="shared" si="84"/>
        <v>AZ_Maric_2020g</v>
      </c>
      <c r="AG174">
        <v>1</v>
      </c>
      <c r="AH174" s="8">
        <v>1248248</v>
      </c>
      <c r="AI174" s="273">
        <v>924088</v>
      </c>
      <c r="AJ174" s="274">
        <v>324160</v>
      </c>
      <c r="AK174" s="339">
        <v>599928</v>
      </c>
      <c r="AL174" s="340" t="s">
        <v>1734</v>
      </c>
      <c r="AM174" s="353">
        <f t="shared" si="85"/>
        <v>0.28710692139935479</v>
      </c>
      <c r="AN174" s="354"/>
      <c r="AP174" s="23">
        <f t="shared" si="88"/>
        <v>2433</v>
      </c>
      <c r="AQ174" s="392">
        <f t="shared" si="89"/>
        <v>0.99999999999930722</v>
      </c>
      <c r="AR174" s="392">
        <f t="shared" si="90"/>
        <v>1</v>
      </c>
      <c r="AS174" s="392">
        <f t="shared" si="90"/>
        <v>1</v>
      </c>
    </row>
    <row r="175" spans="1:45">
      <c r="A175" s="12" t="s">
        <v>1678</v>
      </c>
      <c r="B175" s="54" t="str">
        <f t="shared" si="69"/>
        <v>AZ_Maric_2020g</v>
      </c>
      <c r="C175" s="12"/>
      <c r="D175" s="54" t="str">
        <f t="shared" si="70"/>
        <v>Gen-fountain hills-propsition 450 (vote for1)</v>
      </c>
      <c r="E175" s="54" t="s">
        <v>1981</v>
      </c>
      <c r="F175" s="12" t="s">
        <v>1300</v>
      </c>
      <c r="G175" s="59">
        <v>10244</v>
      </c>
      <c r="H175"/>
      <c r="K175" s="2"/>
      <c r="O175">
        <f t="shared" si="71"/>
        <v>1</v>
      </c>
      <c r="P175" s="57">
        <f t="shared" si="72"/>
        <v>1</v>
      </c>
      <c r="Q175" s="267">
        <f t="shared" si="73"/>
        <v>14488</v>
      </c>
      <c r="R175" s="23">
        <f t="shared" si="74"/>
        <v>10244</v>
      </c>
      <c r="S175" s="23">
        <f t="shared" si="75"/>
        <v>4244</v>
      </c>
      <c r="T175" s="23">
        <f t="shared" si="76"/>
        <v>6000</v>
      </c>
      <c r="U175" t="str">
        <f t="shared" si="77"/>
        <v>AZ_Maric_2020g~Gen-fountain hills-propsition 450 (vote for1)</v>
      </c>
      <c r="W175" s="1">
        <f t="shared" si="78"/>
        <v>174</v>
      </c>
      <c r="X175" s="73">
        <f t="shared" si="86"/>
        <v>12.906415262228242</v>
      </c>
      <c r="Y175" s="322">
        <f t="shared" si="79"/>
        <v>86522.826000000001</v>
      </c>
      <c r="Z175" s="43">
        <f t="shared" si="68"/>
        <v>0</v>
      </c>
      <c r="AA175" s="52">
        <f t="shared" si="80"/>
        <v>0</v>
      </c>
      <c r="AB175" s="8">
        <f t="shared" si="81"/>
        <v>20895.63</v>
      </c>
      <c r="AC175" s="8">
        <f t="shared" si="82"/>
        <v>2089563</v>
      </c>
      <c r="AD175" s="8">
        <f t="shared" si="87"/>
        <v>10447.815000000001</v>
      </c>
      <c r="AE175" s="8" t="str">
        <f t="shared" si="83"/>
        <v/>
      </c>
      <c r="AF175" s="22" t="str">
        <f t="shared" si="84"/>
        <v>AZ_Maric_2020g</v>
      </c>
      <c r="AG175">
        <v>1</v>
      </c>
      <c r="AH175" s="8">
        <v>1253954</v>
      </c>
      <c r="AI175" s="273">
        <v>928165</v>
      </c>
      <c r="AJ175" s="274">
        <v>325789</v>
      </c>
      <c r="AK175" s="339">
        <v>602376</v>
      </c>
      <c r="AL175" s="340" t="s">
        <v>1729</v>
      </c>
      <c r="AM175" s="353">
        <f t="shared" si="85"/>
        <v>0.28827845822308301</v>
      </c>
      <c r="AN175" s="354"/>
      <c r="AP175" s="23">
        <f t="shared" si="88"/>
        <v>2444</v>
      </c>
      <c r="AQ175" s="392">
        <f t="shared" si="89"/>
        <v>0.99999999999940081</v>
      </c>
      <c r="AR175" s="392">
        <f t="shared" si="90"/>
        <v>1</v>
      </c>
      <c r="AS175" s="392">
        <f t="shared" si="90"/>
        <v>1</v>
      </c>
    </row>
    <row r="176" spans="1:45">
      <c r="A176" s="12" t="s">
        <v>1678</v>
      </c>
      <c r="B176" s="54" t="str">
        <f t="shared" si="69"/>
        <v>AZ_Maric_2020g</v>
      </c>
      <c r="C176" s="12"/>
      <c r="D176" s="54" t="str">
        <f t="shared" si="70"/>
        <v>Gen-fountain hills-propsition 450 (vote for1)</v>
      </c>
      <c r="E176" s="54" t="s">
        <v>1982</v>
      </c>
      <c r="F176" s="12" t="s">
        <v>1300</v>
      </c>
      <c r="G176" s="59">
        <v>4244</v>
      </c>
      <c r="H176"/>
      <c r="K176" s="2"/>
      <c r="O176">
        <f t="shared" si="71"/>
        <v>2</v>
      </c>
      <c r="P176" s="57">
        <f t="shared" si="72"/>
        <v>1</v>
      </c>
      <c r="Q176" s="267">
        <f t="shared" si="73"/>
        <v>4244</v>
      </c>
      <c r="R176" s="23" t="str">
        <f t="shared" si="74"/>
        <v/>
      </c>
      <c r="S176" s="23">
        <f t="shared" si="75"/>
        <v>4244</v>
      </c>
      <c r="T176" s="23" t="str">
        <f t="shared" si="76"/>
        <v/>
      </c>
      <c r="U176" t="str">
        <f t="shared" si="77"/>
        <v/>
      </c>
      <c r="W176" s="1">
        <f t="shared" si="78"/>
        <v>175</v>
      </c>
      <c r="X176" s="73">
        <f t="shared" si="86"/>
        <v>12.795270767089804</v>
      </c>
      <c r="Y176" s="322">
        <f t="shared" si="79"/>
        <v>86567.331000000006</v>
      </c>
      <c r="Z176" s="43">
        <f t="shared" si="68"/>
        <v>0</v>
      </c>
      <c r="AA176" s="52">
        <f t="shared" si="80"/>
        <v>0</v>
      </c>
      <c r="AB176" s="8">
        <f t="shared" si="81"/>
        <v>20895.63</v>
      </c>
      <c r="AC176" s="8">
        <f t="shared" si="82"/>
        <v>2089563</v>
      </c>
      <c r="AD176" s="8">
        <f t="shared" si="87"/>
        <v>10447.815000000001</v>
      </c>
      <c r="AE176" s="8" t="str">
        <f t="shared" si="83"/>
        <v/>
      </c>
      <c r="AF176" s="22" t="str">
        <f t="shared" si="84"/>
        <v>AZ_Maric_2020g</v>
      </c>
      <c r="AG176">
        <v>1</v>
      </c>
      <c r="AH176" s="272">
        <v>1254599</v>
      </c>
      <c r="AI176" s="273">
        <v>931260</v>
      </c>
      <c r="AJ176" s="274">
        <v>323339</v>
      </c>
      <c r="AK176" s="339">
        <v>607921</v>
      </c>
      <c r="AL176" s="340" t="s">
        <v>1748</v>
      </c>
      <c r="AM176" s="353">
        <f t="shared" si="85"/>
        <v>0.29093212312813732</v>
      </c>
      <c r="AN176" s="354"/>
      <c r="AP176" s="23">
        <f t="shared" si="88"/>
        <v>2467</v>
      </c>
      <c r="AQ176" s="392">
        <f t="shared" si="89"/>
        <v>0.99999999999955791</v>
      </c>
      <c r="AR176" s="392">
        <f t="shared" si="90"/>
        <v>1</v>
      </c>
      <c r="AS176" s="392">
        <f t="shared" si="90"/>
        <v>1</v>
      </c>
    </row>
    <row r="177" spans="1:45">
      <c r="A177" s="12" t="s">
        <v>1642</v>
      </c>
      <c r="B177" s="54" t="str">
        <f t="shared" si="69"/>
        <v>AZ_Maric_2020g</v>
      </c>
      <c r="C177" s="12"/>
      <c r="D177" s="54" t="str">
        <f t="shared" si="70"/>
        <v>Gen-gila bend usd #24-gbm-2yr (vote for1)</v>
      </c>
      <c r="E177" s="54" t="s">
        <v>2068</v>
      </c>
      <c r="F177" s="12" t="s">
        <v>1300</v>
      </c>
      <c r="G177" s="59">
        <v>323</v>
      </c>
      <c r="H177"/>
      <c r="K177" s="2"/>
      <c r="O177">
        <f t="shared" si="71"/>
        <v>1</v>
      </c>
      <c r="P177" s="57">
        <f t="shared" si="72"/>
        <v>1</v>
      </c>
      <c r="Q177" s="267">
        <f t="shared" si="73"/>
        <v>529</v>
      </c>
      <c r="R177" s="23">
        <f t="shared" si="74"/>
        <v>323</v>
      </c>
      <c r="S177" s="23">
        <f t="shared" si="75"/>
        <v>202</v>
      </c>
      <c r="T177" s="23">
        <f t="shared" si="76"/>
        <v>121</v>
      </c>
      <c r="U177" t="str">
        <f t="shared" si="77"/>
        <v>AZ_Maric_2020g~Gen-gila bend usd #24-gbm-2yr (vote for1)</v>
      </c>
      <c r="W177" s="1">
        <f t="shared" si="78"/>
        <v>176</v>
      </c>
      <c r="X177" s="73">
        <f t="shared" si="86"/>
        <v>12.708370103460696</v>
      </c>
      <c r="Y177" s="322">
        <f t="shared" si="79"/>
        <v>85998.633000000002</v>
      </c>
      <c r="Z177" s="43">
        <f t="shared" si="68"/>
        <v>0</v>
      </c>
      <c r="AA177" s="52">
        <f t="shared" si="80"/>
        <v>0</v>
      </c>
      <c r="AB177" s="8">
        <f t="shared" si="81"/>
        <v>20895.63</v>
      </c>
      <c r="AC177" s="8">
        <f t="shared" si="82"/>
        <v>2089563</v>
      </c>
      <c r="AD177" s="8">
        <f t="shared" si="87"/>
        <v>10447.815000000001</v>
      </c>
      <c r="AE177" s="8" t="str">
        <f t="shared" si="83"/>
        <v/>
      </c>
      <c r="AF177" s="22" t="str">
        <f t="shared" si="84"/>
        <v>AZ_Maric_2020g</v>
      </c>
      <c r="AG177">
        <v>1</v>
      </c>
      <c r="AH177" s="272">
        <v>1246357</v>
      </c>
      <c r="AI177" s="273">
        <v>927207</v>
      </c>
      <c r="AJ177" s="274">
        <v>319150</v>
      </c>
      <c r="AK177" s="339">
        <v>608057</v>
      </c>
      <c r="AL177" s="340" t="s">
        <v>1740</v>
      </c>
      <c r="AM177" s="353">
        <f t="shared" si="85"/>
        <v>0.29099720850723332</v>
      </c>
      <c r="AN177" s="354"/>
      <c r="AP177" s="23">
        <f t="shared" si="88"/>
        <v>2468</v>
      </c>
      <c r="AQ177" s="392">
        <f t="shared" si="89"/>
        <v>0.99999999999956379</v>
      </c>
      <c r="AR177" s="392">
        <f t="shared" si="90"/>
        <v>1</v>
      </c>
      <c r="AS177" s="392">
        <f t="shared" si="90"/>
        <v>1</v>
      </c>
    </row>
    <row r="178" spans="1:45">
      <c r="A178" s="12" t="s">
        <v>1642</v>
      </c>
      <c r="B178" s="54" t="str">
        <f t="shared" si="69"/>
        <v>AZ_Maric_2020g</v>
      </c>
      <c r="C178" s="12"/>
      <c r="D178" s="54" t="str">
        <f t="shared" si="70"/>
        <v>Gen-gila bend usd #24-gbm-2yr (vote for1)</v>
      </c>
      <c r="E178" s="54" t="s">
        <v>2067</v>
      </c>
      <c r="F178" s="12" t="s">
        <v>1300</v>
      </c>
      <c r="G178" s="59">
        <v>202</v>
      </c>
      <c r="H178"/>
      <c r="K178" s="2"/>
      <c r="O178">
        <f t="shared" si="71"/>
        <v>2</v>
      </c>
      <c r="P178" s="57">
        <f t="shared" si="72"/>
        <v>1</v>
      </c>
      <c r="Q178" s="267">
        <f t="shared" si="73"/>
        <v>206</v>
      </c>
      <c r="R178" s="23" t="str">
        <f t="shared" si="74"/>
        <v/>
      </c>
      <c r="S178" s="23">
        <f t="shared" si="75"/>
        <v>202</v>
      </c>
      <c r="T178" s="23" t="str">
        <f t="shared" si="76"/>
        <v/>
      </c>
      <c r="U178" t="str">
        <f t="shared" si="77"/>
        <v/>
      </c>
      <c r="W178" s="1">
        <f t="shared" si="78"/>
        <v>177</v>
      </c>
      <c r="X178" s="73">
        <f t="shared" si="86"/>
        <v>12.700708348262852</v>
      </c>
      <c r="Y178" s="322">
        <f t="shared" si="79"/>
        <v>87180.741000000009</v>
      </c>
      <c r="Z178" s="43">
        <f t="shared" si="68"/>
        <v>0</v>
      </c>
      <c r="AA178" s="52">
        <f t="shared" si="80"/>
        <v>0</v>
      </c>
      <c r="AB178" s="8">
        <f t="shared" si="81"/>
        <v>20895.63</v>
      </c>
      <c r="AC178" s="8">
        <f t="shared" si="82"/>
        <v>2089563</v>
      </c>
      <c r="AD178" s="8">
        <f t="shared" si="87"/>
        <v>10447.815000000001</v>
      </c>
      <c r="AE178" s="8" t="str">
        <f t="shared" si="83"/>
        <v/>
      </c>
      <c r="AF178" s="22" t="str">
        <f t="shared" si="84"/>
        <v>AZ_Maric_2020g</v>
      </c>
      <c r="AG178">
        <v>1</v>
      </c>
      <c r="AH178" s="272">
        <v>1263489</v>
      </c>
      <c r="AI178" s="273">
        <v>940138</v>
      </c>
      <c r="AJ178" s="274">
        <v>323351</v>
      </c>
      <c r="AK178" s="339">
        <v>616787</v>
      </c>
      <c r="AL178" s="340" t="s">
        <v>1720</v>
      </c>
      <c r="AM178" s="353">
        <f t="shared" si="85"/>
        <v>0.29517511556244058</v>
      </c>
      <c r="AN178" s="354"/>
      <c r="AP178" s="23">
        <f t="shared" si="88"/>
        <v>2504</v>
      </c>
      <c r="AQ178" s="392">
        <f t="shared" si="89"/>
        <v>0.99999999999972955</v>
      </c>
      <c r="AR178" s="392">
        <f t="shared" si="90"/>
        <v>1</v>
      </c>
      <c r="AS178" s="392">
        <f t="shared" si="90"/>
        <v>1</v>
      </c>
    </row>
    <row r="179" spans="1:45">
      <c r="A179" s="12" t="s">
        <v>1642</v>
      </c>
      <c r="B179" s="54" t="str">
        <f t="shared" si="69"/>
        <v>AZ_Maric_2020g</v>
      </c>
      <c r="C179" s="12"/>
      <c r="D179" s="54" t="str">
        <f t="shared" si="70"/>
        <v>Gen-gila bend usd #24-gbm-2yr (vote for1)</v>
      </c>
      <c r="E179" s="54" t="s">
        <v>1299</v>
      </c>
      <c r="G179" s="59">
        <v>4</v>
      </c>
      <c r="H179"/>
      <c r="K179" s="2"/>
      <c r="O179">
        <f t="shared" si="71"/>
        <v>-2</v>
      </c>
      <c r="P179" s="57">
        <f t="shared" si="72"/>
        <v>1</v>
      </c>
      <c r="Q179" s="267">
        <f t="shared" si="73"/>
        <v>4</v>
      </c>
      <c r="R179" s="23">
        <f t="shared" si="74"/>
        <v>1</v>
      </c>
      <c r="S179" s="23">
        <f t="shared" si="75"/>
        <v>0</v>
      </c>
      <c r="T179" s="23" t="str">
        <f t="shared" si="76"/>
        <v/>
      </c>
      <c r="U179" t="str">
        <f t="shared" si="77"/>
        <v/>
      </c>
      <c r="W179" s="1">
        <f t="shared" si="78"/>
        <v>178</v>
      </c>
      <c r="X179" s="73">
        <f t="shared" si="86"/>
        <v>12.576377263526451</v>
      </c>
      <c r="Y179" s="322">
        <f t="shared" si="79"/>
        <v>86984.988000000012</v>
      </c>
      <c r="Z179" s="43">
        <f t="shared" si="68"/>
        <v>0</v>
      </c>
      <c r="AA179" s="52">
        <f t="shared" si="80"/>
        <v>0</v>
      </c>
      <c r="AB179" s="8">
        <f t="shared" si="81"/>
        <v>20895.63</v>
      </c>
      <c r="AC179" s="8">
        <f t="shared" si="82"/>
        <v>2089563</v>
      </c>
      <c r="AD179" s="8">
        <f t="shared" si="87"/>
        <v>10447.815000000001</v>
      </c>
      <c r="AE179" s="8" t="str">
        <f t="shared" si="83"/>
        <v/>
      </c>
      <c r="AF179" s="22" t="str">
        <f t="shared" si="84"/>
        <v>AZ_Maric_2020g</v>
      </c>
      <c r="AG179">
        <v>1</v>
      </c>
      <c r="AH179" s="272">
        <v>1260652</v>
      </c>
      <c r="AI179" s="273">
        <v>941069</v>
      </c>
      <c r="AJ179" s="274">
        <v>319583</v>
      </c>
      <c r="AK179" s="339">
        <v>621486</v>
      </c>
      <c r="AL179" s="340" t="s">
        <v>1726</v>
      </c>
      <c r="AM179" s="353">
        <f t="shared" si="85"/>
        <v>0.29742391112400057</v>
      </c>
      <c r="AN179" s="354"/>
      <c r="AP179" s="23">
        <f t="shared" si="88"/>
        <v>2524</v>
      </c>
      <c r="AQ179" s="392">
        <f t="shared" si="89"/>
        <v>0.99999999999979283</v>
      </c>
      <c r="AR179" s="392">
        <f t="shared" si="90"/>
        <v>1</v>
      </c>
      <c r="AS179" s="392">
        <f t="shared" si="90"/>
        <v>1</v>
      </c>
    </row>
    <row r="180" spans="1:45">
      <c r="A180" s="12" t="s">
        <v>1641</v>
      </c>
      <c r="B180" s="54" t="str">
        <f t="shared" si="69"/>
        <v>AZ_Maric_2020g</v>
      </c>
      <c r="C180" s="12"/>
      <c r="D180" s="54" t="str">
        <f t="shared" si="70"/>
        <v>Gen-gila bend usd #24-gbm-4yr (vote for2)</v>
      </c>
      <c r="E180" s="54" t="s">
        <v>2065</v>
      </c>
      <c r="F180" s="12" t="s">
        <v>1300</v>
      </c>
      <c r="G180" s="59">
        <v>326</v>
      </c>
      <c r="H180"/>
      <c r="K180" s="2"/>
      <c r="O180">
        <f t="shared" si="71"/>
        <v>1</v>
      </c>
      <c r="P180" s="57">
        <f t="shared" si="72"/>
        <v>2</v>
      </c>
      <c r="Q180" s="267">
        <f t="shared" si="73"/>
        <v>501.5</v>
      </c>
      <c r="R180" s="23">
        <f t="shared" si="74"/>
        <v>279</v>
      </c>
      <c r="S180" s="23">
        <f t="shared" si="75"/>
        <v>278</v>
      </c>
      <c r="T180" s="23">
        <f t="shared" si="76"/>
        <v>1</v>
      </c>
      <c r="U180" t="str">
        <f t="shared" si="77"/>
        <v>AZ_Maric_2020g~Gen-gila bend usd #24-gbm-4yr (vote for2)</v>
      </c>
      <c r="W180" s="1">
        <f t="shared" si="78"/>
        <v>179</v>
      </c>
      <c r="X180" s="73">
        <f t="shared" si="86"/>
        <v>12.280612236754953</v>
      </c>
      <c r="Y180" s="322">
        <f t="shared" si="79"/>
        <v>85632.10500000001</v>
      </c>
      <c r="Z180" s="43">
        <f t="shared" si="68"/>
        <v>0</v>
      </c>
      <c r="AA180" s="52">
        <f t="shared" si="80"/>
        <v>0</v>
      </c>
      <c r="AB180" s="8">
        <f t="shared" si="81"/>
        <v>20895.63</v>
      </c>
      <c r="AC180" s="8">
        <f t="shared" si="82"/>
        <v>2089563</v>
      </c>
      <c r="AD180" s="8">
        <f t="shared" si="87"/>
        <v>10447.815000000001</v>
      </c>
      <c r="AE180" s="8" t="str">
        <f t="shared" si="83"/>
        <v/>
      </c>
      <c r="AF180" s="22" t="str">
        <f t="shared" si="84"/>
        <v>AZ_Maric_2020g</v>
      </c>
      <c r="AG180">
        <v>1</v>
      </c>
      <c r="AH180" s="272">
        <v>1241045</v>
      </c>
      <c r="AI180" s="273">
        <v>933800</v>
      </c>
      <c r="AJ180" s="274">
        <v>307245</v>
      </c>
      <c r="AK180" s="339">
        <v>626555</v>
      </c>
      <c r="AL180" s="340" t="s">
        <v>1753</v>
      </c>
      <c r="AM180" s="353">
        <f t="shared" si="85"/>
        <v>0.29984977720221884</v>
      </c>
      <c r="AN180" s="354"/>
      <c r="AO180" s="356"/>
      <c r="AP180" s="23">
        <f t="shared" si="88"/>
        <v>2545</v>
      </c>
      <c r="AQ180" s="392">
        <f t="shared" si="89"/>
        <v>0.99999999999984346</v>
      </c>
      <c r="AR180" s="392">
        <f t="shared" si="90"/>
        <v>1</v>
      </c>
      <c r="AS180" s="392">
        <f t="shared" si="90"/>
        <v>1</v>
      </c>
    </row>
    <row r="181" spans="1:45">
      <c r="A181" s="12" t="s">
        <v>1641</v>
      </c>
      <c r="B181" s="54" t="str">
        <f t="shared" si="69"/>
        <v>AZ_Maric_2020g</v>
      </c>
      <c r="C181" s="12"/>
      <c r="D181" s="54" t="str">
        <f t="shared" si="70"/>
        <v>Gen-gila bend usd #24-gbm-4yr (vote for2)</v>
      </c>
      <c r="E181" s="54" t="s">
        <v>2064</v>
      </c>
      <c r="F181" s="12" t="s">
        <v>1300</v>
      </c>
      <c r="G181" s="59">
        <v>279</v>
      </c>
      <c r="H181"/>
      <c r="K181" s="2"/>
      <c r="O181">
        <f t="shared" si="71"/>
        <v>2</v>
      </c>
      <c r="P181" s="57">
        <f t="shared" si="72"/>
        <v>2</v>
      </c>
      <c r="Q181" s="267">
        <f t="shared" si="73"/>
        <v>677</v>
      </c>
      <c r="R181" s="23">
        <f t="shared" si="74"/>
        <v>279</v>
      </c>
      <c r="S181" s="23">
        <f t="shared" si="75"/>
        <v>278</v>
      </c>
      <c r="T181" s="23" t="str">
        <f t="shared" si="76"/>
        <v/>
      </c>
      <c r="U181" t="str">
        <f t="shared" si="77"/>
        <v/>
      </c>
      <c r="W181" s="1">
        <f t="shared" si="78"/>
        <v>180</v>
      </c>
      <c r="X181" s="73">
        <f t="shared" si="86"/>
        <v>12.253393177058364</v>
      </c>
      <c r="Y181" s="322">
        <f t="shared" si="79"/>
        <v>86470.662000000011</v>
      </c>
      <c r="Z181" s="43">
        <f t="shared" si="68"/>
        <v>0</v>
      </c>
      <c r="AA181" s="52">
        <f t="shared" si="80"/>
        <v>0</v>
      </c>
      <c r="AB181" s="8">
        <f t="shared" si="81"/>
        <v>20895.63</v>
      </c>
      <c r="AC181" s="8">
        <f t="shared" si="82"/>
        <v>2089563</v>
      </c>
      <c r="AD181" s="8">
        <f t="shared" si="87"/>
        <v>10447.815000000001</v>
      </c>
      <c r="AE181" s="8" t="str">
        <f t="shared" si="83"/>
        <v/>
      </c>
      <c r="AF181" s="22" t="str">
        <f t="shared" si="84"/>
        <v>AZ_Maric_2020g</v>
      </c>
      <c r="AG181">
        <v>1</v>
      </c>
      <c r="AH181" s="272">
        <v>1253198</v>
      </c>
      <c r="AI181" s="273">
        <v>943647</v>
      </c>
      <c r="AJ181" s="274">
        <v>309551</v>
      </c>
      <c r="AK181" s="339">
        <v>634096</v>
      </c>
      <c r="AL181" s="340" t="s">
        <v>1737</v>
      </c>
      <c r="AM181" s="353">
        <f t="shared" si="85"/>
        <v>0.30345866575929992</v>
      </c>
      <c r="AN181" s="354"/>
      <c r="AP181" s="23">
        <f t="shared" si="88"/>
        <v>2577</v>
      </c>
      <c r="AQ181" s="392">
        <f t="shared" si="89"/>
        <v>0.99999999999989808</v>
      </c>
      <c r="AR181" s="392">
        <f t="shared" si="90"/>
        <v>1</v>
      </c>
      <c r="AS181" s="392">
        <f t="shared" si="90"/>
        <v>1</v>
      </c>
    </row>
    <row r="182" spans="1:45">
      <c r="A182" s="12" t="s">
        <v>1641</v>
      </c>
      <c r="B182" s="54" t="str">
        <f t="shared" si="69"/>
        <v>AZ_Maric_2020g</v>
      </c>
      <c r="C182" s="12"/>
      <c r="D182" s="54" t="str">
        <f t="shared" si="70"/>
        <v>Gen-gila bend usd #24-gbm-4yr (vote for2)</v>
      </c>
      <c r="E182" s="54" t="s">
        <v>2063</v>
      </c>
      <c r="F182" s="12" t="s">
        <v>1300</v>
      </c>
      <c r="G182" s="59">
        <v>278</v>
      </c>
      <c r="H182"/>
      <c r="K182" s="2"/>
      <c r="O182">
        <f t="shared" si="71"/>
        <v>3</v>
      </c>
      <c r="P182" s="57">
        <f t="shared" si="72"/>
        <v>2</v>
      </c>
      <c r="Q182" s="267">
        <f t="shared" si="73"/>
        <v>398</v>
      </c>
      <c r="R182" s="23" t="str">
        <f t="shared" si="74"/>
        <v/>
      </c>
      <c r="S182" s="23">
        <f t="shared" si="75"/>
        <v>278</v>
      </c>
      <c r="T182" s="23" t="str">
        <f t="shared" si="76"/>
        <v/>
      </c>
      <c r="U182" t="str">
        <f t="shared" si="77"/>
        <v/>
      </c>
      <c r="W182" s="1">
        <f t="shared" si="78"/>
        <v>181</v>
      </c>
      <c r="X182" s="73">
        <f t="shared" si="86"/>
        <v>12.229693561113745</v>
      </c>
      <c r="Y182" s="322">
        <f t="shared" si="79"/>
        <v>86418.153000000006</v>
      </c>
      <c r="Z182" s="43">
        <f t="shared" si="68"/>
        <v>0</v>
      </c>
      <c r="AA182" s="52">
        <f t="shared" si="80"/>
        <v>0</v>
      </c>
      <c r="AB182" s="8">
        <f t="shared" si="81"/>
        <v>20895.63</v>
      </c>
      <c r="AC182" s="8">
        <f t="shared" si="82"/>
        <v>2089563</v>
      </c>
      <c r="AD182" s="8">
        <f t="shared" si="87"/>
        <v>10447.815000000001</v>
      </c>
      <c r="AE182" s="8" t="str">
        <f t="shared" si="83"/>
        <v/>
      </c>
      <c r="AF182" s="22" t="str">
        <f t="shared" si="84"/>
        <v>AZ_Maric_2020g</v>
      </c>
      <c r="AG182">
        <v>1</v>
      </c>
      <c r="AH182" s="272">
        <v>1252437</v>
      </c>
      <c r="AI182" s="273">
        <v>943688</v>
      </c>
      <c r="AJ182" s="274">
        <v>308749</v>
      </c>
      <c r="AK182" s="339">
        <v>634939</v>
      </c>
      <c r="AL182" s="340" t="s">
        <v>1731</v>
      </c>
      <c r="AM182" s="353">
        <f t="shared" si="85"/>
        <v>0.30386209939590242</v>
      </c>
      <c r="AN182" s="354"/>
      <c r="AP182" s="23">
        <f t="shared" si="88"/>
        <v>2581</v>
      </c>
      <c r="AQ182" s="392">
        <f t="shared" si="89"/>
        <v>0.99999999999990341</v>
      </c>
      <c r="AR182" s="392">
        <f t="shared" si="90"/>
        <v>1</v>
      </c>
      <c r="AS182" s="392">
        <f t="shared" si="90"/>
        <v>1</v>
      </c>
    </row>
    <row r="183" spans="1:45">
      <c r="A183" s="12" t="s">
        <v>1641</v>
      </c>
      <c r="B183" s="54" t="str">
        <f t="shared" si="69"/>
        <v>AZ_Maric_2020g</v>
      </c>
      <c r="C183" s="12"/>
      <c r="D183" s="54" t="str">
        <f t="shared" si="70"/>
        <v>Gen-gila bend usd #24-gbm-4yr (vote for2)</v>
      </c>
      <c r="E183" s="54" t="s">
        <v>1299</v>
      </c>
      <c r="G183" s="59">
        <v>60</v>
      </c>
      <c r="H183"/>
      <c r="K183" s="2"/>
      <c r="O183">
        <f t="shared" si="71"/>
        <v>-3</v>
      </c>
      <c r="P183" s="57">
        <f t="shared" si="72"/>
        <v>2</v>
      </c>
      <c r="Q183" s="267">
        <f t="shared" si="73"/>
        <v>120</v>
      </c>
      <c r="R183" s="23" t="str">
        <f t="shared" si="74"/>
        <v/>
      </c>
      <c r="S183" s="23">
        <f t="shared" si="75"/>
        <v>45</v>
      </c>
      <c r="T183" s="23" t="str">
        <f t="shared" si="76"/>
        <v/>
      </c>
      <c r="U183" t="str">
        <f t="shared" si="77"/>
        <v/>
      </c>
      <c r="W183" s="1">
        <f t="shared" si="78"/>
        <v>182</v>
      </c>
      <c r="X183" s="73">
        <f t="shared" si="86"/>
        <v>12.044731582937082</v>
      </c>
      <c r="Y183" s="322">
        <f t="shared" si="79"/>
        <v>85586.358000000007</v>
      </c>
      <c r="Z183" s="43">
        <f t="shared" si="68"/>
        <v>0</v>
      </c>
      <c r="AA183" s="52">
        <f t="shared" si="80"/>
        <v>0</v>
      </c>
      <c r="AB183" s="8">
        <f t="shared" si="81"/>
        <v>20895.63</v>
      </c>
      <c r="AC183" s="8">
        <f t="shared" si="82"/>
        <v>2089563</v>
      </c>
      <c r="AD183" s="8">
        <f t="shared" si="87"/>
        <v>10447.815000000001</v>
      </c>
      <c r="AE183" s="8" t="str">
        <f t="shared" si="83"/>
        <v/>
      </c>
      <c r="AF183" s="22" t="str">
        <f t="shared" si="84"/>
        <v>AZ_Maric_2020g</v>
      </c>
      <c r="AG183">
        <v>1</v>
      </c>
      <c r="AH183" s="272">
        <v>1240382</v>
      </c>
      <c r="AI183" s="273">
        <v>939433</v>
      </c>
      <c r="AJ183" s="274">
        <v>300949</v>
      </c>
      <c r="AK183" s="339">
        <v>638484</v>
      </c>
      <c r="AL183" s="340" t="s">
        <v>1750</v>
      </c>
      <c r="AM183" s="353">
        <f t="shared" si="85"/>
        <v>0.30555862637307418</v>
      </c>
      <c r="AN183" s="354"/>
      <c r="AP183" s="23">
        <f t="shared" si="88"/>
        <v>2595</v>
      </c>
      <c r="AQ183" s="392">
        <f t="shared" si="89"/>
        <v>0.99999999999991995</v>
      </c>
      <c r="AR183" s="392">
        <f t="shared" si="90"/>
        <v>1</v>
      </c>
      <c r="AS183" s="392">
        <f t="shared" si="90"/>
        <v>1</v>
      </c>
    </row>
    <row r="184" spans="1:45">
      <c r="A184" s="12" t="s">
        <v>1641</v>
      </c>
      <c r="B184" s="54" t="str">
        <f t="shared" si="69"/>
        <v>AZ_Maric_2020g</v>
      </c>
      <c r="C184" s="12"/>
      <c r="D184" s="54" t="str">
        <f t="shared" si="70"/>
        <v>Gen-gila bend usd #24-gbm-4yr (vote for2)</v>
      </c>
      <c r="E184" s="54" t="s">
        <v>2066</v>
      </c>
      <c r="F184" s="12" t="s">
        <v>1300</v>
      </c>
      <c r="G184" s="59">
        <v>45</v>
      </c>
      <c r="H184"/>
      <c r="K184" s="2"/>
      <c r="O184">
        <f t="shared" si="71"/>
        <v>4</v>
      </c>
      <c r="P184" s="57">
        <f t="shared" si="72"/>
        <v>2</v>
      </c>
      <c r="Q184" s="267">
        <f t="shared" si="73"/>
        <v>60</v>
      </c>
      <c r="R184" s="23" t="str">
        <f t="shared" si="74"/>
        <v/>
      </c>
      <c r="S184" s="23">
        <f t="shared" si="75"/>
        <v>45</v>
      </c>
      <c r="T184" s="23" t="str">
        <f t="shared" si="76"/>
        <v/>
      </c>
      <c r="U184" t="str">
        <f t="shared" si="77"/>
        <v/>
      </c>
      <c r="W184" s="1">
        <f t="shared" si="78"/>
        <v>183</v>
      </c>
      <c r="X184" s="73">
        <f t="shared" si="86"/>
        <v>13.054828897456964</v>
      </c>
      <c r="Y184" s="322">
        <f t="shared" si="79"/>
        <v>93187.329000000012</v>
      </c>
      <c r="Z184" s="43">
        <f t="shared" si="68"/>
        <v>0</v>
      </c>
      <c r="AA184" s="52">
        <f t="shared" si="80"/>
        <v>0</v>
      </c>
      <c r="AB184" s="8">
        <f t="shared" si="81"/>
        <v>20895.63</v>
      </c>
      <c r="AC184" s="8">
        <f t="shared" si="82"/>
        <v>2089563</v>
      </c>
      <c r="AD184" s="8">
        <f t="shared" si="87"/>
        <v>10447.815000000001</v>
      </c>
      <c r="AE184" s="8" t="str">
        <f t="shared" si="83"/>
        <v/>
      </c>
      <c r="AF184" s="22" t="str">
        <f t="shared" si="84"/>
        <v>AZ_Maric_2020g</v>
      </c>
      <c r="AG184">
        <v>1</v>
      </c>
      <c r="AH184" s="272">
        <v>1350541</v>
      </c>
      <c r="AI184" s="273">
        <v>995970</v>
      </c>
      <c r="AJ184" s="274">
        <v>354571</v>
      </c>
      <c r="AK184" s="339">
        <v>641399</v>
      </c>
      <c r="AL184" s="340" t="s">
        <v>1709</v>
      </c>
      <c r="AM184" s="353">
        <f t="shared" si="85"/>
        <v>0.30695365490296295</v>
      </c>
      <c r="AN184" s="354"/>
      <c r="AP184" s="23">
        <f t="shared" si="88"/>
        <v>2608</v>
      </c>
      <c r="AQ184" s="392">
        <f t="shared" si="89"/>
        <v>0.99999999999993283</v>
      </c>
      <c r="AR184" s="392">
        <f t="shared" si="90"/>
        <v>1</v>
      </c>
      <c r="AS184" s="392">
        <f t="shared" si="90"/>
        <v>1</v>
      </c>
    </row>
    <row r="185" spans="1:45">
      <c r="A185" s="12" t="s">
        <v>1641</v>
      </c>
      <c r="B185" s="54" t="str">
        <f t="shared" si="69"/>
        <v>AZ_Maric_2020g</v>
      </c>
      <c r="C185" s="12"/>
      <c r="D185" s="54" t="str">
        <f t="shared" si="70"/>
        <v>Gen-gila bend usd #24-gbm-4yr (vote for2)</v>
      </c>
      <c r="E185" s="54" t="s">
        <v>1825</v>
      </c>
      <c r="F185" s="12" t="s">
        <v>1300</v>
      </c>
      <c r="G185" s="59">
        <v>14</v>
      </c>
      <c r="H185"/>
      <c r="K185" s="2"/>
      <c r="O185">
        <f t="shared" si="71"/>
        <v>-4</v>
      </c>
      <c r="P185" s="57">
        <f t="shared" si="72"/>
        <v>2</v>
      </c>
      <c r="Q185" s="267">
        <f t="shared" si="73"/>
        <v>15</v>
      </c>
      <c r="R185" s="23">
        <f t="shared" si="74"/>
        <v>1</v>
      </c>
      <c r="S185" s="23">
        <f t="shared" si="75"/>
        <v>0</v>
      </c>
      <c r="T185" s="23" t="str">
        <f t="shared" si="76"/>
        <v/>
      </c>
      <c r="U185" t="str">
        <f t="shared" si="77"/>
        <v/>
      </c>
      <c r="W185" s="1">
        <f t="shared" si="78"/>
        <v>184</v>
      </c>
      <c r="X185" s="73">
        <f t="shared" si="86"/>
        <v>12.007269752293379</v>
      </c>
      <c r="Y185" s="322">
        <f t="shared" si="79"/>
        <v>85915.35</v>
      </c>
      <c r="Z185" s="43">
        <f t="shared" si="68"/>
        <v>0</v>
      </c>
      <c r="AA185" s="52">
        <f t="shared" si="80"/>
        <v>0</v>
      </c>
      <c r="AB185" s="8">
        <f t="shared" si="81"/>
        <v>20895.63</v>
      </c>
      <c r="AC185" s="8">
        <f t="shared" si="82"/>
        <v>2089563</v>
      </c>
      <c r="AD185" s="8">
        <f t="shared" si="87"/>
        <v>10447.815000000001</v>
      </c>
      <c r="AE185" s="8" t="str">
        <f t="shared" si="83"/>
        <v/>
      </c>
      <c r="AF185" s="22" t="str">
        <f t="shared" si="84"/>
        <v>AZ_Maric_2020g</v>
      </c>
      <c r="AG185">
        <v>1</v>
      </c>
      <c r="AH185" s="272">
        <v>1245150</v>
      </c>
      <c r="AI185" s="273">
        <v>944044</v>
      </c>
      <c r="AJ185" s="274">
        <v>301106</v>
      </c>
      <c r="AK185" s="339">
        <v>642938</v>
      </c>
      <c r="AL185" s="340" t="s">
        <v>1741</v>
      </c>
      <c r="AM185" s="353">
        <f t="shared" si="85"/>
        <v>0.30769017253846859</v>
      </c>
      <c r="AN185" s="354"/>
      <c r="AP185" s="23">
        <f t="shared" si="88"/>
        <v>2614</v>
      </c>
      <c r="AQ185" s="392">
        <f t="shared" si="89"/>
        <v>0.99999999999993805</v>
      </c>
      <c r="AR185" s="392">
        <f t="shared" si="90"/>
        <v>1</v>
      </c>
      <c r="AS185" s="392">
        <f t="shared" si="90"/>
        <v>1</v>
      </c>
    </row>
    <row r="186" spans="1:45">
      <c r="A186" s="12" t="s">
        <v>1641</v>
      </c>
      <c r="B186" s="54" t="str">
        <f t="shared" si="69"/>
        <v>AZ_Maric_2020g</v>
      </c>
      <c r="C186" s="12"/>
      <c r="D186" s="54" t="str">
        <f t="shared" si="70"/>
        <v>Gen-gila bend usd #24-gbm-4yr (vote for2)</v>
      </c>
      <c r="E186" s="54" t="s">
        <v>1826</v>
      </c>
      <c r="F186" s="12" t="s">
        <v>1300</v>
      </c>
      <c r="G186" s="59">
        <v>1</v>
      </c>
      <c r="H186"/>
      <c r="K186" s="2"/>
      <c r="O186">
        <f t="shared" si="71"/>
        <v>-4</v>
      </c>
      <c r="P186" s="57">
        <f t="shared" si="72"/>
        <v>2</v>
      </c>
      <c r="Q186" s="267">
        <f t="shared" si="73"/>
        <v>1</v>
      </c>
      <c r="R186" s="23">
        <f t="shared" si="74"/>
        <v>1</v>
      </c>
      <c r="S186" s="23">
        <f t="shared" si="75"/>
        <v>0</v>
      </c>
      <c r="T186" s="23" t="str">
        <f t="shared" si="76"/>
        <v/>
      </c>
      <c r="U186" t="str">
        <f t="shared" si="77"/>
        <v/>
      </c>
      <c r="W186" s="1">
        <f t="shared" si="78"/>
        <v>185</v>
      </c>
      <c r="X186" s="73">
        <f t="shared" si="86"/>
        <v>11.94539423085833</v>
      </c>
      <c r="Y186" s="322">
        <f t="shared" si="79"/>
        <v>86080.950000000012</v>
      </c>
      <c r="Z186" s="43">
        <f t="shared" si="68"/>
        <v>0</v>
      </c>
      <c r="AA186" s="52">
        <f t="shared" si="80"/>
        <v>0</v>
      </c>
      <c r="AB186" s="8">
        <f t="shared" si="81"/>
        <v>20895.63</v>
      </c>
      <c r="AC186" s="8">
        <f t="shared" si="82"/>
        <v>2089563</v>
      </c>
      <c r="AD186" s="8">
        <f t="shared" si="87"/>
        <v>10447.815000000001</v>
      </c>
      <c r="AE186" s="8" t="str">
        <f t="shared" si="83"/>
        <v/>
      </c>
      <c r="AF186" s="22" t="str">
        <f t="shared" si="84"/>
        <v>AZ_Maric_2020g</v>
      </c>
      <c r="AG186">
        <v>1</v>
      </c>
      <c r="AH186" s="272">
        <v>1247550</v>
      </c>
      <c r="AI186" s="273">
        <v>947532</v>
      </c>
      <c r="AJ186" s="274">
        <v>300018</v>
      </c>
      <c r="AK186" s="339">
        <v>647514</v>
      </c>
      <c r="AL186" s="340" t="s">
        <v>1738</v>
      </c>
      <c r="AM186" s="353">
        <f t="shared" si="85"/>
        <v>0.30988010411746381</v>
      </c>
      <c r="AN186" s="354"/>
      <c r="AP186" s="23">
        <f t="shared" si="88"/>
        <v>2633</v>
      </c>
      <c r="AQ186" s="392">
        <f t="shared" si="89"/>
        <v>0.99999999999995204</v>
      </c>
      <c r="AR186" s="392">
        <f t="shared" si="90"/>
        <v>1</v>
      </c>
      <c r="AS186" s="392">
        <f t="shared" si="90"/>
        <v>1</v>
      </c>
    </row>
    <row r="187" spans="1:45">
      <c r="A187" s="12" t="s">
        <v>1679</v>
      </c>
      <c r="B187" s="54" t="str">
        <f t="shared" si="69"/>
        <v>AZ_Maric_2020g</v>
      </c>
      <c r="C187" s="12"/>
      <c r="D187" s="54" t="str">
        <f t="shared" si="70"/>
        <v>Gen-gilbert-mayor (vote for1)</v>
      </c>
      <c r="E187" s="54" t="s">
        <v>2157</v>
      </c>
      <c r="F187" s="12" t="s">
        <v>1300</v>
      </c>
      <c r="G187" s="59">
        <v>70426</v>
      </c>
      <c r="H187"/>
      <c r="K187" s="2"/>
      <c r="O187">
        <f t="shared" si="71"/>
        <v>1</v>
      </c>
      <c r="P187" s="57">
        <f t="shared" si="72"/>
        <v>1</v>
      </c>
      <c r="Q187" s="267">
        <f t="shared" si="73"/>
        <v>124520</v>
      </c>
      <c r="R187" s="23">
        <f t="shared" si="74"/>
        <v>70426</v>
      </c>
      <c r="S187" s="23">
        <f t="shared" si="75"/>
        <v>53121</v>
      </c>
      <c r="T187" s="23">
        <f t="shared" si="76"/>
        <v>17305</v>
      </c>
      <c r="U187" t="str">
        <f t="shared" si="77"/>
        <v>AZ_Maric_2020g~Gen-gilbert-mayor (vote for1)</v>
      </c>
      <c r="W187" s="1">
        <f t="shared" si="78"/>
        <v>186</v>
      </c>
      <c r="X187" s="73">
        <f t="shared" si="86"/>
        <v>11.822360013079605</v>
      </c>
      <c r="Y187" s="322">
        <f t="shared" si="79"/>
        <v>86107.446000000011</v>
      </c>
      <c r="Z187" s="43">
        <f t="shared" si="68"/>
        <v>0</v>
      </c>
      <c r="AA187" s="52">
        <f t="shared" si="80"/>
        <v>0</v>
      </c>
      <c r="AB187" s="8">
        <f t="shared" si="81"/>
        <v>20895.63</v>
      </c>
      <c r="AC187" s="8">
        <f t="shared" si="82"/>
        <v>2089563</v>
      </c>
      <c r="AD187" s="8">
        <f t="shared" si="87"/>
        <v>10447.815000000001</v>
      </c>
      <c r="AE187" s="8" t="str">
        <f t="shared" si="83"/>
        <v/>
      </c>
      <c r="AF187" s="22" t="str">
        <f t="shared" si="84"/>
        <v>AZ_Maric_2020g</v>
      </c>
      <c r="AG187">
        <v>1</v>
      </c>
      <c r="AH187" s="272">
        <v>1247934</v>
      </c>
      <c r="AI187" s="273">
        <v>951194</v>
      </c>
      <c r="AJ187" s="274">
        <v>296740</v>
      </c>
      <c r="AK187" s="339">
        <v>654454</v>
      </c>
      <c r="AL187" s="340" t="s">
        <v>1732</v>
      </c>
      <c r="AM187" s="353">
        <f t="shared" si="85"/>
        <v>0.31320137272721615</v>
      </c>
      <c r="AN187" s="354"/>
      <c r="AP187" s="23">
        <f t="shared" si="88"/>
        <v>2663</v>
      </c>
      <c r="AQ187" s="392">
        <f t="shared" si="89"/>
        <v>0.99999999999996814</v>
      </c>
      <c r="AR187" s="392">
        <f t="shared" si="90"/>
        <v>1</v>
      </c>
      <c r="AS187" s="392">
        <f t="shared" si="90"/>
        <v>1</v>
      </c>
    </row>
    <row r="188" spans="1:45">
      <c r="A188" s="12" t="s">
        <v>1679</v>
      </c>
      <c r="B188" s="54" t="str">
        <f t="shared" si="69"/>
        <v>AZ_Maric_2020g</v>
      </c>
      <c r="C188" s="12"/>
      <c r="D188" s="54" t="str">
        <f t="shared" si="70"/>
        <v>Gen-gilbert-mayor (vote for1)</v>
      </c>
      <c r="E188" s="54" t="s">
        <v>2156</v>
      </c>
      <c r="F188" s="12" t="s">
        <v>1300</v>
      </c>
      <c r="G188" s="59">
        <v>53121</v>
      </c>
      <c r="H188"/>
      <c r="K188" s="2"/>
      <c r="O188">
        <f t="shared" si="71"/>
        <v>2</v>
      </c>
      <c r="P188" s="57">
        <f t="shared" si="72"/>
        <v>1</v>
      </c>
      <c r="Q188" s="267">
        <f t="shared" si="73"/>
        <v>54094</v>
      </c>
      <c r="R188" s="23" t="str">
        <f t="shared" si="74"/>
        <v/>
      </c>
      <c r="S188" s="23">
        <f t="shared" si="75"/>
        <v>53121</v>
      </c>
      <c r="T188" s="23" t="str">
        <f t="shared" si="76"/>
        <v/>
      </c>
      <c r="U188" t="str">
        <f t="shared" si="77"/>
        <v/>
      </c>
      <c r="W188" s="1">
        <f t="shared" si="78"/>
        <v>187</v>
      </c>
      <c r="X188" s="73">
        <f t="shared" si="86"/>
        <v>11.759071091896903</v>
      </c>
      <c r="Y188" s="322">
        <f t="shared" si="79"/>
        <v>85848.282000000007</v>
      </c>
      <c r="Z188" s="43">
        <f t="shared" ref="Z188:Z251" si="91">AA188*100</f>
        <v>0</v>
      </c>
      <c r="AA188" s="52">
        <f t="shared" si="80"/>
        <v>0</v>
      </c>
      <c r="AB188" s="8">
        <f t="shared" si="81"/>
        <v>20895.63</v>
      </c>
      <c r="AC188" s="8">
        <f t="shared" si="82"/>
        <v>2089563</v>
      </c>
      <c r="AD188" s="8">
        <f t="shared" si="87"/>
        <v>10447.815000000001</v>
      </c>
      <c r="AE188" s="8" t="str">
        <f t="shared" si="83"/>
        <v/>
      </c>
      <c r="AF188" s="22" t="str">
        <f t="shared" si="84"/>
        <v>AZ_Maric_2020g</v>
      </c>
      <c r="AG188">
        <v>1</v>
      </c>
      <c r="AH188" s="272">
        <v>1244178</v>
      </c>
      <c r="AI188" s="273">
        <v>950087</v>
      </c>
      <c r="AJ188" s="274">
        <v>294091</v>
      </c>
      <c r="AK188" s="339">
        <v>655996</v>
      </c>
      <c r="AL188" s="340" t="s">
        <v>1749</v>
      </c>
      <c r="AM188" s="353">
        <f t="shared" si="85"/>
        <v>0.31393932606961361</v>
      </c>
      <c r="AN188" s="354"/>
      <c r="AP188" s="23">
        <f t="shared" si="88"/>
        <v>2669</v>
      </c>
      <c r="AQ188" s="392">
        <f t="shared" si="89"/>
        <v>0.99999999999997058</v>
      </c>
      <c r="AR188" s="392">
        <f t="shared" si="90"/>
        <v>1</v>
      </c>
      <c r="AS188" s="392">
        <f t="shared" si="90"/>
        <v>1</v>
      </c>
    </row>
    <row r="189" spans="1:45">
      <c r="A189" s="12" t="s">
        <v>1679</v>
      </c>
      <c r="B189" s="54" t="str">
        <f t="shared" si="69"/>
        <v>AZ_Maric_2020g</v>
      </c>
      <c r="C189" s="12"/>
      <c r="D189" s="54" t="str">
        <f t="shared" si="70"/>
        <v>Gen-gilbert-mayor (vote for1)</v>
      </c>
      <c r="E189" s="54" t="s">
        <v>1299</v>
      </c>
      <c r="G189" s="59">
        <v>973</v>
      </c>
      <c r="H189"/>
      <c r="K189" s="2"/>
      <c r="O189">
        <f t="shared" si="71"/>
        <v>-2</v>
      </c>
      <c r="P189" s="57">
        <f t="shared" si="72"/>
        <v>1</v>
      </c>
      <c r="Q189" s="267">
        <f t="shared" si="73"/>
        <v>973</v>
      </c>
      <c r="R189" s="23">
        <f t="shared" si="74"/>
        <v>1</v>
      </c>
      <c r="S189" s="23">
        <f t="shared" si="75"/>
        <v>0</v>
      </c>
      <c r="T189" s="23" t="str">
        <f t="shared" si="76"/>
        <v/>
      </c>
      <c r="U189" t="str">
        <f t="shared" si="77"/>
        <v/>
      </c>
      <c r="W189" s="1">
        <f t="shared" si="78"/>
        <v>188</v>
      </c>
      <c r="X189" s="73">
        <f t="shared" si="86"/>
        <v>12.665595640393338</v>
      </c>
      <c r="Y189" s="322">
        <f t="shared" si="79"/>
        <v>92599.518000000011</v>
      </c>
      <c r="Z189" s="43">
        <f t="shared" si="91"/>
        <v>0</v>
      </c>
      <c r="AA189" s="52">
        <f t="shared" si="80"/>
        <v>0</v>
      </c>
      <c r="AB189" s="8">
        <f t="shared" si="81"/>
        <v>20895.63</v>
      </c>
      <c r="AC189" s="8">
        <f t="shared" si="82"/>
        <v>2089563</v>
      </c>
      <c r="AD189" s="8">
        <f t="shared" si="87"/>
        <v>10447.815000000001</v>
      </c>
      <c r="AE189" s="8" t="str">
        <f t="shared" si="83"/>
        <v/>
      </c>
      <c r="AF189" s="22" t="str">
        <f t="shared" si="84"/>
        <v>AZ_Maric_2020g</v>
      </c>
      <c r="AG189">
        <v>1</v>
      </c>
      <c r="AH189" s="272">
        <v>1342022</v>
      </c>
      <c r="AI189" s="273">
        <v>999481</v>
      </c>
      <c r="AJ189" s="274">
        <v>342541</v>
      </c>
      <c r="AK189" s="339">
        <v>656940</v>
      </c>
      <c r="AL189" s="340" t="s">
        <v>1710</v>
      </c>
      <c r="AM189" s="353">
        <f t="shared" si="85"/>
        <v>0.31439109517157415</v>
      </c>
      <c r="AN189" s="354"/>
      <c r="AP189" s="23">
        <f t="shared" si="88"/>
        <v>2673</v>
      </c>
      <c r="AQ189" s="392">
        <f t="shared" si="89"/>
        <v>0.99999999999997213</v>
      </c>
      <c r="AR189" s="392">
        <f t="shared" si="90"/>
        <v>1</v>
      </c>
      <c r="AS189" s="392">
        <f t="shared" si="90"/>
        <v>1</v>
      </c>
    </row>
    <row r="190" spans="1:45">
      <c r="A190" s="12" t="s">
        <v>1651</v>
      </c>
      <c r="B190" s="54" t="str">
        <f t="shared" si="69"/>
        <v>AZ_Maric_2020g</v>
      </c>
      <c r="C190" s="12"/>
      <c r="D190" s="54" t="str">
        <f t="shared" si="70"/>
        <v>Gen-glendale esd #40-gbm-4yr (vote for3)</v>
      </c>
      <c r="E190" s="54" t="s">
        <v>2089</v>
      </c>
      <c r="F190" s="12" t="s">
        <v>1300</v>
      </c>
      <c r="G190" s="59">
        <v>14504</v>
      </c>
      <c r="H190"/>
      <c r="K190" s="2"/>
      <c r="O190">
        <f t="shared" si="71"/>
        <v>1</v>
      </c>
      <c r="P190" s="57">
        <f t="shared" si="72"/>
        <v>3</v>
      </c>
      <c r="Q190" s="267">
        <f t="shared" si="73"/>
        <v>17918.666666666668</v>
      </c>
      <c r="R190" s="23">
        <f t="shared" si="74"/>
        <v>13745</v>
      </c>
      <c r="S190" s="23">
        <f t="shared" si="75"/>
        <v>11272</v>
      </c>
      <c r="T190" s="23">
        <f t="shared" si="76"/>
        <v>2473</v>
      </c>
      <c r="U190" t="str">
        <f t="shared" si="77"/>
        <v>AZ_Maric_2020g~Gen-glendale esd #40-gbm-4yr (vote for3)</v>
      </c>
      <c r="W190" s="1">
        <f t="shared" si="78"/>
        <v>189</v>
      </c>
      <c r="X190" s="73">
        <f t="shared" si="86"/>
        <v>11.737537490205945</v>
      </c>
      <c r="Y190" s="322">
        <f t="shared" si="79"/>
        <v>86193.075000000012</v>
      </c>
      <c r="Z190" s="43">
        <f t="shared" si="91"/>
        <v>0</v>
      </c>
      <c r="AA190" s="52">
        <f t="shared" si="80"/>
        <v>0</v>
      </c>
      <c r="AB190" s="8">
        <f t="shared" si="81"/>
        <v>20895.63</v>
      </c>
      <c r="AC190" s="8">
        <f t="shared" si="82"/>
        <v>2089563</v>
      </c>
      <c r="AD190" s="8">
        <f t="shared" si="87"/>
        <v>10447.815000000001</v>
      </c>
      <c r="AE190" s="8" t="str">
        <f t="shared" si="83"/>
        <v/>
      </c>
      <c r="AF190" s="22" t="str">
        <f t="shared" si="84"/>
        <v>AZ_Maric_2020g</v>
      </c>
      <c r="AG190">
        <v>1</v>
      </c>
      <c r="AH190" s="272">
        <v>1249175</v>
      </c>
      <c r="AI190" s="273">
        <v>954507</v>
      </c>
      <c r="AJ190" s="274">
        <v>294668</v>
      </c>
      <c r="AK190" s="339">
        <v>659839</v>
      </c>
      <c r="AL190" s="340" t="s">
        <v>1743</v>
      </c>
      <c r="AM190" s="353">
        <f t="shared" si="85"/>
        <v>0.31577846659803988</v>
      </c>
      <c r="AN190" s="354"/>
      <c r="AP190" s="23">
        <f t="shared" si="88"/>
        <v>2685</v>
      </c>
      <c r="AQ190" s="392">
        <f t="shared" si="89"/>
        <v>0.99999999999997635</v>
      </c>
      <c r="AR190" s="392">
        <f t="shared" si="90"/>
        <v>1</v>
      </c>
      <c r="AS190" s="392">
        <f t="shared" si="90"/>
        <v>1</v>
      </c>
    </row>
    <row r="191" spans="1:45">
      <c r="A191" s="12" t="s">
        <v>1651</v>
      </c>
      <c r="B191" s="54" t="str">
        <f t="shared" si="69"/>
        <v>AZ_Maric_2020g</v>
      </c>
      <c r="C191" s="12"/>
      <c r="D191" s="54" t="str">
        <f t="shared" si="70"/>
        <v>Gen-glendale esd #40-gbm-4yr (vote for3)</v>
      </c>
      <c r="E191" s="54" t="s">
        <v>2088</v>
      </c>
      <c r="F191" s="12" t="s">
        <v>1300</v>
      </c>
      <c r="G191" s="59">
        <v>13919</v>
      </c>
      <c r="H191"/>
      <c r="K191" s="2"/>
      <c r="O191">
        <f t="shared" si="71"/>
        <v>2</v>
      </c>
      <c r="P191" s="57">
        <f t="shared" si="72"/>
        <v>3</v>
      </c>
      <c r="Q191" s="267">
        <f t="shared" si="73"/>
        <v>39252</v>
      </c>
      <c r="R191" s="23">
        <f t="shared" si="74"/>
        <v>13745</v>
      </c>
      <c r="S191" s="23">
        <f t="shared" si="75"/>
        <v>11272</v>
      </c>
      <c r="T191" s="23" t="str">
        <f t="shared" si="76"/>
        <v/>
      </c>
      <c r="U191" t="str">
        <f t="shared" si="77"/>
        <v/>
      </c>
      <c r="W191" s="1">
        <f t="shared" si="78"/>
        <v>190</v>
      </c>
      <c r="X191" s="73">
        <f t="shared" si="86"/>
        <v>11.687525629533662</v>
      </c>
      <c r="Y191" s="322">
        <f t="shared" si="79"/>
        <v>86339.079000000012</v>
      </c>
      <c r="Z191" s="43">
        <f t="shared" si="91"/>
        <v>0</v>
      </c>
      <c r="AA191" s="52">
        <f t="shared" si="80"/>
        <v>0</v>
      </c>
      <c r="AB191" s="8">
        <f t="shared" si="81"/>
        <v>20895.63</v>
      </c>
      <c r="AC191" s="8">
        <f t="shared" si="82"/>
        <v>2089563</v>
      </c>
      <c r="AD191" s="8">
        <f t="shared" si="87"/>
        <v>10447.815000000001</v>
      </c>
      <c r="AE191" s="8" t="str">
        <f t="shared" si="83"/>
        <v/>
      </c>
      <c r="AF191" s="22" t="str">
        <f t="shared" si="84"/>
        <v>AZ_Maric_2020g</v>
      </c>
      <c r="AG191">
        <v>1</v>
      </c>
      <c r="AH191" s="272">
        <v>1251291</v>
      </c>
      <c r="AI191" s="273">
        <v>957538</v>
      </c>
      <c r="AJ191" s="274">
        <v>293753</v>
      </c>
      <c r="AK191" s="339">
        <v>663785</v>
      </c>
      <c r="AL191" s="340" t="s">
        <v>1751</v>
      </c>
      <c r="AM191" s="353">
        <f t="shared" si="85"/>
        <v>0.31766689972975209</v>
      </c>
      <c r="AN191" s="354"/>
      <c r="AP191" s="23">
        <f t="shared" si="88"/>
        <v>2702</v>
      </c>
      <c r="AQ191" s="392">
        <f t="shared" si="89"/>
        <v>0.99999999999998124</v>
      </c>
      <c r="AR191" s="392">
        <f t="shared" si="90"/>
        <v>1</v>
      </c>
      <c r="AS191" s="392">
        <f t="shared" si="90"/>
        <v>1</v>
      </c>
    </row>
    <row r="192" spans="1:45">
      <c r="A192" s="12" t="s">
        <v>1651</v>
      </c>
      <c r="B192" s="54" t="str">
        <f t="shared" si="69"/>
        <v>AZ_Maric_2020g</v>
      </c>
      <c r="C192" s="12"/>
      <c r="D192" s="54" t="str">
        <f t="shared" si="70"/>
        <v>Gen-glendale esd #40-gbm-4yr (vote for3)</v>
      </c>
      <c r="E192" s="54" t="s">
        <v>2090</v>
      </c>
      <c r="F192" s="12" t="s">
        <v>1300</v>
      </c>
      <c r="G192" s="59">
        <v>13745</v>
      </c>
      <c r="H192"/>
      <c r="K192" s="2"/>
      <c r="O192">
        <f t="shared" si="71"/>
        <v>3</v>
      </c>
      <c r="P192" s="57">
        <f t="shared" si="72"/>
        <v>3</v>
      </c>
      <c r="Q192" s="267">
        <f t="shared" si="73"/>
        <v>25333</v>
      </c>
      <c r="R192" s="23">
        <f t="shared" si="74"/>
        <v>13745</v>
      </c>
      <c r="S192" s="23">
        <f t="shared" si="75"/>
        <v>11272</v>
      </c>
      <c r="T192" s="23" t="str">
        <f t="shared" si="76"/>
        <v/>
      </c>
      <c r="U192" t="str">
        <f t="shared" si="77"/>
        <v/>
      </c>
      <c r="W192" s="1">
        <f t="shared" si="78"/>
        <v>191</v>
      </c>
      <c r="X192" s="73">
        <f t="shared" si="86"/>
        <v>11.827520797065219</v>
      </c>
      <c r="Y192" s="322">
        <f t="shared" si="79"/>
        <v>87406.302000000011</v>
      </c>
      <c r="Z192" s="43">
        <f t="shared" si="91"/>
        <v>0</v>
      </c>
      <c r="AA192" s="52">
        <f t="shared" si="80"/>
        <v>0</v>
      </c>
      <c r="AB192" s="8">
        <f t="shared" si="81"/>
        <v>20895.63</v>
      </c>
      <c r="AC192" s="8">
        <f t="shared" si="82"/>
        <v>2089563</v>
      </c>
      <c r="AD192" s="8">
        <f t="shared" si="87"/>
        <v>10447.815000000001</v>
      </c>
      <c r="AE192" s="8" t="str">
        <f t="shared" si="83"/>
        <v/>
      </c>
      <c r="AF192" s="22" t="str">
        <f t="shared" si="84"/>
        <v>AZ_Maric_2020g</v>
      </c>
      <c r="AG192">
        <v>1</v>
      </c>
      <c r="AH192" s="272">
        <v>1266758</v>
      </c>
      <c r="AI192" s="273">
        <v>965397</v>
      </c>
      <c r="AJ192" s="274">
        <v>301361</v>
      </c>
      <c r="AK192" s="339">
        <v>664036</v>
      </c>
      <c r="AL192" s="340" t="s">
        <v>1723</v>
      </c>
      <c r="AM192" s="353">
        <f t="shared" si="85"/>
        <v>0.31778702053970137</v>
      </c>
      <c r="AN192" s="354"/>
      <c r="AP192" s="23">
        <f t="shared" si="88"/>
        <v>2703</v>
      </c>
      <c r="AQ192" s="392">
        <f t="shared" si="89"/>
        <v>0.99999999999998146</v>
      </c>
      <c r="AR192" s="392">
        <f t="shared" si="90"/>
        <v>1</v>
      </c>
      <c r="AS192" s="392">
        <f t="shared" si="90"/>
        <v>1</v>
      </c>
    </row>
    <row r="193" spans="1:45">
      <c r="A193" s="12" t="s">
        <v>1651</v>
      </c>
      <c r="B193" s="54" t="str">
        <f t="shared" si="69"/>
        <v>AZ_Maric_2020g</v>
      </c>
      <c r="C193" s="12"/>
      <c r="D193" s="54" t="str">
        <f t="shared" si="70"/>
        <v>Gen-glendale esd #40-gbm-4yr (vote for3)</v>
      </c>
      <c r="E193" s="54" t="s">
        <v>2087</v>
      </c>
      <c r="F193" s="12" t="s">
        <v>1300</v>
      </c>
      <c r="G193" s="59">
        <v>11272</v>
      </c>
      <c r="H193"/>
      <c r="K193" s="2"/>
      <c r="O193">
        <f t="shared" si="71"/>
        <v>4</v>
      </c>
      <c r="P193" s="57">
        <f t="shared" si="72"/>
        <v>3</v>
      </c>
      <c r="Q193" s="267">
        <f t="shared" si="73"/>
        <v>11588</v>
      </c>
      <c r="R193" s="23" t="str">
        <f t="shared" si="74"/>
        <v/>
      </c>
      <c r="S193" s="23">
        <f t="shared" si="75"/>
        <v>11272</v>
      </c>
      <c r="T193" s="23" t="str">
        <f t="shared" si="76"/>
        <v/>
      </c>
      <c r="U193" t="str">
        <f t="shared" si="77"/>
        <v/>
      </c>
      <c r="W193" s="1">
        <f t="shared" si="78"/>
        <v>192</v>
      </c>
      <c r="X193" s="73">
        <f t="shared" si="86"/>
        <v>13.32496183137145</v>
      </c>
      <c r="Y193" s="322">
        <f t="shared" si="79"/>
        <v>98490.6</v>
      </c>
      <c r="Z193" s="43">
        <f t="shared" si="91"/>
        <v>0</v>
      </c>
      <c r="AA193" s="52">
        <f t="shared" si="80"/>
        <v>0</v>
      </c>
      <c r="AB193" s="8">
        <f t="shared" si="81"/>
        <v>20895.63</v>
      </c>
      <c r="AC193" s="8">
        <f t="shared" si="82"/>
        <v>2089563</v>
      </c>
      <c r="AD193" s="8">
        <f t="shared" si="87"/>
        <v>10447.815000000001</v>
      </c>
      <c r="AE193" s="8" t="str">
        <f t="shared" si="83"/>
        <v/>
      </c>
      <c r="AF193" s="22" t="str">
        <f t="shared" si="84"/>
        <v>AZ_Maric_2020g</v>
      </c>
      <c r="AG193">
        <v>1</v>
      </c>
      <c r="AH193" s="272">
        <v>1427400</v>
      </c>
      <c r="AI193" s="273">
        <v>1045779</v>
      </c>
      <c r="AJ193" s="274">
        <v>381621</v>
      </c>
      <c r="AK193" s="339">
        <v>664158</v>
      </c>
      <c r="AL193" s="340" t="s">
        <v>1706</v>
      </c>
      <c r="AM193" s="353">
        <f t="shared" si="85"/>
        <v>0.31784540595330218</v>
      </c>
      <c r="AN193" s="354"/>
      <c r="AP193" s="23">
        <f t="shared" si="88"/>
        <v>2703</v>
      </c>
      <c r="AQ193" s="392">
        <f t="shared" si="89"/>
        <v>0.99999999999998146</v>
      </c>
      <c r="AR193" s="392">
        <f t="shared" si="90"/>
        <v>1</v>
      </c>
      <c r="AS193" s="392">
        <f t="shared" si="90"/>
        <v>1</v>
      </c>
    </row>
    <row r="194" spans="1:45">
      <c r="A194" s="12" t="s">
        <v>1651</v>
      </c>
      <c r="B194" s="54" t="str">
        <f t="shared" ref="B194:B257" si="92">LEFT(A194,14)</f>
        <v>AZ_Maric_2020g</v>
      </c>
      <c r="C194" s="12"/>
      <c r="D194" s="54" t="str">
        <f t="shared" ref="D194:D257" si="93">MID(A194,16,99)</f>
        <v>Gen-glendale esd #40-gbm-4yr (vote for3)</v>
      </c>
      <c r="E194" s="54" t="s">
        <v>1299</v>
      </c>
      <c r="G194" s="59">
        <v>316</v>
      </c>
      <c r="H194"/>
      <c r="K194" s="2"/>
      <c r="O194">
        <f t="shared" ref="O194:O257" si="94">IF(OR(LOWER(LEFT(E194,8))="write-in",LOWER(LEFT(E194,8))="not qual"),IF(A194=A193,-ABS(O193),0),IF(A194=A193,ABS(O193)+1,1))</f>
        <v>-4</v>
      </c>
      <c r="P194" s="57">
        <f t="shared" ref="P194:P257" si="95">1*LEFT(RIGHT(A194,2),1)</f>
        <v>3</v>
      </c>
      <c r="Q194" s="267">
        <f t="shared" ref="Q194:Q257" si="96">IF(A194&lt;&gt;A195,G194,IF(A194=A193,G194+Q195,MAX(G194,(G194+Q195)/P194)))</f>
        <v>316</v>
      </c>
      <c r="R194" s="23">
        <f t="shared" ref="R194:R257" si="97">IF(O194&gt;P194,"",IF(O194=P194,G194,IF(A194=A195,R195,IF(O194&lt;=0,1,G194))))</f>
        <v>1</v>
      </c>
      <c r="S194" s="23">
        <f t="shared" ref="S194:S257" si="98">IF(AND(O194&gt;P194,LOWER(LEFT(E194,8))&lt;&gt;"write-in",LOWER(LEFT(E194,8))&lt;&gt;"not qual"),G194,IF(A194=A195,S195,0))</f>
        <v>0</v>
      </c>
      <c r="T194" s="23" t="str">
        <f t="shared" ref="T194:T257" si="99">IF(OR(A194=A193,S194=0),"",R194-ABS(S194))</f>
        <v/>
      </c>
      <c r="U194" t="str">
        <f t="shared" ref="U194:U257" si="100">IF(A194=A193,"",A194)</f>
        <v/>
      </c>
      <c r="W194" s="1">
        <f t="shared" ref="W194:W257" si="101">IF(AF194=AF193,W193+1,1)</f>
        <v>193</v>
      </c>
      <c r="X194" s="73">
        <f t="shared" si="86"/>
        <v>12.277179352612324</v>
      </c>
      <c r="Y194" s="322">
        <f t="shared" ref="Y194:Y257" si="102">MAX(X194,0.069*AH194)</f>
        <v>91381.737000000008</v>
      </c>
      <c r="Z194" s="43">
        <f t="shared" si="91"/>
        <v>0</v>
      </c>
      <c r="AA194" s="52">
        <f t="shared" ref="AA194:AA257" si="103">(1-AK194/AC194)^AB194</f>
        <v>0</v>
      </c>
      <c r="AB194" s="8">
        <f t="shared" ref="AB194:AB257" si="104">INDEX(BA$2:BA$76,MATCH($AF194,$AU$2:$AU$76,0))+IF(AE194="",0,INDEX(BA$2:BA$76,AE194))</f>
        <v>20895.63</v>
      </c>
      <c r="AC194" s="8">
        <f t="shared" ref="AC194:AC257" si="105">INDEX(AX$2:AX$76,MATCH(AF194,AU$2:AU$76,0))+IF(AE194="",0,INDEX(AX$2:AX$76,AE194))</f>
        <v>2089563</v>
      </c>
      <c r="AD194" s="8">
        <f t="shared" si="87"/>
        <v>10447.815000000001</v>
      </c>
      <c r="AE194" s="8" t="str">
        <f t="shared" ref="AE194:AE257" si="106">IF(MID(AL194,16,2)&lt;&gt;"w/","",MATCH(CONCATENATE("CO_",MID(AL194,18,5),"_2020g"),AU$2:AU$76,0))</f>
        <v/>
      </c>
      <c r="AF194" s="22" t="str">
        <f t="shared" ref="AF194:AF257" si="107">LEFT(AL194,14)</f>
        <v>AZ_Maric_2020g</v>
      </c>
      <c r="AG194">
        <v>1</v>
      </c>
      <c r="AH194" s="272">
        <v>1324373</v>
      </c>
      <c r="AI194" s="273">
        <v>996592</v>
      </c>
      <c r="AJ194" s="274">
        <v>327781</v>
      </c>
      <c r="AK194" s="339">
        <v>668811</v>
      </c>
      <c r="AL194" s="340" t="s">
        <v>1713</v>
      </c>
      <c r="AM194" s="353">
        <f t="shared" ref="AM194:AM257" si="108">AK194/AC194</f>
        <v>0.32007218734252091</v>
      </c>
      <c r="AN194" s="354"/>
      <c r="AP194" s="23">
        <f t="shared" si="88"/>
        <v>2723</v>
      </c>
      <c r="AQ194" s="392">
        <f t="shared" si="89"/>
        <v>0.9999999999999859</v>
      </c>
      <c r="AR194" s="392">
        <f t="shared" si="90"/>
        <v>1</v>
      </c>
      <c r="AS194" s="392">
        <f t="shared" si="90"/>
        <v>1</v>
      </c>
    </row>
    <row r="195" spans="1:45">
      <c r="A195" s="12" t="s">
        <v>1622</v>
      </c>
      <c r="B195" s="54" t="str">
        <f t="shared" si="92"/>
        <v>AZ_Maric_2020g</v>
      </c>
      <c r="C195" s="12"/>
      <c r="D195" s="54" t="str">
        <f t="shared" si="93"/>
        <v>Gen-glendale uhsd #205-question (vote for1)</v>
      </c>
      <c r="E195" s="54" t="s">
        <v>2001</v>
      </c>
      <c r="F195" s="12" t="s">
        <v>1300</v>
      </c>
      <c r="G195" s="59">
        <v>61149</v>
      </c>
      <c r="H195"/>
      <c r="K195" s="2"/>
      <c r="O195">
        <f t="shared" si="94"/>
        <v>1</v>
      </c>
      <c r="P195" s="57">
        <f t="shared" si="95"/>
        <v>1</v>
      </c>
      <c r="Q195" s="267">
        <f t="shared" si="96"/>
        <v>112787</v>
      </c>
      <c r="R195" s="23">
        <f t="shared" si="97"/>
        <v>61149</v>
      </c>
      <c r="S195" s="23">
        <f t="shared" si="98"/>
        <v>51638</v>
      </c>
      <c r="T195" s="23">
        <f t="shared" si="99"/>
        <v>9511</v>
      </c>
      <c r="U195" t="str">
        <f t="shared" si="100"/>
        <v>AZ_Maric_2020g~Gen-glendale uhsd #205-question (vote for1)</v>
      </c>
      <c r="W195" s="1">
        <f t="shared" si="101"/>
        <v>194</v>
      </c>
      <c r="X195" s="73">
        <f t="shared" ref="X195:X258" si="109">IF(AK195=0,AH195,MIN(AH195,6.2/(AK195/AH195)))</f>
        <v>11.596320289457029</v>
      </c>
      <c r="Y195" s="322">
        <f t="shared" si="102"/>
        <v>86460.174000000014</v>
      </c>
      <c r="Z195" s="43">
        <f t="shared" si="91"/>
        <v>0</v>
      </c>
      <c r="AA195" s="52">
        <f t="shared" si="103"/>
        <v>0</v>
      </c>
      <c r="AB195" s="8">
        <f t="shared" si="104"/>
        <v>20895.63</v>
      </c>
      <c r="AC195" s="8">
        <f t="shared" si="105"/>
        <v>2089563</v>
      </c>
      <c r="AD195" s="8">
        <f t="shared" ref="AD195:AD258" si="110">AC195/RIGHT(AD$1,4)</f>
        <v>10447.815000000001</v>
      </c>
      <c r="AE195" s="8" t="str">
        <f t="shared" si="106"/>
        <v/>
      </c>
      <c r="AF195" s="22" t="str">
        <f t="shared" si="107"/>
        <v>AZ_Maric_2020g</v>
      </c>
      <c r="AG195">
        <v>1</v>
      </c>
      <c r="AH195" s="272">
        <v>1253046</v>
      </c>
      <c r="AI195" s="273">
        <v>961495</v>
      </c>
      <c r="AJ195" s="274">
        <v>291551</v>
      </c>
      <c r="AK195" s="339">
        <v>669944</v>
      </c>
      <c r="AL195" s="340" t="s">
        <v>1746</v>
      </c>
      <c r="AM195" s="353">
        <f t="shared" si="108"/>
        <v>0.32061440597866636</v>
      </c>
      <c r="AN195" s="354"/>
      <c r="AP195" s="23">
        <f t="shared" si="88"/>
        <v>2728</v>
      </c>
      <c r="AQ195" s="392">
        <f t="shared" si="89"/>
        <v>0.9999999999999869</v>
      </c>
      <c r="AR195" s="392">
        <f t="shared" si="90"/>
        <v>1</v>
      </c>
      <c r="AS195" s="392">
        <f t="shared" si="90"/>
        <v>1</v>
      </c>
    </row>
    <row r="196" spans="1:45">
      <c r="A196" s="12" t="s">
        <v>1622</v>
      </c>
      <c r="B196" s="54" t="str">
        <f t="shared" si="92"/>
        <v>AZ_Maric_2020g</v>
      </c>
      <c r="C196" s="12"/>
      <c r="D196" s="54" t="str">
        <f t="shared" si="93"/>
        <v>Gen-glendale uhsd #205-question (vote for1)</v>
      </c>
      <c r="E196" s="54" t="s">
        <v>2002</v>
      </c>
      <c r="F196" s="12" t="s">
        <v>1300</v>
      </c>
      <c r="G196" s="59">
        <v>51638</v>
      </c>
      <c r="H196"/>
      <c r="K196" s="2"/>
      <c r="O196">
        <f t="shared" si="94"/>
        <v>2</v>
      </c>
      <c r="P196" s="57">
        <f t="shared" si="95"/>
        <v>1</v>
      </c>
      <c r="Q196" s="267">
        <f t="shared" si="96"/>
        <v>51638</v>
      </c>
      <c r="R196" s="23" t="str">
        <f t="shared" si="97"/>
        <v/>
      </c>
      <c r="S196" s="23">
        <f t="shared" si="98"/>
        <v>51638</v>
      </c>
      <c r="T196" s="23" t="str">
        <f t="shared" si="99"/>
        <v/>
      </c>
      <c r="U196" t="str">
        <f t="shared" si="100"/>
        <v/>
      </c>
      <c r="W196" s="1">
        <f t="shared" si="101"/>
        <v>195</v>
      </c>
      <c r="X196" s="73">
        <f t="shared" si="109"/>
        <v>11.378994558936617</v>
      </c>
      <c r="Y196" s="322">
        <f t="shared" si="102"/>
        <v>87115.881000000008</v>
      </c>
      <c r="Z196" s="43">
        <f t="shared" si="91"/>
        <v>0</v>
      </c>
      <c r="AA196" s="52">
        <f t="shared" si="103"/>
        <v>0</v>
      </c>
      <c r="AB196" s="8">
        <f t="shared" si="104"/>
        <v>20895.63</v>
      </c>
      <c r="AC196" s="8">
        <f t="shared" si="105"/>
        <v>2089563</v>
      </c>
      <c r="AD196" s="8">
        <f t="shared" si="110"/>
        <v>10447.815000000001</v>
      </c>
      <c r="AE196" s="8" t="str">
        <f t="shared" si="106"/>
        <v/>
      </c>
      <c r="AF196" s="22" t="str">
        <f t="shared" si="107"/>
        <v>AZ_Maric_2020g</v>
      </c>
      <c r="AG196">
        <v>1</v>
      </c>
      <c r="AH196" s="272">
        <v>1262549</v>
      </c>
      <c r="AI196" s="273">
        <v>975233</v>
      </c>
      <c r="AJ196" s="274">
        <v>287316</v>
      </c>
      <c r="AK196" s="339">
        <v>687917</v>
      </c>
      <c r="AL196" s="340" t="s">
        <v>1727</v>
      </c>
      <c r="AM196" s="353">
        <f t="shared" si="108"/>
        <v>0.3292157259675827</v>
      </c>
      <c r="AN196" s="354"/>
      <c r="AP196" s="23">
        <f t="shared" si="88"/>
        <v>2803</v>
      </c>
      <c r="AQ196" s="392">
        <f t="shared" si="89"/>
        <v>0.99999999999999534</v>
      </c>
      <c r="AR196" s="392">
        <f t="shared" si="90"/>
        <v>1</v>
      </c>
      <c r="AS196" s="392">
        <f t="shared" si="90"/>
        <v>1</v>
      </c>
    </row>
    <row r="197" spans="1:45">
      <c r="A197" s="12" t="s">
        <v>1680</v>
      </c>
      <c r="B197" s="54" t="str">
        <f t="shared" si="92"/>
        <v>AZ_Maric_2020g</v>
      </c>
      <c r="C197" s="12"/>
      <c r="D197" s="54" t="str">
        <f t="shared" si="93"/>
        <v>Gen-glendale-proposition 437 (vote for1)</v>
      </c>
      <c r="E197" s="54" t="s">
        <v>1981</v>
      </c>
      <c r="F197" s="12" t="s">
        <v>1300</v>
      </c>
      <c r="G197" s="59">
        <v>46711</v>
      </c>
      <c r="H197"/>
      <c r="K197" s="2"/>
      <c r="O197">
        <f t="shared" si="94"/>
        <v>1</v>
      </c>
      <c r="P197" s="57">
        <f t="shared" si="95"/>
        <v>1</v>
      </c>
      <c r="Q197" s="267">
        <f t="shared" si="96"/>
        <v>83695</v>
      </c>
      <c r="R197" s="23">
        <f t="shared" si="97"/>
        <v>46711</v>
      </c>
      <c r="S197" s="23">
        <f t="shared" si="98"/>
        <v>36984</v>
      </c>
      <c r="T197" s="23">
        <f t="shared" si="99"/>
        <v>9727</v>
      </c>
      <c r="U197" t="str">
        <f t="shared" si="100"/>
        <v>AZ_Maric_2020g~Gen-glendale-proposition 437 (vote for1)</v>
      </c>
      <c r="W197" s="1">
        <f t="shared" si="101"/>
        <v>196</v>
      </c>
      <c r="X197" s="73">
        <f t="shared" si="109"/>
        <v>10.955399107417579</v>
      </c>
      <c r="Y197" s="322">
        <f t="shared" si="102"/>
        <v>86383.170000000013</v>
      </c>
      <c r="Z197" s="43">
        <f t="shared" si="91"/>
        <v>0</v>
      </c>
      <c r="AA197" s="52">
        <f t="shared" si="103"/>
        <v>0</v>
      </c>
      <c r="AB197" s="8">
        <f t="shared" si="104"/>
        <v>20895.63</v>
      </c>
      <c r="AC197" s="8">
        <f t="shared" si="105"/>
        <v>2089563</v>
      </c>
      <c r="AD197" s="8">
        <f t="shared" si="110"/>
        <v>10447.815000000001</v>
      </c>
      <c r="AE197" s="8" t="str">
        <f t="shared" si="106"/>
        <v/>
      </c>
      <c r="AF197" s="22" t="str">
        <f t="shared" si="107"/>
        <v>AZ_Maric_2020g</v>
      </c>
      <c r="AG197">
        <v>1</v>
      </c>
      <c r="AH197" s="272">
        <v>1251930</v>
      </c>
      <c r="AI197" s="273">
        <v>980218</v>
      </c>
      <c r="AJ197" s="274">
        <v>271712</v>
      </c>
      <c r="AK197" s="339">
        <v>708506</v>
      </c>
      <c r="AL197" s="344" t="s">
        <v>1747</v>
      </c>
      <c r="AM197" s="353">
        <f t="shared" si="108"/>
        <v>0.33906898236616939</v>
      </c>
      <c r="AN197" s="354"/>
      <c r="AP197" s="23">
        <f t="shared" si="88"/>
        <v>2890</v>
      </c>
      <c r="AQ197" s="392">
        <f t="shared" si="89"/>
        <v>0.99999999999999856</v>
      </c>
      <c r="AR197" s="392">
        <f t="shared" si="90"/>
        <v>1</v>
      </c>
      <c r="AS197" s="392">
        <f t="shared" si="90"/>
        <v>1</v>
      </c>
    </row>
    <row r="198" spans="1:45">
      <c r="A198" s="12" t="s">
        <v>1680</v>
      </c>
      <c r="B198" s="54" t="str">
        <f t="shared" si="92"/>
        <v>AZ_Maric_2020g</v>
      </c>
      <c r="C198" s="12"/>
      <c r="D198" s="54" t="str">
        <f t="shared" si="93"/>
        <v>Gen-glendale-proposition 437 (vote for1)</v>
      </c>
      <c r="E198" s="54" t="s">
        <v>1982</v>
      </c>
      <c r="F198" s="12" t="s">
        <v>1300</v>
      </c>
      <c r="G198" s="59">
        <v>36984</v>
      </c>
      <c r="H198"/>
      <c r="K198" s="2"/>
      <c r="O198">
        <f t="shared" si="94"/>
        <v>2</v>
      </c>
      <c r="P198" s="57">
        <f t="shared" si="95"/>
        <v>1</v>
      </c>
      <c r="Q198" s="267">
        <f t="shared" si="96"/>
        <v>36984</v>
      </c>
      <c r="R198" s="23" t="str">
        <f t="shared" si="97"/>
        <v/>
      </c>
      <c r="S198" s="23">
        <f t="shared" si="98"/>
        <v>36984</v>
      </c>
      <c r="T198" s="23" t="str">
        <f t="shared" si="99"/>
        <v/>
      </c>
      <c r="U198" t="str">
        <f t="shared" si="100"/>
        <v/>
      </c>
      <c r="W198" s="1">
        <f t="shared" si="101"/>
        <v>197</v>
      </c>
      <c r="X198" s="73">
        <f t="shared" si="109"/>
        <v>10.976834111639681</v>
      </c>
      <c r="Y198" s="322">
        <f t="shared" si="102"/>
        <v>86771.709000000003</v>
      </c>
      <c r="Z198" s="43">
        <f t="shared" si="91"/>
        <v>0</v>
      </c>
      <c r="AA198" s="52">
        <f t="shared" si="103"/>
        <v>0</v>
      </c>
      <c r="AB198" s="8">
        <f t="shared" si="104"/>
        <v>20895.63</v>
      </c>
      <c r="AC198" s="8">
        <f t="shared" si="105"/>
        <v>2089563</v>
      </c>
      <c r="AD198" s="8">
        <f t="shared" si="110"/>
        <v>10447.815000000001</v>
      </c>
      <c r="AE198" s="8" t="str">
        <f t="shared" si="106"/>
        <v/>
      </c>
      <c r="AF198" s="22" t="str">
        <f t="shared" si="107"/>
        <v>AZ_Maric_2020g</v>
      </c>
      <c r="AG198">
        <v>1</v>
      </c>
      <c r="AH198" s="272">
        <v>1257561</v>
      </c>
      <c r="AI198" s="273">
        <v>983932</v>
      </c>
      <c r="AJ198" s="274">
        <v>273629</v>
      </c>
      <c r="AK198" s="339">
        <v>710303</v>
      </c>
      <c r="AL198" s="340" t="s">
        <v>1733</v>
      </c>
      <c r="AM198" s="353">
        <f t="shared" si="108"/>
        <v>0.33992897079437184</v>
      </c>
      <c r="AN198" s="354"/>
      <c r="AP198" s="23">
        <f t="shared" si="88"/>
        <v>2897</v>
      </c>
      <c r="AQ198" s="392">
        <f t="shared" si="89"/>
        <v>0.99999999999999878</v>
      </c>
      <c r="AR198" s="392">
        <f t="shared" si="90"/>
        <v>1</v>
      </c>
      <c r="AS198" s="392">
        <f t="shared" si="90"/>
        <v>1</v>
      </c>
    </row>
    <row r="199" spans="1:45">
      <c r="A199" s="12" t="s">
        <v>1681</v>
      </c>
      <c r="B199" s="54" t="str">
        <f t="shared" si="92"/>
        <v>AZ_Maric_2020g</v>
      </c>
      <c r="C199" s="12"/>
      <c r="D199" s="54" t="str">
        <f t="shared" si="93"/>
        <v>Gen-glendale-question 1 (vote for1)</v>
      </c>
      <c r="E199" s="54" t="s">
        <v>2002</v>
      </c>
      <c r="F199" s="12" t="s">
        <v>1300</v>
      </c>
      <c r="G199" s="59">
        <v>51272</v>
      </c>
      <c r="H199"/>
      <c r="K199" s="2"/>
      <c r="O199">
        <f t="shared" si="94"/>
        <v>1</v>
      </c>
      <c r="P199" s="57">
        <f t="shared" si="95"/>
        <v>1</v>
      </c>
      <c r="Q199" s="267">
        <f t="shared" si="96"/>
        <v>85649</v>
      </c>
      <c r="R199" s="23">
        <f t="shared" si="97"/>
        <v>51272</v>
      </c>
      <c r="S199" s="23">
        <f t="shared" si="98"/>
        <v>34377</v>
      </c>
      <c r="T199" s="23">
        <f t="shared" si="99"/>
        <v>16895</v>
      </c>
      <c r="U199" t="str">
        <f t="shared" si="100"/>
        <v>AZ_Maric_2020g~Gen-glendale-question 1 (vote for1)</v>
      </c>
      <c r="W199" s="1">
        <f t="shared" si="101"/>
        <v>198</v>
      </c>
      <c r="X199" s="73">
        <f t="shared" si="109"/>
        <v>11.263992089040375</v>
      </c>
      <c r="Y199" s="322">
        <f t="shared" si="102"/>
        <v>89371.629000000001</v>
      </c>
      <c r="Z199" s="43">
        <f t="shared" si="91"/>
        <v>0</v>
      </c>
      <c r="AA199" s="52">
        <f t="shared" si="103"/>
        <v>0</v>
      </c>
      <c r="AB199" s="8">
        <f t="shared" si="104"/>
        <v>20895.63</v>
      </c>
      <c r="AC199" s="8">
        <f t="shared" si="105"/>
        <v>2089563</v>
      </c>
      <c r="AD199" s="8">
        <f t="shared" si="110"/>
        <v>10447.815000000001</v>
      </c>
      <c r="AE199" s="8" t="str">
        <f t="shared" si="106"/>
        <v/>
      </c>
      <c r="AF199" s="22" t="str">
        <f t="shared" si="107"/>
        <v>AZ_Maric_2020g</v>
      </c>
      <c r="AG199">
        <v>1</v>
      </c>
      <c r="AH199" s="272">
        <v>1295241</v>
      </c>
      <c r="AI199" s="273">
        <v>1004088</v>
      </c>
      <c r="AJ199" s="274">
        <v>291153</v>
      </c>
      <c r="AK199" s="339">
        <v>712935</v>
      </c>
      <c r="AL199" s="340" t="s">
        <v>1716</v>
      </c>
      <c r="AM199" s="353">
        <f t="shared" si="108"/>
        <v>0.34118856430746525</v>
      </c>
      <c r="AN199" s="354"/>
      <c r="AP199" s="23">
        <f t="shared" si="88"/>
        <v>2908</v>
      </c>
      <c r="AQ199" s="392">
        <f t="shared" si="89"/>
        <v>0.99999999999999889</v>
      </c>
      <c r="AR199" s="392">
        <f t="shared" si="90"/>
        <v>1</v>
      </c>
      <c r="AS199" s="392">
        <f t="shared" si="90"/>
        <v>1</v>
      </c>
    </row>
    <row r="200" spans="1:45">
      <c r="A200" s="12" t="s">
        <v>1681</v>
      </c>
      <c r="B200" s="54" t="str">
        <f t="shared" si="92"/>
        <v>AZ_Maric_2020g</v>
      </c>
      <c r="C200" s="12"/>
      <c r="D200" s="54" t="str">
        <f t="shared" si="93"/>
        <v>Gen-glendale-question 1 (vote for1)</v>
      </c>
      <c r="E200" s="54" t="s">
        <v>2001</v>
      </c>
      <c r="F200" s="12" t="s">
        <v>1300</v>
      </c>
      <c r="G200" s="59">
        <v>34377</v>
      </c>
      <c r="H200"/>
      <c r="K200" s="2"/>
      <c r="O200">
        <f t="shared" si="94"/>
        <v>2</v>
      </c>
      <c r="P200" s="57">
        <f t="shared" si="95"/>
        <v>1</v>
      </c>
      <c r="Q200" s="267">
        <f t="shared" si="96"/>
        <v>34377</v>
      </c>
      <c r="R200" s="23" t="str">
        <f t="shared" si="97"/>
        <v/>
      </c>
      <c r="S200" s="23">
        <f t="shared" si="98"/>
        <v>34377</v>
      </c>
      <c r="T200" s="23" t="str">
        <f t="shared" si="99"/>
        <v/>
      </c>
      <c r="U200" t="str">
        <f t="shared" si="100"/>
        <v/>
      </c>
      <c r="W200" s="1">
        <f t="shared" si="101"/>
        <v>199</v>
      </c>
      <c r="X200" s="73">
        <f t="shared" si="109"/>
        <v>11.219345555930349</v>
      </c>
      <c r="Y200" s="322">
        <f t="shared" si="102"/>
        <v>89208.927000000011</v>
      </c>
      <c r="Z200" s="43">
        <f t="shared" si="91"/>
        <v>0</v>
      </c>
      <c r="AA200" s="52">
        <f t="shared" si="103"/>
        <v>0</v>
      </c>
      <c r="AB200" s="8">
        <f t="shared" si="104"/>
        <v>20895.63</v>
      </c>
      <c r="AC200" s="8">
        <f t="shared" si="105"/>
        <v>2089563</v>
      </c>
      <c r="AD200" s="8">
        <f t="shared" si="110"/>
        <v>10447.815000000001</v>
      </c>
      <c r="AE200" s="8" t="str">
        <f t="shared" si="106"/>
        <v/>
      </c>
      <c r="AF200" s="22" t="str">
        <f t="shared" si="107"/>
        <v>AZ_Maric_2020g</v>
      </c>
      <c r="AG200">
        <v>1</v>
      </c>
      <c r="AH200" s="272">
        <v>1292883</v>
      </c>
      <c r="AI200" s="273">
        <v>1003676</v>
      </c>
      <c r="AJ200" s="274">
        <v>289207</v>
      </c>
      <c r="AK200" s="339">
        <v>714469</v>
      </c>
      <c r="AL200" s="340" t="s">
        <v>1715</v>
      </c>
      <c r="AM200" s="353">
        <f t="shared" si="108"/>
        <v>0.34192268909815116</v>
      </c>
      <c r="AN200" s="354"/>
      <c r="AP200" s="23">
        <f t="shared" si="88"/>
        <v>2915</v>
      </c>
      <c r="AQ200" s="392">
        <f t="shared" si="89"/>
        <v>0.999999999999999</v>
      </c>
      <c r="AR200" s="392">
        <f t="shared" si="90"/>
        <v>1</v>
      </c>
      <c r="AS200" s="392">
        <f t="shared" si="90"/>
        <v>1</v>
      </c>
    </row>
    <row r="201" spans="1:45">
      <c r="A201" s="12" t="s">
        <v>1682</v>
      </c>
      <c r="B201" s="54" t="str">
        <f t="shared" si="92"/>
        <v>AZ_Maric_2020g</v>
      </c>
      <c r="C201" s="12"/>
      <c r="D201" s="54" t="str">
        <f t="shared" si="93"/>
        <v>Gen-glendale-question 2  (vote for1)</v>
      </c>
      <c r="E201" s="54" t="s">
        <v>2002</v>
      </c>
      <c r="F201" s="12" t="s">
        <v>1300</v>
      </c>
      <c r="G201" s="59">
        <v>46152</v>
      </c>
      <c r="H201"/>
      <c r="K201" s="2"/>
      <c r="O201">
        <f t="shared" si="94"/>
        <v>1</v>
      </c>
      <c r="P201" s="57">
        <f t="shared" si="95"/>
        <v>1</v>
      </c>
      <c r="Q201" s="267">
        <f t="shared" si="96"/>
        <v>85159</v>
      </c>
      <c r="R201" s="23">
        <f t="shared" si="97"/>
        <v>46152</v>
      </c>
      <c r="S201" s="23">
        <f t="shared" si="98"/>
        <v>39007</v>
      </c>
      <c r="T201" s="23">
        <f t="shared" si="99"/>
        <v>7145</v>
      </c>
      <c r="U201" t="str">
        <f t="shared" si="100"/>
        <v>AZ_Maric_2020g~Gen-glendale-question 2  (vote for1)</v>
      </c>
      <c r="W201" s="1">
        <f t="shared" si="101"/>
        <v>200</v>
      </c>
      <c r="X201" s="73">
        <f t="shared" si="109"/>
        <v>10.79114938306874</v>
      </c>
      <c r="Y201" s="322">
        <f t="shared" si="102"/>
        <v>88280.670000000013</v>
      </c>
      <c r="Z201" s="43">
        <f t="shared" si="91"/>
        <v>0</v>
      </c>
      <c r="AA201" s="52">
        <f t="shared" si="103"/>
        <v>0</v>
      </c>
      <c r="AB201" s="8">
        <f t="shared" si="104"/>
        <v>20895.63</v>
      </c>
      <c r="AC201" s="8">
        <f t="shared" si="105"/>
        <v>2089563</v>
      </c>
      <c r="AD201" s="8">
        <f t="shared" si="110"/>
        <v>10447.815000000001</v>
      </c>
      <c r="AE201" s="8" t="str">
        <f t="shared" si="106"/>
        <v/>
      </c>
      <c r="AF201" s="22" t="str">
        <f t="shared" si="107"/>
        <v>AZ_Maric_2020g</v>
      </c>
      <c r="AG201">
        <v>1</v>
      </c>
      <c r="AH201" s="272">
        <v>1279430</v>
      </c>
      <c r="AI201" s="273">
        <v>1007260</v>
      </c>
      <c r="AJ201" s="274">
        <v>272170</v>
      </c>
      <c r="AK201" s="339">
        <v>735090</v>
      </c>
      <c r="AL201" s="340" t="s">
        <v>1719</v>
      </c>
      <c r="AM201" s="353">
        <f t="shared" si="108"/>
        <v>0.35179125970358394</v>
      </c>
      <c r="AN201" s="354"/>
      <c r="AP201" s="23">
        <f t="shared" si="88"/>
        <v>3001</v>
      </c>
      <c r="AQ201" s="392">
        <f t="shared" si="89"/>
        <v>0.99999999999999967</v>
      </c>
      <c r="AR201" s="392">
        <f t="shared" si="90"/>
        <v>1</v>
      </c>
      <c r="AS201" s="392">
        <f t="shared" si="90"/>
        <v>1</v>
      </c>
    </row>
    <row r="202" spans="1:45">
      <c r="A202" s="12" t="s">
        <v>1682</v>
      </c>
      <c r="B202" s="54" t="str">
        <f t="shared" si="92"/>
        <v>AZ_Maric_2020g</v>
      </c>
      <c r="C202" s="12"/>
      <c r="D202" s="54" t="str">
        <f t="shared" si="93"/>
        <v>Gen-glendale-question 2  (vote for1)</v>
      </c>
      <c r="E202" s="54" t="s">
        <v>2001</v>
      </c>
      <c r="F202" s="12" t="s">
        <v>1300</v>
      </c>
      <c r="G202" s="59">
        <v>39007</v>
      </c>
      <c r="H202"/>
      <c r="K202" s="2"/>
      <c r="O202">
        <f t="shared" si="94"/>
        <v>2</v>
      </c>
      <c r="P202" s="57">
        <f t="shared" si="95"/>
        <v>1</v>
      </c>
      <c r="Q202" s="267">
        <f t="shared" si="96"/>
        <v>39007</v>
      </c>
      <c r="R202" s="23" t="str">
        <f t="shared" si="97"/>
        <v/>
      </c>
      <c r="S202" s="23">
        <f t="shared" si="98"/>
        <v>39007</v>
      </c>
      <c r="T202" s="23" t="str">
        <f t="shared" si="99"/>
        <v/>
      </c>
      <c r="U202" t="str">
        <f t="shared" si="100"/>
        <v/>
      </c>
      <c r="W202" s="1">
        <f t="shared" si="101"/>
        <v>201</v>
      </c>
      <c r="X202" s="73">
        <f t="shared" si="109"/>
        <v>10.550819943433467</v>
      </c>
      <c r="Y202" s="322">
        <f t="shared" si="102"/>
        <v>86560.569000000003</v>
      </c>
      <c r="Z202" s="43">
        <f t="shared" si="91"/>
        <v>0</v>
      </c>
      <c r="AA202" s="52">
        <f t="shared" si="103"/>
        <v>0</v>
      </c>
      <c r="AB202" s="8">
        <f t="shared" si="104"/>
        <v>20895.63</v>
      </c>
      <c r="AC202" s="8">
        <f t="shared" si="105"/>
        <v>2089563</v>
      </c>
      <c r="AD202" s="8">
        <f t="shared" si="110"/>
        <v>10447.815000000001</v>
      </c>
      <c r="AE202" s="8" t="str">
        <f t="shared" si="106"/>
        <v/>
      </c>
      <c r="AF202" s="22" t="str">
        <f t="shared" si="107"/>
        <v>AZ_Maric_2020g</v>
      </c>
      <c r="AG202">
        <v>1</v>
      </c>
      <c r="AH202" s="272">
        <v>1254501</v>
      </c>
      <c r="AI202" s="273">
        <v>995843</v>
      </c>
      <c r="AJ202" s="274">
        <v>258658</v>
      </c>
      <c r="AK202" s="339">
        <v>737185</v>
      </c>
      <c r="AL202" s="340" t="s">
        <v>1739</v>
      </c>
      <c r="AM202" s="353">
        <f t="shared" si="108"/>
        <v>0.35279386168304089</v>
      </c>
      <c r="AN202" s="354"/>
      <c r="AP202" s="23">
        <f t="shared" si="88"/>
        <v>3010</v>
      </c>
      <c r="AQ202" s="392">
        <f t="shared" si="89"/>
        <v>0.99999999999999978</v>
      </c>
      <c r="AR202" s="392">
        <f t="shared" si="90"/>
        <v>1</v>
      </c>
      <c r="AS202" s="392">
        <f t="shared" si="90"/>
        <v>1</v>
      </c>
    </row>
    <row r="203" spans="1:45">
      <c r="A203" s="12" t="s">
        <v>1683</v>
      </c>
      <c r="B203" s="54" t="str">
        <f t="shared" si="92"/>
        <v>AZ_Maric_2020g</v>
      </c>
      <c r="C203" s="12"/>
      <c r="D203" s="54" t="str">
        <f t="shared" si="93"/>
        <v>Gen-glendale-question 3 (vote for1)</v>
      </c>
      <c r="E203" s="54" t="s">
        <v>2002</v>
      </c>
      <c r="F203" s="12" t="s">
        <v>1300</v>
      </c>
      <c r="G203" s="59">
        <v>50214</v>
      </c>
      <c r="H203"/>
      <c r="K203" s="2"/>
      <c r="O203">
        <f t="shared" si="94"/>
        <v>1</v>
      </c>
      <c r="P203" s="57">
        <f t="shared" si="95"/>
        <v>1</v>
      </c>
      <c r="Q203" s="267">
        <f t="shared" si="96"/>
        <v>84244</v>
      </c>
      <c r="R203" s="23">
        <f t="shared" si="97"/>
        <v>50214</v>
      </c>
      <c r="S203" s="23">
        <f t="shared" si="98"/>
        <v>34030</v>
      </c>
      <c r="T203" s="23">
        <f t="shared" si="99"/>
        <v>16184</v>
      </c>
      <c r="U203" t="str">
        <f t="shared" si="100"/>
        <v>AZ_Maric_2020g~Gen-glendale-question 3 (vote for1)</v>
      </c>
      <c r="W203" s="1">
        <f t="shared" si="101"/>
        <v>1</v>
      </c>
      <c r="X203" s="73">
        <f t="shared" si="109"/>
        <v>3610</v>
      </c>
      <c r="Y203" s="322">
        <f t="shared" si="102"/>
        <v>3610</v>
      </c>
      <c r="Z203" s="43">
        <f t="shared" si="91"/>
        <v>100</v>
      </c>
      <c r="AA203" s="52">
        <f t="shared" si="103"/>
        <v>1</v>
      </c>
      <c r="AB203" s="8">
        <f t="shared" si="104"/>
        <v>15465.7</v>
      </c>
      <c r="AC203" s="8">
        <f t="shared" si="105"/>
        <v>1546570</v>
      </c>
      <c r="AD203" s="8">
        <f t="shared" si="110"/>
        <v>7732.85</v>
      </c>
      <c r="AE203" s="8" t="str">
        <f t="shared" si="106"/>
        <v/>
      </c>
      <c r="AF203" s="22" t="str">
        <f t="shared" si="107"/>
        <v>CA_Orang_2020g</v>
      </c>
      <c r="AG203">
        <v>1</v>
      </c>
      <c r="AH203" s="272">
        <v>3610</v>
      </c>
      <c r="AI203" s="273">
        <v>1805</v>
      </c>
      <c r="AJ203" s="274">
        <v>1805</v>
      </c>
      <c r="AK203" s="339">
        <v>0</v>
      </c>
      <c r="AL203" s="340" t="s">
        <v>4475</v>
      </c>
      <c r="AM203" s="353">
        <f t="shared" si="108"/>
        <v>0</v>
      </c>
      <c r="AN203" s="354"/>
      <c r="AP203" s="23">
        <f t="shared" si="88"/>
        <v>0</v>
      </c>
      <c r="AQ203" s="392">
        <f t="shared" si="89"/>
        <v>0</v>
      </c>
      <c r="AR203" s="392">
        <f t="shared" si="90"/>
        <v>0</v>
      </c>
      <c r="AS203" s="392">
        <f t="shared" si="90"/>
        <v>0</v>
      </c>
    </row>
    <row r="204" spans="1:45">
      <c r="A204" s="12" t="s">
        <v>1683</v>
      </c>
      <c r="B204" s="54" t="str">
        <f t="shared" si="92"/>
        <v>AZ_Maric_2020g</v>
      </c>
      <c r="C204" s="12"/>
      <c r="D204" s="54" t="str">
        <f t="shared" si="93"/>
        <v>Gen-glendale-question 3 (vote for1)</v>
      </c>
      <c r="E204" s="54" t="s">
        <v>2001</v>
      </c>
      <c r="F204" s="12" t="s">
        <v>1300</v>
      </c>
      <c r="G204" s="59">
        <v>34030</v>
      </c>
      <c r="H204"/>
      <c r="K204" s="2"/>
      <c r="O204">
        <f t="shared" si="94"/>
        <v>2</v>
      </c>
      <c r="P204" s="57">
        <f t="shared" si="95"/>
        <v>1</v>
      </c>
      <c r="Q204" s="267">
        <f t="shared" si="96"/>
        <v>34030</v>
      </c>
      <c r="R204" s="23" t="str">
        <f t="shared" si="97"/>
        <v/>
      </c>
      <c r="S204" s="23">
        <f t="shared" si="98"/>
        <v>34030</v>
      </c>
      <c r="T204" s="23" t="str">
        <f t="shared" si="99"/>
        <v/>
      </c>
      <c r="U204" t="str">
        <f t="shared" si="100"/>
        <v/>
      </c>
      <c r="W204" s="1">
        <f t="shared" si="101"/>
        <v>2</v>
      </c>
      <c r="X204" s="73">
        <f t="shared" si="109"/>
        <v>442</v>
      </c>
      <c r="Y204" s="322">
        <f t="shared" si="102"/>
        <v>442</v>
      </c>
      <c r="Z204" s="43">
        <f t="shared" si="91"/>
        <v>98.019866063036204</v>
      </c>
      <c r="AA204" s="52">
        <f t="shared" si="103"/>
        <v>0.9801986606303621</v>
      </c>
      <c r="AB204" s="8">
        <f t="shared" si="104"/>
        <v>15465.7</v>
      </c>
      <c r="AC204" s="8">
        <f t="shared" si="105"/>
        <v>1546570</v>
      </c>
      <c r="AD204" s="8">
        <f t="shared" si="110"/>
        <v>7732.85</v>
      </c>
      <c r="AE204" s="8" t="str">
        <f t="shared" si="106"/>
        <v/>
      </c>
      <c r="AF204" s="22" t="str">
        <f t="shared" si="107"/>
        <v>CA_Orang_2020g</v>
      </c>
      <c r="AG204" s="89">
        <v>1</v>
      </c>
      <c r="AH204" s="274">
        <v>442</v>
      </c>
      <c r="AI204" s="279">
        <v>161</v>
      </c>
      <c r="AJ204" s="280">
        <v>159</v>
      </c>
      <c r="AK204" s="92">
        <v>2</v>
      </c>
      <c r="AL204" s="23" t="s">
        <v>4621</v>
      </c>
      <c r="AM204" s="353">
        <f t="shared" si="108"/>
        <v>1.2931842722928804E-6</v>
      </c>
      <c r="AN204" s="354"/>
      <c r="AP204" s="23">
        <f t="shared" si="88"/>
        <v>0</v>
      </c>
      <c r="AQ204" s="392">
        <f t="shared" si="89"/>
        <v>0</v>
      </c>
      <c r="AR204" s="392">
        <f t="shared" si="90"/>
        <v>0</v>
      </c>
      <c r="AS204" s="392">
        <f t="shared" si="90"/>
        <v>0</v>
      </c>
    </row>
    <row r="205" spans="1:45">
      <c r="A205" s="12" t="s">
        <v>1684</v>
      </c>
      <c r="B205" s="54" t="str">
        <f t="shared" si="92"/>
        <v>AZ_Maric_2020g</v>
      </c>
      <c r="C205" s="12"/>
      <c r="D205" s="54" t="str">
        <f t="shared" si="93"/>
        <v>Gen-glendale-question 4 (vote for1)</v>
      </c>
      <c r="E205" s="54" t="s">
        <v>2002</v>
      </c>
      <c r="F205" s="12" t="s">
        <v>1300</v>
      </c>
      <c r="G205" s="59">
        <v>50041</v>
      </c>
      <c r="H205"/>
      <c r="K205" s="2"/>
      <c r="O205">
        <f t="shared" si="94"/>
        <v>1</v>
      </c>
      <c r="P205" s="57">
        <f t="shared" si="95"/>
        <v>1</v>
      </c>
      <c r="Q205" s="267">
        <f t="shared" si="96"/>
        <v>82699</v>
      </c>
      <c r="R205" s="23">
        <f t="shared" si="97"/>
        <v>50041</v>
      </c>
      <c r="S205" s="23">
        <f t="shared" si="98"/>
        <v>32658</v>
      </c>
      <c r="T205" s="23">
        <f t="shared" si="99"/>
        <v>17383</v>
      </c>
      <c r="U205" t="str">
        <f t="shared" si="100"/>
        <v>AZ_Maric_2020g~Gen-glendale-question 4 (vote for1)</v>
      </c>
      <c r="W205" s="1">
        <f t="shared" si="101"/>
        <v>3</v>
      </c>
      <c r="X205" s="73">
        <f t="shared" si="109"/>
        <v>394.47500000000002</v>
      </c>
      <c r="Y205" s="322">
        <f t="shared" si="102"/>
        <v>394.47500000000002</v>
      </c>
      <c r="Z205" s="43">
        <f t="shared" si="91"/>
        <v>85.214308369527998</v>
      </c>
      <c r="AA205" s="52">
        <f t="shared" si="103"/>
        <v>0.85214308369528002</v>
      </c>
      <c r="AB205" s="8">
        <f t="shared" si="104"/>
        <v>15465.7</v>
      </c>
      <c r="AC205" s="8">
        <f t="shared" si="105"/>
        <v>1546570</v>
      </c>
      <c r="AD205" s="8">
        <f t="shared" si="110"/>
        <v>7732.85</v>
      </c>
      <c r="AE205" s="8" t="str">
        <f t="shared" si="106"/>
        <v/>
      </c>
      <c r="AF205" s="22" t="str">
        <f t="shared" si="107"/>
        <v>CA_Orang_2020g</v>
      </c>
      <c r="AG205">
        <v>1</v>
      </c>
      <c r="AH205" s="8">
        <v>1018</v>
      </c>
      <c r="AI205" s="273">
        <v>517</v>
      </c>
      <c r="AJ205" s="274">
        <v>501</v>
      </c>
      <c r="AK205" s="339">
        <v>16</v>
      </c>
      <c r="AL205" s="23" t="s">
        <v>4517</v>
      </c>
      <c r="AM205" s="353">
        <f t="shared" si="108"/>
        <v>1.0345474178343043E-5</v>
      </c>
      <c r="AN205" s="354"/>
      <c r="AP205" s="23">
        <f t="shared" ref="AP205:AP268" si="111">MIN(AD205, MAX(0,ROUNDUP(AD205*(0.5*AK205/AC205-0.005)/(RIGHT(AP$1,3)-0.005),0)))</f>
        <v>0</v>
      </c>
      <c r="AQ205" s="392">
        <f t="shared" si="89"/>
        <v>0</v>
      </c>
      <c r="AR205" s="392">
        <f t="shared" si="90"/>
        <v>0</v>
      </c>
      <c r="AS205" s="392">
        <f t="shared" si="90"/>
        <v>0</v>
      </c>
    </row>
    <row r="206" spans="1:45">
      <c r="A206" s="12" t="s">
        <v>1684</v>
      </c>
      <c r="B206" s="54" t="str">
        <f t="shared" si="92"/>
        <v>AZ_Maric_2020g</v>
      </c>
      <c r="C206" s="12"/>
      <c r="D206" s="54" t="str">
        <f t="shared" si="93"/>
        <v>Gen-glendale-question 4 (vote for1)</v>
      </c>
      <c r="E206" s="54" t="s">
        <v>2001</v>
      </c>
      <c r="F206" s="12" t="s">
        <v>1300</v>
      </c>
      <c r="G206" s="59">
        <v>32658</v>
      </c>
      <c r="H206"/>
      <c r="K206" s="2"/>
      <c r="O206">
        <f t="shared" si="94"/>
        <v>2</v>
      </c>
      <c r="P206" s="57">
        <f t="shared" si="95"/>
        <v>1</v>
      </c>
      <c r="Q206" s="267">
        <f t="shared" si="96"/>
        <v>32658</v>
      </c>
      <c r="R206" s="23" t="str">
        <f t="shared" si="97"/>
        <v/>
      </c>
      <c r="S206" s="23">
        <f t="shared" si="98"/>
        <v>32658</v>
      </c>
      <c r="T206" s="23" t="str">
        <f t="shared" si="99"/>
        <v/>
      </c>
      <c r="U206" t="str">
        <f t="shared" si="100"/>
        <v/>
      </c>
      <c r="W206" s="1">
        <f t="shared" si="101"/>
        <v>4</v>
      </c>
      <c r="X206" s="73">
        <f t="shared" si="109"/>
        <v>58.352941176470594</v>
      </c>
      <c r="Y206" s="322">
        <f t="shared" si="102"/>
        <v>58.352941176470594</v>
      </c>
      <c r="Z206" s="43">
        <f t="shared" si="91"/>
        <v>84.366402833321189</v>
      </c>
      <c r="AA206" s="52">
        <f t="shared" si="103"/>
        <v>0.84366402833321186</v>
      </c>
      <c r="AB206" s="8">
        <f t="shared" si="104"/>
        <v>15465.7</v>
      </c>
      <c r="AC206" s="8">
        <f t="shared" si="105"/>
        <v>1546570</v>
      </c>
      <c r="AD206" s="8">
        <f t="shared" si="110"/>
        <v>7732.85</v>
      </c>
      <c r="AE206" s="8" t="str">
        <f t="shared" si="106"/>
        <v/>
      </c>
      <c r="AF206" s="22" t="str">
        <f t="shared" si="107"/>
        <v>CA_Orang_2020g</v>
      </c>
      <c r="AG206">
        <v>1</v>
      </c>
      <c r="AH206" s="272">
        <v>160</v>
      </c>
      <c r="AI206" s="273">
        <v>72</v>
      </c>
      <c r="AJ206" s="274">
        <v>55</v>
      </c>
      <c r="AK206" s="339">
        <v>17</v>
      </c>
      <c r="AL206" s="340" t="s">
        <v>4478</v>
      </c>
      <c r="AM206" s="353">
        <f t="shared" si="108"/>
        <v>1.0992066314489484E-5</v>
      </c>
      <c r="AN206" s="354"/>
      <c r="AP206" s="23">
        <f t="shared" si="111"/>
        <v>0</v>
      </c>
      <c r="AQ206" s="392">
        <f t="shared" si="89"/>
        <v>0</v>
      </c>
      <c r="AR206" s="392">
        <f t="shared" si="90"/>
        <v>0</v>
      </c>
      <c r="AS206" s="392">
        <f t="shared" si="90"/>
        <v>0</v>
      </c>
    </row>
    <row r="207" spans="1:45">
      <c r="A207" s="12" t="s">
        <v>1612</v>
      </c>
      <c r="B207" s="54" t="str">
        <f t="shared" si="92"/>
        <v>AZ_Maric_2020g</v>
      </c>
      <c r="C207" s="12"/>
      <c r="D207" s="54" t="str">
        <f t="shared" si="93"/>
        <v>Gen-harquahala valley fire dist-fire board (vote for3)</v>
      </c>
      <c r="E207" s="54" t="s">
        <v>1976</v>
      </c>
      <c r="F207" s="12" t="s">
        <v>1300</v>
      </c>
      <c r="G207" s="59">
        <v>65</v>
      </c>
      <c r="H207"/>
      <c r="K207" s="2"/>
      <c r="O207">
        <f t="shared" si="94"/>
        <v>1</v>
      </c>
      <c r="P207" s="57">
        <f t="shared" si="95"/>
        <v>3</v>
      </c>
      <c r="Q207" s="267">
        <f t="shared" si="96"/>
        <v>65</v>
      </c>
      <c r="R207" s="23">
        <f t="shared" si="97"/>
        <v>61</v>
      </c>
      <c r="S207" s="23">
        <f t="shared" si="98"/>
        <v>0</v>
      </c>
      <c r="T207" s="23" t="str">
        <f t="shared" si="99"/>
        <v/>
      </c>
      <c r="U207" t="str">
        <f t="shared" si="100"/>
        <v>AZ_Maric_2020g~Gen-harquahala valley fire dist-fire board (vote for3)</v>
      </c>
      <c r="W207" s="1">
        <f t="shared" si="101"/>
        <v>5</v>
      </c>
      <c r="X207" s="73">
        <f t="shared" si="109"/>
        <v>2416.5909090909095</v>
      </c>
      <c r="Y207" s="322">
        <f t="shared" si="102"/>
        <v>2416.5909090909095</v>
      </c>
      <c r="Z207" s="43">
        <f t="shared" si="91"/>
        <v>80.251754220792307</v>
      </c>
      <c r="AA207" s="52">
        <f t="shared" si="103"/>
        <v>0.80251754220792304</v>
      </c>
      <c r="AB207" s="8">
        <f t="shared" si="104"/>
        <v>15465.7</v>
      </c>
      <c r="AC207" s="8">
        <f t="shared" si="105"/>
        <v>1546570</v>
      </c>
      <c r="AD207" s="8">
        <f t="shared" si="110"/>
        <v>7732.85</v>
      </c>
      <c r="AE207" s="8" t="str">
        <f t="shared" si="106"/>
        <v/>
      </c>
      <c r="AF207" s="22" t="str">
        <f t="shared" si="107"/>
        <v>CA_Orang_2020g</v>
      </c>
      <c r="AG207">
        <v>1</v>
      </c>
      <c r="AH207" s="8">
        <v>8575</v>
      </c>
      <c r="AI207" s="273">
        <v>1976</v>
      </c>
      <c r="AJ207" s="274">
        <v>1954</v>
      </c>
      <c r="AK207" s="339">
        <v>22</v>
      </c>
      <c r="AL207" s="23" t="s">
        <v>4515</v>
      </c>
      <c r="AM207" s="353">
        <f t="shared" si="108"/>
        <v>1.4225026995221685E-5</v>
      </c>
      <c r="AN207" s="354"/>
      <c r="AP207" s="23">
        <f t="shared" si="111"/>
        <v>0</v>
      </c>
      <c r="AQ207" s="392">
        <f t="shared" si="89"/>
        <v>0</v>
      </c>
      <c r="AR207" s="392">
        <f t="shared" si="90"/>
        <v>0</v>
      </c>
      <c r="AS207" s="392">
        <f t="shared" si="90"/>
        <v>0</v>
      </c>
    </row>
    <row r="208" spans="1:45">
      <c r="A208" s="12" t="s">
        <v>1612</v>
      </c>
      <c r="B208" s="54" t="str">
        <f t="shared" si="92"/>
        <v>AZ_Maric_2020g</v>
      </c>
      <c r="C208" s="12"/>
      <c r="D208" s="54" t="str">
        <f t="shared" si="93"/>
        <v>Gen-harquahala valley fire dist-fire board (vote for3)</v>
      </c>
      <c r="E208" s="54" t="s">
        <v>1974</v>
      </c>
      <c r="F208" s="12" t="s">
        <v>1300</v>
      </c>
      <c r="G208" s="59">
        <v>63</v>
      </c>
      <c r="H208"/>
      <c r="K208" s="2"/>
      <c r="O208">
        <f t="shared" si="94"/>
        <v>2</v>
      </c>
      <c r="P208" s="57">
        <f t="shared" si="95"/>
        <v>3</v>
      </c>
      <c r="Q208" s="267">
        <f t="shared" si="96"/>
        <v>127</v>
      </c>
      <c r="R208" s="23">
        <f t="shared" si="97"/>
        <v>61</v>
      </c>
      <c r="S208" s="23">
        <f t="shared" si="98"/>
        <v>0</v>
      </c>
      <c r="T208" s="23" t="str">
        <f t="shared" si="99"/>
        <v/>
      </c>
      <c r="U208" t="str">
        <f t="shared" si="100"/>
        <v/>
      </c>
      <c r="W208" s="1">
        <f t="shared" si="101"/>
        <v>6</v>
      </c>
      <c r="X208" s="73">
        <f t="shared" si="109"/>
        <v>362.93846153846158</v>
      </c>
      <c r="Y208" s="322">
        <f t="shared" si="102"/>
        <v>362.93846153846158</v>
      </c>
      <c r="Z208" s="43">
        <f t="shared" si="91"/>
        <v>77.104990066801648</v>
      </c>
      <c r="AA208" s="52">
        <f t="shared" si="103"/>
        <v>0.77104990066801649</v>
      </c>
      <c r="AB208" s="8">
        <f t="shared" si="104"/>
        <v>15465.7</v>
      </c>
      <c r="AC208" s="8">
        <f t="shared" si="105"/>
        <v>1546570</v>
      </c>
      <c r="AD208" s="8">
        <f t="shared" si="110"/>
        <v>7732.85</v>
      </c>
      <c r="AE208" s="8" t="str">
        <f t="shared" si="106"/>
        <v/>
      </c>
      <c r="AF208" s="22" t="str">
        <f t="shared" si="107"/>
        <v>CA_Orang_2020g</v>
      </c>
      <c r="AG208" s="89">
        <v>1</v>
      </c>
      <c r="AH208" s="274">
        <v>1522</v>
      </c>
      <c r="AI208" s="279">
        <v>548</v>
      </c>
      <c r="AJ208" s="280">
        <v>522</v>
      </c>
      <c r="AK208" s="92">
        <v>26</v>
      </c>
      <c r="AL208" s="23" t="s">
        <v>4613</v>
      </c>
      <c r="AM208" s="353">
        <f t="shared" si="108"/>
        <v>1.6811395539807446E-5</v>
      </c>
      <c r="AN208" s="354"/>
      <c r="AP208" s="23">
        <f t="shared" si="111"/>
        <v>0</v>
      </c>
      <c r="AQ208" s="392">
        <f t="shared" si="89"/>
        <v>0</v>
      </c>
      <c r="AR208" s="392">
        <f t="shared" si="90"/>
        <v>0</v>
      </c>
      <c r="AS208" s="392">
        <f t="shared" si="90"/>
        <v>0</v>
      </c>
    </row>
    <row r="209" spans="1:45">
      <c r="A209" s="12" t="s">
        <v>1612</v>
      </c>
      <c r="B209" s="54" t="str">
        <f t="shared" si="92"/>
        <v>AZ_Maric_2020g</v>
      </c>
      <c r="C209" s="12"/>
      <c r="D209" s="54" t="str">
        <f t="shared" si="93"/>
        <v>Gen-harquahala valley fire dist-fire board (vote for3)</v>
      </c>
      <c r="E209" s="54" t="s">
        <v>1975</v>
      </c>
      <c r="F209" s="12" t="s">
        <v>1300</v>
      </c>
      <c r="G209" s="59">
        <v>61</v>
      </c>
      <c r="H209"/>
      <c r="K209" s="2"/>
      <c r="O209">
        <f t="shared" si="94"/>
        <v>3</v>
      </c>
      <c r="P209" s="57">
        <f t="shared" si="95"/>
        <v>3</v>
      </c>
      <c r="Q209" s="267">
        <f t="shared" si="96"/>
        <v>64</v>
      </c>
      <c r="R209" s="23">
        <f t="shared" si="97"/>
        <v>61</v>
      </c>
      <c r="S209" s="23">
        <f t="shared" si="98"/>
        <v>0</v>
      </c>
      <c r="T209" s="23" t="str">
        <f t="shared" si="99"/>
        <v/>
      </c>
      <c r="U209" t="str">
        <f t="shared" si="100"/>
        <v/>
      </c>
      <c r="W209" s="1">
        <f t="shared" si="101"/>
        <v>7</v>
      </c>
      <c r="X209" s="73">
        <f t="shared" si="109"/>
        <v>92.279069767441868</v>
      </c>
      <c r="Y209" s="322">
        <f t="shared" si="102"/>
        <v>92.279069767441868</v>
      </c>
      <c r="Z209" s="43">
        <f t="shared" si="91"/>
        <v>65.050520608609972</v>
      </c>
      <c r="AA209" s="52">
        <f t="shared" si="103"/>
        <v>0.65050520608609974</v>
      </c>
      <c r="AB209" s="8">
        <f t="shared" si="104"/>
        <v>15465.7</v>
      </c>
      <c r="AC209" s="8">
        <f t="shared" si="105"/>
        <v>1546570</v>
      </c>
      <c r="AD209" s="8">
        <f t="shared" si="110"/>
        <v>7732.85</v>
      </c>
      <c r="AE209" s="8" t="str">
        <f t="shared" si="106"/>
        <v/>
      </c>
      <c r="AF209" s="22" t="str">
        <f t="shared" si="107"/>
        <v>CA_Orang_2020g</v>
      </c>
      <c r="AG209" s="89">
        <v>1</v>
      </c>
      <c r="AH209" s="274">
        <v>640</v>
      </c>
      <c r="AI209" s="279">
        <v>248</v>
      </c>
      <c r="AJ209" s="280">
        <v>205</v>
      </c>
      <c r="AK209" s="92">
        <v>43</v>
      </c>
      <c r="AL209" s="23" t="s">
        <v>4611</v>
      </c>
      <c r="AM209" s="353">
        <f t="shared" si="108"/>
        <v>2.7803461854296928E-5</v>
      </c>
      <c r="AN209" s="354"/>
      <c r="AP209" s="23">
        <f t="shared" si="111"/>
        <v>0</v>
      </c>
      <c r="AQ209" s="392">
        <f t="shared" si="89"/>
        <v>0</v>
      </c>
      <c r="AR209" s="392">
        <f t="shared" si="90"/>
        <v>0</v>
      </c>
      <c r="AS209" s="392">
        <f t="shared" si="90"/>
        <v>0</v>
      </c>
    </row>
    <row r="210" spans="1:45">
      <c r="A210" s="12" t="s">
        <v>1612</v>
      </c>
      <c r="B210" s="54" t="str">
        <f t="shared" si="92"/>
        <v>AZ_Maric_2020g</v>
      </c>
      <c r="C210" s="12"/>
      <c r="D210" s="54" t="str">
        <f t="shared" si="93"/>
        <v>Gen-harquahala valley fire dist-fire board (vote for3)</v>
      </c>
      <c r="E210" s="54" t="s">
        <v>1299</v>
      </c>
      <c r="G210" s="59">
        <v>3</v>
      </c>
      <c r="H210"/>
      <c r="K210" s="2"/>
      <c r="O210">
        <f t="shared" si="94"/>
        <v>-3</v>
      </c>
      <c r="P210" s="57">
        <f t="shared" si="95"/>
        <v>3</v>
      </c>
      <c r="Q210" s="267">
        <f t="shared" si="96"/>
        <v>3</v>
      </c>
      <c r="R210" s="23">
        <f t="shared" si="97"/>
        <v>1</v>
      </c>
      <c r="S210" s="23">
        <f t="shared" si="98"/>
        <v>0</v>
      </c>
      <c r="T210" s="23" t="str">
        <f t="shared" si="99"/>
        <v/>
      </c>
      <c r="U210" t="str">
        <f t="shared" si="100"/>
        <v/>
      </c>
      <c r="W210" s="1">
        <f t="shared" si="101"/>
        <v>8</v>
      </c>
      <c r="X210" s="73">
        <f t="shared" si="109"/>
        <v>156.69999999999999</v>
      </c>
      <c r="Y210" s="322">
        <f t="shared" si="102"/>
        <v>156.69999999999999</v>
      </c>
      <c r="Z210" s="43">
        <f t="shared" si="91"/>
        <v>53.793775215241212</v>
      </c>
      <c r="AA210" s="52">
        <f t="shared" si="103"/>
        <v>0.53793775215241213</v>
      </c>
      <c r="AB210" s="8">
        <f t="shared" si="104"/>
        <v>15465.7</v>
      </c>
      <c r="AC210" s="8">
        <f t="shared" si="105"/>
        <v>1546570</v>
      </c>
      <c r="AD210" s="8">
        <f t="shared" si="110"/>
        <v>7732.85</v>
      </c>
      <c r="AE210" s="8" t="str">
        <f t="shared" si="106"/>
        <v/>
      </c>
      <c r="AF210" s="22" t="str">
        <f t="shared" si="107"/>
        <v>CA_Orang_2020g</v>
      </c>
      <c r="AG210" s="89">
        <v>1</v>
      </c>
      <c r="AH210" s="274">
        <v>1567</v>
      </c>
      <c r="AI210" s="279">
        <v>492</v>
      </c>
      <c r="AJ210" s="280">
        <v>430</v>
      </c>
      <c r="AK210" s="92">
        <v>62</v>
      </c>
      <c r="AL210" s="23" t="s">
        <v>4620</v>
      </c>
      <c r="AM210" s="353">
        <f t="shared" si="108"/>
        <v>4.0088712441079289E-5</v>
      </c>
      <c r="AN210" s="354"/>
      <c r="AP210" s="23">
        <f t="shared" si="111"/>
        <v>0</v>
      </c>
      <c r="AQ210" s="392">
        <f t="shared" si="89"/>
        <v>0</v>
      </c>
      <c r="AR210" s="392">
        <f t="shared" si="90"/>
        <v>0</v>
      </c>
      <c r="AS210" s="392">
        <f t="shared" si="90"/>
        <v>0</v>
      </c>
    </row>
    <row r="211" spans="1:45">
      <c r="A211" s="12" t="s">
        <v>1658</v>
      </c>
      <c r="B211" s="54" t="str">
        <f t="shared" si="92"/>
        <v>AZ_Maric_2020g</v>
      </c>
      <c r="C211" s="12"/>
      <c r="D211" s="54" t="str">
        <f t="shared" si="93"/>
        <v>Gen-higley usd #60-gbm-4yr (vote for3)</v>
      </c>
      <c r="E211" s="54" t="s">
        <v>2106</v>
      </c>
      <c r="F211" s="12" t="s">
        <v>1300</v>
      </c>
      <c r="G211" s="59">
        <v>21603</v>
      </c>
      <c r="H211"/>
      <c r="K211" s="2"/>
      <c r="O211">
        <f t="shared" si="94"/>
        <v>1</v>
      </c>
      <c r="P211" s="57">
        <f t="shared" si="95"/>
        <v>3</v>
      </c>
      <c r="Q211" s="267">
        <f t="shared" si="96"/>
        <v>25734.333333333332</v>
      </c>
      <c r="R211" s="23">
        <f t="shared" si="97"/>
        <v>18260</v>
      </c>
      <c r="S211" s="23">
        <f t="shared" si="98"/>
        <v>17150</v>
      </c>
      <c r="T211" s="23">
        <f t="shared" si="99"/>
        <v>1110</v>
      </c>
      <c r="U211" t="str">
        <f t="shared" si="100"/>
        <v>AZ_Maric_2020g~Gen-higley usd #60-gbm-4yr (vote for3)</v>
      </c>
      <c r="W211" s="1">
        <f t="shared" si="101"/>
        <v>9</v>
      </c>
      <c r="X211" s="73">
        <f t="shared" si="109"/>
        <v>326.64210526315793</v>
      </c>
      <c r="Y211" s="322">
        <f t="shared" si="102"/>
        <v>414.41400000000004</v>
      </c>
      <c r="Z211" s="43">
        <f t="shared" si="91"/>
        <v>31.980558406415021</v>
      </c>
      <c r="AA211" s="52">
        <f t="shared" si="103"/>
        <v>0.31980558406415022</v>
      </c>
      <c r="AB211" s="8">
        <f t="shared" si="104"/>
        <v>15465.7</v>
      </c>
      <c r="AC211" s="8">
        <f t="shared" si="105"/>
        <v>1546570</v>
      </c>
      <c r="AD211" s="8">
        <f t="shared" si="110"/>
        <v>7732.85</v>
      </c>
      <c r="AE211" s="8" t="str">
        <f t="shared" si="106"/>
        <v/>
      </c>
      <c r="AF211" s="22" t="str">
        <f t="shared" si="107"/>
        <v>CA_Orang_2020g</v>
      </c>
      <c r="AG211" s="89">
        <v>1</v>
      </c>
      <c r="AH211" s="274">
        <v>6006</v>
      </c>
      <c r="AI211" s="279">
        <v>3060</v>
      </c>
      <c r="AJ211" s="280">
        <v>2946</v>
      </c>
      <c r="AK211" s="92">
        <v>114</v>
      </c>
      <c r="AL211" s="23" t="s">
        <v>4636</v>
      </c>
      <c r="AM211" s="353">
        <f t="shared" si="108"/>
        <v>7.3711503520694187E-5</v>
      </c>
      <c r="AN211" s="354"/>
      <c r="AP211" s="23">
        <f t="shared" si="111"/>
        <v>0</v>
      </c>
      <c r="AQ211" s="392">
        <f t="shared" si="89"/>
        <v>0</v>
      </c>
      <c r="AR211" s="392">
        <f t="shared" si="90"/>
        <v>0</v>
      </c>
      <c r="AS211" s="392">
        <f t="shared" si="90"/>
        <v>0</v>
      </c>
    </row>
    <row r="212" spans="1:45">
      <c r="A212" s="12" t="s">
        <v>1658</v>
      </c>
      <c r="B212" s="54" t="str">
        <f t="shared" si="92"/>
        <v>AZ_Maric_2020g</v>
      </c>
      <c r="C212" s="12"/>
      <c r="D212" s="54" t="str">
        <f t="shared" si="93"/>
        <v>Gen-higley usd #60-gbm-4yr (vote for3)</v>
      </c>
      <c r="E212" s="54" t="s">
        <v>2107</v>
      </c>
      <c r="F212" s="12" t="s">
        <v>1300</v>
      </c>
      <c r="G212" s="59">
        <v>19781</v>
      </c>
      <c r="H212"/>
      <c r="K212" s="2"/>
      <c r="O212">
        <f t="shared" si="94"/>
        <v>2</v>
      </c>
      <c r="P212" s="57">
        <f t="shared" si="95"/>
        <v>3</v>
      </c>
      <c r="Q212" s="267">
        <f t="shared" si="96"/>
        <v>55600</v>
      </c>
      <c r="R212" s="23">
        <f t="shared" si="97"/>
        <v>18260</v>
      </c>
      <c r="S212" s="23">
        <f t="shared" si="98"/>
        <v>17150</v>
      </c>
      <c r="T212" s="23" t="str">
        <f t="shared" si="99"/>
        <v/>
      </c>
      <c r="U212" t="str">
        <f t="shared" si="100"/>
        <v/>
      </c>
      <c r="W212" s="1">
        <f t="shared" si="101"/>
        <v>10</v>
      </c>
      <c r="X212" s="73">
        <f t="shared" si="109"/>
        <v>576.99574468085109</v>
      </c>
      <c r="Y212" s="322">
        <f t="shared" si="102"/>
        <v>905.41800000000012</v>
      </c>
      <c r="Z212" s="43">
        <f t="shared" si="91"/>
        <v>24.412759051845001</v>
      </c>
      <c r="AA212" s="52">
        <f t="shared" si="103"/>
        <v>0.24412759051845001</v>
      </c>
      <c r="AB212" s="8">
        <f t="shared" si="104"/>
        <v>15465.7</v>
      </c>
      <c r="AC212" s="8">
        <f t="shared" si="105"/>
        <v>1546570</v>
      </c>
      <c r="AD212" s="8">
        <f t="shared" si="110"/>
        <v>7732.85</v>
      </c>
      <c r="AE212" s="8" t="str">
        <f t="shared" si="106"/>
        <v/>
      </c>
      <c r="AF212" s="22" t="str">
        <f t="shared" si="107"/>
        <v>CA_Orang_2020g</v>
      </c>
      <c r="AG212" s="89">
        <v>1</v>
      </c>
      <c r="AH212" s="274">
        <v>13122</v>
      </c>
      <c r="AI212" s="279">
        <v>3242</v>
      </c>
      <c r="AJ212" s="280">
        <v>3101</v>
      </c>
      <c r="AK212" s="92">
        <v>141</v>
      </c>
      <c r="AL212" s="23" t="s">
        <v>4606</v>
      </c>
      <c r="AM212" s="353">
        <f t="shared" si="108"/>
        <v>9.1169491196648061E-5</v>
      </c>
      <c r="AN212" s="354"/>
      <c r="AP212" s="23">
        <f t="shared" si="111"/>
        <v>0</v>
      </c>
      <c r="AQ212" s="392">
        <f t="shared" si="89"/>
        <v>0</v>
      </c>
      <c r="AR212" s="392">
        <f t="shared" si="90"/>
        <v>0</v>
      </c>
      <c r="AS212" s="392">
        <f t="shared" si="90"/>
        <v>0</v>
      </c>
    </row>
    <row r="213" spans="1:45">
      <c r="A213" s="12" t="s">
        <v>1658</v>
      </c>
      <c r="B213" s="54" t="str">
        <f t="shared" si="92"/>
        <v>AZ_Maric_2020g</v>
      </c>
      <c r="C213" s="12"/>
      <c r="D213" s="54" t="str">
        <f t="shared" si="93"/>
        <v>Gen-higley usd #60-gbm-4yr (vote for3)</v>
      </c>
      <c r="E213" s="54" t="s">
        <v>2108</v>
      </c>
      <c r="F213" s="12" t="s">
        <v>1300</v>
      </c>
      <c r="G213" s="59">
        <v>18260</v>
      </c>
      <c r="H213"/>
      <c r="K213" s="2"/>
      <c r="O213">
        <f t="shared" si="94"/>
        <v>3</v>
      </c>
      <c r="P213" s="57">
        <f t="shared" si="95"/>
        <v>3</v>
      </c>
      <c r="Q213" s="267">
        <f t="shared" si="96"/>
        <v>35819</v>
      </c>
      <c r="R213" s="23">
        <f t="shared" si="97"/>
        <v>18260</v>
      </c>
      <c r="S213" s="23">
        <f t="shared" si="98"/>
        <v>17150</v>
      </c>
      <c r="T213" s="23" t="str">
        <f t="shared" si="99"/>
        <v/>
      </c>
      <c r="U213" t="str">
        <f t="shared" si="100"/>
        <v/>
      </c>
      <c r="W213" s="1">
        <f t="shared" si="101"/>
        <v>11</v>
      </c>
      <c r="X213" s="73">
        <f t="shared" si="109"/>
        <v>1093.7038461538461</v>
      </c>
      <c r="Y213" s="322">
        <f t="shared" si="102"/>
        <v>1898.8110000000001</v>
      </c>
      <c r="Z213" s="43">
        <f t="shared" si="91"/>
        <v>21.011953779406081</v>
      </c>
      <c r="AA213" s="52">
        <f t="shared" si="103"/>
        <v>0.21011953779406081</v>
      </c>
      <c r="AB213" s="8">
        <f t="shared" si="104"/>
        <v>15465.7</v>
      </c>
      <c r="AC213" s="8">
        <f t="shared" si="105"/>
        <v>1546570</v>
      </c>
      <c r="AD213" s="8">
        <f t="shared" si="110"/>
        <v>7732.85</v>
      </c>
      <c r="AE213" s="8" t="str">
        <f t="shared" si="106"/>
        <v/>
      </c>
      <c r="AF213" s="22" t="str">
        <f t="shared" si="107"/>
        <v>CA_Orang_2020g</v>
      </c>
      <c r="AG213" s="89">
        <v>1</v>
      </c>
      <c r="AH213" s="274">
        <v>27519</v>
      </c>
      <c r="AI213" s="279">
        <v>10199</v>
      </c>
      <c r="AJ213" s="280">
        <v>10043</v>
      </c>
      <c r="AK213" s="92">
        <v>156</v>
      </c>
      <c r="AL213" s="23" t="s">
        <v>4556</v>
      </c>
      <c r="AM213" s="353">
        <f t="shared" si="108"/>
        <v>1.0086837323884467E-4</v>
      </c>
      <c r="AN213" s="354"/>
      <c r="AP213" s="23">
        <f t="shared" si="111"/>
        <v>0</v>
      </c>
      <c r="AQ213" s="392">
        <f t="shared" si="89"/>
        <v>0</v>
      </c>
      <c r="AR213" s="392">
        <f t="shared" si="90"/>
        <v>0</v>
      </c>
      <c r="AS213" s="392">
        <f t="shared" si="90"/>
        <v>0</v>
      </c>
    </row>
    <row r="214" spans="1:45">
      <c r="A214" s="12" t="s">
        <v>1658</v>
      </c>
      <c r="B214" s="54" t="str">
        <f t="shared" si="92"/>
        <v>AZ_Maric_2020g</v>
      </c>
      <c r="C214" s="12"/>
      <c r="D214" s="54" t="str">
        <f t="shared" si="93"/>
        <v>Gen-higley usd #60-gbm-4yr (vote for3)</v>
      </c>
      <c r="E214" s="54" t="s">
        <v>2109</v>
      </c>
      <c r="F214" s="12" t="s">
        <v>1300</v>
      </c>
      <c r="G214" s="59">
        <v>17150</v>
      </c>
      <c r="H214"/>
      <c r="K214" s="2"/>
      <c r="O214">
        <f t="shared" si="94"/>
        <v>4</v>
      </c>
      <c r="P214" s="57">
        <f t="shared" si="95"/>
        <v>3</v>
      </c>
      <c r="Q214" s="267">
        <f t="shared" si="96"/>
        <v>17559</v>
      </c>
      <c r="R214" s="23" t="str">
        <f t="shared" si="97"/>
        <v/>
      </c>
      <c r="S214" s="23">
        <f t="shared" si="98"/>
        <v>17150</v>
      </c>
      <c r="T214" s="23" t="str">
        <f t="shared" si="99"/>
        <v/>
      </c>
      <c r="U214" t="str">
        <f t="shared" si="100"/>
        <v/>
      </c>
      <c r="W214" s="1">
        <f t="shared" si="101"/>
        <v>12</v>
      </c>
      <c r="X214" s="73">
        <f t="shared" si="109"/>
        <v>95.402500000000018</v>
      </c>
      <c r="Y214" s="322">
        <f t="shared" si="102"/>
        <v>169.87800000000001</v>
      </c>
      <c r="Z214" s="43">
        <f t="shared" si="91"/>
        <v>20.1879807811994</v>
      </c>
      <c r="AA214" s="52">
        <f t="shared" si="103"/>
        <v>0.20187980781199399</v>
      </c>
      <c r="AB214" s="8">
        <f t="shared" si="104"/>
        <v>15465.7</v>
      </c>
      <c r="AC214" s="8">
        <f t="shared" si="105"/>
        <v>1546570</v>
      </c>
      <c r="AD214" s="8">
        <f t="shared" si="110"/>
        <v>7732.85</v>
      </c>
      <c r="AE214" s="8" t="str">
        <f t="shared" si="106"/>
        <v/>
      </c>
      <c r="AF214" s="22" t="str">
        <f t="shared" si="107"/>
        <v>CA_Orang_2020g</v>
      </c>
      <c r="AG214">
        <v>1</v>
      </c>
      <c r="AH214" s="8">
        <v>2462</v>
      </c>
      <c r="AI214" s="273">
        <v>1311</v>
      </c>
      <c r="AJ214" s="274">
        <v>1151</v>
      </c>
      <c r="AK214" s="339">
        <v>160</v>
      </c>
      <c r="AL214" s="23" t="s">
        <v>4527</v>
      </c>
      <c r="AM214" s="353">
        <f t="shared" si="108"/>
        <v>1.0345474178343043E-4</v>
      </c>
      <c r="AN214" s="354"/>
      <c r="AP214" s="23">
        <f t="shared" si="111"/>
        <v>0</v>
      </c>
      <c r="AQ214" s="392">
        <f t="shared" si="89"/>
        <v>0</v>
      </c>
      <c r="AR214" s="392">
        <f t="shared" si="90"/>
        <v>0</v>
      </c>
      <c r="AS214" s="392">
        <f t="shared" si="90"/>
        <v>0</v>
      </c>
    </row>
    <row r="215" spans="1:45">
      <c r="A215" s="12" t="s">
        <v>1658</v>
      </c>
      <c r="B215" s="54" t="str">
        <f t="shared" si="92"/>
        <v>AZ_Maric_2020g</v>
      </c>
      <c r="C215" s="12"/>
      <c r="D215" s="54" t="str">
        <f t="shared" si="93"/>
        <v>Gen-higley usd #60-gbm-4yr (vote for3)</v>
      </c>
      <c r="E215" s="54" t="s">
        <v>1299</v>
      </c>
      <c r="G215" s="59">
        <v>409</v>
      </c>
      <c r="H215"/>
      <c r="K215" s="2"/>
      <c r="O215">
        <f t="shared" si="94"/>
        <v>-4</v>
      </c>
      <c r="P215" s="57">
        <f t="shared" si="95"/>
        <v>3</v>
      </c>
      <c r="Q215" s="267">
        <f t="shared" si="96"/>
        <v>409</v>
      </c>
      <c r="R215" s="23">
        <f t="shared" si="97"/>
        <v>1</v>
      </c>
      <c r="S215" s="23">
        <f t="shared" si="98"/>
        <v>0</v>
      </c>
      <c r="T215" s="23" t="str">
        <f t="shared" si="99"/>
        <v/>
      </c>
      <c r="U215" t="str">
        <f t="shared" si="100"/>
        <v/>
      </c>
      <c r="W215" s="1">
        <f t="shared" si="101"/>
        <v>13</v>
      </c>
      <c r="X215" s="73">
        <f t="shared" si="109"/>
        <v>1737.1923076923078</v>
      </c>
      <c r="Y215" s="322">
        <f t="shared" si="102"/>
        <v>4021.32</v>
      </c>
      <c r="Z215" s="43">
        <f t="shared" si="91"/>
        <v>12.491273776392099</v>
      </c>
      <c r="AA215" s="52">
        <f t="shared" si="103"/>
        <v>0.12491273776392098</v>
      </c>
      <c r="AB215" s="8">
        <f t="shared" si="104"/>
        <v>15465.7</v>
      </c>
      <c r="AC215" s="8">
        <f t="shared" si="105"/>
        <v>1546570</v>
      </c>
      <c r="AD215" s="8">
        <f t="shared" si="110"/>
        <v>7732.85</v>
      </c>
      <c r="AE215" s="8" t="str">
        <f t="shared" si="106"/>
        <v/>
      </c>
      <c r="AF215" s="22" t="str">
        <f t="shared" si="107"/>
        <v>CA_Orang_2020g</v>
      </c>
      <c r="AG215">
        <v>1</v>
      </c>
      <c r="AH215" s="8">
        <v>58280</v>
      </c>
      <c r="AI215" s="273">
        <v>10901</v>
      </c>
      <c r="AJ215" s="274">
        <v>10693</v>
      </c>
      <c r="AK215" s="339">
        <v>208</v>
      </c>
      <c r="AL215" s="23" t="s">
        <v>4529</v>
      </c>
      <c r="AM215" s="353">
        <f t="shared" si="108"/>
        <v>1.3449116431845957E-4</v>
      </c>
      <c r="AN215" s="354"/>
      <c r="AP215" s="23">
        <f t="shared" si="111"/>
        <v>0</v>
      </c>
      <c r="AQ215" s="392">
        <f t="shared" si="89"/>
        <v>0</v>
      </c>
      <c r="AR215" s="392">
        <f t="shared" si="90"/>
        <v>0</v>
      </c>
      <c r="AS215" s="392">
        <f t="shared" si="90"/>
        <v>0</v>
      </c>
    </row>
    <row r="216" spans="1:45">
      <c r="A216" s="12" t="s">
        <v>1631</v>
      </c>
      <c r="B216" s="54" t="str">
        <f t="shared" si="92"/>
        <v>AZ_Maric_2020g</v>
      </c>
      <c r="C216" s="12"/>
      <c r="D216" s="54" t="str">
        <f t="shared" si="93"/>
        <v>Gen-isaac esd #5-gbm-4yr (vote for3)</v>
      </c>
      <c r="E216" s="54" t="s">
        <v>2036</v>
      </c>
      <c r="F216" s="12" t="s">
        <v>1300</v>
      </c>
      <c r="G216" s="59">
        <v>4193</v>
      </c>
      <c r="H216"/>
      <c r="K216" s="2"/>
      <c r="O216">
        <f t="shared" si="94"/>
        <v>1</v>
      </c>
      <c r="P216" s="57">
        <f t="shared" si="95"/>
        <v>3</v>
      </c>
      <c r="Q216" s="267">
        <f t="shared" si="96"/>
        <v>4688</v>
      </c>
      <c r="R216" s="23">
        <f t="shared" si="97"/>
        <v>3923</v>
      </c>
      <c r="S216" s="23">
        <f t="shared" si="98"/>
        <v>1849</v>
      </c>
      <c r="T216" s="23">
        <f t="shared" si="99"/>
        <v>2074</v>
      </c>
      <c r="U216" t="str">
        <f t="shared" si="100"/>
        <v>AZ_Maric_2020g~Gen-isaac esd #5-gbm-4yr (vote for3)</v>
      </c>
      <c r="W216" s="1">
        <f t="shared" si="101"/>
        <v>14</v>
      </c>
      <c r="X216" s="73">
        <f t="shared" si="109"/>
        <v>360.34400000000005</v>
      </c>
      <c r="Y216" s="322">
        <f t="shared" si="102"/>
        <v>902.3130000000001</v>
      </c>
      <c r="Z216" s="43">
        <f t="shared" si="91"/>
        <v>10.538197375337202</v>
      </c>
      <c r="AA216" s="52">
        <f t="shared" si="103"/>
        <v>0.10538197375337201</v>
      </c>
      <c r="AB216" s="8">
        <f t="shared" si="104"/>
        <v>15465.7</v>
      </c>
      <c r="AC216" s="8">
        <f t="shared" si="105"/>
        <v>1546570</v>
      </c>
      <c r="AD216" s="8">
        <f t="shared" si="110"/>
        <v>7732.85</v>
      </c>
      <c r="AE216" s="8" t="str">
        <f t="shared" si="106"/>
        <v/>
      </c>
      <c r="AF216" s="22" t="str">
        <f t="shared" si="107"/>
        <v>CA_Orang_2020g</v>
      </c>
      <c r="AG216" s="89">
        <v>1</v>
      </c>
      <c r="AH216" s="274">
        <v>13077</v>
      </c>
      <c r="AI216" s="279">
        <v>6651</v>
      </c>
      <c r="AJ216" s="280">
        <v>6426</v>
      </c>
      <c r="AK216" s="92">
        <v>225</v>
      </c>
      <c r="AL216" s="23" t="s">
        <v>4632</v>
      </c>
      <c r="AM216" s="353">
        <f t="shared" si="108"/>
        <v>1.4548323063294903E-4</v>
      </c>
      <c r="AN216" s="354"/>
      <c r="AP216" s="23">
        <f t="shared" si="111"/>
        <v>0</v>
      </c>
      <c r="AQ216" s="392">
        <f t="shared" si="89"/>
        <v>0</v>
      </c>
      <c r="AR216" s="392">
        <f t="shared" si="90"/>
        <v>0</v>
      </c>
      <c r="AS216" s="392">
        <f t="shared" si="90"/>
        <v>0</v>
      </c>
    </row>
    <row r="217" spans="1:45">
      <c r="A217" s="12" t="s">
        <v>1631</v>
      </c>
      <c r="B217" s="54" t="str">
        <f t="shared" si="92"/>
        <v>AZ_Maric_2020g</v>
      </c>
      <c r="C217" s="12"/>
      <c r="D217" s="54" t="str">
        <f t="shared" si="93"/>
        <v>Gen-isaac esd #5-gbm-4yr (vote for3)</v>
      </c>
      <c r="E217" s="54" t="s">
        <v>2037</v>
      </c>
      <c r="F217" s="12" t="s">
        <v>1300</v>
      </c>
      <c r="G217" s="59">
        <v>4033</v>
      </c>
      <c r="H217"/>
      <c r="K217" s="2"/>
      <c r="O217">
        <f t="shared" si="94"/>
        <v>2</v>
      </c>
      <c r="P217" s="57">
        <f t="shared" si="95"/>
        <v>3</v>
      </c>
      <c r="Q217" s="267">
        <f t="shared" si="96"/>
        <v>9871</v>
      </c>
      <c r="R217" s="23">
        <f t="shared" si="97"/>
        <v>3923</v>
      </c>
      <c r="S217" s="23">
        <f t="shared" si="98"/>
        <v>1849</v>
      </c>
      <c r="T217" s="23" t="str">
        <f t="shared" si="99"/>
        <v/>
      </c>
      <c r="U217" t="str">
        <f t="shared" si="100"/>
        <v/>
      </c>
      <c r="W217" s="1">
        <f t="shared" si="101"/>
        <v>15</v>
      </c>
      <c r="X217" s="73">
        <f t="shared" si="109"/>
        <v>153.74807692307692</v>
      </c>
      <c r="Y217" s="322">
        <f t="shared" si="102"/>
        <v>533.85300000000007</v>
      </c>
      <c r="Z217" s="43">
        <f t="shared" si="91"/>
        <v>4.4143272064828452</v>
      </c>
      <c r="AA217" s="52">
        <f t="shared" si="103"/>
        <v>4.4143272064828452E-2</v>
      </c>
      <c r="AB217" s="8">
        <f t="shared" si="104"/>
        <v>15465.7</v>
      </c>
      <c r="AC217" s="8">
        <f t="shared" si="105"/>
        <v>1546570</v>
      </c>
      <c r="AD217" s="8">
        <f t="shared" si="110"/>
        <v>7732.85</v>
      </c>
      <c r="AE217" s="8" t="str">
        <f t="shared" si="106"/>
        <v/>
      </c>
      <c r="AF217" s="22" t="str">
        <f t="shared" si="107"/>
        <v>CA_Orang_2020g</v>
      </c>
      <c r="AG217" s="89">
        <v>1</v>
      </c>
      <c r="AH217" s="274">
        <v>7737</v>
      </c>
      <c r="AI217" s="279">
        <v>2949</v>
      </c>
      <c r="AJ217" s="280">
        <v>2637</v>
      </c>
      <c r="AK217" s="92">
        <v>312</v>
      </c>
      <c r="AL217" s="23" t="s">
        <v>4586</v>
      </c>
      <c r="AM217" s="353">
        <f t="shared" si="108"/>
        <v>2.0173674647768933E-4</v>
      </c>
      <c r="AN217" s="354"/>
      <c r="AP217" s="23">
        <f t="shared" si="111"/>
        <v>0</v>
      </c>
      <c r="AQ217" s="392">
        <f t="shared" si="89"/>
        <v>0</v>
      </c>
      <c r="AR217" s="392">
        <f t="shared" si="90"/>
        <v>0</v>
      </c>
      <c r="AS217" s="392">
        <f t="shared" si="90"/>
        <v>0</v>
      </c>
    </row>
    <row r="218" spans="1:45">
      <c r="A218" s="12" t="s">
        <v>1631</v>
      </c>
      <c r="B218" s="54" t="str">
        <f t="shared" si="92"/>
        <v>AZ_Maric_2020g</v>
      </c>
      <c r="C218" s="12"/>
      <c r="D218" s="54" t="str">
        <f t="shared" si="93"/>
        <v>Gen-isaac esd #5-gbm-4yr (vote for3)</v>
      </c>
      <c r="E218" s="54" t="s">
        <v>2038</v>
      </c>
      <c r="F218" s="12" t="s">
        <v>1300</v>
      </c>
      <c r="G218" s="59">
        <v>3923</v>
      </c>
      <c r="H218"/>
      <c r="K218" s="2"/>
      <c r="O218">
        <f t="shared" si="94"/>
        <v>3</v>
      </c>
      <c r="P218" s="57">
        <f t="shared" si="95"/>
        <v>3</v>
      </c>
      <c r="Q218" s="267">
        <f t="shared" si="96"/>
        <v>5838</v>
      </c>
      <c r="R218" s="23">
        <f t="shared" si="97"/>
        <v>3923</v>
      </c>
      <c r="S218" s="23">
        <f t="shared" si="98"/>
        <v>1849</v>
      </c>
      <c r="T218" s="23" t="str">
        <f t="shared" si="99"/>
        <v/>
      </c>
      <c r="U218" t="str">
        <f t="shared" si="100"/>
        <v/>
      </c>
      <c r="W218" s="1">
        <f t="shared" si="101"/>
        <v>16</v>
      </c>
      <c r="X218" s="73">
        <f t="shared" si="109"/>
        <v>116.40253968253968</v>
      </c>
      <c r="Y218" s="322">
        <f t="shared" si="102"/>
        <v>408.06600000000003</v>
      </c>
      <c r="Z218" s="43">
        <f t="shared" si="91"/>
        <v>4.2838380649233496</v>
      </c>
      <c r="AA218" s="52">
        <f t="shared" si="103"/>
        <v>4.2838380649233496E-2</v>
      </c>
      <c r="AB218" s="8">
        <f t="shared" si="104"/>
        <v>15465.7</v>
      </c>
      <c r="AC218" s="8">
        <f t="shared" si="105"/>
        <v>1546570</v>
      </c>
      <c r="AD218" s="8">
        <f t="shared" si="110"/>
        <v>7732.85</v>
      </c>
      <c r="AE218" s="8" t="str">
        <f t="shared" si="106"/>
        <v/>
      </c>
      <c r="AF218" s="22" t="str">
        <f t="shared" si="107"/>
        <v>CA_Orang_2020g</v>
      </c>
      <c r="AG218">
        <v>1</v>
      </c>
      <c r="AH218" s="272">
        <v>5914</v>
      </c>
      <c r="AI218" s="273">
        <v>2580</v>
      </c>
      <c r="AJ218" s="274">
        <v>2265</v>
      </c>
      <c r="AK218" s="339">
        <v>315</v>
      </c>
      <c r="AL218" s="340" t="s">
        <v>4558</v>
      </c>
      <c r="AM218" s="353">
        <f t="shared" si="108"/>
        <v>2.0367652288612865E-4</v>
      </c>
      <c r="AN218" s="354"/>
      <c r="AP218" s="23">
        <f t="shared" si="111"/>
        <v>0</v>
      </c>
      <c r="AQ218" s="392">
        <f t="shared" si="89"/>
        <v>0</v>
      </c>
      <c r="AR218" s="392">
        <f t="shared" si="90"/>
        <v>0</v>
      </c>
      <c r="AS218" s="392">
        <f t="shared" si="90"/>
        <v>0</v>
      </c>
    </row>
    <row r="219" spans="1:45">
      <c r="A219" s="12" t="s">
        <v>1631</v>
      </c>
      <c r="B219" s="54" t="str">
        <f t="shared" si="92"/>
        <v>AZ_Maric_2020g</v>
      </c>
      <c r="C219" s="12"/>
      <c r="D219" s="54" t="str">
        <f t="shared" si="93"/>
        <v>Gen-isaac esd #5-gbm-4yr (vote for3)</v>
      </c>
      <c r="E219" s="54" t="s">
        <v>2035</v>
      </c>
      <c r="F219" s="12" t="s">
        <v>1300</v>
      </c>
      <c r="G219" s="59">
        <v>1849</v>
      </c>
      <c r="H219"/>
      <c r="K219" s="2"/>
      <c r="O219">
        <f t="shared" si="94"/>
        <v>4</v>
      </c>
      <c r="P219" s="57">
        <f t="shared" si="95"/>
        <v>3</v>
      </c>
      <c r="Q219" s="267">
        <f t="shared" si="96"/>
        <v>1915</v>
      </c>
      <c r="R219" s="23" t="str">
        <f t="shared" si="97"/>
        <v/>
      </c>
      <c r="S219" s="23">
        <f t="shared" si="98"/>
        <v>1849</v>
      </c>
      <c r="T219" s="23" t="str">
        <f t="shared" si="99"/>
        <v/>
      </c>
      <c r="U219" t="str">
        <f t="shared" si="100"/>
        <v/>
      </c>
      <c r="W219" s="1">
        <f t="shared" si="101"/>
        <v>17</v>
      </c>
      <c r="X219" s="73">
        <f t="shared" si="109"/>
        <v>244.14700315457415</v>
      </c>
      <c r="Y219" s="322">
        <f t="shared" si="102"/>
        <v>861.32700000000011</v>
      </c>
      <c r="Z219" s="43">
        <f t="shared" si="91"/>
        <v>4.1989952253187637</v>
      </c>
      <c r="AA219" s="52">
        <f t="shared" si="103"/>
        <v>4.1989952253187635E-2</v>
      </c>
      <c r="AB219" s="8">
        <f t="shared" si="104"/>
        <v>15465.7</v>
      </c>
      <c r="AC219" s="8">
        <f t="shared" si="105"/>
        <v>1546570</v>
      </c>
      <c r="AD219" s="8">
        <f t="shared" si="110"/>
        <v>7732.85</v>
      </c>
      <c r="AE219" s="8" t="str">
        <f t="shared" si="106"/>
        <v/>
      </c>
      <c r="AF219" s="22" t="str">
        <f t="shared" si="107"/>
        <v>CA_Orang_2020g</v>
      </c>
      <c r="AG219">
        <v>1</v>
      </c>
      <c r="AH219" s="272">
        <v>12483</v>
      </c>
      <c r="AI219" s="273">
        <v>6400</v>
      </c>
      <c r="AJ219" s="274">
        <v>6083</v>
      </c>
      <c r="AK219" s="339">
        <v>317</v>
      </c>
      <c r="AL219" s="340" t="s">
        <v>4499</v>
      </c>
      <c r="AM219" s="353">
        <f t="shared" si="108"/>
        <v>2.0496970715842155E-4</v>
      </c>
      <c r="AN219" s="354"/>
      <c r="AP219" s="23">
        <f t="shared" si="111"/>
        <v>0</v>
      </c>
      <c r="AQ219" s="392">
        <f t="shared" si="89"/>
        <v>0</v>
      </c>
      <c r="AR219" s="392">
        <f t="shared" si="90"/>
        <v>0</v>
      </c>
      <c r="AS219" s="392">
        <f t="shared" si="90"/>
        <v>0</v>
      </c>
    </row>
    <row r="220" spans="1:45">
      <c r="A220" s="12" t="s">
        <v>1631</v>
      </c>
      <c r="B220" s="54" t="str">
        <f t="shared" si="92"/>
        <v>AZ_Maric_2020g</v>
      </c>
      <c r="C220" s="12"/>
      <c r="D220" s="54" t="str">
        <f t="shared" si="93"/>
        <v>Gen-isaac esd #5-gbm-4yr (vote for3)</v>
      </c>
      <c r="E220" s="54" t="s">
        <v>1299</v>
      </c>
      <c r="G220" s="59">
        <v>66</v>
      </c>
      <c r="H220"/>
      <c r="K220" s="2"/>
      <c r="O220">
        <f t="shared" si="94"/>
        <v>-4</v>
      </c>
      <c r="P220" s="57">
        <f t="shared" si="95"/>
        <v>3</v>
      </c>
      <c r="Q220" s="267">
        <f t="shared" si="96"/>
        <v>66</v>
      </c>
      <c r="R220" s="23">
        <f t="shared" si="97"/>
        <v>1</v>
      </c>
      <c r="S220" s="23">
        <f t="shared" si="98"/>
        <v>0</v>
      </c>
      <c r="T220" s="23" t="str">
        <f t="shared" si="99"/>
        <v/>
      </c>
      <c r="U220" t="str">
        <f t="shared" si="100"/>
        <v/>
      </c>
      <c r="W220" s="1">
        <f t="shared" si="101"/>
        <v>18</v>
      </c>
      <c r="X220" s="73">
        <f t="shared" si="109"/>
        <v>195.61671826625388</v>
      </c>
      <c r="Y220" s="322">
        <f t="shared" si="102"/>
        <v>703.17900000000009</v>
      </c>
      <c r="Z220" s="43">
        <f t="shared" si="91"/>
        <v>3.9544156770629884</v>
      </c>
      <c r="AA220" s="52">
        <f t="shared" si="103"/>
        <v>3.9544156770629883E-2</v>
      </c>
      <c r="AB220" s="8">
        <f t="shared" si="104"/>
        <v>15465.7</v>
      </c>
      <c r="AC220" s="8">
        <f t="shared" si="105"/>
        <v>1546570</v>
      </c>
      <c r="AD220" s="8">
        <f t="shared" si="110"/>
        <v>7732.85</v>
      </c>
      <c r="AE220" s="8" t="str">
        <f t="shared" si="106"/>
        <v/>
      </c>
      <c r="AF220" s="22" t="str">
        <f t="shared" si="107"/>
        <v>CA_Orang_2020g</v>
      </c>
      <c r="AG220">
        <v>1</v>
      </c>
      <c r="AH220" s="272">
        <v>10191</v>
      </c>
      <c r="AI220" s="273">
        <v>4437</v>
      </c>
      <c r="AJ220" s="274">
        <v>4114</v>
      </c>
      <c r="AK220" s="339">
        <v>323</v>
      </c>
      <c r="AL220" s="340" t="s">
        <v>4493</v>
      </c>
      <c r="AM220" s="353">
        <f t="shared" si="108"/>
        <v>2.0884925997530018E-4</v>
      </c>
      <c r="AN220" s="354"/>
      <c r="AP220" s="23">
        <f t="shared" si="111"/>
        <v>0</v>
      </c>
      <c r="AQ220" s="392">
        <f t="shared" si="89"/>
        <v>0</v>
      </c>
      <c r="AR220" s="392">
        <f t="shared" si="90"/>
        <v>0</v>
      </c>
      <c r="AS220" s="392">
        <f t="shared" si="90"/>
        <v>0</v>
      </c>
    </row>
    <row r="221" spans="1:45">
      <c r="A221" s="12" t="s">
        <v>1592</v>
      </c>
      <c r="B221" s="54" t="str">
        <f t="shared" si="92"/>
        <v>AZ_Maric_2020g</v>
      </c>
      <c r="C221" s="12"/>
      <c r="D221" s="54" t="str">
        <f t="shared" si="93"/>
        <v>Gen-jp-arcadia biltmore (vote for1)</v>
      </c>
      <c r="E221" s="54" t="s">
        <v>1953</v>
      </c>
      <c r="F221" s="12" t="s">
        <v>1294</v>
      </c>
      <c r="G221" s="59">
        <v>48191</v>
      </c>
      <c r="H221"/>
      <c r="K221" s="2"/>
      <c r="O221">
        <f t="shared" si="94"/>
        <v>1</v>
      </c>
      <c r="P221" s="57">
        <f t="shared" si="95"/>
        <v>1</v>
      </c>
      <c r="Q221" s="267">
        <f t="shared" si="96"/>
        <v>49567</v>
      </c>
      <c r="R221" s="23">
        <f t="shared" si="97"/>
        <v>48191</v>
      </c>
      <c r="S221" s="23">
        <f t="shared" si="98"/>
        <v>0</v>
      </c>
      <c r="T221" s="23" t="str">
        <f t="shared" si="99"/>
        <v/>
      </c>
      <c r="U221" t="str">
        <f t="shared" si="100"/>
        <v>AZ_Maric_2020g~Gen-jp-arcadia biltmore (vote for1)</v>
      </c>
      <c r="W221" s="1">
        <f t="shared" si="101"/>
        <v>19</v>
      </c>
      <c r="X221" s="73">
        <f t="shared" si="109"/>
        <v>17.831007751937985</v>
      </c>
      <c r="Y221" s="322">
        <f t="shared" si="102"/>
        <v>76.797000000000011</v>
      </c>
      <c r="Z221" s="43">
        <f t="shared" si="91"/>
        <v>2.0848270619688365</v>
      </c>
      <c r="AA221" s="52">
        <f t="shared" si="103"/>
        <v>2.0848270619688365E-2</v>
      </c>
      <c r="AB221" s="8">
        <f t="shared" si="104"/>
        <v>15465.7</v>
      </c>
      <c r="AC221" s="8">
        <f t="shared" si="105"/>
        <v>1546570</v>
      </c>
      <c r="AD221" s="8">
        <f t="shared" si="110"/>
        <v>7732.85</v>
      </c>
      <c r="AE221" s="8" t="str">
        <f t="shared" si="106"/>
        <v/>
      </c>
      <c r="AF221" s="22" t="str">
        <f t="shared" si="107"/>
        <v>CA_Orang_2020g</v>
      </c>
      <c r="AG221">
        <v>1</v>
      </c>
      <c r="AH221" s="8">
        <v>1113</v>
      </c>
      <c r="AI221" s="273">
        <v>750</v>
      </c>
      <c r="AJ221" s="274">
        <v>363</v>
      </c>
      <c r="AK221" s="339">
        <v>387</v>
      </c>
      <c r="AL221" s="23" t="s">
        <v>4518</v>
      </c>
      <c r="AM221" s="353">
        <f t="shared" si="108"/>
        <v>2.5023115668867236E-4</v>
      </c>
      <c r="AN221" s="354"/>
      <c r="AP221" s="23">
        <f t="shared" si="111"/>
        <v>0</v>
      </c>
      <c r="AQ221" s="392">
        <f t="shared" si="89"/>
        <v>0</v>
      </c>
      <c r="AR221" s="392">
        <f t="shared" si="90"/>
        <v>0</v>
      </c>
      <c r="AS221" s="392">
        <f t="shared" si="90"/>
        <v>0</v>
      </c>
    </row>
    <row r="222" spans="1:45">
      <c r="A222" s="12" t="s">
        <v>1592</v>
      </c>
      <c r="B222" s="54" t="str">
        <f t="shared" si="92"/>
        <v>AZ_Maric_2020g</v>
      </c>
      <c r="C222" s="12"/>
      <c r="D222" s="54" t="str">
        <f t="shared" si="93"/>
        <v>Gen-jp-arcadia biltmore (vote for1)</v>
      </c>
      <c r="E222" s="54" t="s">
        <v>1299</v>
      </c>
      <c r="G222" s="59">
        <v>1376</v>
      </c>
      <c r="H222"/>
      <c r="K222" s="2"/>
      <c r="O222">
        <f t="shared" si="94"/>
        <v>-1</v>
      </c>
      <c r="P222" s="57">
        <f t="shared" si="95"/>
        <v>1</v>
      </c>
      <c r="Q222" s="267">
        <f t="shared" si="96"/>
        <v>1376</v>
      </c>
      <c r="R222" s="23">
        <f t="shared" si="97"/>
        <v>1</v>
      </c>
      <c r="S222" s="23">
        <f t="shared" si="98"/>
        <v>0</v>
      </c>
      <c r="T222" s="23" t="str">
        <f t="shared" si="99"/>
        <v/>
      </c>
      <c r="U222" t="str">
        <f t="shared" si="100"/>
        <v/>
      </c>
      <c r="W222" s="1">
        <f t="shared" si="101"/>
        <v>20</v>
      </c>
      <c r="X222" s="73">
        <f t="shared" si="109"/>
        <v>189.42476190476191</v>
      </c>
      <c r="Y222" s="322">
        <f t="shared" si="102"/>
        <v>885.40800000000013</v>
      </c>
      <c r="Z222" s="43">
        <f t="shared" si="91"/>
        <v>1.4987025819403774</v>
      </c>
      <c r="AA222" s="52">
        <f t="shared" si="103"/>
        <v>1.4987025819403773E-2</v>
      </c>
      <c r="AB222" s="8">
        <f t="shared" si="104"/>
        <v>15465.7</v>
      </c>
      <c r="AC222" s="8">
        <f t="shared" si="105"/>
        <v>1546570</v>
      </c>
      <c r="AD222" s="8">
        <f t="shared" si="110"/>
        <v>7732.85</v>
      </c>
      <c r="AE222" s="8" t="str">
        <f t="shared" si="106"/>
        <v/>
      </c>
      <c r="AF222" s="22" t="str">
        <f t="shared" si="107"/>
        <v>CA_Orang_2020g</v>
      </c>
      <c r="AG222">
        <v>1</v>
      </c>
      <c r="AH222" s="272">
        <v>12832</v>
      </c>
      <c r="AI222" s="273">
        <v>6626</v>
      </c>
      <c r="AJ222" s="274">
        <v>6206</v>
      </c>
      <c r="AK222" s="339">
        <v>420</v>
      </c>
      <c r="AL222" s="340" t="s">
        <v>4510</v>
      </c>
      <c r="AM222" s="353">
        <f t="shared" si="108"/>
        <v>2.7156869718150488E-4</v>
      </c>
      <c r="AN222" s="354"/>
      <c r="AP222" s="23">
        <f t="shared" si="111"/>
        <v>0</v>
      </c>
      <c r="AQ222" s="392">
        <f t="shared" si="89"/>
        <v>0</v>
      </c>
      <c r="AR222" s="392">
        <f t="shared" si="90"/>
        <v>0</v>
      </c>
      <c r="AS222" s="392">
        <f t="shared" si="90"/>
        <v>0</v>
      </c>
    </row>
    <row r="223" spans="1:45">
      <c r="A223" s="12" t="s">
        <v>1610</v>
      </c>
      <c r="B223" s="54" t="str">
        <f t="shared" si="92"/>
        <v>AZ_Maric_2020g</v>
      </c>
      <c r="C223" s="12"/>
      <c r="D223" s="54" t="str">
        <f t="shared" si="93"/>
        <v>Gen-jp-country meadows (vote for1)</v>
      </c>
      <c r="E223" s="54" t="s">
        <v>1972</v>
      </c>
      <c r="F223" s="12" t="s">
        <v>1294</v>
      </c>
      <c r="G223" s="59">
        <v>40744</v>
      </c>
      <c r="H223"/>
      <c r="K223" s="2"/>
      <c r="O223">
        <f t="shared" si="94"/>
        <v>1</v>
      </c>
      <c r="P223" s="57">
        <f t="shared" si="95"/>
        <v>1</v>
      </c>
      <c r="Q223" s="267">
        <f t="shared" si="96"/>
        <v>41789</v>
      </c>
      <c r="R223" s="23">
        <f t="shared" si="97"/>
        <v>40744</v>
      </c>
      <c r="S223" s="23">
        <f t="shared" si="98"/>
        <v>0</v>
      </c>
      <c r="T223" s="23" t="str">
        <f t="shared" si="99"/>
        <v/>
      </c>
      <c r="U223" t="str">
        <f t="shared" si="100"/>
        <v>AZ_Maric_2020g~Gen-jp-country meadows (vote for1)</v>
      </c>
      <c r="W223" s="1">
        <f t="shared" si="101"/>
        <v>21</v>
      </c>
      <c r="X223" s="73">
        <f t="shared" si="109"/>
        <v>377.44496487119437</v>
      </c>
      <c r="Y223" s="322">
        <f t="shared" si="102"/>
        <v>1793.6550000000002</v>
      </c>
      <c r="Z223" s="43">
        <f t="shared" si="91"/>
        <v>1.3973542328853397</v>
      </c>
      <c r="AA223" s="52">
        <f t="shared" si="103"/>
        <v>1.3973542328853396E-2</v>
      </c>
      <c r="AB223" s="8">
        <f t="shared" si="104"/>
        <v>15465.7</v>
      </c>
      <c r="AC223" s="8">
        <f t="shared" si="105"/>
        <v>1546570</v>
      </c>
      <c r="AD223" s="8">
        <f t="shared" si="110"/>
        <v>7732.85</v>
      </c>
      <c r="AE223" s="8" t="str">
        <f t="shared" si="106"/>
        <v/>
      </c>
      <c r="AF223" s="22" t="str">
        <f t="shared" si="107"/>
        <v>CA_Orang_2020g</v>
      </c>
      <c r="AG223">
        <v>1</v>
      </c>
      <c r="AH223" s="8">
        <v>25995</v>
      </c>
      <c r="AI223" s="273">
        <v>6343</v>
      </c>
      <c r="AJ223" s="274">
        <v>5916</v>
      </c>
      <c r="AK223" s="339">
        <v>427</v>
      </c>
      <c r="AL223" s="23" t="s">
        <v>4514</v>
      </c>
      <c r="AM223" s="353">
        <f t="shared" si="108"/>
        <v>2.7609484213452997E-4</v>
      </c>
      <c r="AN223" s="354"/>
      <c r="AP223" s="23">
        <f t="shared" si="111"/>
        <v>0</v>
      </c>
      <c r="AQ223" s="392">
        <f t="shared" si="89"/>
        <v>0</v>
      </c>
      <c r="AR223" s="392">
        <f t="shared" si="90"/>
        <v>0</v>
      </c>
      <c r="AS223" s="392">
        <f t="shared" si="90"/>
        <v>0</v>
      </c>
    </row>
    <row r="224" spans="1:45">
      <c r="A224" s="12" t="s">
        <v>1610</v>
      </c>
      <c r="B224" s="54" t="str">
        <f t="shared" si="92"/>
        <v>AZ_Maric_2020g</v>
      </c>
      <c r="C224" s="12"/>
      <c r="D224" s="54" t="str">
        <f t="shared" si="93"/>
        <v>Gen-jp-country meadows (vote for1)</v>
      </c>
      <c r="E224" s="54" t="s">
        <v>1299</v>
      </c>
      <c r="G224" s="59">
        <v>1045</v>
      </c>
      <c r="H224"/>
      <c r="K224" s="2"/>
      <c r="O224">
        <f t="shared" si="94"/>
        <v>-1</v>
      </c>
      <c r="P224" s="57">
        <f t="shared" si="95"/>
        <v>1</v>
      </c>
      <c r="Q224" s="267">
        <f t="shared" si="96"/>
        <v>1045</v>
      </c>
      <c r="R224" s="23">
        <f t="shared" si="97"/>
        <v>1</v>
      </c>
      <c r="S224" s="23">
        <f t="shared" si="98"/>
        <v>0</v>
      </c>
      <c r="T224" s="23" t="str">
        <f t="shared" si="99"/>
        <v/>
      </c>
      <c r="U224" t="str">
        <f t="shared" si="100"/>
        <v/>
      </c>
      <c r="W224" s="1">
        <f t="shared" si="101"/>
        <v>22</v>
      </c>
      <c r="X224" s="73">
        <f t="shared" si="109"/>
        <v>20.610045662100458</v>
      </c>
      <c r="Y224" s="322">
        <f t="shared" si="102"/>
        <v>100.46400000000001</v>
      </c>
      <c r="Z224" s="43">
        <f t="shared" si="91"/>
        <v>1.2517591034163749</v>
      </c>
      <c r="AA224" s="52">
        <f t="shared" si="103"/>
        <v>1.251759103416375E-2</v>
      </c>
      <c r="AB224" s="8">
        <f t="shared" si="104"/>
        <v>15465.7</v>
      </c>
      <c r="AC224" s="8">
        <f t="shared" si="105"/>
        <v>1546570</v>
      </c>
      <c r="AD224" s="8">
        <f t="shared" si="110"/>
        <v>7732.85</v>
      </c>
      <c r="AE224" s="8" t="str">
        <f t="shared" si="106"/>
        <v/>
      </c>
      <c r="AF224" s="22" t="str">
        <f t="shared" si="107"/>
        <v>CA_Orang_2020g</v>
      </c>
      <c r="AG224">
        <v>1</v>
      </c>
      <c r="AH224" s="8">
        <v>1456</v>
      </c>
      <c r="AI224" s="273">
        <v>947</v>
      </c>
      <c r="AJ224" s="274">
        <v>509</v>
      </c>
      <c r="AK224" s="339">
        <v>438</v>
      </c>
      <c r="AL224" s="23" t="s">
        <v>4537</v>
      </c>
      <c r="AM224" s="353">
        <f t="shared" si="108"/>
        <v>2.8320735563214082E-4</v>
      </c>
      <c r="AN224" s="354"/>
      <c r="AP224" s="23">
        <f t="shared" si="111"/>
        <v>0</v>
      </c>
      <c r="AQ224" s="392">
        <f t="shared" si="89"/>
        <v>0</v>
      </c>
      <c r="AR224" s="392">
        <f t="shared" si="90"/>
        <v>0</v>
      </c>
      <c r="AS224" s="392">
        <f t="shared" si="90"/>
        <v>0</v>
      </c>
    </row>
    <row r="225" spans="1:45">
      <c r="A225" s="12" t="s">
        <v>1608</v>
      </c>
      <c r="B225" s="54" t="str">
        <f t="shared" si="92"/>
        <v>AZ_Maric_2020g</v>
      </c>
      <c r="C225" s="12"/>
      <c r="D225" s="54" t="str">
        <f t="shared" si="93"/>
        <v>Gen-jp-desert ridge (vote for1)</v>
      </c>
      <c r="E225" s="54" t="s">
        <v>1970</v>
      </c>
      <c r="F225" s="12" t="s">
        <v>1296</v>
      </c>
      <c r="G225" s="59">
        <v>76896</v>
      </c>
      <c r="H225"/>
      <c r="K225" s="2"/>
      <c r="O225">
        <f t="shared" si="94"/>
        <v>1</v>
      </c>
      <c r="P225" s="57">
        <f t="shared" si="95"/>
        <v>1</v>
      </c>
      <c r="Q225" s="267">
        <f t="shared" si="96"/>
        <v>78196</v>
      </c>
      <c r="R225" s="23">
        <f t="shared" si="97"/>
        <v>76896</v>
      </c>
      <c r="S225" s="23">
        <f t="shared" si="98"/>
        <v>0</v>
      </c>
      <c r="T225" s="23" t="str">
        <f t="shared" si="99"/>
        <v/>
      </c>
      <c r="U225" t="str">
        <f t="shared" si="100"/>
        <v>AZ_Maric_2020g~Gen-jp-desert ridge (vote for1)</v>
      </c>
      <c r="W225" s="1">
        <f t="shared" si="101"/>
        <v>23</v>
      </c>
      <c r="X225" s="73">
        <f t="shared" si="109"/>
        <v>107.28806584362141</v>
      </c>
      <c r="Y225" s="322">
        <f t="shared" si="102"/>
        <v>580.29000000000008</v>
      </c>
      <c r="Z225" s="43">
        <f t="shared" si="91"/>
        <v>0.7744566545558389</v>
      </c>
      <c r="AA225" s="52">
        <f t="shared" si="103"/>
        <v>7.7445665455583889E-3</v>
      </c>
      <c r="AB225" s="8">
        <f t="shared" si="104"/>
        <v>15465.7</v>
      </c>
      <c r="AC225" s="8">
        <f t="shared" si="105"/>
        <v>1546570</v>
      </c>
      <c r="AD225" s="8">
        <f t="shared" si="110"/>
        <v>7732.85</v>
      </c>
      <c r="AE225" s="8" t="str">
        <f t="shared" si="106"/>
        <v/>
      </c>
      <c r="AF225" s="22" t="str">
        <f t="shared" si="107"/>
        <v>CA_Orang_2020g</v>
      </c>
      <c r="AG225">
        <v>1</v>
      </c>
      <c r="AH225" s="272">
        <v>8410</v>
      </c>
      <c r="AI225" s="273">
        <v>4448</v>
      </c>
      <c r="AJ225" s="274">
        <v>3962</v>
      </c>
      <c r="AK225" s="339">
        <v>486</v>
      </c>
      <c r="AL225" s="340" t="s">
        <v>4526</v>
      </c>
      <c r="AM225" s="353">
        <f t="shared" si="108"/>
        <v>3.1424377816716994E-4</v>
      </c>
      <c r="AN225" s="354"/>
      <c r="AP225" s="23">
        <f t="shared" si="111"/>
        <v>0</v>
      </c>
      <c r="AQ225" s="392">
        <f t="shared" si="89"/>
        <v>0</v>
      </c>
      <c r="AR225" s="392">
        <f t="shared" si="90"/>
        <v>0</v>
      </c>
      <c r="AS225" s="392">
        <f t="shared" si="90"/>
        <v>0</v>
      </c>
    </row>
    <row r="226" spans="1:45">
      <c r="A226" s="12" t="s">
        <v>1608</v>
      </c>
      <c r="B226" s="54" t="str">
        <f t="shared" si="92"/>
        <v>AZ_Maric_2020g</v>
      </c>
      <c r="C226" s="12"/>
      <c r="D226" s="54" t="str">
        <f t="shared" si="93"/>
        <v>Gen-jp-desert ridge (vote for1)</v>
      </c>
      <c r="E226" s="54" t="s">
        <v>1299</v>
      </c>
      <c r="G226" s="59">
        <v>1300</v>
      </c>
      <c r="H226"/>
      <c r="K226" s="2"/>
      <c r="O226">
        <f t="shared" si="94"/>
        <v>-1</v>
      </c>
      <c r="P226" s="57">
        <f t="shared" si="95"/>
        <v>1</v>
      </c>
      <c r="Q226" s="267">
        <f t="shared" si="96"/>
        <v>1300</v>
      </c>
      <c r="R226" s="23">
        <f t="shared" si="97"/>
        <v>1</v>
      </c>
      <c r="S226" s="23">
        <f t="shared" si="98"/>
        <v>0</v>
      </c>
      <c r="T226" s="23" t="str">
        <f t="shared" si="99"/>
        <v/>
      </c>
      <c r="U226" t="str">
        <f t="shared" si="100"/>
        <v/>
      </c>
      <c r="W226" s="1">
        <f t="shared" si="101"/>
        <v>24</v>
      </c>
      <c r="X226" s="73">
        <f t="shared" si="109"/>
        <v>321.27272727272725</v>
      </c>
      <c r="Y226" s="322">
        <f t="shared" si="102"/>
        <v>1769.8500000000001</v>
      </c>
      <c r="Z226" s="43">
        <f t="shared" si="91"/>
        <v>0.70777987880627635</v>
      </c>
      <c r="AA226" s="52">
        <f t="shared" si="103"/>
        <v>7.0777987880627641E-3</v>
      </c>
      <c r="AB226" s="8">
        <f t="shared" si="104"/>
        <v>15465.7</v>
      </c>
      <c r="AC226" s="8">
        <f t="shared" si="105"/>
        <v>1546570</v>
      </c>
      <c r="AD226" s="8">
        <f t="shared" si="110"/>
        <v>7732.85</v>
      </c>
      <c r="AE226" s="8" t="str">
        <f t="shared" si="106"/>
        <v/>
      </c>
      <c r="AF226" s="22" t="str">
        <f t="shared" si="107"/>
        <v>CA_Orang_2020g</v>
      </c>
      <c r="AG226">
        <v>1</v>
      </c>
      <c r="AH226" s="272">
        <v>25650</v>
      </c>
      <c r="AI226" s="273">
        <v>11459</v>
      </c>
      <c r="AJ226" s="274">
        <v>10964</v>
      </c>
      <c r="AK226" s="339">
        <v>495</v>
      </c>
      <c r="AL226" s="340" t="s">
        <v>4480</v>
      </c>
      <c r="AM226" s="353">
        <f t="shared" si="108"/>
        <v>3.200631073924879E-4</v>
      </c>
      <c r="AN226" s="354"/>
      <c r="AP226" s="23">
        <f t="shared" si="111"/>
        <v>0</v>
      </c>
      <c r="AQ226" s="392">
        <f t="shared" si="89"/>
        <v>0</v>
      </c>
      <c r="AR226" s="392">
        <f t="shared" si="90"/>
        <v>0</v>
      </c>
      <c r="AS226" s="392">
        <f t="shared" si="90"/>
        <v>0</v>
      </c>
    </row>
    <row r="227" spans="1:45">
      <c r="A227" s="12" t="s">
        <v>1598</v>
      </c>
      <c r="B227" s="54" t="str">
        <f t="shared" si="92"/>
        <v>AZ_Maric_2020g</v>
      </c>
      <c r="C227" s="12"/>
      <c r="D227" s="54" t="str">
        <f t="shared" si="93"/>
        <v>Gen-jp-dreamy draw (vote for1)</v>
      </c>
      <c r="E227" s="54" t="s">
        <v>1959</v>
      </c>
      <c r="F227" s="12" t="s">
        <v>1296</v>
      </c>
      <c r="G227" s="59">
        <v>50990</v>
      </c>
      <c r="H227"/>
      <c r="K227" s="2"/>
      <c r="O227">
        <f t="shared" si="94"/>
        <v>1</v>
      </c>
      <c r="P227" s="57">
        <f t="shared" si="95"/>
        <v>1</v>
      </c>
      <c r="Q227" s="267">
        <f t="shared" si="96"/>
        <v>52711</v>
      </c>
      <c r="R227" s="23">
        <f t="shared" si="97"/>
        <v>50990</v>
      </c>
      <c r="S227" s="23">
        <f t="shared" si="98"/>
        <v>0</v>
      </c>
      <c r="T227" s="23" t="str">
        <f t="shared" si="99"/>
        <v/>
      </c>
      <c r="U227" t="str">
        <f t="shared" si="100"/>
        <v>AZ_Maric_2020g~Gen-jp-dreamy draw (vote for1)</v>
      </c>
      <c r="W227" s="1">
        <f t="shared" si="101"/>
        <v>25</v>
      </c>
      <c r="X227" s="73">
        <f t="shared" si="109"/>
        <v>693.28539325842689</v>
      </c>
      <c r="Y227" s="322">
        <f t="shared" si="102"/>
        <v>4120.1280000000006</v>
      </c>
      <c r="Z227" s="43">
        <f t="shared" si="91"/>
        <v>0.47914504263445656</v>
      </c>
      <c r="AA227" s="52">
        <f t="shared" si="103"/>
        <v>4.7914504263445656E-3</v>
      </c>
      <c r="AB227" s="8">
        <f t="shared" si="104"/>
        <v>15465.7</v>
      </c>
      <c r="AC227" s="8">
        <f t="shared" si="105"/>
        <v>1546570</v>
      </c>
      <c r="AD227" s="8">
        <f t="shared" si="110"/>
        <v>7732.85</v>
      </c>
      <c r="AE227" s="8" t="str">
        <f t="shared" si="106"/>
        <v/>
      </c>
      <c r="AF227" s="22" t="str">
        <f t="shared" si="107"/>
        <v>CA_Orang_2020g</v>
      </c>
      <c r="AG227">
        <v>1</v>
      </c>
      <c r="AH227" s="272">
        <v>59712</v>
      </c>
      <c r="AI227" s="273">
        <v>19247</v>
      </c>
      <c r="AJ227" s="274">
        <v>18713</v>
      </c>
      <c r="AK227" s="339">
        <v>534</v>
      </c>
      <c r="AL227" s="340" t="s">
        <v>4532</v>
      </c>
      <c r="AM227" s="353">
        <f t="shared" si="108"/>
        <v>3.4528020070219906E-4</v>
      </c>
      <c r="AN227" s="354"/>
      <c r="AP227" s="23">
        <f t="shared" si="111"/>
        <v>0</v>
      </c>
      <c r="AQ227" s="392">
        <f t="shared" si="89"/>
        <v>0</v>
      </c>
      <c r="AR227" s="392">
        <f t="shared" si="90"/>
        <v>0</v>
      </c>
      <c r="AS227" s="392">
        <f t="shared" si="90"/>
        <v>0</v>
      </c>
    </row>
    <row r="228" spans="1:45">
      <c r="A228" s="12" t="s">
        <v>1598</v>
      </c>
      <c r="B228" s="54" t="str">
        <f t="shared" si="92"/>
        <v>AZ_Maric_2020g</v>
      </c>
      <c r="C228" s="12"/>
      <c r="D228" s="54" t="str">
        <f t="shared" si="93"/>
        <v>Gen-jp-dreamy draw (vote for1)</v>
      </c>
      <c r="E228" s="54" t="s">
        <v>1299</v>
      </c>
      <c r="G228" s="59">
        <v>1721</v>
      </c>
      <c r="H228"/>
      <c r="K228" s="2"/>
      <c r="O228">
        <f t="shared" si="94"/>
        <v>-1</v>
      </c>
      <c r="P228" s="57">
        <f t="shared" si="95"/>
        <v>1</v>
      </c>
      <c r="Q228" s="267">
        <f t="shared" si="96"/>
        <v>1721</v>
      </c>
      <c r="R228" s="23">
        <f t="shared" si="97"/>
        <v>1</v>
      </c>
      <c r="S228" s="23">
        <f t="shared" si="98"/>
        <v>0</v>
      </c>
      <c r="T228" s="23" t="str">
        <f t="shared" si="99"/>
        <v/>
      </c>
      <c r="U228" t="str">
        <f t="shared" si="100"/>
        <v/>
      </c>
      <c r="W228" s="1">
        <f t="shared" si="101"/>
        <v>26</v>
      </c>
      <c r="X228" s="73">
        <f t="shared" si="109"/>
        <v>238.75656934306568</v>
      </c>
      <c r="Y228" s="322">
        <f t="shared" si="102"/>
        <v>1456.1070000000002</v>
      </c>
      <c r="Z228" s="43">
        <f t="shared" si="91"/>
        <v>0.4165282825337242</v>
      </c>
      <c r="AA228" s="52">
        <f t="shared" si="103"/>
        <v>4.1652828253372423E-3</v>
      </c>
      <c r="AB228" s="8">
        <f t="shared" si="104"/>
        <v>15465.7</v>
      </c>
      <c r="AC228" s="8">
        <f t="shared" si="105"/>
        <v>1546570</v>
      </c>
      <c r="AD228" s="8">
        <f t="shared" si="110"/>
        <v>7732.85</v>
      </c>
      <c r="AE228" s="8" t="str">
        <f t="shared" si="106"/>
        <v/>
      </c>
      <c r="AF228" s="22" t="str">
        <f t="shared" si="107"/>
        <v>CA_Orang_2020g</v>
      </c>
      <c r="AG228">
        <v>1</v>
      </c>
      <c r="AH228" s="272">
        <v>21103</v>
      </c>
      <c r="AI228" s="273">
        <v>9484</v>
      </c>
      <c r="AJ228" s="274">
        <v>8936</v>
      </c>
      <c r="AK228" s="339">
        <v>548</v>
      </c>
      <c r="AL228" s="340" t="s">
        <v>4512</v>
      </c>
      <c r="AM228" s="353">
        <f t="shared" si="108"/>
        <v>3.5433249060824924E-4</v>
      </c>
      <c r="AN228" s="354"/>
      <c r="AP228" s="23">
        <f t="shared" si="111"/>
        <v>0</v>
      </c>
      <c r="AQ228" s="392">
        <f t="shared" si="89"/>
        <v>0</v>
      </c>
      <c r="AR228" s="392">
        <f t="shared" si="90"/>
        <v>0</v>
      </c>
      <c r="AS228" s="392">
        <f t="shared" si="90"/>
        <v>0</v>
      </c>
    </row>
    <row r="229" spans="1:45">
      <c r="A229" s="12" t="s">
        <v>1603</v>
      </c>
      <c r="B229" s="54" t="str">
        <f t="shared" si="92"/>
        <v>AZ_Maric_2020g</v>
      </c>
      <c r="C229" s="12"/>
      <c r="D229" s="54" t="str">
        <f t="shared" si="93"/>
        <v>Gen-jp-highland (vote for1)</v>
      </c>
      <c r="E229" s="54" t="s">
        <v>1965</v>
      </c>
      <c r="F229" s="12" t="s">
        <v>1296</v>
      </c>
      <c r="G229" s="59">
        <v>90032</v>
      </c>
      <c r="H229"/>
      <c r="K229" s="2"/>
      <c r="O229">
        <f t="shared" si="94"/>
        <v>1</v>
      </c>
      <c r="P229" s="57">
        <f t="shared" si="95"/>
        <v>1</v>
      </c>
      <c r="Q229" s="267">
        <f t="shared" si="96"/>
        <v>92463</v>
      </c>
      <c r="R229" s="23">
        <f t="shared" si="97"/>
        <v>90032</v>
      </c>
      <c r="S229" s="23">
        <f t="shared" si="98"/>
        <v>0</v>
      </c>
      <c r="T229" s="23" t="str">
        <f t="shared" si="99"/>
        <v/>
      </c>
      <c r="U229" t="str">
        <f t="shared" si="100"/>
        <v>AZ_Maric_2020g~Gen-jp-highland (vote for1)</v>
      </c>
      <c r="W229" s="1">
        <f t="shared" si="101"/>
        <v>27</v>
      </c>
      <c r="X229" s="73">
        <f t="shared" si="109"/>
        <v>309.12727272727278</v>
      </c>
      <c r="Y229" s="322">
        <f t="shared" si="102"/>
        <v>2346.2760000000003</v>
      </c>
      <c r="Z229" s="43">
        <f t="shared" si="91"/>
        <v>0.10900800230194882</v>
      </c>
      <c r="AA229" s="52">
        <f t="shared" si="103"/>
        <v>1.0900800230194882E-3</v>
      </c>
      <c r="AB229" s="8">
        <f t="shared" si="104"/>
        <v>15465.7</v>
      </c>
      <c r="AC229" s="8">
        <f t="shared" si="105"/>
        <v>1546570</v>
      </c>
      <c r="AD229" s="8">
        <f t="shared" si="110"/>
        <v>7732.85</v>
      </c>
      <c r="AE229" s="8" t="str">
        <f t="shared" si="106"/>
        <v/>
      </c>
      <c r="AF229" s="22" t="str">
        <f t="shared" si="107"/>
        <v>CA_Orang_2020g</v>
      </c>
      <c r="AG229">
        <v>1</v>
      </c>
      <c r="AH229" s="8">
        <v>34004</v>
      </c>
      <c r="AI229" s="273">
        <v>8040</v>
      </c>
      <c r="AJ229" s="274">
        <v>7358</v>
      </c>
      <c r="AK229" s="339">
        <v>682</v>
      </c>
      <c r="AL229" s="23" t="s">
        <v>4530</v>
      </c>
      <c r="AM229" s="353">
        <f t="shared" si="108"/>
        <v>4.4097583685187222E-4</v>
      </c>
      <c r="AN229" s="354"/>
      <c r="AP229" s="23">
        <f t="shared" si="111"/>
        <v>0</v>
      </c>
      <c r="AQ229" s="392">
        <f t="shared" si="89"/>
        <v>0</v>
      </c>
      <c r="AR229" s="392">
        <f t="shared" si="90"/>
        <v>0</v>
      </c>
      <c r="AS229" s="392">
        <f t="shared" si="90"/>
        <v>0</v>
      </c>
    </row>
    <row r="230" spans="1:45">
      <c r="A230" s="12" t="s">
        <v>1603</v>
      </c>
      <c r="B230" s="54" t="str">
        <f t="shared" si="92"/>
        <v>AZ_Maric_2020g</v>
      </c>
      <c r="C230" s="12"/>
      <c r="D230" s="54" t="str">
        <f t="shared" si="93"/>
        <v>Gen-jp-highland (vote for1)</v>
      </c>
      <c r="E230" s="54" t="s">
        <v>1299</v>
      </c>
      <c r="G230" s="59">
        <v>2431</v>
      </c>
      <c r="H230"/>
      <c r="K230" s="2"/>
      <c r="O230">
        <f t="shared" si="94"/>
        <v>-1</v>
      </c>
      <c r="P230" s="57">
        <f t="shared" si="95"/>
        <v>1</v>
      </c>
      <c r="Q230" s="267">
        <f t="shared" si="96"/>
        <v>2431</v>
      </c>
      <c r="R230" s="23">
        <f t="shared" si="97"/>
        <v>1</v>
      </c>
      <c r="S230" s="23">
        <f t="shared" si="98"/>
        <v>0</v>
      </c>
      <c r="T230" s="23" t="str">
        <f t="shared" si="99"/>
        <v/>
      </c>
      <c r="U230" t="str">
        <f t="shared" si="100"/>
        <v/>
      </c>
      <c r="W230" s="1">
        <f t="shared" si="101"/>
        <v>28</v>
      </c>
      <c r="X230" s="73">
        <f t="shared" si="109"/>
        <v>110.1304347826087</v>
      </c>
      <c r="Y230" s="322">
        <f t="shared" si="102"/>
        <v>873.8850000000001</v>
      </c>
      <c r="Z230" s="43">
        <f t="shared" si="91"/>
        <v>7.9940405247971413E-2</v>
      </c>
      <c r="AA230" s="52">
        <f t="shared" si="103"/>
        <v>7.9940405247971413E-4</v>
      </c>
      <c r="AB230" s="8">
        <f t="shared" si="104"/>
        <v>15465.7</v>
      </c>
      <c r="AC230" s="8">
        <f t="shared" si="105"/>
        <v>1546570</v>
      </c>
      <c r="AD230" s="8">
        <f t="shared" si="110"/>
        <v>7732.85</v>
      </c>
      <c r="AE230" s="8" t="str">
        <f t="shared" si="106"/>
        <v/>
      </c>
      <c r="AF230" s="22" t="str">
        <f t="shared" si="107"/>
        <v>CA_Orang_2020g</v>
      </c>
      <c r="AG230">
        <v>1</v>
      </c>
      <c r="AH230" s="272">
        <v>12665</v>
      </c>
      <c r="AI230" s="273">
        <v>6689</v>
      </c>
      <c r="AJ230" s="274">
        <v>5976</v>
      </c>
      <c r="AK230" s="339">
        <v>713</v>
      </c>
      <c r="AL230" s="340" t="s">
        <v>4573</v>
      </c>
      <c r="AM230" s="353">
        <f t="shared" si="108"/>
        <v>4.6102019307241187E-4</v>
      </c>
      <c r="AN230" s="354"/>
      <c r="AP230" s="23">
        <f t="shared" si="111"/>
        <v>0</v>
      </c>
      <c r="AQ230" s="392">
        <f t="shared" si="89"/>
        <v>0</v>
      </c>
      <c r="AR230" s="392">
        <f t="shared" si="90"/>
        <v>0</v>
      </c>
      <c r="AS230" s="392">
        <f t="shared" si="90"/>
        <v>0</v>
      </c>
    </row>
    <row r="231" spans="1:45">
      <c r="A231" s="12" t="s">
        <v>1594</v>
      </c>
      <c r="B231" s="54" t="str">
        <f t="shared" si="92"/>
        <v>AZ_Maric_2020g</v>
      </c>
      <c r="C231" s="12"/>
      <c r="D231" s="54" t="str">
        <f t="shared" si="93"/>
        <v>Gen-jp-maryvale (vote for1)</v>
      </c>
      <c r="E231" s="54" t="s">
        <v>1955</v>
      </c>
      <c r="F231" s="12" t="s">
        <v>1294</v>
      </c>
      <c r="G231" s="59">
        <v>20380</v>
      </c>
      <c r="H231"/>
      <c r="K231" s="2"/>
      <c r="O231">
        <f t="shared" si="94"/>
        <v>1</v>
      </c>
      <c r="P231" s="57">
        <f t="shared" si="95"/>
        <v>1</v>
      </c>
      <c r="Q231" s="267">
        <f t="shared" si="96"/>
        <v>20762</v>
      </c>
      <c r="R231" s="23">
        <f t="shared" si="97"/>
        <v>20380</v>
      </c>
      <c r="S231" s="23">
        <f t="shared" si="98"/>
        <v>0</v>
      </c>
      <c r="T231" s="23" t="str">
        <f t="shared" si="99"/>
        <v/>
      </c>
      <c r="U231" t="str">
        <f t="shared" si="100"/>
        <v>AZ_Maric_2020g~Gen-jp-maryvale (vote for1)</v>
      </c>
      <c r="W231" s="1">
        <f t="shared" si="101"/>
        <v>29</v>
      </c>
      <c r="X231" s="73">
        <f t="shared" si="109"/>
        <v>320.08298969072166</v>
      </c>
      <c r="Y231" s="322">
        <f t="shared" si="102"/>
        <v>2764.2780000000002</v>
      </c>
      <c r="Z231" s="43">
        <f t="shared" si="91"/>
        <v>4.2562688052987574E-2</v>
      </c>
      <c r="AA231" s="52">
        <f t="shared" si="103"/>
        <v>4.2562688052987576E-4</v>
      </c>
      <c r="AB231" s="8">
        <f t="shared" si="104"/>
        <v>15465.7</v>
      </c>
      <c r="AC231" s="8">
        <f t="shared" si="105"/>
        <v>1546570</v>
      </c>
      <c r="AD231" s="8">
        <f t="shared" si="110"/>
        <v>7732.85</v>
      </c>
      <c r="AE231" s="8" t="str">
        <f t="shared" si="106"/>
        <v/>
      </c>
      <c r="AF231" s="22" t="str">
        <f t="shared" si="107"/>
        <v>CA_Orang_2020g</v>
      </c>
      <c r="AG231">
        <v>1</v>
      </c>
      <c r="AH231" s="272">
        <v>40062</v>
      </c>
      <c r="AI231" s="273">
        <v>8129</v>
      </c>
      <c r="AJ231" s="274">
        <v>7353</v>
      </c>
      <c r="AK231" s="339">
        <v>776</v>
      </c>
      <c r="AL231" s="340" t="s">
        <v>4495</v>
      </c>
      <c r="AM231" s="353">
        <f t="shared" si="108"/>
        <v>5.0175549764963753E-4</v>
      </c>
      <c r="AN231" s="354"/>
      <c r="AP231" s="23">
        <f t="shared" si="111"/>
        <v>0</v>
      </c>
      <c r="AQ231" s="392">
        <f t="shared" si="89"/>
        <v>0</v>
      </c>
      <c r="AR231" s="392">
        <f t="shared" si="90"/>
        <v>0</v>
      </c>
      <c r="AS231" s="392">
        <f t="shared" si="90"/>
        <v>0</v>
      </c>
    </row>
    <row r="232" spans="1:45">
      <c r="A232" s="12" t="s">
        <v>1594</v>
      </c>
      <c r="B232" s="54" t="str">
        <f t="shared" si="92"/>
        <v>AZ_Maric_2020g</v>
      </c>
      <c r="C232" s="12"/>
      <c r="D232" s="54" t="str">
        <f t="shared" si="93"/>
        <v>Gen-jp-maryvale (vote for1)</v>
      </c>
      <c r="E232" s="54" t="s">
        <v>1299</v>
      </c>
      <c r="G232" s="59">
        <v>382</v>
      </c>
      <c r="H232"/>
      <c r="K232" s="2"/>
      <c r="O232">
        <f t="shared" si="94"/>
        <v>-1</v>
      </c>
      <c r="P232" s="57">
        <f t="shared" si="95"/>
        <v>1</v>
      </c>
      <c r="Q232" s="267">
        <f t="shared" si="96"/>
        <v>382</v>
      </c>
      <c r="R232" s="23">
        <f t="shared" si="97"/>
        <v>1</v>
      </c>
      <c r="S232" s="23">
        <f t="shared" si="98"/>
        <v>0</v>
      </c>
      <c r="T232" s="23" t="str">
        <f t="shared" si="99"/>
        <v/>
      </c>
      <c r="U232" t="str">
        <f t="shared" si="100"/>
        <v/>
      </c>
      <c r="W232" s="1">
        <f t="shared" si="101"/>
        <v>30</v>
      </c>
      <c r="X232" s="73">
        <f t="shared" si="109"/>
        <v>209.03655083655084</v>
      </c>
      <c r="Y232" s="322">
        <f t="shared" si="102"/>
        <v>1807.5930000000001</v>
      </c>
      <c r="Z232" s="43">
        <f t="shared" si="91"/>
        <v>4.2138970553119708E-2</v>
      </c>
      <c r="AA232" s="52">
        <f t="shared" si="103"/>
        <v>4.2138970553119709E-4</v>
      </c>
      <c r="AB232" s="8">
        <f t="shared" si="104"/>
        <v>15465.7</v>
      </c>
      <c r="AC232" s="8">
        <f t="shared" si="105"/>
        <v>1546570</v>
      </c>
      <c r="AD232" s="8">
        <f t="shared" si="110"/>
        <v>7732.85</v>
      </c>
      <c r="AE232" s="8" t="str">
        <f t="shared" si="106"/>
        <v/>
      </c>
      <c r="AF232" s="22" t="str">
        <f t="shared" si="107"/>
        <v>CA_Orang_2020g</v>
      </c>
      <c r="AG232">
        <v>1</v>
      </c>
      <c r="AH232" s="272">
        <v>26197</v>
      </c>
      <c r="AI232" s="273">
        <v>6442</v>
      </c>
      <c r="AJ232" s="274">
        <v>5665</v>
      </c>
      <c r="AK232" s="339">
        <v>777</v>
      </c>
      <c r="AL232" s="340" t="s">
        <v>4511</v>
      </c>
      <c r="AM232" s="353">
        <f t="shared" si="108"/>
        <v>5.0240208978578405E-4</v>
      </c>
      <c r="AN232" s="354"/>
      <c r="AP232" s="23">
        <f t="shared" si="111"/>
        <v>0</v>
      </c>
      <c r="AQ232" s="392">
        <f t="shared" si="89"/>
        <v>0</v>
      </c>
      <c r="AR232" s="392">
        <f t="shared" si="90"/>
        <v>0</v>
      </c>
      <c r="AS232" s="392">
        <f t="shared" si="90"/>
        <v>0</v>
      </c>
    </row>
    <row r="233" spans="1:45">
      <c r="A233" s="12" t="s">
        <v>1600</v>
      </c>
      <c r="B233" s="54" t="str">
        <f t="shared" si="92"/>
        <v>AZ_Maric_2020g</v>
      </c>
      <c r="C233" s="12"/>
      <c r="D233" s="54" t="str">
        <f t="shared" si="93"/>
        <v>Gen-jp-moon valley (vote for1)</v>
      </c>
      <c r="E233" s="54" t="s">
        <v>1962</v>
      </c>
      <c r="F233" s="12" t="s">
        <v>1294</v>
      </c>
      <c r="G233" s="59">
        <v>24395</v>
      </c>
      <c r="H233"/>
      <c r="K233" s="2"/>
      <c r="O233">
        <f t="shared" si="94"/>
        <v>1</v>
      </c>
      <c r="P233" s="57">
        <f t="shared" si="95"/>
        <v>1</v>
      </c>
      <c r="Q233" s="267">
        <f t="shared" si="96"/>
        <v>45208</v>
      </c>
      <c r="R233" s="23">
        <f t="shared" si="97"/>
        <v>24395</v>
      </c>
      <c r="S233" s="23">
        <f t="shared" si="98"/>
        <v>20747</v>
      </c>
      <c r="T233" s="23">
        <f t="shared" si="99"/>
        <v>3648</v>
      </c>
      <c r="U233" t="str">
        <f t="shared" si="100"/>
        <v>AZ_Maric_2020g~Gen-jp-moon valley (vote for1)</v>
      </c>
      <c r="W233" s="1">
        <f t="shared" si="101"/>
        <v>31</v>
      </c>
      <c r="X233" s="73">
        <f t="shared" si="109"/>
        <v>143.99773299748111</v>
      </c>
      <c r="Y233" s="322">
        <f t="shared" si="102"/>
        <v>1272.4290000000001</v>
      </c>
      <c r="Z233" s="43">
        <f t="shared" si="91"/>
        <v>3.554809585295815E-2</v>
      </c>
      <c r="AA233" s="52">
        <f t="shared" si="103"/>
        <v>3.5548095852958153E-4</v>
      </c>
      <c r="AB233" s="8">
        <f t="shared" si="104"/>
        <v>15465.7</v>
      </c>
      <c r="AC233" s="8">
        <f t="shared" si="105"/>
        <v>1546570</v>
      </c>
      <c r="AD233" s="8">
        <f t="shared" si="110"/>
        <v>7732.85</v>
      </c>
      <c r="AE233" s="8" t="str">
        <f t="shared" si="106"/>
        <v/>
      </c>
      <c r="AF233" s="22" t="str">
        <f t="shared" si="107"/>
        <v>CA_Orang_2020g</v>
      </c>
      <c r="AG233">
        <v>1</v>
      </c>
      <c r="AH233" s="272">
        <v>18441</v>
      </c>
      <c r="AI233" s="273">
        <v>7791</v>
      </c>
      <c r="AJ233" s="274">
        <v>6997</v>
      </c>
      <c r="AK233" s="339">
        <v>794</v>
      </c>
      <c r="AL233" s="340" t="s">
        <v>4484</v>
      </c>
      <c r="AM233" s="353">
        <f t="shared" si="108"/>
        <v>5.1339415610027347E-4</v>
      </c>
      <c r="AN233" s="354"/>
      <c r="AP233" s="23">
        <f t="shared" si="111"/>
        <v>0</v>
      </c>
      <c r="AQ233" s="392">
        <f t="shared" ref="AQ233:AQ296" si="112">IF($AP233=$AD233,1,IF($AP233=0,0, 1-HYPGEOMDIST(0, ROUNDUP(RIGHT(AQ$1,4)*$AD233,0),$AP233, $AD233)))</f>
        <v>0</v>
      </c>
      <c r="AR233" s="392">
        <f t="shared" ref="AR233:AS296" si="113">IF($AP233=$AD233,1,IF($AP233=0,0, 1-HYPGEOMDIST(0, ROUNDUP(RIGHT(AR$1,4)*$AD233,0),$AP233, $AD233)))</f>
        <v>0</v>
      </c>
      <c r="AS233" s="392">
        <f t="shared" si="113"/>
        <v>0</v>
      </c>
    </row>
    <row r="234" spans="1:45">
      <c r="A234" s="12" t="s">
        <v>1600</v>
      </c>
      <c r="B234" s="54" t="str">
        <f t="shared" si="92"/>
        <v>AZ_Maric_2020g</v>
      </c>
      <c r="C234" s="12"/>
      <c r="D234" s="54" t="str">
        <f t="shared" si="93"/>
        <v>Gen-jp-moon valley (vote for1)</v>
      </c>
      <c r="E234" s="54" t="s">
        <v>1961</v>
      </c>
      <c r="F234" s="12" t="s">
        <v>1296</v>
      </c>
      <c r="G234" s="59">
        <v>20747</v>
      </c>
      <c r="H234"/>
      <c r="K234" s="2"/>
      <c r="O234">
        <f t="shared" si="94"/>
        <v>2</v>
      </c>
      <c r="P234" s="57">
        <f t="shared" si="95"/>
        <v>1</v>
      </c>
      <c r="Q234" s="267">
        <f t="shared" si="96"/>
        <v>20813</v>
      </c>
      <c r="R234" s="23" t="str">
        <f t="shared" si="97"/>
        <v/>
      </c>
      <c r="S234" s="23">
        <f t="shared" si="98"/>
        <v>20747</v>
      </c>
      <c r="T234" s="23" t="str">
        <f t="shared" si="99"/>
        <v/>
      </c>
      <c r="U234" t="str">
        <f t="shared" si="100"/>
        <v/>
      </c>
      <c r="W234" s="1">
        <f t="shared" si="101"/>
        <v>32</v>
      </c>
      <c r="X234" s="73">
        <f t="shared" si="109"/>
        <v>58.442750000000004</v>
      </c>
      <c r="Y234" s="322">
        <f t="shared" si="102"/>
        <v>520.32900000000006</v>
      </c>
      <c r="Z234" s="43">
        <f t="shared" si="91"/>
        <v>3.3476900254082509E-2</v>
      </c>
      <c r="AA234" s="52">
        <f t="shared" si="103"/>
        <v>3.3476900254082509E-4</v>
      </c>
      <c r="AB234" s="8">
        <f t="shared" si="104"/>
        <v>15465.7</v>
      </c>
      <c r="AC234" s="8">
        <f t="shared" si="105"/>
        <v>1546570</v>
      </c>
      <c r="AD234" s="8">
        <f t="shared" si="110"/>
        <v>7732.85</v>
      </c>
      <c r="AE234" s="8" t="str">
        <f t="shared" si="106"/>
        <v/>
      </c>
      <c r="AF234" s="22" t="str">
        <f t="shared" si="107"/>
        <v>CA_Orang_2020g</v>
      </c>
      <c r="AG234">
        <v>1</v>
      </c>
      <c r="AH234" s="272">
        <v>7541</v>
      </c>
      <c r="AI234" s="273">
        <v>3439</v>
      </c>
      <c r="AJ234" s="274">
        <v>2639</v>
      </c>
      <c r="AK234" s="339">
        <v>800</v>
      </c>
      <c r="AL234" s="340" t="s">
        <v>4539</v>
      </c>
      <c r="AM234" s="353">
        <f t="shared" si="108"/>
        <v>5.1727370891715215E-4</v>
      </c>
      <c r="AN234" s="354"/>
      <c r="AP234" s="23">
        <f t="shared" si="111"/>
        <v>0</v>
      </c>
      <c r="AQ234" s="392">
        <f t="shared" si="112"/>
        <v>0</v>
      </c>
      <c r="AR234" s="392">
        <f t="shared" si="113"/>
        <v>0</v>
      </c>
      <c r="AS234" s="392">
        <f t="shared" si="113"/>
        <v>0</v>
      </c>
    </row>
    <row r="235" spans="1:45">
      <c r="A235" s="12" t="s">
        <v>1600</v>
      </c>
      <c r="B235" s="54" t="str">
        <f t="shared" si="92"/>
        <v>AZ_Maric_2020g</v>
      </c>
      <c r="C235" s="12"/>
      <c r="D235" s="54" t="str">
        <f t="shared" si="93"/>
        <v>Gen-jp-moon valley (vote for1)</v>
      </c>
      <c r="E235" s="54" t="s">
        <v>1299</v>
      </c>
      <c r="G235" s="59">
        <v>66</v>
      </c>
      <c r="H235"/>
      <c r="K235" s="2"/>
      <c r="O235">
        <f t="shared" si="94"/>
        <v>-2</v>
      </c>
      <c r="P235" s="57">
        <f t="shared" si="95"/>
        <v>1</v>
      </c>
      <c r="Q235" s="267">
        <f t="shared" si="96"/>
        <v>66</v>
      </c>
      <c r="R235" s="23">
        <f t="shared" si="97"/>
        <v>1</v>
      </c>
      <c r="S235" s="23">
        <f t="shared" si="98"/>
        <v>0</v>
      </c>
      <c r="T235" s="23" t="str">
        <f t="shared" si="99"/>
        <v/>
      </c>
      <c r="U235" t="str">
        <f t="shared" si="100"/>
        <v/>
      </c>
      <c r="W235" s="1">
        <f t="shared" si="101"/>
        <v>33</v>
      </c>
      <c r="X235" s="73">
        <f t="shared" si="109"/>
        <v>87.04981684981685</v>
      </c>
      <c r="Y235" s="322">
        <f t="shared" si="102"/>
        <v>793.43100000000004</v>
      </c>
      <c r="Z235" s="43">
        <f t="shared" si="91"/>
        <v>2.7681273984614424E-2</v>
      </c>
      <c r="AA235" s="52">
        <f t="shared" si="103"/>
        <v>2.7681273984614423E-4</v>
      </c>
      <c r="AB235" s="8">
        <f t="shared" si="104"/>
        <v>15465.7</v>
      </c>
      <c r="AC235" s="8">
        <f t="shared" si="105"/>
        <v>1546570</v>
      </c>
      <c r="AD235" s="8">
        <f t="shared" si="110"/>
        <v>7732.85</v>
      </c>
      <c r="AE235" s="8" t="str">
        <f t="shared" si="106"/>
        <v/>
      </c>
      <c r="AF235" s="22" t="str">
        <f t="shared" si="107"/>
        <v>CA_Orang_2020g</v>
      </c>
      <c r="AG235">
        <v>1</v>
      </c>
      <c r="AH235" s="272">
        <v>11499</v>
      </c>
      <c r="AI235" s="273">
        <v>6159</v>
      </c>
      <c r="AJ235" s="274">
        <v>5340</v>
      </c>
      <c r="AK235" s="339">
        <v>819</v>
      </c>
      <c r="AL235" s="340" t="s">
        <v>4502</v>
      </c>
      <c r="AM235" s="353">
        <f t="shared" si="108"/>
        <v>5.2955895950393449E-4</v>
      </c>
      <c r="AN235" s="354"/>
      <c r="AP235" s="23">
        <f t="shared" si="111"/>
        <v>0</v>
      </c>
      <c r="AQ235" s="392">
        <f t="shared" si="112"/>
        <v>0</v>
      </c>
      <c r="AR235" s="392">
        <f t="shared" si="113"/>
        <v>0</v>
      </c>
      <c r="AS235" s="392">
        <f t="shared" si="113"/>
        <v>0</v>
      </c>
    </row>
    <row r="236" spans="1:45">
      <c r="A236" s="12" t="s">
        <v>1596</v>
      </c>
      <c r="B236" s="54" t="str">
        <f t="shared" si="92"/>
        <v>AZ_Maric_2020g</v>
      </c>
      <c r="C236" s="12"/>
      <c r="D236" s="54" t="str">
        <f t="shared" si="93"/>
        <v>Gen-jp-north mesa (vote for1)</v>
      </c>
      <c r="E236" s="54" t="s">
        <v>1957</v>
      </c>
      <c r="F236" s="12" t="s">
        <v>1296</v>
      </c>
      <c r="G236" s="59">
        <v>37012</v>
      </c>
      <c r="H236"/>
      <c r="K236" s="2"/>
      <c r="O236">
        <f t="shared" si="94"/>
        <v>1</v>
      </c>
      <c r="P236" s="57">
        <f t="shared" si="95"/>
        <v>1</v>
      </c>
      <c r="Q236" s="267">
        <f t="shared" si="96"/>
        <v>38061</v>
      </c>
      <c r="R236" s="23">
        <f t="shared" si="97"/>
        <v>37012</v>
      </c>
      <c r="S236" s="23">
        <f t="shared" si="98"/>
        <v>0</v>
      </c>
      <c r="T236" s="23" t="str">
        <f t="shared" si="99"/>
        <v/>
      </c>
      <c r="U236" t="str">
        <f t="shared" si="100"/>
        <v>AZ_Maric_2020g~Gen-jp-north mesa (vote for1)</v>
      </c>
      <c r="W236" s="1">
        <f t="shared" si="101"/>
        <v>34</v>
      </c>
      <c r="X236" s="73">
        <f t="shared" si="109"/>
        <v>26.046041412911084</v>
      </c>
      <c r="Y236" s="322">
        <f t="shared" si="102"/>
        <v>237.98100000000002</v>
      </c>
      <c r="Z236" s="43">
        <f t="shared" si="91"/>
        <v>2.7132860161122464E-2</v>
      </c>
      <c r="AA236" s="52">
        <f t="shared" si="103"/>
        <v>2.7132860161122464E-4</v>
      </c>
      <c r="AB236" s="8">
        <f t="shared" si="104"/>
        <v>15465.7</v>
      </c>
      <c r="AC236" s="8">
        <f t="shared" si="105"/>
        <v>1546570</v>
      </c>
      <c r="AD236" s="8">
        <f t="shared" si="110"/>
        <v>7732.85</v>
      </c>
      <c r="AE236" s="8" t="str">
        <f t="shared" si="106"/>
        <v/>
      </c>
      <c r="AF236" s="22" t="str">
        <f t="shared" si="107"/>
        <v>CA_Orang_2020g</v>
      </c>
      <c r="AG236">
        <v>1</v>
      </c>
      <c r="AH236" s="272">
        <v>3449</v>
      </c>
      <c r="AI236" s="273">
        <v>2135</v>
      </c>
      <c r="AJ236" s="274">
        <v>1314</v>
      </c>
      <c r="AK236" s="339">
        <v>821</v>
      </c>
      <c r="AL236" s="340" t="s">
        <v>4496</v>
      </c>
      <c r="AM236" s="353">
        <f t="shared" si="108"/>
        <v>5.3085214377622742E-4</v>
      </c>
      <c r="AN236" s="354"/>
      <c r="AP236" s="23">
        <f t="shared" si="111"/>
        <v>0</v>
      </c>
      <c r="AQ236" s="392">
        <f t="shared" si="112"/>
        <v>0</v>
      </c>
      <c r="AR236" s="392">
        <f t="shared" si="113"/>
        <v>0</v>
      </c>
      <c r="AS236" s="392">
        <f t="shared" si="113"/>
        <v>0</v>
      </c>
    </row>
    <row r="237" spans="1:45">
      <c r="A237" s="12" t="s">
        <v>1596</v>
      </c>
      <c r="B237" s="54" t="str">
        <f t="shared" si="92"/>
        <v>AZ_Maric_2020g</v>
      </c>
      <c r="C237" s="12"/>
      <c r="D237" s="54" t="str">
        <f t="shared" si="93"/>
        <v>Gen-jp-north mesa (vote for1)</v>
      </c>
      <c r="E237" s="54" t="s">
        <v>1299</v>
      </c>
      <c r="G237" s="59">
        <v>1049</v>
      </c>
      <c r="H237"/>
      <c r="K237" s="2"/>
      <c r="O237">
        <f t="shared" si="94"/>
        <v>-1</v>
      </c>
      <c r="P237" s="57">
        <f t="shared" si="95"/>
        <v>1</v>
      </c>
      <c r="Q237" s="267">
        <f t="shared" si="96"/>
        <v>1049</v>
      </c>
      <c r="R237" s="23">
        <f t="shared" si="97"/>
        <v>1</v>
      </c>
      <c r="S237" s="23">
        <f t="shared" si="98"/>
        <v>0</v>
      </c>
      <c r="T237" s="23" t="str">
        <f t="shared" si="99"/>
        <v/>
      </c>
      <c r="U237" t="str">
        <f t="shared" si="100"/>
        <v/>
      </c>
      <c r="W237" s="1">
        <f t="shared" si="101"/>
        <v>35</v>
      </c>
      <c r="X237" s="73">
        <f t="shared" si="109"/>
        <v>126.28266033254157</v>
      </c>
      <c r="Y237" s="322">
        <f t="shared" si="102"/>
        <v>1183.3500000000001</v>
      </c>
      <c r="Z237" s="43">
        <f t="shared" si="91"/>
        <v>2.1990984633502596E-2</v>
      </c>
      <c r="AA237" s="52">
        <f t="shared" si="103"/>
        <v>2.1990984633502597E-4</v>
      </c>
      <c r="AB237" s="8">
        <f t="shared" si="104"/>
        <v>15465.7</v>
      </c>
      <c r="AC237" s="8">
        <f t="shared" si="105"/>
        <v>1546570</v>
      </c>
      <c r="AD237" s="8">
        <f t="shared" si="110"/>
        <v>7732.85</v>
      </c>
      <c r="AE237" s="8" t="str">
        <f t="shared" si="106"/>
        <v/>
      </c>
      <c r="AF237" s="22" t="str">
        <f t="shared" si="107"/>
        <v>CA_Orang_2020g</v>
      </c>
      <c r="AG237" s="89">
        <v>1</v>
      </c>
      <c r="AH237" s="274">
        <v>17150</v>
      </c>
      <c r="AI237" s="279">
        <v>7679</v>
      </c>
      <c r="AJ237" s="280">
        <v>6837</v>
      </c>
      <c r="AK237" s="92">
        <v>842</v>
      </c>
      <c r="AL237" s="23" t="s">
        <v>4585</v>
      </c>
      <c r="AM237" s="353">
        <f t="shared" si="108"/>
        <v>5.4443057863530259E-4</v>
      </c>
      <c r="AN237" s="354"/>
      <c r="AP237" s="23">
        <f t="shared" si="111"/>
        <v>0</v>
      </c>
      <c r="AQ237" s="392">
        <f t="shared" si="112"/>
        <v>0</v>
      </c>
      <c r="AR237" s="392">
        <f t="shared" si="113"/>
        <v>0</v>
      </c>
      <c r="AS237" s="392">
        <f t="shared" si="113"/>
        <v>0</v>
      </c>
    </row>
    <row r="238" spans="1:45">
      <c r="A238" s="12" t="s">
        <v>1606</v>
      </c>
      <c r="B238" s="54" t="str">
        <f t="shared" si="92"/>
        <v>AZ_Maric_2020g</v>
      </c>
      <c r="C238" s="12"/>
      <c r="D238" s="54" t="str">
        <f t="shared" si="93"/>
        <v>Gen-jp-san tan (vote for1)</v>
      </c>
      <c r="E238" s="54" t="s">
        <v>1968</v>
      </c>
      <c r="F238" s="12" t="s">
        <v>1296</v>
      </c>
      <c r="G238" s="59">
        <v>101487</v>
      </c>
      <c r="H238"/>
      <c r="K238" s="2"/>
      <c r="O238">
        <f t="shared" si="94"/>
        <v>1</v>
      </c>
      <c r="P238" s="57">
        <f t="shared" si="95"/>
        <v>1</v>
      </c>
      <c r="Q238" s="267">
        <f t="shared" si="96"/>
        <v>103207</v>
      </c>
      <c r="R238" s="23">
        <f t="shared" si="97"/>
        <v>101487</v>
      </c>
      <c r="S238" s="23">
        <f t="shared" si="98"/>
        <v>0</v>
      </c>
      <c r="T238" s="23" t="str">
        <f t="shared" si="99"/>
        <v/>
      </c>
      <c r="U238" t="str">
        <f t="shared" si="100"/>
        <v>AZ_Maric_2020g~Gen-jp-san tan (vote for1)</v>
      </c>
      <c r="W238" s="1">
        <f t="shared" si="101"/>
        <v>36</v>
      </c>
      <c r="X238" s="73">
        <f t="shared" si="109"/>
        <v>68.457205240174673</v>
      </c>
      <c r="Y238" s="322">
        <f t="shared" si="102"/>
        <v>697.8660000000001</v>
      </c>
      <c r="Z238" s="43">
        <f t="shared" si="91"/>
        <v>1.0487790366748847E-2</v>
      </c>
      <c r="AA238" s="52">
        <f t="shared" si="103"/>
        <v>1.0487790366748847E-4</v>
      </c>
      <c r="AB238" s="8">
        <f t="shared" si="104"/>
        <v>15465.7</v>
      </c>
      <c r="AC238" s="8">
        <f t="shared" si="105"/>
        <v>1546570</v>
      </c>
      <c r="AD238" s="8">
        <f t="shared" si="110"/>
        <v>7732.85</v>
      </c>
      <c r="AE238" s="8" t="str">
        <f t="shared" si="106"/>
        <v/>
      </c>
      <c r="AF238" s="22" t="str">
        <f t="shared" si="107"/>
        <v>CA_Orang_2020g</v>
      </c>
      <c r="AG238">
        <v>1</v>
      </c>
      <c r="AH238" s="8">
        <v>10114</v>
      </c>
      <c r="AI238" s="273">
        <v>4179</v>
      </c>
      <c r="AJ238" s="274">
        <v>3263</v>
      </c>
      <c r="AK238" s="339">
        <v>916</v>
      </c>
      <c r="AL238" s="23" t="s">
        <v>4535</v>
      </c>
      <c r="AM238" s="353">
        <f t="shared" si="108"/>
        <v>5.9227839671013925E-4</v>
      </c>
      <c r="AN238" s="354"/>
      <c r="AP238" s="23">
        <f t="shared" si="111"/>
        <v>0</v>
      </c>
      <c r="AQ238" s="392">
        <f t="shared" si="112"/>
        <v>0</v>
      </c>
      <c r="AR238" s="392">
        <f t="shared" si="113"/>
        <v>0</v>
      </c>
      <c r="AS238" s="392">
        <f t="shared" si="113"/>
        <v>0</v>
      </c>
    </row>
    <row r="239" spans="1:45">
      <c r="A239" s="12" t="s">
        <v>1606</v>
      </c>
      <c r="B239" s="54" t="str">
        <f t="shared" si="92"/>
        <v>AZ_Maric_2020g</v>
      </c>
      <c r="C239" s="12"/>
      <c r="D239" s="54" t="str">
        <f t="shared" si="93"/>
        <v>Gen-jp-san tan (vote for1)</v>
      </c>
      <c r="E239" s="54" t="s">
        <v>1299</v>
      </c>
      <c r="G239" s="59">
        <v>1720</v>
      </c>
      <c r="H239"/>
      <c r="K239" s="2"/>
      <c r="O239">
        <f t="shared" si="94"/>
        <v>-1</v>
      </c>
      <c r="P239" s="57">
        <f t="shared" si="95"/>
        <v>1</v>
      </c>
      <c r="Q239" s="267">
        <f t="shared" si="96"/>
        <v>1720</v>
      </c>
      <c r="R239" s="23">
        <f t="shared" si="97"/>
        <v>1</v>
      </c>
      <c r="S239" s="23">
        <f t="shared" si="98"/>
        <v>0</v>
      </c>
      <c r="T239" s="23" t="str">
        <f t="shared" si="99"/>
        <v/>
      </c>
      <c r="U239" t="str">
        <f t="shared" si="100"/>
        <v/>
      </c>
      <c r="W239" s="1">
        <f t="shared" si="101"/>
        <v>37</v>
      </c>
      <c r="X239" s="73">
        <f t="shared" si="109"/>
        <v>127.11647183846971</v>
      </c>
      <c r="Y239" s="322">
        <f t="shared" si="102"/>
        <v>1331.2170000000001</v>
      </c>
      <c r="Z239" s="43">
        <f t="shared" si="91"/>
        <v>8.1666727842991879E-3</v>
      </c>
      <c r="AA239" s="52">
        <f t="shared" si="103"/>
        <v>8.1666727842991878E-5</v>
      </c>
      <c r="AB239" s="8">
        <f t="shared" si="104"/>
        <v>15465.7</v>
      </c>
      <c r="AC239" s="8">
        <f t="shared" si="105"/>
        <v>1546570</v>
      </c>
      <c r="AD239" s="8">
        <f t="shared" si="110"/>
        <v>7732.85</v>
      </c>
      <c r="AE239" s="8" t="str">
        <f t="shared" si="106"/>
        <v/>
      </c>
      <c r="AF239" s="22" t="str">
        <f t="shared" si="107"/>
        <v>CA_Orang_2020g</v>
      </c>
      <c r="AG239" s="89">
        <v>1</v>
      </c>
      <c r="AH239" s="274">
        <v>19293</v>
      </c>
      <c r="AI239" s="279">
        <v>7459</v>
      </c>
      <c r="AJ239" s="280">
        <v>6518</v>
      </c>
      <c r="AK239" s="92">
        <v>941</v>
      </c>
      <c r="AL239" s="23" t="s">
        <v>4587</v>
      </c>
      <c r="AM239" s="353">
        <f t="shared" si="108"/>
        <v>6.0844320011380017E-4</v>
      </c>
      <c r="AN239" s="354"/>
      <c r="AP239" s="23">
        <f t="shared" si="111"/>
        <v>0</v>
      </c>
      <c r="AQ239" s="392">
        <f t="shared" si="112"/>
        <v>0</v>
      </c>
      <c r="AR239" s="392">
        <f t="shared" si="113"/>
        <v>0</v>
      </c>
      <c r="AS239" s="392">
        <f t="shared" si="113"/>
        <v>0</v>
      </c>
    </row>
    <row r="240" spans="1:45">
      <c r="A240" s="12" t="s">
        <v>1602</v>
      </c>
      <c r="B240" s="54" t="str">
        <f t="shared" si="92"/>
        <v>AZ_Maric_2020g</v>
      </c>
      <c r="C240" s="12"/>
      <c r="D240" s="54" t="str">
        <f t="shared" si="93"/>
        <v>Gen-jp-term exp  december 31, 2022-mcdowell mountain (vote for1)</v>
      </c>
      <c r="E240" s="54" t="s">
        <v>1964</v>
      </c>
      <c r="F240" s="12" t="s">
        <v>1296</v>
      </c>
      <c r="G240" s="59">
        <v>114593</v>
      </c>
      <c r="H240"/>
      <c r="K240" s="2"/>
      <c r="O240">
        <f t="shared" si="94"/>
        <v>1</v>
      </c>
      <c r="P240" s="57">
        <f t="shared" si="95"/>
        <v>1</v>
      </c>
      <c r="Q240" s="267">
        <f t="shared" si="96"/>
        <v>117297</v>
      </c>
      <c r="R240" s="23">
        <f t="shared" si="97"/>
        <v>114593</v>
      </c>
      <c r="S240" s="23">
        <f t="shared" si="98"/>
        <v>0</v>
      </c>
      <c r="T240" s="23" t="str">
        <f t="shared" si="99"/>
        <v/>
      </c>
      <c r="U240" t="str">
        <f t="shared" si="100"/>
        <v>AZ_Maric_2020g~Gen-jp-term exp  december 31, 2022-mcdowell mountain (vote for1)</v>
      </c>
      <c r="W240" s="1">
        <f t="shared" si="101"/>
        <v>38</v>
      </c>
      <c r="X240" s="73">
        <f t="shared" si="109"/>
        <v>75.930543933054395</v>
      </c>
      <c r="Y240" s="322">
        <f t="shared" si="102"/>
        <v>807.85200000000009</v>
      </c>
      <c r="Z240" s="43">
        <f t="shared" si="91"/>
        <v>7.0284734030684384E-3</v>
      </c>
      <c r="AA240" s="52">
        <f t="shared" si="103"/>
        <v>7.0284734030684386E-5</v>
      </c>
      <c r="AB240" s="8">
        <f t="shared" si="104"/>
        <v>15465.7</v>
      </c>
      <c r="AC240" s="8">
        <f t="shared" si="105"/>
        <v>1546570</v>
      </c>
      <c r="AD240" s="8">
        <f t="shared" si="110"/>
        <v>7732.85</v>
      </c>
      <c r="AE240" s="8" t="str">
        <f t="shared" si="106"/>
        <v/>
      </c>
      <c r="AF240" s="22" t="str">
        <f t="shared" si="107"/>
        <v>CA_Orang_2020g</v>
      </c>
      <c r="AG240">
        <v>1</v>
      </c>
      <c r="AH240" s="272">
        <v>11708</v>
      </c>
      <c r="AI240" s="273">
        <v>6332</v>
      </c>
      <c r="AJ240" s="274">
        <v>5376</v>
      </c>
      <c r="AK240" s="339">
        <v>956</v>
      </c>
      <c r="AL240" s="340" t="s">
        <v>4543</v>
      </c>
      <c r="AM240" s="353">
        <f t="shared" si="108"/>
        <v>6.1814208215599687E-4</v>
      </c>
      <c r="AN240" s="354"/>
      <c r="AP240" s="23">
        <f t="shared" si="111"/>
        <v>0</v>
      </c>
      <c r="AQ240" s="392">
        <f t="shared" si="112"/>
        <v>0</v>
      </c>
      <c r="AR240" s="392">
        <f t="shared" si="113"/>
        <v>0</v>
      </c>
      <c r="AS240" s="392">
        <f t="shared" si="113"/>
        <v>0</v>
      </c>
    </row>
    <row r="241" spans="1:45">
      <c r="A241" s="12" t="s">
        <v>1602</v>
      </c>
      <c r="B241" s="54" t="str">
        <f t="shared" si="92"/>
        <v>AZ_Maric_2020g</v>
      </c>
      <c r="C241" s="12"/>
      <c r="D241" s="54" t="str">
        <f t="shared" si="93"/>
        <v>Gen-jp-term exp  december 31, 2022-mcdowell mountain (vote for1)</v>
      </c>
      <c r="E241" s="54" t="s">
        <v>1299</v>
      </c>
      <c r="G241" s="59">
        <v>2704</v>
      </c>
      <c r="H241"/>
      <c r="K241" s="2"/>
      <c r="O241">
        <f t="shared" si="94"/>
        <v>-1</v>
      </c>
      <c r="P241" s="57">
        <f t="shared" si="95"/>
        <v>1</v>
      </c>
      <c r="Q241" s="267">
        <f t="shared" si="96"/>
        <v>2704</v>
      </c>
      <c r="R241" s="23">
        <f t="shared" si="97"/>
        <v>1</v>
      </c>
      <c r="S241" s="23">
        <f t="shared" si="98"/>
        <v>0</v>
      </c>
      <c r="T241" s="23" t="str">
        <f t="shared" si="99"/>
        <v/>
      </c>
      <c r="U241" t="str">
        <f t="shared" si="100"/>
        <v/>
      </c>
      <c r="W241" s="1">
        <f t="shared" si="101"/>
        <v>39</v>
      </c>
      <c r="X241" s="73">
        <f t="shared" si="109"/>
        <v>534.63171456888006</v>
      </c>
      <c r="Y241" s="322">
        <f t="shared" si="102"/>
        <v>6003.4830000000002</v>
      </c>
      <c r="Z241" s="43">
        <f t="shared" si="91"/>
        <v>4.1356008110926511E-3</v>
      </c>
      <c r="AA241" s="52">
        <f t="shared" si="103"/>
        <v>4.135600811092651E-5</v>
      </c>
      <c r="AB241" s="8">
        <f t="shared" si="104"/>
        <v>15465.7</v>
      </c>
      <c r="AC241" s="8">
        <f t="shared" si="105"/>
        <v>1546570</v>
      </c>
      <c r="AD241" s="8">
        <f t="shared" si="110"/>
        <v>7732.85</v>
      </c>
      <c r="AE241" s="8" t="str">
        <f t="shared" si="106"/>
        <v/>
      </c>
      <c r="AF241" s="22" t="str">
        <f t="shared" si="107"/>
        <v>CA_Orang_2020g</v>
      </c>
      <c r="AG241">
        <v>1</v>
      </c>
      <c r="AH241" s="8">
        <v>87007</v>
      </c>
      <c r="AI241" s="273">
        <v>25865</v>
      </c>
      <c r="AJ241" s="274">
        <v>24856</v>
      </c>
      <c r="AK241" s="339">
        <v>1009</v>
      </c>
      <c r="AL241" s="23" t="s">
        <v>4519</v>
      </c>
      <c r="AM241" s="353">
        <f t="shared" si="108"/>
        <v>6.5241146537175815E-4</v>
      </c>
      <c r="AN241" s="354"/>
      <c r="AP241" s="23">
        <f t="shared" si="111"/>
        <v>0</v>
      </c>
      <c r="AQ241" s="392">
        <f t="shared" si="112"/>
        <v>0</v>
      </c>
      <c r="AR241" s="392">
        <f t="shared" si="113"/>
        <v>0</v>
      </c>
      <c r="AS241" s="392">
        <f t="shared" si="113"/>
        <v>0</v>
      </c>
    </row>
    <row r="242" spans="1:45">
      <c r="A242" s="12" t="s">
        <v>1645</v>
      </c>
      <c r="B242" s="54" t="str">
        <f t="shared" si="92"/>
        <v>AZ_Maric_2020g</v>
      </c>
      <c r="C242" s="12"/>
      <c r="D242" s="54" t="str">
        <f t="shared" si="93"/>
        <v>Gen-kyrene esd #28-gbm-4yr (vote for3)</v>
      </c>
      <c r="E242" s="54" t="s">
        <v>2071</v>
      </c>
      <c r="F242" s="12" t="s">
        <v>1300</v>
      </c>
      <c r="G242" s="59">
        <v>39106</v>
      </c>
      <c r="H242"/>
      <c r="K242" s="2"/>
      <c r="O242">
        <f t="shared" si="94"/>
        <v>1</v>
      </c>
      <c r="P242" s="57">
        <f t="shared" si="95"/>
        <v>3</v>
      </c>
      <c r="Q242" s="267">
        <f t="shared" si="96"/>
        <v>55924</v>
      </c>
      <c r="R242" s="23">
        <f t="shared" si="97"/>
        <v>33212</v>
      </c>
      <c r="S242" s="23">
        <f t="shared" si="98"/>
        <v>32724</v>
      </c>
      <c r="T242" s="23">
        <f t="shared" si="99"/>
        <v>488</v>
      </c>
      <c r="U242" t="str">
        <f t="shared" si="100"/>
        <v>AZ_Maric_2020g~Gen-kyrene esd #28-gbm-4yr (vote for3)</v>
      </c>
      <c r="W242" s="1">
        <f t="shared" si="101"/>
        <v>40</v>
      </c>
      <c r="X242" s="73">
        <f t="shared" si="109"/>
        <v>194.27235996326908</v>
      </c>
      <c r="Y242" s="322">
        <f t="shared" si="102"/>
        <v>2354.4870000000001</v>
      </c>
      <c r="Z242" s="43">
        <f t="shared" si="91"/>
        <v>1.8572364963733447E-3</v>
      </c>
      <c r="AA242" s="52">
        <f t="shared" si="103"/>
        <v>1.8572364963733447E-5</v>
      </c>
      <c r="AB242" s="8">
        <f t="shared" si="104"/>
        <v>15465.7</v>
      </c>
      <c r="AC242" s="8">
        <f t="shared" si="105"/>
        <v>1546570</v>
      </c>
      <c r="AD242" s="8">
        <f t="shared" si="110"/>
        <v>7732.85</v>
      </c>
      <c r="AE242" s="8" t="str">
        <f t="shared" si="106"/>
        <v/>
      </c>
      <c r="AF242" s="22" t="str">
        <f t="shared" si="107"/>
        <v>CA_Orang_2020g</v>
      </c>
      <c r="AG242" s="89">
        <v>1</v>
      </c>
      <c r="AH242" s="274">
        <v>34123</v>
      </c>
      <c r="AI242" s="279">
        <v>8111</v>
      </c>
      <c r="AJ242" s="280">
        <v>7022</v>
      </c>
      <c r="AK242" s="92">
        <v>1089</v>
      </c>
      <c r="AL242" s="23" t="s">
        <v>4614</v>
      </c>
      <c r="AM242" s="353">
        <f t="shared" si="108"/>
        <v>7.0413883626347339E-4</v>
      </c>
      <c r="AN242" s="354"/>
      <c r="AP242" s="23">
        <f t="shared" si="111"/>
        <v>0</v>
      </c>
      <c r="AQ242" s="392">
        <f t="shared" si="112"/>
        <v>0</v>
      </c>
      <c r="AR242" s="392">
        <f t="shared" si="113"/>
        <v>0</v>
      </c>
      <c r="AS242" s="392">
        <f t="shared" si="113"/>
        <v>0</v>
      </c>
    </row>
    <row r="243" spans="1:45">
      <c r="A243" s="12" t="s">
        <v>1645</v>
      </c>
      <c r="B243" s="54" t="str">
        <f t="shared" si="92"/>
        <v>AZ_Maric_2020g</v>
      </c>
      <c r="C243" s="12"/>
      <c r="D243" s="54" t="str">
        <f t="shared" si="93"/>
        <v>Gen-kyrene esd #28-gbm-4yr (vote for3)</v>
      </c>
      <c r="E243" s="54" t="s">
        <v>2074</v>
      </c>
      <c r="F243" s="12" t="s">
        <v>1300</v>
      </c>
      <c r="G243" s="59">
        <v>34535</v>
      </c>
      <c r="H243"/>
      <c r="K243" s="2"/>
      <c r="O243">
        <f t="shared" si="94"/>
        <v>2</v>
      </c>
      <c r="P243" s="57">
        <f t="shared" si="95"/>
        <v>3</v>
      </c>
      <c r="Q243" s="267">
        <f t="shared" si="96"/>
        <v>128666</v>
      </c>
      <c r="R243" s="23">
        <f t="shared" si="97"/>
        <v>33212</v>
      </c>
      <c r="S243" s="23">
        <f t="shared" si="98"/>
        <v>32724</v>
      </c>
      <c r="T243" s="23" t="str">
        <f t="shared" si="99"/>
        <v/>
      </c>
      <c r="U243" t="str">
        <f t="shared" si="100"/>
        <v/>
      </c>
      <c r="W243" s="1">
        <f t="shared" si="101"/>
        <v>41</v>
      </c>
      <c r="X243" s="73">
        <f t="shared" si="109"/>
        <v>98.383469573115349</v>
      </c>
      <c r="Y243" s="322">
        <f t="shared" si="102"/>
        <v>1205.499</v>
      </c>
      <c r="Z243" s="43">
        <f t="shared" si="91"/>
        <v>1.6470809597155093E-3</v>
      </c>
      <c r="AA243" s="52">
        <f t="shared" si="103"/>
        <v>1.6470809597155093E-5</v>
      </c>
      <c r="AB243" s="8">
        <f t="shared" si="104"/>
        <v>15465.7</v>
      </c>
      <c r="AC243" s="8">
        <f t="shared" si="105"/>
        <v>1546570</v>
      </c>
      <c r="AD243" s="8">
        <f t="shared" si="110"/>
        <v>7732.85</v>
      </c>
      <c r="AE243" s="8" t="str">
        <f t="shared" si="106"/>
        <v/>
      </c>
      <c r="AF243" s="22" t="str">
        <f t="shared" si="107"/>
        <v>CA_Orang_2020g</v>
      </c>
      <c r="AG243">
        <v>1</v>
      </c>
      <c r="AH243" s="272">
        <v>17471</v>
      </c>
      <c r="AI243" s="273">
        <v>4696</v>
      </c>
      <c r="AJ243" s="274">
        <v>3595</v>
      </c>
      <c r="AK243" s="339">
        <v>1101</v>
      </c>
      <c r="AL243" s="340" t="s">
        <v>4509</v>
      </c>
      <c r="AM243" s="353">
        <f t="shared" si="108"/>
        <v>7.1189794189723064E-4</v>
      </c>
      <c r="AN243" s="354"/>
      <c r="AP243" s="23">
        <f t="shared" si="111"/>
        <v>0</v>
      </c>
      <c r="AQ243" s="392">
        <f t="shared" si="112"/>
        <v>0</v>
      </c>
      <c r="AR243" s="392">
        <f t="shared" si="113"/>
        <v>0</v>
      </c>
      <c r="AS243" s="392">
        <f t="shared" si="113"/>
        <v>0</v>
      </c>
    </row>
    <row r="244" spans="1:45">
      <c r="A244" s="12" t="s">
        <v>1645</v>
      </c>
      <c r="B244" s="54" t="str">
        <f t="shared" si="92"/>
        <v>AZ_Maric_2020g</v>
      </c>
      <c r="C244" s="12"/>
      <c r="D244" s="54" t="str">
        <f t="shared" si="93"/>
        <v>Gen-kyrene esd #28-gbm-4yr (vote for3)</v>
      </c>
      <c r="E244" s="54" t="s">
        <v>2072</v>
      </c>
      <c r="F244" s="12" t="s">
        <v>1300</v>
      </c>
      <c r="G244" s="59">
        <v>33212</v>
      </c>
      <c r="H244"/>
      <c r="K244" s="2"/>
      <c r="O244">
        <f t="shared" si="94"/>
        <v>3</v>
      </c>
      <c r="P244" s="57">
        <f t="shared" si="95"/>
        <v>3</v>
      </c>
      <c r="Q244" s="267">
        <f t="shared" si="96"/>
        <v>94131</v>
      </c>
      <c r="R244" s="23">
        <f t="shared" si="97"/>
        <v>33212</v>
      </c>
      <c r="S244" s="23">
        <f t="shared" si="98"/>
        <v>32724</v>
      </c>
      <c r="T244" s="23" t="str">
        <f t="shared" si="99"/>
        <v/>
      </c>
      <c r="U244" t="str">
        <f t="shared" si="100"/>
        <v/>
      </c>
      <c r="W244" s="1">
        <f t="shared" si="101"/>
        <v>42</v>
      </c>
      <c r="X244" s="73">
        <f t="shared" si="109"/>
        <v>13.728968609865472</v>
      </c>
      <c r="Y244" s="322">
        <f t="shared" si="102"/>
        <v>170.36100000000002</v>
      </c>
      <c r="Z244" s="43">
        <f t="shared" si="91"/>
        <v>1.4317596819295516E-3</v>
      </c>
      <c r="AA244" s="52">
        <f t="shared" si="103"/>
        <v>1.4317596819295516E-5</v>
      </c>
      <c r="AB244" s="8">
        <f t="shared" si="104"/>
        <v>15465.7</v>
      </c>
      <c r="AC244" s="8">
        <f t="shared" si="105"/>
        <v>1546570</v>
      </c>
      <c r="AD244" s="8">
        <f t="shared" si="110"/>
        <v>7732.85</v>
      </c>
      <c r="AE244" s="8" t="str">
        <f t="shared" si="106"/>
        <v/>
      </c>
      <c r="AF244" s="22" t="str">
        <f t="shared" si="107"/>
        <v>CA_Orang_2020g</v>
      </c>
      <c r="AG244">
        <v>1</v>
      </c>
      <c r="AH244" s="272">
        <v>2469</v>
      </c>
      <c r="AI244" s="273">
        <v>1792</v>
      </c>
      <c r="AJ244" s="274">
        <v>677</v>
      </c>
      <c r="AK244" s="339">
        <v>1115</v>
      </c>
      <c r="AL244" s="340" t="s">
        <v>4477</v>
      </c>
      <c r="AM244" s="353">
        <f t="shared" si="108"/>
        <v>7.2095023180328082E-4</v>
      </c>
      <c r="AN244" s="354"/>
      <c r="AP244" s="23">
        <f t="shared" si="111"/>
        <v>0</v>
      </c>
      <c r="AQ244" s="392">
        <f t="shared" si="112"/>
        <v>0</v>
      </c>
      <c r="AR244" s="392">
        <f t="shared" si="113"/>
        <v>0</v>
      </c>
      <c r="AS244" s="392">
        <f t="shared" si="113"/>
        <v>0</v>
      </c>
    </row>
    <row r="245" spans="1:45">
      <c r="A245" s="12" t="s">
        <v>1645</v>
      </c>
      <c r="B245" s="54" t="str">
        <f t="shared" si="92"/>
        <v>AZ_Maric_2020g</v>
      </c>
      <c r="C245" s="12"/>
      <c r="D245" s="54" t="str">
        <f t="shared" si="93"/>
        <v>Gen-kyrene esd #28-gbm-4yr (vote for3)</v>
      </c>
      <c r="E245" s="54" t="s">
        <v>2073</v>
      </c>
      <c r="F245" s="12" t="s">
        <v>1300</v>
      </c>
      <c r="G245" s="59">
        <v>32724</v>
      </c>
      <c r="H245"/>
      <c r="K245" s="2"/>
      <c r="O245">
        <f t="shared" si="94"/>
        <v>4</v>
      </c>
      <c r="P245" s="57">
        <f t="shared" si="95"/>
        <v>3</v>
      </c>
      <c r="Q245" s="267">
        <f t="shared" si="96"/>
        <v>60919</v>
      </c>
      <c r="R245" s="23" t="str">
        <f t="shared" si="97"/>
        <v/>
      </c>
      <c r="S245" s="23">
        <f t="shared" si="98"/>
        <v>32724</v>
      </c>
      <c r="T245" s="23" t="str">
        <f t="shared" si="99"/>
        <v/>
      </c>
      <c r="U245" t="str">
        <f t="shared" si="100"/>
        <v/>
      </c>
      <c r="W245" s="1">
        <f t="shared" si="101"/>
        <v>43</v>
      </c>
      <c r="X245" s="73">
        <f t="shared" si="109"/>
        <v>448.54867724867728</v>
      </c>
      <c r="Y245" s="322">
        <f t="shared" si="102"/>
        <v>5660.8290000000006</v>
      </c>
      <c r="Z245" s="43">
        <f t="shared" si="91"/>
        <v>1.1838430711393624E-3</v>
      </c>
      <c r="AA245" s="52">
        <f t="shared" si="103"/>
        <v>1.1838430711393623E-5</v>
      </c>
      <c r="AB245" s="8">
        <f t="shared" si="104"/>
        <v>15465.7</v>
      </c>
      <c r="AC245" s="8">
        <f t="shared" si="105"/>
        <v>1546570</v>
      </c>
      <c r="AD245" s="8">
        <f t="shared" si="110"/>
        <v>7732.85</v>
      </c>
      <c r="AE245" s="8" t="str">
        <f t="shared" si="106"/>
        <v/>
      </c>
      <c r="AF245" s="22" t="str">
        <f t="shared" si="107"/>
        <v>CA_Orang_2020g</v>
      </c>
      <c r="AG245">
        <v>1</v>
      </c>
      <c r="AH245" s="272">
        <v>82041</v>
      </c>
      <c r="AI245" s="273">
        <v>16791</v>
      </c>
      <c r="AJ245" s="274">
        <v>15657</v>
      </c>
      <c r="AK245" s="339">
        <v>1134</v>
      </c>
      <c r="AL245" s="340" t="s">
        <v>4513</v>
      </c>
      <c r="AM245" s="353">
        <f t="shared" si="108"/>
        <v>7.3323548239006317E-4</v>
      </c>
      <c r="AN245" s="354"/>
      <c r="AP245" s="23">
        <f t="shared" si="111"/>
        <v>0</v>
      </c>
      <c r="AQ245" s="392">
        <f t="shared" si="112"/>
        <v>0</v>
      </c>
      <c r="AR245" s="392">
        <f t="shared" si="113"/>
        <v>0</v>
      </c>
      <c r="AS245" s="392">
        <f t="shared" si="113"/>
        <v>0</v>
      </c>
    </row>
    <row r="246" spans="1:45">
      <c r="A246" s="12" t="s">
        <v>1645</v>
      </c>
      <c r="B246" s="54" t="str">
        <f t="shared" si="92"/>
        <v>AZ_Maric_2020g</v>
      </c>
      <c r="C246" s="12"/>
      <c r="D246" s="54" t="str">
        <f t="shared" si="93"/>
        <v>Gen-kyrene esd #28-gbm-4yr (vote for3)</v>
      </c>
      <c r="E246" s="54" t="s">
        <v>2070</v>
      </c>
      <c r="F246" s="12" t="s">
        <v>1300</v>
      </c>
      <c r="G246" s="59">
        <v>27583</v>
      </c>
      <c r="H246"/>
      <c r="K246" s="2"/>
      <c r="O246">
        <f t="shared" si="94"/>
        <v>5</v>
      </c>
      <c r="P246" s="57">
        <f t="shared" si="95"/>
        <v>3</v>
      </c>
      <c r="Q246" s="267">
        <f t="shared" si="96"/>
        <v>28195</v>
      </c>
      <c r="R246" s="23" t="str">
        <f t="shared" si="97"/>
        <v/>
      </c>
      <c r="S246" s="23">
        <f t="shared" si="98"/>
        <v>27583</v>
      </c>
      <c r="T246" s="23" t="str">
        <f t="shared" si="99"/>
        <v/>
      </c>
      <c r="U246" t="str">
        <f t="shared" si="100"/>
        <v/>
      </c>
      <c r="W246" s="1">
        <f t="shared" si="101"/>
        <v>44</v>
      </c>
      <c r="X246" s="73">
        <f t="shared" si="109"/>
        <v>275.74788494077836</v>
      </c>
      <c r="Y246" s="322">
        <f t="shared" si="102"/>
        <v>3627.3300000000004</v>
      </c>
      <c r="Z246" s="43">
        <f t="shared" si="91"/>
        <v>7.3227900394725806E-4</v>
      </c>
      <c r="AA246" s="52">
        <f t="shared" si="103"/>
        <v>7.3227900394725804E-6</v>
      </c>
      <c r="AB246" s="8">
        <f t="shared" si="104"/>
        <v>15465.7</v>
      </c>
      <c r="AC246" s="8">
        <f t="shared" si="105"/>
        <v>1546570</v>
      </c>
      <c r="AD246" s="8">
        <f t="shared" si="110"/>
        <v>7732.85</v>
      </c>
      <c r="AE246" s="8" t="str">
        <f t="shared" si="106"/>
        <v/>
      </c>
      <c r="AF246" s="22" t="str">
        <f t="shared" si="107"/>
        <v>CA_Orang_2020g</v>
      </c>
      <c r="AG246">
        <v>1</v>
      </c>
      <c r="AH246" s="272">
        <v>52570</v>
      </c>
      <c r="AI246" s="273">
        <v>11067</v>
      </c>
      <c r="AJ246" s="274">
        <v>9885</v>
      </c>
      <c r="AK246" s="339">
        <v>1182</v>
      </c>
      <c r="AL246" s="340" t="s">
        <v>4483</v>
      </c>
      <c r="AM246" s="353">
        <f t="shared" si="108"/>
        <v>7.6427190492509229E-4</v>
      </c>
      <c r="AN246" s="354"/>
      <c r="AP246" s="23">
        <f t="shared" si="111"/>
        <v>0</v>
      </c>
      <c r="AQ246" s="392">
        <f t="shared" si="112"/>
        <v>0</v>
      </c>
      <c r="AR246" s="392">
        <f t="shared" si="113"/>
        <v>0</v>
      </c>
      <c r="AS246" s="392">
        <f t="shared" si="113"/>
        <v>0</v>
      </c>
    </row>
    <row r="247" spans="1:45">
      <c r="A247" s="12" t="s">
        <v>1645</v>
      </c>
      <c r="B247" s="54" t="str">
        <f t="shared" si="92"/>
        <v>AZ_Maric_2020g</v>
      </c>
      <c r="C247" s="12"/>
      <c r="D247" s="54" t="str">
        <f t="shared" si="93"/>
        <v>Gen-kyrene esd #28-gbm-4yr (vote for3)</v>
      </c>
      <c r="E247" s="54" t="s">
        <v>1299</v>
      </c>
      <c r="G247" s="59">
        <v>612</v>
      </c>
      <c r="H247"/>
      <c r="K247" s="2"/>
      <c r="O247">
        <f t="shared" si="94"/>
        <v>-5</v>
      </c>
      <c r="P247" s="57">
        <f t="shared" si="95"/>
        <v>3</v>
      </c>
      <c r="Q247" s="267">
        <f t="shared" si="96"/>
        <v>612</v>
      </c>
      <c r="R247" s="23">
        <f t="shared" si="97"/>
        <v>1</v>
      </c>
      <c r="S247" s="23">
        <f t="shared" si="98"/>
        <v>0</v>
      </c>
      <c r="T247" s="23" t="str">
        <f t="shared" si="99"/>
        <v/>
      </c>
      <c r="U247" t="str">
        <f t="shared" si="100"/>
        <v/>
      </c>
      <c r="W247" s="1">
        <f t="shared" si="101"/>
        <v>45</v>
      </c>
      <c r="X247" s="73">
        <f t="shared" si="109"/>
        <v>65.538486842105272</v>
      </c>
      <c r="Y247" s="322">
        <f t="shared" si="102"/>
        <v>886.92600000000004</v>
      </c>
      <c r="Z247" s="43">
        <f t="shared" si="91"/>
        <v>5.210769877341604E-4</v>
      </c>
      <c r="AA247" s="52">
        <f t="shared" si="103"/>
        <v>5.2107698773416042E-6</v>
      </c>
      <c r="AB247" s="8">
        <f t="shared" si="104"/>
        <v>15465.7</v>
      </c>
      <c r="AC247" s="8">
        <f t="shared" si="105"/>
        <v>1546570</v>
      </c>
      <c r="AD247" s="8">
        <f t="shared" si="110"/>
        <v>7732.85</v>
      </c>
      <c r="AE247" s="8" t="str">
        <f t="shared" si="106"/>
        <v/>
      </c>
      <c r="AF247" s="22" t="str">
        <f t="shared" si="107"/>
        <v>CA_Orang_2020g</v>
      </c>
      <c r="AG247" s="89">
        <v>1</v>
      </c>
      <c r="AH247" s="274">
        <v>12854</v>
      </c>
      <c r="AI247" s="279">
        <v>6297</v>
      </c>
      <c r="AJ247" s="280">
        <v>5081</v>
      </c>
      <c r="AK247" s="92">
        <v>1216</v>
      </c>
      <c r="AL247" s="23" t="s">
        <v>4622</v>
      </c>
      <c r="AM247" s="353">
        <f t="shared" si="108"/>
        <v>7.8625603755407122E-4</v>
      </c>
      <c r="AN247" s="354"/>
      <c r="AP247" s="23">
        <f t="shared" si="111"/>
        <v>0</v>
      </c>
      <c r="AQ247" s="392">
        <f t="shared" si="112"/>
        <v>0</v>
      </c>
      <c r="AR247" s="392">
        <f t="shared" si="113"/>
        <v>0</v>
      </c>
      <c r="AS247" s="392">
        <f t="shared" si="113"/>
        <v>0</v>
      </c>
    </row>
    <row r="248" spans="1:45">
      <c r="A248" s="12" t="s">
        <v>1656</v>
      </c>
      <c r="B248" s="54" t="str">
        <f t="shared" si="92"/>
        <v>AZ_Maric_2020g</v>
      </c>
      <c r="C248" s="12"/>
      <c r="D248" s="54" t="str">
        <f t="shared" si="93"/>
        <v>Gen-laveen esd #59-gbm-4yr (vote for3)</v>
      </c>
      <c r="E248" s="54" t="s">
        <v>2101</v>
      </c>
      <c r="F248" s="12" t="s">
        <v>1300</v>
      </c>
      <c r="G248" s="59">
        <v>8626</v>
      </c>
      <c r="H248"/>
      <c r="K248" s="2"/>
      <c r="O248">
        <f t="shared" si="94"/>
        <v>1</v>
      </c>
      <c r="P248" s="57">
        <f t="shared" si="95"/>
        <v>3</v>
      </c>
      <c r="Q248" s="267">
        <f t="shared" si="96"/>
        <v>11419</v>
      </c>
      <c r="R248" s="23">
        <f t="shared" si="97"/>
        <v>7451</v>
      </c>
      <c r="S248" s="23">
        <f t="shared" si="98"/>
        <v>5748</v>
      </c>
      <c r="T248" s="23">
        <f t="shared" si="99"/>
        <v>1703</v>
      </c>
      <c r="U248" t="str">
        <f t="shared" si="100"/>
        <v>AZ_Maric_2020g~Gen-laveen esd #59-gbm-4yr (vote for3)</v>
      </c>
      <c r="W248" s="1">
        <f t="shared" si="101"/>
        <v>46</v>
      </c>
      <c r="X248" s="73">
        <f t="shared" si="109"/>
        <v>32.519607843137251</v>
      </c>
      <c r="Y248" s="322">
        <f t="shared" si="102"/>
        <v>442.98</v>
      </c>
      <c r="Z248" s="43">
        <f t="shared" si="91"/>
        <v>4.8098430651580937E-4</v>
      </c>
      <c r="AA248" s="52">
        <f t="shared" si="103"/>
        <v>4.8098430651580935E-6</v>
      </c>
      <c r="AB248" s="8">
        <f t="shared" si="104"/>
        <v>15465.7</v>
      </c>
      <c r="AC248" s="8">
        <f t="shared" si="105"/>
        <v>1546570</v>
      </c>
      <c r="AD248" s="8">
        <f t="shared" si="110"/>
        <v>7732.85</v>
      </c>
      <c r="AE248" s="8" t="str">
        <f t="shared" si="106"/>
        <v/>
      </c>
      <c r="AF248" s="22" t="str">
        <f t="shared" si="107"/>
        <v>CA_Orang_2020g</v>
      </c>
      <c r="AG248">
        <v>1</v>
      </c>
      <c r="AH248" s="272">
        <v>6420</v>
      </c>
      <c r="AI248" s="273">
        <v>2654</v>
      </c>
      <c r="AJ248" s="274">
        <v>1430</v>
      </c>
      <c r="AK248" s="339">
        <v>1224</v>
      </c>
      <c r="AL248" s="340" t="s">
        <v>4524</v>
      </c>
      <c r="AM248" s="353">
        <f t="shared" si="108"/>
        <v>7.9142877464324283E-4</v>
      </c>
      <c r="AN248" s="354"/>
      <c r="AP248" s="23">
        <f t="shared" si="111"/>
        <v>0</v>
      </c>
      <c r="AQ248" s="392">
        <f t="shared" si="112"/>
        <v>0</v>
      </c>
      <c r="AR248" s="392">
        <f t="shared" si="113"/>
        <v>0</v>
      </c>
      <c r="AS248" s="392">
        <f t="shared" si="113"/>
        <v>0</v>
      </c>
    </row>
    <row r="249" spans="1:45">
      <c r="A249" s="12" t="s">
        <v>1656</v>
      </c>
      <c r="B249" s="54" t="str">
        <f t="shared" si="92"/>
        <v>AZ_Maric_2020g</v>
      </c>
      <c r="C249" s="12"/>
      <c r="D249" s="54" t="str">
        <f t="shared" si="93"/>
        <v>Gen-laveen esd #59-gbm-4yr (vote for3)</v>
      </c>
      <c r="E249" s="54" t="s">
        <v>2105</v>
      </c>
      <c r="F249" s="12" t="s">
        <v>1300</v>
      </c>
      <c r="G249" s="59">
        <v>7677</v>
      </c>
      <c r="H249"/>
      <c r="K249" s="2"/>
      <c r="O249">
        <f t="shared" si="94"/>
        <v>2</v>
      </c>
      <c r="P249" s="57">
        <f t="shared" si="95"/>
        <v>3</v>
      </c>
      <c r="Q249" s="267">
        <f t="shared" si="96"/>
        <v>25631</v>
      </c>
      <c r="R249" s="23">
        <f t="shared" si="97"/>
        <v>7451</v>
      </c>
      <c r="S249" s="23">
        <f t="shared" si="98"/>
        <v>5748</v>
      </c>
      <c r="T249" s="23" t="str">
        <f t="shared" si="99"/>
        <v/>
      </c>
      <c r="U249" t="str">
        <f t="shared" si="100"/>
        <v/>
      </c>
      <c r="W249" s="1">
        <f t="shared" si="101"/>
        <v>47</v>
      </c>
      <c r="X249" s="73">
        <f t="shared" si="109"/>
        <v>251.00897226753671</v>
      </c>
      <c r="Y249" s="322">
        <f t="shared" si="102"/>
        <v>3424.8150000000005</v>
      </c>
      <c r="Z249" s="43">
        <f t="shared" si="91"/>
        <v>4.7145270462682279E-4</v>
      </c>
      <c r="AA249" s="52">
        <f t="shared" si="103"/>
        <v>4.7145270462682278E-6</v>
      </c>
      <c r="AB249" s="8">
        <f t="shared" si="104"/>
        <v>15465.7</v>
      </c>
      <c r="AC249" s="8">
        <f t="shared" si="105"/>
        <v>1546570</v>
      </c>
      <c r="AD249" s="8">
        <f t="shared" si="110"/>
        <v>7732.85</v>
      </c>
      <c r="AE249" s="8" t="str">
        <f t="shared" si="106"/>
        <v/>
      </c>
      <c r="AF249" s="22" t="str">
        <f t="shared" si="107"/>
        <v>CA_Orang_2020g</v>
      </c>
      <c r="AG249">
        <v>1</v>
      </c>
      <c r="AH249" s="272">
        <v>49635</v>
      </c>
      <c r="AI249" s="273">
        <v>10444</v>
      </c>
      <c r="AJ249" s="274">
        <v>9218</v>
      </c>
      <c r="AK249" s="339">
        <v>1226</v>
      </c>
      <c r="AL249" s="340" t="s">
        <v>4498</v>
      </c>
      <c r="AM249" s="353">
        <f t="shared" si="108"/>
        <v>7.9272195891553566E-4</v>
      </c>
      <c r="AN249" s="354"/>
      <c r="AP249" s="23">
        <f t="shared" si="111"/>
        <v>0</v>
      </c>
      <c r="AQ249" s="392">
        <f t="shared" si="112"/>
        <v>0</v>
      </c>
      <c r="AR249" s="392">
        <f t="shared" si="113"/>
        <v>0</v>
      </c>
      <c r="AS249" s="392">
        <f t="shared" si="113"/>
        <v>0</v>
      </c>
    </row>
    <row r="250" spans="1:45">
      <c r="A250" s="12" t="s">
        <v>1656</v>
      </c>
      <c r="B250" s="54" t="str">
        <f t="shared" si="92"/>
        <v>AZ_Maric_2020g</v>
      </c>
      <c r="C250" s="12"/>
      <c r="D250" s="54" t="str">
        <f t="shared" si="93"/>
        <v>Gen-laveen esd #59-gbm-4yr (vote for3)</v>
      </c>
      <c r="E250" s="54" t="s">
        <v>2103</v>
      </c>
      <c r="F250" s="12" t="s">
        <v>1300</v>
      </c>
      <c r="G250" s="59">
        <v>7451</v>
      </c>
      <c r="H250"/>
      <c r="K250" s="2"/>
      <c r="O250">
        <f t="shared" si="94"/>
        <v>3</v>
      </c>
      <c r="P250" s="57">
        <f t="shared" si="95"/>
        <v>3</v>
      </c>
      <c r="Q250" s="267">
        <f t="shared" si="96"/>
        <v>17954</v>
      </c>
      <c r="R250" s="23">
        <f t="shared" si="97"/>
        <v>7451</v>
      </c>
      <c r="S250" s="23">
        <f t="shared" si="98"/>
        <v>5748</v>
      </c>
      <c r="T250" s="23" t="str">
        <f t="shared" si="99"/>
        <v/>
      </c>
      <c r="U250" t="str">
        <f t="shared" si="100"/>
        <v/>
      </c>
      <c r="W250" s="1">
        <f t="shared" si="101"/>
        <v>48</v>
      </c>
      <c r="X250" s="73">
        <f t="shared" si="109"/>
        <v>16.178582677165355</v>
      </c>
      <c r="Y250" s="322">
        <f t="shared" si="102"/>
        <v>228.66600000000003</v>
      </c>
      <c r="Z250" s="43">
        <f t="shared" si="91"/>
        <v>3.0352483787061106E-4</v>
      </c>
      <c r="AA250" s="52">
        <f t="shared" si="103"/>
        <v>3.0352483787061105E-6</v>
      </c>
      <c r="AB250" s="8">
        <f t="shared" si="104"/>
        <v>15465.7</v>
      </c>
      <c r="AC250" s="8">
        <f t="shared" si="105"/>
        <v>1546570</v>
      </c>
      <c r="AD250" s="8">
        <f t="shared" si="110"/>
        <v>7732.85</v>
      </c>
      <c r="AE250" s="8" t="str">
        <f t="shared" si="106"/>
        <v/>
      </c>
      <c r="AF250" s="22" t="str">
        <f t="shared" si="107"/>
        <v>CA_Orang_2020g</v>
      </c>
      <c r="AG250">
        <v>1</v>
      </c>
      <c r="AH250" s="272">
        <v>3314</v>
      </c>
      <c r="AI250" s="273">
        <v>2292</v>
      </c>
      <c r="AJ250" s="274">
        <v>1022</v>
      </c>
      <c r="AK250" s="339">
        <v>1270</v>
      </c>
      <c r="AL250" s="340" t="s">
        <v>4536</v>
      </c>
      <c r="AM250" s="353">
        <f t="shared" si="108"/>
        <v>8.2117201290597902E-4</v>
      </c>
      <c r="AN250" s="354"/>
      <c r="AP250" s="23">
        <f t="shared" si="111"/>
        <v>0</v>
      </c>
      <c r="AQ250" s="392">
        <f t="shared" si="112"/>
        <v>0</v>
      </c>
      <c r="AR250" s="392">
        <f t="shared" si="113"/>
        <v>0</v>
      </c>
      <c r="AS250" s="392">
        <f t="shared" si="113"/>
        <v>0</v>
      </c>
    </row>
    <row r="251" spans="1:45">
      <c r="A251" s="12" t="s">
        <v>1656</v>
      </c>
      <c r="B251" s="54" t="str">
        <f t="shared" si="92"/>
        <v>AZ_Maric_2020g</v>
      </c>
      <c r="C251" s="12"/>
      <c r="D251" s="54" t="str">
        <f t="shared" si="93"/>
        <v>Gen-laveen esd #59-gbm-4yr (vote for3)</v>
      </c>
      <c r="E251" s="54" t="s">
        <v>2104</v>
      </c>
      <c r="F251" s="12" t="s">
        <v>1300</v>
      </c>
      <c r="G251" s="59">
        <v>5748</v>
      </c>
      <c r="H251"/>
      <c r="K251" s="2"/>
      <c r="O251">
        <f t="shared" si="94"/>
        <v>4</v>
      </c>
      <c r="P251" s="57">
        <f t="shared" si="95"/>
        <v>3</v>
      </c>
      <c r="Q251" s="267">
        <f t="shared" si="96"/>
        <v>10503</v>
      </c>
      <c r="R251" s="23" t="str">
        <f t="shared" si="97"/>
        <v/>
      </c>
      <c r="S251" s="23">
        <f t="shared" si="98"/>
        <v>5748</v>
      </c>
      <c r="T251" s="23" t="str">
        <f t="shared" si="99"/>
        <v/>
      </c>
      <c r="U251" t="str">
        <f t="shared" si="100"/>
        <v/>
      </c>
      <c r="W251" s="1">
        <f t="shared" si="101"/>
        <v>49</v>
      </c>
      <c r="X251" s="73">
        <f t="shared" si="109"/>
        <v>33.085891472868212</v>
      </c>
      <c r="Y251" s="322">
        <f t="shared" si="102"/>
        <v>474.99600000000004</v>
      </c>
      <c r="Z251" s="43">
        <f t="shared" si="91"/>
        <v>2.4846395397173189E-4</v>
      </c>
      <c r="AA251" s="52">
        <f t="shared" si="103"/>
        <v>2.484639539717319E-6</v>
      </c>
      <c r="AB251" s="8">
        <f t="shared" si="104"/>
        <v>15465.7</v>
      </c>
      <c r="AC251" s="8">
        <f t="shared" si="105"/>
        <v>1546570</v>
      </c>
      <c r="AD251" s="8">
        <f t="shared" si="110"/>
        <v>7732.85</v>
      </c>
      <c r="AE251" s="8" t="str">
        <f t="shared" si="106"/>
        <v/>
      </c>
      <c r="AF251" s="22" t="str">
        <f t="shared" si="107"/>
        <v>CA_Orang_2020g</v>
      </c>
      <c r="AG251">
        <v>1</v>
      </c>
      <c r="AH251" s="272">
        <v>6884</v>
      </c>
      <c r="AI251" s="273">
        <v>4087</v>
      </c>
      <c r="AJ251" s="274">
        <v>2797</v>
      </c>
      <c r="AK251" s="339">
        <v>1290</v>
      </c>
      <c r="AL251" s="340" t="s">
        <v>4490</v>
      </c>
      <c r="AM251" s="353">
        <f t="shared" si="108"/>
        <v>8.3410385562890789E-4</v>
      </c>
      <c r="AN251" s="354"/>
      <c r="AP251" s="23">
        <f t="shared" si="111"/>
        <v>0</v>
      </c>
      <c r="AQ251" s="392">
        <f t="shared" si="112"/>
        <v>0</v>
      </c>
      <c r="AR251" s="392">
        <f t="shared" si="113"/>
        <v>0</v>
      </c>
      <c r="AS251" s="392">
        <f t="shared" si="113"/>
        <v>0</v>
      </c>
    </row>
    <row r="252" spans="1:45">
      <c r="A252" s="12" t="s">
        <v>1656</v>
      </c>
      <c r="B252" s="54" t="str">
        <f t="shared" si="92"/>
        <v>AZ_Maric_2020g</v>
      </c>
      <c r="C252" s="12"/>
      <c r="D252" s="54" t="str">
        <f t="shared" si="93"/>
        <v>Gen-laveen esd #59-gbm-4yr (vote for3)</v>
      </c>
      <c r="E252" s="54" t="s">
        <v>2102</v>
      </c>
      <c r="F252" s="12" t="s">
        <v>1300</v>
      </c>
      <c r="G252" s="59">
        <v>4593</v>
      </c>
      <c r="H252"/>
      <c r="K252" s="2"/>
      <c r="O252">
        <f t="shared" si="94"/>
        <v>5</v>
      </c>
      <c r="P252" s="57">
        <f t="shared" si="95"/>
        <v>3</v>
      </c>
      <c r="Q252" s="267">
        <f t="shared" si="96"/>
        <v>4755</v>
      </c>
      <c r="R252" s="23" t="str">
        <f t="shared" si="97"/>
        <v/>
      </c>
      <c r="S252" s="23">
        <f t="shared" si="98"/>
        <v>4593</v>
      </c>
      <c r="T252" s="23" t="str">
        <f t="shared" si="99"/>
        <v/>
      </c>
      <c r="U252" t="str">
        <f t="shared" si="100"/>
        <v/>
      </c>
      <c r="W252" s="1">
        <f t="shared" si="101"/>
        <v>50</v>
      </c>
      <c r="X252" s="73">
        <f t="shared" si="109"/>
        <v>42.698470948012229</v>
      </c>
      <c r="Y252" s="322">
        <f t="shared" si="102"/>
        <v>621.55200000000002</v>
      </c>
      <c r="Z252" s="43">
        <f t="shared" ref="Z252:Z299" si="114">AA252*100</f>
        <v>2.0750313900853469E-4</v>
      </c>
      <c r="AA252" s="52">
        <f t="shared" si="103"/>
        <v>2.0750313900853468E-6</v>
      </c>
      <c r="AB252" s="8">
        <f t="shared" si="104"/>
        <v>15465.7</v>
      </c>
      <c r="AC252" s="8">
        <f t="shared" si="105"/>
        <v>1546570</v>
      </c>
      <c r="AD252" s="8">
        <f t="shared" si="110"/>
        <v>7732.85</v>
      </c>
      <c r="AE252" s="8" t="str">
        <f t="shared" si="106"/>
        <v/>
      </c>
      <c r="AF252" s="22" t="str">
        <f t="shared" si="107"/>
        <v>CA_Orang_2020g</v>
      </c>
      <c r="AG252">
        <v>1</v>
      </c>
      <c r="AH252" s="272">
        <v>9008</v>
      </c>
      <c r="AI252" s="273">
        <v>5158</v>
      </c>
      <c r="AJ252" s="274">
        <v>3850</v>
      </c>
      <c r="AK252" s="339">
        <v>1308</v>
      </c>
      <c r="AL252" s="340" t="s">
        <v>4567</v>
      </c>
      <c r="AM252" s="353">
        <f t="shared" si="108"/>
        <v>8.4574251407954371E-4</v>
      </c>
      <c r="AN252" s="354"/>
      <c r="AP252" s="23">
        <f t="shared" si="111"/>
        <v>0</v>
      </c>
      <c r="AQ252" s="392">
        <f t="shared" si="112"/>
        <v>0</v>
      </c>
      <c r="AR252" s="392">
        <f t="shared" si="113"/>
        <v>0</v>
      </c>
      <c r="AS252" s="392">
        <f t="shared" si="113"/>
        <v>0</v>
      </c>
    </row>
    <row r="253" spans="1:45">
      <c r="A253" s="12" t="s">
        <v>1656</v>
      </c>
      <c r="B253" s="54" t="str">
        <f t="shared" si="92"/>
        <v>AZ_Maric_2020g</v>
      </c>
      <c r="C253" s="12"/>
      <c r="D253" s="54" t="str">
        <f t="shared" si="93"/>
        <v>Gen-laveen esd #59-gbm-4yr (vote for3)</v>
      </c>
      <c r="E253" s="54" t="s">
        <v>1299</v>
      </c>
      <c r="G253" s="59">
        <v>162</v>
      </c>
      <c r="H253"/>
      <c r="K253" s="2"/>
      <c r="O253">
        <f t="shared" si="94"/>
        <v>-5</v>
      </c>
      <c r="P253" s="57">
        <f t="shared" si="95"/>
        <v>3</v>
      </c>
      <c r="Q253" s="267">
        <f t="shared" si="96"/>
        <v>162</v>
      </c>
      <c r="R253" s="23">
        <f t="shared" si="97"/>
        <v>1</v>
      </c>
      <c r="S253" s="23">
        <f t="shared" si="98"/>
        <v>0</v>
      </c>
      <c r="T253" s="23" t="str">
        <f t="shared" si="99"/>
        <v/>
      </c>
      <c r="U253" t="str">
        <f t="shared" si="100"/>
        <v/>
      </c>
      <c r="W253" s="1">
        <f t="shared" si="101"/>
        <v>51</v>
      </c>
      <c r="X253" s="73">
        <f t="shared" si="109"/>
        <v>25.015248468345813</v>
      </c>
      <c r="Y253" s="322">
        <f t="shared" si="102"/>
        <v>408.96300000000002</v>
      </c>
      <c r="Z253" s="43">
        <f t="shared" si="114"/>
        <v>4.1417343571355448E-5</v>
      </c>
      <c r="AA253" s="52">
        <f t="shared" si="103"/>
        <v>4.1417343571355445E-7</v>
      </c>
      <c r="AB253" s="8">
        <f t="shared" si="104"/>
        <v>15465.7</v>
      </c>
      <c r="AC253" s="8">
        <f t="shared" si="105"/>
        <v>1546570</v>
      </c>
      <c r="AD253" s="8">
        <f t="shared" si="110"/>
        <v>7732.85</v>
      </c>
      <c r="AE253" s="8" t="str">
        <f t="shared" si="106"/>
        <v/>
      </c>
      <c r="AF253" s="22" t="str">
        <f t="shared" si="107"/>
        <v>CA_Orang_2020g</v>
      </c>
      <c r="AG253">
        <v>1</v>
      </c>
      <c r="AH253" s="272">
        <v>5927</v>
      </c>
      <c r="AI253" s="273">
        <v>3698</v>
      </c>
      <c r="AJ253" s="274">
        <v>2229</v>
      </c>
      <c r="AK253" s="339">
        <v>1469</v>
      </c>
      <c r="AL253" s="340" t="s">
        <v>4559</v>
      </c>
      <c r="AM253" s="353">
        <f t="shared" si="108"/>
        <v>9.498438479991206E-4</v>
      </c>
      <c r="AN253" s="354"/>
      <c r="AP253" s="23">
        <f t="shared" si="111"/>
        <v>0</v>
      </c>
      <c r="AQ253" s="392">
        <f t="shared" si="112"/>
        <v>0</v>
      </c>
      <c r="AR253" s="392">
        <f t="shared" si="113"/>
        <v>0</v>
      </c>
      <c r="AS253" s="392">
        <f t="shared" si="113"/>
        <v>0</v>
      </c>
    </row>
    <row r="254" spans="1:45">
      <c r="A254" s="12" t="s">
        <v>1657</v>
      </c>
      <c r="B254" s="54" t="str">
        <f t="shared" si="92"/>
        <v>AZ_Maric_2020g</v>
      </c>
      <c r="C254" s="12"/>
      <c r="D254" s="54" t="str">
        <f t="shared" si="93"/>
        <v>Gen-laveen esd #59-question (vote for1)</v>
      </c>
      <c r="E254" s="54" t="s">
        <v>2015</v>
      </c>
      <c r="F254" s="12" t="s">
        <v>1300</v>
      </c>
      <c r="G254" s="59">
        <v>13321</v>
      </c>
      <c r="H254"/>
      <c r="K254" s="2"/>
      <c r="O254">
        <f t="shared" si="94"/>
        <v>1</v>
      </c>
      <c r="P254" s="57">
        <f t="shared" si="95"/>
        <v>1</v>
      </c>
      <c r="Q254" s="267">
        <f t="shared" si="96"/>
        <v>18851</v>
      </c>
      <c r="R254" s="23">
        <f t="shared" si="97"/>
        <v>13321</v>
      </c>
      <c r="S254" s="23">
        <f t="shared" si="98"/>
        <v>5530</v>
      </c>
      <c r="T254" s="23">
        <f t="shared" si="99"/>
        <v>7791</v>
      </c>
      <c r="U254" t="str">
        <f t="shared" si="100"/>
        <v>AZ_Maric_2020g~Gen-laveen esd #59-question (vote for1)</v>
      </c>
      <c r="W254" s="1">
        <f t="shared" si="101"/>
        <v>52</v>
      </c>
      <c r="X254" s="73">
        <f t="shared" si="109"/>
        <v>30.781423728813561</v>
      </c>
      <c r="Y254" s="322">
        <f t="shared" si="102"/>
        <v>505.28700000000003</v>
      </c>
      <c r="Z254" s="43">
        <f t="shared" si="114"/>
        <v>3.9003155711173467E-5</v>
      </c>
      <c r="AA254" s="52">
        <f t="shared" si="103"/>
        <v>3.900315571117347E-7</v>
      </c>
      <c r="AB254" s="8">
        <f t="shared" si="104"/>
        <v>15465.7</v>
      </c>
      <c r="AC254" s="8">
        <f t="shared" si="105"/>
        <v>1546570</v>
      </c>
      <c r="AD254" s="8">
        <f t="shared" si="110"/>
        <v>7732.85</v>
      </c>
      <c r="AE254" s="8" t="str">
        <f t="shared" si="106"/>
        <v/>
      </c>
      <c r="AF254" s="22" t="str">
        <f t="shared" si="107"/>
        <v>CA_Orang_2020g</v>
      </c>
      <c r="AG254">
        <v>1</v>
      </c>
      <c r="AH254" s="272">
        <v>7323</v>
      </c>
      <c r="AI254" s="273">
        <v>3730</v>
      </c>
      <c r="AJ254" s="274">
        <v>2255</v>
      </c>
      <c r="AK254" s="339">
        <v>1475</v>
      </c>
      <c r="AL254" s="340" t="s">
        <v>4489</v>
      </c>
      <c r="AM254" s="353">
        <f t="shared" si="108"/>
        <v>9.5372340081599928E-4</v>
      </c>
      <c r="AN254" s="354"/>
      <c r="AP254" s="23">
        <f t="shared" si="111"/>
        <v>0</v>
      </c>
      <c r="AQ254" s="392">
        <f t="shared" si="112"/>
        <v>0</v>
      </c>
      <c r="AR254" s="392">
        <f t="shared" si="113"/>
        <v>0</v>
      </c>
      <c r="AS254" s="392">
        <f t="shared" si="113"/>
        <v>0</v>
      </c>
    </row>
    <row r="255" spans="1:45">
      <c r="A255" s="12" t="s">
        <v>1657</v>
      </c>
      <c r="B255" s="54" t="str">
        <f t="shared" si="92"/>
        <v>AZ_Maric_2020g</v>
      </c>
      <c r="C255" s="12"/>
      <c r="D255" s="54" t="str">
        <f t="shared" si="93"/>
        <v>Gen-laveen esd #59-question (vote for1)</v>
      </c>
      <c r="E255" s="54" t="s">
        <v>2016</v>
      </c>
      <c r="F255" s="12" t="s">
        <v>1300</v>
      </c>
      <c r="G255" s="59">
        <v>5530</v>
      </c>
      <c r="H255"/>
      <c r="K255" s="2"/>
      <c r="O255">
        <f t="shared" si="94"/>
        <v>2</v>
      </c>
      <c r="P255" s="57">
        <f t="shared" si="95"/>
        <v>1</v>
      </c>
      <c r="Q255" s="267">
        <f t="shared" si="96"/>
        <v>5530</v>
      </c>
      <c r="R255" s="23" t="str">
        <f t="shared" si="97"/>
        <v/>
      </c>
      <c r="S255" s="23">
        <f t="shared" si="98"/>
        <v>5530</v>
      </c>
      <c r="T255" s="23" t="str">
        <f t="shared" si="99"/>
        <v/>
      </c>
      <c r="U255" t="str">
        <f t="shared" si="100"/>
        <v/>
      </c>
      <c r="W255" s="1">
        <f t="shared" si="101"/>
        <v>53</v>
      </c>
      <c r="X255" s="73">
        <f t="shared" si="109"/>
        <v>42.009696969696975</v>
      </c>
      <c r="Y255" s="322">
        <f t="shared" si="102"/>
        <v>694.27800000000002</v>
      </c>
      <c r="Z255" s="43">
        <f t="shared" si="114"/>
        <v>3.5288134391929041E-5</v>
      </c>
      <c r="AA255" s="52">
        <f t="shared" si="103"/>
        <v>3.5288134391929044E-7</v>
      </c>
      <c r="AB255" s="8">
        <f t="shared" si="104"/>
        <v>15465.7</v>
      </c>
      <c r="AC255" s="8">
        <f t="shared" si="105"/>
        <v>1546570</v>
      </c>
      <c r="AD255" s="8">
        <f t="shared" si="110"/>
        <v>7732.85</v>
      </c>
      <c r="AE255" s="8" t="str">
        <f t="shared" si="106"/>
        <v/>
      </c>
      <c r="AF255" s="22" t="str">
        <f t="shared" si="107"/>
        <v>CA_Orang_2020g</v>
      </c>
      <c r="AG255">
        <v>1</v>
      </c>
      <c r="AH255" s="272">
        <v>10062</v>
      </c>
      <c r="AI255" s="273">
        <v>4096</v>
      </c>
      <c r="AJ255" s="274">
        <v>2611</v>
      </c>
      <c r="AK255" s="339">
        <v>1485</v>
      </c>
      <c r="AL255" s="340" t="s">
        <v>4523</v>
      </c>
      <c r="AM255" s="353">
        <f t="shared" si="108"/>
        <v>9.6018932217746371E-4</v>
      </c>
      <c r="AN255" s="354"/>
      <c r="AP255" s="23">
        <f t="shared" si="111"/>
        <v>0</v>
      </c>
      <c r="AQ255" s="392">
        <f t="shared" si="112"/>
        <v>0</v>
      </c>
      <c r="AR255" s="392">
        <f t="shared" si="113"/>
        <v>0</v>
      </c>
      <c r="AS255" s="392">
        <f t="shared" si="113"/>
        <v>0</v>
      </c>
    </row>
    <row r="256" spans="1:45">
      <c r="A256" s="12" t="s">
        <v>1643</v>
      </c>
      <c r="B256" s="54" t="str">
        <f t="shared" si="92"/>
        <v>AZ_Maric_2020g</v>
      </c>
      <c r="C256" s="12"/>
      <c r="D256" s="54" t="str">
        <f t="shared" si="93"/>
        <v>Gen-liberty esd #25-gbm-2yr (vote for1)</v>
      </c>
      <c r="E256" s="54" t="s">
        <v>1299</v>
      </c>
      <c r="G256" s="59">
        <v>773</v>
      </c>
      <c r="H256"/>
      <c r="K256" s="2"/>
      <c r="O256">
        <f t="shared" si="94"/>
        <v>0</v>
      </c>
      <c r="P256" s="57">
        <f t="shared" si="95"/>
        <v>1</v>
      </c>
      <c r="Q256" s="267">
        <f t="shared" si="96"/>
        <v>1546</v>
      </c>
      <c r="R256" s="23">
        <f t="shared" si="97"/>
        <v>97</v>
      </c>
      <c r="S256" s="23">
        <f t="shared" si="98"/>
        <v>0</v>
      </c>
      <c r="T256" s="23" t="str">
        <f t="shared" si="99"/>
        <v/>
      </c>
      <c r="U256" t="str">
        <f t="shared" si="100"/>
        <v>AZ_Maric_2020g~Gen-liberty esd #25-gbm-2yr (vote for1)</v>
      </c>
      <c r="W256" s="1">
        <f t="shared" si="101"/>
        <v>54</v>
      </c>
      <c r="X256" s="73">
        <f t="shared" si="109"/>
        <v>32.612975098296197</v>
      </c>
      <c r="Y256" s="322">
        <f t="shared" si="102"/>
        <v>553.86300000000006</v>
      </c>
      <c r="Z256" s="43">
        <f t="shared" si="114"/>
        <v>2.3409625175614123E-5</v>
      </c>
      <c r="AA256" s="52">
        <f t="shared" si="103"/>
        <v>2.3409625175614122E-7</v>
      </c>
      <c r="AB256" s="8">
        <f t="shared" si="104"/>
        <v>15465.7</v>
      </c>
      <c r="AC256" s="8">
        <f t="shared" si="105"/>
        <v>1546570</v>
      </c>
      <c r="AD256" s="8">
        <f t="shared" si="110"/>
        <v>7732.85</v>
      </c>
      <c r="AE256" s="8" t="str">
        <f t="shared" si="106"/>
        <v/>
      </c>
      <c r="AF256" s="22" t="str">
        <f t="shared" si="107"/>
        <v>CA_Orang_2020g</v>
      </c>
      <c r="AG256">
        <v>1</v>
      </c>
      <c r="AH256" s="272">
        <v>8027</v>
      </c>
      <c r="AI256" s="273">
        <v>3962</v>
      </c>
      <c r="AJ256" s="274">
        <v>2436</v>
      </c>
      <c r="AK256" s="339">
        <v>1526</v>
      </c>
      <c r="AL256" s="340" t="s">
        <v>4491</v>
      </c>
      <c r="AM256" s="353">
        <f t="shared" si="108"/>
        <v>9.8669959975946774E-4</v>
      </c>
      <c r="AN256" s="354"/>
      <c r="AP256" s="23">
        <f t="shared" si="111"/>
        <v>0</v>
      </c>
      <c r="AQ256" s="392">
        <f t="shared" si="112"/>
        <v>0</v>
      </c>
      <c r="AR256" s="392">
        <f t="shared" si="113"/>
        <v>0</v>
      </c>
      <c r="AS256" s="392">
        <f t="shared" si="113"/>
        <v>0</v>
      </c>
    </row>
    <row r="257" spans="1:45">
      <c r="A257" s="12" t="s">
        <v>1643</v>
      </c>
      <c r="B257" s="54" t="str">
        <f t="shared" si="92"/>
        <v>AZ_Maric_2020g</v>
      </c>
      <c r="C257" s="12"/>
      <c r="D257" s="54" t="str">
        <f t="shared" si="93"/>
        <v>Gen-liberty esd #25-gbm-2yr (vote for1)</v>
      </c>
      <c r="E257" s="54" t="s">
        <v>1765</v>
      </c>
      <c r="G257" s="59">
        <v>676</v>
      </c>
      <c r="H257"/>
      <c r="K257" s="2"/>
      <c r="O257">
        <f t="shared" si="94"/>
        <v>0</v>
      </c>
      <c r="P257" s="57">
        <f t="shared" si="95"/>
        <v>1</v>
      </c>
      <c r="Q257" s="267">
        <f t="shared" si="96"/>
        <v>773</v>
      </c>
      <c r="R257" s="23">
        <f t="shared" si="97"/>
        <v>97</v>
      </c>
      <c r="S257" s="23">
        <f t="shared" si="98"/>
        <v>0</v>
      </c>
      <c r="T257" s="23" t="str">
        <f t="shared" si="99"/>
        <v/>
      </c>
      <c r="U257" t="str">
        <f t="shared" si="100"/>
        <v/>
      </c>
      <c r="W257" s="1">
        <f t="shared" si="101"/>
        <v>55</v>
      </c>
      <c r="X257" s="73">
        <f t="shared" si="109"/>
        <v>89.193979057591619</v>
      </c>
      <c r="Y257" s="322">
        <f t="shared" si="102"/>
        <v>1516.758</v>
      </c>
      <c r="Z257" s="43">
        <f t="shared" si="114"/>
        <v>2.2945629981866026E-5</v>
      </c>
      <c r="AA257" s="52">
        <f t="shared" si="103"/>
        <v>2.2945629981866027E-7</v>
      </c>
      <c r="AB257" s="8">
        <f t="shared" si="104"/>
        <v>15465.7</v>
      </c>
      <c r="AC257" s="8">
        <f t="shared" si="105"/>
        <v>1546570</v>
      </c>
      <c r="AD257" s="8">
        <f t="shared" si="110"/>
        <v>7732.85</v>
      </c>
      <c r="AE257" s="8" t="str">
        <f t="shared" si="106"/>
        <v/>
      </c>
      <c r="AF257" s="22" t="str">
        <f t="shared" si="107"/>
        <v>CA_Orang_2020g</v>
      </c>
      <c r="AG257">
        <v>1</v>
      </c>
      <c r="AH257" s="272">
        <v>21982</v>
      </c>
      <c r="AI257" s="273">
        <v>11755</v>
      </c>
      <c r="AJ257" s="274">
        <v>10227</v>
      </c>
      <c r="AK257" s="339">
        <v>1528</v>
      </c>
      <c r="AL257" s="340" t="s">
        <v>4487</v>
      </c>
      <c r="AM257" s="353">
        <f t="shared" si="108"/>
        <v>9.8799278403176056E-4</v>
      </c>
      <c r="AN257" s="354"/>
      <c r="AP257" s="23">
        <f t="shared" si="111"/>
        <v>0</v>
      </c>
      <c r="AQ257" s="392">
        <f t="shared" si="112"/>
        <v>0</v>
      </c>
      <c r="AR257" s="392">
        <f t="shared" si="113"/>
        <v>0</v>
      </c>
      <c r="AS257" s="392">
        <f t="shared" si="113"/>
        <v>0</v>
      </c>
    </row>
    <row r="258" spans="1:45">
      <c r="A258" s="12" t="s">
        <v>1643</v>
      </c>
      <c r="B258" s="54" t="str">
        <f t="shared" ref="B258:B321" si="115">LEFT(A258,14)</f>
        <v>AZ_Maric_2020g</v>
      </c>
      <c r="C258" s="12"/>
      <c r="D258" s="54" t="str">
        <f t="shared" ref="D258:D321" si="116">MID(A258,16,99)</f>
        <v>Gen-liberty esd #25-gbm-2yr (vote for1)</v>
      </c>
      <c r="E258" s="54" t="s">
        <v>2069</v>
      </c>
      <c r="G258" s="59">
        <v>97</v>
      </c>
      <c r="H258"/>
      <c r="K258" s="2"/>
      <c r="O258">
        <f t="shared" ref="O258:O321" si="117">IF(OR(LOWER(LEFT(E258,8))="write-in",LOWER(LEFT(E258,8))="not qual"),IF(A258=A257,-ABS(O257),0),IF(A258=A257,ABS(O257)+1,1))</f>
        <v>1</v>
      </c>
      <c r="P258" s="57">
        <f t="shared" ref="P258:P321" si="118">1*LEFT(RIGHT(A258,2),1)</f>
        <v>1</v>
      </c>
      <c r="Q258" s="267">
        <f t="shared" ref="Q258:Q321" si="119">IF(A258&lt;&gt;A259,G258,IF(A258=A257,G258+Q259,MAX(G258,(G258+Q259)/P258)))</f>
        <v>97</v>
      </c>
      <c r="R258" s="23">
        <f t="shared" ref="R258:R321" si="120">IF(O258&gt;P258,"",IF(O258=P258,G258,IF(A258=A259,R259,IF(O258&lt;=0,1,G258))))</f>
        <v>97</v>
      </c>
      <c r="S258" s="23">
        <f t="shared" ref="S258:S321" si="121">IF(AND(O258&gt;P258,LOWER(LEFT(E258,8))&lt;&gt;"write-in",LOWER(LEFT(E258,8))&lt;&gt;"not qual"),G258,IF(A258=A259,S259,0))</f>
        <v>0</v>
      </c>
      <c r="T258" s="23" t="str">
        <f t="shared" ref="T258:T321" si="122">IF(OR(A258=A257,S258=0),"",R258-ABS(S258))</f>
        <v/>
      </c>
      <c r="U258" t="str">
        <f t="shared" ref="U258:U321" si="123">IF(A258=A257,"",A258)</f>
        <v/>
      </c>
      <c r="W258" s="1">
        <f t="shared" ref="W258:W321" si="124">IF(AF258=AF257,W257+1,1)</f>
        <v>56</v>
      </c>
      <c r="X258" s="73">
        <f t="shared" si="109"/>
        <v>79.85712435233161</v>
      </c>
      <c r="Y258" s="322">
        <f t="shared" ref="Y258:Y321" si="125">MAX(X258,0.069*AH258)</f>
        <v>1372.2030000000002</v>
      </c>
      <c r="Z258" s="43">
        <f t="shared" si="114"/>
        <v>1.9549866136692128E-5</v>
      </c>
      <c r="AA258" s="52">
        <f t="shared" ref="AA258:AA321" si="126">(1-AK258/AC258)^AB258</f>
        <v>1.9549866136692129E-7</v>
      </c>
      <c r="AB258" s="8">
        <f t="shared" ref="AB258:AB321" si="127">INDEX(BA$2:BA$76,MATCH($AF258,$AU$2:$AU$76,0))+IF(AE258="",0,INDEX(BA$2:BA$76,AE258))</f>
        <v>15465.7</v>
      </c>
      <c r="AC258" s="8">
        <f t="shared" ref="AC258:AC321" si="128">INDEX(AX$2:AX$76,MATCH(AF258,AU$2:AU$76,0))+IF(AE258="",0,INDEX(AX$2:AX$76,AE258))</f>
        <v>1546570</v>
      </c>
      <c r="AD258" s="8">
        <f t="shared" si="110"/>
        <v>7732.85</v>
      </c>
      <c r="AE258" s="8" t="str">
        <f t="shared" ref="AE258:AE321" si="129">IF(MID(AL258,16,2)&lt;&gt;"w/","",MATCH(CONCATENATE("CO_",MID(AL258,18,5),"_2020g"),AU$2:AU$76,0))</f>
        <v/>
      </c>
      <c r="AF258" s="22" t="str">
        <f t="shared" ref="AF258:AF321" si="130">LEFT(AL258,14)</f>
        <v>CA_Orang_2020g</v>
      </c>
      <c r="AG258">
        <v>1</v>
      </c>
      <c r="AH258" s="8">
        <v>19887</v>
      </c>
      <c r="AI258" s="273">
        <v>6786</v>
      </c>
      <c r="AJ258" s="274">
        <v>5242</v>
      </c>
      <c r="AK258" s="339">
        <v>1544</v>
      </c>
      <c r="AL258" s="23" t="s">
        <v>4534</v>
      </c>
      <c r="AM258" s="353">
        <f t="shared" ref="AM258:AM321" si="131">AK258/AC258</f>
        <v>9.9833825821010356E-4</v>
      </c>
      <c r="AN258" s="354"/>
      <c r="AP258" s="23">
        <f t="shared" si="111"/>
        <v>0</v>
      </c>
      <c r="AQ258" s="392">
        <f t="shared" si="112"/>
        <v>0</v>
      </c>
      <c r="AR258" s="392">
        <f t="shared" si="113"/>
        <v>0</v>
      </c>
      <c r="AS258" s="392">
        <f t="shared" si="113"/>
        <v>0</v>
      </c>
    </row>
    <row r="259" spans="1:45">
      <c r="A259" s="12" t="s">
        <v>1643</v>
      </c>
      <c r="B259" s="54" t="str">
        <f t="shared" si="115"/>
        <v>AZ_Maric_2020g</v>
      </c>
      <c r="C259" s="12"/>
      <c r="D259" s="54" t="str">
        <f t="shared" si="116"/>
        <v>Gen-liberty esd #25-gbm-2yr (vote for1)</v>
      </c>
      <c r="E259" s="54" t="s">
        <v>1994</v>
      </c>
      <c r="G259" s="59">
        <v>0</v>
      </c>
      <c r="H259"/>
      <c r="K259" s="2"/>
      <c r="O259">
        <f t="shared" si="117"/>
        <v>2</v>
      </c>
      <c r="P259" s="57">
        <f t="shared" si="118"/>
        <v>1</v>
      </c>
      <c r="Q259" s="267">
        <f t="shared" si="119"/>
        <v>0</v>
      </c>
      <c r="R259" s="23" t="str">
        <f t="shared" si="120"/>
        <v/>
      </c>
      <c r="S259" s="23">
        <f t="shared" si="121"/>
        <v>0</v>
      </c>
      <c r="T259" s="23" t="str">
        <f t="shared" si="122"/>
        <v/>
      </c>
      <c r="U259" t="str">
        <f t="shared" si="123"/>
        <v/>
      </c>
      <c r="W259" s="1">
        <f t="shared" si="124"/>
        <v>57</v>
      </c>
      <c r="X259" s="73">
        <f t="shared" ref="X259:X318" si="132">IF(AK259=0,AH259,MIN(AH259,6.2/(AK259/AH259)))</f>
        <v>142.52096876991715</v>
      </c>
      <c r="Y259" s="322">
        <f t="shared" si="125"/>
        <v>2488.623</v>
      </c>
      <c r="Z259" s="43">
        <f t="shared" si="114"/>
        <v>1.5221616877548983E-5</v>
      </c>
      <c r="AA259" s="52">
        <f t="shared" si="126"/>
        <v>1.5221616877548984E-7</v>
      </c>
      <c r="AB259" s="8">
        <f t="shared" si="127"/>
        <v>15465.7</v>
      </c>
      <c r="AC259" s="8">
        <f t="shared" si="128"/>
        <v>1546570</v>
      </c>
      <c r="AD259" s="8">
        <f t="shared" ref="AD259:AD322" si="133">AC259/RIGHT(AD$1,4)</f>
        <v>7732.85</v>
      </c>
      <c r="AE259" s="8" t="str">
        <f t="shared" si="129"/>
        <v/>
      </c>
      <c r="AF259" s="22" t="str">
        <f t="shared" si="130"/>
        <v>CA_Orang_2020g</v>
      </c>
      <c r="AG259">
        <v>1</v>
      </c>
      <c r="AH259" s="272">
        <v>36067</v>
      </c>
      <c r="AI259" s="273">
        <v>13107</v>
      </c>
      <c r="AJ259" s="274">
        <v>11538</v>
      </c>
      <c r="AK259" s="339">
        <v>1569</v>
      </c>
      <c r="AL259" s="340" t="s">
        <v>4488</v>
      </c>
      <c r="AM259" s="353">
        <f t="shared" si="131"/>
        <v>1.0145030616137646E-3</v>
      </c>
      <c r="AN259" s="354"/>
      <c r="AP259" s="23">
        <f t="shared" si="111"/>
        <v>0</v>
      </c>
      <c r="AQ259" s="392">
        <f t="shared" si="112"/>
        <v>0</v>
      </c>
      <c r="AR259" s="392">
        <f t="shared" si="113"/>
        <v>0</v>
      </c>
      <c r="AS259" s="392">
        <f t="shared" si="113"/>
        <v>0</v>
      </c>
    </row>
    <row r="260" spans="1:45">
      <c r="A260" s="12" t="s">
        <v>1644</v>
      </c>
      <c r="B260" s="54" t="str">
        <f t="shared" si="115"/>
        <v>AZ_Maric_2020g</v>
      </c>
      <c r="C260" s="12"/>
      <c r="D260" s="54" t="str">
        <f t="shared" si="116"/>
        <v>Gen-liberty esd #25-question (vote for1)</v>
      </c>
      <c r="E260" s="54" t="s">
        <v>2016</v>
      </c>
      <c r="F260" s="12" t="s">
        <v>1300</v>
      </c>
      <c r="G260" s="59">
        <v>9463</v>
      </c>
      <c r="H260"/>
      <c r="K260" s="2"/>
      <c r="O260">
        <f t="shared" si="117"/>
        <v>1</v>
      </c>
      <c r="P260" s="57">
        <f t="shared" si="118"/>
        <v>1</v>
      </c>
      <c r="Q260" s="267">
        <f t="shared" si="119"/>
        <v>17983</v>
      </c>
      <c r="R260" s="23">
        <f t="shared" si="120"/>
        <v>9463</v>
      </c>
      <c r="S260" s="23">
        <f t="shared" si="121"/>
        <v>8520</v>
      </c>
      <c r="T260" s="23">
        <f t="shared" si="122"/>
        <v>943</v>
      </c>
      <c r="U260" t="str">
        <f t="shared" si="123"/>
        <v>AZ_Maric_2020g~Gen-liberty esd #25-question (vote for1)</v>
      </c>
      <c r="W260" s="1">
        <f t="shared" si="124"/>
        <v>58</v>
      </c>
      <c r="X260" s="73">
        <f t="shared" si="132"/>
        <v>19.303656998738965</v>
      </c>
      <c r="Y260" s="322">
        <f t="shared" si="125"/>
        <v>340.72200000000004</v>
      </c>
      <c r="Z260" s="43">
        <f t="shared" si="114"/>
        <v>1.2839713740203738E-5</v>
      </c>
      <c r="AA260" s="52">
        <f t="shared" si="126"/>
        <v>1.2839713740203739E-7</v>
      </c>
      <c r="AB260" s="8">
        <f t="shared" si="127"/>
        <v>15465.7</v>
      </c>
      <c r="AC260" s="8">
        <f t="shared" si="128"/>
        <v>1546570</v>
      </c>
      <c r="AD260" s="8">
        <f t="shared" si="133"/>
        <v>7732.85</v>
      </c>
      <c r="AE260" s="8" t="str">
        <f t="shared" si="129"/>
        <v/>
      </c>
      <c r="AF260" s="22" t="str">
        <f t="shared" si="130"/>
        <v>CA_Orang_2020g</v>
      </c>
      <c r="AG260">
        <v>1</v>
      </c>
      <c r="AH260" s="272">
        <v>4938</v>
      </c>
      <c r="AI260" s="273">
        <v>3262</v>
      </c>
      <c r="AJ260" s="274">
        <v>1676</v>
      </c>
      <c r="AK260" s="339">
        <v>1586</v>
      </c>
      <c r="AL260" s="340" t="s">
        <v>4531</v>
      </c>
      <c r="AM260" s="353">
        <f t="shared" si="131"/>
        <v>1.0254951279282541E-3</v>
      </c>
      <c r="AN260" s="354"/>
      <c r="AP260" s="23">
        <f t="shared" si="111"/>
        <v>0</v>
      </c>
      <c r="AQ260" s="392">
        <f t="shared" si="112"/>
        <v>0</v>
      </c>
      <c r="AR260" s="392">
        <f t="shared" si="113"/>
        <v>0</v>
      </c>
      <c r="AS260" s="392">
        <f t="shared" si="113"/>
        <v>0</v>
      </c>
    </row>
    <row r="261" spans="1:45">
      <c r="A261" s="12" t="s">
        <v>1644</v>
      </c>
      <c r="B261" s="54" t="str">
        <f t="shared" si="115"/>
        <v>AZ_Maric_2020g</v>
      </c>
      <c r="C261" s="12"/>
      <c r="D261" s="54" t="str">
        <f t="shared" si="116"/>
        <v>Gen-liberty esd #25-question (vote for1)</v>
      </c>
      <c r="E261" s="54" t="s">
        <v>2015</v>
      </c>
      <c r="F261" s="12" t="s">
        <v>1300</v>
      </c>
      <c r="G261" s="59">
        <v>8520</v>
      </c>
      <c r="H261"/>
      <c r="K261" s="2"/>
      <c r="O261">
        <f t="shared" si="117"/>
        <v>2</v>
      </c>
      <c r="P261" s="57">
        <f t="shared" si="118"/>
        <v>1</v>
      </c>
      <c r="Q261" s="267">
        <f t="shared" si="119"/>
        <v>8520</v>
      </c>
      <c r="R261" s="23" t="str">
        <f t="shared" si="120"/>
        <v/>
      </c>
      <c r="S261" s="23">
        <f t="shared" si="121"/>
        <v>8520</v>
      </c>
      <c r="T261" s="23" t="str">
        <f t="shared" si="122"/>
        <v/>
      </c>
      <c r="U261" t="str">
        <f t="shared" si="123"/>
        <v/>
      </c>
      <c r="W261" s="1">
        <f t="shared" si="124"/>
        <v>59</v>
      </c>
      <c r="X261" s="73">
        <f t="shared" si="132"/>
        <v>74.163080540858317</v>
      </c>
      <c r="Y261" s="322">
        <f t="shared" si="125"/>
        <v>1403.9430000000002</v>
      </c>
      <c r="Z261" s="43">
        <f t="shared" si="114"/>
        <v>4.0605548537204822E-6</v>
      </c>
      <c r="AA261" s="52">
        <f t="shared" si="126"/>
        <v>4.060554853720482E-8</v>
      </c>
      <c r="AB261" s="8">
        <f t="shared" si="127"/>
        <v>15465.7</v>
      </c>
      <c r="AC261" s="8">
        <f t="shared" si="128"/>
        <v>1546570</v>
      </c>
      <c r="AD261" s="8">
        <f t="shared" si="133"/>
        <v>7732.85</v>
      </c>
      <c r="AE261" s="8" t="str">
        <f t="shared" si="129"/>
        <v/>
      </c>
      <c r="AF261" s="22" t="str">
        <f t="shared" si="130"/>
        <v>CA_Orang_2020g</v>
      </c>
      <c r="AG261" s="89">
        <v>1</v>
      </c>
      <c r="AH261" s="274">
        <v>20347</v>
      </c>
      <c r="AI261" s="279">
        <v>11024</v>
      </c>
      <c r="AJ261" s="280">
        <v>9323</v>
      </c>
      <c r="AK261" s="92">
        <v>1701</v>
      </c>
      <c r="AL261" s="23" t="s">
        <v>4607</v>
      </c>
      <c r="AM261" s="353">
        <f t="shared" si="131"/>
        <v>1.0998532235850947E-3</v>
      </c>
      <c r="AN261" s="354"/>
      <c r="AP261" s="23">
        <f t="shared" si="111"/>
        <v>0</v>
      </c>
      <c r="AQ261" s="392">
        <f t="shared" si="112"/>
        <v>0</v>
      </c>
      <c r="AR261" s="392">
        <f t="shared" si="113"/>
        <v>0</v>
      </c>
      <c r="AS261" s="392">
        <f t="shared" si="113"/>
        <v>0</v>
      </c>
    </row>
    <row r="262" spans="1:45">
      <c r="A262" s="12" t="s">
        <v>1665</v>
      </c>
      <c r="B262" s="54" t="str">
        <f t="shared" si="115"/>
        <v>AZ_Maric_2020g</v>
      </c>
      <c r="C262" s="12"/>
      <c r="D262" s="54" t="str">
        <f t="shared" si="116"/>
        <v>Gen-litchfield esd #79-gbm-4yr (vote for3)</v>
      </c>
      <c r="E262" s="54" t="s">
        <v>2125</v>
      </c>
      <c r="F262" s="12" t="s">
        <v>1300</v>
      </c>
      <c r="G262" s="59">
        <v>28184</v>
      </c>
      <c r="H262"/>
      <c r="K262" s="2"/>
      <c r="O262">
        <f t="shared" si="117"/>
        <v>1</v>
      </c>
      <c r="P262" s="57">
        <f t="shared" si="118"/>
        <v>3</v>
      </c>
      <c r="Q262" s="267">
        <f t="shared" si="119"/>
        <v>28184</v>
      </c>
      <c r="R262" s="23">
        <f t="shared" si="120"/>
        <v>26033</v>
      </c>
      <c r="S262" s="23">
        <f t="shared" si="121"/>
        <v>184</v>
      </c>
      <c r="T262" s="23">
        <f t="shared" si="122"/>
        <v>25849</v>
      </c>
      <c r="U262" t="str">
        <f t="shared" si="123"/>
        <v>AZ_Maric_2020g~Gen-litchfield esd #79-gbm-4yr (vote for3)</v>
      </c>
      <c r="W262" s="1">
        <f t="shared" si="124"/>
        <v>60</v>
      </c>
      <c r="X262" s="73">
        <f t="shared" si="132"/>
        <v>50.643218908272374</v>
      </c>
      <c r="Y262" s="322">
        <f t="shared" si="125"/>
        <v>1001.5350000000001</v>
      </c>
      <c r="Z262" s="43">
        <f t="shared" si="114"/>
        <v>1.8973612471811125E-6</v>
      </c>
      <c r="AA262" s="52">
        <f t="shared" si="126"/>
        <v>1.8973612471811126E-8</v>
      </c>
      <c r="AB262" s="8">
        <f t="shared" si="127"/>
        <v>15465.7</v>
      </c>
      <c r="AC262" s="8">
        <f t="shared" si="128"/>
        <v>1546570</v>
      </c>
      <c r="AD262" s="8">
        <f t="shared" si="133"/>
        <v>7732.85</v>
      </c>
      <c r="AE262" s="8" t="str">
        <f t="shared" si="129"/>
        <v/>
      </c>
      <c r="AF262" s="22" t="str">
        <f t="shared" si="130"/>
        <v>CA_Orang_2020g</v>
      </c>
      <c r="AG262">
        <v>1</v>
      </c>
      <c r="AH262" s="272">
        <v>14515</v>
      </c>
      <c r="AI262" s="273">
        <v>7279</v>
      </c>
      <c r="AJ262" s="274">
        <v>5502</v>
      </c>
      <c r="AK262" s="339">
        <v>1777</v>
      </c>
      <c r="AL262" s="340" t="s">
        <v>4575</v>
      </c>
      <c r="AM262" s="353">
        <f t="shared" si="131"/>
        <v>1.1489942259322243E-3</v>
      </c>
      <c r="AN262" s="354"/>
      <c r="AP262" s="23">
        <f t="shared" si="111"/>
        <v>0</v>
      </c>
      <c r="AQ262" s="392">
        <f t="shared" si="112"/>
        <v>0</v>
      </c>
      <c r="AR262" s="392">
        <f t="shared" si="113"/>
        <v>0</v>
      </c>
      <c r="AS262" s="392">
        <f t="shared" si="113"/>
        <v>0</v>
      </c>
    </row>
    <row r="263" spans="1:45">
      <c r="A263" s="12" t="s">
        <v>1665</v>
      </c>
      <c r="B263" s="54" t="str">
        <f t="shared" si="115"/>
        <v>AZ_Maric_2020g</v>
      </c>
      <c r="C263" s="12"/>
      <c r="D263" s="54" t="str">
        <f t="shared" si="116"/>
        <v>Gen-litchfield esd #79-gbm-4yr (vote for3)</v>
      </c>
      <c r="E263" s="54" t="s">
        <v>2123</v>
      </c>
      <c r="F263" s="12" t="s">
        <v>1300</v>
      </c>
      <c r="G263" s="59">
        <v>27171</v>
      </c>
      <c r="H263"/>
      <c r="K263" s="2"/>
      <c r="O263">
        <f t="shared" si="117"/>
        <v>2</v>
      </c>
      <c r="P263" s="57">
        <f t="shared" si="118"/>
        <v>3</v>
      </c>
      <c r="Q263" s="267">
        <f t="shared" si="119"/>
        <v>54970</v>
      </c>
      <c r="R263" s="23">
        <f t="shared" si="120"/>
        <v>26033</v>
      </c>
      <c r="S263" s="23">
        <f t="shared" si="121"/>
        <v>184</v>
      </c>
      <c r="T263" s="23" t="str">
        <f t="shared" si="122"/>
        <v/>
      </c>
      <c r="U263" t="str">
        <f t="shared" si="123"/>
        <v/>
      </c>
      <c r="W263" s="1">
        <f t="shared" si="124"/>
        <v>61</v>
      </c>
      <c r="X263" s="73">
        <f t="shared" si="132"/>
        <v>183.36674157303372</v>
      </c>
      <c r="Y263" s="322">
        <f t="shared" si="125"/>
        <v>3632.4360000000001</v>
      </c>
      <c r="Z263" s="43">
        <f t="shared" si="114"/>
        <v>1.8412221534428731E-6</v>
      </c>
      <c r="AA263" s="52">
        <f t="shared" si="126"/>
        <v>1.8412221534428732E-8</v>
      </c>
      <c r="AB263" s="8">
        <f t="shared" si="127"/>
        <v>15465.7</v>
      </c>
      <c r="AC263" s="8">
        <f t="shared" si="128"/>
        <v>1546570</v>
      </c>
      <c r="AD263" s="8">
        <f t="shared" si="133"/>
        <v>7732.85</v>
      </c>
      <c r="AE263" s="8" t="str">
        <f t="shared" si="129"/>
        <v/>
      </c>
      <c r="AF263" s="22" t="str">
        <f t="shared" si="130"/>
        <v>CA_Orang_2020g</v>
      </c>
      <c r="AG263" s="89">
        <v>1</v>
      </c>
      <c r="AH263" s="274">
        <v>52644</v>
      </c>
      <c r="AI263" s="279">
        <v>17347</v>
      </c>
      <c r="AJ263" s="280">
        <v>15567</v>
      </c>
      <c r="AK263" s="92">
        <v>1780</v>
      </c>
      <c r="AL263" s="23" t="s">
        <v>4547</v>
      </c>
      <c r="AM263" s="353">
        <f t="shared" si="131"/>
        <v>1.1509340023406636E-3</v>
      </c>
      <c r="AN263" s="354"/>
      <c r="AP263" s="23">
        <f t="shared" si="111"/>
        <v>0</v>
      </c>
      <c r="AQ263" s="392">
        <f t="shared" si="112"/>
        <v>0</v>
      </c>
      <c r="AR263" s="392">
        <f t="shared" si="113"/>
        <v>0</v>
      </c>
      <c r="AS263" s="392">
        <f t="shared" si="113"/>
        <v>0</v>
      </c>
    </row>
    <row r="264" spans="1:45">
      <c r="A264" s="12" t="s">
        <v>1665</v>
      </c>
      <c r="B264" s="54" t="str">
        <f t="shared" si="115"/>
        <v>AZ_Maric_2020g</v>
      </c>
      <c r="C264" s="12"/>
      <c r="D264" s="54" t="str">
        <f t="shared" si="116"/>
        <v>Gen-litchfield esd #79-gbm-4yr (vote for3)</v>
      </c>
      <c r="E264" s="54" t="s">
        <v>2124</v>
      </c>
      <c r="F264" s="12" t="s">
        <v>1300</v>
      </c>
      <c r="G264" s="59">
        <v>26033</v>
      </c>
      <c r="H264"/>
      <c r="K264" s="2"/>
      <c r="O264">
        <f t="shared" si="117"/>
        <v>3</v>
      </c>
      <c r="P264" s="57">
        <f t="shared" si="118"/>
        <v>3</v>
      </c>
      <c r="Q264" s="267">
        <f t="shared" si="119"/>
        <v>27799</v>
      </c>
      <c r="R264" s="23">
        <f t="shared" si="120"/>
        <v>26033</v>
      </c>
      <c r="S264" s="23">
        <f t="shared" si="121"/>
        <v>184</v>
      </c>
      <c r="T264" s="23" t="str">
        <f t="shared" si="122"/>
        <v/>
      </c>
      <c r="U264" t="str">
        <f t="shared" si="123"/>
        <v/>
      </c>
      <c r="W264" s="1">
        <f t="shared" si="124"/>
        <v>62</v>
      </c>
      <c r="X264" s="73">
        <f t="shared" si="132"/>
        <v>54.357331975560079</v>
      </c>
      <c r="Y264" s="322">
        <f t="shared" si="125"/>
        <v>1188.1110000000001</v>
      </c>
      <c r="Z264" s="43">
        <f t="shared" si="114"/>
        <v>2.9176683382703071E-7</v>
      </c>
      <c r="AA264" s="52">
        <f t="shared" si="126"/>
        <v>2.917668338270307E-9</v>
      </c>
      <c r="AB264" s="8">
        <f t="shared" si="127"/>
        <v>15465.7</v>
      </c>
      <c r="AC264" s="8">
        <f t="shared" si="128"/>
        <v>1546570</v>
      </c>
      <c r="AD264" s="8">
        <f t="shared" si="133"/>
        <v>7732.85</v>
      </c>
      <c r="AE264" s="8" t="str">
        <f t="shared" si="129"/>
        <v/>
      </c>
      <c r="AF264" s="22" t="str">
        <f t="shared" si="130"/>
        <v>CA_Orang_2020g</v>
      </c>
      <c r="AG264">
        <v>1</v>
      </c>
      <c r="AH264" s="8">
        <v>17219</v>
      </c>
      <c r="AI264" s="273">
        <v>6909</v>
      </c>
      <c r="AJ264" s="274">
        <v>4945</v>
      </c>
      <c r="AK264" s="339">
        <v>1964</v>
      </c>
      <c r="AL264" s="23" t="s">
        <v>4533</v>
      </c>
      <c r="AM264" s="353">
        <f t="shared" si="131"/>
        <v>1.2699069553916086E-3</v>
      </c>
      <c r="AN264" s="354"/>
      <c r="AP264" s="23">
        <f t="shared" si="111"/>
        <v>0</v>
      </c>
      <c r="AQ264" s="392">
        <f t="shared" si="112"/>
        <v>0</v>
      </c>
      <c r="AR264" s="392">
        <f t="shared" si="113"/>
        <v>0</v>
      </c>
      <c r="AS264" s="392">
        <f t="shared" si="113"/>
        <v>0</v>
      </c>
    </row>
    <row r="265" spans="1:45">
      <c r="A265" s="12" t="s">
        <v>1665</v>
      </c>
      <c r="B265" s="54" t="str">
        <f t="shared" si="115"/>
        <v>AZ_Maric_2020g</v>
      </c>
      <c r="C265" s="12"/>
      <c r="D265" s="54" t="str">
        <f t="shared" si="116"/>
        <v>Gen-litchfield esd #79-gbm-4yr (vote for3)</v>
      </c>
      <c r="E265" s="54" t="s">
        <v>1299</v>
      </c>
      <c r="G265" s="59">
        <v>883</v>
      </c>
      <c r="H265"/>
      <c r="K265" s="2"/>
      <c r="O265">
        <f t="shared" si="117"/>
        <v>-3</v>
      </c>
      <c r="P265" s="57">
        <f t="shared" si="118"/>
        <v>3</v>
      </c>
      <c r="Q265" s="267">
        <f t="shared" si="119"/>
        <v>1766</v>
      </c>
      <c r="R265" s="23" t="str">
        <f t="shared" si="120"/>
        <v/>
      </c>
      <c r="S265" s="23">
        <f t="shared" si="121"/>
        <v>184</v>
      </c>
      <c r="T265" s="23" t="str">
        <f t="shared" si="122"/>
        <v/>
      </c>
      <c r="U265" t="str">
        <f t="shared" si="123"/>
        <v/>
      </c>
      <c r="W265" s="1">
        <f t="shared" si="124"/>
        <v>63</v>
      </c>
      <c r="X265" s="73">
        <f t="shared" si="132"/>
        <v>17.385663806158508</v>
      </c>
      <c r="Y265" s="322">
        <f t="shared" si="125"/>
        <v>383.29500000000002</v>
      </c>
      <c r="Z265" s="43">
        <f t="shared" si="114"/>
        <v>2.4609997937778738E-7</v>
      </c>
      <c r="AA265" s="52">
        <f t="shared" si="126"/>
        <v>2.4609997937778738E-9</v>
      </c>
      <c r="AB265" s="8">
        <f t="shared" si="127"/>
        <v>15465.7</v>
      </c>
      <c r="AC265" s="8">
        <f t="shared" si="128"/>
        <v>1546570</v>
      </c>
      <c r="AD265" s="8">
        <f t="shared" si="133"/>
        <v>7732.85</v>
      </c>
      <c r="AE265" s="8" t="str">
        <f t="shared" si="129"/>
        <v/>
      </c>
      <c r="AF265" s="22" t="str">
        <f t="shared" si="130"/>
        <v>CA_Orang_2020g</v>
      </c>
      <c r="AG265">
        <v>1</v>
      </c>
      <c r="AH265" s="8">
        <v>5555</v>
      </c>
      <c r="AI265" s="273">
        <v>3768</v>
      </c>
      <c r="AJ265" s="274">
        <v>1787</v>
      </c>
      <c r="AK265" s="339">
        <v>1981</v>
      </c>
      <c r="AL265" s="23" t="s">
        <v>4528</v>
      </c>
      <c r="AM265" s="353">
        <f t="shared" si="131"/>
        <v>1.2808990217060979E-3</v>
      </c>
      <c r="AN265" s="354"/>
      <c r="AP265" s="23">
        <f t="shared" si="111"/>
        <v>0</v>
      </c>
      <c r="AQ265" s="392">
        <f t="shared" si="112"/>
        <v>0</v>
      </c>
      <c r="AR265" s="392">
        <f t="shared" si="113"/>
        <v>0</v>
      </c>
      <c r="AS265" s="392">
        <f t="shared" si="113"/>
        <v>0</v>
      </c>
    </row>
    <row r="266" spans="1:45">
      <c r="A266" s="12" t="s">
        <v>1665</v>
      </c>
      <c r="B266" s="54" t="str">
        <f t="shared" si="115"/>
        <v>AZ_Maric_2020g</v>
      </c>
      <c r="C266" s="12"/>
      <c r="D266" s="54" t="str">
        <f t="shared" si="116"/>
        <v>Gen-litchfield esd #79-gbm-4yr (vote for3)</v>
      </c>
      <c r="E266" s="54" t="s">
        <v>1825</v>
      </c>
      <c r="F266" s="12" t="s">
        <v>1300</v>
      </c>
      <c r="G266" s="59">
        <v>496</v>
      </c>
      <c r="H266"/>
      <c r="K266" s="2"/>
      <c r="O266">
        <f t="shared" si="117"/>
        <v>-3</v>
      </c>
      <c r="P266" s="57">
        <f t="shared" si="118"/>
        <v>3</v>
      </c>
      <c r="Q266" s="267">
        <f t="shared" si="119"/>
        <v>883</v>
      </c>
      <c r="R266" s="23" t="str">
        <f t="shared" si="120"/>
        <v/>
      </c>
      <c r="S266" s="23">
        <f t="shared" si="121"/>
        <v>184</v>
      </c>
      <c r="T266" s="23" t="str">
        <f t="shared" si="122"/>
        <v/>
      </c>
      <c r="U266" t="str">
        <f t="shared" si="123"/>
        <v/>
      </c>
      <c r="W266" s="1">
        <f t="shared" si="124"/>
        <v>64</v>
      </c>
      <c r="X266" s="73">
        <f t="shared" si="132"/>
        <v>21.475362318840581</v>
      </c>
      <c r="Y266" s="322">
        <f t="shared" si="125"/>
        <v>494.73</v>
      </c>
      <c r="Z266" s="43">
        <f t="shared" si="114"/>
        <v>1.0094448743430296E-7</v>
      </c>
      <c r="AA266" s="52">
        <f t="shared" si="126"/>
        <v>1.0094448743430297E-9</v>
      </c>
      <c r="AB266" s="8">
        <f t="shared" si="127"/>
        <v>15465.7</v>
      </c>
      <c r="AC266" s="8">
        <f t="shared" si="128"/>
        <v>1546570</v>
      </c>
      <c r="AD266" s="8">
        <f t="shared" si="133"/>
        <v>7732.85</v>
      </c>
      <c r="AE266" s="8" t="str">
        <f t="shared" si="129"/>
        <v/>
      </c>
      <c r="AF266" s="22" t="str">
        <f t="shared" si="130"/>
        <v>CA_Orang_2020g</v>
      </c>
      <c r="AG266" s="89">
        <v>1</v>
      </c>
      <c r="AH266" s="274">
        <v>7170</v>
      </c>
      <c r="AI266" s="279">
        <v>4620</v>
      </c>
      <c r="AJ266" s="280">
        <v>2550</v>
      </c>
      <c r="AK266" s="92">
        <v>2070</v>
      </c>
      <c r="AL266" s="23" t="s">
        <v>4634</v>
      </c>
      <c r="AM266" s="353">
        <f t="shared" si="131"/>
        <v>1.3384457218231312E-3</v>
      </c>
      <c r="AN266" s="354"/>
      <c r="AP266" s="23">
        <f t="shared" si="111"/>
        <v>0</v>
      </c>
      <c r="AQ266" s="392">
        <f t="shared" si="112"/>
        <v>0</v>
      </c>
      <c r="AR266" s="392">
        <f t="shared" si="113"/>
        <v>0</v>
      </c>
      <c r="AS266" s="392">
        <f t="shared" si="113"/>
        <v>0</v>
      </c>
    </row>
    <row r="267" spans="1:45">
      <c r="A267" s="12" t="s">
        <v>1665</v>
      </c>
      <c r="B267" s="54" t="str">
        <f t="shared" si="115"/>
        <v>AZ_Maric_2020g</v>
      </c>
      <c r="C267" s="12"/>
      <c r="D267" s="54" t="str">
        <f t="shared" si="116"/>
        <v>Gen-litchfield esd #79-gbm-4yr (vote for3)</v>
      </c>
      <c r="E267" s="54" t="s">
        <v>2126</v>
      </c>
      <c r="F267" s="12" t="s">
        <v>1300</v>
      </c>
      <c r="G267" s="59">
        <v>184</v>
      </c>
      <c r="H267"/>
      <c r="K267" s="2"/>
      <c r="O267">
        <f t="shared" si="117"/>
        <v>4</v>
      </c>
      <c r="P267" s="57">
        <f t="shared" si="118"/>
        <v>3</v>
      </c>
      <c r="Q267" s="267">
        <f t="shared" si="119"/>
        <v>387</v>
      </c>
      <c r="R267" s="23" t="str">
        <f t="shared" si="120"/>
        <v/>
      </c>
      <c r="S267" s="23">
        <f t="shared" si="121"/>
        <v>184</v>
      </c>
      <c r="T267" s="23" t="str">
        <f t="shared" si="122"/>
        <v/>
      </c>
      <c r="U267" t="str">
        <f t="shared" si="123"/>
        <v/>
      </c>
      <c r="W267" s="1">
        <f t="shared" si="124"/>
        <v>65</v>
      </c>
      <c r="X267" s="73">
        <f t="shared" si="132"/>
        <v>16.167088607594938</v>
      </c>
      <c r="Y267" s="322">
        <f t="shared" si="125"/>
        <v>383.77800000000002</v>
      </c>
      <c r="Z267" s="43">
        <f t="shared" si="114"/>
        <v>5.3716140217588147E-8</v>
      </c>
      <c r="AA267" s="52">
        <f t="shared" si="126"/>
        <v>5.3716140217588151E-10</v>
      </c>
      <c r="AB267" s="8">
        <f t="shared" si="127"/>
        <v>15465.7</v>
      </c>
      <c r="AC267" s="8">
        <f t="shared" si="128"/>
        <v>1546570</v>
      </c>
      <c r="AD267" s="8">
        <f t="shared" si="133"/>
        <v>7732.85</v>
      </c>
      <c r="AE267" s="8" t="str">
        <f t="shared" si="129"/>
        <v/>
      </c>
      <c r="AF267" s="22" t="str">
        <f t="shared" si="130"/>
        <v>CA_Orang_2020g</v>
      </c>
      <c r="AG267">
        <v>1</v>
      </c>
      <c r="AH267" s="8">
        <v>5562</v>
      </c>
      <c r="AI267" s="273">
        <v>3133</v>
      </c>
      <c r="AJ267" s="274">
        <v>1000</v>
      </c>
      <c r="AK267" s="339">
        <v>2133</v>
      </c>
      <c r="AL267" s="23" t="s">
        <v>4516</v>
      </c>
      <c r="AM267" s="353">
        <f t="shared" si="131"/>
        <v>1.3791810264003569E-3</v>
      </c>
      <c r="AN267" s="354"/>
      <c r="AP267" s="23">
        <f t="shared" si="111"/>
        <v>0</v>
      </c>
      <c r="AQ267" s="392">
        <f t="shared" si="112"/>
        <v>0</v>
      </c>
      <c r="AR267" s="392">
        <f t="shared" si="113"/>
        <v>0</v>
      </c>
      <c r="AS267" s="392">
        <f t="shared" si="113"/>
        <v>0</v>
      </c>
    </row>
    <row r="268" spans="1:45">
      <c r="A268" s="12" t="s">
        <v>1665</v>
      </c>
      <c r="B268" s="54" t="str">
        <f t="shared" si="115"/>
        <v>AZ_Maric_2020g</v>
      </c>
      <c r="C268" s="12"/>
      <c r="D268" s="54" t="str">
        <f t="shared" si="116"/>
        <v>Gen-litchfield esd #79-gbm-4yr (vote for3)</v>
      </c>
      <c r="E268" s="54" t="s">
        <v>1826</v>
      </c>
      <c r="F268" s="12" t="s">
        <v>1300</v>
      </c>
      <c r="G268" s="59">
        <v>121</v>
      </c>
      <c r="H268"/>
      <c r="K268" s="2"/>
      <c r="O268">
        <f t="shared" si="117"/>
        <v>-4</v>
      </c>
      <c r="P268" s="57">
        <f t="shared" si="118"/>
        <v>3</v>
      </c>
      <c r="Q268" s="267">
        <f t="shared" si="119"/>
        <v>203</v>
      </c>
      <c r="R268" s="23">
        <f t="shared" si="120"/>
        <v>1</v>
      </c>
      <c r="S268" s="23">
        <f t="shared" si="121"/>
        <v>0</v>
      </c>
      <c r="T268" s="23" t="str">
        <f t="shared" si="122"/>
        <v/>
      </c>
      <c r="U268" t="str">
        <f t="shared" si="123"/>
        <v/>
      </c>
      <c r="W268" s="1">
        <f t="shared" si="124"/>
        <v>66</v>
      </c>
      <c r="X268" s="73">
        <f t="shared" si="132"/>
        <v>76.982859761686541</v>
      </c>
      <c r="Y268" s="322">
        <f t="shared" si="125"/>
        <v>1869.4170000000001</v>
      </c>
      <c r="Z268" s="43">
        <f t="shared" si="114"/>
        <v>3.2885406997641411E-8</v>
      </c>
      <c r="AA268" s="52">
        <f t="shared" si="126"/>
        <v>3.2885406997641407E-10</v>
      </c>
      <c r="AB268" s="8">
        <f t="shared" si="127"/>
        <v>15465.7</v>
      </c>
      <c r="AC268" s="8">
        <f t="shared" si="128"/>
        <v>1546570</v>
      </c>
      <c r="AD268" s="8">
        <f t="shared" si="133"/>
        <v>7732.85</v>
      </c>
      <c r="AE268" s="8" t="str">
        <f t="shared" si="129"/>
        <v/>
      </c>
      <c r="AF268" s="22" t="str">
        <f t="shared" si="130"/>
        <v>CA_Orang_2020g</v>
      </c>
      <c r="AG268" s="89">
        <v>1</v>
      </c>
      <c r="AH268" s="274">
        <v>27093</v>
      </c>
      <c r="AI268" s="279">
        <v>8365</v>
      </c>
      <c r="AJ268" s="280">
        <v>6183</v>
      </c>
      <c r="AK268" s="92">
        <v>2182</v>
      </c>
      <c r="AL268" s="23" t="s">
        <v>4557</v>
      </c>
      <c r="AM268" s="353">
        <f t="shared" si="131"/>
        <v>1.4108640410715324E-3</v>
      </c>
      <c r="AN268" s="354"/>
      <c r="AP268" s="23">
        <f t="shared" si="111"/>
        <v>0</v>
      </c>
      <c r="AQ268" s="392">
        <f t="shared" si="112"/>
        <v>0</v>
      </c>
      <c r="AR268" s="392">
        <f t="shared" si="113"/>
        <v>0</v>
      </c>
      <c r="AS268" s="392">
        <f t="shared" si="113"/>
        <v>0</v>
      </c>
    </row>
    <row r="269" spans="1:45">
      <c r="A269" s="12" t="s">
        <v>1665</v>
      </c>
      <c r="B269" s="54" t="str">
        <f t="shared" si="115"/>
        <v>AZ_Maric_2020g</v>
      </c>
      <c r="C269" s="12"/>
      <c r="D269" s="54" t="str">
        <f t="shared" si="116"/>
        <v>Gen-litchfield esd #79-gbm-4yr (vote for3)</v>
      </c>
      <c r="E269" s="54" t="s">
        <v>1928</v>
      </c>
      <c r="F269" s="12" t="s">
        <v>1300</v>
      </c>
      <c r="G269" s="59">
        <v>82</v>
      </c>
      <c r="H269"/>
      <c r="K269" s="2"/>
      <c r="O269">
        <f t="shared" si="117"/>
        <v>-4</v>
      </c>
      <c r="P269" s="57">
        <f t="shared" si="118"/>
        <v>3</v>
      </c>
      <c r="Q269" s="267">
        <f t="shared" si="119"/>
        <v>82</v>
      </c>
      <c r="R269" s="23">
        <f t="shared" si="120"/>
        <v>1</v>
      </c>
      <c r="S269" s="23">
        <f t="shared" si="121"/>
        <v>0</v>
      </c>
      <c r="T269" s="23" t="str">
        <f t="shared" si="122"/>
        <v/>
      </c>
      <c r="U269" t="str">
        <f t="shared" si="123"/>
        <v/>
      </c>
      <c r="W269" s="1">
        <f t="shared" si="124"/>
        <v>67</v>
      </c>
      <c r="X269" s="73">
        <f t="shared" si="132"/>
        <v>9.6444444444444439</v>
      </c>
      <c r="Y269" s="322">
        <f t="shared" si="125"/>
        <v>251.16000000000003</v>
      </c>
      <c r="Z269" s="43">
        <f t="shared" si="114"/>
        <v>6.7579240319190674E-9</v>
      </c>
      <c r="AA269" s="52">
        <f t="shared" si="126"/>
        <v>6.7579240319190673E-11</v>
      </c>
      <c r="AB269" s="8">
        <f t="shared" si="127"/>
        <v>15465.7</v>
      </c>
      <c r="AC269" s="8">
        <f t="shared" si="128"/>
        <v>1546570</v>
      </c>
      <c r="AD269" s="8">
        <f t="shared" si="133"/>
        <v>7732.85</v>
      </c>
      <c r="AE269" s="8" t="str">
        <f t="shared" si="129"/>
        <v/>
      </c>
      <c r="AF269" s="22" t="str">
        <f t="shared" si="130"/>
        <v>CA_Orang_2020g</v>
      </c>
      <c r="AG269">
        <v>1</v>
      </c>
      <c r="AH269" s="272">
        <v>3640</v>
      </c>
      <c r="AI269" s="273">
        <v>2990</v>
      </c>
      <c r="AJ269" s="274">
        <v>650</v>
      </c>
      <c r="AK269" s="339">
        <v>2340</v>
      </c>
      <c r="AL269" s="340" t="s">
        <v>4497</v>
      </c>
      <c r="AM269" s="353">
        <f t="shared" si="131"/>
        <v>1.5130255985826701E-3</v>
      </c>
      <c r="AN269" s="354"/>
      <c r="AP269" s="23">
        <f t="shared" ref="AP269:AP332" si="134">MIN(AD269, MAX(0,ROUNDUP(AD269*(0.5*AK269/AC269-0.005)/(RIGHT(AP$1,3)-0.005),0)))</f>
        <v>0</v>
      </c>
      <c r="AQ269" s="392">
        <f t="shared" si="112"/>
        <v>0</v>
      </c>
      <c r="AR269" s="392">
        <f t="shared" si="113"/>
        <v>0</v>
      </c>
      <c r="AS269" s="392">
        <f t="shared" si="113"/>
        <v>0</v>
      </c>
    </row>
    <row r="270" spans="1:45">
      <c r="A270" s="12" t="s">
        <v>1659</v>
      </c>
      <c r="B270" s="54" t="str">
        <f t="shared" si="115"/>
        <v>AZ_Maric_2020g</v>
      </c>
      <c r="C270" s="12"/>
      <c r="D270" s="54" t="str">
        <f t="shared" si="116"/>
        <v>Gen-littleton esd #65-gbm-4yr (vote for3)</v>
      </c>
      <c r="E270" s="54" t="s">
        <v>2110</v>
      </c>
      <c r="F270" s="12" t="s">
        <v>1300</v>
      </c>
      <c r="G270" s="59">
        <v>12648</v>
      </c>
      <c r="H270"/>
      <c r="K270" s="2"/>
      <c r="O270">
        <f t="shared" si="117"/>
        <v>1</v>
      </c>
      <c r="P270" s="57">
        <f t="shared" si="118"/>
        <v>3</v>
      </c>
      <c r="Q270" s="267">
        <f t="shared" si="119"/>
        <v>12648</v>
      </c>
      <c r="R270" s="23">
        <f t="shared" si="120"/>
        <v>70</v>
      </c>
      <c r="S270" s="23">
        <f t="shared" si="121"/>
        <v>38</v>
      </c>
      <c r="T270" s="23">
        <f t="shared" si="122"/>
        <v>32</v>
      </c>
      <c r="U270" t="str">
        <f t="shared" si="123"/>
        <v>AZ_Maric_2020g~Gen-littleton esd #65-gbm-4yr (vote for3)</v>
      </c>
      <c r="W270" s="1">
        <f t="shared" si="124"/>
        <v>68</v>
      </c>
      <c r="X270" s="73">
        <f t="shared" si="132"/>
        <v>17.138737985791892</v>
      </c>
      <c r="Y270" s="322">
        <f t="shared" si="125"/>
        <v>456.43500000000006</v>
      </c>
      <c r="Z270" s="43">
        <f t="shared" si="114"/>
        <v>3.9745181442158687E-9</v>
      </c>
      <c r="AA270" s="52">
        <f t="shared" si="126"/>
        <v>3.974518144215869E-11</v>
      </c>
      <c r="AB270" s="8">
        <f t="shared" si="127"/>
        <v>15465.7</v>
      </c>
      <c r="AC270" s="8">
        <f t="shared" si="128"/>
        <v>1546570</v>
      </c>
      <c r="AD270" s="8">
        <f t="shared" si="133"/>
        <v>7732.85</v>
      </c>
      <c r="AE270" s="8" t="str">
        <f t="shared" si="129"/>
        <v/>
      </c>
      <c r="AF270" s="22" t="str">
        <f t="shared" si="130"/>
        <v>CA_Orang_2020g</v>
      </c>
      <c r="AG270" s="89">
        <v>1</v>
      </c>
      <c r="AH270" s="274">
        <v>6615</v>
      </c>
      <c r="AI270" s="279">
        <v>4504</v>
      </c>
      <c r="AJ270" s="280">
        <v>2111</v>
      </c>
      <c r="AK270" s="92">
        <v>2393</v>
      </c>
      <c r="AL270" s="23" t="s">
        <v>4625</v>
      </c>
      <c r="AM270" s="353">
        <f t="shared" si="131"/>
        <v>1.5472949817984315E-3</v>
      </c>
      <c r="AN270" s="354"/>
      <c r="AP270" s="23">
        <f t="shared" si="134"/>
        <v>0</v>
      </c>
      <c r="AQ270" s="392">
        <f t="shared" si="112"/>
        <v>0</v>
      </c>
      <c r="AR270" s="392">
        <f t="shared" si="113"/>
        <v>0</v>
      </c>
      <c r="AS270" s="392">
        <f t="shared" si="113"/>
        <v>0</v>
      </c>
    </row>
    <row r="271" spans="1:45">
      <c r="A271" s="12" t="s">
        <v>1659</v>
      </c>
      <c r="B271" s="54" t="str">
        <f t="shared" si="115"/>
        <v>AZ_Maric_2020g</v>
      </c>
      <c r="C271" s="12"/>
      <c r="D271" s="54" t="str">
        <f t="shared" si="116"/>
        <v>Gen-littleton esd #65-gbm-4yr (vote for3)</v>
      </c>
      <c r="E271" s="54" t="s">
        <v>1299</v>
      </c>
      <c r="G271" s="59">
        <v>688</v>
      </c>
      <c r="H271"/>
      <c r="K271" s="2"/>
      <c r="O271">
        <f t="shared" si="117"/>
        <v>-1</v>
      </c>
      <c r="P271" s="57">
        <f t="shared" si="118"/>
        <v>3</v>
      </c>
      <c r="Q271" s="267">
        <f t="shared" si="119"/>
        <v>1376</v>
      </c>
      <c r="R271" s="23">
        <f t="shared" si="120"/>
        <v>70</v>
      </c>
      <c r="S271" s="23">
        <f t="shared" si="121"/>
        <v>38</v>
      </c>
      <c r="T271" s="23" t="str">
        <f t="shared" si="122"/>
        <v/>
      </c>
      <c r="U271" t="str">
        <f t="shared" si="123"/>
        <v/>
      </c>
      <c r="W271" s="1">
        <f t="shared" si="124"/>
        <v>69</v>
      </c>
      <c r="X271" s="73">
        <f t="shared" si="132"/>
        <v>634.94814241486074</v>
      </c>
      <c r="Y271" s="322">
        <f t="shared" si="125"/>
        <v>18259.47</v>
      </c>
      <c r="Z271" s="43">
        <f t="shared" si="114"/>
        <v>5.8673928189366104E-10</v>
      </c>
      <c r="AA271" s="52">
        <f t="shared" si="126"/>
        <v>5.8673928189366099E-12</v>
      </c>
      <c r="AB271" s="8">
        <f t="shared" si="127"/>
        <v>15465.7</v>
      </c>
      <c r="AC271" s="8">
        <f t="shared" si="128"/>
        <v>1546570</v>
      </c>
      <c r="AD271" s="8">
        <f t="shared" si="133"/>
        <v>7732.85</v>
      </c>
      <c r="AE271" s="8" t="str">
        <f t="shared" si="129"/>
        <v/>
      </c>
      <c r="AF271" s="22" t="str">
        <f t="shared" si="130"/>
        <v>CA_Orang_2020g</v>
      </c>
      <c r="AG271">
        <v>1</v>
      </c>
      <c r="AH271" s="272">
        <v>264630</v>
      </c>
      <c r="AI271" s="273">
        <v>133607</v>
      </c>
      <c r="AJ271" s="274">
        <v>131023</v>
      </c>
      <c r="AK271" s="339">
        <v>2584</v>
      </c>
      <c r="AL271" s="340" t="s">
        <v>4566</v>
      </c>
      <c r="AM271" s="353">
        <f t="shared" si="131"/>
        <v>1.6707940798024014E-3</v>
      </c>
      <c r="AN271" s="354"/>
      <c r="AP271" s="23">
        <f t="shared" si="134"/>
        <v>0</v>
      </c>
      <c r="AQ271" s="392">
        <f t="shared" si="112"/>
        <v>0</v>
      </c>
      <c r="AR271" s="392">
        <f t="shared" si="113"/>
        <v>0</v>
      </c>
      <c r="AS271" s="392">
        <f t="shared" si="113"/>
        <v>0</v>
      </c>
    </row>
    <row r="272" spans="1:45">
      <c r="A272" s="12" t="s">
        <v>1659</v>
      </c>
      <c r="B272" s="54" t="str">
        <f t="shared" si="115"/>
        <v>AZ_Maric_2020g</v>
      </c>
      <c r="C272" s="12"/>
      <c r="D272" s="54" t="str">
        <f t="shared" si="116"/>
        <v>Gen-littleton esd #65-gbm-4yr (vote for3)</v>
      </c>
      <c r="E272" s="54" t="s">
        <v>1825</v>
      </c>
      <c r="F272" s="12" t="s">
        <v>1300</v>
      </c>
      <c r="G272" s="59">
        <v>266</v>
      </c>
      <c r="H272"/>
      <c r="K272" s="2"/>
      <c r="O272">
        <f t="shared" si="117"/>
        <v>-1</v>
      </c>
      <c r="P272" s="57">
        <f t="shared" si="118"/>
        <v>3</v>
      </c>
      <c r="Q272" s="267">
        <f t="shared" si="119"/>
        <v>688</v>
      </c>
      <c r="R272" s="23">
        <f t="shared" si="120"/>
        <v>70</v>
      </c>
      <c r="S272" s="23">
        <f t="shared" si="121"/>
        <v>38</v>
      </c>
      <c r="T272" s="23" t="str">
        <f t="shared" si="122"/>
        <v/>
      </c>
      <c r="U272" t="str">
        <f t="shared" si="123"/>
        <v/>
      </c>
      <c r="W272" s="1">
        <f t="shared" si="124"/>
        <v>70</v>
      </c>
      <c r="X272" s="73">
        <f t="shared" si="132"/>
        <v>25.839320200849748</v>
      </c>
      <c r="Y272" s="322">
        <f t="shared" si="125"/>
        <v>744.5100000000001</v>
      </c>
      <c r="Z272" s="43">
        <f t="shared" si="114"/>
        <v>5.5807692262645316E-10</v>
      </c>
      <c r="AA272" s="52">
        <f t="shared" si="126"/>
        <v>5.5807692262645312E-12</v>
      </c>
      <c r="AB272" s="8">
        <f t="shared" si="127"/>
        <v>15465.7</v>
      </c>
      <c r="AC272" s="8">
        <f t="shared" si="128"/>
        <v>1546570</v>
      </c>
      <c r="AD272" s="8">
        <f t="shared" si="133"/>
        <v>7732.85</v>
      </c>
      <c r="AE272" s="8" t="str">
        <f t="shared" si="129"/>
        <v/>
      </c>
      <c r="AF272" s="22" t="str">
        <f t="shared" si="130"/>
        <v>CA_Orang_2020g</v>
      </c>
      <c r="AG272">
        <v>1</v>
      </c>
      <c r="AH272" s="272">
        <v>10790</v>
      </c>
      <c r="AI272" s="273">
        <v>5482</v>
      </c>
      <c r="AJ272" s="274">
        <v>2893</v>
      </c>
      <c r="AK272" s="339">
        <v>2589</v>
      </c>
      <c r="AL272" s="340" t="s">
        <v>4525</v>
      </c>
      <c r="AM272" s="353">
        <f t="shared" si="131"/>
        <v>1.6740270404831336E-3</v>
      </c>
      <c r="AN272" s="354"/>
      <c r="AP272" s="23">
        <f t="shared" si="134"/>
        <v>0</v>
      </c>
      <c r="AQ272" s="392">
        <f t="shared" si="112"/>
        <v>0</v>
      </c>
      <c r="AR272" s="392">
        <f t="shared" si="113"/>
        <v>0</v>
      </c>
      <c r="AS272" s="392">
        <f t="shared" si="113"/>
        <v>0</v>
      </c>
    </row>
    <row r="273" spans="1:45">
      <c r="A273" s="12" t="s">
        <v>1659</v>
      </c>
      <c r="B273" s="54" t="str">
        <f t="shared" si="115"/>
        <v>AZ_Maric_2020g</v>
      </c>
      <c r="C273" s="12"/>
      <c r="D273" s="54" t="str">
        <f t="shared" si="116"/>
        <v>Gen-littleton esd #65-gbm-4yr (vote for3)</v>
      </c>
      <c r="E273" s="54" t="s">
        <v>2111</v>
      </c>
      <c r="F273" s="12" t="s">
        <v>1300</v>
      </c>
      <c r="G273" s="59">
        <v>213</v>
      </c>
      <c r="H273"/>
      <c r="K273" s="2"/>
      <c r="O273">
        <f t="shared" si="117"/>
        <v>2</v>
      </c>
      <c r="P273" s="57">
        <f t="shared" si="118"/>
        <v>3</v>
      </c>
      <c r="Q273" s="267">
        <f t="shared" si="119"/>
        <v>422</v>
      </c>
      <c r="R273" s="23">
        <f t="shared" si="120"/>
        <v>70</v>
      </c>
      <c r="S273" s="23">
        <f t="shared" si="121"/>
        <v>38</v>
      </c>
      <c r="T273" s="23" t="str">
        <f t="shared" si="122"/>
        <v/>
      </c>
      <c r="U273" t="str">
        <f t="shared" si="123"/>
        <v/>
      </c>
      <c r="W273" s="1">
        <f t="shared" si="124"/>
        <v>71</v>
      </c>
      <c r="X273" s="73">
        <f t="shared" si="132"/>
        <v>380.71383551114525</v>
      </c>
      <c r="Y273" s="322">
        <f t="shared" si="125"/>
        <v>11024.613000000001</v>
      </c>
      <c r="Z273" s="43">
        <f t="shared" si="114"/>
        <v>4.8993771481751674E-10</v>
      </c>
      <c r="AA273" s="52">
        <f t="shared" si="126"/>
        <v>4.8993771481751673E-12</v>
      </c>
      <c r="AB273" s="8">
        <f t="shared" si="127"/>
        <v>15465.7</v>
      </c>
      <c r="AC273" s="8">
        <f t="shared" si="128"/>
        <v>1546570</v>
      </c>
      <c r="AD273" s="8">
        <f t="shared" si="133"/>
        <v>7732.85</v>
      </c>
      <c r="AE273" s="8" t="str">
        <f t="shared" si="129"/>
        <v/>
      </c>
      <c r="AF273" s="22" t="str">
        <f t="shared" si="130"/>
        <v>CA_Orang_2020g</v>
      </c>
      <c r="AG273" s="89">
        <v>1</v>
      </c>
      <c r="AH273" s="274">
        <v>159777</v>
      </c>
      <c r="AI273" s="279">
        <v>47165</v>
      </c>
      <c r="AJ273" s="280">
        <v>44563</v>
      </c>
      <c r="AK273" s="92">
        <v>2602</v>
      </c>
      <c r="AL273" s="23" t="s">
        <v>4610</v>
      </c>
      <c r="AM273" s="353">
        <f t="shared" si="131"/>
        <v>1.6824327382530375E-3</v>
      </c>
      <c r="AN273" s="354"/>
      <c r="AP273" s="23">
        <f t="shared" si="134"/>
        <v>0</v>
      </c>
      <c r="AQ273" s="392">
        <f t="shared" si="112"/>
        <v>0</v>
      </c>
      <c r="AR273" s="392">
        <f t="shared" si="113"/>
        <v>0</v>
      </c>
      <c r="AS273" s="392">
        <f t="shared" si="113"/>
        <v>0</v>
      </c>
    </row>
    <row r="274" spans="1:45">
      <c r="A274" s="12" t="s">
        <v>1659</v>
      </c>
      <c r="B274" s="54" t="str">
        <f t="shared" si="115"/>
        <v>AZ_Maric_2020g</v>
      </c>
      <c r="C274" s="12"/>
      <c r="D274" s="54" t="str">
        <f t="shared" si="116"/>
        <v>Gen-littleton esd #65-gbm-4yr (vote for3)</v>
      </c>
      <c r="E274" s="54" t="s">
        <v>1826</v>
      </c>
      <c r="F274" s="12" t="s">
        <v>1300</v>
      </c>
      <c r="G274" s="59">
        <v>87</v>
      </c>
      <c r="H274"/>
      <c r="K274" s="2"/>
      <c r="O274">
        <f t="shared" si="117"/>
        <v>-2</v>
      </c>
      <c r="P274" s="57">
        <f t="shared" si="118"/>
        <v>3</v>
      </c>
      <c r="Q274" s="267">
        <f t="shared" si="119"/>
        <v>209</v>
      </c>
      <c r="R274" s="23">
        <f t="shared" si="120"/>
        <v>70</v>
      </c>
      <c r="S274" s="23">
        <f t="shared" si="121"/>
        <v>38</v>
      </c>
      <c r="T274" s="23" t="str">
        <f t="shared" si="122"/>
        <v/>
      </c>
      <c r="U274" t="str">
        <f t="shared" si="123"/>
        <v/>
      </c>
      <c r="W274" s="1">
        <f t="shared" si="124"/>
        <v>72</v>
      </c>
      <c r="X274" s="73">
        <f t="shared" si="132"/>
        <v>23.313422562141493</v>
      </c>
      <c r="Y274" s="322">
        <f t="shared" si="125"/>
        <v>678.47700000000009</v>
      </c>
      <c r="Z274" s="43">
        <f t="shared" si="114"/>
        <v>4.301175903964953E-10</v>
      </c>
      <c r="AA274" s="52">
        <f t="shared" si="126"/>
        <v>4.3011759039649531E-12</v>
      </c>
      <c r="AB274" s="8">
        <f t="shared" si="127"/>
        <v>15465.7</v>
      </c>
      <c r="AC274" s="8">
        <f t="shared" si="128"/>
        <v>1546570</v>
      </c>
      <c r="AD274" s="8">
        <f t="shared" si="133"/>
        <v>7732.85</v>
      </c>
      <c r="AE274" s="8" t="str">
        <f t="shared" si="129"/>
        <v/>
      </c>
      <c r="AF274" s="22" t="str">
        <f t="shared" si="130"/>
        <v>CA_Orang_2020g</v>
      </c>
      <c r="AG274">
        <v>1</v>
      </c>
      <c r="AH274" s="272">
        <v>9833</v>
      </c>
      <c r="AI274" s="273">
        <v>4612</v>
      </c>
      <c r="AJ274" s="274">
        <v>1997</v>
      </c>
      <c r="AK274" s="339">
        <v>2615</v>
      </c>
      <c r="AL274" s="340" t="s">
        <v>4494</v>
      </c>
      <c r="AM274" s="353">
        <f t="shared" si="131"/>
        <v>1.6908384360229411E-3</v>
      </c>
      <c r="AN274" s="354"/>
      <c r="AP274" s="23">
        <f t="shared" si="134"/>
        <v>0</v>
      </c>
      <c r="AQ274" s="392">
        <f t="shared" si="112"/>
        <v>0</v>
      </c>
      <c r="AR274" s="392">
        <f t="shared" si="113"/>
        <v>0</v>
      </c>
      <c r="AS274" s="392">
        <f t="shared" si="113"/>
        <v>0</v>
      </c>
    </row>
    <row r="275" spans="1:45">
      <c r="A275" s="12" t="s">
        <v>1659</v>
      </c>
      <c r="B275" s="54" t="str">
        <f t="shared" si="115"/>
        <v>AZ_Maric_2020g</v>
      </c>
      <c r="C275" s="12"/>
      <c r="D275" s="54" t="str">
        <f t="shared" si="116"/>
        <v>Gen-littleton esd #65-gbm-4yr (vote for3)</v>
      </c>
      <c r="E275" s="54" t="s">
        <v>2113</v>
      </c>
      <c r="F275" s="12" t="s">
        <v>1300</v>
      </c>
      <c r="G275" s="59">
        <v>70</v>
      </c>
      <c r="H275"/>
      <c r="K275" s="2"/>
      <c r="O275">
        <f t="shared" si="117"/>
        <v>3</v>
      </c>
      <c r="P275" s="57">
        <f t="shared" si="118"/>
        <v>3</v>
      </c>
      <c r="Q275" s="267">
        <f t="shared" si="119"/>
        <v>122</v>
      </c>
      <c r="R275" s="23">
        <f t="shared" si="120"/>
        <v>70</v>
      </c>
      <c r="S275" s="23">
        <f t="shared" si="121"/>
        <v>38</v>
      </c>
      <c r="T275" s="23" t="str">
        <f t="shared" si="122"/>
        <v/>
      </c>
      <c r="U275" t="str">
        <f t="shared" si="123"/>
        <v/>
      </c>
      <c r="W275" s="1">
        <f t="shared" si="124"/>
        <v>73</v>
      </c>
      <c r="X275" s="73">
        <f t="shared" si="132"/>
        <v>55.099667774086377</v>
      </c>
      <c r="Y275" s="322">
        <f t="shared" si="125"/>
        <v>1661.1750000000002</v>
      </c>
      <c r="Z275" s="43">
        <f t="shared" si="114"/>
        <v>1.6774381298365473E-10</v>
      </c>
      <c r="AA275" s="52">
        <f t="shared" si="126"/>
        <v>1.6774381298365474E-12</v>
      </c>
      <c r="AB275" s="8">
        <f t="shared" si="127"/>
        <v>15465.7</v>
      </c>
      <c r="AC275" s="8">
        <f t="shared" si="128"/>
        <v>1546570</v>
      </c>
      <c r="AD275" s="8">
        <f t="shared" si="133"/>
        <v>7732.85</v>
      </c>
      <c r="AE275" s="8" t="str">
        <f t="shared" si="129"/>
        <v/>
      </c>
      <c r="AF275" s="22" t="str">
        <f t="shared" si="130"/>
        <v>CA_Orang_2020g</v>
      </c>
      <c r="AG275" s="89">
        <v>1</v>
      </c>
      <c r="AH275" s="274">
        <v>24075</v>
      </c>
      <c r="AI275" s="279">
        <v>13392</v>
      </c>
      <c r="AJ275" s="280">
        <v>10683</v>
      </c>
      <c r="AK275" s="92">
        <v>2709</v>
      </c>
      <c r="AL275" s="23" t="s">
        <v>4549</v>
      </c>
      <c r="AM275" s="353">
        <f t="shared" si="131"/>
        <v>1.7516180968207065E-3</v>
      </c>
      <c r="AN275" s="354"/>
      <c r="AP275" s="23">
        <f t="shared" si="134"/>
        <v>0</v>
      </c>
      <c r="AQ275" s="392">
        <f t="shared" si="112"/>
        <v>0</v>
      </c>
      <c r="AR275" s="392">
        <f t="shared" si="113"/>
        <v>0</v>
      </c>
      <c r="AS275" s="392">
        <f t="shared" si="113"/>
        <v>0</v>
      </c>
    </row>
    <row r="276" spans="1:45">
      <c r="A276" s="12" t="s">
        <v>1659</v>
      </c>
      <c r="B276" s="54" t="str">
        <f t="shared" si="115"/>
        <v>AZ_Maric_2020g</v>
      </c>
      <c r="C276" s="12"/>
      <c r="D276" s="54" t="str">
        <f t="shared" si="116"/>
        <v>Gen-littleton esd #65-gbm-4yr (vote for3)</v>
      </c>
      <c r="E276" s="54" t="s">
        <v>2112</v>
      </c>
      <c r="F276" s="12" t="s">
        <v>1300</v>
      </c>
      <c r="G276" s="59">
        <v>38</v>
      </c>
      <c r="H276"/>
      <c r="K276" s="2"/>
      <c r="O276">
        <f t="shared" si="117"/>
        <v>4</v>
      </c>
      <c r="P276" s="57">
        <f t="shared" si="118"/>
        <v>3</v>
      </c>
      <c r="Q276" s="267">
        <f t="shared" si="119"/>
        <v>52</v>
      </c>
      <c r="R276" s="23" t="str">
        <f t="shared" si="120"/>
        <v/>
      </c>
      <c r="S276" s="23">
        <f t="shared" si="121"/>
        <v>38</v>
      </c>
      <c r="T276" s="23" t="str">
        <f t="shared" si="122"/>
        <v/>
      </c>
      <c r="U276" t="str">
        <f t="shared" si="123"/>
        <v/>
      </c>
      <c r="W276" s="1">
        <f t="shared" si="124"/>
        <v>74</v>
      </c>
      <c r="X276" s="73">
        <f t="shared" si="132"/>
        <v>21.030607966457023</v>
      </c>
      <c r="Y276" s="322">
        <f t="shared" si="125"/>
        <v>669.85200000000009</v>
      </c>
      <c r="Z276" s="43">
        <f t="shared" si="114"/>
        <v>3.6222383749760195E-11</v>
      </c>
      <c r="AA276" s="52">
        <f t="shared" si="126"/>
        <v>3.6222383749760195E-13</v>
      </c>
      <c r="AB276" s="8">
        <f t="shared" si="127"/>
        <v>15465.7</v>
      </c>
      <c r="AC276" s="8">
        <f t="shared" si="128"/>
        <v>1546570</v>
      </c>
      <c r="AD276" s="8">
        <f t="shared" si="133"/>
        <v>7732.85</v>
      </c>
      <c r="AE276" s="8" t="str">
        <f t="shared" si="129"/>
        <v/>
      </c>
      <c r="AF276" s="22" t="str">
        <f t="shared" si="130"/>
        <v>CA_Orang_2020g</v>
      </c>
      <c r="AG276" s="23">
        <v>1</v>
      </c>
      <c r="AH276" s="8">
        <v>9708</v>
      </c>
      <c r="AI276" s="273">
        <v>6285</v>
      </c>
      <c r="AJ276" s="274">
        <v>3423</v>
      </c>
      <c r="AK276" s="339">
        <v>2862</v>
      </c>
      <c r="AL276" s="344" t="s">
        <v>4540</v>
      </c>
      <c r="AM276" s="353">
        <f t="shared" si="131"/>
        <v>1.8505466936511118E-3</v>
      </c>
      <c r="AN276" s="354"/>
      <c r="AP276" s="23">
        <f t="shared" si="134"/>
        <v>0</v>
      </c>
      <c r="AQ276" s="392">
        <f t="shared" si="112"/>
        <v>0</v>
      </c>
      <c r="AR276" s="392">
        <f t="shared" si="113"/>
        <v>0</v>
      </c>
      <c r="AS276" s="392">
        <f t="shared" si="113"/>
        <v>0</v>
      </c>
    </row>
    <row r="277" spans="1:45">
      <c r="A277" s="12" t="s">
        <v>1659</v>
      </c>
      <c r="B277" s="54" t="str">
        <f t="shared" si="115"/>
        <v>AZ_Maric_2020g</v>
      </c>
      <c r="C277" s="12"/>
      <c r="D277" s="54" t="str">
        <f t="shared" si="116"/>
        <v>Gen-littleton esd #65-gbm-4yr (vote for3)</v>
      </c>
      <c r="E277" s="54" t="s">
        <v>1928</v>
      </c>
      <c r="F277" s="12" t="s">
        <v>1300</v>
      </c>
      <c r="G277" s="59">
        <v>14</v>
      </c>
      <c r="H277"/>
      <c r="K277" s="2"/>
      <c r="O277">
        <f t="shared" si="117"/>
        <v>-4</v>
      </c>
      <c r="P277" s="57">
        <f t="shared" si="118"/>
        <v>3</v>
      </c>
      <c r="Q277" s="267">
        <f t="shared" si="119"/>
        <v>14</v>
      </c>
      <c r="R277" s="23">
        <f t="shared" si="120"/>
        <v>1</v>
      </c>
      <c r="S277" s="23">
        <f t="shared" si="121"/>
        <v>0</v>
      </c>
      <c r="T277" s="23" t="str">
        <f t="shared" si="122"/>
        <v/>
      </c>
      <c r="U277" t="str">
        <f t="shared" si="123"/>
        <v/>
      </c>
      <c r="W277" s="1">
        <f t="shared" si="124"/>
        <v>75</v>
      </c>
      <c r="X277" s="73">
        <f t="shared" si="132"/>
        <v>163.22327022375214</v>
      </c>
      <c r="Y277" s="322">
        <f t="shared" si="125"/>
        <v>5276.9820000000009</v>
      </c>
      <c r="Z277" s="43">
        <f t="shared" si="114"/>
        <v>2.3544071621999203E-11</v>
      </c>
      <c r="AA277" s="52">
        <f t="shared" si="126"/>
        <v>2.3544071621999203E-13</v>
      </c>
      <c r="AB277" s="8">
        <f t="shared" si="127"/>
        <v>15465.7</v>
      </c>
      <c r="AC277" s="8">
        <f t="shared" si="128"/>
        <v>1546570</v>
      </c>
      <c r="AD277" s="8">
        <f t="shared" si="133"/>
        <v>7732.85</v>
      </c>
      <c r="AE277" s="8" t="str">
        <f t="shared" si="129"/>
        <v/>
      </c>
      <c r="AF277" s="22" t="str">
        <f t="shared" si="130"/>
        <v>CA_Orang_2020g</v>
      </c>
      <c r="AG277">
        <v>1</v>
      </c>
      <c r="AH277" s="272">
        <v>76478</v>
      </c>
      <c r="AI277" s="273">
        <v>15685</v>
      </c>
      <c r="AJ277" s="274">
        <v>12780</v>
      </c>
      <c r="AK277" s="339">
        <v>2905</v>
      </c>
      <c r="AL277" s="340" t="s">
        <v>4538</v>
      </c>
      <c r="AM277" s="353">
        <f t="shared" si="131"/>
        <v>1.8783501555054087E-3</v>
      </c>
      <c r="AN277" s="354"/>
      <c r="AP277" s="23">
        <f t="shared" si="134"/>
        <v>0</v>
      </c>
      <c r="AQ277" s="392">
        <f t="shared" si="112"/>
        <v>0</v>
      </c>
      <c r="AR277" s="392">
        <f t="shared" si="113"/>
        <v>0</v>
      </c>
      <c r="AS277" s="392">
        <f t="shared" si="113"/>
        <v>0</v>
      </c>
    </row>
    <row r="278" spans="1:45">
      <c r="A278" s="12" t="s">
        <v>1650</v>
      </c>
      <c r="B278" s="54" t="str">
        <f t="shared" si="115"/>
        <v>AZ_Maric_2020g</v>
      </c>
      <c r="C278" s="12"/>
      <c r="D278" s="54" t="str">
        <f t="shared" si="116"/>
        <v>Gen-madison esd #38-gbm-4yr (vote for3)</v>
      </c>
      <c r="E278" s="54" t="s">
        <v>2086</v>
      </c>
      <c r="F278" s="12" t="s">
        <v>1300</v>
      </c>
      <c r="G278" s="59">
        <v>15191</v>
      </c>
      <c r="H278"/>
      <c r="K278" s="2"/>
      <c r="O278">
        <f t="shared" si="117"/>
        <v>1</v>
      </c>
      <c r="P278" s="57">
        <f t="shared" si="118"/>
        <v>3</v>
      </c>
      <c r="Q278" s="267">
        <f t="shared" si="119"/>
        <v>18235.333333333332</v>
      </c>
      <c r="R278" s="23">
        <f t="shared" si="120"/>
        <v>13104</v>
      </c>
      <c r="S278" s="23">
        <f t="shared" si="121"/>
        <v>12691</v>
      </c>
      <c r="T278" s="23">
        <f t="shared" si="122"/>
        <v>413</v>
      </c>
      <c r="U278" t="str">
        <f t="shared" si="123"/>
        <v>AZ_Maric_2020g~Gen-madison esd #38-gbm-4yr (vote for3)</v>
      </c>
      <c r="W278" s="1">
        <f t="shared" si="124"/>
        <v>76</v>
      </c>
      <c r="X278" s="73">
        <f t="shared" si="132"/>
        <v>69.293649775497116</v>
      </c>
      <c r="Y278" s="322">
        <f t="shared" si="125"/>
        <v>2404.5120000000002</v>
      </c>
      <c r="Z278" s="43">
        <f t="shared" si="114"/>
        <v>2.7863107127862009E-12</v>
      </c>
      <c r="AA278" s="52">
        <f t="shared" si="126"/>
        <v>2.7863107127862008E-14</v>
      </c>
      <c r="AB278" s="8">
        <f t="shared" si="127"/>
        <v>15465.7</v>
      </c>
      <c r="AC278" s="8">
        <f t="shared" si="128"/>
        <v>1546570</v>
      </c>
      <c r="AD278" s="8">
        <f t="shared" si="133"/>
        <v>7732.85</v>
      </c>
      <c r="AE278" s="8" t="str">
        <f t="shared" si="129"/>
        <v/>
      </c>
      <c r="AF278" s="22" t="str">
        <f t="shared" si="130"/>
        <v>CA_Orang_2020g</v>
      </c>
      <c r="AG278" s="89">
        <v>1</v>
      </c>
      <c r="AH278" s="274">
        <v>34848</v>
      </c>
      <c r="AI278" s="279">
        <v>18983</v>
      </c>
      <c r="AJ278" s="280">
        <v>15865</v>
      </c>
      <c r="AK278" s="92">
        <v>3118</v>
      </c>
      <c r="AL278" s="23" t="s">
        <v>4605</v>
      </c>
      <c r="AM278" s="353">
        <f t="shared" si="131"/>
        <v>2.0160742805046005E-3</v>
      </c>
      <c r="AN278" s="354"/>
      <c r="AP278" s="23">
        <f t="shared" si="134"/>
        <v>0</v>
      </c>
      <c r="AQ278" s="392">
        <f t="shared" si="112"/>
        <v>0</v>
      </c>
      <c r="AR278" s="392">
        <f t="shared" si="113"/>
        <v>0</v>
      </c>
      <c r="AS278" s="392">
        <f t="shared" si="113"/>
        <v>0</v>
      </c>
    </row>
    <row r="279" spans="1:45">
      <c r="A279" s="12" t="s">
        <v>1650</v>
      </c>
      <c r="B279" s="54" t="str">
        <f t="shared" si="115"/>
        <v>AZ_Maric_2020g</v>
      </c>
      <c r="C279" s="12"/>
      <c r="D279" s="54" t="str">
        <f t="shared" si="116"/>
        <v>Gen-madison esd #38-gbm-4yr (vote for3)</v>
      </c>
      <c r="E279" s="54" t="s">
        <v>2085</v>
      </c>
      <c r="F279" s="12" t="s">
        <v>1300</v>
      </c>
      <c r="G279" s="59">
        <v>13434</v>
      </c>
      <c r="H279"/>
      <c r="K279" s="2"/>
      <c r="O279">
        <f t="shared" si="117"/>
        <v>2</v>
      </c>
      <c r="P279" s="57">
        <f t="shared" si="118"/>
        <v>3</v>
      </c>
      <c r="Q279" s="267">
        <f t="shared" si="119"/>
        <v>39515</v>
      </c>
      <c r="R279" s="23">
        <f t="shared" si="120"/>
        <v>13104</v>
      </c>
      <c r="S279" s="23">
        <f t="shared" si="121"/>
        <v>12691</v>
      </c>
      <c r="T279" s="23" t="str">
        <f t="shared" si="122"/>
        <v/>
      </c>
      <c r="U279" t="str">
        <f t="shared" si="123"/>
        <v/>
      </c>
      <c r="W279" s="1">
        <f t="shared" si="124"/>
        <v>77</v>
      </c>
      <c r="X279" s="73">
        <f t="shared" si="132"/>
        <v>106.6912528035886</v>
      </c>
      <c r="Y279" s="322">
        <f t="shared" si="125"/>
        <v>3705.7830000000004</v>
      </c>
      <c r="Z279" s="43">
        <f t="shared" si="114"/>
        <v>2.7037988402065366E-12</v>
      </c>
      <c r="AA279" s="52">
        <f t="shared" si="126"/>
        <v>2.7037988402065364E-14</v>
      </c>
      <c r="AB279" s="8">
        <f t="shared" si="127"/>
        <v>15465.7</v>
      </c>
      <c r="AC279" s="8">
        <f t="shared" si="128"/>
        <v>1546570</v>
      </c>
      <c r="AD279" s="8">
        <f t="shared" si="133"/>
        <v>7732.85</v>
      </c>
      <c r="AE279" s="8" t="str">
        <f t="shared" si="129"/>
        <v/>
      </c>
      <c r="AF279" s="22" t="str">
        <f t="shared" si="130"/>
        <v>CA_Orang_2020g</v>
      </c>
      <c r="AG279">
        <v>1</v>
      </c>
      <c r="AH279" s="272">
        <v>53707</v>
      </c>
      <c r="AI279" s="273">
        <v>15461</v>
      </c>
      <c r="AJ279" s="274">
        <v>12340</v>
      </c>
      <c r="AK279" s="339">
        <v>3121</v>
      </c>
      <c r="AL279" s="340" t="s">
        <v>4508</v>
      </c>
      <c r="AM279" s="353">
        <f t="shared" si="131"/>
        <v>2.0180140569130397E-3</v>
      </c>
      <c r="AN279" s="354"/>
      <c r="AP279" s="23">
        <f t="shared" si="134"/>
        <v>0</v>
      </c>
      <c r="AQ279" s="392">
        <f t="shared" si="112"/>
        <v>0</v>
      </c>
      <c r="AR279" s="392">
        <f t="shared" si="113"/>
        <v>0</v>
      </c>
      <c r="AS279" s="392">
        <f t="shared" si="113"/>
        <v>0</v>
      </c>
    </row>
    <row r="280" spans="1:45">
      <c r="A280" s="12" t="s">
        <v>1650</v>
      </c>
      <c r="B280" s="54" t="str">
        <f t="shared" si="115"/>
        <v>AZ_Maric_2020g</v>
      </c>
      <c r="C280" s="12"/>
      <c r="D280" s="54" t="str">
        <f t="shared" si="116"/>
        <v>Gen-madison esd #38-gbm-4yr (vote for3)</v>
      </c>
      <c r="E280" s="54" t="s">
        <v>2083</v>
      </c>
      <c r="F280" s="12" t="s">
        <v>1300</v>
      </c>
      <c r="G280" s="59">
        <v>13104</v>
      </c>
      <c r="H280"/>
      <c r="K280" s="2"/>
      <c r="O280">
        <f t="shared" si="117"/>
        <v>3</v>
      </c>
      <c r="P280" s="57">
        <f t="shared" si="118"/>
        <v>3</v>
      </c>
      <c r="Q280" s="267">
        <f t="shared" si="119"/>
        <v>26081</v>
      </c>
      <c r="R280" s="23">
        <f t="shared" si="120"/>
        <v>13104</v>
      </c>
      <c r="S280" s="23">
        <f t="shared" si="121"/>
        <v>12691</v>
      </c>
      <c r="T280" s="23" t="str">
        <f t="shared" si="122"/>
        <v/>
      </c>
      <c r="U280" t="str">
        <f t="shared" si="123"/>
        <v/>
      </c>
      <c r="W280" s="1">
        <f t="shared" si="124"/>
        <v>78</v>
      </c>
      <c r="X280" s="73">
        <f t="shared" si="132"/>
        <v>23.483064260842038</v>
      </c>
      <c r="Y280" s="322">
        <f t="shared" si="125"/>
        <v>825.58500000000004</v>
      </c>
      <c r="Z280" s="43">
        <f t="shared" si="114"/>
        <v>1.8475947880717936E-12</v>
      </c>
      <c r="AA280" s="52">
        <f t="shared" si="126"/>
        <v>1.8475947880717934E-14</v>
      </c>
      <c r="AB280" s="8">
        <f t="shared" si="127"/>
        <v>15465.7</v>
      </c>
      <c r="AC280" s="8">
        <f t="shared" si="128"/>
        <v>1546570</v>
      </c>
      <c r="AD280" s="8">
        <f t="shared" si="133"/>
        <v>7732.85</v>
      </c>
      <c r="AE280" s="8" t="str">
        <f t="shared" si="129"/>
        <v/>
      </c>
      <c r="AF280" s="22" t="str">
        <f t="shared" si="130"/>
        <v>CA_Orang_2020g</v>
      </c>
      <c r="AG280" s="89">
        <v>1</v>
      </c>
      <c r="AH280" s="274">
        <v>11965</v>
      </c>
      <c r="AI280" s="279">
        <v>7562</v>
      </c>
      <c r="AJ280" s="280">
        <v>4403</v>
      </c>
      <c r="AK280" s="92">
        <v>3159</v>
      </c>
      <c r="AL280" s="23" t="s">
        <v>4623</v>
      </c>
      <c r="AM280" s="353">
        <f t="shared" si="131"/>
        <v>2.0425845580866043E-3</v>
      </c>
      <c r="AN280" s="354"/>
      <c r="AP280" s="23">
        <f t="shared" si="134"/>
        <v>0</v>
      </c>
      <c r="AQ280" s="392">
        <f t="shared" si="112"/>
        <v>0</v>
      </c>
      <c r="AR280" s="392">
        <f t="shared" si="113"/>
        <v>0</v>
      </c>
      <c r="AS280" s="392">
        <f t="shared" si="113"/>
        <v>0</v>
      </c>
    </row>
    <row r="281" spans="1:45">
      <c r="A281" s="12" t="s">
        <v>1650</v>
      </c>
      <c r="B281" s="54" t="str">
        <f t="shared" si="115"/>
        <v>AZ_Maric_2020g</v>
      </c>
      <c r="C281" s="12"/>
      <c r="D281" s="54" t="str">
        <f t="shared" si="116"/>
        <v>Gen-madison esd #38-gbm-4yr (vote for3)</v>
      </c>
      <c r="E281" s="54" t="s">
        <v>2084</v>
      </c>
      <c r="F281" s="12" t="s">
        <v>1300</v>
      </c>
      <c r="G281" s="59">
        <v>12691</v>
      </c>
      <c r="H281"/>
      <c r="K281" s="2"/>
      <c r="O281">
        <f t="shared" si="117"/>
        <v>4</v>
      </c>
      <c r="P281" s="57">
        <f t="shared" si="118"/>
        <v>3</v>
      </c>
      <c r="Q281" s="267">
        <f t="shared" si="119"/>
        <v>12977</v>
      </c>
      <c r="R281" s="23" t="str">
        <f t="shared" si="120"/>
        <v/>
      </c>
      <c r="S281" s="23">
        <f t="shared" si="121"/>
        <v>12691</v>
      </c>
      <c r="T281" s="23" t="str">
        <f t="shared" si="122"/>
        <v/>
      </c>
      <c r="U281" t="str">
        <f t="shared" si="123"/>
        <v/>
      </c>
      <c r="W281" s="1">
        <f t="shared" si="124"/>
        <v>79</v>
      </c>
      <c r="X281" s="73">
        <f t="shared" si="132"/>
        <v>27.467510281556471</v>
      </c>
      <c r="Y281" s="322">
        <f t="shared" si="125"/>
        <v>966.27600000000007</v>
      </c>
      <c r="Z281" s="43">
        <f t="shared" si="114"/>
        <v>1.8109358038328833E-12</v>
      </c>
      <c r="AA281" s="52">
        <f t="shared" si="126"/>
        <v>1.8109358038328833E-14</v>
      </c>
      <c r="AB281" s="8">
        <f t="shared" si="127"/>
        <v>15465.7</v>
      </c>
      <c r="AC281" s="8">
        <f t="shared" si="128"/>
        <v>1546570</v>
      </c>
      <c r="AD281" s="8">
        <f t="shared" si="133"/>
        <v>7732.85</v>
      </c>
      <c r="AE281" s="8" t="str">
        <f t="shared" si="129"/>
        <v/>
      </c>
      <c r="AF281" s="22" t="str">
        <f t="shared" si="130"/>
        <v>CA_Orang_2020g</v>
      </c>
      <c r="AG281" s="89">
        <v>1</v>
      </c>
      <c r="AH281" s="274">
        <v>14004</v>
      </c>
      <c r="AI281" s="279">
        <v>6359</v>
      </c>
      <c r="AJ281" s="280">
        <v>3198</v>
      </c>
      <c r="AK281" s="92">
        <v>3161</v>
      </c>
      <c r="AL281" s="23" t="s">
        <v>4554</v>
      </c>
      <c r="AM281" s="353">
        <f t="shared" si="131"/>
        <v>2.0438777423588974E-3</v>
      </c>
      <c r="AN281" s="354"/>
      <c r="AP281" s="23">
        <f t="shared" si="134"/>
        <v>0</v>
      </c>
      <c r="AQ281" s="392">
        <f t="shared" si="112"/>
        <v>0</v>
      </c>
      <c r="AR281" s="392">
        <f t="shared" si="113"/>
        <v>0</v>
      </c>
      <c r="AS281" s="392">
        <f t="shared" si="113"/>
        <v>0</v>
      </c>
    </row>
    <row r="282" spans="1:45">
      <c r="A282" s="12" t="s">
        <v>1650</v>
      </c>
      <c r="B282" s="54" t="str">
        <f t="shared" si="115"/>
        <v>AZ_Maric_2020g</v>
      </c>
      <c r="C282" s="12"/>
      <c r="D282" s="54" t="str">
        <f t="shared" si="116"/>
        <v>Gen-madison esd #38-gbm-4yr (vote for3)</v>
      </c>
      <c r="E282" s="54" t="s">
        <v>1299</v>
      </c>
      <c r="G282" s="59">
        <v>286</v>
      </c>
      <c r="H282"/>
      <c r="K282" s="2"/>
      <c r="O282">
        <f t="shared" si="117"/>
        <v>-4</v>
      </c>
      <c r="P282" s="57">
        <f t="shared" si="118"/>
        <v>3</v>
      </c>
      <c r="Q282" s="267">
        <f t="shared" si="119"/>
        <v>286</v>
      </c>
      <c r="R282" s="23">
        <f t="shared" si="120"/>
        <v>1</v>
      </c>
      <c r="S282" s="23">
        <f t="shared" si="121"/>
        <v>0</v>
      </c>
      <c r="T282" s="23" t="str">
        <f t="shared" si="122"/>
        <v/>
      </c>
      <c r="U282" t="str">
        <f t="shared" si="123"/>
        <v/>
      </c>
      <c r="W282" s="1">
        <f t="shared" si="124"/>
        <v>80</v>
      </c>
      <c r="X282" s="73">
        <f t="shared" si="132"/>
        <v>15.568716827973777</v>
      </c>
      <c r="Y282" s="322">
        <f t="shared" si="125"/>
        <v>554.9670000000001</v>
      </c>
      <c r="Z282" s="43">
        <f t="shared" si="114"/>
        <v>1.1888397329543926E-12</v>
      </c>
      <c r="AA282" s="52">
        <f t="shared" si="126"/>
        <v>1.1888397329543927E-14</v>
      </c>
      <c r="AB282" s="8">
        <f t="shared" si="127"/>
        <v>15465.7</v>
      </c>
      <c r="AC282" s="8">
        <f t="shared" si="128"/>
        <v>1546570</v>
      </c>
      <c r="AD282" s="8">
        <f t="shared" si="133"/>
        <v>7732.85</v>
      </c>
      <c r="AE282" s="8" t="str">
        <f t="shared" si="129"/>
        <v/>
      </c>
      <c r="AF282" s="22" t="str">
        <f t="shared" si="130"/>
        <v>CA_Orang_2020g</v>
      </c>
      <c r="AG282">
        <v>1</v>
      </c>
      <c r="AH282" s="272">
        <v>8043</v>
      </c>
      <c r="AI282" s="273">
        <v>5623</v>
      </c>
      <c r="AJ282" s="274">
        <v>2420</v>
      </c>
      <c r="AK282" s="339">
        <v>3203</v>
      </c>
      <c r="AL282" s="340" t="s">
        <v>4544</v>
      </c>
      <c r="AM282" s="353">
        <f t="shared" si="131"/>
        <v>2.0710346120770477E-3</v>
      </c>
      <c r="AN282" s="354"/>
      <c r="AP282" s="23">
        <f t="shared" si="134"/>
        <v>0</v>
      </c>
      <c r="AQ282" s="392">
        <f t="shared" si="112"/>
        <v>0</v>
      </c>
      <c r="AR282" s="392">
        <f t="shared" si="113"/>
        <v>0</v>
      </c>
      <c r="AS282" s="392">
        <f t="shared" si="113"/>
        <v>0</v>
      </c>
    </row>
    <row r="283" spans="1:45">
      <c r="A283" s="12" t="s">
        <v>1614</v>
      </c>
      <c r="B283" s="54" t="str">
        <f t="shared" si="115"/>
        <v>AZ_Maric_2020g</v>
      </c>
      <c r="C283" s="12"/>
      <c r="D283" s="54" t="str">
        <f t="shared" si="116"/>
        <v>Gen-mc special healthcare dist 1 (vote for1)</v>
      </c>
      <c r="E283" s="54" t="s">
        <v>1980</v>
      </c>
      <c r="F283" s="12" t="s">
        <v>1300</v>
      </c>
      <c r="G283" s="59">
        <v>229581</v>
      </c>
      <c r="H283"/>
      <c r="K283" s="2"/>
      <c r="O283">
        <f t="shared" si="117"/>
        <v>1</v>
      </c>
      <c r="P283" s="57">
        <f t="shared" si="118"/>
        <v>1</v>
      </c>
      <c r="Q283" s="267">
        <f t="shared" si="119"/>
        <v>325892</v>
      </c>
      <c r="R283" s="23">
        <f t="shared" si="120"/>
        <v>229581</v>
      </c>
      <c r="S283" s="23">
        <f t="shared" si="121"/>
        <v>95092</v>
      </c>
      <c r="T283" s="23">
        <f t="shared" si="122"/>
        <v>134489</v>
      </c>
      <c r="U283" t="str">
        <f t="shared" si="123"/>
        <v>AZ_Maric_2020g~Gen-mc special healthcare dist 1 (vote for1)</v>
      </c>
      <c r="W283" s="1">
        <f t="shared" si="124"/>
        <v>81</v>
      </c>
      <c r="X283" s="73">
        <f t="shared" si="132"/>
        <v>30.322504430005907</v>
      </c>
      <c r="Y283" s="322">
        <f t="shared" si="125"/>
        <v>1142.6400000000001</v>
      </c>
      <c r="Z283" s="43">
        <f t="shared" si="114"/>
        <v>1.8996246694288455E-13</v>
      </c>
      <c r="AA283" s="52">
        <f t="shared" si="126"/>
        <v>1.8996246694288456E-15</v>
      </c>
      <c r="AB283" s="8">
        <f t="shared" si="127"/>
        <v>15465.7</v>
      </c>
      <c r="AC283" s="8">
        <f t="shared" si="128"/>
        <v>1546570</v>
      </c>
      <c r="AD283" s="8">
        <f t="shared" si="133"/>
        <v>7732.85</v>
      </c>
      <c r="AE283" s="8" t="str">
        <f t="shared" si="129"/>
        <v/>
      </c>
      <c r="AF283" s="22" t="str">
        <f t="shared" si="130"/>
        <v>CA_Orang_2020g</v>
      </c>
      <c r="AG283">
        <v>1</v>
      </c>
      <c r="AH283" s="272">
        <v>16560</v>
      </c>
      <c r="AI283" s="273">
        <v>8152</v>
      </c>
      <c r="AJ283" s="274">
        <v>4766</v>
      </c>
      <c r="AK283" s="339">
        <v>3386</v>
      </c>
      <c r="AL283" s="340" t="s">
        <v>4500</v>
      </c>
      <c r="AM283" s="353">
        <f t="shared" si="131"/>
        <v>2.1893609729918464E-3</v>
      </c>
      <c r="AN283" s="354"/>
      <c r="AP283" s="23">
        <f t="shared" si="134"/>
        <v>0</v>
      </c>
      <c r="AQ283" s="392">
        <f t="shared" si="112"/>
        <v>0</v>
      </c>
      <c r="AR283" s="392">
        <f t="shared" si="113"/>
        <v>0</v>
      </c>
      <c r="AS283" s="392">
        <f t="shared" si="113"/>
        <v>0</v>
      </c>
    </row>
    <row r="284" spans="1:45">
      <c r="A284" s="12" t="s">
        <v>1614</v>
      </c>
      <c r="B284" s="54" t="str">
        <f t="shared" si="115"/>
        <v>AZ_Maric_2020g</v>
      </c>
      <c r="C284" s="12"/>
      <c r="D284" s="54" t="str">
        <f t="shared" si="116"/>
        <v>Gen-mc special healthcare dist 1 (vote for1)</v>
      </c>
      <c r="E284" s="54" t="s">
        <v>1979</v>
      </c>
      <c r="F284" s="12" t="s">
        <v>1300</v>
      </c>
      <c r="G284" s="59">
        <v>95092</v>
      </c>
      <c r="H284"/>
      <c r="K284" s="2"/>
      <c r="O284">
        <f t="shared" si="117"/>
        <v>2</v>
      </c>
      <c r="P284" s="57">
        <f t="shared" si="118"/>
        <v>1</v>
      </c>
      <c r="Q284" s="267">
        <f t="shared" si="119"/>
        <v>96311</v>
      </c>
      <c r="R284" s="23" t="str">
        <f t="shared" si="120"/>
        <v/>
      </c>
      <c r="S284" s="23">
        <f t="shared" si="121"/>
        <v>95092</v>
      </c>
      <c r="T284" s="23" t="str">
        <f t="shared" si="122"/>
        <v/>
      </c>
      <c r="U284" t="str">
        <f t="shared" si="123"/>
        <v/>
      </c>
      <c r="W284" s="1">
        <f t="shared" si="124"/>
        <v>82</v>
      </c>
      <c r="X284" s="73">
        <f t="shared" si="132"/>
        <v>79.793891797556711</v>
      </c>
      <c r="Y284" s="322">
        <f t="shared" si="125"/>
        <v>3053.0430000000001</v>
      </c>
      <c r="Z284" s="43">
        <f t="shared" si="114"/>
        <v>1.1280681614105207E-13</v>
      </c>
      <c r="AA284" s="52">
        <f t="shared" si="126"/>
        <v>1.1280681614105207E-15</v>
      </c>
      <c r="AB284" s="8">
        <f t="shared" si="127"/>
        <v>15465.7</v>
      </c>
      <c r="AC284" s="8">
        <f t="shared" si="128"/>
        <v>1546570</v>
      </c>
      <c r="AD284" s="8">
        <f t="shared" si="133"/>
        <v>7732.85</v>
      </c>
      <c r="AE284" s="8" t="str">
        <f t="shared" si="129"/>
        <v/>
      </c>
      <c r="AF284" s="22" t="str">
        <f t="shared" si="130"/>
        <v>CA_Orang_2020g</v>
      </c>
      <c r="AG284" s="89">
        <v>1</v>
      </c>
      <c r="AH284" s="274">
        <v>44247</v>
      </c>
      <c r="AI284" s="279">
        <v>12223</v>
      </c>
      <c r="AJ284" s="280">
        <v>8785</v>
      </c>
      <c r="AK284" s="92">
        <v>3438</v>
      </c>
      <c r="AL284" s="23" t="s">
        <v>4602</v>
      </c>
      <c r="AM284" s="353">
        <f t="shared" si="131"/>
        <v>2.2229837640714615E-3</v>
      </c>
      <c r="AN284" s="354"/>
      <c r="AP284" s="23">
        <f t="shared" si="134"/>
        <v>0</v>
      </c>
      <c r="AQ284" s="392">
        <f t="shared" si="112"/>
        <v>0</v>
      </c>
      <c r="AR284" s="392">
        <f t="shared" si="113"/>
        <v>0</v>
      </c>
      <c r="AS284" s="392">
        <f t="shared" si="113"/>
        <v>0</v>
      </c>
    </row>
    <row r="285" spans="1:45">
      <c r="A285" s="12" t="s">
        <v>1614</v>
      </c>
      <c r="B285" s="54" t="str">
        <f t="shared" si="115"/>
        <v>AZ_Maric_2020g</v>
      </c>
      <c r="C285" s="12"/>
      <c r="D285" s="54" t="str">
        <f t="shared" si="116"/>
        <v>Gen-mc special healthcare dist 1 (vote for1)</v>
      </c>
      <c r="E285" s="54" t="s">
        <v>1299</v>
      </c>
      <c r="G285" s="59">
        <v>1219</v>
      </c>
      <c r="H285"/>
      <c r="K285" s="2"/>
      <c r="O285">
        <f t="shared" si="117"/>
        <v>-2</v>
      </c>
      <c r="P285" s="57">
        <f t="shared" si="118"/>
        <v>1</v>
      </c>
      <c r="Q285" s="267">
        <f t="shared" si="119"/>
        <v>1219</v>
      </c>
      <c r="R285" s="23">
        <f t="shared" si="120"/>
        <v>1</v>
      </c>
      <c r="S285" s="23">
        <f t="shared" si="121"/>
        <v>0</v>
      </c>
      <c r="T285" s="23" t="str">
        <f t="shared" si="122"/>
        <v/>
      </c>
      <c r="U285" t="str">
        <f t="shared" si="123"/>
        <v/>
      </c>
      <c r="W285" s="1">
        <f t="shared" si="124"/>
        <v>83</v>
      </c>
      <c r="X285" s="73">
        <f t="shared" si="132"/>
        <v>12.287153785280928</v>
      </c>
      <c r="Y285" s="322">
        <f t="shared" si="125"/>
        <v>518.39700000000005</v>
      </c>
      <c r="Z285" s="43">
        <f t="shared" si="114"/>
        <v>3.278570268534869E-15</v>
      </c>
      <c r="AA285" s="52">
        <f t="shared" si="126"/>
        <v>3.278570268534869E-17</v>
      </c>
      <c r="AB285" s="8">
        <f t="shared" si="127"/>
        <v>15465.7</v>
      </c>
      <c r="AC285" s="8">
        <f t="shared" si="128"/>
        <v>1546570</v>
      </c>
      <c r="AD285" s="8">
        <f t="shared" si="133"/>
        <v>7732.85</v>
      </c>
      <c r="AE285" s="8" t="str">
        <f t="shared" si="129"/>
        <v/>
      </c>
      <c r="AF285" s="22" t="str">
        <f t="shared" si="130"/>
        <v>CA_Orang_2020g</v>
      </c>
      <c r="AG285">
        <v>1</v>
      </c>
      <c r="AH285" s="272">
        <v>7513</v>
      </c>
      <c r="AI285" s="273">
        <v>5652</v>
      </c>
      <c r="AJ285" s="274">
        <v>1861</v>
      </c>
      <c r="AK285" s="339">
        <v>3791</v>
      </c>
      <c r="AL285" s="340" t="s">
        <v>4504</v>
      </c>
      <c r="AM285" s="353">
        <f t="shared" si="131"/>
        <v>2.4512307881311549E-3</v>
      </c>
      <c r="AN285" s="354"/>
      <c r="AP285" s="23">
        <f t="shared" si="134"/>
        <v>0</v>
      </c>
      <c r="AQ285" s="392">
        <f t="shared" si="112"/>
        <v>0</v>
      </c>
      <c r="AR285" s="392">
        <f t="shared" si="113"/>
        <v>0</v>
      </c>
      <c r="AS285" s="392">
        <f t="shared" si="113"/>
        <v>0</v>
      </c>
    </row>
    <row r="286" spans="1:45">
      <c r="A286" s="12" t="s">
        <v>1615</v>
      </c>
      <c r="B286" s="54" t="str">
        <f t="shared" si="115"/>
        <v>AZ_Maric_2020g</v>
      </c>
      <c r="C286" s="12"/>
      <c r="D286" s="54" t="str">
        <f t="shared" si="116"/>
        <v>Gen-mc special healthcare proposition 449 (vote for1)</v>
      </c>
      <c r="E286" s="54" t="s">
        <v>1981</v>
      </c>
      <c r="F286" s="12" t="s">
        <v>1300</v>
      </c>
      <c r="G286" s="59">
        <v>1142266</v>
      </c>
      <c r="H286"/>
      <c r="K286" s="2"/>
      <c r="O286">
        <f t="shared" si="117"/>
        <v>1</v>
      </c>
      <c r="P286" s="57">
        <f t="shared" si="118"/>
        <v>1</v>
      </c>
      <c r="Q286" s="267">
        <f t="shared" si="119"/>
        <v>1836109</v>
      </c>
      <c r="R286" s="23">
        <f t="shared" si="120"/>
        <v>1142266</v>
      </c>
      <c r="S286" s="23">
        <f t="shared" si="121"/>
        <v>693843</v>
      </c>
      <c r="T286" s="23">
        <f t="shared" si="122"/>
        <v>448423</v>
      </c>
      <c r="U286" t="str">
        <f t="shared" si="123"/>
        <v>AZ_Maric_2020g~Gen-mc special healthcare proposition 449 (vote for1)</v>
      </c>
      <c r="W286" s="1">
        <f t="shared" si="124"/>
        <v>84</v>
      </c>
      <c r="X286" s="73">
        <f t="shared" si="132"/>
        <v>97.76639999999999</v>
      </c>
      <c r="Y286" s="322">
        <f t="shared" si="125"/>
        <v>4216.1760000000004</v>
      </c>
      <c r="Z286" s="43">
        <f t="shared" si="114"/>
        <v>1.4124424153966691E-15</v>
      </c>
      <c r="AA286" s="52">
        <f t="shared" si="126"/>
        <v>1.4124424153966691E-17</v>
      </c>
      <c r="AB286" s="8">
        <f t="shared" si="127"/>
        <v>15465.7</v>
      </c>
      <c r="AC286" s="8">
        <f t="shared" si="128"/>
        <v>1546570</v>
      </c>
      <c r="AD286" s="8">
        <f t="shared" si="133"/>
        <v>7732.85</v>
      </c>
      <c r="AE286" s="8" t="str">
        <f t="shared" si="129"/>
        <v/>
      </c>
      <c r="AF286" s="22" t="str">
        <f t="shared" si="130"/>
        <v>CA_Orang_2020g</v>
      </c>
      <c r="AG286">
        <v>1</v>
      </c>
      <c r="AH286" s="272">
        <v>61104</v>
      </c>
      <c r="AI286" s="273">
        <v>19426</v>
      </c>
      <c r="AJ286" s="274">
        <v>15551</v>
      </c>
      <c r="AK286" s="339">
        <v>3875</v>
      </c>
      <c r="AL286" s="340" t="s">
        <v>4568</v>
      </c>
      <c r="AM286" s="353">
        <f t="shared" si="131"/>
        <v>2.5055445275674556E-3</v>
      </c>
      <c r="AN286" s="354"/>
      <c r="AP286" s="23">
        <f t="shared" si="134"/>
        <v>0</v>
      </c>
      <c r="AQ286" s="392">
        <f t="shared" si="112"/>
        <v>0</v>
      </c>
      <c r="AR286" s="392">
        <f t="shared" si="113"/>
        <v>0</v>
      </c>
      <c r="AS286" s="392">
        <f t="shared" si="113"/>
        <v>0</v>
      </c>
    </row>
    <row r="287" spans="1:45">
      <c r="A287" s="12" t="s">
        <v>1615</v>
      </c>
      <c r="B287" s="54" t="str">
        <f t="shared" si="115"/>
        <v>AZ_Maric_2020g</v>
      </c>
      <c r="C287" s="12"/>
      <c r="D287" s="54" t="str">
        <f t="shared" si="116"/>
        <v>Gen-mc special healthcare proposition 449 (vote for1)</v>
      </c>
      <c r="E287" s="54" t="s">
        <v>1982</v>
      </c>
      <c r="F287" s="12" t="s">
        <v>1300</v>
      </c>
      <c r="G287" s="59">
        <v>693843</v>
      </c>
      <c r="H287"/>
      <c r="K287" s="2"/>
      <c r="O287">
        <f t="shared" si="117"/>
        <v>2</v>
      </c>
      <c r="P287" s="57">
        <f t="shared" si="118"/>
        <v>1</v>
      </c>
      <c r="Q287" s="267">
        <f t="shared" si="119"/>
        <v>693843</v>
      </c>
      <c r="R287" s="23" t="str">
        <f t="shared" si="120"/>
        <v/>
      </c>
      <c r="S287" s="23">
        <f t="shared" si="121"/>
        <v>693843</v>
      </c>
      <c r="T287" s="23" t="str">
        <f t="shared" si="122"/>
        <v/>
      </c>
      <c r="U287" t="str">
        <f t="shared" si="123"/>
        <v/>
      </c>
      <c r="W287" s="1">
        <f t="shared" si="124"/>
        <v>85</v>
      </c>
      <c r="X287" s="73">
        <f t="shared" si="132"/>
        <v>49.615962924819776</v>
      </c>
      <c r="Y287" s="322">
        <f t="shared" si="125"/>
        <v>2144.6580000000004</v>
      </c>
      <c r="Z287" s="43">
        <f t="shared" si="114"/>
        <v>1.2905830419051464E-15</v>
      </c>
      <c r="AA287" s="52">
        <f t="shared" si="126"/>
        <v>1.2905830419051464E-17</v>
      </c>
      <c r="AB287" s="8">
        <f t="shared" si="127"/>
        <v>15465.7</v>
      </c>
      <c r="AC287" s="8">
        <f t="shared" si="128"/>
        <v>1546570</v>
      </c>
      <c r="AD287" s="8">
        <f t="shared" si="133"/>
        <v>7732.85</v>
      </c>
      <c r="AE287" s="8" t="str">
        <f t="shared" si="129"/>
        <v/>
      </c>
      <c r="AF287" s="22" t="str">
        <f t="shared" si="130"/>
        <v>CA_Orang_2020g</v>
      </c>
      <c r="AG287">
        <v>1</v>
      </c>
      <c r="AH287" s="272">
        <v>31082</v>
      </c>
      <c r="AI287" s="273">
        <v>17483</v>
      </c>
      <c r="AJ287" s="274">
        <v>13599</v>
      </c>
      <c r="AK287" s="339">
        <v>3884</v>
      </c>
      <c r="AL287" s="340" t="s">
        <v>4479</v>
      </c>
      <c r="AM287" s="353">
        <f t="shared" si="131"/>
        <v>2.5113638567927738E-3</v>
      </c>
      <c r="AN287" s="354"/>
      <c r="AP287" s="23">
        <f t="shared" si="134"/>
        <v>0</v>
      </c>
      <c r="AQ287" s="392">
        <f t="shared" si="112"/>
        <v>0</v>
      </c>
      <c r="AR287" s="392">
        <f t="shared" si="113"/>
        <v>0</v>
      </c>
      <c r="AS287" s="392">
        <f t="shared" si="113"/>
        <v>0</v>
      </c>
    </row>
    <row r="288" spans="1:45">
      <c r="A288" s="12" t="s">
        <v>1617</v>
      </c>
      <c r="B288" s="54" t="str">
        <f t="shared" si="115"/>
        <v>AZ_Maric_2020g</v>
      </c>
      <c r="C288" s="12"/>
      <c r="D288" s="54" t="str">
        <f t="shared" si="116"/>
        <v>Gen-mcccd - dist 1 (vote for1)</v>
      </c>
      <c r="E288" s="54" t="s">
        <v>1986</v>
      </c>
      <c r="F288" s="12" t="s">
        <v>1300</v>
      </c>
      <c r="G288" s="59">
        <v>177554</v>
      </c>
      <c r="H288"/>
      <c r="K288" s="2"/>
      <c r="O288">
        <f t="shared" si="117"/>
        <v>1</v>
      </c>
      <c r="P288" s="57">
        <f t="shared" si="118"/>
        <v>1</v>
      </c>
      <c r="Q288" s="267">
        <f t="shared" si="119"/>
        <v>321831</v>
      </c>
      <c r="R288" s="23">
        <f t="shared" si="120"/>
        <v>177554</v>
      </c>
      <c r="S288" s="23">
        <f t="shared" si="121"/>
        <v>143058</v>
      </c>
      <c r="T288" s="23">
        <f t="shared" si="122"/>
        <v>34496</v>
      </c>
      <c r="U288" t="str">
        <f t="shared" si="123"/>
        <v>AZ_Maric_2020g~Gen-mcccd - dist 1 (vote for1)</v>
      </c>
      <c r="W288" s="1">
        <f t="shared" si="124"/>
        <v>86</v>
      </c>
      <c r="X288" s="73">
        <f t="shared" si="132"/>
        <v>21.834782608695654</v>
      </c>
      <c r="Y288" s="322">
        <f t="shared" si="125"/>
        <v>950.13000000000011</v>
      </c>
      <c r="Z288" s="43">
        <f t="shared" si="114"/>
        <v>9.9445273488441129E-16</v>
      </c>
      <c r="AA288" s="52">
        <f t="shared" si="126"/>
        <v>9.9445273488441134E-18</v>
      </c>
      <c r="AB288" s="8">
        <f t="shared" si="127"/>
        <v>15465.7</v>
      </c>
      <c r="AC288" s="8">
        <f t="shared" si="128"/>
        <v>1546570</v>
      </c>
      <c r="AD288" s="8">
        <f t="shared" si="133"/>
        <v>7732.85</v>
      </c>
      <c r="AE288" s="8" t="str">
        <f t="shared" si="129"/>
        <v/>
      </c>
      <c r="AF288" s="22" t="str">
        <f t="shared" si="130"/>
        <v>CA_Orang_2020g</v>
      </c>
      <c r="AG288">
        <v>1</v>
      </c>
      <c r="AH288" s="272">
        <v>13770</v>
      </c>
      <c r="AI288" s="273">
        <v>8840</v>
      </c>
      <c r="AJ288" s="274">
        <v>4930</v>
      </c>
      <c r="AK288" s="339">
        <v>3910</v>
      </c>
      <c r="AL288" s="340" t="s">
        <v>4473</v>
      </c>
      <c r="AM288" s="353">
        <f t="shared" si="131"/>
        <v>2.5281752523325812E-3</v>
      </c>
      <c r="AN288" s="354"/>
      <c r="AP288" s="23">
        <f t="shared" si="134"/>
        <v>0</v>
      </c>
      <c r="AQ288" s="392">
        <f t="shared" si="112"/>
        <v>0</v>
      </c>
      <c r="AR288" s="392">
        <f t="shared" si="113"/>
        <v>0</v>
      </c>
      <c r="AS288" s="392">
        <f t="shared" si="113"/>
        <v>0</v>
      </c>
    </row>
    <row r="289" spans="1:45">
      <c r="A289" s="12" t="s">
        <v>1617</v>
      </c>
      <c r="B289" s="54" t="str">
        <f t="shared" si="115"/>
        <v>AZ_Maric_2020g</v>
      </c>
      <c r="C289" s="12"/>
      <c r="D289" s="54" t="str">
        <f t="shared" si="116"/>
        <v>Gen-mcccd - dist 1 (vote for1)</v>
      </c>
      <c r="E289" s="54" t="s">
        <v>1985</v>
      </c>
      <c r="F289" s="12" t="s">
        <v>1300</v>
      </c>
      <c r="G289" s="59">
        <v>143058</v>
      </c>
      <c r="H289"/>
      <c r="K289" s="2"/>
      <c r="O289">
        <f t="shared" si="117"/>
        <v>2</v>
      </c>
      <c r="P289" s="57">
        <f t="shared" si="118"/>
        <v>1</v>
      </c>
      <c r="Q289" s="267">
        <f t="shared" si="119"/>
        <v>144277</v>
      </c>
      <c r="R289" s="23" t="str">
        <f t="shared" si="120"/>
        <v/>
      </c>
      <c r="S289" s="23">
        <f t="shared" si="121"/>
        <v>143058</v>
      </c>
      <c r="T289" s="23" t="str">
        <f t="shared" si="122"/>
        <v/>
      </c>
      <c r="U289" t="str">
        <f t="shared" si="123"/>
        <v/>
      </c>
      <c r="W289" s="1">
        <f t="shared" si="124"/>
        <v>87</v>
      </c>
      <c r="X289" s="73">
        <f t="shared" si="132"/>
        <v>12.631154239019407</v>
      </c>
      <c r="Y289" s="322">
        <f t="shared" si="125"/>
        <v>550.48200000000008</v>
      </c>
      <c r="Z289" s="43">
        <f t="shared" si="114"/>
        <v>9.3639779297459725E-16</v>
      </c>
      <c r="AA289" s="52">
        <f t="shared" si="126"/>
        <v>9.3639779297459725E-18</v>
      </c>
      <c r="AB289" s="8">
        <f t="shared" si="127"/>
        <v>15465.7</v>
      </c>
      <c r="AC289" s="8">
        <f t="shared" si="128"/>
        <v>1546570</v>
      </c>
      <c r="AD289" s="8">
        <f t="shared" si="133"/>
        <v>7732.85</v>
      </c>
      <c r="AE289" s="8" t="str">
        <f t="shared" si="129"/>
        <v/>
      </c>
      <c r="AF289" s="22" t="str">
        <f t="shared" si="130"/>
        <v>CA_Orang_2020g</v>
      </c>
      <c r="AG289" s="89">
        <v>1</v>
      </c>
      <c r="AH289" s="274">
        <v>7978</v>
      </c>
      <c r="AI289" s="279">
        <v>5947</v>
      </c>
      <c r="AJ289" s="280">
        <v>2031</v>
      </c>
      <c r="AK289" s="92">
        <v>3916</v>
      </c>
      <c r="AL289" s="23" t="s">
        <v>4551</v>
      </c>
      <c r="AM289" s="353">
        <f t="shared" si="131"/>
        <v>2.5320548051494599E-3</v>
      </c>
      <c r="AN289" s="354"/>
      <c r="AP289" s="23">
        <f t="shared" si="134"/>
        <v>0</v>
      </c>
      <c r="AQ289" s="392">
        <f t="shared" si="112"/>
        <v>0</v>
      </c>
      <c r="AR289" s="392">
        <f t="shared" si="113"/>
        <v>0</v>
      </c>
      <c r="AS289" s="392">
        <f t="shared" si="113"/>
        <v>0</v>
      </c>
    </row>
    <row r="290" spans="1:45">
      <c r="A290" s="12" t="s">
        <v>1617</v>
      </c>
      <c r="B290" s="54" t="str">
        <f t="shared" si="115"/>
        <v>AZ_Maric_2020g</v>
      </c>
      <c r="C290" s="12"/>
      <c r="D290" s="54" t="str">
        <f t="shared" si="116"/>
        <v>Gen-mcccd - dist 1 (vote for1)</v>
      </c>
      <c r="E290" s="54" t="s">
        <v>1299</v>
      </c>
      <c r="G290" s="59">
        <v>1219</v>
      </c>
      <c r="H290"/>
      <c r="K290" s="2"/>
      <c r="O290">
        <f t="shared" si="117"/>
        <v>-2</v>
      </c>
      <c r="P290" s="57">
        <f t="shared" si="118"/>
        <v>1</v>
      </c>
      <c r="Q290" s="267">
        <f t="shared" si="119"/>
        <v>1219</v>
      </c>
      <c r="R290" s="23">
        <f t="shared" si="120"/>
        <v>1</v>
      </c>
      <c r="S290" s="23">
        <f t="shared" si="121"/>
        <v>0</v>
      </c>
      <c r="T290" s="23" t="str">
        <f t="shared" si="122"/>
        <v/>
      </c>
      <c r="U290" t="str">
        <f t="shared" si="123"/>
        <v/>
      </c>
      <c r="W290" s="1">
        <f t="shared" si="124"/>
        <v>88</v>
      </c>
      <c r="X290" s="73">
        <f t="shared" si="132"/>
        <v>66.69447793585725</v>
      </c>
      <c r="Y290" s="322">
        <f t="shared" si="125"/>
        <v>3078.09</v>
      </c>
      <c r="Z290" s="43">
        <f t="shared" si="114"/>
        <v>9.2388552113979197E-17</v>
      </c>
      <c r="AA290" s="52">
        <f t="shared" si="126"/>
        <v>9.2388552113979198E-19</v>
      </c>
      <c r="AB290" s="8">
        <f t="shared" si="127"/>
        <v>15465.7</v>
      </c>
      <c r="AC290" s="8">
        <f t="shared" si="128"/>
        <v>1546570</v>
      </c>
      <c r="AD290" s="8">
        <f t="shared" si="133"/>
        <v>7732.85</v>
      </c>
      <c r="AE290" s="8" t="str">
        <f t="shared" si="129"/>
        <v/>
      </c>
      <c r="AF290" s="22" t="str">
        <f t="shared" si="130"/>
        <v>CA_Orang_2020g</v>
      </c>
      <c r="AG290" s="89">
        <v>1</v>
      </c>
      <c r="AH290" s="274">
        <v>44610</v>
      </c>
      <c r="AI290" s="279">
        <v>16386</v>
      </c>
      <c r="AJ290" s="280">
        <v>12239</v>
      </c>
      <c r="AK290" s="92">
        <v>4147</v>
      </c>
      <c r="AL290" s="23" t="s">
        <v>4548</v>
      </c>
      <c r="AM290" s="353">
        <f t="shared" si="131"/>
        <v>2.6814175885992875E-3</v>
      </c>
      <c r="AN290" s="354"/>
      <c r="AP290" s="23">
        <f t="shared" si="134"/>
        <v>0</v>
      </c>
      <c r="AQ290" s="392">
        <f t="shared" si="112"/>
        <v>0</v>
      </c>
      <c r="AR290" s="392">
        <f t="shared" si="113"/>
        <v>0</v>
      </c>
      <c r="AS290" s="392">
        <f t="shared" si="113"/>
        <v>0</v>
      </c>
    </row>
    <row r="291" spans="1:45">
      <c r="A291" s="12" t="s">
        <v>1616</v>
      </c>
      <c r="B291" s="54" t="str">
        <f t="shared" si="115"/>
        <v>AZ_Maric_2020g</v>
      </c>
      <c r="C291" s="12"/>
      <c r="D291" s="54" t="str">
        <f t="shared" si="116"/>
        <v>Gen-mcccd at-large (vote for1)</v>
      </c>
      <c r="E291" s="54" t="s">
        <v>1984</v>
      </c>
      <c r="F291" s="12" t="s">
        <v>1300</v>
      </c>
      <c r="G291" s="59">
        <v>908819</v>
      </c>
      <c r="H291"/>
      <c r="K291" s="2"/>
      <c r="O291">
        <f t="shared" si="117"/>
        <v>1</v>
      </c>
      <c r="P291" s="57">
        <f t="shared" si="118"/>
        <v>1</v>
      </c>
      <c r="Q291" s="267">
        <f t="shared" si="119"/>
        <v>1440169</v>
      </c>
      <c r="R291" s="23">
        <f t="shared" si="120"/>
        <v>908819</v>
      </c>
      <c r="S291" s="23">
        <f t="shared" si="121"/>
        <v>524368</v>
      </c>
      <c r="T291" s="23">
        <f t="shared" si="122"/>
        <v>384451</v>
      </c>
      <c r="U291" t="str">
        <f t="shared" si="123"/>
        <v>AZ_Maric_2020g~Gen-mcccd at-large (vote for1)</v>
      </c>
      <c r="W291" s="1">
        <f t="shared" si="124"/>
        <v>89</v>
      </c>
      <c r="X291" s="73">
        <f t="shared" si="132"/>
        <v>15.128</v>
      </c>
      <c r="Y291" s="322">
        <f t="shared" si="125"/>
        <v>711.32100000000003</v>
      </c>
      <c r="Z291" s="43">
        <f t="shared" si="114"/>
        <v>4.2261908462739836E-17</v>
      </c>
      <c r="AA291" s="52">
        <f t="shared" si="126"/>
        <v>4.2261908462739837E-19</v>
      </c>
      <c r="AB291" s="8">
        <f t="shared" si="127"/>
        <v>15465.7</v>
      </c>
      <c r="AC291" s="8">
        <f t="shared" si="128"/>
        <v>1546570</v>
      </c>
      <c r="AD291" s="8">
        <f t="shared" si="133"/>
        <v>7732.85</v>
      </c>
      <c r="AE291" s="8" t="str">
        <f t="shared" si="129"/>
        <v/>
      </c>
      <c r="AF291" s="22" t="str">
        <f t="shared" si="130"/>
        <v>CA_Orang_2020g</v>
      </c>
      <c r="AG291">
        <v>1</v>
      </c>
      <c r="AH291" s="272">
        <v>10309</v>
      </c>
      <c r="AI291" s="273">
        <v>7267</v>
      </c>
      <c r="AJ291" s="274">
        <v>3042</v>
      </c>
      <c r="AK291" s="339">
        <v>4225</v>
      </c>
      <c r="AL291" s="340" t="s">
        <v>4503</v>
      </c>
      <c r="AM291" s="353">
        <f t="shared" si="131"/>
        <v>2.73185177521871E-3</v>
      </c>
      <c r="AN291" s="354"/>
      <c r="AP291" s="23">
        <f t="shared" si="134"/>
        <v>0</v>
      </c>
      <c r="AQ291" s="392">
        <f t="shared" si="112"/>
        <v>0</v>
      </c>
      <c r="AR291" s="392">
        <f t="shared" si="113"/>
        <v>0</v>
      </c>
      <c r="AS291" s="392">
        <f t="shared" si="113"/>
        <v>0</v>
      </c>
    </row>
    <row r="292" spans="1:45">
      <c r="A292" s="12" t="s">
        <v>1616</v>
      </c>
      <c r="B292" s="54" t="str">
        <f t="shared" si="115"/>
        <v>AZ_Maric_2020g</v>
      </c>
      <c r="C292" s="12"/>
      <c r="D292" s="54" t="str">
        <f t="shared" si="116"/>
        <v>Gen-mcccd at-large (vote for1)</v>
      </c>
      <c r="E292" s="54" t="s">
        <v>1983</v>
      </c>
      <c r="F292" s="12" t="s">
        <v>1300</v>
      </c>
      <c r="G292" s="59">
        <v>524368</v>
      </c>
      <c r="H292"/>
      <c r="K292" s="2"/>
      <c r="O292">
        <f t="shared" si="117"/>
        <v>2</v>
      </c>
      <c r="P292" s="57">
        <f t="shared" si="118"/>
        <v>1</v>
      </c>
      <c r="Q292" s="267">
        <f t="shared" si="119"/>
        <v>531350</v>
      </c>
      <c r="R292" s="23" t="str">
        <f t="shared" si="120"/>
        <v/>
      </c>
      <c r="S292" s="23">
        <f t="shared" si="121"/>
        <v>524368</v>
      </c>
      <c r="T292" s="23" t="str">
        <f t="shared" si="122"/>
        <v/>
      </c>
      <c r="U292" t="str">
        <f t="shared" si="123"/>
        <v/>
      </c>
      <c r="W292" s="1">
        <f t="shared" si="124"/>
        <v>90</v>
      </c>
      <c r="X292" s="73">
        <f t="shared" si="132"/>
        <v>22.288425925925928</v>
      </c>
      <c r="Y292" s="322">
        <f t="shared" si="125"/>
        <v>1071.5700000000002</v>
      </c>
      <c r="Z292" s="43">
        <f t="shared" si="114"/>
        <v>1.6301456570537359E-17</v>
      </c>
      <c r="AA292" s="52">
        <f t="shared" si="126"/>
        <v>1.6301456570537361E-19</v>
      </c>
      <c r="AB292" s="8">
        <f t="shared" si="127"/>
        <v>15465.7</v>
      </c>
      <c r="AC292" s="8">
        <f t="shared" si="128"/>
        <v>1546570</v>
      </c>
      <c r="AD292" s="8">
        <f t="shared" si="133"/>
        <v>7732.85</v>
      </c>
      <c r="AE292" s="8" t="str">
        <f t="shared" si="129"/>
        <v/>
      </c>
      <c r="AF292" s="22" t="str">
        <f t="shared" si="130"/>
        <v>CA_Orang_2020g</v>
      </c>
      <c r="AG292">
        <v>1</v>
      </c>
      <c r="AH292" s="272">
        <v>15530</v>
      </c>
      <c r="AI292" s="273">
        <v>7861</v>
      </c>
      <c r="AJ292" s="274">
        <v>3541</v>
      </c>
      <c r="AK292" s="339">
        <v>4320</v>
      </c>
      <c r="AL292" s="340" t="s">
        <v>4485</v>
      </c>
      <c r="AM292" s="353">
        <f t="shared" si="131"/>
        <v>2.7932780281526215E-3</v>
      </c>
      <c r="AN292" s="354"/>
      <c r="AP292" s="23">
        <f t="shared" si="134"/>
        <v>0</v>
      </c>
      <c r="AQ292" s="392">
        <f t="shared" si="112"/>
        <v>0</v>
      </c>
      <c r="AR292" s="392">
        <f t="shared" si="113"/>
        <v>0</v>
      </c>
      <c r="AS292" s="392">
        <f t="shared" si="113"/>
        <v>0</v>
      </c>
    </row>
    <row r="293" spans="1:45">
      <c r="A293" s="12" t="s">
        <v>1616</v>
      </c>
      <c r="B293" s="54" t="str">
        <f t="shared" si="115"/>
        <v>AZ_Maric_2020g</v>
      </c>
      <c r="C293" s="12"/>
      <c r="D293" s="54" t="str">
        <f t="shared" si="116"/>
        <v>Gen-mcccd at-large (vote for1)</v>
      </c>
      <c r="E293" s="54" t="s">
        <v>1299</v>
      </c>
      <c r="G293" s="59">
        <v>6982</v>
      </c>
      <c r="H293"/>
      <c r="K293" s="2"/>
      <c r="O293">
        <f t="shared" si="117"/>
        <v>-2</v>
      </c>
      <c r="P293" s="57">
        <f t="shared" si="118"/>
        <v>1</v>
      </c>
      <c r="Q293" s="267">
        <f t="shared" si="119"/>
        <v>6982</v>
      </c>
      <c r="R293" s="23">
        <f t="shared" si="120"/>
        <v>1</v>
      </c>
      <c r="S293" s="23">
        <f t="shared" si="121"/>
        <v>0</v>
      </c>
      <c r="T293" s="23" t="str">
        <f t="shared" si="122"/>
        <v/>
      </c>
      <c r="U293" t="str">
        <f t="shared" si="123"/>
        <v/>
      </c>
      <c r="W293" s="1">
        <f t="shared" si="124"/>
        <v>91</v>
      </c>
      <c r="X293" s="73">
        <f t="shared" si="132"/>
        <v>20.729320646160659</v>
      </c>
      <c r="Y293" s="322">
        <f t="shared" si="125"/>
        <v>1042.5210000000002</v>
      </c>
      <c r="Z293" s="43">
        <f t="shared" si="114"/>
        <v>2.215662625822188E-18</v>
      </c>
      <c r="AA293" s="52">
        <f t="shared" si="126"/>
        <v>2.2156626258221879E-20</v>
      </c>
      <c r="AB293" s="8">
        <f t="shared" si="127"/>
        <v>15465.7</v>
      </c>
      <c r="AC293" s="8">
        <f t="shared" si="128"/>
        <v>1546570</v>
      </c>
      <c r="AD293" s="8">
        <f t="shared" si="133"/>
        <v>7732.85</v>
      </c>
      <c r="AE293" s="8" t="str">
        <f t="shared" si="129"/>
        <v/>
      </c>
      <c r="AF293" s="22" t="str">
        <f t="shared" si="130"/>
        <v>CA_Orang_2020g</v>
      </c>
      <c r="AG293">
        <v>1</v>
      </c>
      <c r="AH293" s="272">
        <v>15109</v>
      </c>
      <c r="AI293" s="273">
        <v>9814</v>
      </c>
      <c r="AJ293" s="274">
        <v>5295</v>
      </c>
      <c r="AK293" s="339">
        <v>4519</v>
      </c>
      <c r="AL293" s="340" t="s">
        <v>4574</v>
      </c>
      <c r="AM293" s="353">
        <f t="shared" si="131"/>
        <v>2.9219498632457631E-3</v>
      </c>
      <c r="AN293" s="354"/>
      <c r="AP293" s="23">
        <f t="shared" si="134"/>
        <v>0</v>
      </c>
      <c r="AQ293" s="392">
        <f t="shared" si="112"/>
        <v>0</v>
      </c>
      <c r="AR293" s="392">
        <f t="shared" si="113"/>
        <v>0</v>
      </c>
      <c r="AS293" s="392">
        <f t="shared" si="113"/>
        <v>0</v>
      </c>
    </row>
    <row r="294" spans="1:45">
      <c r="A294" s="12" t="s">
        <v>1630</v>
      </c>
      <c r="B294" s="54" t="str">
        <f t="shared" si="115"/>
        <v>AZ_Maric_2020g</v>
      </c>
      <c r="C294" s="12"/>
      <c r="D294" s="54" t="str">
        <f t="shared" si="116"/>
        <v>Gen-mesa usd #4-gbm-4yr (vote for3)</v>
      </c>
      <c r="E294" s="54" t="s">
        <v>2030</v>
      </c>
      <c r="F294" s="12" t="s">
        <v>1300</v>
      </c>
      <c r="G294" s="59">
        <v>77014</v>
      </c>
      <c r="H294"/>
      <c r="K294" s="2"/>
      <c r="O294">
        <f t="shared" si="117"/>
        <v>1</v>
      </c>
      <c r="P294" s="57">
        <f t="shared" si="118"/>
        <v>3</v>
      </c>
      <c r="Q294" s="267">
        <f t="shared" si="119"/>
        <v>136874</v>
      </c>
      <c r="R294" s="23">
        <f t="shared" si="120"/>
        <v>70788</v>
      </c>
      <c r="S294" s="23">
        <f t="shared" si="121"/>
        <v>68914</v>
      </c>
      <c r="T294" s="23">
        <f t="shared" si="122"/>
        <v>1874</v>
      </c>
      <c r="U294" t="str">
        <f t="shared" si="123"/>
        <v>AZ_Maric_2020g~Gen-mesa usd #4-gbm-4yr (vote for3)</v>
      </c>
      <c r="W294" s="1">
        <f t="shared" si="124"/>
        <v>92</v>
      </c>
      <c r="X294" s="73">
        <f t="shared" si="132"/>
        <v>41.984456186701898</v>
      </c>
      <c r="Y294" s="322">
        <f t="shared" si="125"/>
        <v>2122.2330000000002</v>
      </c>
      <c r="Z294" s="43">
        <f t="shared" si="114"/>
        <v>1.7592292278802122E-18</v>
      </c>
      <c r="AA294" s="52">
        <f t="shared" si="126"/>
        <v>1.7592292278802123E-20</v>
      </c>
      <c r="AB294" s="8">
        <f t="shared" si="127"/>
        <v>15465.7</v>
      </c>
      <c r="AC294" s="8">
        <f t="shared" si="128"/>
        <v>1546570</v>
      </c>
      <c r="AD294" s="8">
        <f t="shared" si="133"/>
        <v>7732.85</v>
      </c>
      <c r="AE294" s="8" t="str">
        <f t="shared" si="129"/>
        <v/>
      </c>
      <c r="AF294" s="22" t="str">
        <f t="shared" si="130"/>
        <v>CA_Orang_2020g</v>
      </c>
      <c r="AG294" s="89">
        <v>1</v>
      </c>
      <c r="AH294" s="274">
        <v>30757</v>
      </c>
      <c r="AI294" s="279">
        <v>16596</v>
      </c>
      <c r="AJ294" s="280">
        <v>12054</v>
      </c>
      <c r="AK294" s="92">
        <v>4542</v>
      </c>
      <c r="AL294" s="23" t="s">
        <v>4553</v>
      </c>
      <c r="AM294" s="353">
        <f t="shared" si="131"/>
        <v>2.9368214823771313E-3</v>
      </c>
      <c r="AN294" s="354"/>
      <c r="AP294" s="23">
        <f t="shared" si="134"/>
        <v>0</v>
      </c>
      <c r="AQ294" s="392">
        <f t="shared" si="112"/>
        <v>0</v>
      </c>
      <c r="AR294" s="392">
        <f t="shared" si="113"/>
        <v>0</v>
      </c>
      <c r="AS294" s="392">
        <f t="shared" si="113"/>
        <v>0</v>
      </c>
    </row>
    <row r="295" spans="1:45">
      <c r="A295" s="12" t="s">
        <v>1630</v>
      </c>
      <c r="B295" s="54" t="str">
        <f t="shared" si="115"/>
        <v>AZ_Maric_2020g</v>
      </c>
      <c r="C295" s="12"/>
      <c r="D295" s="54" t="str">
        <f t="shared" si="116"/>
        <v>Gen-mesa usd #4-gbm-4yr (vote for3)</v>
      </c>
      <c r="E295" s="54" t="s">
        <v>2033</v>
      </c>
      <c r="F295" s="12" t="s">
        <v>1300</v>
      </c>
      <c r="G295" s="59">
        <v>74830</v>
      </c>
      <c r="H295"/>
      <c r="K295" s="2"/>
      <c r="O295">
        <f t="shared" si="117"/>
        <v>2</v>
      </c>
      <c r="P295" s="57">
        <f t="shared" si="118"/>
        <v>3</v>
      </c>
      <c r="Q295" s="267">
        <f t="shared" si="119"/>
        <v>333608</v>
      </c>
      <c r="R295" s="23">
        <f t="shared" si="120"/>
        <v>70788</v>
      </c>
      <c r="S295" s="23">
        <f t="shared" si="121"/>
        <v>68914</v>
      </c>
      <c r="T295" s="23" t="str">
        <f t="shared" si="122"/>
        <v/>
      </c>
      <c r="U295" t="str">
        <f t="shared" si="123"/>
        <v/>
      </c>
      <c r="W295" s="1">
        <f t="shared" si="124"/>
        <v>93</v>
      </c>
      <c r="X295" s="73">
        <f t="shared" si="132"/>
        <v>27.783093220338984</v>
      </c>
      <c r="Y295" s="322">
        <f t="shared" si="125"/>
        <v>1459.4190000000001</v>
      </c>
      <c r="Z295" s="43">
        <f t="shared" si="114"/>
        <v>2.9509137915302391E-19</v>
      </c>
      <c r="AA295" s="52">
        <f t="shared" si="126"/>
        <v>2.9509137915302393E-21</v>
      </c>
      <c r="AB295" s="8">
        <f t="shared" si="127"/>
        <v>15465.7</v>
      </c>
      <c r="AC295" s="8">
        <f t="shared" si="128"/>
        <v>1546570</v>
      </c>
      <c r="AD295" s="8">
        <f t="shared" si="133"/>
        <v>7732.85</v>
      </c>
      <c r="AE295" s="8" t="str">
        <f t="shared" si="129"/>
        <v/>
      </c>
      <c r="AF295" s="22" t="str">
        <f t="shared" si="130"/>
        <v>CA_Orang_2020g</v>
      </c>
      <c r="AG295">
        <v>1</v>
      </c>
      <c r="AH295" s="272">
        <v>21151</v>
      </c>
      <c r="AI295" s="273">
        <v>11160</v>
      </c>
      <c r="AJ295" s="274">
        <v>6440</v>
      </c>
      <c r="AK295" s="339">
        <v>4720</v>
      </c>
      <c r="AL295" s="340" t="s">
        <v>4486</v>
      </c>
      <c r="AM295" s="353">
        <f t="shared" si="131"/>
        <v>3.0519148826111979E-3</v>
      </c>
      <c r="AN295" s="354"/>
      <c r="AP295" s="23">
        <f t="shared" si="134"/>
        <v>0</v>
      </c>
      <c r="AQ295" s="392">
        <f t="shared" si="112"/>
        <v>0</v>
      </c>
      <c r="AR295" s="392">
        <f t="shared" si="113"/>
        <v>0</v>
      </c>
      <c r="AS295" s="392">
        <f t="shared" si="113"/>
        <v>0</v>
      </c>
    </row>
    <row r="296" spans="1:45">
      <c r="A296" s="12" t="s">
        <v>1630</v>
      </c>
      <c r="B296" s="54" t="str">
        <f t="shared" si="115"/>
        <v>AZ_Maric_2020g</v>
      </c>
      <c r="C296" s="12"/>
      <c r="D296" s="54" t="str">
        <f t="shared" si="116"/>
        <v>Gen-mesa usd #4-gbm-4yr (vote for3)</v>
      </c>
      <c r="E296" s="54" t="s">
        <v>2032</v>
      </c>
      <c r="F296" s="12" t="s">
        <v>1300</v>
      </c>
      <c r="G296" s="59">
        <v>70788</v>
      </c>
      <c r="H296"/>
      <c r="K296" s="2"/>
      <c r="O296">
        <f t="shared" si="117"/>
        <v>3</v>
      </c>
      <c r="P296" s="57">
        <f t="shared" si="118"/>
        <v>3</v>
      </c>
      <c r="Q296" s="267">
        <f t="shared" si="119"/>
        <v>258778</v>
      </c>
      <c r="R296" s="23">
        <f t="shared" si="120"/>
        <v>70788</v>
      </c>
      <c r="S296" s="23">
        <f t="shared" si="121"/>
        <v>68914</v>
      </c>
      <c r="T296" s="23" t="str">
        <f t="shared" si="122"/>
        <v/>
      </c>
      <c r="U296" t="str">
        <f t="shared" si="123"/>
        <v/>
      </c>
      <c r="W296" s="1">
        <f t="shared" si="124"/>
        <v>94</v>
      </c>
      <c r="X296" s="73">
        <f t="shared" si="132"/>
        <v>166.16848434584284</v>
      </c>
      <c r="Y296" s="322">
        <f t="shared" si="125"/>
        <v>8919.1470000000008</v>
      </c>
      <c r="Z296" s="43">
        <f t="shared" si="114"/>
        <v>1.0501439779106539E-19</v>
      </c>
      <c r="AA296" s="52">
        <f t="shared" si="126"/>
        <v>1.0501439779106539E-21</v>
      </c>
      <c r="AB296" s="8">
        <f t="shared" si="127"/>
        <v>15465.7</v>
      </c>
      <c r="AC296" s="8">
        <f t="shared" si="128"/>
        <v>1546570</v>
      </c>
      <c r="AD296" s="8">
        <f t="shared" si="133"/>
        <v>7732.85</v>
      </c>
      <c r="AE296" s="8" t="str">
        <f t="shared" si="129"/>
        <v/>
      </c>
      <c r="AF296" s="22" t="str">
        <f t="shared" si="130"/>
        <v>CA_Orang_2020g</v>
      </c>
      <c r="AG296" s="89">
        <v>1</v>
      </c>
      <c r="AH296" s="274">
        <v>129263</v>
      </c>
      <c r="AI296" s="279">
        <v>67043</v>
      </c>
      <c r="AJ296" s="280">
        <v>62220</v>
      </c>
      <c r="AK296" s="92">
        <v>4823</v>
      </c>
      <c r="AL296" s="23" t="s">
        <v>4629</v>
      </c>
      <c r="AM296" s="353">
        <f t="shared" si="131"/>
        <v>3.1185138726342811E-3</v>
      </c>
      <c r="AN296" s="354"/>
      <c r="AP296" s="23">
        <f t="shared" si="134"/>
        <v>0</v>
      </c>
      <c r="AQ296" s="392">
        <f t="shared" si="112"/>
        <v>0</v>
      </c>
      <c r="AR296" s="392">
        <f t="shared" si="113"/>
        <v>0</v>
      </c>
      <c r="AS296" s="392">
        <f t="shared" si="113"/>
        <v>0</v>
      </c>
    </row>
    <row r="297" spans="1:45">
      <c r="A297" s="12" t="s">
        <v>1630</v>
      </c>
      <c r="B297" s="54" t="str">
        <f t="shared" si="115"/>
        <v>AZ_Maric_2020g</v>
      </c>
      <c r="C297" s="12"/>
      <c r="D297" s="54" t="str">
        <f t="shared" si="116"/>
        <v>Gen-mesa usd #4-gbm-4yr (vote for3)</v>
      </c>
      <c r="E297" s="54" t="s">
        <v>2034</v>
      </c>
      <c r="F297" s="12" t="s">
        <v>1300</v>
      </c>
      <c r="G297" s="59">
        <v>68914</v>
      </c>
      <c r="H297"/>
      <c r="K297" s="2"/>
      <c r="O297">
        <f t="shared" si="117"/>
        <v>4</v>
      </c>
      <c r="P297" s="57">
        <f t="shared" si="118"/>
        <v>3</v>
      </c>
      <c r="Q297" s="267">
        <f t="shared" si="119"/>
        <v>187990</v>
      </c>
      <c r="R297" s="23" t="str">
        <f t="shared" si="120"/>
        <v/>
      </c>
      <c r="S297" s="23">
        <f t="shared" si="121"/>
        <v>68914</v>
      </c>
      <c r="T297" s="23" t="str">
        <f t="shared" si="122"/>
        <v/>
      </c>
      <c r="U297" t="str">
        <f t="shared" si="123"/>
        <v/>
      </c>
      <c r="W297" s="1">
        <f t="shared" si="124"/>
        <v>95</v>
      </c>
      <c r="X297" s="73">
        <f t="shared" si="132"/>
        <v>59.994974463738508</v>
      </c>
      <c r="Y297" s="322">
        <f t="shared" si="125"/>
        <v>3268.3230000000003</v>
      </c>
      <c r="Z297" s="43">
        <f t="shared" si="114"/>
        <v>5.1000133143443018E-20</v>
      </c>
      <c r="AA297" s="52">
        <f t="shared" si="126"/>
        <v>5.1000133143443019E-22</v>
      </c>
      <c r="AB297" s="8">
        <f t="shared" si="127"/>
        <v>15465.7</v>
      </c>
      <c r="AC297" s="8">
        <f t="shared" si="128"/>
        <v>1546570</v>
      </c>
      <c r="AD297" s="8">
        <f t="shared" si="133"/>
        <v>7732.85</v>
      </c>
      <c r="AE297" s="8" t="str">
        <f t="shared" si="129"/>
        <v/>
      </c>
      <c r="AF297" s="22" t="str">
        <f t="shared" si="130"/>
        <v>CA_Orang_2020g</v>
      </c>
      <c r="AG297" s="89">
        <v>1</v>
      </c>
      <c r="AH297" s="274">
        <v>47367</v>
      </c>
      <c r="AI297" s="279">
        <v>26131</v>
      </c>
      <c r="AJ297" s="280">
        <v>21236</v>
      </c>
      <c r="AK297" s="92">
        <v>4895</v>
      </c>
      <c r="AL297" s="23" t="s">
        <v>4637</v>
      </c>
      <c r="AM297" s="353">
        <f t="shared" si="131"/>
        <v>3.1650685064368248E-3</v>
      </c>
      <c r="AN297" s="354"/>
      <c r="AP297" s="23">
        <f t="shared" si="134"/>
        <v>0</v>
      </c>
      <c r="AQ297" s="392">
        <f t="shared" ref="AQ297:AQ360" si="135">IF($AP297=$AD297,1,IF($AP297=0,0, 1-HYPGEOMDIST(0, ROUNDUP(RIGHT(AQ$1,4)*$AD297,0),$AP297, $AD297)))</f>
        <v>0</v>
      </c>
      <c r="AR297" s="392">
        <f t="shared" ref="AR297:AS360" si="136">IF($AP297=$AD297,1,IF($AP297=0,0, 1-HYPGEOMDIST(0, ROUNDUP(RIGHT(AR$1,4)*$AD297,0),$AP297, $AD297)))</f>
        <v>0</v>
      </c>
      <c r="AS297" s="392">
        <f t="shared" si="136"/>
        <v>0</v>
      </c>
    </row>
    <row r="298" spans="1:45">
      <c r="A298" s="12" t="s">
        <v>1630</v>
      </c>
      <c r="B298" s="54" t="str">
        <f t="shared" si="115"/>
        <v>AZ_Maric_2020g</v>
      </c>
      <c r="C298" s="12"/>
      <c r="D298" s="54" t="str">
        <f t="shared" si="116"/>
        <v>Gen-mesa usd #4-gbm-4yr (vote for3)</v>
      </c>
      <c r="E298" s="54" t="s">
        <v>2031</v>
      </c>
      <c r="F298" s="12" t="s">
        <v>1300</v>
      </c>
      <c r="G298" s="59">
        <v>58864</v>
      </c>
      <c r="H298"/>
      <c r="K298" s="2"/>
      <c r="O298">
        <f t="shared" si="117"/>
        <v>5</v>
      </c>
      <c r="P298" s="57">
        <f t="shared" si="118"/>
        <v>3</v>
      </c>
      <c r="Q298" s="267">
        <f t="shared" si="119"/>
        <v>119076</v>
      </c>
      <c r="R298" s="23" t="str">
        <f t="shared" si="120"/>
        <v/>
      </c>
      <c r="S298" s="23">
        <f t="shared" si="121"/>
        <v>58864</v>
      </c>
      <c r="T298" s="23" t="str">
        <f t="shared" si="122"/>
        <v/>
      </c>
      <c r="U298" t="str">
        <f t="shared" si="123"/>
        <v/>
      </c>
      <c r="W298" s="1">
        <f t="shared" si="124"/>
        <v>96</v>
      </c>
      <c r="X298" s="73">
        <f t="shared" si="132"/>
        <v>31.831031681559708</v>
      </c>
      <c r="Y298" s="322">
        <f t="shared" si="125"/>
        <v>1744.3200000000002</v>
      </c>
      <c r="Z298" s="43">
        <f t="shared" si="114"/>
        <v>3.8126314877264699E-20</v>
      </c>
      <c r="AA298" s="52">
        <f t="shared" si="126"/>
        <v>3.8126314877264698E-22</v>
      </c>
      <c r="AB298" s="8">
        <f t="shared" si="127"/>
        <v>15465.7</v>
      </c>
      <c r="AC298" s="8">
        <f t="shared" si="128"/>
        <v>1546570</v>
      </c>
      <c r="AD298" s="8">
        <f t="shared" si="133"/>
        <v>7732.85</v>
      </c>
      <c r="AE298" s="8" t="str">
        <f t="shared" si="129"/>
        <v/>
      </c>
      <c r="AF298" s="22" t="str">
        <f t="shared" si="130"/>
        <v>CA_Orang_2020g</v>
      </c>
      <c r="AG298" s="89">
        <v>1</v>
      </c>
      <c r="AH298" s="274">
        <v>25280</v>
      </c>
      <c r="AI298" s="279">
        <v>13056</v>
      </c>
      <c r="AJ298" s="280">
        <v>8132</v>
      </c>
      <c r="AK298" s="92">
        <v>4924</v>
      </c>
      <c r="AL298" s="23" t="s">
        <v>4604</v>
      </c>
      <c r="AM298" s="353">
        <f t="shared" si="131"/>
        <v>3.1838196783850713E-3</v>
      </c>
      <c r="AN298" s="354"/>
      <c r="AP298" s="23">
        <f t="shared" si="134"/>
        <v>0</v>
      </c>
      <c r="AQ298" s="392">
        <f t="shared" si="135"/>
        <v>0</v>
      </c>
      <c r="AR298" s="392">
        <f t="shared" si="136"/>
        <v>0</v>
      </c>
      <c r="AS298" s="392">
        <f t="shared" si="136"/>
        <v>0</v>
      </c>
    </row>
    <row r="299" spans="1:45">
      <c r="A299" s="12" t="s">
        <v>1630</v>
      </c>
      <c r="B299" s="54" t="str">
        <f t="shared" si="115"/>
        <v>AZ_Maric_2020g</v>
      </c>
      <c r="C299" s="12"/>
      <c r="D299" s="54" t="str">
        <f t="shared" si="116"/>
        <v>Gen-mesa usd #4-gbm-4yr (vote for3)</v>
      </c>
      <c r="E299" s="54" t="s">
        <v>2029</v>
      </c>
      <c r="F299" s="12" t="s">
        <v>1300</v>
      </c>
      <c r="G299" s="59">
        <v>58618</v>
      </c>
      <c r="H299"/>
      <c r="K299" s="2"/>
      <c r="O299">
        <f t="shared" si="117"/>
        <v>6</v>
      </c>
      <c r="P299" s="57">
        <f t="shared" si="118"/>
        <v>3</v>
      </c>
      <c r="Q299" s="267">
        <f t="shared" si="119"/>
        <v>60212</v>
      </c>
      <c r="R299" s="23" t="str">
        <f t="shared" si="120"/>
        <v/>
      </c>
      <c r="S299" s="23">
        <f t="shared" si="121"/>
        <v>58618</v>
      </c>
      <c r="T299" s="23" t="str">
        <f t="shared" si="122"/>
        <v/>
      </c>
      <c r="U299" t="str">
        <f t="shared" si="123"/>
        <v/>
      </c>
      <c r="W299" s="1">
        <f t="shared" si="124"/>
        <v>97</v>
      </c>
      <c r="X299" s="73">
        <f t="shared" si="132"/>
        <v>165.49183511692431</v>
      </c>
      <c r="Y299" s="322">
        <f t="shared" si="125"/>
        <v>9293.5410000000011</v>
      </c>
      <c r="Z299" s="43">
        <f t="shared" si="114"/>
        <v>1.1211719630689943E-20</v>
      </c>
      <c r="AA299" s="52">
        <f t="shared" si="126"/>
        <v>1.1211719630689943E-22</v>
      </c>
      <c r="AB299" s="8">
        <f t="shared" si="127"/>
        <v>15465.7</v>
      </c>
      <c r="AC299" s="8">
        <f t="shared" si="128"/>
        <v>1546570</v>
      </c>
      <c r="AD299" s="8">
        <f t="shared" si="133"/>
        <v>7732.85</v>
      </c>
      <c r="AE299" s="8" t="str">
        <f t="shared" si="129"/>
        <v/>
      </c>
      <c r="AF299" s="22" t="str">
        <f t="shared" si="130"/>
        <v>CA_Orang_2020g</v>
      </c>
      <c r="AG299" s="89">
        <v>1</v>
      </c>
      <c r="AH299" s="274">
        <v>134689</v>
      </c>
      <c r="AI299" s="279">
        <v>34452</v>
      </c>
      <c r="AJ299" s="280">
        <v>29406</v>
      </c>
      <c r="AK299" s="92">
        <v>5046</v>
      </c>
      <c r="AL299" s="23" t="s">
        <v>4609</v>
      </c>
      <c r="AM299" s="353">
        <f t="shared" si="131"/>
        <v>3.2627039189949371E-3</v>
      </c>
      <c r="AN299" s="354"/>
      <c r="AP299" s="23">
        <f t="shared" si="134"/>
        <v>0</v>
      </c>
      <c r="AQ299" s="392">
        <f t="shared" si="135"/>
        <v>0</v>
      </c>
      <c r="AR299" s="392">
        <f t="shared" si="136"/>
        <v>0</v>
      </c>
      <c r="AS299" s="392">
        <f t="shared" si="136"/>
        <v>0</v>
      </c>
    </row>
    <row r="300" spans="1:45">
      <c r="A300" s="12" t="s">
        <v>1630</v>
      </c>
      <c r="B300" s="54" t="str">
        <f t="shared" si="115"/>
        <v>AZ_Maric_2020g</v>
      </c>
      <c r="C300" s="12"/>
      <c r="D300" s="54" t="str">
        <f t="shared" si="116"/>
        <v>Gen-mesa usd #4-gbm-4yr (vote for3)</v>
      </c>
      <c r="E300" s="54" t="s">
        <v>1299</v>
      </c>
      <c r="G300" s="59">
        <v>1594</v>
      </c>
      <c r="H300"/>
      <c r="K300" s="2"/>
      <c r="O300">
        <f t="shared" si="117"/>
        <v>-6</v>
      </c>
      <c r="P300" s="57">
        <f t="shared" si="118"/>
        <v>3</v>
      </c>
      <c r="Q300" s="267">
        <f t="shared" si="119"/>
        <v>1594</v>
      </c>
      <c r="R300" s="23">
        <f t="shared" si="120"/>
        <v>1</v>
      </c>
      <c r="S300" s="23">
        <f t="shared" si="121"/>
        <v>0</v>
      </c>
      <c r="T300" s="23" t="str">
        <f t="shared" si="122"/>
        <v/>
      </c>
      <c r="U300" t="str">
        <f t="shared" si="123"/>
        <v/>
      </c>
      <c r="W300" s="1">
        <f t="shared" si="124"/>
        <v>98</v>
      </c>
      <c r="X300" s="73">
        <f t="shared" si="132"/>
        <v>23.617765495459931</v>
      </c>
      <c r="Y300" s="322">
        <f t="shared" si="125"/>
        <v>1331.5620000000001</v>
      </c>
      <c r="Z300" s="43">
        <f t="shared" ref="Z300:Z318" si="137">AA300*100</f>
        <v>9.1733601556105354E-21</v>
      </c>
      <c r="AA300" s="52">
        <f t="shared" si="126"/>
        <v>9.1733601556105361E-23</v>
      </c>
      <c r="AB300" s="8">
        <f t="shared" si="127"/>
        <v>15465.7</v>
      </c>
      <c r="AC300" s="8">
        <f t="shared" si="128"/>
        <v>1546570</v>
      </c>
      <c r="AD300" s="8">
        <f t="shared" si="133"/>
        <v>7732.85</v>
      </c>
      <c r="AE300" s="8" t="str">
        <f t="shared" si="129"/>
        <v/>
      </c>
      <c r="AF300" s="22" t="str">
        <f t="shared" si="130"/>
        <v>CA_Orang_2020g</v>
      </c>
      <c r="AG300" s="89">
        <v>1</v>
      </c>
      <c r="AH300" s="274">
        <v>19298</v>
      </c>
      <c r="AI300" s="279">
        <v>12182</v>
      </c>
      <c r="AJ300" s="280">
        <v>7116</v>
      </c>
      <c r="AK300" s="92">
        <v>5066</v>
      </c>
      <c r="AL300" s="23" t="s">
        <v>4603</v>
      </c>
      <c r="AM300" s="353">
        <f t="shared" si="131"/>
        <v>3.2756357617178661E-3</v>
      </c>
      <c r="AN300" s="354"/>
      <c r="AP300" s="23">
        <f t="shared" si="134"/>
        <v>0</v>
      </c>
      <c r="AQ300" s="392">
        <f t="shared" si="135"/>
        <v>0</v>
      </c>
      <c r="AR300" s="392">
        <f t="shared" si="136"/>
        <v>0</v>
      </c>
      <c r="AS300" s="392">
        <f t="shared" si="136"/>
        <v>0</v>
      </c>
    </row>
    <row r="301" spans="1:45">
      <c r="A301" s="12" t="s">
        <v>1685</v>
      </c>
      <c r="B301" s="54" t="str">
        <f t="shared" si="115"/>
        <v>AZ_Maric_2020g</v>
      </c>
      <c r="C301" s="12"/>
      <c r="D301" s="54" t="str">
        <f t="shared" si="116"/>
        <v>Gen-mesa-question 1 (vote for1)</v>
      </c>
      <c r="E301" s="54" t="s">
        <v>2001</v>
      </c>
      <c r="F301" s="12" t="s">
        <v>1300</v>
      </c>
      <c r="G301" s="59">
        <v>144671</v>
      </c>
      <c r="H301"/>
      <c r="K301" s="2"/>
      <c r="O301">
        <f t="shared" si="117"/>
        <v>1</v>
      </c>
      <c r="P301" s="57">
        <f t="shared" si="118"/>
        <v>1</v>
      </c>
      <c r="Q301" s="267">
        <f t="shared" si="119"/>
        <v>210576</v>
      </c>
      <c r="R301" s="23">
        <f t="shared" si="120"/>
        <v>144671</v>
      </c>
      <c r="S301" s="23">
        <f t="shared" si="121"/>
        <v>65905</v>
      </c>
      <c r="T301" s="23">
        <f t="shared" si="122"/>
        <v>78766</v>
      </c>
      <c r="U301" t="str">
        <f t="shared" si="123"/>
        <v>AZ_Maric_2020g~Gen-mesa-question 1 (vote for1)</v>
      </c>
      <c r="W301" s="1">
        <f t="shared" si="124"/>
        <v>99</v>
      </c>
      <c r="X301" s="73">
        <f t="shared" si="132"/>
        <v>27.584022038567493</v>
      </c>
      <c r="Y301" s="322">
        <f t="shared" si="125"/>
        <v>1560.0900000000001</v>
      </c>
      <c r="Z301" s="43">
        <f t="shared" si="137"/>
        <v>7.8129060734263936E-21</v>
      </c>
      <c r="AA301" s="52">
        <f t="shared" si="126"/>
        <v>7.812906073426394E-23</v>
      </c>
      <c r="AB301" s="8">
        <f t="shared" si="127"/>
        <v>15465.7</v>
      </c>
      <c r="AC301" s="8">
        <f t="shared" si="128"/>
        <v>1546570</v>
      </c>
      <c r="AD301" s="8">
        <f t="shared" si="133"/>
        <v>7732.85</v>
      </c>
      <c r="AE301" s="8" t="str">
        <f t="shared" si="129"/>
        <v/>
      </c>
      <c r="AF301" s="22" t="str">
        <f t="shared" si="130"/>
        <v>CA_Orang_2020g</v>
      </c>
      <c r="AG301" s="89">
        <v>1</v>
      </c>
      <c r="AH301" s="274">
        <v>22610</v>
      </c>
      <c r="AI301" s="279">
        <v>13846</v>
      </c>
      <c r="AJ301" s="280">
        <v>8764</v>
      </c>
      <c r="AK301" s="92">
        <v>5082</v>
      </c>
      <c r="AL301" s="23" t="s">
        <v>4608</v>
      </c>
      <c r="AM301" s="353">
        <f t="shared" si="131"/>
        <v>3.2859812358962091E-3</v>
      </c>
      <c r="AN301" s="354"/>
      <c r="AP301" s="23">
        <f t="shared" si="134"/>
        <v>0</v>
      </c>
      <c r="AQ301" s="392">
        <f t="shared" si="135"/>
        <v>0</v>
      </c>
      <c r="AR301" s="392">
        <f t="shared" si="136"/>
        <v>0</v>
      </c>
      <c r="AS301" s="392">
        <f t="shared" si="136"/>
        <v>0</v>
      </c>
    </row>
    <row r="302" spans="1:45">
      <c r="A302" s="12" t="s">
        <v>1685</v>
      </c>
      <c r="B302" s="54" t="str">
        <f t="shared" si="115"/>
        <v>AZ_Maric_2020g</v>
      </c>
      <c r="C302" s="12"/>
      <c r="D302" s="54" t="str">
        <f t="shared" si="116"/>
        <v>Gen-mesa-question 1 (vote for1)</v>
      </c>
      <c r="E302" s="54" t="s">
        <v>2002</v>
      </c>
      <c r="F302" s="12" t="s">
        <v>1300</v>
      </c>
      <c r="G302" s="59">
        <v>65905</v>
      </c>
      <c r="H302"/>
      <c r="K302" s="2"/>
      <c r="O302">
        <f t="shared" si="117"/>
        <v>2</v>
      </c>
      <c r="P302" s="57">
        <f t="shared" si="118"/>
        <v>1</v>
      </c>
      <c r="Q302" s="267">
        <f t="shared" si="119"/>
        <v>65905</v>
      </c>
      <c r="R302" s="23" t="str">
        <f t="shared" si="120"/>
        <v/>
      </c>
      <c r="S302" s="23">
        <f t="shared" si="121"/>
        <v>65905</v>
      </c>
      <c r="T302" s="23" t="str">
        <f t="shared" si="122"/>
        <v/>
      </c>
      <c r="U302" t="str">
        <f t="shared" si="123"/>
        <v/>
      </c>
      <c r="W302" s="1">
        <f t="shared" si="124"/>
        <v>100</v>
      </c>
      <c r="X302" s="73">
        <f t="shared" si="132"/>
        <v>357.02039383895499</v>
      </c>
      <c r="Y302" s="322">
        <f t="shared" si="125"/>
        <v>20379.012000000002</v>
      </c>
      <c r="Z302" s="43">
        <f t="shared" si="137"/>
        <v>4.8754884746991081E-21</v>
      </c>
      <c r="AA302" s="52">
        <f t="shared" si="126"/>
        <v>4.8754884746991084E-23</v>
      </c>
      <c r="AB302" s="8">
        <f t="shared" si="127"/>
        <v>15465.7</v>
      </c>
      <c r="AC302" s="8">
        <f t="shared" si="128"/>
        <v>1546570</v>
      </c>
      <c r="AD302" s="8">
        <f t="shared" si="133"/>
        <v>7732.85</v>
      </c>
      <c r="AE302" s="8" t="str">
        <f t="shared" si="129"/>
        <v/>
      </c>
      <c r="AF302" s="22" t="str">
        <f t="shared" si="130"/>
        <v>CA_Orang_2020g</v>
      </c>
      <c r="AG302">
        <v>1</v>
      </c>
      <c r="AH302" s="272">
        <v>295348</v>
      </c>
      <c r="AI302" s="273">
        <v>43744</v>
      </c>
      <c r="AJ302" s="274">
        <v>38615</v>
      </c>
      <c r="AK302" s="339">
        <v>5129</v>
      </c>
      <c r="AL302" s="340" t="s">
        <v>4507</v>
      </c>
      <c r="AM302" s="353">
        <f t="shared" si="131"/>
        <v>3.3163710662950916E-3</v>
      </c>
      <c r="AN302" s="354"/>
      <c r="AP302" s="23">
        <f t="shared" si="134"/>
        <v>0</v>
      </c>
      <c r="AQ302" s="392">
        <f t="shared" si="135"/>
        <v>0</v>
      </c>
      <c r="AR302" s="392">
        <f t="shared" si="136"/>
        <v>0</v>
      </c>
      <c r="AS302" s="392">
        <f t="shared" si="136"/>
        <v>0</v>
      </c>
    </row>
    <row r="303" spans="1:45">
      <c r="A303" s="12" t="s">
        <v>1655</v>
      </c>
      <c r="B303" s="54" t="str">
        <f t="shared" si="115"/>
        <v>AZ_Maric_2020g</v>
      </c>
      <c r="C303" s="12"/>
      <c r="D303" s="54" t="str">
        <f t="shared" si="116"/>
        <v>Gen-palo verde esd #49-question  (vote for1)</v>
      </c>
      <c r="E303" s="54" t="s">
        <v>2015</v>
      </c>
      <c r="F303" s="12" t="s">
        <v>1300</v>
      </c>
      <c r="G303" s="59">
        <v>570</v>
      </c>
      <c r="H303"/>
      <c r="K303" s="2"/>
      <c r="O303">
        <f t="shared" si="117"/>
        <v>1</v>
      </c>
      <c r="P303" s="57">
        <f t="shared" si="118"/>
        <v>1</v>
      </c>
      <c r="Q303" s="267">
        <f t="shared" si="119"/>
        <v>1036</v>
      </c>
      <c r="R303" s="23">
        <f t="shared" si="120"/>
        <v>570</v>
      </c>
      <c r="S303" s="23">
        <f t="shared" si="121"/>
        <v>466</v>
      </c>
      <c r="T303" s="23">
        <f t="shared" si="122"/>
        <v>104</v>
      </c>
      <c r="U303" t="str">
        <f t="shared" si="123"/>
        <v>AZ_Maric_2020g~Gen-palo verde esd #49-question  (vote for1)</v>
      </c>
      <c r="W303" s="1">
        <f t="shared" si="124"/>
        <v>101</v>
      </c>
      <c r="X303" s="73">
        <f t="shared" si="132"/>
        <v>23.367235275185067</v>
      </c>
      <c r="Y303" s="322">
        <f t="shared" si="125"/>
        <v>1615.9800000000002</v>
      </c>
      <c r="Z303" s="43">
        <f t="shared" si="137"/>
        <v>9.0903218870567445E-26</v>
      </c>
      <c r="AA303" s="52">
        <f t="shared" si="126"/>
        <v>9.0903218870567441E-28</v>
      </c>
      <c r="AB303" s="8">
        <f t="shared" si="127"/>
        <v>15465.7</v>
      </c>
      <c r="AC303" s="8">
        <f t="shared" si="128"/>
        <v>1546570</v>
      </c>
      <c r="AD303" s="8">
        <f t="shared" si="133"/>
        <v>7732.85</v>
      </c>
      <c r="AE303" s="8" t="str">
        <f t="shared" si="129"/>
        <v/>
      </c>
      <c r="AF303" s="22" t="str">
        <f t="shared" si="130"/>
        <v>CA_Orang_2020g</v>
      </c>
      <c r="AG303">
        <v>1</v>
      </c>
      <c r="AH303" s="272">
        <v>23420</v>
      </c>
      <c r="AI303" s="273">
        <v>12799</v>
      </c>
      <c r="AJ303" s="274">
        <v>6585</v>
      </c>
      <c r="AK303" s="339">
        <v>6214</v>
      </c>
      <c r="AL303" s="340" t="s">
        <v>4481</v>
      </c>
      <c r="AM303" s="353">
        <f t="shared" si="131"/>
        <v>4.0179235340139794E-3</v>
      </c>
      <c r="AN303" s="354"/>
      <c r="AO303" s="356"/>
      <c r="AP303" s="23">
        <f t="shared" si="134"/>
        <v>0</v>
      </c>
      <c r="AQ303" s="392">
        <f t="shared" si="135"/>
        <v>0</v>
      </c>
      <c r="AR303" s="392">
        <f t="shared" si="136"/>
        <v>0</v>
      </c>
      <c r="AS303" s="392">
        <f t="shared" si="136"/>
        <v>0</v>
      </c>
    </row>
    <row r="304" spans="1:45">
      <c r="A304" s="12" t="s">
        <v>1655</v>
      </c>
      <c r="B304" s="54" t="str">
        <f t="shared" si="115"/>
        <v>AZ_Maric_2020g</v>
      </c>
      <c r="C304" s="12"/>
      <c r="D304" s="54" t="str">
        <f t="shared" si="116"/>
        <v>Gen-palo verde esd #49-question  (vote for1)</v>
      </c>
      <c r="E304" s="54" t="s">
        <v>2016</v>
      </c>
      <c r="F304" s="12" t="s">
        <v>1300</v>
      </c>
      <c r="G304" s="59">
        <v>466</v>
      </c>
      <c r="H304"/>
      <c r="K304" s="2"/>
      <c r="O304">
        <f t="shared" si="117"/>
        <v>2</v>
      </c>
      <c r="P304" s="57">
        <f t="shared" si="118"/>
        <v>1</v>
      </c>
      <c r="Q304" s="267">
        <f t="shared" si="119"/>
        <v>466</v>
      </c>
      <c r="R304" s="23" t="str">
        <f t="shared" si="120"/>
        <v/>
      </c>
      <c r="S304" s="23">
        <f t="shared" si="121"/>
        <v>466</v>
      </c>
      <c r="T304" s="23" t="str">
        <f t="shared" si="122"/>
        <v/>
      </c>
      <c r="U304" t="str">
        <f t="shared" si="123"/>
        <v/>
      </c>
      <c r="W304" s="1">
        <f t="shared" si="124"/>
        <v>102</v>
      </c>
      <c r="X304" s="73">
        <f t="shared" si="132"/>
        <v>14.968120857098812</v>
      </c>
      <c r="Y304" s="322">
        <f t="shared" si="125"/>
        <v>1080.6090000000002</v>
      </c>
      <c r="Z304" s="43">
        <f t="shared" si="137"/>
        <v>5.8622840912579707E-27</v>
      </c>
      <c r="AA304" s="52">
        <f t="shared" si="126"/>
        <v>5.8622840912579708E-29</v>
      </c>
      <c r="AB304" s="8">
        <f t="shared" si="127"/>
        <v>15465.7</v>
      </c>
      <c r="AC304" s="8">
        <f t="shared" si="128"/>
        <v>1546570</v>
      </c>
      <c r="AD304" s="8">
        <f t="shared" si="133"/>
        <v>7732.85</v>
      </c>
      <c r="AE304" s="8" t="str">
        <f t="shared" si="129"/>
        <v/>
      </c>
      <c r="AF304" s="22" t="str">
        <f t="shared" si="130"/>
        <v>CA_Orang_2020g</v>
      </c>
      <c r="AG304" s="89">
        <v>1</v>
      </c>
      <c r="AH304" s="274">
        <v>15661</v>
      </c>
      <c r="AI304" s="279">
        <v>11074</v>
      </c>
      <c r="AJ304" s="280">
        <v>4587</v>
      </c>
      <c r="AK304" s="92">
        <v>6487</v>
      </c>
      <c r="AL304" s="23" t="s">
        <v>4555</v>
      </c>
      <c r="AM304" s="353">
        <f t="shared" si="131"/>
        <v>4.1944431871819574E-3</v>
      </c>
      <c r="AN304" s="354"/>
      <c r="AP304" s="23">
        <f t="shared" si="134"/>
        <v>0</v>
      </c>
      <c r="AQ304" s="392">
        <f t="shared" si="135"/>
        <v>0</v>
      </c>
      <c r="AR304" s="392">
        <f t="shared" si="136"/>
        <v>0</v>
      </c>
      <c r="AS304" s="392">
        <f t="shared" si="136"/>
        <v>0</v>
      </c>
    </row>
    <row r="305" spans="1:45">
      <c r="A305" s="12" t="s">
        <v>1664</v>
      </c>
      <c r="B305" s="54" t="str">
        <f t="shared" si="115"/>
        <v>AZ_Maric_2020g</v>
      </c>
      <c r="C305" s="12"/>
      <c r="D305" s="54" t="str">
        <f t="shared" si="116"/>
        <v>Gen-paradise valley usd #69-gbm-4yr (vote for3)</v>
      </c>
      <c r="E305" s="54" t="s">
        <v>2121</v>
      </c>
      <c r="F305" s="12" t="s">
        <v>1300</v>
      </c>
      <c r="G305" s="59">
        <v>67749</v>
      </c>
      <c r="H305"/>
      <c r="K305" s="2"/>
      <c r="O305">
        <f t="shared" si="117"/>
        <v>1</v>
      </c>
      <c r="P305" s="57">
        <f t="shared" si="118"/>
        <v>3</v>
      </c>
      <c r="Q305" s="267">
        <f t="shared" si="119"/>
        <v>70475.666666666672</v>
      </c>
      <c r="R305" s="23">
        <f t="shared" si="120"/>
        <v>65303</v>
      </c>
      <c r="S305" s="23">
        <f t="shared" si="121"/>
        <v>4284</v>
      </c>
      <c r="T305" s="23">
        <f t="shared" si="122"/>
        <v>61019</v>
      </c>
      <c r="U305" t="str">
        <f t="shared" si="123"/>
        <v>AZ_Maric_2020g~Gen-paradise valley usd #69-gbm-4yr (vote for3)</v>
      </c>
      <c r="W305" s="1">
        <f t="shared" si="124"/>
        <v>103</v>
      </c>
      <c r="X305" s="73">
        <f t="shared" si="132"/>
        <v>43.246092552865463</v>
      </c>
      <c r="Y305" s="322">
        <f t="shared" si="125"/>
        <v>3140.88</v>
      </c>
      <c r="Z305" s="43">
        <f t="shared" si="137"/>
        <v>3.9625653145314684E-27</v>
      </c>
      <c r="AA305" s="52">
        <f t="shared" si="126"/>
        <v>3.9625653145314681E-29</v>
      </c>
      <c r="AB305" s="8">
        <f t="shared" si="127"/>
        <v>15465.7</v>
      </c>
      <c r="AC305" s="8">
        <f t="shared" si="128"/>
        <v>1546570</v>
      </c>
      <c r="AD305" s="8">
        <f t="shared" si="133"/>
        <v>7732.85</v>
      </c>
      <c r="AE305" s="8" t="str">
        <f t="shared" si="129"/>
        <v/>
      </c>
      <c r="AF305" s="22" t="str">
        <f t="shared" si="130"/>
        <v>CA_Orang_2020g</v>
      </c>
      <c r="AG305">
        <v>1</v>
      </c>
      <c r="AH305" s="272">
        <v>45520</v>
      </c>
      <c r="AI305" s="273">
        <v>26023</v>
      </c>
      <c r="AJ305" s="274">
        <v>19497</v>
      </c>
      <c r="AK305" s="339">
        <v>6526</v>
      </c>
      <c r="AL305" s="340" t="s">
        <v>4576</v>
      </c>
      <c r="AM305" s="353">
        <f t="shared" si="131"/>
        <v>4.219660280491669E-3</v>
      </c>
      <c r="AN305" s="354"/>
      <c r="AP305" s="23">
        <f t="shared" si="134"/>
        <v>0</v>
      </c>
      <c r="AQ305" s="392">
        <f t="shared" si="135"/>
        <v>0</v>
      </c>
      <c r="AR305" s="392">
        <f t="shared" si="136"/>
        <v>0</v>
      </c>
      <c r="AS305" s="392">
        <f t="shared" si="136"/>
        <v>0</v>
      </c>
    </row>
    <row r="306" spans="1:45">
      <c r="A306" s="12" t="s">
        <v>1664</v>
      </c>
      <c r="B306" s="54" t="str">
        <f t="shared" si="115"/>
        <v>AZ_Maric_2020g</v>
      </c>
      <c r="C306" s="12"/>
      <c r="D306" s="54" t="str">
        <f t="shared" si="116"/>
        <v>Gen-paradise valley usd #69-gbm-4yr (vote for3)</v>
      </c>
      <c r="E306" s="54" t="s">
        <v>2120</v>
      </c>
      <c r="F306" s="12" t="s">
        <v>1300</v>
      </c>
      <c r="G306" s="59">
        <v>66979</v>
      </c>
      <c r="H306"/>
      <c r="K306" s="2"/>
      <c r="O306">
        <f t="shared" si="117"/>
        <v>2</v>
      </c>
      <c r="P306" s="57">
        <f t="shared" si="118"/>
        <v>3</v>
      </c>
      <c r="Q306" s="267">
        <f t="shared" si="119"/>
        <v>143678</v>
      </c>
      <c r="R306" s="23">
        <f t="shared" si="120"/>
        <v>65303</v>
      </c>
      <c r="S306" s="23">
        <f t="shared" si="121"/>
        <v>4284</v>
      </c>
      <c r="T306" s="23" t="str">
        <f t="shared" si="122"/>
        <v/>
      </c>
      <c r="U306" t="str">
        <f t="shared" si="123"/>
        <v/>
      </c>
      <c r="W306" s="1">
        <f t="shared" si="124"/>
        <v>104</v>
      </c>
      <c r="X306" s="73">
        <f t="shared" si="132"/>
        <v>1401.9345703422052</v>
      </c>
      <c r="Y306" s="322">
        <f t="shared" si="125"/>
        <v>102584.30100000001</v>
      </c>
      <c r="Z306" s="43">
        <f t="shared" si="137"/>
        <v>2.422517766188836E-27</v>
      </c>
      <c r="AA306" s="52">
        <f t="shared" si="126"/>
        <v>2.4225177661888362E-29</v>
      </c>
      <c r="AB306" s="8">
        <f t="shared" si="127"/>
        <v>15465.7</v>
      </c>
      <c r="AC306" s="8">
        <f t="shared" si="128"/>
        <v>1546570</v>
      </c>
      <c r="AD306" s="8">
        <f t="shared" si="133"/>
        <v>7732.85</v>
      </c>
      <c r="AE306" s="8" t="str">
        <f t="shared" si="129"/>
        <v/>
      </c>
      <c r="AF306" s="22" t="str">
        <f t="shared" si="130"/>
        <v>CA_Orang_2020g</v>
      </c>
      <c r="AG306" s="89">
        <v>1</v>
      </c>
      <c r="AH306" s="274">
        <v>1486729</v>
      </c>
      <c r="AI306" s="279">
        <v>746652</v>
      </c>
      <c r="AJ306" s="280">
        <v>740077</v>
      </c>
      <c r="AK306" s="92">
        <v>6575</v>
      </c>
      <c r="AL306" s="23" t="s">
        <v>4592</v>
      </c>
      <c r="AM306" s="353">
        <f t="shared" si="131"/>
        <v>4.2513432951628441E-3</v>
      </c>
      <c r="AN306" s="354"/>
      <c r="AP306" s="23">
        <f t="shared" si="134"/>
        <v>0</v>
      </c>
      <c r="AQ306" s="392">
        <f t="shared" si="135"/>
        <v>0</v>
      </c>
      <c r="AR306" s="392">
        <f t="shared" si="136"/>
        <v>0</v>
      </c>
      <c r="AS306" s="392">
        <f t="shared" si="136"/>
        <v>0</v>
      </c>
    </row>
    <row r="307" spans="1:45">
      <c r="A307" s="12" t="s">
        <v>1664</v>
      </c>
      <c r="B307" s="54" t="str">
        <f t="shared" si="115"/>
        <v>AZ_Maric_2020g</v>
      </c>
      <c r="C307" s="12"/>
      <c r="D307" s="54" t="str">
        <f t="shared" si="116"/>
        <v>Gen-paradise valley usd #69-gbm-4yr (vote for3)</v>
      </c>
      <c r="E307" s="54" t="s">
        <v>2119</v>
      </c>
      <c r="F307" s="12" t="s">
        <v>1300</v>
      </c>
      <c r="G307" s="59">
        <v>65303</v>
      </c>
      <c r="H307"/>
      <c r="K307" s="2"/>
      <c r="O307">
        <f t="shared" si="117"/>
        <v>3</v>
      </c>
      <c r="P307" s="57">
        <f t="shared" si="118"/>
        <v>3</v>
      </c>
      <c r="Q307" s="267">
        <f t="shared" si="119"/>
        <v>76699</v>
      </c>
      <c r="R307" s="23">
        <f t="shared" si="120"/>
        <v>65303</v>
      </c>
      <c r="S307" s="23">
        <f t="shared" si="121"/>
        <v>4284</v>
      </c>
      <c r="T307" s="23" t="str">
        <f t="shared" si="122"/>
        <v/>
      </c>
      <c r="U307" t="str">
        <f t="shared" si="123"/>
        <v/>
      </c>
      <c r="W307" s="1">
        <f t="shared" si="124"/>
        <v>105</v>
      </c>
      <c r="X307" s="73">
        <f t="shared" si="132"/>
        <v>226.15583477758523</v>
      </c>
      <c r="Y307" s="322">
        <f t="shared" si="125"/>
        <v>17426.985000000001</v>
      </c>
      <c r="Z307" s="43">
        <f t="shared" si="137"/>
        <v>7.2767173108729071E-29</v>
      </c>
      <c r="AA307" s="52">
        <f t="shared" si="126"/>
        <v>7.2767173108729072E-31</v>
      </c>
      <c r="AB307" s="8">
        <f t="shared" si="127"/>
        <v>15465.7</v>
      </c>
      <c r="AC307" s="8">
        <f t="shared" si="128"/>
        <v>1546570</v>
      </c>
      <c r="AD307" s="8">
        <f t="shared" si="133"/>
        <v>7732.85</v>
      </c>
      <c r="AE307" s="8" t="str">
        <f t="shared" si="129"/>
        <v/>
      </c>
      <c r="AF307" s="22" t="str">
        <f t="shared" si="130"/>
        <v>CA_Orang_2020g</v>
      </c>
      <c r="AG307" s="89">
        <v>1</v>
      </c>
      <c r="AH307" s="274">
        <v>252565</v>
      </c>
      <c r="AI307" s="279">
        <v>64844</v>
      </c>
      <c r="AJ307" s="280">
        <v>57920</v>
      </c>
      <c r="AK307" s="92">
        <v>6924</v>
      </c>
      <c r="AL307" s="23" t="s">
        <v>4552</v>
      </c>
      <c r="AM307" s="353">
        <f t="shared" si="131"/>
        <v>4.4770039506779515E-3</v>
      </c>
      <c r="AN307" s="354"/>
      <c r="AP307" s="23">
        <f t="shared" si="134"/>
        <v>0</v>
      </c>
      <c r="AQ307" s="392">
        <f t="shared" si="135"/>
        <v>0</v>
      </c>
      <c r="AR307" s="392">
        <f t="shared" si="136"/>
        <v>0</v>
      </c>
      <c r="AS307" s="392">
        <f t="shared" si="136"/>
        <v>0</v>
      </c>
    </row>
    <row r="308" spans="1:45">
      <c r="A308" s="12" t="s">
        <v>1664</v>
      </c>
      <c r="B308" s="54" t="str">
        <f t="shared" si="115"/>
        <v>AZ_Maric_2020g</v>
      </c>
      <c r="C308" s="12"/>
      <c r="D308" s="54" t="str">
        <f t="shared" si="116"/>
        <v>Gen-paradise valley usd #69-gbm-4yr (vote for3)</v>
      </c>
      <c r="E308" s="54" t="s">
        <v>1299</v>
      </c>
      <c r="G308" s="59">
        <v>5698</v>
      </c>
      <c r="H308"/>
      <c r="K308" s="2"/>
      <c r="O308">
        <f t="shared" si="117"/>
        <v>-3</v>
      </c>
      <c r="P308" s="57">
        <f t="shared" si="118"/>
        <v>3</v>
      </c>
      <c r="Q308" s="267">
        <f t="shared" si="119"/>
        <v>11396</v>
      </c>
      <c r="R308" s="23" t="str">
        <f t="shared" si="120"/>
        <v/>
      </c>
      <c r="S308" s="23">
        <f t="shared" si="121"/>
        <v>4284</v>
      </c>
      <c r="T308" s="23" t="str">
        <f t="shared" si="122"/>
        <v/>
      </c>
      <c r="U308" t="str">
        <f t="shared" si="123"/>
        <v/>
      </c>
      <c r="W308" s="1">
        <f t="shared" si="124"/>
        <v>106</v>
      </c>
      <c r="X308" s="73">
        <f t="shared" si="132"/>
        <v>58.63629157820241</v>
      </c>
      <c r="Y308" s="322">
        <f t="shared" si="125"/>
        <v>4610.3730000000005</v>
      </c>
      <c r="Z308" s="43">
        <f t="shared" si="137"/>
        <v>1.7652176897235695E-29</v>
      </c>
      <c r="AA308" s="52">
        <f t="shared" si="126"/>
        <v>1.7652176897235696E-31</v>
      </c>
      <c r="AB308" s="8">
        <f t="shared" si="127"/>
        <v>15465.7</v>
      </c>
      <c r="AC308" s="8">
        <f t="shared" si="128"/>
        <v>1546570</v>
      </c>
      <c r="AD308" s="8">
        <f t="shared" si="133"/>
        <v>7732.85</v>
      </c>
      <c r="AE308" s="8" t="str">
        <f t="shared" si="129"/>
        <v/>
      </c>
      <c r="AF308" s="22" t="str">
        <f t="shared" si="130"/>
        <v>CA_Orang_2020g</v>
      </c>
      <c r="AG308">
        <v>1</v>
      </c>
      <c r="AH308" s="272">
        <v>66817</v>
      </c>
      <c r="AI308" s="273">
        <v>36941</v>
      </c>
      <c r="AJ308" s="274">
        <v>29876</v>
      </c>
      <c r="AK308" s="339">
        <v>7065</v>
      </c>
      <c r="AL308" s="340" t="s">
        <v>4578</v>
      </c>
      <c r="AM308" s="353">
        <f t="shared" si="131"/>
        <v>4.5681734418746003E-3</v>
      </c>
      <c r="AN308" s="354"/>
      <c r="AP308" s="23">
        <f t="shared" si="134"/>
        <v>0</v>
      </c>
      <c r="AQ308" s="392">
        <f t="shared" si="135"/>
        <v>0</v>
      </c>
      <c r="AR308" s="392">
        <f t="shared" si="136"/>
        <v>0</v>
      </c>
      <c r="AS308" s="392">
        <f t="shared" si="136"/>
        <v>0</v>
      </c>
    </row>
    <row r="309" spans="1:45">
      <c r="A309" s="12" t="s">
        <v>1664</v>
      </c>
      <c r="B309" s="54" t="str">
        <f t="shared" si="115"/>
        <v>AZ_Maric_2020g</v>
      </c>
      <c r="C309" s="12"/>
      <c r="D309" s="54" t="str">
        <f t="shared" si="116"/>
        <v>Gen-paradise valley usd #69-gbm-4yr (vote for3)</v>
      </c>
      <c r="E309" s="54" t="s">
        <v>2122</v>
      </c>
      <c r="F309" s="12" t="s">
        <v>1300</v>
      </c>
      <c r="G309" s="59">
        <v>4284</v>
      </c>
      <c r="H309"/>
      <c r="K309" s="2"/>
      <c r="O309">
        <f t="shared" si="117"/>
        <v>4</v>
      </c>
      <c r="P309" s="57">
        <f t="shared" si="118"/>
        <v>3</v>
      </c>
      <c r="Q309" s="267">
        <f t="shared" si="119"/>
        <v>5698</v>
      </c>
      <c r="R309" s="23" t="str">
        <f t="shared" si="120"/>
        <v/>
      </c>
      <c r="S309" s="23">
        <f t="shared" si="121"/>
        <v>4284</v>
      </c>
      <c r="T309" s="23" t="str">
        <f t="shared" si="122"/>
        <v/>
      </c>
      <c r="U309" t="str">
        <f t="shared" si="123"/>
        <v/>
      </c>
      <c r="W309" s="1">
        <f t="shared" si="124"/>
        <v>107</v>
      </c>
      <c r="X309" s="73">
        <f t="shared" si="132"/>
        <v>168.09882259558142</v>
      </c>
      <c r="Y309" s="322">
        <f t="shared" si="125"/>
        <v>14141.205000000002</v>
      </c>
      <c r="Z309" s="43">
        <f t="shared" si="137"/>
        <v>1.2336502776189536E-31</v>
      </c>
      <c r="AA309" s="52">
        <f t="shared" si="126"/>
        <v>1.2336502776189537E-33</v>
      </c>
      <c r="AB309" s="8">
        <f t="shared" si="127"/>
        <v>15465.7</v>
      </c>
      <c r="AC309" s="8">
        <f t="shared" si="128"/>
        <v>1546570</v>
      </c>
      <c r="AD309" s="8">
        <f t="shared" si="133"/>
        <v>7732.85</v>
      </c>
      <c r="AE309" s="8" t="str">
        <f t="shared" si="129"/>
        <v/>
      </c>
      <c r="AF309" s="22" t="str">
        <f t="shared" si="130"/>
        <v>CA_Orang_2020g</v>
      </c>
      <c r="AG309" s="89">
        <v>1</v>
      </c>
      <c r="AH309" s="274">
        <v>204945</v>
      </c>
      <c r="AI309" s="279">
        <v>106252</v>
      </c>
      <c r="AJ309" s="280">
        <v>98693</v>
      </c>
      <c r="AK309" s="92">
        <v>7559</v>
      </c>
      <c r="AL309" s="23" t="s">
        <v>4545</v>
      </c>
      <c r="AM309" s="353">
        <f t="shared" si="131"/>
        <v>4.8875899571309417E-3</v>
      </c>
      <c r="AN309" s="354"/>
      <c r="AP309" s="23">
        <f t="shared" si="134"/>
        <v>0</v>
      </c>
      <c r="AQ309" s="392">
        <f t="shared" si="135"/>
        <v>0</v>
      </c>
      <c r="AR309" s="392">
        <f t="shared" si="136"/>
        <v>0</v>
      </c>
      <c r="AS309" s="392">
        <f t="shared" si="136"/>
        <v>0</v>
      </c>
    </row>
    <row r="310" spans="1:45">
      <c r="A310" s="12" t="s">
        <v>1664</v>
      </c>
      <c r="B310" s="54" t="str">
        <f t="shared" si="115"/>
        <v>AZ_Maric_2020g</v>
      </c>
      <c r="C310" s="12"/>
      <c r="D310" s="54" t="str">
        <f t="shared" si="116"/>
        <v>Gen-paradise valley usd #69-gbm-4yr (vote for3)</v>
      </c>
      <c r="E310" s="54" t="s">
        <v>1825</v>
      </c>
      <c r="F310" s="12" t="s">
        <v>1300</v>
      </c>
      <c r="G310" s="59">
        <v>907</v>
      </c>
      <c r="H310"/>
      <c r="K310" s="2"/>
      <c r="O310">
        <f t="shared" si="117"/>
        <v>-4</v>
      </c>
      <c r="P310" s="57">
        <f t="shared" si="118"/>
        <v>3</v>
      </c>
      <c r="Q310" s="267">
        <f t="shared" si="119"/>
        <v>1414</v>
      </c>
      <c r="R310" s="23">
        <f t="shared" si="120"/>
        <v>1</v>
      </c>
      <c r="S310" s="23">
        <f t="shared" si="121"/>
        <v>0</v>
      </c>
      <c r="T310" s="23" t="str">
        <f t="shared" si="122"/>
        <v/>
      </c>
      <c r="U310" t="str">
        <f t="shared" si="123"/>
        <v/>
      </c>
      <c r="W310" s="1">
        <f t="shared" si="124"/>
        <v>108</v>
      </c>
      <c r="X310" s="73">
        <f t="shared" si="132"/>
        <v>73.217473015873011</v>
      </c>
      <c r="Y310" s="322">
        <f t="shared" si="125"/>
        <v>6416.862000000001</v>
      </c>
      <c r="Z310" s="43">
        <f t="shared" si="137"/>
        <v>5.1515671473324121E-33</v>
      </c>
      <c r="AA310" s="52">
        <f t="shared" si="126"/>
        <v>5.1515671473324123E-35</v>
      </c>
      <c r="AB310" s="8">
        <f t="shared" si="127"/>
        <v>15465.7</v>
      </c>
      <c r="AC310" s="8">
        <f t="shared" si="128"/>
        <v>1546570</v>
      </c>
      <c r="AD310" s="8">
        <f t="shared" si="133"/>
        <v>7732.85</v>
      </c>
      <c r="AE310" s="8" t="str">
        <f t="shared" si="129"/>
        <v/>
      </c>
      <c r="AF310" s="22" t="str">
        <f t="shared" si="130"/>
        <v>CA_Orang_2020g</v>
      </c>
      <c r="AG310">
        <v>1</v>
      </c>
      <c r="AH310" s="272">
        <v>92998</v>
      </c>
      <c r="AI310" s="273">
        <v>42987</v>
      </c>
      <c r="AJ310" s="274">
        <v>35112</v>
      </c>
      <c r="AK310" s="92">
        <v>7875</v>
      </c>
      <c r="AL310" s="340" t="s">
        <v>4583</v>
      </c>
      <c r="AM310" s="353">
        <f t="shared" si="131"/>
        <v>5.0919130721532166E-3</v>
      </c>
      <c r="AN310" s="354"/>
      <c r="AP310" s="23">
        <f t="shared" si="134"/>
        <v>0</v>
      </c>
      <c r="AQ310" s="392">
        <f t="shared" si="135"/>
        <v>0</v>
      </c>
      <c r="AR310" s="392">
        <f t="shared" si="136"/>
        <v>0</v>
      </c>
      <c r="AS310" s="392">
        <f t="shared" si="136"/>
        <v>0</v>
      </c>
    </row>
    <row r="311" spans="1:45">
      <c r="A311" s="12" t="s">
        <v>1664</v>
      </c>
      <c r="B311" s="54" t="str">
        <f t="shared" si="115"/>
        <v>AZ_Maric_2020g</v>
      </c>
      <c r="C311" s="12"/>
      <c r="D311" s="54" t="str">
        <f t="shared" si="116"/>
        <v>Gen-paradise valley usd #69-gbm-4yr (vote for3)</v>
      </c>
      <c r="E311" s="54" t="s">
        <v>1826</v>
      </c>
      <c r="F311" s="12" t="s">
        <v>1300</v>
      </c>
      <c r="G311" s="59">
        <v>303</v>
      </c>
      <c r="H311"/>
      <c r="K311" s="2"/>
      <c r="O311">
        <f t="shared" si="117"/>
        <v>-4</v>
      </c>
      <c r="P311" s="57">
        <f t="shared" si="118"/>
        <v>3</v>
      </c>
      <c r="Q311" s="267">
        <f t="shared" si="119"/>
        <v>507</v>
      </c>
      <c r="R311" s="23">
        <f t="shared" si="120"/>
        <v>1</v>
      </c>
      <c r="S311" s="23">
        <f t="shared" si="121"/>
        <v>0</v>
      </c>
      <c r="T311" s="23" t="str">
        <f t="shared" si="122"/>
        <v/>
      </c>
      <c r="U311" t="str">
        <f t="shared" si="123"/>
        <v/>
      </c>
      <c r="W311" s="1">
        <f t="shared" si="124"/>
        <v>109</v>
      </c>
      <c r="X311" s="73">
        <f t="shared" si="132"/>
        <v>41.741484607745775</v>
      </c>
      <c r="Y311" s="322">
        <f t="shared" si="125"/>
        <v>3742.3530000000005</v>
      </c>
      <c r="Z311" s="43">
        <f t="shared" si="137"/>
        <v>8.352121009667351E-34</v>
      </c>
      <c r="AA311" s="52">
        <f t="shared" si="126"/>
        <v>8.3521210096673513E-36</v>
      </c>
      <c r="AB311" s="8">
        <f t="shared" si="127"/>
        <v>15465.7</v>
      </c>
      <c r="AC311" s="8">
        <f t="shared" si="128"/>
        <v>1546570</v>
      </c>
      <c r="AD311" s="8">
        <f t="shared" si="133"/>
        <v>7732.85</v>
      </c>
      <c r="AE311" s="8" t="str">
        <f t="shared" si="129"/>
        <v/>
      </c>
      <c r="AF311" s="22" t="str">
        <f t="shared" si="130"/>
        <v>CA_Orang_2020g</v>
      </c>
      <c r="AG311">
        <v>1</v>
      </c>
      <c r="AH311" s="272">
        <v>54237</v>
      </c>
      <c r="AI311" s="273">
        <v>21242</v>
      </c>
      <c r="AJ311" s="274">
        <v>13186</v>
      </c>
      <c r="AK311" s="339">
        <v>8056</v>
      </c>
      <c r="AL311" s="340" t="s">
        <v>4476</v>
      </c>
      <c r="AM311" s="353">
        <f t="shared" si="131"/>
        <v>5.2089462487957218E-3</v>
      </c>
      <c r="AN311" s="354"/>
      <c r="AP311" s="23">
        <f t="shared" si="134"/>
        <v>0</v>
      </c>
      <c r="AQ311" s="392">
        <f t="shared" si="135"/>
        <v>0</v>
      </c>
      <c r="AR311" s="392">
        <f t="shared" si="136"/>
        <v>0</v>
      </c>
      <c r="AS311" s="392">
        <f t="shared" si="136"/>
        <v>0</v>
      </c>
    </row>
    <row r="312" spans="1:45">
      <c r="A312" s="12" t="s">
        <v>1664</v>
      </c>
      <c r="B312" s="54" t="str">
        <f t="shared" si="115"/>
        <v>AZ_Maric_2020g</v>
      </c>
      <c r="C312" s="12"/>
      <c r="D312" s="54" t="str">
        <f t="shared" si="116"/>
        <v>Gen-paradise valley usd #69-gbm-4yr (vote for3)</v>
      </c>
      <c r="E312" s="54" t="s">
        <v>1928</v>
      </c>
      <c r="F312" s="12" t="s">
        <v>1300</v>
      </c>
      <c r="G312" s="59">
        <v>204</v>
      </c>
      <c r="H312"/>
      <c r="K312" s="2"/>
      <c r="O312">
        <f t="shared" si="117"/>
        <v>-4</v>
      </c>
      <c r="P312" s="57">
        <f t="shared" si="118"/>
        <v>3</v>
      </c>
      <c r="Q312" s="267">
        <f t="shared" si="119"/>
        <v>204</v>
      </c>
      <c r="R312" s="23">
        <f t="shared" si="120"/>
        <v>1</v>
      </c>
      <c r="S312" s="23">
        <f t="shared" si="121"/>
        <v>0</v>
      </c>
      <c r="T312" s="23" t="str">
        <f t="shared" si="122"/>
        <v/>
      </c>
      <c r="U312" t="str">
        <f t="shared" si="123"/>
        <v/>
      </c>
      <c r="W312" s="1">
        <f t="shared" si="124"/>
        <v>110</v>
      </c>
      <c r="X312" s="73">
        <f t="shared" si="132"/>
        <v>72.528388368654504</v>
      </c>
      <c r="Y312" s="322">
        <f t="shared" si="125"/>
        <v>6550.9980000000005</v>
      </c>
      <c r="Z312" s="43">
        <f t="shared" si="137"/>
        <v>4.5693091632749423E-34</v>
      </c>
      <c r="AA312" s="52">
        <f t="shared" si="126"/>
        <v>4.5693091632749427E-36</v>
      </c>
      <c r="AB312" s="8">
        <f t="shared" si="127"/>
        <v>15465.7</v>
      </c>
      <c r="AC312" s="8">
        <f t="shared" si="128"/>
        <v>1546570</v>
      </c>
      <c r="AD312" s="8">
        <f t="shared" si="133"/>
        <v>7732.85</v>
      </c>
      <c r="AE312" s="8" t="str">
        <f t="shared" si="129"/>
        <v/>
      </c>
      <c r="AF312" s="22" t="str">
        <f t="shared" si="130"/>
        <v>CA_Orang_2020g</v>
      </c>
      <c r="AG312">
        <v>1</v>
      </c>
      <c r="AH312" s="272">
        <v>94942</v>
      </c>
      <c r="AI312" s="273">
        <v>51529</v>
      </c>
      <c r="AJ312" s="274">
        <v>43413</v>
      </c>
      <c r="AK312" s="339">
        <v>8116</v>
      </c>
      <c r="AL312" s="340" t="s">
        <v>4581</v>
      </c>
      <c r="AM312" s="353">
        <f t="shared" si="131"/>
        <v>5.2477417769645086E-3</v>
      </c>
      <c r="AN312" s="354"/>
      <c r="AP312" s="23">
        <f t="shared" si="134"/>
        <v>0</v>
      </c>
      <c r="AQ312" s="392">
        <f t="shared" si="135"/>
        <v>0</v>
      </c>
      <c r="AR312" s="392">
        <f t="shared" si="136"/>
        <v>0</v>
      </c>
      <c r="AS312" s="392">
        <f t="shared" si="136"/>
        <v>0</v>
      </c>
    </row>
    <row r="313" spans="1:45">
      <c r="A313" s="12" t="s">
        <v>1634</v>
      </c>
      <c r="B313" s="54" t="str">
        <f t="shared" si="115"/>
        <v>AZ_Maric_2020g</v>
      </c>
      <c r="C313" s="12"/>
      <c r="D313" s="54" t="str">
        <f t="shared" si="116"/>
        <v>Gen-peoria usd #11-gbm-4yr (vote for3)</v>
      </c>
      <c r="E313" s="54" t="s">
        <v>2046</v>
      </c>
      <c r="F313" s="12" t="s">
        <v>1300</v>
      </c>
      <c r="G313" s="59">
        <v>35100</v>
      </c>
      <c r="H313"/>
      <c r="K313" s="2"/>
      <c r="O313">
        <f t="shared" si="117"/>
        <v>1</v>
      </c>
      <c r="P313" s="57">
        <f t="shared" si="118"/>
        <v>3</v>
      </c>
      <c r="Q313" s="267">
        <f t="shared" si="119"/>
        <v>80742</v>
      </c>
      <c r="R313" s="23">
        <f t="shared" si="120"/>
        <v>32298</v>
      </c>
      <c r="S313" s="23">
        <f t="shared" si="121"/>
        <v>32008</v>
      </c>
      <c r="T313" s="23">
        <f t="shared" si="122"/>
        <v>290</v>
      </c>
      <c r="U313" t="str">
        <f t="shared" si="123"/>
        <v>AZ_Maric_2020g~Gen-peoria usd #11-gbm-4yr (vote for3)</v>
      </c>
      <c r="W313" s="1">
        <f t="shared" si="124"/>
        <v>111</v>
      </c>
      <c r="X313" s="73">
        <f t="shared" si="132"/>
        <v>292.45702005730664</v>
      </c>
      <c r="Y313" s="322">
        <f t="shared" si="125"/>
        <v>27261.9</v>
      </c>
      <c r="Z313" s="43">
        <f t="shared" si="137"/>
        <v>3.3468182771637838E-35</v>
      </c>
      <c r="AA313" s="52">
        <f t="shared" si="126"/>
        <v>3.3468182771637838E-37</v>
      </c>
      <c r="AB313" s="8">
        <f t="shared" si="127"/>
        <v>15465.7</v>
      </c>
      <c r="AC313" s="8">
        <f t="shared" si="128"/>
        <v>1546570</v>
      </c>
      <c r="AD313" s="8">
        <f t="shared" si="133"/>
        <v>7732.85</v>
      </c>
      <c r="AE313" s="8" t="str">
        <f t="shared" si="129"/>
        <v/>
      </c>
      <c r="AF313" s="22" t="str">
        <f t="shared" si="130"/>
        <v>CA_Orang_2020g</v>
      </c>
      <c r="AG313" s="89">
        <v>1</v>
      </c>
      <c r="AH313" s="274">
        <v>395100</v>
      </c>
      <c r="AI313" s="279">
        <v>201738</v>
      </c>
      <c r="AJ313" s="280">
        <v>193362</v>
      </c>
      <c r="AK313" s="92">
        <v>8376</v>
      </c>
      <c r="AL313" s="23" t="s">
        <v>4630</v>
      </c>
      <c r="AM313" s="353">
        <f t="shared" si="131"/>
        <v>5.4158557323625827E-3</v>
      </c>
      <c r="AN313" s="354"/>
      <c r="AP313" s="23">
        <f t="shared" si="134"/>
        <v>0</v>
      </c>
      <c r="AQ313" s="392">
        <f t="shared" si="135"/>
        <v>0</v>
      </c>
      <c r="AR313" s="392">
        <f t="shared" si="136"/>
        <v>0</v>
      </c>
      <c r="AS313" s="392">
        <f t="shared" si="136"/>
        <v>0</v>
      </c>
    </row>
    <row r="314" spans="1:45">
      <c r="A314" s="12" t="s">
        <v>1634</v>
      </c>
      <c r="B314" s="54" t="str">
        <f t="shared" si="115"/>
        <v>AZ_Maric_2020g</v>
      </c>
      <c r="C314" s="12"/>
      <c r="D314" s="54" t="str">
        <f t="shared" si="116"/>
        <v>Gen-peoria usd #11-gbm-4yr (vote for3)</v>
      </c>
      <c r="E314" s="54" t="s">
        <v>2048</v>
      </c>
      <c r="F314" s="12" t="s">
        <v>1300</v>
      </c>
      <c r="G314" s="59">
        <v>34196</v>
      </c>
      <c r="H314"/>
      <c r="K314" s="2"/>
      <c r="O314">
        <f t="shared" si="117"/>
        <v>2</v>
      </c>
      <c r="P314" s="57">
        <f t="shared" si="118"/>
        <v>3</v>
      </c>
      <c r="Q314" s="267">
        <f t="shared" si="119"/>
        <v>207126</v>
      </c>
      <c r="R314" s="23">
        <f t="shared" si="120"/>
        <v>32298</v>
      </c>
      <c r="S314" s="23">
        <f t="shared" si="121"/>
        <v>32008</v>
      </c>
      <c r="T314" s="23" t="str">
        <f t="shared" si="122"/>
        <v/>
      </c>
      <c r="U314" t="str">
        <f t="shared" si="123"/>
        <v/>
      </c>
      <c r="W314" s="1">
        <f t="shared" si="124"/>
        <v>112</v>
      </c>
      <c r="X314" s="73">
        <f t="shared" si="132"/>
        <v>16.174367622259695</v>
      </c>
      <c r="Y314" s="322">
        <f t="shared" si="125"/>
        <v>1601.1450000000002</v>
      </c>
      <c r="Z314" s="43">
        <f t="shared" si="137"/>
        <v>1.8112884094107671E-37</v>
      </c>
      <c r="AA314" s="52">
        <f t="shared" si="126"/>
        <v>1.8112884094107671E-39</v>
      </c>
      <c r="AB314" s="8">
        <f t="shared" si="127"/>
        <v>15465.7</v>
      </c>
      <c r="AC314" s="8">
        <f t="shared" si="128"/>
        <v>1546570</v>
      </c>
      <c r="AD314" s="8">
        <f t="shared" si="133"/>
        <v>7732.85</v>
      </c>
      <c r="AE314" s="8" t="str">
        <f t="shared" si="129"/>
        <v/>
      </c>
      <c r="AF314" s="22" t="str">
        <f t="shared" si="130"/>
        <v>CA_Orang_2020g</v>
      </c>
      <c r="AG314" s="89">
        <v>1</v>
      </c>
      <c r="AH314" s="274">
        <v>23205</v>
      </c>
      <c r="AI314" s="279">
        <v>16050</v>
      </c>
      <c r="AJ314" s="280">
        <v>7155</v>
      </c>
      <c r="AK314" s="92">
        <v>8895</v>
      </c>
      <c r="AL314" s="23" t="s">
        <v>4584</v>
      </c>
      <c r="AM314" s="353">
        <f t="shared" si="131"/>
        <v>5.7514370510225853E-3</v>
      </c>
      <c r="AN314" s="354"/>
      <c r="AP314" s="23">
        <f t="shared" si="134"/>
        <v>0</v>
      </c>
      <c r="AQ314" s="392">
        <f t="shared" si="135"/>
        <v>0</v>
      </c>
      <c r="AR314" s="392">
        <f t="shared" si="136"/>
        <v>0</v>
      </c>
      <c r="AS314" s="392">
        <f t="shared" si="136"/>
        <v>0</v>
      </c>
    </row>
    <row r="315" spans="1:45">
      <c r="A315" s="12" t="s">
        <v>1634</v>
      </c>
      <c r="B315" s="54" t="str">
        <f t="shared" si="115"/>
        <v>AZ_Maric_2020g</v>
      </c>
      <c r="C315" s="12"/>
      <c r="D315" s="54" t="str">
        <f t="shared" si="116"/>
        <v>Gen-peoria usd #11-gbm-4yr (vote for3)</v>
      </c>
      <c r="E315" s="54" t="s">
        <v>2050</v>
      </c>
      <c r="F315" s="12" t="s">
        <v>1300</v>
      </c>
      <c r="G315" s="59">
        <v>32298</v>
      </c>
      <c r="H315"/>
      <c r="K315" s="2"/>
      <c r="O315">
        <f t="shared" si="117"/>
        <v>3</v>
      </c>
      <c r="P315" s="57">
        <f t="shared" si="118"/>
        <v>3</v>
      </c>
      <c r="Q315" s="267">
        <f t="shared" si="119"/>
        <v>172930</v>
      </c>
      <c r="R315" s="23">
        <f t="shared" si="120"/>
        <v>32298</v>
      </c>
      <c r="S315" s="23">
        <f t="shared" si="121"/>
        <v>32008</v>
      </c>
      <c r="T315" s="23" t="str">
        <f t="shared" si="122"/>
        <v/>
      </c>
      <c r="U315" t="str">
        <f t="shared" si="123"/>
        <v/>
      </c>
      <c r="W315" s="1">
        <f t="shared" si="124"/>
        <v>113</v>
      </c>
      <c r="X315" s="73">
        <f t="shared" si="132"/>
        <v>14.343780038001565</v>
      </c>
      <c r="Y315" s="322">
        <f t="shared" si="125"/>
        <v>1428.2310000000002</v>
      </c>
      <c r="Z315" s="43">
        <f t="shared" si="137"/>
        <v>1.0736043392797116E-37</v>
      </c>
      <c r="AA315" s="52">
        <f t="shared" si="126"/>
        <v>1.0736043392797117E-39</v>
      </c>
      <c r="AB315" s="8">
        <f t="shared" si="127"/>
        <v>15465.7</v>
      </c>
      <c r="AC315" s="8">
        <f t="shared" si="128"/>
        <v>1546570</v>
      </c>
      <c r="AD315" s="8">
        <f t="shared" si="133"/>
        <v>7732.85</v>
      </c>
      <c r="AE315" s="8" t="str">
        <f t="shared" si="129"/>
        <v/>
      </c>
      <c r="AF315" s="22" t="str">
        <f t="shared" si="130"/>
        <v>CA_Orang_2020g</v>
      </c>
      <c r="AG315" s="89">
        <v>1</v>
      </c>
      <c r="AH315" s="274">
        <v>20699</v>
      </c>
      <c r="AI315" s="279">
        <v>12884</v>
      </c>
      <c r="AJ315" s="280">
        <v>3937</v>
      </c>
      <c r="AK315" s="92">
        <v>8947</v>
      </c>
      <c r="AL315" s="23" t="s">
        <v>4550</v>
      </c>
      <c r="AM315" s="353">
        <f t="shared" si="131"/>
        <v>5.7850598421022E-3</v>
      </c>
      <c r="AN315" s="354"/>
      <c r="AP315" s="23">
        <f t="shared" si="134"/>
        <v>0</v>
      </c>
      <c r="AQ315" s="392">
        <f t="shared" si="135"/>
        <v>0</v>
      </c>
      <c r="AR315" s="392">
        <f t="shared" si="136"/>
        <v>0</v>
      </c>
      <c r="AS315" s="392">
        <f t="shared" si="136"/>
        <v>0</v>
      </c>
    </row>
    <row r="316" spans="1:45">
      <c r="A316" s="12" t="s">
        <v>1634</v>
      </c>
      <c r="B316" s="54" t="str">
        <f t="shared" si="115"/>
        <v>AZ_Maric_2020g</v>
      </c>
      <c r="C316" s="12"/>
      <c r="D316" s="54" t="str">
        <f t="shared" si="116"/>
        <v>Gen-peoria usd #11-gbm-4yr (vote for3)</v>
      </c>
      <c r="E316" s="54" t="s">
        <v>2044</v>
      </c>
      <c r="F316" s="12" t="s">
        <v>1300</v>
      </c>
      <c r="G316" s="59">
        <v>32008</v>
      </c>
      <c r="H316"/>
      <c r="K316" s="2"/>
      <c r="O316">
        <f t="shared" si="117"/>
        <v>4</v>
      </c>
      <c r="P316" s="57">
        <f t="shared" si="118"/>
        <v>3</v>
      </c>
      <c r="Q316" s="267">
        <f t="shared" si="119"/>
        <v>140632</v>
      </c>
      <c r="R316" s="23" t="str">
        <f t="shared" si="120"/>
        <v/>
      </c>
      <c r="S316" s="23">
        <f t="shared" si="121"/>
        <v>32008</v>
      </c>
      <c r="T316" s="23" t="str">
        <f t="shared" si="122"/>
        <v/>
      </c>
      <c r="U316" t="str">
        <f t="shared" si="123"/>
        <v/>
      </c>
      <c r="W316" s="1">
        <f t="shared" si="124"/>
        <v>114</v>
      </c>
      <c r="X316" s="73">
        <f t="shared" si="132"/>
        <v>43.274594354300959</v>
      </c>
      <c r="Y316" s="322">
        <f t="shared" si="125"/>
        <v>4333.4760000000006</v>
      </c>
      <c r="Z316" s="43">
        <f t="shared" si="137"/>
        <v>6.427788643921711E-38</v>
      </c>
      <c r="AA316" s="52">
        <f t="shared" si="126"/>
        <v>6.4277886439217113E-40</v>
      </c>
      <c r="AB316" s="8">
        <f t="shared" si="127"/>
        <v>15465.7</v>
      </c>
      <c r="AC316" s="8">
        <f t="shared" si="128"/>
        <v>1546570</v>
      </c>
      <c r="AD316" s="8">
        <f t="shared" si="133"/>
        <v>7732.85</v>
      </c>
      <c r="AE316" s="8" t="str">
        <f t="shared" si="129"/>
        <v/>
      </c>
      <c r="AF316" s="22" t="str">
        <f t="shared" si="130"/>
        <v>CA_Orang_2020g</v>
      </c>
      <c r="AG316" s="89">
        <v>1</v>
      </c>
      <c r="AH316" s="274">
        <v>62804</v>
      </c>
      <c r="AI316" s="279">
        <v>35901</v>
      </c>
      <c r="AJ316" s="280">
        <v>26903</v>
      </c>
      <c r="AK316" s="92">
        <v>8998</v>
      </c>
      <c r="AL316" s="23" t="s">
        <v>4612</v>
      </c>
      <c r="AM316" s="353">
        <f t="shared" si="131"/>
        <v>5.818036041045669E-3</v>
      </c>
      <c r="AN316" s="354"/>
      <c r="AP316" s="23">
        <f t="shared" si="134"/>
        <v>0</v>
      </c>
      <c r="AQ316" s="392">
        <f t="shared" si="135"/>
        <v>0</v>
      </c>
      <c r="AR316" s="392">
        <f t="shared" si="136"/>
        <v>0</v>
      </c>
      <c r="AS316" s="392">
        <f t="shared" si="136"/>
        <v>0</v>
      </c>
    </row>
    <row r="317" spans="1:45">
      <c r="A317" s="12" t="s">
        <v>1634</v>
      </c>
      <c r="B317" s="54" t="str">
        <f t="shared" si="115"/>
        <v>AZ_Maric_2020g</v>
      </c>
      <c r="C317" s="12"/>
      <c r="D317" s="54" t="str">
        <f t="shared" si="116"/>
        <v>Gen-peoria usd #11-gbm-4yr (vote for3)</v>
      </c>
      <c r="E317" s="54" t="s">
        <v>2047</v>
      </c>
      <c r="F317" s="12" t="s">
        <v>1300</v>
      </c>
      <c r="G317" s="59">
        <v>30792</v>
      </c>
      <c r="H317"/>
      <c r="K317" s="2"/>
      <c r="O317">
        <f t="shared" si="117"/>
        <v>5</v>
      </c>
      <c r="P317" s="57">
        <f t="shared" si="118"/>
        <v>3</v>
      </c>
      <c r="Q317" s="267">
        <f t="shared" si="119"/>
        <v>108624</v>
      </c>
      <c r="R317" s="23" t="str">
        <f t="shared" si="120"/>
        <v/>
      </c>
      <c r="S317" s="23">
        <f t="shared" si="121"/>
        <v>30792</v>
      </c>
      <c r="T317" s="23" t="str">
        <f t="shared" si="122"/>
        <v/>
      </c>
      <c r="U317" t="str">
        <f t="shared" si="123"/>
        <v/>
      </c>
      <c r="W317" s="1">
        <f t="shared" si="124"/>
        <v>115</v>
      </c>
      <c r="X317" s="73">
        <f t="shared" si="132"/>
        <v>17.754054054054055</v>
      </c>
      <c r="Y317" s="322">
        <f t="shared" si="125"/>
        <v>1813.0440000000001</v>
      </c>
      <c r="Z317" s="43">
        <f t="shared" si="137"/>
        <v>1.072626393539864E-38</v>
      </c>
      <c r="AA317" s="52">
        <f t="shared" si="126"/>
        <v>1.072626393539864E-40</v>
      </c>
      <c r="AB317" s="8">
        <f t="shared" si="127"/>
        <v>15465.7</v>
      </c>
      <c r="AC317" s="8">
        <f t="shared" si="128"/>
        <v>1546570</v>
      </c>
      <c r="AD317" s="8">
        <f t="shared" si="133"/>
        <v>7732.85</v>
      </c>
      <c r="AE317" s="8" t="str">
        <f t="shared" si="129"/>
        <v/>
      </c>
      <c r="AF317" s="22" t="str">
        <f t="shared" si="130"/>
        <v>CA_Orang_2020g</v>
      </c>
      <c r="AG317" s="89">
        <v>1</v>
      </c>
      <c r="AH317" s="274">
        <v>26276</v>
      </c>
      <c r="AI317" s="279">
        <v>17726</v>
      </c>
      <c r="AJ317" s="280">
        <v>8550</v>
      </c>
      <c r="AK317" s="92">
        <v>9176</v>
      </c>
      <c r="AL317" s="23" t="s">
        <v>4633</v>
      </c>
      <c r="AM317" s="353">
        <f t="shared" si="131"/>
        <v>5.9331294412797355E-3</v>
      </c>
      <c r="AN317" s="354"/>
      <c r="AP317" s="23">
        <f t="shared" si="134"/>
        <v>0</v>
      </c>
      <c r="AQ317" s="392">
        <f t="shared" si="135"/>
        <v>0</v>
      </c>
      <c r="AR317" s="392">
        <f t="shared" si="136"/>
        <v>0</v>
      </c>
      <c r="AS317" s="392">
        <f t="shared" si="136"/>
        <v>0</v>
      </c>
    </row>
    <row r="318" spans="1:45">
      <c r="A318" s="12" t="s">
        <v>1634</v>
      </c>
      <c r="B318" s="54" t="str">
        <f t="shared" si="115"/>
        <v>AZ_Maric_2020g</v>
      </c>
      <c r="C318" s="12"/>
      <c r="D318" s="54" t="str">
        <f t="shared" si="116"/>
        <v>Gen-peoria usd #11-gbm-4yr (vote for3)</v>
      </c>
      <c r="E318" s="54" t="s">
        <v>2049</v>
      </c>
      <c r="F318" s="12" t="s">
        <v>1300</v>
      </c>
      <c r="G318" s="59">
        <v>22567</v>
      </c>
      <c r="H318"/>
      <c r="K318" s="2"/>
      <c r="O318">
        <f t="shared" si="117"/>
        <v>6</v>
      </c>
      <c r="P318" s="57">
        <f t="shared" si="118"/>
        <v>3</v>
      </c>
      <c r="Q318" s="267">
        <f t="shared" si="119"/>
        <v>77832</v>
      </c>
      <c r="R318" s="23" t="str">
        <f t="shared" si="120"/>
        <v/>
      </c>
      <c r="S318" s="23">
        <f t="shared" si="121"/>
        <v>22567</v>
      </c>
      <c r="T318" s="23" t="str">
        <f t="shared" si="122"/>
        <v/>
      </c>
      <c r="U318" t="str">
        <f t="shared" si="123"/>
        <v/>
      </c>
      <c r="W318" s="1">
        <f t="shared" si="124"/>
        <v>116</v>
      </c>
      <c r="X318" s="73">
        <f t="shared" si="132"/>
        <v>32.256209150326796</v>
      </c>
      <c r="Y318" s="322">
        <f t="shared" si="125"/>
        <v>3295.44</v>
      </c>
      <c r="Z318" s="43">
        <f t="shared" si="137"/>
        <v>1.0303220469586964E-38</v>
      </c>
      <c r="AA318" s="52">
        <f t="shared" si="126"/>
        <v>1.0303220469586964E-40</v>
      </c>
      <c r="AB318" s="8">
        <f t="shared" si="127"/>
        <v>15465.7</v>
      </c>
      <c r="AC318" s="8">
        <f t="shared" si="128"/>
        <v>1546570</v>
      </c>
      <c r="AD318" s="8">
        <f t="shared" si="133"/>
        <v>7732.85</v>
      </c>
      <c r="AE318" s="8" t="str">
        <f t="shared" si="129"/>
        <v/>
      </c>
      <c r="AF318" s="22" t="str">
        <f t="shared" si="130"/>
        <v>CA_Orang_2020g</v>
      </c>
      <c r="AG318">
        <v>1</v>
      </c>
      <c r="AH318" s="272">
        <v>47760</v>
      </c>
      <c r="AI318" s="273">
        <v>28470</v>
      </c>
      <c r="AJ318" s="274">
        <v>19290</v>
      </c>
      <c r="AK318" s="339">
        <v>9180</v>
      </c>
      <c r="AL318" s="340" t="s">
        <v>4521</v>
      </c>
      <c r="AM318" s="353">
        <f t="shared" si="131"/>
        <v>5.9357158098243207E-3</v>
      </c>
      <c r="AN318" s="354"/>
      <c r="AP318" s="23">
        <f t="shared" si="134"/>
        <v>0</v>
      </c>
      <c r="AQ318" s="392">
        <f t="shared" si="135"/>
        <v>0</v>
      </c>
      <c r="AR318" s="392">
        <f t="shared" si="136"/>
        <v>0</v>
      </c>
      <c r="AS318" s="392">
        <f t="shared" si="136"/>
        <v>0</v>
      </c>
    </row>
    <row r="319" spans="1:45">
      <c r="A319" s="12" t="s">
        <v>1634</v>
      </c>
      <c r="B319" s="54" t="str">
        <f t="shared" si="115"/>
        <v>AZ_Maric_2020g</v>
      </c>
      <c r="C319" s="12"/>
      <c r="D319" s="54" t="str">
        <f t="shared" si="116"/>
        <v>Gen-peoria usd #11-gbm-4yr (vote for3)</v>
      </c>
      <c r="E319" s="54" t="s">
        <v>2045</v>
      </c>
      <c r="F319" s="12" t="s">
        <v>1300</v>
      </c>
      <c r="G319" s="59">
        <v>21434</v>
      </c>
      <c r="H319"/>
      <c r="K319" s="2"/>
      <c r="O319">
        <f t="shared" si="117"/>
        <v>7</v>
      </c>
      <c r="P319" s="57">
        <f t="shared" si="118"/>
        <v>3</v>
      </c>
      <c r="Q319" s="267">
        <f t="shared" si="119"/>
        <v>55265</v>
      </c>
      <c r="R319" s="23" t="str">
        <f t="shared" si="120"/>
        <v/>
      </c>
      <c r="S319" s="23">
        <f t="shared" si="121"/>
        <v>21434</v>
      </c>
      <c r="T319" s="23" t="str">
        <f t="shared" si="122"/>
        <v/>
      </c>
      <c r="U319" t="str">
        <f t="shared" si="123"/>
        <v/>
      </c>
      <c r="W319" s="1">
        <f t="shared" si="124"/>
        <v>117</v>
      </c>
      <c r="X319" s="73">
        <f t="shared" ref="X319:X382" si="138">IF(AK319=0,AH319,MIN(AH319,6.2/(AK319/AH319)))</f>
        <v>31.5301631303977</v>
      </c>
      <c r="Y319" s="322">
        <f t="shared" si="125"/>
        <v>3291.0930000000003</v>
      </c>
      <c r="Z319" s="43">
        <f t="shared" ref="Z319:Z382" si="139">AA319*100</f>
        <v>1.3915863200909842E-39</v>
      </c>
      <c r="AA319" s="52">
        <f t="shared" si="126"/>
        <v>1.3915863200909841E-41</v>
      </c>
      <c r="AB319" s="8">
        <f t="shared" si="127"/>
        <v>15465.7</v>
      </c>
      <c r="AC319" s="8">
        <f t="shared" si="128"/>
        <v>1546570</v>
      </c>
      <c r="AD319" s="8">
        <f t="shared" si="133"/>
        <v>7732.85</v>
      </c>
      <c r="AE319" s="8" t="str">
        <f t="shared" si="129"/>
        <v/>
      </c>
      <c r="AF319" s="22" t="str">
        <f t="shared" si="130"/>
        <v>CA_Orang_2020g</v>
      </c>
      <c r="AG319">
        <v>1</v>
      </c>
      <c r="AH319" s="272">
        <v>47697</v>
      </c>
      <c r="AI319" s="273">
        <v>28538</v>
      </c>
      <c r="AJ319" s="274">
        <v>19159</v>
      </c>
      <c r="AK319" s="339">
        <v>9379</v>
      </c>
      <c r="AL319" s="340" t="s">
        <v>4520</v>
      </c>
      <c r="AM319" s="353">
        <f t="shared" si="131"/>
        <v>6.0643876449174624E-3</v>
      </c>
      <c r="AN319" s="354"/>
      <c r="AP319" s="23">
        <f t="shared" si="134"/>
        <v>0</v>
      </c>
      <c r="AQ319" s="392">
        <f t="shared" si="135"/>
        <v>0</v>
      </c>
      <c r="AR319" s="392">
        <f t="shared" si="136"/>
        <v>0</v>
      </c>
      <c r="AS319" s="392">
        <f t="shared" si="136"/>
        <v>0</v>
      </c>
    </row>
    <row r="320" spans="1:45">
      <c r="A320" s="12" t="s">
        <v>1634</v>
      </c>
      <c r="B320" s="54" t="str">
        <f t="shared" si="115"/>
        <v>AZ_Maric_2020g</v>
      </c>
      <c r="C320" s="12"/>
      <c r="D320" s="54" t="str">
        <f t="shared" si="116"/>
        <v>Gen-peoria usd #11-gbm-4yr (vote for3)</v>
      </c>
      <c r="E320" s="54" t="s">
        <v>2052</v>
      </c>
      <c r="F320" s="12" t="s">
        <v>1300</v>
      </c>
      <c r="G320" s="59">
        <v>17687</v>
      </c>
      <c r="H320"/>
      <c r="K320" s="2"/>
      <c r="O320">
        <f t="shared" si="117"/>
        <v>8</v>
      </c>
      <c r="P320" s="57">
        <f t="shared" si="118"/>
        <v>3</v>
      </c>
      <c r="Q320" s="267">
        <f t="shared" si="119"/>
        <v>33831</v>
      </c>
      <c r="R320" s="23" t="str">
        <f t="shared" si="120"/>
        <v/>
      </c>
      <c r="S320" s="23">
        <f t="shared" si="121"/>
        <v>17687</v>
      </c>
      <c r="T320" s="23" t="str">
        <f t="shared" si="122"/>
        <v/>
      </c>
      <c r="U320" t="str">
        <f t="shared" si="123"/>
        <v/>
      </c>
      <c r="W320" s="1">
        <f t="shared" si="124"/>
        <v>118</v>
      </c>
      <c r="X320" s="73">
        <f t="shared" si="138"/>
        <v>195.84668705402652</v>
      </c>
      <c r="Y320" s="322">
        <f t="shared" si="125"/>
        <v>21381.72</v>
      </c>
      <c r="Z320" s="43">
        <f t="shared" si="139"/>
        <v>1.8197688936734065E-41</v>
      </c>
      <c r="AA320" s="52">
        <f t="shared" si="126"/>
        <v>1.8197688936734065E-43</v>
      </c>
      <c r="AB320" s="8">
        <f t="shared" si="127"/>
        <v>15465.7</v>
      </c>
      <c r="AC320" s="8">
        <f t="shared" si="128"/>
        <v>1546570</v>
      </c>
      <c r="AD320" s="8">
        <f t="shared" si="133"/>
        <v>7732.85</v>
      </c>
      <c r="AE320" s="8" t="str">
        <f t="shared" si="129"/>
        <v/>
      </c>
      <c r="AF320" s="22" t="str">
        <f t="shared" si="130"/>
        <v>CA_Orang_2020g</v>
      </c>
      <c r="AG320" s="89">
        <v>1</v>
      </c>
      <c r="AH320" s="274">
        <v>309880</v>
      </c>
      <c r="AI320" s="279">
        <v>159845</v>
      </c>
      <c r="AJ320" s="280">
        <v>150035</v>
      </c>
      <c r="AK320" s="92">
        <v>9810</v>
      </c>
      <c r="AL320" s="23" t="s">
        <v>4618</v>
      </c>
      <c r="AM320" s="353">
        <f t="shared" si="131"/>
        <v>6.3430688555965783E-3</v>
      </c>
      <c r="AN320" s="354"/>
      <c r="AP320" s="23">
        <f t="shared" si="134"/>
        <v>0</v>
      </c>
      <c r="AQ320" s="392">
        <f t="shared" si="135"/>
        <v>0</v>
      </c>
      <c r="AR320" s="392">
        <f t="shared" si="136"/>
        <v>0</v>
      </c>
      <c r="AS320" s="392">
        <f t="shared" si="136"/>
        <v>0</v>
      </c>
    </row>
    <row r="321" spans="1:45">
      <c r="A321" s="12" t="s">
        <v>1634</v>
      </c>
      <c r="B321" s="54" t="str">
        <f t="shared" si="115"/>
        <v>AZ_Maric_2020g</v>
      </c>
      <c r="C321" s="12"/>
      <c r="D321" s="54" t="str">
        <f t="shared" si="116"/>
        <v>Gen-peoria usd #11-gbm-4yr (vote for3)</v>
      </c>
      <c r="E321" s="54" t="s">
        <v>2051</v>
      </c>
      <c r="F321" s="12" t="s">
        <v>1300</v>
      </c>
      <c r="G321" s="59">
        <v>15307</v>
      </c>
      <c r="H321"/>
      <c r="K321" s="2"/>
      <c r="O321">
        <f t="shared" si="117"/>
        <v>9</v>
      </c>
      <c r="P321" s="57">
        <f t="shared" si="118"/>
        <v>3</v>
      </c>
      <c r="Q321" s="267">
        <f t="shared" si="119"/>
        <v>16144</v>
      </c>
      <c r="R321" s="23" t="str">
        <f t="shared" si="120"/>
        <v/>
      </c>
      <c r="S321" s="23">
        <f t="shared" si="121"/>
        <v>15307</v>
      </c>
      <c r="T321" s="23" t="str">
        <f t="shared" si="122"/>
        <v/>
      </c>
      <c r="U321" t="str">
        <f t="shared" si="123"/>
        <v/>
      </c>
      <c r="W321" s="1">
        <f t="shared" si="124"/>
        <v>119</v>
      </c>
      <c r="X321" s="73">
        <f t="shared" si="138"/>
        <v>137.86843753156248</v>
      </c>
      <c r="Y321" s="322">
        <f t="shared" si="125"/>
        <v>15191.523000000001</v>
      </c>
      <c r="Z321" s="43">
        <f t="shared" si="139"/>
        <v>7.2823852196709955E-42</v>
      </c>
      <c r="AA321" s="52">
        <f t="shared" si="126"/>
        <v>7.2823852196709953E-44</v>
      </c>
      <c r="AB321" s="8">
        <f t="shared" si="127"/>
        <v>15465.7</v>
      </c>
      <c r="AC321" s="8">
        <f t="shared" si="128"/>
        <v>1546570</v>
      </c>
      <c r="AD321" s="8">
        <f t="shared" si="133"/>
        <v>7732.85</v>
      </c>
      <c r="AE321" s="8" t="str">
        <f t="shared" si="129"/>
        <v/>
      </c>
      <c r="AF321" s="22" t="str">
        <f t="shared" si="130"/>
        <v>CA_Orang_2020g</v>
      </c>
      <c r="AG321" s="89">
        <v>1</v>
      </c>
      <c r="AH321" s="274">
        <v>220167</v>
      </c>
      <c r="AI321" s="279">
        <v>115034</v>
      </c>
      <c r="AJ321" s="280">
        <v>105133</v>
      </c>
      <c r="AK321" s="92">
        <v>9901</v>
      </c>
      <c r="AL321" s="23" t="s">
        <v>4626</v>
      </c>
      <c r="AM321" s="353">
        <f t="shared" si="131"/>
        <v>6.4019087399859046E-3</v>
      </c>
      <c r="AN321" s="354"/>
      <c r="AP321" s="23">
        <f t="shared" si="134"/>
        <v>0</v>
      </c>
      <c r="AQ321" s="392">
        <f t="shared" si="135"/>
        <v>0</v>
      </c>
      <c r="AR321" s="392">
        <f t="shared" si="136"/>
        <v>0</v>
      </c>
      <c r="AS321" s="392">
        <f t="shared" si="136"/>
        <v>0</v>
      </c>
    </row>
    <row r="322" spans="1:45">
      <c r="A322" s="12" t="s">
        <v>1634</v>
      </c>
      <c r="B322" s="54" t="str">
        <f t="shared" ref="B322:B385" si="140">LEFT(A322,14)</f>
        <v>AZ_Maric_2020g</v>
      </c>
      <c r="C322" s="12"/>
      <c r="D322" s="54" t="str">
        <f t="shared" ref="D322:D385" si="141">MID(A322,16,99)</f>
        <v>Gen-peoria usd #11-gbm-4yr (vote for3)</v>
      </c>
      <c r="E322" s="54" t="s">
        <v>1299</v>
      </c>
      <c r="G322" s="59">
        <v>837</v>
      </c>
      <c r="H322"/>
      <c r="K322" s="2"/>
      <c r="O322">
        <f t="shared" ref="O322:O385" si="142">IF(OR(LOWER(LEFT(E322,8))="write-in",LOWER(LEFT(E322,8))="not qual"),IF(A322=A321,-ABS(O321),0),IF(A322=A321,ABS(O321)+1,1))</f>
        <v>-9</v>
      </c>
      <c r="P322" s="57">
        <f t="shared" ref="P322:P385" si="143">1*LEFT(RIGHT(A322,2),1)</f>
        <v>3</v>
      </c>
      <c r="Q322" s="267">
        <f t="shared" ref="Q322:Q385" si="144">IF(A322&lt;&gt;A323,G322,IF(A322=A321,G322+Q323,MAX(G322,(G322+Q323)/P322)))</f>
        <v>837</v>
      </c>
      <c r="R322" s="23">
        <f t="shared" ref="R322:R385" si="145">IF(O322&gt;P322,"",IF(O322=P322,G322,IF(A322=A323,R323,IF(O322&lt;=0,1,G322))))</f>
        <v>1</v>
      </c>
      <c r="S322" s="23">
        <f t="shared" ref="S322:S385" si="146">IF(AND(O322&gt;P322,LOWER(LEFT(E322,8))&lt;&gt;"write-in",LOWER(LEFT(E322,8))&lt;&gt;"not qual"),G322,IF(A322=A323,S323,0))</f>
        <v>0</v>
      </c>
      <c r="T322" s="23" t="str">
        <f t="shared" ref="T322:T385" si="147">IF(OR(A322=A321,S322=0),"",R322-ABS(S322))</f>
        <v/>
      </c>
      <c r="U322" t="str">
        <f t="shared" ref="U322:U385" si="148">IF(A322=A321,"",A322)</f>
        <v/>
      </c>
      <c r="W322" s="1">
        <f t="shared" ref="W322:W385" si="149">IF(AF322=AF321,W321+1,1)</f>
        <v>120</v>
      </c>
      <c r="X322" s="73">
        <f t="shared" si="138"/>
        <v>27.134969437095155</v>
      </c>
      <c r="Y322" s="322">
        <f t="shared" ref="Y322:Y385" si="150">MAX(X322,0.069*AH322)</f>
        <v>3310.0680000000002</v>
      </c>
      <c r="Z322" s="43">
        <f t="shared" si="139"/>
        <v>1.688465528464807E-46</v>
      </c>
      <c r="AA322" s="52">
        <f t="shared" ref="AA322:AA385" si="151">(1-AK322/AC322)^AB322</f>
        <v>1.688465528464807E-48</v>
      </c>
      <c r="AB322" s="8">
        <f t="shared" ref="AB322:AB385" si="152">INDEX(BA$2:BA$76,MATCH($AF322,$AU$2:$AU$76,0))+IF(AE322="",0,INDEX(BA$2:BA$76,AE322))</f>
        <v>15465.7</v>
      </c>
      <c r="AC322" s="8">
        <f t="shared" ref="AC322:AC385" si="153">INDEX(AX$2:AX$76,MATCH(AF322,AU$2:AU$76,0))+IF(AE322="",0,INDEX(AX$2:AX$76,AE322))</f>
        <v>1546570</v>
      </c>
      <c r="AD322" s="8">
        <f t="shared" si="133"/>
        <v>7732.85</v>
      </c>
      <c r="AE322" s="8" t="str">
        <f t="shared" ref="AE322:AE385" si="154">IF(MID(AL322,16,2)&lt;&gt;"w/","",MATCH(CONCATENATE("CO_",MID(AL322,18,5),"_2020g"),AU$2:AU$76,0))</f>
        <v/>
      </c>
      <c r="AF322" s="22" t="str">
        <f t="shared" ref="AF322:AF385" si="155">LEFT(AL322,14)</f>
        <v>CA_Orang_2020g</v>
      </c>
      <c r="AG322">
        <v>1</v>
      </c>
      <c r="AH322" s="272">
        <v>47972</v>
      </c>
      <c r="AI322" s="273">
        <v>24420</v>
      </c>
      <c r="AJ322" s="274">
        <v>13459</v>
      </c>
      <c r="AK322" s="339">
        <v>10961</v>
      </c>
      <c r="AL322" s="340" t="s">
        <v>4541</v>
      </c>
      <c r="AM322" s="353">
        <f t="shared" ref="AM322:AM385" si="156">AK322/AC322</f>
        <v>7.0872964043011306E-3</v>
      </c>
      <c r="AN322" s="354"/>
      <c r="AP322" s="23">
        <f t="shared" si="134"/>
        <v>0</v>
      </c>
      <c r="AQ322" s="392">
        <f t="shared" si="135"/>
        <v>0</v>
      </c>
      <c r="AR322" s="392">
        <f t="shared" si="136"/>
        <v>0</v>
      </c>
      <c r="AS322" s="392">
        <f t="shared" si="136"/>
        <v>0</v>
      </c>
    </row>
    <row r="323" spans="1:45">
      <c r="A323" s="12" t="s">
        <v>1635</v>
      </c>
      <c r="B323" s="54" t="str">
        <f t="shared" si="140"/>
        <v>AZ_Maric_2020g</v>
      </c>
      <c r="C323" s="12"/>
      <c r="D323" s="54" t="str">
        <f t="shared" si="141"/>
        <v>Gen-peoria usd #11-question 1 (vote for1)</v>
      </c>
      <c r="E323" s="54" t="s">
        <v>2015</v>
      </c>
      <c r="F323" s="12" t="s">
        <v>1300</v>
      </c>
      <c r="G323" s="59">
        <v>64391</v>
      </c>
      <c r="H323"/>
      <c r="K323" s="2"/>
      <c r="O323">
        <f t="shared" si="142"/>
        <v>1</v>
      </c>
      <c r="P323" s="57">
        <f t="shared" si="143"/>
        <v>1</v>
      </c>
      <c r="Q323" s="267">
        <f t="shared" si="144"/>
        <v>116242</v>
      </c>
      <c r="R323" s="23">
        <f t="shared" si="145"/>
        <v>64391</v>
      </c>
      <c r="S323" s="23">
        <f t="shared" si="146"/>
        <v>51851</v>
      </c>
      <c r="T323" s="23">
        <f t="shared" si="147"/>
        <v>12540</v>
      </c>
      <c r="U323" t="str">
        <f t="shared" si="148"/>
        <v>AZ_Maric_2020g~Gen-peoria usd #11-question 1 (vote for1)</v>
      </c>
      <c r="W323" s="1">
        <f t="shared" si="149"/>
        <v>121</v>
      </c>
      <c r="X323" s="73">
        <f t="shared" si="138"/>
        <v>21.957312252964424</v>
      </c>
      <c r="Y323" s="322">
        <f t="shared" si="150"/>
        <v>2720.2560000000003</v>
      </c>
      <c r="Z323" s="43">
        <f t="shared" si="139"/>
        <v>3.0165191243726282E-47</v>
      </c>
      <c r="AA323" s="52">
        <f t="shared" si="151"/>
        <v>3.0165191243726283E-49</v>
      </c>
      <c r="AB323" s="8">
        <f t="shared" si="152"/>
        <v>15465.7</v>
      </c>
      <c r="AC323" s="8">
        <f t="shared" si="153"/>
        <v>1546570</v>
      </c>
      <c r="AD323" s="8">
        <f t="shared" ref="AD323:AD386" si="157">AC323/RIGHT(AD$1,4)</f>
        <v>7732.85</v>
      </c>
      <c r="AE323" s="8" t="str">
        <f t="shared" si="154"/>
        <v/>
      </c>
      <c r="AF323" s="22" t="str">
        <f t="shared" si="155"/>
        <v>CA_Orang_2020g</v>
      </c>
      <c r="AG323">
        <v>1</v>
      </c>
      <c r="AH323" s="272">
        <v>39424</v>
      </c>
      <c r="AI323" s="273">
        <v>25278</v>
      </c>
      <c r="AJ323" s="274">
        <v>14146</v>
      </c>
      <c r="AK323" s="339">
        <v>11132</v>
      </c>
      <c r="AL323" s="340" t="s">
        <v>4577</v>
      </c>
      <c r="AM323" s="353">
        <f t="shared" si="156"/>
        <v>7.1978636595821724E-3</v>
      </c>
      <c r="AN323" s="354"/>
      <c r="AP323" s="23">
        <f t="shared" si="134"/>
        <v>0</v>
      </c>
      <c r="AQ323" s="392">
        <f t="shared" si="135"/>
        <v>0</v>
      </c>
      <c r="AR323" s="392">
        <f t="shared" si="136"/>
        <v>0</v>
      </c>
      <c r="AS323" s="392">
        <f t="shared" si="136"/>
        <v>0</v>
      </c>
    </row>
    <row r="324" spans="1:45">
      <c r="A324" s="12" t="s">
        <v>1635</v>
      </c>
      <c r="B324" s="54" t="str">
        <f t="shared" si="140"/>
        <v>AZ_Maric_2020g</v>
      </c>
      <c r="C324" s="12"/>
      <c r="D324" s="54" t="str">
        <f t="shared" si="141"/>
        <v>Gen-peoria usd #11-question 1 (vote for1)</v>
      </c>
      <c r="E324" s="54" t="s">
        <v>2016</v>
      </c>
      <c r="F324" s="12" t="s">
        <v>1300</v>
      </c>
      <c r="G324" s="59">
        <v>51851</v>
      </c>
      <c r="H324"/>
      <c r="K324" s="2"/>
      <c r="O324">
        <f t="shared" si="142"/>
        <v>2</v>
      </c>
      <c r="P324" s="57">
        <f t="shared" si="143"/>
        <v>1</v>
      </c>
      <c r="Q324" s="267">
        <f t="shared" si="144"/>
        <v>51851</v>
      </c>
      <c r="R324" s="23" t="str">
        <f t="shared" si="145"/>
        <v/>
      </c>
      <c r="S324" s="23">
        <f t="shared" si="146"/>
        <v>51851</v>
      </c>
      <c r="T324" s="23" t="str">
        <f t="shared" si="147"/>
        <v/>
      </c>
      <c r="U324" t="str">
        <f t="shared" si="148"/>
        <v/>
      </c>
      <c r="W324" s="1">
        <f t="shared" si="149"/>
        <v>122</v>
      </c>
      <c r="X324" s="73">
        <f t="shared" si="138"/>
        <v>33.10041037282808</v>
      </c>
      <c r="Y324" s="322">
        <f t="shared" si="150"/>
        <v>4219.0050000000001</v>
      </c>
      <c r="Z324" s="43">
        <f t="shared" si="139"/>
        <v>1.1889588087953109E-48</v>
      </c>
      <c r="AA324" s="52">
        <f t="shared" si="151"/>
        <v>1.1889588087953109E-50</v>
      </c>
      <c r="AB324" s="8">
        <f t="shared" si="152"/>
        <v>15465.7</v>
      </c>
      <c r="AC324" s="8">
        <f t="shared" si="153"/>
        <v>1546570</v>
      </c>
      <c r="AD324" s="8">
        <f t="shared" si="157"/>
        <v>7732.85</v>
      </c>
      <c r="AE324" s="8" t="str">
        <f t="shared" si="154"/>
        <v/>
      </c>
      <c r="AF324" s="22" t="str">
        <f t="shared" si="155"/>
        <v>CA_Orang_2020g</v>
      </c>
      <c r="AG324">
        <v>1</v>
      </c>
      <c r="AH324" s="8">
        <v>61145</v>
      </c>
      <c r="AI324" s="273">
        <v>36299</v>
      </c>
      <c r="AJ324" s="274">
        <v>24846</v>
      </c>
      <c r="AK324" s="339">
        <v>11453</v>
      </c>
      <c r="AL324" s="23" t="s">
        <v>4522</v>
      </c>
      <c r="AM324" s="353">
        <f t="shared" si="156"/>
        <v>7.4054197352851799E-3</v>
      </c>
      <c r="AN324" s="354"/>
      <c r="AP324" s="23">
        <f t="shared" si="134"/>
        <v>0</v>
      </c>
      <c r="AQ324" s="392">
        <f t="shared" si="135"/>
        <v>0</v>
      </c>
      <c r="AR324" s="392">
        <f t="shared" si="136"/>
        <v>0</v>
      </c>
      <c r="AS324" s="392">
        <f t="shared" si="136"/>
        <v>0</v>
      </c>
    </row>
    <row r="325" spans="1:45">
      <c r="A325" s="12" t="s">
        <v>1636</v>
      </c>
      <c r="B325" s="54" t="str">
        <f t="shared" si="140"/>
        <v>AZ_Maric_2020g</v>
      </c>
      <c r="C325" s="12"/>
      <c r="D325" s="54" t="str">
        <f t="shared" si="141"/>
        <v>Gen-peoria usd #11-question 2  (vote for1)</v>
      </c>
      <c r="E325" s="54" t="s">
        <v>2002</v>
      </c>
      <c r="F325" s="12" t="s">
        <v>1300</v>
      </c>
      <c r="G325" s="59">
        <v>63318</v>
      </c>
      <c r="H325"/>
      <c r="K325" s="2"/>
      <c r="O325">
        <f t="shared" si="142"/>
        <v>1</v>
      </c>
      <c r="P325" s="57">
        <f t="shared" si="143"/>
        <v>1</v>
      </c>
      <c r="Q325" s="267">
        <f t="shared" si="144"/>
        <v>114126</v>
      </c>
      <c r="R325" s="23">
        <f t="shared" si="145"/>
        <v>63318</v>
      </c>
      <c r="S325" s="23">
        <f t="shared" si="146"/>
        <v>50808</v>
      </c>
      <c r="T325" s="23">
        <f t="shared" si="147"/>
        <v>12510</v>
      </c>
      <c r="U325" t="str">
        <f t="shared" si="148"/>
        <v>AZ_Maric_2020g~Gen-peoria usd #11-question 2  (vote for1)</v>
      </c>
      <c r="W325" s="1">
        <f t="shared" si="149"/>
        <v>123</v>
      </c>
      <c r="X325" s="73">
        <f t="shared" si="138"/>
        <v>147.92526809651474</v>
      </c>
      <c r="Y325" s="322">
        <f t="shared" si="150"/>
        <v>19649.820000000003</v>
      </c>
      <c r="Z325" s="43">
        <f t="shared" si="139"/>
        <v>9.1525501925652372E-51</v>
      </c>
      <c r="AA325" s="52">
        <f t="shared" si="151"/>
        <v>9.1525501925652367E-53</v>
      </c>
      <c r="AB325" s="8">
        <f t="shared" si="152"/>
        <v>15465.7</v>
      </c>
      <c r="AC325" s="8">
        <f t="shared" si="153"/>
        <v>1546570</v>
      </c>
      <c r="AD325" s="8">
        <f t="shared" si="157"/>
        <v>7732.85</v>
      </c>
      <c r="AE325" s="8" t="str">
        <f t="shared" si="154"/>
        <v/>
      </c>
      <c r="AF325" s="22" t="str">
        <f t="shared" si="155"/>
        <v>CA_Orang_2020g</v>
      </c>
      <c r="AG325">
        <v>1</v>
      </c>
      <c r="AH325" s="272">
        <v>284780</v>
      </c>
      <c r="AI325" s="273">
        <v>42246</v>
      </c>
      <c r="AJ325" s="274">
        <v>30310</v>
      </c>
      <c r="AK325" s="339">
        <v>11936</v>
      </c>
      <c r="AL325" s="340" t="s">
        <v>4505</v>
      </c>
      <c r="AM325" s="353">
        <f t="shared" si="156"/>
        <v>7.7177237370439104E-3</v>
      </c>
      <c r="AN325" s="354"/>
      <c r="AP325" s="23">
        <f t="shared" si="134"/>
        <v>0</v>
      </c>
      <c r="AQ325" s="392">
        <f t="shared" si="135"/>
        <v>0</v>
      </c>
      <c r="AR325" s="392">
        <f t="shared" si="136"/>
        <v>0</v>
      </c>
      <c r="AS325" s="392">
        <f t="shared" si="136"/>
        <v>0</v>
      </c>
    </row>
    <row r="326" spans="1:45">
      <c r="A326" s="12" t="s">
        <v>1636</v>
      </c>
      <c r="B326" s="54" t="str">
        <f t="shared" si="140"/>
        <v>AZ_Maric_2020g</v>
      </c>
      <c r="C326" s="12"/>
      <c r="D326" s="54" t="str">
        <f t="shared" si="141"/>
        <v>Gen-peoria usd #11-question 2  (vote for1)</v>
      </c>
      <c r="E326" s="54" t="s">
        <v>2001</v>
      </c>
      <c r="F326" s="12" t="s">
        <v>1300</v>
      </c>
      <c r="G326" s="59">
        <v>50808</v>
      </c>
      <c r="H326"/>
      <c r="K326" s="2"/>
      <c r="O326">
        <f t="shared" si="142"/>
        <v>2</v>
      </c>
      <c r="P326" s="57">
        <f t="shared" si="143"/>
        <v>1</v>
      </c>
      <c r="Q326" s="267">
        <f t="shared" si="144"/>
        <v>50808</v>
      </c>
      <c r="R326" s="23" t="str">
        <f t="shared" si="145"/>
        <v/>
      </c>
      <c r="S326" s="23">
        <f t="shared" si="146"/>
        <v>50808</v>
      </c>
      <c r="T326" s="23" t="str">
        <f t="shared" si="147"/>
        <v/>
      </c>
      <c r="U326" t="str">
        <f t="shared" si="148"/>
        <v/>
      </c>
      <c r="W326" s="1">
        <f t="shared" si="149"/>
        <v>124</v>
      </c>
      <c r="X326" s="73">
        <f t="shared" si="138"/>
        <v>271.00624741756883</v>
      </c>
      <c r="Y326" s="322">
        <f t="shared" si="150"/>
        <v>36497.067000000003</v>
      </c>
      <c r="Z326" s="43">
        <f t="shared" si="139"/>
        <v>1.7351777606340707E-51</v>
      </c>
      <c r="AA326" s="52">
        <f t="shared" si="151"/>
        <v>1.7351777606340707E-53</v>
      </c>
      <c r="AB326" s="8">
        <f t="shared" si="152"/>
        <v>15465.7</v>
      </c>
      <c r="AC326" s="8">
        <f t="shared" si="153"/>
        <v>1546570</v>
      </c>
      <c r="AD326" s="8">
        <f t="shared" si="157"/>
        <v>7732.85</v>
      </c>
      <c r="AE326" s="8" t="str">
        <f t="shared" si="154"/>
        <v/>
      </c>
      <c r="AF326" s="22" t="str">
        <f t="shared" si="155"/>
        <v>CA_Orang_2020g</v>
      </c>
      <c r="AG326" s="89">
        <v>1</v>
      </c>
      <c r="AH326" s="274">
        <v>528943</v>
      </c>
      <c r="AI326" s="279">
        <v>270522</v>
      </c>
      <c r="AJ326" s="280">
        <v>258421</v>
      </c>
      <c r="AK326" s="92">
        <v>12101</v>
      </c>
      <c r="AL326" s="23" t="s">
        <v>4619</v>
      </c>
      <c r="AM326" s="353">
        <f t="shared" si="156"/>
        <v>7.8244114395080722E-3</v>
      </c>
      <c r="AN326" s="354"/>
      <c r="AP326" s="23">
        <f t="shared" si="134"/>
        <v>0</v>
      </c>
      <c r="AQ326" s="392">
        <f t="shared" si="135"/>
        <v>0</v>
      </c>
      <c r="AR326" s="392">
        <f t="shared" si="136"/>
        <v>0</v>
      </c>
      <c r="AS326" s="392">
        <f t="shared" si="136"/>
        <v>0</v>
      </c>
    </row>
    <row r="327" spans="1:45">
      <c r="A327" s="12" t="s">
        <v>1686</v>
      </c>
      <c r="B327" s="54" t="str">
        <f t="shared" si="140"/>
        <v>AZ_Maric_2020g</v>
      </c>
      <c r="C327" s="12"/>
      <c r="D327" s="54" t="str">
        <f t="shared" si="141"/>
        <v>Gen-peoria-proposition 445 (vote for1)</v>
      </c>
      <c r="E327" s="54" t="s">
        <v>1981</v>
      </c>
      <c r="F327" s="12" t="s">
        <v>1300</v>
      </c>
      <c r="G327" s="59">
        <v>57610</v>
      </c>
      <c r="H327"/>
      <c r="K327" s="2"/>
      <c r="O327">
        <f t="shared" si="142"/>
        <v>1</v>
      </c>
      <c r="P327" s="57">
        <f t="shared" si="143"/>
        <v>1</v>
      </c>
      <c r="Q327" s="267">
        <f t="shared" si="144"/>
        <v>86321</v>
      </c>
      <c r="R327" s="23">
        <f t="shared" si="145"/>
        <v>57610</v>
      </c>
      <c r="S327" s="23">
        <f t="shared" si="146"/>
        <v>28711</v>
      </c>
      <c r="T327" s="23">
        <f t="shared" si="147"/>
        <v>28899</v>
      </c>
      <c r="U327" t="str">
        <f t="shared" si="148"/>
        <v>AZ_Maric_2020g~Gen-peoria-proposition 445 (vote for1)</v>
      </c>
      <c r="W327" s="1">
        <f t="shared" si="149"/>
        <v>125</v>
      </c>
      <c r="X327" s="73">
        <f t="shared" si="138"/>
        <v>31.537299919159256</v>
      </c>
      <c r="Y327" s="322">
        <f t="shared" si="150"/>
        <v>4341.6180000000004</v>
      </c>
      <c r="Z327" s="43">
        <f t="shared" si="139"/>
        <v>1.152857488893227E-52</v>
      </c>
      <c r="AA327" s="52">
        <f t="shared" si="151"/>
        <v>1.1528574888932269E-54</v>
      </c>
      <c r="AB327" s="8">
        <f t="shared" si="152"/>
        <v>15465.7</v>
      </c>
      <c r="AC327" s="8">
        <f t="shared" si="153"/>
        <v>1546570</v>
      </c>
      <c r="AD327" s="8">
        <f t="shared" si="157"/>
        <v>7732.85</v>
      </c>
      <c r="AE327" s="8" t="str">
        <f t="shared" si="154"/>
        <v/>
      </c>
      <c r="AF327" s="22" t="str">
        <f t="shared" si="155"/>
        <v>CA_Orang_2020g</v>
      </c>
      <c r="AG327" s="89">
        <v>1</v>
      </c>
      <c r="AH327" s="274">
        <v>62922</v>
      </c>
      <c r="AI327" s="279">
        <v>37646</v>
      </c>
      <c r="AJ327" s="280">
        <v>25276</v>
      </c>
      <c r="AK327" s="92">
        <v>12370</v>
      </c>
      <c r="AL327" s="23" t="s">
        <v>4624</v>
      </c>
      <c r="AM327" s="353">
        <f t="shared" si="156"/>
        <v>7.9983447241314658E-3</v>
      </c>
      <c r="AN327" s="354"/>
      <c r="AP327" s="23">
        <f t="shared" si="134"/>
        <v>0</v>
      </c>
      <c r="AQ327" s="392">
        <f t="shared" si="135"/>
        <v>0</v>
      </c>
      <c r="AR327" s="392">
        <f t="shared" si="136"/>
        <v>0</v>
      </c>
      <c r="AS327" s="392">
        <f t="shared" si="136"/>
        <v>0</v>
      </c>
    </row>
    <row r="328" spans="1:45">
      <c r="A328" s="12" t="s">
        <v>1686</v>
      </c>
      <c r="B328" s="54" t="str">
        <f t="shared" si="140"/>
        <v>AZ_Maric_2020g</v>
      </c>
      <c r="C328" s="12"/>
      <c r="D328" s="54" t="str">
        <f t="shared" si="141"/>
        <v>Gen-peoria-proposition 445 (vote for1)</v>
      </c>
      <c r="E328" s="54" t="s">
        <v>1982</v>
      </c>
      <c r="F328" s="12" t="s">
        <v>1300</v>
      </c>
      <c r="G328" s="59">
        <v>28711</v>
      </c>
      <c r="H328"/>
      <c r="K328" s="2"/>
      <c r="O328">
        <f t="shared" si="142"/>
        <v>2</v>
      </c>
      <c r="P328" s="57">
        <f t="shared" si="143"/>
        <v>1</v>
      </c>
      <c r="Q328" s="267">
        <f t="shared" si="144"/>
        <v>28711</v>
      </c>
      <c r="R328" s="23" t="str">
        <f t="shared" si="145"/>
        <v/>
      </c>
      <c r="S328" s="23">
        <f t="shared" si="146"/>
        <v>28711</v>
      </c>
      <c r="T328" s="23" t="str">
        <f t="shared" si="147"/>
        <v/>
      </c>
      <c r="U328" t="str">
        <f t="shared" si="148"/>
        <v/>
      </c>
      <c r="W328" s="1">
        <f t="shared" si="149"/>
        <v>126</v>
      </c>
      <c r="X328" s="73">
        <f t="shared" si="138"/>
        <v>50.446396181384252</v>
      </c>
      <c r="Y328" s="322">
        <f t="shared" si="150"/>
        <v>7057.0440000000008</v>
      </c>
      <c r="Z328" s="43">
        <f t="shared" si="139"/>
        <v>1.5350633256341489E-53</v>
      </c>
      <c r="AA328" s="52">
        <f t="shared" si="151"/>
        <v>1.5350633256341488E-55</v>
      </c>
      <c r="AB328" s="8">
        <f t="shared" si="152"/>
        <v>15465.7</v>
      </c>
      <c r="AC328" s="8">
        <f t="shared" si="153"/>
        <v>1546570</v>
      </c>
      <c r="AD328" s="8">
        <f t="shared" si="157"/>
        <v>7732.85</v>
      </c>
      <c r="AE328" s="8" t="str">
        <f t="shared" si="154"/>
        <v/>
      </c>
      <c r="AF328" s="22" t="str">
        <f t="shared" si="155"/>
        <v>CA_Orang_2020g</v>
      </c>
      <c r="AG328" s="89">
        <v>1</v>
      </c>
      <c r="AH328" s="274">
        <v>102276</v>
      </c>
      <c r="AI328" s="279">
        <v>57423</v>
      </c>
      <c r="AJ328" s="280">
        <v>44853</v>
      </c>
      <c r="AK328" s="92">
        <v>12570</v>
      </c>
      <c r="AL328" s="23" t="s">
        <v>4631</v>
      </c>
      <c r="AM328" s="353">
        <f t="shared" si="156"/>
        <v>8.1276631513607523E-3</v>
      </c>
      <c r="AN328" s="354"/>
      <c r="AP328" s="23">
        <f t="shared" si="134"/>
        <v>0</v>
      </c>
      <c r="AQ328" s="392">
        <f t="shared" si="135"/>
        <v>0</v>
      </c>
      <c r="AR328" s="392">
        <f t="shared" si="136"/>
        <v>0</v>
      </c>
      <c r="AS328" s="392">
        <f t="shared" si="136"/>
        <v>0</v>
      </c>
    </row>
    <row r="329" spans="1:45">
      <c r="A329" s="12" t="s">
        <v>1687</v>
      </c>
      <c r="B329" s="54" t="str">
        <f t="shared" si="140"/>
        <v>AZ_Maric_2020g</v>
      </c>
      <c r="C329" s="12"/>
      <c r="D329" s="54" t="str">
        <f t="shared" si="141"/>
        <v>Gen-peoria-proposition 446 (vote for1)</v>
      </c>
      <c r="E329" s="54" t="s">
        <v>1981</v>
      </c>
      <c r="F329" s="12" t="s">
        <v>1300</v>
      </c>
      <c r="G329" s="59">
        <v>47111</v>
      </c>
      <c r="H329"/>
      <c r="K329" s="2"/>
      <c r="O329">
        <f t="shared" si="142"/>
        <v>1</v>
      </c>
      <c r="P329" s="57">
        <f t="shared" si="143"/>
        <v>1</v>
      </c>
      <c r="Q329" s="267">
        <f t="shared" si="144"/>
        <v>84734</v>
      </c>
      <c r="R329" s="23">
        <f t="shared" si="145"/>
        <v>47111</v>
      </c>
      <c r="S329" s="23">
        <f t="shared" si="146"/>
        <v>37623</v>
      </c>
      <c r="T329" s="23">
        <f t="shared" si="147"/>
        <v>9488</v>
      </c>
      <c r="U329" t="str">
        <f t="shared" si="148"/>
        <v>AZ_Maric_2020g~Gen-peoria-proposition 446 (vote for1)</v>
      </c>
      <c r="W329" s="1">
        <f t="shared" si="149"/>
        <v>127</v>
      </c>
      <c r="X329" s="73">
        <f t="shared" si="138"/>
        <v>12.379197803873723</v>
      </c>
      <c r="Y329" s="322">
        <f t="shared" si="150"/>
        <v>1806.6960000000001</v>
      </c>
      <c r="Z329" s="43">
        <f t="shared" si="139"/>
        <v>6.3647655531189784E-56</v>
      </c>
      <c r="AA329" s="52">
        <f t="shared" si="151"/>
        <v>6.3647655531189781E-58</v>
      </c>
      <c r="AB329" s="8">
        <f t="shared" si="152"/>
        <v>15465.7</v>
      </c>
      <c r="AC329" s="8">
        <f t="shared" si="153"/>
        <v>1546570</v>
      </c>
      <c r="AD329" s="8">
        <f t="shared" si="157"/>
        <v>7732.85</v>
      </c>
      <c r="AE329" s="8" t="str">
        <f t="shared" si="154"/>
        <v/>
      </c>
      <c r="AF329" s="22" t="str">
        <f t="shared" si="155"/>
        <v>CA_Orang_2020g</v>
      </c>
      <c r="AG329" s="89">
        <v>1</v>
      </c>
      <c r="AH329" s="274">
        <v>26184</v>
      </c>
      <c r="AI329" s="279">
        <v>19649</v>
      </c>
      <c r="AJ329" s="280">
        <v>6535</v>
      </c>
      <c r="AK329" s="92">
        <v>13114</v>
      </c>
      <c r="AL329" s="23" t="s">
        <v>4635</v>
      </c>
      <c r="AM329" s="353">
        <f t="shared" si="156"/>
        <v>8.479409273424417E-3</v>
      </c>
      <c r="AN329" s="354"/>
      <c r="AP329" s="23">
        <f t="shared" si="134"/>
        <v>0</v>
      </c>
      <c r="AQ329" s="392">
        <f t="shared" si="135"/>
        <v>0</v>
      </c>
      <c r="AR329" s="392">
        <f t="shared" si="136"/>
        <v>0</v>
      </c>
      <c r="AS329" s="392">
        <f t="shared" si="136"/>
        <v>0</v>
      </c>
    </row>
    <row r="330" spans="1:45">
      <c r="A330" s="12" t="s">
        <v>1687</v>
      </c>
      <c r="B330" s="54" t="str">
        <f t="shared" si="140"/>
        <v>AZ_Maric_2020g</v>
      </c>
      <c r="C330" s="12"/>
      <c r="D330" s="54" t="str">
        <f t="shared" si="141"/>
        <v>Gen-peoria-proposition 446 (vote for1)</v>
      </c>
      <c r="E330" s="54" t="s">
        <v>1982</v>
      </c>
      <c r="F330" s="12" t="s">
        <v>1300</v>
      </c>
      <c r="G330" s="59">
        <v>37623</v>
      </c>
      <c r="H330"/>
      <c r="K330" s="2"/>
      <c r="O330">
        <f t="shared" si="142"/>
        <v>2</v>
      </c>
      <c r="P330" s="57">
        <f t="shared" si="143"/>
        <v>1</v>
      </c>
      <c r="Q330" s="267">
        <f t="shared" si="144"/>
        <v>37623</v>
      </c>
      <c r="R330" s="23" t="str">
        <f t="shared" si="145"/>
        <v/>
      </c>
      <c r="S330" s="23">
        <f t="shared" si="146"/>
        <v>37623</v>
      </c>
      <c r="T330" s="23" t="str">
        <f t="shared" si="147"/>
        <v/>
      </c>
      <c r="U330" t="str">
        <f t="shared" si="148"/>
        <v/>
      </c>
      <c r="W330" s="1">
        <f t="shared" si="149"/>
        <v>128</v>
      </c>
      <c r="X330" s="73">
        <f t="shared" si="138"/>
        <v>69.136805450416347</v>
      </c>
      <c r="Y330" s="322">
        <f t="shared" si="150"/>
        <v>10164.114000000001</v>
      </c>
      <c r="Z330" s="43">
        <f t="shared" si="139"/>
        <v>2.4170245091594243E-56</v>
      </c>
      <c r="AA330" s="52">
        <f t="shared" si="151"/>
        <v>2.4170245091594245E-58</v>
      </c>
      <c r="AB330" s="8">
        <f t="shared" si="152"/>
        <v>15465.7</v>
      </c>
      <c r="AC330" s="8">
        <f t="shared" si="153"/>
        <v>1546570</v>
      </c>
      <c r="AD330" s="8">
        <f t="shared" si="157"/>
        <v>7732.85</v>
      </c>
      <c r="AE330" s="8" t="str">
        <f t="shared" si="154"/>
        <v/>
      </c>
      <c r="AF330" s="22" t="str">
        <f t="shared" si="155"/>
        <v>CA_Orang_2020g</v>
      </c>
      <c r="AG330">
        <v>1</v>
      </c>
      <c r="AH330" s="272">
        <v>147306</v>
      </c>
      <c r="AI330" s="273">
        <v>59829</v>
      </c>
      <c r="AJ330" s="274">
        <v>46619</v>
      </c>
      <c r="AK330" s="339">
        <v>13210</v>
      </c>
      <c r="AL330" s="340" t="s">
        <v>4571</v>
      </c>
      <c r="AM330" s="353">
        <f t="shared" si="156"/>
        <v>8.5414821184944742E-3</v>
      </c>
      <c r="AN330" s="354"/>
      <c r="AP330" s="23">
        <f t="shared" si="134"/>
        <v>0</v>
      </c>
      <c r="AQ330" s="392">
        <f t="shared" si="135"/>
        <v>0</v>
      </c>
      <c r="AR330" s="392">
        <f t="shared" si="136"/>
        <v>0</v>
      </c>
      <c r="AS330" s="392">
        <f t="shared" si="136"/>
        <v>0</v>
      </c>
    </row>
    <row r="331" spans="1:45">
      <c r="A331" s="12" t="s">
        <v>1688</v>
      </c>
      <c r="B331" s="54" t="str">
        <f t="shared" si="140"/>
        <v>AZ_Maric_2020g</v>
      </c>
      <c r="C331" s="12"/>
      <c r="D331" s="54" t="str">
        <f t="shared" si="141"/>
        <v>Gen-peoria-proposition 447 (vote for1)</v>
      </c>
      <c r="E331" s="54" t="s">
        <v>1981</v>
      </c>
      <c r="F331" s="12" t="s">
        <v>1300</v>
      </c>
      <c r="G331" s="59">
        <v>57695</v>
      </c>
      <c r="H331"/>
      <c r="K331" s="2"/>
      <c r="O331">
        <f t="shared" si="142"/>
        <v>1</v>
      </c>
      <c r="P331" s="57">
        <f t="shared" si="143"/>
        <v>1</v>
      </c>
      <c r="Q331" s="267">
        <f t="shared" si="144"/>
        <v>85638</v>
      </c>
      <c r="R331" s="23">
        <f t="shared" si="145"/>
        <v>57695</v>
      </c>
      <c r="S331" s="23">
        <f t="shared" si="146"/>
        <v>27943</v>
      </c>
      <c r="T331" s="23">
        <f t="shared" si="147"/>
        <v>29752</v>
      </c>
      <c r="U331" t="str">
        <f t="shared" si="148"/>
        <v>AZ_Maric_2020g~Gen-peoria-proposition 447 (vote for1)</v>
      </c>
      <c r="W331" s="1">
        <f t="shared" si="149"/>
        <v>129</v>
      </c>
      <c r="X331" s="73">
        <f t="shared" si="138"/>
        <v>54.102609464838565</v>
      </c>
      <c r="Y331" s="322">
        <f t="shared" si="150"/>
        <v>8168.22</v>
      </c>
      <c r="Z331" s="43">
        <f t="shared" si="139"/>
        <v>6.6633402659993782E-58</v>
      </c>
      <c r="AA331" s="52">
        <f t="shared" si="151"/>
        <v>6.6633402659993777E-60</v>
      </c>
      <c r="AB331" s="8">
        <f t="shared" si="152"/>
        <v>15465.7</v>
      </c>
      <c r="AC331" s="8">
        <f t="shared" si="153"/>
        <v>1546570</v>
      </c>
      <c r="AD331" s="8">
        <f t="shared" si="157"/>
        <v>7732.85</v>
      </c>
      <c r="AE331" s="8" t="str">
        <f t="shared" si="154"/>
        <v/>
      </c>
      <c r="AF331" s="22" t="str">
        <f t="shared" si="155"/>
        <v>CA_Orang_2020g</v>
      </c>
      <c r="AG331">
        <v>1</v>
      </c>
      <c r="AH331" s="272">
        <v>118380</v>
      </c>
      <c r="AI331" s="273">
        <v>56304</v>
      </c>
      <c r="AJ331" s="274">
        <v>42738</v>
      </c>
      <c r="AK331" s="339">
        <v>13566</v>
      </c>
      <c r="AL331" s="340" t="s">
        <v>4506</v>
      </c>
      <c r="AM331" s="353">
        <f t="shared" si="156"/>
        <v>8.7716689189626072E-3</v>
      </c>
      <c r="AN331" s="354"/>
      <c r="AP331" s="23">
        <f t="shared" si="134"/>
        <v>0</v>
      </c>
      <c r="AQ331" s="392">
        <f t="shared" si="135"/>
        <v>0</v>
      </c>
      <c r="AR331" s="392">
        <f t="shared" si="136"/>
        <v>0</v>
      </c>
      <c r="AS331" s="392">
        <f t="shared" si="136"/>
        <v>0</v>
      </c>
    </row>
    <row r="332" spans="1:45">
      <c r="A332" s="12" t="s">
        <v>1688</v>
      </c>
      <c r="B332" s="54" t="str">
        <f t="shared" si="140"/>
        <v>AZ_Maric_2020g</v>
      </c>
      <c r="C332" s="12"/>
      <c r="D332" s="54" t="str">
        <f t="shared" si="141"/>
        <v>Gen-peoria-proposition 447 (vote for1)</v>
      </c>
      <c r="E332" s="54" t="s">
        <v>1982</v>
      </c>
      <c r="F332" s="12" t="s">
        <v>1300</v>
      </c>
      <c r="G332" s="59">
        <v>27943</v>
      </c>
      <c r="H332"/>
      <c r="K332" s="2"/>
      <c r="O332">
        <f t="shared" si="142"/>
        <v>2</v>
      </c>
      <c r="P332" s="57">
        <f t="shared" si="143"/>
        <v>1</v>
      </c>
      <c r="Q332" s="267">
        <f t="shared" si="144"/>
        <v>27943</v>
      </c>
      <c r="R332" s="23" t="str">
        <f t="shared" si="145"/>
        <v/>
      </c>
      <c r="S332" s="23">
        <f t="shared" si="146"/>
        <v>27943</v>
      </c>
      <c r="T332" s="23" t="str">
        <f t="shared" si="147"/>
        <v/>
      </c>
      <c r="U332" t="str">
        <f t="shared" si="148"/>
        <v/>
      </c>
      <c r="W332" s="1">
        <f t="shared" si="149"/>
        <v>130</v>
      </c>
      <c r="X332" s="73">
        <f t="shared" si="138"/>
        <v>39.495732788002726</v>
      </c>
      <c r="Y332" s="322">
        <f t="shared" si="150"/>
        <v>6448.1880000000001</v>
      </c>
      <c r="Z332" s="43">
        <f t="shared" si="139"/>
        <v>9.6584948488319558E-63</v>
      </c>
      <c r="AA332" s="52">
        <f t="shared" si="151"/>
        <v>9.6584948488319555E-65</v>
      </c>
      <c r="AB332" s="8">
        <f t="shared" si="152"/>
        <v>15465.7</v>
      </c>
      <c r="AC332" s="8">
        <f t="shared" si="153"/>
        <v>1546570</v>
      </c>
      <c r="AD332" s="8">
        <f t="shared" si="157"/>
        <v>7732.85</v>
      </c>
      <c r="AE332" s="8" t="str">
        <f t="shared" si="154"/>
        <v/>
      </c>
      <c r="AF332" s="22" t="str">
        <f t="shared" si="155"/>
        <v>CA_Orang_2020g</v>
      </c>
      <c r="AG332">
        <v>1</v>
      </c>
      <c r="AH332" s="272">
        <v>93452</v>
      </c>
      <c r="AI332" s="273">
        <v>54061</v>
      </c>
      <c r="AJ332" s="274">
        <v>39391</v>
      </c>
      <c r="AK332" s="339">
        <v>14670</v>
      </c>
      <c r="AL332" s="340" t="s">
        <v>4582</v>
      </c>
      <c r="AM332" s="353">
        <f t="shared" si="156"/>
        <v>9.4855066372682775E-3</v>
      </c>
      <c r="AN332" s="354"/>
      <c r="AP332" s="23">
        <f t="shared" si="134"/>
        <v>0</v>
      </c>
      <c r="AQ332" s="392">
        <f t="shared" si="135"/>
        <v>0</v>
      </c>
      <c r="AR332" s="392">
        <f t="shared" si="136"/>
        <v>0</v>
      </c>
      <c r="AS332" s="392">
        <f t="shared" si="136"/>
        <v>0</v>
      </c>
    </row>
    <row r="333" spans="1:45">
      <c r="A333" s="12" t="s">
        <v>1689</v>
      </c>
      <c r="B333" s="54" t="str">
        <f t="shared" si="140"/>
        <v>AZ_Maric_2020g</v>
      </c>
      <c r="C333" s="12"/>
      <c r="D333" s="54" t="str">
        <f t="shared" si="141"/>
        <v>Gen-peoria-proposition 448 (vote for1)</v>
      </c>
      <c r="E333" s="54" t="s">
        <v>1981</v>
      </c>
      <c r="F333" s="12" t="s">
        <v>1300</v>
      </c>
      <c r="G333" s="59">
        <v>65138</v>
      </c>
      <c r="H333"/>
      <c r="K333" s="2"/>
      <c r="O333">
        <f t="shared" si="142"/>
        <v>1</v>
      </c>
      <c r="P333" s="57">
        <f t="shared" si="143"/>
        <v>1</v>
      </c>
      <c r="Q333" s="267">
        <f t="shared" si="144"/>
        <v>84684</v>
      </c>
      <c r="R333" s="23">
        <f t="shared" si="145"/>
        <v>65138</v>
      </c>
      <c r="S333" s="23">
        <f t="shared" si="146"/>
        <v>19546</v>
      </c>
      <c r="T333" s="23">
        <f t="shared" si="147"/>
        <v>45592</v>
      </c>
      <c r="U333" t="str">
        <f t="shared" si="148"/>
        <v>AZ_Maric_2020g~Gen-peoria-proposition 448 (vote for1)</v>
      </c>
      <c r="W333" s="1">
        <f t="shared" si="149"/>
        <v>131</v>
      </c>
      <c r="X333" s="73">
        <f t="shared" si="138"/>
        <v>20.899175468483818</v>
      </c>
      <c r="Y333" s="322">
        <f t="shared" si="150"/>
        <v>3413.2230000000004</v>
      </c>
      <c r="Z333" s="43">
        <f t="shared" si="139"/>
        <v>9.1830456870817069E-63</v>
      </c>
      <c r="AA333" s="52">
        <f t="shared" si="151"/>
        <v>9.1830456870817067E-65</v>
      </c>
      <c r="AB333" s="8">
        <f t="shared" si="152"/>
        <v>15465.7</v>
      </c>
      <c r="AC333" s="8">
        <f t="shared" si="153"/>
        <v>1546570</v>
      </c>
      <c r="AD333" s="8">
        <f t="shared" si="157"/>
        <v>7732.85</v>
      </c>
      <c r="AE333" s="8" t="str">
        <f t="shared" si="154"/>
        <v/>
      </c>
      <c r="AF333" s="22" t="str">
        <f t="shared" si="155"/>
        <v>CA_Orang_2020g</v>
      </c>
      <c r="AG333">
        <v>1</v>
      </c>
      <c r="AH333" s="272">
        <v>49467</v>
      </c>
      <c r="AI333" s="273">
        <v>25833</v>
      </c>
      <c r="AJ333" s="274">
        <v>11158</v>
      </c>
      <c r="AK333" s="339">
        <v>14675</v>
      </c>
      <c r="AL333" s="340" t="s">
        <v>4492</v>
      </c>
      <c r="AM333" s="353">
        <f t="shared" si="156"/>
        <v>9.4887395979490093E-3</v>
      </c>
      <c r="AN333" s="354"/>
      <c r="AP333" s="23">
        <f t="shared" ref="AP333:AP396" si="158">MIN(AD333, MAX(0,ROUNDUP(AD333*(0.5*AK333/AC333-0.005)/(RIGHT(AP$1,3)-0.005),0)))</f>
        <v>0</v>
      </c>
      <c r="AQ333" s="392">
        <f t="shared" si="135"/>
        <v>0</v>
      </c>
      <c r="AR333" s="392">
        <f t="shared" si="136"/>
        <v>0</v>
      </c>
      <c r="AS333" s="392">
        <f t="shared" si="136"/>
        <v>0</v>
      </c>
    </row>
    <row r="334" spans="1:45">
      <c r="A334" s="12" t="s">
        <v>1689</v>
      </c>
      <c r="B334" s="54" t="str">
        <f t="shared" si="140"/>
        <v>AZ_Maric_2020g</v>
      </c>
      <c r="C334" s="12"/>
      <c r="D334" s="54" t="str">
        <f t="shared" si="141"/>
        <v>Gen-peoria-proposition 448 (vote for1)</v>
      </c>
      <c r="E334" s="54" t="s">
        <v>1982</v>
      </c>
      <c r="F334" s="12" t="s">
        <v>1300</v>
      </c>
      <c r="G334" s="59">
        <v>19546</v>
      </c>
      <c r="H334"/>
      <c r="K334" s="2"/>
      <c r="O334">
        <f t="shared" si="142"/>
        <v>2</v>
      </c>
      <c r="P334" s="57">
        <f t="shared" si="143"/>
        <v>1</v>
      </c>
      <c r="Q334" s="267">
        <f t="shared" si="144"/>
        <v>19546</v>
      </c>
      <c r="R334" s="23" t="str">
        <f t="shared" si="145"/>
        <v/>
      </c>
      <c r="S334" s="23">
        <f t="shared" si="146"/>
        <v>19546</v>
      </c>
      <c r="T334" s="23" t="str">
        <f t="shared" si="147"/>
        <v/>
      </c>
      <c r="U334" t="str">
        <f t="shared" si="148"/>
        <v/>
      </c>
      <c r="W334" s="1">
        <f t="shared" si="149"/>
        <v>132</v>
      </c>
      <c r="X334" s="73">
        <f t="shared" si="138"/>
        <v>20.436236933797911</v>
      </c>
      <c r="Y334" s="322">
        <f t="shared" si="150"/>
        <v>3524.7960000000003</v>
      </c>
      <c r="Z334" s="43">
        <f t="shared" si="139"/>
        <v>2.2570102661060117E-66</v>
      </c>
      <c r="AA334" s="52">
        <f t="shared" si="151"/>
        <v>2.2570102661060118E-68</v>
      </c>
      <c r="AB334" s="8">
        <f t="shared" si="152"/>
        <v>15465.7</v>
      </c>
      <c r="AC334" s="8">
        <f t="shared" si="153"/>
        <v>1546570</v>
      </c>
      <c r="AD334" s="8">
        <f t="shared" si="157"/>
        <v>7732.85</v>
      </c>
      <c r="AE334" s="8" t="str">
        <f t="shared" si="154"/>
        <v/>
      </c>
      <c r="AF334" s="22" t="str">
        <f t="shared" si="155"/>
        <v>CA_Orang_2020g</v>
      </c>
      <c r="AG334" s="89">
        <v>1</v>
      </c>
      <c r="AH334" s="274">
        <v>51084</v>
      </c>
      <c r="AI334" s="279">
        <v>33291</v>
      </c>
      <c r="AJ334" s="280">
        <v>17793</v>
      </c>
      <c r="AK334" s="92">
        <v>15498</v>
      </c>
      <c r="AL334" s="23" t="s">
        <v>4601</v>
      </c>
      <c r="AM334" s="353">
        <f t="shared" si="156"/>
        <v>1.0020884925997529E-2</v>
      </c>
      <c r="AN334" s="354"/>
      <c r="AP334" s="23">
        <f t="shared" si="158"/>
        <v>1</v>
      </c>
      <c r="AQ334" s="392">
        <f t="shared" si="135"/>
        <v>1.00879461976211E-2</v>
      </c>
      <c r="AR334" s="392">
        <f t="shared" si="136"/>
        <v>5.0051733057423498E-2</v>
      </c>
      <c r="AS334" s="392">
        <f t="shared" si="136"/>
        <v>0.20007759958613558</v>
      </c>
    </row>
    <row r="335" spans="1:45">
      <c r="A335" s="12" t="s">
        <v>1691</v>
      </c>
      <c r="B335" s="54" t="str">
        <f t="shared" si="140"/>
        <v>AZ_Maric_2020g</v>
      </c>
      <c r="C335" s="12"/>
      <c r="D335" s="54" t="str">
        <f t="shared" si="141"/>
        <v>Gen-phoenix dist 1-councilmember (vote for1)</v>
      </c>
      <c r="E335" s="54" t="s">
        <v>2163</v>
      </c>
      <c r="F335" s="12" t="s">
        <v>1300</v>
      </c>
      <c r="G335" s="59">
        <v>35286</v>
      </c>
      <c r="H335"/>
      <c r="K335" s="2"/>
      <c r="O335">
        <f t="shared" si="142"/>
        <v>1</v>
      </c>
      <c r="P335" s="57">
        <f t="shared" si="143"/>
        <v>1</v>
      </c>
      <c r="Q335" s="267">
        <f t="shared" si="144"/>
        <v>67517</v>
      </c>
      <c r="R335" s="23">
        <f t="shared" si="145"/>
        <v>35286</v>
      </c>
      <c r="S335" s="23">
        <f t="shared" si="146"/>
        <v>31329</v>
      </c>
      <c r="T335" s="23">
        <f t="shared" si="147"/>
        <v>3957</v>
      </c>
      <c r="U335" t="str">
        <f t="shared" si="148"/>
        <v>AZ_Maric_2020g~Gen-phoenix dist 1-councilmember (vote for1)</v>
      </c>
      <c r="W335" s="1">
        <f t="shared" si="149"/>
        <v>133</v>
      </c>
      <c r="X335" s="73">
        <f t="shared" si="138"/>
        <v>12.362543720190779</v>
      </c>
      <c r="Y335" s="322">
        <f t="shared" si="150"/>
        <v>2163.4950000000003</v>
      </c>
      <c r="Z335" s="43">
        <f t="shared" si="139"/>
        <v>2.27841146981775E-67</v>
      </c>
      <c r="AA335" s="52">
        <f t="shared" si="151"/>
        <v>2.27841146981775E-69</v>
      </c>
      <c r="AB335" s="8">
        <f t="shared" si="152"/>
        <v>15465.7</v>
      </c>
      <c r="AC335" s="8">
        <f t="shared" si="153"/>
        <v>1546570</v>
      </c>
      <c r="AD335" s="8">
        <f t="shared" si="157"/>
        <v>7732.85</v>
      </c>
      <c r="AE335" s="8" t="str">
        <f t="shared" si="154"/>
        <v/>
      </c>
      <c r="AF335" s="22" t="str">
        <f t="shared" si="155"/>
        <v>CA_Orang_2020g</v>
      </c>
      <c r="AG335">
        <v>1</v>
      </c>
      <c r="AH335" s="272">
        <v>31355</v>
      </c>
      <c r="AI335" s="273">
        <v>23540</v>
      </c>
      <c r="AJ335" s="274">
        <v>7815</v>
      </c>
      <c r="AK335" s="339">
        <v>15725</v>
      </c>
      <c r="AL335" s="340" t="s">
        <v>4482</v>
      </c>
      <c r="AM335" s="353">
        <f t="shared" si="156"/>
        <v>1.0167661340902773E-2</v>
      </c>
      <c r="AN335" s="354"/>
      <c r="AP335" s="23">
        <f t="shared" si="158"/>
        <v>2</v>
      </c>
      <c r="AQ335" s="392">
        <f t="shared" si="135"/>
        <v>2.0075417442813048E-2</v>
      </c>
      <c r="AR335" s="392">
        <f t="shared" si="136"/>
        <v>9.7604440250124269E-2</v>
      </c>
      <c r="AS335" s="392">
        <f t="shared" si="136"/>
        <v>0.36014485523744122</v>
      </c>
    </row>
    <row r="336" spans="1:45">
      <c r="A336" s="12" t="s">
        <v>1691</v>
      </c>
      <c r="B336" s="54" t="str">
        <f t="shared" si="140"/>
        <v>AZ_Maric_2020g</v>
      </c>
      <c r="C336" s="12"/>
      <c r="D336" s="54" t="str">
        <f t="shared" si="141"/>
        <v>Gen-phoenix dist 1-councilmember (vote for1)</v>
      </c>
      <c r="E336" s="54" t="s">
        <v>2164</v>
      </c>
      <c r="F336" s="12" t="s">
        <v>1300</v>
      </c>
      <c r="G336" s="59">
        <v>31329</v>
      </c>
      <c r="H336"/>
      <c r="K336" s="2"/>
      <c r="O336">
        <f t="shared" si="142"/>
        <v>2</v>
      </c>
      <c r="P336" s="57">
        <f t="shared" si="143"/>
        <v>1</v>
      </c>
      <c r="Q336" s="267">
        <f t="shared" si="144"/>
        <v>32231</v>
      </c>
      <c r="R336" s="23" t="str">
        <f t="shared" si="145"/>
        <v/>
      </c>
      <c r="S336" s="23">
        <f t="shared" si="146"/>
        <v>31329</v>
      </c>
      <c r="T336" s="23" t="str">
        <f t="shared" si="147"/>
        <v/>
      </c>
      <c r="U336" t="str">
        <f t="shared" si="148"/>
        <v/>
      </c>
      <c r="W336" s="1">
        <f t="shared" si="149"/>
        <v>134</v>
      </c>
      <c r="X336" s="73">
        <f t="shared" si="138"/>
        <v>100.6800957420005</v>
      </c>
      <c r="Y336" s="322">
        <f t="shared" si="150"/>
        <v>17788.614000000001</v>
      </c>
      <c r="Z336" s="43">
        <f t="shared" si="139"/>
        <v>4.9553978119725919E-68</v>
      </c>
      <c r="AA336" s="52">
        <f t="shared" si="151"/>
        <v>4.9553978119725916E-70</v>
      </c>
      <c r="AB336" s="8">
        <f t="shared" si="152"/>
        <v>15465.7</v>
      </c>
      <c r="AC336" s="8">
        <f t="shared" si="153"/>
        <v>1546570</v>
      </c>
      <c r="AD336" s="8">
        <f t="shared" si="157"/>
        <v>7732.85</v>
      </c>
      <c r="AE336" s="8" t="str">
        <f t="shared" si="154"/>
        <v/>
      </c>
      <c r="AF336" s="22" t="str">
        <f t="shared" si="155"/>
        <v>CA_Orang_2020g</v>
      </c>
      <c r="AG336">
        <v>1</v>
      </c>
      <c r="AH336" s="272">
        <v>257806</v>
      </c>
      <c r="AI336" s="273">
        <v>136841</v>
      </c>
      <c r="AJ336" s="274">
        <v>120965</v>
      </c>
      <c r="AK336" s="339">
        <v>15876</v>
      </c>
      <c r="AL336" s="340" t="s">
        <v>4562</v>
      </c>
      <c r="AM336" s="353">
        <f t="shared" si="156"/>
        <v>1.0265296753460884E-2</v>
      </c>
      <c r="AN336" s="354"/>
      <c r="AP336" s="23">
        <f t="shared" si="158"/>
        <v>2</v>
      </c>
      <c r="AQ336" s="392">
        <f t="shared" si="135"/>
        <v>2.0075417442813048E-2</v>
      </c>
      <c r="AR336" s="392">
        <f t="shared" si="136"/>
        <v>9.7604440250124269E-2</v>
      </c>
      <c r="AS336" s="392">
        <f t="shared" si="136"/>
        <v>0.36014485523744122</v>
      </c>
    </row>
    <row r="337" spans="1:45">
      <c r="A337" s="12" t="s">
        <v>1691</v>
      </c>
      <c r="B337" s="54" t="str">
        <f t="shared" si="140"/>
        <v>AZ_Maric_2020g</v>
      </c>
      <c r="C337" s="12"/>
      <c r="D337" s="54" t="str">
        <f t="shared" si="141"/>
        <v>Gen-phoenix dist 1-councilmember (vote for1)</v>
      </c>
      <c r="E337" s="54" t="s">
        <v>1299</v>
      </c>
      <c r="G337" s="59">
        <v>451</v>
      </c>
      <c r="H337"/>
      <c r="K337" s="2"/>
      <c r="O337">
        <f t="shared" si="142"/>
        <v>-2</v>
      </c>
      <c r="P337" s="57">
        <f t="shared" si="143"/>
        <v>1</v>
      </c>
      <c r="Q337" s="267">
        <f t="shared" si="144"/>
        <v>902</v>
      </c>
      <c r="R337" s="23" t="str">
        <f t="shared" si="145"/>
        <v/>
      </c>
      <c r="S337" s="23">
        <f t="shared" si="146"/>
        <v>134</v>
      </c>
      <c r="T337" s="23" t="str">
        <f t="shared" si="147"/>
        <v/>
      </c>
      <c r="U337" t="str">
        <f t="shared" si="148"/>
        <v/>
      </c>
      <c r="W337" s="1">
        <f t="shared" si="149"/>
        <v>135</v>
      </c>
      <c r="X337" s="73">
        <f t="shared" si="138"/>
        <v>23.610984505938386</v>
      </c>
      <c r="Y337" s="322">
        <f t="shared" si="150"/>
        <v>4358.5230000000001</v>
      </c>
      <c r="Z337" s="43">
        <f t="shared" si="139"/>
        <v>3.7539947822839291E-71</v>
      </c>
      <c r="AA337" s="52">
        <f t="shared" si="151"/>
        <v>3.753994782283929E-73</v>
      </c>
      <c r="AB337" s="8">
        <f t="shared" si="152"/>
        <v>15465.7</v>
      </c>
      <c r="AC337" s="8">
        <f t="shared" si="153"/>
        <v>1546570</v>
      </c>
      <c r="AD337" s="8">
        <f t="shared" si="157"/>
        <v>7732.85</v>
      </c>
      <c r="AE337" s="8" t="str">
        <f t="shared" si="154"/>
        <v/>
      </c>
      <c r="AF337" s="22" t="str">
        <f t="shared" si="155"/>
        <v>CA_Orang_2020g</v>
      </c>
      <c r="AG337">
        <v>1</v>
      </c>
      <c r="AH337" s="272">
        <v>63167</v>
      </c>
      <c r="AI337" s="273">
        <v>39877</v>
      </c>
      <c r="AJ337" s="274">
        <v>23290</v>
      </c>
      <c r="AK337" s="339">
        <v>16587</v>
      </c>
      <c r="AL337" s="340" t="s">
        <v>4472</v>
      </c>
      <c r="AM337" s="353">
        <f t="shared" si="156"/>
        <v>1.0725023762261003E-2</v>
      </c>
      <c r="AN337" s="354"/>
      <c r="AP337" s="23">
        <f t="shared" si="158"/>
        <v>5</v>
      </c>
      <c r="AQ337" s="392">
        <f t="shared" si="135"/>
        <v>4.9444812147000694E-2</v>
      </c>
      <c r="AR337" s="392">
        <f t="shared" si="136"/>
        <v>0.22648245738797002</v>
      </c>
      <c r="AS337" s="392">
        <f t="shared" si="136"/>
        <v>0.67258487153779134</v>
      </c>
    </row>
    <row r="338" spans="1:45">
      <c r="A338" s="12" t="s">
        <v>1691</v>
      </c>
      <c r="B338" s="54" t="str">
        <f t="shared" si="140"/>
        <v>AZ_Maric_2020g</v>
      </c>
      <c r="C338" s="12"/>
      <c r="D338" s="54" t="str">
        <f t="shared" si="141"/>
        <v>Gen-phoenix dist 1-councilmember (vote for1)</v>
      </c>
      <c r="E338" s="54" t="s">
        <v>1765</v>
      </c>
      <c r="G338" s="59">
        <v>313</v>
      </c>
      <c r="H338"/>
      <c r="K338" s="2"/>
      <c r="O338">
        <f t="shared" si="142"/>
        <v>-2</v>
      </c>
      <c r="P338" s="57">
        <f t="shared" si="143"/>
        <v>1</v>
      </c>
      <c r="Q338" s="267">
        <f t="shared" si="144"/>
        <v>451</v>
      </c>
      <c r="R338" s="23" t="str">
        <f t="shared" si="145"/>
        <v/>
      </c>
      <c r="S338" s="23">
        <f t="shared" si="146"/>
        <v>134</v>
      </c>
      <c r="T338" s="23" t="str">
        <f t="shared" si="147"/>
        <v/>
      </c>
      <c r="U338" t="str">
        <f t="shared" si="148"/>
        <v/>
      </c>
      <c r="W338" s="1">
        <f t="shared" si="149"/>
        <v>136</v>
      </c>
      <c r="X338" s="73">
        <f t="shared" si="138"/>
        <v>74.689923306348533</v>
      </c>
      <c r="Y338" s="322">
        <f t="shared" si="150"/>
        <v>15607.11</v>
      </c>
      <c r="Z338" s="43">
        <f t="shared" si="139"/>
        <v>9.0748895828024025E-81</v>
      </c>
      <c r="AA338" s="52">
        <f t="shared" si="151"/>
        <v>9.0748895828024034E-83</v>
      </c>
      <c r="AB338" s="8">
        <f t="shared" si="152"/>
        <v>15465.7</v>
      </c>
      <c r="AC338" s="8">
        <f t="shared" si="153"/>
        <v>1546570</v>
      </c>
      <c r="AD338" s="8">
        <f t="shared" si="157"/>
        <v>7732.85</v>
      </c>
      <c r="AE338" s="8" t="str">
        <f t="shared" si="154"/>
        <v/>
      </c>
      <c r="AF338" s="22" t="str">
        <f t="shared" si="155"/>
        <v>CA_Orang_2020g</v>
      </c>
      <c r="AG338">
        <v>1</v>
      </c>
      <c r="AH338" s="272">
        <v>226190</v>
      </c>
      <c r="AI338" s="273">
        <v>122483</v>
      </c>
      <c r="AJ338" s="274">
        <v>103707</v>
      </c>
      <c r="AK338" s="339">
        <v>18776</v>
      </c>
      <c r="AL338" s="340" t="s">
        <v>4564</v>
      </c>
      <c r="AM338" s="353">
        <f t="shared" si="156"/>
        <v>1.214041394828556E-2</v>
      </c>
      <c r="AN338" s="354"/>
      <c r="AP338" s="23">
        <f t="shared" si="158"/>
        <v>14</v>
      </c>
      <c r="AQ338" s="392">
        <f t="shared" si="135"/>
        <v>0.13243819001141677</v>
      </c>
      <c r="AR338" s="392">
        <f t="shared" si="136"/>
        <v>0.51299913312294776</v>
      </c>
      <c r="AS338" s="392">
        <f t="shared" si="136"/>
        <v>0.95620849291384435</v>
      </c>
    </row>
    <row r="339" spans="1:45">
      <c r="A339" s="12" t="s">
        <v>1691</v>
      </c>
      <c r="B339" s="54" t="str">
        <f t="shared" si="140"/>
        <v>AZ_Maric_2020g</v>
      </c>
      <c r="C339" s="12"/>
      <c r="D339" s="54" t="str">
        <f t="shared" si="141"/>
        <v>Gen-phoenix dist 1-councilmember (vote for1)</v>
      </c>
      <c r="E339" s="54" t="s">
        <v>2166</v>
      </c>
      <c r="G339" s="59">
        <v>134</v>
      </c>
      <c r="H339"/>
      <c r="K339" s="2"/>
      <c r="O339">
        <f t="shared" si="142"/>
        <v>3</v>
      </c>
      <c r="P339" s="57">
        <f t="shared" si="143"/>
        <v>1</v>
      </c>
      <c r="Q339" s="267">
        <f t="shared" si="144"/>
        <v>138</v>
      </c>
      <c r="R339" s="23" t="str">
        <f t="shared" si="145"/>
        <v/>
      </c>
      <c r="S339" s="23">
        <f t="shared" si="146"/>
        <v>134</v>
      </c>
      <c r="T339" s="23" t="str">
        <f t="shared" si="147"/>
        <v/>
      </c>
      <c r="U339" t="str">
        <f t="shared" si="148"/>
        <v/>
      </c>
      <c r="W339" s="1">
        <f t="shared" si="149"/>
        <v>137</v>
      </c>
      <c r="X339" s="73">
        <f t="shared" si="138"/>
        <v>11.261389111289033</v>
      </c>
      <c r="Y339" s="322">
        <f t="shared" si="150"/>
        <v>2504.5620000000004</v>
      </c>
      <c r="Z339" s="43">
        <f t="shared" si="139"/>
        <v>4.4155886959130839E-86</v>
      </c>
      <c r="AA339" s="52">
        <f t="shared" si="151"/>
        <v>4.4155886959130836E-88</v>
      </c>
      <c r="AB339" s="8">
        <f t="shared" si="152"/>
        <v>15465.7</v>
      </c>
      <c r="AC339" s="8">
        <f t="shared" si="153"/>
        <v>1546570</v>
      </c>
      <c r="AD339" s="8">
        <f t="shared" si="157"/>
        <v>7732.85</v>
      </c>
      <c r="AE339" s="8" t="str">
        <f t="shared" si="154"/>
        <v/>
      </c>
      <c r="AF339" s="22" t="str">
        <f t="shared" si="155"/>
        <v>CA_Orang_2020g</v>
      </c>
      <c r="AG339">
        <v>1</v>
      </c>
      <c r="AH339" s="272">
        <v>36298</v>
      </c>
      <c r="AI339" s="273">
        <v>28141</v>
      </c>
      <c r="AJ339" s="274">
        <v>8157</v>
      </c>
      <c r="AK339" s="339">
        <v>19984</v>
      </c>
      <c r="AL339" s="340" t="s">
        <v>4474</v>
      </c>
      <c r="AM339" s="353">
        <f t="shared" si="156"/>
        <v>1.292149724875046E-2</v>
      </c>
      <c r="AN339" s="354"/>
      <c r="AP339" s="23">
        <f t="shared" si="158"/>
        <v>19</v>
      </c>
      <c r="AQ339" s="392">
        <f t="shared" si="135"/>
        <v>0.17541087904714603</v>
      </c>
      <c r="AR339" s="392">
        <f t="shared" si="136"/>
        <v>0.62347636399098849</v>
      </c>
      <c r="AS339" s="392">
        <f t="shared" si="136"/>
        <v>0.9856945136438352</v>
      </c>
    </row>
    <row r="340" spans="1:45">
      <c r="A340" s="12" t="s">
        <v>1691</v>
      </c>
      <c r="B340" s="54" t="str">
        <f t="shared" si="140"/>
        <v>AZ_Maric_2020g</v>
      </c>
      <c r="C340" s="12"/>
      <c r="D340" s="54" t="str">
        <f t="shared" si="141"/>
        <v>Gen-phoenix dist 1-councilmember (vote for1)</v>
      </c>
      <c r="E340" s="54" t="s">
        <v>2165</v>
      </c>
      <c r="G340" s="59">
        <v>4</v>
      </c>
      <c r="H340"/>
      <c r="K340" s="2"/>
      <c r="O340">
        <f t="shared" si="142"/>
        <v>4</v>
      </c>
      <c r="P340" s="57">
        <f t="shared" si="143"/>
        <v>1</v>
      </c>
      <c r="Q340" s="267">
        <f t="shared" si="144"/>
        <v>4</v>
      </c>
      <c r="R340" s="23" t="str">
        <f t="shared" si="145"/>
        <v/>
      </c>
      <c r="S340" s="23">
        <f t="shared" si="146"/>
        <v>4</v>
      </c>
      <c r="T340" s="23" t="str">
        <f t="shared" si="147"/>
        <v/>
      </c>
      <c r="U340" t="str">
        <f t="shared" si="148"/>
        <v/>
      </c>
      <c r="W340" s="1">
        <f t="shared" si="149"/>
        <v>138</v>
      </c>
      <c r="X340" s="73">
        <f t="shared" si="138"/>
        <v>11.650688732051595</v>
      </c>
      <c r="Y340" s="322">
        <f t="shared" si="150"/>
        <v>2663.8830000000003</v>
      </c>
      <c r="Z340" s="43">
        <f t="shared" si="139"/>
        <v>1.5005448355526731E-88</v>
      </c>
      <c r="AA340" s="52">
        <f t="shared" si="151"/>
        <v>1.500544835552673E-90</v>
      </c>
      <c r="AB340" s="8">
        <f t="shared" si="152"/>
        <v>15465.7</v>
      </c>
      <c r="AC340" s="8">
        <f t="shared" si="153"/>
        <v>1546570</v>
      </c>
      <c r="AD340" s="8">
        <f t="shared" si="157"/>
        <v>7732.85</v>
      </c>
      <c r="AE340" s="8" t="str">
        <f t="shared" si="154"/>
        <v/>
      </c>
      <c r="AF340" s="22" t="str">
        <f t="shared" si="155"/>
        <v>CA_Orang_2020g</v>
      </c>
      <c r="AG340" s="89">
        <v>1</v>
      </c>
      <c r="AH340" s="274">
        <v>38607</v>
      </c>
      <c r="AI340" s="279">
        <v>29576</v>
      </c>
      <c r="AJ340" s="280">
        <v>9031</v>
      </c>
      <c r="AK340" s="92">
        <v>20545</v>
      </c>
      <c r="AL340" s="23" t="s">
        <v>4546</v>
      </c>
      <c r="AM340" s="353">
        <f t="shared" si="156"/>
        <v>1.3284235437128613E-2</v>
      </c>
      <c r="AN340" s="354"/>
      <c r="AP340" s="23">
        <f t="shared" si="158"/>
        <v>22</v>
      </c>
      <c r="AQ340" s="392">
        <f t="shared" si="135"/>
        <v>0.20017862797743813</v>
      </c>
      <c r="AR340" s="392">
        <f t="shared" si="136"/>
        <v>0.67736307670945983</v>
      </c>
      <c r="AS340" s="392">
        <f t="shared" si="136"/>
        <v>0.99269196188964237</v>
      </c>
    </row>
    <row r="341" spans="1:45">
      <c r="A341" s="12" t="s">
        <v>1692</v>
      </c>
      <c r="B341" s="54" t="str">
        <f t="shared" si="140"/>
        <v>AZ_Maric_2020g</v>
      </c>
      <c r="C341" s="12"/>
      <c r="D341" s="54" t="str">
        <f t="shared" si="141"/>
        <v>Gen-phoenix dist 3-councilmember (vote for1)</v>
      </c>
      <c r="E341" s="54" t="s">
        <v>2169</v>
      </c>
      <c r="F341" s="12" t="s">
        <v>1300</v>
      </c>
      <c r="G341" s="59">
        <v>31600</v>
      </c>
      <c r="H341"/>
      <c r="K341" s="2"/>
      <c r="O341">
        <f t="shared" si="142"/>
        <v>1</v>
      </c>
      <c r="P341" s="57">
        <f t="shared" si="143"/>
        <v>1</v>
      </c>
      <c r="Q341" s="267">
        <f t="shared" si="144"/>
        <v>67924</v>
      </c>
      <c r="R341" s="23">
        <f t="shared" si="145"/>
        <v>31600</v>
      </c>
      <c r="S341" s="23">
        <f t="shared" si="146"/>
        <v>23958</v>
      </c>
      <c r="T341" s="23">
        <f t="shared" si="147"/>
        <v>7642</v>
      </c>
      <c r="U341" t="str">
        <f t="shared" si="148"/>
        <v>AZ_Maric_2020g~Gen-phoenix dist 3-councilmember (vote for1)</v>
      </c>
      <c r="W341" s="1">
        <f t="shared" si="149"/>
        <v>139</v>
      </c>
      <c r="X341" s="73">
        <f t="shared" si="138"/>
        <v>41.871602787456453</v>
      </c>
      <c r="Y341" s="322">
        <f t="shared" si="150"/>
        <v>9629.2260000000006</v>
      </c>
      <c r="Z341" s="43">
        <f t="shared" si="139"/>
        <v>4.4922121565120481E-89</v>
      </c>
      <c r="AA341" s="52">
        <f t="shared" si="151"/>
        <v>4.4922121565120484E-91</v>
      </c>
      <c r="AB341" s="8">
        <f t="shared" si="152"/>
        <v>15465.7</v>
      </c>
      <c r="AC341" s="8">
        <f t="shared" si="153"/>
        <v>1546570</v>
      </c>
      <c r="AD341" s="8">
        <f t="shared" si="157"/>
        <v>7732.85</v>
      </c>
      <c r="AE341" s="8" t="str">
        <f t="shared" si="154"/>
        <v/>
      </c>
      <c r="AF341" s="22" t="str">
        <f t="shared" si="155"/>
        <v>CA_Orang_2020g</v>
      </c>
      <c r="AG341">
        <v>1</v>
      </c>
      <c r="AH341" s="272">
        <v>139554</v>
      </c>
      <c r="AI341" s="273">
        <v>80109</v>
      </c>
      <c r="AJ341" s="274">
        <v>59445</v>
      </c>
      <c r="AK341" s="339">
        <v>20664</v>
      </c>
      <c r="AL341" s="340" t="s">
        <v>4572</v>
      </c>
      <c r="AM341" s="353">
        <f t="shared" si="156"/>
        <v>1.3361179901330039E-2</v>
      </c>
      <c r="AN341" s="354"/>
      <c r="AP341" s="23">
        <f t="shared" si="158"/>
        <v>22</v>
      </c>
      <c r="AQ341" s="392">
        <f t="shared" si="135"/>
        <v>0.20017862797743813</v>
      </c>
      <c r="AR341" s="392">
        <f t="shared" si="136"/>
        <v>0.67736307670945983</v>
      </c>
      <c r="AS341" s="392">
        <f t="shared" si="136"/>
        <v>0.99269196188964237</v>
      </c>
    </row>
    <row r="342" spans="1:45">
      <c r="A342" s="12" t="s">
        <v>1692</v>
      </c>
      <c r="B342" s="54" t="str">
        <f t="shared" si="140"/>
        <v>AZ_Maric_2020g</v>
      </c>
      <c r="C342" s="12"/>
      <c r="D342" s="54" t="str">
        <f t="shared" si="141"/>
        <v>Gen-phoenix dist 3-councilmember (vote for1)</v>
      </c>
      <c r="E342" s="54" t="s">
        <v>2167</v>
      </c>
      <c r="F342" s="12" t="s">
        <v>1300</v>
      </c>
      <c r="G342" s="59">
        <v>23958</v>
      </c>
      <c r="H342"/>
      <c r="K342" s="2"/>
      <c r="O342">
        <f t="shared" si="142"/>
        <v>2</v>
      </c>
      <c r="P342" s="57">
        <f t="shared" si="143"/>
        <v>1</v>
      </c>
      <c r="Q342" s="267">
        <f t="shared" si="144"/>
        <v>36324</v>
      </c>
      <c r="R342" s="23" t="str">
        <f t="shared" si="145"/>
        <v/>
      </c>
      <c r="S342" s="23">
        <f t="shared" si="146"/>
        <v>23958</v>
      </c>
      <c r="T342" s="23" t="str">
        <f t="shared" si="147"/>
        <v/>
      </c>
      <c r="U342" t="str">
        <f t="shared" si="148"/>
        <v/>
      </c>
      <c r="W342" s="1">
        <f t="shared" si="149"/>
        <v>140</v>
      </c>
      <c r="X342" s="73">
        <f t="shared" si="138"/>
        <v>35.999402985074624</v>
      </c>
      <c r="Y342" s="322">
        <f t="shared" si="150"/>
        <v>8321.2620000000006</v>
      </c>
      <c r="Z342" s="43">
        <f t="shared" si="139"/>
        <v>1.534114439420594E-89</v>
      </c>
      <c r="AA342" s="52">
        <f t="shared" si="151"/>
        <v>1.5341144394205941E-91</v>
      </c>
      <c r="AB342" s="8">
        <f t="shared" si="152"/>
        <v>15465.7</v>
      </c>
      <c r="AC342" s="8">
        <f t="shared" si="153"/>
        <v>1546570</v>
      </c>
      <c r="AD342" s="8">
        <f t="shared" si="157"/>
        <v>7732.85</v>
      </c>
      <c r="AE342" s="8" t="str">
        <f t="shared" si="154"/>
        <v/>
      </c>
      <c r="AF342" s="22" t="str">
        <f t="shared" si="155"/>
        <v>CA_Orang_2020g</v>
      </c>
      <c r="AG342">
        <v>1</v>
      </c>
      <c r="AH342" s="272">
        <v>120598</v>
      </c>
      <c r="AI342" s="273">
        <v>70684</v>
      </c>
      <c r="AJ342" s="274">
        <v>49914</v>
      </c>
      <c r="AK342" s="339">
        <v>20770</v>
      </c>
      <c r="AL342" s="340" t="s">
        <v>4560</v>
      </c>
      <c r="AM342" s="353">
        <f t="shared" si="156"/>
        <v>1.3429718667761563E-2</v>
      </c>
      <c r="AN342" s="354"/>
      <c r="AP342" s="23">
        <f t="shared" si="158"/>
        <v>23</v>
      </c>
      <c r="AQ342" s="392">
        <f t="shared" si="135"/>
        <v>0.20827020606015667</v>
      </c>
      <c r="AR342" s="392">
        <f t="shared" si="136"/>
        <v>0.69355769270342082</v>
      </c>
      <c r="AS342" s="392">
        <f t="shared" si="136"/>
        <v>0.99415830883603962</v>
      </c>
    </row>
    <row r="343" spans="1:45">
      <c r="A343" s="12" t="s">
        <v>1692</v>
      </c>
      <c r="B343" s="54" t="str">
        <f t="shared" si="140"/>
        <v>AZ_Maric_2020g</v>
      </c>
      <c r="C343" s="12"/>
      <c r="D343" s="54" t="str">
        <f t="shared" si="141"/>
        <v>Gen-phoenix dist 3-councilmember (vote for1)</v>
      </c>
      <c r="E343" s="54" t="s">
        <v>2168</v>
      </c>
      <c r="F343" s="12" t="s">
        <v>1300</v>
      </c>
      <c r="G343" s="59">
        <v>11872</v>
      </c>
      <c r="H343"/>
      <c r="K343" s="2"/>
      <c r="O343">
        <f t="shared" si="142"/>
        <v>3</v>
      </c>
      <c r="P343" s="57">
        <f t="shared" si="143"/>
        <v>1</v>
      </c>
      <c r="Q343" s="267">
        <f t="shared" si="144"/>
        <v>12366</v>
      </c>
      <c r="R343" s="23" t="str">
        <f t="shared" si="145"/>
        <v/>
      </c>
      <c r="S343" s="23">
        <f t="shared" si="146"/>
        <v>11872</v>
      </c>
      <c r="T343" s="23" t="str">
        <f t="shared" si="147"/>
        <v/>
      </c>
      <c r="U343" t="str">
        <f t="shared" si="148"/>
        <v/>
      </c>
      <c r="W343" s="1">
        <f t="shared" si="149"/>
        <v>141</v>
      </c>
      <c r="X343" s="73">
        <f t="shared" si="138"/>
        <v>18.753234656706784</v>
      </c>
      <c r="Y343" s="322">
        <f t="shared" si="150"/>
        <v>4526.1930000000002</v>
      </c>
      <c r="Z343" s="43">
        <f t="shared" si="139"/>
        <v>1.4058928286895055E-93</v>
      </c>
      <c r="AA343" s="52">
        <f t="shared" si="151"/>
        <v>1.4058928286895054E-95</v>
      </c>
      <c r="AB343" s="8">
        <f t="shared" si="152"/>
        <v>15465.7</v>
      </c>
      <c r="AC343" s="8">
        <f t="shared" si="153"/>
        <v>1546570</v>
      </c>
      <c r="AD343" s="8">
        <f t="shared" si="157"/>
        <v>7732.85</v>
      </c>
      <c r="AE343" s="8" t="str">
        <f t="shared" si="154"/>
        <v/>
      </c>
      <c r="AF343" s="22" t="str">
        <f t="shared" si="155"/>
        <v>CA_Orang_2020g</v>
      </c>
      <c r="AG343">
        <v>1</v>
      </c>
      <c r="AH343" s="272">
        <v>65597</v>
      </c>
      <c r="AI343" s="273">
        <v>40388</v>
      </c>
      <c r="AJ343" s="274">
        <v>18701</v>
      </c>
      <c r="AK343" s="339">
        <v>21687</v>
      </c>
      <c r="AL343" s="340" t="s">
        <v>4501</v>
      </c>
      <c r="AM343" s="353">
        <f t="shared" si="156"/>
        <v>1.4022643656607848E-2</v>
      </c>
      <c r="AN343" s="354"/>
      <c r="AP343" s="23">
        <f t="shared" si="158"/>
        <v>27</v>
      </c>
      <c r="AQ343" s="392">
        <f t="shared" si="135"/>
        <v>0.23983623543698895</v>
      </c>
      <c r="AR343" s="392">
        <f t="shared" si="136"/>
        <v>0.75062232711951093</v>
      </c>
      <c r="AS343" s="392">
        <f t="shared" si="136"/>
        <v>0.99761576918421746</v>
      </c>
    </row>
    <row r="344" spans="1:45">
      <c r="A344" s="12" t="s">
        <v>1692</v>
      </c>
      <c r="B344" s="54" t="str">
        <f t="shared" si="140"/>
        <v>AZ_Maric_2020g</v>
      </c>
      <c r="C344" s="12"/>
      <c r="D344" s="54" t="str">
        <f t="shared" si="141"/>
        <v>Gen-phoenix dist 3-councilmember (vote for1)</v>
      </c>
      <c r="E344" s="54" t="s">
        <v>1299</v>
      </c>
      <c r="G344" s="59">
        <v>247</v>
      </c>
      <c r="H344"/>
      <c r="K344" s="2"/>
      <c r="O344">
        <f t="shared" si="142"/>
        <v>-3</v>
      </c>
      <c r="P344" s="57">
        <f t="shared" si="143"/>
        <v>1</v>
      </c>
      <c r="Q344" s="267">
        <f t="shared" si="144"/>
        <v>494</v>
      </c>
      <c r="R344" s="23" t="str">
        <f t="shared" si="145"/>
        <v/>
      </c>
      <c r="S344" s="23">
        <f t="shared" si="146"/>
        <v>1</v>
      </c>
      <c r="T344" s="23" t="str">
        <f t="shared" si="147"/>
        <v/>
      </c>
      <c r="U344" t="str">
        <f t="shared" si="148"/>
        <v/>
      </c>
      <c r="W344" s="1">
        <f t="shared" si="149"/>
        <v>142</v>
      </c>
      <c r="X344" s="73">
        <f t="shared" si="138"/>
        <v>27.590627389251182</v>
      </c>
      <c r="Y344" s="322">
        <f t="shared" si="150"/>
        <v>6827.4120000000003</v>
      </c>
      <c r="Z344" s="43">
        <f t="shared" si="139"/>
        <v>5.4167280550528717E-96</v>
      </c>
      <c r="AA344" s="52">
        <f t="shared" si="151"/>
        <v>5.4167280550528719E-98</v>
      </c>
      <c r="AB344" s="8">
        <f t="shared" si="152"/>
        <v>15465.7</v>
      </c>
      <c r="AC344" s="8">
        <f t="shared" si="153"/>
        <v>1546570</v>
      </c>
      <c r="AD344" s="8">
        <f t="shared" si="157"/>
        <v>7732.85</v>
      </c>
      <c r="AE344" s="8" t="str">
        <f t="shared" si="154"/>
        <v/>
      </c>
      <c r="AF344" s="22" t="str">
        <f t="shared" si="155"/>
        <v>CA_Orang_2020g</v>
      </c>
      <c r="AG344">
        <v>1</v>
      </c>
      <c r="AH344" s="272">
        <v>98948</v>
      </c>
      <c r="AI344" s="273">
        <v>45913</v>
      </c>
      <c r="AJ344" s="274">
        <v>23678</v>
      </c>
      <c r="AK344" s="339">
        <v>22235</v>
      </c>
      <c r="AL344" s="340" t="s">
        <v>4579</v>
      </c>
      <c r="AM344" s="353">
        <f t="shared" si="156"/>
        <v>1.4376976147216098E-2</v>
      </c>
      <c r="AN344" s="354"/>
      <c r="AP344" s="23">
        <f t="shared" si="158"/>
        <v>29</v>
      </c>
      <c r="AQ344" s="392">
        <f t="shared" si="135"/>
        <v>0.25515004820661358</v>
      </c>
      <c r="AR344" s="392">
        <f t="shared" si="136"/>
        <v>0.77504579747897817</v>
      </c>
      <c r="AS344" s="392">
        <f t="shared" si="136"/>
        <v>0.99847711111179138</v>
      </c>
    </row>
    <row r="345" spans="1:45">
      <c r="A345" s="12" t="s">
        <v>1692</v>
      </c>
      <c r="B345" s="54" t="str">
        <f t="shared" si="140"/>
        <v>AZ_Maric_2020g</v>
      </c>
      <c r="C345" s="12"/>
      <c r="D345" s="54" t="str">
        <f t="shared" si="141"/>
        <v>Gen-phoenix dist 3-councilmember (vote for1)</v>
      </c>
      <c r="E345" s="54" t="s">
        <v>1765</v>
      </c>
      <c r="G345" s="59">
        <v>246</v>
      </c>
      <c r="H345"/>
      <c r="K345" s="2"/>
      <c r="O345">
        <f t="shared" si="142"/>
        <v>-3</v>
      </c>
      <c r="P345" s="57">
        <f t="shared" si="143"/>
        <v>1</v>
      </c>
      <c r="Q345" s="267">
        <f t="shared" si="144"/>
        <v>247</v>
      </c>
      <c r="R345" s="23" t="str">
        <f t="shared" si="145"/>
        <v/>
      </c>
      <c r="S345" s="23">
        <f t="shared" si="146"/>
        <v>1</v>
      </c>
      <c r="T345" s="23" t="str">
        <f t="shared" si="147"/>
        <v/>
      </c>
      <c r="U345" t="str">
        <f t="shared" si="148"/>
        <v/>
      </c>
      <c r="W345" s="1">
        <f t="shared" si="149"/>
        <v>143</v>
      </c>
      <c r="X345" s="73">
        <f t="shared" si="138"/>
        <v>29.877773876404493</v>
      </c>
      <c r="Y345" s="322">
        <f t="shared" si="150"/>
        <v>7575.9240000000009</v>
      </c>
      <c r="Z345" s="43">
        <f t="shared" si="139"/>
        <v>2.0617969860517237E-98</v>
      </c>
      <c r="AA345" s="52">
        <f t="shared" si="151"/>
        <v>2.0617969860517237E-100</v>
      </c>
      <c r="AB345" s="8">
        <f t="shared" si="152"/>
        <v>15465.7</v>
      </c>
      <c r="AC345" s="8">
        <f t="shared" si="153"/>
        <v>1546570</v>
      </c>
      <c r="AD345" s="8">
        <f t="shared" si="157"/>
        <v>7732.85</v>
      </c>
      <c r="AE345" s="8" t="str">
        <f t="shared" si="154"/>
        <v/>
      </c>
      <c r="AF345" s="22" t="str">
        <f t="shared" si="155"/>
        <v>CA_Orang_2020g</v>
      </c>
      <c r="AG345">
        <v>1</v>
      </c>
      <c r="AH345" s="272">
        <v>109796</v>
      </c>
      <c r="AI345" s="273">
        <v>66290</v>
      </c>
      <c r="AJ345" s="274">
        <v>43506</v>
      </c>
      <c r="AK345" s="339">
        <v>22784</v>
      </c>
      <c r="AL345" s="340" t="s">
        <v>4580</v>
      </c>
      <c r="AM345" s="353">
        <f t="shared" si="156"/>
        <v>1.4731955229960493E-2</v>
      </c>
      <c r="AN345" s="354"/>
      <c r="AP345" s="23">
        <f t="shared" si="158"/>
        <v>31</v>
      </c>
      <c r="AQ345" s="392">
        <f t="shared" si="135"/>
        <v>0.27015923428773081</v>
      </c>
      <c r="AR345" s="392">
        <f t="shared" si="136"/>
        <v>0.79708286304421072</v>
      </c>
      <c r="AS345" s="392">
        <f t="shared" si="136"/>
        <v>0.99902740625064412</v>
      </c>
    </row>
    <row r="346" spans="1:45">
      <c r="A346" s="12" t="s">
        <v>1692</v>
      </c>
      <c r="B346" s="54" t="str">
        <f t="shared" si="140"/>
        <v>AZ_Maric_2020g</v>
      </c>
      <c r="C346" s="12"/>
      <c r="D346" s="54" t="str">
        <f t="shared" si="141"/>
        <v>Gen-phoenix dist 3-councilmember (vote for1)</v>
      </c>
      <c r="E346" s="54" t="s">
        <v>2170</v>
      </c>
      <c r="G346" s="59">
        <v>1</v>
      </c>
      <c r="H346"/>
      <c r="K346" s="2"/>
      <c r="O346">
        <f t="shared" si="142"/>
        <v>4</v>
      </c>
      <c r="P346" s="57">
        <f t="shared" si="143"/>
        <v>1</v>
      </c>
      <c r="Q346" s="267">
        <f t="shared" si="144"/>
        <v>1</v>
      </c>
      <c r="R346" s="23" t="str">
        <f t="shared" si="145"/>
        <v/>
      </c>
      <c r="S346" s="23">
        <f t="shared" si="146"/>
        <v>1</v>
      </c>
      <c r="T346" s="23" t="str">
        <f t="shared" si="147"/>
        <v/>
      </c>
      <c r="U346" t="str">
        <f t="shared" si="148"/>
        <v/>
      </c>
      <c r="W346" s="1">
        <f t="shared" si="149"/>
        <v>144</v>
      </c>
      <c r="X346" s="73">
        <f t="shared" si="138"/>
        <v>35.984398398049798</v>
      </c>
      <c r="Y346" s="322">
        <f t="shared" si="150"/>
        <v>9199.6320000000014</v>
      </c>
      <c r="Z346" s="43">
        <f t="shared" si="139"/>
        <v>3.0585321363484255E-99</v>
      </c>
      <c r="AA346" s="52">
        <f t="shared" si="151"/>
        <v>3.0585321363484254E-101</v>
      </c>
      <c r="AB346" s="8">
        <f t="shared" si="152"/>
        <v>15465.7</v>
      </c>
      <c r="AC346" s="8">
        <f t="shared" si="153"/>
        <v>1546570</v>
      </c>
      <c r="AD346" s="8">
        <f t="shared" si="157"/>
        <v>7732.85</v>
      </c>
      <c r="AE346" s="8" t="str">
        <f t="shared" si="154"/>
        <v/>
      </c>
      <c r="AF346" s="22" t="str">
        <f t="shared" si="155"/>
        <v>CA_Orang_2020g</v>
      </c>
      <c r="AG346">
        <v>1</v>
      </c>
      <c r="AH346" s="272">
        <v>133328</v>
      </c>
      <c r="AI346" s="273">
        <v>60918</v>
      </c>
      <c r="AJ346" s="274">
        <v>37946</v>
      </c>
      <c r="AK346" s="339">
        <v>22972</v>
      </c>
      <c r="AL346" s="340" t="s">
        <v>4570</v>
      </c>
      <c r="AM346" s="353">
        <f t="shared" si="156"/>
        <v>1.4853514551556025E-2</v>
      </c>
      <c r="AN346" s="354"/>
      <c r="AO346" s="356"/>
      <c r="AP346" s="23">
        <f t="shared" si="158"/>
        <v>32</v>
      </c>
      <c r="AQ346" s="392">
        <f t="shared" si="135"/>
        <v>0.2775514664297325</v>
      </c>
      <c r="AR346" s="392">
        <f t="shared" si="136"/>
        <v>0.8072801013251989</v>
      </c>
      <c r="AS346" s="392">
        <f t="shared" si="136"/>
        <v>0.99922278380294294</v>
      </c>
    </row>
    <row r="347" spans="1:45">
      <c r="A347" s="12" t="s">
        <v>1693</v>
      </c>
      <c r="B347" s="54" t="str">
        <f t="shared" si="140"/>
        <v>AZ_Maric_2020g</v>
      </c>
      <c r="C347" s="12"/>
      <c r="D347" s="54" t="str">
        <f t="shared" si="141"/>
        <v>Gen-phoenix dist 5-councilmember (vote for1)</v>
      </c>
      <c r="E347" s="54" t="s">
        <v>2171</v>
      </c>
      <c r="F347" s="12" t="s">
        <v>1300</v>
      </c>
      <c r="G347" s="59">
        <v>31093</v>
      </c>
      <c r="H347"/>
      <c r="K347" s="2"/>
      <c r="O347">
        <f t="shared" si="142"/>
        <v>1</v>
      </c>
      <c r="P347" s="57">
        <f t="shared" si="143"/>
        <v>1</v>
      </c>
      <c r="Q347" s="267">
        <f t="shared" si="144"/>
        <v>46161</v>
      </c>
      <c r="R347" s="23">
        <f t="shared" si="145"/>
        <v>31093</v>
      </c>
      <c r="S347" s="23">
        <f t="shared" si="146"/>
        <v>8555</v>
      </c>
      <c r="T347" s="23">
        <f t="shared" si="147"/>
        <v>22538</v>
      </c>
      <c r="U347" t="str">
        <f t="shared" si="148"/>
        <v>AZ_Maric_2020g~Gen-phoenix dist 5-councilmember (vote for1)</v>
      </c>
      <c r="W347" s="1">
        <f t="shared" si="149"/>
        <v>145</v>
      </c>
      <c r="X347" s="73">
        <f t="shared" si="138"/>
        <v>13.709650890250423</v>
      </c>
      <c r="Y347" s="322">
        <f t="shared" si="150"/>
        <v>3710.4750000000004</v>
      </c>
      <c r="Z347" s="43">
        <f t="shared" si="139"/>
        <v>3.505399430681345E-105</v>
      </c>
      <c r="AA347" s="52">
        <f t="shared" si="151"/>
        <v>3.505399430681345E-107</v>
      </c>
      <c r="AB347" s="8">
        <f t="shared" si="152"/>
        <v>15465.7</v>
      </c>
      <c r="AC347" s="8">
        <f t="shared" si="153"/>
        <v>1546570</v>
      </c>
      <c r="AD347" s="8">
        <f t="shared" si="157"/>
        <v>7732.85</v>
      </c>
      <c r="AE347" s="8" t="str">
        <f t="shared" si="154"/>
        <v/>
      </c>
      <c r="AF347" s="22" t="str">
        <f t="shared" si="155"/>
        <v>CA_Orang_2020g</v>
      </c>
      <c r="AG347">
        <v>1</v>
      </c>
      <c r="AH347" s="8">
        <v>53775</v>
      </c>
      <c r="AI347" s="273">
        <v>39047</v>
      </c>
      <c r="AJ347" s="274">
        <v>14728</v>
      </c>
      <c r="AK347" s="339">
        <v>24319</v>
      </c>
      <c r="AL347" s="23" t="s">
        <v>4542</v>
      </c>
      <c r="AM347" s="353">
        <f t="shared" si="156"/>
        <v>1.5724474158945279E-2</v>
      </c>
      <c r="AN347" s="354"/>
      <c r="AP347" s="23">
        <f t="shared" si="158"/>
        <v>38</v>
      </c>
      <c r="AQ347" s="392">
        <f t="shared" si="135"/>
        <v>0.3203777832495952</v>
      </c>
      <c r="AR347" s="392">
        <f t="shared" si="136"/>
        <v>0.85857999283416409</v>
      </c>
      <c r="AS347" s="392">
        <f t="shared" si="136"/>
        <v>0.99979774179069869</v>
      </c>
    </row>
    <row r="348" spans="1:45">
      <c r="A348" s="12" t="s">
        <v>1693</v>
      </c>
      <c r="B348" s="54" t="str">
        <f t="shared" si="140"/>
        <v>AZ_Maric_2020g</v>
      </c>
      <c r="C348" s="12"/>
      <c r="D348" s="54" t="str">
        <f t="shared" si="141"/>
        <v>Gen-phoenix dist 5-councilmember (vote for1)</v>
      </c>
      <c r="E348" s="54" t="s">
        <v>2173</v>
      </c>
      <c r="F348" s="12" t="s">
        <v>1300</v>
      </c>
      <c r="G348" s="59">
        <v>8555</v>
      </c>
      <c r="H348"/>
      <c r="K348" s="2"/>
      <c r="O348">
        <f t="shared" si="142"/>
        <v>2</v>
      </c>
      <c r="P348" s="57">
        <f t="shared" si="143"/>
        <v>1</v>
      </c>
      <c r="Q348" s="267">
        <f t="shared" si="144"/>
        <v>15068</v>
      </c>
      <c r="R348" s="23" t="str">
        <f t="shared" si="145"/>
        <v/>
      </c>
      <c r="S348" s="23">
        <f t="shared" si="146"/>
        <v>8555</v>
      </c>
      <c r="T348" s="23" t="str">
        <f t="shared" si="147"/>
        <v/>
      </c>
      <c r="U348" t="str">
        <f t="shared" si="148"/>
        <v/>
      </c>
      <c r="W348" s="1">
        <f t="shared" si="149"/>
        <v>146</v>
      </c>
      <c r="X348" s="73">
        <f t="shared" si="138"/>
        <v>89.491835669809035</v>
      </c>
      <c r="Y348" s="322">
        <f t="shared" si="150"/>
        <v>28630.791000000001</v>
      </c>
      <c r="Z348" s="43">
        <f t="shared" si="139"/>
        <v>9.5166710153555248E-125</v>
      </c>
      <c r="AA348" s="52">
        <f t="shared" si="151"/>
        <v>9.5166710153555248E-127</v>
      </c>
      <c r="AB348" s="8">
        <f t="shared" si="152"/>
        <v>15465.7</v>
      </c>
      <c r="AC348" s="8">
        <f t="shared" si="153"/>
        <v>1546570</v>
      </c>
      <c r="AD348" s="8">
        <f t="shared" si="157"/>
        <v>7732.85</v>
      </c>
      <c r="AE348" s="8" t="str">
        <f t="shared" si="154"/>
        <v/>
      </c>
      <c r="AF348" s="22" t="str">
        <f t="shared" si="155"/>
        <v>CA_Orang_2020g</v>
      </c>
      <c r="AG348" s="89">
        <v>1</v>
      </c>
      <c r="AH348" s="274">
        <v>414939</v>
      </c>
      <c r="AI348" s="279">
        <v>221843</v>
      </c>
      <c r="AJ348" s="280">
        <v>193096</v>
      </c>
      <c r="AK348" s="92">
        <v>28747</v>
      </c>
      <c r="AL348" s="23" t="s">
        <v>4627</v>
      </c>
      <c r="AM348" s="353">
        <f t="shared" si="156"/>
        <v>1.8587584137801715E-2</v>
      </c>
      <c r="AN348" s="354"/>
      <c r="AP348" s="23">
        <f t="shared" si="158"/>
        <v>56</v>
      </c>
      <c r="AQ348" s="392">
        <f t="shared" si="135"/>
        <v>0.43438027662931933</v>
      </c>
      <c r="AR348" s="392">
        <f t="shared" si="136"/>
        <v>0.94420215845336164</v>
      </c>
      <c r="AS348" s="392">
        <f t="shared" si="136"/>
        <v>0.99999646061711911</v>
      </c>
    </row>
    <row r="349" spans="1:45">
      <c r="A349" s="12" t="s">
        <v>1693</v>
      </c>
      <c r="B349" s="54" t="str">
        <f t="shared" si="140"/>
        <v>AZ_Maric_2020g</v>
      </c>
      <c r="C349" s="12"/>
      <c r="D349" s="54" t="str">
        <f t="shared" si="141"/>
        <v>Gen-phoenix dist 5-councilmember (vote for1)</v>
      </c>
      <c r="E349" s="54" t="s">
        <v>2172</v>
      </c>
      <c r="F349" s="12" t="s">
        <v>1300</v>
      </c>
      <c r="G349" s="59">
        <v>6297</v>
      </c>
      <c r="H349"/>
      <c r="K349" s="2"/>
      <c r="O349">
        <f t="shared" si="142"/>
        <v>3</v>
      </c>
      <c r="P349" s="57">
        <f t="shared" si="143"/>
        <v>1</v>
      </c>
      <c r="Q349" s="267">
        <f t="shared" si="144"/>
        <v>6513</v>
      </c>
      <c r="R349" s="23" t="str">
        <f t="shared" si="145"/>
        <v/>
      </c>
      <c r="S349" s="23">
        <f t="shared" si="146"/>
        <v>6297</v>
      </c>
      <c r="T349" s="23" t="str">
        <f t="shared" si="147"/>
        <v/>
      </c>
      <c r="U349" t="str">
        <f t="shared" si="148"/>
        <v/>
      </c>
      <c r="W349" s="1">
        <f t="shared" si="149"/>
        <v>147</v>
      </c>
      <c r="X349" s="73">
        <f t="shared" si="138"/>
        <v>37.51345363251216</v>
      </c>
      <c r="Y349" s="322">
        <f t="shared" si="150"/>
        <v>13303.269</v>
      </c>
      <c r="Z349" s="43">
        <f t="shared" si="139"/>
        <v>1.4673184839301662E-138</v>
      </c>
      <c r="AA349" s="52">
        <f t="shared" si="151"/>
        <v>1.4673184839301662E-140</v>
      </c>
      <c r="AB349" s="8">
        <f t="shared" si="152"/>
        <v>15465.7</v>
      </c>
      <c r="AC349" s="8">
        <f t="shared" si="153"/>
        <v>1546570</v>
      </c>
      <c r="AD349" s="8">
        <f t="shared" si="157"/>
        <v>7732.85</v>
      </c>
      <c r="AE349" s="8" t="str">
        <f t="shared" si="154"/>
        <v/>
      </c>
      <c r="AF349" s="22" t="str">
        <f t="shared" si="155"/>
        <v>CA_Orang_2020g</v>
      </c>
      <c r="AG349">
        <v>1</v>
      </c>
      <c r="AH349" s="272">
        <v>192801</v>
      </c>
      <c r="AI349" s="273">
        <v>112333</v>
      </c>
      <c r="AJ349" s="274">
        <v>80468</v>
      </c>
      <c r="AK349" s="339">
        <v>31865</v>
      </c>
      <c r="AL349" s="340" t="s">
        <v>4561</v>
      </c>
      <c r="AM349" s="353">
        <f t="shared" si="156"/>
        <v>2.0603658418306317E-2</v>
      </c>
      <c r="AN349" s="354"/>
      <c r="AP349" s="23">
        <f t="shared" si="158"/>
        <v>69</v>
      </c>
      <c r="AQ349" s="392">
        <f t="shared" si="135"/>
        <v>0.5047603678974576</v>
      </c>
      <c r="AR349" s="392">
        <f t="shared" si="136"/>
        <v>0.97153497143102774</v>
      </c>
      <c r="AS349" s="392">
        <f t="shared" si="136"/>
        <v>0.99999981071212096</v>
      </c>
    </row>
    <row r="350" spans="1:45">
      <c r="A350" s="12" t="s">
        <v>1693</v>
      </c>
      <c r="B350" s="54" t="str">
        <f t="shared" si="140"/>
        <v>AZ_Maric_2020g</v>
      </c>
      <c r="C350" s="12"/>
      <c r="D350" s="54" t="str">
        <f t="shared" si="141"/>
        <v>Gen-phoenix dist 5-councilmember (vote for1)</v>
      </c>
      <c r="E350" s="54" t="s">
        <v>1299</v>
      </c>
      <c r="G350" s="59">
        <v>216</v>
      </c>
      <c r="H350"/>
      <c r="K350" s="2"/>
      <c r="O350">
        <f t="shared" si="142"/>
        <v>-3</v>
      </c>
      <c r="P350" s="57">
        <f t="shared" si="143"/>
        <v>1</v>
      </c>
      <c r="Q350" s="267">
        <f t="shared" si="144"/>
        <v>216</v>
      </c>
      <c r="R350" s="23">
        <f t="shared" si="145"/>
        <v>1</v>
      </c>
      <c r="S350" s="23">
        <f t="shared" si="146"/>
        <v>0</v>
      </c>
      <c r="T350" s="23" t="str">
        <f t="shared" si="147"/>
        <v/>
      </c>
      <c r="U350" t="str">
        <f t="shared" si="148"/>
        <v/>
      </c>
      <c r="W350" s="1">
        <f t="shared" si="149"/>
        <v>148</v>
      </c>
      <c r="X350" s="73">
        <f t="shared" si="138"/>
        <v>36.382851801495576</v>
      </c>
      <c r="Y350" s="322">
        <f t="shared" si="150"/>
        <v>19059.732</v>
      </c>
      <c r="Z350" s="43">
        <f t="shared" si="139"/>
        <v>2.4730115051149396E-206</v>
      </c>
      <c r="AA350" s="52">
        <f t="shared" si="151"/>
        <v>2.4730115051149396E-208</v>
      </c>
      <c r="AB350" s="8">
        <f t="shared" si="152"/>
        <v>15465.7</v>
      </c>
      <c r="AC350" s="8">
        <f t="shared" si="153"/>
        <v>1546570</v>
      </c>
      <c r="AD350" s="8">
        <f t="shared" si="157"/>
        <v>7732.85</v>
      </c>
      <c r="AE350" s="8" t="str">
        <f t="shared" si="154"/>
        <v/>
      </c>
      <c r="AF350" s="22" t="str">
        <f t="shared" si="155"/>
        <v>CA_Orang_2020g</v>
      </c>
      <c r="AG350">
        <v>1</v>
      </c>
      <c r="AH350" s="272">
        <v>276228</v>
      </c>
      <c r="AI350" s="273">
        <v>161650</v>
      </c>
      <c r="AJ350" s="274">
        <v>114578</v>
      </c>
      <c r="AK350" s="339">
        <v>47072</v>
      </c>
      <c r="AL350" s="340" t="s">
        <v>4565</v>
      </c>
      <c r="AM350" s="353">
        <f t="shared" si="156"/>
        <v>3.0436385032685233E-2</v>
      </c>
      <c r="AN350" s="354"/>
      <c r="AP350" s="23">
        <f t="shared" si="158"/>
        <v>133</v>
      </c>
      <c r="AQ350" s="392">
        <f t="shared" si="135"/>
        <v>0.74339418068014917</v>
      </c>
      <c r="AR350" s="392">
        <f t="shared" si="136"/>
        <v>0.99898186066486794</v>
      </c>
      <c r="AS350" s="392">
        <f t="shared" si="136"/>
        <v>0.99999999999990441</v>
      </c>
    </row>
    <row r="351" spans="1:45">
      <c r="A351" s="12" t="s">
        <v>1694</v>
      </c>
      <c r="B351" s="54" t="str">
        <f t="shared" si="140"/>
        <v>AZ_Maric_2020g</v>
      </c>
      <c r="C351" s="12"/>
      <c r="D351" s="54" t="str">
        <f t="shared" si="141"/>
        <v>Gen-phoenix dist 7-councilmember (vote for1)</v>
      </c>
      <c r="E351" s="54" t="s">
        <v>2175</v>
      </c>
      <c r="F351" s="12" t="s">
        <v>1300</v>
      </c>
      <c r="G351" s="59">
        <v>15929</v>
      </c>
      <c r="H351"/>
      <c r="K351" s="2"/>
      <c r="O351">
        <f t="shared" si="142"/>
        <v>1</v>
      </c>
      <c r="P351" s="57">
        <f t="shared" si="143"/>
        <v>1</v>
      </c>
      <c r="Q351" s="267">
        <f t="shared" si="144"/>
        <v>49554</v>
      </c>
      <c r="R351" s="23">
        <f t="shared" si="145"/>
        <v>15929</v>
      </c>
      <c r="S351" s="23">
        <f t="shared" si="146"/>
        <v>15813</v>
      </c>
      <c r="T351" s="23">
        <f t="shared" si="147"/>
        <v>116</v>
      </c>
      <c r="U351" t="str">
        <f t="shared" si="148"/>
        <v>AZ_Maric_2020g~Gen-phoenix dist 7-councilmember (vote for1)</v>
      </c>
      <c r="W351" s="1">
        <f t="shared" si="149"/>
        <v>149</v>
      </c>
      <c r="X351" s="73">
        <f t="shared" si="138"/>
        <v>15.30674435858924</v>
      </c>
      <c r="Y351" s="322">
        <f t="shared" si="150"/>
        <v>9413.67</v>
      </c>
      <c r="Z351" s="43">
        <f t="shared" si="139"/>
        <v>4.0916060952558264E-243</v>
      </c>
      <c r="AA351" s="52">
        <f t="shared" si="151"/>
        <v>4.0916060952558264E-245</v>
      </c>
      <c r="AB351" s="8">
        <f t="shared" si="152"/>
        <v>15465.7</v>
      </c>
      <c r="AC351" s="8">
        <f t="shared" si="153"/>
        <v>1546570</v>
      </c>
      <c r="AD351" s="8">
        <f t="shared" si="157"/>
        <v>7732.85</v>
      </c>
      <c r="AE351" s="8" t="str">
        <f t="shared" si="154"/>
        <v/>
      </c>
      <c r="AF351" s="22" t="str">
        <f t="shared" si="155"/>
        <v>CA_Orang_2020g</v>
      </c>
      <c r="AG351">
        <v>1</v>
      </c>
      <c r="AH351" s="272">
        <v>136430</v>
      </c>
      <c r="AI351" s="273">
        <v>82669</v>
      </c>
      <c r="AJ351" s="274">
        <v>27408</v>
      </c>
      <c r="AK351" s="339">
        <v>55261</v>
      </c>
      <c r="AL351" s="340" t="s">
        <v>4569</v>
      </c>
      <c r="AM351" s="353">
        <f t="shared" si="156"/>
        <v>3.5731328035588428E-2</v>
      </c>
      <c r="AN351" s="354"/>
      <c r="AP351" s="23">
        <f t="shared" si="158"/>
        <v>168</v>
      </c>
      <c r="AQ351" s="392">
        <f t="shared" si="135"/>
        <v>0.82131717746231869</v>
      </c>
      <c r="AR351" s="392">
        <f t="shared" si="136"/>
        <v>0.99983727609298667</v>
      </c>
      <c r="AS351" s="392">
        <f t="shared" si="136"/>
        <v>1</v>
      </c>
    </row>
    <row r="352" spans="1:45">
      <c r="A352" s="12" t="s">
        <v>1694</v>
      </c>
      <c r="B352" s="54" t="str">
        <f t="shared" si="140"/>
        <v>AZ_Maric_2020g</v>
      </c>
      <c r="C352" s="12"/>
      <c r="D352" s="54" t="str">
        <f t="shared" si="141"/>
        <v>Gen-phoenix dist 7-councilmember (vote for1)</v>
      </c>
      <c r="E352" s="54" t="s">
        <v>2174</v>
      </c>
      <c r="F352" s="12" t="s">
        <v>1300</v>
      </c>
      <c r="G352" s="59">
        <v>15813</v>
      </c>
      <c r="H352"/>
      <c r="K352" s="2"/>
      <c r="O352">
        <f t="shared" si="142"/>
        <v>2</v>
      </c>
      <c r="P352" s="57">
        <f t="shared" si="143"/>
        <v>1</v>
      </c>
      <c r="Q352" s="267">
        <f t="shared" si="144"/>
        <v>33625</v>
      </c>
      <c r="R352" s="23" t="str">
        <f t="shared" si="145"/>
        <v/>
      </c>
      <c r="S352" s="23">
        <f t="shared" si="146"/>
        <v>15813</v>
      </c>
      <c r="T352" s="23" t="str">
        <f t="shared" si="147"/>
        <v/>
      </c>
      <c r="U352" t="str">
        <f t="shared" si="148"/>
        <v/>
      </c>
      <c r="W352" s="1">
        <f t="shared" si="149"/>
        <v>150</v>
      </c>
      <c r="X352" s="73">
        <f t="shared" si="138"/>
        <v>13.534216321450227</v>
      </c>
      <c r="Y352" s="322">
        <f t="shared" si="150"/>
        <v>9438.9240000000009</v>
      </c>
      <c r="Z352" s="43">
        <f t="shared" si="139"/>
        <v>1.5053186582398367E-276</v>
      </c>
      <c r="AA352" s="52">
        <f t="shared" si="151"/>
        <v>1.5053186582398368E-278</v>
      </c>
      <c r="AB352" s="8">
        <f t="shared" si="152"/>
        <v>15465.7</v>
      </c>
      <c r="AC352" s="8">
        <f t="shared" si="153"/>
        <v>1546570</v>
      </c>
      <c r="AD352" s="8">
        <f t="shared" si="157"/>
        <v>7732.85</v>
      </c>
      <c r="AE352" s="8" t="str">
        <f t="shared" si="154"/>
        <v/>
      </c>
      <c r="AF352" s="22" t="str">
        <f t="shared" si="155"/>
        <v>CA_Orang_2020g</v>
      </c>
      <c r="AG352">
        <v>1</v>
      </c>
      <c r="AH352" s="272">
        <v>136796</v>
      </c>
      <c r="AI352" s="273">
        <v>99731</v>
      </c>
      <c r="AJ352" s="274">
        <v>37065</v>
      </c>
      <c r="AK352" s="339">
        <v>62666</v>
      </c>
      <c r="AL352" s="340" t="s">
        <v>4563</v>
      </c>
      <c r="AM352" s="353">
        <f t="shared" si="156"/>
        <v>4.0519342803752821E-2</v>
      </c>
      <c r="AN352" s="354"/>
      <c r="AP352" s="23">
        <f t="shared" si="158"/>
        <v>199</v>
      </c>
      <c r="AQ352" s="392">
        <f t="shared" si="135"/>
        <v>0.87050552240629231</v>
      </c>
      <c r="AR352" s="392">
        <f t="shared" si="136"/>
        <v>0.9999681622810439</v>
      </c>
      <c r="AS352" s="392">
        <f t="shared" si="136"/>
        <v>1</v>
      </c>
    </row>
    <row r="353" spans="1:45">
      <c r="A353" s="12" t="s">
        <v>1694</v>
      </c>
      <c r="B353" s="54" t="str">
        <f t="shared" si="140"/>
        <v>AZ_Maric_2020g</v>
      </c>
      <c r="C353" s="12"/>
      <c r="D353" s="54" t="str">
        <f t="shared" si="141"/>
        <v>Gen-phoenix dist 7-councilmember (vote for1)</v>
      </c>
      <c r="E353" s="54" t="s">
        <v>2178</v>
      </c>
      <c r="F353" s="12" t="s">
        <v>1300</v>
      </c>
      <c r="G353" s="59">
        <v>8897</v>
      </c>
      <c r="H353"/>
      <c r="K353" s="2"/>
      <c r="O353">
        <f t="shared" si="142"/>
        <v>3</v>
      </c>
      <c r="P353" s="57">
        <f t="shared" si="143"/>
        <v>1</v>
      </c>
      <c r="Q353" s="267">
        <f t="shared" si="144"/>
        <v>17812</v>
      </c>
      <c r="R353" s="23" t="str">
        <f t="shared" si="145"/>
        <v/>
      </c>
      <c r="S353" s="23">
        <f t="shared" si="146"/>
        <v>8897</v>
      </c>
      <c r="T353" s="23" t="str">
        <f t="shared" si="147"/>
        <v/>
      </c>
      <c r="U353" t="str">
        <f t="shared" si="148"/>
        <v/>
      </c>
      <c r="W353" s="1">
        <f t="shared" si="149"/>
        <v>151</v>
      </c>
      <c r="X353" s="73">
        <f t="shared" si="138"/>
        <v>35.098205046839858</v>
      </c>
      <c r="Y353" s="322">
        <f t="shared" si="150"/>
        <v>28311.735000000001</v>
      </c>
      <c r="Z353" s="43">
        <f t="shared" si="139"/>
        <v>0</v>
      </c>
      <c r="AA353" s="52">
        <f t="shared" si="151"/>
        <v>0</v>
      </c>
      <c r="AB353" s="8">
        <f t="shared" si="152"/>
        <v>15465.7</v>
      </c>
      <c r="AC353" s="8">
        <f t="shared" si="153"/>
        <v>1546570</v>
      </c>
      <c r="AD353" s="8">
        <f t="shared" si="157"/>
        <v>7732.85</v>
      </c>
      <c r="AE353" s="8" t="str">
        <f t="shared" si="154"/>
        <v/>
      </c>
      <c r="AF353" s="22" t="str">
        <f t="shared" si="155"/>
        <v>CA_Orang_2020g</v>
      </c>
      <c r="AG353" s="89">
        <v>1</v>
      </c>
      <c r="AH353" s="274">
        <v>410315</v>
      </c>
      <c r="AI353" s="279">
        <v>241398</v>
      </c>
      <c r="AJ353" s="280">
        <v>168917</v>
      </c>
      <c r="AK353" s="92">
        <v>72481</v>
      </c>
      <c r="AL353" s="23" t="s">
        <v>4616</v>
      </c>
      <c r="AM353" s="353">
        <f t="shared" si="156"/>
        <v>4.6865644620030129E-2</v>
      </c>
      <c r="AN353" s="354"/>
      <c r="AP353" s="23">
        <f t="shared" si="158"/>
        <v>240</v>
      </c>
      <c r="AQ353" s="392">
        <f t="shared" si="135"/>
        <v>0.91558459140285375</v>
      </c>
      <c r="AR353" s="392">
        <f t="shared" si="136"/>
        <v>0.99999635859421931</v>
      </c>
      <c r="AS353" s="392">
        <f t="shared" si="136"/>
        <v>1</v>
      </c>
    </row>
    <row r="354" spans="1:45">
      <c r="A354" s="12" t="s">
        <v>1694</v>
      </c>
      <c r="B354" s="54" t="str">
        <f t="shared" si="140"/>
        <v>AZ_Maric_2020g</v>
      </c>
      <c r="C354" s="12"/>
      <c r="D354" s="54" t="str">
        <f t="shared" si="141"/>
        <v>Gen-phoenix dist 7-councilmember (vote for1)</v>
      </c>
      <c r="E354" s="54" t="s">
        <v>2176</v>
      </c>
      <c r="F354" s="12" t="s">
        <v>1300</v>
      </c>
      <c r="G354" s="59">
        <v>4301</v>
      </c>
      <c r="H354"/>
      <c r="K354" s="2"/>
      <c r="O354">
        <f t="shared" si="142"/>
        <v>4</v>
      </c>
      <c r="P354" s="57">
        <f t="shared" si="143"/>
        <v>1</v>
      </c>
      <c r="Q354" s="267">
        <f t="shared" si="144"/>
        <v>8915</v>
      </c>
      <c r="R354" s="23" t="str">
        <f t="shared" si="145"/>
        <v/>
      </c>
      <c r="S354" s="23">
        <f t="shared" si="146"/>
        <v>4301</v>
      </c>
      <c r="T354" s="23" t="str">
        <f t="shared" si="147"/>
        <v/>
      </c>
      <c r="U354" t="str">
        <f t="shared" si="148"/>
        <v/>
      </c>
      <c r="W354" s="1">
        <f t="shared" si="149"/>
        <v>152</v>
      </c>
      <c r="X354" s="73">
        <f t="shared" si="138"/>
        <v>35.407442101813416</v>
      </c>
      <c r="Y354" s="322">
        <f t="shared" si="150"/>
        <v>28857.111000000001</v>
      </c>
      <c r="Z354" s="43">
        <f t="shared" si="139"/>
        <v>0</v>
      </c>
      <c r="AA354" s="52">
        <f t="shared" si="151"/>
        <v>0</v>
      </c>
      <c r="AB354" s="8">
        <f t="shared" si="152"/>
        <v>15465.7</v>
      </c>
      <c r="AC354" s="8">
        <f t="shared" si="153"/>
        <v>1546570</v>
      </c>
      <c r="AD354" s="8">
        <f t="shared" si="157"/>
        <v>7732.85</v>
      </c>
      <c r="AE354" s="8" t="str">
        <f t="shared" si="154"/>
        <v/>
      </c>
      <c r="AF354" s="22" t="str">
        <f t="shared" si="155"/>
        <v>CA_Orang_2020g</v>
      </c>
      <c r="AG354" s="89">
        <v>1</v>
      </c>
      <c r="AH354" s="274">
        <v>418219</v>
      </c>
      <c r="AI354" s="279">
        <v>194719</v>
      </c>
      <c r="AJ354" s="280">
        <v>121487</v>
      </c>
      <c r="AK354" s="92">
        <v>73232</v>
      </c>
      <c r="AL354" s="23" t="s">
        <v>4615</v>
      </c>
      <c r="AM354" s="353">
        <f t="shared" si="156"/>
        <v>4.7351235314276111E-2</v>
      </c>
      <c r="AN354" s="354"/>
      <c r="AP354" s="23">
        <f t="shared" si="158"/>
        <v>243</v>
      </c>
      <c r="AQ354" s="392">
        <f t="shared" si="135"/>
        <v>0.91819415482154276</v>
      </c>
      <c r="AR354" s="392">
        <f t="shared" si="136"/>
        <v>0.99999689430685446</v>
      </c>
      <c r="AS354" s="392">
        <f t="shared" si="136"/>
        <v>1</v>
      </c>
    </row>
    <row r="355" spans="1:45">
      <c r="A355" s="12" t="s">
        <v>1694</v>
      </c>
      <c r="B355" s="54" t="str">
        <f t="shared" si="140"/>
        <v>AZ_Maric_2020g</v>
      </c>
      <c r="C355" s="12"/>
      <c r="D355" s="54" t="str">
        <f t="shared" si="141"/>
        <v>Gen-phoenix dist 7-councilmember (vote for1)</v>
      </c>
      <c r="E355" s="54" t="s">
        <v>2177</v>
      </c>
      <c r="F355" s="12" t="s">
        <v>1300</v>
      </c>
      <c r="G355" s="59">
        <v>4050</v>
      </c>
      <c r="H355"/>
      <c r="K355" s="2"/>
      <c r="O355">
        <f t="shared" si="142"/>
        <v>5</v>
      </c>
      <c r="P355" s="57">
        <f t="shared" si="143"/>
        <v>1</v>
      </c>
      <c r="Q355" s="267">
        <f t="shared" si="144"/>
        <v>4614</v>
      </c>
      <c r="R355" s="23" t="str">
        <f t="shared" si="145"/>
        <v/>
      </c>
      <c r="S355" s="23">
        <f t="shared" si="146"/>
        <v>4050</v>
      </c>
      <c r="T355" s="23" t="str">
        <f t="shared" si="147"/>
        <v/>
      </c>
      <c r="U355" t="str">
        <f t="shared" si="148"/>
        <v/>
      </c>
      <c r="W355" s="1">
        <f t="shared" si="149"/>
        <v>153</v>
      </c>
      <c r="X355" s="73">
        <f t="shared" si="138"/>
        <v>16.52999639899172</v>
      </c>
      <c r="Y355" s="322">
        <f t="shared" si="150"/>
        <v>15836.811000000002</v>
      </c>
      <c r="Z355" s="43">
        <f t="shared" si="139"/>
        <v>0</v>
      </c>
      <c r="AA355" s="52">
        <f t="shared" si="151"/>
        <v>0</v>
      </c>
      <c r="AB355" s="8">
        <f t="shared" si="152"/>
        <v>15465.7</v>
      </c>
      <c r="AC355" s="8">
        <f t="shared" si="153"/>
        <v>1546570</v>
      </c>
      <c r="AD355" s="8">
        <f t="shared" si="157"/>
        <v>7732.85</v>
      </c>
      <c r="AE355" s="8" t="str">
        <f t="shared" si="154"/>
        <v/>
      </c>
      <c r="AF355" s="22" t="str">
        <f t="shared" si="155"/>
        <v>CA_Orang_2020g</v>
      </c>
      <c r="AG355" s="89">
        <v>1</v>
      </c>
      <c r="AH355" s="274">
        <v>229519</v>
      </c>
      <c r="AI355" s="279">
        <v>157803</v>
      </c>
      <c r="AJ355" s="280">
        <v>71716</v>
      </c>
      <c r="AK355" s="92">
        <v>86087</v>
      </c>
      <c r="AL355" s="23" t="s">
        <v>4628</v>
      </c>
      <c r="AM355" s="353">
        <f t="shared" si="156"/>
        <v>5.5663177224438594E-2</v>
      </c>
      <c r="AN355" s="354"/>
      <c r="AP355" s="23">
        <f t="shared" si="158"/>
        <v>297</v>
      </c>
      <c r="AQ355" s="392">
        <f t="shared" si="135"/>
        <v>0.95361604389911092</v>
      </c>
      <c r="AR355" s="392">
        <f t="shared" si="136"/>
        <v>0.99999982490105954</v>
      </c>
      <c r="AS355" s="392">
        <f t="shared" si="136"/>
        <v>1</v>
      </c>
    </row>
    <row r="356" spans="1:45">
      <c r="A356" s="12" t="s">
        <v>1694</v>
      </c>
      <c r="B356" s="54" t="str">
        <f t="shared" si="140"/>
        <v>AZ_Maric_2020g</v>
      </c>
      <c r="C356" s="12"/>
      <c r="D356" s="54" t="str">
        <f t="shared" si="141"/>
        <v>Gen-phoenix dist 7-councilmember (vote for1)</v>
      </c>
      <c r="E356" s="54" t="s">
        <v>1299</v>
      </c>
      <c r="G356" s="59">
        <v>282</v>
      </c>
      <c r="H356"/>
      <c r="K356" s="2"/>
      <c r="O356">
        <f t="shared" si="142"/>
        <v>-5</v>
      </c>
      <c r="P356" s="57">
        <f t="shared" si="143"/>
        <v>1</v>
      </c>
      <c r="Q356" s="267">
        <f t="shared" si="144"/>
        <v>564</v>
      </c>
      <c r="R356" s="23" t="str">
        <f t="shared" si="145"/>
        <v/>
      </c>
      <c r="S356" s="23">
        <f t="shared" si="146"/>
        <v>12</v>
      </c>
      <c r="T356" s="23" t="str">
        <f t="shared" si="147"/>
        <v/>
      </c>
      <c r="U356" t="str">
        <f t="shared" si="148"/>
        <v/>
      </c>
      <c r="W356" s="1">
        <f t="shared" si="149"/>
        <v>154</v>
      </c>
      <c r="X356" s="73">
        <f t="shared" si="138"/>
        <v>27.394579250783632</v>
      </c>
      <c r="Y356" s="322">
        <f t="shared" si="150"/>
        <v>27817.419000000002</v>
      </c>
      <c r="Z356" s="43">
        <f t="shared" si="139"/>
        <v>0</v>
      </c>
      <c r="AA356" s="52">
        <f t="shared" si="151"/>
        <v>0</v>
      </c>
      <c r="AB356" s="8">
        <f t="shared" si="152"/>
        <v>15465.7</v>
      </c>
      <c r="AC356" s="8">
        <f t="shared" si="153"/>
        <v>1546570</v>
      </c>
      <c r="AD356" s="8">
        <f t="shared" si="157"/>
        <v>7732.85</v>
      </c>
      <c r="AE356" s="8" t="str">
        <f t="shared" si="154"/>
        <v/>
      </c>
      <c r="AF356" s="22" t="str">
        <f t="shared" si="155"/>
        <v>CA_Orang_2020g</v>
      </c>
      <c r="AG356" s="89">
        <v>1</v>
      </c>
      <c r="AH356" s="274">
        <v>403151</v>
      </c>
      <c r="AI356" s="279">
        <v>210367</v>
      </c>
      <c r="AJ356" s="280">
        <v>119125</v>
      </c>
      <c r="AK356" s="92">
        <v>91242</v>
      </c>
      <c r="AL356" s="23" t="s">
        <v>4617</v>
      </c>
      <c r="AM356" s="353">
        <f t="shared" si="156"/>
        <v>5.8996359686273495E-2</v>
      </c>
      <c r="AN356" s="354"/>
      <c r="AP356" s="23">
        <f t="shared" si="158"/>
        <v>319</v>
      </c>
      <c r="AQ356" s="392">
        <f t="shared" si="135"/>
        <v>0.96323287410542546</v>
      </c>
      <c r="AR356" s="392">
        <f t="shared" si="136"/>
        <v>0.99999994607260501</v>
      </c>
      <c r="AS356" s="392">
        <f t="shared" si="136"/>
        <v>1</v>
      </c>
    </row>
    <row r="357" spans="1:45">
      <c r="A357" s="12" t="s">
        <v>1694</v>
      </c>
      <c r="B357" s="54" t="str">
        <f t="shared" si="140"/>
        <v>AZ_Maric_2020g</v>
      </c>
      <c r="C357" s="12"/>
      <c r="D357" s="54" t="str">
        <f t="shared" si="141"/>
        <v>Gen-phoenix dist 7-councilmember (vote for1)</v>
      </c>
      <c r="E357" s="54" t="s">
        <v>1765</v>
      </c>
      <c r="G357" s="59">
        <v>270</v>
      </c>
      <c r="H357"/>
      <c r="K357" s="2"/>
      <c r="O357">
        <f t="shared" si="142"/>
        <v>-5</v>
      </c>
      <c r="P357" s="57">
        <f t="shared" si="143"/>
        <v>1</v>
      </c>
      <c r="Q357" s="267">
        <f t="shared" si="144"/>
        <v>282</v>
      </c>
      <c r="R357" s="23" t="str">
        <f t="shared" si="145"/>
        <v/>
      </c>
      <c r="S357" s="23">
        <f t="shared" si="146"/>
        <v>12</v>
      </c>
      <c r="T357" s="23" t="str">
        <f t="shared" si="147"/>
        <v/>
      </c>
      <c r="U357" t="str">
        <f t="shared" si="148"/>
        <v/>
      </c>
      <c r="W357" s="1">
        <f t="shared" si="149"/>
        <v>155</v>
      </c>
      <c r="X357" s="73">
        <f t="shared" si="138"/>
        <v>92.952166776099801</v>
      </c>
      <c r="Y357" s="322">
        <f t="shared" si="150"/>
        <v>100831.63200000001</v>
      </c>
      <c r="Z357" s="43">
        <f t="shared" si="139"/>
        <v>0</v>
      </c>
      <c r="AA357" s="52">
        <f t="shared" si="151"/>
        <v>0</v>
      </c>
      <c r="AB357" s="8">
        <f t="shared" si="152"/>
        <v>15465.7</v>
      </c>
      <c r="AC357" s="8">
        <f t="shared" si="153"/>
        <v>1546570</v>
      </c>
      <c r="AD357" s="8">
        <f t="shared" si="157"/>
        <v>7732.85</v>
      </c>
      <c r="AE357" s="8" t="str">
        <f t="shared" si="154"/>
        <v/>
      </c>
      <c r="AF357" s="22" t="str">
        <f t="shared" si="155"/>
        <v>CA_Orang_2020g</v>
      </c>
      <c r="AG357" s="89">
        <v>1</v>
      </c>
      <c r="AH357" s="274">
        <v>1461328</v>
      </c>
      <c r="AI357" s="279">
        <v>779400</v>
      </c>
      <c r="AJ357" s="280">
        <v>681928</v>
      </c>
      <c r="AK357" s="92">
        <v>97472</v>
      </c>
      <c r="AL357" s="23" t="s">
        <v>4594</v>
      </c>
      <c r="AM357" s="353">
        <f t="shared" si="156"/>
        <v>6.3024628694465817E-2</v>
      </c>
      <c r="AN357" s="354"/>
      <c r="AP357" s="23">
        <f t="shared" si="158"/>
        <v>345</v>
      </c>
      <c r="AQ357" s="392">
        <f t="shared" si="135"/>
        <v>0.97208640261096058</v>
      </c>
      <c r="AR357" s="392">
        <f t="shared" si="136"/>
        <v>0.99999998665477252</v>
      </c>
      <c r="AS357" s="392">
        <f t="shared" si="136"/>
        <v>1</v>
      </c>
    </row>
    <row r="358" spans="1:45">
      <c r="A358" s="12" t="s">
        <v>1694</v>
      </c>
      <c r="B358" s="54" t="str">
        <f t="shared" si="140"/>
        <v>AZ_Maric_2020g</v>
      </c>
      <c r="C358" s="12"/>
      <c r="D358" s="54" t="str">
        <f t="shared" si="141"/>
        <v>Gen-phoenix dist 7-councilmember (vote for1)</v>
      </c>
      <c r="E358" s="54" t="s">
        <v>2179</v>
      </c>
      <c r="G358" s="59">
        <v>12</v>
      </c>
      <c r="H358"/>
      <c r="K358" s="2"/>
      <c r="O358">
        <f t="shared" si="142"/>
        <v>6</v>
      </c>
      <c r="P358" s="57">
        <f t="shared" si="143"/>
        <v>1</v>
      </c>
      <c r="Q358" s="267">
        <f t="shared" si="144"/>
        <v>12</v>
      </c>
      <c r="R358" s="23" t="str">
        <f t="shared" si="145"/>
        <v/>
      </c>
      <c r="S358" s="23">
        <f t="shared" si="146"/>
        <v>12</v>
      </c>
      <c r="T358" s="23" t="str">
        <f t="shared" si="147"/>
        <v/>
      </c>
      <c r="U358" t="str">
        <f t="shared" si="148"/>
        <v/>
      </c>
      <c r="W358" s="1">
        <f t="shared" si="149"/>
        <v>156</v>
      </c>
      <c r="X358" s="73">
        <f t="shared" si="138"/>
        <v>77.271648314272355</v>
      </c>
      <c r="Y358" s="322">
        <f t="shared" si="150"/>
        <v>101135.43900000001</v>
      </c>
      <c r="Z358" s="43">
        <f t="shared" si="139"/>
        <v>0</v>
      </c>
      <c r="AA358" s="52">
        <f t="shared" si="151"/>
        <v>0</v>
      </c>
      <c r="AB358" s="8">
        <f t="shared" si="152"/>
        <v>15465.7</v>
      </c>
      <c r="AC358" s="8">
        <f t="shared" si="153"/>
        <v>1546570</v>
      </c>
      <c r="AD358" s="8">
        <f t="shared" si="157"/>
        <v>7732.85</v>
      </c>
      <c r="AE358" s="8" t="str">
        <f t="shared" si="154"/>
        <v/>
      </c>
      <c r="AF358" s="22" t="str">
        <f t="shared" si="155"/>
        <v>CA_Orang_2020g</v>
      </c>
      <c r="AG358" s="89">
        <v>1</v>
      </c>
      <c r="AH358" s="274">
        <v>1465731</v>
      </c>
      <c r="AI358" s="279">
        <v>791668</v>
      </c>
      <c r="AJ358" s="280">
        <v>674063</v>
      </c>
      <c r="AK358" s="92">
        <v>117605</v>
      </c>
      <c r="AL358" s="23" t="s">
        <v>4599</v>
      </c>
      <c r="AM358" s="353">
        <f t="shared" si="156"/>
        <v>7.6042468171502092E-2</v>
      </c>
      <c r="AN358" s="354"/>
      <c r="AP358" s="23">
        <f t="shared" si="158"/>
        <v>430</v>
      </c>
      <c r="AQ358" s="392">
        <f t="shared" si="135"/>
        <v>0.98873588772388288</v>
      </c>
      <c r="AR358" s="392">
        <f t="shared" si="136"/>
        <v>0.99999999986597821</v>
      </c>
      <c r="AS358" s="392">
        <f t="shared" si="136"/>
        <v>1</v>
      </c>
    </row>
    <row r="359" spans="1:45">
      <c r="A359" s="12" t="s">
        <v>1626</v>
      </c>
      <c r="B359" s="54" t="str">
        <f t="shared" si="140"/>
        <v>AZ_Maric_2020g</v>
      </c>
      <c r="C359" s="12"/>
      <c r="D359" s="54" t="str">
        <f t="shared" si="141"/>
        <v>Gen-phoenix esd #1-gbm-4yr (vote for3)</v>
      </c>
      <c r="E359" s="54" t="s">
        <v>2017</v>
      </c>
      <c r="F359" s="12" t="s">
        <v>1300</v>
      </c>
      <c r="G359" s="59">
        <v>8744</v>
      </c>
      <c r="H359"/>
      <c r="K359" s="2"/>
      <c r="O359">
        <f t="shared" si="142"/>
        <v>1</v>
      </c>
      <c r="P359" s="57">
        <f t="shared" si="143"/>
        <v>3</v>
      </c>
      <c r="Q359" s="267">
        <f t="shared" si="144"/>
        <v>12129.333333333334</v>
      </c>
      <c r="R359" s="23">
        <f t="shared" si="145"/>
        <v>5980</v>
      </c>
      <c r="S359" s="23">
        <f t="shared" si="146"/>
        <v>5348</v>
      </c>
      <c r="T359" s="23">
        <f t="shared" si="147"/>
        <v>632</v>
      </c>
      <c r="U359" t="str">
        <f t="shared" si="148"/>
        <v>AZ_Maric_2020g~Gen-phoenix esd #1-gbm-4yr (vote for3)</v>
      </c>
      <c r="W359" s="1">
        <f t="shared" si="149"/>
        <v>157</v>
      </c>
      <c r="X359" s="73">
        <f t="shared" si="138"/>
        <v>77.274161411824466</v>
      </c>
      <c r="Y359" s="322">
        <f t="shared" si="150"/>
        <v>101603.12100000001</v>
      </c>
      <c r="Z359" s="43">
        <f t="shared" si="139"/>
        <v>0</v>
      </c>
      <c r="AA359" s="52">
        <f t="shared" si="151"/>
        <v>0</v>
      </c>
      <c r="AB359" s="8">
        <f t="shared" si="152"/>
        <v>15465.7</v>
      </c>
      <c r="AC359" s="8">
        <f t="shared" si="153"/>
        <v>1546570</v>
      </c>
      <c r="AD359" s="8">
        <f t="shared" si="157"/>
        <v>7732.85</v>
      </c>
      <c r="AE359" s="8" t="str">
        <f t="shared" si="154"/>
        <v/>
      </c>
      <c r="AF359" s="22" t="str">
        <f t="shared" si="155"/>
        <v>CA_Orang_2020g</v>
      </c>
      <c r="AG359" s="89">
        <v>1</v>
      </c>
      <c r="AH359" s="274">
        <v>1472509</v>
      </c>
      <c r="AI359" s="279">
        <v>795327</v>
      </c>
      <c r="AJ359" s="280">
        <v>677182</v>
      </c>
      <c r="AK359" s="92">
        <v>118145</v>
      </c>
      <c r="AL359" s="23" t="s">
        <v>4589</v>
      </c>
      <c r="AM359" s="353">
        <f t="shared" si="156"/>
        <v>7.6391627925021174E-2</v>
      </c>
      <c r="AN359" s="354"/>
      <c r="AP359" s="23">
        <f t="shared" si="158"/>
        <v>432</v>
      </c>
      <c r="AQ359" s="392">
        <f t="shared" si="135"/>
        <v>0.98897526533984614</v>
      </c>
      <c r="AR359" s="392">
        <f t="shared" si="136"/>
        <v>0.9999999998798087</v>
      </c>
      <c r="AS359" s="392">
        <f t="shared" si="136"/>
        <v>1</v>
      </c>
    </row>
    <row r="360" spans="1:45">
      <c r="A360" s="12" t="s">
        <v>1626</v>
      </c>
      <c r="B360" s="54" t="str">
        <f t="shared" si="140"/>
        <v>AZ_Maric_2020g</v>
      </c>
      <c r="C360" s="12"/>
      <c r="D360" s="54" t="str">
        <f t="shared" si="141"/>
        <v>Gen-phoenix esd #1-gbm-4yr (vote for3)</v>
      </c>
      <c r="E360" s="54" t="s">
        <v>2018</v>
      </c>
      <c r="F360" s="12" t="s">
        <v>1300</v>
      </c>
      <c r="G360" s="59">
        <v>6929</v>
      </c>
      <c r="H360"/>
      <c r="K360" s="2"/>
      <c r="O360">
        <f t="shared" si="142"/>
        <v>2</v>
      </c>
      <c r="P360" s="57">
        <f t="shared" si="143"/>
        <v>3</v>
      </c>
      <c r="Q360" s="267">
        <f t="shared" si="144"/>
        <v>27644</v>
      </c>
      <c r="R360" s="23">
        <f t="shared" si="145"/>
        <v>5980</v>
      </c>
      <c r="S360" s="23">
        <f t="shared" si="146"/>
        <v>5348</v>
      </c>
      <c r="T360" s="23" t="str">
        <f t="shared" si="147"/>
        <v/>
      </c>
      <c r="U360" t="str">
        <f t="shared" si="148"/>
        <v/>
      </c>
      <c r="W360" s="1">
        <f t="shared" si="149"/>
        <v>158</v>
      </c>
      <c r="X360" s="73">
        <f t="shared" si="138"/>
        <v>68.627968671597188</v>
      </c>
      <c r="Y360" s="322">
        <f t="shared" si="150"/>
        <v>105025.79700000001</v>
      </c>
      <c r="Z360" s="43">
        <f t="shared" si="139"/>
        <v>0</v>
      </c>
      <c r="AA360" s="52">
        <f t="shared" si="151"/>
        <v>0</v>
      </c>
      <c r="AB360" s="8">
        <f t="shared" si="152"/>
        <v>15465.7</v>
      </c>
      <c r="AC360" s="8">
        <f t="shared" si="153"/>
        <v>1546570</v>
      </c>
      <c r="AD360" s="8">
        <f t="shared" si="157"/>
        <v>7732.85</v>
      </c>
      <c r="AE360" s="8" t="str">
        <f t="shared" si="154"/>
        <v/>
      </c>
      <c r="AF360" s="22" t="str">
        <f t="shared" si="155"/>
        <v>CA_Orang_2020g</v>
      </c>
      <c r="AG360" s="89">
        <v>1</v>
      </c>
      <c r="AH360" s="274">
        <v>1522113</v>
      </c>
      <c r="AI360" s="279">
        <v>814009</v>
      </c>
      <c r="AJ360" s="280">
        <v>676498</v>
      </c>
      <c r="AK360" s="92">
        <v>137511</v>
      </c>
      <c r="AL360" s="23" t="s">
        <v>4588</v>
      </c>
      <c r="AM360" s="353">
        <f t="shared" si="156"/>
        <v>8.8913531233633131E-2</v>
      </c>
      <c r="AN360" s="354"/>
      <c r="AP360" s="23">
        <f t="shared" si="158"/>
        <v>513</v>
      </c>
      <c r="AQ360" s="392">
        <f t="shared" si="135"/>
        <v>0.99540404943150651</v>
      </c>
      <c r="AR360" s="392">
        <f t="shared" si="136"/>
        <v>0.99999999999857825</v>
      </c>
      <c r="AS360" s="392">
        <f t="shared" si="136"/>
        <v>1</v>
      </c>
    </row>
    <row r="361" spans="1:45">
      <c r="A361" s="12" t="s">
        <v>1626</v>
      </c>
      <c r="B361" s="54" t="str">
        <f t="shared" si="140"/>
        <v>AZ_Maric_2020g</v>
      </c>
      <c r="C361" s="12"/>
      <c r="D361" s="54" t="str">
        <f t="shared" si="141"/>
        <v>Gen-phoenix esd #1-gbm-4yr (vote for3)</v>
      </c>
      <c r="E361" s="54" t="s">
        <v>2022</v>
      </c>
      <c r="F361" s="12" t="s">
        <v>1300</v>
      </c>
      <c r="G361" s="59">
        <v>5980</v>
      </c>
      <c r="H361"/>
      <c r="K361" s="2"/>
      <c r="O361">
        <f t="shared" si="142"/>
        <v>3</v>
      </c>
      <c r="P361" s="57">
        <f t="shared" si="143"/>
        <v>3</v>
      </c>
      <c r="Q361" s="267">
        <f t="shared" si="144"/>
        <v>20715</v>
      </c>
      <c r="R361" s="23">
        <f t="shared" si="145"/>
        <v>5980</v>
      </c>
      <c r="S361" s="23">
        <f t="shared" si="146"/>
        <v>5348</v>
      </c>
      <c r="T361" s="23" t="str">
        <f t="shared" si="147"/>
        <v/>
      </c>
      <c r="U361" t="str">
        <f t="shared" si="148"/>
        <v/>
      </c>
      <c r="W361" s="1">
        <f t="shared" si="149"/>
        <v>159</v>
      </c>
      <c r="X361" s="73">
        <f t="shared" si="138"/>
        <v>39.233843379656527</v>
      </c>
      <c r="Y361" s="322">
        <f t="shared" si="150"/>
        <v>100730.75400000002</v>
      </c>
      <c r="Z361" s="43">
        <f t="shared" si="139"/>
        <v>0</v>
      </c>
      <c r="AA361" s="52">
        <f t="shared" si="151"/>
        <v>0</v>
      </c>
      <c r="AB361" s="8">
        <f t="shared" si="152"/>
        <v>15465.7</v>
      </c>
      <c r="AC361" s="8">
        <f t="shared" si="153"/>
        <v>1546570</v>
      </c>
      <c r="AD361" s="8">
        <f t="shared" si="157"/>
        <v>7732.85</v>
      </c>
      <c r="AE361" s="8" t="str">
        <f t="shared" si="154"/>
        <v/>
      </c>
      <c r="AF361" s="22" t="str">
        <f t="shared" si="155"/>
        <v>CA_Orang_2020g</v>
      </c>
      <c r="AG361" s="89">
        <v>1</v>
      </c>
      <c r="AH361" s="274">
        <v>1459866</v>
      </c>
      <c r="AI361" s="279">
        <v>845282</v>
      </c>
      <c r="AJ361" s="280">
        <v>614584</v>
      </c>
      <c r="AK361" s="92">
        <v>230698</v>
      </c>
      <c r="AL361" s="23" t="s">
        <v>4595</v>
      </c>
      <c r="AM361" s="353">
        <f t="shared" si="156"/>
        <v>0.14916751262471145</v>
      </c>
      <c r="AN361" s="354"/>
      <c r="AP361" s="23">
        <f t="shared" si="158"/>
        <v>905</v>
      </c>
      <c r="AQ361" s="392">
        <f t="shared" ref="AQ361:AQ424" si="159">IF($AP361=$AD361,1,IF($AP361=0,0, 1-HYPGEOMDIST(0, ROUNDUP(RIGHT(AQ$1,4)*$AD361,0),$AP361, $AD361)))</f>
        <v>0.99994237006177189</v>
      </c>
      <c r="AR361" s="392">
        <f t="shared" ref="AR361:AS424" si="160">IF($AP361=$AD361,1,IF($AP361=0,0, 1-HYPGEOMDIST(0, ROUNDUP(RIGHT(AR$1,4)*$AD361,0),$AP361, $AD361)))</f>
        <v>1</v>
      </c>
      <c r="AS361" s="392">
        <f t="shared" si="160"/>
        <v>1</v>
      </c>
    </row>
    <row r="362" spans="1:45">
      <c r="A362" s="12" t="s">
        <v>1626</v>
      </c>
      <c r="B362" s="54" t="str">
        <f t="shared" si="140"/>
        <v>AZ_Maric_2020g</v>
      </c>
      <c r="C362" s="12"/>
      <c r="D362" s="54" t="str">
        <f t="shared" si="141"/>
        <v>Gen-phoenix esd #1-gbm-4yr (vote for3)</v>
      </c>
      <c r="E362" s="54" t="s">
        <v>2019</v>
      </c>
      <c r="F362" s="12" t="s">
        <v>1300</v>
      </c>
      <c r="G362" s="59">
        <v>5348</v>
      </c>
      <c r="H362"/>
      <c r="K362" s="2"/>
      <c r="O362">
        <f t="shared" si="142"/>
        <v>4</v>
      </c>
      <c r="P362" s="57">
        <f t="shared" si="143"/>
        <v>3</v>
      </c>
      <c r="Q362" s="267">
        <f t="shared" si="144"/>
        <v>14735</v>
      </c>
      <c r="R362" s="23" t="str">
        <f t="shared" si="145"/>
        <v/>
      </c>
      <c r="S362" s="23">
        <f t="shared" si="146"/>
        <v>5348</v>
      </c>
      <c r="T362" s="23" t="str">
        <f t="shared" si="147"/>
        <v/>
      </c>
      <c r="U362" t="str">
        <f t="shared" si="148"/>
        <v/>
      </c>
      <c r="W362" s="1">
        <f t="shared" si="149"/>
        <v>160</v>
      </c>
      <c r="X362" s="73">
        <f t="shared" si="138"/>
        <v>29.492498400359082</v>
      </c>
      <c r="Y362" s="322">
        <f t="shared" si="150"/>
        <v>103105.66500000001</v>
      </c>
      <c r="Z362" s="43">
        <f t="shared" si="139"/>
        <v>0</v>
      </c>
      <c r="AA362" s="52">
        <f t="shared" si="151"/>
        <v>0</v>
      </c>
      <c r="AB362" s="8">
        <f t="shared" si="152"/>
        <v>15465.7</v>
      </c>
      <c r="AC362" s="8">
        <f t="shared" si="153"/>
        <v>1546570</v>
      </c>
      <c r="AD362" s="8">
        <f t="shared" si="157"/>
        <v>7732.85</v>
      </c>
      <c r="AE362" s="8" t="str">
        <f t="shared" si="154"/>
        <v/>
      </c>
      <c r="AF362" s="22" t="str">
        <f t="shared" si="155"/>
        <v>CA_Orang_2020g</v>
      </c>
      <c r="AG362" s="89">
        <v>1</v>
      </c>
      <c r="AH362" s="274">
        <v>1494285</v>
      </c>
      <c r="AI362" s="279">
        <v>904209</v>
      </c>
      <c r="AJ362" s="280">
        <v>590076</v>
      </c>
      <c r="AK362" s="92">
        <v>314133</v>
      </c>
      <c r="AL362" s="23" t="s">
        <v>4590</v>
      </c>
      <c r="AM362" s="353">
        <f t="shared" si="156"/>
        <v>0.20311592750408969</v>
      </c>
      <c r="AN362" s="354"/>
      <c r="AP362" s="23">
        <f t="shared" si="158"/>
        <v>1255</v>
      </c>
      <c r="AQ362" s="392">
        <f t="shared" si="159"/>
        <v>0.99999907215419792</v>
      </c>
      <c r="AR362" s="392">
        <f t="shared" si="160"/>
        <v>1</v>
      </c>
      <c r="AS362" s="392">
        <f t="shared" si="160"/>
        <v>1</v>
      </c>
    </row>
    <row r="363" spans="1:45">
      <c r="A363" s="12" t="s">
        <v>1626</v>
      </c>
      <c r="B363" s="54" t="str">
        <f t="shared" si="140"/>
        <v>AZ_Maric_2020g</v>
      </c>
      <c r="C363" s="12"/>
      <c r="D363" s="54" t="str">
        <f t="shared" si="141"/>
        <v>Gen-phoenix esd #1-gbm-4yr (vote for3)</v>
      </c>
      <c r="E363" s="54" t="s">
        <v>2021</v>
      </c>
      <c r="F363" s="12" t="s">
        <v>1300</v>
      </c>
      <c r="G363" s="59">
        <v>4592</v>
      </c>
      <c r="H363"/>
      <c r="K363" s="2"/>
      <c r="O363">
        <f t="shared" si="142"/>
        <v>5</v>
      </c>
      <c r="P363" s="57">
        <f t="shared" si="143"/>
        <v>3</v>
      </c>
      <c r="Q363" s="267">
        <f t="shared" si="144"/>
        <v>9387</v>
      </c>
      <c r="R363" s="23" t="str">
        <f t="shared" si="145"/>
        <v/>
      </c>
      <c r="S363" s="23">
        <f t="shared" si="146"/>
        <v>4592</v>
      </c>
      <c r="T363" s="23" t="str">
        <f t="shared" si="147"/>
        <v/>
      </c>
      <c r="U363" t="str">
        <f t="shared" si="148"/>
        <v/>
      </c>
      <c r="W363" s="1">
        <f t="shared" si="149"/>
        <v>161</v>
      </c>
      <c r="X363" s="73">
        <f t="shared" si="138"/>
        <v>28.707359933974541</v>
      </c>
      <c r="Y363" s="322">
        <f t="shared" si="150"/>
        <v>100647.402</v>
      </c>
      <c r="Z363" s="43">
        <f t="shared" si="139"/>
        <v>0</v>
      </c>
      <c r="AA363" s="52">
        <f t="shared" si="151"/>
        <v>0</v>
      </c>
      <c r="AB363" s="8">
        <f t="shared" si="152"/>
        <v>15465.7</v>
      </c>
      <c r="AC363" s="8">
        <f t="shared" si="153"/>
        <v>1546570</v>
      </c>
      <c r="AD363" s="8">
        <f t="shared" si="157"/>
        <v>7732.85</v>
      </c>
      <c r="AE363" s="8" t="str">
        <f t="shared" si="154"/>
        <v/>
      </c>
      <c r="AF363" s="22" t="str">
        <f t="shared" si="155"/>
        <v>CA_Orang_2020g</v>
      </c>
      <c r="AG363" s="89">
        <v>1</v>
      </c>
      <c r="AH363" s="274">
        <v>1458658</v>
      </c>
      <c r="AI363" s="279">
        <v>886844</v>
      </c>
      <c r="AJ363" s="280">
        <v>571814</v>
      </c>
      <c r="AK363" s="92">
        <v>315030</v>
      </c>
      <c r="AL363" s="23" t="s">
        <v>4600</v>
      </c>
      <c r="AM363" s="353">
        <f t="shared" si="156"/>
        <v>0.20369592065021305</v>
      </c>
      <c r="AN363" s="354"/>
      <c r="AP363" s="23">
        <f t="shared" si="158"/>
        <v>1259</v>
      </c>
      <c r="AQ363" s="392">
        <f t="shared" si="159"/>
        <v>0.99999911605803193</v>
      </c>
      <c r="AR363" s="392">
        <f t="shared" si="160"/>
        <v>1</v>
      </c>
      <c r="AS363" s="392">
        <f t="shared" si="160"/>
        <v>1</v>
      </c>
    </row>
    <row r="364" spans="1:45">
      <c r="A364" s="12" t="s">
        <v>1626</v>
      </c>
      <c r="B364" s="54" t="str">
        <f t="shared" si="140"/>
        <v>AZ_Maric_2020g</v>
      </c>
      <c r="C364" s="12"/>
      <c r="D364" s="54" t="str">
        <f t="shared" si="141"/>
        <v>Gen-phoenix esd #1-gbm-4yr (vote for3)</v>
      </c>
      <c r="E364" s="54" t="s">
        <v>2020</v>
      </c>
      <c r="F364" s="12" t="s">
        <v>1300</v>
      </c>
      <c r="G364" s="59">
        <v>4581</v>
      </c>
      <c r="H364"/>
      <c r="K364" s="2"/>
      <c r="O364">
        <f t="shared" si="142"/>
        <v>6</v>
      </c>
      <c r="P364" s="57">
        <f t="shared" si="143"/>
        <v>3</v>
      </c>
      <c r="Q364" s="267">
        <f t="shared" si="144"/>
        <v>4795</v>
      </c>
      <c r="R364" s="23" t="str">
        <f t="shared" si="145"/>
        <v/>
      </c>
      <c r="S364" s="23">
        <f t="shared" si="146"/>
        <v>4581</v>
      </c>
      <c r="T364" s="23" t="str">
        <f t="shared" si="147"/>
        <v/>
      </c>
      <c r="U364" t="str">
        <f t="shared" si="148"/>
        <v/>
      </c>
      <c r="W364" s="1">
        <f t="shared" si="149"/>
        <v>162</v>
      </c>
      <c r="X364" s="73">
        <f t="shared" si="138"/>
        <v>21.705028894395568</v>
      </c>
      <c r="Y364" s="322">
        <f t="shared" si="150"/>
        <v>102743.89800000002</v>
      </c>
      <c r="Z364" s="43">
        <f t="shared" si="139"/>
        <v>0</v>
      </c>
      <c r="AA364" s="52">
        <f t="shared" si="151"/>
        <v>0</v>
      </c>
      <c r="AB364" s="8">
        <f t="shared" si="152"/>
        <v>15465.7</v>
      </c>
      <c r="AC364" s="8">
        <f t="shared" si="153"/>
        <v>1546570</v>
      </c>
      <c r="AD364" s="8">
        <f t="shared" si="157"/>
        <v>7732.85</v>
      </c>
      <c r="AE364" s="8" t="str">
        <f t="shared" si="154"/>
        <v/>
      </c>
      <c r="AF364" s="22" t="str">
        <f t="shared" si="155"/>
        <v>CA_Orang_2020g</v>
      </c>
      <c r="AG364" s="89">
        <v>1</v>
      </c>
      <c r="AH364" s="274">
        <v>1489042</v>
      </c>
      <c r="AI364" s="279">
        <v>957192</v>
      </c>
      <c r="AJ364" s="280">
        <v>531850</v>
      </c>
      <c r="AK364" s="92">
        <v>425342</v>
      </c>
      <c r="AL364" s="23" t="s">
        <v>4593</v>
      </c>
      <c r="AM364" s="353">
        <f t="shared" si="156"/>
        <v>0.27502279237279914</v>
      </c>
      <c r="AN364" s="354"/>
      <c r="AP364" s="23">
        <f t="shared" si="158"/>
        <v>1723</v>
      </c>
      <c r="AQ364" s="392">
        <f t="shared" si="159"/>
        <v>0.99999999742326195</v>
      </c>
      <c r="AR364" s="392">
        <f t="shared" si="160"/>
        <v>1</v>
      </c>
      <c r="AS364" s="392">
        <f t="shared" si="160"/>
        <v>1</v>
      </c>
    </row>
    <row r="365" spans="1:45">
      <c r="A365" s="12" t="s">
        <v>1626</v>
      </c>
      <c r="B365" s="54" t="str">
        <f t="shared" si="140"/>
        <v>AZ_Maric_2020g</v>
      </c>
      <c r="C365" s="12"/>
      <c r="D365" s="54" t="str">
        <f t="shared" si="141"/>
        <v>Gen-phoenix esd #1-gbm-4yr (vote for3)</v>
      </c>
      <c r="E365" s="54" t="s">
        <v>1299</v>
      </c>
      <c r="G365" s="59">
        <v>214</v>
      </c>
      <c r="H365"/>
      <c r="K365" s="2"/>
      <c r="O365">
        <f t="shared" si="142"/>
        <v>-6</v>
      </c>
      <c r="P365" s="57">
        <f t="shared" si="143"/>
        <v>3</v>
      </c>
      <c r="Q365" s="267">
        <f t="shared" si="144"/>
        <v>214</v>
      </c>
      <c r="R365" s="23">
        <f t="shared" si="145"/>
        <v>1</v>
      </c>
      <c r="S365" s="23">
        <f t="shared" si="146"/>
        <v>0</v>
      </c>
      <c r="T365" s="23" t="str">
        <f t="shared" si="147"/>
        <v/>
      </c>
      <c r="U365" t="str">
        <f t="shared" si="148"/>
        <v/>
      </c>
      <c r="W365" s="1">
        <f t="shared" si="149"/>
        <v>163</v>
      </c>
      <c r="X365" s="73">
        <f t="shared" si="138"/>
        <v>20.202888756377128</v>
      </c>
      <c r="Y365" s="322">
        <f t="shared" si="150"/>
        <v>101804.67000000001</v>
      </c>
      <c r="Z365" s="43">
        <f t="shared" si="139"/>
        <v>0</v>
      </c>
      <c r="AA365" s="52">
        <f t="shared" si="151"/>
        <v>0</v>
      </c>
      <c r="AB365" s="8">
        <f t="shared" si="152"/>
        <v>15465.7</v>
      </c>
      <c r="AC365" s="8">
        <f t="shared" si="153"/>
        <v>1546570</v>
      </c>
      <c r="AD365" s="8">
        <f t="shared" si="157"/>
        <v>7732.85</v>
      </c>
      <c r="AE365" s="8" t="str">
        <f t="shared" si="154"/>
        <v/>
      </c>
      <c r="AF365" s="22" t="str">
        <f t="shared" si="155"/>
        <v>CA_Orang_2020g</v>
      </c>
      <c r="AG365" s="89">
        <v>1</v>
      </c>
      <c r="AH365" s="274">
        <v>1475430</v>
      </c>
      <c r="AI365" s="279">
        <v>964110</v>
      </c>
      <c r="AJ365" s="280">
        <v>511320</v>
      </c>
      <c r="AK365" s="92">
        <v>452790</v>
      </c>
      <c r="AL365" s="23" t="s">
        <v>4591</v>
      </c>
      <c r="AM365" s="353">
        <f t="shared" si="156"/>
        <v>0.29277045332574664</v>
      </c>
      <c r="AN365" s="354"/>
      <c r="AP365" s="23">
        <f t="shared" si="158"/>
        <v>1838</v>
      </c>
      <c r="AQ365" s="392">
        <f t="shared" si="159"/>
        <v>0.99999999943478102</v>
      </c>
      <c r="AR365" s="392">
        <f t="shared" si="160"/>
        <v>1</v>
      </c>
      <c r="AS365" s="392">
        <f t="shared" si="160"/>
        <v>1</v>
      </c>
    </row>
    <row r="366" spans="1:45">
      <c r="A366" s="12" t="s">
        <v>1623</v>
      </c>
      <c r="B366" s="54" t="str">
        <f t="shared" si="140"/>
        <v>AZ_Maric_2020g</v>
      </c>
      <c r="C366" s="12"/>
      <c r="D366" s="54" t="str">
        <f t="shared" si="141"/>
        <v>Gen-phoenix uhsd #210-gbm-4yr (vote for1)</v>
      </c>
      <c r="E366" s="54" t="s">
        <v>2005</v>
      </c>
      <c r="F366" s="12" t="s">
        <v>1300</v>
      </c>
      <c r="G366" s="59">
        <v>65198</v>
      </c>
      <c r="H366"/>
      <c r="K366" s="2"/>
      <c r="O366">
        <f t="shared" si="142"/>
        <v>1</v>
      </c>
      <c r="P366" s="57">
        <f t="shared" si="143"/>
        <v>1</v>
      </c>
      <c r="Q366" s="267">
        <f t="shared" si="144"/>
        <v>169600</v>
      </c>
      <c r="R366" s="23">
        <f t="shared" si="145"/>
        <v>65198</v>
      </c>
      <c r="S366" s="23">
        <f t="shared" si="146"/>
        <v>49647</v>
      </c>
      <c r="T366" s="23">
        <f t="shared" si="147"/>
        <v>15551</v>
      </c>
      <c r="U366" t="str">
        <f t="shared" si="148"/>
        <v>AZ_Maric_2020g~Gen-phoenix uhsd #210-gbm-4yr (vote for1)</v>
      </c>
      <c r="W366" s="1">
        <f t="shared" si="149"/>
        <v>164</v>
      </c>
      <c r="X366" s="73">
        <f t="shared" si="138"/>
        <v>19.365048346357668</v>
      </c>
      <c r="Y366" s="322">
        <f t="shared" si="150"/>
        <v>101791.90500000001</v>
      </c>
      <c r="Z366" s="43">
        <f t="shared" si="139"/>
        <v>0</v>
      </c>
      <c r="AA366" s="52">
        <f t="shared" si="151"/>
        <v>0</v>
      </c>
      <c r="AB366" s="8">
        <f t="shared" si="152"/>
        <v>15465.7</v>
      </c>
      <c r="AC366" s="8">
        <f t="shared" si="153"/>
        <v>1546570</v>
      </c>
      <c r="AD366" s="8">
        <f t="shared" si="157"/>
        <v>7732.85</v>
      </c>
      <c r="AE366" s="8" t="str">
        <f t="shared" si="154"/>
        <v/>
      </c>
      <c r="AF366" s="22" t="str">
        <f t="shared" si="155"/>
        <v>CA_Orang_2020g</v>
      </c>
      <c r="AG366" s="89">
        <v>1</v>
      </c>
      <c r="AH366" s="274">
        <v>1475245</v>
      </c>
      <c r="AI366" s="279">
        <v>973783</v>
      </c>
      <c r="AJ366" s="280">
        <v>501462</v>
      </c>
      <c r="AK366" s="92">
        <v>472321</v>
      </c>
      <c r="AL366" s="23" t="s">
        <v>4596</v>
      </c>
      <c r="AM366" s="353">
        <f t="shared" si="156"/>
        <v>0.3053990443368228</v>
      </c>
      <c r="AN366" s="354"/>
      <c r="AP366" s="23">
        <f t="shared" si="158"/>
        <v>1920</v>
      </c>
      <c r="AQ366" s="392">
        <f t="shared" si="159"/>
        <v>0.99999999981186305</v>
      </c>
      <c r="AR366" s="392">
        <f t="shared" si="160"/>
        <v>1</v>
      </c>
      <c r="AS366" s="392">
        <f t="shared" si="160"/>
        <v>1</v>
      </c>
    </row>
    <row r="367" spans="1:45">
      <c r="A367" s="12" t="s">
        <v>1623</v>
      </c>
      <c r="B367" s="54" t="str">
        <f t="shared" si="140"/>
        <v>AZ_Maric_2020g</v>
      </c>
      <c r="C367" s="12"/>
      <c r="D367" s="54" t="str">
        <f t="shared" si="141"/>
        <v>Gen-phoenix uhsd #210-gbm-4yr (vote for1)</v>
      </c>
      <c r="E367" s="54" t="s">
        <v>1883</v>
      </c>
      <c r="F367" s="12" t="s">
        <v>1300</v>
      </c>
      <c r="G367" s="59">
        <v>49647</v>
      </c>
      <c r="H367"/>
      <c r="K367" s="2"/>
      <c r="O367">
        <f t="shared" si="142"/>
        <v>2</v>
      </c>
      <c r="P367" s="57">
        <f t="shared" si="143"/>
        <v>1</v>
      </c>
      <c r="Q367" s="267">
        <f t="shared" si="144"/>
        <v>104402</v>
      </c>
      <c r="R367" s="23" t="str">
        <f t="shared" si="145"/>
        <v/>
      </c>
      <c r="S367" s="23">
        <f t="shared" si="146"/>
        <v>49647</v>
      </c>
      <c r="T367" s="23" t="str">
        <f t="shared" si="147"/>
        <v/>
      </c>
      <c r="U367" t="str">
        <f t="shared" si="148"/>
        <v/>
      </c>
      <c r="W367" s="1">
        <f t="shared" si="149"/>
        <v>165</v>
      </c>
      <c r="X367" s="73">
        <f t="shared" si="138"/>
        <v>19.46948296911502</v>
      </c>
      <c r="Y367" s="322">
        <f t="shared" si="150"/>
        <v>102582.024</v>
      </c>
      <c r="Z367" s="43">
        <f t="shared" si="139"/>
        <v>0</v>
      </c>
      <c r="AA367" s="52">
        <f t="shared" si="151"/>
        <v>0</v>
      </c>
      <c r="AB367" s="8">
        <f t="shared" si="152"/>
        <v>15465.7</v>
      </c>
      <c r="AC367" s="8">
        <f t="shared" si="153"/>
        <v>1546570</v>
      </c>
      <c r="AD367" s="8">
        <f t="shared" si="157"/>
        <v>7732.85</v>
      </c>
      <c r="AE367" s="8" t="str">
        <f t="shared" si="154"/>
        <v/>
      </c>
      <c r="AF367" s="22" t="str">
        <f t="shared" si="155"/>
        <v>CA_Orang_2020g</v>
      </c>
      <c r="AG367" s="89">
        <v>1</v>
      </c>
      <c r="AH367" s="274">
        <v>1486696</v>
      </c>
      <c r="AI367" s="279">
        <v>980065</v>
      </c>
      <c r="AJ367" s="280">
        <v>506631</v>
      </c>
      <c r="AK367" s="92">
        <v>473434</v>
      </c>
      <c r="AL367" s="23" t="s">
        <v>4597</v>
      </c>
      <c r="AM367" s="353">
        <f t="shared" si="156"/>
        <v>0.30611870138435376</v>
      </c>
      <c r="AN367" s="354"/>
      <c r="AP367" s="23">
        <f t="shared" si="158"/>
        <v>1925</v>
      </c>
      <c r="AQ367" s="392">
        <f t="shared" si="159"/>
        <v>0.99999999982415733</v>
      </c>
      <c r="AR367" s="392">
        <f t="shared" si="160"/>
        <v>1</v>
      </c>
      <c r="AS367" s="392">
        <f t="shared" si="160"/>
        <v>1</v>
      </c>
    </row>
    <row r="368" spans="1:45">
      <c r="A368" s="12" t="s">
        <v>1623</v>
      </c>
      <c r="B368" s="54" t="str">
        <f t="shared" si="140"/>
        <v>AZ_Maric_2020g</v>
      </c>
      <c r="C368" s="12"/>
      <c r="D368" s="54" t="str">
        <f t="shared" si="141"/>
        <v>Gen-phoenix uhsd #210-gbm-4yr (vote for1)</v>
      </c>
      <c r="E368" s="54" t="s">
        <v>2004</v>
      </c>
      <c r="F368" s="12" t="s">
        <v>1300</v>
      </c>
      <c r="G368" s="59">
        <v>31049</v>
      </c>
      <c r="H368"/>
      <c r="K368" s="2"/>
      <c r="O368">
        <f t="shared" si="142"/>
        <v>3</v>
      </c>
      <c r="P368" s="57">
        <f t="shared" si="143"/>
        <v>1</v>
      </c>
      <c r="Q368" s="267">
        <f t="shared" si="144"/>
        <v>54755</v>
      </c>
      <c r="R368" s="23" t="str">
        <f t="shared" si="145"/>
        <v/>
      </c>
      <c r="S368" s="23">
        <f t="shared" si="146"/>
        <v>31049</v>
      </c>
      <c r="T368" s="23" t="str">
        <f t="shared" si="147"/>
        <v/>
      </c>
      <c r="U368" t="str">
        <f t="shared" si="148"/>
        <v/>
      </c>
      <c r="W368" s="1">
        <f t="shared" si="149"/>
        <v>166</v>
      </c>
      <c r="X368" s="73">
        <f t="shared" si="138"/>
        <v>18.32259140082995</v>
      </c>
      <c r="Y368" s="322">
        <f t="shared" si="150"/>
        <v>101520.39000000001</v>
      </c>
      <c r="Z368" s="43">
        <f t="shared" si="139"/>
        <v>0</v>
      </c>
      <c r="AA368" s="52">
        <f t="shared" si="151"/>
        <v>0</v>
      </c>
      <c r="AB368" s="8">
        <f t="shared" si="152"/>
        <v>15465.7</v>
      </c>
      <c r="AC368" s="8">
        <f t="shared" si="153"/>
        <v>1546570</v>
      </c>
      <c r="AD368" s="8">
        <f t="shared" si="157"/>
        <v>7732.85</v>
      </c>
      <c r="AE368" s="8" t="str">
        <f t="shared" si="154"/>
        <v/>
      </c>
      <c r="AF368" s="22" t="str">
        <f t="shared" si="155"/>
        <v>CA_Orang_2020g</v>
      </c>
      <c r="AG368" s="89">
        <v>1</v>
      </c>
      <c r="AH368" s="274">
        <v>1471310</v>
      </c>
      <c r="AI368" s="279">
        <v>984586</v>
      </c>
      <c r="AJ368" s="280">
        <v>486724</v>
      </c>
      <c r="AK368" s="92">
        <v>497862</v>
      </c>
      <c r="AL368" s="23" t="s">
        <v>4598</v>
      </c>
      <c r="AM368" s="353">
        <f t="shared" si="156"/>
        <v>0.32191365408613898</v>
      </c>
      <c r="AN368" s="354"/>
      <c r="AP368" s="23">
        <f t="shared" si="158"/>
        <v>2027</v>
      </c>
      <c r="AQ368" s="392">
        <f t="shared" si="159"/>
        <v>0.99999999995627087</v>
      </c>
      <c r="AR368" s="392">
        <f t="shared" si="160"/>
        <v>1</v>
      </c>
      <c r="AS368" s="392">
        <f t="shared" si="160"/>
        <v>1</v>
      </c>
    </row>
    <row r="369" spans="1:45">
      <c r="A369" s="12" t="s">
        <v>1623</v>
      </c>
      <c r="B369" s="54" t="str">
        <f t="shared" si="140"/>
        <v>AZ_Maric_2020g</v>
      </c>
      <c r="C369" s="12"/>
      <c r="D369" s="54" t="str">
        <f t="shared" si="141"/>
        <v>Gen-phoenix uhsd #210-gbm-4yr (vote for1)</v>
      </c>
      <c r="E369" s="54" t="s">
        <v>2006</v>
      </c>
      <c r="F369" s="12" t="s">
        <v>1300</v>
      </c>
      <c r="G369" s="59">
        <v>14438</v>
      </c>
      <c r="H369"/>
      <c r="K369" s="2"/>
      <c r="O369">
        <f t="shared" si="142"/>
        <v>4</v>
      </c>
      <c r="P369" s="57">
        <f t="shared" si="143"/>
        <v>1</v>
      </c>
      <c r="Q369" s="267">
        <f t="shared" si="144"/>
        <v>23706</v>
      </c>
      <c r="R369" s="23" t="str">
        <f t="shared" si="145"/>
        <v/>
      </c>
      <c r="S369" s="23">
        <f t="shared" si="146"/>
        <v>14438</v>
      </c>
      <c r="T369" s="23" t="str">
        <f t="shared" si="147"/>
        <v/>
      </c>
      <c r="U369" t="str">
        <f t="shared" si="148"/>
        <v/>
      </c>
      <c r="W369" s="1">
        <f t="shared" si="149"/>
        <v>1</v>
      </c>
      <c r="X369" s="73">
        <f t="shared" si="138"/>
        <v>7387.5431372549019</v>
      </c>
      <c r="Y369" s="322">
        <f t="shared" si="150"/>
        <v>7387.5431372549019</v>
      </c>
      <c r="Z369" s="43">
        <f t="shared" si="139"/>
        <v>84.36633262779398</v>
      </c>
      <c r="AA369" s="52">
        <f t="shared" si="151"/>
        <v>0.84366332627793983</v>
      </c>
      <c r="AB369" s="8">
        <f t="shared" si="152"/>
        <v>8180.21</v>
      </c>
      <c r="AC369" s="8">
        <f t="shared" si="153"/>
        <v>818021</v>
      </c>
      <c r="AD369" s="8">
        <f t="shared" si="157"/>
        <v>4090.105</v>
      </c>
      <c r="AE369" s="8" t="str">
        <f t="shared" si="154"/>
        <v/>
      </c>
      <c r="AF369" s="22" t="str">
        <f t="shared" si="155"/>
        <v>CA_Orang_2020p</v>
      </c>
      <c r="AG369" s="89">
        <v>6</v>
      </c>
      <c r="AH369" s="274">
        <v>20256.166666666668</v>
      </c>
      <c r="AI369" s="279">
        <v>9189</v>
      </c>
      <c r="AJ369" s="280">
        <v>9172</v>
      </c>
      <c r="AK369" s="92">
        <v>17</v>
      </c>
      <c r="AL369" s="23" t="s">
        <v>4656</v>
      </c>
      <c r="AM369" s="353">
        <f t="shared" si="156"/>
        <v>2.0781862568320372E-5</v>
      </c>
      <c r="AN369" s="354"/>
      <c r="AP369" s="23">
        <f t="shared" si="158"/>
        <v>0</v>
      </c>
      <c r="AQ369" s="392">
        <f t="shared" si="159"/>
        <v>0</v>
      </c>
      <c r="AR369" s="392">
        <f t="shared" si="160"/>
        <v>0</v>
      </c>
      <c r="AS369" s="392">
        <f t="shared" si="160"/>
        <v>0</v>
      </c>
    </row>
    <row r="370" spans="1:45">
      <c r="A370" s="12" t="s">
        <v>1623</v>
      </c>
      <c r="B370" s="54" t="str">
        <f t="shared" si="140"/>
        <v>AZ_Maric_2020g</v>
      </c>
      <c r="C370" s="12"/>
      <c r="D370" s="54" t="str">
        <f t="shared" si="141"/>
        <v>Gen-phoenix uhsd #210-gbm-4yr (vote for1)</v>
      </c>
      <c r="E370" s="54" t="s">
        <v>2003</v>
      </c>
      <c r="F370" s="12" t="s">
        <v>1300</v>
      </c>
      <c r="G370" s="59">
        <v>8101</v>
      </c>
      <c r="H370"/>
      <c r="K370" s="2"/>
      <c r="O370">
        <f t="shared" si="142"/>
        <v>5</v>
      </c>
      <c r="P370" s="57">
        <f t="shared" si="143"/>
        <v>1</v>
      </c>
      <c r="Q370" s="267">
        <f t="shared" si="144"/>
        <v>9268</v>
      </c>
      <c r="R370" s="23" t="str">
        <f t="shared" si="145"/>
        <v/>
      </c>
      <c r="S370" s="23">
        <f t="shared" si="146"/>
        <v>8101</v>
      </c>
      <c r="T370" s="23" t="str">
        <f t="shared" si="147"/>
        <v/>
      </c>
      <c r="U370" t="str">
        <f t="shared" si="148"/>
        <v/>
      </c>
      <c r="W370" s="1">
        <f t="shared" si="149"/>
        <v>2</v>
      </c>
      <c r="X370" s="73">
        <f t="shared" si="138"/>
        <v>36.285245901639342</v>
      </c>
      <c r="Y370" s="322">
        <f t="shared" si="150"/>
        <v>36.285245901639342</v>
      </c>
      <c r="Z370" s="43">
        <f t="shared" si="139"/>
        <v>54.333851067473084</v>
      </c>
      <c r="AA370" s="52">
        <f t="shared" si="151"/>
        <v>0.54333851067473082</v>
      </c>
      <c r="AB370" s="8">
        <f t="shared" si="152"/>
        <v>8180.21</v>
      </c>
      <c r="AC370" s="8">
        <f t="shared" si="153"/>
        <v>818021</v>
      </c>
      <c r="AD370" s="8">
        <f t="shared" si="157"/>
        <v>4090.105</v>
      </c>
      <c r="AE370" s="8" t="str">
        <f t="shared" si="154"/>
        <v/>
      </c>
      <c r="AF370" s="22" t="str">
        <f t="shared" si="155"/>
        <v>CA_Orang_2020p</v>
      </c>
      <c r="AG370">
        <v>1</v>
      </c>
      <c r="AH370" s="8">
        <v>357</v>
      </c>
      <c r="AI370" s="273">
        <v>209</v>
      </c>
      <c r="AJ370" s="274">
        <v>148</v>
      </c>
      <c r="AK370" s="339">
        <v>61</v>
      </c>
      <c r="AL370" s="23" t="s">
        <v>4670</v>
      </c>
      <c r="AM370" s="353">
        <f t="shared" si="156"/>
        <v>7.4570212745149581E-5</v>
      </c>
      <c r="AN370" s="354"/>
      <c r="AP370" s="23">
        <f t="shared" si="158"/>
        <v>0</v>
      </c>
      <c r="AQ370" s="392">
        <f t="shared" si="159"/>
        <v>0</v>
      </c>
      <c r="AR370" s="392">
        <f t="shared" si="160"/>
        <v>0</v>
      </c>
      <c r="AS370" s="392">
        <f t="shared" si="160"/>
        <v>0</v>
      </c>
    </row>
    <row r="371" spans="1:45">
      <c r="A371" s="12" t="s">
        <v>1623</v>
      </c>
      <c r="B371" s="54" t="str">
        <f t="shared" si="140"/>
        <v>AZ_Maric_2020g</v>
      </c>
      <c r="C371" s="12"/>
      <c r="D371" s="54" t="str">
        <f t="shared" si="141"/>
        <v>Gen-phoenix uhsd #210-gbm-4yr (vote for1)</v>
      </c>
      <c r="E371" s="54" t="s">
        <v>1299</v>
      </c>
      <c r="G371" s="59">
        <v>1167</v>
      </c>
      <c r="H371"/>
      <c r="K371" s="2"/>
      <c r="O371">
        <f t="shared" si="142"/>
        <v>-5</v>
      </c>
      <c r="P371" s="57">
        <f t="shared" si="143"/>
        <v>1</v>
      </c>
      <c r="Q371" s="267">
        <f t="shared" si="144"/>
        <v>1167</v>
      </c>
      <c r="R371" s="23">
        <f t="shared" si="145"/>
        <v>1</v>
      </c>
      <c r="S371" s="23">
        <f t="shared" si="146"/>
        <v>0</v>
      </c>
      <c r="T371" s="23" t="str">
        <f t="shared" si="147"/>
        <v/>
      </c>
      <c r="U371" t="str">
        <f t="shared" si="148"/>
        <v/>
      </c>
      <c r="W371" s="1">
        <f t="shared" si="149"/>
        <v>3</v>
      </c>
      <c r="X371" s="73">
        <f t="shared" si="138"/>
        <v>43.047727272727272</v>
      </c>
      <c r="Y371" s="322">
        <f t="shared" si="150"/>
        <v>43.047727272727272</v>
      </c>
      <c r="Z371" s="43">
        <f t="shared" si="139"/>
        <v>41.476327750823899</v>
      </c>
      <c r="AA371" s="52">
        <f t="shared" si="151"/>
        <v>0.41476327750823899</v>
      </c>
      <c r="AB371" s="8">
        <f t="shared" si="152"/>
        <v>8180.21</v>
      </c>
      <c r="AC371" s="8">
        <f t="shared" si="153"/>
        <v>818021</v>
      </c>
      <c r="AD371" s="8">
        <f t="shared" si="157"/>
        <v>4090.105</v>
      </c>
      <c r="AE371" s="8" t="str">
        <f t="shared" si="154"/>
        <v/>
      </c>
      <c r="AF371" s="22" t="str">
        <f t="shared" si="155"/>
        <v>CA_Orang_2020p</v>
      </c>
      <c r="AG371">
        <v>1</v>
      </c>
      <c r="AH371" s="8">
        <v>611</v>
      </c>
      <c r="AI371" s="273">
        <v>220</v>
      </c>
      <c r="AJ371" s="274">
        <v>132</v>
      </c>
      <c r="AK371" s="339">
        <v>88</v>
      </c>
      <c r="AL371" s="23" t="s">
        <v>4672</v>
      </c>
      <c r="AM371" s="353">
        <f t="shared" si="156"/>
        <v>1.075767003536584E-4</v>
      </c>
      <c r="AN371" s="354"/>
      <c r="AP371" s="23">
        <f t="shared" si="158"/>
        <v>0</v>
      </c>
      <c r="AQ371" s="392">
        <f t="shared" si="159"/>
        <v>0</v>
      </c>
      <c r="AR371" s="392">
        <f t="shared" si="160"/>
        <v>0</v>
      </c>
      <c r="AS371" s="392">
        <f t="shared" si="160"/>
        <v>0</v>
      </c>
    </row>
    <row r="372" spans="1:45">
      <c r="A372" s="12" t="s">
        <v>1690</v>
      </c>
      <c r="B372" s="54" t="str">
        <f t="shared" si="140"/>
        <v>AZ_Maric_2020g</v>
      </c>
      <c r="C372" s="12"/>
      <c r="D372" s="54" t="str">
        <f t="shared" si="141"/>
        <v>Gen-phoenix-mayor (vote for1)</v>
      </c>
      <c r="E372" s="54" t="s">
        <v>2158</v>
      </c>
      <c r="F372" s="12" t="s">
        <v>1300</v>
      </c>
      <c r="G372" s="59">
        <v>349959</v>
      </c>
      <c r="H372"/>
      <c r="K372" s="2"/>
      <c r="O372">
        <f t="shared" si="142"/>
        <v>1</v>
      </c>
      <c r="P372" s="57">
        <f t="shared" si="143"/>
        <v>1</v>
      </c>
      <c r="Q372" s="267">
        <f t="shared" si="144"/>
        <v>578750</v>
      </c>
      <c r="R372" s="23">
        <f t="shared" si="145"/>
        <v>349959</v>
      </c>
      <c r="S372" s="23">
        <f t="shared" si="146"/>
        <v>152172</v>
      </c>
      <c r="T372" s="23">
        <f t="shared" si="147"/>
        <v>197787</v>
      </c>
      <c r="U372" t="str">
        <f t="shared" si="148"/>
        <v>AZ_Maric_2020g~Gen-phoenix-mayor (vote for1)</v>
      </c>
      <c r="W372" s="1">
        <f t="shared" si="149"/>
        <v>4</v>
      </c>
      <c r="X372" s="73">
        <f t="shared" si="138"/>
        <v>824.89835680751173</v>
      </c>
      <c r="Y372" s="322">
        <f t="shared" si="150"/>
        <v>1303.6055000000001</v>
      </c>
      <c r="Z372" s="43">
        <f t="shared" si="139"/>
        <v>24.168422435414843</v>
      </c>
      <c r="AA372" s="52">
        <f t="shared" si="151"/>
        <v>0.24168422435414844</v>
      </c>
      <c r="AB372" s="8">
        <f t="shared" si="152"/>
        <v>8180.21</v>
      </c>
      <c r="AC372" s="8">
        <f t="shared" si="153"/>
        <v>818021</v>
      </c>
      <c r="AD372" s="8">
        <f t="shared" si="157"/>
        <v>4090.105</v>
      </c>
      <c r="AE372" s="8" t="str">
        <f t="shared" si="154"/>
        <v/>
      </c>
      <c r="AF372" s="22" t="str">
        <f t="shared" si="155"/>
        <v>CA_Orang_2020p</v>
      </c>
      <c r="AG372" s="89">
        <v>6</v>
      </c>
      <c r="AH372" s="274">
        <v>18892.833333333332</v>
      </c>
      <c r="AI372" s="279">
        <v>11284</v>
      </c>
      <c r="AJ372" s="280">
        <v>11142</v>
      </c>
      <c r="AK372" s="92">
        <v>142</v>
      </c>
      <c r="AL372" s="23" t="s">
        <v>4653</v>
      </c>
      <c r="AM372" s="353">
        <f t="shared" si="156"/>
        <v>1.7358967557067607E-4</v>
      </c>
      <c r="AN372" s="354"/>
      <c r="AP372" s="23">
        <f t="shared" si="158"/>
        <v>0</v>
      </c>
      <c r="AQ372" s="392">
        <f t="shared" si="159"/>
        <v>0</v>
      </c>
      <c r="AR372" s="392">
        <f t="shared" si="160"/>
        <v>0</v>
      </c>
      <c r="AS372" s="392">
        <f t="shared" si="160"/>
        <v>0</v>
      </c>
    </row>
    <row r="373" spans="1:45">
      <c r="A373" s="12" t="s">
        <v>1690</v>
      </c>
      <c r="B373" s="54" t="str">
        <f t="shared" si="140"/>
        <v>AZ_Maric_2020g</v>
      </c>
      <c r="C373" s="12"/>
      <c r="D373" s="54" t="str">
        <f t="shared" si="141"/>
        <v>Gen-phoenix-mayor (vote for1)</v>
      </c>
      <c r="E373" s="54" t="s">
        <v>2159</v>
      </c>
      <c r="F373" s="12" t="s">
        <v>1300</v>
      </c>
      <c r="G373" s="59">
        <v>152172</v>
      </c>
      <c r="H373"/>
      <c r="K373" s="2"/>
      <c r="O373">
        <f t="shared" si="142"/>
        <v>2</v>
      </c>
      <c r="P373" s="57">
        <f t="shared" si="143"/>
        <v>1</v>
      </c>
      <c r="Q373" s="267">
        <f t="shared" si="144"/>
        <v>228791</v>
      </c>
      <c r="R373" s="23" t="str">
        <f t="shared" si="145"/>
        <v/>
      </c>
      <c r="S373" s="23">
        <f t="shared" si="146"/>
        <v>152172</v>
      </c>
      <c r="T373" s="23" t="str">
        <f t="shared" si="147"/>
        <v/>
      </c>
      <c r="U373" t="str">
        <f t="shared" si="148"/>
        <v/>
      </c>
      <c r="W373" s="1">
        <f t="shared" si="149"/>
        <v>5</v>
      </c>
      <c r="X373" s="73">
        <f t="shared" si="138"/>
        <v>1026.8982035928145</v>
      </c>
      <c r="Y373" s="322">
        <f t="shared" si="150"/>
        <v>1908.5400000000002</v>
      </c>
      <c r="Z373" s="43">
        <f t="shared" si="139"/>
        <v>18.821497422853803</v>
      </c>
      <c r="AA373" s="52">
        <f t="shared" si="151"/>
        <v>0.18821497422853803</v>
      </c>
      <c r="AB373" s="8">
        <f t="shared" si="152"/>
        <v>8180.21</v>
      </c>
      <c r="AC373" s="8">
        <f t="shared" si="153"/>
        <v>818021</v>
      </c>
      <c r="AD373" s="8">
        <f t="shared" si="157"/>
        <v>4090.105</v>
      </c>
      <c r="AE373" s="8" t="str">
        <f t="shared" si="154"/>
        <v/>
      </c>
      <c r="AF373" s="22" t="str">
        <f t="shared" si="155"/>
        <v>CA_Orang_2020p</v>
      </c>
      <c r="AG373" s="89">
        <v>6</v>
      </c>
      <c r="AH373" s="274">
        <v>27660</v>
      </c>
      <c r="AI373" s="279">
        <v>9191</v>
      </c>
      <c r="AJ373" s="280">
        <v>9024</v>
      </c>
      <c r="AK373" s="92">
        <v>167</v>
      </c>
      <c r="AL373" s="23" t="s">
        <v>4654</v>
      </c>
      <c r="AM373" s="353">
        <f t="shared" si="156"/>
        <v>2.0415123817114718E-4</v>
      </c>
      <c r="AN373" s="354"/>
      <c r="AP373" s="23">
        <f t="shared" si="158"/>
        <v>0</v>
      </c>
      <c r="AQ373" s="392">
        <f t="shared" si="159"/>
        <v>0</v>
      </c>
      <c r="AR373" s="392">
        <f t="shared" si="160"/>
        <v>0</v>
      </c>
      <c r="AS373" s="392">
        <f t="shared" si="160"/>
        <v>0</v>
      </c>
    </row>
    <row r="374" spans="1:45">
      <c r="A374" s="12" t="s">
        <v>1690</v>
      </c>
      <c r="B374" s="54" t="str">
        <f t="shared" si="140"/>
        <v>AZ_Maric_2020g</v>
      </c>
      <c r="C374" s="12"/>
      <c r="D374" s="54" t="str">
        <f t="shared" si="141"/>
        <v>Gen-phoenix-mayor (vote for1)</v>
      </c>
      <c r="E374" s="54" t="s">
        <v>2160</v>
      </c>
      <c r="F374" s="12" t="s">
        <v>1300</v>
      </c>
      <c r="G374" s="59">
        <v>72280</v>
      </c>
      <c r="H374"/>
      <c r="K374" s="2"/>
      <c r="O374">
        <f t="shared" si="142"/>
        <v>3</v>
      </c>
      <c r="P374" s="57">
        <f t="shared" si="143"/>
        <v>1</v>
      </c>
      <c r="Q374" s="267">
        <f t="shared" si="144"/>
        <v>76619</v>
      </c>
      <c r="R374" s="23" t="str">
        <f t="shared" si="145"/>
        <v/>
      </c>
      <c r="S374" s="23">
        <f t="shared" si="146"/>
        <v>72280</v>
      </c>
      <c r="T374" s="23" t="str">
        <f t="shared" si="147"/>
        <v/>
      </c>
      <c r="U374" t="str">
        <f t="shared" si="148"/>
        <v/>
      </c>
      <c r="W374" s="1">
        <f t="shared" si="149"/>
        <v>6</v>
      </c>
      <c r="X374" s="73">
        <f t="shared" si="138"/>
        <v>1043.4186666666667</v>
      </c>
      <c r="Y374" s="322">
        <f t="shared" si="150"/>
        <v>2322.4479999999999</v>
      </c>
      <c r="Z374" s="43">
        <f t="shared" si="139"/>
        <v>13.530219342651151</v>
      </c>
      <c r="AA374" s="52">
        <f t="shared" si="151"/>
        <v>0.13530219342651151</v>
      </c>
      <c r="AB374" s="8">
        <f t="shared" si="152"/>
        <v>8180.21</v>
      </c>
      <c r="AC374" s="8">
        <f t="shared" si="153"/>
        <v>818021</v>
      </c>
      <c r="AD374" s="8">
        <f t="shared" si="157"/>
        <v>4090.105</v>
      </c>
      <c r="AE374" s="8" t="str">
        <f t="shared" si="154"/>
        <v/>
      </c>
      <c r="AF374" s="22" t="str">
        <f t="shared" si="155"/>
        <v>CA_Orang_2020p</v>
      </c>
      <c r="AG374" s="89">
        <v>6</v>
      </c>
      <c r="AH374" s="274">
        <v>33658.666666666664</v>
      </c>
      <c r="AI374" s="279">
        <v>15464</v>
      </c>
      <c r="AJ374" s="280">
        <v>15264</v>
      </c>
      <c r="AK374" s="92">
        <v>200</v>
      </c>
      <c r="AL374" s="23" t="s">
        <v>4655</v>
      </c>
      <c r="AM374" s="353">
        <f t="shared" si="156"/>
        <v>2.4449250080376908E-4</v>
      </c>
      <c r="AN374" s="354"/>
      <c r="AP374" s="23">
        <f t="shared" si="158"/>
        <v>0</v>
      </c>
      <c r="AQ374" s="392">
        <f t="shared" si="159"/>
        <v>0</v>
      </c>
      <c r="AR374" s="392">
        <f t="shared" si="160"/>
        <v>0</v>
      </c>
      <c r="AS374" s="392">
        <f t="shared" si="160"/>
        <v>0</v>
      </c>
    </row>
    <row r="375" spans="1:45">
      <c r="A375" s="12" t="s">
        <v>1690</v>
      </c>
      <c r="B375" s="54" t="str">
        <f t="shared" si="140"/>
        <v>AZ_Maric_2020g</v>
      </c>
      <c r="C375" s="12"/>
      <c r="D375" s="54" t="str">
        <f t="shared" si="141"/>
        <v>Gen-phoenix-mayor (vote for1)</v>
      </c>
      <c r="E375" s="54" t="s">
        <v>1299</v>
      </c>
      <c r="G375" s="59">
        <v>2170</v>
      </c>
      <c r="H375"/>
      <c r="K375" s="2"/>
      <c r="O375">
        <f t="shared" si="142"/>
        <v>-3</v>
      </c>
      <c r="P375" s="57">
        <f t="shared" si="143"/>
        <v>1</v>
      </c>
      <c r="Q375" s="267">
        <f t="shared" si="144"/>
        <v>4339</v>
      </c>
      <c r="R375" s="23" t="str">
        <f t="shared" si="145"/>
        <v/>
      </c>
      <c r="S375" s="23">
        <f t="shared" si="146"/>
        <v>689</v>
      </c>
      <c r="T375" s="23" t="str">
        <f t="shared" si="147"/>
        <v/>
      </c>
      <c r="U375" t="str">
        <f t="shared" si="148"/>
        <v/>
      </c>
      <c r="W375" s="1">
        <f t="shared" si="149"/>
        <v>7</v>
      </c>
      <c r="X375" s="73">
        <f t="shared" si="138"/>
        <v>69.037837837837841</v>
      </c>
      <c r="Y375" s="322">
        <f t="shared" si="150"/>
        <v>170.56800000000001</v>
      </c>
      <c r="Z375" s="43">
        <f t="shared" si="139"/>
        <v>10.857639051135239</v>
      </c>
      <c r="AA375" s="52">
        <f t="shared" si="151"/>
        <v>0.10857639051135239</v>
      </c>
      <c r="AB375" s="8">
        <f t="shared" si="152"/>
        <v>8180.21</v>
      </c>
      <c r="AC375" s="8">
        <f t="shared" si="153"/>
        <v>818021</v>
      </c>
      <c r="AD375" s="8">
        <f t="shared" si="157"/>
        <v>4090.105</v>
      </c>
      <c r="AE375" s="8" t="str">
        <f t="shared" si="154"/>
        <v/>
      </c>
      <c r="AF375" s="22" t="str">
        <f t="shared" si="155"/>
        <v>CA_Orang_2020p</v>
      </c>
      <c r="AG375">
        <v>1</v>
      </c>
      <c r="AH375" s="8">
        <v>2472</v>
      </c>
      <c r="AI375" s="273">
        <v>539</v>
      </c>
      <c r="AJ375" s="274">
        <v>317</v>
      </c>
      <c r="AK375" s="339">
        <v>222</v>
      </c>
      <c r="AL375" s="23" t="s">
        <v>4669</v>
      </c>
      <c r="AM375" s="353">
        <f t="shared" si="156"/>
        <v>2.7138667589218367E-4</v>
      </c>
      <c r="AN375" s="354"/>
      <c r="AP375" s="23">
        <f t="shared" si="158"/>
        <v>0</v>
      </c>
      <c r="AQ375" s="392">
        <f t="shared" si="159"/>
        <v>0</v>
      </c>
      <c r="AR375" s="392">
        <f t="shared" si="160"/>
        <v>0</v>
      </c>
      <c r="AS375" s="392">
        <f t="shared" si="160"/>
        <v>0</v>
      </c>
    </row>
    <row r="376" spans="1:45">
      <c r="A376" s="12" t="s">
        <v>1690</v>
      </c>
      <c r="B376" s="54" t="str">
        <f t="shared" si="140"/>
        <v>AZ_Maric_2020g</v>
      </c>
      <c r="C376" s="12"/>
      <c r="D376" s="54" t="str">
        <f t="shared" si="141"/>
        <v>Gen-phoenix-mayor (vote for1)</v>
      </c>
      <c r="E376" s="54" t="s">
        <v>1765</v>
      </c>
      <c r="G376" s="59">
        <v>1451</v>
      </c>
      <c r="H376"/>
      <c r="K376" s="2"/>
      <c r="O376">
        <f t="shared" si="142"/>
        <v>-3</v>
      </c>
      <c r="P376" s="57">
        <f t="shared" si="143"/>
        <v>1</v>
      </c>
      <c r="Q376" s="267">
        <f t="shared" si="144"/>
        <v>2169</v>
      </c>
      <c r="R376" s="23" t="str">
        <f t="shared" si="145"/>
        <v/>
      </c>
      <c r="S376" s="23">
        <f t="shared" si="146"/>
        <v>689</v>
      </c>
      <c r="T376" s="23" t="str">
        <f t="shared" si="147"/>
        <v/>
      </c>
      <c r="U376" t="str">
        <f t="shared" si="148"/>
        <v/>
      </c>
      <c r="W376" s="1">
        <f t="shared" si="149"/>
        <v>8</v>
      </c>
      <c r="X376" s="73">
        <f t="shared" si="138"/>
        <v>282.3623076923077</v>
      </c>
      <c r="Y376" s="322">
        <f t="shared" si="150"/>
        <v>817.02900000000011</v>
      </c>
      <c r="Z376" s="43">
        <f t="shared" si="139"/>
        <v>7.4242888779477711</v>
      </c>
      <c r="AA376" s="52">
        <f t="shared" si="151"/>
        <v>7.4242888779477711E-2</v>
      </c>
      <c r="AB376" s="8">
        <f t="shared" si="152"/>
        <v>8180.21</v>
      </c>
      <c r="AC376" s="8">
        <f t="shared" si="153"/>
        <v>818021</v>
      </c>
      <c r="AD376" s="8">
        <f t="shared" si="157"/>
        <v>4090.105</v>
      </c>
      <c r="AE376" s="8" t="str">
        <f t="shared" si="154"/>
        <v/>
      </c>
      <c r="AF376" s="22" t="str">
        <f t="shared" si="155"/>
        <v>CA_Orang_2020p</v>
      </c>
      <c r="AG376" s="89">
        <v>6</v>
      </c>
      <c r="AH376" s="274">
        <v>11841</v>
      </c>
      <c r="AI376" s="279">
        <v>6648</v>
      </c>
      <c r="AJ376" s="280">
        <v>6388</v>
      </c>
      <c r="AK376" s="92">
        <v>260</v>
      </c>
      <c r="AL376" s="23" t="s">
        <v>4650</v>
      </c>
      <c r="AM376" s="353">
        <f t="shared" si="156"/>
        <v>3.1784025104489983E-4</v>
      </c>
      <c r="AN376" s="354"/>
      <c r="AP376" s="23">
        <f t="shared" si="158"/>
        <v>0</v>
      </c>
      <c r="AQ376" s="392">
        <f t="shared" si="159"/>
        <v>0</v>
      </c>
      <c r="AR376" s="392">
        <f t="shared" si="160"/>
        <v>0</v>
      </c>
      <c r="AS376" s="392">
        <f t="shared" si="160"/>
        <v>0</v>
      </c>
    </row>
    <row r="377" spans="1:45">
      <c r="A377" s="12" t="s">
        <v>1690</v>
      </c>
      <c r="B377" s="54" t="str">
        <f t="shared" si="140"/>
        <v>AZ_Maric_2020g</v>
      </c>
      <c r="C377" s="12"/>
      <c r="D377" s="54" t="str">
        <f t="shared" si="141"/>
        <v>Gen-phoenix-mayor (vote for1)</v>
      </c>
      <c r="E377" s="54" t="s">
        <v>2161</v>
      </c>
      <c r="G377" s="59">
        <v>689</v>
      </c>
      <c r="H377"/>
      <c r="K377" s="2"/>
      <c r="O377">
        <f t="shared" si="142"/>
        <v>4</v>
      </c>
      <c r="P377" s="57">
        <f t="shared" si="143"/>
        <v>1</v>
      </c>
      <c r="Q377" s="267">
        <f t="shared" si="144"/>
        <v>718</v>
      </c>
      <c r="R377" s="23" t="str">
        <f t="shared" si="145"/>
        <v/>
      </c>
      <c r="S377" s="23">
        <f t="shared" si="146"/>
        <v>689</v>
      </c>
      <c r="T377" s="23" t="str">
        <f t="shared" si="147"/>
        <v/>
      </c>
      <c r="U377" t="str">
        <f t="shared" si="148"/>
        <v/>
      </c>
      <c r="W377" s="1">
        <f t="shared" si="149"/>
        <v>9</v>
      </c>
      <c r="X377" s="73">
        <f t="shared" si="138"/>
        <v>54.447872340425533</v>
      </c>
      <c r="Y377" s="322">
        <f t="shared" si="150"/>
        <v>227.83800000000002</v>
      </c>
      <c r="Z377" s="43">
        <f t="shared" si="139"/>
        <v>2.3263622624876126</v>
      </c>
      <c r="AA377" s="52">
        <f t="shared" si="151"/>
        <v>2.3263622624876128E-2</v>
      </c>
      <c r="AB377" s="8">
        <f t="shared" si="152"/>
        <v>8180.21</v>
      </c>
      <c r="AC377" s="8">
        <f t="shared" si="153"/>
        <v>818021</v>
      </c>
      <c r="AD377" s="8">
        <f t="shared" si="157"/>
        <v>4090.105</v>
      </c>
      <c r="AE377" s="8" t="str">
        <f t="shared" si="154"/>
        <v/>
      </c>
      <c r="AF377" s="22" t="str">
        <f t="shared" si="155"/>
        <v>CA_Orang_2020p</v>
      </c>
      <c r="AG377">
        <v>1</v>
      </c>
      <c r="AH377" s="272">
        <v>3302</v>
      </c>
      <c r="AI377" s="273">
        <v>1094</v>
      </c>
      <c r="AJ377" s="274">
        <v>718</v>
      </c>
      <c r="AK377" s="339">
        <v>376</v>
      </c>
      <c r="AL377" s="340" t="s">
        <v>4667</v>
      </c>
      <c r="AM377" s="353">
        <f t="shared" si="156"/>
        <v>4.596459015110859E-4</v>
      </c>
      <c r="AN377" s="354"/>
      <c r="AP377" s="23">
        <f t="shared" si="158"/>
        <v>0</v>
      </c>
      <c r="AQ377" s="392">
        <f t="shared" si="159"/>
        <v>0</v>
      </c>
      <c r="AR377" s="392">
        <f t="shared" si="160"/>
        <v>0</v>
      </c>
      <c r="AS377" s="392">
        <f t="shared" si="160"/>
        <v>0</v>
      </c>
    </row>
    <row r="378" spans="1:45">
      <c r="A378" s="12" t="s">
        <v>1690</v>
      </c>
      <c r="B378" s="54" t="str">
        <f t="shared" si="140"/>
        <v>AZ_Maric_2020g</v>
      </c>
      <c r="C378" s="12"/>
      <c r="D378" s="54" t="str">
        <f t="shared" si="141"/>
        <v>Gen-phoenix-mayor (vote for1)</v>
      </c>
      <c r="E378" s="54" t="s">
        <v>2162</v>
      </c>
      <c r="G378" s="59">
        <v>29</v>
      </c>
      <c r="H378"/>
      <c r="K378" s="2"/>
      <c r="O378">
        <f t="shared" si="142"/>
        <v>5</v>
      </c>
      <c r="P378" s="57">
        <f t="shared" si="143"/>
        <v>1</v>
      </c>
      <c r="Q378" s="267">
        <f t="shared" si="144"/>
        <v>29</v>
      </c>
      <c r="R378" s="23" t="str">
        <f t="shared" si="145"/>
        <v/>
      </c>
      <c r="S378" s="23">
        <f t="shared" si="146"/>
        <v>29</v>
      </c>
      <c r="T378" s="23" t="str">
        <f t="shared" si="147"/>
        <v/>
      </c>
      <c r="U378" t="str">
        <f t="shared" si="148"/>
        <v/>
      </c>
      <c r="W378" s="1">
        <f t="shared" si="149"/>
        <v>10</v>
      </c>
      <c r="X378" s="73">
        <f t="shared" si="138"/>
        <v>417.77103960396039</v>
      </c>
      <c r="Y378" s="322">
        <f t="shared" si="150"/>
        <v>1878.3525000000002</v>
      </c>
      <c r="Z378" s="43">
        <f t="shared" si="139"/>
        <v>1.7579919676003697</v>
      </c>
      <c r="AA378" s="52">
        <f t="shared" si="151"/>
        <v>1.7579919676003697E-2</v>
      </c>
      <c r="AB378" s="8">
        <f t="shared" si="152"/>
        <v>8180.21</v>
      </c>
      <c r="AC378" s="8">
        <f t="shared" si="153"/>
        <v>818021</v>
      </c>
      <c r="AD378" s="8">
        <f t="shared" si="157"/>
        <v>4090.105</v>
      </c>
      <c r="AE378" s="8" t="str">
        <f t="shared" si="154"/>
        <v/>
      </c>
      <c r="AF378" s="22" t="str">
        <f t="shared" si="155"/>
        <v>CA_Orang_2020p</v>
      </c>
      <c r="AG378" s="89">
        <v>6</v>
      </c>
      <c r="AH378" s="274">
        <v>27222.5</v>
      </c>
      <c r="AI378" s="279">
        <v>13952</v>
      </c>
      <c r="AJ378" s="280">
        <v>13548</v>
      </c>
      <c r="AK378" s="92">
        <v>404</v>
      </c>
      <c r="AL378" s="23" t="s">
        <v>4659</v>
      </c>
      <c r="AM378" s="353">
        <f t="shared" si="156"/>
        <v>4.9387485162361358E-4</v>
      </c>
      <c r="AN378" s="354"/>
      <c r="AP378" s="23">
        <f t="shared" si="158"/>
        <v>0</v>
      </c>
      <c r="AQ378" s="392">
        <f t="shared" si="159"/>
        <v>0</v>
      </c>
      <c r="AR378" s="392">
        <f t="shared" si="160"/>
        <v>0</v>
      </c>
      <c r="AS378" s="392">
        <f t="shared" si="160"/>
        <v>0</v>
      </c>
    </row>
    <row r="379" spans="1:45">
      <c r="A379" s="12" t="s">
        <v>1695</v>
      </c>
      <c r="B379" s="54" t="str">
        <f t="shared" si="140"/>
        <v>AZ_Maric_2020g</v>
      </c>
      <c r="C379" s="12"/>
      <c r="D379" s="54" t="str">
        <f t="shared" si="141"/>
        <v>Gen-phoenix-proposition 444 (vote for1)</v>
      </c>
      <c r="E379" s="54" t="s">
        <v>1981</v>
      </c>
      <c r="F379" s="12" t="s">
        <v>1300</v>
      </c>
      <c r="G379" s="59">
        <v>406844</v>
      </c>
      <c r="H379"/>
      <c r="K379" s="2"/>
      <c r="O379">
        <f t="shared" si="142"/>
        <v>1</v>
      </c>
      <c r="P379" s="57">
        <f t="shared" si="143"/>
        <v>1</v>
      </c>
      <c r="Q379" s="267">
        <f t="shared" si="144"/>
        <v>558803</v>
      </c>
      <c r="R379" s="23">
        <f t="shared" si="145"/>
        <v>406844</v>
      </c>
      <c r="S379" s="23">
        <f t="shared" si="146"/>
        <v>151959</v>
      </c>
      <c r="T379" s="23">
        <f t="shared" si="147"/>
        <v>254885</v>
      </c>
      <c r="U379" t="str">
        <f t="shared" si="148"/>
        <v>AZ_Maric_2020g~Gen-phoenix-proposition 444 (vote for1)</v>
      </c>
      <c r="W379" s="1">
        <f t="shared" si="149"/>
        <v>11</v>
      </c>
      <c r="X379" s="73">
        <f t="shared" si="138"/>
        <v>470.68210023866345</v>
      </c>
      <c r="Y379" s="322">
        <f t="shared" si="150"/>
        <v>2194.8210000000004</v>
      </c>
      <c r="Z379" s="43">
        <f t="shared" si="139"/>
        <v>1.5130034812834434</v>
      </c>
      <c r="AA379" s="52">
        <f t="shared" si="151"/>
        <v>1.5130034812834434E-2</v>
      </c>
      <c r="AB379" s="8">
        <f t="shared" si="152"/>
        <v>8180.21</v>
      </c>
      <c r="AC379" s="8">
        <f t="shared" si="153"/>
        <v>818021</v>
      </c>
      <c r="AD379" s="8">
        <f t="shared" si="157"/>
        <v>4090.105</v>
      </c>
      <c r="AE379" s="8" t="str">
        <f t="shared" si="154"/>
        <v/>
      </c>
      <c r="AF379" s="22" t="str">
        <f t="shared" si="155"/>
        <v>CA_Orang_2020p</v>
      </c>
      <c r="AG379">
        <v>2</v>
      </c>
      <c r="AH379" s="8">
        <v>31809</v>
      </c>
      <c r="AI379" s="273">
        <v>13794</v>
      </c>
      <c r="AJ379" s="274">
        <v>13375</v>
      </c>
      <c r="AK379" s="339">
        <v>419</v>
      </c>
      <c r="AL379" s="23" t="s">
        <v>4772</v>
      </c>
      <c r="AM379" s="353">
        <f t="shared" si="156"/>
        <v>5.1221178918389623E-4</v>
      </c>
      <c r="AN379" s="354"/>
      <c r="AP379" s="23">
        <f t="shared" si="158"/>
        <v>0</v>
      </c>
      <c r="AQ379" s="392">
        <f t="shared" si="159"/>
        <v>0</v>
      </c>
      <c r="AR379" s="392">
        <f t="shared" si="160"/>
        <v>0</v>
      </c>
      <c r="AS379" s="392">
        <f t="shared" si="160"/>
        <v>0</v>
      </c>
    </row>
    <row r="380" spans="1:45">
      <c r="A380" s="12" t="s">
        <v>1695</v>
      </c>
      <c r="B380" s="54" t="str">
        <f t="shared" si="140"/>
        <v>AZ_Maric_2020g</v>
      </c>
      <c r="C380" s="12"/>
      <c r="D380" s="54" t="str">
        <f t="shared" si="141"/>
        <v>Gen-phoenix-proposition 444 (vote for1)</v>
      </c>
      <c r="E380" s="54" t="s">
        <v>1982</v>
      </c>
      <c r="F380" s="12" t="s">
        <v>1300</v>
      </c>
      <c r="G380" s="59">
        <v>151959</v>
      </c>
      <c r="H380"/>
      <c r="K380" s="2"/>
      <c r="O380">
        <f t="shared" si="142"/>
        <v>2</v>
      </c>
      <c r="P380" s="57">
        <f t="shared" si="143"/>
        <v>1</v>
      </c>
      <c r="Q380" s="267">
        <f t="shared" si="144"/>
        <v>151959</v>
      </c>
      <c r="R380" s="23" t="str">
        <f t="shared" si="145"/>
        <v/>
      </c>
      <c r="S380" s="23">
        <f t="shared" si="146"/>
        <v>151959</v>
      </c>
      <c r="T380" s="23" t="str">
        <f t="shared" si="147"/>
        <v/>
      </c>
      <c r="U380" t="str">
        <f t="shared" si="148"/>
        <v/>
      </c>
      <c r="W380" s="1">
        <f t="shared" si="149"/>
        <v>12</v>
      </c>
      <c r="X380" s="73">
        <f t="shared" si="138"/>
        <v>84.593803000652329</v>
      </c>
      <c r="Y380" s="322">
        <f t="shared" si="150"/>
        <v>481.07950000000005</v>
      </c>
      <c r="Z380" s="43">
        <f t="shared" si="139"/>
        <v>0.60264526908778404</v>
      </c>
      <c r="AA380" s="52">
        <f t="shared" si="151"/>
        <v>6.0264526908778409E-3</v>
      </c>
      <c r="AB380" s="8">
        <f t="shared" si="152"/>
        <v>8180.21</v>
      </c>
      <c r="AC380" s="8">
        <f t="shared" si="153"/>
        <v>818021</v>
      </c>
      <c r="AD380" s="8">
        <f t="shared" si="157"/>
        <v>4090.105</v>
      </c>
      <c r="AE380" s="8" t="str">
        <f t="shared" si="154"/>
        <v/>
      </c>
      <c r="AF380" s="22" t="str">
        <f t="shared" si="155"/>
        <v>CA_Orang_2020p</v>
      </c>
      <c r="AG380" s="89">
        <v>6</v>
      </c>
      <c r="AH380" s="274">
        <v>6972.166666666667</v>
      </c>
      <c r="AI380" s="279">
        <v>4736</v>
      </c>
      <c r="AJ380" s="280">
        <v>4225</v>
      </c>
      <c r="AK380" s="92">
        <v>511</v>
      </c>
      <c r="AL380" s="23" t="s">
        <v>4657</v>
      </c>
      <c r="AM380" s="353">
        <f t="shared" si="156"/>
        <v>6.2467833955363004E-4</v>
      </c>
      <c r="AN380" s="354"/>
      <c r="AP380" s="23">
        <f t="shared" si="158"/>
        <v>0</v>
      </c>
      <c r="AQ380" s="392">
        <f t="shared" si="159"/>
        <v>0</v>
      </c>
      <c r="AR380" s="392">
        <f t="shared" si="160"/>
        <v>0</v>
      </c>
      <c r="AS380" s="392">
        <f t="shared" si="160"/>
        <v>0</v>
      </c>
    </row>
    <row r="381" spans="1:45">
      <c r="A381" s="12" t="s">
        <v>1529</v>
      </c>
      <c r="B381" s="54" t="str">
        <f t="shared" si="140"/>
        <v>AZ_Maric_2020g</v>
      </c>
      <c r="C381" s="12"/>
      <c r="D381" s="54" t="str">
        <f t="shared" si="141"/>
        <v>Gen-presidential electors (vote for1)</v>
      </c>
      <c r="E381" s="54" t="s">
        <v>1758</v>
      </c>
      <c r="F381" s="12" t="s">
        <v>1294</v>
      </c>
      <c r="G381" s="59">
        <v>1040774</v>
      </c>
      <c r="H381"/>
      <c r="K381" s="2"/>
      <c r="O381">
        <f t="shared" si="142"/>
        <v>1</v>
      </c>
      <c r="P381" s="57">
        <f t="shared" si="143"/>
        <v>1</v>
      </c>
      <c r="Q381" s="267">
        <f t="shared" si="144"/>
        <v>2084028</v>
      </c>
      <c r="R381" s="23">
        <f t="shared" si="145"/>
        <v>1040774</v>
      </c>
      <c r="S381" s="23">
        <f t="shared" si="146"/>
        <v>995665</v>
      </c>
      <c r="T381" s="23">
        <f t="shared" si="147"/>
        <v>45109</v>
      </c>
      <c r="U381" t="str">
        <f t="shared" si="148"/>
        <v>AZ_Maric_2020g~Gen-presidential electors (vote for1)</v>
      </c>
      <c r="W381" s="1">
        <f t="shared" si="149"/>
        <v>13</v>
      </c>
      <c r="X381" s="73">
        <f t="shared" si="138"/>
        <v>238.80348551791852</v>
      </c>
      <c r="Y381" s="322">
        <f t="shared" si="150"/>
        <v>1804.5455000000002</v>
      </c>
      <c r="Z381" s="43">
        <f t="shared" si="139"/>
        <v>0.11218012943742081</v>
      </c>
      <c r="AA381" s="52">
        <f t="shared" si="151"/>
        <v>1.1218012943742081E-3</v>
      </c>
      <c r="AB381" s="8">
        <f t="shared" si="152"/>
        <v>8180.21</v>
      </c>
      <c r="AC381" s="8">
        <f t="shared" si="153"/>
        <v>818021</v>
      </c>
      <c r="AD381" s="8">
        <f t="shared" si="157"/>
        <v>4090.105</v>
      </c>
      <c r="AE381" s="8" t="str">
        <f t="shared" si="154"/>
        <v/>
      </c>
      <c r="AF381" s="22" t="str">
        <f t="shared" si="155"/>
        <v>CA_Orang_2020p</v>
      </c>
      <c r="AG381" s="89">
        <v>6</v>
      </c>
      <c r="AH381" s="274">
        <v>26152.833333333332</v>
      </c>
      <c r="AI381" s="279">
        <v>15001</v>
      </c>
      <c r="AJ381" s="280">
        <v>14322</v>
      </c>
      <c r="AK381" s="92">
        <v>679</v>
      </c>
      <c r="AL381" s="23" t="s">
        <v>4660</v>
      </c>
      <c r="AM381" s="353">
        <f t="shared" si="156"/>
        <v>8.3005204022879606E-4</v>
      </c>
      <c r="AN381" s="354"/>
      <c r="AP381" s="23">
        <f t="shared" si="158"/>
        <v>0</v>
      </c>
      <c r="AQ381" s="392">
        <f t="shared" si="159"/>
        <v>0</v>
      </c>
      <c r="AR381" s="392">
        <f t="shared" si="160"/>
        <v>0</v>
      </c>
      <c r="AS381" s="392">
        <f t="shared" si="160"/>
        <v>0</v>
      </c>
    </row>
    <row r="382" spans="1:45">
      <c r="A382" s="12" t="s">
        <v>1529</v>
      </c>
      <c r="B382" s="54" t="str">
        <f t="shared" si="140"/>
        <v>AZ_Maric_2020g</v>
      </c>
      <c r="C382" s="12"/>
      <c r="D382" s="54" t="str">
        <f t="shared" si="141"/>
        <v>Gen-presidential electors (vote for1)</v>
      </c>
      <c r="E382" s="54" t="s">
        <v>1757</v>
      </c>
      <c r="F382" s="12" t="s">
        <v>1296</v>
      </c>
      <c r="G382" s="59">
        <v>995665</v>
      </c>
      <c r="H382"/>
      <c r="K382" s="2"/>
      <c r="O382">
        <f t="shared" si="142"/>
        <v>2</v>
      </c>
      <c r="P382" s="57">
        <f t="shared" si="143"/>
        <v>1</v>
      </c>
      <c r="Q382" s="267">
        <f t="shared" si="144"/>
        <v>1043254</v>
      </c>
      <c r="R382" s="23" t="str">
        <f t="shared" si="145"/>
        <v/>
      </c>
      <c r="S382" s="23">
        <f t="shared" si="146"/>
        <v>995665</v>
      </c>
      <c r="T382" s="23" t="str">
        <f t="shared" si="147"/>
        <v/>
      </c>
      <c r="U382" t="str">
        <f t="shared" si="148"/>
        <v/>
      </c>
      <c r="W382" s="1">
        <f t="shared" si="149"/>
        <v>14</v>
      </c>
      <c r="X382" s="73">
        <f t="shared" si="138"/>
        <v>436.7955688622755</v>
      </c>
      <c r="Y382" s="322">
        <f t="shared" si="150"/>
        <v>4059.0285000000003</v>
      </c>
      <c r="Z382" s="43">
        <f t="shared" si="139"/>
        <v>2.3539053799151922E-2</v>
      </c>
      <c r="AA382" s="52">
        <f t="shared" si="151"/>
        <v>2.3539053799151921E-4</v>
      </c>
      <c r="AB382" s="8">
        <f t="shared" si="152"/>
        <v>8180.21</v>
      </c>
      <c r="AC382" s="8">
        <f t="shared" si="153"/>
        <v>818021</v>
      </c>
      <c r="AD382" s="8">
        <f t="shared" si="157"/>
        <v>4090.105</v>
      </c>
      <c r="AE382" s="8" t="str">
        <f t="shared" si="154"/>
        <v/>
      </c>
      <c r="AF382" s="22" t="str">
        <f t="shared" si="155"/>
        <v>CA_Orang_2020p</v>
      </c>
      <c r="AG382" s="89">
        <v>2</v>
      </c>
      <c r="AH382" s="274">
        <v>58826.5</v>
      </c>
      <c r="AI382" s="279">
        <v>30021</v>
      </c>
      <c r="AJ382" s="280">
        <v>29186</v>
      </c>
      <c r="AK382" s="92">
        <v>835</v>
      </c>
      <c r="AL382" s="23" t="s">
        <v>4764</v>
      </c>
      <c r="AM382" s="353">
        <f t="shared" si="156"/>
        <v>1.020756190855736E-3</v>
      </c>
      <c r="AN382" s="354"/>
      <c r="AP382" s="23">
        <f t="shared" si="158"/>
        <v>0</v>
      </c>
      <c r="AQ382" s="392">
        <f t="shared" si="159"/>
        <v>0</v>
      </c>
      <c r="AR382" s="392">
        <f t="shared" si="160"/>
        <v>0</v>
      </c>
      <c r="AS382" s="392">
        <f t="shared" si="160"/>
        <v>0</v>
      </c>
    </row>
    <row r="383" spans="1:45">
      <c r="A383" s="12" t="s">
        <v>1529</v>
      </c>
      <c r="B383" s="54" t="str">
        <f t="shared" si="140"/>
        <v>AZ_Maric_2020g</v>
      </c>
      <c r="C383" s="12"/>
      <c r="D383" s="54" t="str">
        <f t="shared" si="141"/>
        <v>Gen-presidential electors (vote for1)</v>
      </c>
      <c r="E383" s="54" t="s">
        <v>1759</v>
      </c>
      <c r="F383" s="12" t="s">
        <v>1530</v>
      </c>
      <c r="G383" s="59">
        <v>31705</v>
      </c>
      <c r="H383"/>
      <c r="K383" s="2"/>
      <c r="O383">
        <f t="shared" si="142"/>
        <v>3</v>
      </c>
      <c r="P383" s="57">
        <f t="shared" si="143"/>
        <v>1</v>
      </c>
      <c r="Q383" s="267">
        <f t="shared" si="144"/>
        <v>47589</v>
      </c>
      <c r="R383" s="23" t="str">
        <f t="shared" si="145"/>
        <v/>
      </c>
      <c r="S383" s="23">
        <f t="shared" si="146"/>
        <v>31705</v>
      </c>
      <c r="T383" s="23" t="str">
        <f t="shared" si="147"/>
        <v/>
      </c>
      <c r="U383" t="str">
        <f t="shared" si="148"/>
        <v/>
      </c>
      <c r="W383" s="1">
        <f t="shared" si="149"/>
        <v>15</v>
      </c>
      <c r="X383" s="73">
        <f t="shared" ref="X383:X446" si="161">IF(AK383=0,AH383,MIN(AH383,6.2/(AK383/AH383)))</f>
        <v>194.95555555555558</v>
      </c>
      <c r="Y383" s="322">
        <f t="shared" si="150"/>
        <v>2069.8620000000001</v>
      </c>
      <c r="Z383" s="43">
        <f t="shared" ref="Z383:Z446" si="162">AA383*100</f>
        <v>7.151758157795546E-3</v>
      </c>
      <c r="AA383" s="52">
        <f t="shared" si="151"/>
        <v>7.1517581577955458E-5</v>
      </c>
      <c r="AB383" s="8">
        <f t="shared" si="152"/>
        <v>8180.21</v>
      </c>
      <c r="AC383" s="8">
        <f t="shared" si="153"/>
        <v>818021</v>
      </c>
      <c r="AD383" s="8">
        <f t="shared" si="157"/>
        <v>4090.105</v>
      </c>
      <c r="AE383" s="8" t="str">
        <f t="shared" si="154"/>
        <v/>
      </c>
      <c r="AF383" s="22" t="str">
        <f t="shared" si="155"/>
        <v>CA_Orang_2020p</v>
      </c>
      <c r="AG383" s="89">
        <v>1</v>
      </c>
      <c r="AH383" s="274">
        <v>29998</v>
      </c>
      <c r="AI383" s="279">
        <v>15476</v>
      </c>
      <c r="AJ383" s="280">
        <v>14522</v>
      </c>
      <c r="AK383" s="92">
        <v>954</v>
      </c>
      <c r="AL383" s="23" t="s">
        <v>4644</v>
      </c>
      <c r="AM383" s="353">
        <f t="shared" si="156"/>
        <v>1.1662292288339786E-3</v>
      </c>
      <c r="AN383" s="354"/>
      <c r="AP383" s="23">
        <f t="shared" si="158"/>
        <v>0</v>
      </c>
      <c r="AQ383" s="392">
        <f t="shared" si="159"/>
        <v>0</v>
      </c>
      <c r="AR383" s="392">
        <f t="shared" si="160"/>
        <v>0</v>
      </c>
      <c r="AS383" s="392">
        <f t="shared" si="160"/>
        <v>0</v>
      </c>
    </row>
    <row r="384" spans="1:45">
      <c r="A384" s="12" t="s">
        <v>1529</v>
      </c>
      <c r="B384" s="54" t="str">
        <f t="shared" si="140"/>
        <v>AZ_Maric_2020g</v>
      </c>
      <c r="C384" s="12"/>
      <c r="D384" s="54" t="str">
        <f t="shared" si="141"/>
        <v>Gen-presidential electors (vote for1)</v>
      </c>
      <c r="E384" s="54" t="s">
        <v>1299</v>
      </c>
      <c r="G384" s="59">
        <v>7942</v>
      </c>
      <c r="H384"/>
      <c r="K384" s="2"/>
      <c r="O384">
        <f t="shared" si="142"/>
        <v>-3</v>
      </c>
      <c r="P384" s="57">
        <f t="shared" si="143"/>
        <v>1</v>
      </c>
      <c r="Q384" s="267">
        <f t="shared" si="144"/>
        <v>15884</v>
      </c>
      <c r="R384" s="23" t="str">
        <f t="shared" si="145"/>
        <v/>
      </c>
      <c r="S384" s="23">
        <f t="shared" si="146"/>
        <v>1013</v>
      </c>
      <c r="T384" s="23" t="str">
        <f t="shared" si="147"/>
        <v/>
      </c>
      <c r="U384" t="str">
        <f t="shared" si="148"/>
        <v/>
      </c>
      <c r="W384" s="1">
        <f t="shared" si="149"/>
        <v>16</v>
      </c>
      <c r="X384" s="73">
        <f t="shared" si="161"/>
        <v>77.728816986855421</v>
      </c>
      <c r="Y384" s="322">
        <f t="shared" si="150"/>
        <v>855.53100000000006</v>
      </c>
      <c r="Z384" s="43">
        <f t="shared" si="162"/>
        <v>5.0376618740544908E-3</v>
      </c>
      <c r="AA384" s="52">
        <f t="shared" si="151"/>
        <v>5.0376618740544904E-5</v>
      </c>
      <c r="AB384" s="8">
        <f t="shared" si="152"/>
        <v>8180.21</v>
      </c>
      <c r="AC384" s="8">
        <f t="shared" si="153"/>
        <v>818021</v>
      </c>
      <c r="AD384" s="8">
        <f t="shared" si="157"/>
        <v>4090.105</v>
      </c>
      <c r="AE384" s="8" t="str">
        <f t="shared" si="154"/>
        <v/>
      </c>
      <c r="AF384" s="22" t="str">
        <f t="shared" si="155"/>
        <v>CA_Orang_2020p</v>
      </c>
      <c r="AG384" s="89">
        <v>1</v>
      </c>
      <c r="AH384" s="274">
        <v>12399</v>
      </c>
      <c r="AI384" s="279">
        <v>6694</v>
      </c>
      <c r="AJ384" s="280">
        <v>5705</v>
      </c>
      <c r="AK384" s="92">
        <v>989</v>
      </c>
      <c r="AL384" s="23" t="s">
        <v>4641</v>
      </c>
      <c r="AM384" s="353">
        <f t="shared" si="156"/>
        <v>1.2090154164746381E-3</v>
      </c>
      <c r="AN384" s="354"/>
      <c r="AP384" s="23">
        <f t="shared" si="158"/>
        <v>0</v>
      </c>
      <c r="AQ384" s="392">
        <f t="shared" si="159"/>
        <v>0</v>
      </c>
      <c r="AR384" s="392">
        <f t="shared" si="160"/>
        <v>0</v>
      </c>
      <c r="AS384" s="392">
        <f t="shared" si="160"/>
        <v>0</v>
      </c>
    </row>
    <row r="385" spans="1:45">
      <c r="A385" s="12" t="s">
        <v>1529</v>
      </c>
      <c r="B385" s="54" t="str">
        <f t="shared" si="140"/>
        <v>AZ_Maric_2020g</v>
      </c>
      <c r="C385" s="12"/>
      <c r="D385" s="54" t="str">
        <f t="shared" si="141"/>
        <v>Gen-presidential electors (vote for1)</v>
      </c>
      <c r="E385" s="54" t="s">
        <v>1765</v>
      </c>
      <c r="G385" s="59">
        <v>6611</v>
      </c>
      <c r="H385"/>
      <c r="K385" s="2"/>
      <c r="O385">
        <f t="shared" si="142"/>
        <v>-3</v>
      </c>
      <c r="P385" s="57">
        <f t="shared" si="143"/>
        <v>1</v>
      </c>
      <c r="Q385" s="267">
        <f t="shared" si="144"/>
        <v>7942</v>
      </c>
      <c r="R385" s="23" t="str">
        <f t="shared" si="145"/>
        <v/>
      </c>
      <c r="S385" s="23">
        <f t="shared" si="146"/>
        <v>1013</v>
      </c>
      <c r="T385" s="23" t="str">
        <f t="shared" si="147"/>
        <v/>
      </c>
      <c r="U385" t="str">
        <f t="shared" si="148"/>
        <v/>
      </c>
      <c r="W385" s="1">
        <f t="shared" si="149"/>
        <v>17</v>
      </c>
      <c r="X385" s="73">
        <f t="shared" si="161"/>
        <v>211.42871485943775</v>
      </c>
      <c r="Y385" s="322">
        <f t="shared" si="150"/>
        <v>2343.585</v>
      </c>
      <c r="Z385" s="43">
        <f t="shared" si="162"/>
        <v>4.6966854043730783E-3</v>
      </c>
      <c r="AA385" s="52">
        <f t="shared" si="151"/>
        <v>4.696685404373078E-5</v>
      </c>
      <c r="AB385" s="8">
        <f t="shared" si="152"/>
        <v>8180.21</v>
      </c>
      <c r="AC385" s="8">
        <f t="shared" si="153"/>
        <v>818021</v>
      </c>
      <c r="AD385" s="8">
        <f t="shared" si="157"/>
        <v>4090.105</v>
      </c>
      <c r="AE385" s="8" t="str">
        <f t="shared" si="154"/>
        <v/>
      </c>
      <c r="AF385" s="22" t="str">
        <f t="shared" si="155"/>
        <v>CA_Orang_2020p</v>
      </c>
      <c r="AG385" s="89">
        <v>6</v>
      </c>
      <c r="AH385" s="274">
        <v>33965</v>
      </c>
      <c r="AI385" s="279">
        <v>15078</v>
      </c>
      <c r="AJ385" s="280">
        <v>14082</v>
      </c>
      <c r="AK385" s="92">
        <v>996</v>
      </c>
      <c r="AL385" s="23" t="s">
        <v>4662</v>
      </c>
      <c r="AM385" s="353">
        <f t="shared" si="156"/>
        <v>1.21757265400277E-3</v>
      </c>
      <c r="AN385" s="354"/>
      <c r="AP385" s="23">
        <f t="shared" si="158"/>
        <v>0</v>
      </c>
      <c r="AQ385" s="392">
        <f t="shared" si="159"/>
        <v>0</v>
      </c>
      <c r="AR385" s="392">
        <f t="shared" si="160"/>
        <v>0</v>
      </c>
      <c r="AS385" s="392">
        <f t="shared" si="160"/>
        <v>0</v>
      </c>
    </row>
    <row r="386" spans="1:45">
      <c r="A386" s="12" t="s">
        <v>1529</v>
      </c>
      <c r="B386" s="54" t="str">
        <f t="shared" ref="B386:B449" si="163">LEFT(A386,14)</f>
        <v>AZ_Maric_2020g</v>
      </c>
      <c r="C386" s="12"/>
      <c r="D386" s="54" t="str">
        <f t="shared" ref="D386:D449" si="164">MID(A386,16,99)</f>
        <v>Gen-presidential electors (vote for1)</v>
      </c>
      <c r="E386" s="54" t="s">
        <v>1762</v>
      </c>
      <c r="G386" s="59">
        <v>1013</v>
      </c>
      <c r="H386"/>
      <c r="K386" s="2"/>
      <c r="O386">
        <f t="shared" ref="O386:O449" si="165">IF(OR(LOWER(LEFT(E386,8))="write-in",LOWER(LEFT(E386,8))="not qual"),IF(A386=A385,-ABS(O385),0),IF(A386=A385,ABS(O385)+1,1))</f>
        <v>4</v>
      </c>
      <c r="P386" s="57">
        <f t="shared" ref="P386:P449" si="166">1*LEFT(RIGHT(A386,2),1)</f>
        <v>1</v>
      </c>
      <c r="Q386" s="267">
        <f t="shared" ref="Q386:Q449" si="167">IF(A386&lt;&gt;A387,G386,IF(A386=A385,G386+Q387,MAX(G386,(G386+Q387)/P386)))</f>
        <v>1331</v>
      </c>
      <c r="R386" s="23" t="str">
        <f t="shared" ref="R386:R449" si="168">IF(O386&gt;P386,"",IF(O386=P386,G386,IF(A386=A387,R387,IF(O386&lt;=0,1,G386))))</f>
        <v/>
      </c>
      <c r="S386" s="23">
        <f t="shared" ref="S386:S449" si="169">IF(AND(O386&gt;P386,LOWER(LEFT(E386,8))&lt;&gt;"write-in",LOWER(LEFT(E386,8))&lt;&gt;"not qual"),G386,IF(A386=A387,S387,0))</f>
        <v>1013</v>
      </c>
      <c r="T386" s="23" t="str">
        <f t="shared" ref="T386:T449" si="170">IF(OR(A386=A385,S386=0),"",R386-ABS(S386))</f>
        <v/>
      </c>
      <c r="U386" t="str">
        <f t="shared" ref="U386:U449" si="171">IF(A386=A385,"",A386)</f>
        <v/>
      </c>
      <c r="W386" s="1">
        <f t="shared" ref="W386:W449" si="172">IF(AF386=AF385,W385+1,1)</f>
        <v>18</v>
      </c>
      <c r="X386" s="73">
        <f t="shared" si="161"/>
        <v>148.38249158249158</v>
      </c>
      <c r="Y386" s="322">
        <f t="shared" ref="Y386:Y449" si="173">MAX(X386,0.069*AH386)</f>
        <v>2288.7759999999998</v>
      </c>
      <c r="Z386" s="43">
        <f t="shared" si="162"/>
        <v>9.4530802733741828E-5</v>
      </c>
      <c r="AA386" s="52">
        <f t="shared" ref="AA386:AA449" si="174">(1-AK386/AC386)^AB386</f>
        <v>9.453080273374183E-7</v>
      </c>
      <c r="AB386" s="8">
        <f t="shared" ref="AB386:AB449" si="175">INDEX(BA$2:BA$76,MATCH($AF386,$AU$2:$AU$76,0))+IF(AE386="",0,INDEX(BA$2:BA$76,AE386))</f>
        <v>8180.21</v>
      </c>
      <c r="AC386" s="8">
        <f t="shared" ref="AC386:AC449" si="176">INDEX(AX$2:AX$76,MATCH(AF386,AU$2:AU$76,0))+IF(AE386="",0,INDEX(AX$2:AX$76,AE386))</f>
        <v>818021</v>
      </c>
      <c r="AD386" s="8">
        <f t="shared" si="157"/>
        <v>4090.105</v>
      </c>
      <c r="AE386" s="8" t="str">
        <f t="shared" ref="AE386:AE449" si="177">IF(MID(AL386,16,2)&lt;&gt;"w/","",MATCH(CONCATENATE("CO_",MID(AL386,18,5),"_2020g"),AU$2:AU$76,0))</f>
        <v/>
      </c>
      <c r="AF386" s="22" t="str">
        <f t="shared" ref="AF386:AF449" si="178">LEFT(AL386,14)</f>
        <v>CA_Orang_2020p</v>
      </c>
      <c r="AG386" s="89">
        <v>6</v>
      </c>
      <c r="AH386" s="274">
        <v>33170.666666666664</v>
      </c>
      <c r="AI386" s="279">
        <v>14822</v>
      </c>
      <c r="AJ386" s="280">
        <v>13436</v>
      </c>
      <c r="AK386" s="92">
        <v>1386</v>
      </c>
      <c r="AL386" s="23" t="s">
        <v>4663</v>
      </c>
      <c r="AM386" s="353">
        <f t="shared" ref="AM386:AM449" si="179">AK386/AC386</f>
        <v>1.6943330305701199E-3</v>
      </c>
      <c r="AN386" s="354"/>
      <c r="AP386" s="23">
        <f t="shared" si="158"/>
        <v>0</v>
      </c>
      <c r="AQ386" s="392">
        <f t="shared" si="159"/>
        <v>0</v>
      </c>
      <c r="AR386" s="392">
        <f t="shared" si="160"/>
        <v>0</v>
      </c>
      <c r="AS386" s="392">
        <f t="shared" si="160"/>
        <v>0</v>
      </c>
    </row>
    <row r="387" spans="1:45">
      <c r="A387" s="12" t="s">
        <v>1529</v>
      </c>
      <c r="B387" s="54" t="str">
        <f t="shared" si="163"/>
        <v>AZ_Maric_2020g</v>
      </c>
      <c r="C387" s="12"/>
      <c r="D387" s="54" t="str">
        <f t="shared" si="164"/>
        <v>Gen-presidential electors (vote for1)</v>
      </c>
      <c r="E387" s="54" t="s">
        <v>1764</v>
      </c>
      <c r="G387" s="59">
        <v>151</v>
      </c>
      <c r="H387"/>
      <c r="K387" s="2"/>
      <c r="O387">
        <f t="shared" si="165"/>
        <v>5</v>
      </c>
      <c r="P387" s="57">
        <f t="shared" si="166"/>
        <v>1</v>
      </c>
      <c r="Q387" s="267">
        <f t="shared" si="167"/>
        <v>318</v>
      </c>
      <c r="R387" s="23" t="str">
        <f t="shared" si="168"/>
        <v/>
      </c>
      <c r="S387" s="23">
        <f t="shared" si="169"/>
        <v>151</v>
      </c>
      <c r="T387" s="23" t="str">
        <f t="shared" si="170"/>
        <v/>
      </c>
      <c r="U387" t="str">
        <f t="shared" si="171"/>
        <v/>
      </c>
      <c r="W387" s="1">
        <f t="shared" si="172"/>
        <v>19</v>
      </c>
      <c r="X387" s="73">
        <f t="shared" si="161"/>
        <v>92.55341142622278</v>
      </c>
      <c r="Y387" s="322">
        <f t="shared" si="173"/>
        <v>1670.7085000000002</v>
      </c>
      <c r="Z387" s="43">
        <f t="shared" si="162"/>
        <v>8.8869034459483992E-6</v>
      </c>
      <c r="AA387" s="52">
        <f t="shared" si="174"/>
        <v>8.8869034459483998E-8</v>
      </c>
      <c r="AB387" s="8">
        <f t="shared" si="175"/>
        <v>8180.21</v>
      </c>
      <c r="AC387" s="8">
        <f t="shared" si="176"/>
        <v>818021</v>
      </c>
      <c r="AD387" s="8">
        <f t="shared" ref="AD387:AD450" si="180">AC387/RIGHT(AD$1,4)</f>
        <v>4090.105</v>
      </c>
      <c r="AE387" s="8" t="str">
        <f t="shared" si="177"/>
        <v/>
      </c>
      <c r="AF387" s="22" t="str">
        <f t="shared" si="178"/>
        <v>CA_Orang_2020p</v>
      </c>
      <c r="AG387" s="89">
        <v>6</v>
      </c>
      <c r="AH387" s="274">
        <v>24213.166666666668</v>
      </c>
      <c r="AI387" s="279">
        <v>12406</v>
      </c>
      <c r="AJ387" s="280">
        <v>10784</v>
      </c>
      <c r="AK387" s="92">
        <v>1622</v>
      </c>
      <c r="AL387" s="23" t="s">
        <v>4658</v>
      </c>
      <c r="AM387" s="353">
        <f t="shared" si="179"/>
        <v>1.9828341815185673E-3</v>
      </c>
      <c r="AN387" s="354"/>
      <c r="AP387" s="23">
        <f t="shared" si="158"/>
        <v>0</v>
      </c>
      <c r="AQ387" s="392">
        <f t="shared" si="159"/>
        <v>0</v>
      </c>
      <c r="AR387" s="392">
        <f t="shared" si="160"/>
        <v>0</v>
      </c>
      <c r="AS387" s="392">
        <f t="shared" si="160"/>
        <v>0</v>
      </c>
    </row>
    <row r="388" spans="1:45">
      <c r="A388" s="12" t="s">
        <v>1529</v>
      </c>
      <c r="B388" s="54" t="str">
        <f t="shared" si="163"/>
        <v>AZ_Maric_2020g</v>
      </c>
      <c r="C388" s="12"/>
      <c r="D388" s="54" t="str">
        <f t="shared" si="164"/>
        <v>Gen-presidential electors (vote for1)</v>
      </c>
      <c r="E388" s="54" t="s">
        <v>1763</v>
      </c>
      <c r="G388" s="59">
        <v>139</v>
      </c>
      <c r="H388"/>
      <c r="K388" s="2"/>
      <c r="O388">
        <f t="shared" si="165"/>
        <v>6</v>
      </c>
      <c r="P388" s="57">
        <f t="shared" si="166"/>
        <v>1</v>
      </c>
      <c r="Q388" s="267">
        <f t="shared" si="167"/>
        <v>167</v>
      </c>
      <c r="R388" s="23" t="str">
        <f t="shared" si="168"/>
        <v/>
      </c>
      <c r="S388" s="23">
        <f t="shared" si="169"/>
        <v>139</v>
      </c>
      <c r="T388" s="23" t="str">
        <f t="shared" si="170"/>
        <v/>
      </c>
      <c r="U388" t="str">
        <f t="shared" si="171"/>
        <v/>
      </c>
      <c r="W388" s="1">
        <f t="shared" si="172"/>
        <v>20</v>
      </c>
      <c r="X388" s="73">
        <f t="shared" si="161"/>
        <v>83.533641084824012</v>
      </c>
      <c r="Y388" s="322">
        <f t="shared" si="173"/>
        <v>1611.0810000000001</v>
      </c>
      <c r="Z388" s="43">
        <f t="shared" si="162"/>
        <v>2.9220859717812646E-6</v>
      </c>
      <c r="AA388" s="52">
        <f t="shared" si="174"/>
        <v>2.9220859717812647E-8</v>
      </c>
      <c r="AB388" s="8">
        <f t="shared" si="175"/>
        <v>8180.21</v>
      </c>
      <c r="AC388" s="8">
        <f t="shared" si="176"/>
        <v>818021</v>
      </c>
      <c r="AD388" s="8">
        <f t="shared" si="180"/>
        <v>4090.105</v>
      </c>
      <c r="AE388" s="8" t="str">
        <f t="shared" si="177"/>
        <v/>
      </c>
      <c r="AF388" s="22" t="str">
        <f t="shared" si="178"/>
        <v>CA_Orang_2020p</v>
      </c>
      <c r="AG388" s="89">
        <v>1</v>
      </c>
      <c r="AH388" s="274">
        <v>23349</v>
      </c>
      <c r="AI388" s="279">
        <v>12541</v>
      </c>
      <c r="AJ388" s="280">
        <v>10808</v>
      </c>
      <c r="AK388" s="92">
        <v>1733</v>
      </c>
      <c r="AL388" s="23" t="s">
        <v>4665</v>
      </c>
      <c r="AM388" s="353">
        <f t="shared" si="179"/>
        <v>2.118527519464659E-3</v>
      </c>
      <c r="AN388" s="354"/>
      <c r="AP388" s="23">
        <f t="shared" si="158"/>
        <v>0</v>
      </c>
      <c r="AQ388" s="392">
        <f t="shared" si="159"/>
        <v>0</v>
      </c>
      <c r="AR388" s="392">
        <f t="shared" si="160"/>
        <v>0</v>
      </c>
      <c r="AS388" s="392">
        <f t="shared" si="160"/>
        <v>0</v>
      </c>
    </row>
    <row r="389" spans="1:45">
      <c r="A389" s="12" t="s">
        <v>1529</v>
      </c>
      <c r="B389" s="54" t="str">
        <f t="shared" si="163"/>
        <v>AZ_Maric_2020g</v>
      </c>
      <c r="C389" s="12"/>
      <c r="D389" s="54" t="str">
        <f t="shared" si="164"/>
        <v>Gen-presidential electors (vote for1)</v>
      </c>
      <c r="E389" s="54" t="s">
        <v>1761</v>
      </c>
      <c r="G389" s="59">
        <v>18</v>
      </c>
      <c r="H389"/>
      <c r="K389" s="2"/>
      <c r="O389">
        <f t="shared" si="165"/>
        <v>7</v>
      </c>
      <c r="P389" s="57">
        <f t="shared" si="166"/>
        <v>1</v>
      </c>
      <c r="Q389" s="267">
        <f t="shared" si="167"/>
        <v>28</v>
      </c>
      <c r="R389" s="23" t="str">
        <f t="shared" si="168"/>
        <v/>
      </c>
      <c r="S389" s="23">
        <f t="shared" si="169"/>
        <v>18</v>
      </c>
      <c r="T389" s="23" t="str">
        <f t="shared" si="170"/>
        <v/>
      </c>
      <c r="U389" t="str">
        <f t="shared" si="171"/>
        <v/>
      </c>
      <c r="W389" s="1">
        <f t="shared" si="172"/>
        <v>21</v>
      </c>
      <c r="X389" s="73">
        <f t="shared" si="161"/>
        <v>166.29059304703478</v>
      </c>
      <c r="Y389" s="322">
        <f t="shared" si="173"/>
        <v>3619.8780000000002</v>
      </c>
      <c r="Z389" s="43">
        <f t="shared" si="162"/>
        <v>3.1262780485803399E-7</v>
      </c>
      <c r="AA389" s="52">
        <f t="shared" si="174"/>
        <v>3.12627804858034E-9</v>
      </c>
      <c r="AB389" s="8">
        <f t="shared" si="175"/>
        <v>8180.21</v>
      </c>
      <c r="AC389" s="8">
        <f t="shared" si="176"/>
        <v>818021</v>
      </c>
      <c r="AD389" s="8">
        <f t="shared" si="180"/>
        <v>4090.105</v>
      </c>
      <c r="AE389" s="8" t="str">
        <f t="shared" si="177"/>
        <v/>
      </c>
      <c r="AF389" s="22" t="str">
        <f t="shared" si="178"/>
        <v>CA_Orang_2020p</v>
      </c>
      <c r="AG389" s="89">
        <v>1</v>
      </c>
      <c r="AH389" s="274">
        <v>52462</v>
      </c>
      <c r="AI389" s="279">
        <v>27209</v>
      </c>
      <c r="AJ389" s="280">
        <v>25253</v>
      </c>
      <c r="AK389" s="92">
        <v>1956</v>
      </c>
      <c r="AL389" s="23" t="s">
        <v>4645</v>
      </c>
      <c r="AM389" s="353">
        <f t="shared" si="179"/>
        <v>2.3911366578608616E-3</v>
      </c>
      <c r="AN389" s="354"/>
      <c r="AP389" s="23">
        <f t="shared" si="158"/>
        <v>0</v>
      </c>
      <c r="AQ389" s="392">
        <f t="shared" si="159"/>
        <v>0</v>
      </c>
      <c r="AR389" s="392">
        <f t="shared" si="160"/>
        <v>0</v>
      </c>
      <c r="AS389" s="392">
        <f t="shared" si="160"/>
        <v>0</v>
      </c>
    </row>
    <row r="390" spans="1:45">
      <c r="A390" s="12" t="s">
        <v>1529</v>
      </c>
      <c r="B390" s="54" t="str">
        <f t="shared" si="163"/>
        <v>AZ_Maric_2020g</v>
      </c>
      <c r="C390" s="12"/>
      <c r="D390" s="54" t="str">
        <f t="shared" si="164"/>
        <v>Gen-presidential electors (vote for1)</v>
      </c>
      <c r="E390" s="54" t="s">
        <v>1760</v>
      </c>
      <c r="G390" s="59">
        <v>10</v>
      </c>
      <c r="H390"/>
      <c r="K390" s="2"/>
      <c r="O390">
        <f t="shared" si="165"/>
        <v>8</v>
      </c>
      <c r="P390" s="57">
        <f t="shared" si="166"/>
        <v>1</v>
      </c>
      <c r="Q390" s="267">
        <f t="shared" si="167"/>
        <v>10</v>
      </c>
      <c r="R390" s="23" t="str">
        <f t="shared" si="168"/>
        <v/>
      </c>
      <c r="S390" s="23">
        <f t="shared" si="169"/>
        <v>10</v>
      </c>
      <c r="T390" s="23" t="str">
        <f t="shared" si="170"/>
        <v/>
      </c>
      <c r="U390" t="str">
        <f t="shared" si="171"/>
        <v/>
      </c>
      <c r="W390" s="1">
        <f t="shared" si="172"/>
        <v>22</v>
      </c>
      <c r="X390" s="73">
        <f t="shared" si="161"/>
        <v>50.7389028686462</v>
      </c>
      <c r="Y390" s="322">
        <f t="shared" si="173"/>
        <v>1122.009</v>
      </c>
      <c r="Z390" s="43">
        <f t="shared" si="162"/>
        <v>2.2912424930355743E-7</v>
      </c>
      <c r="AA390" s="52">
        <f t="shared" si="174"/>
        <v>2.2912424930355744E-9</v>
      </c>
      <c r="AB390" s="8">
        <f t="shared" si="175"/>
        <v>8180.21</v>
      </c>
      <c r="AC390" s="8">
        <f t="shared" si="176"/>
        <v>818021</v>
      </c>
      <c r="AD390" s="8">
        <f t="shared" si="180"/>
        <v>4090.105</v>
      </c>
      <c r="AE390" s="8" t="str">
        <f t="shared" si="177"/>
        <v/>
      </c>
      <c r="AF390" s="22" t="str">
        <f t="shared" si="178"/>
        <v>CA_Orang_2020p</v>
      </c>
      <c r="AG390" s="89">
        <v>6</v>
      </c>
      <c r="AH390" s="274">
        <v>16261</v>
      </c>
      <c r="AI390" s="279">
        <v>8402</v>
      </c>
      <c r="AJ390" s="280">
        <v>6415</v>
      </c>
      <c r="AK390" s="92">
        <v>1987</v>
      </c>
      <c r="AL390" s="23" t="s">
        <v>4651</v>
      </c>
      <c r="AM390" s="353">
        <f t="shared" si="179"/>
        <v>2.4290329954854461E-3</v>
      </c>
      <c r="AN390" s="354"/>
      <c r="AP390" s="23">
        <f t="shared" si="158"/>
        <v>0</v>
      </c>
      <c r="AQ390" s="392">
        <f t="shared" si="159"/>
        <v>0</v>
      </c>
      <c r="AR390" s="392">
        <f t="shared" si="160"/>
        <v>0</v>
      </c>
      <c r="AS390" s="392">
        <f t="shared" si="160"/>
        <v>0</v>
      </c>
    </row>
    <row r="391" spans="1:45">
      <c r="A391" s="12" t="s">
        <v>1755</v>
      </c>
      <c r="B391" s="54" t="str">
        <f t="shared" si="163"/>
        <v>AZ_Maric_2020g</v>
      </c>
      <c r="C391" s="12"/>
      <c r="D391" s="54" t="str">
        <f t="shared" si="164"/>
        <v>Gen-proposition 207 (vote for1)</v>
      </c>
      <c r="E391" s="54" t="s">
        <v>1981</v>
      </c>
      <c r="F391" s="12" t="s">
        <v>1300</v>
      </c>
      <c r="G391" s="59">
        <v>1217089</v>
      </c>
      <c r="H391"/>
      <c r="K391" s="2"/>
      <c r="O391">
        <f t="shared" si="165"/>
        <v>1</v>
      </c>
      <c r="P391" s="57">
        <f t="shared" si="166"/>
        <v>1</v>
      </c>
      <c r="Q391" s="267">
        <f t="shared" si="167"/>
        <v>2004526</v>
      </c>
      <c r="R391" s="23">
        <f t="shared" si="168"/>
        <v>1217089</v>
      </c>
      <c r="S391" s="23">
        <f t="shared" si="169"/>
        <v>787437</v>
      </c>
      <c r="T391" s="23">
        <f t="shared" si="170"/>
        <v>429652</v>
      </c>
      <c r="U391" t="str">
        <f t="shared" si="171"/>
        <v>AZ_Maric_2020g~Gen-proposition 207 (vote for1)</v>
      </c>
      <c r="W391" s="1">
        <f t="shared" si="172"/>
        <v>23</v>
      </c>
      <c r="X391" s="73">
        <f t="shared" si="161"/>
        <v>142.71192399049883</v>
      </c>
      <c r="Y391" s="322">
        <f t="shared" si="173"/>
        <v>3343.2570000000001</v>
      </c>
      <c r="Z391" s="43">
        <f t="shared" si="162"/>
        <v>7.019700600439418E-8</v>
      </c>
      <c r="AA391" s="52">
        <f t="shared" si="174"/>
        <v>7.0197006004394187E-10</v>
      </c>
      <c r="AB391" s="8">
        <f t="shared" si="175"/>
        <v>8180.21</v>
      </c>
      <c r="AC391" s="8">
        <f t="shared" si="176"/>
        <v>818021</v>
      </c>
      <c r="AD391" s="8">
        <f t="shared" si="180"/>
        <v>4090.105</v>
      </c>
      <c r="AE391" s="8" t="str">
        <f t="shared" si="177"/>
        <v/>
      </c>
      <c r="AF391" s="22" t="str">
        <f t="shared" si="178"/>
        <v>CA_Orang_2020p</v>
      </c>
      <c r="AG391" s="89">
        <v>2</v>
      </c>
      <c r="AH391" s="274">
        <v>48453</v>
      </c>
      <c r="AI391" s="279">
        <v>21721</v>
      </c>
      <c r="AJ391" s="280">
        <v>19616</v>
      </c>
      <c r="AK391" s="92">
        <v>2105</v>
      </c>
      <c r="AL391" s="23" t="s">
        <v>4762</v>
      </c>
      <c r="AM391" s="353">
        <f t="shared" si="179"/>
        <v>2.5732835709596697E-3</v>
      </c>
      <c r="AN391" s="354"/>
      <c r="AP391" s="23">
        <f t="shared" si="158"/>
        <v>0</v>
      </c>
      <c r="AQ391" s="392">
        <f t="shared" si="159"/>
        <v>0</v>
      </c>
      <c r="AR391" s="392">
        <f t="shared" si="160"/>
        <v>0</v>
      </c>
      <c r="AS391" s="392">
        <f t="shared" si="160"/>
        <v>0</v>
      </c>
    </row>
    <row r="392" spans="1:45">
      <c r="A392" s="12" t="s">
        <v>1755</v>
      </c>
      <c r="B392" s="54" t="str">
        <f t="shared" si="163"/>
        <v>AZ_Maric_2020g</v>
      </c>
      <c r="C392" s="12"/>
      <c r="D392" s="54" t="str">
        <f t="shared" si="164"/>
        <v>Gen-proposition 207 (vote for1)</v>
      </c>
      <c r="E392" s="54" t="s">
        <v>1982</v>
      </c>
      <c r="F392" s="12" t="s">
        <v>1300</v>
      </c>
      <c r="G392" s="59">
        <v>787437</v>
      </c>
      <c r="H392"/>
      <c r="K392" s="2"/>
      <c r="O392">
        <f t="shared" si="165"/>
        <v>2</v>
      </c>
      <c r="P392" s="57">
        <f t="shared" si="166"/>
        <v>1</v>
      </c>
      <c r="Q392" s="267">
        <f t="shared" si="167"/>
        <v>787437</v>
      </c>
      <c r="R392" s="23" t="str">
        <f t="shared" si="168"/>
        <v/>
      </c>
      <c r="S392" s="23">
        <f t="shared" si="169"/>
        <v>787437</v>
      </c>
      <c r="T392" s="23" t="str">
        <f t="shared" si="170"/>
        <v/>
      </c>
      <c r="U392" t="str">
        <f t="shared" si="171"/>
        <v/>
      </c>
      <c r="W392" s="1">
        <f t="shared" si="172"/>
        <v>24</v>
      </c>
      <c r="X392" s="73">
        <f t="shared" si="161"/>
        <v>9.5132550335570478</v>
      </c>
      <c r="Y392" s="322">
        <f t="shared" si="173"/>
        <v>252.40200000000002</v>
      </c>
      <c r="Z392" s="43">
        <f t="shared" si="162"/>
        <v>4.2786148381428319E-9</v>
      </c>
      <c r="AA392" s="52">
        <f t="shared" si="174"/>
        <v>4.2786148381428317E-11</v>
      </c>
      <c r="AB392" s="8">
        <f t="shared" si="175"/>
        <v>8180.21</v>
      </c>
      <c r="AC392" s="8">
        <f t="shared" si="176"/>
        <v>818021</v>
      </c>
      <c r="AD392" s="8">
        <f t="shared" si="180"/>
        <v>4090.105</v>
      </c>
      <c r="AE392" s="8" t="str">
        <f t="shared" si="177"/>
        <v/>
      </c>
      <c r="AF392" s="22" t="str">
        <f t="shared" si="178"/>
        <v>CA_Orang_2020p</v>
      </c>
      <c r="AG392" s="89">
        <v>1</v>
      </c>
      <c r="AH392" s="274">
        <v>3658</v>
      </c>
      <c r="AI392" s="279">
        <v>3021</v>
      </c>
      <c r="AJ392" s="280">
        <v>637</v>
      </c>
      <c r="AK392" s="339">
        <v>2384</v>
      </c>
      <c r="AL392" s="23" t="s">
        <v>4666</v>
      </c>
      <c r="AM392" s="353">
        <f t="shared" si="179"/>
        <v>2.9143506095809274E-3</v>
      </c>
      <c r="AN392" s="354"/>
      <c r="AP392" s="23">
        <f t="shared" si="158"/>
        <v>0</v>
      </c>
      <c r="AQ392" s="392">
        <f t="shared" si="159"/>
        <v>0</v>
      </c>
      <c r="AR392" s="392">
        <f t="shared" si="160"/>
        <v>0</v>
      </c>
      <c r="AS392" s="392">
        <f t="shared" si="160"/>
        <v>0</v>
      </c>
    </row>
    <row r="393" spans="1:45">
      <c r="A393" s="12" t="s">
        <v>1756</v>
      </c>
      <c r="B393" s="54" t="str">
        <f t="shared" si="163"/>
        <v>AZ_Maric_2020g</v>
      </c>
      <c r="C393" s="12"/>
      <c r="D393" s="54" t="str">
        <f t="shared" si="164"/>
        <v>Gen-proposition 208 (vote for1)</v>
      </c>
      <c r="E393" s="54" t="s">
        <v>1981</v>
      </c>
      <c r="F393" s="12" t="s">
        <v>1300</v>
      </c>
      <c r="G393" s="59">
        <v>1031783</v>
      </c>
      <c r="H393"/>
      <c r="K393" s="2"/>
      <c r="O393">
        <f t="shared" si="165"/>
        <v>1</v>
      </c>
      <c r="P393" s="57">
        <f t="shared" si="166"/>
        <v>1</v>
      </c>
      <c r="Q393" s="267">
        <f t="shared" si="167"/>
        <v>1990157</v>
      </c>
      <c r="R393" s="23">
        <f t="shared" si="168"/>
        <v>1031783</v>
      </c>
      <c r="S393" s="23">
        <f t="shared" si="169"/>
        <v>958374</v>
      </c>
      <c r="T393" s="23">
        <f t="shared" si="170"/>
        <v>73409</v>
      </c>
      <c r="U393" t="str">
        <f t="shared" si="171"/>
        <v>AZ_Maric_2020g~Gen-proposition 208 (vote for1)</v>
      </c>
      <c r="W393" s="1">
        <f t="shared" si="172"/>
        <v>25</v>
      </c>
      <c r="X393" s="73">
        <f t="shared" si="161"/>
        <v>53.071711292200234</v>
      </c>
      <c r="Y393" s="322">
        <f t="shared" si="173"/>
        <v>1522.0710000000001</v>
      </c>
      <c r="Z393" s="43">
        <f t="shared" si="162"/>
        <v>6.1739833592434475E-10</v>
      </c>
      <c r="AA393" s="52">
        <f t="shared" si="174"/>
        <v>6.1739833592434479E-12</v>
      </c>
      <c r="AB393" s="8">
        <f t="shared" si="175"/>
        <v>8180.21</v>
      </c>
      <c r="AC393" s="8">
        <f t="shared" si="176"/>
        <v>818021</v>
      </c>
      <c r="AD393" s="8">
        <f t="shared" si="180"/>
        <v>4090.105</v>
      </c>
      <c r="AE393" s="8" t="str">
        <f t="shared" si="177"/>
        <v/>
      </c>
      <c r="AF393" s="22" t="str">
        <f t="shared" si="178"/>
        <v>CA_Orang_2020p</v>
      </c>
      <c r="AG393" s="89">
        <v>1</v>
      </c>
      <c r="AH393" s="274">
        <v>22059</v>
      </c>
      <c r="AI393" s="279">
        <v>12318</v>
      </c>
      <c r="AJ393" s="280">
        <v>9741</v>
      </c>
      <c r="AK393" s="92">
        <v>2577</v>
      </c>
      <c r="AL393" s="23" t="s">
        <v>4642</v>
      </c>
      <c r="AM393" s="353">
        <f t="shared" si="179"/>
        <v>3.1502858728565649E-3</v>
      </c>
      <c r="AN393" s="354"/>
      <c r="AP393" s="23">
        <f t="shared" si="158"/>
        <v>0</v>
      </c>
      <c r="AQ393" s="392">
        <f t="shared" si="159"/>
        <v>0</v>
      </c>
      <c r="AR393" s="392">
        <f t="shared" si="160"/>
        <v>0</v>
      </c>
      <c r="AS393" s="392">
        <f t="shared" si="160"/>
        <v>0</v>
      </c>
    </row>
    <row r="394" spans="1:45">
      <c r="A394" s="12" t="s">
        <v>1756</v>
      </c>
      <c r="B394" s="54" t="str">
        <f t="shared" si="163"/>
        <v>AZ_Maric_2020g</v>
      </c>
      <c r="C394" s="12"/>
      <c r="D394" s="54" t="str">
        <f t="shared" si="164"/>
        <v>Gen-proposition 208 (vote for1)</v>
      </c>
      <c r="E394" s="54" t="s">
        <v>1982</v>
      </c>
      <c r="F394" s="12" t="s">
        <v>1300</v>
      </c>
      <c r="G394" s="59">
        <v>958374</v>
      </c>
      <c r="H394"/>
      <c r="K394" s="2"/>
      <c r="O394">
        <f t="shared" si="165"/>
        <v>2</v>
      </c>
      <c r="P394" s="57">
        <f t="shared" si="166"/>
        <v>1</v>
      </c>
      <c r="Q394" s="267">
        <f t="shared" si="167"/>
        <v>958374</v>
      </c>
      <c r="R394" s="23" t="str">
        <f t="shared" si="168"/>
        <v/>
      </c>
      <c r="S394" s="23">
        <f t="shared" si="169"/>
        <v>958374</v>
      </c>
      <c r="T394" s="23" t="str">
        <f t="shared" si="170"/>
        <v/>
      </c>
      <c r="U394" t="str">
        <f t="shared" si="171"/>
        <v/>
      </c>
      <c r="W394" s="1">
        <f t="shared" si="172"/>
        <v>26</v>
      </c>
      <c r="X394" s="73">
        <f t="shared" si="161"/>
        <v>48.13759626857577</v>
      </c>
      <c r="Y394" s="322">
        <f t="shared" si="173"/>
        <v>1646.2825000000003</v>
      </c>
      <c r="Z394" s="43">
        <f t="shared" si="162"/>
        <v>4.2559830050698436E-12</v>
      </c>
      <c r="AA394" s="52">
        <f t="shared" si="174"/>
        <v>4.255983005069844E-14</v>
      </c>
      <c r="AB394" s="8">
        <f t="shared" si="175"/>
        <v>8180.21</v>
      </c>
      <c r="AC394" s="8">
        <f t="shared" si="176"/>
        <v>818021</v>
      </c>
      <c r="AD394" s="8">
        <f t="shared" si="180"/>
        <v>4090.105</v>
      </c>
      <c r="AE394" s="8" t="str">
        <f t="shared" si="177"/>
        <v/>
      </c>
      <c r="AF394" s="22" t="str">
        <f t="shared" si="178"/>
        <v>CA_Orang_2020p</v>
      </c>
      <c r="AG394" s="89">
        <v>6</v>
      </c>
      <c r="AH394" s="274">
        <v>23859.166666666668</v>
      </c>
      <c r="AI394" s="279">
        <v>12252</v>
      </c>
      <c r="AJ394" s="280">
        <v>9179</v>
      </c>
      <c r="AK394" s="92">
        <v>3073</v>
      </c>
      <c r="AL394" s="23" t="s">
        <v>4652</v>
      </c>
      <c r="AM394" s="353">
        <f t="shared" si="179"/>
        <v>3.7566272748499122E-3</v>
      </c>
      <c r="AN394" s="354"/>
      <c r="AP394" s="23">
        <f t="shared" si="158"/>
        <v>0</v>
      </c>
      <c r="AQ394" s="392">
        <f t="shared" si="159"/>
        <v>0</v>
      </c>
      <c r="AR394" s="392">
        <f t="shared" si="160"/>
        <v>0</v>
      </c>
      <c r="AS394" s="392">
        <f t="shared" si="160"/>
        <v>0</v>
      </c>
    </row>
    <row r="395" spans="1:45">
      <c r="A395" s="12" t="s">
        <v>1672</v>
      </c>
      <c r="B395" s="54" t="str">
        <f t="shared" si="163"/>
        <v>AZ_Maric_2020g</v>
      </c>
      <c r="C395" s="12"/>
      <c r="D395" s="54" t="str">
        <f t="shared" si="164"/>
        <v>Gen-queen creek esd #95-gbm-4yr (vote for3)</v>
      </c>
      <c r="E395" s="54" t="s">
        <v>2144</v>
      </c>
      <c r="F395" s="12" t="s">
        <v>1300</v>
      </c>
      <c r="G395" s="59">
        <v>16612</v>
      </c>
      <c r="H395"/>
      <c r="K395" s="2"/>
      <c r="O395">
        <f t="shared" si="165"/>
        <v>1</v>
      </c>
      <c r="P395" s="57">
        <f t="shared" si="166"/>
        <v>3</v>
      </c>
      <c r="Q395" s="267">
        <f t="shared" si="167"/>
        <v>20933.666666666668</v>
      </c>
      <c r="R395" s="23">
        <f t="shared" si="168"/>
        <v>13884</v>
      </c>
      <c r="S395" s="23">
        <f t="shared" si="169"/>
        <v>11655</v>
      </c>
      <c r="T395" s="23">
        <f t="shared" si="170"/>
        <v>2229</v>
      </c>
      <c r="U395" t="str">
        <f t="shared" si="171"/>
        <v>AZ_Maric_2020g~Gen-queen creek esd #95-gbm-4yr (vote for3)</v>
      </c>
      <c r="W395" s="1">
        <f t="shared" si="172"/>
        <v>27</v>
      </c>
      <c r="X395" s="73">
        <f t="shared" si="161"/>
        <v>134.07024232633279</v>
      </c>
      <c r="Y395" s="322">
        <f t="shared" si="173"/>
        <v>4617.9630000000006</v>
      </c>
      <c r="Z395" s="43">
        <f t="shared" si="162"/>
        <v>3.4126639512998117E-12</v>
      </c>
      <c r="AA395" s="52">
        <f t="shared" si="174"/>
        <v>3.4126639512998116E-14</v>
      </c>
      <c r="AB395" s="8">
        <f t="shared" si="175"/>
        <v>8180.21</v>
      </c>
      <c r="AC395" s="8">
        <f t="shared" si="176"/>
        <v>818021</v>
      </c>
      <c r="AD395" s="8">
        <f t="shared" si="180"/>
        <v>4090.105</v>
      </c>
      <c r="AE395" s="8" t="str">
        <f t="shared" si="177"/>
        <v/>
      </c>
      <c r="AF395" s="22" t="str">
        <f t="shared" si="178"/>
        <v>CA_Orang_2020p</v>
      </c>
      <c r="AG395" s="89">
        <v>1</v>
      </c>
      <c r="AH395" s="274">
        <v>66927</v>
      </c>
      <c r="AI395" s="279">
        <v>35011</v>
      </c>
      <c r="AJ395" s="280">
        <v>31916</v>
      </c>
      <c r="AK395" s="92">
        <v>3095</v>
      </c>
      <c r="AL395" s="23" t="s">
        <v>4639</v>
      </c>
      <c r="AM395" s="353">
        <f t="shared" si="179"/>
        <v>3.7835214499383268E-3</v>
      </c>
      <c r="AN395" s="354"/>
      <c r="AP395" s="23">
        <f t="shared" si="158"/>
        <v>0</v>
      </c>
      <c r="AQ395" s="392">
        <f t="shared" si="159"/>
        <v>0</v>
      </c>
      <c r="AR395" s="392">
        <f t="shared" si="160"/>
        <v>0</v>
      </c>
      <c r="AS395" s="392">
        <f t="shared" si="160"/>
        <v>0</v>
      </c>
    </row>
    <row r="396" spans="1:45">
      <c r="A396" s="12" t="s">
        <v>1672</v>
      </c>
      <c r="B396" s="54" t="str">
        <f t="shared" si="163"/>
        <v>AZ_Maric_2020g</v>
      </c>
      <c r="C396" s="12"/>
      <c r="D396" s="54" t="str">
        <f t="shared" si="164"/>
        <v>Gen-queen creek esd #95-gbm-4yr (vote for3)</v>
      </c>
      <c r="E396" s="54" t="s">
        <v>2143</v>
      </c>
      <c r="F396" s="12" t="s">
        <v>1300</v>
      </c>
      <c r="G396" s="59">
        <v>15882</v>
      </c>
      <c r="H396"/>
      <c r="K396" s="2"/>
      <c r="O396">
        <f t="shared" si="165"/>
        <v>2</v>
      </c>
      <c r="P396" s="57">
        <f t="shared" si="166"/>
        <v>3</v>
      </c>
      <c r="Q396" s="267">
        <f t="shared" si="167"/>
        <v>46189</v>
      </c>
      <c r="R396" s="23">
        <f t="shared" si="168"/>
        <v>13884</v>
      </c>
      <c r="S396" s="23">
        <f t="shared" si="169"/>
        <v>11655</v>
      </c>
      <c r="T396" s="23" t="str">
        <f t="shared" si="170"/>
        <v/>
      </c>
      <c r="U396" t="str">
        <f t="shared" si="171"/>
        <v/>
      </c>
      <c r="W396" s="1">
        <f t="shared" si="172"/>
        <v>28</v>
      </c>
      <c r="X396" s="73">
        <f t="shared" si="161"/>
        <v>169.08041939711663</v>
      </c>
      <c r="Y396" s="322">
        <f t="shared" si="173"/>
        <v>7178.6910000000007</v>
      </c>
      <c r="Z396" s="43">
        <f t="shared" si="162"/>
        <v>2.4712128192332075E-15</v>
      </c>
      <c r="AA396" s="52">
        <f t="shared" si="174"/>
        <v>2.4712128192332077E-17</v>
      </c>
      <c r="AB396" s="8">
        <f t="shared" si="175"/>
        <v>8180.21</v>
      </c>
      <c r="AC396" s="8">
        <f t="shared" si="176"/>
        <v>818021</v>
      </c>
      <c r="AD396" s="8">
        <f t="shared" si="180"/>
        <v>4090.105</v>
      </c>
      <c r="AE396" s="8" t="str">
        <f t="shared" si="177"/>
        <v/>
      </c>
      <c r="AF396" s="22" t="str">
        <f t="shared" si="178"/>
        <v>CA_Orang_2020p</v>
      </c>
      <c r="AG396" s="89">
        <v>1</v>
      </c>
      <c r="AH396" s="274">
        <v>104039</v>
      </c>
      <c r="AI396" s="279">
        <v>53927</v>
      </c>
      <c r="AJ396" s="280">
        <v>50112</v>
      </c>
      <c r="AK396" s="92">
        <v>3815</v>
      </c>
      <c r="AL396" s="23" t="s">
        <v>4646</v>
      </c>
      <c r="AM396" s="353">
        <f t="shared" si="179"/>
        <v>4.6636944528318956E-3</v>
      </c>
      <c r="AN396" s="354"/>
      <c r="AP396" s="23">
        <f t="shared" si="158"/>
        <v>0</v>
      </c>
      <c r="AQ396" s="392">
        <f t="shared" si="159"/>
        <v>0</v>
      </c>
      <c r="AR396" s="392">
        <f t="shared" si="160"/>
        <v>0</v>
      </c>
      <c r="AS396" s="392">
        <f t="shared" si="160"/>
        <v>0</v>
      </c>
    </row>
    <row r="397" spans="1:45">
      <c r="A397" s="12" t="s">
        <v>1672</v>
      </c>
      <c r="B397" s="54" t="str">
        <f t="shared" si="163"/>
        <v>AZ_Maric_2020g</v>
      </c>
      <c r="C397" s="12"/>
      <c r="D397" s="54" t="str">
        <f t="shared" si="164"/>
        <v>Gen-queen creek esd #95-gbm-4yr (vote for3)</v>
      </c>
      <c r="E397" s="54" t="s">
        <v>2145</v>
      </c>
      <c r="F397" s="12" t="s">
        <v>1300</v>
      </c>
      <c r="G397" s="59">
        <v>13884</v>
      </c>
      <c r="H397"/>
      <c r="K397" s="2"/>
      <c r="O397">
        <f t="shared" si="165"/>
        <v>3</v>
      </c>
      <c r="P397" s="57">
        <f t="shared" si="166"/>
        <v>3</v>
      </c>
      <c r="Q397" s="267">
        <f t="shared" si="167"/>
        <v>30307</v>
      </c>
      <c r="R397" s="23">
        <f t="shared" si="168"/>
        <v>13884</v>
      </c>
      <c r="S397" s="23">
        <f t="shared" si="169"/>
        <v>11655</v>
      </c>
      <c r="T397" s="23" t="str">
        <f t="shared" si="170"/>
        <v/>
      </c>
      <c r="U397" t="str">
        <f t="shared" si="171"/>
        <v/>
      </c>
      <c r="W397" s="1">
        <f t="shared" si="172"/>
        <v>29</v>
      </c>
      <c r="X397" s="73">
        <f t="shared" si="161"/>
        <v>73.236602316602315</v>
      </c>
      <c r="Y397" s="322">
        <f t="shared" si="173"/>
        <v>3166.4790000000003</v>
      </c>
      <c r="Z397" s="43">
        <f t="shared" si="162"/>
        <v>1.223112615943821E-15</v>
      </c>
      <c r="AA397" s="52">
        <f t="shared" si="174"/>
        <v>1.223112615943821E-17</v>
      </c>
      <c r="AB397" s="8">
        <f t="shared" si="175"/>
        <v>8180.21</v>
      </c>
      <c r="AC397" s="8">
        <f t="shared" si="176"/>
        <v>818021</v>
      </c>
      <c r="AD397" s="8">
        <f t="shared" si="180"/>
        <v>4090.105</v>
      </c>
      <c r="AE397" s="8" t="str">
        <f t="shared" si="177"/>
        <v/>
      </c>
      <c r="AF397" s="22" t="str">
        <f t="shared" si="178"/>
        <v>CA_Orang_2020p</v>
      </c>
      <c r="AG397" s="89">
        <v>1</v>
      </c>
      <c r="AH397" s="274">
        <v>45891</v>
      </c>
      <c r="AI397" s="279">
        <v>24888</v>
      </c>
      <c r="AJ397" s="280">
        <v>21003</v>
      </c>
      <c r="AK397" s="92">
        <v>3885</v>
      </c>
      <c r="AL397" s="23" t="s">
        <v>4643</v>
      </c>
      <c r="AM397" s="353">
        <f t="shared" si="179"/>
        <v>4.7492668281132145E-3</v>
      </c>
      <c r="AN397" s="354"/>
      <c r="AP397" s="23">
        <f t="shared" ref="AP397:AP460" si="181">MIN(AD397, MAX(0,ROUNDUP(AD397*(0.5*AK397/AC397-0.005)/(RIGHT(AP$1,3)-0.005),0)))</f>
        <v>0</v>
      </c>
      <c r="AQ397" s="392">
        <f t="shared" si="159"/>
        <v>0</v>
      </c>
      <c r="AR397" s="392">
        <f t="shared" si="160"/>
        <v>0</v>
      </c>
      <c r="AS397" s="392">
        <f t="shared" si="160"/>
        <v>0</v>
      </c>
    </row>
    <row r="398" spans="1:45">
      <c r="A398" s="12" t="s">
        <v>1672</v>
      </c>
      <c r="B398" s="54" t="str">
        <f t="shared" si="163"/>
        <v>AZ_Maric_2020g</v>
      </c>
      <c r="C398" s="12"/>
      <c r="D398" s="54" t="str">
        <f t="shared" si="164"/>
        <v>Gen-queen creek esd #95-gbm-4yr (vote for3)</v>
      </c>
      <c r="E398" s="54" t="s">
        <v>2142</v>
      </c>
      <c r="F398" s="12" t="s">
        <v>1300</v>
      </c>
      <c r="G398" s="59">
        <v>11655</v>
      </c>
      <c r="H398"/>
      <c r="K398" s="2"/>
      <c r="O398">
        <f t="shared" si="165"/>
        <v>4</v>
      </c>
      <c r="P398" s="57">
        <f t="shared" si="166"/>
        <v>3</v>
      </c>
      <c r="Q398" s="267">
        <f t="shared" si="167"/>
        <v>16423</v>
      </c>
      <c r="R398" s="23" t="str">
        <f t="shared" si="168"/>
        <v/>
      </c>
      <c r="S398" s="23">
        <f t="shared" si="169"/>
        <v>11655</v>
      </c>
      <c r="T398" s="23" t="str">
        <f t="shared" si="170"/>
        <v/>
      </c>
      <c r="U398" t="str">
        <f t="shared" si="171"/>
        <v/>
      </c>
      <c r="W398" s="1">
        <f t="shared" si="172"/>
        <v>30</v>
      </c>
      <c r="X398" s="73">
        <f t="shared" si="161"/>
        <v>115.58495466797353</v>
      </c>
      <c r="Y398" s="322">
        <f t="shared" si="173"/>
        <v>5249.5890000000009</v>
      </c>
      <c r="Z398" s="43">
        <f t="shared" si="162"/>
        <v>1.7064137557090073E-16</v>
      </c>
      <c r="AA398" s="52">
        <f t="shared" si="174"/>
        <v>1.7064137557090072E-18</v>
      </c>
      <c r="AB398" s="8">
        <f t="shared" si="175"/>
        <v>8180.21</v>
      </c>
      <c r="AC398" s="8">
        <f t="shared" si="176"/>
        <v>818021</v>
      </c>
      <c r="AD398" s="8">
        <f t="shared" si="180"/>
        <v>4090.105</v>
      </c>
      <c r="AE398" s="8" t="str">
        <f t="shared" si="177"/>
        <v/>
      </c>
      <c r="AF398" s="22" t="str">
        <f t="shared" si="178"/>
        <v>CA_Orang_2020p</v>
      </c>
      <c r="AG398" s="89">
        <v>2</v>
      </c>
      <c r="AH398" s="274">
        <v>76081</v>
      </c>
      <c r="AI398" s="279">
        <v>36683</v>
      </c>
      <c r="AJ398" s="280">
        <v>32602</v>
      </c>
      <c r="AK398" s="92">
        <v>4081</v>
      </c>
      <c r="AL398" s="23" t="s">
        <v>4766</v>
      </c>
      <c r="AM398" s="353">
        <f t="shared" si="179"/>
        <v>4.9888694789009085E-3</v>
      </c>
      <c r="AN398" s="354"/>
      <c r="AP398" s="23">
        <f t="shared" si="181"/>
        <v>0</v>
      </c>
      <c r="AQ398" s="392">
        <f t="shared" si="159"/>
        <v>0</v>
      </c>
      <c r="AR398" s="392">
        <f t="shared" si="160"/>
        <v>0</v>
      </c>
      <c r="AS398" s="392">
        <f t="shared" si="160"/>
        <v>0</v>
      </c>
    </row>
    <row r="399" spans="1:45">
      <c r="A399" s="12" t="s">
        <v>1672</v>
      </c>
      <c r="B399" s="54" t="str">
        <f t="shared" si="163"/>
        <v>AZ_Maric_2020g</v>
      </c>
      <c r="C399" s="12"/>
      <c r="D399" s="54" t="str">
        <f t="shared" si="164"/>
        <v>Gen-queen creek esd #95-gbm-4yr (vote for3)</v>
      </c>
      <c r="E399" s="54" t="s">
        <v>1299</v>
      </c>
      <c r="G399" s="59">
        <v>2384</v>
      </c>
      <c r="H399"/>
      <c r="K399" s="2"/>
      <c r="O399">
        <f t="shared" si="165"/>
        <v>-4</v>
      </c>
      <c r="P399" s="57">
        <f t="shared" si="166"/>
        <v>3</v>
      </c>
      <c r="Q399" s="267">
        <f t="shared" si="167"/>
        <v>4768</v>
      </c>
      <c r="R399" s="23" t="str">
        <f t="shared" si="168"/>
        <v/>
      </c>
      <c r="S399" s="23">
        <f t="shared" si="169"/>
        <v>2080</v>
      </c>
      <c r="T399" s="23" t="str">
        <f t="shared" si="170"/>
        <v/>
      </c>
      <c r="U399" t="str">
        <f t="shared" si="171"/>
        <v/>
      </c>
      <c r="W399" s="1">
        <f t="shared" si="172"/>
        <v>31</v>
      </c>
      <c r="X399" s="73">
        <f t="shared" si="161"/>
        <v>105.46081363563273</v>
      </c>
      <c r="Y399" s="322">
        <f t="shared" si="173"/>
        <v>7299.0960000000005</v>
      </c>
      <c r="Z399" s="43">
        <f t="shared" si="162"/>
        <v>7.7274430003843592E-26</v>
      </c>
      <c r="AA399" s="52">
        <f t="shared" si="174"/>
        <v>7.7274430003843587E-28</v>
      </c>
      <c r="AB399" s="8">
        <f t="shared" si="175"/>
        <v>8180.21</v>
      </c>
      <c r="AC399" s="8">
        <f t="shared" si="176"/>
        <v>818021</v>
      </c>
      <c r="AD399" s="8">
        <f t="shared" si="180"/>
        <v>4090.105</v>
      </c>
      <c r="AE399" s="8" t="str">
        <f t="shared" si="177"/>
        <v/>
      </c>
      <c r="AF399" s="22" t="str">
        <f t="shared" si="178"/>
        <v>CA_Orang_2020p</v>
      </c>
      <c r="AG399" s="89">
        <v>1</v>
      </c>
      <c r="AH399" s="274">
        <v>105784</v>
      </c>
      <c r="AI399" s="279">
        <v>34998</v>
      </c>
      <c r="AJ399" s="280">
        <v>28779</v>
      </c>
      <c r="AK399" s="92">
        <v>6219</v>
      </c>
      <c r="AL399" s="23" t="s">
        <v>4649</v>
      </c>
      <c r="AM399" s="353">
        <f t="shared" si="179"/>
        <v>7.6024943124932002E-3</v>
      </c>
      <c r="AN399" s="354"/>
      <c r="AP399" s="23">
        <f t="shared" si="181"/>
        <v>0</v>
      </c>
      <c r="AQ399" s="392">
        <f t="shared" si="159"/>
        <v>0</v>
      </c>
      <c r="AR399" s="392">
        <f t="shared" si="160"/>
        <v>0</v>
      </c>
      <c r="AS399" s="392">
        <f t="shared" si="160"/>
        <v>0</v>
      </c>
    </row>
    <row r="400" spans="1:45">
      <c r="A400" s="12" t="s">
        <v>1672</v>
      </c>
      <c r="B400" s="54" t="str">
        <f t="shared" si="163"/>
        <v>AZ_Maric_2020g</v>
      </c>
      <c r="C400" s="12"/>
      <c r="D400" s="54" t="str">
        <f t="shared" si="164"/>
        <v>Gen-queen creek esd #95-gbm-4yr (vote for3)</v>
      </c>
      <c r="E400" s="54" t="s">
        <v>2146</v>
      </c>
      <c r="F400" s="12" t="s">
        <v>1300</v>
      </c>
      <c r="G400" s="59">
        <v>2080</v>
      </c>
      <c r="H400"/>
      <c r="K400" s="2"/>
      <c r="O400">
        <f t="shared" si="165"/>
        <v>5</v>
      </c>
      <c r="P400" s="57">
        <f t="shared" si="166"/>
        <v>3</v>
      </c>
      <c r="Q400" s="267">
        <f t="shared" si="167"/>
        <v>2384</v>
      </c>
      <c r="R400" s="23" t="str">
        <f t="shared" si="168"/>
        <v/>
      </c>
      <c r="S400" s="23">
        <f t="shared" si="169"/>
        <v>2080</v>
      </c>
      <c r="T400" s="23" t="str">
        <f t="shared" si="170"/>
        <v/>
      </c>
      <c r="U400" t="str">
        <f t="shared" si="171"/>
        <v/>
      </c>
      <c r="W400" s="1">
        <f t="shared" si="172"/>
        <v>32</v>
      </c>
      <c r="X400" s="73">
        <f t="shared" si="161"/>
        <v>44.851540880503144</v>
      </c>
      <c r="Y400" s="322">
        <f t="shared" si="173"/>
        <v>3174.6210000000001</v>
      </c>
      <c r="Z400" s="43">
        <f t="shared" si="162"/>
        <v>1.8661042709890855E-26</v>
      </c>
      <c r="AA400" s="52">
        <f t="shared" si="174"/>
        <v>1.8661042709890854E-28</v>
      </c>
      <c r="AB400" s="8">
        <f t="shared" si="175"/>
        <v>8180.21</v>
      </c>
      <c r="AC400" s="8">
        <f t="shared" si="176"/>
        <v>818021</v>
      </c>
      <c r="AD400" s="8">
        <f t="shared" si="180"/>
        <v>4090.105</v>
      </c>
      <c r="AE400" s="8" t="str">
        <f t="shared" si="177"/>
        <v/>
      </c>
      <c r="AF400" s="22" t="str">
        <f t="shared" si="178"/>
        <v>CA_Orang_2020p</v>
      </c>
      <c r="AG400" s="89">
        <v>6</v>
      </c>
      <c r="AH400" s="274">
        <v>46009</v>
      </c>
      <c r="AI400" s="279">
        <v>26485</v>
      </c>
      <c r="AJ400" s="280">
        <v>20125</v>
      </c>
      <c r="AK400" s="92">
        <v>6360</v>
      </c>
      <c r="AL400" s="23" t="s">
        <v>4661</v>
      </c>
      <c r="AM400" s="353">
        <f t="shared" si="179"/>
        <v>7.774861525559857E-3</v>
      </c>
      <c r="AN400" s="354"/>
      <c r="AP400" s="23">
        <f t="shared" si="181"/>
        <v>0</v>
      </c>
      <c r="AQ400" s="392">
        <f t="shared" si="159"/>
        <v>0</v>
      </c>
      <c r="AR400" s="392">
        <f t="shared" si="160"/>
        <v>0</v>
      </c>
      <c r="AS400" s="392">
        <f t="shared" si="160"/>
        <v>0</v>
      </c>
    </row>
    <row r="401" spans="1:45">
      <c r="A401" s="12" t="s">
        <v>1672</v>
      </c>
      <c r="B401" s="54" t="str">
        <f t="shared" si="163"/>
        <v>AZ_Maric_2020g</v>
      </c>
      <c r="C401" s="12"/>
      <c r="D401" s="54" t="str">
        <f t="shared" si="164"/>
        <v>Gen-queen creek esd #95-gbm-4yr (vote for3)</v>
      </c>
      <c r="E401" s="54" t="s">
        <v>1825</v>
      </c>
      <c r="F401" s="12" t="s">
        <v>1300</v>
      </c>
      <c r="G401" s="59">
        <v>191</v>
      </c>
      <c r="H401"/>
      <c r="K401" s="2"/>
      <c r="O401">
        <f t="shared" si="165"/>
        <v>-5</v>
      </c>
      <c r="P401" s="57">
        <f t="shared" si="166"/>
        <v>3</v>
      </c>
      <c r="Q401" s="267">
        <f t="shared" si="167"/>
        <v>304</v>
      </c>
      <c r="R401" s="23">
        <f t="shared" si="168"/>
        <v>1</v>
      </c>
      <c r="S401" s="23">
        <f t="shared" si="169"/>
        <v>0</v>
      </c>
      <c r="T401" s="23" t="str">
        <f t="shared" si="170"/>
        <v/>
      </c>
      <c r="U401" t="str">
        <f t="shared" si="171"/>
        <v/>
      </c>
      <c r="W401" s="1">
        <f t="shared" si="172"/>
        <v>33</v>
      </c>
      <c r="X401" s="73">
        <f t="shared" si="161"/>
        <v>132.32227461858531</v>
      </c>
      <c r="Y401" s="322">
        <f t="shared" si="173"/>
        <v>10617.582</v>
      </c>
      <c r="Z401" s="43">
        <f t="shared" si="162"/>
        <v>3.5363687794087107E-30</v>
      </c>
      <c r="AA401" s="52">
        <f t="shared" si="174"/>
        <v>3.5363687794087109E-32</v>
      </c>
      <c r="AB401" s="8">
        <f t="shared" si="175"/>
        <v>8180.21</v>
      </c>
      <c r="AC401" s="8">
        <f t="shared" si="176"/>
        <v>818021</v>
      </c>
      <c r="AD401" s="8">
        <f t="shared" si="180"/>
        <v>4090.105</v>
      </c>
      <c r="AE401" s="8" t="str">
        <f t="shared" si="177"/>
        <v/>
      </c>
      <c r="AF401" s="22" t="str">
        <f t="shared" si="178"/>
        <v>CA_Orang_2020p</v>
      </c>
      <c r="AG401" s="89">
        <v>1</v>
      </c>
      <c r="AH401" s="274">
        <v>153878</v>
      </c>
      <c r="AI401" s="279">
        <v>80544</v>
      </c>
      <c r="AJ401" s="280">
        <v>73334</v>
      </c>
      <c r="AK401" s="92">
        <v>7210</v>
      </c>
      <c r="AL401" s="23" t="s">
        <v>4640</v>
      </c>
      <c r="AM401" s="353">
        <f t="shared" si="179"/>
        <v>8.8139546539758758E-3</v>
      </c>
      <c r="AN401" s="354"/>
      <c r="AP401" s="23">
        <f t="shared" si="181"/>
        <v>0</v>
      </c>
      <c r="AQ401" s="392">
        <f t="shared" si="159"/>
        <v>0</v>
      </c>
      <c r="AR401" s="392">
        <f t="shared" si="160"/>
        <v>0</v>
      </c>
      <c r="AS401" s="392">
        <f t="shared" si="160"/>
        <v>0</v>
      </c>
    </row>
    <row r="402" spans="1:45">
      <c r="A402" s="12" t="s">
        <v>1672</v>
      </c>
      <c r="B402" s="54" t="str">
        <f t="shared" si="163"/>
        <v>AZ_Maric_2020g</v>
      </c>
      <c r="C402" s="12"/>
      <c r="D402" s="54" t="str">
        <f t="shared" si="164"/>
        <v>Gen-queen creek esd #95-gbm-4yr (vote for3)</v>
      </c>
      <c r="E402" s="54" t="s">
        <v>1826</v>
      </c>
      <c r="F402" s="12" t="s">
        <v>1300</v>
      </c>
      <c r="G402" s="59">
        <v>68</v>
      </c>
      <c r="H402"/>
      <c r="K402" s="2"/>
      <c r="O402">
        <f t="shared" si="165"/>
        <v>-5</v>
      </c>
      <c r="P402" s="57">
        <f t="shared" si="166"/>
        <v>3</v>
      </c>
      <c r="Q402" s="267">
        <f t="shared" si="167"/>
        <v>113</v>
      </c>
      <c r="R402" s="23">
        <f t="shared" si="168"/>
        <v>1</v>
      </c>
      <c r="S402" s="23">
        <f t="shared" si="169"/>
        <v>0</v>
      </c>
      <c r="T402" s="23" t="str">
        <f t="shared" si="170"/>
        <v/>
      </c>
      <c r="U402" t="str">
        <f t="shared" si="171"/>
        <v/>
      </c>
      <c r="W402" s="1">
        <f t="shared" si="172"/>
        <v>34</v>
      </c>
      <c r="X402" s="73">
        <f t="shared" si="161"/>
        <v>57.637177448942161</v>
      </c>
      <c r="Y402" s="322">
        <f t="shared" si="173"/>
        <v>5245.1040000000003</v>
      </c>
      <c r="Z402" s="43">
        <f t="shared" si="162"/>
        <v>2.0373087033082587E-34</v>
      </c>
      <c r="AA402" s="52">
        <f t="shared" si="174"/>
        <v>2.0373087033082589E-36</v>
      </c>
      <c r="AB402" s="8">
        <f t="shared" si="175"/>
        <v>8180.21</v>
      </c>
      <c r="AC402" s="8">
        <f t="shared" si="176"/>
        <v>818021</v>
      </c>
      <c r="AD402" s="8">
        <f t="shared" si="180"/>
        <v>4090.105</v>
      </c>
      <c r="AE402" s="8" t="str">
        <f t="shared" si="177"/>
        <v/>
      </c>
      <c r="AF402" s="22" t="str">
        <f t="shared" si="178"/>
        <v>CA_Orang_2020p</v>
      </c>
      <c r="AG402" s="89">
        <v>2</v>
      </c>
      <c r="AH402" s="274">
        <v>76016</v>
      </c>
      <c r="AI402" s="279">
        <v>36170</v>
      </c>
      <c r="AJ402" s="280">
        <v>27993</v>
      </c>
      <c r="AK402" s="92">
        <v>8177</v>
      </c>
      <c r="AL402" s="23" t="s">
        <v>4765</v>
      </c>
      <c r="AM402" s="353">
        <f t="shared" si="179"/>
        <v>9.9960758953620988E-3</v>
      </c>
      <c r="AN402" s="354"/>
      <c r="AP402" s="23">
        <f t="shared" si="181"/>
        <v>0</v>
      </c>
      <c r="AQ402" s="392">
        <f t="shared" si="159"/>
        <v>0</v>
      </c>
      <c r="AR402" s="392">
        <f t="shared" si="160"/>
        <v>0</v>
      </c>
      <c r="AS402" s="392">
        <f t="shared" si="160"/>
        <v>0</v>
      </c>
    </row>
    <row r="403" spans="1:45">
      <c r="A403" s="12" t="s">
        <v>1672</v>
      </c>
      <c r="B403" s="54" t="str">
        <f t="shared" si="163"/>
        <v>AZ_Maric_2020g</v>
      </c>
      <c r="C403" s="12"/>
      <c r="D403" s="54" t="str">
        <f t="shared" si="164"/>
        <v>Gen-queen creek esd #95-gbm-4yr (vote for3)</v>
      </c>
      <c r="E403" s="54" t="s">
        <v>1928</v>
      </c>
      <c r="F403" s="12" t="s">
        <v>1300</v>
      </c>
      <c r="G403" s="59">
        <v>45</v>
      </c>
      <c r="H403"/>
      <c r="K403" s="2"/>
      <c r="O403">
        <f t="shared" si="165"/>
        <v>-5</v>
      </c>
      <c r="P403" s="57">
        <f t="shared" si="166"/>
        <v>3</v>
      </c>
      <c r="Q403" s="267">
        <f t="shared" si="167"/>
        <v>45</v>
      </c>
      <c r="R403" s="23">
        <f t="shared" si="168"/>
        <v>1</v>
      </c>
      <c r="S403" s="23">
        <f t="shared" si="169"/>
        <v>0</v>
      </c>
      <c r="T403" s="23" t="str">
        <f t="shared" si="170"/>
        <v/>
      </c>
      <c r="U403" t="str">
        <f t="shared" si="171"/>
        <v/>
      </c>
      <c r="W403" s="1">
        <f t="shared" si="172"/>
        <v>35</v>
      </c>
      <c r="X403" s="73">
        <f t="shared" si="161"/>
        <v>92.764372122899047</v>
      </c>
      <c r="Y403" s="322">
        <f t="shared" si="173"/>
        <v>9643.44</v>
      </c>
      <c r="Z403" s="43">
        <f t="shared" si="162"/>
        <v>1.5818076098469366E-39</v>
      </c>
      <c r="AA403" s="52">
        <f t="shared" si="174"/>
        <v>1.5818076098469367E-41</v>
      </c>
      <c r="AB403" s="8">
        <f t="shared" si="175"/>
        <v>8180.21</v>
      </c>
      <c r="AC403" s="8">
        <f t="shared" si="176"/>
        <v>818021</v>
      </c>
      <c r="AD403" s="8">
        <f t="shared" si="180"/>
        <v>4090.105</v>
      </c>
      <c r="AE403" s="8" t="str">
        <f t="shared" si="177"/>
        <v/>
      </c>
      <c r="AF403" s="22" t="str">
        <f t="shared" si="178"/>
        <v>CA_Orang_2020p</v>
      </c>
      <c r="AG403">
        <v>2</v>
      </c>
      <c r="AH403" s="8">
        <v>139760</v>
      </c>
      <c r="AI403" s="273">
        <v>78293</v>
      </c>
      <c r="AJ403" s="274">
        <v>68952</v>
      </c>
      <c r="AK403" s="339">
        <v>9341</v>
      </c>
      <c r="AL403" s="23" t="s">
        <v>4768</v>
      </c>
      <c r="AM403" s="353">
        <f t="shared" si="179"/>
        <v>1.1419022250040036E-2</v>
      </c>
      <c r="AN403" s="354"/>
      <c r="AP403" s="23">
        <f t="shared" si="181"/>
        <v>5</v>
      </c>
      <c r="AQ403" s="392">
        <f t="shared" si="159"/>
        <v>4.9150935205596546E-2</v>
      </c>
      <c r="AR403" s="392">
        <f t="shared" si="160"/>
        <v>0.22681663254106421</v>
      </c>
      <c r="AS403" s="392">
        <f t="shared" si="160"/>
        <v>0.67302082479199765</v>
      </c>
    </row>
    <row r="404" spans="1:45">
      <c r="A404" s="12" t="s">
        <v>1613</v>
      </c>
      <c r="B404" s="54" t="str">
        <f t="shared" si="163"/>
        <v>AZ_Maric_2020g</v>
      </c>
      <c r="C404" s="12"/>
      <c r="D404" s="54" t="str">
        <f t="shared" si="164"/>
        <v>Gen-rio verde fire dist-question (vote for1)</v>
      </c>
      <c r="E404" s="54" t="s">
        <v>1977</v>
      </c>
      <c r="F404" s="12" t="s">
        <v>1300</v>
      </c>
      <c r="G404" s="59">
        <v>1703</v>
      </c>
      <c r="H404"/>
      <c r="K404" s="2"/>
      <c r="O404">
        <f t="shared" si="165"/>
        <v>1</v>
      </c>
      <c r="P404" s="57">
        <f t="shared" si="166"/>
        <v>1</v>
      </c>
      <c r="Q404" s="267">
        <f t="shared" si="167"/>
        <v>2068</v>
      </c>
      <c r="R404" s="23">
        <f t="shared" si="168"/>
        <v>1703</v>
      </c>
      <c r="S404" s="23">
        <f t="shared" si="169"/>
        <v>365</v>
      </c>
      <c r="T404" s="23">
        <f t="shared" si="170"/>
        <v>1338</v>
      </c>
      <c r="U404" t="str">
        <f t="shared" si="171"/>
        <v>AZ_Maric_2020g~Gen-rio verde fire dist-question (vote for1)</v>
      </c>
      <c r="W404" s="1">
        <f t="shared" si="172"/>
        <v>36</v>
      </c>
      <c r="X404" s="73">
        <f t="shared" si="161"/>
        <v>61.036263832011855</v>
      </c>
      <c r="Y404" s="322">
        <f t="shared" si="173"/>
        <v>7796.0340000000006</v>
      </c>
      <c r="Z404" s="43">
        <f t="shared" si="162"/>
        <v>6.3541348297314369E-49</v>
      </c>
      <c r="AA404" s="52">
        <f t="shared" si="174"/>
        <v>6.3541348297314365E-51</v>
      </c>
      <c r="AB404" s="8">
        <f t="shared" si="175"/>
        <v>8180.21</v>
      </c>
      <c r="AC404" s="8">
        <f t="shared" si="176"/>
        <v>818021</v>
      </c>
      <c r="AD404" s="8">
        <f t="shared" si="180"/>
        <v>4090.105</v>
      </c>
      <c r="AE404" s="8" t="str">
        <f t="shared" si="177"/>
        <v/>
      </c>
      <c r="AF404" s="22" t="str">
        <f t="shared" si="178"/>
        <v>CA_Orang_2020p</v>
      </c>
      <c r="AG404">
        <v>2</v>
      </c>
      <c r="AH404" s="8">
        <v>112986</v>
      </c>
      <c r="AI404" s="273">
        <v>39942</v>
      </c>
      <c r="AJ404" s="274">
        <v>28465</v>
      </c>
      <c r="AK404" s="339">
        <v>11477</v>
      </c>
      <c r="AL404" s="23" t="s">
        <v>4771</v>
      </c>
      <c r="AM404" s="353">
        <f t="shared" si="179"/>
        <v>1.4030202158624289E-2</v>
      </c>
      <c r="AN404" s="354"/>
      <c r="AP404" s="23">
        <f t="shared" si="181"/>
        <v>14</v>
      </c>
      <c r="AQ404" s="392">
        <f t="shared" si="159"/>
        <v>0.13175058222703184</v>
      </c>
      <c r="AR404" s="392">
        <f t="shared" si="160"/>
        <v>0.51377534087646826</v>
      </c>
      <c r="AS404" s="392">
        <f t="shared" si="160"/>
        <v>0.95645122839329233</v>
      </c>
    </row>
    <row r="405" spans="1:45">
      <c r="A405" s="12" t="s">
        <v>1613</v>
      </c>
      <c r="B405" s="54" t="str">
        <f t="shared" si="163"/>
        <v>AZ_Maric_2020g</v>
      </c>
      <c r="C405" s="12"/>
      <c r="D405" s="54" t="str">
        <f t="shared" si="164"/>
        <v>Gen-rio verde fire dist-question (vote for1)</v>
      </c>
      <c r="E405" s="54" t="s">
        <v>1978</v>
      </c>
      <c r="F405" s="12" t="s">
        <v>1300</v>
      </c>
      <c r="G405" s="59">
        <v>365</v>
      </c>
      <c r="H405"/>
      <c r="K405" s="2"/>
      <c r="O405">
        <f t="shared" si="165"/>
        <v>2</v>
      </c>
      <c r="P405" s="57">
        <f t="shared" si="166"/>
        <v>1</v>
      </c>
      <c r="Q405" s="267">
        <f t="shared" si="167"/>
        <v>365</v>
      </c>
      <c r="R405" s="23" t="str">
        <f t="shared" si="168"/>
        <v/>
      </c>
      <c r="S405" s="23">
        <f t="shared" si="169"/>
        <v>365</v>
      </c>
      <c r="T405" s="23" t="str">
        <f t="shared" si="170"/>
        <v/>
      </c>
      <c r="U405" t="str">
        <f t="shared" si="171"/>
        <v/>
      </c>
      <c r="W405" s="1">
        <f t="shared" si="172"/>
        <v>37</v>
      </c>
      <c r="X405" s="73">
        <f t="shared" si="161"/>
        <v>24.86769162210339</v>
      </c>
      <c r="Y405" s="322">
        <f t="shared" si="173"/>
        <v>4968.2760000000007</v>
      </c>
      <c r="Z405" s="43">
        <f t="shared" si="162"/>
        <v>1.4697298728733908E-77</v>
      </c>
      <c r="AA405" s="52">
        <f t="shared" si="174"/>
        <v>1.4697298728733908E-79</v>
      </c>
      <c r="AB405" s="8">
        <f t="shared" si="175"/>
        <v>8180.21</v>
      </c>
      <c r="AC405" s="8">
        <f t="shared" si="176"/>
        <v>818021</v>
      </c>
      <c r="AD405" s="8">
        <f t="shared" si="180"/>
        <v>4090.105</v>
      </c>
      <c r="AE405" s="8" t="str">
        <f t="shared" si="177"/>
        <v/>
      </c>
      <c r="AF405" s="22" t="str">
        <f t="shared" si="178"/>
        <v>CA_Orang_2020p</v>
      </c>
      <c r="AG405" s="89">
        <v>1</v>
      </c>
      <c r="AH405" s="274">
        <v>72004</v>
      </c>
      <c r="AI405" s="279">
        <v>44978</v>
      </c>
      <c r="AJ405" s="280">
        <v>27026</v>
      </c>
      <c r="AK405" s="92">
        <v>17952</v>
      </c>
      <c r="AL405" s="23" t="s">
        <v>4664</v>
      </c>
      <c r="AM405" s="353">
        <f t="shared" si="179"/>
        <v>2.1945646872146313E-2</v>
      </c>
      <c r="AN405" s="354"/>
      <c r="AP405" s="23">
        <f t="shared" si="181"/>
        <v>42</v>
      </c>
      <c r="AQ405" s="392">
        <f t="shared" si="159"/>
        <v>0.34642477430805962</v>
      </c>
      <c r="AR405" s="392">
        <f t="shared" si="160"/>
        <v>0.88592616067859786</v>
      </c>
      <c r="AS405" s="392">
        <f t="shared" si="160"/>
        <v>0.99992035894056897</v>
      </c>
    </row>
    <row r="406" spans="1:45">
      <c r="A406" s="12" t="s">
        <v>1627</v>
      </c>
      <c r="B406" s="54" t="str">
        <f t="shared" si="163"/>
        <v>AZ_Maric_2020g</v>
      </c>
      <c r="C406" s="12"/>
      <c r="D406" s="54" t="str">
        <f t="shared" si="164"/>
        <v>Gen-riverside esd #2-question 1 (vote for1)</v>
      </c>
      <c r="E406" s="54" t="s">
        <v>2001</v>
      </c>
      <c r="F406" s="12" t="s">
        <v>1300</v>
      </c>
      <c r="G406" s="59">
        <v>1010</v>
      </c>
      <c r="H406"/>
      <c r="K406" s="2"/>
      <c r="O406">
        <f t="shared" si="165"/>
        <v>1</v>
      </c>
      <c r="P406" s="57">
        <f t="shared" si="166"/>
        <v>1</v>
      </c>
      <c r="Q406" s="267">
        <f t="shared" si="167"/>
        <v>1769</v>
      </c>
      <c r="R406" s="23">
        <f t="shared" si="168"/>
        <v>1010</v>
      </c>
      <c r="S406" s="23">
        <f t="shared" si="169"/>
        <v>759</v>
      </c>
      <c r="T406" s="23">
        <f t="shared" si="170"/>
        <v>251</v>
      </c>
      <c r="U406" t="str">
        <f t="shared" si="171"/>
        <v>AZ_Maric_2020g~Gen-riverside esd #2-question 1 (vote for1)</v>
      </c>
      <c r="W406" s="1">
        <f t="shared" si="172"/>
        <v>38</v>
      </c>
      <c r="X406" s="73">
        <f t="shared" si="161"/>
        <v>19.563612496718299</v>
      </c>
      <c r="Y406" s="322">
        <f t="shared" si="173"/>
        <v>4146.5550000000003</v>
      </c>
      <c r="Z406" s="43">
        <f t="shared" si="162"/>
        <v>2.044423104716237E-82</v>
      </c>
      <c r="AA406" s="52">
        <f t="shared" si="174"/>
        <v>2.0444231047162371E-84</v>
      </c>
      <c r="AB406" s="8">
        <f t="shared" si="175"/>
        <v>8180.21</v>
      </c>
      <c r="AC406" s="8">
        <f t="shared" si="176"/>
        <v>818021</v>
      </c>
      <c r="AD406" s="8">
        <f t="shared" si="180"/>
        <v>4090.105</v>
      </c>
      <c r="AE406" s="8" t="str">
        <f t="shared" si="177"/>
        <v/>
      </c>
      <c r="AF406" s="22" t="str">
        <f t="shared" si="178"/>
        <v>CA_Orang_2020p</v>
      </c>
      <c r="AG406">
        <v>2</v>
      </c>
      <c r="AH406" s="8">
        <v>60095</v>
      </c>
      <c r="AI406" s="273">
        <v>28302</v>
      </c>
      <c r="AJ406" s="274">
        <v>9257</v>
      </c>
      <c r="AK406" s="339">
        <v>19045</v>
      </c>
      <c r="AL406" s="23" t="s">
        <v>4769</v>
      </c>
      <c r="AM406" s="353">
        <f t="shared" si="179"/>
        <v>2.3281798389038912E-2</v>
      </c>
      <c r="AN406" s="354"/>
      <c r="AP406" s="23">
        <f t="shared" si="181"/>
        <v>46</v>
      </c>
      <c r="AQ406" s="392">
        <f t="shared" si="159"/>
        <v>0.37251355939470132</v>
      </c>
      <c r="AR406" s="392">
        <f t="shared" si="160"/>
        <v>0.90734449604753076</v>
      </c>
      <c r="AS406" s="392">
        <f t="shared" si="160"/>
        <v>0.99996776825521871</v>
      </c>
    </row>
    <row r="407" spans="1:45">
      <c r="A407" s="12" t="s">
        <v>1627</v>
      </c>
      <c r="B407" s="54" t="str">
        <f t="shared" si="163"/>
        <v>AZ_Maric_2020g</v>
      </c>
      <c r="C407" s="12"/>
      <c r="D407" s="54" t="str">
        <f t="shared" si="164"/>
        <v>Gen-riverside esd #2-question 1 (vote for1)</v>
      </c>
      <c r="E407" s="54" t="s">
        <v>2002</v>
      </c>
      <c r="F407" s="12" t="s">
        <v>1300</v>
      </c>
      <c r="G407" s="59">
        <v>759</v>
      </c>
      <c r="H407"/>
      <c r="K407" s="2"/>
      <c r="O407">
        <f t="shared" si="165"/>
        <v>2</v>
      </c>
      <c r="P407" s="57">
        <f t="shared" si="166"/>
        <v>1</v>
      </c>
      <c r="Q407" s="267">
        <f t="shared" si="167"/>
        <v>759</v>
      </c>
      <c r="R407" s="23" t="str">
        <f t="shared" si="168"/>
        <v/>
      </c>
      <c r="S407" s="23">
        <f t="shared" si="169"/>
        <v>759</v>
      </c>
      <c r="T407" s="23" t="str">
        <f t="shared" si="170"/>
        <v/>
      </c>
      <c r="U407" t="str">
        <f t="shared" si="171"/>
        <v/>
      </c>
      <c r="W407" s="1">
        <f t="shared" si="172"/>
        <v>39</v>
      </c>
      <c r="X407" s="73">
        <f t="shared" si="161"/>
        <v>24.552746425884123</v>
      </c>
      <c r="Y407" s="322">
        <f t="shared" si="173"/>
        <v>5810.3520000000008</v>
      </c>
      <c r="Z407" s="43">
        <f t="shared" si="162"/>
        <v>2.6923693543713107E-92</v>
      </c>
      <c r="AA407" s="52">
        <f t="shared" si="174"/>
        <v>2.6923693543713109E-94</v>
      </c>
      <c r="AB407" s="8">
        <f t="shared" si="175"/>
        <v>8180.21</v>
      </c>
      <c r="AC407" s="8">
        <f t="shared" si="176"/>
        <v>818021</v>
      </c>
      <c r="AD407" s="8">
        <f t="shared" si="180"/>
        <v>4090.105</v>
      </c>
      <c r="AE407" s="8" t="str">
        <f t="shared" si="177"/>
        <v/>
      </c>
      <c r="AF407" s="22" t="str">
        <f t="shared" si="178"/>
        <v>CA_Orang_2020p</v>
      </c>
      <c r="AG407" s="89">
        <v>1</v>
      </c>
      <c r="AH407" s="274">
        <v>84208</v>
      </c>
      <c r="AI407" s="279">
        <v>49576</v>
      </c>
      <c r="AJ407" s="280">
        <v>28312</v>
      </c>
      <c r="AK407" s="92">
        <v>21264</v>
      </c>
      <c r="AL407" s="23" t="s">
        <v>4647</v>
      </c>
      <c r="AM407" s="353">
        <f t="shared" si="179"/>
        <v>2.5994442685456729E-2</v>
      </c>
      <c r="AN407" s="354"/>
      <c r="AP407" s="23">
        <f t="shared" si="181"/>
        <v>55</v>
      </c>
      <c r="AQ407" s="392">
        <f t="shared" si="159"/>
        <v>0.42755379536106797</v>
      </c>
      <c r="AR407" s="392">
        <f t="shared" si="160"/>
        <v>0.94201346428927368</v>
      </c>
      <c r="AS407" s="392">
        <f t="shared" si="160"/>
        <v>0.99999580465582139</v>
      </c>
    </row>
    <row r="408" spans="1:45">
      <c r="A408" s="12" t="s">
        <v>1628</v>
      </c>
      <c r="B408" s="54" t="str">
        <f t="shared" si="163"/>
        <v>AZ_Maric_2020g</v>
      </c>
      <c r="C408" s="12"/>
      <c r="D408" s="54" t="str">
        <f t="shared" si="164"/>
        <v>Gen-riverside esd #2-question 2 (vote for1)</v>
      </c>
      <c r="E408" s="54" t="s">
        <v>2015</v>
      </c>
      <c r="F408" s="12" t="s">
        <v>1300</v>
      </c>
      <c r="G408" s="59">
        <v>1190</v>
      </c>
      <c r="H408"/>
      <c r="K408" s="2"/>
      <c r="O408">
        <f t="shared" si="165"/>
        <v>1</v>
      </c>
      <c r="P408" s="57">
        <f t="shared" si="166"/>
        <v>1</v>
      </c>
      <c r="Q408" s="267">
        <f t="shared" si="167"/>
        <v>1760</v>
      </c>
      <c r="R408" s="23">
        <f t="shared" si="168"/>
        <v>1190</v>
      </c>
      <c r="S408" s="23">
        <f t="shared" si="169"/>
        <v>570</v>
      </c>
      <c r="T408" s="23">
        <f t="shared" si="170"/>
        <v>620</v>
      </c>
      <c r="U408" t="str">
        <f t="shared" si="171"/>
        <v>AZ_Maric_2020g~Gen-riverside esd #2-question 2 (vote for1)</v>
      </c>
      <c r="W408" s="1">
        <f t="shared" si="172"/>
        <v>40</v>
      </c>
      <c r="X408" s="73">
        <f t="shared" si="161"/>
        <v>15.267334556758174</v>
      </c>
      <c r="Y408" s="322">
        <f t="shared" si="173"/>
        <v>4536.7845000000007</v>
      </c>
      <c r="Z408" s="43">
        <f t="shared" si="162"/>
        <v>1.2713727932954316E-116</v>
      </c>
      <c r="AA408" s="52">
        <f t="shared" si="174"/>
        <v>1.2713727932954317E-118</v>
      </c>
      <c r="AB408" s="8">
        <f t="shared" si="175"/>
        <v>8180.21</v>
      </c>
      <c r="AC408" s="8">
        <f t="shared" si="176"/>
        <v>818021</v>
      </c>
      <c r="AD408" s="8">
        <f t="shared" si="180"/>
        <v>4090.105</v>
      </c>
      <c r="AE408" s="8" t="str">
        <f t="shared" si="177"/>
        <v/>
      </c>
      <c r="AF408" s="22" t="str">
        <f t="shared" si="178"/>
        <v>CA_Orang_2020p</v>
      </c>
      <c r="AG408" s="89">
        <v>2</v>
      </c>
      <c r="AH408" s="274">
        <v>65750.5</v>
      </c>
      <c r="AI408" s="279">
        <v>44033</v>
      </c>
      <c r="AJ408" s="280">
        <v>17332</v>
      </c>
      <c r="AK408" s="92">
        <v>26701</v>
      </c>
      <c r="AL408" s="23" t="s">
        <v>4763</v>
      </c>
      <c r="AM408" s="353">
        <f t="shared" si="179"/>
        <v>3.2640971319807192E-2</v>
      </c>
      <c r="AN408" s="354"/>
      <c r="AP408" s="23">
        <f t="shared" si="181"/>
        <v>78</v>
      </c>
      <c r="AQ408" s="392">
        <f t="shared" si="159"/>
        <v>0.54768802093359414</v>
      </c>
      <c r="AR408" s="392">
        <f t="shared" si="160"/>
        <v>0.98258054942449258</v>
      </c>
      <c r="AS408" s="392">
        <f t="shared" si="160"/>
        <v>0.99999997762973158</v>
      </c>
    </row>
    <row r="409" spans="1:45">
      <c r="A409" s="12" t="s">
        <v>1628</v>
      </c>
      <c r="B409" s="54" t="str">
        <f t="shared" si="163"/>
        <v>AZ_Maric_2020g</v>
      </c>
      <c r="C409" s="12"/>
      <c r="D409" s="54" t="str">
        <f t="shared" si="164"/>
        <v>Gen-riverside esd #2-question 2 (vote for1)</v>
      </c>
      <c r="E409" s="54" t="s">
        <v>2016</v>
      </c>
      <c r="F409" s="12" t="s">
        <v>1300</v>
      </c>
      <c r="G409" s="59">
        <v>570</v>
      </c>
      <c r="H409"/>
      <c r="K409" s="2"/>
      <c r="O409">
        <f t="shared" si="165"/>
        <v>2</v>
      </c>
      <c r="P409" s="57">
        <f t="shared" si="166"/>
        <v>1</v>
      </c>
      <c r="Q409" s="267">
        <f t="shared" si="167"/>
        <v>570</v>
      </c>
      <c r="R409" s="23" t="str">
        <f t="shared" si="168"/>
        <v/>
      </c>
      <c r="S409" s="23">
        <f t="shared" si="169"/>
        <v>570</v>
      </c>
      <c r="T409" s="23" t="str">
        <f t="shared" si="170"/>
        <v/>
      </c>
      <c r="U409" t="str">
        <f t="shared" si="171"/>
        <v/>
      </c>
      <c r="W409" s="1">
        <f t="shared" si="172"/>
        <v>41</v>
      </c>
      <c r="X409" s="73">
        <f t="shared" si="161"/>
        <v>18.051462529620856</v>
      </c>
      <c r="Y409" s="322">
        <f t="shared" si="173"/>
        <v>5425.7805000000008</v>
      </c>
      <c r="Z409" s="43">
        <f t="shared" si="162"/>
        <v>5.3178157341510429E-118</v>
      </c>
      <c r="AA409" s="52">
        <f t="shared" si="174"/>
        <v>5.3178157341510433E-120</v>
      </c>
      <c r="AB409" s="8">
        <f t="shared" si="175"/>
        <v>8180.21</v>
      </c>
      <c r="AC409" s="8">
        <f t="shared" si="176"/>
        <v>818021</v>
      </c>
      <c r="AD409" s="8">
        <f t="shared" si="180"/>
        <v>4090.105</v>
      </c>
      <c r="AE409" s="8" t="str">
        <f t="shared" si="177"/>
        <v/>
      </c>
      <c r="AF409" s="22" t="str">
        <f t="shared" si="178"/>
        <v>CA_Orang_2020p</v>
      </c>
      <c r="AG409">
        <v>2</v>
      </c>
      <c r="AH409" s="8">
        <v>78634.5</v>
      </c>
      <c r="AI409" s="273">
        <v>54469</v>
      </c>
      <c r="AJ409" s="274">
        <v>27461</v>
      </c>
      <c r="AK409" s="339">
        <v>27008</v>
      </c>
      <c r="AL409" s="23" t="s">
        <v>4767</v>
      </c>
      <c r="AM409" s="353">
        <f t="shared" si="179"/>
        <v>3.3016267308540979E-2</v>
      </c>
      <c r="AN409" s="354"/>
      <c r="AP409" s="23">
        <f t="shared" si="181"/>
        <v>80</v>
      </c>
      <c r="AQ409" s="392">
        <f t="shared" si="159"/>
        <v>0.55688658597725849</v>
      </c>
      <c r="AR409" s="392">
        <f t="shared" si="160"/>
        <v>0.98431543323248394</v>
      </c>
      <c r="AS409" s="392">
        <f t="shared" si="160"/>
        <v>0.99999998583164562</v>
      </c>
    </row>
    <row r="410" spans="1:45">
      <c r="A410" s="12" t="s">
        <v>1660</v>
      </c>
      <c r="B410" s="54" t="str">
        <f t="shared" si="163"/>
        <v>AZ_Maric_2020g</v>
      </c>
      <c r="C410" s="12"/>
      <c r="D410" s="54" t="str">
        <f t="shared" si="164"/>
        <v>Gen-roosevelt esd #66-gbm-4yr (vote for3)</v>
      </c>
      <c r="E410" s="54" t="s">
        <v>2114</v>
      </c>
      <c r="F410" s="12" t="s">
        <v>1300</v>
      </c>
      <c r="G410" s="59">
        <v>28765</v>
      </c>
      <c r="H410"/>
      <c r="K410" s="2"/>
      <c r="O410">
        <f t="shared" si="165"/>
        <v>1</v>
      </c>
      <c r="P410" s="57">
        <f t="shared" si="166"/>
        <v>3</v>
      </c>
      <c r="Q410" s="267">
        <f t="shared" si="167"/>
        <v>28765</v>
      </c>
      <c r="R410" s="23">
        <f t="shared" si="168"/>
        <v>1851</v>
      </c>
      <c r="S410" s="23">
        <f t="shared" si="169"/>
        <v>695</v>
      </c>
      <c r="T410" s="23">
        <f t="shared" si="170"/>
        <v>1156</v>
      </c>
      <c r="U410" t="str">
        <f t="shared" si="171"/>
        <v>AZ_Maric_2020g~Gen-roosevelt esd #66-gbm-4yr (vote for3)</v>
      </c>
      <c r="W410" s="1">
        <f t="shared" si="172"/>
        <v>42</v>
      </c>
      <c r="X410" s="73">
        <f t="shared" si="161"/>
        <v>33.686076210801694</v>
      </c>
      <c r="Y410" s="322">
        <f t="shared" si="173"/>
        <v>10891.029</v>
      </c>
      <c r="Z410" s="43">
        <f t="shared" si="162"/>
        <v>3.4536952058480459E-127</v>
      </c>
      <c r="AA410" s="52">
        <f t="shared" si="174"/>
        <v>3.453695205848046E-129</v>
      </c>
      <c r="AB410" s="8">
        <f t="shared" si="175"/>
        <v>8180.21</v>
      </c>
      <c r="AC410" s="8">
        <f t="shared" si="176"/>
        <v>818021</v>
      </c>
      <c r="AD410" s="8">
        <f t="shared" si="180"/>
        <v>4090.105</v>
      </c>
      <c r="AE410" s="8" t="str">
        <f t="shared" si="177"/>
        <v/>
      </c>
      <c r="AF410" s="22" t="str">
        <f t="shared" si="178"/>
        <v>CA_Orang_2020p</v>
      </c>
      <c r="AG410" s="89">
        <v>1</v>
      </c>
      <c r="AH410" s="274">
        <v>157841</v>
      </c>
      <c r="AI410" s="279">
        <v>93446</v>
      </c>
      <c r="AJ410" s="280">
        <v>64395</v>
      </c>
      <c r="AK410" s="92">
        <v>29051</v>
      </c>
      <c r="AL410" s="23" t="s">
        <v>4648</v>
      </c>
      <c r="AM410" s="353">
        <f t="shared" si="179"/>
        <v>3.5513758204251483E-2</v>
      </c>
      <c r="AN410" s="354"/>
      <c r="AO410" s="356"/>
      <c r="AP410" s="23">
        <f t="shared" si="181"/>
        <v>88</v>
      </c>
      <c r="AQ410" s="392">
        <f t="shared" si="159"/>
        <v>0.59188990033350675</v>
      </c>
      <c r="AR410" s="392">
        <f t="shared" si="160"/>
        <v>0.98969634647868832</v>
      </c>
      <c r="AS410" s="392">
        <f t="shared" si="160"/>
        <v>0.99999999772595294</v>
      </c>
    </row>
    <row r="411" spans="1:45">
      <c r="A411" s="12" t="s">
        <v>1660</v>
      </c>
      <c r="B411" s="54" t="str">
        <f t="shared" si="163"/>
        <v>AZ_Maric_2020g</v>
      </c>
      <c r="C411" s="12"/>
      <c r="D411" s="54" t="str">
        <f t="shared" si="164"/>
        <v>Gen-roosevelt esd #66-gbm-4yr (vote for3)</v>
      </c>
      <c r="E411" s="54" t="s">
        <v>1299</v>
      </c>
      <c r="G411" s="59">
        <v>6176</v>
      </c>
      <c r="H411"/>
      <c r="K411" s="2"/>
      <c r="O411">
        <f t="shared" si="165"/>
        <v>-1</v>
      </c>
      <c r="P411" s="57">
        <f t="shared" si="166"/>
        <v>3</v>
      </c>
      <c r="Q411" s="267">
        <f t="shared" si="167"/>
        <v>12352</v>
      </c>
      <c r="R411" s="23">
        <f t="shared" si="168"/>
        <v>1851</v>
      </c>
      <c r="S411" s="23">
        <f t="shared" si="169"/>
        <v>695</v>
      </c>
      <c r="T411" s="23" t="str">
        <f t="shared" si="170"/>
        <v/>
      </c>
      <c r="U411" t="str">
        <f t="shared" si="171"/>
        <v/>
      </c>
      <c r="W411" s="1">
        <f t="shared" si="172"/>
        <v>43</v>
      </c>
      <c r="X411" s="73">
        <f t="shared" si="161"/>
        <v>69.904307710390228</v>
      </c>
      <c r="Y411" s="322">
        <f t="shared" si="173"/>
        <v>26475.783000000003</v>
      </c>
      <c r="Z411" s="43">
        <f t="shared" si="162"/>
        <v>1.0925670796143269E-149</v>
      </c>
      <c r="AA411" s="52">
        <f t="shared" si="174"/>
        <v>1.0925670796143269E-151</v>
      </c>
      <c r="AB411" s="8">
        <f t="shared" si="175"/>
        <v>8180.21</v>
      </c>
      <c r="AC411" s="8">
        <f t="shared" si="176"/>
        <v>818021</v>
      </c>
      <c r="AD411" s="8">
        <f t="shared" si="180"/>
        <v>4090.105</v>
      </c>
      <c r="AE411" s="8" t="str">
        <f t="shared" si="177"/>
        <v/>
      </c>
      <c r="AF411" s="22" t="str">
        <f t="shared" si="178"/>
        <v>CA_Orang_2020p</v>
      </c>
      <c r="AG411">
        <v>1</v>
      </c>
      <c r="AH411" s="8">
        <v>383707</v>
      </c>
      <c r="AI411" s="273">
        <v>141143</v>
      </c>
      <c r="AJ411" s="274">
        <v>107111</v>
      </c>
      <c r="AK411" s="339">
        <v>34032</v>
      </c>
      <c r="AL411" s="23" t="s">
        <v>4668</v>
      </c>
      <c r="AM411" s="353">
        <f t="shared" si="179"/>
        <v>4.160284393676935E-2</v>
      </c>
      <c r="AN411" s="354"/>
      <c r="AP411" s="23">
        <f t="shared" si="181"/>
        <v>109</v>
      </c>
      <c r="AQ411" s="392">
        <f t="shared" si="159"/>
        <v>0.67143328776254341</v>
      </c>
      <c r="AR411" s="392">
        <f t="shared" si="160"/>
        <v>0.99659442615113425</v>
      </c>
      <c r="AS411" s="392">
        <f t="shared" si="160"/>
        <v>0.99999999998169109</v>
      </c>
    </row>
    <row r="412" spans="1:45">
      <c r="A412" s="12" t="s">
        <v>1660</v>
      </c>
      <c r="B412" s="54" t="str">
        <f t="shared" si="163"/>
        <v>AZ_Maric_2020g</v>
      </c>
      <c r="C412" s="12"/>
      <c r="D412" s="54" t="str">
        <f t="shared" si="164"/>
        <v>Gen-roosevelt esd #66-gbm-4yr (vote for3)</v>
      </c>
      <c r="E412" s="54" t="s">
        <v>2116</v>
      </c>
      <c r="F412" s="12" t="s">
        <v>1300</v>
      </c>
      <c r="G412" s="59">
        <v>2262</v>
      </c>
      <c r="H412"/>
      <c r="K412" s="2"/>
      <c r="O412">
        <f t="shared" si="165"/>
        <v>2</v>
      </c>
      <c r="P412" s="57">
        <f t="shared" si="166"/>
        <v>3</v>
      </c>
      <c r="Q412" s="267">
        <f t="shared" si="167"/>
        <v>6176</v>
      </c>
      <c r="R412" s="23">
        <f t="shared" si="168"/>
        <v>1851</v>
      </c>
      <c r="S412" s="23">
        <f t="shared" si="169"/>
        <v>695</v>
      </c>
      <c r="T412" s="23" t="str">
        <f t="shared" si="170"/>
        <v/>
      </c>
      <c r="U412" t="str">
        <f t="shared" si="171"/>
        <v/>
      </c>
      <c r="W412" s="1">
        <f t="shared" si="172"/>
        <v>44</v>
      </c>
      <c r="X412" s="73">
        <f t="shared" si="161"/>
        <v>7.8713936856794007</v>
      </c>
      <c r="Y412" s="322">
        <f t="shared" si="173"/>
        <v>4017.7320000000004</v>
      </c>
      <c r="Z412" s="43">
        <f t="shared" si="162"/>
        <v>1.0313984683619594E-203</v>
      </c>
      <c r="AA412" s="52">
        <f t="shared" si="174"/>
        <v>1.0313984683619595E-205</v>
      </c>
      <c r="AB412" s="8">
        <f t="shared" si="175"/>
        <v>8180.21</v>
      </c>
      <c r="AC412" s="8">
        <f t="shared" si="176"/>
        <v>818021</v>
      </c>
      <c r="AD412" s="8">
        <f t="shared" si="180"/>
        <v>4090.105</v>
      </c>
      <c r="AE412" s="8" t="str">
        <f t="shared" si="177"/>
        <v/>
      </c>
      <c r="AF412" s="22" t="str">
        <f t="shared" si="178"/>
        <v>CA_Orang_2020p</v>
      </c>
      <c r="AG412">
        <v>2</v>
      </c>
      <c r="AH412" s="8">
        <v>58228</v>
      </c>
      <c r="AI412" s="273">
        <v>51630</v>
      </c>
      <c r="AJ412" s="274">
        <v>5766</v>
      </c>
      <c r="AK412" s="339">
        <v>45864</v>
      </c>
      <c r="AL412" s="23" t="s">
        <v>4770</v>
      </c>
      <c r="AM412" s="353">
        <f t="shared" si="179"/>
        <v>5.6067020284320326E-2</v>
      </c>
      <c r="AN412" s="354"/>
      <c r="AP412" s="23">
        <f t="shared" si="181"/>
        <v>159</v>
      </c>
      <c r="AQ412" s="392">
        <f t="shared" si="159"/>
        <v>0.80482533921138844</v>
      </c>
      <c r="AR412" s="392">
        <f t="shared" si="160"/>
        <v>0.99976184312616512</v>
      </c>
      <c r="AS412" s="392">
        <f t="shared" si="160"/>
        <v>0.99999999999999978</v>
      </c>
    </row>
    <row r="413" spans="1:45">
      <c r="A413" s="12" t="s">
        <v>1660</v>
      </c>
      <c r="B413" s="54" t="str">
        <f t="shared" si="163"/>
        <v>AZ_Maric_2020g</v>
      </c>
      <c r="C413" s="12"/>
      <c r="D413" s="54" t="str">
        <f t="shared" si="164"/>
        <v>Gen-roosevelt esd #66-gbm-4yr (vote for3)</v>
      </c>
      <c r="E413" s="54" t="s">
        <v>2115</v>
      </c>
      <c r="F413" s="12" t="s">
        <v>1300</v>
      </c>
      <c r="G413" s="59">
        <v>1851</v>
      </c>
      <c r="H413"/>
      <c r="K413" s="2"/>
      <c r="O413">
        <f t="shared" si="165"/>
        <v>3</v>
      </c>
      <c r="P413" s="57">
        <f t="shared" si="166"/>
        <v>3</v>
      </c>
      <c r="Q413" s="267">
        <f t="shared" si="167"/>
        <v>3914</v>
      </c>
      <c r="R413" s="23">
        <f t="shared" si="168"/>
        <v>1851</v>
      </c>
      <c r="S413" s="23">
        <f t="shared" si="169"/>
        <v>695</v>
      </c>
      <c r="T413" s="23" t="str">
        <f t="shared" si="170"/>
        <v/>
      </c>
      <c r="U413" t="str">
        <f t="shared" si="171"/>
        <v/>
      </c>
      <c r="W413" s="1">
        <f t="shared" si="172"/>
        <v>45</v>
      </c>
      <c r="X413" s="73">
        <f t="shared" si="161"/>
        <v>13.622716034120412</v>
      </c>
      <c r="Y413" s="322">
        <f t="shared" si="173"/>
        <v>7358.125500000001</v>
      </c>
      <c r="Z413" s="43">
        <f t="shared" si="162"/>
        <v>5.1018241409620055E-216</v>
      </c>
      <c r="AA413" s="52">
        <f t="shared" si="174"/>
        <v>5.1018241409620055E-218</v>
      </c>
      <c r="AB413" s="8">
        <f t="shared" si="175"/>
        <v>8180.21</v>
      </c>
      <c r="AC413" s="8">
        <f t="shared" si="176"/>
        <v>818021</v>
      </c>
      <c r="AD413" s="8">
        <f t="shared" si="180"/>
        <v>4090.105</v>
      </c>
      <c r="AE413" s="8" t="str">
        <f t="shared" si="177"/>
        <v/>
      </c>
      <c r="AF413" s="22" t="str">
        <f t="shared" si="178"/>
        <v>CA_Orang_2020p</v>
      </c>
      <c r="AG413">
        <v>2</v>
      </c>
      <c r="AH413" s="8">
        <v>106639.5</v>
      </c>
      <c r="AI413" s="273">
        <v>74418</v>
      </c>
      <c r="AJ413" s="274">
        <v>25884</v>
      </c>
      <c r="AK413" s="339">
        <v>48534</v>
      </c>
      <c r="AL413" s="23" t="s">
        <v>4773</v>
      </c>
      <c r="AM413" s="353">
        <f t="shared" si="179"/>
        <v>5.9330995170050645E-2</v>
      </c>
      <c r="AN413" s="354"/>
      <c r="AP413" s="23">
        <f t="shared" si="181"/>
        <v>170</v>
      </c>
      <c r="AQ413" s="392">
        <f t="shared" si="159"/>
        <v>0.82611128147230029</v>
      </c>
      <c r="AR413" s="392">
        <f t="shared" si="160"/>
        <v>0.99986797199292321</v>
      </c>
      <c r="AS413" s="392">
        <f t="shared" si="160"/>
        <v>1</v>
      </c>
    </row>
    <row r="414" spans="1:45">
      <c r="A414" s="12" t="s">
        <v>1660</v>
      </c>
      <c r="B414" s="54" t="str">
        <f t="shared" si="163"/>
        <v>AZ_Maric_2020g</v>
      </c>
      <c r="C414" s="12"/>
      <c r="D414" s="54" t="str">
        <f t="shared" si="164"/>
        <v>Gen-roosevelt esd #66-gbm-4yr (vote for3)</v>
      </c>
      <c r="E414" s="54" t="s">
        <v>1825</v>
      </c>
      <c r="F414" s="12" t="s">
        <v>1300</v>
      </c>
      <c r="G414" s="59">
        <v>810</v>
      </c>
      <c r="H414"/>
      <c r="K414" s="2"/>
      <c r="O414">
        <f t="shared" si="165"/>
        <v>-3</v>
      </c>
      <c r="P414" s="57">
        <f t="shared" si="166"/>
        <v>3</v>
      </c>
      <c r="Q414" s="267">
        <f t="shared" si="167"/>
        <v>2063</v>
      </c>
      <c r="R414" s="23" t="str">
        <f t="shared" si="168"/>
        <v/>
      </c>
      <c r="S414" s="23">
        <f t="shared" si="169"/>
        <v>695</v>
      </c>
      <c r="T414" s="23" t="str">
        <f t="shared" si="170"/>
        <v/>
      </c>
      <c r="U414" t="str">
        <f t="shared" si="171"/>
        <v/>
      </c>
      <c r="W414" s="1">
        <f t="shared" si="172"/>
        <v>46</v>
      </c>
      <c r="X414" s="73">
        <f t="shared" si="161"/>
        <v>23.788408604043784</v>
      </c>
      <c r="Y414" s="322">
        <f t="shared" si="173"/>
        <v>54129.672000000006</v>
      </c>
      <c r="Z414" s="43">
        <f t="shared" si="162"/>
        <v>0</v>
      </c>
      <c r="AA414" s="52">
        <f t="shared" si="174"/>
        <v>0</v>
      </c>
      <c r="AB414" s="8">
        <f t="shared" si="175"/>
        <v>8180.21</v>
      </c>
      <c r="AC414" s="8">
        <f t="shared" si="176"/>
        <v>818021</v>
      </c>
      <c r="AD414" s="8">
        <f t="shared" si="180"/>
        <v>4090.105</v>
      </c>
      <c r="AE414" s="8" t="str">
        <f t="shared" si="177"/>
        <v/>
      </c>
      <c r="AF414" s="22" t="str">
        <f t="shared" si="178"/>
        <v>CA_Orang_2020p</v>
      </c>
      <c r="AG414">
        <v>1</v>
      </c>
      <c r="AH414" s="8">
        <v>784488</v>
      </c>
      <c r="AI414" s="273">
        <v>494475</v>
      </c>
      <c r="AJ414" s="274">
        <v>290013</v>
      </c>
      <c r="AK414" s="339">
        <v>204462</v>
      </c>
      <c r="AL414" s="23" t="s">
        <v>4673</v>
      </c>
      <c r="AM414" s="353">
        <f t="shared" si="179"/>
        <v>0.2499471284967012</v>
      </c>
      <c r="AN414" s="354"/>
      <c r="AP414" s="23">
        <f t="shared" si="181"/>
        <v>825</v>
      </c>
      <c r="AQ414" s="392">
        <f t="shared" si="159"/>
        <v>0.99990744735305803</v>
      </c>
      <c r="AR414" s="392">
        <f t="shared" si="160"/>
        <v>1</v>
      </c>
      <c r="AS414" s="392">
        <f t="shared" si="160"/>
        <v>1</v>
      </c>
    </row>
    <row r="415" spans="1:45">
      <c r="A415" s="12" t="s">
        <v>1660</v>
      </c>
      <c r="B415" s="54" t="str">
        <f t="shared" si="163"/>
        <v>AZ_Maric_2020g</v>
      </c>
      <c r="C415" s="12"/>
      <c r="D415" s="54" t="str">
        <f t="shared" si="164"/>
        <v>Gen-roosevelt esd #66-gbm-4yr (vote for3)</v>
      </c>
      <c r="E415" s="54" t="s">
        <v>2117</v>
      </c>
      <c r="F415" s="12" t="s">
        <v>1300</v>
      </c>
      <c r="G415" s="59">
        <v>695</v>
      </c>
      <c r="H415"/>
      <c r="K415" s="2"/>
      <c r="O415">
        <f t="shared" si="165"/>
        <v>4</v>
      </c>
      <c r="P415" s="57">
        <f t="shared" si="166"/>
        <v>3</v>
      </c>
      <c r="Q415" s="267">
        <f t="shared" si="167"/>
        <v>1253</v>
      </c>
      <c r="R415" s="23" t="str">
        <f t="shared" si="168"/>
        <v/>
      </c>
      <c r="S415" s="23">
        <f t="shared" si="169"/>
        <v>695</v>
      </c>
      <c r="T415" s="23" t="str">
        <f t="shared" si="170"/>
        <v/>
      </c>
      <c r="U415" t="str">
        <f t="shared" si="171"/>
        <v/>
      </c>
      <c r="W415" s="1">
        <f t="shared" si="172"/>
        <v>47</v>
      </c>
      <c r="X415" s="73">
        <f t="shared" si="161"/>
        <v>6.8323203209152021</v>
      </c>
      <c r="Y415" s="322">
        <f t="shared" si="173"/>
        <v>20471.472000000002</v>
      </c>
      <c r="Z415" s="43">
        <f t="shared" si="162"/>
        <v>0</v>
      </c>
      <c r="AA415" s="52">
        <f t="shared" si="174"/>
        <v>0</v>
      </c>
      <c r="AB415" s="8">
        <f t="shared" si="175"/>
        <v>8180.21</v>
      </c>
      <c r="AC415" s="8">
        <f t="shared" si="176"/>
        <v>818021</v>
      </c>
      <c r="AD415" s="8">
        <f t="shared" si="180"/>
        <v>4090.105</v>
      </c>
      <c r="AE415" s="8" t="str">
        <f t="shared" si="177"/>
        <v/>
      </c>
      <c r="AF415" s="22" t="str">
        <f t="shared" si="178"/>
        <v>CA_Orang_2020p</v>
      </c>
      <c r="AG415">
        <v>1</v>
      </c>
      <c r="AH415" s="8">
        <v>296688</v>
      </c>
      <c r="AI415" s="273">
        <v>276714</v>
      </c>
      <c r="AJ415" s="274">
        <v>7484</v>
      </c>
      <c r="AK415" s="339">
        <v>269230</v>
      </c>
      <c r="AL415" s="23" t="s">
        <v>4671</v>
      </c>
      <c r="AM415" s="353">
        <f t="shared" si="179"/>
        <v>0.32912357995699376</v>
      </c>
      <c r="AN415" s="354"/>
      <c r="AP415" s="23">
        <f t="shared" si="181"/>
        <v>1097</v>
      </c>
      <c r="AQ415" s="392">
        <f t="shared" si="159"/>
        <v>0.99999744403605018</v>
      </c>
      <c r="AR415" s="392">
        <f t="shared" si="160"/>
        <v>1</v>
      </c>
      <c r="AS415" s="392">
        <f t="shared" si="160"/>
        <v>1</v>
      </c>
    </row>
    <row r="416" spans="1:45">
      <c r="A416" s="12" t="s">
        <v>1660</v>
      </c>
      <c r="B416" s="54" t="str">
        <f t="shared" si="163"/>
        <v>AZ_Maric_2020g</v>
      </c>
      <c r="C416" s="12"/>
      <c r="D416" s="54" t="str">
        <f t="shared" si="164"/>
        <v>Gen-roosevelt esd #66-gbm-4yr (vote for3)</v>
      </c>
      <c r="E416" s="54" t="s">
        <v>2118</v>
      </c>
      <c r="F416" s="12" t="s">
        <v>1300</v>
      </c>
      <c r="G416" s="59">
        <v>294</v>
      </c>
      <c r="H416"/>
      <c r="K416" s="2"/>
      <c r="O416">
        <f t="shared" si="165"/>
        <v>5</v>
      </c>
      <c r="P416" s="57">
        <f t="shared" si="166"/>
        <v>3</v>
      </c>
      <c r="Q416" s="267">
        <f t="shared" si="167"/>
        <v>558</v>
      </c>
      <c r="R416" s="23" t="str">
        <f t="shared" si="168"/>
        <v/>
      </c>
      <c r="S416" s="23">
        <f t="shared" si="169"/>
        <v>294</v>
      </c>
      <c r="T416" s="23" t="str">
        <f t="shared" si="170"/>
        <v/>
      </c>
      <c r="U416" t="str">
        <f t="shared" si="171"/>
        <v/>
      </c>
      <c r="W416" s="1">
        <f t="shared" si="172"/>
        <v>48</v>
      </c>
      <c r="X416" s="73">
        <f t="shared" si="161"/>
        <v>10.911572173217584</v>
      </c>
      <c r="Y416" s="322">
        <f t="shared" si="173"/>
        <v>52231.482000000004</v>
      </c>
      <c r="Z416" s="43">
        <f t="shared" si="162"/>
        <v>0</v>
      </c>
      <c r="AA416" s="52">
        <f t="shared" si="174"/>
        <v>0</v>
      </c>
      <c r="AB416" s="8">
        <f t="shared" si="175"/>
        <v>8180.21</v>
      </c>
      <c r="AC416" s="8">
        <f t="shared" si="176"/>
        <v>818021</v>
      </c>
      <c r="AD416" s="8">
        <f t="shared" si="180"/>
        <v>4090.105</v>
      </c>
      <c r="AE416" s="8" t="str">
        <f t="shared" si="177"/>
        <v/>
      </c>
      <c r="AF416" s="22" t="str">
        <f t="shared" si="178"/>
        <v>CA_Orang_2020p</v>
      </c>
      <c r="AG416" s="89">
        <v>1</v>
      </c>
      <c r="AH416" s="274">
        <v>756978</v>
      </c>
      <c r="AI416" s="279">
        <v>593548</v>
      </c>
      <c r="AJ416" s="280">
        <v>163430</v>
      </c>
      <c r="AK416" s="92">
        <v>430118</v>
      </c>
      <c r="AL416" s="23" t="s">
        <v>4638</v>
      </c>
      <c r="AM416" s="353">
        <f t="shared" si="179"/>
        <v>0.52580312730357781</v>
      </c>
      <c r="AN416" s="354"/>
      <c r="AP416" s="23">
        <f t="shared" si="181"/>
        <v>1773</v>
      </c>
      <c r="AQ416" s="392">
        <f t="shared" si="159"/>
        <v>0.9999999999348268</v>
      </c>
      <c r="AR416" s="392">
        <f t="shared" si="160"/>
        <v>1</v>
      </c>
      <c r="AS416" s="392">
        <f t="shared" si="160"/>
        <v>1</v>
      </c>
    </row>
    <row r="417" spans="1:45">
      <c r="A417" s="12" t="s">
        <v>1660</v>
      </c>
      <c r="B417" s="54" t="str">
        <f t="shared" si="163"/>
        <v>AZ_Maric_2020g</v>
      </c>
      <c r="C417" s="12"/>
      <c r="D417" s="54" t="str">
        <f t="shared" si="164"/>
        <v>Gen-roosevelt esd #66-gbm-4yr (vote for3)</v>
      </c>
      <c r="E417" s="54" t="s">
        <v>1826</v>
      </c>
      <c r="F417" s="12" t="s">
        <v>1300</v>
      </c>
      <c r="G417" s="59">
        <v>213</v>
      </c>
      <c r="H417"/>
      <c r="K417" s="2"/>
      <c r="O417">
        <f t="shared" si="165"/>
        <v>-5</v>
      </c>
      <c r="P417" s="57">
        <f t="shared" si="166"/>
        <v>3</v>
      </c>
      <c r="Q417" s="267">
        <f t="shared" si="167"/>
        <v>264</v>
      </c>
      <c r="R417" s="23">
        <f t="shared" si="168"/>
        <v>1</v>
      </c>
      <c r="S417" s="23">
        <f t="shared" si="169"/>
        <v>0</v>
      </c>
      <c r="T417" s="23" t="str">
        <f t="shared" si="170"/>
        <v/>
      </c>
      <c r="U417" t="str">
        <f t="shared" si="171"/>
        <v/>
      </c>
      <c r="W417" s="1">
        <f t="shared" si="172"/>
        <v>1</v>
      </c>
      <c r="X417" s="73">
        <f t="shared" si="161"/>
        <v>15</v>
      </c>
      <c r="Y417" s="322">
        <f t="shared" si="173"/>
        <v>15</v>
      </c>
      <c r="Z417" s="43">
        <f t="shared" si="162"/>
        <v>98.019865810779152</v>
      </c>
      <c r="AA417" s="52">
        <f t="shared" si="174"/>
        <v>0.9801986581077915</v>
      </c>
      <c r="AB417" s="8">
        <f t="shared" si="175"/>
        <v>12897.66</v>
      </c>
      <c r="AC417" s="8">
        <f t="shared" si="176"/>
        <v>1289766</v>
      </c>
      <c r="AD417" s="8">
        <f t="shared" si="180"/>
        <v>6448.83</v>
      </c>
      <c r="AE417" s="8" t="str">
        <f t="shared" si="177"/>
        <v/>
      </c>
      <c r="AF417" s="22" t="str">
        <f t="shared" si="178"/>
        <v>CA_Ventu_2020g</v>
      </c>
      <c r="AG417">
        <v>1</v>
      </c>
      <c r="AH417" s="272">
        <v>15</v>
      </c>
      <c r="AI417" s="273">
        <v>6</v>
      </c>
      <c r="AJ417" s="274">
        <v>4</v>
      </c>
      <c r="AK417" s="339">
        <v>2</v>
      </c>
      <c r="AL417" s="340" t="s">
        <v>4746</v>
      </c>
      <c r="AM417" s="353">
        <f t="shared" si="179"/>
        <v>1.5506688810218288E-6</v>
      </c>
      <c r="AN417" s="354"/>
      <c r="AP417" s="23">
        <f t="shared" si="181"/>
        <v>0</v>
      </c>
      <c r="AQ417" s="392">
        <f t="shared" si="159"/>
        <v>0</v>
      </c>
      <c r="AR417" s="392">
        <f t="shared" si="160"/>
        <v>0</v>
      </c>
      <c r="AS417" s="392">
        <f t="shared" si="160"/>
        <v>0</v>
      </c>
    </row>
    <row r="418" spans="1:45">
      <c r="A418" s="12" t="s">
        <v>1660</v>
      </c>
      <c r="B418" s="54" t="str">
        <f t="shared" si="163"/>
        <v>AZ_Maric_2020g</v>
      </c>
      <c r="C418" s="12"/>
      <c r="D418" s="54" t="str">
        <f t="shared" si="164"/>
        <v>Gen-roosevelt esd #66-gbm-4yr (vote for3)</v>
      </c>
      <c r="E418" s="54" t="s">
        <v>1928</v>
      </c>
      <c r="F418" s="12" t="s">
        <v>1300</v>
      </c>
      <c r="G418" s="59">
        <v>51</v>
      </c>
      <c r="H418"/>
      <c r="K418" s="2"/>
      <c r="O418">
        <f t="shared" si="165"/>
        <v>-5</v>
      </c>
      <c r="P418" s="57">
        <f t="shared" si="166"/>
        <v>3</v>
      </c>
      <c r="Q418" s="267">
        <f t="shared" si="167"/>
        <v>51</v>
      </c>
      <c r="R418" s="23">
        <f t="shared" si="168"/>
        <v>1</v>
      </c>
      <c r="S418" s="23">
        <f t="shared" si="169"/>
        <v>0</v>
      </c>
      <c r="T418" s="23" t="str">
        <f t="shared" si="170"/>
        <v/>
      </c>
      <c r="U418" t="str">
        <f t="shared" si="171"/>
        <v/>
      </c>
      <c r="W418" s="1">
        <f t="shared" si="172"/>
        <v>2</v>
      </c>
      <c r="X418" s="73">
        <f t="shared" si="161"/>
        <v>15.5</v>
      </c>
      <c r="Y418" s="322">
        <f t="shared" si="173"/>
        <v>15.5</v>
      </c>
      <c r="Z418" s="43">
        <f t="shared" si="162"/>
        <v>85.214294326811029</v>
      </c>
      <c r="AA418" s="52">
        <f t="shared" si="174"/>
        <v>0.85214294326811024</v>
      </c>
      <c r="AB418" s="8">
        <f t="shared" si="175"/>
        <v>12897.66</v>
      </c>
      <c r="AC418" s="8">
        <f t="shared" si="176"/>
        <v>1289766</v>
      </c>
      <c r="AD418" s="8">
        <f t="shared" si="180"/>
        <v>6448.83</v>
      </c>
      <c r="AE418" s="8" t="str">
        <f t="shared" si="177"/>
        <v/>
      </c>
      <c r="AF418" s="22" t="str">
        <f t="shared" si="178"/>
        <v>CA_Ventu_2020g</v>
      </c>
      <c r="AG418">
        <v>1</v>
      </c>
      <c r="AH418" s="272">
        <v>40</v>
      </c>
      <c r="AI418" s="273">
        <v>27</v>
      </c>
      <c r="AJ418" s="274">
        <v>11</v>
      </c>
      <c r="AK418" s="339">
        <v>16</v>
      </c>
      <c r="AL418" s="340" t="s">
        <v>4751</v>
      </c>
      <c r="AM418" s="353">
        <f t="shared" si="179"/>
        <v>1.240535104817463E-5</v>
      </c>
      <c r="AN418" s="354"/>
      <c r="AP418" s="23">
        <f t="shared" si="181"/>
        <v>0</v>
      </c>
      <c r="AQ418" s="392">
        <f t="shared" si="159"/>
        <v>0</v>
      </c>
      <c r="AR418" s="392">
        <f t="shared" si="160"/>
        <v>0</v>
      </c>
      <c r="AS418" s="392">
        <f t="shared" si="160"/>
        <v>0</v>
      </c>
    </row>
    <row r="419" spans="1:45">
      <c r="A419" s="12" t="s">
        <v>1661</v>
      </c>
      <c r="B419" s="54" t="str">
        <f t="shared" si="163"/>
        <v>AZ_Maric_2020g</v>
      </c>
      <c r="C419" s="12"/>
      <c r="D419" s="54" t="str">
        <f t="shared" si="164"/>
        <v>Gen-roosevelt esd #66-question (vote for1)</v>
      </c>
      <c r="E419" s="54" t="s">
        <v>2001</v>
      </c>
      <c r="F419" s="12" t="s">
        <v>1300</v>
      </c>
      <c r="G419" s="59">
        <v>19595</v>
      </c>
      <c r="H419"/>
      <c r="K419" s="2"/>
      <c r="O419">
        <f t="shared" si="165"/>
        <v>1</v>
      </c>
      <c r="P419" s="57">
        <f t="shared" si="166"/>
        <v>1</v>
      </c>
      <c r="Q419" s="267">
        <f t="shared" si="167"/>
        <v>36130</v>
      </c>
      <c r="R419" s="23">
        <f t="shared" si="168"/>
        <v>19595</v>
      </c>
      <c r="S419" s="23">
        <f t="shared" si="169"/>
        <v>16535</v>
      </c>
      <c r="T419" s="23">
        <f t="shared" si="170"/>
        <v>3060</v>
      </c>
      <c r="U419" t="str">
        <f t="shared" si="171"/>
        <v>AZ_Maric_2020g~Gen-roosevelt esd #66-question (vote for1)</v>
      </c>
      <c r="W419" s="1">
        <f t="shared" si="172"/>
        <v>3</v>
      </c>
      <c r="X419" s="73">
        <f t="shared" si="161"/>
        <v>328.32444444444445</v>
      </c>
      <c r="Y419" s="322">
        <f t="shared" si="173"/>
        <v>328.32444444444445</v>
      </c>
      <c r="Z419" s="43">
        <f t="shared" si="162"/>
        <v>63.762314597700765</v>
      </c>
      <c r="AA419" s="52">
        <f t="shared" si="174"/>
        <v>0.63762314597700764</v>
      </c>
      <c r="AB419" s="8">
        <f t="shared" si="175"/>
        <v>12897.66</v>
      </c>
      <c r="AC419" s="8">
        <f t="shared" si="176"/>
        <v>1289766</v>
      </c>
      <c r="AD419" s="8">
        <f t="shared" si="180"/>
        <v>6448.83</v>
      </c>
      <c r="AE419" s="8" t="str">
        <f t="shared" si="177"/>
        <v/>
      </c>
      <c r="AF419" s="22" t="str">
        <f t="shared" si="178"/>
        <v>CA_Ventu_2020g</v>
      </c>
      <c r="AG419">
        <v>1</v>
      </c>
      <c r="AH419" s="272">
        <v>2383</v>
      </c>
      <c r="AI419" s="273">
        <v>662</v>
      </c>
      <c r="AJ419" s="274">
        <v>617</v>
      </c>
      <c r="AK419" s="339">
        <v>45</v>
      </c>
      <c r="AL419" s="340" t="s">
        <v>4681</v>
      </c>
      <c r="AM419" s="353">
        <f t="shared" si="179"/>
        <v>3.4890049822991144E-5</v>
      </c>
      <c r="AN419" s="354"/>
      <c r="AP419" s="23">
        <f t="shared" si="181"/>
        <v>0</v>
      </c>
      <c r="AQ419" s="392">
        <f t="shared" si="159"/>
        <v>0</v>
      </c>
      <c r="AR419" s="392">
        <f t="shared" si="160"/>
        <v>0</v>
      </c>
      <c r="AS419" s="392">
        <f t="shared" si="160"/>
        <v>0</v>
      </c>
    </row>
    <row r="420" spans="1:45">
      <c r="A420" s="12" t="s">
        <v>1661</v>
      </c>
      <c r="B420" s="54" t="str">
        <f t="shared" si="163"/>
        <v>AZ_Maric_2020g</v>
      </c>
      <c r="C420" s="12"/>
      <c r="D420" s="54" t="str">
        <f t="shared" si="164"/>
        <v>Gen-roosevelt esd #66-question (vote for1)</v>
      </c>
      <c r="E420" s="54" t="s">
        <v>2002</v>
      </c>
      <c r="F420" s="12" t="s">
        <v>1300</v>
      </c>
      <c r="G420" s="59">
        <v>16535</v>
      </c>
      <c r="H420"/>
      <c r="K420" s="2"/>
      <c r="O420">
        <f t="shared" si="165"/>
        <v>2</v>
      </c>
      <c r="P420" s="57">
        <f t="shared" si="166"/>
        <v>1</v>
      </c>
      <c r="Q420" s="267">
        <f t="shared" si="167"/>
        <v>16535</v>
      </c>
      <c r="R420" s="23" t="str">
        <f t="shared" si="168"/>
        <v/>
      </c>
      <c r="S420" s="23">
        <f t="shared" si="169"/>
        <v>16535</v>
      </c>
      <c r="T420" s="23" t="str">
        <f t="shared" si="170"/>
        <v/>
      </c>
      <c r="U420" t="str">
        <f t="shared" si="171"/>
        <v/>
      </c>
      <c r="W420" s="1">
        <f t="shared" si="172"/>
        <v>4</v>
      </c>
      <c r="X420" s="73">
        <f t="shared" si="161"/>
        <v>101.48421052631579</v>
      </c>
      <c r="Y420" s="322">
        <f t="shared" si="173"/>
        <v>101.48421052631579</v>
      </c>
      <c r="Z420" s="43">
        <f t="shared" si="162"/>
        <v>46.765595488851915</v>
      </c>
      <c r="AA420" s="52">
        <f t="shared" si="174"/>
        <v>0.46765595488851913</v>
      </c>
      <c r="AB420" s="8">
        <f t="shared" si="175"/>
        <v>12897.66</v>
      </c>
      <c r="AC420" s="8">
        <f t="shared" si="176"/>
        <v>1289766</v>
      </c>
      <c r="AD420" s="8">
        <f t="shared" si="180"/>
        <v>6448.83</v>
      </c>
      <c r="AE420" s="8" t="str">
        <f t="shared" si="177"/>
        <v/>
      </c>
      <c r="AF420" s="22" t="str">
        <f t="shared" si="178"/>
        <v>CA_Ventu_2020g</v>
      </c>
      <c r="AG420" s="23">
        <v>1</v>
      </c>
      <c r="AH420" s="8">
        <v>1244</v>
      </c>
      <c r="AI420" s="273">
        <v>660</v>
      </c>
      <c r="AJ420" s="274">
        <v>584</v>
      </c>
      <c r="AK420" s="339">
        <v>76</v>
      </c>
      <c r="AL420" s="344" t="s">
        <v>4718</v>
      </c>
      <c r="AM420" s="353">
        <f t="shared" si="179"/>
        <v>5.892541747882949E-5</v>
      </c>
      <c r="AN420" s="354"/>
      <c r="AP420" s="23">
        <f t="shared" si="181"/>
        <v>0</v>
      </c>
      <c r="AQ420" s="392">
        <f t="shared" si="159"/>
        <v>0</v>
      </c>
      <c r="AR420" s="392">
        <f t="shared" si="160"/>
        <v>0</v>
      </c>
      <c r="AS420" s="392">
        <f t="shared" si="160"/>
        <v>0</v>
      </c>
    </row>
    <row r="421" spans="1:45">
      <c r="A421" s="12" t="s">
        <v>1670</v>
      </c>
      <c r="B421" s="54" t="str">
        <f t="shared" si="163"/>
        <v>AZ_Maric_2020g</v>
      </c>
      <c r="C421" s="12"/>
      <c r="D421" s="54" t="str">
        <f t="shared" si="164"/>
        <v>Gen-saddle mtn usd #90-question (vote for1)</v>
      </c>
      <c r="E421" s="54" t="s">
        <v>2015</v>
      </c>
      <c r="F421" s="12" t="s">
        <v>1300</v>
      </c>
      <c r="G421" s="59">
        <v>2954</v>
      </c>
      <c r="H421"/>
      <c r="K421" s="2"/>
      <c r="O421">
        <f t="shared" si="165"/>
        <v>1</v>
      </c>
      <c r="P421" s="57">
        <f t="shared" si="166"/>
        <v>1</v>
      </c>
      <c r="Q421" s="267">
        <f t="shared" si="167"/>
        <v>5320</v>
      </c>
      <c r="R421" s="23">
        <f t="shared" si="168"/>
        <v>2954</v>
      </c>
      <c r="S421" s="23">
        <f t="shared" si="169"/>
        <v>2366</v>
      </c>
      <c r="T421" s="23">
        <f t="shared" si="170"/>
        <v>588</v>
      </c>
      <c r="U421" t="str">
        <f t="shared" si="171"/>
        <v>AZ_Maric_2020g~Gen-saddle mtn usd #90-question (vote for1)</v>
      </c>
      <c r="W421" s="1">
        <f t="shared" si="172"/>
        <v>5</v>
      </c>
      <c r="X421" s="73">
        <f t="shared" si="161"/>
        <v>387.89075630252103</v>
      </c>
      <c r="Y421" s="322">
        <f t="shared" si="173"/>
        <v>513.70500000000004</v>
      </c>
      <c r="Z421" s="43">
        <f t="shared" si="162"/>
        <v>30.420456249407813</v>
      </c>
      <c r="AA421" s="52">
        <f t="shared" si="174"/>
        <v>0.30420456249407812</v>
      </c>
      <c r="AB421" s="8">
        <f t="shared" si="175"/>
        <v>12897.66</v>
      </c>
      <c r="AC421" s="8">
        <f t="shared" si="176"/>
        <v>1289766</v>
      </c>
      <c r="AD421" s="8">
        <f t="shared" si="180"/>
        <v>6448.83</v>
      </c>
      <c r="AE421" s="8" t="str">
        <f t="shared" si="177"/>
        <v/>
      </c>
      <c r="AF421" s="22" t="str">
        <f t="shared" si="178"/>
        <v>CA_Ventu_2020g</v>
      </c>
      <c r="AG421">
        <v>1</v>
      </c>
      <c r="AH421" s="272">
        <v>7445</v>
      </c>
      <c r="AI421" s="273">
        <v>3069</v>
      </c>
      <c r="AJ421" s="274">
        <v>2950</v>
      </c>
      <c r="AK421" s="339">
        <v>119</v>
      </c>
      <c r="AL421" s="340" t="s">
        <v>4745</v>
      </c>
      <c r="AM421" s="353">
        <f t="shared" si="179"/>
        <v>9.2264798420798805E-5</v>
      </c>
      <c r="AN421" s="354"/>
      <c r="AP421" s="23">
        <f t="shared" si="181"/>
        <v>0</v>
      </c>
      <c r="AQ421" s="392">
        <f t="shared" si="159"/>
        <v>0</v>
      </c>
      <c r="AR421" s="392">
        <f t="shared" si="160"/>
        <v>0</v>
      </c>
      <c r="AS421" s="392">
        <f t="shared" si="160"/>
        <v>0</v>
      </c>
    </row>
    <row r="422" spans="1:45">
      <c r="A422" s="12" t="s">
        <v>1670</v>
      </c>
      <c r="B422" s="54" t="str">
        <f t="shared" si="163"/>
        <v>AZ_Maric_2020g</v>
      </c>
      <c r="C422" s="12"/>
      <c r="D422" s="54" t="str">
        <f t="shared" si="164"/>
        <v>Gen-saddle mtn usd #90-question (vote for1)</v>
      </c>
      <c r="E422" s="54" t="s">
        <v>2016</v>
      </c>
      <c r="F422" s="12" t="s">
        <v>1300</v>
      </c>
      <c r="G422" s="59">
        <v>2366</v>
      </c>
      <c r="H422"/>
      <c r="K422" s="2"/>
      <c r="O422">
        <f t="shared" si="165"/>
        <v>2</v>
      </c>
      <c r="P422" s="57">
        <f t="shared" si="166"/>
        <v>1</v>
      </c>
      <c r="Q422" s="267">
        <f t="shared" si="167"/>
        <v>2366</v>
      </c>
      <c r="R422" s="23" t="str">
        <f t="shared" si="168"/>
        <v/>
      </c>
      <c r="S422" s="23">
        <f t="shared" si="169"/>
        <v>2366</v>
      </c>
      <c r="T422" s="23" t="str">
        <f t="shared" si="170"/>
        <v/>
      </c>
      <c r="U422" t="str">
        <f t="shared" si="171"/>
        <v/>
      </c>
      <c r="W422" s="1">
        <f t="shared" si="172"/>
        <v>6</v>
      </c>
      <c r="X422" s="73">
        <f t="shared" si="161"/>
        <v>49.716981132075475</v>
      </c>
      <c r="Y422" s="322">
        <f t="shared" si="173"/>
        <v>87.975000000000009</v>
      </c>
      <c r="Z422" s="43">
        <f t="shared" si="162"/>
        <v>20.390562510705568</v>
      </c>
      <c r="AA422" s="52">
        <f t="shared" si="174"/>
        <v>0.20390562510705568</v>
      </c>
      <c r="AB422" s="8">
        <f t="shared" si="175"/>
        <v>12897.66</v>
      </c>
      <c r="AC422" s="8">
        <f t="shared" si="176"/>
        <v>1289766</v>
      </c>
      <c r="AD422" s="8">
        <f t="shared" si="180"/>
        <v>6448.83</v>
      </c>
      <c r="AE422" s="8" t="str">
        <f t="shared" si="177"/>
        <v/>
      </c>
      <c r="AF422" s="22" t="str">
        <f t="shared" si="178"/>
        <v>CA_Ventu_2020g</v>
      </c>
      <c r="AG422">
        <v>1</v>
      </c>
      <c r="AH422" s="272">
        <v>1275</v>
      </c>
      <c r="AI422" s="273">
        <v>717</v>
      </c>
      <c r="AJ422" s="274">
        <v>558</v>
      </c>
      <c r="AK422" s="339">
        <v>159</v>
      </c>
      <c r="AL422" s="340" t="s">
        <v>4679</v>
      </c>
      <c r="AM422" s="353">
        <f t="shared" si="179"/>
        <v>1.2327817604123538E-4</v>
      </c>
      <c r="AN422" s="354"/>
      <c r="AP422" s="23">
        <f t="shared" si="181"/>
        <v>0</v>
      </c>
      <c r="AQ422" s="392">
        <f t="shared" si="159"/>
        <v>0</v>
      </c>
      <c r="AR422" s="392">
        <f t="shared" si="160"/>
        <v>0</v>
      </c>
      <c r="AS422" s="392">
        <f t="shared" si="160"/>
        <v>0</v>
      </c>
    </row>
    <row r="423" spans="1:45">
      <c r="A423" s="12" t="s">
        <v>1654</v>
      </c>
      <c r="B423" s="54" t="str">
        <f t="shared" si="163"/>
        <v>AZ_Maric_2020g</v>
      </c>
      <c r="C423" s="12"/>
      <c r="D423" s="54" t="str">
        <f t="shared" si="164"/>
        <v>Gen-scottsdale usd #48-gbm-4yr (vote for3)</v>
      </c>
      <c r="E423" s="54" t="s">
        <v>2096</v>
      </c>
      <c r="F423" s="12" t="s">
        <v>1300</v>
      </c>
      <c r="G423" s="59">
        <v>55304</v>
      </c>
      <c r="H423"/>
      <c r="K423" s="2"/>
      <c r="O423">
        <f t="shared" si="165"/>
        <v>1</v>
      </c>
      <c r="P423" s="57">
        <f t="shared" si="166"/>
        <v>3</v>
      </c>
      <c r="Q423" s="267">
        <f t="shared" si="167"/>
        <v>83738.666666666672</v>
      </c>
      <c r="R423" s="23">
        <f t="shared" si="168"/>
        <v>41853</v>
      </c>
      <c r="S423" s="23">
        <f t="shared" si="169"/>
        <v>41470</v>
      </c>
      <c r="T423" s="23">
        <f t="shared" si="170"/>
        <v>383</v>
      </c>
      <c r="U423" t="str">
        <f t="shared" si="171"/>
        <v>AZ_Maric_2020g~Gen-scottsdale usd #48-gbm-4yr (vote for3)</v>
      </c>
      <c r="W423" s="1">
        <f t="shared" si="172"/>
        <v>7</v>
      </c>
      <c r="X423" s="73">
        <f t="shared" si="161"/>
        <v>42.053714285714285</v>
      </c>
      <c r="Y423" s="322">
        <f t="shared" si="173"/>
        <v>81.903000000000006</v>
      </c>
      <c r="Z423" s="43">
        <f t="shared" si="162"/>
        <v>17.375331183014797</v>
      </c>
      <c r="AA423" s="52">
        <f t="shared" si="174"/>
        <v>0.17375331183014797</v>
      </c>
      <c r="AB423" s="8">
        <f t="shared" si="175"/>
        <v>12897.66</v>
      </c>
      <c r="AC423" s="8">
        <f t="shared" si="176"/>
        <v>1289766</v>
      </c>
      <c r="AD423" s="8">
        <f t="shared" si="180"/>
        <v>6448.83</v>
      </c>
      <c r="AE423" s="8" t="str">
        <f t="shared" si="177"/>
        <v/>
      </c>
      <c r="AF423" s="22" t="str">
        <f t="shared" si="178"/>
        <v>CA_Ventu_2020g</v>
      </c>
      <c r="AG423">
        <v>1</v>
      </c>
      <c r="AH423" s="272">
        <v>1187</v>
      </c>
      <c r="AI423" s="273">
        <v>681</v>
      </c>
      <c r="AJ423" s="274">
        <v>506</v>
      </c>
      <c r="AK423" s="339">
        <v>175</v>
      </c>
      <c r="AL423" s="340" t="s">
        <v>4723</v>
      </c>
      <c r="AM423" s="353">
        <f t="shared" si="179"/>
        <v>1.3568352708941001E-4</v>
      </c>
      <c r="AN423" s="354"/>
      <c r="AP423" s="23">
        <f t="shared" si="181"/>
        <v>0</v>
      </c>
      <c r="AQ423" s="392">
        <f t="shared" si="159"/>
        <v>0</v>
      </c>
      <c r="AR423" s="392">
        <f t="shared" si="160"/>
        <v>0</v>
      </c>
      <c r="AS423" s="392">
        <f t="shared" si="160"/>
        <v>0</v>
      </c>
    </row>
    <row r="424" spans="1:45">
      <c r="A424" s="12" t="s">
        <v>1654</v>
      </c>
      <c r="B424" s="54" t="str">
        <f t="shared" si="163"/>
        <v>AZ_Maric_2020g</v>
      </c>
      <c r="C424" s="12"/>
      <c r="D424" s="54" t="str">
        <f t="shared" si="164"/>
        <v>Gen-scottsdale usd #48-gbm-4yr (vote for3)</v>
      </c>
      <c r="E424" s="54" t="s">
        <v>2098</v>
      </c>
      <c r="F424" s="12" t="s">
        <v>1300</v>
      </c>
      <c r="G424" s="59">
        <v>43858</v>
      </c>
      <c r="H424"/>
      <c r="K424" s="2"/>
      <c r="O424">
        <f t="shared" si="165"/>
        <v>2</v>
      </c>
      <c r="P424" s="57">
        <f t="shared" si="166"/>
        <v>3</v>
      </c>
      <c r="Q424" s="267">
        <f t="shared" si="167"/>
        <v>195912</v>
      </c>
      <c r="R424" s="23">
        <f t="shared" si="168"/>
        <v>41853</v>
      </c>
      <c r="S424" s="23">
        <f t="shared" si="169"/>
        <v>41470</v>
      </c>
      <c r="T424" s="23" t="str">
        <f t="shared" si="170"/>
        <v/>
      </c>
      <c r="U424" t="str">
        <f t="shared" si="171"/>
        <v/>
      </c>
      <c r="W424" s="1">
        <f t="shared" si="172"/>
        <v>8</v>
      </c>
      <c r="X424" s="73">
        <f t="shared" si="161"/>
        <v>55.491542288557213</v>
      </c>
      <c r="Y424" s="322">
        <f t="shared" si="173"/>
        <v>124.13100000000001</v>
      </c>
      <c r="Z424" s="43">
        <f t="shared" si="162"/>
        <v>13.3967688633539</v>
      </c>
      <c r="AA424" s="52">
        <f t="shared" si="174"/>
        <v>0.133967688633539</v>
      </c>
      <c r="AB424" s="8">
        <f t="shared" si="175"/>
        <v>12897.66</v>
      </c>
      <c r="AC424" s="8">
        <f t="shared" si="176"/>
        <v>1289766</v>
      </c>
      <c r="AD424" s="8">
        <f t="shared" si="180"/>
        <v>6448.83</v>
      </c>
      <c r="AE424" s="8" t="str">
        <f t="shared" si="177"/>
        <v/>
      </c>
      <c r="AF424" s="22" t="str">
        <f t="shared" si="178"/>
        <v>CA_Ventu_2020g</v>
      </c>
      <c r="AG424">
        <v>1</v>
      </c>
      <c r="AH424" s="272">
        <v>1799</v>
      </c>
      <c r="AI424" s="273">
        <v>1000</v>
      </c>
      <c r="AJ424" s="274">
        <v>799</v>
      </c>
      <c r="AK424" s="339">
        <v>201</v>
      </c>
      <c r="AL424" s="340" t="s">
        <v>4728</v>
      </c>
      <c r="AM424" s="353">
        <f t="shared" si="179"/>
        <v>1.558422225426938E-4</v>
      </c>
      <c r="AN424" s="354"/>
      <c r="AP424" s="23">
        <f t="shared" si="181"/>
        <v>0</v>
      </c>
      <c r="AQ424" s="392">
        <f t="shared" si="159"/>
        <v>0</v>
      </c>
      <c r="AR424" s="392">
        <f t="shared" si="160"/>
        <v>0</v>
      </c>
      <c r="AS424" s="392">
        <f t="shared" si="160"/>
        <v>0</v>
      </c>
    </row>
    <row r="425" spans="1:45">
      <c r="A425" s="12" t="s">
        <v>1654</v>
      </c>
      <c r="B425" s="54" t="str">
        <f t="shared" si="163"/>
        <v>AZ_Maric_2020g</v>
      </c>
      <c r="C425" s="12"/>
      <c r="D425" s="54" t="str">
        <f t="shared" si="164"/>
        <v>Gen-scottsdale usd #48-gbm-4yr (vote for3)</v>
      </c>
      <c r="E425" s="54" t="s">
        <v>2099</v>
      </c>
      <c r="F425" s="12" t="s">
        <v>1300</v>
      </c>
      <c r="G425" s="59">
        <v>41853</v>
      </c>
      <c r="H425"/>
      <c r="K425" s="2"/>
      <c r="O425">
        <f t="shared" si="165"/>
        <v>3</v>
      </c>
      <c r="P425" s="57">
        <f t="shared" si="166"/>
        <v>3</v>
      </c>
      <c r="Q425" s="267">
        <f t="shared" si="167"/>
        <v>152054</v>
      </c>
      <c r="R425" s="23">
        <f t="shared" si="168"/>
        <v>41853</v>
      </c>
      <c r="S425" s="23">
        <f t="shared" si="169"/>
        <v>41470</v>
      </c>
      <c r="T425" s="23" t="str">
        <f t="shared" si="170"/>
        <v/>
      </c>
      <c r="U425" t="str">
        <f t="shared" si="171"/>
        <v/>
      </c>
      <c r="W425" s="1">
        <f t="shared" si="172"/>
        <v>9</v>
      </c>
      <c r="X425" s="73">
        <f t="shared" si="161"/>
        <v>266.99126213592234</v>
      </c>
      <c r="Y425" s="322">
        <f t="shared" si="173"/>
        <v>612.09900000000005</v>
      </c>
      <c r="Z425" s="43">
        <f t="shared" si="162"/>
        <v>12.743300187557299</v>
      </c>
      <c r="AA425" s="52">
        <f t="shared" si="174"/>
        <v>0.12743300187557299</v>
      </c>
      <c r="AB425" s="8">
        <f t="shared" si="175"/>
        <v>12897.66</v>
      </c>
      <c r="AC425" s="8">
        <f t="shared" si="176"/>
        <v>1289766</v>
      </c>
      <c r="AD425" s="8">
        <f t="shared" si="180"/>
        <v>6448.83</v>
      </c>
      <c r="AE425" s="8" t="str">
        <f t="shared" si="177"/>
        <v/>
      </c>
      <c r="AF425" s="22" t="str">
        <f t="shared" si="178"/>
        <v>CA_Ventu_2020g</v>
      </c>
      <c r="AG425">
        <v>1</v>
      </c>
      <c r="AH425" s="272">
        <v>8871</v>
      </c>
      <c r="AI425" s="273">
        <v>3735</v>
      </c>
      <c r="AJ425" s="274">
        <v>3529</v>
      </c>
      <c r="AK425" s="339">
        <v>206</v>
      </c>
      <c r="AL425" s="340" t="s">
        <v>4743</v>
      </c>
      <c r="AM425" s="353">
        <f t="shared" si="179"/>
        <v>1.5971889474524837E-4</v>
      </c>
      <c r="AN425" s="354"/>
      <c r="AP425" s="23">
        <f t="shared" si="181"/>
        <v>0</v>
      </c>
      <c r="AQ425" s="392">
        <f t="shared" ref="AQ425:AQ488" si="182">IF($AP425=$AD425,1,IF($AP425=0,0, 1-HYPGEOMDIST(0, ROUNDUP(RIGHT(AQ$1,4)*$AD425,0),$AP425, $AD425)))</f>
        <v>0</v>
      </c>
      <c r="AR425" s="392">
        <f t="shared" ref="AR425:AS488" si="183">IF($AP425=$AD425,1,IF($AP425=0,0, 1-HYPGEOMDIST(0, ROUNDUP(RIGHT(AR$1,4)*$AD425,0),$AP425, $AD425)))</f>
        <v>0</v>
      </c>
      <c r="AS425" s="392">
        <f t="shared" si="183"/>
        <v>0</v>
      </c>
    </row>
    <row r="426" spans="1:45">
      <c r="A426" s="12" t="s">
        <v>1654</v>
      </c>
      <c r="B426" s="54" t="str">
        <f t="shared" si="163"/>
        <v>AZ_Maric_2020g</v>
      </c>
      <c r="C426" s="12"/>
      <c r="D426" s="54" t="str">
        <f t="shared" si="164"/>
        <v>Gen-scottsdale usd #48-gbm-4yr (vote for3)</v>
      </c>
      <c r="E426" s="54" t="s">
        <v>2100</v>
      </c>
      <c r="F426" s="12" t="s">
        <v>1300</v>
      </c>
      <c r="G426" s="59">
        <v>41470</v>
      </c>
      <c r="H426"/>
      <c r="K426" s="2"/>
      <c r="O426">
        <f t="shared" si="165"/>
        <v>4</v>
      </c>
      <c r="P426" s="57">
        <f t="shared" si="166"/>
        <v>3</v>
      </c>
      <c r="Q426" s="267">
        <f t="shared" si="167"/>
        <v>110201</v>
      </c>
      <c r="R426" s="23" t="str">
        <f t="shared" si="168"/>
        <v/>
      </c>
      <c r="S426" s="23">
        <f t="shared" si="169"/>
        <v>41470</v>
      </c>
      <c r="T426" s="23" t="str">
        <f t="shared" si="170"/>
        <v/>
      </c>
      <c r="U426" t="str">
        <f t="shared" si="171"/>
        <v/>
      </c>
      <c r="W426" s="1">
        <f t="shared" si="172"/>
        <v>10</v>
      </c>
      <c r="X426" s="73">
        <f t="shared" si="161"/>
        <v>311.45432098765434</v>
      </c>
      <c r="Y426" s="322">
        <f t="shared" si="173"/>
        <v>842.28300000000002</v>
      </c>
      <c r="Z426" s="43">
        <f t="shared" si="162"/>
        <v>8.8016679528003721</v>
      </c>
      <c r="AA426" s="52">
        <f t="shared" si="174"/>
        <v>8.8016679528003725E-2</v>
      </c>
      <c r="AB426" s="8">
        <f t="shared" si="175"/>
        <v>12897.66</v>
      </c>
      <c r="AC426" s="8">
        <f t="shared" si="176"/>
        <v>1289766</v>
      </c>
      <c r="AD426" s="8">
        <f t="shared" si="180"/>
        <v>6448.83</v>
      </c>
      <c r="AE426" s="8" t="str">
        <f t="shared" si="177"/>
        <v/>
      </c>
      <c r="AF426" s="22" t="str">
        <f t="shared" si="178"/>
        <v>CA_Ventu_2020g</v>
      </c>
      <c r="AG426">
        <v>1</v>
      </c>
      <c r="AH426" s="272">
        <v>12207</v>
      </c>
      <c r="AI426" s="273">
        <v>2903</v>
      </c>
      <c r="AJ426" s="274">
        <v>2660</v>
      </c>
      <c r="AK426" s="339">
        <v>243</v>
      </c>
      <c r="AL426" s="340" t="s">
        <v>4738</v>
      </c>
      <c r="AM426" s="353">
        <f t="shared" si="179"/>
        <v>1.884062690441522E-4</v>
      </c>
      <c r="AN426" s="354"/>
      <c r="AP426" s="23">
        <f t="shared" si="181"/>
        <v>0</v>
      </c>
      <c r="AQ426" s="392">
        <f t="shared" si="182"/>
        <v>0</v>
      </c>
      <c r="AR426" s="392">
        <f t="shared" si="183"/>
        <v>0</v>
      </c>
      <c r="AS426" s="392">
        <f t="shared" si="183"/>
        <v>0</v>
      </c>
    </row>
    <row r="427" spans="1:45">
      <c r="A427" s="12" t="s">
        <v>1654</v>
      </c>
      <c r="B427" s="54" t="str">
        <f t="shared" si="163"/>
        <v>AZ_Maric_2020g</v>
      </c>
      <c r="C427" s="12"/>
      <c r="D427" s="54" t="str">
        <f t="shared" si="164"/>
        <v>Gen-scottsdale usd #48-gbm-4yr (vote for3)</v>
      </c>
      <c r="E427" s="54" t="s">
        <v>2095</v>
      </c>
      <c r="F427" s="12" t="s">
        <v>1300</v>
      </c>
      <c r="G427" s="59">
        <v>35410</v>
      </c>
      <c r="H427"/>
      <c r="K427" s="2"/>
      <c r="O427">
        <f t="shared" si="165"/>
        <v>5</v>
      </c>
      <c r="P427" s="57">
        <f t="shared" si="166"/>
        <v>3</v>
      </c>
      <c r="Q427" s="267">
        <f t="shared" si="167"/>
        <v>68731</v>
      </c>
      <c r="R427" s="23" t="str">
        <f t="shared" si="168"/>
        <v/>
      </c>
      <c r="S427" s="23">
        <f t="shared" si="169"/>
        <v>35410</v>
      </c>
      <c r="T427" s="23" t="str">
        <f t="shared" si="170"/>
        <v/>
      </c>
      <c r="U427" t="str">
        <f t="shared" si="171"/>
        <v/>
      </c>
      <c r="W427" s="1">
        <f t="shared" si="172"/>
        <v>11</v>
      </c>
      <c r="X427" s="73">
        <f t="shared" si="161"/>
        <v>418.05369649805448</v>
      </c>
      <c r="Y427" s="322">
        <f t="shared" si="173"/>
        <v>1195.701</v>
      </c>
      <c r="Z427" s="43">
        <f t="shared" si="162"/>
        <v>7.6515948378581653</v>
      </c>
      <c r="AA427" s="52">
        <f t="shared" si="174"/>
        <v>7.6515948378581652E-2</v>
      </c>
      <c r="AB427" s="8">
        <f t="shared" si="175"/>
        <v>12897.66</v>
      </c>
      <c r="AC427" s="8">
        <f t="shared" si="176"/>
        <v>1289766</v>
      </c>
      <c r="AD427" s="8">
        <f t="shared" si="180"/>
        <v>6448.83</v>
      </c>
      <c r="AE427" s="8" t="str">
        <f t="shared" si="177"/>
        <v/>
      </c>
      <c r="AF427" s="22" t="str">
        <f t="shared" si="178"/>
        <v>CA_Ventu_2020g</v>
      </c>
      <c r="AG427">
        <v>1</v>
      </c>
      <c r="AH427" s="272">
        <v>17329</v>
      </c>
      <c r="AI427" s="273">
        <v>8793</v>
      </c>
      <c r="AJ427" s="274">
        <v>8536</v>
      </c>
      <c r="AK427" s="339">
        <v>257</v>
      </c>
      <c r="AL427" s="340" t="s">
        <v>4752</v>
      </c>
      <c r="AM427" s="353">
        <f t="shared" si="179"/>
        <v>1.9926095121130499E-4</v>
      </c>
      <c r="AN427" s="354"/>
      <c r="AP427" s="23">
        <f t="shared" si="181"/>
        <v>0</v>
      </c>
      <c r="AQ427" s="392">
        <f t="shared" si="182"/>
        <v>0</v>
      </c>
      <c r="AR427" s="392">
        <f t="shared" si="183"/>
        <v>0</v>
      </c>
      <c r="AS427" s="392">
        <f t="shared" si="183"/>
        <v>0</v>
      </c>
    </row>
    <row r="428" spans="1:45">
      <c r="A428" s="12" t="s">
        <v>1654</v>
      </c>
      <c r="B428" s="54" t="str">
        <f t="shared" si="163"/>
        <v>AZ_Maric_2020g</v>
      </c>
      <c r="C428" s="12"/>
      <c r="D428" s="54" t="str">
        <f t="shared" si="164"/>
        <v>Gen-scottsdale usd #48-gbm-4yr (vote for3)</v>
      </c>
      <c r="E428" s="54" t="s">
        <v>2097</v>
      </c>
      <c r="F428" s="12" t="s">
        <v>1300</v>
      </c>
      <c r="G428" s="59">
        <v>32516</v>
      </c>
      <c r="H428"/>
      <c r="K428" s="2"/>
      <c r="O428">
        <f t="shared" si="165"/>
        <v>6</v>
      </c>
      <c r="P428" s="57">
        <f t="shared" si="166"/>
        <v>3</v>
      </c>
      <c r="Q428" s="267">
        <f t="shared" si="167"/>
        <v>33321</v>
      </c>
      <c r="R428" s="23" t="str">
        <f t="shared" si="168"/>
        <v/>
      </c>
      <c r="S428" s="23">
        <f t="shared" si="169"/>
        <v>32516</v>
      </c>
      <c r="T428" s="23" t="str">
        <f t="shared" si="170"/>
        <v/>
      </c>
      <c r="U428" t="str">
        <f t="shared" si="171"/>
        <v/>
      </c>
      <c r="W428" s="1">
        <f t="shared" si="172"/>
        <v>12</v>
      </c>
      <c r="X428" s="73">
        <f t="shared" si="161"/>
        <v>288.54014084507043</v>
      </c>
      <c r="Y428" s="322">
        <f t="shared" si="173"/>
        <v>911.97300000000007</v>
      </c>
      <c r="Z428" s="43">
        <f t="shared" si="162"/>
        <v>5.8407397784328099</v>
      </c>
      <c r="AA428" s="52">
        <f t="shared" si="174"/>
        <v>5.8407397784328102E-2</v>
      </c>
      <c r="AB428" s="8">
        <f t="shared" si="175"/>
        <v>12897.66</v>
      </c>
      <c r="AC428" s="8">
        <f t="shared" si="176"/>
        <v>1289766</v>
      </c>
      <c r="AD428" s="8">
        <f t="shared" si="180"/>
        <v>6448.83</v>
      </c>
      <c r="AE428" s="8" t="str">
        <f t="shared" si="177"/>
        <v/>
      </c>
      <c r="AF428" s="22" t="str">
        <f t="shared" si="178"/>
        <v>CA_Ventu_2020g</v>
      </c>
      <c r="AG428">
        <v>1</v>
      </c>
      <c r="AH428" s="272">
        <v>13217</v>
      </c>
      <c r="AI428" s="273">
        <v>3216</v>
      </c>
      <c r="AJ428" s="274">
        <v>2932</v>
      </c>
      <c r="AK428" s="339">
        <v>284</v>
      </c>
      <c r="AL428" s="340" t="s">
        <v>4699</v>
      </c>
      <c r="AM428" s="353">
        <f t="shared" si="179"/>
        <v>2.201949811050997E-4</v>
      </c>
      <c r="AN428" s="354"/>
      <c r="AP428" s="23">
        <f t="shared" si="181"/>
        <v>0</v>
      </c>
      <c r="AQ428" s="392">
        <f t="shared" si="182"/>
        <v>0</v>
      </c>
      <c r="AR428" s="392">
        <f t="shared" si="183"/>
        <v>0</v>
      </c>
      <c r="AS428" s="392">
        <f t="shared" si="183"/>
        <v>0</v>
      </c>
    </row>
    <row r="429" spans="1:45">
      <c r="A429" s="12" t="s">
        <v>1654</v>
      </c>
      <c r="B429" s="54" t="str">
        <f t="shared" si="163"/>
        <v>AZ_Maric_2020g</v>
      </c>
      <c r="C429" s="12"/>
      <c r="D429" s="54" t="str">
        <f t="shared" si="164"/>
        <v>Gen-scottsdale usd #48-gbm-4yr (vote for3)</v>
      </c>
      <c r="E429" s="54" t="s">
        <v>1299</v>
      </c>
      <c r="G429" s="59">
        <v>805</v>
      </c>
      <c r="H429"/>
      <c r="K429" s="2"/>
      <c r="O429">
        <f t="shared" si="165"/>
        <v>-6</v>
      </c>
      <c r="P429" s="57">
        <f t="shared" si="166"/>
        <v>3</v>
      </c>
      <c r="Q429" s="267">
        <f t="shared" si="167"/>
        <v>805</v>
      </c>
      <c r="R429" s="23">
        <f t="shared" si="168"/>
        <v>1</v>
      </c>
      <c r="S429" s="23">
        <f t="shared" si="169"/>
        <v>0</v>
      </c>
      <c r="T429" s="23" t="str">
        <f t="shared" si="170"/>
        <v/>
      </c>
      <c r="U429" t="str">
        <f t="shared" si="171"/>
        <v/>
      </c>
      <c r="W429" s="1">
        <f t="shared" si="172"/>
        <v>13</v>
      </c>
      <c r="X429" s="73">
        <f t="shared" si="161"/>
        <v>45.090909090909086</v>
      </c>
      <c r="Y429" s="322">
        <f t="shared" si="173"/>
        <v>176.64000000000001</v>
      </c>
      <c r="Z429" s="43">
        <f t="shared" si="162"/>
        <v>2.9585218345462132</v>
      </c>
      <c r="AA429" s="52">
        <f t="shared" si="174"/>
        <v>2.9585218345462131E-2</v>
      </c>
      <c r="AB429" s="8">
        <f t="shared" si="175"/>
        <v>12897.66</v>
      </c>
      <c r="AC429" s="8">
        <f t="shared" si="176"/>
        <v>1289766</v>
      </c>
      <c r="AD429" s="8">
        <f t="shared" si="180"/>
        <v>6448.83</v>
      </c>
      <c r="AE429" s="8" t="str">
        <f t="shared" si="177"/>
        <v/>
      </c>
      <c r="AF429" s="22" t="str">
        <f t="shared" si="178"/>
        <v>CA_Ventu_2020g</v>
      </c>
      <c r="AG429" s="23">
        <v>1</v>
      </c>
      <c r="AH429" s="8">
        <v>2560</v>
      </c>
      <c r="AI429" s="273">
        <v>1197</v>
      </c>
      <c r="AJ429" s="274">
        <v>845</v>
      </c>
      <c r="AK429" s="339">
        <v>352</v>
      </c>
      <c r="AL429" s="344" t="s">
        <v>4714</v>
      </c>
      <c r="AM429" s="353">
        <f t="shared" si="179"/>
        <v>2.7291772305984189E-4</v>
      </c>
      <c r="AN429" s="354"/>
      <c r="AP429" s="23">
        <f t="shared" si="181"/>
        <v>0</v>
      </c>
      <c r="AQ429" s="392">
        <f t="shared" si="182"/>
        <v>0</v>
      </c>
      <c r="AR429" s="392">
        <f t="shared" si="183"/>
        <v>0</v>
      </c>
      <c r="AS429" s="392">
        <f t="shared" si="183"/>
        <v>0</v>
      </c>
    </row>
    <row r="430" spans="1:45">
      <c r="A430" s="12" t="s">
        <v>1697</v>
      </c>
      <c r="B430" s="54" t="str">
        <f t="shared" si="163"/>
        <v>AZ_Maric_2020g</v>
      </c>
      <c r="C430" s="12"/>
      <c r="D430" s="54" t="str">
        <f t="shared" si="164"/>
        <v>Gen-scottsdale-councilmember (vote for3)</v>
      </c>
      <c r="E430" s="54" t="s">
        <v>2184</v>
      </c>
      <c r="F430" s="12" t="s">
        <v>1300</v>
      </c>
      <c r="G430" s="59">
        <v>59753</v>
      </c>
      <c r="H430"/>
      <c r="K430" s="2"/>
      <c r="O430">
        <f t="shared" si="165"/>
        <v>1</v>
      </c>
      <c r="P430" s="57">
        <f t="shared" si="166"/>
        <v>3</v>
      </c>
      <c r="Q430" s="267">
        <f t="shared" si="167"/>
        <v>105685.66666666667</v>
      </c>
      <c r="R430" s="23">
        <f t="shared" si="168"/>
        <v>58194</v>
      </c>
      <c r="S430" s="23">
        <f t="shared" si="169"/>
        <v>55299</v>
      </c>
      <c r="T430" s="23">
        <f t="shared" si="170"/>
        <v>2895</v>
      </c>
      <c r="U430" t="str">
        <f t="shared" si="171"/>
        <v>AZ_Maric_2020g~Gen-scottsdale-councilmember (vote for3)</v>
      </c>
      <c r="W430" s="1">
        <f t="shared" si="172"/>
        <v>14</v>
      </c>
      <c r="X430" s="73">
        <f t="shared" si="161"/>
        <v>95.152331606217629</v>
      </c>
      <c r="Y430" s="322">
        <f t="shared" si="173"/>
        <v>408.75600000000003</v>
      </c>
      <c r="Z430" s="43">
        <f t="shared" si="162"/>
        <v>2.1055831550927877</v>
      </c>
      <c r="AA430" s="52">
        <f t="shared" si="174"/>
        <v>2.1055831550927877E-2</v>
      </c>
      <c r="AB430" s="8">
        <f t="shared" si="175"/>
        <v>12897.66</v>
      </c>
      <c r="AC430" s="8">
        <f t="shared" si="176"/>
        <v>1289766</v>
      </c>
      <c r="AD430" s="8">
        <f t="shared" si="180"/>
        <v>6448.83</v>
      </c>
      <c r="AE430" s="8" t="str">
        <f t="shared" si="177"/>
        <v/>
      </c>
      <c r="AF430" s="22" t="str">
        <f t="shared" si="178"/>
        <v>CA_Ventu_2020g</v>
      </c>
      <c r="AG430">
        <v>1</v>
      </c>
      <c r="AH430" s="272">
        <v>5924</v>
      </c>
      <c r="AI430" s="273">
        <v>2384</v>
      </c>
      <c r="AJ430" s="274">
        <v>1998</v>
      </c>
      <c r="AK430" s="339">
        <v>386</v>
      </c>
      <c r="AL430" s="340" t="s">
        <v>4684</v>
      </c>
      <c r="AM430" s="353">
        <f t="shared" si="179"/>
        <v>2.9927909403721297E-4</v>
      </c>
      <c r="AN430" s="354"/>
      <c r="AP430" s="23">
        <f t="shared" si="181"/>
        <v>0</v>
      </c>
      <c r="AQ430" s="392">
        <f t="shared" si="182"/>
        <v>0</v>
      </c>
      <c r="AR430" s="392">
        <f t="shared" si="183"/>
        <v>0</v>
      </c>
      <c r="AS430" s="392">
        <f t="shared" si="183"/>
        <v>0</v>
      </c>
    </row>
    <row r="431" spans="1:45">
      <c r="A431" s="12" t="s">
        <v>1697</v>
      </c>
      <c r="B431" s="54" t="str">
        <f t="shared" si="163"/>
        <v>AZ_Maric_2020g</v>
      </c>
      <c r="C431" s="12"/>
      <c r="D431" s="54" t="str">
        <f t="shared" si="164"/>
        <v>Gen-scottsdale-councilmember (vote for3)</v>
      </c>
      <c r="E431" s="54" t="s">
        <v>2182</v>
      </c>
      <c r="F431" s="12" t="s">
        <v>1300</v>
      </c>
      <c r="G431" s="59">
        <v>58561</v>
      </c>
      <c r="H431"/>
      <c r="K431" s="2"/>
      <c r="O431">
        <f t="shared" si="165"/>
        <v>2</v>
      </c>
      <c r="P431" s="57">
        <f t="shared" si="166"/>
        <v>3</v>
      </c>
      <c r="Q431" s="267">
        <f t="shared" si="167"/>
        <v>257304</v>
      </c>
      <c r="R431" s="23">
        <f t="shared" si="168"/>
        <v>58194</v>
      </c>
      <c r="S431" s="23">
        <f t="shared" si="169"/>
        <v>55299</v>
      </c>
      <c r="T431" s="23" t="str">
        <f t="shared" si="170"/>
        <v/>
      </c>
      <c r="U431" t="str">
        <f t="shared" si="171"/>
        <v/>
      </c>
      <c r="W431" s="1">
        <f t="shared" si="172"/>
        <v>15</v>
      </c>
      <c r="X431" s="73">
        <f t="shared" si="161"/>
        <v>47.180487804878048</v>
      </c>
      <c r="Y431" s="322">
        <f t="shared" si="173"/>
        <v>236.80800000000002</v>
      </c>
      <c r="Z431" s="43">
        <f t="shared" si="162"/>
        <v>1.0989789078628402</v>
      </c>
      <c r="AA431" s="52">
        <f t="shared" si="174"/>
        <v>1.0989789078628402E-2</v>
      </c>
      <c r="AB431" s="8">
        <f t="shared" si="175"/>
        <v>12897.66</v>
      </c>
      <c r="AC431" s="8">
        <f t="shared" si="176"/>
        <v>1289766</v>
      </c>
      <c r="AD431" s="8">
        <f t="shared" si="180"/>
        <v>6448.83</v>
      </c>
      <c r="AE431" s="8" t="str">
        <f t="shared" si="177"/>
        <v/>
      </c>
      <c r="AF431" s="22" t="str">
        <f t="shared" si="178"/>
        <v>CA_Ventu_2020g</v>
      </c>
      <c r="AG431" s="23">
        <v>1</v>
      </c>
      <c r="AH431" s="8">
        <v>3432</v>
      </c>
      <c r="AI431" s="273">
        <v>1592</v>
      </c>
      <c r="AJ431" s="274">
        <v>1141</v>
      </c>
      <c r="AK431" s="339">
        <v>451</v>
      </c>
      <c r="AL431" s="344" t="s">
        <v>4721</v>
      </c>
      <c r="AM431" s="353">
        <f t="shared" si="179"/>
        <v>3.4967583267042239E-4</v>
      </c>
      <c r="AN431" s="354"/>
      <c r="AP431" s="23">
        <f t="shared" si="181"/>
        <v>0</v>
      </c>
      <c r="AQ431" s="392">
        <f t="shared" si="182"/>
        <v>0</v>
      </c>
      <c r="AR431" s="392">
        <f t="shared" si="183"/>
        <v>0</v>
      </c>
      <c r="AS431" s="392">
        <f t="shared" si="183"/>
        <v>0</v>
      </c>
    </row>
    <row r="432" spans="1:45">
      <c r="A432" s="12" t="s">
        <v>1697</v>
      </c>
      <c r="B432" s="54" t="str">
        <f t="shared" si="163"/>
        <v>AZ_Maric_2020g</v>
      </c>
      <c r="C432" s="12"/>
      <c r="D432" s="54" t="str">
        <f t="shared" si="164"/>
        <v>Gen-scottsdale-councilmember (vote for3)</v>
      </c>
      <c r="E432" s="54" t="s">
        <v>2183</v>
      </c>
      <c r="F432" s="12" t="s">
        <v>1300</v>
      </c>
      <c r="G432" s="59">
        <v>58194</v>
      </c>
      <c r="H432"/>
      <c r="K432" s="2"/>
      <c r="O432">
        <f t="shared" si="165"/>
        <v>3</v>
      </c>
      <c r="P432" s="57">
        <f t="shared" si="166"/>
        <v>3</v>
      </c>
      <c r="Q432" s="267">
        <f t="shared" si="167"/>
        <v>198743</v>
      </c>
      <c r="R432" s="23">
        <f t="shared" si="168"/>
        <v>58194</v>
      </c>
      <c r="S432" s="23">
        <f t="shared" si="169"/>
        <v>55299</v>
      </c>
      <c r="T432" s="23" t="str">
        <f t="shared" si="170"/>
        <v/>
      </c>
      <c r="U432" t="str">
        <f t="shared" si="171"/>
        <v/>
      </c>
      <c r="W432" s="1">
        <f t="shared" si="172"/>
        <v>16</v>
      </c>
      <c r="X432" s="73">
        <f t="shared" si="161"/>
        <v>26.045474613686537</v>
      </c>
      <c r="Y432" s="322">
        <f t="shared" si="173"/>
        <v>131.30700000000002</v>
      </c>
      <c r="Z432" s="43">
        <f t="shared" si="162"/>
        <v>1.077210114615798</v>
      </c>
      <c r="AA432" s="52">
        <f t="shared" si="174"/>
        <v>1.0772101146157979E-2</v>
      </c>
      <c r="AB432" s="8">
        <f t="shared" si="175"/>
        <v>12897.66</v>
      </c>
      <c r="AC432" s="8">
        <f t="shared" si="176"/>
        <v>1289766</v>
      </c>
      <c r="AD432" s="8">
        <f t="shared" si="180"/>
        <v>6448.83</v>
      </c>
      <c r="AE432" s="8" t="str">
        <f t="shared" si="177"/>
        <v/>
      </c>
      <c r="AF432" s="22" t="str">
        <f t="shared" si="178"/>
        <v>CA_Ventu_2020g</v>
      </c>
      <c r="AG432">
        <v>1</v>
      </c>
      <c r="AH432" s="272">
        <v>1903</v>
      </c>
      <c r="AI432" s="273">
        <v>1178</v>
      </c>
      <c r="AJ432" s="274">
        <v>725</v>
      </c>
      <c r="AK432" s="339">
        <v>453</v>
      </c>
      <c r="AL432" s="340" t="s">
        <v>4727</v>
      </c>
      <c r="AM432" s="353">
        <f t="shared" si="179"/>
        <v>3.512265015514442E-4</v>
      </c>
      <c r="AN432" s="354"/>
      <c r="AP432" s="23">
        <f t="shared" si="181"/>
        <v>0</v>
      </c>
      <c r="AQ432" s="392">
        <f t="shared" si="182"/>
        <v>0</v>
      </c>
      <c r="AR432" s="392">
        <f t="shared" si="183"/>
        <v>0</v>
      </c>
      <c r="AS432" s="392">
        <f t="shared" si="183"/>
        <v>0</v>
      </c>
    </row>
    <row r="433" spans="1:45">
      <c r="A433" s="12" t="s">
        <v>1697</v>
      </c>
      <c r="B433" s="54" t="str">
        <f t="shared" si="163"/>
        <v>AZ_Maric_2020g</v>
      </c>
      <c r="C433" s="12"/>
      <c r="D433" s="54" t="str">
        <f t="shared" si="164"/>
        <v>Gen-scottsdale-councilmember (vote for3)</v>
      </c>
      <c r="E433" s="54" t="s">
        <v>2186</v>
      </c>
      <c r="F433" s="12" t="s">
        <v>1300</v>
      </c>
      <c r="G433" s="59">
        <v>55299</v>
      </c>
      <c r="H433"/>
      <c r="K433" s="2"/>
      <c r="O433">
        <f t="shared" si="165"/>
        <v>4</v>
      </c>
      <c r="P433" s="57">
        <f t="shared" si="166"/>
        <v>3</v>
      </c>
      <c r="Q433" s="267">
        <f t="shared" si="167"/>
        <v>140549</v>
      </c>
      <c r="R433" s="23" t="str">
        <f t="shared" si="168"/>
        <v/>
      </c>
      <c r="S433" s="23">
        <f t="shared" si="169"/>
        <v>55299</v>
      </c>
      <c r="T433" s="23" t="str">
        <f t="shared" si="170"/>
        <v/>
      </c>
      <c r="U433" t="str">
        <f t="shared" si="171"/>
        <v/>
      </c>
      <c r="W433" s="1">
        <f t="shared" si="172"/>
        <v>17</v>
      </c>
      <c r="X433" s="73">
        <f t="shared" si="161"/>
        <v>113.71208791208791</v>
      </c>
      <c r="Y433" s="322">
        <f t="shared" si="173"/>
        <v>575.80500000000006</v>
      </c>
      <c r="Z433" s="43">
        <f t="shared" si="162"/>
        <v>1.0558724891934819</v>
      </c>
      <c r="AA433" s="52">
        <f t="shared" si="174"/>
        <v>1.055872489193482E-2</v>
      </c>
      <c r="AB433" s="8">
        <f t="shared" si="175"/>
        <v>12897.66</v>
      </c>
      <c r="AC433" s="8">
        <f t="shared" si="176"/>
        <v>1289766</v>
      </c>
      <c r="AD433" s="8">
        <f t="shared" si="180"/>
        <v>6448.83</v>
      </c>
      <c r="AE433" s="8" t="str">
        <f t="shared" si="177"/>
        <v/>
      </c>
      <c r="AF433" s="22" t="str">
        <f t="shared" si="178"/>
        <v>CA_Ventu_2020g</v>
      </c>
      <c r="AG433">
        <v>1</v>
      </c>
      <c r="AH433" s="272">
        <v>8345</v>
      </c>
      <c r="AI433" s="273">
        <v>2827</v>
      </c>
      <c r="AJ433" s="274">
        <v>2372</v>
      </c>
      <c r="AK433" s="339">
        <v>455</v>
      </c>
      <c r="AL433" s="340" t="s">
        <v>4730</v>
      </c>
      <c r="AM433" s="353">
        <f t="shared" si="179"/>
        <v>3.5277717043246602E-4</v>
      </c>
      <c r="AN433" s="354"/>
      <c r="AO433" s="356"/>
      <c r="AP433" s="23">
        <f t="shared" si="181"/>
        <v>0</v>
      </c>
      <c r="AQ433" s="392">
        <f t="shared" si="182"/>
        <v>0</v>
      </c>
      <c r="AR433" s="392">
        <f t="shared" si="183"/>
        <v>0</v>
      </c>
      <c r="AS433" s="392">
        <f t="shared" si="183"/>
        <v>0</v>
      </c>
    </row>
    <row r="434" spans="1:45">
      <c r="A434" s="12" t="s">
        <v>1697</v>
      </c>
      <c r="B434" s="54" t="str">
        <f t="shared" si="163"/>
        <v>AZ_Maric_2020g</v>
      </c>
      <c r="C434" s="12"/>
      <c r="D434" s="54" t="str">
        <f t="shared" si="164"/>
        <v>Gen-scottsdale-councilmember (vote for3)</v>
      </c>
      <c r="E434" s="54" t="s">
        <v>2187</v>
      </c>
      <c r="F434" s="12" t="s">
        <v>1300</v>
      </c>
      <c r="G434" s="59">
        <v>46045</v>
      </c>
      <c r="H434"/>
      <c r="K434" s="2"/>
      <c r="O434">
        <f t="shared" si="165"/>
        <v>5</v>
      </c>
      <c r="P434" s="57">
        <f t="shared" si="166"/>
        <v>3</v>
      </c>
      <c r="Q434" s="267">
        <f t="shared" si="167"/>
        <v>85250</v>
      </c>
      <c r="R434" s="23" t="str">
        <f t="shared" si="168"/>
        <v/>
      </c>
      <c r="S434" s="23">
        <f t="shared" si="169"/>
        <v>46045</v>
      </c>
      <c r="T434" s="23" t="str">
        <f t="shared" si="170"/>
        <v/>
      </c>
      <c r="U434" t="str">
        <f t="shared" si="171"/>
        <v/>
      </c>
      <c r="W434" s="1">
        <f t="shared" si="172"/>
        <v>18</v>
      </c>
      <c r="X434" s="73">
        <f t="shared" si="161"/>
        <v>141.86832298136648</v>
      </c>
      <c r="Y434" s="322">
        <f t="shared" si="173"/>
        <v>762.58800000000008</v>
      </c>
      <c r="Z434" s="43">
        <f t="shared" si="162"/>
        <v>0.79792998390924941</v>
      </c>
      <c r="AA434" s="52">
        <f t="shared" si="174"/>
        <v>7.9792998390924939E-3</v>
      </c>
      <c r="AB434" s="8">
        <f t="shared" si="175"/>
        <v>12897.66</v>
      </c>
      <c r="AC434" s="8">
        <f t="shared" si="176"/>
        <v>1289766</v>
      </c>
      <c r="AD434" s="8">
        <f t="shared" si="180"/>
        <v>6448.83</v>
      </c>
      <c r="AE434" s="8" t="str">
        <f t="shared" si="177"/>
        <v/>
      </c>
      <c r="AF434" s="22" t="str">
        <f t="shared" si="178"/>
        <v>CA_Ventu_2020g</v>
      </c>
      <c r="AG434" s="23">
        <v>1</v>
      </c>
      <c r="AH434" s="8">
        <v>11052</v>
      </c>
      <c r="AI434" s="273">
        <v>4155</v>
      </c>
      <c r="AJ434" s="274">
        <v>3672</v>
      </c>
      <c r="AK434" s="339">
        <v>483</v>
      </c>
      <c r="AL434" s="344" t="s">
        <v>4722</v>
      </c>
      <c r="AM434" s="353">
        <f t="shared" si="179"/>
        <v>3.7448653476677166E-4</v>
      </c>
      <c r="AN434" s="354"/>
      <c r="AP434" s="23">
        <f t="shared" si="181"/>
        <v>0</v>
      </c>
      <c r="AQ434" s="392">
        <f t="shared" si="182"/>
        <v>0</v>
      </c>
      <c r="AR434" s="392">
        <f t="shared" si="183"/>
        <v>0</v>
      </c>
      <c r="AS434" s="392">
        <f t="shared" si="183"/>
        <v>0</v>
      </c>
    </row>
    <row r="435" spans="1:45">
      <c r="A435" s="12" t="s">
        <v>1697</v>
      </c>
      <c r="B435" s="54" t="str">
        <f t="shared" si="163"/>
        <v>AZ_Maric_2020g</v>
      </c>
      <c r="C435" s="12"/>
      <c r="D435" s="54" t="str">
        <f t="shared" si="164"/>
        <v>Gen-scottsdale-councilmember (vote for3)</v>
      </c>
      <c r="E435" s="54" t="s">
        <v>2185</v>
      </c>
      <c r="F435" s="12" t="s">
        <v>1300</v>
      </c>
      <c r="G435" s="59">
        <v>38438</v>
      </c>
      <c r="H435"/>
      <c r="K435" s="2"/>
      <c r="O435">
        <f t="shared" si="165"/>
        <v>6</v>
      </c>
      <c r="P435" s="57">
        <f t="shared" si="166"/>
        <v>3</v>
      </c>
      <c r="Q435" s="267">
        <f t="shared" si="167"/>
        <v>39205</v>
      </c>
      <c r="R435" s="23" t="str">
        <f t="shared" si="168"/>
        <v/>
      </c>
      <c r="S435" s="23">
        <f t="shared" si="169"/>
        <v>38438</v>
      </c>
      <c r="T435" s="23" t="str">
        <f t="shared" si="170"/>
        <v/>
      </c>
      <c r="U435" t="str">
        <f t="shared" si="171"/>
        <v/>
      </c>
      <c r="W435" s="1">
        <f t="shared" si="172"/>
        <v>19</v>
      </c>
      <c r="X435" s="73">
        <f t="shared" si="161"/>
        <v>26.96449704142012</v>
      </c>
      <c r="Y435" s="322">
        <f t="shared" si="173"/>
        <v>152.14500000000001</v>
      </c>
      <c r="Z435" s="43">
        <f t="shared" si="162"/>
        <v>0.627616122106612</v>
      </c>
      <c r="AA435" s="52">
        <f t="shared" si="174"/>
        <v>6.27616122106612E-3</v>
      </c>
      <c r="AB435" s="8">
        <f t="shared" si="175"/>
        <v>12897.66</v>
      </c>
      <c r="AC435" s="8">
        <f t="shared" si="176"/>
        <v>1289766</v>
      </c>
      <c r="AD435" s="8">
        <f t="shared" si="180"/>
        <v>6448.83</v>
      </c>
      <c r="AE435" s="8" t="str">
        <f t="shared" si="177"/>
        <v/>
      </c>
      <c r="AF435" s="22" t="str">
        <f t="shared" si="178"/>
        <v>CA_Ventu_2020g</v>
      </c>
      <c r="AG435">
        <v>1</v>
      </c>
      <c r="AH435" s="272">
        <v>2205</v>
      </c>
      <c r="AI435" s="273">
        <v>1356</v>
      </c>
      <c r="AJ435" s="274">
        <v>849</v>
      </c>
      <c r="AK435" s="339">
        <v>507</v>
      </c>
      <c r="AL435" s="340" t="s">
        <v>4725</v>
      </c>
      <c r="AM435" s="353">
        <f t="shared" si="179"/>
        <v>3.9309456133903361E-4</v>
      </c>
      <c r="AN435" s="354"/>
      <c r="AP435" s="23">
        <f t="shared" si="181"/>
        <v>0</v>
      </c>
      <c r="AQ435" s="392">
        <f t="shared" si="182"/>
        <v>0</v>
      </c>
      <c r="AR435" s="392">
        <f t="shared" si="183"/>
        <v>0</v>
      </c>
      <c r="AS435" s="392">
        <f t="shared" si="183"/>
        <v>0</v>
      </c>
    </row>
    <row r="436" spans="1:45">
      <c r="A436" s="12" t="s">
        <v>1697</v>
      </c>
      <c r="B436" s="54" t="str">
        <f t="shared" si="163"/>
        <v>AZ_Maric_2020g</v>
      </c>
      <c r="C436" s="12"/>
      <c r="D436" s="54" t="str">
        <f t="shared" si="164"/>
        <v>Gen-scottsdale-councilmember (vote for3)</v>
      </c>
      <c r="E436" s="54" t="s">
        <v>1299</v>
      </c>
      <c r="G436" s="59">
        <v>767</v>
      </c>
      <c r="H436"/>
      <c r="K436" s="2"/>
      <c r="O436">
        <f t="shared" si="165"/>
        <v>-6</v>
      </c>
      <c r="P436" s="57">
        <f t="shared" si="166"/>
        <v>3</v>
      </c>
      <c r="Q436" s="267">
        <f t="shared" si="167"/>
        <v>767</v>
      </c>
      <c r="R436" s="23">
        <f t="shared" si="168"/>
        <v>1</v>
      </c>
      <c r="S436" s="23">
        <f t="shared" si="169"/>
        <v>0</v>
      </c>
      <c r="T436" s="23" t="str">
        <f t="shared" si="170"/>
        <v/>
      </c>
      <c r="U436" t="str">
        <f t="shared" si="171"/>
        <v/>
      </c>
      <c r="W436" s="1">
        <f t="shared" si="172"/>
        <v>20</v>
      </c>
      <c r="X436" s="73">
        <f t="shared" si="161"/>
        <v>199.92578125</v>
      </c>
      <c r="Y436" s="322">
        <f t="shared" si="173"/>
        <v>1139.19</v>
      </c>
      <c r="Z436" s="43">
        <f t="shared" si="162"/>
        <v>0.59699512622723128</v>
      </c>
      <c r="AA436" s="52">
        <f t="shared" si="174"/>
        <v>5.9699512622723126E-3</v>
      </c>
      <c r="AB436" s="8">
        <f t="shared" si="175"/>
        <v>12897.66</v>
      </c>
      <c r="AC436" s="8">
        <f t="shared" si="176"/>
        <v>1289766</v>
      </c>
      <c r="AD436" s="8">
        <f t="shared" si="180"/>
        <v>6448.83</v>
      </c>
      <c r="AE436" s="8" t="str">
        <f t="shared" si="177"/>
        <v/>
      </c>
      <c r="AF436" s="22" t="str">
        <f t="shared" si="178"/>
        <v>CA_Ventu_2020g</v>
      </c>
      <c r="AG436">
        <v>1</v>
      </c>
      <c r="AH436" s="272">
        <v>16510</v>
      </c>
      <c r="AI436" s="273">
        <v>8511</v>
      </c>
      <c r="AJ436" s="274">
        <v>7999</v>
      </c>
      <c r="AK436" s="339">
        <v>512</v>
      </c>
      <c r="AL436" s="340" t="s">
        <v>4695</v>
      </c>
      <c r="AM436" s="353">
        <f t="shared" si="179"/>
        <v>3.9697123354158817E-4</v>
      </c>
      <c r="AN436" s="354"/>
      <c r="AP436" s="23">
        <f t="shared" si="181"/>
        <v>0</v>
      </c>
      <c r="AQ436" s="392">
        <f t="shared" si="182"/>
        <v>0</v>
      </c>
      <c r="AR436" s="392">
        <f t="shared" si="183"/>
        <v>0</v>
      </c>
      <c r="AS436" s="392">
        <f t="shared" si="183"/>
        <v>0</v>
      </c>
    </row>
    <row r="437" spans="1:45">
      <c r="A437" s="12" t="s">
        <v>1696</v>
      </c>
      <c r="B437" s="54" t="str">
        <f t="shared" si="163"/>
        <v>AZ_Maric_2020g</v>
      </c>
      <c r="C437" s="12"/>
      <c r="D437" s="54" t="str">
        <f t="shared" si="164"/>
        <v>Gen-scottsdale-mayor (vote for1)</v>
      </c>
      <c r="E437" s="54" t="s">
        <v>2181</v>
      </c>
      <c r="F437" s="12" t="s">
        <v>1300</v>
      </c>
      <c r="G437" s="59">
        <v>72467</v>
      </c>
      <c r="H437"/>
      <c r="K437" s="2"/>
      <c r="O437">
        <f t="shared" si="165"/>
        <v>1</v>
      </c>
      <c r="P437" s="57">
        <f t="shared" si="166"/>
        <v>1</v>
      </c>
      <c r="Q437" s="267">
        <f t="shared" si="167"/>
        <v>139384</v>
      </c>
      <c r="R437" s="23">
        <f t="shared" si="168"/>
        <v>72467</v>
      </c>
      <c r="S437" s="23">
        <f t="shared" si="169"/>
        <v>66571</v>
      </c>
      <c r="T437" s="23">
        <f t="shared" si="170"/>
        <v>5896</v>
      </c>
      <c r="U437" t="str">
        <f t="shared" si="171"/>
        <v>AZ_Maric_2020g~Gen-scottsdale-mayor (vote for1)</v>
      </c>
      <c r="W437" s="1">
        <f t="shared" si="172"/>
        <v>21</v>
      </c>
      <c r="X437" s="73">
        <f t="shared" si="161"/>
        <v>17.131262135922331</v>
      </c>
      <c r="Y437" s="322">
        <f t="shared" si="173"/>
        <v>98.187000000000012</v>
      </c>
      <c r="Z437" s="43">
        <f t="shared" si="162"/>
        <v>0.57934433129500784</v>
      </c>
      <c r="AA437" s="52">
        <f t="shared" si="174"/>
        <v>5.7934433129500787E-3</v>
      </c>
      <c r="AB437" s="8">
        <f t="shared" si="175"/>
        <v>12897.66</v>
      </c>
      <c r="AC437" s="8">
        <f t="shared" si="176"/>
        <v>1289766</v>
      </c>
      <c r="AD437" s="8">
        <f t="shared" si="180"/>
        <v>6448.83</v>
      </c>
      <c r="AE437" s="8" t="str">
        <f t="shared" si="177"/>
        <v/>
      </c>
      <c r="AF437" s="22" t="str">
        <f t="shared" si="178"/>
        <v>CA_Ventu_2020g</v>
      </c>
      <c r="AG437">
        <v>1</v>
      </c>
      <c r="AH437" s="272">
        <v>1423</v>
      </c>
      <c r="AI437" s="273">
        <v>969</v>
      </c>
      <c r="AJ437" s="274">
        <v>454</v>
      </c>
      <c r="AK437" s="339">
        <v>515</v>
      </c>
      <c r="AL437" s="340" t="s">
        <v>4748</v>
      </c>
      <c r="AM437" s="353">
        <f t="shared" si="179"/>
        <v>3.9929723686312092E-4</v>
      </c>
      <c r="AN437" s="354"/>
      <c r="AP437" s="23">
        <f t="shared" si="181"/>
        <v>0</v>
      </c>
      <c r="AQ437" s="392">
        <f t="shared" si="182"/>
        <v>0</v>
      </c>
      <c r="AR437" s="392">
        <f t="shared" si="183"/>
        <v>0</v>
      </c>
      <c r="AS437" s="392">
        <f t="shared" si="183"/>
        <v>0</v>
      </c>
    </row>
    <row r="438" spans="1:45">
      <c r="A438" s="12" t="s">
        <v>1696</v>
      </c>
      <c r="B438" s="54" t="str">
        <f t="shared" si="163"/>
        <v>AZ_Maric_2020g</v>
      </c>
      <c r="C438" s="12"/>
      <c r="D438" s="54" t="str">
        <f t="shared" si="164"/>
        <v>Gen-scottsdale-mayor (vote for1)</v>
      </c>
      <c r="E438" s="54" t="s">
        <v>2180</v>
      </c>
      <c r="F438" s="12" t="s">
        <v>1300</v>
      </c>
      <c r="G438" s="59">
        <v>66571</v>
      </c>
      <c r="H438"/>
      <c r="K438" s="2"/>
      <c r="O438">
        <f t="shared" si="165"/>
        <v>2</v>
      </c>
      <c r="P438" s="57">
        <f t="shared" si="166"/>
        <v>1</v>
      </c>
      <c r="Q438" s="267">
        <f t="shared" si="167"/>
        <v>66917</v>
      </c>
      <c r="R438" s="23" t="str">
        <f t="shared" si="168"/>
        <v/>
      </c>
      <c r="S438" s="23">
        <f t="shared" si="169"/>
        <v>66571</v>
      </c>
      <c r="T438" s="23" t="str">
        <f t="shared" si="170"/>
        <v/>
      </c>
      <c r="U438" t="str">
        <f t="shared" si="171"/>
        <v/>
      </c>
      <c r="W438" s="1">
        <f t="shared" si="172"/>
        <v>22</v>
      </c>
      <c r="X438" s="73">
        <f t="shared" si="161"/>
        <v>148.30168224299067</v>
      </c>
      <c r="Y438" s="322">
        <f t="shared" si="173"/>
        <v>882.99300000000005</v>
      </c>
      <c r="Z438" s="43">
        <f t="shared" si="162"/>
        <v>0.47428839148115415</v>
      </c>
      <c r="AA438" s="52">
        <f t="shared" si="174"/>
        <v>4.7428839148115414E-3</v>
      </c>
      <c r="AB438" s="8">
        <f t="shared" si="175"/>
        <v>12897.66</v>
      </c>
      <c r="AC438" s="8">
        <f t="shared" si="176"/>
        <v>1289766</v>
      </c>
      <c r="AD438" s="8">
        <f t="shared" si="180"/>
        <v>6448.83</v>
      </c>
      <c r="AE438" s="8" t="str">
        <f t="shared" si="177"/>
        <v/>
      </c>
      <c r="AF438" s="22" t="str">
        <f t="shared" si="178"/>
        <v>CA_Ventu_2020g</v>
      </c>
      <c r="AG438">
        <v>1</v>
      </c>
      <c r="AH438" s="272">
        <v>12797</v>
      </c>
      <c r="AI438" s="273">
        <v>6666</v>
      </c>
      <c r="AJ438" s="274">
        <v>6131</v>
      </c>
      <c r="AK438" s="339">
        <v>535</v>
      </c>
      <c r="AL438" s="340" t="s">
        <v>4759</v>
      </c>
      <c r="AM438" s="353">
        <f t="shared" si="179"/>
        <v>4.1480392567333919E-4</v>
      </c>
      <c r="AN438" s="354"/>
      <c r="AP438" s="23">
        <f t="shared" si="181"/>
        <v>0</v>
      </c>
      <c r="AQ438" s="392">
        <f t="shared" si="182"/>
        <v>0</v>
      </c>
      <c r="AR438" s="392">
        <f t="shared" si="183"/>
        <v>0</v>
      </c>
      <c r="AS438" s="392">
        <f t="shared" si="183"/>
        <v>0</v>
      </c>
    </row>
    <row r="439" spans="1:45">
      <c r="A439" s="12" t="s">
        <v>1696</v>
      </c>
      <c r="B439" s="54" t="str">
        <f t="shared" si="163"/>
        <v>AZ_Maric_2020g</v>
      </c>
      <c r="C439" s="12"/>
      <c r="D439" s="54" t="str">
        <f t="shared" si="164"/>
        <v>Gen-scottsdale-mayor (vote for1)</v>
      </c>
      <c r="E439" s="54" t="s">
        <v>1299</v>
      </c>
      <c r="G439" s="59">
        <v>346</v>
      </c>
      <c r="H439"/>
      <c r="K439" s="2"/>
      <c r="O439">
        <f t="shared" si="165"/>
        <v>-2</v>
      </c>
      <c r="P439" s="57">
        <f t="shared" si="166"/>
        <v>1</v>
      </c>
      <c r="Q439" s="267">
        <f t="shared" si="167"/>
        <v>346</v>
      </c>
      <c r="R439" s="23">
        <f t="shared" si="168"/>
        <v>1</v>
      </c>
      <c r="S439" s="23">
        <f t="shared" si="169"/>
        <v>0</v>
      </c>
      <c r="T439" s="23" t="str">
        <f t="shared" si="170"/>
        <v/>
      </c>
      <c r="U439" t="str">
        <f t="shared" si="171"/>
        <v/>
      </c>
      <c r="W439" s="1">
        <f t="shared" si="172"/>
        <v>23</v>
      </c>
      <c r="X439" s="73">
        <f t="shared" si="161"/>
        <v>16.248275862068965</v>
      </c>
      <c r="Y439" s="322">
        <f t="shared" si="173"/>
        <v>104.88000000000001</v>
      </c>
      <c r="Z439" s="43">
        <f t="shared" si="162"/>
        <v>0.30236078641452618</v>
      </c>
      <c r="AA439" s="52">
        <f t="shared" si="174"/>
        <v>3.0236078641452621E-3</v>
      </c>
      <c r="AB439" s="8">
        <f t="shared" si="175"/>
        <v>12897.66</v>
      </c>
      <c r="AC439" s="8">
        <f t="shared" si="176"/>
        <v>1289766</v>
      </c>
      <c r="AD439" s="8">
        <f t="shared" si="180"/>
        <v>6448.83</v>
      </c>
      <c r="AE439" s="8" t="str">
        <f t="shared" si="177"/>
        <v/>
      </c>
      <c r="AF439" s="22" t="str">
        <f t="shared" si="178"/>
        <v>CA_Ventu_2020g</v>
      </c>
      <c r="AG439">
        <v>1</v>
      </c>
      <c r="AH439" s="272">
        <v>1520</v>
      </c>
      <c r="AI439" s="273">
        <v>908</v>
      </c>
      <c r="AJ439" s="274">
        <v>328</v>
      </c>
      <c r="AK439" s="339">
        <v>580</v>
      </c>
      <c r="AL439" s="340" t="s">
        <v>4701</v>
      </c>
      <c r="AM439" s="353">
        <f t="shared" si="179"/>
        <v>4.4969397549633034E-4</v>
      </c>
      <c r="AN439" s="354"/>
      <c r="AP439" s="23">
        <f t="shared" si="181"/>
        <v>0</v>
      </c>
      <c r="AQ439" s="392">
        <f t="shared" si="182"/>
        <v>0</v>
      </c>
      <c r="AR439" s="392">
        <f t="shared" si="183"/>
        <v>0</v>
      </c>
      <c r="AS439" s="392">
        <f t="shared" si="183"/>
        <v>0</v>
      </c>
    </row>
    <row r="440" spans="1:45">
      <c r="A440" s="12" t="s">
        <v>1590</v>
      </c>
      <c r="B440" s="54" t="str">
        <f t="shared" si="163"/>
        <v>AZ_Maric_2020g</v>
      </c>
      <c r="C440" s="12"/>
      <c r="D440" s="54" t="str">
        <f t="shared" si="164"/>
        <v>Gen-sheriff (vote for1)</v>
      </c>
      <c r="E440" s="54" t="s">
        <v>1950</v>
      </c>
      <c r="F440" s="12" t="s">
        <v>1294</v>
      </c>
      <c r="G440" s="59">
        <v>1095955</v>
      </c>
      <c r="H440"/>
      <c r="K440" s="2"/>
      <c r="O440">
        <f t="shared" si="165"/>
        <v>1</v>
      </c>
      <c r="P440" s="57">
        <f t="shared" si="166"/>
        <v>1</v>
      </c>
      <c r="Q440" s="267">
        <f t="shared" si="167"/>
        <v>1969058</v>
      </c>
      <c r="R440" s="23">
        <f t="shared" si="168"/>
        <v>1095955</v>
      </c>
      <c r="S440" s="23">
        <f t="shared" si="169"/>
        <v>869748</v>
      </c>
      <c r="T440" s="23">
        <f t="shared" si="170"/>
        <v>226207</v>
      </c>
      <c r="U440" t="str">
        <f t="shared" si="171"/>
        <v>AZ_Maric_2020g~Gen-sheriff (vote for1)</v>
      </c>
      <c r="W440" s="1">
        <f t="shared" si="172"/>
        <v>24</v>
      </c>
      <c r="X440" s="73">
        <f t="shared" si="161"/>
        <v>41.048639455782315</v>
      </c>
      <c r="Y440" s="322">
        <f t="shared" si="173"/>
        <v>268.61700000000002</v>
      </c>
      <c r="Z440" s="43">
        <f t="shared" si="162"/>
        <v>0.27910406952112338</v>
      </c>
      <c r="AA440" s="52">
        <f t="shared" si="174"/>
        <v>2.7910406952112339E-3</v>
      </c>
      <c r="AB440" s="8">
        <f t="shared" si="175"/>
        <v>12897.66</v>
      </c>
      <c r="AC440" s="8">
        <f t="shared" si="176"/>
        <v>1289766</v>
      </c>
      <c r="AD440" s="8">
        <f t="shared" si="180"/>
        <v>6448.83</v>
      </c>
      <c r="AE440" s="8" t="str">
        <f t="shared" si="177"/>
        <v/>
      </c>
      <c r="AF440" s="22" t="str">
        <f t="shared" si="178"/>
        <v>CA_Ventu_2020g</v>
      </c>
      <c r="AG440">
        <v>1</v>
      </c>
      <c r="AH440" s="272">
        <v>3893</v>
      </c>
      <c r="AI440" s="273">
        <v>1484</v>
      </c>
      <c r="AJ440" s="274">
        <v>896</v>
      </c>
      <c r="AK440" s="339">
        <v>588</v>
      </c>
      <c r="AL440" s="340" t="s">
        <v>4750</v>
      </c>
      <c r="AM440" s="353">
        <f t="shared" si="179"/>
        <v>4.5589665102041766E-4</v>
      </c>
      <c r="AN440" s="354"/>
      <c r="AP440" s="23">
        <f t="shared" si="181"/>
        <v>0</v>
      </c>
      <c r="AQ440" s="392">
        <f t="shared" si="182"/>
        <v>0</v>
      </c>
      <c r="AR440" s="392">
        <f t="shared" si="183"/>
        <v>0</v>
      </c>
      <c r="AS440" s="392">
        <f t="shared" si="183"/>
        <v>0</v>
      </c>
    </row>
    <row r="441" spans="1:45">
      <c r="A441" s="12" t="s">
        <v>1590</v>
      </c>
      <c r="B441" s="54" t="str">
        <f t="shared" si="163"/>
        <v>AZ_Maric_2020g</v>
      </c>
      <c r="C441" s="12"/>
      <c r="D441" s="54" t="str">
        <f t="shared" si="164"/>
        <v>Gen-sheriff (vote for1)</v>
      </c>
      <c r="E441" s="54" t="s">
        <v>1949</v>
      </c>
      <c r="F441" s="12" t="s">
        <v>1296</v>
      </c>
      <c r="G441" s="59">
        <v>869748</v>
      </c>
      <c r="H441"/>
      <c r="K441" s="2"/>
      <c r="O441">
        <f t="shared" si="165"/>
        <v>2</v>
      </c>
      <c r="P441" s="57">
        <f t="shared" si="166"/>
        <v>1</v>
      </c>
      <c r="Q441" s="267">
        <f t="shared" si="167"/>
        <v>873103</v>
      </c>
      <c r="R441" s="23" t="str">
        <f t="shared" si="168"/>
        <v/>
      </c>
      <c r="S441" s="23">
        <f t="shared" si="169"/>
        <v>869748</v>
      </c>
      <c r="T441" s="23" t="str">
        <f t="shared" si="170"/>
        <v/>
      </c>
      <c r="U441" t="str">
        <f t="shared" si="171"/>
        <v/>
      </c>
      <c r="W441" s="1">
        <f t="shared" si="172"/>
        <v>25</v>
      </c>
      <c r="X441" s="73">
        <f t="shared" si="161"/>
        <v>145.5743922204214</v>
      </c>
      <c r="Y441" s="322">
        <f t="shared" si="173"/>
        <v>999.60300000000007</v>
      </c>
      <c r="Z441" s="43">
        <f t="shared" si="162"/>
        <v>0.20881510339737699</v>
      </c>
      <c r="AA441" s="52">
        <f t="shared" si="174"/>
        <v>2.0881510339737699E-3</v>
      </c>
      <c r="AB441" s="8">
        <f t="shared" si="175"/>
        <v>12897.66</v>
      </c>
      <c r="AC441" s="8">
        <f t="shared" si="176"/>
        <v>1289766</v>
      </c>
      <c r="AD441" s="8">
        <f t="shared" si="180"/>
        <v>6448.83</v>
      </c>
      <c r="AE441" s="8" t="str">
        <f t="shared" si="177"/>
        <v/>
      </c>
      <c r="AF441" s="22" t="str">
        <f t="shared" si="178"/>
        <v>CA_Ventu_2020g</v>
      </c>
      <c r="AG441">
        <v>1</v>
      </c>
      <c r="AH441" s="272">
        <v>14487</v>
      </c>
      <c r="AI441" s="273">
        <v>5598</v>
      </c>
      <c r="AJ441" s="274">
        <v>4981</v>
      </c>
      <c r="AK441" s="339">
        <v>617</v>
      </c>
      <c r="AL441" s="340" t="s">
        <v>4755</v>
      </c>
      <c r="AM441" s="353">
        <f t="shared" si="179"/>
        <v>4.7838134979523417E-4</v>
      </c>
      <c r="AN441" s="354"/>
      <c r="AP441" s="23">
        <f t="shared" si="181"/>
        <v>0</v>
      </c>
      <c r="AQ441" s="392">
        <f t="shared" si="182"/>
        <v>0</v>
      </c>
      <c r="AR441" s="392">
        <f t="shared" si="183"/>
        <v>0</v>
      </c>
      <c r="AS441" s="392">
        <f t="shared" si="183"/>
        <v>0</v>
      </c>
    </row>
    <row r="442" spans="1:45">
      <c r="A442" s="12" t="s">
        <v>1590</v>
      </c>
      <c r="B442" s="54" t="str">
        <f t="shared" si="163"/>
        <v>AZ_Maric_2020g</v>
      </c>
      <c r="C442" s="12"/>
      <c r="D442" s="54" t="str">
        <f t="shared" si="164"/>
        <v>Gen-sheriff (vote for1)</v>
      </c>
      <c r="E442" s="54" t="s">
        <v>1299</v>
      </c>
      <c r="G442" s="59">
        <v>3355</v>
      </c>
      <c r="H442"/>
      <c r="K442" s="2"/>
      <c r="O442">
        <f t="shared" si="165"/>
        <v>-2</v>
      </c>
      <c r="P442" s="57">
        <f t="shared" si="166"/>
        <v>1</v>
      </c>
      <c r="Q442" s="267">
        <f t="shared" si="167"/>
        <v>3355</v>
      </c>
      <c r="R442" s="23">
        <f t="shared" si="168"/>
        <v>1</v>
      </c>
      <c r="S442" s="23">
        <f t="shared" si="169"/>
        <v>0</v>
      </c>
      <c r="T442" s="23" t="str">
        <f t="shared" si="170"/>
        <v/>
      </c>
      <c r="U442" t="str">
        <f t="shared" si="171"/>
        <v/>
      </c>
      <c r="W442" s="1">
        <f t="shared" si="172"/>
        <v>26</v>
      </c>
      <c r="X442" s="73">
        <f t="shared" si="161"/>
        <v>22.900979020979019</v>
      </c>
      <c r="Y442" s="322">
        <f t="shared" si="173"/>
        <v>182.22900000000001</v>
      </c>
      <c r="Z442" s="43">
        <f t="shared" si="162"/>
        <v>7.8330956344180663E-2</v>
      </c>
      <c r="AA442" s="52">
        <f t="shared" si="174"/>
        <v>7.833095634418066E-4</v>
      </c>
      <c r="AB442" s="8">
        <f t="shared" si="175"/>
        <v>12897.66</v>
      </c>
      <c r="AC442" s="8">
        <f t="shared" si="176"/>
        <v>1289766</v>
      </c>
      <c r="AD442" s="8">
        <f t="shared" si="180"/>
        <v>6448.83</v>
      </c>
      <c r="AE442" s="8" t="str">
        <f t="shared" si="177"/>
        <v/>
      </c>
      <c r="AF442" s="22" t="str">
        <f t="shared" si="178"/>
        <v>CA_Ventu_2020g</v>
      </c>
      <c r="AG442">
        <v>1</v>
      </c>
      <c r="AH442" s="272">
        <v>2641</v>
      </c>
      <c r="AI442" s="273">
        <v>1678</v>
      </c>
      <c r="AJ442" s="274">
        <v>963</v>
      </c>
      <c r="AK442" s="339">
        <v>715</v>
      </c>
      <c r="AL442" s="340" t="s">
        <v>4726</v>
      </c>
      <c r="AM442" s="353">
        <f t="shared" si="179"/>
        <v>5.5436412496530374E-4</v>
      </c>
      <c r="AN442" s="354"/>
      <c r="AP442" s="23">
        <f t="shared" si="181"/>
        <v>0</v>
      </c>
      <c r="AQ442" s="392">
        <f t="shared" si="182"/>
        <v>0</v>
      </c>
      <c r="AR442" s="392">
        <f t="shared" si="183"/>
        <v>0</v>
      </c>
      <c r="AS442" s="392">
        <f t="shared" si="183"/>
        <v>0</v>
      </c>
    </row>
    <row r="443" spans="1:45">
      <c r="A443" s="12" t="s">
        <v>1541</v>
      </c>
      <c r="B443" s="54" t="str">
        <f t="shared" si="163"/>
        <v>AZ_Maric_2020g</v>
      </c>
      <c r="C443" s="12"/>
      <c r="D443" s="54" t="str">
        <f t="shared" si="164"/>
        <v>Gen-state rep dist-1 (vote for2)</v>
      </c>
      <c r="E443" s="54" t="s">
        <v>1812</v>
      </c>
      <c r="F443" s="12" t="s">
        <v>1296</v>
      </c>
      <c r="G443" s="59">
        <v>28041</v>
      </c>
      <c r="H443"/>
      <c r="K443" s="2"/>
      <c r="O443">
        <f t="shared" si="165"/>
        <v>1</v>
      </c>
      <c r="P443" s="57">
        <f t="shared" si="166"/>
        <v>2</v>
      </c>
      <c r="Q443" s="267">
        <f t="shared" si="167"/>
        <v>34424</v>
      </c>
      <c r="R443" s="23">
        <f t="shared" si="168"/>
        <v>25906</v>
      </c>
      <c r="S443" s="23">
        <f t="shared" si="169"/>
        <v>14793</v>
      </c>
      <c r="T443" s="23">
        <f t="shared" si="170"/>
        <v>11113</v>
      </c>
      <c r="U443" t="str">
        <f t="shared" si="171"/>
        <v>AZ_Maric_2020g~Gen-state rep dist-1 (vote for2)</v>
      </c>
      <c r="W443" s="1">
        <f t="shared" si="172"/>
        <v>27</v>
      </c>
      <c r="X443" s="73">
        <f t="shared" si="161"/>
        <v>124.7238578680203</v>
      </c>
      <c r="Y443" s="322">
        <f t="shared" si="173"/>
        <v>1093.788</v>
      </c>
      <c r="Z443" s="43">
        <f t="shared" si="162"/>
        <v>3.7732330040085298E-2</v>
      </c>
      <c r="AA443" s="52">
        <f t="shared" si="174"/>
        <v>3.77323300400853E-4</v>
      </c>
      <c r="AB443" s="8">
        <f t="shared" si="175"/>
        <v>12897.66</v>
      </c>
      <c r="AC443" s="8">
        <f t="shared" si="176"/>
        <v>1289766</v>
      </c>
      <c r="AD443" s="8">
        <f t="shared" si="180"/>
        <v>6448.83</v>
      </c>
      <c r="AE443" s="8" t="str">
        <f t="shared" si="177"/>
        <v/>
      </c>
      <c r="AF443" s="22" t="str">
        <f t="shared" si="178"/>
        <v>CA_Ventu_2020g</v>
      </c>
      <c r="AG443">
        <v>1</v>
      </c>
      <c r="AH443" s="272">
        <v>15852</v>
      </c>
      <c r="AI443" s="273">
        <v>5013</v>
      </c>
      <c r="AJ443" s="274">
        <v>4225</v>
      </c>
      <c r="AK443" s="339">
        <v>788</v>
      </c>
      <c r="AL443" s="340" t="s">
        <v>4747</v>
      </c>
      <c r="AM443" s="353">
        <f t="shared" si="179"/>
        <v>6.1096353912260058E-4</v>
      </c>
      <c r="AN443" s="354"/>
      <c r="AP443" s="23">
        <f t="shared" si="181"/>
        <v>0</v>
      </c>
      <c r="AQ443" s="392">
        <f t="shared" si="182"/>
        <v>0</v>
      </c>
      <c r="AR443" s="392">
        <f t="shared" si="183"/>
        <v>0</v>
      </c>
      <c r="AS443" s="392">
        <f t="shared" si="183"/>
        <v>0</v>
      </c>
    </row>
    <row r="444" spans="1:45">
      <c r="A444" s="12" t="s">
        <v>1541</v>
      </c>
      <c r="B444" s="54" t="str">
        <f t="shared" si="163"/>
        <v>AZ_Maric_2020g</v>
      </c>
      <c r="C444" s="12"/>
      <c r="D444" s="54" t="str">
        <f t="shared" si="164"/>
        <v>Gen-state rep dist-1 (vote for2)</v>
      </c>
      <c r="E444" s="54" t="s">
        <v>1813</v>
      </c>
      <c r="F444" s="12" t="s">
        <v>1296</v>
      </c>
      <c r="G444" s="59">
        <v>25906</v>
      </c>
      <c r="H444"/>
      <c r="K444" s="2"/>
      <c r="O444">
        <f t="shared" si="165"/>
        <v>2</v>
      </c>
      <c r="P444" s="57">
        <f t="shared" si="166"/>
        <v>2</v>
      </c>
      <c r="Q444" s="267">
        <f t="shared" si="167"/>
        <v>40807</v>
      </c>
      <c r="R444" s="23">
        <f t="shared" si="168"/>
        <v>25906</v>
      </c>
      <c r="S444" s="23">
        <f t="shared" si="169"/>
        <v>14793</v>
      </c>
      <c r="T444" s="23" t="str">
        <f t="shared" si="170"/>
        <v/>
      </c>
      <c r="U444" t="str">
        <f t="shared" si="171"/>
        <v/>
      </c>
      <c r="W444" s="1">
        <f t="shared" si="172"/>
        <v>28</v>
      </c>
      <c r="X444" s="73">
        <f t="shared" si="161"/>
        <v>68.773366214549938</v>
      </c>
      <c r="Y444" s="322">
        <f t="shared" si="173"/>
        <v>620.72400000000005</v>
      </c>
      <c r="Z444" s="43">
        <f t="shared" si="162"/>
        <v>2.9975327507984241E-2</v>
      </c>
      <c r="AA444" s="52">
        <f t="shared" si="174"/>
        <v>2.9975327507984241E-4</v>
      </c>
      <c r="AB444" s="8">
        <f t="shared" si="175"/>
        <v>12897.66</v>
      </c>
      <c r="AC444" s="8">
        <f t="shared" si="176"/>
        <v>1289766</v>
      </c>
      <c r="AD444" s="8">
        <f t="shared" si="180"/>
        <v>6448.83</v>
      </c>
      <c r="AE444" s="8" t="str">
        <f t="shared" si="177"/>
        <v/>
      </c>
      <c r="AF444" s="22" t="str">
        <f t="shared" si="178"/>
        <v>CA_Ventu_2020g</v>
      </c>
      <c r="AG444">
        <v>1</v>
      </c>
      <c r="AH444" s="272">
        <v>8996</v>
      </c>
      <c r="AI444" s="273">
        <v>3349</v>
      </c>
      <c r="AJ444" s="274">
        <v>2538</v>
      </c>
      <c r="AK444" s="339">
        <v>811</v>
      </c>
      <c r="AL444" s="340" t="s">
        <v>4744</v>
      </c>
      <c r="AM444" s="353">
        <f t="shared" si="179"/>
        <v>6.2879623125435154E-4</v>
      </c>
      <c r="AN444" s="354"/>
      <c r="AP444" s="23">
        <f t="shared" si="181"/>
        <v>0</v>
      </c>
      <c r="AQ444" s="392">
        <f t="shared" si="182"/>
        <v>0</v>
      </c>
      <c r="AR444" s="392">
        <f t="shared" si="183"/>
        <v>0</v>
      </c>
      <c r="AS444" s="392">
        <f t="shared" si="183"/>
        <v>0</v>
      </c>
    </row>
    <row r="445" spans="1:45">
      <c r="A445" s="12" t="s">
        <v>1541</v>
      </c>
      <c r="B445" s="54" t="str">
        <f t="shared" si="163"/>
        <v>AZ_Maric_2020g</v>
      </c>
      <c r="C445" s="12"/>
      <c r="D445" s="54" t="str">
        <f t="shared" si="164"/>
        <v>Gen-state rep dist-1 (vote for2)</v>
      </c>
      <c r="E445" s="54" t="s">
        <v>1814</v>
      </c>
      <c r="F445" s="12" t="s">
        <v>1294</v>
      </c>
      <c r="G445" s="59">
        <v>14793</v>
      </c>
      <c r="H445"/>
      <c r="K445" s="2"/>
      <c r="O445">
        <f t="shared" si="165"/>
        <v>3</v>
      </c>
      <c r="P445" s="57">
        <f t="shared" si="166"/>
        <v>2</v>
      </c>
      <c r="Q445" s="267">
        <f t="shared" si="167"/>
        <v>14901</v>
      </c>
      <c r="R445" s="23" t="str">
        <f t="shared" si="168"/>
        <v/>
      </c>
      <c r="S445" s="23">
        <f t="shared" si="169"/>
        <v>14793</v>
      </c>
      <c r="T445" s="23" t="str">
        <f t="shared" si="170"/>
        <v/>
      </c>
      <c r="U445" t="str">
        <f t="shared" si="171"/>
        <v/>
      </c>
      <c r="W445" s="1">
        <f t="shared" si="172"/>
        <v>29</v>
      </c>
      <c r="X445" s="73">
        <f t="shared" si="161"/>
        <v>435.20813704496788</v>
      </c>
      <c r="Y445" s="322">
        <f t="shared" si="173"/>
        <v>4523.7780000000002</v>
      </c>
      <c r="Z445" s="43">
        <f t="shared" si="162"/>
        <v>8.7542736052174802E-3</v>
      </c>
      <c r="AA445" s="52">
        <f t="shared" si="174"/>
        <v>8.75427360521748E-5</v>
      </c>
      <c r="AB445" s="8">
        <f t="shared" si="175"/>
        <v>12897.66</v>
      </c>
      <c r="AC445" s="8">
        <f t="shared" si="176"/>
        <v>1289766</v>
      </c>
      <c r="AD445" s="8">
        <f t="shared" si="180"/>
        <v>6448.83</v>
      </c>
      <c r="AE445" s="8" t="str">
        <f t="shared" si="177"/>
        <v/>
      </c>
      <c r="AF445" s="22" t="str">
        <f t="shared" si="178"/>
        <v>CA_Ventu_2020g</v>
      </c>
      <c r="AG445">
        <v>1</v>
      </c>
      <c r="AH445" s="272">
        <v>65562</v>
      </c>
      <c r="AI445" s="273">
        <v>33248</v>
      </c>
      <c r="AJ445" s="274">
        <v>32314</v>
      </c>
      <c r="AK445" s="339">
        <v>934</v>
      </c>
      <c r="AL445" s="340" t="s">
        <v>4705</v>
      </c>
      <c r="AM445" s="353">
        <f t="shared" si="179"/>
        <v>7.2416236743719404E-4</v>
      </c>
      <c r="AN445" s="354"/>
      <c r="AP445" s="23">
        <f t="shared" si="181"/>
        <v>0</v>
      </c>
      <c r="AQ445" s="392">
        <f t="shared" si="182"/>
        <v>0</v>
      </c>
      <c r="AR445" s="392">
        <f t="shared" si="183"/>
        <v>0</v>
      </c>
      <c r="AS445" s="392">
        <f t="shared" si="183"/>
        <v>0</v>
      </c>
    </row>
    <row r="446" spans="1:45">
      <c r="A446" s="12" t="s">
        <v>1541</v>
      </c>
      <c r="B446" s="54" t="str">
        <f t="shared" si="163"/>
        <v>AZ_Maric_2020g</v>
      </c>
      <c r="C446" s="12"/>
      <c r="D446" s="54" t="str">
        <f t="shared" si="164"/>
        <v>Gen-state rep dist-1 (vote for2)</v>
      </c>
      <c r="E446" s="54" t="s">
        <v>1299</v>
      </c>
      <c r="G446" s="59">
        <v>108</v>
      </c>
      <c r="H446"/>
      <c r="K446" s="2"/>
      <c r="O446">
        <f t="shared" si="165"/>
        <v>-3</v>
      </c>
      <c r="P446" s="57">
        <f t="shared" si="166"/>
        <v>2</v>
      </c>
      <c r="Q446" s="267">
        <f t="shared" si="167"/>
        <v>108</v>
      </c>
      <c r="R446" s="23">
        <f t="shared" si="168"/>
        <v>1</v>
      </c>
      <c r="S446" s="23">
        <f t="shared" si="169"/>
        <v>0</v>
      </c>
      <c r="T446" s="23" t="str">
        <f t="shared" si="170"/>
        <v/>
      </c>
      <c r="U446" t="str">
        <f t="shared" si="171"/>
        <v/>
      </c>
      <c r="W446" s="1">
        <f t="shared" si="172"/>
        <v>30</v>
      </c>
      <c r="X446" s="73">
        <f t="shared" si="161"/>
        <v>86.941347150259062</v>
      </c>
      <c r="Y446" s="322">
        <f t="shared" si="173"/>
        <v>933.70800000000008</v>
      </c>
      <c r="Z446" s="43">
        <f t="shared" si="162"/>
        <v>6.4193290904612284E-3</v>
      </c>
      <c r="AA446" s="52">
        <f t="shared" si="174"/>
        <v>6.4193290904612289E-5</v>
      </c>
      <c r="AB446" s="8">
        <f t="shared" si="175"/>
        <v>12897.66</v>
      </c>
      <c r="AC446" s="8">
        <f t="shared" si="176"/>
        <v>1289766</v>
      </c>
      <c r="AD446" s="8">
        <f t="shared" si="180"/>
        <v>6448.83</v>
      </c>
      <c r="AE446" s="8" t="str">
        <f t="shared" si="177"/>
        <v/>
      </c>
      <c r="AF446" s="22" t="str">
        <f t="shared" si="178"/>
        <v>CA_Ventu_2020g</v>
      </c>
      <c r="AG446">
        <v>1</v>
      </c>
      <c r="AH446" s="272">
        <v>13532</v>
      </c>
      <c r="AI446" s="273">
        <v>6343</v>
      </c>
      <c r="AJ446" s="274">
        <v>5378</v>
      </c>
      <c r="AK446" s="339">
        <v>965</v>
      </c>
      <c r="AL446" s="340" t="s">
        <v>4753</v>
      </c>
      <c r="AM446" s="353">
        <f t="shared" si="179"/>
        <v>7.4819773509303238E-4</v>
      </c>
      <c r="AN446" s="354"/>
      <c r="AP446" s="23">
        <f t="shared" si="181"/>
        <v>0</v>
      </c>
      <c r="AQ446" s="392">
        <f t="shared" si="182"/>
        <v>0</v>
      </c>
      <c r="AR446" s="392">
        <f t="shared" si="183"/>
        <v>0</v>
      </c>
      <c r="AS446" s="392">
        <f t="shared" si="183"/>
        <v>0</v>
      </c>
    </row>
    <row r="447" spans="1:45">
      <c r="A447" s="12" t="s">
        <v>1545</v>
      </c>
      <c r="B447" s="54" t="str">
        <f t="shared" si="163"/>
        <v>AZ_Maric_2020g</v>
      </c>
      <c r="C447" s="12"/>
      <c r="D447" s="54" t="str">
        <f t="shared" si="164"/>
        <v>Gen-state rep dist-12 (vote for2)</v>
      </c>
      <c r="E447" s="54" t="s">
        <v>1822</v>
      </c>
      <c r="F447" s="12" t="s">
        <v>1296</v>
      </c>
      <c r="G447" s="59">
        <v>92897</v>
      </c>
      <c r="H447"/>
      <c r="K447" s="2"/>
      <c r="O447">
        <f t="shared" si="165"/>
        <v>1</v>
      </c>
      <c r="P447" s="57">
        <f t="shared" si="166"/>
        <v>2</v>
      </c>
      <c r="Q447" s="267">
        <f t="shared" si="167"/>
        <v>102707</v>
      </c>
      <c r="R447" s="23">
        <f t="shared" si="168"/>
        <v>91965</v>
      </c>
      <c r="S447" s="23">
        <f t="shared" si="169"/>
        <v>7533</v>
      </c>
      <c r="T447" s="23">
        <f t="shared" si="170"/>
        <v>84432</v>
      </c>
      <c r="U447" t="str">
        <f t="shared" si="171"/>
        <v>AZ_Maric_2020g~Gen-state rep dist-12 (vote for2)</v>
      </c>
      <c r="W447" s="1">
        <f t="shared" si="172"/>
        <v>31</v>
      </c>
      <c r="X447" s="73">
        <f t="shared" ref="X447:X510" si="184">IF(AK447=0,AH447,MIN(AH447,6.2/(AK447/AH447)))</f>
        <v>21.956906077348066</v>
      </c>
      <c r="Y447" s="322">
        <f t="shared" si="173"/>
        <v>309.60300000000001</v>
      </c>
      <c r="Z447" s="43">
        <f t="shared" ref="Z447:Z510" si="185">AA447*100</f>
        <v>3.1245282136554509E-4</v>
      </c>
      <c r="AA447" s="52">
        <f t="shared" si="174"/>
        <v>3.1245282136554511E-6</v>
      </c>
      <c r="AB447" s="8">
        <f t="shared" si="175"/>
        <v>12897.66</v>
      </c>
      <c r="AC447" s="8">
        <f t="shared" si="176"/>
        <v>1289766</v>
      </c>
      <c r="AD447" s="8">
        <f t="shared" si="180"/>
        <v>6448.83</v>
      </c>
      <c r="AE447" s="8" t="str">
        <f t="shared" si="177"/>
        <v/>
      </c>
      <c r="AF447" s="22" t="str">
        <f t="shared" si="178"/>
        <v>CA_Ventu_2020g</v>
      </c>
      <c r="AG447">
        <v>1</v>
      </c>
      <c r="AH447" s="272">
        <v>4487</v>
      </c>
      <c r="AI447" s="273">
        <v>2877</v>
      </c>
      <c r="AJ447" s="274">
        <v>1610</v>
      </c>
      <c r="AK447" s="339">
        <v>1267</v>
      </c>
      <c r="AL447" s="340" t="s">
        <v>4724</v>
      </c>
      <c r="AM447" s="353">
        <f t="shared" si="179"/>
        <v>9.8234873612732844E-4</v>
      </c>
      <c r="AN447" s="354"/>
      <c r="AP447" s="23">
        <f t="shared" si="181"/>
        <v>0</v>
      </c>
      <c r="AQ447" s="392">
        <f t="shared" si="182"/>
        <v>0</v>
      </c>
      <c r="AR447" s="392">
        <f t="shared" si="183"/>
        <v>0</v>
      </c>
      <c r="AS447" s="392">
        <f t="shared" si="183"/>
        <v>0</v>
      </c>
    </row>
    <row r="448" spans="1:45">
      <c r="A448" s="12" t="s">
        <v>1545</v>
      </c>
      <c r="B448" s="54" t="str">
        <f t="shared" si="163"/>
        <v>AZ_Maric_2020g</v>
      </c>
      <c r="C448" s="12"/>
      <c r="D448" s="54" t="str">
        <f t="shared" si="164"/>
        <v>Gen-state rep dist-12 (vote for2)</v>
      </c>
      <c r="E448" s="54" t="s">
        <v>1823</v>
      </c>
      <c r="F448" s="12" t="s">
        <v>1296</v>
      </c>
      <c r="G448" s="59">
        <v>91965</v>
      </c>
      <c r="H448"/>
      <c r="K448" s="2"/>
      <c r="O448">
        <f t="shared" si="165"/>
        <v>2</v>
      </c>
      <c r="P448" s="57">
        <f t="shared" si="166"/>
        <v>2</v>
      </c>
      <c r="Q448" s="267">
        <f t="shared" si="167"/>
        <v>112517</v>
      </c>
      <c r="R448" s="23">
        <f t="shared" si="168"/>
        <v>91965</v>
      </c>
      <c r="S448" s="23">
        <f t="shared" si="169"/>
        <v>7533</v>
      </c>
      <c r="T448" s="23" t="str">
        <f t="shared" si="170"/>
        <v/>
      </c>
      <c r="U448" t="str">
        <f t="shared" si="171"/>
        <v/>
      </c>
      <c r="W448" s="1">
        <f t="shared" si="172"/>
        <v>32</v>
      </c>
      <c r="X448" s="73">
        <f t="shared" si="184"/>
        <v>329.36784615384613</v>
      </c>
      <c r="Y448" s="322">
        <f t="shared" si="173"/>
        <v>4765.2090000000007</v>
      </c>
      <c r="Z448" s="43">
        <f t="shared" si="185"/>
        <v>2.2455591982052734E-4</v>
      </c>
      <c r="AA448" s="52">
        <f t="shared" si="174"/>
        <v>2.2455591982052735E-6</v>
      </c>
      <c r="AB448" s="8">
        <f t="shared" si="175"/>
        <v>12897.66</v>
      </c>
      <c r="AC448" s="8">
        <f t="shared" si="176"/>
        <v>1289766</v>
      </c>
      <c r="AD448" s="8">
        <f t="shared" si="180"/>
        <v>6448.83</v>
      </c>
      <c r="AE448" s="8" t="str">
        <f t="shared" si="177"/>
        <v/>
      </c>
      <c r="AF448" s="22" t="str">
        <f t="shared" si="178"/>
        <v>CA_Ventu_2020g</v>
      </c>
      <c r="AG448">
        <v>1</v>
      </c>
      <c r="AH448" s="272">
        <v>69061</v>
      </c>
      <c r="AI448" s="273">
        <v>24909</v>
      </c>
      <c r="AJ448" s="274">
        <v>23609</v>
      </c>
      <c r="AK448" s="339">
        <v>1300</v>
      </c>
      <c r="AL448" s="340" t="s">
        <v>4691</v>
      </c>
      <c r="AM448" s="353">
        <f t="shared" si="179"/>
        <v>1.0079347726641888E-3</v>
      </c>
      <c r="AN448" s="354"/>
      <c r="AP448" s="23">
        <f t="shared" si="181"/>
        <v>0</v>
      </c>
      <c r="AQ448" s="392">
        <f t="shared" si="182"/>
        <v>0</v>
      </c>
      <c r="AR448" s="392">
        <f t="shared" si="183"/>
        <v>0</v>
      </c>
      <c r="AS448" s="392">
        <f t="shared" si="183"/>
        <v>0</v>
      </c>
    </row>
    <row r="449" spans="1:45">
      <c r="A449" s="12" t="s">
        <v>1545</v>
      </c>
      <c r="B449" s="54" t="str">
        <f t="shared" si="163"/>
        <v>AZ_Maric_2020g</v>
      </c>
      <c r="C449" s="12"/>
      <c r="D449" s="54" t="str">
        <f t="shared" si="164"/>
        <v>Gen-state rep dist-12 (vote for2)</v>
      </c>
      <c r="E449" s="54" t="s">
        <v>1299</v>
      </c>
      <c r="G449" s="59">
        <v>10276</v>
      </c>
      <c r="H449"/>
      <c r="K449" s="2"/>
      <c r="O449">
        <f t="shared" si="165"/>
        <v>-2</v>
      </c>
      <c r="P449" s="57">
        <f t="shared" si="166"/>
        <v>2</v>
      </c>
      <c r="Q449" s="267">
        <f t="shared" si="167"/>
        <v>20552</v>
      </c>
      <c r="R449" s="23" t="str">
        <f t="shared" si="168"/>
        <v/>
      </c>
      <c r="S449" s="23">
        <f t="shared" si="169"/>
        <v>7533</v>
      </c>
      <c r="T449" s="23" t="str">
        <f t="shared" si="170"/>
        <v/>
      </c>
      <c r="U449" t="str">
        <f t="shared" si="171"/>
        <v/>
      </c>
      <c r="W449" s="1">
        <f t="shared" si="172"/>
        <v>33</v>
      </c>
      <c r="X449" s="73">
        <f t="shared" si="184"/>
        <v>17.187573964497041</v>
      </c>
      <c r="Y449" s="322">
        <f t="shared" si="173"/>
        <v>258.61200000000002</v>
      </c>
      <c r="Z449" s="43">
        <f t="shared" si="185"/>
        <v>1.3343168224317088E-4</v>
      </c>
      <c r="AA449" s="52">
        <f t="shared" si="174"/>
        <v>1.3343168224317089E-6</v>
      </c>
      <c r="AB449" s="8">
        <f t="shared" si="175"/>
        <v>12897.66</v>
      </c>
      <c r="AC449" s="8">
        <f t="shared" si="176"/>
        <v>1289766</v>
      </c>
      <c r="AD449" s="8">
        <f t="shared" si="180"/>
        <v>6448.83</v>
      </c>
      <c r="AE449" s="8" t="str">
        <f t="shared" si="177"/>
        <v/>
      </c>
      <c r="AF449" s="22" t="str">
        <f t="shared" si="178"/>
        <v>CA_Ventu_2020g</v>
      </c>
      <c r="AG449">
        <v>1</v>
      </c>
      <c r="AH449" s="272">
        <v>3748</v>
      </c>
      <c r="AI449" s="273">
        <v>2273</v>
      </c>
      <c r="AJ449" s="274">
        <v>921</v>
      </c>
      <c r="AK449" s="339">
        <v>1352</v>
      </c>
      <c r="AL449" s="340" t="s">
        <v>4686</v>
      </c>
      <c r="AM449" s="353">
        <f t="shared" si="179"/>
        <v>1.0482521635707563E-3</v>
      </c>
      <c r="AN449" s="354"/>
      <c r="AP449" s="23">
        <f t="shared" si="181"/>
        <v>0</v>
      </c>
      <c r="AQ449" s="392">
        <f t="shared" si="182"/>
        <v>0</v>
      </c>
      <c r="AR449" s="392">
        <f t="shared" si="183"/>
        <v>0</v>
      </c>
      <c r="AS449" s="392">
        <f t="shared" si="183"/>
        <v>0</v>
      </c>
    </row>
    <row r="450" spans="1:45">
      <c r="A450" s="12" t="s">
        <v>1545</v>
      </c>
      <c r="B450" s="54" t="str">
        <f t="shared" ref="B450:B513" si="186">LEFT(A450,14)</f>
        <v>AZ_Maric_2020g</v>
      </c>
      <c r="C450" s="12"/>
      <c r="D450" s="54" t="str">
        <f t="shared" ref="D450:D513" si="187">MID(A450,16,99)</f>
        <v>Gen-state rep dist-12 (vote for2)</v>
      </c>
      <c r="E450" s="54" t="s">
        <v>1824</v>
      </c>
      <c r="G450" s="59">
        <v>7533</v>
      </c>
      <c r="H450"/>
      <c r="K450" s="2"/>
      <c r="O450">
        <f t="shared" ref="O450:O513" si="188">IF(OR(LOWER(LEFT(E450,8))="write-in",LOWER(LEFT(E450,8))="not qual"),IF(A450=A449,-ABS(O449),0),IF(A450=A449,ABS(O449)+1,1))</f>
        <v>3</v>
      </c>
      <c r="P450" s="57">
        <f t="shared" ref="P450:P513" si="189">1*LEFT(RIGHT(A450,2),1)</f>
        <v>2</v>
      </c>
      <c r="Q450" s="267">
        <f t="shared" ref="Q450:Q513" si="190">IF(A450&lt;&gt;A451,G450,IF(A450=A449,G450+Q451,MAX(G450,(G450+Q451)/P450)))</f>
        <v>10276</v>
      </c>
      <c r="R450" s="23" t="str">
        <f t="shared" ref="R450:R513" si="191">IF(O450&gt;P450,"",IF(O450=P450,G450,IF(A450=A451,R451,IF(O450&lt;=0,1,G450))))</f>
        <v/>
      </c>
      <c r="S450" s="23">
        <f t="shared" ref="S450:S513" si="192">IF(AND(O450&gt;P450,LOWER(LEFT(E450,8))&lt;&gt;"write-in",LOWER(LEFT(E450,8))&lt;&gt;"not qual"),G450,IF(A450=A451,S451,0))</f>
        <v>7533</v>
      </c>
      <c r="T450" s="23" t="str">
        <f t="shared" ref="T450:T513" si="193">IF(OR(A450=A449,S450=0),"",R450-ABS(S450))</f>
        <v/>
      </c>
      <c r="U450" t="str">
        <f t="shared" ref="U450:U513" si="194">IF(A450=A449,"",A450)</f>
        <v/>
      </c>
      <c r="W450" s="1">
        <f t="shared" ref="W450:W513" si="195">IF(AF450=AF449,W449+1,1)</f>
        <v>34</v>
      </c>
      <c r="X450" s="73">
        <f t="shared" si="184"/>
        <v>25.174822190611668</v>
      </c>
      <c r="Y450" s="322">
        <f t="shared" ref="Y450:Y513" si="196">MAX(X450,0.069*AH450)</f>
        <v>393.92100000000005</v>
      </c>
      <c r="Z450" s="43">
        <f t="shared" si="185"/>
        <v>7.7712150696517104E-5</v>
      </c>
      <c r="AA450" s="52">
        <f t="shared" ref="AA450:AA513" si="197">(1-AK450/AC450)^AB450</f>
        <v>7.7712150696517099E-7</v>
      </c>
      <c r="AB450" s="8">
        <f t="shared" ref="AB450:AB513" si="198">INDEX(BA$2:BA$76,MATCH($AF450,$AU$2:$AU$76,0))+IF(AE450="",0,INDEX(BA$2:BA$76,AE450))</f>
        <v>12897.66</v>
      </c>
      <c r="AC450" s="8">
        <f t="shared" ref="AC450:AC513" si="199">INDEX(AX$2:AX$76,MATCH(AF450,AU$2:AU$76,0))+IF(AE450="",0,INDEX(AX$2:AX$76,AE450))</f>
        <v>1289766</v>
      </c>
      <c r="AD450" s="8">
        <f t="shared" si="180"/>
        <v>6448.83</v>
      </c>
      <c r="AE450" s="8" t="str">
        <f t="shared" ref="AE450:AE513" si="200">IF(MID(AL450,16,2)&lt;&gt;"w/","",MATCH(CONCATENATE("CO_",MID(AL450,18,5),"_2020g"),AU$2:AU$76,0))</f>
        <v/>
      </c>
      <c r="AF450" s="22" t="str">
        <f t="shared" ref="AF450:AF513" si="201">LEFT(AL450,14)</f>
        <v>CA_Ventu_2020g</v>
      </c>
      <c r="AG450" s="23">
        <v>1</v>
      </c>
      <c r="AH450" s="8">
        <v>5709</v>
      </c>
      <c r="AI450" s="273">
        <v>2888</v>
      </c>
      <c r="AJ450" s="274">
        <v>1482</v>
      </c>
      <c r="AK450" s="339">
        <v>1406</v>
      </c>
      <c r="AL450" s="344" t="s">
        <v>4719</v>
      </c>
      <c r="AM450" s="353">
        <f t="shared" ref="AM450:AM513" si="202">AK450/AC450</f>
        <v>1.0901202233583457E-3</v>
      </c>
      <c r="AN450" s="354"/>
      <c r="AP450" s="23">
        <f t="shared" si="181"/>
        <v>0</v>
      </c>
      <c r="AQ450" s="392">
        <f t="shared" si="182"/>
        <v>0</v>
      </c>
      <c r="AR450" s="392">
        <f t="shared" si="183"/>
        <v>0</v>
      </c>
      <c r="AS450" s="392">
        <f t="shared" si="183"/>
        <v>0</v>
      </c>
    </row>
    <row r="451" spans="1:45">
      <c r="A451" s="12" t="s">
        <v>1545</v>
      </c>
      <c r="B451" s="54" t="str">
        <f t="shared" si="186"/>
        <v>AZ_Maric_2020g</v>
      </c>
      <c r="C451" s="12"/>
      <c r="D451" s="54" t="str">
        <f t="shared" si="187"/>
        <v>Gen-state rep dist-12 (vote for2)</v>
      </c>
      <c r="E451" s="54" t="s">
        <v>1825</v>
      </c>
      <c r="G451" s="59">
        <v>2090</v>
      </c>
      <c r="H451"/>
      <c r="K451" s="2"/>
      <c r="O451">
        <f t="shared" si="188"/>
        <v>-3</v>
      </c>
      <c r="P451" s="57">
        <f t="shared" si="189"/>
        <v>2</v>
      </c>
      <c r="Q451" s="267">
        <f t="shared" si="190"/>
        <v>2743</v>
      </c>
      <c r="R451" s="23">
        <f t="shared" si="191"/>
        <v>1</v>
      </c>
      <c r="S451" s="23">
        <f t="shared" si="192"/>
        <v>0</v>
      </c>
      <c r="T451" s="23" t="str">
        <f t="shared" si="193"/>
        <v/>
      </c>
      <c r="U451" t="str">
        <f t="shared" si="194"/>
        <v/>
      </c>
      <c r="W451" s="1">
        <f t="shared" si="195"/>
        <v>35</v>
      </c>
      <c r="X451" s="73">
        <f t="shared" si="184"/>
        <v>47.319489723600284</v>
      </c>
      <c r="Y451" s="322">
        <f t="shared" si="196"/>
        <v>743.06100000000004</v>
      </c>
      <c r="Z451" s="43">
        <f t="shared" si="185"/>
        <v>7.3918043719152369E-5</v>
      </c>
      <c r="AA451" s="52">
        <f t="shared" si="197"/>
        <v>7.3918043719152371E-7</v>
      </c>
      <c r="AB451" s="8">
        <f t="shared" si="198"/>
        <v>12897.66</v>
      </c>
      <c r="AC451" s="8">
        <f t="shared" si="199"/>
        <v>1289766</v>
      </c>
      <c r="AD451" s="8">
        <f t="shared" ref="AD451:AD514" si="203">AC451/RIGHT(AD$1,4)</f>
        <v>6448.83</v>
      </c>
      <c r="AE451" s="8" t="str">
        <f t="shared" si="200"/>
        <v/>
      </c>
      <c r="AF451" s="22" t="str">
        <f t="shared" si="201"/>
        <v>CA_Ventu_2020g</v>
      </c>
      <c r="AG451">
        <v>1</v>
      </c>
      <c r="AH451" s="272">
        <v>10769</v>
      </c>
      <c r="AI451" s="273">
        <v>4860</v>
      </c>
      <c r="AJ451" s="274">
        <v>3449</v>
      </c>
      <c r="AK451" s="339">
        <v>1411</v>
      </c>
      <c r="AL451" s="340" t="s">
        <v>4729</v>
      </c>
      <c r="AM451" s="353">
        <f t="shared" si="202"/>
        <v>1.0939968955609003E-3</v>
      </c>
      <c r="AN451" s="354"/>
      <c r="AP451" s="23">
        <f t="shared" si="181"/>
        <v>0</v>
      </c>
      <c r="AQ451" s="392">
        <f t="shared" si="182"/>
        <v>0</v>
      </c>
      <c r="AR451" s="392">
        <f t="shared" si="183"/>
        <v>0</v>
      </c>
      <c r="AS451" s="392">
        <f t="shared" si="183"/>
        <v>0</v>
      </c>
    </row>
    <row r="452" spans="1:45">
      <c r="A452" s="12" t="s">
        <v>1545</v>
      </c>
      <c r="B452" s="54" t="str">
        <f t="shared" si="186"/>
        <v>AZ_Maric_2020g</v>
      </c>
      <c r="C452" s="12"/>
      <c r="D452" s="54" t="str">
        <f t="shared" si="187"/>
        <v>Gen-state rep dist-12 (vote for2)</v>
      </c>
      <c r="E452" s="54" t="s">
        <v>1826</v>
      </c>
      <c r="G452" s="59">
        <v>653</v>
      </c>
      <c r="H452"/>
      <c r="K452" s="2"/>
      <c r="O452">
        <f t="shared" si="188"/>
        <v>-3</v>
      </c>
      <c r="P452" s="57">
        <f t="shared" si="189"/>
        <v>2</v>
      </c>
      <c r="Q452" s="267">
        <f t="shared" si="190"/>
        <v>653</v>
      </c>
      <c r="R452" s="23">
        <f t="shared" si="191"/>
        <v>1</v>
      </c>
      <c r="S452" s="23">
        <f t="shared" si="192"/>
        <v>0</v>
      </c>
      <c r="T452" s="23" t="str">
        <f t="shared" si="193"/>
        <v/>
      </c>
      <c r="U452" t="str">
        <f t="shared" si="194"/>
        <v/>
      </c>
      <c r="W452" s="1">
        <f t="shared" si="195"/>
        <v>36</v>
      </c>
      <c r="X452" s="73">
        <f t="shared" si="184"/>
        <v>31.148108825481089</v>
      </c>
      <c r="Y452" s="322">
        <f t="shared" si="196"/>
        <v>522.399</v>
      </c>
      <c r="Z452" s="43">
        <f t="shared" si="185"/>
        <v>2.8271939267375124E-5</v>
      </c>
      <c r="AA452" s="52">
        <f t="shared" si="197"/>
        <v>2.8271939267375123E-7</v>
      </c>
      <c r="AB452" s="8">
        <f t="shared" si="198"/>
        <v>12897.66</v>
      </c>
      <c r="AC452" s="8">
        <f t="shared" si="199"/>
        <v>1289766</v>
      </c>
      <c r="AD452" s="8">
        <f t="shared" si="203"/>
        <v>6448.83</v>
      </c>
      <c r="AE452" s="8" t="str">
        <f t="shared" si="200"/>
        <v/>
      </c>
      <c r="AF452" s="22" t="str">
        <f t="shared" si="201"/>
        <v>CA_Ventu_2020g</v>
      </c>
      <c r="AG452">
        <v>1</v>
      </c>
      <c r="AH452" s="272">
        <v>7571</v>
      </c>
      <c r="AI452" s="273">
        <v>3654</v>
      </c>
      <c r="AJ452" s="274">
        <v>2147</v>
      </c>
      <c r="AK452" s="339">
        <v>1507</v>
      </c>
      <c r="AL452" s="340" t="s">
        <v>4731</v>
      </c>
      <c r="AM452" s="353">
        <f t="shared" si="202"/>
        <v>1.1684290018499481E-3</v>
      </c>
      <c r="AN452" s="354"/>
      <c r="AP452" s="23">
        <f t="shared" si="181"/>
        <v>0</v>
      </c>
      <c r="AQ452" s="392">
        <f t="shared" si="182"/>
        <v>0</v>
      </c>
      <c r="AR452" s="392">
        <f t="shared" si="183"/>
        <v>0</v>
      </c>
      <c r="AS452" s="392">
        <f t="shared" si="183"/>
        <v>0</v>
      </c>
    </row>
    <row r="453" spans="1:45">
      <c r="A453" s="12" t="s">
        <v>1547</v>
      </c>
      <c r="B453" s="54" t="str">
        <f t="shared" si="186"/>
        <v>AZ_Maric_2020g</v>
      </c>
      <c r="C453" s="12"/>
      <c r="D453" s="54" t="str">
        <f t="shared" si="187"/>
        <v>Gen-state rep dist-13 (vote for2)</v>
      </c>
      <c r="E453" s="54" t="s">
        <v>1830</v>
      </c>
      <c r="F453" s="12" t="s">
        <v>1296</v>
      </c>
      <c r="G453" s="59">
        <v>50108</v>
      </c>
      <c r="H453"/>
      <c r="K453" s="2"/>
      <c r="O453">
        <f t="shared" si="188"/>
        <v>1</v>
      </c>
      <c r="P453" s="57">
        <f t="shared" si="189"/>
        <v>2</v>
      </c>
      <c r="Q453" s="267">
        <f t="shared" si="190"/>
        <v>66961</v>
      </c>
      <c r="R453" s="23">
        <f t="shared" si="191"/>
        <v>48202</v>
      </c>
      <c r="S453" s="23">
        <f t="shared" si="192"/>
        <v>35180</v>
      </c>
      <c r="T453" s="23">
        <f t="shared" si="193"/>
        <v>13022</v>
      </c>
      <c r="U453" t="str">
        <f t="shared" si="194"/>
        <v>AZ_Maric_2020g~Gen-state rep dist-13 (vote for2)</v>
      </c>
      <c r="W453" s="1">
        <f t="shared" si="195"/>
        <v>37</v>
      </c>
      <c r="X453" s="73">
        <f t="shared" si="184"/>
        <v>20.880829015544045</v>
      </c>
      <c r="Y453" s="322">
        <f t="shared" si="196"/>
        <v>358.8</v>
      </c>
      <c r="Z453" s="43">
        <f t="shared" si="185"/>
        <v>1.9519844666139706E-5</v>
      </c>
      <c r="AA453" s="52">
        <f t="shared" si="197"/>
        <v>1.9519844666139705E-7</v>
      </c>
      <c r="AB453" s="8">
        <f t="shared" si="198"/>
        <v>12897.66</v>
      </c>
      <c r="AC453" s="8">
        <f t="shared" si="199"/>
        <v>1289766</v>
      </c>
      <c r="AD453" s="8">
        <f t="shared" si="203"/>
        <v>6448.83</v>
      </c>
      <c r="AE453" s="8" t="str">
        <f t="shared" si="200"/>
        <v/>
      </c>
      <c r="AF453" s="22" t="str">
        <f t="shared" si="201"/>
        <v>CA_Ventu_2020g</v>
      </c>
      <c r="AG453">
        <v>1</v>
      </c>
      <c r="AH453" s="272">
        <v>5200</v>
      </c>
      <c r="AI453" s="273">
        <v>3372</v>
      </c>
      <c r="AJ453" s="274">
        <v>1828</v>
      </c>
      <c r="AK453" s="339">
        <v>1544</v>
      </c>
      <c r="AL453" s="340" t="s">
        <v>4675</v>
      </c>
      <c r="AM453" s="353">
        <f t="shared" si="202"/>
        <v>1.1971163761488519E-3</v>
      </c>
      <c r="AN453" s="354"/>
      <c r="AP453" s="23">
        <f t="shared" si="181"/>
        <v>0</v>
      </c>
      <c r="AQ453" s="392">
        <f t="shared" si="182"/>
        <v>0</v>
      </c>
      <c r="AR453" s="392">
        <f t="shared" si="183"/>
        <v>0</v>
      </c>
      <c r="AS453" s="392">
        <f t="shared" si="183"/>
        <v>0</v>
      </c>
    </row>
    <row r="454" spans="1:45">
      <c r="A454" s="12" t="s">
        <v>1547</v>
      </c>
      <c r="B454" s="54" t="str">
        <f t="shared" si="186"/>
        <v>AZ_Maric_2020g</v>
      </c>
      <c r="C454" s="12"/>
      <c r="D454" s="54" t="str">
        <f t="shared" si="187"/>
        <v>Gen-state rep dist-13 (vote for2)</v>
      </c>
      <c r="E454" s="54" t="s">
        <v>1829</v>
      </c>
      <c r="F454" s="12" t="s">
        <v>1296</v>
      </c>
      <c r="G454" s="59">
        <v>48202</v>
      </c>
      <c r="H454"/>
      <c r="K454" s="2"/>
      <c r="O454">
        <f t="shared" si="188"/>
        <v>2</v>
      </c>
      <c r="P454" s="57">
        <f t="shared" si="189"/>
        <v>2</v>
      </c>
      <c r="Q454" s="267">
        <f t="shared" si="190"/>
        <v>83814</v>
      </c>
      <c r="R454" s="23">
        <f t="shared" si="191"/>
        <v>48202</v>
      </c>
      <c r="S454" s="23">
        <f t="shared" si="192"/>
        <v>35180</v>
      </c>
      <c r="T454" s="23" t="str">
        <f t="shared" si="193"/>
        <v/>
      </c>
      <c r="U454" t="str">
        <f t="shared" si="194"/>
        <v/>
      </c>
      <c r="W454" s="1">
        <f t="shared" si="195"/>
        <v>38</v>
      </c>
      <c r="X454" s="73">
        <f t="shared" si="184"/>
        <v>83.345038167938938</v>
      </c>
      <c r="Y454" s="322">
        <f t="shared" si="196"/>
        <v>1458.1080000000002</v>
      </c>
      <c r="Z454" s="43">
        <f t="shared" si="185"/>
        <v>1.4747786183985044E-5</v>
      </c>
      <c r="AA454" s="52">
        <f t="shared" si="197"/>
        <v>1.4747786183985044E-7</v>
      </c>
      <c r="AB454" s="8">
        <f t="shared" si="198"/>
        <v>12897.66</v>
      </c>
      <c r="AC454" s="8">
        <f t="shared" si="199"/>
        <v>1289766</v>
      </c>
      <c r="AD454" s="8">
        <f t="shared" si="203"/>
        <v>6448.83</v>
      </c>
      <c r="AE454" s="8" t="str">
        <f t="shared" si="200"/>
        <v/>
      </c>
      <c r="AF454" s="22" t="str">
        <f t="shared" si="201"/>
        <v>CA_Ventu_2020g</v>
      </c>
      <c r="AG454">
        <v>1</v>
      </c>
      <c r="AH454" s="272">
        <v>21132</v>
      </c>
      <c r="AI454" s="273">
        <v>6113</v>
      </c>
      <c r="AJ454" s="274">
        <v>4541</v>
      </c>
      <c r="AK454" s="339">
        <v>1572</v>
      </c>
      <c r="AL454" s="340" t="s">
        <v>4742</v>
      </c>
      <c r="AM454" s="353">
        <f t="shared" si="202"/>
        <v>1.2188257404831574E-3</v>
      </c>
      <c r="AN454" s="354"/>
      <c r="AP454" s="23">
        <f t="shared" si="181"/>
        <v>0</v>
      </c>
      <c r="AQ454" s="392">
        <f t="shared" si="182"/>
        <v>0</v>
      </c>
      <c r="AR454" s="392">
        <f t="shared" si="183"/>
        <v>0</v>
      </c>
      <c r="AS454" s="392">
        <f t="shared" si="183"/>
        <v>0</v>
      </c>
    </row>
    <row r="455" spans="1:45">
      <c r="A455" s="12" t="s">
        <v>1547</v>
      </c>
      <c r="B455" s="54" t="str">
        <f t="shared" si="186"/>
        <v>AZ_Maric_2020g</v>
      </c>
      <c r="C455" s="12"/>
      <c r="D455" s="54" t="str">
        <f t="shared" si="187"/>
        <v>Gen-state rep dist-13 (vote for2)</v>
      </c>
      <c r="E455" s="54" t="s">
        <v>1831</v>
      </c>
      <c r="F455" s="12" t="s">
        <v>1294</v>
      </c>
      <c r="G455" s="59">
        <v>35180</v>
      </c>
      <c r="H455"/>
      <c r="K455" s="2"/>
      <c r="O455">
        <f t="shared" si="188"/>
        <v>3</v>
      </c>
      <c r="P455" s="57">
        <f t="shared" si="189"/>
        <v>2</v>
      </c>
      <c r="Q455" s="267">
        <f t="shared" si="190"/>
        <v>35612</v>
      </c>
      <c r="R455" s="23" t="str">
        <f t="shared" si="191"/>
        <v/>
      </c>
      <c r="S455" s="23">
        <f t="shared" si="192"/>
        <v>35180</v>
      </c>
      <c r="T455" s="23" t="str">
        <f t="shared" si="193"/>
        <v/>
      </c>
      <c r="U455" t="str">
        <f t="shared" si="194"/>
        <v/>
      </c>
      <c r="W455" s="1">
        <f t="shared" si="195"/>
        <v>39</v>
      </c>
      <c r="X455" s="73">
        <f t="shared" si="184"/>
        <v>11.238951310861424</v>
      </c>
      <c r="Y455" s="322">
        <f t="shared" si="196"/>
        <v>200.376</v>
      </c>
      <c r="Z455" s="43">
        <f t="shared" si="185"/>
        <v>1.0921391520261227E-5</v>
      </c>
      <c r="AA455" s="52">
        <f t="shared" si="197"/>
        <v>1.0921391520261226E-7</v>
      </c>
      <c r="AB455" s="8">
        <f t="shared" si="198"/>
        <v>12897.66</v>
      </c>
      <c r="AC455" s="8">
        <f t="shared" si="199"/>
        <v>1289766</v>
      </c>
      <c r="AD455" s="8">
        <f t="shared" si="203"/>
        <v>6448.83</v>
      </c>
      <c r="AE455" s="8" t="str">
        <f t="shared" si="200"/>
        <v/>
      </c>
      <c r="AF455" s="22" t="str">
        <f t="shared" si="201"/>
        <v>CA_Ventu_2020g</v>
      </c>
      <c r="AG455">
        <v>1</v>
      </c>
      <c r="AH455" s="272">
        <v>2904</v>
      </c>
      <c r="AI455" s="273">
        <v>2253</v>
      </c>
      <c r="AJ455" s="274">
        <v>651</v>
      </c>
      <c r="AK455" s="339">
        <v>1602</v>
      </c>
      <c r="AL455" s="340" t="s">
        <v>4749</v>
      </c>
      <c r="AM455" s="353">
        <f t="shared" si="202"/>
        <v>1.2420857736984848E-3</v>
      </c>
      <c r="AN455" s="354"/>
      <c r="AO455" s="356"/>
      <c r="AP455" s="23">
        <f t="shared" si="181"/>
        <v>0</v>
      </c>
      <c r="AQ455" s="392">
        <f t="shared" si="182"/>
        <v>0</v>
      </c>
      <c r="AR455" s="392">
        <f t="shared" si="183"/>
        <v>0</v>
      </c>
      <c r="AS455" s="392">
        <f t="shared" si="183"/>
        <v>0</v>
      </c>
    </row>
    <row r="456" spans="1:45">
      <c r="A456" s="12" t="s">
        <v>1547</v>
      </c>
      <c r="B456" s="54" t="str">
        <f t="shared" si="186"/>
        <v>AZ_Maric_2020g</v>
      </c>
      <c r="C456" s="12"/>
      <c r="D456" s="54" t="str">
        <f t="shared" si="187"/>
        <v>Gen-state rep dist-13 (vote for2)</v>
      </c>
      <c r="E456" s="54" t="s">
        <v>1299</v>
      </c>
      <c r="G456" s="59">
        <v>432</v>
      </c>
      <c r="H456"/>
      <c r="K456" s="2"/>
      <c r="O456">
        <f t="shared" si="188"/>
        <v>-3</v>
      </c>
      <c r="P456" s="57">
        <f t="shared" si="189"/>
        <v>2</v>
      </c>
      <c r="Q456" s="267">
        <f t="shared" si="190"/>
        <v>432</v>
      </c>
      <c r="R456" s="23">
        <f t="shared" si="191"/>
        <v>1</v>
      </c>
      <c r="S456" s="23">
        <f t="shared" si="192"/>
        <v>0</v>
      </c>
      <c r="T456" s="23" t="str">
        <f t="shared" si="193"/>
        <v/>
      </c>
      <c r="U456" t="str">
        <f t="shared" si="194"/>
        <v/>
      </c>
      <c r="W456" s="1">
        <f t="shared" si="195"/>
        <v>40</v>
      </c>
      <c r="X456" s="73">
        <f t="shared" si="184"/>
        <v>574.19142156862756</v>
      </c>
      <c r="Y456" s="322">
        <f t="shared" si="196"/>
        <v>10428.798000000001</v>
      </c>
      <c r="Z456" s="43">
        <f t="shared" si="185"/>
        <v>8.0877195307446588E-6</v>
      </c>
      <c r="AA456" s="52">
        <f t="shared" si="197"/>
        <v>8.0877195307446592E-8</v>
      </c>
      <c r="AB456" s="8">
        <f t="shared" si="198"/>
        <v>12897.66</v>
      </c>
      <c r="AC456" s="8">
        <f t="shared" si="199"/>
        <v>1289766</v>
      </c>
      <c r="AD456" s="8">
        <f t="shared" si="203"/>
        <v>6448.83</v>
      </c>
      <c r="AE456" s="8" t="str">
        <f t="shared" si="200"/>
        <v/>
      </c>
      <c r="AF456" s="22" t="str">
        <f t="shared" si="201"/>
        <v>CA_Ventu_2020g</v>
      </c>
      <c r="AG456">
        <v>1</v>
      </c>
      <c r="AH456" s="272">
        <v>151142</v>
      </c>
      <c r="AI456" s="273">
        <v>31637</v>
      </c>
      <c r="AJ456" s="274">
        <v>30005</v>
      </c>
      <c r="AK456" s="339">
        <v>1632</v>
      </c>
      <c r="AL456" s="340" t="s">
        <v>4740</v>
      </c>
      <c r="AM456" s="353">
        <f t="shared" si="202"/>
        <v>1.2653458069138122E-3</v>
      </c>
      <c r="AN456" s="354"/>
      <c r="AP456" s="23">
        <f t="shared" si="181"/>
        <v>0</v>
      </c>
      <c r="AQ456" s="392">
        <f t="shared" si="182"/>
        <v>0</v>
      </c>
      <c r="AR456" s="392">
        <f t="shared" si="183"/>
        <v>0</v>
      </c>
      <c r="AS456" s="392">
        <f t="shared" si="183"/>
        <v>0</v>
      </c>
    </row>
    <row r="457" spans="1:45">
      <c r="A457" s="12" t="s">
        <v>1549</v>
      </c>
      <c r="B457" s="54" t="str">
        <f t="shared" si="186"/>
        <v>AZ_Maric_2020g</v>
      </c>
      <c r="C457" s="12"/>
      <c r="D457" s="54" t="str">
        <f t="shared" si="187"/>
        <v>Gen-state rep dist-15 (vote for2)</v>
      </c>
      <c r="E457" s="54" t="s">
        <v>1834</v>
      </c>
      <c r="F457" s="12" t="s">
        <v>1296</v>
      </c>
      <c r="G457" s="59">
        <v>71900</v>
      </c>
      <c r="H457"/>
      <c r="K457" s="2"/>
      <c r="O457">
        <f t="shared" si="188"/>
        <v>1</v>
      </c>
      <c r="P457" s="57">
        <f t="shared" si="189"/>
        <v>2</v>
      </c>
      <c r="Q457" s="267">
        <f t="shared" si="190"/>
        <v>97166</v>
      </c>
      <c r="R457" s="23">
        <f t="shared" si="191"/>
        <v>66482</v>
      </c>
      <c r="S457" s="23">
        <f t="shared" si="192"/>
        <v>55259</v>
      </c>
      <c r="T457" s="23">
        <f t="shared" si="193"/>
        <v>11223</v>
      </c>
      <c r="U457" t="str">
        <f t="shared" si="194"/>
        <v>AZ_Maric_2020g~Gen-state rep dist-15 (vote for2)</v>
      </c>
      <c r="W457" s="1">
        <f t="shared" si="195"/>
        <v>41</v>
      </c>
      <c r="X457" s="73">
        <f t="shared" si="184"/>
        <v>16.136937962435972</v>
      </c>
      <c r="Y457" s="322">
        <f t="shared" si="196"/>
        <v>315.53700000000003</v>
      </c>
      <c r="Z457" s="43">
        <f t="shared" si="185"/>
        <v>2.3133631787054499E-6</v>
      </c>
      <c r="AA457" s="52">
        <f t="shared" si="197"/>
        <v>2.31336317870545E-8</v>
      </c>
      <c r="AB457" s="8">
        <f t="shared" si="198"/>
        <v>12897.66</v>
      </c>
      <c r="AC457" s="8">
        <f t="shared" si="199"/>
        <v>1289766</v>
      </c>
      <c r="AD457" s="8">
        <f t="shared" si="203"/>
        <v>6448.83</v>
      </c>
      <c r="AE457" s="8" t="str">
        <f t="shared" si="200"/>
        <v/>
      </c>
      <c r="AF457" s="22" t="str">
        <f t="shared" si="201"/>
        <v>CA_Ventu_2020g</v>
      </c>
      <c r="AG457">
        <v>1</v>
      </c>
      <c r="AH457" s="272">
        <v>4573</v>
      </c>
      <c r="AI457" s="273">
        <v>3165</v>
      </c>
      <c r="AJ457" s="274">
        <v>1408</v>
      </c>
      <c r="AK457" s="339">
        <v>1757</v>
      </c>
      <c r="AL457" s="340" t="s">
        <v>4706</v>
      </c>
      <c r="AM457" s="353">
        <f t="shared" si="202"/>
        <v>1.3622626119776766E-3</v>
      </c>
      <c r="AN457" s="354"/>
      <c r="AP457" s="23">
        <f t="shared" si="181"/>
        <v>0</v>
      </c>
      <c r="AQ457" s="392">
        <f t="shared" si="182"/>
        <v>0</v>
      </c>
      <c r="AR457" s="392">
        <f t="shared" si="183"/>
        <v>0</v>
      </c>
      <c r="AS457" s="392">
        <f t="shared" si="183"/>
        <v>0</v>
      </c>
    </row>
    <row r="458" spans="1:45">
      <c r="A458" s="12" t="s">
        <v>1549</v>
      </c>
      <c r="B458" s="54" t="str">
        <f t="shared" si="186"/>
        <v>AZ_Maric_2020g</v>
      </c>
      <c r="C458" s="12"/>
      <c r="D458" s="54" t="str">
        <f t="shared" si="187"/>
        <v>Gen-state rep dist-15 (vote for2)</v>
      </c>
      <c r="E458" s="54" t="s">
        <v>1835</v>
      </c>
      <c r="F458" s="12" t="s">
        <v>1296</v>
      </c>
      <c r="G458" s="59">
        <v>66482</v>
      </c>
      <c r="H458"/>
      <c r="K458" s="2"/>
      <c r="O458">
        <f t="shared" si="188"/>
        <v>2</v>
      </c>
      <c r="P458" s="57">
        <f t="shared" si="189"/>
        <v>2</v>
      </c>
      <c r="Q458" s="267">
        <f t="shared" si="190"/>
        <v>122432</v>
      </c>
      <c r="R458" s="23">
        <f t="shared" si="191"/>
        <v>66482</v>
      </c>
      <c r="S458" s="23">
        <f t="shared" si="192"/>
        <v>55259</v>
      </c>
      <c r="T458" s="23" t="str">
        <f t="shared" si="193"/>
        <v/>
      </c>
      <c r="U458" t="str">
        <f t="shared" si="194"/>
        <v/>
      </c>
      <c r="W458" s="1">
        <f t="shared" si="195"/>
        <v>42</v>
      </c>
      <c r="X458" s="73">
        <f t="shared" si="184"/>
        <v>18.324516466283324</v>
      </c>
      <c r="Y458" s="322">
        <f t="shared" si="196"/>
        <v>390.12600000000003</v>
      </c>
      <c r="Z458" s="43">
        <f t="shared" si="185"/>
        <v>4.8504177909913457E-7</v>
      </c>
      <c r="AA458" s="52">
        <f t="shared" si="197"/>
        <v>4.8504177909913459E-9</v>
      </c>
      <c r="AB458" s="8">
        <f t="shared" si="198"/>
        <v>12897.66</v>
      </c>
      <c r="AC458" s="8">
        <f t="shared" si="199"/>
        <v>1289766</v>
      </c>
      <c r="AD458" s="8">
        <f t="shared" si="203"/>
        <v>6448.83</v>
      </c>
      <c r="AE458" s="8" t="str">
        <f t="shared" si="200"/>
        <v/>
      </c>
      <c r="AF458" s="22" t="str">
        <f t="shared" si="201"/>
        <v>CA_Ventu_2020g</v>
      </c>
      <c r="AG458">
        <v>1</v>
      </c>
      <c r="AH458" s="272">
        <v>5654</v>
      </c>
      <c r="AI458" s="273">
        <v>3365</v>
      </c>
      <c r="AJ458" s="274">
        <v>1452</v>
      </c>
      <c r="AK458" s="339">
        <v>1913</v>
      </c>
      <c r="AL458" s="340" t="s">
        <v>4687</v>
      </c>
      <c r="AM458" s="353">
        <f t="shared" si="202"/>
        <v>1.4832147846973792E-3</v>
      </c>
      <c r="AN458" s="354"/>
      <c r="AP458" s="23">
        <f t="shared" si="181"/>
        <v>0</v>
      </c>
      <c r="AQ458" s="392">
        <f t="shared" si="182"/>
        <v>0</v>
      </c>
      <c r="AR458" s="392">
        <f t="shared" si="183"/>
        <v>0</v>
      </c>
      <c r="AS458" s="392">
        <f t="shared" si="183"/>
        <v>0</v>
      </c>
    </row>
    <row r="459" spans="1:45">
      <c r="A459" s="12" t="s">
        <v>1549</v>
      </c>
      <c r="B459" s="54" t="str">
        <f t="shared" si="186"/>
        <v>AZ_Maric_2020g</v>
      </c>
      <c r="C459" s="12"/>
      <c r="D459" s="54" t="str">
        <f t="shared" si="187"/>
        <v>Gen-state rep dist-15 (vote for2)</v>
      </c>
      <c r="E459" s="54" t="s">
        <v>1836</v>
      </c>
      <c r="F459" s="12" t="s">
        <v>1294</v>
      </c>
      <c r="G459" s="59">
        <v>55259</v>
      </c>
      <c r="H459"/>
      <c r="K459" s="2"/>
      <c r="O459">
        <f t="shared" si="188"/>
        <v>3</v>
      </c>
      <c r="P459" s="57">
        <f t="shared" si="189"/>
        <v>2</v>
      </c>
      <c r="Q459" s="267">
        <f t="shared" si="190"/>
        <v>55950</v>
      </c>
      <c r="R459" s="23" t="str">
        <f t="shared" si="191"/>
        <v/>
      </c>
      <c r="S459" s="23">
        <f t="shared" si="192"/>
        <v>55259</v>
      </c>
      <c r="T459" s="23" t="str">
        <f t="shared" si="193"/>
        <v/>
      </c>
      <c r="U459" t="str">
        <f t="shared" si="194"/>
        <v/>
      </c>
      <c r="W459" s="1">
        <f t="shared" si="195"/>
        <v>43</v>
      </c>
      <c r="X459" s="73">
        <f t="shared" si="184"/>
        <v>176.18945981554677</v>
      </c>
      <c r="Y459" s="322">
        <f t="shared" si="196"/>
        <v>4464.7830000000004</v>
      </c>
      <c r="Z459" s="43">
        <f t="shared" si="185"/>
        <v>1.2658296380006031E-8</v>
      </c>
      <c r="AA459" s="52">
        <f t="shared" si="197"/>
        <v>1.2658296380006031E-10</v>
      </c>
      <c r="AB459" s="8">
        <f t="shared" si="198"/>
        <v>12897.66</v>
      </c>
      <c r="AC459" s="8">
        <f t="shared" si="199"/>
        <v>1289766</v>
      </c>
      <c r="AD459" s="8">
        <f t="shared" si="203"/>
        <v>6448.83</v>
      </c>
      <c r="AE459" s="8" t="str">
        <f t="shared" si="200"/>
        <v/>
      </c>
      <c r="AF459" s="22" t="str">
        <f t="shared" si="201"/>
        <v>CA_Ventu_2020g</v>
      </c>
      <c r="AG459">
        <v>1</v>
      </c>
      <c r="AH459" s="272">
        <v>64707</v>
      </c>
      <c r="AI459" s="273">
        <v>33492</v>
      </c>
      <c r="AJ459" s="274">
        <v>31215</v>
      </c>
      <c r="AK459" s="339">
        <v>2277</v>
      </c>
      <c r="AL459" s="340" t="s">
        <v>4712</v>
      </c>
      <c r="AM459" s="353">
        <f t="shared" si="202"/>
        <v>1.7654365210433521E-3</v>
      </c>
      <c r="AN459" s="354"/>
      <c r="AP459" s="23">
        <f t="shared" si="181"/>
        <v>0</v>
      </c>
      <c r="AQ459" s="392">
        <f t="shared" si="182"/>
        <v>0</v>
      </c>
      <c r="AR459" s="392">
        <f t="shared" si="183"/>
        <v>0</v>
      </c>
      <c r="AS459" s="392">
        <f t="shared" si="183"/>
        <v>0</v>
      </c>
    </row>
    <row r="460" spans="1:45">
      <c r="A460" s="12" t="s">
        <v>1549</v>
      </c>
      <c r="B460" s="54" t="str">
        <f t="shared" si="186"/>
        <v>AZ_Maric_2020g</v>
      </c>
      <c r="C460" s="12"/>
      <c r="D460" s="54" t="str">
        <f t="shared" si="187"/>
        <v>Gen-state rep dist-15 (vote for2)</v>
      </c>
      <c r="E460" s="54" t="s">
        <v>1299</v>
      </c>
      <c r="G460" s="59">
        <v>691</v>
      </c>
      <c r="H460"/>
      <c r="K460" s="2"/>
      <c r="O460">
        <f t="shared" si="188"/>
        <v>-3</v>
      </c>
      <c r="P460" s="57">
        <f t="shared" si="189"/>
        <v>2</v>
      </c>
      <c r="Q460" s="267">
        <f t="shared" si="190"/>
        <v>691</v>
      </c>
      <c r="R460" s="23">
        <f t="shared" si="191"/>
        <v>1</v>
      </c>
      <c r="S460" s="23">
        <f t="shared" si="192"/>
        <v>0</v>
      </c>
      <c r="T460" s="23" t="str">
        <f t="shared" si="193"/>
        <v/>
      </c>
      <c r="U460" t="str">
        <f t="shared" si="194"/>
        <v/>
      </c>
      <c r="W460" s="1">
        <f t="shared" si="195"/>
        <v>44</v>
      </c>
      <c r="X460" s="73">
        <f t="shared" si="184"/>
        <v>1097.6147186147186</v>
      </c>
      <c r="Y460" s="322">
        <f t="shared" si="196"/>
        <v>28217.550000000003</v>
      </c>
      <c r="Z460" s="43">
        <f t="shared" si="185"/>
        <v>9.0950015227960424E-9</v>
      </c>
      <c r="AA460" s="52">
        <f t="shared" si="197"/>
        <v>9.0950015227960426E-11</v>
      </c>
      <c r="AB460" s="8">
        <f t="shared" si="198"/>
        <v>12897.66</v>
      </c>
      <c r="AC460" s="8">
        <f t="shared" si="199"/>
        <v>1289766</v>
      </c>
      <c r="AD460" s="8">
        <f t="shared" si="203"/>
        <v>6448.83</v>
      </c>
      <c r="AE460" s="8" t="str">
        <f t="shared" si="200"/>
        <v/>
      </c>
      <c r="AF460" s="22" t="str">
        <f t="shared" si="201"/>
        <v>CA_Ventu_2020g</v>
      </c>
      <c r="AG460">
        <v>1</v>
      </c>
      <c r="AH460" s="272">
        <v>408950</v>
      </c>
      <c r="AI460" s="273">
        <v>205630</v>
      </c>
      <c r="AJ460" s="274">
        <v>203320</v>
      </c>
      <c r="AK460" s="339">
        <v>2310</v>
      </c>
      <c r="AL460" s="340" t="s">
        <v>4702</v>
      </c>
      <c r="AM460" s="353">
        <f t="shared" si="202"/>
        <v>1.7910225575802122E-3</v>
      </c>
      <c r="AN460" s="354"/>
      <c r="AP460" s="23">
        <f t="shared" si="181"/>
        <v>0</v>
      </c>
      <c r="AQ460" s="392">
        <f t="shared" si="182"/>
        <v>0</v>
      </c>
      <c r="AR460" s="392">
        <f t="shared" si="183"/>
        <v>0</v>
      </c>
      <c r="AS460" s="392">
        <f t="shared" si="183"/>
        <v>0</v>
      </c>
    </row>
    <row r="461" spans="1:45">
      <c r="A461" s="12" t="s">
        <v>1551</v>
      </c>
      <c r="B461" s="54" t="str">
        <f t="shared" si="186"/>
        <v>AZ_Maric_2020g</v>
      </c>
      <c r="C461" s="12"/>
      <c r="D461" s="54" t="str">
        <f t="shared" si="187"/>
        <v>Gen-state rep dist-16 (vote for2)</v>
      </c>
      <c r="E461" s="54" t="s">
        <v>1842</v>
      </c>
      <c r="F461" s="12" t="s">
        <v>1296</v>
      </c>
      <c r="G461" s="59">
        <v>47333</v>
      </c>
      <c r="H461"/>
      <c r="K461" s="2"/>
      <c r="O461">
        <f t="shared" si="188"/>
        <v>1</v>
      </c>
      <c r="P461" s="57">
        <f t="shared" si="189"/>
        <v>2</v>
      </c>
      <c r="Q461" s="267">
        <f t="shared" si="190"/>
        <v>60991.5</v>
      </c>
      <c r="R461" s="23">
        <f t="shared" si="191"/>
        <v>43110</v>
      </c>
      <c r="S461" s="23">
        <f t="shared" si="192"/>
        <v>31036</v>
      </c>
      <c r="T461" s="23">
        <f t="shared" si="193"/>
        <v>12074</v>
      </c>
      <c r="U461" t="str">
        <f t="shared" si="194"/>
        <v>AZ_Maric_2020g~Gen-state rep dist-16 (vote for2)</v>
      </c>
      <c r="W461" s="1">
        <f t="shared" si="195"/>
        <v>45</v>
      </c>
      <c r="X461" s="73">
        <f t="shared" si="184"/>
        <v>69.632006920415236</v>
      </c>
      <c r="Y461" s="322">
        <f t="shared" si="196"/>
        <v>1791.6540000000002</v>
      </c>
      <c r="Z461" s="43">
        <f t="shared" si="185"/>
        <v>8.9145883843752814E-9</v>
      </c>
      <c r="AA461" s="52">
        <f t="shared" si="197"/>
        <v>8.9145883843752806E-11</v>
      </c>
      <c r="AB461" s="8">
        <f t="shared" si="198"/>
        <v>12897.66</v>
      </c>
      <c r="AC461" s="8">
        <f t="shared" si="199"/>
        <v>1289766</v>
      </c>
      <c r="AD461" s="8">
        <f t="shared" si="203"/>
        <v>6448.83</v>
      </c>
      <c r="AE461" s="8" t="str">
        <f t="shared" si="200"/>
        <v/>
      </c>
      <c r="AF461" s="22" t="str">
        <f t="shared" si="201"/>
        <v>CA_Ventu_2020g</v>
      </c>
      <c r="AG461">
        <v>1</v>
      </c>
      <c r="AH461" s="272">
        <v>25966</v>
      </c>
      <c r="AI461" s="273">
        <v>14139</v>
      </c>
      <c r="AJ461" s="274">
        <v>11827</v>
      </c>
      <c r="AK461" s="339">
        <v>2312</v>
      </c>
      <c r="AL461" s="340" t="s">
        <v>4761</v>
      </c>
      <c r="AM461" s="353">
        <f t="shared" si="202"/>
        <v>1.7925732264612341E-3</v>
      </c>
      <c r="AN461" s="354"/>
      <c r="AP461" s="23">
        <f t="shared" ref="AP461:AP524" si="204">MIN(AD461, MAX(0,ROUNDUP(AD461*(0.5*AK461/AC461-0.005)/(RIGHT(AP$1,3)-0.005),0)))</f>
        <v>0</v>
      </c>
      <c r="AQ461" s="392">
        <f t="shared" si="182"/>
        <v>0</v>
      </c>
      <c r="AR461" s="392">
        <f t="shared" si="183"/>
        <v>0</v>
      </c>
      <c r="AS461" s="392">
        <f t="shared" si="183"/>
        <v>0</v>
      </c>
    </row>
    <row r="462" spans="1:45">
      <c r="A462" s="12" t="s">
        <v>1551</v>
      </c>
      <c r="B462" s="54" t="str">
        <f t="shared" si="186"/>
        <v>AZ_Maric_2020g</v>
      </c>
      <c r="C462" s="12"/>
      <c r="D462" s="54" t="str">
        <f t="shared" si="187"/>
        <v>Gen-state rep dist-16 (vote for2)</v>
      </c>
      <c r="E462" s="54" t="s">
        <v>1841</v>
      </c>
      <c r="F462" s="12" t="s">
        <v>1296</v>
      </c>
      <c r="G462" s="59">
        <v>43110</v>
      </c>
      <c r="H462"/>
      <c r="K462" s="2"/>
      <c r="O462">
        <f t="shared" si="188"/>
        <v>2</v>
      </c>
      <c r="P462" s="57">
        <f t="shared" si="189"/>
        <v>2</v>
      </c>
      <c r="Q462" s="267">
        <f t="shared" si="190"/>
        <v>74650</v>
      </c>
      <c r="R462" s="23">
        <f t="shared" si="191"/>
        <v>43110</v>
      </c>
      <c r="S462" s="23">
        <f t="shared" si="192"/>
        <v>31036</v>
      </c>
      <c r="T462" s="23" t="str">
        <f t="shared" si="193"/>
        <v/>
      </c>
      <c r="U462" t="str">
        <f t="shared" si="194"/>
        <v/>
      </c>
      <c r="W462" s="1">
        <f t="shared" si="195"/>
        <v>46</v>
      </c>
      <c r="X462" s="73">
        <f t="shared" si="184"/>
        <v>29.545200441338729</v>
      </c>
      <c r="Y462" s="322">
        <f t="shared" si="196"/>
        <v>894.03300000000013</v>
      </c>
      <c r="Z462" s="43">
        <f t="shared" si="185"/>
        <v>1.5103186970264509E-10</v>
      </c>
      <c r="AA462" s="52">
        <f t="shared" si="197"/>
        <v>1.5103186970264509E-12</v>
      </c>
      <c r="AB462" s="8">
        <f t="shared" si="198"/>
        <v>12897.66</v>
      </c>
      <c r="AC462" s="8">
        <f t="shared" si="199"/>
        <v>1289766</v>
      </c>
      <c r="AD462" s="8">
        <f t="shared" si="203"/>
        <v>6448.83</v>
      </c>
      <c r="AE462" s="8" t="str">
        <f t="shared" si="200"/>
        <v/>
      </c>
      <c r="AF462" s="22" t="str">
        <f t="shared" si="201"/>
        <v>CA_Ventu_2020g</v>
      </c>
      <c r="AG462">
        <v>1</v>
      </c>
      <c r="AH462" s="272">
        <v>12957</v>
      </c>
      <c r="AI462" s="273">
        <v>7838</v>
      </c>
      <c r="AJ462" s="274">
        <v>5119</v>
      </c>
      <c r="AK462" s="339">
        <v>2719</v>
      </c>
      <c r="AL462" s="340" t="s">
        <v>4703</v>
      </c>
      <c r="AM462" s="353">
        <f t="shared" si="202"/>
        <v>2.108134343749176E-3</v>
      </c>
      <c r="AN462" s="354"/>
      <c r="AP462" s="23">
        <f t="shared" si="204"/>
        <v>0</v>
      </c>
      <c r="AQ462" s="392">
        <f t="shared" si="182"/>
        <v>0</v>
      </c>
      <c r="AR462" s="392">
        <f t="shared" si="183"/>
        <v>0</v>
      </c>
      <c r="AS462" s="392">
        <f t="shared" si="183"/>
        <v>0</v>
      </c>
    </row>
    <row r="463" spans="1:45">
      <c r="A463" s="12" t="s">
        <v>1551</v>
      </c>
      <c r="B463" s="54" t="str">
        <f t="shared" si="186"/>
        <v>AZ_Maric_2020g</v>
      </c>
      <c r="C463" s="12"/>
      <c r="D463" s="54" t="str">
        <f t="shared" si="187"/>
        <v>Gen-state rep dist-16 (vote for2)</v>
      </c>
      <c r="E463" s="54" t="s">
        <v>1843</v>
      </c>
      <c r="F463" s="12" t="s">
        <v>1294</v>
      </c>
      <c r="G463" s="59">
        <v>31036</v>
      </c>
      <c r="H463"/>
      <c r="K463" s="2"/>
      <c r="O463">
        <f t="shared" si="188"/>
        <v>3</v>
      </c>
      <c r="P463" s="57">
        <f t="shared" si="189"/>
        <v>2</v>
      </c>
      <c r="Q463" s="267">
        <f t="shared" si="190"/>
        <v>31540</v>
      </c>
      <c r="R463" s="23" t="str">
        <f t="shared" si="191"/>
        <v/>
      </c>
      <c r="S463" s="23">
        <f t="shared" si="192"/>
        <v>31036</v>
      </c>
      <c r="T463" s="23" t="str">
        <f t="shared" si="193"/>
        <v/>
      </c>
      <c r="U463" t="str">
        <f t="shared" si="194"/>
        <v/>
      </c>
      <c r="W463" s="1">
        <f t="shared" si="195"/>
        <v>47</v>
      </c>
      <c r="X463" s="73">
        <f t="shared" si="184"/>
        <v>122.12896797153024</v>
      </c>
      <c r="Y463" s="322">
        <f t="shared" si="196"/>
        <v>3819.2880000000005</v>
      </c>
      <c r="Z463" s="43">
        <f t="shared" si="185"/>
        <v>6.0675268517467065E-11</v>
      </c>
      <c r="AA463" s="52">
        <f t="shared" si="197"/>
        <v>6.0675268517467065E-13</v>
      </c>
      <c r="AB463" s="8">
        <f t="shared" si="198"/>
        <v>12897.66</v>
      </c>
      <c r="AC463" s="8">
        <f t="shared" si="199"/>
        <v>1289766</v>
      </c>
      <c r="AD463" s="8">
        <f t="shared" si="203"/>
        <v>6448.83</v>
      </c>
      <c r="AE463" s="8" t="str">
        <f t="shared" si="200"/>
        <v/>
      </c>
      <c r="AF463" s="22" t="str">
        <f t="shared" si="201"/>
        <v>CA_Ventu_2020g</v>
      </c>
      <c r="AG463">
        <v>1</v>
      </c>
      <c r="AH463" s="272">
        <v>55352</v>
      </c>
      <c r="AI463" s="273">
        <v>23543</v>
      </c>
      <c r="AJ463" s="274">
        <v>20733</v>
      </c>
      <c r="AK463" s="339">
        <v>2810</v>
      </c>
      <c r="AL463" s="340" t="s">
        <v>4737</v>
      </c>
      <c r="AM463" s="353">
        <f t="shared" si="202"/>
        <v>2.1786897778356693E-3</v>
      </c>
      <c r="AN463" s="354"/>
      <c r="AP463" s="23">
        <f t="shared" si="204"/>
        <v>0</v>
      </c>
      <c r="AQ463" s="392">
        <f t="shared" si="182"/>
        <v>0</v>
      </c>
      <c r="AR463" s="392">
        <f t="shared" si="183"/>
        <v>0</v>
      </c>
      <c r="AS463" s="392">
        <f t="shared" si="183"/>
        <v>0</v>
      </c>
    </row>
    <row r="464" spans="1:45">
      <c r="A464" s="12" t="s">
        <v>1551</v>
      </c>
      <c r="B464" s="54" t="str">
        <f t="shared" si="186"/>
        <v>AZ_Maric_2020g</v>
      </c>
      <c r="C464" s="12"/>
      <c r="D464" s="54" t="str">
        <f t="shared" si="187"/>
        <v>Gen-state rep dist-16 (vote for2)</v>
      </c>
      <c r="E464" s="54" t="s">
        <v>1299</v>
      </c>
      <c r="G464" s="59">
        <v>504</v>
      </c>
      <c r="H464"/>
      <c r="K464" s="2"/>
      <c r="O464">
        <f t="shared" si="188"/>
        <v>-3</v>
      </c>
      <c r="P464" s="57">
        <f t="shared" si="189"/>
        <v>2</v>
      </c>
      <c r="Q464" s="267">
        <f t="shared" si="190"/>
        <v>504</v>
      </c>
      <c r="R464" s="23">
        <f t="shared" si="191"/>
        <v>1</v>
      </c>
      <c r="S464" s="23">
        <f t="shared" si="192"/>
        <v>0</v>
      </c>
      <c r="T464" s="23" t="str">
        <f t="shared" si="193"/>
        <v/>
      </c>
      <c r="U464" t="str">
        <f t="shared" si="194"/>
        <v/>
      </c>
      <c r="W464" s="1">
        <f t="shared" si="195"/>
        <v>48</v>
      </c>
      <c r="X464" s="73">
        <f t="shared" si="184"/>
        <v>41.586275203395822</v>
      </c>
      <c r="Y464" s="322">
        <f t="shared" si="196"/>
        <v>1308.3780000000002</v>
      </c>
      <c r="Z464" s="43">
        <f t="shared" si="185"/>
        <v>5.1170534374287505E-11</v>
      </c>
      <c r="AA464" s="52">
        <f t="shared" si="197"/>
        <v>5.1170534374287504E-13</v>
      </c>
      <c r="AB464" s="8">
        <f t="shared" si="198"/>
        <v>12897.66</v>
      </c>
      <c r="AC464" s="8">
        <f t="shared" si="199"/>
        <v>1289766</v>
      </c>
      <c r="AD464" s="8">
        <f t="shared" si="203"/>
        <v>6448.83</v>
      </c>
      <c r="AE464" s="8" t="str">
        <f t="shared" si="200"/>
        <v/>
      </c>
      <c r="AF464" s="22" t="str">
        <f t="shared" si="201"/>
        <v>CA_Ventu_2020g</v>
      </c>
      <c r="AG464" s="23">
        <v>1</v>
      </c>
      <c r="AH464" s="8">
        <v>18962</v>
      </c>
      <c r="AI464" s="273">
        <v>9449</v>
      </c>
      <c r="AJ464" s="274">
        <v>6622</v>
      </c>
      <c r="AK464" s="339">
        <v>2827</v>
      </c>
      <c r="AL464" s="344" t="s">
        <v>4720</v>
      </c>
      <c r="AM464" s="353">
        <f t="shared" si="202"/>
        <v>2.1918704633243549E-3</v>
      </c>
      <c r="AN464" s="354"/>
      <c r="AP464" s="23">
        <f t="shared" si="204"/>
        <v>0</v>
      </c>
      <c r="AQ464" s="392">
        <f t="shared" si="182"/>
        <v>0</v>
      </c>
      <c r="AR464" s="392">
        <f t="shared" si="183"/>
        <v>0</v>
      </c>
      <c r="AS464" s="392">
        <f t="shared" si="183"/>
        <v>0</v>
      </c>
    </row>
    <row r="465" spans="1:45">
      <c r="A465" s="12" t="s">
        <v>1553</v>
      </c>
      <c r="B465" s="54" t="str">
        <f t="shared" si="186"/>
        <v>AZ_Maric_2020g</v>
      </c>
      <c r="C465" s="12"/>
      <c r="D465" s="54" t="str">
        <f t="shared" si="187"/>
        <v>Gen-state rep dist-17 (vote for2)</v>
      </c>
      <c r="E465" s="54" t="s">
        <v>1848</v>
      </c>
      <c r="F465" s="12" t="s">
        <v>1294</v>
      </c>
      <c r="G465" s="59">
        <v>65172</v>
      </c>
      <c r="H465"/>
      <c r="K465" s="2"/>
      <c r="O465">
        <f t="shared" si="188"/>
        <v>1</v>
      </c>
      <c r="P465" s="57">
        <f t="shared" si="189"/>
        <v>2</v>
      </c>
      <c r="Q465" s="267">
        <f t="shared" si="190"/>
        <v>96779</v>
      </c>
      <c r="R465" s="23">
        <f t="shared" si="191"/>
        <v>64501</v>
      </c>
      <c r="S465" s="23">
        <f t="shared" si="192"/>
        <v>63409</v>
      </c>
      <c r="T465" s="23">
        <f t="shared" si="193"/>
        <v>1092</v>
      </c>
      <c r="U465" t="str">
        <f t="shared" si="194"/>
        <v>AZ_Maric_2020g~Gen-state rep dist-17 (vote for2)</v>
      </c>
      <c r="W465" s="1">
        <f t="shared" si="195"/>
        <v>49</v>
      </c>
      <c r="X465" s="73">
        <f t="shared" si="184"/>
        <v>867.02194207836453</v>
      </c>
      <c r="Y465" s="322">
        <f t="shared" si="196"/>
        <v>28320.153000000002</v>
      </c>
      <c r="Z465" s="43">
        <f t="shared" si="185"/>
        <v>1.7335319793549392E-11</v>
      </c>
      <c r="AA465" s="52">
        <f t="shared" si="197"/>
        <v>1.733531979354939E-13</v>
      </c>
      <c r="AB465" s="8">
        <f t="shared" si="198"/>
        <v>12897.66</v>
      </c>
      <c r="AC465" s="8">
        <f t="shared" si="199"/>
        <v>1289766</v>
      </c>
      <c r="AD465" s="8">
        <f t="shared" si="203"/>
        <v>6448.83</v>
      </c>
      <c r="AE465" s="8" t="str">
        <f t="shared" si="200"/>
        <v/>
      </c>
      <c r="AF465" s="22" t="str">
        <f t="shared" si="201"/>
        <v>CA_Ventu_2020g</v>
      </c>
      <c r="AG465">
        <v>1</v>
      </c>
      <c r="AH465" s="272">
        <v>410437</v>
      </c>
      <c r="AI465" s="273">
        <v>206686</v>
      </c>
      <c r="AJ465" s="274">
        <v>203751</v>
      </c>
      <c r="AK465" s="339">
        <v>2935</v>
      </c>
      <c r="AL465" s="340" t="s">
        <v>4688</v>
      </c>
      <c r="AM465" s="353">
        <f t="shared" si="202"/>
        <v>2.2756065828995337E-3</v>
      </c>
      <c r="AN465" s="354"/>
      <c r="AP465" s="23">
        <f t="shared" si="204"/>
        <v>0</v>
      </c>
      <c r="AQ465" s="392">
        <f t="shared" si="182"/>
        <v>0</v>
      </c>
      <c r="AR465" s="392">
        <f t="shared" si="183"/>
        <v>0</v>
      </c>
      <c r="AS465" s="392">
        <f t="shared" si="183"/>
        <v>0</v>
      </c>
    </row>
    <row r="466" spans="1:45">
      <c r="A466" s="12" t="s">
        <v>1553</v>
      </c>
      <c r="B466" s="54" t="str">
        <f t="shared" si="186"/>
        <v>AZ_Maric_2020g</v>
      </c>
      <c r="C466" s="12"/>
      <c r="D466" s="54" t="str">
        <f t="shared" si="187"/>
        <v>Gen-state rep dist-17 (vote for2)</v>
      </c>
      <c r="E466" s="54" t="s">
        <v>1847</v>
      </c>
      <c r="F466" s="12" t="s">
        <v>1296</v>
      </c>
      <c r="G466" s="59">
        <v>64501</v>
      </c>
      <c r="H466"/>
      <c r="K466" s="2"/>
      <c r="O466">
        <f t="shared" si="188"/>
        <v>2</v>
      </c>
      <c r="P466" s="57">
        <f t="shared" si="189"/>
        <v>2</v>
      </c>
      <c r="Q466" s="267">
        <f t="shared" si="190"/>
        <v>128386</v>
      </c>
      <c r="R466" s="23">
        <f t="shared" si="191"/>
        <v>64501</v>
      </c>
      <c r="S466" s="23">
        <f t="shared" si="192"/>
        <v>63409</v>
      </c>
      <c r="T466" s="23" t="str">
        <f t="shared" si="193"/>
        <v/>
      </c>
      <c r="U466" t="str">
        <f t="shared" si="194"/>
        <v/>
      </c>
      <c r="W466" s="1">
        <f t="shared" si="195"/>
        <v>50</v>
      </c>
      <c r="X466" s="73">
        <f t="shared" si="184"/>
        <v>84.768185961713755</v>
      </c>
      <c r="Y466" s="322">
        <f t="shared" si="196"/>
        <v>4139.5860000000002</v>
      </c>
      <c r="Z466" s="43">
        <f t="shared" si="185"/>
        <v>8.1408009444136036E-18</v>
      </c>
      <c r="AA466" s="52">
        <f t="shared" si="197"/>
        <v>8.1408009444136037E-20</v>
      </c>
      <c r="AB466" s="8">
        <f t="shared" si="198"/>
        <v>12897.66</v>
      </c>
      <c r="AC466" s="8">
        <f t="shared" si="199"/>
        <v>1289766</v>
      </c>
      <c r="AD466" s="8">
        <f t="shared" si="203"/>
        <v>6448.83</v>
      </c>
      <c r="AE466" s="8" t="str">
        <f t="shared" si="200"/>
        <v/>
      </c>
      <c r="AF466" s="22" t="str">
        <f t="shared" si="201"/>
        <v>CA_Ventu_2020g</v>
      </c>
      <c r="AG466">
        <v>1</v>
      </c>
      <c r="AH466" s="272">
        <v>59994</v>
      </c>
      <c r="AI466" s="273">
        <v>24676</v>
      </c>
      <c r="AJ466" s="274">
        <v>20288</v>
      </c>
      <c r="AK466" s="339">
        <v>4388</v>
      </c>
      <c r="AL466" s="340" t="s">
        <v>4683</v>
      </c>
      <c r="AM466" s="353">
        <f t="shared" si="202"/>
        <v>3.4021675249618923E-3</v>
      </c>
      <c r="AN466" s="354"/>
      <c r="AP466" s="23">
        <f t="shared" si="204"/>
        <v>0</v>
      </c>
      <c r="AQ466" s="392">
        <f t="shared" si="182"/>
        <v>0</v>
      </c>
      <c r="AR466" s="392">
        <f t="shared" si="183"/>
        <v>0</v>
      </c>
      <c r="AS466" s="392">
        <f t="shared" si="183"/>
        <v>0</v>
      </c>
    </row>
    <row r="467" spans="1:45">
      <c r="A467" s="12" t="s">
        <v>1553</v>
      </c>
      <c r="B467" s="54" t="str">
        <f t="shared" si="186"/>
        <v>AZ_Maric_2020g</v>
      </c>
      <c r="C467" s="12"/>
      <c r="D467" s="54" t="str">
        <f t="shared" si="187"/>
        <v>Gen-state rep dist-17 (vote for2)</v>
      </c>
      <c r="E467" s="54" t="s">
        <v>1846</v>
      </c>
      <c r="F467" s="12" t="s">
        <v>1296</v>
      </c>
      <c r="G467" s="59">
        <v>63409</v>
      </c>
      <c r="H467"/>
      <c r="K467" s="2"/>
      <c r="O467">
        <f t="shared" si="188"/>
        <v>3</v>
      </c>
      <c r="P467" s="57">
        <f t="shared" si="189"/>
        <v>2</v>
      </c>
      <c r="Q467" s="267">
        <f t="shared" si="190"/>
        <v>63885</v>
      </c>
      <c r="R467" s="23" t="str">
        <f t="shared" si="191"/>
        <v/>
      </c>
      <c r="S467" s="23">
        <f t="shared" si="192"/>
        <v>63409</v>
      </c>
      <c r="T467" s="23" t="str">
        <f t="shared" si="193"/>
        <v/>
      </c>
      <c r="U467" t="str">
        <f t="shared" si="194"/>
        <v/>
      </c>
      <c r="W467" s="1">
        <f t="shared" si="195"/>
        <v>51</v>
      </c>
      <c r="X467" s="73">
        <f t="shared" si="184"/>
        <v>11.249268841394827</v>
      </c>
      <c r="Y467" s="322">
        <f t="shared" si="196"/>
        <v>556.48500000000001</v>
      </c>
      <c r="Z467" s="43">
        <f t="shared" si="185"/>
        <v>4.5948220760639804E-18</v>
      </c>
      <c r="AA467" s="52">
        <f t="shared" si="197"/>
        <v>4.5948220760639806E-20</v>
      </c>
      <c r="AB467" s="8">
        <f t="shared" si="198"/>
        <v>12897.66</v>
      </c>
      <c r="AC467" s="8">
        <f t="shared" si="199"/>
        <v>1289766</v>
      </c>
      <c r="AD467" s="8">
        <f t="shared" si="203"/>
        <v>6448.83</v>
      </c>
      <c r="AE467" s="8" t="str">
        <f t="shared" si="200"/>
        <v/>
      </c>
      <c r="AF467" s="22" t="str">
        <f t="shared" si="201"/>
        <v>CA_Ventu_2020g</v>
      </c>
      <c r="AG467">
        <v>1</v>
      </c>
      <c r="AH467" s="272">
        <v>8065</v>
      </c>
      <c r="AI467" s="273">
        <v>6255</v>
      </c>
      <c r="AJ467" s="274">
        <v>1810</v>
      </c>
      <c r="AK467" s="339">
        <v>4445</v>
      </c>
      <c r="AL467" s="340" t="s">
        <v>4685</v>
      </c>
      <c r="AM467" s="353">
        <f t="shared" si="202"/>
        <v>3.4463615880710144E-3</v>
      </c>
      <c r="AN467" s="354"/>
      <c r="AO467" s="356"/>
      <c r="AP467" s="23">
        <f t="shared" si="204"/>
        <v>0</v>
      </c>
      <c r="AQ467" s="392">
        <f t="shared" si="182"/>
        <v>0</v>
      </c>
      <c r="AR467" s="392">
        <f t="shared" si="183"/>
        <v>0</v>
      </c>
      <c r="AS467" s="392">
        <f t="shared" si="183"/>
        <v>0</v>
      </c>
    </row>
    <row r="468" spans="1:45">
      <c r="A468" s="12" t="s">
        <v>1553</v>
      </c>
      <c r="B468" s="54" t="str">
        <f t="shared" si="186"/>
        <v>AZ_Maric_2020g</v>
      </c>
      <c r="C468" s="12"/>
      <c r="D468" s="54" t="str">
        <f t="shared" si="187"/>
        <v>Gen-state rep dist-17 (vote for2)</v>
      </c>
      <c r="E468" s="54" t="s">
        <v>1299</v>
      </c>
      <c r="G468" s="59">
        <v>476</v>
      </c>
      <c r="H468"/>
      <c r="K468" s="2"/>
      <c r="O468">
        <f t="shared" si="188"/>
        <v>-3</v>
      </c>
      <c r="P468" s="57">
        <f t="shared" si="189"/>
        <v>2</v>
      </c>
      <c r="Q468" s="267">
        <f t="shared" si="190"/>
        <v>476</v>
      </c>
      <c r="R468" s="23">
        <f t="shared" si="191"/>
        <v>1</v>
      </c>
      <c r="S468" s="23">
        <f t="shared" si="192"/>
        <v>0</v>
      </c>
      <c r="T468" s="23" t="str">
        <f t="shared" si="193"/>
        <v/>
      </c>
      <c r="U468" t="str">
        <f t="shared" si="194"/>
        <v/>
      </c>
      <c r="W468" s="1">
        <f t="shared" si="195"/>
        <v>52</v>
      </c>
      <c r="X468" s="73">
        <f t="shared" si="184"/>
        <v>145.55578260869567</v>
      </c>
      <c r="Y468" s="322">
        <f t="shared" si="196"/>
        <v>7451.5170000000007</v>
      </c>
      <c r="Z468" s="43">
        <f t="shared" si="185"/>
        <v>9.6993706585580894E-19</v>
      </c>
      <c r="AA468" s="52">
        <f t="shared" si="197"/>
        <v>9.6993706585580888E-21</v>
      </c>
      <c r="AB468" s="8">
        <f t="shared" si="198"/>
        <v>12897.66</v>
      </c>
      <c r="AC468" s="8">
        <f t="shared" si="199"/>
        <v>1289766</v>
      </c>
      <c r="AD468" s="8">
        <f t="shared" si="203"/>
        <v>6448.83</v>
      </c>
      <c r="AE468" s="8" t="str">
        <f t="shared" si="200"/>
        <v/>
      </c>
      <c r="AF468" s="22" t="str">
        <f t="shared" si="201"/>
        <v>CA_Ventu_2020g</v>
      </c>
      <c r="AG468">
        <v>1</v>
      </c>
      <c r="AH468" s="272">
        <v>107993</v>
      </c>
      <c r="AI468" s="273">
        <v>48542</v>
      </c>
      <c r="AJ468" s="274">
        <v>43942</v>
      </c>
      <c r="AK468" s="339">
        <v>4600</v>
      </c>
      <c r="AL468" s="340" t="s">
        <v>4693</v>
      </c>
      <c r="AM468" s="353">
        <f t="shared" si="202"/>
        <v>3.5665384263502062E-3</v>
      </c>
      <c r="AN468" s="354"/>
      <c r="AP468" s="23">
        <f t="shared" si="204"/>
        <v>0</v>
      </c>
      <c r="AQ468" s="392">
        <f t="shared" si="182"/>
        <v>0</v>
      </c>
      <c r="AR468" s="392">
        <f t="shared" si="183"/>
        <v>0</v>
      </c>
      <c r="AS468" s="392">
        <f t="shared" si="183"/>
        <v>0</v>
      </c>
    </row>
    <row r="469" spans="1:45">
      <c r="A469" s="12" t="s">
        <v>1555</v>
      </c>
      <c r="B469" s="54" t="str">
        <f t="shared" si="186"/>
        <v>AZ_Maric_2020g</v>
      </c>
      <c r="C469" s="12"/>
      <c r="D469" s="54" t="str">
        <f t="shared" si="187"/>
        <v>Gen-state rep dist-18 (vote for2)</v>
      </c>
      <c r="E469" s="54" t="s">
        <v>1854</v>
      </c>
      <c r="F469" s="12" t="s">
        <v>1294</v>
      </c>
      <c r="G469" s="59">
        <v>70049</v>
      </c>
      <c r="H469"/>
      <c r="K469" s="2"/>
      <c r="O469">
        <f t="shared" si="188"/>
        <v>1</v>
      </c>
      <c r="P469" s="57">
        <f t="shared" si="189"/>
        <v>2</v>
      </c>
      <c r="Q469" s="267">
        <f t="shared" si="190"/>
        <v>121306</v>
      </c>
      <c r="R469" s="23">
        <f t="shared" si="191"/>
        <v>67649</v>
      </c>
      <c r="S469" s="23">
        <f t="shared" si="192"/>
        <v>55140</v>
      </c>
      <c r="T469" s="23">
        <f t="shared" si="193"/>
        <v>12509</v>
      </c>
      <c r="U469" t="str">
        <f t="shared" si="194"/>
        <v>AZ_Maric_2020g~Gen-state rep dist-18 (vote for2)</v>
      </c>
      <c r="W469" s="1">
        <f t="shared" si="195"/>
        <v>53</v>
      </c>
      <c r="X469" s="73">
        <f t="shared" si="184"/>
        <v>114.80254452926209</v>
      </c>
      <c r="Y469" s="322">
        <f t="shared" si="196"/>
        <v>6025.3560000000007</v>
      </c>
      <c r="Z469" s="43">
        <f t="shared" si="185"/>
        <v>3.027861116988695E-19</v>
      </c>
      <c r="AA469" s="52">
        <f t="shared" si="197"/>
        <v>3.0278611169886948E-21</v>
      </c>
      <c r="AB469" s="8">
        <f t="shared" si="198"/>
        <v>12897.66</v>
      </c>
      <c r="AC469" s="8">
        <f t="shared" si="199"/>
        <v>1289766</v>
      </c>
      <c r="AD469" s="8">
        <f t="shared" si="203"/>
        <v>6448.83</v>
      </c>
      <c r="AE469" s="8" t="str">
        <f t="shared" si="200"/>
        <v/>
      </c>
      <c r="AF469" s="22" t="str">
        <f t="shared" si="201"/>
        <v>CA_Ventu_2020g</v>
      </c>
      <c r="AG469">
        <v>1</v>
      </c>
      <c r="AH469" s="272">
        <v>87324</v>
      </c>
      <c r="AI469" s="273">
        <v>19786</v>
      </c>
      <c r="AJ469" s="274">
        <v>15070</v>
      </c>
      <c r="AK469" s="339">
        <v>4716</v>
      </c>
      <c r="AL469" s="340" t="s">
        <v>4736</v>
      </c>
      <c r="AM469" s="353">
        <f t="shared" si="202"/>
        <v>3.656477221449472E-3</v>
      </c>
      <c r="AN469" s="354"/>
      <c r="AP469" s="23">
        <f t="shared" si="204"/>
        <v>0</v>
      </c>
      <c r="AQ469" s="392">
        <f t="shared" si="182"/>
        <v>0</v>
      </c>
      <c r="AR469" s="392">
        <f t="shared" si="183"/>
        <v>0</v>
      </c>
      <c r="AS469" s="392">
        <f t="shared" si="183"/>
        <v>0</v>
      </c>
    </row>
    <row r="470" spans="1:45">
      <c r="A470" s="12" t="s">
        <v>1555</v>
      </c>
      <c r="B470" s="54" t="str">
        <f t="shared" si="186"/>
        <v>AZ_Maric_2020g</v>
      </c>
      <c r="C470" s="12"/>
      <c r="D470" s="54" t="str">
        <f t="shared" si="187"/>
        <v>Gen-state rep dist-18 (vote for2)</v>
      </c>
      <c r="E470" s="54" t="s">
        <v>1853</v>
      </c>
      <c r="F470" s="12" t="s">
        <v>1294</v>
      </c>
      <c r="G470" s="59">
        <v>67649</v>
      </c>
      <c r="H470"/>
      <c r="K470" s="2"/>
      <c r="O470">
        <f t="shared" si="188"/>
        <v>2</v>
      </c>
      <c r="P470" s="57">
        <f t="shared" si="189"/>
        <v>2</v>
      </c>
      <c r="Q470" s="267">
        <f t="shared" si="190"/>
        <v>172563</v>
      </c>
      <c r="R470" s="23">
        <f t="shared" si="191"/>
        <v>67649</v>
      </c>
      <c r="S470" s="23">
        <f t="shared" si="192"/>
        <v>55140</v>
      </c>
      <c r="T470" s="23" t="str">
        <f t="shared" si="193"/>
        <v/>
      </c>
      <c r="U470" t="str">
        <f t="shared" si="194"/>
        <v/>
      </c>
      <c r="W470" s="1">
        <f t="shared" si="195"/>
        <v>54</v>
      </c>
      <c r="X470" s="73">
        <f t="shared" si="184"/>
        <v>138.99180327868851</v>
      </c>
      <c r="Y470" s="322">
        <f t="shared" si="196"/>
        <v>7926.0300000000007</v>
      </c>
      <c r="Z470" s="43">
        <f t="shared" si="185"/>
        <v>5.039985821444252E-21</v>
      </c>
      <c r="AA470" s="52">
        <f t="shared" si="197"/>
        <v>5.039985821444252E-23</v>
      </c>
      <c r="AB470" s="8">
        <f t="shared" si="198"/>
        <v>12897.66</v>
      </c>
      <c r="AC470" s="8">
        <f t="shared" si="199"/>
        <v>1289766</v>
      </c>
      <c r="AD470" s="8">
        <f t="shared" si="203"/>
        <v>6448.83</v>
      </c>
      <c r="AE470" s="8" t="str">
        <f t="shared" si="200"/>
        <v/>
      </c>
      <c r="AF470" s="22" t="str">
        <f t="shared" si="201"/>
        <v>CA_Ventu_2020g</v>
      </c>
      <c r="AG470">
        <v>1</v>
      </c>
      <c r="AH470" s="272">
        <v>114870</v>
      </c>
      <c r="AI470" s="273">
        <v>27133</v>
      </c>
      <c r="AJ470" s="274">
        <v>22009</v>
      </c>
      <c r="AK470" s="339">
        <v>5124</v>
      </c>
      <c r="AL470" s="340" t="s">
        <v>4758</v>
      </c>
      <c r="AM470" s="353">
        <f t="shared" si="202"/>
        <v>3.9728136731779252E-3</v>
      </c>
      <c r="AN470" s="354"/>
      <c r="AP470" s="23">
        <f t="shared" si="204"/>
        <v>0</v>
      </c>
      <c r="AQ470" s="392">
        <f t="shared" si="182"/>
        <v>0</v>
      </c>
      <c r="AR470" s="392">
        <f t="shared" si="183"/>
        <v>0</v>
      </c>
      <c r="AS470" s="392">
        <f t="shared" si="183"/>
        <v>0</v>
      </c>
    </row>
    <row r="471" spans="1:45">
      <c r="A471" s="12" t="s">
        <v>1555</v>
      </c>
      <c r="B471" s="54" t="str">
        <f t="shared" si="186"/>
        <v>AZ_Maric_2020g</v>
      </c>
      <c r="C471" s="12"/>
      <c r="D471" s="54" t="str">
        <f t="shared" si="187"/>
        <v>Gen-state rep dist-18 (vote for2)</v>
      </c>
      <c r="E471" s="54" t="s">
        <v>1852</v>
      </c>
      <c r="F471" s="12" t="s">
        <v>1296</v>
      </c>
      <c r="G471" s="59">
        <v>55140</v>
      </c>
      <c r="H471"/>
      <c r="K471" s="2"/>
      <c r="O471">
        <f t="shared" si="188"/>
        <v>3</v>
      </c>
      <c r="P471" s="57">
        <f t="shared" si="189"/>
        <v>2</v>
      </c>
      <c r="Q471" s="267">
        <f t="shared" si="190"/>
        <v>104914</v>
      </c>
      <c r="R471" s="23" t="str">
        <f t="shared" si="191"/>
        <v/>
      </c>
      <c r="S471" s="23">
        <f t="shared" si="192"/>
        <v>55140</v>
      </c>
      <c r="T471" s="23" t="str">
        <f t="shared" si="193"/>
        <v/>
      </c>
      <c r="U471" t="str">
        <f t="shared" si="194"/>
        <v/>
      </c>
      <c r="W471" s="1">
        <f t="shared" si="195"/>
        <v>55</v>
      </c>
      <c r="X471" s="73">
        <f t="shared" si="184"/>
        <v>79.034105582985191</v>
      </c>
      <c r="Y471" s="322">
        <f t="shared" si="196"/>
        <v>4631.8320000000003</v>
      </c>
      <c r="Z471" s="43">
        <f t="shared" si="185"/>
        <v>1.2112593118563398E-21</v>
      </c>
      <c r="AA471" s="52">
        <f t="shared" si="197"/>
        <v>1.2112593118563398E-23</v>
      </c>
      <c r="AB471" s="8">
        <f t="shared" si="198"/>
        <v>12897.66</v>
      </c>
      <c r="AC471" s="8">
        <f t="shared" si="199"/>
        <v>1289766</v>
      </c>
      <c r="AD471" s="8">
        <f t="shared" si="203"/>
        <v>6448.83</v>
      </c>
      <c r="AE471" s="8" t="str">
        <f t="shared" si="200"/>
        <v/>
      </c>
      <c r="AF471" s="22" t="str">
        <f t="shared" si="201"/>
        <v>CA_Ventu_2020g</v>
      </c>
      <c r="AG471">
        <v>1</v>
      </c>
      <c r="AH471" s="272">
        <v>67128</v>
      </c>
      <c r="AI471" s="273">
        <v>36197</v>
      </c>
      <c r="AJ471" s="274">
        <v>30931</v>
      </c>
      <c r="AK471" s="339">
        <v>5266</v>
      </c>
      <c r="AL471" s="340" t="s">
        <v>4704</v>
      </c>
      <c r="AM471" s="353">
        <f t="shared" si="202"/>
        <v>4.0829111637304752E-3</v>
      </c>
      <c r="AN471" s="354"/>
      <c r="AP471" s="23">
        <f t="shared" si="204"/>
        <v>0</v>
      </c>
      <c r="AQ471" s="392">
        <f t="shared" si="182"/>
        <v>0</v>
      </c>
      <c r="AR471" s="392">
        <f t="shared" si="183"/>
        <v>0</v>
      </c>
      <c r="AS471" s="392">
        <f t="shared" si="183"/>
        <v>0</v>
      </c>
    </row>
    <row r="472" spans="1:45">
      <c r="A472" s="12" t="s">
        <v>1555</v>
      </c>
      <c r="B472" s="54" t="str">
        <f t="shared" si="186"/>
        <v>AZ_Maric_2020g</v>
      </c>
      <c r="C472" s="12"/>
      <c r="D472" s="54" t="str">
        <f t="shared" si="187"/>
        <v>Gen-state rep dist-18 (vote for2)</v>
      </c>
      <c r="E472" s="54" t="s">
        <v>1851</v>
      </c>
      <c r="F472" s="12" t="s">
        <v>1296</v>
      </c>
      <c r="G472" s="59">
        <v>49298</v>
      </c>
      <c r="H472"/>
      <c r="K472" s="2"/>
      <c r="O472">
        <f t="shared" si="188"/>
        <v>4</v>
      </c>
      <c r="P472" s="57">
        <f t="shared" si="189"/>
        <v>2</v>
      </c>
      <c r="Q472" s="267">
        <f t="shared" si="190"/>
        <v>49774</v>
      </c>
      <c r="R472" s="23" t="str">
        <f t="shared" si="191"/>
        <v/>
      </c>
      <c r="S472" s="23">
        <f t="shared" si="192"/>
        <v>49298</v>
      </c>
      <c r="T472" s="23" t="str">
        <f t="shared" si="193"/>
        <v/>
      </c>
      <c r="U472" t="str">
        <f t="shared" si="194"/>
        <v/>
      </c>
      <c r="W472" s="1">
        <f t="shared" si="195"/>
        <v>56</v>
      </c>
      <c r="X472" s="73">
        <f t="shared" si="184"/>
        <v>17.035259692757865</v>
      </c>
      <c r="Y472" s="322">
        <f t="shared" si="196"/>
        <v>1036.6560000000002</v>
      </c>
      <c r="Z472" s="43">
        <f t="shared" si="185"/>
        <v>1.5932960732214334E-22</v>
      </c>
      <c r="AA472" s="52">
        <f t="shared" si="197"/>
        <v>1.5932960732214334E-24</v>
      </c>
      <c r="AB472" s="8">
        <f t="shared" si="198"/>
        <v>12897.66</v>
      </c>
      <c r="AC472" s="8">
        <f t="shared" si="199"/>
        <v>1289766</v>
      </c>
      <c r="AD472" s="8">
        <f t="shared" si="203"/>
        <v>6448.83</v>
      </c>
      <c r="AE472" s="8" t="str">
        <f t="shared" si="200"/>
        <v/>
      </c>
      <c r="AF472" s="22" t="str">
        <f t="shared" si="201"/>
        <v>CA_Ventu_2020g</v>
      </c>
      <c r="AG472">
        <v>1</v>
      </c>
      <c r="AH472" s="272">
        <v>15024</v>
      </c>
      <c r="AI472" s="273">
        <v>10246</v>
      </c>
      <c r="AJ472" s="274">
        <v>4778</v>
      </c>
      <c r="AK472" s="339">
        <v>5468</v>
      </c>
      <c r="AL472" s="340" t="s">
        <v>4694</v>
      </c>
      <c r="AM472" s="353">
        <f t="shared" si="202"/>
        <v>4.2395287207136799E-3</v>
      </c>
      <c r="AN472" s="354"/>
      <c r="AP472" s="23">
        <f t="shared" si="204"/>
        <v>0</v>
      </c>
      <c r="AQ472" s="392">
        <f t="shared" si="182"/>
        <v>0</v>
      </c>
      <c r="AR472" s="392">
        <f t="shared" si="183"/>
        <v>0</v>
      </c>
      <c r="AS472" s="392">
        <f t="shared" si="183"/>
        <v>0</v>
      </c>
    </row>
    <row r="473" spans="1:45">
      <c r="A473" s="12" t="s">
        <v>1555</v>
      </c>
      <c r="B473" s="54" t="str">
        <f t="shared" si="186"/>
        <v>AZ_Maric_2020g</v>
      </c>
      <c r="C473" s="12"/>
      <c r="D473" s="54" t="str">
        <f t="shared" si="187"/>
        <v>Gen-state rep dist-18 (vote for2)</v>
      </c>
      <c r="E473" s="54" t="s">
        <v>1299</v>
      </c>
      <c r="G473" s="59">
        <v>238</v>
      </c>
      <c r="H473"/>
      <c r="K473" s="2"/>
      <c r="O473">
        <f t="shared" si="188"/>
        <v>-4</v>
      </c>
      <c r="P473" s="57">
        <f t="shared" si="189"/>
        <v>2</v>
      </c>
      <c r="Q473" s="267">
        <f t="shared" si="190"/>
        <v>476</v>
      </c>
      <c r="R473" s="23" t="str">
        <f t="shared" si="191"/>
        <v/>
      </c>
      <c r="S473" s="23">
        <f t="shared" si="192"/>
        <v>62</v>
      </c>
      <c r="T473" s="23" t="str">
        <f t="shared" si="193"/>
        <v/>
      </c>
      <c r="U473" t="str">
        <f t="shared" si="194"/>
        <v/>
      </c>
      <c r="W473" s="1">
        <f t="shared" si="195"/>
        <v>57</v>
      </c>
      <c r="X473" s="73">
        <f t="shared" si="184"/>
        <v>73.248633496846537</v>
      </c>
      <c r="Y473" s="322">
        <f t="shared" si="196"/>
        <v>4653.0840000000007</v>
      </c>
      <c r="Z473" s="43">
        <f t="shared" si="185"/>
        <v>1.4303891591033454E-23</v>
      </c>
      <c r="AA473" s="52">
        <f t="shared" si="197"/>
        <v>1.4303891591033453E-25</v>
      </c>
      <c r="AB473" s="8">
        <f t="shared" si="198"/>
        <v>12897.66</v>
      </c>
      <c r="AC473" s="8">
        <f t="shared" si="199"/>
        <v>1289766</v>
      </c>
      <c r="AD473" s="8">
        <f t="shared" si="203"/>
        <v>6448.83</v>
      </c>
      <c r="AE473" s="8" t="str">
        <f t="shared" si="200"/>
        <v/>
      </c>
      <c r="AF473" s="22" t="str">
        <f t="shared" si="201"/>
        <v>CA_Ventu_2020g</v>
      </c>
      <c r="AG473">
        <v>1</v>
      </c>
      <c r="AH473" s="272">
        <v>67436</v>
      </c>
      <c r="AI473" s="273">
        <v>36572</v>
      </c>
      <c r="AJ473" s="274">
        <v>30864</v>
      </c>
      <c r="AK473" s="339">
        <v>5708</v>
      </c>
      <c r="AL473" s="340" t="s">
        <v>4676</v>
      </c>
      <c r="AM473" s="353">
        <f t="shared" si="202"/>
        <v>4.4256089864362991E-3</v>
      </c>
      <c r="AN473" s="354"/>
      <c r="AP473" s="23">
        <f t="shared" si="204"/>
        <v>0</v>
      </c>
      <c r="AQ473" s="392">
        <f t="shared" si="182"/>
        <v>0</v>
      </c>
      <c r="AR473" s="392">
        <f t="shared" si="183"/>
        <v>0</v>
      </c>
      <c r="AS473" s="392">
        <f t="shared" si="183"/>
        <v>0</v>
      </c>
    </row>
    <row r="474" spans="1:45">
      <c r="A474" s="12" t="s">
        <v>1555</v>
      </c>
      <c r="B474" s="54" t="str">
        <f t="shared" si="186"/>
        <v>AZ_Maric_2020g</v>
      </c>
      <c r="C474" s="12"/>
      <c r="D474" s="54" t="str">
        <f t="shared" si="187"/>
        <v>Gen-state rep dist-18 (vote for2)</v>
      </c>
      <c r="E474" s="54" t="s">
        <v>1825</v>
      </c>
      <c r="G474" s="59">
        <v>132</v>
      </c>
      <c r="H474"/>
      <c r="K474" s="2"/>
      <c r="O474">
        <f t="shared" si="188"/>
        <v>-4</v>
      </c>
      <c r="P474" s="57">
        <f t="shared" si="189"/>
        <v>2</v>
      </c>
      <c r="Q474" s="267">
        <f t="shared" si="190"/>
        <v>238</v>
      </c>
      <c r="R474" s="23" t="str">
        <f t="shared" si="191"/>
        <v/>
      </c>
      <c r="S474" s="23">
        <f t="shared" si="192"/>
        <v>62</v>
      </c>
      <c r="T474" s="23" t="str">
        <f t="shared" si="193"/>
        <v/>
      </c>
      <c r="U474" t="str">
        <f t="shared" si="194"/>
        <v/>
      </c>
      <c r="W474" s="1">
        <f t="shared" si="195"/>
        <v>58</v>
      </c>
      <c r="X474" s="73">
        <f t="shared" si="184"/>
        <v>48.391261996848598</v>
      </c>
      <c r="Y474" s="322">
        <f t="shared" si="196"/>
        <v>3759.6030000000005</v>
      </c>
      <c r="Z474" s="43">
        <f t="shared" si="185"/>
        <v>3.976993909590453E-29</v>
      </c>
      <c r="AA474" s="52">
        <f t="shared" si="197"/>
        <v>3.9769939095904529E-31</v>
      </c>
      <c r="AB474" s="8">
        <f t="shared" si="198"/>
        <v>12897.66</v>
      </c>
      <c r="AC474" s="8">
        <f t="shared" si="199"/>
        <v>1289766</v>
      </c>
      <c r="AD474" s="8">
        <f t="shared" si="203"/>
        <v>6448.83</v>
      </c>
      <c r="AE474" s="8" t="str">
        <f t="shared" si="200"/>
        <v/>
      </c>
      <c r="AF474" s="22" t="str">
        <f t="shared" si="201"/>
        <v>CA_Ventu_2020g</v>
      </c>
      <c r="AG474">
        <v>1</v>
      </c>
      <c r="AH474" s="272">
        <v>54487</v>
      </c>
      <c r="AI474" s="273">
        <v>30734</v>
      </c>
      <c r="AJ474" s="274">
        <v>23753</v>
      </c>
      <c r="AK474" s="339">
        <v>6981</v>
      </c>
      <c r="AL474" s="340" t="s">
        <v>4757</v>
      </c>
      <c r="AM474" s="353">
        <f t="shared" si="202"/>
        <v>5.4126097292066929E-3</v>
      </c>
      <c r="AN474" s="354"/>
      <c r="AO474" s="356"/>
      <c r="AP474" s="23">
        <f t="shared" si="204"/>
        <v>0</v>
      </c>
      <c r="AQ474" s="392">
        <f t="shared" si="182"/>
        <v>0</v>
      </c>
      <c r="AR474" s="392">
        <f t="shared" si="183"/>
        <v>0</v>
      </c>
      <c r="AS474" s="392">
        <f t="shared" si="183"/>
        <v>0</v>
      </c>
    </row>
    <row r="475" spans="1:45">
      <c r="A475" s="12" t="s">
        <v>1555</v>
      </c>
      <c r="B475" s="54" t="str">
        <f t="shared" si="186"/>
        <v>AZ_Maric_2020g</v>
      </c>
      <c r="C475" s="12"/>
      <c r="D475" s="54" t="str">
        <f t="shared" si="187"/>
        <v>Gen-state rep dist-18 (vote for2)</v>
      </c>
      <c r="E475" s="54" t="s">
        <v>1855</v>
      </c>
      <c r="G475" s="59">
        <v>62</v>
      </c>
      <c r="H475"/>
      <c r="K475" s="2"/>
      <c r="O475">
        <f t="shared" si="188"/>
        <v>5</v>
      </c>
      <c r="P475" s="57">
        <f t="shared" si="189"/>
        <v>2</v>
      </c>
      <c r="Q475" s="267">
        <f t="shared" si="190"/>
        <v>106</v>
      </c>
      <c r="R475" s="23" t="str">
        <f t="shared" si="191"/>
        <v/>
      </c>
      <c r="S475" s="23">
        <f t="shared" si="192"/>
        <v>62</v>
      </c>
      <c r="T475" s="23" t="str">
        <f t="shared" si="193"/>
        <v/>
      </c>
      <c r="U475" t="str">
        <f t="shared" si="194"/>
        <v/>
      </c>
      <c r="W475" s="1">
        <f t="shared" si="195"/>
        <v>59</v>
      </c>
      <c r="X475" s="73">
        <f t="shared" si="184"/>
        <v>138.13996848102801</v>
      </c>
      <c r="Y475" s="322">
        <f t="shared" si="196"/>
        <v>12681.717000000001</v>
      </c>
      <c r="Z475" s="43">
        <f t="shared" si="185"/>
        <v>1.1481375660279851E-34</v>
      </c>
      <c r="AA475" s="52">
        <f t="shared" si="197"/>
        <v>1.1481375660279851E-36</v>
      </c>
      <c r="AB475" s="8">
        <f t="shared" si="198"/>
        <v>12897.66</v>
      </c>
      <c r="AC475" s="8">
        <f t="shared" si="199"/>
        <v>1289766</v>
      </c>
      <c r="AD475" s="8">
        <f t="shared" si="203"/>
        <v>6448.83</v>
      </c>
      <c r="AE475" s="8" t="str">
        <f t="shared" si="200"/>
        <v/>
      </c>
      <c r="AF475" s="22" t="str">
        <f t="shared" si="201"/>
        <v>CA_Ventu_2020g</v>
      </c>
      <c r="AG475">
        <v>1</v>
      </c>
      <c r="AH475" s="272">
        <v>183793</v>
      </c>
      <c r="AI475" s="273">
        <v>53037</v>
      </c>
      <c r="AJ475" s="274">
        <v>44788</v>
      </c>
      <c r="AK475" s="339">
        <v>8249</v>
      </c>
      <c r="AL475" s="340" t="s">
        <v>4735</v>
      </c>
      <c r="AM475" s="353">
        <f t="shared" si="202"/>
        <v>6.3957337997745329E-3</v>
      </c>
      <c r="AN475" s="354"/>
      <c r="AO475" s="356"/>
      <c r="AP475" s="23">
        <f t="shared" si="204"/>
        <v>0</v>
      </c>
      <c r="AQ475" s="392">
        <f t="shared" si="182"/>
        <v>0</v>
      </c>
      <c r="AR475" s="392">
        <f t="shared" si="183"/>
        <v>0</v>
      </c>
      <c r="AS475" s="392">
        <f t="shared" si="183"/>
        <v>0</v>
      </c>
    </row>
    <row r="476" spans="1:45">
      <c r="A476" s="12" t="s">
        <v>1555</v>
      </c>
      <c r="B476" s="54" t="str">
        <f t="shared" si="186"/>
        <v>AZ_Maric_2020g</v>
      </c>
      <c r="C476" s="12"/>
      <c r="D476" s="54" t="str">
        <f t="shared" si="187"/>
        <v>Gen-state rep dist-18 (vote for2)</v>
      </c>
      <c r="E476" s="54" t="s">
        <v>1826</v>
      </c>
      <c r="G476" s="59">
        <v>44</v>
      </c>
      <c r="H476"/>
      <c r="K476" s="2"/>
      <c r="O476">
        <f t="shared" si="188"/>
        <v>-5</v>
      </c>
      <c r="P476" s="57">
        <f t="shared" si="189"/>
        <v>2</v>
      </c>
      <c r="Q476" s="267">
        <f t="shared" si="190"/>
        <v>44</v>
      </c>
      <c r="R476" s="23">
        <f t="shared" si="191"/>
        <v>1</v>
      </c>
      <c r="S476" s="23">
        <f t="shared" si="192"/>
        <v>0</v>
      </c>
      <c r="T476" s="23" t="str">
        <f t="shared" si="193"/>
        <v/>
      </c>
      <c r="U476" t="str">
        <f t="shared" si="194"/>
        <v/>
      </c>
      <c r="W476" s="1">
        <f t="shared" si="195"/>
        <v>60</v>
      </c>
      <c r="X476" s="73">
        <f t="shared" si="184"/>
        <v>75.639269729093058</v>
      </c>
      <c r="Y476" s="322">
        <f t="shared" si="196"/>
        <v>7146.813000000001</v>
      </c>
      <c r="Z476" s="43">
        <f t="shared" si="185"/>
        <v>1.015098022866524E-35</v>
      </c>
      <c r="AA476" s="52">
        <f t="shared" si="197"/>
        <v>1.0150980228665239E-37</v>
      </c>
      <c r="AB476" s="8">
        <f t="shared" si="198"/>
        <v>12897.66</v>
      </c>
      <c r="AC476" s="8">
        <f t="shared" si="199"/>
        <v>1289766</v>
      </c>
      <c r="AD476" s="8">
        <f t="shared" si="203"/>
        <v>6448.83</v>
      </c>
      <c r="AE476" s="8" t="str">
        <f t="shared" si="200"/>
        <v/>
      </c>
      <c r="AF476" s="22" t="str">
        <f t="shared" si="201"/>
        <v>CA_Ventu_2020g</v>
      </c>
      <c r="AG476">
        <v>1</v>
      </c>
      <c r="AH476" s="272">
        <v>103577</v>
      </c>
      <c r="AI476" s="273">
        <v>44748</v>
      </c>
      <c r="AJ476" s="274">
        <v>36258</v>
      </c>
      <c r="AK476" s="339">
        <v>8490</v>
      </c>
      <c r="AL476" s="340" t="s">
        <v>4734</v>
      </c>
      <c r="AM476" s="353">
        <f t="shared" si="202"/>
        <v>6.5825893999376635E-3</v>
      </c>
      <c r="AN476" s="354"/>
      <c r="AP476" s="23">
        <f t="shared" si="204"/>
        <v>0</v>
      </c>
      <c r="AQ476" s="392">
        <f t="shared" si="182"/>
        <v>0</v>
      </c>
      <c r="AR476" s="392">
        <f t="shared" si="183"/>
        <v>0</v>
      </c>
      <c r="AS476" s="392">
        <f t="shared" si="183"/>
        <v>0</v>
      </c>
    </row>
    <row r="477" spans="1:45">
      <c r="A477" s="12" t="s">
        <v>1557</v>
      </c>
      <c r="B477" s="54" t="str">
        <f t="shared" si="186"/>
        <v>AZ_Maric_2020g</v>
      </c>
      <c r="C477" s="12"/>
      <c r="D477" s="54" t="str">
        <f t="shared" si="187"/>
        <v>Gen-state rep dist-19 (vote for2)</v>
      </c>
      <c r="E477" s="54" t="s">
        <v>1857</v>
      </c>
      <c r="F477" s="12" t="s">
        <v>1294</v>
      </c>
      <c r="G477" s="59">
        <v>43372</v>
      </c>
      <c r="H477"/>
      <c r="K477" s="2"/>
      <c r="O477">
        <f t="shared" si="188"/>
        <v>1</v>
      </c>
      <c r="P477" s="57">
        <f t="shared" si="189"/>
        <v>2</v>
      </c>
      <c r="Q477" s="267">
        <f t="shared" si="190"/>
        <v>43372</v>
      </c>
      <c r="R477" s="23">
        <f t="shared" si="191"/>
        <v>38617</v>
      </c>
      <c r="S477" s="23">
        <f t="shared" si="192"/>
        <v>34</v>
      </c>
      <c r="T477" s="23">
        <f t="shared" si="193"/>
        <v>38583</v>
      </c>
      <c r="U477" t="str">
        <f t="shared" si="194"/>
        <v>AZ_Maric_2020g~Gen-state rep dist-19 (vote for2)</v>
      </c>
      <c r="W477" s="1">
        <f t="shared" si="195"/>
        <v>61</v>
      </c>
      <c r="X477" s="73">
        <f t="shared" si="184"/>
        <v>42.896262593435161</v>
      </c>
      <c r="Y477" s="322">
        <f t="shared" si="196"/>
        <v>4406.8230000000003</v>
      </c>
      <c r="Z477" s="43">
        <f t="shared" si="185"/>
        <v>5.836128322644724E-39</v>
      </c>
      <c r="AA477" s="52">
        <f t="shared" si="197"/>
        <v>5.8361283226447242E-41</v>
      </c>
      <c r="AB477" s="8">
        <f t="shared" si="198"/>
        <v>12897.66</v>
      </c>
      <c r="AC477" s="8">
        <f t="shared" si="199"/>
        <v>1289766</v>
      </c>
      <c r="AD477" s="8">
        <f t="shared" si="203"/>
        <v>6448.83</v>
      </c>
      <c r="AE477" s="8" t="str">
        <f t="shared" si="200"/>
        <v/>
      </c>
      <c r="AF477" s="22" t="str">
        <f t="shared" si="201"/>
        <v>CA_Ventu_2020g</v>
      </c>
      <c r="AG477">
        <v>1</v>
      </c>
      <c r="AH477" s="272">
        <v>63867</v>
      </c>
      <c r="AI477" s="273">
        <v>36549</v>
      </c>
      <c r="AJ477" s="274">
        <v>27318</v>
      </c>
      <c r="AK477" s="339">
        <v>9231</v>
      </c>
      <c r="AL477" s="340" t="s">
        <v>4711</v>
      </c>
      <c r="AM477" s="353">
        <f t="shared" si="202"/>
        <v>7.1571122203562508E-3</v>
      </c>
      <c r="AN477" s="354"/>
      <c r="AP477" s="23">
        <f t="shared" si="204"/>
        <v>0</v>
      </c>
      <c r="AQ477" s="392">
        <f t="shared" si="182"/>
        <v>0</v>
      </c>
      <c r="AR477" s="392">
        <f t="shared" si="183"/>
        <v>0</v>
      </c>
      <c r="AS477" s="392">
        <f t="shared" si="183"/>
        <v>0</v>
      </c>
    </row>
    <row r="478" spans="1:45">
      <c r="A478" s="12" t="s">
        <v>1557</v>
      </c>
      <c r="B478" s="54" t="str">
        <f t="shared" si="186"/>
        <v>AZ_Maric_2020g</v>
      </c>
      <c r="C478" s="12"/>
      <c r="D478" s="54" t="str">
        <f t="shared" si="187"/>
        <v>Gen-state rep dist-19 (vote for2)</v>
      </c>
      <c r="E478" s="54" t="s">
        <v>1858</v>
      </c>
      <c r="F478" s="12" t="s">
        <v>1294</v>
      </c>
      <c r="G478" s="59">
        <v>38617</v>
      </c>
      <c r="H478"/>
      <c r="K478" s="2"/>
      <c r="O478">
        <f t="shared" si="188"/>
        <v>2</v>
      </c>
      <c r="P478" s="57">
        <f t="shared" si="189"/>
        <v>2</v>
      </c>
      <c r="Q478" s="267">
        <f t="shared" si="190"/>
        <v>42739</v>
      </c>
      <c r="R478" s="23">
        <f t="shared" si="191"/>
        <v>38617</v>
      </c>
      <c r="S478" s="23">
        <f t="shared" si="192"/>
        <v>34</v>
      </c>
      <c r="T478" s="23" t="str">
        <f t="shared" si="193"/>
        <v/>
      </c>
      <c r="U478" t="str">
        <f t="shared" si="194"/>
        <v/>
      </c>
      <c r="W478" s="1">
        <f t="shared" si="195"/>
        <v>62</v>
      </c>
      <c r="X478" s="73">
        <f t="shared" si="184"/>
        <v>98.210747622786357</v>
      </c>
      <c r="Y478" s="322">
        <f t="shared" si="196"/>
        <v>12528.951000000001</v>
      </c>
      <c r="Z478" s="43">
        <f t="shared" si="185"/>
        <v>9.8690647865964003E-49</v>
      </c>
      <c r="AA478" s="52">
        <f t="shared" si="197"/>
        <v>9.8690647865963996E-51</v>
      </c>
      <c r="AB478" s="8">
        <f t="shared" si="198"/>
        <v>12897.66</v>
      </c>
      <c r="AC478" s="8">
        <f t="shared" si="199"/>
        <v>1289766</v>
      </c>
      <c r="AD478" s="8">
        <f t="shared" si="203"/>
        <v>6448.83</v>
      </c>
      <c r="AE478" s="8" t="str">
        <f t="shared" si="200"/>
        <v/>
      </c>
      <c r="AF478" s="22" t="str">
        <f t="shared" si="201"/>
        <v>CA_Ventu_2020g</v>
      </c>
      <c r="AG478">
        <v>1</v>
      </c>
      <c r="AH478" s="272">
        <v>181579</v>
      </c>
      <c r="AI478" s="273">
        <v>96521</v>
      </c>
      <c r="AJ478" s="274">
        <v>85058</v>
      </c>
      <c r="AK478" s="339">
        <v>11463</v>
      </c>
      <c r="AL478" s="340" t="s">
        <v>4678</v>
      </c>
      <c r="AM478" s="353">
        <f t="shared" si="202"/>
        <v>8.8876586915766116E-3</v>
      </c>
      <c r="AN478" s="354"/>
      <c r="AP478" s="23">
        <f t="shared" si="204"/>
        <v>0</v>
      </c>
      <c r="AQ478" s="392">
        <f t="shared" si="182"/>
        <v>0</v>
      </c>
      <c r="AR478" s="392">
        <f t="shared" si="183"/>
        <v>0</v>
      </c>
      <c r="AS478" s="392">
        <f t="shared" si="183"/>
        <v>0</v>
      </c>
    </row>
    <row r="479" spans="1:45">
      <c r="A479" s="12" t="s">
        <v>1557</v>
      </c>
      <c r="B479" s="54" t="str">
        <f t="shared" si="186"/>
        <v>AZ_Maric_2020g</v>
      </c>
      <c r="C479" s="12"/>
      <c r="D479" s="54" t="str">
        <f t="shared" si="187"/>
        <v>Gen-state rep dist-19 (vote for2)</v>
      </c>
      <c r="E479" s="54" t="s">
        <v>1299</v>
      </c>
      <c r="G479" s="59">
        <v>2061</v>
      </c>
      <c r="H479"/>
      <c r="K479" s="2"/>
      <c r="O479">
        <f t="shared" si="188"/>
        <v>-2</v>
      </c>
      <c r="P479" s="57">
        <f t="shared" si="189"/>
        <v>2</v>
      </c>
      <c r="Q479" s="267">
        <f t="shared" si="190"/>
        <v>4122</v>
      </c>
      <c r="R479" s="23" t="str">
        <f t="shared" si="191"/>
        <v/>
      </c>
      <c r="S479" s="23">
        <f t="shared" si="192"/>
        <v>34</v>
      </c>
      <c r="T479" s="23" t="str">
        <f t="shared" si="193"/>
        <v/>
      </c>
      <c r="U479" t="str">
        <f t="shared" si="194"/>
        <v/>
      </c>
      <c r="W479" s="1">
        <f t="shared" si="195"/>
        <v>63</v>
      </c>
      <c r="X479" s="73">
        <f t="shared" si="184"/>
        <v>26.560392364793216</v>
      </c>
      <c r="Y479" s="322">
        <f t="shared" si="196"/>
        <v>4459.884</v>
      </c>
      <c r="Z479" s="43">
        <f t="shared" si="185"/>
        <v>1.2228166285855059E-64</v>
      </c>
      <c r="AA479" s="52">
        <f t="shared" si="197"/>
        <v>1.2228166285855059E-66</v>
      </c>
      <c r="AB479" s="8">
        <f t="shared" si="198"/>
        <v>12897.66</v>
      </c>
      <c r="AC479" s="8">
        <f t="shared" si="199"/>
        <v>1289766</v>
      </c>
      <c r="AD479" s="8">
        <f t="shared" si="203"/>
        <v>6448.83</v>
      </c>
      <c r="AE479" s="8" t="str">
        <f t="shared" si="200"/>
        <v/>
      </c>
      <c r="AF479" s="22" t="str">
        <f t="shared" si="201"/>
        <v>CA_Ventu_2020g</v>
      </c>
      <c r="AG479">
        <v>1</v>
      </c>
      <c r="AH479" s="272">
        <v>64636</v>
      </c>
      <c r="AI479" s="273">
        <v>39862</v>
      </c>
      <c r="AJ479" s="274">
        <v>24774</v>
      </c>
      <c r="AK479" s="339">
        <v>15088</v>
      </c>
      <c r="AL479" s="340" t="s">
        <v>4710</v>
      </c>
      <c r="AM479" s="353">
        <f t="shared" si="202"/>
        <v>1.1698246038428676E-2</v>
      </c>
      <c r="AN479" s="354"/>
      <c r="AP479" s="23">
        <f t="shared" si="204"/>
        <v>10</v>
      </c>
      <c r="AQ479" s="392">
        <f t="shared" si="182"/>
        <v>9.6418644206602955E-2</v>
      </c>
      <c r="AR479" s="392">
        <f t="shared" si="183"/>
        <v>0.40206958205894405</v>
      </c>
      <c r="AS479" s="392">
        <f t="shared" si="183"/>
        <v>0.89289635967669589</v>
      </c>
    </row>
    <row r="480" spans="1:45">
      <c r="A480" s="12" t="s">
        <v>1557</v>
      </c>
      <c r="B480" s="54" t="str">
        <f t="shared" si="186"/>
        <v>AZ_Maric_2020g</v>
      </c>
      <c r="C480" s="12"/>
      <c r="D480" s="54" t="str">
        <f t="shared" si="187"/>
        <v>Gen-state rep dist-19 (vote for2)</v>
      </c>
      <c r="E480" s="54" t="s">
        <v>1825</v>
      </c>
      <c r="G480" s="59">
        <v>1472</v>
      </c>
      <c r="H480"/>
      <c r="K480" s="2"/>
      <c r="O480">
        <f t="shared" si="188"/>
        <v>-2</v>
      </c>
      <c r="P480" s="57">
        <f t="shared" si="189"/>
        <v>2</v>
      </c>
      <c r="Q480" s="267">
        <f t="shared" si="190"/>
        <v>2061</v>
      </c>
      <c r="R480" s="23" t="str">
        <f t="shared" si="191"/>
        <v/>
      </c>
      <c r="S480" s="23">
        <f t="shared" si="192"/>
        <v>34</v>
      </c>
      <c r="T480" s="23" t="str">
        <f t="shared" si="193"/>
        <v/>
      </c>
      <c r="U480" t="str">
        <f t="shared" si="194"/>
        <v/>
      </c>
      <c r="W480" s="1">
        <f t="shared" si="195"/>
        <v>64</v>
      </c>
      <c r="X480" s="73">
        <f t="shared" si="184"/>
        <v>24.187413467589682</v>
      </c>
      <c r="Y480" s="322">
        <f t="shared" si="196"/>
        <v>4277.3100000000004</v>
      </c>
      <c r="Z480" s="43">
        <f t="shared" si="185"/>
        <v>3.6473938083566082E-68</v>
      </c>
      <c r="AA480" s="52">
        <f t="shared" si="197"/>
        <v>3.6473938083566081E-70</v>
      </c>
      <c r="AB480" s="8">
        <f t="shared" si="198"/>
        <v>12897.66</v>
      </c>
      <c r="AC480" s="8">
        <f t="shared" si="199"/>
        <v>1289766</v>
      </c>
      <c r="AD480" s="8">
        <f t="shared" si="203"/>
        <v>6448.83</v>
      </c>
      <c r="AE480" s="8" t="str">
        <f t="shared" si="200"/>
        <v/>
      </c>
      <c r="AF480" s="22" t="str">
        <f t="shared" si="201"/>
        <v>CA_Ventu_2020g</v>
      </c>
      <c r="AG480">
        <v>1</v>
      </c>
      <c r="AH480" s="272">
        <v>61990</v>
      </c>
      <c r="AI480" s="273">
        <v>38940</v>
      </c>
      <c r="AJ480" s="274">
        <v>23050</v>
      </c>
      <c r="AK480" s="339">
        <v>15890</v>
      </c>
      <c r="AL480" s="340" t="s">
        <v>4733</v>
      </c>
      <c r="AM480" s="353">
        <f t="shared" si="202"/>
        <v>1.2320064259718429E-2</v>
      </c>
      <c r="AN480" s="354"/>
      <c r="AP480" s="23">
        <f t="shared" si="204"/>
        <v>13</v>
      </c>
      <c r="AQ480" s="392">
        <f t="shared" si="182"/>
        <v>0.12351591428663566</v>
      </c>
      <c r="AR480" s="392">
        <f t="shared" si="183"/>
        <v>0.48763857828273782</v>
      </c>
      <c r="AS480" s="392">
        <f t="shared" si="183"/>
        <v>0.94524595561523661</v>
      </c>
    </row>
    <row r="481" spans="1:45">
      <c r="A481" s="12" t="s">
        <v>1557</v>
      </c>
      <c r="B481" s="54" t="str">
        <f t="shared" si="186"/>
        <v>AZ_Maric_2020g</v>
      </c>
      <c r="C481" s="12"/>
      <c r="D481" s="54" t="str">
        <f t="shared" si="187"/>
        <v>Gen-state rep dist-19 (vote for2)</v>
      </c>
      <c r="E481" s="54" t="s">
        <v>1826</v>
      </c>
      <c r="G481" s="59">
        <v>555</v>
      </c>
      <c r="H481"/>
      <c r="K481" s="2"/>
      <c r="O481">
        <f t="shared" si="188"/>
        <v>-2</v>
      </c>
      <c r="P481" s="57">
        <f t="shared" si="189"/>
        <v>2</v>
      </c>
      <c r="Q481" s="267">
        <f t="shared" si="190"/>
        <v>589</v>
      </c>
      <c r="R481" s="23" t="str">
        <f t="shared" si="191"/>
        <v/>
      </c>
      <c r="S481" s="23">
        <f t="shared" si="192"/>
        <v>34</v>
      </c>
      <c r="T481" s="23" t="str">
        <f t="shared" si="193"/>
        <v/>
      </c>
      <c r="U481" t="str">
        <f t="shared" si="194"/>
        <v/>
      </c>
      <c r="W481" s="1">
        <f t="shared" si="195"/>
        <v>65</v>
      </c>
      <c r="X481" s="73">
        <f t="shared" si="184"/>
        <v>24.099652254549671</v>
      </c>
      <c r="Y481" s="322">
        <f t="shared" si="196"/>
        <v>4627.6230000000005</v>
      </c>
      <c r="Z481" s="43">
        <f t="shared" si="185"/>
        <v>3.6399965674762676E-74</v>
      </c>
      <c r="AA481" s="52">
        <f t="shared" si="197"/>
        <v>3.6399965674762679E-76</v>
      </c>
      <c r="AB481" s="8">
        <f t="shared" si="198"/>
        <v>12897.66</v>
      </c>
      <c r="AC481" s="8">
        <f t="shared" si="199"/>
        <v>1289766</v>
      </c>
      <c r="AD481" s="8">
        <f t="shared" si="203"/>
        <v>6448.83</v>
      </c>
      <c r="AE481" s="8" t="str">
        <f t="shared" si="200"/>
        <v/>
      </c>
      <c r="AF481" s="22" t="str">
        <f t="shared" si="201"/>
        <v>CA_Ventu_2020g</v>
      </c>
      <c r="AG481">
        <v>1</v>
      </c>
      <c r="AH481" s="272">
        <v>67067</v>
      </c>
      <c r="AI481" s="273">
        <v>37761</v>
      </c>
      <c r="AJ481" s="274">
        <v>20507</v>
      </c>
      <c r="AK481" s="339">
        <v>17254</v>
      </c>
      <c r="AL481" s="340" t="s">
        <v>4754</v>
      </c>
      <c r="AM481" s="353">
        <f t="shared" si="202"/>
        <v>1.3377620436575317E-2</v>
      </c>
      <c r="AN481" s="354"/>
      <c r="AP481" s="23">
        <f t="shared" si="204"/>
        <v>19</v>
      </c>
      <c r="AQ481" s="392">
        <f t="shared" si="182"/>
        <v>0.17533229827007668</v>
      </c>
      <c r="AR481" s="392">
        <f t="shared" si="183"/>
        <v>0.62387547034320878</v>
      </c>
      <c r="AS481" s="392">
        <f t="shared" si="183"/>
        <v>0.98570503209136751</v>
      </c>
    </row>
    <row r="482" spans="1:45">
      <c r="A482" s="12" t="s">
        <v>1557</v>
      </c>
      <c r="B482" s="54" t="str">
        <f t="shared" si="186"/>
        <v>AZ_Maric_2020g</v>
      </c>
      <c r="C482" s="12"/>
      <c r="D482" s="54" t="str">
        <f t="shared" si="187"/>
        <v>Gen-state rep dist-19 (vote for2)</v>
      </c>
      <c r="E482" s="54" t="s">
        <v>1859</v>
      </c>
      <c r="G482" s="59">
        <v>34</v>
      </c>
      <c r="H482"/>
      <c r="K482" s="2"/>
      <c r="O482">
        <f t="shared" si="188"/>
        <v>3</v>
      </c>
      <c r="P482" s="57">
        <f t="shared" si="189"/>
        <v>2</v>
      </c>
      <c r="Q482" s="267">
        <f t="shared" si="190"/>
        <v>34</v>
      </c>
      <c r="R482" s="23" t="str">
        <f t="shared" si="191"/>
        <v/>
      </c>
      <c r="S482" s="23">
        <f t="shared" si="192"/>
        <v>34</v>
      </c>
      <c r="T482" s="23" t="str">
        <f t="shared" si="193"/>
        <v/>
      </c>
      <c r="U482" t="str">
        <f t="shared" si="194"/>
        <v/>
      </c>
      <c r="W482" s="1">
        <f t="shared" si="195"/>
        <v>66</v>
      </c>
      <c r="X482" s="73">
        <f t="shared" si="184"/>
        <v>27.199445501494971</v>
      </c>
      <c r="Y482" s="322">
        <f t="shared" si="196"/>
        <v>5568.2310000000007</v>
      </c>
      <c r="Z482" s="43">
        <f t="shared" si="185"/>
        <v>3.4384200118702144E-79</v>
      </c>
      <c r="AA482" s="52">
        <f t="shared" si="197"/>
        <v>3.4384200118702145E-81</v>
      </c>
      <c r="AB482" s="8">
        <f t="shared" si="198"/>
        <v>12897.66</v>
      </c>
      <c r="AC482" s="8">
        <f t="shared" si="199"/>
        <v>1289766</v>
      </c>
      <c r="AD482" s="8">
        <f t="shared" si="203"/>
        <v>6448.83</v>
      </c>
      <c r="AE482" s="8" t="str">
        <f t="shared" si="200"/>
        <v/>
      </c>
      <c r="AF482" s="22" t="str">
        <f t="shared" si="201"/>
        <v>CA_Ventu_2020g</v>
      </c>
      <c r="AG482">
        <v>1</v>
      </c>
      <c r="AH482" s="272">
        <v>80699</v>
      </c>
      <c r="AI482" s="273">
        <v>49547</v>
      </c>
      <c r="AJ482" s="274">
        <v>31152</v>
      </c>
      <c r="AK482" s="339">
        <v>18395</v>
      </c>
      <c r="AL482" s="340" t="s">
        <v>4692</v>
      </c>
      <c r="AM482" s="353">
        <f t="shared" si="202"/>
        <v>1.4262277033198271E-2</v>
      </c>
      <c r="AN482" s="354"/>
      <c r="AP482" s="23">
        <f t="shared" si="204"/>
        <v>24</v>
      </c>
      <c r="AQ482" s="392">
        <f t="shared" si="182"/>
        <v>0.21619900782599533</v>
      </c>
      <c r="AR482" s="392">
        <f t="shared" si="183"/>
        <v>0.70935505287132417</v>
      </c>
      <c r="AS482" s="392">
        <f t="shared" si="183"/>
        <v>0.99533674156909346</v>
      </c>
    </row>
    <row r="483" spans="1:45">
      <c r="A483" s="12" t="s">
        <v>1559</v>
      </c>
      <c r="B483" s="54" t="str">
        <f t="shared" si="186"/>
        <v>AZ_Maric_2020g</v>
      </c>
      <c r="C483" s="12"/>
      <c r="D483" s="54" t="str">
        <f t="shared" si="187"/>
        <v>Gen-state rep dist-20 (vote for2)</v>
      </c>
      <c r="E483" s="54" t="s">
        <v>1864</v>
      </c>
      <c r="F483" s="12" t="s">
        <v>1294</v>
      </c>
      <c r="G483" s="59">
        <v>50633</v>
      </c>
      <c r="H483"/>
      <c r="K483" s="2"/>
      <c r="O483">
        <f t="shared" si="188"/>
        <v>1</v>
      </c>
      <c r="P483" s="57">
        <f t="shared" si="189"/>
        <v>2</v>
      </c>
      <c r="Q483" s="267">
        <f t="shared" si="190"/>
        <v>73748.5</v>
      </c>
      <c r="R483" s="23">
        <f t="shared" si="191"/>
        <v>49268</v>
      </c>
      <c r="S483" s="23">
        <f t="shared" si="192"/>
        <v>47094</v>
      </c>
      <c r="T483" s="23">
        <f t="shared" si="193"/>
        <v>2174</v>
      </c>
      <c r="U483" t="str">
        <f t="shared" si="194"/>
        <v>AZ_Maric_2020g~Gen-state rep dist-20 (vote for2)</v>
      </c>
      <c r="W483" s="1">
        <f t="shared" si="195"/>
        <v>67</v>
      </c>
      <c r="X483" s="73">
        <f t="shared" si="184"/>
        <v>15.355275564270517</v>
      </c>
      <c r="Y483" s="322">
        <f t="shared" si="196"/>
        <v>4096.0470000000005</v>
      </c>
      <c r="Z483" s="43">
        <f t="shared" si="185"/>
        <v>8.4050905071027779E-104</v>
      </c>
      <c r="AA483" s="52">
        <f t="shared" si="197"/>
        <v>8.4050905071027775E-106</v>
      </c>
      <c r="AB483" s="8">
        <f t="shared" si="198"/>
        <v>12897.66</v>
      </c>
      <c r="AC483" s="8">
        <f t="shared" si="199"/>
        <v>1289766</v>
      </c>
      <c r="AD483" s="8">
        <f t="shared" si="203"/>
        <v>6448.83</v>
      </c>
      <c r="AE483" s="8" t="str">
        <f t="shared" si="200"/>
        <v/>
      </c>
      <c r="AF483" s="22" t="str">
        <f t="shared" si="201"/>
        <v>CA_Ventu_2020g</v>
      </c>
      <c r="AG483" s="23">
        <v>1</v>
      </c>
      <c r="AH483" s="8">
        <v>59363</v>
      </c>
      <c r="AI483" s="273">
        <v>41666</v>
      </c>
      <c r="AJ483" s="274">
        <v>17697</v>
      </c>
      <c r="AK483" s="339">
        <v>23969</v>
      </c>
      <c r="AL483" s="344" t="s">
        <v>4716</v>
      </c>
      <c r="AM483" s="353">
        <f t="shared" si="202"/>
        <v>1.8583991204606107E-2</v>
      </c>
      <c r="AN483" s="354"/>
      <c r="AP483" s="23">
        <f t="shared" si="204"/>
        <v>47</v>
      </c>
      <c r="AQ483" s="392">
        <f t="shared" si="182"/>
        <v>0.37992203768409161</v>
      </c>
      <c r="AR483" s="392">
        <f t="shared" si="183"/>
        <v>0.91145757591694798</v>
      </c>
      <c r="AS483" s="392">
        <f t="shared" si="183"/>
        <v>0.9999733720261752</v>
      </c>
    </row>
    <row r="484" spans="1:45">
      <c r="A484" s="12" t="s">
        <v>1559</v>
      </c>
      <c r="B484" s="54" t="str">
        <f t="shared" si="186"/>
        <v>AZ_Maric_2020g</v>
      </c>
      <c r="C484" s="12"/>
      <c r="D484" s="54" t="str">
        <f t="shared" si="187"/>
        <v>Gen-state rep dist-20 (vote for2)</v>
      </c>
      <c r="E484" s="54" t="s">
        <v>1862</v>
      </c>
      <c r="F484" s="12" t="s">
        <v>1296</v>
      </c>
      <c r="G484" s="59">
        <v>49268</v>
      </c>
      <c r="H484"/>
      <c r="K484" s="2"/>
      <c r="O484">
        <f t="shared" si="188"/>
        <v>2</v>
      </c>
      <c r="P484" s="57">
        <f t="shared" si="189"/>
        <v>2</v>
      </c>
      <c r="Q484" s="267">
        <f t="shared" si="190"/>
        <v>96864</v>
      </c>
      <c r="R484" s="23">
        <f t="shared" si="191"/>
        <v>49268</v>
      </c>
      <c r="S484" s="23">
        <f t="shared" si="192"/>
        <v>47094</v>
      </c>
      <c r="T484" s="23" t="str">
        <f t="shared" si="193"/>
        <v/>
      </c>
      <c r="U484" t="str">
        <f t="shared" si="194"/>
        <v/>
      </c>
      <c r="W484" s="1">
        <f t="shared" si="195"/>
        <v>68</v>
      </c>
      <c r="X484" s="73">
        <f t="shared" si="184"/>
        <v>14.189323179734245</v>
      </c>
      <c r="Y484" s="322">
        <f t="shared" si="196"/>
        <v>4064.3760000000002</v>
      </c>
      <c r="Z484" s="43">
        <f t="shared" si="185"/>
        <v>1.2328766081982082E-111</v>
      </c>
      <c r="AA484" s="52">
        <f t="shared" si="197"/>
        <v>1.2328766081982082E-113</v>
      </c>
      <c r="AB484" s="8">
        <f t="shared" si="198"/>
        <v>12897.66</v>
      </c>
      <c r="AC484" s="8">
        <f t="shared" si="199"/>
        <v>1289766</v>
      </c>
      <c r="AD484" s="8">
        <f t="shared" si="203"/>
        <v>6448.83</v>
      </c>
      <c r="AE484" s="8" t="str">
        <f t="shared" si="200"/>
        <v/>
      </c>
      <c r="AF484" s="22" t="str">
        <f t="shared" si="201"/>
        <v>CA_Ventu_2020g</v>
      </c>
      <c r="AG484">
        <v>1</v>
      </c>
      <c r="AH484" s="272">
        <v>58904</v>
      </c>
      <c r="AI484" s="273">
        <v>42321</v>
      </c>
      <c r="AJ484" s="274">
        <v>16583</v>
      </c>
      <c r="AK484" s="339">
        <v>25738</v>
      </c>
      <c r="AL484" s="340" t="s">
        <v>4708</v>
      </c>
      <c r="AM484" s="353">
        <f t="shared" si="202"/>
        <v>1.9955557829869915E-2</v>
      </c>
      <c r="AN484" s="354"/>
      <c r="AP484" s="23">
        <f t="shared" si="204"/>
        <v>54</v>
      </c>
      <c r="AQ484" s="392">
        <f t="shared" si="182"/>
        <v>0.42269800327177742</v>
      </c>
      <c r="AR484" s="392">
        <f t="shared" si="183"/>
        <v>0.93838794176916751</v>
      </c>
      <c r="AS484" s="392">
        <f t="shared" si="183"/>
        <v>0.99999449465415124</v>
      </c>
    </row>
    <row r="485" spans="1:45">
      <c r="A485" s="12" t="s">
        <v>1559</v>
      </c>
      <c r="B485" s="54" t="str">
        <f t="shared" si="186"/>
        <v>AZ_Maric_2020g</v>
      </c>
      <c r="C485" s="12"/>
      <c r="D485" s="54" t="str">
        <f t="shared" si="187"/>
        <v>Gen-state rep dist-20 (vote for2)</v>
      </c>
      <c r="E485" s="54" t="s">
        <v>1863</v>
      </c>
      <c r="F485" s="12" t="s">
        <v>1296</v>
      </c>
      <c r="G485" s="59">
        <v>47094</v>
      </c>
      <c r="H485"/>
      <c r="K485" s="2"/>
      <c r="O485">
        <f t="shared" si="188"/>
        <v>3</v>
      </c>
      <c r="P485" s="57">
        <f t="shared" si="189"/>
        <v>2</v>
      </c>
      <c r="Q485" s="267">
        <f t="shared" si="190"/>
        <v>47596</v>
      </c>
      <c r="R485" s="23" t="str">
        <f t="shared" si="191"/>
        <v/>
      </c>
      <c r="S485" s="23">
        <f t="shared" si="192"/>
        <v>47094</v>
      </c>
      <c r="T485" s="23" t="str">
        <f t="shared" si="193"/>
        <v/>
      </c>
      <c r="U485" t="str">
        <f t="shared" si="194"/>
        <v/>
      </c>
      <c r="W485" s="1">
        <f t="shared" si="195"/>
        <v>69</v>
      </c>
      <c r="X485" s="73">
        <f t="shared" si="184"/>
        <v>13.116089914226562</v>
      </c>
      <c r="Y485" s="322">
        <f t="shared" si="196"/>
        <v>3948.1800000000003</v>
      </c>
      <c r="Z485" s="43">
        <f t="shared" si="185"/>
        <v>1.9178191941731853E-117</v>
      </c>
      <c r="AA485" s="52">
        <f t="shared" si="197"/>
        <v>1.9178191941731853E-119</v>
      </c>
      <c r="AB485" s="8">
        <f t="shared" si="198"/>
        <v>12897.66</v>
      </c>
      <c r="AC485" s="8">
        <f t="shared" si="199"/>
        <v>1289766</v>
      </c>
      <c r="AD485" s="8">
        <f t="shared" si="203"/>
        <v>6448.83</v>
      </c>
      <c r="AE485" s="8" t="str">
        <f t="shared" si="200"/>
        <v/>
      </c>
      <c r="AF485" s="22" t="str">
        <f t="shared" si="201"/>
        <v>CA_Ventu_2020g</v>
      </c>
      <c r="AG485">
        <v>1</v>
      </c>
      <c r="AH485" s="272">
        <v>57220</v>
      </c>
      <c r="AI485" s="273">
        <v>42134</v>
      </c>
      <c r="AJ485" s="274">
        <v>15086</v>
      </c>
      <c r="AK485" s="339">
        <v>27048</v>
      </c>
      <c r="AL485" s="340" t="s">
        <v>4709</v>
      </c>
      <c r="AM485" s="353">
        <f t="shared" si="202"/>
        <v>2.0971245946939211E-2</v>
      </c>
      <c r="AN485" s="354"/>
      <c r="AP485" s="23">
        <f t="shared" si="204"/>
        <v>60</v>
      </c>
      <c r="AQ485" s="392">
        <f t="shared" si="182"/>
        <v>0.45704057982406332</v>
      </c>
      <c r="AR485" s="392">
        <f t="shared" si="183"/>
        <v>0.95486254326418063</v>
      </c>
      <c r="AS485" s="392">
        <f t="shared" si="183"/>
        <v>0.99999857650764135</v>
      </c>
    </row>
    <row r="486" spans="1:45">
      <c r="A486" s="12" t="s">
        <v>1559</v>
      </c>
      <c r="B486" s="54" t="str">
        <f t="shared" si="186"/>
        <v>AZ_Maric_2020g</v>
      </c>
      <c r="C486" s="12"/>
      <c r="D486" s="54" t="str">
        <f t="shared" si="187"/>
        <v>Gen-state rep dist-20 (vote for2)</v>
      </c>
      <c r="E486" s="54" t="s">
        <v>1299</v>
      </c>
      <c r="G486" s="59">
        <v>502</v>
      </c>
      <c r="H486"/>
      <c r="K486" s="2"/>
      <c r="O486">
        <f t="shared" si="188"/>
        <v>-3</v>
      </c>
      <c r="P486" s="57">
        <f t="shared" si="189"/>
        <v>2</v>
      </c>
      <c r="Q486" s="267">
        <f t="shared" si="190"/>
        <v>502</v>
      </c>
      <c r="R486" s="23">
        <f t="shared" si="191"/>
        <v>1</v>
      </c>
      <c r="S486" s="23">
        <f t="shared" si="192"/>
        <v>0</v>
      </c>
      <c r="T486" s="23" t="str">
        <f t="shared" si="193"/>
        <v/>
      </c>
      <c r="U486" t="str">
        <f t="shared" si="194"/>
        <v/>
      </c>
      <c r="W486" s="1">
        <f t="shared" si="195"/>
        <v>70</v>
      </c>
      <c r="X486" s="73">
        <f t="shared" si="184"/>
        <v>14.377350502734169</v>
      </c>
      <c r="Y486" s="322">
        <f t="shared" si="196"/>
        <v>4535.3700000000008</v>
      </c>
      <c r="Z486" s="43">
        <f t="shared" si="185"/>
        <v>3.3604251234624501E-123</v>
      </c>
      <c r="AA486" s="52">
        <f t="shared" si="197"/>
        <v>3.3604251234624498E-125</v>
      </c>
      <c r="AB486" s="8">
        <f t="shared" si="198"/>
        <v>12897.66</v>
      </c>
      <c r="AC486" s="8">
        <f t="shared" si="199"/>
        <v>1289766</v>
      </c>
      <c r="AD486" s="8">
        <f t="shared" si="203"/>
        <v>6448.83</v>
      </c>
      <c r="AE486" s="8" t="str">
        <f t="shared" si="200"/>
        <v/>
      </c>
      <c r="AF486" s="22" t="str">
        <f t="shared" si="201"/>
        <v>CA_Ventu_2020g</v>
      </c>
      <c r="AG486">
        <v>1</v>
      </c>
      <c r="AH486" s="272">
        <v>65730</v>
      </c>
      <c r="AI486" s="273">
        <v>41512</v>
      </c>
      <c r="AJ486" s="274">
        <v>13167</v>
      </c>
      <c r="AK486" s="339">
        <v>28345</v>
      </c>
      <c r="AL486" s="340" t="s">
        <v>4732</v>
      </c>
      <c r="AM486" s="353">
        <f t="shared" si="202"/>
        <v>2.1976854716281868E-2</v>
      </c>
      <c r="AN486" s="354"/>
      <c r="AP486" s="23">
        <f t="shared" si="204"/>
        <v>65</v>
      </c>
      <c r="AQ486" s="392">
        <f t="shared" si="182"/>
        <v>0.48411636424166249</v>
      </c>
      <c r="AR486" s="392">
        <f t="shared" si="183"/>
        <v>0.96517987310387787</v>
      </c>
      <c r="AS486" s="392">
        <f t="shared" si="183"/>
        <v>0.99999953936425545</v>
      </c>
    </row>
    <row r="487" spans="1:45">
      <c r="A487" s="12" t="s">
        <v>1561</v>
      </c>
      <c r="B487" s="54" t="str">
        <f t="shared" si="186"/>
        <v>AZ_Maric_2020g</v>
      </c>
      <c r="C487" s="12"/>
      <c r="D487" s="54" t="str">
        <f t="shared" si="187"/>
        <v>Gen-state rep dist-21 (vote for2)</v>
      </c>
      <c r="E487" s="54" t="s">
        <v>1867</v>
      </c>
      <c r="F487" s="12" t="s">
        <v>1296</v>
      </c>
      <c r="G487" s="59">
        <v>57803</v>
      </c>
      <c r="H487"/>
      <c r="K487" s="2"/>
      <c r="O487">
        <f t="shared" si="188"/>
        <v>1</v>
      </c>
      <c r="P487" s="57">
        <f t="shared" si="189"/>
        <v>2</v>
      </c>
      <c r="Q487" s="267">
        <f t="shared" si="190"/>
        <v>81432</v>
      </c>
      <c r="R487" s="23">
        <f t="shared" si="191"/>
        <v>53441</v>
      </c>
      <c r="S487" s="23">
        <f t="shared" si="192"/>
        <v>51047</v>
      </c>
      <c r="T487" s="23">
        <f t="shared" si="193"/>
        <v>2394</v>
      </c>
      <c r="U487" t="str">
        <f t="shared" si="194"/>
        <v>AZ_Maric_2020g~Gen-state rep dist-21 (vote for2)</v>
      </c>
      <c r="W487" s="1">
        <f t="shared" si="195"/>
        <v>71</v>
      </c>
      <c r="X487" s="73">
        <f t="shared" si="184"/>
        <v>13.38102713763376</v>
      </c>
      <c r="Y487" s="322">
        <f t="shared" si="196"/>
        <v>4439.3910000000005</v>
      </c>
      <c r="Z487" s="43">
        <f t="shared" si="185"/>
        <v>1.0298784331768058E-129</v>
      </c>
      <c r="AA487" s="52">
        <f t="shared" si="197"/>
        <v>1.0298784331768058E-131</v>
      </c>
      <c r="AB487" s="8">
        <f t="shared" si="198"/>
        <v>12897.66</v>
      </c>
      <c r="AC487" s="8">
        <f t="shared" si="199"/>
        <v>1289766</v>
      </c>
      <c r="AD487" s="8">
        <f t="shared" si="203"/>
        <v>6448.83</v>
      </c>
      <c r="AE487" s="8" t="str">
        <f t="shared" si="200"/>
        <v/>
      </c>
      <c r="AF487" s="22" t="str">
        <f t="shared" si="201"/>
        <v>CA_Ventu_2020g</v>
      </c>
      <c r="AG487">
        <v>1</v>
      </c>
      <c r="AH487" s="272">
        <v>64339</v>
      </c>
      <c r="AI487" s="273">
        <v>47075</v>
      </c>
      <c r="AJ487" s="274">
        <v>17264</v>
      </c>
      <c r="AK487" s="339">
        <v>29811</v>
      </c>
      <c r="AL487" s="340" t="s">
        <v>4707</v>
      </c>
      <c r="AM487" s="353">
        <f t="shared" si="202"/>
        <v>2.3113495006070867E-2</v>
      </c>
      <c r="AN487" s="354"/>
      <c r="AP487" s="23">
        <f t="shared" si="204"/>
        <v>72</v>
      </c>
      <c r="AQ487" s="392">
        <f t="shared" si="182"/>
        <v>0.51980185060562023</v>
      </c>
      <c r="AR487" s="392">
        <f t="shared" si="183"/>
        <v>0.97579591899505169</v>
      </c>
      <c r="AS487" s="392">
        <f t="shared" si="183"/>
        <v>0.99999990523733295</v>
      </c>
    </row>
    <row r="488" spans="1:45">
      <c r="A488" s="12" t="s">
        <v>1561</v>
      </c>
      <c r="B488" s="54" t="str">
        <f t="shared" si="186"/>
        <v>AZ_Maric_2020g</v>
      </c>
      <c r="C488" s="12"/>
      <c r="D488" s="54" t="str">
        <f t="shared" si="187"/>
        <v>Gen-state rep dist-21 (vote for2)</v>
      </c>
      <c r="E488" s="54" t="s">
        <v>1866</v>
      </c>
      <c r="F488" s="12" t="s">
        <v>1296</v>
      </c>
      <c r="G488" s="59">
        <v>53441</v>
      </c>
      <c r="H488"/>
      <c r="K488" s="2"/>
      <c r="O488">
        <f t="shared" si="188"/>
        <v>2</v>
      </c>
      <c r="P488" s="57">
        <f t="shared" si="189"/>
        <v>2</v>
      </c>
      <c r="Q488" s="267">
        <f t="shared" si="190"/>
        <v>105061</v>
      </c>
      <c r="R488" s="23">
        <f t="shared" si="191"/>
        <v>53441</v>
      </c>
      <c r="S488" s="23">
        <f t="shared" si="192"/>
        <v>51047</v>
      </c>
      <c r="T488" s="23" t="str">
        <f t="shared" si="193"/>
        <v/>
      </c>
      <c r="U488" t="str">
        <f t="shared" si="194"/>
        <v/>
      </c>
      <c r="W488" s="1">
        <f t="shared" si="195"/>
        <v>72</v>
      </c>
      <c r="X488" s="73">
        <f t="shared" si="184"/>
        <v>84.184922423648544</v>
      </c>
      <c r="Y488" s="322">
        <f t="shared" si="196"/>
        <v>28683.093000000001</v>
      </c>
      <c r="Z488" s="43">
        <f t="shared" si="185"/>
        <v>2.7371705185340651E-133</v>
      </c>
      <c r="AA488" s="52">
        <f t="shared" si="197"/>
        <v>2.737170518534065E-135</v>
      </c>
      <c r="AB488" s="8">
        <f t="shared" si="198"/>
        <v>12897.66</v>
      </c>
      <c r="AC488" s="8">
        <f t="shared" si="199"/>
        <v>1289766</v>
      </c>
      <c r="AD488" s="8">
        <f t="shared" si="203"/>
        <v>6448.83</v>
      </c>
      <c r="AE488" s="8" t="str">
        <f t="shared" si="200"/>
        <v/>
      </c>
      <c r="AF488" s="22" t="str">
        <f t="shared" si="201"/>
        <v>CA_Ventu_2020g</v>
      </c>
      <c r="AG488">
        <v>1</v>
      </c>
      <c r="AH488" s="272">
        <v>415697</v>
      </c>
      <c r="AI488" s="273">
        <v>223156</v>
      </c>
      <c r="AJ488" s="274">
        <v>192541</v>
      </c>
      <c r="AK488" s="339">
        <v>30615</v>
      </c>
      <c r="AL488" s="340" t="s">
        <v>4696</v>
      </c>
      <c r="AM488" s="353">
        <f t="shared" si="202"/>
        <v>2.3736863896241644E-2</v>
      </c>
      <c r="AN488" s="354"/>
      <c r="AP488" s="23">
        <f t="shared" si="204"/>
        <v>75</v>
      </c>
      <c r="AQ488" s="392">
        <f t="shared" si="182"/>
        <v>0.5343410096059642</v>
      </c>
      <c r="AR488" s="392">
        <f t="shared" si="183"/>
        <v>0.9792916838191067</v>
      </c>
      <c r="AS488" s="392">
        <f t="shared" si="183"/>
        <v>0.99999995190836155</v>
      </c>
    </row>
    <row r="489" spans="1:45">
      <c r="A489" s="12" t="s">
        <v>1561</v>
      </c>
      <c r="B489" s="54" t="str">
        <f t="shared" si="186"/>
        <v>AZ_Maric_2020g</v>
      </c>
      <c r="C489" s="12"/>
      <c r="D489" s="54" t="str">
        <f t="shared" si="187"/>
        <v>Gen-state rep dist-21 (vote for2)</v>
      </c>
      <c r="E489" s="54" t="s">
        <v>1868</v>
      </c>
      <c r="F489" s="12" t="s">
        <v>1294</v>
      </c>
      <c r="G489" s="59">
        <v>51047</v>
      </c>
      <c r="H489"/>
      <c r="K489" s="2"/>
      <c r="O489">
        <f t="shared" si="188"/>
        <v>3</v>
      </c>
      <c r="P489" s="57">
        <f t="shared" si="189"/>
        <v>2</v>
      </c>
      <c r="Q489" s="267">
        <f t="shared" si="190"/>
        <v>51620</v>
      </c>
      <c r="R489" s="23" t="str">
        <f t="shared" si="191"/>
        <v/>
      </c>
      <c r="S489" s="23">
        <f t="shared" si="192"/>
        <v>51047</v>
      </c>
      <c r="T489" s="23" t="str">
        <f t="shared" si="193"/>
        <v/>
      </c>
      <c r="U489" t="str">
        <f t="shared" si="194"/>
        <v/>
      </c>
      <c r="W489" s="1">
        <f t="shared" si="195"/>
        <v>73</v>
      </c>
      <c r="X489" s="73">
        <f t="shared" si="184"/>
        <v>21.267823579962855</v>
      </c>
      <c r="Y489" s="322">
        <f t="shared" si="196"/>
        <v>8538.1290000000008</v>
      </c>
      <c r="Z489" s="43">
        <f t="shared" si="185"/>
        <v>1.2717427461298063E-157</v>
      </c>
      <c r="AA489" s="52">
        <f t="shared" si="197"/>
        <v>1.2717427461298063E-159</v>
      </c>
      <c r="AB489" s="8">
        <f t="shared" si="198"/>
        <v>12897.66</v>
      </c>
      <c r="AC489" s="8">
        <f t="shared" si="199"/>
        <v>1289766</v>
      </c>
      <c r="AD489" s="8">
        <f t="shared" si="203"/>
        <v>6448.83</v>
      </c>
      <c r="AE489" s="8" t="str">
        <f t="shared" si="200"/>
        <v/>
      </c>
      <c r="AF489" s="22" t="str">
        <f t="shared" si="201"/>
        <v>CA_Ventu_2020g</v>
      </c>
      <c r="AG489" s="23">
        <v>1</v>
      </c>
      <c r="AH489" s="8">
        <v>123741</v>
      </c>
      <c r="AI489" s="273">
        <v>79907</v>
      </c>
      <c r="AJ489" s="274">
        <v>43834</v>
      </c>
      <c r="AK489" s="339">
        <v>36073</v>
      </c>
      <c r="AL489" s="344" t="s">
        <v>4715</v>
      </c>
      <c r="AM489" s="353">
        <f t="shared" si="202"/>
        <v>2.7968639272550215E-2</v>
      </c>
      <c r="AN489" s="354"/>
      <c r="AP489" s="23">
        <f t="shared" si="204"/>
        <v>98</v>
      </c>
      <c r="AQ489" s="392">
        <f t="shared" ref="AQ489:AQ552" si="205">IF($AP489=$AD489,1,IF($AP489=0,0, 1-HYPGEOMDIST(0, ROUNDUP(RIGHT(AQ$1,4)*$AD489,0),$AP489, $AD489)))</f>
        <v>0.63230431295792844</v>
      </c>
      <c r="AR489" s="392">
        <f t="shared" ref="AR489:AS552" si="206">IF($AP489=$AD489,1,IF($AP489=0,0, 1-HYPGEOMDIST(0, ROUNDUP(RIGHT(AR$1,4)*$AD489,0),$AP489, $AD489)))</f>
        <v>0.99375279751988588</v>
      </c>
      <c r="AS489" s="392">
        <f t="shared" si="206"/>
        <v>0.99999999973785914</v>
      </c>
    </row>
    <row r="490" spans="1:45">
      <c r="A490" s="12" t="s">
        <v>1561</v>
      </c>
      <c r="B490" s="54" t="str">
        <f t="shared" si="186"/>
        <v>AZ_Maric_2020g</v>
      </c>
      <c r="C490" s="12"/>
      <c r="D490" s="54" t="str">
        <f t="shared" si="187"/>
        <v>Gen-state rep dist-21 (vote for2)</v>
      </c>
      <c r="E490" s="54" t="s">
        <v>1299</v>
      </c>
      <c r="G490" s="59">
        <v>573</v>
      </c>
      <c r="H490"/>
      <c r="K490" s="2"/>
      <c r="O490">
        <f t="shared" si="188"/>
        <v>-3</v>
      </c>
      <c r="P490" s="57">
        <f t="shared" si="189"/>
        <v>2</v>
      </c>
      <c r="Q490" s="267">
        <f t="shared" si="190"/>
        <v>573</v>
      </c>
      <c r="R490" s="23">
        <f t="shared" si="191"/>
        <v>1</v>
      </c>
      <c r="S490" s="23">
        <f t="shared" si="192"/>
        <v>0</v>
      </c>
      <c r="T490" s="23" t="str">
        <f t="shared" si="193"/>
        <v/>
      </c>
      <c r="U490" t="str">
        <f t="shared" si="194"/>
        <v/>
      </c>
      <c r="W490" s="1">
        <f t="shared" si="195"/>
        <v>74</v>
      </c>
      <c r="X490" s="73">
        <f t="shared" si="184"/>
        <v>58.192281121908536</v>
      </c>
      <c r="Y490" s="322">
        <f t="shared" si="196"/>
        <v>28123.710000000003</v>
      </c>
      <c r="Z490" s="43">
        <f t="shared" si="185"/>
        <v>1.4294414599691837E-190</v>
      </c>
      <c r="AA490" s="52">
        <f t="shared" si="197"/>
        <v>1.4294414599691837E-192</v>
      </c>
      <c r="AB490" s="8">
        <f t="shared" si="198"/>
        <v>12897.66</v>
      </c>
      <c r="AC490" s="8">
        <f t="shared" si="199"/>
        <v>1289766</v>
      </c>
      <c r="AD490" s="8">
        <f t="shared" si="203"/>
        <v>6448.83</v>
      </c>
      <c r="AE490" s="8" t="str">
        <f t="shared" si="200"/>
        <v/>
      </c>
      <c r="AF490" s="22" t="str">
        <f t="shared" si="201"/>
        <v>CA_Ventu_2020g</v>
      </c>
      <c r="AG490">
        <v>1</v>
      </c>
      <c r="AH490" s="272">
        <v>407590</v>
      </c>
      <c r="AI490" s="273">
        <v>225508</v>
      </c>
      <c r="AJ490" s="274">
        <v>182082</v>
      </c>
      <c r="AK490" s="339">
        <v>43426</v>
      </c>
      <c r="AL490" s="340" t="s">
        <v>4700</v>
      </c>
      <c r="AM490" s="353">
        <f t="shared" si="202"/>
        <v>3.366967341362697E-2</v>
      </c>
      <c r="AN490" s="354"/>
      <c r="AP490" s="23">
        <f t="shared" si="204"/>
        <v>129</v>
      </c>
      <c r="AQ490" s="392">
        <f t="shared" si="205"/>
        <v>0.73292279290311169</v>
      </c>
      <c r="AR490" s="392">
        <f t="shared" si="206"/>
        <v>0.99876653441935914</v>
      </c>
      <c r="AS490" s="392">
        <f t="shared" si="206"/>
        <v>0.99999999999977451</v>
      </c>
    </row>
    <row r="491" spans="1:45">
      <c r="A491" s="12" t="s">
        <v>1563</v>
      </c>
      <c r="B491" s="54" t="str">
        <f t="shared" si="186"/>
        <v>AZ_Maric_2020g</v>
      </c>
      <c r="C491" s="12"/>
      <c r="D491" s="54" t="str">
        <f t="shared" si="187"/>
        <v>Gen-state rep dist-22 (vote for2)</v>
      </c>
      <c r="E491" s="54" t="s">
        <v>1872</v>
      </c>
      <c r="F491" s="12" t="s">
        <v>1296</v>
      </c>
      <c r="G491" s="59">
        <v>92912</v>
      </c>
      <c r="H491"/>
      <c r="K491" s="2"/>
      <c r="O491">
        <f t="shared" si="188"/>
        <v>1</v>
      </c>
      <c r="P491" s="57">
        <f t="shared" si="189"/>
        <v>2</v>
      </c>
      <c r="Q491" s="267">
        <f t="shared" si="190"/>
        <v>143810</v>
      </c>
      <c r="R491" s="23">
        <f t="shared" si="191"/>
        <v>92231</v>
      </c>
      <c r="S491" s="23">
        <f t="shared" si="192"/>
        <v>53522</v>
      </c>
      <c r="T491" s="23">
        <f t="shared" si="193"/>
        <v>38709</v>
      </c>
      <c r="U491" t="str">
        <f t="shared" si="194"/>
        <v>AZ_Maric_2020g~Gen-state rep dist-22 (vote for2)</v>
      </c>
      <c r="W491" s="1">
        <f t="shared" si="195"/>
        <v>75</v>
      </c>
      <c r="X491" s="73">
        <f t="shared" si="184"/>
        <v>28.737648693236086</v>
      </c>
      <c r="Y491" s="322">
        <f t="shared" si="196"/>
        <v>14733.570000000002</v>
      </c>
      <c r="Z491" s="43">
        <f t="shared" si="185"/>
        <v>1.8565840026597523E-202</v>
      </c>
      <c r="AA491" s="52">
        <f t="shared" si="197"/>
        <v>1.8565840026597523E-204</v>
      </c>
      <c r="AB491" s="8">
        <f t="shared" si="198"/>
        <v>12897.66</v>
      </c>
      <c r="AC491" s="8">
        <f t="shared" si="199"/>
        <v>1289766</v>
      </c>
      <c r="AD491" s="8">
        <f t="shared" si="203"/>
        <v>6448.83</v>
      </c>
      <c r="AE491" s="8" t="str">
        <f t="shared" si="200"/>
        <v/>
      </c>
      <c r="AF491" s="22" t="str">
        <f t="shared" si="201"/>
        <v>CA_Ventu_2020g</v>
      </c>
      <c r="AG491" s="23">
        <v>1</v>
      </c>
      <c r="AH491" s="8">
        <v>213530</v>
      </c>
      <c r="AI491" s="273">
        <v>129799</v>
      </c>
      <c r="AJ491" s="274">
        <v>83731</v>
      </c>
      <c r="AK491" s="339">
        <v>46068</v>
      </c>
      <c r="AL491" s="344" t="s">
        <v>4717</v>
      </c>
      <c r="AM491" s="353">
        <f t="shared" si="202"/>
        <v>3.5718107005456801E-2</v>
      </c>
      <c r="AN491" s="354"/>
      <c r="AP491" s="23">
        <f t="shared" si="204"/>
        <v>140</v>
      </c>
      <c r="AQ491" s="392">
        <f t="shared" si="205"/>
        <v>0.76165709314775798</v>
      </c>
      <c r="AR491" s="392">
        <f t="shared" si="206"/>
        <v>0.99930774017028012</v>
      </c>
      <c r="AS491" s="392">
        <f t="shared" si="206"/>
        <v>0.99999999999998179</v>
      </c>
    </row>
    <row r="492" spans="1:45">
      <c r="A492" s="12" t="s">
        <v>1563</v>
      </c>
      <c r="B492" s="54" t="str">
        <f t="shared" si="186"/>
        <v>AZ_Maric_2020g</v>
      </c>
      <c r="C492" s="12"/>
      <c r="D492" s="54" t="str">
        <f t="shared" si="187"/>
        <v>Gen-state rep dist-22 (vote for2)</v>
      </c>
      <c r="E492" s="54" t="s">
        <v>1871</v>
      </c>
      <c r="F492" s="12" t="s">
        <v>1296</v>
      </c>
      <c r="G492" s="59">
        <v>92231</v>
      </c>
      <c r="H492"/>
      <c r="K492" s="2"/>
      <c r="O492">
        <f t="shared" si="188"/>
        <v>2</v>
      </c>
      <c r="P492" s="57">
        <f t="shared" si="189"/>
        <v>2</v>
      </c>
      <c r="Q492" s="267">
        <f t="shared" si="190"/>
        <v>194708</v>
      </c>
      <c r="R492" s="23">
        <f t="shared" si="191"/>
        <v>92231</v>
      </c>
      <c r="S492" s="23">
        <f t="shared" si="192"/>
        <v>53522</v>
      </c>
      <c r="T492" s="23" t="str">
        <f t="shared" si="193"/>
        <v/>
      </c>
      <c r="U492" t="str">
        <f t="shared" si="194"/>
        <v/>
      </c>
      <c r="W492" s="1">
        <f t="shared" si="195"/>
        <v>76</v>
      </c>
      <c r="X492" s="73">
        <f t="shared" si="184"/>
        <v>42.937858744589498</v>
      </c>
      <c r="Y492" s="322">
        <f t="shared" si="196"/>
        <v>27489.669000000002</v>
      </c>
      <c r="Z492" s="43">
        <f t="shared" si="185"/>
        <v>2.632099858971645E-254</v>
      </c>
      <c r="AA492" s="52">
        <f t="shared" si="197"/>
        <v>2.6320998589716449E-256</v>
      </c>
      <c r="AB492" s="8">
        <f t="shared" si="198"/>
        <v>12897.66</v>
      </c>
      <c r="AC492" s="8">
        <f t="shared" si="199"/>
        <v>1289766</v>
      </c>
      <c r="AD492" s="8">
        <f t="shared" si="203"/>
        <v>6448.83</v>
      </c>
      <c r="AE492" s="8" t="str">
        <f t="shared" si="200"/>
        <v/>
      </c>
      <c r="AF492" s="22" t="str">
        <f t="shared" si="201"/>
        <v>CA_Ventu_2020g</v>
      </c>
      <c r="AG492">
        <v>1</v>
      </c>
      <c r="AH492" s="272">
        <v>398401</v>
      </c>
      <c r="AI492" s="273">
        <v>227964</v>
      </c>
      <c r="AJ492" s="274">
        <v>170437</v>
      </c>
      <c r="AK492" s="339">
        <v>57527</v>
      </c>
      <c r="AL492" s="340" t="s">
        <v>4697</v>
      </c>
      <c r="AM492" s="353">
        <f t="shared" si="202"/>
        <v>4.460266435927137E-2</v>
      </c>
      <c r="AN492" s="354"/>
      <c r="AP492" s="23">
        <f t="shared" si="204"/>
        <v>188</v>
      </c>
      <c r="AQ492" s="392">
        <f t="shared" si="205"/>
        <v>0.85529992251679476</v>
      </c>
      <c r="AR492" s="392">
        <f t="shared" si="206"/>
        <v>0.99994500353887417</v>
      </c>
      <c r="AS492" s="392">
        <f t="shared" si="206"/>
        <v>1</v>
      </c>
    </row>
    <row r="493" spans="1:45">
      <c r="A493" s="12" t="s">
        <v>1563</v>
      </c>
      <c r="B493" s="54" t="str">
        <f t="shared" si="186"/>
        <v>AZ_Maric_2020g</v>
      </c>
      <c r="C493" s="12"/>
      <c r="D493" s="54" t="str">
        <f t="shared" si="187"/>
        <v>Gen-state rep dist-22 (vote for2)</v>
      </c>
      <c r="E493" s="54" t="s">
        <v>1873</v>
      </c>
      <c r="F493" s="12" t="s">
        <v>1294</v>
      </c>
      <c r="G493" s="59">
        <v>53522</v>
      </c>
      <c r="H493"/>
      <c r="K493" s="2"/>
      <c r="O493">
        <f t="shared" si="188"/>
        <v>3</v>
      </c>
      <c r="P493" s="57">
        <f t="shared" si="189"/>
        <v>2</v>
      </c>
      <c r="Q493" s="267">
        <f t="shared" si="190"/>
        <v>102477</v>
      </c>
      <c r="R493" s="23" t="str">
        <f t="shared" si="191"/>
        <v/>
      </c>
      <c r="S493" s="23">
        <f t="shared" si="192"/>
        <v>53522</v>
      </c>
      <c r="T493" s="23" t="str">
        <f t="shared" si="193"/>
        <v/>
      </c>
      <c r="U493" t="str">
        <f t="shared" si="194"/>
        <v/>
      </c>
      <c r="W493" s="1">
        <f t="shared" si="195"/>
        <v>77</v>
      </c>
      <c r="X493" s="73">
        <f t="shared" si="184"/>
        <v>41.8119284165561</v>
      </c>
      <c r="Y493" s="322">
        <f t="shared" si="196"/>
        <v>28758.096000000001</v>
      </c>
      <c r="Z493" s="43">
        <f t="shared" si="185"/>
        <v>8.9881282591158249E-274</v>
      </c>
      <c r="AA493" s="52">
        <f t="shared" si="197"/>
        <v>8.9881282591158254E-276</v>
      </c>
      <c r="AB493" s="8">
        <f t="shared" si="198"/>
        <v>12897.66</v>
      </c>
      <c r="AC493" s="8">
        <f t="shared" si="199"/>
        <v>1289766</v>
      </c>
      <c r="AD493" s="8">
        <f t="shared" si="203"/>
        <v>6448.83</v>
      </c>
      <c r="AE493" s="8" t="str">
        <f t="shared" si="200"/>
        <v/>
      </c>
      <c r="AF493" s="22" t="str">
        <f t="shared" si="201"/>
        <v>CA_Ventu_2020g</v>
      </c>
      <c r="AG493">
        <v>1</v>
      </c>
      <c r="AH493" s="272">
        <v>416784</v>
      </c>
      <c r="AI493" s="273">
        <v>239293</v>
      </c>
      <c r="AJ493" s="274">
        <v>177491</v>
      </c>
      <c r="AK493" s="339">
        <v>61802</v>
      </c>
      <c r="AL493" s="340" t="s">
        <v>4690</v>
      </c>
      <c r="AM493" s="353">
        <f t="shared" si="202"/>
        <v>4.7917219092455533E-2</v>
      </c>
      <c r="AN493" s="354"/>
      <c r="AO493" s="356"/>
      <c r="AP493" s="23">
        <f t="shared" si="204"/>
        <v>206</v>
      </c>
      <c r="AQ493" s="392">
        <f t="shared" si="205"/>
        <v>0.88011557123139517</v>
      </c>
      <c r="AR493" s="392">
        <f t="shared" si="206"/>
        <v>0.99997883467021453</v>
      </c>
      <c r="AS493" s="392">
        <f t="shared" si="206"/>
        <v>1</v>
      </c>
    </row>
    <row r="494" spans="1:45">
      <c r="A494" s="12" t="s">
        <v>1563</v>
      </c>
      <c r="B494" s="54" t="str">
        <f t="shared" si="186"/>
        <v>AZ_Maric_2020g</v>
      </c>
      <c r="C494" s="12"/>
      <c r="D494" s="54" t="str">
        <f t="shared" si="187"/>
        <v>Gen-state rep dist-22 (vote for2)</v>
      </c>
      <c r="E494" s="54" t="s">
        <v>1874</v>
      </c>
      <c r="F494" s="12" t="s">
        <v>1294</v>
      </c>
      <c r="G494" s="59">
        <v>48821</v>
      </c>
      <c r="H494"/>
      <c r="K494" s="2"/>
      <c r="O494">
        <f t="shared" si="188"/>
        <v>4</v>
      </c>
      <c r="P494" s="57">
        <f t="shared" si="189"/>
        <v>2</v>
      </c>
      <c r="Q494" s="267">
        <f t="shared" si="190"/>
        <v>48955</v>
      </c>
      <c r="R494" s="23" t="str">
        <f t="shared" si="191"/>
        <v/>
      </c>
      <c r="S494" s="23">
        <f t="shared" si="192"/>
        <v>48821</v>
      </c>
      <c r="T494" s="23" t="str">
        <f t="shared" si="193"/>
        <v/>
      </c>
      <c r="U494" t="str">
        <f t="shared" si="194"/>
        <v/>
      </c>
      <c r="W494" s="1">
        <f t="shared" si="195"/>
        <v>78</v>
      </c>
      <c r="X494" s="73">
        <f t="shared" si="184"/>
        <v>21.713468222442902</v>
      </c>
      <c r="Y494" s="322">
        <f t="shared" si="196"/>
        <v>15573.852000000001</v>
      </c>
      <c r="Z494" s="43">
        <f t="shared" si="185"/>
        <v>7.4278692570615904E-286</v>
      </c>
      <c r="AA494" s="52">
        <f t="shared" si="197"/>
        <v>7.4278692570615908E-288</v>
      </c>
      <c r="AB494" s="8">
        <f t="shared" si="198"/>
        <v>12897.66</v>
      </c>
      <c r="AC494" s="8">
        <f t="shared" si="199"/>
        <v>1289766</v>
      </c>
      <c r="AD494" s="8">
        <f t="shared" si="203"/>
        <v>6448.83</v>
      </c>
      <c r="AE494" s="8" t="str">
        <f t="shared" si="200"/>
        <v/>
      </c>
      <c r="AF494" s="22" t="str">
        <f t="shared" si="201"/>
        <v>CA_Ventu_2020g</v>
      </c>
      <c r="AG494">
        <v>1</v>
      </c>
      <c r="AH494" s="272">
        <v>225708</v>
      </c>
      <c r="AI494" s="273">
        <v>145078</v>
      </c>
      <c r="AJ494" s="274">
        <v>80630</v>
      </c>
      <c r="AK494" s="339">
        <v>64448</v>
      </c>
      <c r="AL494" s="340" t="s">
        <v>4674</v>
      </c>
      <c r="AM494" s="353">
        <f t="shared" si="202"/>
        <v>4.996875402204741E-2</v>
      </c>
      <c r="AN494" s="354"/>
      <c r="AP494" s="23">
        <f t="shared" si="204"/>
        <v>217</v>
      </c>
      <c r="AQ494" s="392">
        <f t="shared" si="205"/>
        <v>0.89316472505885192</v>
      </c>
      <c r="AR494" s="392">
        <f t="shared" si="206"/>
        <v>0.99998820803155375</v>
      </c>
      <c r="AS494" s="392">
        <f t="shared" si="206"/>
        <v>1</v>
      </c>
    </row>
    <row r="495" spans="1:45">
      <c r="A495" s="12" t="s">
        <v>1563</v>
      </c>
      <c r="B495" s="54" t="str">
        <f t="shared" si="186"/>
        <v>AZ_Maric_2020g</v>
      </c>
      <c r="C495" s="12"/>
      <c r="D495" s="54" t="str">
        <f t="shared" si="187"/>
        <v>Gen-state rep dist-22 (vote for2)</v>
      </c>
      <c r="E495" s="54" t="s">
        <v>1299</v>
      </c>
      <c r="G495" s="59">
        <v>134</v>
      </c>
      <c r="H495"/>
      <c r="K495" s="2"/>
      <c r="O495">
        <f t="shared" si="188"/>
        <v>-4</v>
      </c>
      <c r="P495" s="57">
        <f t="shared" si="189"/>
        <v>2</v>
      </c>
      <c r="Q495" s="267">
        <f t="shared" si="190"/>
        <v>134</v>
      </c>
      <c r="R495" s="23">
        <f t="shared" si="191"/>
        <v>1</v>
      </c>
      <c r="S495" s="23">
        <f t="shared" si="192"/>
        <v>0</v>
      </c>
      <c r="T495" s="23" t="str">
        <f t="shared" si="193"/>
        <v/>
      </c>
      <c r="U495" t="str">
        <f t="shared" si="194"/>
        <v/>
      </c>
      <c r="W495" s="1">
        <f t="shared" si="195"/>
        <v>79</v>
      </c>
      <c r="X495" s="73">
        <f t="shared" si="184"/>
        <v>36.718181553086637</v>
      </c>
      <c r="Y495" s="322">
        <f t="shared" si="196"/>
        <v>28026.834000000003</v>
      </c>
      <c r="Z495" s="43">
        <f t="shared" si="185"/>
        <v>8.3660410465790739E-305</v>
      </c>
      <c r="AA495" s="52">
        <f t="shared" si="197"/>
        <v>8.3660410465790736E-307</v>
      </c>
      <c r="AB495" s="8">
        <f t="shared" si="198"/>
        <v>12897.66</v>
      </c>
      <c r="AC495" s="8">
        <f t="shared" si="199"/>
        <v>1289766</v>
      </c>
      <c r="AD495" s="8">
        <f t="shared" si="203"/>
        <v>6448.83</v>
      </c>
      <c r="AE495" s="8" t="str">
        <f t="shared" si="200"/>
        <v/>
      </c>
      <c r="AF495" s="22" t="str">
        <f t="shared" si="201"/>
        <v>CA_Ventu_2020g</v>
      </c>
      <c r="AG495">
        <v>1</v>
      </c>
      <c r="AH495" s="272">
        <v>406186</v>
      </c>
      <c r="AI495" s="273">
        <v>237386</v>
      </c>
      <c r="AJ495" s="274">
        <v>168800</v>
      </c>
      <c r="AK495" s="339">
        <v>68586</v>
      </c>
      <c r="AL495" s="340" t="s">
        <v>4680</v>
      </c>
      <c r="AM495" s="353">
        <f t="shared" si="202"/>
        <v>5.3177087936881577E-2</v>
      </c>
      <c r="AN495" s="354"/>
      <c r="AP495" s="23">
        <f t="shared" si="204"/>
        <v>234</v>
      </c>
      <c r="AQ495" s="392">
        <f t="shared" si="205"/>
        <v>0.91062981758897954</v>
      </c>
      <c r="AR495" s="392">
        <f t="shared" si="206"/>
        <v>0.99999523488230102</v>
      </c>
      <c r="AS495" s="392">
        <f t="shared" si="206"/>
        <v>1</v>
      </c>
    </row>
    <row r="496" spans="1:45">
      <c r="A496" s="12" t="s">
        <v>1565</v>
      </c>
      <c r="B496" s="54" t="str">
        <f t="shared" si="186"/>
        <v>AZ_Maric_2020g</v>
      </c>
      <c r="C496" s="12"/>
      <c r="D496" s="54" t="str">
        <f t="shared" si="187"/>
        <v>Gen-state rep dist-23 (vote for2)</v>
      </c>
      <c r="E496" s="54" t="s">
        <v>1879</v>
      </c>
      <c r="F496" s="12" t="s">
        <v>1296</v>
      </c>
      <c r="G496" s="59">
        <v>86307</v>
      </c>
      <c r="H496"/>
      <c r="K496" s="2"/>
      <c r="O496">
        <f t="shared" si="188"/>
        <v>1</v>
      </c>
      <c r="P496" s="57">
        <f t="shared" si="189"/>
        <v>2</v>
      </c>
      <c r="Q496" s="267">
        <f t="shared" si="190"/>
        <v>116370</v>
      </c>
      <c r="R496" s="23">
        <f t="shared" si="191"/>
        <v>80264</v>
      </c>
      <c r="S496" s="23">
        <f t="shared" si="192"/>
        <v>65257</v>
      </c>
      <c r="T496" s="23">
        <f t="shared" si="193"/>
        <v>15007</v>
      </c>
      <c r="U496" t="str">
        <f t="shared" si="194"/>
        <v>AZ_Maric_2020g~Gen-state rep dist-23 (vote for2)</v>
      </c>
      <c r="W496" s="1">
        <f t="shared" si="195"/>
        <v>80</v>
      </c>
      <c r="X496" s="73">
        <f t="shared" si="184"/>
        <v>28.99619252279803</v>
      </c>
      <c r="Y496" s="322">
        <f t="shared" si="196"/>
        <v>23426.052000000003</v>
      </c>
      <c r="Z496" s="43">
        <f t="shared" si="185"/>
        <v>0</v>
      </c>
      <c r="AA496" s="52">
        <f t="shared" si="197"/>
        <v>0</v>
      </c>
      <c r="AB496" s="8">
        <f t="shared" si="198"/>
        <v>12897.66</v>
      </c>
      <c r="AC496" s="8">
        <f t="shared" si="199"/>
        <v>1289766</v>
      </c>
      <c r="AD496" s="8">
        <f t="shared" si="203"/>
        <v>6448.83</v>
      </c>
      <c r="AE496" s="8" t="str">
        <f t="shared" si="200"/>
        <v/>
      </c>
      <c r="AF496" s="22" t="str">
        <f t="shared" si="201"/>
        <v>CA_Ventu_2020g</v>
      </c>
      <c r="AG496">
        <v>1</v>
      </c>
      <c r="AH496" s="272">
        <v>339508</v>
      </c>
      <c r="AI496" s="273">
        <v>206051</v>
      </c>
      <c r="AJ496" s="274">
        <v>133457</v>
      </c>
      <c r="AK496" s="339">
        <v>72594</v>
      </c>
      <c r="AL496" s="340" t="s">
        <v>4677</v>
      </c>
      <c r="AM496" s="353">
        <f t="shared" si="202"/>
        <v>5.6284628374449322E-2</v>
      </c>
      <c r="AN496" s="354"/>
      <c r="AP496" s="23">
        <f t="shared" si="204"/>
        <v>251</v>
      </c>
      <c r="AQ496" s="392">
        <f t="shared" si="205"/>
        <v>0.92527651136991962</v>
      </c>
      <c r="AR496" s="392">
        <f t="shared" si="206"/>
        <v>0.99999807932588203</v>
      </c>
      <c r="AS496" s="392">
        <f t="shared" si="206"/>
        <v>1</v>
      </c>
    </row>
    <row r="497" spans="1:53">
      <c r="A497" s="12" t="s">
        <v>1565</v>
      </c>
      <c r="B497" s="54" t="str">
        <f t="shared" si="186"/>
        <v>AZ_Maric_2020g</v>
      </c>
      <c r="C497" s="12"/>
      <c r="D497" s="54" t="str">
        <f t="shared" si="187"/>
        <v>Gen-state rep dist-23 (vote for2)</v>
      </c>
      <c r="E497" s="54" t="s">
        <v>1878</v>
      </c>
      <c r="F497" s="12" t="s">
        <v>1296</v>
      </c>
      <c r="G497" s="59">
        <v>80264</v>
      </c>
      <c r="H497"/>
      <c r="K497" s="2"/>
      <c r="O497">
        <f t="shared" si="188"/>
        <v>2</v>
      </c>
      <c r="P497" s="57">
        <f t="shared" si="189"/>
        <v>2</v>
      </c>
      <c r="Q497" s="267">
        <f t="shared" si="190"/>
        <v>146433</v>
      </c>
      <c r="R497" s="23">
        <f t="shared" si="191"/>
        <v>80264</v>
      </c>
      <c r="S497" s="23">
        <f t="shared" si="192"/>
        <v>65257</v>
      </c>
      <c r="T497" s="23" t="str">
        <f t="shared" si="193"/>
        <v/>
      </c>
      <c r="U497" t="str">
        <f t="shared" si="194"/>
        <v/>
      </c>
      <c r="W497" s="1">
        <f t="shared" si="195"/>
        <v>81</v>
      </c>
      <c r="X497" s="73">
        <f t="shared" si="184"/>
        <v>33.913335435056744</v>
      </c>
      <c r="Y497" s="322">
        <f t="shared" si="196"/>
        <v>28732.428000000004</v>
      </c>
      <c r="Z497" s="43">
        <f t="shared" si="185"/>
        <v>0</v>
      </c>
      <c r="AA497" s="52">
        <f t="shared" si="197"/>
        <v>0</v>
      </c>
      <c r="AB497" s="8">
        <f t="shared" si="198"/>
        <v>12897.66</v>
      </c>
      <c r="AC497" s="8">
        <f t="shared" si="199"/>
        <v>1289766</v>
      </c>
      <c r="AD497" s="8">
        <f t="shared" si="203"/>
        <v>6448.83</v>
      </c>
      <c r="AE497" s="8" t="str">
        <f t="shared" si="200"/>
        <v/>
      </c>
      <c r="AF497" s="22" t="str">
        <f t="shared" si="201"/>
        <v>CA_Ventu_2020g</v>
      </c>
      <c r="AG497">
        <v>1</v>
      </c>
      <c r="AH497" s="272">
        <v>416412</v>
      </c>
      <c r="AI497" s="273">
        <v>246270</v>
      </c>
      <c r="AJ497" s="274">
        <v>170142</v>
      </c>
      <c r="AK497" s="339">
        <v>76128</v>
      </c>
      <c r="AL497" s="340" t="s">
        <v>4756</v>
      </c>
      <c r="AM497" s="353">
        <f t="shared" si="202"/>
        <v>5.902466028721489E-2</v>
      </c>
      <c r="AN497" s="354"/>
      <c r="AO497" s="356"/>
      <c r="AP497" s="23">
        <f t="shared" si="204"/>
        <v>266</v>
      </c>
      <c r="AQ497" s="392">
        <f t="shared" si="205"/>
        <v>0.93621937567519964</v>
      </c>
      <c r="AR497" s="392">
        <f t="shared" si="206"/>
        <v>0.99999914032342596</v>
      </c>
      <c r="AS497" s="392">
        <f t="shared" si="206"/>
        <v>1</v>
      </c>
    </row>
    <row r="498" spans="1:53">
      <c r="A498" s="12" t="s">
        <v>1565</v>
      </c>
      <c r="B498" s="54" t="str">
        <f t="shared" si="186"/>
        <v>AZ_Maric_2020g</v>
      </c>
      <c r="C498" s="12"/>
      <c r="D498" s="54" t="str">
        <f t="shared" si="187"/>
        <v>Gen-state rep dist-23 (vote for2)</v>
      </c>
      <c r="E498" s="54" t="s">
        <v>1880</v>
      </c>
      <c r="F498" s="12" t="s">
        <v>1294</v>
      </c>
      <c r="G498" s="59">
        <v>65257</v>
      </c>
      <c r="H498"/>
      <c r="K498" s="2"/>
      <c r="O498">
        <f t="shared" si="188"/>
        <v>3</v>
      </c>
      <c r="P498" s="57">
        <f t="shared" si="189"/>
        <v>2</v>
      </c>
      <c r="Q498" s="267">
        <f t="shared" si="190"/>
        <v>66169</v>
      </c>
      <c r="R498" s="23" t="str">
        <f t="shared" si="191"/>
        <v/>
      </c>
      <c r="S498" s="23">
        <f t="shared" si="192"/>
        <v>65257</v>
      </c>
      <c r="T498" s="23" t="str">
        <f t="shared" si="193"/>
        <v/>
      </c>
      <c r="U498" t="str">
        <f t="shared" si="194"/>
        <v/>
      </c>
      <c r="W498" s="1">
        <f t="shared" si="195"/>
        <v>82</v>
      </c>
      <c r="X498" s="73">
        <f t="shared" si="184"/>
        <v>31.119958486742942</v>
      </c>
      <c r="Y498" s="322">
        <f t="shared" si="196"/>
        <v>28031.664000000001</v>
      </c>
      <c r="Z498" s="43">
        <f t="shared" si="185"/>
        <v>0</v>
      </c>
      <c r="AA498" s="52">
        <f t="shared" si="197"/>
        <v>0</v>
      </c>
      <c r="AB498" s="8">
        <f t="shared" si="198"/>
        <v>12897.66</v>
      </c>
      <c r="AC498" s="8">
        <f t="shared" si="199"/>
        <v>1289766</v>
      </c>
      <c r="AD498" s="8">
        <f t="shared" si="203"/>
        <v>6448.83</v>
      </c>
      <c r="AE498" s="8" t="str">
        <f t="shared" si="200"/>
        <v/>
      </c>
      <c r="AF498" s="22" t="str">
        <f t="shared" si="201"/>
        <v>CA_Ventu_2020g</v>
      </c>
      <c r="AG498">
        <v>1</v>
      </c>
      <c r="AH498" s="272">
        <v>406256</v>
      </c>
      <c r="AI498" s="273">
        <v>243597</v>
      </c>
      <c r="AJ498" s="274">
        <v>162659</v>
      </c>
      <c r="AK498" s="339">
        <v>80938</v>
      </c>
      <c r="AL498" s="340" t="s">
        <v>4689</v>
      </c>
      <c r="AM498" s="353">
        <f t="shared" si="202"/>
        <v>6.2754018946072382E-2</v>
      </c>
      <c r="AN498" s="354"/>
      <c r="AP498" s="23">
        <f t="shared" si="204"/>
        <v>286</v>
      </c>
      <c r="AQ498" s="392">
        <f t="shared" si="205"/>
        <v>0.9483897187453374</v>
      </c>
      <c r="AR498" s="392">
        <f t="shared" si="206"/>
        <v>0.99999970658142978</v>
      </c>
      <c r="AS498" s="392">
        <f t="shared" si="206"/>
        <v>1</v>
      </c>
    </row>
    <row r="499" spans="1:53">
      <c r="A499" s="12" t="s">
        <v>1565</v>
      </c>
      <c r="B499" s="54" t="str">
        <f t="shared" si="186"/>
        <v>AZ_Maric_2020g</v>
      </c>
      <c r="C499" s="12"/>
      <c r="D499" s="54" t="str">
        <f t="shared" si="187"/>
        <v>Gen-state rep dist-23 (vote for2)</v>
      </c>
      <c r="E499" s="54" t="s">
        <v>1299</v>
      </c>
      <c r="G499" s="59">
        <v>456</v>
      </c>
      <c r="H499"/>
      <c r="K499" s="2"/>
      <c r="O499">
        <f t="shared" si="188"/>
        <v>-3</v>
      </c>
      <c r="P499" s="57">
        <f t="shared" si="189"/>
        <v>2</v>
      </c>
      <c r="Q499" s="267">
        <f t="shared" si="190"/>
        <v>912</v>
      </c>
      <c r="R499" s="23" t="str">
        <f t="shared" si="191"/>
        <v/>
      </c>
      <c r="S499" s="23">
        <f t="shared" si="192"/>
        <v>56</v>
      </c>
      <c r="T499" s="23" t="str">
        <f t="shared" si="193"/>
        <v/>
      </c>
      <c r="U499" t="str">
        <f t="shared" si="194"/>
        <v/>
      </c>
      <c r="W499" s="1">
        <f t="shared" si="195"/>
        <v>83</v>
      </c>
      <c r="X499" s="73">
        <f t="shared" si="184"/>
        <v>31.545145660991459</v>
      </c>
      <c r="Y499" s="322">
        <f t="shared" si="196"/>
        <v>28476.093000000001</v>
      </c>
      <c r="Z499" s="43">
        <f t="shared" si="185"/>
        <v>0</v>
      </c>
      <c r="AA499" s="52">
        <f t="shared" si="197"/>
        <v>0</v>
      </c>
      <c r="AB499" s="8">
        <f t="shared" si="198"/>
        <v>12897.66</v>
      </c>
      <c r="AC499" s="8">
        <f t="shared" si="199"/>
        <v>1289766</v>
      </c>
      <c r="AD499" s="8">
        <f t="shared" si="203"/>
        <v>6448.83</v>
      </c>
      <c r="AE499" s="8" t="str">
        <f t="shared" si="200"/>
        <v/>
      </c>
      <c r="AF499" s="22" t="str">
        <f t="shared" si="201"/>
        <v>CA_Ventu_2020g</v>
      </c>
      <c r="AG499">
        <v>1</v>
      </c>
      <c r="AH499" s="272">
        <v>412697</v>
      </c>
      <c r="AI499" s="273">
        <v>246905</v>
      </c>
      <c r="AJ499" s="274">
        <v>165792</v>
      </c>
      <c r="AK499" s="339">
        <v>81113</v>
      </c>
      <c r="AL499" s="340" t="s">
        <v>4682</v>
      </c>
      <c r="AM499" s="353">
        <f t="shared" si="202"/>
        <v>6.2889702473161793E-2</v>
      </c>
      <c r="AN499" s="354"/>
      <c r="AP499" s="23">
        <f t="shared" si="204"/>
        <v>287</v>
      </c>
      <c r="AQ499" s="392">
        <f t="shared" si="205"/>
        <v>0.94893413099485913</v>
      </c>
      <c r="AR499" s="392">
        <f t="shared" si="206"/>
        <v>0.99999972196185793</v>
      </c>
      <c r="AS499" s="392">
        <f t="shared" si="206"/>
        <v>1</v>
      </c>
    </row>
    <row r="500" spans="1:53">
      <c r="A500" s="12" t="s">
        <v>1565</v>
      </c>
      <c r="B500" s="54" t="str">
        <f t="shared" si="186"/>
        <v>AZ_Maric_2020g</v>
      </c>
      <c r="C500" s="12"/>
      <c r="D500" s="54" t="str">
        <f t="shared" si="187"/>
        <v>Gen-state rep dist-23 (vote for2)</v>
      </c>
      <c r="E500" s="54" t="s">
        <v>1825</v>
      </c>
      <c r="G500" s="59">
        <v>385</v>
      </c>
      <c r="H500"/>
      <c r="K500" s="2"/>
      <c r="O500">
        <f t="shared" si="188"/>
        <v>-3</v>
      </c>
      <c r="P500" s="57">
        <f t="shared" si="189"/>
        <v>2</v>
      </c>
      <c r="Q500" s="267">
        <f t="shared" si="190"/>
        <v>456</v>
      </c>
      <c r="R500" s="23" t="str">
        <f t="shared" si="191"/>
        <v/>
      </c>
      <c r="S500" s="23">
        <f t="shared" si="192"/>
        <v>56</v>
      </c>
      <c r="T500" s="23" t="str">
        <f t="shared" si="193"/>
        <v/>
      </c>
      <c r="U500" t="str">
        <f t="shared" si="194"/>
        <v/>
      </c>
      <c r="W500" s="1">
        <f t="shared" si="195"/>
        <v>84</v>
      </c>
      <c r="X500" s="73">
        <f t="shared" si="184"/>
        <v>29.395442975521693</v>
      </c>
      <c r="Y500" s="322">
        <f t="shared" si="196"/>
        <v>29174.925000000003</v>
      </c>
      <c r="Z500" s="43">
        <f t="shared" si="185"/>
        <v>0</v>
      </c>
      <c r="AA500" s="52">
        <f t="shared" si="197"/>
        <v>0</v>
      </c>
      <c r="AB500" s="8">
        <f t="shared" si="198"/>
        <v>12897.66</v>
      </c>
      <c r="AC500" s="8">
        <f t="shared" si="199"/>
        <v>1289766</v>
      </c>
      <c r="AD500" s="8">
        <f t="shared" si="203"/>
        <v>6448.83</v>
      </c>
      <c r="AE500" s="8" t="str">
        <f t="shared" si="200"/>
        <v/>
      </c>
      <c r="AF500" s="22" t="str">
        <f t="shared" si="201"/>
        <v>CA_Ventu_2020g</v>
      </c>
      <c r="AG500">
        <v>1</v>
      </c>
      <c r="AH500" s="272">
        <v>422825</v>
      </c>
      <c r="AI500" s="273">
        <v>251388</v>
      </c>
      <c r="AJ500" s="274">
        <v>162207</v>
      </c>
      <c r="AK500" s="339">
        <v>89181</v>
      </c>
      <c r="AL500" s="340" t="s">
        <v>4739</v>
      </c>
      <c r="AM500" s="353">
        <f t="shared" si="202"/>
        <v>6.9145100739203852E-2</v>
      </c>
      <c r="AN500" s="354"/>
      <c r="AP500" s="23">
        <f t="shared" si="204"/>
        <v>321</v>
      </c>
      <c r="AQ500" s="392">
        <f t="shared" si="205"/>
        <v>0.96442908750154521</v>
      </c>
      <c r="AR500" s="392">
        <f t="shared" si="206"/>
        <v>0.99999995566504818</v>
      </c>
      <c r="AS500" s="392">
        <f t="shared" si="206"/>
        <v>1</v>
      </c>
    </row>
    <row r="501" spans="1:53">
      <c r="A501" s="12" t="s">
        <v>1565</v>
      </c>
      <c r="B501" s="54" t="str">
        <f t="shared" si="186"/>
        <v>AZ_Maric_2020g</v>
      </c>
      <c r="C501" s="12"/>
      <c r="D501" s="54" t="str">
        <f t="shared" si="187"/>
        <v>Gen-state rep dist-23 (vote for2)</v>
      </c>
      <c r="E501" s="54" t="s">
        <v>1881</v>
      </c>
      <c r="G501" s="59">
        <v>56</v>
      </c>
      <c r="H501"/>
      <c r="K501" s="2"/>
      <c r="O501">
        <f t="shared" si="188"/>
        <v>4</v>
      </c>
      <c r="P501" s="57">
        <f t="shared" si="189"/>
        <v>2</v>
      </c>
      <c r="Q501" s="267">
        <f t="shared" si="190"/>
        <v>71</v>
      </c>
      <c r="R501" s="23" t="str">
        <f t="shared" si="191"/>
        <v/>
      </c>
      <c r="S501" s="23">
        <f t="shared" si="192"/>
        <v>56</v>
      </c>
      <c r="T501" s="23" t="str">
        <f t="shared" si="193"/>
        <v/>
      </c>
      <c r="U501" t="str">
        <f t="shared" si="194"/>
        <v/>
      </c>
      <c r="W501" s="1">
        <f t="shared" si="195"/>
        <v>85</v>
      </c>
      <c r="X501" s="73">
        <f t="shared" si="184"/>
        <v>25.906586413748379</v>
      </c>
      <c r="Y501" s="322">
        <f t="shared" si="196"/>
        <v>28453.254000000001</v>
      </c>
      <c r="Z501" s="43">
        <f t="shared" si="185"/>
        <v>0</v>
      </c>
      <c r="AA501" s="52">
        <f t="shared" si="197"/>
        <v>0</v>
      </c>
      <c r="AB501" s="8">
        <f t="shared" si="198"/>
        <v>12897.66</v>
      </c>
      <c r="AC501" s="8">
        <f t="shared" si="199"/>
        <v>1289766</v>
      </c>
      <c r="AD501" s="8">
        <f t="shared" si="203"/>
        <v>6448.83</v>
      </c>
      <c r="AE501" s="8" t="str">
        <f t="shared" si="200"/>
        <v/>
      </c>
      <c r="AF501" s="22" t="str">
        <f t="shared" si="201"/>
        <v>CA_Ventu_2020g</v>
      </c>
      <c r="AG501">
        <v>1</v>
      </c>
      <c r="AH501" s="272">
        <v>412366</v>
      </c>
      <c r="AI501" s="273">
        <v>255527</v>
      </c>
      <c r="AJ501" s="274">
        <v>156839</v>
      </c>
      <c r="AK501" s="339">
        <v>98688</v>
      </c>
      <c r="AL501" s="340" t="s">
        <v>4698</v>
      </c>
      <c r="AM501" s="353">
        <f t="shared" si="202"/>
        <v>7.6516205265141121E-2</v>
      </c>
      <c r="AN501" s="354"/>
      <c r="AO501" s="356"/>
      <c r="AP501" s="23">
        <f t="shared" si="204"/>
        <v>361</v>
      </c>
      <c r="AQ501" s="392">
        <f t="shared" si="205"/>
        <v>0.97681422204080126</v>
      </c>
      <c r="AR501" s="392">
        <f t="shared" si="206"/>
        <v>0.99999999495528458</v>
      </c>
      <c r="AS501" s="392">
        <f t="shared" si="206"/>
        <v>1</v>
      </c>
    </row>
    <row r="502" spans="1:53">
      <c r="A502" s="12" t="s">
        <v>1565</v>
      </c>
      <c r="B502" s="54" t="str">
        <f t="shared" si="186"/>
        <v>AZ_Maric_2020g</v>
      </c>
      <c r="C502" s="12"/>
      <c r="D502" s="54" t="str">
        <f t="shared" si="187"/>
        <v>Gen-state rep dist-23 (vote for2)</v>
      </c>
      <c r="E502" s="54" t="s">
        <v>1826</v>
      </c>
      <c r="G502" s="59">
        <v>15</v>
      </c>
      <c r="H502"/>
      <c r="K502" s="2"/>
      <c r="O502">
        <f t="shared" si="188"/>
        <v>-4</v>
      </c>
      <c r="P502" s="57">
        <f t="shared" si="189"/>
        <v>2</v>
      </c>
      <c r="Q502" s="267">
        <f t="shared" si="190"/>
        <v>15</v>
      </c>
      <c r="R502" s="23">
        <f t="shared" si="191"/>
        <v>1</v>
      </c>
      <c r="S502" s="23">
        <f t="shared" si="192"/>
        <v>0</v>
      </c>
      <c r="T502" s="23" t="str">
        <f t="shared" si="193"/>
        <v/>
      </c>
      <c r="U502" t="str">
        <f t="shared" si="194"/>
        <v/>
      </c>
      <c r="W502" s="1">
        <f t="shared" si="195"/>
        <v>86</v>
      </c>
      <c r="X502" s="73">
        <f t="shared" si="184"/>
        <v>24.024765577737448</v>
      </c>
      <c r="Y502" s="322">
        <f t="shared" si="196"/>
        <v>28285.86</v>
      </c>
      <c r="Z502" s="43">
        <f t="shared" si="185"/>
        <v>0</v>
      </c>
      <c r="AA502" s="52">
        <f t="shared" si="197"/>
        <v>0</v>
      </c>
      <c r="AB502" s="8">
        <f t="shared" si="198"/>
        <v>12897.66</v>
      </c>
      <c r="AC502" s="8">
        <f t="shared" si="199"/>
        <v>1289766</v>
      </c>
      <c r="AD502" s="8">
        <f t="shared" si="203"/>
        <v>6448.83</v>
      </c>
      <c r="AE502" s="8" t="str">
        <f t="shared" si="200"/>
        <v/>
      </c>
      <c r="AF502" s="22" t="str">
        <f t="shared" si="201"/>
        <v>CA_Ventu_2020g</v>
      </c>
      <c r="AG502">
        <v>1</v>
      </c>
      <c r="AH502" s="272">
        <v>409940</v>
      </c>
      <c r="AI502" s="273">
        <v>257866</v>
      </c>
      <c r="AJ502" s="274">
        <v>152074</v>
      </c>
      <c r="AK502" s="339">
        <v>105792</v>
      </c>
      <c r="AL502" s="340" t="s">
        <v>4741</v>
      </c>
      <c r="AM502" s="353">
        <f t="shared" si="202"/>
        <v>8.2024181130530657E-2</v>
      </c>
      <c r="AN502" s="354"/>
      <c r="AP502" s="23">
        <f t="shared" si="204"/>
        <v>391</v>
      </c>
      <c r="AQ502" s="392">
        <f t="shared" si="205"/>
        <v>0.98321160941872199</v>
      </c>
      <c r="AR502" s="392">
        <f t="shared" si="206"/>
        <v>0.99999999902115988</v>
      </c>
      <c r="AS502" s="392">
        <f t="shared" si="206"/>
        <v>1</v>
      </c>
    </row>
    <row r="503" spans="1:53">
      <c r="A503" s="12" t="s">
        <v>1567</v>
      </c>
      <c r="B503" s="54" t="str">
        <f t="shared" si="186"/>
        <v>AZ_Maric_2020g</v>
      </c>
      <c r="C503" s="12"/>
      <c r="D503" s="54" t="str">
        <f t="shared" si="187"/>
        <v>Gen-state rep dist-24 (vote for2)</v>
      </c>
      <c r="E503" s="54" t="s">
        <v>1887</v>
      </c>
      <c r="F503" s="12" t="s">
        <v>1294</v>
      </c>
      <c r="G503" s="59">
        <v>61639</v>
      </c>
      <c r="H503"/>
      <c r="K503" s="2"/>
      <c r="O503">
        <f t="shared" si="188"/>
        <v>1</v>
      </c>
      <c r="P503" s="57">
        <f t="shared" si="189"/>
        <v>2</v>
      </c>
      <c r="Q503" s="267">
        <f t="shared" si="190"/>
        <v>85844.5</v>
      </c>
      <c r="R503" s="23">
        <f t="shared" si="191"/>
        <v>60233</v>
      </c>
      <c r="S503" s="23">
        <f t="shared" si="192"/>
        <v>26099</v>
      </c>
      <c r="T503" s="23">
        <f t="shared" si="193"/>
        <v>34134</v>
      </c>
      <c r="U503" t="str">
        <f t="shared" si="194"/>
        <v>AZ_Maric_2020g~Gen-state rep dist-24 (vote for2)</v>
      </c>
      <c r="W503" s="1">
        <f t="shared" si="195"/>
        <v>87</v>
      </c>
      <c r="X503" s="73">
        <f t="shared" si="184"/>
        <v>19.64827830261255</v>
      </c>
      <c r="Y503" s="322">
        <f t="shared" si="196"/>
        <v>28423.998000000003</v>
      </c>
      <c r="Z503" s="43">
        <f t="shared" si="185"/>
        <v>0</v>
      </c>
      <c r="AA503" s="52">
        <f t="shared" si="197"/>
        <v>0</v>
      </c>
      <c r="AB503" s="8">
        <f t="shared" si="198"/>
        <v>12897.66</v>
      </c>
      <c r="AC503" s="8">
        <f t="shared" si="199"/>
        <v>1289766</v>
      </c>
      <c r="AD503" s="8">
        <f t="shared" si="203"/>
        <v>6448.83</v>
      </c>
      <c r="AE503" s="8" t="str">
        <f t="shared" si="200"/>
        <v/>
      </c>
      <c r="AF503" s="22" t="str">
        <f t="shared" si="201"/>
        <v>CA_Ventu_2020g</v>
      </c>
      <c r="AG503" s="23">
        <v>1</v>
      </c>
      <c r="AH503" s="8">
        <v>411942</v>
      </c>
      <c r="AI503" s="273">
        <v>270965</v>
      </c>
      <c r="AJ503" s="274">
        <v>140977</v>
      </c>
      <c r="AK503" s="339">
        <v>129988</v>
      </c>
      <c r="AL503" s="344" t="s">
        <v>4713</v>
      </c>
      <c r="AM503" s="353">
        <f t="shared" si="202"/>
        <v>0.10078417325313274</v>
      </c>
      <c r="AN503" s="354"/>
      <c r="AP503" s="23">
        <f t="shared" si="204"/>
        <v>492</v>
      </c>
      <c r="AQ503" s="392">
        <f t="shared" si="205"/>
        <v>0.99440533268010223</v>
      </c>
      <c r="AR503" s="392">
        <f t="shared" si="206"/>
        <v>0.99999999999631628</v>
      </c>
      <c r="AS503" s="392">
        <f t="shared" si="206"/>
        <v>1</v>
      </c>
    </row>
    <row r="504" spans="1:53">
      <c r="A504" s="12" t="s">
        <v>1567</v>
      </c>
      <c r="B504" s="54" t="str">
        <f t="shared" si="186"/>
        <v>AZ_Maric_2020g</v>
      </c>
      <c r="C504" s="12"/>
      <c r="D504" s="54" t="str">
        <f t="shared" si="187"/>
        <v>Gen-state rep dist-24 (vote for2)</v>
      </c>
      <c r="E504" s="54" t="s">
        <v>1886</v>
      </c>
      <c r="F504" s="12" t="s">
        <v>1294</v>
      </c>
      <c r="G504" s="59">
        <v>60233</v>
      </c>
      <c r="H504"/>
      <c r="K504" s="2"/>
      <c r="O504">
        <f t="shared" si="188"/>
        <v>2</v>
      </c>
      <c r="P504" s="57">
        <f t="shared" si="189"/>
        <v>2</v>
      </c>
      <c r="Q504" s="267">
        <f t="shared" si="190"/>
        <v>110050</v>
      </c>
      <c r="R504" s="23">
        <f t="shared" si="191"/>
        <v>60233</v>
      </c>
      <c r="S504" s="23">
        <f t="shared" si="192"/>
        <v>26099</v>
      </c>
      <c r="T504" s="23" t="str">
        <f t="shared" si="193"/>
        <v/>
      </c>
      <c r="U504" t="str">
        <f t="shared" si="194"/>
        <v/>
      </c>
      <c r="W504" s="1">
        <f t="shared" si="195"/>
        <v>1</v>
      </c>
      <c r="X504" s="73">
        <f t="shared" si="184"/>
        <v>59.043076923076924</v>
      </c>
      <c r="Y504" s="322">
        <f t="shared" si="196"/>
        <v>170.84400000000002</v>
      </c>
      <c r="Z504" s="43">
        <f t="shared" si="185"/>
        <v>68.366736536304671</v>
      </c>
      <c r="AA504" s="52">
        <f t="shared" si="197"/>
        <v>0.68366736536304673</v>
      </c>
      <c r="AB504" s="8">
        <f t="shared" si="198"/>
        <v>350</v>
      </c>
      <c r="AC504" s="8">
        <f t="shared" si="199"/>
        <v>239424.99999999997</v>
      </c>
      <c r="AD504" s="8">
        <f t="shared" si="203"/>
        <v>1197.1249999999998</v>
      </c>
      <c r="AE504" s="8" t="str">
        <f t="shared" si="200"/>
        <v/>
      </c>
      <c r="AF504" s="22" t="str">
        <f t="shared" si="201"/>
        <v>CO_Adams_2020g</v>
      </c>
      <c r="AG504">
        <v>1</v>
      </c>
      <c r="AH504" s="8">
        <v>2476</v>
      </c>
      <c r="AI504" s="273">
        <v>1368</v>
      </c>
      <c r="AJ504" s="274">
        <v>1108</v>
      </c>
      <c r="AK504" s="339">
        <v>260</v>
      </c>
      <c r="AL504" s="23" t="s">
        <v>5969</v>
      </c>
      <c r="AM504" s="353">
        <f t="shared" si="202"/>
        <v>1.0859350527305002E-3</v>
      </c>
      <c r="AP504" s="23">
        <f t="shared" si="204"/>
        <v>0</v>
      </c>
      <c r="AQ504" s="392">
        <f t="shared" si="205"/>
        <v>0</v>
      </c>
      <c r="AR504" s="392">
        <f t="shared" si="206"/>
        <v>0</v>
      </c>
      <c r="AS504" s="392">
        <f t="shared" si="206"/>
        <v>0</v>
      </c>
    </row>
    <row r="505" spans="1:53">
      <c r="A505" s="12" t="s">
        <v>1567</v>
      </c>
      <c r="B505" s="54" t="str">
        <f t="shared" si="186"/>
        <v>AZ_Maric_2020g</v>
      </c>
      <c r="C505" s="12"/>
      <c r="D505" s="54" t="str">
        <f t="shared" si="187"/>
        <v>Gen-state rep dist-24 (vote for2)</v>
      </c>
      <c r="E505" s="54" t="s">
        <v>1885</v>
      </c>
      <c r="F505" s="12" t="s">
        <v>1296</v>
      </c>
      <c r="G505" s="59">
        <v>26099</v>
      </c>
      <c r="H505"/>
      <c r="K505" s="2"/>
      <c r="O505">
        <f t="shared" si="188"/>
        <v>3</v>
      </c>
      <c r="P505" s="57">
        <f t="shared" si="189"/>
        <v>2</v>
      </c>
      <c r="Q505" s="267">
        <f t="shared" si="190"/>
        <v>49817</v>
      </c>
      <c r="R505" s="23" t="str">
        <f t="shared" si="191"/>
        <v/>
      </c>
      <c r="S505" s="23">
        <f t="shared" si="192"/>
        <v>26099</v>
      </c>
      <c r="T505" s="23" t="str">
        <f t="shared" si="193"/>
        <v/>
      </c>
      <c r="U505" t="str">
        <f t="shared" si="194"/>
        <v/>
      </c>
      <c r="W505" s="1">
        <f t="shared" si="195"/>
        <v>2</v>
      </c>
      <c r="X505" s="73">
        <f t="shared" si="184"/>
        <v>528.47619047619048</v>
      </c>
      <c r="Y505" s="322">
        <f t="shared" si="196"/>
        <v>1729.14</v>
      </c>
      <c r="Z505" s="43">
        <f t="shared" si="185"/>
        <v>65.048062324958508</v>
      </c>
      <c r="AA505" s="52">
        <f t="shared" si="197"/>
        <v>0.65048062324958511</v>
      </c>
      <c r="AB505" s="8">
        <f t="shared" si="198"/>
        <v>350</v>
      </c>
      <c r="AC505" s="8">
        <f t="shared" si="199"/>
        <v>239424.99999999997</v>
      </c>
      <c r="AD505" s="8">
        <f t="shared" si="203"/>
        <v>1197.1249999999998</v>
      </c>
      <c r="AE505" s="8" t="str">
        <f t="shared" si="200"/>
        <v/>
      </c>
      <c r="AF505" s="22" t="str">
        <f t="shared" si="201"/>
        <v>CO_Adams_2020g</v>
      </c>
      <c r="AG505">
        <v>1</v>
      </c>
      <c r="AH505" s="8">
        <v>25060</v>
      </c>
      <c r="AI505" s="273">
        <v>12677</v>
      </c>
      <c r="AJ505" s="274">
        <v>12383</v>
      </c>
      <c r="AK505" s="339">
        <v>294</v>
      </c>
      <c r="AL505" s="23" t="s">
        <v>5967</v>
      </c>
      <c r="AM505" s="353">
        <f t="shared" si="202"/>
        <v>1.2279419442414118E-3</v>
      </c>
      <c r="AP505" s="23">
        <f t="shared" si="204"/>
        <v>0</v>
      </c>
      <c r="AQ505" s="392">
        <f t="shared" si="205"/>
        <v>0</v>
      </c>
      <c r="AR505" s="392">
        <f t="shared" si="206"/>
        <v>0</v>
      </c>
      <c r="AS505" s="392">
        <f t="shared" si="206"/>
        <v>0</v>
      </c>
    </row>
    <row r="506" spans="1:53">
      <c r="A506" s="12" t="s">
        <v>1567</v>
      </c>
      <c r="B506" s="54" t="str">
        <f t="shared" si="186"/>
        <v>AZ_Maric_2020g</v>
      </c>
      <c r="C506" s="12"/>
      <c r="D506" s="54" t="str">
        <f t="shared" si="187"/>
        <v>Gen-state rep dist-24 (vote for2)</v>
      </c>
      <c r="E506" s="54" t="s">
        <v>1884</v>
      </c>
      <c r="F506" s="12" t="s">
        <v>1296</v>
      </c>
      <c r="G506" s="59">
        <v>23548</v>
      </c>
      <c r="H506"/>
      <c r="K506" s="2"/>
      <c r="O506">
        <f t="shared" si="188"/>
        <v>4</v>
      </c>
      <c r="P506" s="57">
        <f t="shared" si="189"/>
        <v>2</v>
      </c>
      <c r="Q506" s="267">
        <f t="shared" si="190"/>
        <v>23718</v>
      </c>
      <c r="R506" s="23" t="str">
        <f t="shared" si="191"/>
        <v/>
      </c>
      <c r="S506" s="23">
        <f t="shared" si="192"/>
        <v>23548</v>
      </c>
      <c r="T506" s="23" t="str">
        <f t="shared" si="193"/>
        <v/>
      </c>
      <c r="U506" t="str">
        <f t="shared" si="194"/>
        <v/>
      </c>
      <c r="W506" s="1">
        <f t="shared" si="195"/>
        <v>3</v>
      </c>
      <c r="X506" s="73">
        <f t="shared" si="184"/>
        <v>369.69079054604725</v>
      </c>
      <c r="Y506" s="322">
        <f t="shared" si="196"/>
        <v>5048.2470000000003</v>
      </c>
      <c r="Z506" s="43">
        <f t="shared" si="185"/>
        <v>16.558275323682086</v>
      </c>
      <c r="AA506" s="52">
        <f t="shared" si="197"/>
        <v>0.16558275323682087</v>
      </c>
      <c r="AB506" s="8">
        <f t="shared" si="198"/>
        <v>350</v>
      </c>
      <c r="AC506" s="8">
        <f t="shared" si="199"/>
        <v>239424.99999999997</v>
      </c>
      <c r="AD506" s="8">
        <f t="shared" si="203"/>
        <v>1197.1249999999998</v>
      </c>
      <c r="AE506" s="8" t="str">
        <f t="shared" si="200"/>
        <v/>
      </c>
      <c r="AF506" s="22" t="str">
        <f t="shared" si="201"/>
        <v>CO_Adams_2020g</v>
      </c>
      <c r="AG506">
        <v>1</v>
      </c>
      <c r="AH506" s="8">
        <v>73163</v>
      </c>
      <c r="AI506" s="273">
        <v>37195</v>
      </c>
      <c r="AJ506" s="274">
        <v>35968</v>
      </c>
      <c r="AK506" s="339">
        <v>1227</v>
      </c>
      <c r="AL506" s="23" t="s">
        <v>5678</v>
      </c>
      <c r="AM506" s="353">
        <f t="shared" si="202"/>
        <v>5.1247781142320144E-3</v>
      </c>
      <c r="AP506" s="23">
        <f t="shared" si="204"/>
        <v>0</v>
      </c>
      <c r="AQ506" s="392">
        <f t="shared" si="205"/>
        <v>0</v>
      </c>
      <c r="AR506" s="392">
        <f t="shared" si="206"/>
        <v>0</v>
      </c>
      <c r="AS506" s="392">
        <f t="shared" si="206"/>
        <v>0</v>
      </c>
    </row>
    <row r="507" spans="1:53">
      <c r="A507" s="12" t="s">
        <v>1567</v>
      </c>
      <c r="B507" s="54" t="str">
        <f t="shared" si="186"/>
        <v>AZ_Maric_2020g</v>
      </c>
      <c r="C507" s="12"/>
      <c r="D507" s="54" t="str">
        <f t="shared" si="187"/>
        <v>Gen-state rep dist-24 (vote for2)</v>
      </c>
      <c r="E507" s="54" t="s">
        <v>1299</v>
      </c>
      <c r="G507" s="59">
        <v>170</v>
      </c>
      <c r="H507"/>
      <c r="K507" s="2"/>
      <c r="O507">
        <f t="shared" si="188"/>
        <v>-4</v>
      </c>
      <c r="P507" s="57">
        <f t="shared" si="189"/>
        <v>2</v>
      </c>
      <c r="Q507" s="267">
        <f t="shared" si="190"/>
        <v>170</v>
      </c>
      <c r="R507" s="23">
        <f t="shared" si="191"/>
        <v>1</v>
      </c>
      <c r="S507" s="23">
        <f t="shared" si="192"/>
        <v>0</v>
      </c>
      <c r="T507" s="23" t="str">
        <f t="shared" si="193"/>
        <v/>
      </c>
      <c r="U507" t="str">
        <f t="shared" si="194"/>
        <v/>
      </c>
      <c r="W507" s="1">
        <f t="shared" si="195"/>
        <v>4</v>
      </c>
      <c r="X507" s="73">
        <f t="shared" si="184"/>
        <v>45.254612682566091</v>
      </c>
      <c r="Y507" s="322">
        <f t="shared" si="196"/>
        <v>2724.1890000000003</v>
      </c>
      <c r="Z507" s="43">
        <f t="shared" si="185"/>
        <v>3.3621685254484994E-2</v>
      </c>
      <c r="AA507" s="52">
        <f t="shared" si="197"/>
        <v>3.3621685254484995E-4</v>
      </c>
      <c r="AB507" s="8">
        <f t="shared" si="198"/>
        <v>350</v>
      </c>
      <c r="AC507" s="8">
        <f t="shared" si="199"/>
        <v>239424.99999999997</v>
      </c>
      <c r="AD507" s="8">
        <f t="shared" si="203"/>
        <v>1197.1249999999998</v>
      </c>
      <c r="AE507" s="8" t="str">
        <f t="shared" si="200"/>
        <v/>
      </c>
      <c r="AF507" s="22" t="str">
        <f t="shared" si="201"/>
        <v>CO_Adams_2020g</v>
      </c>
      <c r="AG507">
        <v>1</v>
      </c>
      <c r="AH507" s="8">
        <v>39481</v>
      </c>
      <c r="AI507" s="273">
        <v>22445</v>
      </c>
      <c r="AJ507" s="274">
        <v>17036</v>
      </c>
      <c r="AK507" s="339">
        <v>5409</v>
      </c>
      <c r="AL507" s="23" t="s">
        <v>5673</v>
      </c>
      <c r="AM507" s="353">
        <f t="shared" si="202"/>
        <v>2.2591625770074137E-2</v>
      </c>
      <c r="AP507" s="23">
        <f t="shared" si="204"/>
        <v>13</v>
      </c>
      <c r="AQ507" s="392">
        <f t="shared" si="205"/>
        <v>0.12335048492102574</v>
      </c>
      <c r="AR507" s="392">
        <f t="shared" si="206"/>
        <v>0.4893093223134688</v>
      </c>
      <c r="AS507" s="392">
        <f t="shared" si="206"/>
        <v>0.94636133211872497</v>
      </c>
    </row>
    <row r="508" spans="1:53">
      <c r="A508" s="12" t="s">
        <v>1569</v>
      </c>
      <c r="B508" s="54" t="str">
        <f t="shared" si="186"/>
        <v>AZ_Maric_2020g</v>
      </c>
      <c r="C508" s="12"/>
      <c r="D508" s="54" t="str">
        <f t="shared" si="187"/>
        <v>Gen-state rep dist-25 (vote for2)</v>
      </c>
      <c r="E508" s="54" t="s">
        <v>1891</v>
      </c>
      <c r="F508" s="12" t="s">
        <v>1296</v>
      </c>
      <c r="G508" s="59">
        <v>69049</v>
      </c>
      <c r="H508"/>
      <c r="K508" s="2"/>
      <c r="O508">
        <f t="shared" si="188"/>
        <v>1</v>
      </c>
      <c r="P508" s="57">
        <f t="shared" si="189"/>
        <v>2</v>
      </c>
      <c r="Q508" s="267">
        <f t="shared" si="190"/>
        <v>89528</v>
      </c>
      <c r="R508" s="23">
        <f t="shared" si="191"/>
        <v>63412</v>
      </c>
      <c r="S508" s="23">
        <f t="shared" si="192"/>
        <v>46180</v>
      </c>
      <c r="T508" s="23">
        <f t="shared" si="193"/>
        <v>17232</v>
      </c>
      <c r="U508" t="str">
        <f t="shared" si="194"/>
        <v>AZ_Maric_2020g~Gen-state rep dist-25 (vote for2)</v>
      </c>
      <c r="W508" s="1">
        <f t="shared" si="195"/>
        <v>5</v>
      </c>
      <c r="X508" s="73">
        <f t="shared" si="184"/>
        <v>35.580198341733052</v>
      </c>
      <c r="Y508" s="322">
        <f t="shared" si="196"/>
        <v>2435.6310000000003</v>
      </c>
      <c r="Z508" s="43">
        <f t="shared" si="185"/>
        <v>1.1063539654671333E-2</v>
      </c>
      <c r="AA508" s="52">
        <f t="shared" si="197"/>
        <v>1.1063539654671334E-4</v>
      </c>
      <c r="AB508" s="8">
        <f t="shared" si="198"/>
        <v>350</v>
      </c>
      <c r="AC508" s="8">
        <f t="shared" si="199"/>
        <v>239424.99999999997</v>
      </c>
      <c r="AD508" s="8">
        <f t="shared" si="203"/>
        <v>1197.1249999999998</v>
      </c>
      <c r="AE508" s="8" t="str">
        <f t="shared" si="200"/>
        <v/>
      </c>
      <c r="AF508" s="22" t="str">
        <f t="shared" si="201"/>
        <v>CO_Adams_2020g</v>
      </c>
      <c r="AG508">
        <v>1</v>
      </c>
      <c r="AH508" s="8">
        <v>35299</v>
      </c>
      <c r="AI508" s="273">
        <v>19845</v>
      </c>
      <c r="AJ508" s="274">
        <v>13694</v>
      </c>
      <c r="AK508" s="339">
        <v>6151</v>
      </c>
      <c r="AL508" s="23" t="s">
        <v>5675</v>
      </c>
      <c r="AM508" s="353">
        <f t="shared" si="202"/>
        <v>2.5690717343635799E-2</v>
      </c>
      <c r="AP508" s="23">
        <f t="shared" si="204"/>
        <v>16</v>
      </c>
      <c r="AQ508" s="392">
        <f t="shared" si="205"/>
        <v>0.14975822016501605</v>
      </c>
      <c r="AR508" s="392">
        <f t="shared" si="206"/>
        <v>0.56313934656741638</v>
      </c>
      <c r="AS508" s="392">
        <f t="shared" si="206"/>
        <v>0.97283193861342798</v>
      </c>
    </row>
    <row r="509" spans="1:53">
      <c r="A509" s="12" t="s">
        <v>1569</v>
      </c>
      <c r="B509" s="54" t="str">
        <f t="shared" si="186"/>
        <v>AZ_Maric_2020g</v>
      </c>
      <c r="C509" s="12"/>
      <c r="D509" s="54" t="str">
        <f t="shared" si="187"/>
        <v>Gen-state rep dist-25 (vote for2)</v>
      </c>
      <c r="E509" s="54" t="s">
        <v>1890</v>
      </c>
      <c r="F509" s="12" t="s">
        <v>1296</v>
      </c>
      <c r="G509" s="59">
        <v>63412</v>
      </c>
      <c r="H509"/>
      <c r="K509" s="2"/>
      <c r="O509">
        <f t="shared" si="188"/>
        <v>2</v>
      </c>
      <c r="P509" s="57">
        <f t="shared" si="189"/>
        <v>2</v>
      </c>
      <c r="Q509" s="267">
        <f t="shared" si="190"/>
        <v>110007</v>
      </c>
      <c r="R509" s="23">
        <f t="shared" si="191"/>
        <v>63412</v>
      </c>
      <c r="S509" s="23">
        <f t="shared" si="192"/>
        <v>46180</v>
      </c>
      <c r="T509" s="23" t="str">
        <f t="shared" si="193"/>
        <v/>
      </c>
      <c r="U509" t="str">
        <f t="shared" si="194"/>
        <v/>
      </c>
      <c r="W509" s="1">
        <f t="shared" si="195"/>
        <v>6</v>
      </c>
      <c r="X509" s="73">
        <f t="shared" si="184"/>
        <v>28.481375730045428</v>
      </c>
      <c r="Y509" s="322">
        <f t="shared" si="196"/>
        <v>2442.2550000000001</v>
      </c>
      <c r="Z509" s="43">
        <f t="shared" si="185"/>
        <v>1.0663709541624299E-3</v>
      </c>
      <c r="AA509" s="52">
        <f t="shared" si="197"/>
        <v>1.0663709541624299E-5</v>
      </c>
      <c r="AB509" s="8">
        <f t="shared" si="198"/>
        <v>350</v>
      </c>
      <c r="AC509" s="8">
        <f t="shared" si="199"/>
        <v>239424.99999999997</v>
      </c>
      <c r="AD509" s="8">
        <f t="shared" si="203"/>
        <v>1197.1249999999998</v>
      </c>
      <c r="AE509" s="8" t="str">
        <f t="shared" si="200"/>
        <v/>
      </c>
      <c r="AF509" s="22" t="str">
        <f t="shared" si="201"/>
        <v>CO_Adams_2020g</v>
      </c>
      <c r="AG509">
        <v>1</v>
      </c>
      <c r="AH509" s="8">
        <v>35395</v>
      </c>
      <c r="AI509" s="273">
        <v>20786</v>
      </c>
      <c r="AJ509" s="274">
        <v>13081</v>
      </c>
      <c r="AK509" s="339">
        <v>7705</v>
      </c>
      <c r="AL509" s="23" t="s">
        <v>5968</v>
      </c>
      <c r="AM509" s="353">
        <f t="shared" si="202"/>
        <v>3.2181267620340404E-2</v>
      </c>
      <c r="AP509" s="23">
        <f t="shared" si="204"/>
        <v>23</v>
      </c>
      <c r="AQ509" s="392">
        <f t="shared" si="205"/>
        <v>0.20856514826029648</v>
      </c>
      <c r="AR509" s="392">
        <f t="shared" si="206"/>
        <v>0.69701715462829039</v>
      </c>
      <c r="AS509" s="392">
        <f t="shared" si="206"/>
        <v>0.99448609909998265</v>
      </c>
    </row>
    <row r="510" spans="1:53">
      <c r="A510" s="12" t="s">
        <v>1569</v>
      </c>
      <c r="B510" s="54" t="str">
        <f t="shared" si="186"/>
        <v>AZ_Maric_2020g</v>
      </c>
      <c r="C510" s="12"/>
      <c r="D510" s="54" t="str">
        <f t="shared" si="187"/>
        <v>Gen-state rep dist-25 (vote for2)</v>
      </c>
      <c r="E510" s="54" t="s">
        <v>1892</v>
      </c>
      <c r="F510" s="12" t="s">
        <v>1294</v>
      </c>
      <c r="G510" s="59">
        <v>46180</v>
      </c>
      <c r="H510"/>
      <c r="K510" s="2"/>
      <c r="O510">
        <f t="shared" si="188"/>
        <v>3</v>
      </c>
      <c r="P510" s="57">
        <f t="shared" si="189"/>
        <v>2</v>
      </c>
      <c r="Q510" s="267">
        <f t="shared" si="190"/>
        <v>46595</v>
      </c>
      <c r="R510" s="23" t="str">
        <f t="shared" si="191"/>
        <v/>
      </c>
      <c r="S510" s="23">
        <f t="shared" si="192"/>
        <v>46180</v>
      </c>
      <c r="T510" s="23" t="str">
        <f t="shared" si="193"/>
        <v/>
      </c>
      <c r="U510" t="str">
        <f t="shared" si="194"/>
        <v/>
      </c>
      <c r="W510" s="1">
        <f t="shared" si="195"/>
        <v>7</v>
      </c>
      <c r="X510" s="73">
        <f t="shared" si="184"/>
        <v>18.653338547267573</v>
      </c>
      <c r="Y510" s="322">
        <f t="shared" si="196"/>
        <v>2123.4750000000004</v>
      </c>
      <c r="Z510" s="43">
        <f t="shared" si="185"/>
        <v>2.3074815616138826E-5</v>
      </c>
      <c r="AA510" s="52">
        <f t="shared" si="197"/>
        <v>2.3074815616138826E-7</v>
      </c>
      <c r="AB510" s="8">
        <f t="shared" si="198"/>
        <v>350</v>
      </c>
      <c r="AC510" s="8">
        <f t="shared" si="199"/>
        <v>239424.99999999997</v>
      </c>
      <c r="AD510" s="8">
        <f t="shared" si="203"/>
        <v>1197.1249999999998</v>
      </c>
      <c r="AE510" s="8" t="str">
        <f t="shared" si="200"/>
        <v/>
      </c>
      <c r="AF510" s="22" t="str">
        <f t="shared" si="201"/>
        <v>CO_Adams_2020g</v>
      </c>
      <c r="AG510">
        <v>1</v>
      </c>
      <c r="AH510" s="8">
        <v>30775</v>
      </c>
      <c r="AI510" s="273">
        <v>19597</v>
      </c>
      <c r="AJ510" s="274">
        <v>9368</v>
      </c>
      <c r="AK510" s="339">
        <v>10229</v>
      </c>
      <c r="AL510" s="23" t="s">
        <v>5674</v>
      </c>
      <c r="AM510" s="353">
        <f t="shared" si="202"/>
        <v>4.2723190978385721E-2</v>
      </c>
      <c r="AP510" s="23">
        <f t="shared" si="204"/>
        <v>33</v>
      </c>
      <c r="AQ510" s="392">
        <f t="shared" si="205"/>
        <v>0.2861242433938268</v>
      </c>
      <c r="AR510" s="392">
        <f t="shared" si="206"/>
        <v>0.82106825840096265</v>
      </c>
      <c r="AS510" s="392">
        <f t="shared" si="206"/>
        <v>0.99944544707705552</v>
      </c>
    </row>
    <row r="511" spans="1:53">
      <c r="A511" s="12" t="s">
        <v>1569</v>
      </c>
      <c r="B511" s="54" t="str">
        <f t="shared" si="186"/>
        <v>AZ_Maric_2020g</v>
      </c>
      <c r="C511" s="12"/>
      <c r="D511" s="54" t="str">
        <f t="shared" si="187"/>
        <v>Gen-state rep dist-25 (vote for2)</v>
      </c>
      <c r="E511" s="54" t="s">
        <v>1299</v>
      </c>
      <c r="G511" s="59">
        <v>415</v>
      </c>
      <c r="H511"/>
      <c r="K511" s="2"/>
      <c r="O511">
        <f t="shared" si="188"/>
        <v>-3</v>
      </c>
      <c r="P511" s="57">
        <f t="shared" si="189"/>
        <v>2</v>
      </c>
      <c r="Q511" s="267">
        <f t="shared" si="190"/>
        <v>415</v>
      </c>
      <c r="R511" s="23">
        <f t="shared" si="191"/>
        <v>1</v>
      </c>
      <c r="S511" s="23">
        <f t="shared" si="192"/>
        <v>0</v>
      </c>
      <c r="T511" s="23" t="str">
        <f t="shared" si="193"/>
        <v/>
      </c>
      <c r="U511" t="str">
        <f t="shared" si="194"/>
        <v/>
      </c>
      <c r="W511" s="1">
        <f t="shared" si="195"/>
        <v>8</v>
      </c>
      <c r="X511" s="73">
        <f t="shared" ref="X511:X574" si="207">IF(AK511=0,AH511,MIN(AH511,6.2/(AK511/AH511)))</f>
        <v>24.90533840869</v>
      </c>
      <c r="Y511" s="322">
        <f t="shared" si="196"/>
        <v>2985.4230000000002</v>
      </c>
      <c r="Z511" s="43">
        <f t="shared" ref="Z511:Z574" si="208">AA511*100</f>
        <v>1.0075288366257711E-5</v>
      </c>
      <c r="AA511" s="52">
        <f t="shared" si="197"/>
        <v>1.0075288366257711E-7</v>
      </c>
      <c r="AB511" s="8">
        <f t="shared" si="198"/>
        <v>350</v>
      </c>
      <c r="AC511" s="8">
        <f t="shared" si="199"/>
        <v>239424.99999999997</v>
      </c>
      <c r="AD511" s="8">
        <f t="shared" si="203"/>
        <v>1197.1249999999998</v>
      </c>
      <c r="AE511" s="8" t="str">
        <f t="shared" si="200"/>
        <v/>
      </c>
      <c r="AF511" s="22" t="str">
        <f t="shared" si="201"/>
        <v>CO_Adams_2020g</v>
      </c>
      <c r="AG511">
        <v>1</v>
      </c>
      <c r="AH511" s="8">
        <v>43267</v>
      </c>
      <c r="AI511" s="273">
        <v>27019</v>
      </c>
      <c r="AJ511" s="274">
        <v>16248</v>
      </c>
      <c r="AK511" s="339">
        <v>10771</v>
      </c>
      <c r="AL511" s="23" t="s">
        <v>5676</v>
      </c>
      <c r="AM511" s="353">
        <f t="shared" si="202"/>
        <v>4.4986947896000842E-2</v>
      </c>
      <c r="AP511" s="23">
        <f t="shared" si="204"/>
        <v>36</v>
      </c>
      <c r="AQ511" s="392">
        <f t="shared" si="205"/>
        <v>0.30799464781742869</v>
      </c>
      <c r="AR511" s="392">
        <f t="shared" si="206"/>
        <v>0.84735775447387574</v>
      </c>
      <c r="AS511" s="392">
        <f t="shared" si="206"/>
        <v>0.99972279007910037</v>
      </c>
      <c r="BA511" s="65"/>
    </row>
    <row r="512" spans="1:53">
      <c r="A512" s="12" t="s">
        <v>1571</v>
      </c>
      <c r="B512" s="54" t="str">
        <f t="shared" si="186"/>
        <v>AZ_Maric_2020g</v>
      </c>
      <c r="C512" s="12"/>
      <c r="D512" s="54" t="str">
        <f t="shared" si="187"/>
        <v>Gen-state rep dist-26 (vote for2)</v>
      </c>
      <c r="E512" s="54" t="s">
        <v>1897</v>
      </c>
      <c r="F512" s="12" t="s">
        <v>1294</v>
      </c>
      <c r="G512" s="59">
        <v>46266</v>
      </c>
      <c r="H512"/>
      <c r="K512" s="2"/>
      <c r="O512">
        <f t="shared" si="188"/>
        <v>1</v>
      </c>
      <c r="P512" s="57">
        <f t="shared" si="189"/>
        <v>2</v>
      </c>
      <c r="Q512" s="267">
        <f t="shared" si="190"/>
        <v>67757</v>
      </c>
      <c r="R512" s="23">
        <f t="shared" si="191"/>
        <v>44981</v>
      </c>
      <c r="S512" s="23">
        <f t="shared" si="192"/>
        <v>22316</v>
      </c>
      <c r="T512" s="23">
        <f t="shared" si="193"/>
        <v>22665</v>
      </c>
      <c r="U512" t="str">
        <f t="shared" si="194"/>
        <v>AZ_Maric_2020g~Gen-state rep dist-26 (vote for2)</v>
      </c>
      <c r="W512" s="1">
        <f t="shared" si="195"/>
        <v>9</v>
      </c>
      <c r="X512" s="73">
        <f t="shared" si="207"/>
        <v>13.896052082463902</v>
      </c>
      <c r="Y512" s="322">
        <f t="shared" si="196"/>
        <v>1852.8570000000002</v>
      </c>
      <c r="Z512" s="43">
        <f t="shared" si="208"/>
        <v>1.5730624691514071E-6</v>
      </c>
      <c r="AA512" s="52">
        <f t="shared" si="197"/>
        <v>1.5730624691514071E-8</v>
      </c>
      <c r="AB512" s="8">
        <f t="shared" si="198"/>
        <v>350</v>
      </c>
      <c r="AC512" s="8">
        <f t="shared" si="199"/>
        <v>239424.99999999997</v>
      </c>
      <c r="AD512" s="8">
        <f t="shared" si="203"/>
        <v>1197.1249999999998</v>
      </c>
      <c r="AE512" s="8" t="str">
        <f t="shared" si="200"/>
        <v/>
      </c>
      <c r="AF512" s="22" t="str">
        <f t="shared" si="201"/>
        <v>CO_Adams_2020g</v>
      </c>
      <c r="AG512">
        <v>1</v>
      </c>
      <c r="AH512" s="8">
        <v>26853</v>
      </c>
      <c r="AI512" s="273">
        <v>19417</v>
      </c>
      <c r="AJ512" s="274">
        <v>7436</v>
      </c>
      <c r="AK512" s="339">
        <v>11981</v>
      </c>
      <c r="AL512" s="23" t="s">
        <v>5672</v>
      </c>
      <c r="AM512" s="353">
        <f t="shared" si="202"/>
        <v>5.0040722564477398E-2</v>
      </c>
      <c r="AP512" s="23">
        <f t="shared" si="204"/>
        <v>41</v>
      </c>
      <c r="AQ512" s="392">
        <f t="shared" si="205"/>
        <v>0.34308477241300472</v>
      </c>
      <c r="AR512" s="392">
        <f t="shared" si="206"/>
        <v>0.88298383862829133</v>
      </c>
      <c r="AS512" s="392">
        <f t="shared" si="206"/>
        <v>0.99991311032126895</v>
      </c>
    </row>
    <row r="513" spans="1:45">
      <c r="A513" s="12" t="s">
        <v>1571</v>
      </c>
      <c r="B513" s="54" t="str">
        <f t="shared" si="186"/>
        <v>AZ_Maric_2020g</v>
      </c>
      <c r="C513" s="12"/>
      <c r="D513" s="54" t="str">
        <f t="shared" si="187"/>
        <v>Gen-state rep dist-26 (vote for2)</v>
      </c>
      <c r="E513" s="54" t="s">
        <v>1898</v>
      </c>
      <c r="F513" s="12" t="s">
        <v>1294</v>
      </c>
      <c r="G513" s="59">
        <v>44981</v>
      </c>
      <c r="H513"/>
      <c r="K513" s="2"/>
      <c r="O513">
        <f t="shared" si="188"/>
        <v>2</v>
      </c>
      <c r="P513" s="57">
        <f t="shared" si="189"/>
        <v>2</v>
      </c>
      <c r="Q513" s="267">
        <f t="shared" si="190"/>
        <v>89248</v>
      </c>
      <c r="R513" s="23">
        <f t="shared" si="191"/>
        <v>44981</v>
      </c>
      <c r="S513" s="23">
        <f t="shared" si="192"/>
        <v>22316</v>
      </c>
      <c r="T513" s="23" t="str">
        <f t="shared" si="193"/>
        <v/>
      </c>
      <c r="U513" t="str">
        <f t="shared" si="194"/>
        <v/>
      </c>
      <c r="W513" s="1">
        <f t="shared" si="195"/>
        <v>10</v>
      </c>
      <c r="X513" s="73">
        <f t="shared" si="207"/>
        <v>89.852257531365041</v>
      </c>
      <c r="Y513" s="322">
        <f t="shared" si="196"/>
        <v>13310.583000000001</v>
      </c>
      <c r="Z513" s="43">
        <f t="shared" si="208"/>
        <v>2.0196906362831524E-7</v>
      </c>
      <c r="AA513" s="52">
        <f t="shared" si="197"/>
        <v>2.0196906362831525E-9</v>
      </c>
      <c r="AB513" s="8">
        <f t="shared" si="198"/>
        <v>350</v>
      </c>
      <c r="AC513" s="8">
        <f t="shared" si="199"/>
        <v>239424.99999999997</v>
      </c>
      <c r="AD513" s="8">
        <f t="shared" si="203"/>
        <v>1197.1249999999998</v>
      </c>
      <c r="AE513" s="8" t="str">
        <f t="shared" si="200"/>
        <v/>
      </c>
      <c r="AF513" s="22" t="str">
        <f t="shared" si="201"/>
        <v>CO_Adams_2020g</v>
      </c>
      <c r="AG513">
        <v>1</v>
      </c>
      <c r="AH513" s="272">
        <v>192907</v>
      </c>
      <c r="AI513" s="273">
        <v>103109</v>
      </c>
      <c r="AJ513" s="274">
        <v>89798</v>
      </c>
      <c r="AK513" s="339">
        <v>13311</v>
      </c>
      <c r="AL513" s="340" t="s">
        <v>5665</v>
      </c>
      <c r="AM513" s="353">
        <f t="shared" si="202"/>
        <v>5.5595698026521881E-2</v>
      </c>
      <c r="AP513" s="23">
        <f t="shared" si="204"/>
        <v>46</v>
      </c>
      <c r="AQ513" s="392">
        <f t="shared" si="205"/>
        <v>0.3765368777425403</v>
      </c>
      <c r="AR513" s="392">
        <f t="shared" si="206"/>
        <v>0.91040098621277155</v>
      </c>
      <c r="AS513" s="392">
        <f t="shared" si="206"/>
        <v>0.99997291872188399</v>
      </c>
    </row>
    <row r="514" spans="1:45">
      <c r="A514" s="12" t="s">
        <v>1571</v>
      </c>
      <c r="B514" s="54" t="str">
        <f t="shared" ref="B514:B577" si="209">LEFT(A514,14)</f>
        <v>AZ_Maric_2020g</v>
      </c>
      <c r="C514" s="12"/>
      <c r="D514" s="54" t="str">
        <f t="shared" ref="D514:D577" si="210">MID(A514,16,99)</f>
        <v>Gen-state rep dist-26 (vote for2)</v>
      </c>
      <c r="E514" s="54" t="s">
        <v>1896</v>
      </c>
      <c r="F514" s="12" t="s">
        <v>1296</v>
      </c>
      <c r="G514" s="59">
        <v>22316</v>
      </c>
      <c r="H514"/>
      <c r="K514" s="2"/>
      <c r="O514">
        <f t="shared" ref="O514:O577" si="211">IF(OR(LOWER(LEFT(E514,8))="write-in",LOWER(LEFT(E514,8))="not qual"),IF(A514=A513,-ABS(O513),0),IF(A514=A513,ABS(O513)+1,1))</f>
        <v>3</v>
      </c>
      <c r="P514" s="57">
        <f t="shared" ref="P514:P577" si="212">1*LEFT(RIGHT(A514,2),1)</f>
        <v>2</v>
      </c>
      <c r="Q514" s="267">
        <f t="shared" ref="Q514:Q577" si="213">IF(A514&lt;&gt;A515,G514,IF(A514=A513,G514+Q515,MAX(G514,(G514+Q515)/P514)))</f>
        <v>44267</v>
      </c>
      <c r="R514" s="23" t="str">
        <f t="shared" ref="R514:R577" si="214">IF(O514&gt;P514,"",IF(O514=P514,G514,IF(A514=A515,R515,IF(O514&lt;=0,1,G514))))</f>
        <v/>
      </c>
      <c r="S514" s="23">
        <f t="shared" ref="S514:S577" si="215">IF(AND(O514&gt;P514,LOWER(LEFT(E514,8))&lt;&gt;"write-in",LOWER(LEFT(E514,8))&lt;&gt;"not qual"),G514,IF(A514=A515,S515,0))</f>
        <v>22316</v>
      </c>
      <c r="T514" s="23" t="str">
        <f t="shared" ref="T514:T577" si="216">IF(OR(A514=A513,S514=0),"",R514-ABS(S514))</f>
        <v/>
      </c>
      <c r="U514" t="str">
        <f t="shared" ref="U514:U577" si="217">IF(A514=A513,"",A514)</f>
        <v/>
      </c>
      <c r="W514" s="1">
        <f t="shared" ref="W514:W577" si="218">IF(AF514=AF513,W513+1,1)</f>
        <v>11</v>
      </c>
      <c r="X514" s="73">
        <f t="shared" si="207"/>
        <v>22.880944026260682</v>
      </c>
      <c r="Y514" s="322">
        <f t="shared" ref="Y514:Y577" si="219">MAX(X514,0.069*AH514)</f>
        <v>4499.2830000000004</v>
      </c>
      <c r="Z514" s="43">
        <f t="shared" si="208"/>
        <v>2.2236125220836963E-10</v>
      </c>
      <c r="AA514" s="52">
        <f t="shared" ref="AA514:AA577" si="220">(1-AK514/AC514)^AB514</f>
        <v>2.2236125220836963E-12</v>
      </c>
      <c r="AB514" s="8">
        <f t="shared" ref="AB514:AB577" si="221">INDEX(BA$2:BA$76,MATCH($AF514,$AU$2:$AU$76,0))+IF(AE514="",0,INDEX(BA$2:BA$76,AE514))</f>
        <v>350</v>
      </c>
      <c r="AC514" s="8">
        <f t="shared" ref="AC514:AC577" si="222">INDEX(AX$2:AX$76,MATCH(AF514,AU$2:AU$76,0))+IF(AE514="",0,INDEX(AX$2:AX$76,AE514))</f>
        <v>239424.99999999997</v>
      </c>
      <c r="AD514" s="8">
        <f t="shared" si="203"/>
        <v>1197.1249999999998</v>
      </c>
      <c r="AE514" s="8" t="str">
        <f t="shared" ref="AE514:AE577" si="223">IF(MID(AL514,16,2)&lt;&gt;"w/","",MATCH(CONCATENATE("CO_",MID(AL514,18,5),"_2020g"),AU$2:AU$76,0))</f>
        <v/>
      </c>
      <c r="AF514" s="22" t="str">
        <f t="shared" ref="AF514:AF577" si="224">LEFT(AL514,14)</f>
        <v>CO_Adams_2020g</v>
      </c>
      <c r="AG514">
        <v>1</v>
      </c>
      <c r="AH514" s="8">
        <v>65207</v>
      </c>
      <c r="AI514" s="273">
        <v>41438</v>
      </c>
      <c r="AJ514" s="274">
        <v>23769</v>
      </c>
      <c r="AK514" s="339">
        <v>17669</v>
      </c>
      <c r="AL514" s="23" t="s">
        <v>5677</v>
      </c>
      <c r="AM514" s="353">
        <f t="shared" ref="AM514:AM577" si="225">AK514/AC514</f>
        <v>7.379764017959696E-2</v>
      </c>
      <c r="AP514" s="23">
        <f t="shared" si="204"/>
        <v>65</v>
      </c>
      <c r="AQ514" s="392">
        <f t="shared" si="205"/>
        <v>0.4899142447415481</v>
      </c>
      <c r="AR514" s="392">
        <f t="shared" si="206"/>
        <v>0.96786676932088989</v>
      </c>
      <c r="AS514" s="392">
        <f t="shared" si="206"/>
        <v>0.9999996938881307</v>
      </c>
    </row>
    <row r="515" spans="1:45">
      <c r="A515" s="12" t="s">
        <v>1571</v>
      </c>
      <c r="B515" s="54" t="str">
        <f t="shared" si="209"/>
        <v>AZ_Maric_2020g</v>
      </c>
      <c r="C515" s="12"/>
      <c r="D515" s="54" t="str">
        <f t="shared" si="210"/>
        <v>Gen-state rep dist-26 (vote for2)</v>
      </c>
      <c r="E515" s="54" t="s">
        <v>1895</v>
      </c>
      <c r="F515" s="12" t="s">
        <v>1296</v>
      </c>
      <c r="G515" s="59">
        <v>21760</v>
      </c>
      <c r="H515"/>
      <c r="K515" s="2"/>
      <c r="O515">
        <f t="shared" si="211"/>
        <v>4</v>
      </c>
      <c r="P515" s="57">
        <f t="shared" si="212"/>
        <v>2</v>
      </c>
      <c r="Q515" s="267">
        <f t="shared" si="213"/>
        <v>21951</v>
      </c>
      <c r="R515" s="23" t="str">
        <f t="shared" si="214"/>
        <v/>
      </c>
      <c r="S515" s="23">
        <f t="shared" si="215"/>
        <v>21760</v>
      </c>
      <c r="T515" s="23" t="str">
        <f t="shared" si="216"/>
        <v/>
      </c>
      <c r="U515" t="str">
        <f t="shared" si="217"/>
        <v/>
      </c>
      <c r="W515" s="1">
        <f t="shared" si="218"/>
        <v>12</v>
      </c>
      <c r="X515" s="73">
        <f t="shared" si="207"/>
        <v>61.002377889179719</v>
      </c>
      <c r="Y515" s="322">
        <f t="shared" si="219"/>
        <v>15303.027000000002</v>
      </c>
      <c r="Z515" s="43">
        <f t="shared" si="208"/>
        <v>9.3391293908185805E-14</v>
      </c>
      <c r="AA515" s="52">
        <f t="shared" si="220"/>
        <v>9.3391293908185809E-16</v>
      </c>
      <c r="AB515" s="8">
        <f t="shared" si="221"/>
        <v>350</v>
      </c>
      <c r="AC515" s="8">
        <f t="shared" si="222"/>
        <v>239424.99999999997</v>
      </c>
      <c r="AD515" s="8">
        <f t="shared" ref="AD515:AD578" si="226">AC515/RIGHT(AD$1,4)</f>
        <v>1197.1249999999998</v>
      </c>
      <c r="AE515" s="8" t="str">
        <f t="shared" si="223"/>
        <v/>
      </c>
      <c r="AF515" s="22" t="str">
        <f t="shared" si="224"/>
        <v>CO_Adams_2020g</v>
      </c>
      <c r="AG515">
        <v>1</v>
      </c>
      <c r="AH515" s="272">
        <v>221783</v>
      </c>
      <c r="AI515" s="273">
        <v>122162</v>
      </c>
      <c r="AJ515" s="274">
        <v>99621</v>
      </c>
      <c r="AK515" s="339">
        <v>22541</v>
      </c>
      <c r="AL515" s="340" t="s">
        <v>5664</v>
      </c>
      <c r="AM515" s="353">
        <f t="shared" si="225"/>
        <v>9.414639239845464E-2</v>
      </c>
      <c r="AP515" s="23">
        <f t="shared" si="204"/>
        <v>85</v>
      </c>
      <c r="AQ515" s="392">
        <f t="shared" si="205"/>
        <v>0.58858040780370824</v>
      </c>
      <c r="AR515" s="392">
        <f t="shared" si="206"/>
        <v>0.98928991634743813</v>
      </c>
      <c r="AS515" s="392">
        <f t="shared" si="206"/>
        <v>0.99999999750898327</v>
      </c>
    </row>
    <row r="516" spans="1:45">
      <c r="A516" s="12" t="s">
        <v>1571</v>
      </c>
      <c r="B516" s="54" t="str">
        <f t="shared" si="209"/>
        <v>AZ_Maric_2020g</v>
      </c>
      <c r="C516" s="12"/>
      <c r="D516" s="54" t="str">
        <f t="shared" si="210"/>
        <v>Gen-state rep dist-26 (vote for2)</v>
      </c>
      <c r="E516" s="54" t="s">
        <v>1299</v>
      </c>
      <c r="G516" s="59">
        <v>191</v>
      </c>
      <c r="H516"/>
      <c r="K516" s="2"/>
      <c r="O516">
        <f t="shared" si="211"/>
        <v>-4</v>
      </c>
      <c r="P516" s="57">
        <f t="shared" si="212"/>
        <v>2</v>
      </c>
      <c r="Q516" s="267">
        <f t="shared" si="213"/>
        <v>191</v>
      </c>
      <c r="R516" s="23">
        <f t="shared" si="214"/>
        <v>1</v>
      </c>
      <c r="S516" s="23">
        <f t="shared" si="215"/>
        <v>0</v>
      </c>
      <c r="T516" s="23" t="str">
        <f t="shared" si="216"/>
        <v/>
      </c>
      <c r="U516" t="str">
        <f t="shared" si="217"/>
        <v/>
      </c>
      <c r="W516" s="1">
        <f t="shared" si="218"/>
        <v>13</v>
      </c>
      <c r="X516" s="73">
        <f t="shared" si="207"/>
        <v>43.160413037281046</v>
      </c>
      <c r="Y516" s="322">
        <f t="shared" si="219"/>
        <v>15164.613000000001</v>
      </c>
      <c r="Z516" s="43">
        <f t="shared" si="208"/>
        <v>3.2070939306773462E-20</v>
      </c>
      <c r="AA516" s="52">
        <f t="shared" si="220"/>
        <v>3.2070939306773462E-22</v>
      </c>
      <c r="AB516" s="8">
        <f t="shared" si="221"/>
        <v>350</v>
      </c>
      <c r="AC516" s="8">
        <f t="shared" si="222"/>
        <v>239424.99999999997</v>
      </c>
      <c r="AD516" s="8">
        <f t="shared" si="226"/>
        <v>1197.1249999999998</v>
      </c>
      <c r="AE516" s="8" t="str">
        <f t="shared" si="223"/>
        <v/>
      </c>
      <c r="AF516" s="22" t="str">
        <f t="shared" si="224"/>
        <v>CO_Adams_2020g</v>
      </c>
      <c r="AG516">
        <v>1</v>
      </c>
      <c r="AH516" s="272">
        <v>219777</v>
      </c>
      <c r="AI516" s="273">
        <v>125674</v>
      </c>
      <c r="AJ516" s="274">
        <v>94103</v>
      </c>
      <c r="AK516" s="339">
        <v>31571</v>
      </c>
      <c r="AL516" s="340" t="s">
        <v>5661</v>
      </c>
      <c r="AM516" s="353">
        <f t="shared" si="225"/>
        <v>0.13186175211444087</v>
      </c>
      <c r="AP516" s="23">
        <f t="shared" si="204"/>
        <v>123</v>
      </c>
      <c r="AQ516" s="392">
        <f t="shared" si="205"/>
        <v>0.72950425857299117</v>
      </c>
      <c r="AR516" s="392">
        <f t="shared" si="206"/>
        <v>0.99874576749307709</v>
      </c>
      <c r="AS516" s="392">
        <f t="shared" si="206"/>
        <v>0.9999999999997975</v>
      </c>
    </row>
    <row r="517" spans="1:45">
      <c r="A517" s="12" t="s">
        <v>1573</v>
      </c>
      <c r="B517" s="54" t="str">
        <f t="shared" si="209"/>
        <v>AZ_Maric_2020g</v>
      </c>
      <c r="C517" s="12"/>
      <c r="D517" s="54" t="str">
        <f t="shared" si="210"/>
        <v>Gen-state rep dist-27 (vote for2)</v>
      </c>
      <c r="E517" s="54" t="s">
        <v>1903</v>
      </c>
      <c r="F517" s="12" t="s">
        <v>1294</v>
      </c>
      <c r="G517" s="59">
        <v>48039</v>
      </c>
      <c r="H517"/>
      <c r="K517" s="2"/>
      <c r="O517">
        <f t="shared" si="211"/>
        <v>1</v>
      </c>
      <c r="P517" s="57">
        <f t="shared" si="212"/>
        <v>2</v>
      </c>
      <c r="Q517" s="267">
        <f t="shared" si="213"/>
        <v>55974</v>
      </c>
      <c r="R517" s="23">
        <f t="shared" si="214"/>
        <v>43334</v>
      </c>
      <c r="S517" s="23">
        <f t="shared" si="215"/>
        <v>20236</v>
      </c>
      <c r="T517" s="23">
        <f t="shared" si="216"/>
        <v>23098</v>
      </c>
      <c r="U517" t="str">
        <f t="shared" si="217"/>
        <v>AZ_Maric_2020g~Gen-state rep dist-27 (vote for2)</v>
      </c>
      <c r="W517" s="1">
        <f t="shared" si="218"/>
        <v>14</v>
      </c>
      <c r="X517" s="73">
        <f t="shared" si="207"/>
        <v>33.568458288297144</v>
      </c>
      <c r="Y517" s="322">
        <f t="shared" si="219"/>
        <v>15207.876000000002</v>
      </c>
      <c r="Z517" s="43">
        <f t="shared" si="208"/>
        <v>4.7090585678797814E-27</v>
      </c>
      <c r="AA517" s="52">
        <f t="shared" si="220"/>
        <v>4.7090585678797813E-29</v>
      </c>
      <c r="AB517" s="8">
        <f t="shared" si="221"/>
        <v>350</v>
      </c>
      <c r="AC517" s="8">
        <f t="shared" si="222"/>
        <v>239424.99999999997</v>
      </c>
      <c r="AD517" s="8">
        <f t="shared" si="226"/>
        <v>1197.1249999999998</v>
      </c>
      <c r="AE517" s="8" t="str">
        <f t="shared" si="223"/>
        <v/>
      </c>
      <c r="AF517" s="22" t="str">
        <f t="shared" si="224"/>
        <v>CO_Adams_2020g</v>
      </c>
      <c r="AG517">
        <v>1</v>
      </c>
      <c r="AH517" s="272">
        <v>220404</v>
      </c>
      <c r="AI517" s="273">
        <v>130556</v>
      </c>
      <c r="AJ517" s="274">
        <v>89848</v>
      </c>
      <c r="AK517" s="339">
        <v>40708</v>
      </c>
      <c r="AL517" s="340" t="s">
        <v>5658</v>
      </c>
      <c r="AM517" s="353">
        <f t="shared" si="225"/>
        <v>0.17002401587135849</v>
      </c>
      <c r="AP517" s="23">
        <f t="shared" si="204"/>
        <v>161</v>
      </c>
      <c r="AQ517" s="392">
        <f t="shared" si="205"/>
        <v>0.82483794785415476</v>
      </c>
      <c r="AR517" s="392">
        <f t="shared" si="206"/>
        <v>0.99986434917209299</v>
      </c>
      <c r="AS517" s="392">
        <f t="shared" si="206"/>
        <v>1</v>
      </c>
    </row>
    <row r="518" spans="1:45">
      <c r="A518" s="12" t="s">
        <v>1573</v>
      </c>
      <c r="B518" s="54" t="str">
        <f t="shared" si="209"/>
        <v>AZ_Maric_2020g</v>
      </c>
      <c r="C518" s="12"/>
      <c r="D518" s="54" t="str">
        <f t="shared" si="210"/>
        <v>Gen-state rep dist-27 (vote for2)</v>
      </c>
      <c r="E518" s="54" t="s">
        <v>1902</v>
      </c>
      <c r="F518" s="12" t="s">
        <v>1294</v>
      </c>
      <c r="G518" s="59">
        <v>43334</v>
      </c>
      <c r="H518"/>
      <c r="K518" s="2"/>
      <c r="O518">
        <f t="shared" si="211"/>
        <v>2</v>
      </c>
      <c r="P518" s="57">
        <f t="shared" si="212"/>
        <v>2</v>
      </c>
      <c r="Q518" s="267">
        <f t="shared" si="213"/>
        <v>63909</v>
      </c>
      <c r="R518" s="23">
        <f t="shared" si="214"/>
        <v>43334</v>
      </c>
      <c r="S518" s="23">
        <f t="shared" si="215"/>
        <v>20236</v>
      </c>
      <c r="T518" s="23" t="str">
        <f t="shared" si="216"/>
        <v/>
      </c>
      <c r="U518" t="str">
        <f t="shared" si="217"/>
        <v/>
      </c>
      <c r="W518" s="1">
        <f t="shared" si="218"/>
        <v>15</v>
      </c>
      <c r="X518" s="73">
        <f t="shared" si="207"/>
        <v>32.92286931138441</v>
      </c>
      <c r="Y518" s="322">
        <f t="shared" si="219"/>
        <v>15313.308000000001</v>
      </c>
      <c r="Z518" s="43">
        <f t="shared" si="208"/>
        <v>6.9175167713552155E-28</v>
      </c>
      <c r="AA518" s="52">
        <f t="shared" si="220"/>
        <v>6.9175167713552153E-30</v>
      </c>
      <c r="AB518" s="8">
        <f t="shared" si="221"/>
        <v>350</v>
      </c>
      <c r="AC518" s="8">
        <f t="shared" si="222"/>
        <v>239424.99999999997</v>
      </c>
      <c r="AD518" s="8">
        <f t="shared" si="226"/>
        <v>1197.1249999999998</v>
      </c>
      <c r="AE518" s="8" t="str">
        <f t="shared" si="223"/>
        <v/>
      </c>
      <c r="AF518" s="22" t="str">
        <f t="shared" si="224"/>
        <v>CO_Adams_2020g</v>
      </c>
      <c r="AG518">
        <v>1</v>
      </c>
      <c r="AH518" s="272">
        <v>221932</v>
      </c>
      <c r="AI518" s="273">
        <v>131863</v>
      </c>
      <c r="AJ518" s="274">
        <v>90069</v>
      </c>
      <c r="AK518" s="339">
        <v>41794</v>
      </c>
      <c r="AL518" s="340" t="s">
        <v>5659</v>
      </c>
      <c r="AM518" s="353">
        <f t="shared" si="225"/>
        <v>0.17455988305314818</v>
      </c>
      <c r="AP518" s="23">
        <f t="shared" si="204"/>
        <v>166</v>
      </c>
      <c r="AQ518" s="392">
        <f t="shared" si="205"/>
        <v>0.83476891227955963</v>
      </c>
      <c r="AR518" s="392">
        <f t="shared" si="206"/>
        <v>0.99989939622404589</v>
      </c>
      <c r="AS518" s="392">
        <f t="shared" si="206"/>
        <v>1</v>
      </c>
    </row>
    <row r="519" spans="1:45">
      <c r="A519" s="12" t="s">
        <v>1573</v>
      </c>
      <c r="B519" s="54" t="str">
        <f t="shared" si="209"/>
        <v>AZ_Maric_2020g</v>
      </c>
      <c r="C519" s="12"/>
      <c r="D519" s="54" t="str">
        <f t="shared" si="210"/>
        <v>Gen-state rep dist-27 (vote for2)</v>
      </c>
      <c r="E519" s="54" t="s">
        <v>1901</v>
      </c>
      <c r="F519" s="12" t="s">
        <v>1296</v>
      </c>
      <c r="G519" s="59">
        <v>20236</v>
      </c>
      <c r="H519"/>
      <c r="K519" s="2"/>
      <c r="O519">
        <f t="shared" si="211"/>
        <v>3</v>
      </c>
      <c r="P519" s="57">
        <f t="shared" si="212"/>
        <v>2</v>
      </c>
      <c r="Q519" s="267">
        <f t="shared" si="213"/>
        <v>20575</v>
      </c>
      <c r="R519" s="23" t="str">
        <f t="shared" si="214"/>
        <v/>
      </c>
      <c r="S519" s="23">
        <f t="shared" si="215"/>
        <v>20236</v>
      </c>
      <c r="T519" s="23" t="str">
        <f t="shared" si="216"/>
        <v/>
      </c>
      <c r="U519" t="str">
        <f t="shared" si="217"/>
        <v/>
      </c>
      <c r="W519" s="1">
        <f t="shared" si="218"/>
        <v>16</v>
      </c>
      <c r="X519" s="73">
        <f t="shared" si="207"/>
        <v>17.764888030421922</v>
      </c>
      <c r="Y519" s="322">
        <f t="shared" si="219"/>
        <v>13101.582</v>
      </c>
      <c r="Z519" s="43">
        <f t="shared" si="208"/>
        <v>5.5551384665048095E-48</v>
      </c>
      <c r="AA519" s="52">
        <f t="shared" si="220"/>
        <v>5.5551384665048095E-50</v>
      </c>
      <c r="AB519" s="8">
        <f t="shared" si="221"/>
        <v>350</v>
      </c>
      <c r="AC519" s="8">
        <f t="shared" si="222"/>
        <v>239424.99999999997</v>
      </c>
      <c r="AD519" s="8">
        <f t="shared" si="226"/>
        <v>1197.1249999999998</v>
      </c>
      <c r="AE519" s="8" t="str">
        <f t="shared" si="223"/>
        <v/>
      </c>
      <c r="AF519" s="22" t="str">
        <f t="shared" si="224"/>
        <v>CO_Adams_2020g</v>
      </c>
      <c r="AG519">
        <v>1</v>
      </c>
      <c r="AH519" s="8">
        <v>189878</v>
      </c>
      <c r="AI519" s="273">
        <v>128073</v>
      </c>
      <c r="AJ519" s="274">
        <v>61805</v>
      </c>
      <c r="AK519" s="339">
        <v>66268</v>
      </c>
      <c r="AL519" s="23" t="s">
        <v>5671</v>
      </c>
      <c r="AM519" s="353">
        <f t="shared" si="225"/>
        <v>0.27677978490132615</v>
      </c>
      <c r="AP519" s="23">
        <f t="shared" si="204"/>
        <v>269</v>
      </c>
      <c r="AQ519" s="392">
        <f t="shared" si="205"/>
        <v>0.953606907650418</v>
      </c>
      <c r="AR519" s="392">
        <f t="shared" si="206"/>
        <v>0.99999985082468146</v>
      </c>
      <c r="AS519" s="392">
        <f t="shared" si="206"/>
        <v>1</v>
      </c>
    </row>
    <row r="520" spans="1:45">
      <c r="A520" s="12" t="s">
        <v>1573</v>
      </c>
      <c r="B520" s="54" t="str">
        <f t="shared" si="209"/>
        <v>AZ_Maric_2020g</v>
      </c>
      <c r="C520" s="12"/>
      <c r="D520" s="54" t="str">
        <f t="shared" si="210"/>
        <v>Gen-state rep dist-27 (vote for2)</v>
      </c>
      <c r="E520" s="54" t="s">
        <v>1299</v>
      </c>
      <c r="G520" s="59">
        <v>339</v>
      </c>
      <c r="H520"/>
      <c r="K520" s="2"/>
      <c r="O520">
        <f t="shared" si="211"/>
        <v>-3</v>
      </c>
      <c r="P520" s="57">
        <f t="shared" si="212"/>
        <v>2</v>
      </c>
      <c r="Q520" s="267">
        <f t="shared" si="213"/>
        <v>339</v>
      </c>
      <c r="R520" s="23">
        <f t="shared" si="214"/>
        <v>1</v>
      </c>
      <c r="S520" s="23">
        <f t="shared" si="215"/>
        <v>0</v>
      </c>
      <c r="T520" s="23" t="str">
        <f t="shared" si="216"/>
        <v/>
      </c>
      <c r="U520" t="str">
        <f t="shared" si="217"/>
        <v/>
      </c>
      <c r="W520" s="1">
        <f t="shared" si="218"/>
        <v>17</v>
      </c>
      <c r="X520" s="73">
        <f t="shared" si="207"/>
        <v>15.560571856562817</v>
      </c>
      <c r="Y520" s="322">
        <f t="shared" si="219"/>
        <v>13179.069000000001</v>
      </c>
      <c r="Z520" s="43">
        <f t="shared" si="208"/>
        <v>7.1831958599047059E-57</v>
      </c>
      <c r="AA520" s="52">
        <f t="shared" si="220"/>
        <v>7.1831958599047058E-59</v>
      </c>
      <c r="AB520" s="8">
        <f t="shared" si="221"/>
        <v>350</v>
      </c>
      <c r="AC520" s="8">
        <f t="shared" si="222"/>
        <v>239424.99999999997</v>
      </c>
      <c r="AD520" s="8">
        <f t="shared" si="226"/>
        <v>1197.1249999999998</v>
      </c>
      <c r="AE520" s="8" t="str">
        <f t="shared" si="223"/>
        <v/>
      </c>
      <c r="AF520" s="22" t="str">
        <f t="shared" si="224"/>
        <v>CO_Adams_2020g</v>
      </c>
      <c r="AG520">
        <v>1</v>
      </c>
      <c r="AH520" s="8">
        <v>191001</v>
      </c>
      <c r="AI520" s="273">
        <v>133552</v>
      </c>
      <c r="AJ520" s="274">
        <v>57449</v>
      </c>
      <c r="AK520" s="339">
        <v>76103</v>
      </c>
      <c r="AL520" s="23" t="s">
        <v>5670</v>
      </c>
      <c r="AM520" s="353">
        <f t="shared" si="225"/>
        <v>0.31785736660749719</v>
      </c>
      <c r="AP520" s="23">
        <f t="shared" si="204"/>
        <v>310</v>
      </c>
      <c r="AQ520" s="392">
        <f t="shared" si="205"/>
        <v>0.97311431228426926</v>
      </c>
      <c r="AR520" s="392">
        <f t="shared" si="206"/>
        <v>0.99999999095964365</v>
      </c>
      <c r="AS520" s="392">
        <f t="shared" si="206"/>
        <v>1</v>
      </c>
    </row>
    <row r="521" spans="1:45">
      <c r="A521" s="12" t="s">
        <v>1575</v>
      </c>
      <c r="B521" s="54" t="str">
        <f t="shared" si="209"/>
        <v>AZ_Maric_2020g</v>
      </c>
      <c r="C521" s="12"/>
      <c r="D521" s="54" t="str">
        <f t="shared" si="210"/>
        <v>Gen-state rep dist-28 (vote for2)</v>
      </c>
      <c r="E521" s="54" t="s">
        <v>1908</v>
      </c>
      <c r="F521" s="12" t="s">
        <v>1294</v>
      </c>
      <c r="G521" s="59">
        <v>60871</v>
      </c>
      <c r="H521"/>
      <c r="K521" s="2"/>
      <c r="O521">
        <f t="shared" si="211"/>
        <v>1</v>
      </c>
      <c r="P521" s="57">
        <f t="shared" si="212"/>
        <v>2</v>
      </c>
      <c r="Q521" s="267">
        <f t="shared" si="213"/>
        <v>110465</v>
      </c>
      <c r="R521" s="23">
        <f t="shared" si="214"/>
        <v>57760</v>
      </c>
      <c r="S521" s="23">
        <f t="shared" si="215"/>
        <v>52839</v>
      </c>
      <c r="T521" s="23">
        <f t="shared" si="216"/>
        <v>4921</v>
      </c>
      <c r="U521" t="str">
        <f t="shared" si="217"/>
        <v>AZ_Maric_2020g~Gen-state rep dist-28 (vote for2)</v>
      </c>
      <c r="W521" s="1">
        <f t="shared" si="218"/>
        <v>18</v>
      </c>
      <c r="X521" s="73">
        <f t="shared" si="207"/>
        <v>14.946182998086114</v>
      </c>
      <c r="Y521" s="322">
        <f t="shared" si="219"/>
        <v>13123.455000000002</v>
      </c>
      <c r="Z521" s="43">
        <f t="shared" si="208"/>
        <v>1.7118061549972425E-59</v>
      </c>
      <c r="AA521" s="52">
        <f t="shared" si="220"/>
        <v>1.7118061549972427E-61</v>
      </c>
      <c r="AB521" s="8">
        <f t="shared" si="221"/>
        <v>350</v>
      </c>
      <c r="AC521" s="8">
        <f t="shared" si="222"/>
        <v>239424.99999999997</v>
      </c>
      <c r="AD521" s="8">
        <f t="shared" si="226"/>
        <v>1197.1249999999998</v>
      </c>
      <c r="AE521" s="8" t="str">
        <f t="shared" si="223"/>
        <v/>
      </c>
      <c r="AF521" s="22" t="str">
        <f t="shared" si="224"/>
        <v>CO_Adams_2020g</v>
      </c>
      <c r="AG521">
        <v>1</v>
      </c>
      <c r="AH521" s="272">
        <v>190195</v>
      </c>
      <c r="AI521" s="273">
        <v>134546</v>
      </c>
      <c r="AJ521" s="274">
        <v>55649</v>
      </c>
      <c r="AK521" s="339">
        <v>78897</v>
      </c>
      <c r="AL521" s="340" t="s">
        <v>5668</v>
      </c>
      <c r="AM521" s="353">
        <f t="shared" si="225"/>
        <v>0.32952699175107031</v>
      </c>
      <c r="AP521" s="23">
        <f t="shared" si="204"/>
        <v>322</v>
      </c>
      <c r="AQ521" s="392">
        <f t="shared" si="205"/>
        <v>0.97719199625292408</v>
      </c>
      <c r="AR521" s="392">
        <f t="shared" si="206"/>
        <v>0.99999999612026091</v>
      </c>
      <c r="AS521" s="392">
        <f t="shared" si="206"/>
        <v>1</v>
      </c>
    </row>
    <row r="522" spans="1:45">
      <c r="A522" s="12" t="s">
        <v>1575</v>
      </c>
      <c r="B522" s="54" t="str">
        <f t="shared" si="209"/>
        <v>AZ_Maric_2020g</v>
      </c>
      <c r="C522" s="12"/>
      <c r="D522" s="54" t="str">
        <f t="shared" si="210"/>
        <v>Gen-state rep dist-28 (vote for2)</v>
      </c>
      <c r="E522" s="54" t="s">
        <v>1909</v>
      </c>
      <c r="F522" s="12" t="s">
        <v>1294</v>
      </c>
      <c r="G522" s="59">
        <v>57760</v>
      </c>
      <c r="H522"/>
      <c r="K522" s="2"/>
      <c r="O522">
        <f t="shared" si="211"/>
        <v>2</v>
      </c>
      <c r="P522" s="57">
        <f t="shared" si="212"/>
        <v>2</v>
      </c>
      <c r="Q522" s="267">
        <f t="shared" si="213"/>
        <v>160059</v>
      </c>
      <c r="R522" s="23">
        <f t="shared" si="214"/>
        <v>57760</v>
      </c>
      <c r="S522" s="23">
        <f t="shared" si="215"/>
        <v>52839</v>
      </c>
      <c r="T522" s="23" t="str">
        <f t="shared" si="216"/>
        <v/>
      </c>
      <c r="U522" t="str">
        <f t="shared" si="217"/>
        <v/>
      </c>
      <c r="W522" s="1">
        <f t="shared" si="218"/>
        <v>19</v>
      </c>
      <c r="X522" s="73">
        <f t="shared" si="207"/>
        <v>14.681660899653981</v>
      </c>
      <c r="Y522" s="322">
        <f t="shared" si="219"/>
        <v>13174.515000000001</v>
      </c>
      <c r="Z522" s="43">
        <f t="shared" si="208"/>
        <v>3.824788299858388E-61</v>
      </c>
      <c r="AA522" s="52">
        <f t="shared" si="220"/>
        <v>3.8247882998583881E-63</v>
      </c>
      <c r="AB522" s="8">
        <f t="shared" si="221"/>
        <v>350</v>
      </c>
      <c r="AC522" s="8">
        <f t="shared" si="222"/>
        <v>239424.99999999997</v>
      </c>
      <c r="AD522" s="8">
        <f t="shared" si="226"/>
        <v>1197.1249999999998</v>
      </c>
      <c r="AE522" s="8" t="str">
        <f t="shared" si="223"/>
        <v/>
      </c>
      <c r="AF522" s="22" t="str">
        <f t="shared" si="224"/>
        <v>CO_Adams_2020g</v>
      </c>
      <c r="AG522">
        <v>1</v>
      </c>
      <c r="AH522" s="272">
        <v>190935</v>
      </c>
      <c r="AI522" s="273">
        <v>135783</v>
      </c>
      <c r="AJ522" s="274">
        <v>55152</v>
      </c>
      <c r="AK522" s="339">
        <v>80631</v>
      </c>
      <c r="AL522" s="340" t="s">
        <v>5666</v>
      </c>
      <c r="AM522" s="353">
        <f t="shared" si="225"/>
        <v>0.33676934321812679</v>
      </c>
      <c r="AP522" s="23">
        <f t="shared" si="204"/>
        <v>329</v>
      </c>
      <c r="AQ522" s="392">
        <f t="shared" si="205"/>
        <v>0.9793004542442828</v>
      </c>
      <c r="AR522" s="392">
        <f t="shared" si="206"/>
        <v>0.99999999764452718</v>
      </c>
      <c r="AS522" s="392">
        <f t="shared" si="206"/>
        <v>1</v>
      </c>
    </row>
    <row r="523" spans="1:45">
      <c r="A523" s="12" t="s">
        <v>1575</v>
      </c>
      <c r="B523" s="54" t="str">
        <f t="shared" si="209"/>
        <v>AZ_Maric_2020g</v>
      </c>
      <c r="C523" s="12"/>
      <c r="D523" s="54" t="str">
        <f t="shared" si="210"/>
        <v>Gen-state rep dist-28 (vote for2)</v>
      </c>
      <c r="E523" s="54" t="s">
        <v>1907</v>
      </c>
      <c r="F523" s="12" t="s">
        <v>1296</v>
      </c>
      <c r="G523" s="59">
        <v>52839</v>
      </c>
      <c r="H523"/>
      <c r="K523" s="2"/>
      <c r="O523">
        <f t="shared" si="211"/>
        <v>3</v>
      </c>
      <c r="P523" s="57">
        <f t="shared" si="212"/>
        <v>2</v>
      </c>
      <c r="Q523" s="267">
        <f t="shared" si="213"/>
        <v>102299</v>
      </c>
      <c r="R523" s="23" t="str">
        <f t="shared" si="214"/>
        <v/>
      </c>
      <c r="S523" s="23">
        <f t="shared" si="215"/>
        <v>52839</v>
      </c>
      <c r="T523" s="23" t="str">
        <f t="shared" si="216"/>
        <v/>
      </c>
      <c r="U523" t="str">
        <f t="shared" si="217"/>
        <v/>
      </c>
      <c r="W523" s="1">
        <f t="shared" si="218"/>
        <v>20</v>
      </c>
      <c r="X523" s="73">
        <f t="shared" si="207"/>
        <v>14.828786923412718</v>
      </c>
      <c r="Y523" s="322">
        <f t="shared" si="219"/>
        <v>13609.698</v>
      </c>
      <c r="Z523" s="43">
        <f t="shared" si="208"/>
        <v>6.5150476309395546E-63</v>
      </c>
      <c r="AA523" s="52">
        <f t="shared" si="220"/>
        <v>6.5150476309395545E-65</v>
      </c>
      <c r="AB523" s="8">
        <f t="shared" si="221"/>
        <v>350</v>
      </c>
      <c r="AC523" s="8">
        <f t="shared" si="222"/>
        <v>239424.99999999997</v>
      </c>
      <c r="AD523" s="8">
        <f t="shared" si="226"/>
        <v>1197.1249999999998</v>
      </c>
      <c r="AE523" s="8" t="str">
        <f t="shared" si="223"/>
        <v/>
      </c>
      <c r="AF523" s="22" t="str">
        <f t="shared" si="224"/>
        <v>CO_Adams_2020g</v>
      </c>
      <c r="AG523">
        <v>1</v>
      </c>
      <c r="AH523" s="272">
        <v>197242</v>
      </c>
      <c r="AI523" s="273">
        <v>139855</v>
      </c>
      <c r="AJ523" s="274">
        <v>57387</v>
      </c>
      <c r="AK523" s="339">
        <v>82468</v>
      </c>
      <c r="AL523" s="340" t="s">
        <v>5660</v>
      </c>
      <c r="AM523" s="353">
        <f t="shared" si="225"/>
        <v>0.34444189203299574</v>
      </c>
      <c r="AP523" s="23">
        <f t="shared" si="204"/>
        <v>337</v>
      </c>
      <c r="AQ523" s="392">
        <f t="shared" si="205"/>
        <v>0.9814904615425778</v>
      </c>
      <c r="AR523" s="392">
        <f t="shared" si="206"/>
        <v>0.99999999867515643</v>
      </c>
      <c r="AS523" s="392">
        <f t="shared" si="206"/>
        <v>1</v>
      </c>
    </row>
    <row r="524" spans="1:45">
      <c r="A524" s="12" t="s">
        <v>1575</v>
      </c>
      <c r="B524" s="54" t="str">
        <f t="shared" si="209"/>
        <v>AZ_Maric_2020g</v>
      </c>
      <c r="C524" s="12"/>
      <c r="D524" s="54" t="str">
        <f t="shared" si="210"/>
        <v>Gen-state rep dist-28 (vote for2)</v>
      </c>
      <c r="E524" s="54" t="s">
        <v>1906</v>
      </c>
      <c r="F524" s="12" t="s">
        <v>1296</v>
      </c>
      <c r="G524" s="59">
        <v>49306</v>
      </c>
      <c r="H524"/>
      <c r="K524" s="2"/>
      <c r="O524">
        <f t="shared" si="211"/>
        <v>4</v>
      </c>
      <c r="P524" s="57">
        <f t="shared" si="212"/>
        <v>2</v>
      </c>
      <c r="Q524" s="267">
        <f t="shared" si="213"/>
        <v>49460</v>
      </c>
      <c r="R524" s="23" t="str">
        <f t="shared" si="214"/>
        <v/>
      </c>
      <c r="S524" s="23">
        <f t="shared" si="215"/>
        <v>49306</v>
      </c>
      <c r="T524" s="23" t="str">
        <f t="shared" si="216"/>
        <v/>
      </c>
      <c r="U524" t="str">
        <f t="shared" si="217"/>
        <v/>
      </c>
      <c r="W524" s="1">
        <f t="shared" si="218"/>
        <v>21</v>
      </c>
      <c r="X524" s="73">
        <f t="shared" si="207"/>
        <v>14.272598086870943</v>
      </c>
      <c r="Y524" s="322">
        <f t="shared" si="219"/>
        <v>13234.407000000001</v>
      </c>
      <c r="Z524" s="43">
        <f t="shared" si="208"/>
        <v>9.717059320586459E-64</v>
      </c>
      <c r="AA524" s="52">
        <f t="shared" si="220"/>
        <v>9.7170593205864589E-66</v>
      </c>
      <c r="AB524" s="8">
        <f t="shared" si="221"/>
        <v>350</v>
      </c>
      <c r="AC524" s="8">
        <f t="shared" si="222"/>
        <v>239424.99999999997</v>
      </c>
      <c r="AD524" s="8">
        <f t="shared" si="226"/>
        <v>1197.1249999999998</v>
      </c>
      <c r="AE524" s="8" t="str">
        <f t="shared" si="223"/>
        <v/>
      </c>
      <c r="AF524" s="22" t="str">
        <f t="shared" si="224"/>
        <v>CO_Adams_2020g</v>
      </c>
      <c r="AG524">
        <v>1</v>
      </c>
      <c r="AH524" s="272">
        <v>191803</v>
      </c>
      <c r="AI524" s="273">
        <v>137561</v>
      </c>
      <c r="AJ524" s="274">
        <v>54242</v>
      </c>
      <c r="AK524" s="339">
        <v>83319</v>
      </c>
      <c r="AL524" s="340" t="s">
        <v>5662</v>
      </c>
      <c r="AM524" s="353">
        <f t="shared" si="225"/>
        <v>0.3479962409940483</v>
      </c>
      <c r="AP524" s="23">
        <f t="shared" si="204"/>
        <v>341</v>
      </c>
      <c r="AQ524" s="392">
        <f t="shared" si="205"/>
        <v>0.98250386184717775</v>
      </c>
      <c r="AR524" s="392">
        <f t="shared" si="206"/>
        <v>0.9999999990084768</v>
      </c>
      <c r="AS524" s="392">
        <f t="shared" si="206"/>
        <v>1</v>
      </c>
    </row>
    <row r="525" spans="1:45">
      <c r="A525" s="12" t="s">
        <v>1575</v>
      </c>
      <c r="B525" s="54" t="str">
        <f t="shared" si="209"/>
        <v>AZ_Maric_2020g</v>
      </c>
      <c r="C525" s="12"/>
      <c r="D525" s="54" t="str">
        <f t="shared" si="210"/>
        <v>Gen-state rep dist-28 (vote for2)</v>
      </c>
      <c r="E525" s="54" t="s">
        <v>1299</v>
      </c>
      <c r="G525" s="59">
        <v>154</v>
      </c>
      <c r="H525"/>
      <c r="K525" s="2"/>
      <c r="O525">
        <f t="shared" si="211"/>
        <v>-4</v>
      </c>
      <c r="P525" s="57">
        <f t="shared" si="212"/>
        <v>2</v>
      </c>
      <c r="Q525" s="267">
        <f t="shared" si="213"/>
        <v>154</v>
      </c>
      <c r="R525" s="23">
        <f t="shared" si="214"/>
        <v>1</v>
      </c>
      <c r="S525" s="23">
        <f t="shared" si="215"/>
        <v>0</v>
      </c>
      <c r="T525" s="23" t="str">
        <f t="shared" si="216"/>
        <v/>
      </c>
      <c r="U525" t="str">
        <f t="shared" si="217"/>
        <v/>
      </c>
      <c r="W525" s="1">
        <f t="shared" si="218"/>
        <v>22</v>
      </c>
      <c r="X525" s="73">
        <f t="shared" si="207"/>
        <v>13.934588224179873</v>
      </c>
      <c r="Y525" s="322">
        <f t="shared" si="219"/>
        <v>13132.356000000002</v>
      </c>
      <c r="Z525" s="43">
        <f t="shared" si="208"/>
        <v>4.5136788945024209E-65</v>
      </c>
      <c r="AA525" s="52">
        <f t="shared" si="220"/>
        <v>4.513678894502421E-67</v>
      </c>
      <c r="AB525" s="8">
        <f t="shared" si="221"/>
        <v>350</v>
      </c>
      <c r="AC525" s="8">
        <f t="shared" si="222"/>
        <v>239424.99999999997</v>
      </c>
      <c r="AD525" s="8">
        <f t="shared" si="226"/>
        <v>1197.1249999999998</v>
      </c>
      <c r="AE525" s="8" t="str">
        <f t="shared" si="223"/>
        <v/>
      </c>
      <c r="AF525" s="22" t="str">
        <f t="shared" si="224"/>
        <v>CO_Adams_2020g</v>
      </c>
      <c r="AG525">
        <v>1</v>
      </c>
      <c r="AH525" s="272">
        <v>190324</v>
      </c>
      <c r="AI525" s="273">
        <v>137503</v>
      </c>
      <c r="AJ525" s="274">
        <v>52821</v>
      </c>
      <c r="AK525" s="339">
        <v>84682</v>
      </c>
      <c r="AL525" s="340" t="s">
        <v>5667</v>
      </c>
      <c r="AM525" s="353">
        <f t="shared" si="225"/>
        <v>0.35368904667432394</v>
      </c>
      <c r="AP525" s="23">
        <f t="shared" ref="AP525:AP588" si="227">MIN(AD525, MAX(0,ROUNDUP(AD525*(0.5*AK525/AC525-0.005)/(RIGHT(AP$1,3)-0.005),0)))</f>
        <v>346</v>
      </c>
      <c r="AQ525" s="392">
        <f t="shared" si="205"/>
        <v>0.98369903864256092</v>
      </c>
      <c r="AR525" s="392">
        <f t="shared" si="206"/>
        <v>0.99999999931116446</v>
      </c>
      <c r="AS525" s="392">
        <f t="shared" si="206"/>
        <v>1</v>
      </c>
    </row>
    <row r="526" spans="1:45">
      <c r="A526" s="12" t="s">
        <v>1577</v>
      </c>
      <c r="B526" s="54" t="str">
        <f t="shared" si="209"/>
        <v>AZ_Maric_2020g</v>
      </c>
      <c r="C526" s="12"/>
      <c r="D526" s="54" t="str">
        <f t="shared" si="210"/>
        <v>Gen-state rep dist-29 (vote for2)</v>
      </c>
      <c r="E526" s="54" t="s">
        <v>1916</v>
      </c>
      <c r="F526" s="12" t="s">
        <v>1294</v>
      </c>
      <c r="G526" s="59">
        <v>38818</v>
      </c>
      <c r="H526"/>
      <c r="K526" s="2"/>
      <c r="O526">
        <f t="shared" si="211"/>
        <v>1</v>
      </c>
      <c r="P526" s="57">
        <f t="shared" si="212"/>
        <v>2</v>
      </c>
      <c r="Q526" s="267">
        <f t="shared" si="213"/>
        <v>51112</v>
      </c>
      <c r="R526" s="23">
        <f t="shared" si="214"/>
        <v>32075</v>
      </c>
      <c r="S526" s="23">
        <f t="shared" si="215"/>
        <v>15811</v>
      </c>
      <c r="T526" s="23">
        <f t="shared" si="216"/>
        <v>16264</v>
      </c>
      <c r="U526" t="str">
        <f t="shared" si="217"/>
        <v>AZ_Maric_2020g~Gen-state rep dist-29 (vote for2)</v>
      </c>
      <c r="W526" s="1">
        <f t="shared" si="218"/>
        <v>23</v>
      </c>
      <c r="X526" s="73">
        <f t="shared" si="207"/>
        <v>13.322145258455359</v>
      </c>
      <c r="Y526" s="322">
        <f t="shared" si="219"/>
        <v>13142.292000000001</v>
      </c>
      <c r="Z526" s="43">
        <f t="shared" si="208"/>
        <v>5.176179330586251E-69</v>
      </c>
      <c r="AA526" s="52">
        <f t="shared" si="220"/>
        <v>5.1761793305862509E-71</v>
      </c>
      <c r="AB526" s="8">
        <f t="shared" si="221"/>
        <v>350</v>
      </c>
      <c r="AC526" s="8">
        <f t="shared" si="222"/>
        <v>239424.99999999997</v>
      </c>
      <c r="AD526" s="8">
        <f t="shared" si="226"/>
        <v>1197.1249999999998</v>
      </c>
      <c r="AE526" s="8" t="str">
        <f t="shared" si="223"/>
        <v/>
      </c>
      <c r="AF526" s="22" t="str">
        <f t="shared" si="224"/>
        <v>CO_Adams_2020g</v>
      </c>
      <c r="AG526">
        <v>1</v>
      </c>
      <c r="AH526" s="272">
        <v>190468</v>
      </c>
      <c r="AI526" s="273">
        <v>139555</v>
      </c>
      <c r="AJ526" s="274">
        <v>50913</v>
      </c>
      <c r="AK526" s="339">
        <v>88642</v>
      </c>
      <c r="AL526" s="340" t="s">
        <v>5669</v>
      </c>
      <c r="AM526" s="353">
        <f t="shared" si="225"/>
        <v>0.3702286728620654</v>
      </c>
      <c r="AP526" s="23">
        <f t="shared" si="227"/>
        <v>363</v>
      </c>
      <c r="AQ526" s="392">
        <f t="shared" si="205"/>
        <v>0.9872250788915109</v>
      </c>
      <c r="AR526" s="392">
        <f t="shared" si="206"/>
        <v>0.99999999980367438</v>
      </c>
      <c r="AS526" s="392">
        <f t="shared" si="206"/>
        <v>1</v>
      </c>
    </row>
    <row r="527" spans="1:45">
      <c r="A527" s="12" t="s">
        <v>1577</v>
      </c>
      <c r="B527" s="54" t="str">
        <f t="shared" si="209"/>
        <v>AZ_Maric_2020g</v>
      </c>
      <c r="C527" s="12"/>
      <c r="D527" s="54" t="str">
        <f t="shared" si="210"/>
        <v>Gen-state rep dist-29 (vote for2)</v>
      </c>
      <c r="E527" s="54" t="s">
        <v>1915</v>
      </c>
      <c r="F527" s="12" t="s">
        <v>1294</v>
      </c>
      <c r="G527" s="59">
        <v>32075</v>
      </c>
      <c r="H527"/>
      <c r="K527" s="2"/>
      <c r="O527">
        <f t="shared" si="211"/>
        <v>2</v>
      </c>
      <c r="P527" s="57">
        <f t="shared" si="212"/>
        <v>2</v>
      </c>
      <c r="Q527" s="267">
        <f t="shared" si="213"/>
        <v>63406</v>
      </c>
      <c r="R527" s="23">
        <f t="shared" si="214"/>
        <v>32075</v>
      </c>
      <c r="S527" s="23">
        <f t="shared" si="215"/>
        <v>15811</v>
      </c>
      <c r="T527" s="23" t="str">
        <f t="shared" si="216"/>
        <v/>
      </c>
      <c r="U527" t="str">
        <f t="shared" si="217"/>
        <v/>
      </c>
      <c r="W527" s="1">
        <f t="shared" si="218"/>
        <v>24</v>
      </c>
      <c r="X527" s="73">
        <f t="shared" si="207"/>
        <v>13.013412427767848</v>
      </c>
      <c r="Y527" s="322">
        <f t="shared" si="219"/>
        <v>13208.049000000001</v>
      </c>
      <c r="Z527" s="43">
        <f t="shared" si="208"/>
        <v>1.3008059328182673E-71</v>
      </c>
      <c r="AA527" s="52">
        <f t="shared" si="220"/>
        <v>1.3008059328182673E-73</v>
      </c>
      <c r="AB527" s="8">
        <f t="shared" si="221"/>
        <v>350</v>
      </c>
      <c r="AC527" s="8">
        <f t="shared" si="222"/>
        <v>239424.99999999997</v>
      </c>
      <c r="AD527" s="8">
        <f t="shared" si="226"/>
        <v>1197.1249999999998</v>
      </c>
      <c r="AE527" s="8" t="str">
        <f t="shared" si="223"/>
        <v/>
      </c>
      <c r="AF527" s="22" t="str">
        <f t="shared" si="224"/>
        <v>CO_Adams_2020g</v>
      </c>
      <c r="AG527">
        <v>1</v>
      </c>
      <c r="AH527" s="272">
        <v>191421</v>
      </c>
      <c r="AI527" s="273">
        <v>141310</v>
      </c>
      <c r="AJ527" s="274">
        <v>50111</v>
      </c>
      <c r="AK527" s="339">
        <v>91199</v>
      </c>
      <c r="AL527" s="340" t="s">
        <v>5663</v>
      </c>
      <c r="AM527" s="353">
        <f t="shared" si="225"/>
        <v>0.38090842643834188</v>
      </c>
      <c r="AP527" s="23">
        <f t="shared" si="227"/>
        <v>374</v>
      </c>
      <c r="AQ527" s="392">
        <f t="shared" si="205"/>
        <v>0.98911821893010388</v>
      </c>
      <c r="AR527" s="392">
        <f t="shared" si="206"/>
        <v>0.9999999999140865</v>
      </c>
      <c r="AS527" s="392">
        <f t="shared" si="206"/>
        <v>1</v>
      </c>
    </row>
    <row r="528" spans="1:45">
      <c r="A528" s="12" t="s">
        <v>1577</v>
      </c>
      <c r="B528" s="54" t="str">
        <f t="shared" si="209"/>
        <v>AZ_Maric_2020g</v>
      </c>
      <c r="C528" s="12"/>
      <c r="D528" s="54" t="str">
        <f t="shared" si="210"/>
        <v>Gen-state rep dist-29 (vote for2)</v>
      </c>
      <c r="E528" s="54" t="s">
        <v>1913</v>
      </c>
      <c r="F528" s="12" t="s">
        <v>1296</v>
      </c>
      <c r="G528" s="59">
        <v>15811</v>
      </c>
      <c r="H528"/>
      <c r="K528" s="2"/>
      <c r="O528">
        <f t="shared" si="211"/>
        <v>3</v>
      </c>
      <c r="P528" s="57">
        <f t="shared" si="212"/>
        <v>2</v>
      </c>
      <c r="Q528" s="267">
        <f t="shared" si="213"/>
        <v>31331</v>
      </c>
      <c r="R528" s="23" t="str">
        <f t="shared" si="214"/>
        <v/>
      </c>
      <c r="S528" s="23">
        <f t="shared" si="215"/>
        <v>15811</v>
      </c>
      <c r="T528" s="23" t="str">
        <f t="shared" si="216"/>
        <v/>
      </c>
      <c r="U528" t="str">
        <f t="shared" si="217"/>
        <v/>
      </c>
      <c r="W528" s="1">
        <f t="shared" si="218"/>
        <v>25</v>
      </c>
      <c r="X528" s="73">
        <f t="shared" si="207"/>
        <v>12.418114716284792</v>
      </c>
      <c r="Y528" s="322">
        <f t="shared" si="219"/>
        <v>15278.325000000001</v>
      </c>
      <c r="Z528" s="43">
        <f t="shared" si="208"/>
        <v>7.0556057259994121E-93</v>
      </c>
      <c r="AA528" s="52">
        <f t="shared" si="220"/>
        <v>7.0556057259994122E-95</v>
      </c>
      <c r="AB528" s="8">
        <f t="shared" si="221"/>
        <v>350</v>
      </c>
      <c r="AC528" s="8">
        <f t="shared" si="222"/>
        <v>239424.99999999997</v>
      </c>
      <c r="AD528" s="8">
        <f t="shared" si="226"/>
        <v>1197.1249999999998</v>
      </c>
      <c r="AE528" s="8" t="str">
        <f t="shared" si="223"/>
        <v/>
      </c>
      <c r="AF528" s="22" t="str">
        <f t="shared" si="224"/>
        <v>CO_Adams_2020g</v>
      </c>
      <c r="AG528">
        <v>1</v>
      </c>
      <c r="AH528" s="272">
        <v>221425</v>
      </c>
      <c r="AI528" s="273">
        <v>165988</v>
      </c>
      <c r="AJ528" s="274">
        <v>55437</v>
      </c>
      <c r="AK528" s="339">
        <v>110551</v>
      </c>
      <c r="AL528" s="340" t="s">
        <v>5657</v>
      </c>
      <c r="AM528" s="353">
        <f t="shared" si="225"/>
        <v>0.46173540774772898</v>
      </c>
      <c r="AP528" s="23">
        <f t="shared" si="227"/>
        <v>455</v>
      </c>
      <c r="AQ528" s="392">
        <f t="shared" si="205"/>
        <v>0.99688893503769449</v>
      </c>
      <c r="AR528" s="392">
        <f t="shared" si="206"/>
        <v>0.99999999999986611</v>
      </c>
      <c r="AS528" s="392">
        <f t="shared" si="206"/>
        <v>1</v>
      </c>
    </row>
    <row r="529" spans="1:45">
      <c r="A529" s="12" t="s">
        <v>1577</v>
      </c>
      <c r="B529" s="54" t="str">
        <f t="shared" si="209"/>
        <v>AZ_Maric_2020g</v>
      </c>
      <c r="C529" s="12"/>
      <c r="D529" s="54" t="str">
        <f t="shared" si="210"/>
        <v>Gen-state rep dist-29 (vote for2)</v>
      </c>
      <c r="E529" s="54" t="s">
        <v>1914</v>
      </c>
      <c r="F529" s="12" t="s">
        <v>1296</v>
      </c>
      <c r="G529" s="59">
        <v>15402</v>
      </c>
      <c r="H529"/>
      <c r="K529" s="2"/>
      <c r="O529">
        <f t="shared" si="211"/>
        <v>4</v>
      </c>
      <c r="P529" s="57">
        <f t="shared" si="212"/>
        <v>2</v>
      </c>
      <c r="Q529" s="267">
        <f t="shared" si="213"/>
        <v>15520</v>
      </c>
      <c r="R529" s="23" t="str">
        <f t="shared" si="214"/>
        <v/>
      </c>
      <c r="S529" s="23">
        <f t="shared" si="215"/>
        <v>15402</v>
      </c>
      <c r="T529" s="23" t="str">
        <f t="shared" si="216"/>
        <v/>
      </c>
      <c r="U529" t="str">
        <f t="shared" si="217"/>
        <v/>
      </c>
      <c r="W529" s="1">
        <f t="shared" si="218"/>
        <v>26</v>
      </c>
      <c r="X529" s="73">
        <f t="shared" si="207"/>
        <v>9.4996120364658303</v>
      </c>
      <c r="Y529" s="322">
        <f t="shared" si="219"/>
        <v>15423.708000000001</v>
      </c>
      <c r="Z529" s="43">
        <f t="shared" si="208"/>
        <v>1.3540324439525299E-141</v>
      </c>
      <c r="AA529" s="52">
        <f t="shared" si="220"/>
        <v>1.3540324439525298E-143</v>
      </c>
      <c r="AB529" s="8">
        <f t="shared" si="221"/>
        <v>350</v>
      </c>
      <c r="AC529" s="8">
        <f t="shared" si="222"/>
        <v>239424.99999999997</v>
      </c>
      <c r="AD529" s="8">
        <f t="shared" si="226"/>
        <v>1197.1249999999998</v>
      </c>
      <c r="AE529" s="8" t="str">
        <f t="shared" si="223"/>
        <v/>
      </c>
      <c r="AF529" s="22" t="str">
        <f t="shared" si="224"/>
        <v>CO_Adams_2020g</v>
      </c>
      <c r="AG529">
        <v>1</v>
      </c>
      <c r="AH529" s="272">
        <v>223532</v>
      </c>
      <c r="AI529" s="273">
        <v>184711</v>
      </c>
      <c r="AJ529" s="274">
        <v>38821</v>
      </c>
      <c r="AK529" s="339">
        <v>145890</v>
      </c>
      <c r="AL529" s="340" t="s">
        <v>5656</v>
      </c>
      <c r="AM529" s="353">
        <f t="shared" si="225"/>
        <v>0.6093348647802026</v>
      </c>
      <c r="AP529" s="23">
        <f t="shared" si="227"/>
        <v>603</v>
      </c>
      <c r="AQ529" s="392">
        <f t="shared" si="205"/>
        <v>0.99978925307025801</v>
      </c>
      <c r="AR529" s="392">
        <f t="shared" si="206"/>
        <v>1</v>
      </c>
      <c r="AS529" s="392">
        <f t="shared" si="206"/>
        <v>1</v>
      </c>
    </row>
    <row r="530" spans="1:45">
      <c r="A530" s="12" t="s">
        <v>1577</v>
      </c>
      <c r="B530" s="54" t="str">
        <f t="shared" si="209"/>
        <v>AZ_Maric_2020g</v>
      </c>
      <c r="C530" s="12"/>
      <c r="D530" s="54" t="str">
        <f t="shared" si="210"/>
        <v>Gen-state rep dist-29 (vote for2)</v>
      </c>
      <c r="E530" s="54" t="s">
        <v>1299</v>
      </c>
      <c r="G530" s="59">
        <v>118</v>
      </c>
      <c r="H530"/>
      <c r="K530" s="2"/>
      <c r="O530">
        <f t="shared" si="211"/>
        <v>-4</v>
      </c>
      <c r="P530" s="57">
        <f t="shared" si="212"/>
        <v>2</v>
      </c>
      <c r="Q530" s="267">
        <f t="shared" si="213"/>
        <v>118</v>
      </c>
      <c r="R530" s="23">
        <f t="shared" si="214"/>
        <v>1</v>
      </c>
      <c r="S530" s="23">
        <f t="shared" si="215"/>
        <v>0</v>
      </c>
      <c r="T530" s="23" t="str">
        <f t="shared" si="216"/>
        <v/>
      </c>
      <c r="U530" t="str">
        <f t="shared" si="217"/>
        <v/>
      </c>
      <c r="W530" s="1">
        <f t="shared" si="218"/>
        <v>1</v>
      </c>
      <c r="X530" s="73">
        <f t="shared" si="207"/>
        <v>149.15094339622644</v>
      </c>
      <c r="Y530" s="322">
        <f t="shared" si="219"/>
        <v>149.15094339622644</v>
      </c>
      <c r="Z530" s="43">
        <f t="shared" si="208"/>
        <v>94.13581407062226</v>
      </c>
      <c r="AA530" s="52">
        <f t="shared" si="220"/>
        <v>0.94135814070622259</v>
      </c>
      <c r="AB530" s="8">
        <f t="shared" si="221"/>
        <v>677</v>
      </c>
      <c r="AC530" s="8">
        <f t="shared" si="222"/>
        <v>593772</v>
      </c>
      <c r="AD530" s="8">
        <f t="shared" si="226"/>
        <v>2968.86</v>
      </c>
      <c r="AE530" s="8">
        <f t="shared" si="223"/>
        <v>5</v>
      </c>
      <c r="AF530" s="22" t="str">
        <f t="shared" si="224"/>
        <v>CO_Arapa_2020g</v>
      </c>
      <c r="AG530">
        <v>1</v>
      </c>
      <c r="AH530" s="272">
        <v>1275</v>
      </c>
      <c r="AI530" s="273">
        <v>664</v>
      </c>
      <c r="AJ530" s="274">
        <v>611</v>
      </c>
      <c r="AK530" s="339">
        <v>53</v>
      </c>
      <c r="AL530" s="340" t="s">
        <v>5702</v>
      </c>
      <c r="AM530" s="353">
        <f t="shared" si="225"/>
        <v>8.9259850582378423E-5</v>
      </c>
      <c r="AP530" s="23">
        <f t="shared" si="227"/>
        <v>0</v>
      </c>
      <c r="AQ530" s="392">
        <f t="shared" si="205"/>
        <v>0</v>
      </c>
      <c r="AR530" s="392">
        <f t="shared" si="206"/>
        <v>0</v>
      </c>
      <c r="AS530" s="392">
        <f t="shared" si="206"/>
        <v>0</v>
      </c>
    </row>
    <row r="531" spans="1:45">
      <c r="A531" s="12" t="s">
        <v>1579</v>
      </c>
      <c r="B531" s="54" t="str">
        <f t="shared" si="209"/>
        <v>AZ_Maric_2020g</v>
      </c>
      <c r="C531" s="12"/>
      <c r="D531" s="54" t="str">
        <f t="shared" si="210"/>
        <v>Gen-state rep dist-30 (vote for2)</v>
      </c>
      <c r="E531" s="54" t="s">
        <v>1919</v>
      </c>
      <c r="F531" s="12" t="s">
        <v>1294</v>
      </c>
      <c r="G531" s="59">
        <v>34106</v>
      </c>
      <c r="H531"/>
      <c r="K531" s="2"/>
      <c r="O531">
        <f t="shared" si="211"/>
        <v>1</v>
      </c>
      <c r="P531" s="57">
        <f t="shared" si="212"/>
        <v>2</v>
      </c>
      <c r="Q531" s="267">
        <f t="shared" si="213"/>
        <v>34106</v>
      </c>
      <c r="R531" s="23">
        <f t="shared" si="214"/>
        <v>30546</v>
      </c>
      <c r="S531" s="23">
        <f t="shared" si="215"/>
        <v>0</v>
      </c>
      <c r="T531" s="23" t="str">
        <f t="shared" si="216"/>
        <v/>
      </c>
      <c r="U531" t="str">
        <f t="shared" si="217"/>
        <v>AZ_Maric_2020g~Gen-state rep dist-30 (vote for2)</v>
      </c>
      <c r="W531" s="1">
        <f t="shared" si="218"/>
        <v>2</v>
      </c>
      <c r="X531" s="73">
        <f t="shared" si="207"/>
        <v>47.533333333333339</v>
      </c>
      <c r="Y531" s="322">
        <f t="shared" si="219"/>
        <v>47.610000000000007</v>
      </c>
      <c r="Z531" s="43">
        <f t="shared" si="208"/>
        <v>92.029157432547066</v>
      </c>
      <c r="AA531" s="52">
        <f t="shared" si="220"/>
        <v>0.92029157432547071</v>
      </c>
      <c r="AB531" s="8">
        <f t="shared" si="221"/>
        <v>327</v>
      </c>
      <c r="AC531" s="8">
        <f t="shared" si="222"/>
        <v>354347</v>
      </c>
      <c r="AD531" s="8">
        <f t="shared" si="226"/>
        <v>1771.7349999999999</v>
      </c>
      <c r="AE531" s="8" t="str">
        <f t="shared" si="223"/>
        <v/>
      </c>
      <c r="AF531" s="22" t="str">
        <f t="shared" si="224"/>
        <v>CO_Arapa_2020g</v>
      </c>
      <c r="AG531">
        <v>1</v>
      </c>
      <c r="AH531" s="272">
        <v>690</v>
      </c>
      <c r="AI531" s="273">
        <v>390</v>
      </c>
      <c r="AJ531" s="274">
        <v>300</v>
      </c>
      <c r="AK531" s="339">
        <v>90</v>
      </c>
      <c r="AL531" s="340" t="s">
        <v>5701</v>
      </c>
      <c r="AM531" s="353">
        <f t="shared" si="225"/>
        <v>2.5398832218136462E-4</v>
      </c>
      <c r="AP531" s="23">
        <f t="shared" si="227"/>
        <v>0</v>
      </c>
      <c r="AQ531" s="392">
        <f t="shared" si="205"/>
        <v>0</v>
      </c>
      <c r="AR531" s="392">
        <f t="shared" si="206"/>
        <v>0</v>
      </c>
      <c r="AS531" s="392">
        <f t="shared" si="206"/>
        <v>0</v>
      </c>
    </row>
    <row r="532" spans="1:45">
      <c r="A532" s="12" t="s">
        <v>1579</v>
      </c>
      <c r="B532" s="54" t="str">
        <f t="shared" si="209"/>
        <v>AZ_Maric_2020g</v>
      </c>
      <c r="C532" s="12"/>
      <c r="D532" s="54" t="str">
        <f t="shared" si="210"/>
        <v>Gen-state rep dist-30 (vote for2)</v>
      </c>
      <c r="E532" s="54" t="s">
        <v>1918</v>
      </c>
      <c r="F532" s="12" t="s">
        <v>1294</v>
      </c>
      <c r="G532" s="59">
        <v>30546</v>
      </c>
      <c r="H532"/>
      <c r="K532" s="2"/>
      <c r="O532">
        <f t="shared" si="211"/>
        <v>2</v>
      </c>
      <c r="P532" s="57">
        <f t="shared" si="212"/>
        <v>2</v>
      </c>
      <c r="Q532" s="267">
        <f t="shared" si="213"/>
        <v>32509</v>
      </c>
      <c r="R532" s="23">
        <f t="shared" si="214"/>
        <v>30546</v>
      </c>
      <c r="S532" s="23">
        <f t="shared" si="215"/>
        <v>0</v>
      </c>
      <c r="T532" s="23" t="str">
        <f t="shared" si="216"/>
        <v/>
      </c>
      <c r="U532" t="str">
        <f t="shared" si="217"/>
        <v/>
      </c>
      <c r="W532" s="1">
        <f t="shared" si="218"/>
        <v>3</v>
      </c>
      <c r="X532" s="73">
        <f t="shared" si="207"/>
        <v>3030.3892215568862</v>
      </c>
      <c r="Y532" s="322">
        <f t="shared" si="219"/>
        <v>5632.1250000000009</v>
      </c>
      <c r="Z532" s="43">
        <f t="shared" si="208"/>
        <v>85.71451758842781</v>
      </c>
      <c r="AA532" s="52">
        <f t="shared" si="220"/>
        <v>0.85714517588427808</v>
      </c>
      <c r="AB532" s="8">
        <f t="shared" si="221"/>
        <v>327</v>
      </c>
      <c r="AC532" s="8">
        <f t="shared" si="222"/>
        <v>354347</v>
      </c>
      <c r="AD532" s="8">
        <f t="shared" si="226"/>
        <v>1771.7349999999999</v>
      </c>
      <c r="AE532" s="8" t="str">
        <f t="shared" si="223"/>
        <v/>
      </c>
      <c r="AF532" s="22" t="str">
        <f t="shared" si="224"/>
        <v>CO_Arapa_2020g</v>
      </c>
      <c r="AG532">
        <v>1</v>
      </c>
      <c r="AH532" s="8">
        <v>81625</v>
      </c>
      <c r="AI532" s="273">
        <v>40896</v>
      </c>
      <c r="AJ532" s="274">
        <v>40729</v>
      </c>
      <c r="AK532" s="339">
        <v>167</v>
      </c>
      <c r="AL532" s="23" t="s">
        <v>5680</v>
      </c>
      <c r="AM532" s="353">
        <f t="shared" si="225"/>
        <v>4.7128944226986543E-4</v>
      </c>
      <c r="AP532" s="23">
        <f t="shared" si="227"/>
        <v>0</v>
      </c>
      <c r="AQ532" s="392">
        <f t="shared" si="205"/>
        <v>0</v>
      </c>
      <c r="AR532" s="392">
        <f t="shared" si="206"/>
        <v>0</v>
      </c>
      <c r="AS532" s="392">
        <f t="shared" si="206"/>
        <v>0</v>
      </c>
    </row>
    <row r="533" spans="1:45">
      <c r="A533" s="12" t="s">
        <v>1579</v>
      </c>
      <c r="B533" s="54" t="str">
        <f t="shared" si="209"/>
        <v>AZ_Maric_2020g</v>
      </c>
      <c r="C533" s="12"/>
      <c r="D533" s="54" t="str">
        <f t="shared" si="210"/>
        <v>Gen-state rep dist-30 (vote for2)</v>
      </c>
      <c r="E533" s="54" t="s">
        <v>1299</v>
      </c>
      <c r="G533" s="59">
        <v>1963</v>
      </c>
      <c r="H533"/>
      <c r="K533" s="2"/>
      <c r="O533">
        <f t="shared" si="211"/>
        <v>-2</v>
      </c>
      <c r="P533" s="57">
        <f t="shared" si="212"/>
        <v>2</v>
      </c>
      <c r="Q533" s="267">
        <f t="shared" si="213"/>
        <v>1963</v>
      </c>
      <c r="R533" s="23">
        <f t="shared" si="214"/>
        <v>1</v>
      </c>
      <c r="S533" s="23">
        <f t="shared" si="215"/>
        <v>0</v>
      </c>
      <c r="T533" s="23" t="str">
        <f t="shared" si="216"/>
        <v/>
      </c>
      <c r="U533" t="str">
        <f t="shared" si="217"/>
        <v/>
      </c>
      <c r="W533" s="1">
        <f t="shared" si="218"/>
        <v>4</v>
      </c>
      <c r="X533" s="73">
        <f t="shared" si="207"/>
        <v>24.042222222222225</v>
      </c>
      <c r="Y533" s="322">
        <f t="shared" si="219"/>
        <v>48.162000000000006</v>
      </c>
      <c r="Z533" s="43">
        <f t="shared" si="208"/>
        <v>84.691870693238258</v>
      </c>
      <c r="AA533" s="52">
        <f t="shared" si="220"/>
        <v>0.84691870693238258</v>
      </c>
      <c r="AB533" s="8">
        <f t="shared" si="221"/>
        <v>327</v>
      </c>
      <c r="AC533" s="8">
        <f t="shared" si="222"/>
        <v>354347</v>
      </c>
      <c r="AD533" s="8">
        <f t="shared" si="226"/>
        <v>1771.7349999999999</v>
      </c>
      <c r="AE533" s="8" t="str">
        <f t="shared" si="223"/>
        <v/>
      </c>
      <c r="AF533" s="22" t="str">
        <f t="shared" si="224"/>
        <v>CO_Arapa_2020g</v>
      </c>
      <c r="AG533">
        <v>1</v>
      </c>
      <c r="AH533" s="272">
        <v>698</v>
      </c>
      <c r="AI533" s="273">
        <v>439</v>
      </c>
      <c r="AJ533" s="274">
        <v>259</v>
      </c>
      <c r="AK533" s="339">
        <v>180</v>
      </c>
      <c r="AL533" s="340" t="s">
        <v>5686</v>
      </c>
      <c r="AM533" s="353">
        <f t="shared" si="225"/>
        <v>5.0797664436272923E-4</v>
      </c>
      <c r="AP533" s="23">
        <f t="shared" si="227"/>
        <v>0</v>
      </c>
      <c r="AQ533" s="392">
        <f t="shared" si="205"/>
        <v>0</v>
      </c>
      <c r="AR533" s="392">
        <f t="shared" si="206"/>
        <v>0</v>
      </c>
      <c r="AS533" s="392">
        <f t="shared" si="206"/>
        <v>0</v>
      </c>
    </row>
    <row r="534" spans="1:45">
      <c r="A534" s="12" t="s">
        <v>1543</v>
      </c>
      <c r="B534" s="54" t="str">
        <f t="shared" si="209"/>
        <v>AZ_Maric_2020g</v>
      </c>
      <c r="C534" s="12"/>
      <c r="D534" s="54" t="str">
        <f t="shared" si="210"/>
        <v>Gen-state rep dist-4 (vote for2)</v>
      </c>
      <c r="E534" s="54" t="s">
        <v>1817</v>
      </c>
      <c r="F534" s="12" t="s">
        <v>1296</v>
      </c>
      <c r="G534" s="59">
        <v>16665</v>
      </c>
      <c r="H534"/>
      <c r="K534" s="2"/>
      <c r="O534">
        <f t="shared" si="211"/>
        <v>1</v>
      </c>
      <c r="P534" s="57">
        <f t="shared" si="212"/>
        <v>2</v>
      </c>
      <c r="Q534" s="267">
        <f t="shared" si="213"/>
        <v>20572</v>
      </c>
      <c r="R534" s="23">
        <f t="shared" si="214"/>
        <v>13408</v>
      </c>
      <c r="S534" s="23">
        <f t="shared" si="215"/>
        <v>10840</v>
      </c>
      <c r="T534" s="23">
        <f t="shared" si="216"/>
        <v>2568</v>
      </c>
      <c r="U534" t="str">
        <f t="shared" si="217"/>
        <v>AZ_Maric_2020g~Gen-state rep dist-4 (vote for2)</v>
      </c>
      <c r="W534" s="1">
        <f t="shared" si="218"/>
        <v>5</v>
      </c>
      <c r="X534" s="73">
        <f t="shared" si="207"/>
        <v>59.015621948838124</v>
      </c>
      <c r="Y534" s="322">
        <f t="shared" si="219"/>
        <v>3363.4050000000002</v>
      </c>
      <c r="Z534" s="43">
        <f t="shared" si="208"/>
        <v>0.61853663600572573</v>
      </c>
      <c r="AA534" s="52">
        <f t="shared" si="220"/>
        <v>6.1853663600572569E-3</v>
      </c>
      <c r="AB534" s="8">
        <f t="shared" si="221"/>
        <v>582</v>
      </c>
      <c r="AC534" s="8">
        <f t="shared" si="222"/>
        <v>588619</v>
      </c>
      <c r="AD534" s="8">
        <f t="shared" si="226"/>
        <v>2943.0949999999998</v>
      </c>
      <c r="AE534" s="8">
        <f t="shared" si="223"/>
        <v>23</v>
      </c>
      <c r="AF534" s="22" t="str">
        <f t="shared" si="224"/>
        <v>CO_Arapa_2020g</v>
      </c>
      <c r="AG534">
        <v>1</v>
      </c>
      <c r="AH534" s="272">
        <v>48745</v>
      </c>
      <c r="AI534" s="273">
        <v>21053</v>
      </c>
      <c r="AJ534" s="274">
        <v>15932</v>
      </c>
      <c r="AK534" s="339">
        <v>5121</v>
      </c>
      <c r="AL534" s="340" t="s">
        <v>5970</v>
      </c>
      <c r="AM534" s="353">
        <f t="shared" si="225"/>
        <v>8.70002497370965E-3</v>
      </c>
      <c r="AP534" s="23">
        <f t="shared" si="227"/>
        <v>0</v>
      </c>
      <c r="AQ534" s="392">
        <f t="shared" si="205"/>
        <v>0</v>
      </c>
      <c r="AR534" s="392">
        <f t="shared" si="206"/>
        <v>0</v>
      </c>
      <c r="AS534" s="392">
        <f t="shared" si="206"/>
        <v>0</v>
      </c>
    </row>
    <row r="535" spans="1:45">
      <c r="A535" s="12" t="s">
        <v>1543</v>
      </c>
      <c r="B535" s="54" t="str">
        <f t="shared" si="209"/>
        <v>AZ_Maric_2020g</v>
      </c>
      <c r="C535" s="12"/>
      <c r="D535" s="54" t="str">
        <f t="shared" si="210"/>
        <v>Gen-state rep dist-4 (vote for2)</v>
      </c>
      <c r="E535" s="54" t="s">
        <v>1818</v>
      </c>
      <c r="F535" s="12" t="s">
        <v>1294</v>
      </c>
      <c r="G535" s="59">
        <v>13408</v>
      </c>
      <c r="H535"/>
      <c r="K535" s="2"/>
      <c r="O535">
        <f t="shared" si="211"/>
        <v>2</v>
      </c>
      <c r="P535" s="57">
        <f t="shared" si="212"/>
        <v>2</v>
      </c>
      <c r="Q535" s="267">
        <f t="shared" si="213"/>
        <v>24479</v>
      </c>
      <c r="R535" s="23">
        <f t="shared" si="214"/>
        <v>13408</v>
      </c>
      <c r="S535" s="23">
        <f t="shared" si="215"/>
        <v>10840</v>
      </c>
      <c r="T535" s="23" t="str">
        <f t="shared" si="216"/>
        <v/>
      </c>
      <c r="U535" t="str">
        <f t="shared" si="217"/>
        <v/>
      </c>
      <c r="W535" s="1">
        <f t="shared" si="218"/>
        <v>6</v>
      </c>
      <c r="X535" s="73">
        <f t="shared" si="207"/>
        <v>21.245770392749243</v>
      </c>
      <c r="Y535" s="322">
        <f t="shared" si="219"/>
        <v>1252.2120000000002</v>
      </c>
      <c r="Z535" s="43">
        <f t="shared" si="208"/>
        <v>0.72687762638583064</v>
      </c>
      <c r="AA535" s="52">
        <f t="shared" si="220"/>
        <v>7.268776263858307E-3</v>
      </c>
      <c r="AB535" s="8">
        <f t="shared" si="221"/>
        <v>327</v>
      </c>
      <c r="AC535" s="8">
        <f t="shared" si="222"/>
        <v>354347</v>
      </c>
      <c r="AD535" s="8">
        <f t="shared" si="226"/>
        <v>1771.7349999999999</v>
      </c>
      <c r="AE535" s="8" t="str">
        <f t="shared" si="223"/>
        <v/>
      </c>
      <c r="AF535" s="22" t="str">
        <f t="shared" si="224"/>
        <v>CO_Arapa_2020g</v>
      </c>
      <c r="AG535">
        <v>1</v>
      </c>
      <c r="AH535" s="272">
        <v>18148</v>
      </c>
      <c r="AI535" s="273">
        <v>11722</v>
      </c>
      <c r="AJ535" s="274">
        <v>6426</v>
      </c>
      <c r="AK535" s="339">
        <v>5296</v>
      </c>
      <c r="AL535" s="340" t="s">
        <v>5689</v>
      </c>
      <c r="AM535" s="353">
        <f t="shared" si="225"/>
        <v>1.4945801714138965E-2</v>
      </c>
      <c r="AP535" s="23">
        <f t="shared" si="227"/>
        <v>8</v>
      </c>
      <c r="AQ535" s="392">
        <f t="shared" si="205"/>
        <v>7.8625614800590604E-2</v>
      </c>
      <c r="AR535" s="392">
        <f t="shared" si="206"/>
        <v>0.33855297551565489</v>
      </c>
      <c r="AS535" s="392">
        <f t="shared" si="206"/>
        <v>0.83364700649803269</v>
      </c>
    </row>
    <row r="536" spans="1:45">
      <c r="A536" s="12" t="s">
        <v>1543</v>
      </c>
      <c r="B536" s="54" t="str">
        <f t="shared" si="209"/>
        <v>AZ_Maric_2020g</v>
      </c>
      <c r="C536" s="12"/>
      <c r="D536" s="54" t="str">
        <f t="shared" si="210"/>
        <v>Gen-state rep dist-4 (vote for2)</v>
      </c>
      <c r="E536" s="54" t="s">
        <v>1819</v>
      </c>
      <c r="F536" s="12" t="s">
        <v>1294</v>
      </c>
      <c r="G536" s="59">
        <v>10840</v>
      </c>
      <c r="H536"/>
      <c r="K536" s="2"/>
      <c r="O536">
        <f t="shared" si="211"/>
        <v>3</v>
      </c>
      <c r="P536" s="57">
        <f t="shared" si="212"/>
        <v>2</v>
      </c>
      <c r="Q536" s="267">
        <f t="shared" si="213"/>
        <v>11071</v>
      </c>
      <c r="R536" s="23" t="str">
        <f t="shared" si="214"/>
        <v/>
      </c>
      <c r="S536" s="23">
        <f t="shared" si="215"/>
        <v>10840</v>
      </c>
      <c r="T536" s="23" t="str">
        <f t="shared" si="216"/>
        <v/>
      </c>
      <c r="U536" t="str">
        <f t="shared" si="217"/>
        <v/>
      </c>
      <c r="W536" s="1">
        <f t="shared" si="218"/>
        <v>7</v>
      </c>
      <c r="X536" s="73">
        <f t="shared" si="207"/>
        <v>55.564739574011099</v>
      </c>
      <c r="Y536" s="322">
        <f t="shared" si="219"/>
        <v>3454.8990000000003</v>
      </c>
      <c r="Z536" s="43">
        <f t="shared" si="208"/>
        <v>0.55337069537108707</v>
      </c>
      <c r="AA536" s="52">
        <f t="shared" si="220"/>
        <v>5.5337069537108709E-3</v>
      </c>
      <c r="AB536" s="8">
        <f t="shared" si="221"/>
        <v>327</v>
      </c>
      <c r="AC536" s="8">
        <f t="shared" si="222"/>
        <v>354347</v>
      </c>
      <c r="AD536" s="8">
        <f t="shared" si="226"/>
        <v>1771.7349999999999</v>
      </c>
      <c r="AE536" s="8" t="str">
        <f t="shared" si="223"/>
        <v/>
      </c>
      <c r="AF536" s="22" t="str">
        <f t="shared" si="224"/>
        <v>CO_Arapa_2020g</v>
      </c>
      <c r="AG536">
        <v>1</v>
      </c>
      <c r="AH536" s="272">
        <v>50071</v>
      </c>
      <c r="AI536" s="273">
        <v>27829</v>
      </c>
      <c r="AJ536" s="274">
        <v>22242</v>
      </c>
      <c r="AK536" s="339">
        <v>5587</v>
      </c>
      <c r="AL536" s="340" t="s">
        <v>5693</v>
      </c>
      <c r="AM536" s="353">
        <f t="shared" si="225"/>
        <v>1.5767030622525376E-2</v>
      </c>
      <c r="AP536" s="23">
        <f t="shared" si="227"/>
        <v>9</v>
      </c>
      <c r="AQ536" s="392">
        <f t="shared" si="205"/>
        <v>8.8032727071486683E-2</v>
      </c>
      <c r="AR536" s="392">
        <f t="shared" si="206"/>
        <v>0.37194423199841553</v>
      </c>
      <c r="AS536" s="392">
        <f t="shared" si="206"/>
        <v>0.86714406417993772</v>
      </c>
    </row>
    <row r="537" spans="1:45">
      <c r="A537" s="12" t="s">
        <v>1543</v>
      </c>
      <c r="B537" s="54" t="str">
        <f t="shared" si="209"/>
        <v>AZ_Maric_2020g</v>
      </c>
      <c r="C537" s="12"/>
      <c r="D537" s="54" t="str">
        <f t="shared" si="210"/>
        <v>Gen-state rep dist-4 (vote for2)</v>
      </c>
      <c r="E537" s="54" t="s">
        <v>1299</v>
      </c>
      <c r="G537" s="59">
        <v>231</v>
      </c>
      <c r="H537"/>
      <c r="K537" s="2"/>
      <c r="O537">
        <f t="shared" si="211"/>
        <v>-3</v>
      </c>
      <c r="P537" s="57">
        <f t="shared" si="212"/>
        <v>2</v>
      </c>
      <c r="Q537" s="267">
        <f t="shared" si="213"/>
        <v>231</v>
      </c>
      <c r="R537" s="23">
        <f t="shared" si="214"/>
        <v>1</v>
      </c>
      <c r="S537" s="23">
        <f t="shared" si="215"/>
        <v>0</v>
      </c>
      <c r="T537" s="23" t="str">
        <f t="shared" si="216"/>
        <v/>
      </c>
      <c r="U537" t="str">
        <f t="shared" si="217"/>
        <v/>
      </c>
      <c r="W537" s="1">
        <f t="shared" si="218"/>
        <v>8</v>
      </c>
      <c r="X537" s="73">
        <f t="shared" si="207"/>
        <v>55.680183747821957</v>
      </c>
      <c r="Y537" s="322">
        <f t="shared" si="219"/>
        <v>3911.9550000000004</v>
      </c>
      <c r="Z537" s="43">
        <f t="shared" si="208"/>
        <v>0.27995127458567526</v>
      </c>
      <c r="AA537" s="52">
        <f t="shared" si="220"/>
        <v>2.7995127458567523E-3</v>
      </c>
      <c r="AB537" s="8">
        <f t="shared" si="221"/>
        <v>327</v>
      </c>
      <c r="AC537" s="8">
        <f t="shared" si="222"/>
        <v>354347</v>
      </c>
      <c r="AD537" s="8">
        <f t="shared" si="226"/>
        <v>1771.7349999999999</v>
      </c>
      <c r="AE537" s="8" t="str">
        <f t="shared" si="223"/>
        <v/>
      </c>
      <c r="AF537" s="22" t="str">
        <f t="shared" si="224"/>
        <v>CO_Arapa_2020g</v>
      </c>
      <c r="AG537">
        <v>1</v>
      </c>
      <c r="AH537" s="272">
        <v>56695</v>
      </c>
      <c r="AI537" s="273">
        <v>31504</v>
      </c>
      <c r="AJ537" s="274">
        <v>25191</v>
      </c>
      <c r="AK537" s="339">
        <v>6313</v>
      </c>
      <c r="AL537" s="340" t="s">
        <v>5694</v>
      </c>
      <c r="AM537" s="353">
        <f t="shared" si="225"/>
        <v>1.7815869754788386E-2</v>
      </c>
      <c r="AP537" s="23">
        <f t="shared" si="227"/>
        <v>12</v>
      </c>
      <c r="AQ537" s="392">
        <f t="shared" si="205"/>
        <v>0.11571278929185325</v>
      </c>
      <c r="AR537" s="392">
        <f t="shared" si="206"/>
        <v>0.46243752528348958</v>
      </c>
      <c r="AS537" s="392">
        <f t="shared" si="206"/>
        <v>0.93238255174307683</v>
      </c>
    </row>
    <row r="538" spans="1:45">
      <c r="A538" s="12" t="s">
        <v>1540</v>
      </c>
      <c r="B538" s="54" t="str">
        <f t="shared" si="209"/>
        <v>AZ_Maric_2020g</v>
      </c>
      <c r="C538" s="12"/>
      <c r="D538" s="54" t="str">
        <f t="shared" si="210"/>
        <v>Gen-state senator dist-1 (vote for1)</v>
      </c>
      <c r="E538" s="54" t="s">
        <v>1810</v>
      </c>
      <c r="F538" s="12" t="s">
        <v>1296</v>
      </c>
      <c r="G538" s="59">
        <v>31382</v>
      </c>
      <c r="H538"/>
      <c r="K538" s="2"/>
      <c r="O538">
        <f t="shared" si="211"/>
        <v>1</v>
      </c>
      <c r="P538" s="57">
        <f t="shared" si="212"/>
        <v>1</v>
      </c>
      <c r="Q538" s="267">
        <f t="shared" si="213"/>
        <v>44371</v>
      </c>
      <c r="R538" s="23">
        <f t="shared" si="214"/>
        <v>31382</v>
      </c>
      <c r="S538" s="23">
        <f t="shared" si="215"/>
        <v>12953</v>
      </c>
      <c r="T538" s="23">
        <f t="shared" si="216"/>
        <v>18429</v>
      </c>
      <c r="U538" t="str">
        <f t="shared" si="217"/>
        <v>AZ_Maric_2020g~Gen-state senator dist-1 (vote for1)</v>
      </c>
      <c r="W538" s="1">
        <f t="shared" si="218"/>
        <v>9</v>
      </c>
      <c r="X538" s="73">
        <f t="shared" si="207"/>
        <v>54.418339791006225</v>
      </c>
      <c r="Y538" s="322">
        <f t="shared" si="219"/>
        <v>5158.0950000000003</v>
      </c>
      <c r="Z538" s="43">
        <f t="shared" si="208"/>
        <v>3.5066041676417505E-2</v>
      </c>
      <c r="AA538" s="52">
        <f t="shared" si="220"/>
        <v>3.5066041676417507E-4</v>
      </c>
      <c r="AB538" s="8">
        <f t="shared" si="221"/>
        <v>327</v>
      </c>
      <c r="AC538" s="8">
        <f t="shared" si="222"/>
        <v>354347</v>
      </c>
      <c r="AD538" s="8">
        <f t="shared" si="226"/>
        <v>1771.7349999999999</v>
      </c>
      <c r="AE538" s="8" t="str">
        <f t="shared" si="223"/>
        <v/>
      </c>
      <c r="AF538" s="22" t="str">
        <f t="shared" si="224"/>
        <v>CO_Arapa_2020g</v>
      </c>
      <c r="AG538">
        <v>1</v>
      </c>
      <c r="AH538" s="8">
        <v>74755</v>
      </c>
      <c r="AI538" s="273">
        <v>40434</v>
      </c>
      <c r="AJ538" s="274">
        <v>31917</v>
      </c>
      <c r="AK538" s="339">
        <v>8517</v>
      </c>
      <c r="AL538" s="23" t="s">
        <v>5679</v>
      </c>
      <c r="AM538" s="353">
        <f t="shared" si="225"/>
        <v>2.4035761555763136E-2</v>
      </c>
      <c r="AP538" s="23">
        <f t="shared" si="227"/>
        <v>21</v>
      </c>
      <c r="AQ538" s="392">
        <f t="shared" si="205"/>
        <v>0.19406960596850864</v>
      </c>
      <c r="AR538" s="392">
        <f t="shared" si="206"/>
        <v>0.66348117257898864</v>
      </c>
      <c r="AS538" s="392">
        <f t="shared" si="206"/>
        <v>0.99115465871967667</v>
      </c>
    </row>
    <row r="539" spans="1:45">
      <c r="A539" s="12" t="s">
        <v>1540</v>
      </c>
      <c r="B539" s="54" t="str">
        <f t="shared" si="209"/>
        <v>AZ_Maric_2020g</v>
      </c>
      <c r="C539" s="12"/>
      <c r="D539" s="54" t="str">
        <f t="shared" si="210"/>
        <v>Gen-state senator dist-1 (vote for1)</v>
      </c>
      <c r="E539" s="54" t="s">
        <v>1811</v>
      </c>
      <c r="F539" s="12" t="s">
        <v>1294</v>
      </c>
      <c r="G539" s="59">
        <v>12953</v>
      </c>
      <c r="H539"/>
      <c r="K539" s="2"/>
      <c r="O539">
        <f t="shared" si="211"/>
        <v>2</v>
      </c>
      <c r="P539" s="57">
        <f t="shared" si="212"/>
        <v>1</v>
      </c>
      <c r="Q539" s="267">
        <f t="shared" si="213"/>
        <v>12989</v>
      </c>
      <c r="R539" s="23" t="str">
        <f t="shared" si="214"/>
        <v/>
      </c>
      <c r="S539" s="23">
        <f t="shared" si="215"/>
        <v>12953</v>
      </c>
      <c r="T539" s="23" t="str">
        <f t="shared" si="216"/>
        <v/>
      </c>
      <c r="U539" t="str">
        <f t="shared" si="217"/>
        <v/>
      </c>
      <c r="W539" s="1">
        <f t="shared" si="218"/>
        <v>10</v>
      </c>
      <c r="X539" s="73">
        <f t="shared" si="207"/>
        <v>40.461660408844395</v>
      </c>
      <c r="Y539" s="322">
        <f t="shared" si="219"/>
        <v>4317.4680000000008</v>
      </c>
      <c r="Z539" s="43">
        <f t="shared" si="208"/>
        <v>1.2717467328382758E-2</v>
      </c>
      <c r="AA539" s="52">
        <f t="shared" si="220"/>
        <v>1.2717467328382759E-4</v>
      </c>
      <c r="AB539" s="8">
        <f t="shared" si="221"/>
        <v>327</v>
      </c>
      <c r="AC539" s="8">
        <f t="shared" si="222"/>
        <v>354347</v>
      </c>
      <c r="AD539" s="8">
        <f t="shared" si="226"/>
        <v>1771.7349999999999</v>
      </c>
      <c r="AE539" s="8" t="str">
        <f t="shared" si="223"/>
        <v/>
      </c>
      <c r="AF539" s="22" t="str">
        <f t="shared" si="224"/>
        <v>CO_Arapa_2020g</v>
      </c>
      <c r="AG539">
        <v>1</v>
      </c>
      <c r="AH539" s="8">
        <v>62572</v>
      </c>
      <c r="AI539" s="273">
        <v>36080</v>
      </c>
      <c r="AJ539" s="274">
        <v>26492</v>
      </c>
      <c r="AK539" s="339">
        <v>9588</v>
      </c>
      <c r="AL539" s="23" t="s">
        <v>5685</v>
      </c>
      <c r="AM539" s="353">
        <f t="shared" si="225"/>
        <v>2.7058222589721376E-2</v>
      </c>
      <c r="AP539" s="23">
        <f t="shared" si="227"/>
        <v>26</v>
      </c>
      <c r="AQ539" s="392">
        <f t="shared" si="205"/>
        <v>0.23471906541235321</v>
      </c>
      <c r="AR539" s="392">
        <f t="shared" si="206"/>
        <v>0.74086022502647741</v>
      </c>
      <c r="AS539" s="392">
        <f t="shared" si="206"/>
        <v>0.99715709317428869</v>
      </c>
    </row>
    <row r="540" spans="1:45">
      <c r="A540" s="12" t="s">
        <v>1540</v>
      </c>
      <c r="B540" s="54" t="str">
        <f t="shared" si="209"/>
        <v>AZ_Maric_2020g</v>
      </c>
      <c r="C540" s="12"/>
      <c r="D540" s="54" t="str">
        <f t="shared" si="210"/>
        <v>Gen-state senator dist-1 (vote for1)</v>
      </c>
      <c r="E540" s="54" t="s">
        <v>1299</v>
      </c>
      <c r="G540" s="59">
        <v>36</v>
      </c>
      <c r="H540"/>
      <c r="K540" s="2"/>
      <c r="O540">
        <f t="shared" si="211"/>
        <v>-2</v>
      </c>
      <c r="P540" s="57">
        <f t="shared" si="212"/>
        <v>1</v>
      </c>
      <c r="Q540" s="267">
        <f t="shared" si="213"/>
        <v>36</v>
      </c>
      <c r="R540" s="23">
        <f t="shared" si="214"/>
        <v>1</v>
      </c>
      <c r="S540" s="23">
        <f t="shared" si="215"/>
        <v>0</v>
      </c>
      <c r="T540" s="23" t="str">
        <f t="shared" si="216"/>
        <v/>
      </c>
      <c r="U540" t="str">
        <f t="shared" si="217"/>
        <v/>
      </c>
      <c r="W540" s="1">
        <f t="shared" si="218"/>
        <v>11</v>
      </c>
      <c r="X540" s="73">
        <f t="shared" si="207"/>
        <v>27.558396041645192</v>
      </c>
      <c r="Y540" s="322">
        <f t="shared" si="219"/>
        <v>2975.28</v>
      </c>
      <c r="Z540" s="43">
        <f t="shared" si="208"/>
        <v>1.1424722436526188E-2</v>
      </c>
      <c r="AA540" s="52">
        <f t="shared" si="220"/>
        <v>1.1424722436526188E-4</v>
      </c>
      <c r="AB540" s="8">
        <f t="shared" si="221"/>
        <v>327</v>
      </c>
      <c r="AC540" s="8">
        <f t="shared" si="222"/>
        <v>354347</v>
      </c>
      <c r="AD540" s="8">
        <f t="shared" si="226"/>
        <v>1771.7349999999999</v>
      </c>
      <c r="AE540" s="8" t="str">
        <f t="shared" si="223"/>
        <v/>
      </c>
      <c r="AF540" s="22" t="str">
        <f t="shared" si="224"/>
        <v>CO_Arapa_2020g</v>
      </c>
      <c r="AG540">
        <v>1</v>
      </c>
      <c r="AH540" s="272">
        <v>43120</v>
      </c>
      <c r="AI540" s="273">
        <v>25508</v>
      </c>
      <c r="AJ540" s="274">
        <v>15807</v>
      </c>
      <c r="AK540" s="339">
        <v>9701</v>
      </c>
      <c r="AL540" s="340" t="s">
        <v>5695</v>
      </c>
      <c r="AM540" s="353">
        <f t="shared" si="225"/>
        <v>2.737711903868242E-2</v>
      </c>
      <c r="AO540" s="356"/>
      <c r="AP540" s="23">
        <f t="shared" si="227"/>
        <v>26</v>
      </c>
      <c r="AQ540" s="392">
        <f t="shared" si="205"/>
        <v>0.23471906541235321</v>
      </c>
      <c r="AR540" s="392">
        <f t="shared" si="206"/>
        <v>0.74086022502647741</v>
      </c>
      <c r="AS540" s="392">
        <f t="shared" si="206"/>
        <v>0.99715709317428869</v>
      </c>
    </row>
    <row r="541" spans="1:45">
      <c r="A541" s="12" t="s">
        <v>1544</v>
      </c>
      <c r="B541" s="54" t="str">
        <f t="shared" si="209"/>
        <v>AZ_Maric_2020g</v>
      </c>
      <c r="C541" s="12"/>
      <c r="D541" s="54" t="str">
        <f t="shared" si="210"/>
        <v>Gen-state senator dist-12 (vote for1)</v>
      </c>
      <c r="E541" s="54" t="s">
        <v>1820</v>
      </c>
      <c r="F541" s="12" t="s">
        <v>1296</v>
      </c>
      <c r="G541" s="59">
        <v>94983</v>
      </c>
      <c r="H541"/>
      <c r="K541" s="2"/>
      <c r="O541">
        <f t="shared" si="211"/>
        <v>1</v>
      </c>
      <c r="P541" s="57">
        <f t="shared" si="212"/>
        <v>1</v>
      </c>
      <c r="Q541" s="267">
        <f t="shared" si="213"/>
        <v>154545</v>
      </c>
      <c r="R541" s="23">
        <f t="shared" si="214"/>
        <v>94983</v>
      </c>
      <c r="S541" s="23">
        <f t="shared" si="215"/>
        <v>59422</v>
      </c>
      <c r="T541" s="23">
        <f t="shared" si="216"/>
        <v>35561</v>
      </c>
      <c r="U541" t="str">
        <f t="shared" si="217"/>
        <v>AZ_Maric_2020g~Gen-state senator dist-12 (vote for1)</v>
      </c>
      <c r="W541" s="1">
        <f t="shared" si="218"/>
        <v>12</v>
      </c>
      <c r="X541" s="73">
        <f t="shared" si="207"/>
        <v>27.733429040196885</v>
      </c>
      <c r="Y541" s="322">
        <f t="shared" si="219"/>
        <v>3009.9180000000001</v>
      </c>
      <c r="Z541" s="43">
        <f t="shared" si="208"/>
        <v>1.0885017255801268E-2</v>
      </c>
      <c r="AA541" s="52">
        <f t="shared" si="220"/>
        <v>1.0885017255801267E-4</v>
      </c>
      <c r="AB541" s="8">
        <f t="shared" si="221"/>
        <v>327</v>
      </c>
      <c r="AC541" s="8">
        <f t="shared" si="222"/>
        <v>354347</v>
      </c>
      <c r="AD541" s="8">
        <f t="shared" si="226"/>
        <v>1771.7349999999999</v>
      </c>
      <c r="AE541" s="8" t="str">
        <f t="shared" si="223"/>
        <v/>
      </c>
      <c r="AF541" s="22" t="str">
        <f t="shared" si="224"/>
        <v>CO_Arapa_2020g</v>
      </c>
      <c r="AG541">
        <v>1</v>
      </c>
      <c r="AH541" s="272">
        <v>43622</v>
      </c>
      <c r="AI541" s="273">
        <v>26687</v>
      </c>
      <c r="AJ541" s="274">
        <v>16935</v>
      </c>
      <c r="AK541" s="339">
        <v>9752</v>
      </c>
      <c r="AL541" s="340" t="s">
        <v>5692</v>
      </c>
      <c r="AM541" s="353">
        <f t="shared" si="225"/>
        <v>2.7521045754585194E-2</v>
      </c>
      <c r="AP541" s="23">
        <f t="shared" si="227"/>
        <v>27</v>
      </c>
      <c r="AQ541" s="392">
        <f t="shared" si="205"/>
        <v>0.242613080783458</v>
      </c>
      <c r="AR541" s="392">
        <f t="shared" si="206"/>
        <v>0.75407709607097229</v>
      </c>
      <c r="AS541" s="392">
        <f t="shared" si="206"/>
        <v>0.99773544957722715</v>
      </c>
    </row>
    <row r="542" spans="1:45">
      <c r="A542" s="12" t="s">
        <v>1544</v>
      </c>
      <c r="B542" s="54" t="str">
        <f t="shared" si="209"/>
        <v>AZ_Maric_2020g</v>
      </c>
      <c r="C542" s="12"/>
      <c r="D542" s="54" t="str">
        <f t="shared" si="210"/>
        <v>Gen-state senator dist-12 (vote for1)</v>
      </c>
      <c r="E542" s="54" t="s">
        <v>1821</v>
      </c>
      <c r="F542" s="12" t="s">
        <v>1294</v>
      </c>
      <c r="G542" s="59">
        <v>59422</v>
      </c>
      <c r="H542"/>
      <c r="K542" s="2"/>
      <c r="O542">
        <f t="shared" si="211"/>
        <v>2</v>
      </c>
      <c r="P542" s="57">
        <f t="shared" si="212"/>
        <v>1</v>
      </c>
      <c r="Q542" s="267">
        <f t="shared" si="213"/>
        <v>59562</v>
      </c>
      <c r="R542" s="23" t="str">
        <f t="shared" si="214"/>
        <v/>
      </c>
      <c r="S542" s="23">
        <f t="shared" si="215"/>
        <v>59422</v>
      </c>
      <c r="T542" s="23" t="str">
        <f t="shared" si="216"/>
        <v/>
      </c>
      <c r="U542" t="str">
        <f t="shared" si="217"/>
        <v/>
      </c>
      <c r="W542" s="1">
        <f t="shared" si="218"/>
        <v>13</v>
      </c>
      <c r="X542" s="73">
        <f t="shared" si="207"/>
        <v>58.449085147705205</v>
      </c>
      <c r="Y542" s="322">
        <f t="shared" si="219"/>
        <v>6363.6630000000005</v>
      </c>
      <c r="Z542" s="43">
        <f t="shared" si="208"/>
        <v>1.0569461101771618E-2</v>
      </c>
      <c r="AA542" s="52">
        <f t="shared" si="220"/>
        <v>1.0569461101771618E-4</v>
      </c>
      <c r="AB542" s="8">
        <f t="shared" si="221"/>
        <v>327</v>
      </c>
      <c r="AC542" s="8">
        <f t="shared" si="222"/>
        <v>354347</v>
      </c>
      <c r="AD542" s="8">
        <f t="shared" si="226"/>
        <v>1771.7349999999999</v>
      </c>
      <c r="AE542" s="8" t="str">
        <f t="shared" si="223"/>
        <v/>
      </c>
      <c r="AF542" s="22" t="str">
        <f t="shared" si="224"/>
        <v>CO_Arapa_2020g</v>
      </c>
      <c r="AG542">
        <v>1</v>
      </c>
      <c r="AH542" s="272">
        <v>92227</v>
      </c>
      <c r="AI542" s="273">
        <v>51005</v>
      </c>
      <c r="AJ542" s="274">
        <v>41222</v>
      </c>
      <c r="AK542" s="339">
        <v>9783</v>
      </c>
      <c r="AL542" s="340" t="s">
        <v>5698</v>
      </c>
      <c r="AM542" s="353">
        <f t="shared" si="225"/>
        <v>2.7608530621114333E-2</v>
      </c>
      <c r="AP542" s="23">
        <f t="shared" si="227"/>
        <v>27</v>
      </c>
      <c r="AQ542" s="392">
        <f t="shared" si="205"/>
        <v>0.242613080783458</v>
      </c>
      <c r="AR542" s="392">
        <f t="shared" si="206"/>
        <v>0.75407709607097229</v>
      </c>
      <c r="AS542" s="392">
        <f t="shared" si="206"/>
        <v>0.99773544957722715</v>
      </c>
    </row>
    <row r="543" spans="1:45">
      <c r="A543" s="12" t="s">
        <v>1544</v>
      </c>
      <c r="B543" s="54" t="str">
        <f t="shared" si="209"/>
        <v>AZ_Maric_2020g</v>
      </c>
      <c r="C543" s="12"/>
      <c r="D543" s="54" t="str">
        <f t="shared" si="210"/>
        <v>Gen-state senator dist-12 (vote for1)</v>
      </c>
      <c r="E543" s="54" t="s">
        <v>1299</v>
      </c>
      <c r="G543" s="59">
        <v>140</v>
      </c>
      <c r="H543"/>
      <c r="K543" s="2"/>
      <c r="O543">
        <f t="shared" si="211"/>
        <v>-2</v>
      </c>
      <c r="P543" s="57">
        <f t="shared" si="212"/>
        <v>1</v>
      </c>
      <c r="Q543" s="267">
        <f t="shared" si="213"/>
        <v>140</v>
      </c>
      <c r="R543" s="23">
        <f t="shared" si="214"/>
        <v>1</v>
      </c>
      <c r="S543" s="23">
        <f t="shared" si="215"/>
        <v>0</v>
      </c>
      <c r="T543" s="23" t="str">
        <f t="shared" si="216"/>
        <v/>
      </c>
      <c r="U543" t="str">
        <f t="shared" si="217"/>
        <v/>
      </c>
      <c r="W543" s="1">
        <f t="shared" si="218"/>
        <v>14</v>
      </c>
      <c r="X543" s="73">
        <f t="shared" si="207"/>
        <v>29.259465368180464</v>
      </c>
      <c r="Y543" s="322">
        <f t="shared" si="219"/>
        <v>3276.8100000000004</v>
      </c>
      <c r="Z543" s="43">
        <f t="shared" si="208"/>
        <v>8.1021840955082577E-3</v>
      </c>
      <c r="AA543" s="52">
        <f t="shared" si="220"/>
        <v>8.1021840955082571E-5</v>
      </c>
      <c r="AB543" s="8">
        <f t="shared" si="221"/>
        <v>327</v>
      </c>
      <c r="AC543" s="8">
        <f t="shared" si="222"/>
        <v>354347</v>
      </c>
      <c r="AD543" s="8">
        <f t="shared" si="226"/>
        <v>1771.7349999999999</v>
      </c>
      <c r="AE543" s="8" t="str">
        <f t="shared" si="223"/>
        <v/>
      </c>
      <c r="AF543" s="22" t="str">
        <f t="shared" si="224"/>
        <v>CO_Arapa_2020g</v>
      </c>
      <c r="AG543">
        <v>1</v>
      </c>
      <c r="AH543" s="272">
        <v>47490</v>
      </c>
      <c r="AI543" s="273">
        <v>28071</v>
      </c>
      <c r="AJ543" s="274">
        <v>18008</v>
      </c>
      <c r="AK543" s="339">
        <v>10063</v>
      </c>
      <c r="AL543" s="340" t="s">
        <v>5691</v>
      </c>
      <c r="AM543" s="353">
        <f t="shared" si="225"/>
        <v>2.8398716512345244E-2</v>
      </c>
      <c r="AO543" s="356"/>
      <c r="AP543" s="23">
        <f t="shared" si="227"/>
        <v>28</v>
      </c>
      <c r="AQ543" s="392">
        <f t="shared" si="205"/>
        <v>0.25043014761023408</v>
      </c>
      <c r="AR543" s="392">
        <f t="shared" si="206"/>
        <v>0.76662706077835951</v>
      </c>
      <c r="AS543" s="392">
        <f t="shared" si="206"/>
        <v>0.99819641024241312</v>
      </c>
    </row>
    <row r="544" spans="1:45">
      <c r="A544" s="12" t="s">
        <v>1546</v>
      </c>
      <c r="B544" s="54" t="str">
        <f t="shared" si="209"/>
        <v>AZ_Maric_2020g</v>
      </c>
      <c r="C544" s="12"/>
      <c r="D544" s="54" t="str">
        <f t="shared" si="210"/>
        <v>Gen-state senator dist-13 (vote for1)</v>
      </c>
      <c r="E544" s="54" t="s">
        <v>1827</v>
      </c>
      <c r="F544" s="12" t="s">
        <v>1296</v>
      </c>
      <c r="G544" s="59">
        <v>64192</v>
      </c>
      <c r="H544"/>
      <c r="K544" s="2"/>
      <c r="O544">
        <f t="shared" si="211"/>
        <v>1</v>
      </c>
      <c r="P544" s="57">
        <f t="shared" si="212"/>
        <v>1</v>
      </c>
      <c r="Q544" s="267">
        <f t="shared" si="213"/>
        <v>68186</v>
      </c>
      <c r="R544" s="23">
        <f t="shared" si="214"/>
        <v>64192</v>
      </c>
      <c r="S544" s="23">
        <f t="shared" si="215"/>
        <v>145</v>
      </c>
      <c r="T544" s="23">
        <f t="shared" si="216"/>
        <v>64047</v>
      </c>
      <c r="U544" t="str">
        <f t="shared" si="217"/>
        <v>AZ_Maric_2020g~Gen-state senator dist-13 (vote for1)</v>
      </c>
      <c r="W544" s="1">
        <f t="shared" si="218"/>
        <v>15</v>
      </c>
      <c r="X544" s="73">
        <f t="shared" si="207"/>
        <v>10.644011246485475</v>
      </c>
      <c r="Y544" s="322">
        <f t="shared" si="219"/>
        <v>1263.942</v>
      </c>
      <c r="Z544" s="43">
        <f t="shared" si="208"/>
        <v>4.5498665377506362E-3</v>
      </c>
      <c r="AA544" s="52">
        <f t="shared" si="220"/>
        <v>4.5498665377506358E-5</v>
      </c>
      <c r="AB544" s="8">
        <f t="shared" si="221"/>
        <v>327</v>
      </c>
      <c r="AC544" s="8">
        <f t="shared" si="222"/>
        <v>354347</v>
      </c>
      <c r="AD544" s="8">
        <f t="shared" si="226"/>
        <v>1771.7349999999999</v>
      </c>
      <c r="AE544" s="8" t="str">
        <f t="shared" si="223"/>
        <v/>
      </c>
      <c r="AF544" s="22" t="str">
        <f t="shared" si="224"/>
        <v>CO_Arapa_2020g</v>
      </c>
      <c r="AG544">
        <v>1</v>
      </c>
      <c r="AH544" s="272">
        <v>18318</v>
      </c>
      <c r="AI544" s="273">
        <v>14494</v>
      </c>
      <c r="AJ544" s="274">
        <v>3824</v>
      </c>
      <c r="AK544" s="339">
        <v>10670</v>
      </c>
      <c r="AL544" s="340" t="s">
        <v>5690</v>
      </c>
      <c r="AM544" s="353">
        <f t="shared" si="225"/>
        <v>3.0111726640835113E-2</v>
      </c>
      <c r="AP544" s="23">
        <f t="shared" si="227"/>
        <v>30</v>
      </c>
      <c r="AQ544" s="392">
        <f t="shared" si="205"/>
        <v>0.26583625496839769</v>
      </c>
      <c r="AR544" s="392">
        <f t="shared" si="206"/>
        <v>0.78985777950107905</v>
      </c>
      <c r="AS544" s="392">
        <f t="shared" si="206"/>
        <v>0.99885644212297542</v>
      </c>
    </row>
    <row r="545" spans="1:45">
      <c r="A545" s="12" t="s">
        <v>1546</v>
      </c>
      <c r="B545" s="54" t="str">
        <f t="shared" si="209"/>
        <v>AZ_Maric_2020g</v>
      </c>
      <c r="C545" s="12"/>
      <c r="D545" s="54" t="str">
        <f t="shared" si="210"/>
        <v>Gen-state senator dist-13 (vote for1)</v>
      </c>
      <c r="E545" s="54" t="s">
        <v>1299</v>
      </c>
      <c r="G545" s="59">
        <v>1997</v>
      </c>
      <c r="H545"/>
      <c r="K545" s="2"/>
      <c r="O545">
        <f t="shared" si="211"/>
        <v>-1</v>
      </c>
      <c r="P545" s="57">
        <f t="shared" si="212"/>
        <v>1</v>
      </c>
      <c r="Q545" s="267">
        <f t="shared" si="213"/>
        <v>3994</v>
      </c>
      <c r="R545" s="23" t="str">
        <f t="shared" si="214"/>
        <v/>
      </c>
      <c r="S545" s="23">
        <f t="shared" si="215"/>
        <v>145</v>
      </c>
      <c r="T545" s="23" t="str">
        <f t="shared" si="216"/>
        <v/>
      </c>
      <c r="U545" t="str">
        <f t="shared" si="217"/>
        <v/>
      </c>
      <c r="W545" s="1">
        <f t="shared" si="218"/>
        <v>16</v>
      </c>
      <c r="X545" s="73">
        <f t="shared" si="207"/>
        <v>19.417464077056689</v>
      </c>
      <c r="Y545" s="322">
        <f t="shared" si="219"/>
        <v>2737.0920000000001</v>
      </c>
      <c r="Z545" s="43">
        <f t="shared" si="208"/>
        <v>6.7733986075735417E-4</v>
      </c>
      <c r="AA545" s="52">
        <f t="shared" si="220"/>
        <v>6.773398607573542E-6</v>
      </c>
      <c r="AB545" s="8">
        <f t="shared" si="221"/>
        <v>327</v>
      </c>
      <c r="AC545" s="8">
        <f t="shared" si="222"/>
        <v>354347</v>
      </c>
      <c r="AD545" s="8">
        <f t="shared" si="226"/>
        <v>1771.7349999999999</v>
      </c>
      <c r="AE545" s="8" t="str">
        <f t="shared" si="223"/>
        <v/>
      </c>
      <c r="AF545" s="22" t="str">
        <f t="shared" si="224"/>
        <v>CO_Arapa_2020g</v>
      </c>
      <c r="AG545">
        <v>1</v>
      </c>
      <c r="AH545" s="272">
        <v>39668</v>
      </c>
      <c r="AI545" s="273">
        <v>26167</v>
      </c>
      <c r="AJ545" s="274">
        <v>13501</v>
      </c>
      <c r="AK545" s="339">
        <v>12666</v>
      </c>
      <c r="AL545" s="340" t="s">
        <v>5696</v>
      </c>
      <c r="AM545" s="353">
        <f t="shared" si="225"/>
        <v>3.5744623208324042E-2</v>
      </c>
      <c r="AP545" s="23">
        <f t="shared" si="227"/>
        <v>39</v>
      </c>
      <c r="AQ545" s="392">
        <f t="shared" si="205"/>
        <v>0.33153700979680989</v>
      </c>
      <c r="AR545" s="392">
        <f t="shared" si="206"/>
        <v>0.86910310698603077</v>
      </c>
      <c r="AS545" s="392">
        <f t="shared" si="206"/>
        <v>0.99985390691244613</v>
      </c>
    </row>
    <row r="546" spans="1:45">
      <c r="A546" s="12" t="s">
        <v>1546</v>
      </c>
      <c r="B546" s="54" t="str">
        <f t="shared" si="209"/>
        <v>AZ_Maric_2020g</v>
      </c>
      <c r="C546" s="12"/>
      <c r="D546" s="54" t="str">
        <f t="shared" si="210"/>
        <v>Gen-state senator dist-13 (vote for1)</v>
      </c>
      <c r="E546" s="54" t="s">
        <v>1765</v>
      </c>
      <c r="G546" s="59">
        <v>1852</v>
      </c>
      <c r="H546"/>
      <c r="K546" s="2"/>
      <c r="O546">
        <f t="shared" si="211"/>
        <v>-1</v>
      </c>
      <c r="P546" s="57">
        <f t="shared" si="212"/>
        <v>1</v>
      </c>
      <c r="Q546" s="267">
        <f t="shared" si="213"/>
        <v>1997</v>
      </c>
      <c r="R546" s="23" t="str">
        <f t="shared" si="214"/>
        <v/>
      </c>
      <c r="S546" s="23">
        <f t="shared" si="215"/>
        <v>145</v>
      </c>
      <c r="T546" s="23" t="str">
        <f t="shared" si="216"/>
        <v/>
      </c>
      <c r="U546" t="str">
        <f t="shared" si="217"/>
        <v/>
      </c>
      <c r="W546" s="1">
        <f t="shared" si="218"/>
        <v>17</v>
      </c>
      <c r="X546" s="73">
        <f t="shared" si="207"/>
        <v>14.893378239525061</v>
      </c>
      <c r="Y546" s="322">
        <f t="shared" si="219"/>
        <v>2903.5890000000004</v>
      </c>
      <c r="Z546" s="43">
        <f t="shared" si="208"/>
        <v>6.3051297252978771E-6</v>
      </c>
      <c r="AA546" s="52">
        <f t="shared" si="220"/>
        <v>6.305129725297877E-8</v>
      </c>
      <c r="AB546" s="8">
        <f t="shared" si="221"/>
        <v>327</v>
      </c>
      <c r="AC546" s="8">
        <f t="shared" si="222"/>
        <v>354347</v>
      </c>
      <c r="AD546" s="8">
        <f t="shared" si="226"/>
        <v>1771.7349999999999</v>
      </c>
      <c r="AE546" s="8" t="str">
        <f t="shared" si="223"/>
        <v/>
      </c>
      <c r="AF546" s="22" t="str">
        <f t="shared" si="224"/>
        <v>CO_Arapa_2020g</v>
      </c>
      <c r="AG546">
        <v>1</v>
      </c>
      <c r="AH546" s="8">
        <v>42081</v>
      </c>
      <c r="AI546" s="273">
        <v>28215</v>
      </c>
      <c r="AJ546" s="274">
        <v>10697</v>
      </c>
      <c r="AK546" s="339">
        <v>17518</v>
      </c>
      <c r="AL546" s="23" t="s">
        <v>5681</v>
      </c>
      <c r="AM546" s="353">
        <f t="shared" si="225"/>
        <v>4.9437415866368274E-2</v>
      </c>
      <c r="AP546" s="23">
        <f t="shared" si="227"/>
        <v>59</v>
      </c>
      <c r="AQ546" s="392">
        <f t="shared" si="205"/>
        <v>0.45820894110335764</v>
      </c>
      <c r="AR546" s="392">
        <f t="shared" si="206"/>
        <v>0.95469751191691754</v>
      </c>
      <c r="AS546" s="392">
        <f t="shared" si="206"/>
        <v>0.99999855468268206</v>
      </c>
    </row>
    <row r="547" spans="1:45">
      <c r="A547" s="12" t="s">
        <v>1546</v>
      </c>
      <c r="B547" s="54" t="str">
        <f t="shared" si="209"/>
        <v>AZ_Maric_2020g</v>
      </c>
      <c r="C547" s="12"/>
      <c r="D547" s="54" t="str">
        <f t="shared" si="210"/>
        <v>Gen-state senator dist-13 (vote for1)</v>
      </c>
      <c r="E547" s="54" t="s">
        <v>1828</v>
      </c>
      <c r="G547" s="59">
        <v>145</v>
      </c>
      <c r="H547"/>
      <c r="K547" s="2"/>
      <c r="O547">
        <f t="shared" si="211"/>
        <v>2</v>
      </c>
      <c r="P547" s="57">
        <f t="shared" si="212"/>
        <v>1</v>
      </c>
      <c r="Q547" s="267">
        <f t="shared" si="213"/>
        <v>145</v>
      </c>
      <c r="R547" s="23" t="str">
        <f t="shared" si="214"/>
        <v/>
      </c>
      <c r="S547" s="23">
        <f t="shared" si="215"/>
        <v>145</v>
      </c>
      <c r="T547" s="23" t="str">
        <f t="shared" si="216"/>
        <v/>
      </c>
      <c r="U547" t="str">
        <f t="shared" si="217"/>
        <v/>
      </c>
      <c r="W547" s="1">
        <f t="shared" si="218"/>
        <v>18</v>
      </c>
      <c r="X547" s="73">
        <f t="shared" si="207"/>
        <v>26.015630568708318</v>
      </c>
      <c r="Y547" s="322">
        <f t="shared" si="219"/>
        <v>5686.6350000000002</v>
      </c>
      <c r="Z547" s="43">
        <f t="shared" si="208"/>
        <v>7.9755223071758559E-7</v>
      </c>
      <c r="AA547" s="52">
        <f t="shared" si="220"/>
        <v>7.975522307175856E-9</v>
      </c>
      <c r="AB547" s="8">
        <f t="shared" si="221"/>
        <v>327</v>
      </c>
      <c r="AC547" s="8">
        <f t="shared" si="222"/>
        <v>354347</v>
      </c>
      <c r="AD547" s="8">
        <f t="shared" si="226"/>
        <v>1771.7349999999999</v>
      </c>
      <c r="AE547" s="8" t="str">
        <f t="shared" si="223"/>
        <v/>
      </c>
      <c r="AF547" s="22" t="str">
        <f t="shared" si="224"/>
        <v>CO_Arapa_2020g</v>
      </c>
      <c r="AG547">
        <v>1</v>
      </c>
      <c r="AH547" s="272">
        <v>82415</v>
      </c>
      <c r="AI547" s="273">
        <v>51028</v>
      </c>
      <c r="AJ547" s="274">
        <v>31387</v>
      </c>
      <c r="AK547" s="339">
        <v>19641</v>
      </c>
      <c r="AL547" s="340" t="s">
        <v>5699</v>
      </c>
      <c r="AM547" s="353">
        <f t="shared" si="225"/>
        <v>5.54287181773798E-2</v>
      </c>
      <c r="AP547" s="23">
        <f t="shared" si="227"/>
        <v>68</v>
      </c>
      <c r="AQ547" s="392">
        <f t="shared" si="205"/>
        <v>0.50748293546422696</v>
      </c>
      <c r="AR547" s="392">
        <f t="shared" si="206"/>
        <v>0.97201325492792978</v>
      </c>
      <c r="AS547" s="392">
        <f t="shared" si="206"/>
        <v>0.99999982247892161</v>
      </c>
    </row>
    <row r="548" spans="1:45">
      <c r="A548" s="12" t="s">
        <v>1548</v>
      </c>
      <c r="B548" s="54" t="str">
        <f t="shared" si="209"/>
        <v>AZ_Maric_2020g</v>
      </c>
      <c r="C548" s="12"/>
      <c r="D548" s="54" t="str">
        <f t="shared" si="210"/>
        <v>Gen-state senator dist-15 (vote for1)</v>
      </c>
      <c r="E548" s="54" t="s">
        <v>1832</v>
      </c>
      <c r="F548" s="12" t="s">
        <v>1296</v>
      </c>
      <c r="G548" s="59">
        <v>91249</v>
      </c>
      <c r="H548"/>
      <c r="K548" s="2"/>
      <c r="O548">
        <f t="shared" si="211"/>
        <v>1</v>
      </c>
      <c r="P548" s="57">
        <f t="shared" si="212"/>
        <v>1</v>
      </c>
      <c r="Q548" s="267">
        <f t="shared" si="213"/>
        <v>101427</v>
      </c>
      <c r="R548" s="23">
        <f t="shared" si="214"/>
        <v>91249</v>
      </c>
      <c r="S548" s="23">
        <f t="shared" si="215"/>
        <v>1342</v>
      </c>
      <c r="T548" s="23">
        <f t="shared" si="216"/>
        <v>89907</v>
      </c>
      <c r="U548" t="str">
        <f t="shared" si="217"/>
        <v>AZ_Maric_2020g~Gen-state senator dist-15 (vote for1)</v>
      </c>
      <c r="W548" s="1">
        <f t="shared" si="218"/>
        <v>19</v>
      </c>
      <c r="X548" s="73">
        <f t="shared" si="207"/>
        <v>26.099055939129212</v>
      </c>
      <c r="Y548" s="322">
        <f t="shared" si="219"/>
        <v>6184.1250000000009</v>
      </c>
      <c r="Z548" s="43">
        <f t="shared" si="208"/>
        <v>1.5846743525051516E-7</v>
      </c>
      <c r="AA548" s="52">
        <f t="shared" si="220"/>
        <v>1.5846743525051514E-9</v>
      </c>
      <c r="AB548" s="8">
        <f t="shared" si="221"/>
        <v>327</v>
      </c>
      <c r="AC548" s="8">
        <f t="shared" si="222"/>
        <v>354347</v>
      </c>
      <c r="AD548" s="8">
        <f t="shared" si="226"/>
        <v>1771.7349999999999</v>
      </c>
      <c r="AE548" s="8" t="str">
        <f t="shared" si="223"/>
        <v/>
      </c>
      <c r="AF548" s="22" t="str">
        <f t="shared" si="224"/>
        <v>CO_Arapa_2020g</v>
      </c>
      <c r="AG548">
        <v>1</v>
      </c>
      <c r="AH548" s="272">
        <v>89625</v>
      </c>
      <c r="AI548" s="273">
        <v>54275</v>
      </c>
      <c r="AJ548" s="274">
        <v>32984</v>
      </c>
      <c r="AK548" s="339">
        <v>21291</v>
      </c>
      <c r="AL548" s="340" t="s">
        <v>5697</v>
      </c>
      <c r="AM548" s="353">
        <f t="shared" si="225"/>
        <v>6.0085170750704818E-2</v>
      </c>
      <c r="AP548" s="23">
        <f t="shared" si="227"/>
        <v>75</v>
      </c>
      <c r="AQ548" s="392">
        <f t="shared" si="205"/>
        <v>0.54284789098512232</v>
      </c>
      <c r="AR548" s="392">
        <f t="shared" si="206"/>
        <v>0.98079216190771168</v>
      </c>
      <c r="AS548" s="392">
        <f t="shared" si="206"/>
        <v>0.99999996555214288</v>
      </c>
    </row>
    <row r="549" spans="1:45">
      <c r="A549" s="12" t="s">
        <v>1548</v>
      </c>
      <c r="B549" s="54" t="str">
        <f t="shared" si="209"/>
        <v>AZ_Maric_2020g</v>
      </c>
      <c r="C549" s="12"/>
      <c r="D549" s="54" t="str">
        <f t="shared" si="210"/>
        <v>Gen-state senator dist-15 (vote for1)</v>
      </c>
      <c r="E549" s="54" t="s">
        <v>1299</v>
      </c>
      <c r="G549" s="59">
        <v>5089</v>
      </c>
      <c r="H549"/>
      <c r="K549" s="2"/>
      <c r="O549">
        <f t="shared" si="211"/>
        <v>-1</v>
      </c>
      <c r="P549" s="57">
        <f t="shared" si="212"/>
        <v>1</v>
      </c>
      <c r="Q549" s="267">
        <f t="shared" si="213"/>
        <v>10178</v>
      </c>
      <c r="R549" s="23" t="str">
        <f t="shared" si="214"/>
        <v/>
      </c>
      <c r="S549" s="23">
        <f t="shared" si="215"/>
        <v>1342</v>
      </c>
      <c r="T549" s="23" t="str">
        <f t="shared" si="216"/>
        <v/>
      </c>
      <c r="U549" t="str">
        <f t="shared" si="217"/>
        <v/>
      </c>
      <c r="W549" s="1">
        <f t="shared" si="218"/>
        <v>20</v>
      </c>
      <c r="X549" s="73">
        <f t="shared" si="207"/>
        <v>16.609151481094969</v>
      </c>
      <c r="Y549" s="322">
        <f t="shared" si="219"/>
        <v>4605.1980000000003</v>
      </c>
      <c r="Z549" s="43">
        <f t="shared" si="208"/>
        <v>4.4323851566943147E-9</v>
      </c>
      <c r="AA549" s="52">
        <f t="shared" si="220"/>
        <v>4.4323851566943144E-11</v>
      </c>
      <c r="AB549" s="8">
        <f t="shared" si="221"/>
        <v>327</v>
      </c>
      <c r="AC549" s="8">
        <f t="shared" si="222"/>
        <v>354347</v>
      </c>
      <c r="AD549" s="8">
        <f t="shared" si="226"/>
        <v>1771.7349999999999</v>
      </c>
      <c r="AE549" s="8" t="str">
        <f t="shared" si="223"/>
        <v/>
      </c>
      <c r="AF549" s="22" t="str">
        <f t="shared" si="224"/>
        <v>CO_Arapa_2020g</v>
      </c>
      <c r="AG549">
        <v>1</v>
      </c>
      <c r="AH549" s="272">
        <v>66742</v>
      </c>
      <c r="AI549" s="273">
        <v>45828</v>
      </c>
      <c r="AJ549" s="274">
        <v>20914</v>
      </c>
      <c r="AK549" s="339">
        <v>24914</v>
      </c>
      <c r="AL549" s="340" t="s">
        <v>5700</v>
      </c>
      <c r="AM549" s="353">
        <f t="shared" si="225"/>
        <v>7.0309611764739086E-2</v>
      </c>
      <c r="AP549" s="23">
        <f t="shared" si="227"/>
        <v>90</v>
      </c>
      <c r="AQ549" s="392">
        <f t="shared" si="205"/>
        <v>0.61071983931387019</v>
      </c>
      <c r="AR549" s="392">
        <f t="shared" si="206"/>
        <v>0.99147231704840755</v>
      </c>
      <c r="AS549" s="392">
        <f t="shared" si="206"/>
        <v>0.99999999899990311</v>
      </c>
    </row>
    <row r="550" spans="1:45">
      <c r="A550" s="12" t="s">
        <v>1548</v>
      </c>
      <c r="B550" s="54" t="str">
        <f t="shared" si="209"/>
        <v>AZ_Maric_2020g</v>
      </c>
      <c r="C550" s="12"/>
      <c r="D550" s="54" t="str">
        <f t="shared" si="210"/>
        <v>Gen-state senator dist-15 (vote for1)</v>
      </c>
      <c r="E550" s="54" t="s">
        <v>1765</v>
      </c>
      <c r="G550" s="59">
        <v>3747</v>
      </c>
      <c r="H550"/>
      <c r="K550" s="2"/>
      <c r="O550">
        <f t="shared" si="211"/>
        <v>-1</v>
      </c>
      <c r="P550" s="57">
        <f t="shared" si="212"/>
        <v>1</v>
      </c>
      <c r="Q550" s="267">
        <f t="shared" si="213"/>
        <v>5089</v>
      </c>
      <c r="R550" s="23" t="str">
        <f t="shared" si="214"/>
        <v/>
      </c>
      <c r="S550" s="23">
        <f t="shared" si="215"/>
        <v>1342</v>
      </c>
      <c r="T550" s="23" t="str">
        <f t="shared" si="216"/>
        <v/>
      </c>
      <c r="U550" t="str">
        <f t="shared" si="217"/>
        <v/>
      </c>
      <c r="W550" s="1">
        <f t="shared" si="218"/>
        <v>21</v>
      </c>
      <c r="X550" s="73">
        <f t="shared" si="207"/>
        <v>23.313256440659696</v>
      </c>
      <c r="Y550" s="322">
        <f t="shared" si="219"/>
        <v>12034.773000000001</v>
      </c>
      <c r="Z550" s="43">
        <f t="shared" si="208"/>
        <v>1.1894806099531967E-18</v>
      </c>
      <c r="AA550" s="52">
        <f t="shared" si="220"/>
        <v>1.1894806099531968E-20</v>
      </c>
      <c r="AB550" s="8">
        <f t="shared" si="221"/>
        <v>327</v>
      </c>
      <c r="AC550" s="8">
        <f t="shared" si="222"/>
        <v>354347</v>
      </c>
      <c r="AD550" s="8">
        <f t="shared" si="226"/>
        <v>1771.7349999999999</v>
      </c>
      <c r="AE550" s="8" t="str">
        <f t="shared" si="223"/>
        <v/>
      </c>
      <c r="AF550" s="22" t="str">
        <f t="shared" si="224"/>
        <v>CO_Arapa_2020g</v>
      </c>
      <c r="AG550">
        <v>1</v>
      </c>
      <c r="AH550" s="272">
        <v>174417</v>
      </c>
      <c r="AI550" s="273">
        <v>110401</v>
      </c>
      <c r="AJ550" s="274">
        <v>64016</v>
      </c>
      <c r="AK550" s="339">
        <v>46385</v>
      </c>
      <c r="AL550" s="340" t="s">
        <v>5687</v>
      </c>
      <c r="AM550" s="353">
        <f t="shared" si="225"/>
        <v>0.13090275915980662</v>
      </c>
      <c r="AP550" s="23">
        <f t="shared" si="227"/>
        <v>181</v>
      </c>
      <c r="AQ550" s="392">
        <f t="shared" si="205"/>
        <v>0.85779558681002666</v>
      </c>
      <c r="AR550" s="392">
        <f t="shared" si="206"/>
        <v>0.99994757166732584</v>
      </c>
      <c r="AS550" s="392">
        <f t="shared" si="206"/>
        <v>1</v>
      </c>
    </row>
    <row r="551" spans="1:45">
      <c r="A551" s="12" t="s">
        <v>1548</v>
      </c>
      <c r="B551" s="54" t="str">
        <f t="shared" si="209"/>
        <v>AZ_Maric_2020g</v>
      </c>
      <c r="C551" s="12"/>
      <c r="D551" s="54" t="str">
        <f t="shared" si="210"/>
        <v>Gen-state senator dist-15 (vote for1)</v>
      </c>
      <c r="E551" s="54" t="s">
        <v>1833</v>
      </c>
      <c r="G551" s="59">
        <v>1342</v>
      </c>
      <c r="H551"/>
      <c r="K551" s="2"/>
      <c r="O551">
        <f t="shared" si="211"/>
        <v>2</v>
      </c>
      <c r="P551" s="57">
        <f t="shared" si="212"/>
        <v>1</v>
      </c>
      <c r="Q551" s="267">
        <f t="shared" si="213"/>
        <v>1342</v>
      </c>
      <c r="R551" s="23" t="str">
        <f t="shared" si="214"/>
        <v/>
      </c>
      <c r="S551" s="23">
        <f t="shared" si="215"/>
        <v>1342</v>
      </c>
      <c r="T551" s="23" t="str">
        <f t="shared" si="216"/>
        <v/>
      </c>
      <c r="U551" t="str">
        <f t="shared" si="217"/>
        <v/>
      </c>
      <c r="W551" s="1">
        <f t="shared" si="218"/>
        <v>22</v>
      </c>
      <c r="X551" s="73">
        <f t="shared" si="207"/>
        <v>15.562963823913993</v>
      </c>
      <c r="Y551" s="322">
        <f t="shared" si="219"/>
        <v>11921.406000000001</v>
      </c>
      <c r="Z551" s="43">
        <f t="shared" si="208"/>
        <v>2.1303460324434136E-29</v>
      </c>
      <c r="AA551" s="52">
        <f t="shared" si="220"/>
        <v>2.1303460324434137E-31</v>
      </c>
      <c r="AB551" s="8">
        <f t="shared" si="221"/>
        <v>327</v>
      </c>
      <c r="AC551" s="8">
        <f t="shared" si="222"/>
        <v>354347</v>
      </c>
      <c r="AD551" s="8">
        <f t="shared" si="226"/>
        <v>1771.7349999999999</v>
      </c>
      <c r="AE551" s="8" t="str">
        <f t="shared" si="223"/>
        <v/>
      </c>
      <c r="AF551" s="22" t="str">
        <f t="shared" si="224"/>
        <v>CO_Arapa_2020g</v>
      </c>
      <c r="AG551">
        <v>1</v>
      </c>
      <c r="AH551" s="272">
        <v>172774</v>
      </c>
      <c r="AI551" s="273">
        <v>120802</v>
      </c>
      <c r="AJ551" s="274">
        <v>51972</v>
      </c>
      <c r="AK551" s="339">
        <v>68830</v>
      </c>
      <c r="AL551" s="340" t="s">
        <v>5688</v>
      </c>
      <c r="AM551" s="353">
        <f t="shared" si="225"/>
        <v>0.19424462461937028</v>
      </c>
      <c r="AP551" s="23">
        <f t="shared" si="227"/>
        <v>275</v>
      </c>
      <c r="AQ551" s="392">
        <f t="shared" si="205"/>
        <v>0.95280591212758459</v>
      </c>
      <c r="AR551" s="392">
        <f t="shared" si="206"/>
        <v>0.99999980310412695</v>
      </c>
      <c r="AS551" s="392">
        <f t="shared" si="206"/>
        <v>1</v>
      </c>
    </row>
    <row r="552" spans="1:45">
      <c r="A552" s="12" t="s">
        <v>1550</v>
      </c>
      <c r="B552" s="54" t="str">
        <f t="shared" si="209"/>
        <v>AZ_Maric_2020g</v>
      </c>
      <c r="C552" s="12"/>
      <c r="D552" s="54" t="str">
        <f t="shared" si="210"/>
        <v>Gen-state senator dist-16 (vote for1)</v>
      </c>
      <c r="E552" s="54" t="s">
        <v>1837</v>
      </c>
      <c r="F552" s="12" t="s">
        <v>1296</v>
      </c>
      <c r="G552" s="59">
        <v>58735</v>
      </c>
      <c r="H552"/>
      <c r="K552" s="2"/>
      <c r="O552">
        <f t="shared" si="211"/>
        <v>1</v>
      </c>
      <c r="P552" s="57">
        <f t="shared" si="212"/>
        <v>1</v>
      </c>
      <c r="Q552" s="267">
        <f t="shared" si="213"/>
        <v>66627</v>
      </c>
      <c r="R552" s="23">
        <f t="shared" si="214"/>
        <v>58735</v>
      </c>
      <c r="S552" s="23">
        <f t="shared" si="215"/>
        <v>1074</v>
      </c>
      <c r="T552" s="23">
        <f t="shared" si="216"/>
        <v>57661</v>
      </c>
      <c r="U552" t="str">
        <f t="shared" si="217"/>
        <v>AZ_Maric_2020g~Gen-state senator dist-16 (vote for1)</v>
      </c>
      <c r="W552" s="1">
        <f t="shared" si="218"/>
        <v>23</v>
      </c>
      <c r="X552" s="73">
        <f t="shared" si="207"/>
        <v>11.671431799752749</v>
      </c>
      <c r="Y552" s="322">
        <f t="shared" si="219"/>
        <v>19542.732</v>
      </c>
      <c r="Z552" s="43">
        <f t="shared" si="208"/>
        <v>3.2460313711198114E-77</v>
      </c>
      <c r="AA552" s="52">
        <f t="shared" si="220"/>
        <v>3.2460313711198116E-79</v>
      </c>
      <c r="AB552" s="8">
        <f t="shared" si="221"/>
        <v>327</v>
      </c>
      <c r="AC552" s="8">
        <f t="shared" si="222"/>
        <v>354347</v>
      </c>
      <c r="AD552" s="8">
        <f t="shared" si="226"/>
        <v>1771.7349999999999</v>
      </c>
      <c r="AE552" s="8" t="str">
        <f t="shared" si="223"/>
        <v/>
      </c>
      <c r="AF552" s="22" t="str">
        <f t="shared" si="224"/>
        <v>CO_Arapa_2020g</v>
      </c>
      <c r="AG552">
        <v>1</v>
      </c>
      <c r="AH552" s="8">
        <v>283228</v>
      </c>
      <c r="AI552" s="273">
        <v>216841</v>
      </c>
      <c r="AJ552" s="274">
        <v>66387</v>
      </c>
      <c r="AK552" s="339">
        <v>150454</v>
      </c>
      <c r="AL552" s="23" t="s">
        <v>5683</v>
      </c>
      <c r="AM552" s="353">
        <f t="shared" si="225"/>
        <v>0.42459510028305586</v>
      </c>
      <c r="AP552" s="23">
        <f t="shared" si="227"/>
        <v>618</v>
      </c>
      <c r="AQ552" s="392">
        <f t="shared" si="205"/>
        <v>0.99957858146560286</v>
      </c>
      <c r="AR552" s="392">
        <f t="shared" si="206"/>
        <v>1</v>
      </c>
      <c r="AS552" s="392">
        <f t="shared" si="206"/>
        <v>1</v>
      </c>
    </row>
    <row r="553" spans="1:45">
      <c r="A553" s="12" t="s">
        <v>1550</v>
      </c>
      <c r="B553" s="54" t="str">
        <f t="shared" si="209"/>
        <v>AZ_Maric_2020g</v>
      </c>
      <c r="C553" s="12"/>
      <c r="D553" s="54" t="str">
        <f t="shared" si="210"/>
        <v>Gen-state senator dist-16 (vote for1)</v>
      </c>
      <c r="E553" s="54" t="s">
        <v>1299</v>
      </c>
      <c r="G553" s="59">
        <v>3946</v>
      </c>
      <c r="H553"/>
      <c r="K553" s="2"/>
      <c r="O553">
        <f t="shared" si="211"/>
        <v>-1</v>
      </c>
      <c r="P553" s="57">
        <f t="shared" si="212"/>
        <v>1</v>
      </c>
      <c r="Q553" s="267">
        <f t="shared" si="213"/>
        <v>7892</v>
      </c>
      <c r="R553" s="23" t="str">
        <f t="shared" si="214"/>
        <v/>
      </c>
      <c r="S553" s="23">
        <f t="shared" si="215"/>
        <v>1074</v>
      </c>
      <c r="T553" s="23" t="str">
        <f t="shared" si="216"/>
        <v/>
      </c>
      <c r="U553" t="str">
        <f t="shared" si="217"/>
        <v/>
      </c>
      <c r="W553" s="1">
        <f t="shared" si="218"/>
        <v>24</v>
      </c>
      <c r="X553" s="73">
        <f t="shared" si="207"/>
        <v>11.459804401297033</v>
      </c>
      <c r="Y553" s="322">
        <f t="shared" si="219"/>
        <v>19547.907000000003</v>
      </c>
      <c r="Z553" s="43">
        <f t="shared" si="208"/>
        <v>3.4212154209498132E-79</v>
      </c>
      <c r="AA553" s="52">
        <f t="shared" si="220"/>
        <v>3.4212154209498131E-81</v>
      </c>
      <c r="AB553" s="8">
        <f t="shared" si="221"/>
        <v>327</v>
      </c>
      <c r="AC553" s="8">
        <f t="shared" si="222"/>
        <v>354347</v>
      </c>
      <c r="AD553" s="8">
        <f t="shared" si="226"/>
        <v>1771.7349999999999</v>
      </c>
      <c r="AE553" s="8" t="str">
        <f t="shared" si="223"/>
        <v/>
      </c>
      <c r="AF553" s="22" t="str">
        <f t="shared" si="224"/>
        <v>CO_Arapa_2020g</v>
      </c>
      <c r="AG553">
        <v>1</v>
      </c>
      <c r="AH553" s="8">
        <v>283303</v>
      </c>
      <c r="AI553" s="273">
        <v>218288</v>
      </c>
      <c r="AJ553" s="274">
        <v>65015</v>
      </c>
      <c r="AK553" s="339">
        <v>153273</v>
      </c>
      <c r="AL553" s="23" t="s">
        <v>5682</v>
      </c>
      <c r="AM553" s="353">
        <f t="shared" si="225"/>
        <v>0.43255057895226995</v>
      </c>
      <c r="AP553" s="23">
        <f t="shared" si="227"/>
        <v>630</v>
      </c>
      <c r="AQ553" s="392">
        <f t="shared" ref="AQ553:AQ616" si="228">IF($AP553=$AD553,1,IF($AP553=0,0, 1-HYPGEOMDIST(0, ROUNDUP(RIGHT(AQ$1,4)*$AD553,0),$AP553, $AD553)))</f>
        <v>0.99965140964444166</v>
      </c>
      <c r="AR553" s="392">
        <f t="shared" ref="AR553:AS616" si="229">IF($AP553=$AD553,1,IF($AP553=0,0, 1-HYPGEOMDIST(0, ROUNDUP(RIGHT(AR$1,4)*$AD553,0),$AP553, $AD553)))</f>
        <v>1</v>
      </c>
      <c r="AS553" s="392">
        <f t="shared" si="229"/>
        <v>1</v>
      </c>
    </row>
    <row r="554" spans="1:45">
      <c r="A554" s="12" t="s">
        <v>1550</v>
      </c>
      <c r="B554" s="54" t="str">
        <f t="shared" si="209"/>
        <v>AZ_Maric_2020g</v>
      </c>
      <c r="C554" s="12"/>
      <c r="D554" s="54" t="str">
        <f t="shared" si="210"/>
        <v>Gen-state senator dist-16 (vote for1)</v>
      </c>
      <c r="E554" s="54" t="s">
        <v>1765</v>
      </c>
      <c r="G554" s="59">
        <v>1814</v>
      </c>
      <c r="H554"/>
      <c r="K554" s="2"/>
      <c r="O554">
        <f t="shared" si="211"/>
        <v>-1</v>
      </c>
      <c r="P554" s="57">
        <f t="shared" si="212"/>
        <v>1</v>
      </c>
      <c r="Q554" s="267">
        <f t="shared" si="213"/>
        <v>3946</v>
      </c>
      <c r="R554" s="23" t="str">
        <f t="shared" si="214"/>
        <v/>
      </c>
      <c r="S554" s="23">
        <f t="shared" si="215"/>
        <v>1074</v>
      </c>
      <c r="T554" s="23" t="str">
        <f t="shared" si="216"/>
        <v/>
      </c>
      <c r="U554" t="str">
        <f t="shared" si="217"/>
        <v/>
      </c>
      <c r="W554" s="1">
        <f t="shared" si="218"/>
        <v>25</v>
      </c>
      <c r="X554" s="73">
        <f t="shared" si="207"/>
        <v>11.37181282909242</v>
      </c>
      <c r="Y554" s="322">
        <f t="shared" si="219"/>
        <v>19516.650000000001</v>
      </c>
      <c r="Z554" s="43">
        <f t="shared" si="208"/>
        <v>7.403401285092103E-80</v>
      </c>
      <c r="AA554" s="52">
        <f t="shared" si="220"/>
        <v>7.4034012850921029E-82</v>
      </c>
      <c r="AB554" s="8">
        <f t="shared" si="221"/>
        <v>327</v>
      </c>
      <c r="AC554" s="8">
        <f t="shared" si="222"/>
        <v>354347</v>
      </c>
      <c r="AD554" s="8">
        <f t="shared" si="226"/>
        <v>1771.7349999999999</v>
      </c>
      <c r="AE554" s="8" t="str">
        <f t="shared" si="223"/>
        <v/>
      </c>
      <c r="AF554" s="22" t="str">
        <f t="shared" si="224"/>
        <v>CO_Arapa_2020g</v>
      </c>
      <c r="AG554">
        <v>1</v>
      </c>
      <c r="AH554" s="8">
        <v>282850</v>
      </c>
      <c r="AI554" s="273">
        <v>218531</v>
      </c>
      <c r="AJ554" s="274">
        <v>64319</v>
      </c>
      <c r="AK554" s="339">
        <v>154212</v>
      </c>
      <c r="AL554" s="23" t="s">
        <v>5684</v>
      </c>
      <c r="AM554" s="353">
        <f t="shared" si="225"/>
        <v>0.43520052378036217</v>
      </c>
      <c r="AP554" s="23">
        <f t="shared" si="227"/>
        <v>634</v>
      </c>
      <c r="AQ554" s="392">
        <f t="shared" si="228"/>
        <v>0.99967291913781753</v>
      </c>
      <c r="AR554" s="392">
        <f t="shared" si="229"/>
        <v>1</v>
      </c>
      <c r="AS554" s="392">
        <f t="shared" si="229"/>
        <v>1</v>
      </c>
    </row>
    <row r="555" spans="1:45">
      <c r="A555" s="12" t="s">
        <v>1550</v>
      </c>
      <c r="B555" s="54" t="str">
        <f t="shared" si="209"/>
        <v>AZ_Maric_2020g</v>
      </c>
      <c r="C555" s="12"/>
      <c r="D555" s="54" t="str">
        <f t="shared" si="210"/>
        <v>Gen-state senator dist-16 (vote for1)</v>
      </c>
      <c r="E555" s="54" t="s">
        <v>1839</v>
      </c>
      <c r="G555" s="59">
        <v>1074</v>
      </c>
      <c r="H555"/>
      <c r="K555" s="2"/>
      <c r="O555">
        <f t="shared" si="211"/>
        <v>2</v>
      </c>
      <c r="P555" s="57">
        <f t="shared" si="212"/>
        <v>1</v>
      </c>
      <c r="Q555" s="267">
        <f t="shared" si="213"/>
        <v>2132</v>
      </c>
      <c r="R555" s="23" t="str">
        <f t="shared" si="214"/>
        <v/>
      </c>
      <c r="S555" s="23">
        <f t="shared" si="215"/>
        <v>1074</v>
      </c>
      <c r="T555" s="23" t="str">
        <f t="shared" si="216"/>
        <v/>
      </c>
      <c r="U555" t="str">
        <f t="shared" si="217"/>
        <v/>
      </c>
      <c r="W555" s="1">
        <f t="shared" si="218"/>
        <v>1</v>
      </c>
      <c r="X555" s="73">
        <f t="shared" si="207"/>
        <v>20.642352941176469</v>
      </c>
      <c r="Y555" s="322">
        <f t="shared" si="219"/>
        <v>20.642352941176469</v>
      </c>
      <c r="Z555" s="43">
        <f t="shared" si="208"/>
        <v>71.456563387848846</v>
      </c>
      <c r="AA555" s="52">
        <f t="shared" si="220"/>
        <v>0.71456563387848848</v>
      </c>
      <c r="AB555" s="8">
        <f t="shared" si="221"/>
        <v>823.99999999999989</v>
      </c>
      <c r="AC555" s="8">
        <f t="shared" si="222"/>
        <v>208445</v>
      </c>
      <c r="AD555" s="8">
        <f t="shared" si="226"/>
        <v>1042.2249999999999</v>
      </c>
      <c r="AE555" s="8" t="str">
        <f t="shared" si="223"/>
        <v/>
      </c>
      <c r="AF555" s="22" t="str">
        <f t="shared" si="224"/>
        <v>CO_Bould_2020g</v>
      </c>
      <c r="AG555">
        <v>1</v>
      </c>
      <c r="AH555" s="272">
        <v>283</v>
      </c>
      <c r="AI555" s="273">
        <v>184</v>
      </c>
      <c r="AJ555" s="274">
        <v>99</v>
      </c>
      <c r="AK555" s="339">
        <v>85</v>
      </c>
      <c r="AL555" s="340" t="s">
        <v>5703</v>
      </c>
      <c r="AM555" s="353">
        <f t="shared" si="225"/>
        <v>4.0778142915397344E-4</v>
      </c>
      <c r="AP555" s="23">
        <f t="shared" si="227"/>
        <v>0</v>
      </c>
      <c r="AQ555" s="392">
        <f t="shared" si="228"/>
        <v>0</v>
      </c>
      <c r="AR555" s="392">
        <f t="shared" si="229"/>
        <v>0</v>
      </c>
      <c r="AS555" s="392">
        <f t="shared" si="229"/>
        <v>0</v>
      </c>
    </row>
    <row r="556" spans="1:45">
      <c r="A556" s="12" t="s">
        <v>1550</v>
      </c>
      <c r="B556" s="54" t="str">
        <f t="shared" si="209"/>
        <v>AZ_Maric_2020g</v>
      </c>
      <c r="C556" s="12"/>
      <c r="D556" s="54" t="str">
        <f t="shared" si="210"/>
        <v>Gen-state senator dist-16 (vote for1)</v>
      </c>
      <c r="E556" s="54" t="s">
        <v>1838</v>
      </c>
      <c r="G556" s="59">
        <v>991</v>
      </c>
      <c r="H556"/>
      <c r="K556" s="2"/>
      <c r="O556">
        <f t="shared" si="211"/>
        <v>3</v>
      </c>
      <c r="P556" s="57">
        <f t="shared" si="212"/>
        <v>1</v>
      </c>
      <c r="Q556" s="267">
        <f t="shared" si="213"/>
        <v>1058</v>
      </c>
      <c r="R556" s="23" t="str">
        <f t="shared" si="214"/>
        <v/>
      </c>
      <c r="S556" s="23">
        <f t="shared" si="215"/>
        <v>991</v>
      </c>
      <c r="T556" s="23" t="str">
        <f t="shared" si="216"/>
        <v/>
      </c>
      <c r="U556" t="str">
        <f t="shared" si="217"/>
        <v/>
      </c>
      <c r="W556" s="1">
        <f t="shared" si="218"/>
        <v>2</v>
      </c>
      <c r="X556" s="73">
        <f t="shared" si="207"/>
        <v>11.048120300751879</v>
      </c>
      <c r="Y556" s="322">
        <f t="shared" si="219"/>
        <v>16.353000000000002</v>
      </c>
      <c r="Z556" s="43">
        <f t="shared" si="208"/>
        <v>59.10068939493263</v>
      </c>
      <c r="AA556" s="52">
        <f t="shared" si="220"/>
        <v>0.59100689394932626</v>
      </c>
      <c r="AB556" s="8">
        <f t="shared" si="221"/>
        <v>823.99999999999989</v>
      </c>
      <c r="AC556" s="8">
        <f t="shared" si="222"/>
        <v>208445</v>
      </c>
      <c r="AD556" s="8">
        <f t="shared" si="226"/>
        <v>1042.2249999999999</v>
      </c>
      <c r="AE556" s="8" t="str">
        <f t="shared" si="223"/>
        <v/>
      </c>
      <c r="AF556" s="22" t="str">
        <f t="shared" si="224"/>
        <v>CO_Bould_2020g</v>
      </c>
      <c r="AG556">
        <v>1</v>
      </c>
      <c r="AH556" s="272">
        <v>237</v>
      </c>
      <c r="AI556" s="273">
        <v>185</v>
      </c>
      <c r="AJ556" s="274">
        <v>52</v>
      </c>
      <c r="AK556" s="339">
        <v>133</v>
      </c>
      <c r="AL556" s="340" t="s">
        <v>5732</v>
      </c>
      <c r="AM556" s="353">
        <f t="shared" si="225"/>
        <v>6.3805800091151148E-4</v>
      </c>
      <c r="AP556" s="23">
        <f t="shared" si="227"/>
        <v>0</v>
      </c>
      <c r="AQ556" s="392">
        <f t="shared" si="228"/>
        <v>0</v>
      </c>
      <c r="AR556" s="392">
        <f t="shared" si="229"/>
        <v>0</v>
      </c>
      <c r="AS556" s="392">
        <f t="shared" si="229"/>
        <v>0</v>
      </c>
    </row>
    <row r="557" spans="1:45">
      <c r="A557" s="12" t="s">
        <v>1550</v>
      </c>
      <c r="B557" s="54" t="str">
        <f t="shared" si="209"/>
        <v>AZ_Maric_2020g</v>
      </c>
      <c r="C557" s="12"/>
      <c r="D557" s="54" t="str">
        <f t="shared" si="210"/>
        <v>Gen-state senator dist-16 (vote for1)</v>
      </c>
      <c r="E557" s="54" t="s">
        <v>1840</v>
      </c>
      <c r="G557" s="59">
        <v>67</v>
      </c>
      <c r="H557"/>
      <c r="K557" s="2"/>
      <c r="O557">
        <f t="shared" si="211"/>
        <v>4</v>
      </c>
      <c r="P557" s="57">
        <f t="shared" si="212"/>
        <v>1</v>
      </c>
      <c r="Q557" s="267">
        <f t="shared" si="213"/>
        <v>67</v>
      </c>
      <c r="R557" s="23" t="str">
        <f t="shared" si="214"/>
        <v/>
      </c>
      <c r="S557" s="23">
        <f t="shared" si="215"/>
        <v>67</v>
      </c>
      <c r="T557" s="23" t="str">
        <f t="shared" si="216"/>
        <v/>
      </c>
      <c r="U557" t="str">
        <f t="shared" si="217"/>
        <v/>
      </c>
      <c r="W557" s="1">
        <f t="shared" si="218"/>
        <v>3</v>
      </c>
      <c r="X557" s="73">
        <f t="shared" si="207"/>
        <v>118.30307017543859</v>
      </c>
      <c r="Y557" s="322">
        <f t="shared" si="219"/>
        <v>1200.7380000000001</v>
      </c>
      <c r="Z557" s="43">
        <f t="shared" si="208"/>
        <v>2.6967578139652506</v>
      </c>
      <c r="AA557" s="52">
        <f t="shared" si="220"/>
        <v>2.6967578139652504E-2</v>
      </c>
      <c r="AB557" s="8">
        <f t="shared" si="221"/>
        <v>823.99999999999989</v>
      </c>
      <c r="AC557" s="8">
        <f t="shared" si="222"/>
        <v>208445</v>
      </c>
      <c r="AD557" s="8">
        <f t="shared" si="226"/>
        <v>1042.2249999999999</v>
      </c>
      <c r="AE557" s="8" t="str">
        <f t="shared" si="223"/>
        <v/>
      </c>
      <c r="AF557" s="22" t="str">
        <f t="shared" si="224"/>
        <v>CO_Bould_2020g</v>
      </c>
      <c r="AG557">
        <v>1</v>
      </c>
      <c r="AH557" s="272">
        <v>17402</v>
      </c>
      <c r="AI557" s="273">
        <v>4344</v>
      </c>
      <c r="AJ557" s="274">
        <v>3432</v>
      </c>
      <c r="AK557" s="339">
        <v>912</v>
      </c>
      <c r="AL557" s="340" t="s">
        <v>5733</v>
      </c>
      <c r="AM557" s="353">
        <f t="shared" si="225"/>
        <v>4.3752548633932209E-3</v>
      </c>
      <c r="AP557" s="23">
        <f t="shared" si="227"/>
        <v>0</v>
      </c>
      <c r="AQ557" s="392">
        <f t="shared" si="228"/>
        <v>0</v>
      </c>
      <c r="AR557" s="392">
        <f t="shared" si="229"/>
        <v>0</v>
      </c>
      <c r="AS557" s="392">
        <f t="shared" si="229"/>
        <v>0</v>
      </c>
    </row>
    <row r="558" spans="1:45">
      <c r="A558" s="12" t="s">
        <v>1552</v>
      </c>
      <c r="B558" s="54" t="str">
        <f t="shared" si="209"/>
        <v>AZ_Maric_2020g</v>
      </c>
      <c r="C558" s="12"/>
      <c r="D558" s="54" t="str">
        <f t="shared" si="210"/>
        <v>Gen-state senator dist-17 (vote for1)</v>
      </c>
      <c r="E558" s="54" t="s">
        <v>1844</v>
      </c>
      <c r="F558" s="12" t="s">
        <v>1296</v>
      </c>
      <c r="G558" s="59">
        <v>67889</v>
      </c>
      <c r="H558"/>
      <c r="K558" s="2"/>
      <c r="O558">
        <f t="shared" si="211"/>
        <v>1</v>
      </c>
      <c r="P558" s="57">
        <f t="shared" si="212"/>
        <v>1</v>
      </c>
      <c r="Q558" s="267">
        <f t="shared" si="213"/>
        <v>129374</v>
      </c>
      <c r="R558" s="23">
        <f t="shared" si="214"/>
        <v>67889</v>
      </c>
      <c r="S558" s="23">
        <f t="shared" si="215"/>
        <v>61363</v>
      </c>
      <c r="T558" s="23">
        <f t="shared" si="216"/>
        <v>6526</v>
      </c>
      <c r="U558" t="str">
        <f t="shared" si="217"/>
        <v>AZ_Maric_2020g~Gen-state senator dist-17 (vote for1)</v>
      </c>
      <c r="W558" s="1">
        <f t="shared" si="218"/>
        <v>4</v>
      </c>
      <c r="X558" s="73">
        <f t="shared" si="207"/>
        <v>25.326565627680871</v>
      </c>
      <c r="Y558" s="322">
        <f t="shared" si="219"/>
        <v>985.66500000000008</v>
      </c>
      <c r="Z558" s="43">
        <f t="shared" si="208"/>
        <v>8.81890856241788E-5</v>
      </c>
      <c r="AA558" s="52">
        <f t="shared" si="220"/>
        <v>8.8189085624178804E-7</v>
      </c>
      <c r="AB558" s="8">
        <f t="shared" si="221"/>
        <v>823.99999999999989</v>
      </c>
      <c r="AC558" s="8">
        <f t="shared" si="222"/>
        <v>208445</v>
      </c>
      <c r="AD558" s="8">
        <f t="shared" si="226"/>
        <v>1042.2249999999999</v>
      </c>
      <c r="AE558" s="8" t="str">
        <f t="shared" si="223"/>
        <v/>
      </c>
      <c r="AF558" s="22" t="str">
        <f t="shared" si="224"/>
        <v>CO_Bould_2020g</v>
      </c>
      <c r="AG558">
        <v>1</v>
      </c>
      <c r="AH558" s="272">
        <v>14285</v>
      </c>
      <c r="AI558" s="273">
        <v>8891</v>
      </c>
      <c r="AJ558" s="274">
        <v>5394</v>
      </c>
      <c r="AK558" s="339">
        <v>3497</v>
      </c>
      <c r="AL558" s="340" t="s">
        <v>5712</v>
      </c>
      <c r="AM558" s="353">
        <f t="shared" si="225"/>
        <v>1.6776607738252295E-2</v>
      </c>
      <c r="AP558" s="23">
        <f t="shared" si="227"/>
        <v>6</v>
      </c>
      <c r="AQ558" s="392">
        <f t="shared" si="228"/>
        <v>6.1836054597243284E-2</v>
      </c>
      <c r="AR558" s="392">
        <f t="shared" si="229"/>
        <v>0.26947482412251045</v>
      </c>
      <c r="AS558" s="392">
        <f t="shared" si="229"/>
        <v>0.73993083340081101</v>
      </c>
    </row>
    <row r="559" spans="1:45">
      <c r="A559" s="12" t="s">
        <v>1552</v>
      </c>
      <c r="B559" s="54" t="str">
        <f t="shared" si="209"/>
        <v>AZ_Maric_2020g</v>
      </c>
      <c r="C559" s="12"/>
      <c r="D559" s="54" t="str">
        <f t="shared" si="210"/>
        <v>Gen-state senator dist-17 (vote for1)</v>
      </c>
      <c r="E559" s="54" t="s">
        <v>1845</v>
      </c>
      <c r="F559" s="12" t="s">
        <v>1294</v>
      </c>
      <c r="G559" s="59">
        <v>61363</v>
      </c>
      <c r="H559"/>
      <c r="K559" s="2"/>
      <c r="O559">
        <f t="shared" si="211"/>
        <v>2</v>
      </c>
      <c r="P559" s="57">
        <f t="shared" si="212"/>
        <v>1</v>
      </c>
      <c r="Q559" s="267">
        <f t="shared" si="213"/>
        <v>61485</v>
      </c>
      <c r="R559" s="23" t="str">
        <f t="shared" si="214"/>
        <v/>
      </c>
      <c r="S559" s="23">
        <f t="shared" si="215"/>
        <v>61363</v>
      </c>
      <c r="T559" s="23" t="str">
        <f t="shared" si="216"/>
        <v/>
      </c>
      <c r="U559" t="str">
        <f t="shared" si="217"/>
        <v/>
      </c>
      <c r="W559" s="1">
        <f t="shared" si="218"/>
        <v>5</v>
      </c>
      <c r="X559" s="73">
        <f t="shared" si="207"/>
        <v>94.282640990371377</v>
      </c>
      <c r="Y559" s="322">
        <f t="shared" si="219"/>
        <v>3814.1130000000003</v>
      </c>
      <c r="Z559" s="43">
        <f t="shared" si="208"/>
        <v>5.0625880018183498E-5</v>
      </c>
      <c r="AA559" s="52">
        <f t="shared" si="220"/>
        <v>5.0625880018183497E-7</v>
      </c>
      <c r="AB559" s="8">
        <f t="shared" si="221"/>
        <v>823.99999999999989</v>
      </c>
      <c r="AC559" s="8">
        <f t="shared" si="222"/>
        <v>208445</v>
      </c>
      <c r="AD559" s="8">
        <f t="shared" si="226"/>
        <v>1042.2249999999999</v>
      </c>
      <c r="AE559" s="8" t="str">
        <f t="shared" si="223"/>
        <v/>
      </c>
      <c r="AF559" s="22" t="str">
        <f t="shared" si="224"/>
        <v>CO_Bould_2020g</v>
      </c>
      <c r="AG559">
        <v>1</v>
      </c>
      <c r="AH559" s="272">
        <v>55277</v>
      </c>
      <c r="AI559" s="273">
        <v>29456</v>
      </c>
      <c r="AJ559" s="274">
        <v>25821</v>
      </c>
      <c r="AK559" s="339">
        <v>3635</v>
      </c>
      <c r="AL559" s="340" t="s">
        <v>5708</v>
      </c>
      <c r="AM559" s="353">
        <f t="shared" si="225"/>
        <v>1.7438652882055219E-2</v>
      </c>
      <c r="AP559" s="23">
        <f t="shared" si="227"/>
        <v>7</v>
      </c>
      <c r="AQ559" s="392">
        <f t="shared" si="228"/>
        <v>7.1797254789743303E-2</v>
      </c>
      <c r="AR559" s="392">
        <f t="shared" si="229"/>
        <v>0.30684725107377209</v>
      </c>
      <c r="AS559" s="392">
        <f t="shared" si="229"/>
        <v>0.79239652434601404</v>
      </c>
    </row>
    <row r="560" spans="1:45">
      <c r="A560" s="12" t="s">
        <v>1552</v>
      </c>
      <c r="B560" s="54" t="str">
        <f t="shared" si="209"/>
        <v>AZ_Maric_2020g</v>
      </c>
      <c r="C560" s="12"/>
      <c r="D560" s="54" t="str">
        <f t="shared" si="210"/>
        <v>Gen-state senator dist-17 (vote for1)</v>
      </c>
      <c r="E560" s="54" t="s">
        <v>1299</v>
      </c>
      <c r="G560" s="59">
        <v>122</v>
      </c>
      <c r="H560"/>
      <c r="K560" s="2"/>
      <c r="O560">
        <f t="shared" si="211"/>
        <v>-2</v>
      </c>
      <c r="P560" s="57">
        <f t="shared" si="212"/>
        <v>1</v>
      </c>
      <c r="Q560" s="267">
        <f t="shared" si="213"/>
        <v>122</v>
      </c>
      <c r="R560" s="23">
        <f t="shared" si="214"/>
        <v>1</v>
      </c>
      <c r="S560" s="23">
        <f t="shared" si="215"/>
        <v>0</v>
      </c>
      <c r="T560" s="23" t="str">
        <f t="shared" si="216"/>
        <v/>
      </c>
      <c r="U560" t="str">
        <f t="shared" si="217"/>
        <v/>
      </c>
      <c r="W560" s="1">
        <f t="shared" si="218"/>
        <v>6</v>
      </c>
      <c r="X560" s="73">
        <f t="shared" si="207"/>
        <v>76.674626865671641</v>
      </c>
      <c r="Y560" s="322">
        <f t="shared" si="219"/>
        <v>3544.6680000000001</v>
      </c>
      <c r="Z560" s="43">
        <f t="shared" si="208"/>
        <v>2.065356599212555E-3</v>
      </c>
      <c r="AA560" s="52">
        <f t="shared" si="220"/>
        <v>2.065356599212555E-5</v>
      </c>
      <c r="AB560" s="8">
        <f t="shared" si="221"/>
        <v>974.99999999999989</v>
      </c>
      <c r="AC560" s="8">
        <f t="shared" si="222"/>
        <v>377525</v>
      </c>
      <c r="AD560" s="8">
        <f t="shared" si="226"/>
        <v>1887.625</v>
      </c>
      <c r="AE560" s="8">
        <f t="shared" si="223"/>
        <v>68</v>
      </c>
      <c r="AF560" s="22" t="str">
        <f t="shared" si="224"/>
        <v>CO_Bould_2020g</v>
      </c>
      <c r="AG560">
        <v>1</v>
      </c>
      <c r="AH560" s="272">
        <v>51372</v>
      </c>
      <c r="AI560" s="273">
        <v>27763</v>
      </c>
      <c r="AJ560" s="274">
        <v>23609</v>
      </c>
      <c r="AK560" s="339">
        <v>4154</v>
      </c>
      <c r="AL560" s="340" t="s">
        <v>5735</v>
      </c>
      <c r="AM560" s="353">
        <f t="shared" si="225"/>
        <v>1.1003244818223958E-2</v>
      </c>
      <c r="AP560" s="23">
        <f t="shared" si="227"/>
        <v>2</v>
      </c>
      <c r="AQ560" s="392">
        <f t="shared" si="228"/>
        <v>2.0041687248972595E-2</v>
      </c>
      <c r="AR560" s="392">
        <f t="shared" si="229"/>
        <v>9.8179709245768687E-2</v>
      </c>
      <c r="AS560" s="392">
        <f t="shared" si="229"/>
        <v>0.36059357966912076</v>
      </c>
    </row>
    <row r="561" spans="1:45">
      <c r="A561" s="12" t="s">
        <v>1554</v>
      </c>
      <c r="B561" s="54" t="str">
        <f t="shared" si="209"/>
        <v>AZ_Maric_2020g</v>
      </c>
      <c r="C561" s="12"/>
      <c r="D561" s="54" t="str">
        <f t="shared" si="210"/>
        <v>Gen-state senator dist-18 (vote for1)</v>
      </c>
      <c r="E561" s="54" t="s">
        <v>1850</v>
      </c>
      <c r="F561" s="12" t="s">
        <v>1294</v>
      </c>
      <c r="G561" s="59">
        <v>75013</v>
      </c>
      <c r="H561"/>
      <c r="K561" s="2"/>
      <c r="O561">
        <f t="shared" si="211"/>
        <v>1</v>
      </c>
      <c r="P561" s="57">
        <f t="shared" si="212"/>
        <v>1</v>
      </c>
      <c r="Q561" s="267">
        <f t="shared" si="213"/>
        <v>129212</v>
      </c>
      <c r="R561" s="23">
        <f t="shared" si="214"/>
        <v>75013</v>
      </c>
      <c r="S561" s="23">
        <f t="shared" si="215"/>
        <v>54066</v>
      </c>
      <c r="T561" s="23">
        <f t="shared" si="216"/>
        <v>20947</v>
      </c>
      <c r="U561" t="str">
        <f t="shared" si="217"/>
        <v>AZ_Maric_2020g~Gen-state senator dist-18 (vote for1)</v>
      </c>
      <c r="W561" s="1">
        <f t="shared" si="218"/>
        <v>7</v>
      </c>
      <c r="X561" s="73">
        <f t="shared" si="207"/>
        <v>18.135805122693892</v>
      </c>
      <c r="Y561" s="322">
        <f t="shared" si="219"/>
        <v>1126.8390000000002</v>
      </c>
      <c r="Z561" s="43">
        <f t="shared" si="208"/>
        <v>1.9248544289673237E-8</v>
      </c>
      <c r="AA561" s="52">
        <f t="shared" si="220"/>
        <v>1.9248544289673235E-10</v>
      </c>
      <c r="AB561" s="8">
        <f t="shared" si="221"/>
        <v>823.99999999999989</v>
      </c>
      <c r="AC561" s="8">
        <f t="shared" si="222"/>
        <v>208445</v>
      </c>
      <c r="AD561" s="8">
        <f t="shared" si="226"/>
        <v>1042.2249999999999</v>
      </c>
      <c r="AE561" s="8" t="str">
        <f t="shared" si="223"/>
        <v/>
      </c>
      <c r="AF561" s="22" t="str">
        <f t="shared" si="224"/>
        <v>CO_Bould_2020g</v>
      </c>
      <c r="AG561">
        <v>1</v>
      </c>
      <c r="AH561" s="272">
        <v>16331</v>
      </c>
      <c r="AI561" s="273">
        <v>10957</v>
      </c>
      <c r="AJ561" s="274">
        <v>5374</v>
      </c>
      <c r="AK561" s="339">
        <v>5583</v>
      </c>
      <c r="AL561" s="340" t="s">
        <v>5729</v>
      </c>
      <c r="AM561" s="353">
        <f t="shared" si="225"/>
        <v>2.6784043752548635E-2</v>
      </c>
      <c r="AP561" s="23">
        <f t="shared" si="227"/>
        <v>15</v>
      </c>
      <c r="AQ561" s="392">
        <f t="shared" si="228"/>
        <v>0.1480916467065152</v>
      </c>
      <c r="AR561" s="392">
        <f t="shared" si="229"/>
        <v>0.54547185794781328</v>
      </c>
      <c r="AS561" s="392">
        <f t="shared" si="229"/>
        <v>0.96607162146000625</v>
      </c>
    </row>
    <row r="562" spans="1:45">
      <c r="A562" s="12" t="s">
        <v>1554</v>
      </c>
      <c r="B562" s="54" t="str">
        <f t="shared" si="209"/>
        <v>AZ_Maric_2020g</v>
      </c>
      <c r="C562" s="12"/>
      <c r="D562" s="54" t="str">
        <f t="shared" si="210"/>
        <v>Gen-state senator dist-18 (vote for1)</v>
      </c>
      <c r="E562" s="54" t="s">
        <v>1849</v>
      </c>
      <c r="F562" s="12" t="s">
        <v>1296</v>
      </c>
      <c r="G562" s="59">
        <v>54066</v>
      </c>
      <c r="H562"/>
      <c r="K562" s="2"/>
      <c r="O562">
        <f t="shared" si="211"/>
        <v>2</v>
      </c>
      <c r="P562" s="57">
        <f t="shared" si="212"/>
        <v>1</v>
      </c>
      <c r="Q562" s="267">
        <f t="shared" si="213"/>
        <v>54199</v>
      </c>
      <c r="R562" s="23" t="str">
        <f t="shared" si="214"/>
        <v/>
      </c>
      <c r="S562" s="23">
        <f t="shared" si="215"/>
        <v>54066</v>
      </c>
      <c r="T562" s="23" t="str">
        <f t="shared" si="216"/>
        <v/>
      </c>
      <c r="U562" t="str">
        <f t="shared" si="217"/>
        <v/>
      </c>
      <c r="W562" s="1">
        <f t="shared" si="218"/>
        <v>8</v>
      </c>
      <c r="X562" s="73">
        <f t="shared" si="207"/>
        <v>44.516527115805751</v>
      </c>
      <c r="Y562" s="322">
        <f t="shared" si="219"/>
        <v>3845.9910000000004</v>
      </c>
      <c r="Z562" s="43">
        <f t="shared" si="208"/>
        <v>2.6179255437435376E-12</v>
      </c>
      <c r="AA562" s="52">
        <f t="shared" si="220"/>
        <v>2.6179255437435375E-14</v>
      </c>
      <c r="AB562" s="8">
        <f t="shared" si="221"/>
        <v>823.99999999999989</v>
      </c>
      <c r="AC562" s="8">
        <f t="shared" si="222"/>
        <v>208445</v>
      </c>
      <c r="AD562" s="8">
        <f t="shared" si="226"/>
        <v>1042.2249999999999</v>
      </c>
      <c r="AE562" s="8" t="str">
        <f t="shared" si="223"/>
        <v/>
      </c>
      <c r="AF562" s="22" t="str">
        <f t="shared" si="224"/>
        <v>CO_Bould_2020g</v>
      </c>
      <c r="AG562">
        <v>1</v>
      </c>
      <c r="AH562" s="272">
        <v>55739</v>
      </c>
      <c r="AI562" s="273">
        <v>31751</v>
      </c>
      <c r="AJ562" s="274">
        <v>23988</v>
      </c>
      <c r="AK562" s="339">
        <v>7763</v>
      </c>
      <c r="AL562" s="340" t="s">
        <v>5709</v>
      </c>
      <c r="AM562" s="353">
        <f t="shared" si="225"/>
        <v>3.7242438053203486E-2</v>
      </c>
      <c r="AP562" s="23">
        <f t="shared" si="227"/>
        <v>24</v>
      </c>
      <c r="AQ562" s="392">
        <f t="shared" si="228"/>
        <v>0.22707649663176155</v>
      </c>
      <c r="AR562" s="392">
        <f t="shared" si="229"/>
        <v>0.71840542417705178</v>
      </c>
      <c r="AS562" s="392">
        <f t="shared" si="229"/>
        <v>0.99566194722005308</v>
      </c>
    </row>
    <row r="563" spans="1:45">
      <c r="A563" s="12" t="s">
        <v>1554</v>
      </c>
      <c r="B563" s="54" t="str">
        <f t="shared" si="209"/>
        <v>AZ_Maric_2020g</v>
      </c>
      <c r="C563" s="12"/>
      <c r="D563" s="54" t="str">
        <f t="shared" si="210"/>
        <v>Gen-state senator dist-18 (vote for1)</v>
      </c>
      <c r="E563" s="54" t="s">
        <v>1299</v>
      </c>
      <c r="G563" s="59">
        <v>133</v>
      </c>
      <c r="H563"/>
      <c r="K563" s="2"/>
      <c r="O563">
        <f t="shared" si="211"/>
        <v>-2</v>
      </c>
      <c r="P563" s="57">
        <f t="shared" si="212"/>
        <v>1</v>
      </c>
      <c r="Q563" s="267">
        <f t="shared" si="213"/>
        <v>133</v>
      </c>
      <c r="R563" s="23">
        <f t="shared" si="214"/>
        <v>1</v>
      </c>
      <c r="S563" s="23">
        <f t="shared" si="215"/>
        <v>0</v>
      </c>
      <c r="T563" s="23" t="str">
        <f t="shared" si="216"/>
        <v/>
      </c>
      <c r="U563" t="str">
        <f t="shared" si="217"/>
        <v/>
      </c>
      <c r="W563" s="1">
        <f t="shared" si="218"/>
        <v>9</v>
      </c>
      <c r="X563" s="73">
        <f t="shared" si="207"/>
        <v>35.999169788397289</v>
      </c>
      <c r="Y563" s="322">
        <f t="shared" si="219"/>
        <v>3957.0810000000001</v>
      </c>
      <c r="Z563" s="43">
        <f t="shared" si="208"/>
        <v>4.24864335564752E-16</v>
      </c>
      <c r="AA563" s="52">
        <f t="shared" si="220"/>
        <v>4.2486433556475203E-18</v>
      </c>
      <c r="AB563" s="8">
        <f t="shared" si="221"/>
        <v>823.99999999999989</v>
      </c>
      <c r="AC563" s="8">
        <f t="shared" si="222"/>
        <v>208445</v>
      </c>
      <c r="AD563" s="8">
        <f t="shared" si="226"/>
        <v>1042.2249999999999</v>
      </c>
      <c r="AE563" s="8" t="str">
        <f t="shared" si="223"/>
        <v/>
      </c>
      <c r="AF563" s="22" t="str">
        <f t="shared" si="224"/>
        <v>CO_Bould_2020g</v>
      </c>
      <c r="AG563">
        <v>1</v>
      </c>
      <c r="AH563" s="272">
        <v>57349</v>
      </c>
      <c r="AI563" s="273">
        <v>33613</v>
      </c>
      <c r="AJ563" s="274">
        <v>23736</v>
      </c>
      <c r="AK563" s="339">
        <v>9877</v>
      </c>
      <c r="AL563" s="340" t="s">
        <v>5707</v>
      </c>
      <c r="AM563" s="353">
        <f t="shared" si="225"/>
        <v>4.7384202067691721E-2</v>
      </c>
      <c r="AP563" s="23">
        <f t="shared" si="227"/>
        <v>33</v>
      </c>
      <c r="AQ563" s="392">
        <f t="shared" si="228"/>
        <v>0.29934691842250327</v>
      </c>
      <c r="AR563" s="392">
        <f t="shared" si="229"/>
        <v>0.8263032298979528</v>
      </c>
      <c r="AS563" s="392">
        <f t="shared" si="229"/>
        <v>0.99945661364831706</v>
      </c>
    </row>
    <row r="564" spans="1:45">
      <c r="A564" s="12" t="s">
        <v>1556</v>
      </c>
      <c r="B564" s="54" t="str">
        <f t="shared" si="209"/>
        <v>AZ_Maric_2020g</v>
      </c>
      <c r="C564" s="12"/>
      <c r="D564" s="54" t="str">
        <f t="shared" si="210"/>
        <v>Gen-state senator dist-19 (vote for1)</v>
      </c>
      <c r="E564" s="54" t="s">
        <v>1856</v>
      </c>
      <c r="F564" s="12" t="s">
        <v>1294</v>
      </c>
      <c r="G564" s="59">
        <v>53794</v>
      </c>
      <c r="H564"/>
      <c r="K564" s="2"/>
      <c r="O564">
        <f t="shared" si="211"/>
        <v>1</v>
      </c>
      <c r="P564" s="57">
        <f t="shared" si="212"/>
        <v>1</v>
      </c>
      <c r="Q564" s="267">
        <f t="shared" si="213"/>
        <v>55493</v>
      </c>
      <c r="R564" s="23">
        <f t="shared" si="214"/>
        <v>53794</v>
      </c>
      <c r="S564" s="23">
        <f t="shared" si="215"/>
        <v>0</v>
      </c>
      <c r="T564" s="23" t="str">
        <f t="shared" si="216"/>
        <v/>
      </c>
      <c r="U564" t="str">
        <f t="shared" si="217"/>
        <v>AZ_Maric_2020g~Gen-state senator dist-19 (vote for1)</v>
      </c>
      <c r="W564" s="1">
        <f t="shared" si="218"/>
        <v>10</v>
      </c>
      <c r="X564" s="73">
        <f t="shared" si="207"/>
        <v>21.466116409880165</v>
      </c>
      <c r="Y564" s="322">
        <f t="shared" si="219"/>
        <v>3907.4010000000003</v>
      </c>
      <c r="Z564" s="43">
        <f t="shared" si="208"/>
        <v>5.7157754680755075E-28</v>
      </c>
      <c r="AA564" s="52">
        <f t="shared" si="220"/>
        <v>5.7157754680755075E-30</v>
      </c>
      <c r="AB564" s="8">
        <f t="shared" si="221"/>
        <v>823.99999999999989</v>
      </c>
      <c r="AC564" s="8">
        <f t="shared" si="222"/>
        <v>208445</v>
      </c>
      <c r="AD564" s="8">
        <f t="shared" si="226"/>
        <v>1042.2249999999999</v>
      </c>
      <c r="AE564" s="8" t="str">
        <f t="shared" si="223"/>
        <v/>
      </c>
      <c r="AF564" s="22" t="str">
        <f t="shared" si="224"/>
        <v>CO_Bould_2020g</v>
      </c>
      <c r="AG564">
        <v>1</v>
      </c>
      <c r="AH564" s="272">
        <v>56629</v>
      </c>
      <c r="AI564" s="273">
        <v>35540</v>
      </c>
      <c r="AJ564" s="274">
        <v>19184</v>
      </c>
      <c r="AK564" s="339">
        <v>16356</v>
      </c>
      <c r="AL564" s="340" t="s">
        <v>5723</v>
      </c>
      <c r="AM564" s="353">
        <f t="shared" si="225"/>
        <v>7.8466741826381053E-2</v>
      </c>
      <c r="AP564" s="23">
        <f t="shared" si="227"/>
        <v>60</v>
      </c>
      <c r="AQ564" s="392">
        <f t="shared" si="228"/>
        <v>0.48087604652536109</v>
      </c>
      <c r="AR564" s="392">
        <f t="shared" si="229"/>
        <v>0.96032071221636206</v>
      </c>
      <c r="AS564" s="392">
        <f t="shared" si="229"/>
        <v>0.99999905982519699</v>
      </c>
    </row>
    <row r="565" spans="1:45">
      <c r="A565" s="12" t="s">
        <v>1556</v>
      </c>
      <c r="B565" s="54" t="str">
        <f t="shared" si="209"/>
        <v>AZ_Maric_2020g</v>
      </c>
      <c r="C565" s="12"/>
      <c r="D565" s="54" t="str">
        <f t="shared" si="210"/>
        <v>Gen-state senator dist-19 (vote for1)</v>
      </c>
      <c r="E565" s="54" t="s">
        <v>1299</v>
      </c>
      <c r="G565" s="59">
        <v>1699</v>
      </c>
      <c r="H565"/>
      <c r="K565" s="2"/>
      <c r="O565">
        <f t="shared" si="211"/>
        <v>-1</v>
      </c>
      <c r="P565" s="57">
        <f t="shared" si="212"/>
        <v>1</v>
      </c>
      <c r="Q565" s="267">
        <f t="shared" si="213"/>
        <v>1699</v>
      </c>
      <c r="R565" s="23">
        <f t="shared" si="214"/>
        <v>1</v>
      </c>
      <c r="S565" s="23">
        <f t="shared" si="215"/>
        <v>0</v>
      </c>
      <c r="T565" s="23" t="str">
        <f t="shared" si="216"/>
        <v/>
      </c>
      <c r="U565" t="str">
        <f t="shared" si="217"/>
        <v/>
      </c>
      <c r="W565" s="1">
        <f t="shared" si="218"/>
        <v>11</v>
      </c>
      <c r="X565" s="73">
        <f t="shared" si="207"/>
        <v>18.256301106301109</v>
      </c>
      <c r="Y565" s="322">
        <f t="shared" si="219"/>
        <v>3379.2060000000001</v>
      </c>
      <c r="Z565" s="43">
        <f t="shared" si="208"/>
        <v>1.7479215605991012E-28</v>
      </c>
      <c r="AA565" s="52">
        <f t="shared" si="220"/>
        <v>1.7479215605991013E-30</v>
      </c>
      <c r="AB565" s="8">
        <f t="shared" si="221"/>
        <v>823.99999999999989</v>
      </c>
      <c r="AC565" s="8">
        <f t="shared" si="222"/>
        <v>208445</v>
      </c>
      <c r="AD565" s="8">
        <f t="shared" si="226"/>
        <v>1042.2249999999999</v>
      </c>
      <c r="AE565" s="8" t="str">
        <f t="shared" si="223"/>
        <v/>
      </c>
      <c r="AF565" s="22" t="str">
        <f t="shared" si="224"/>
        <v>CO_Bould_2020g</v>
      </c>
      <c r="AG565">
        <v>1</v>
      </c>
      <c r="AH565" s="272">
        <v>48974</v>
      </c>
      <c r="AI565" s="273">
        <v>32803</v>
      </c>
      <c r="AJ565" s="274">
        <v>16171</v>
      </c>
      <c r="AK565" s="339">
        <v>16632</v>
      </c>
      <c r="AL565" s="340" t="s">
        <v>5726</v>
      </c>
      <c r="AM565" s="353">
        <f t="shared" si="225"/>
        <v>7.9790832113986909E-2</v>
      </c>
      <c r="AP565" s="23">
        <f t="shared" si="227"/>
        <v>62</v>
      </c>
      <c r="AQ565" s="392">
        <f t="shared" si="228"/>
        <v>0.49244683813312606</v>
      </c>
      <c r="AR565" s="392">
        <f t="shared" si="229"/>
        <v>0.96449029508759332</v>
      </c>
      <c r="AS565" s="392">
        <f t="shared" si="229"/>
        <v>0.99999941759525202</v>
      </c>
    </row>
    <row r="566" spans="1:45">
      <c r="A566" s="12" t="s">
        <v>1558</v>
      </c>
      <c r="B566" s="54" t="str">
        <f t="shared" si="209"/>
        <v>AZ_Maric_2020g</v>
      </c>
      <c r="C566" s="12"/>
      <c r="D566" s="54" t="str">
        <f t="shared" si="210"/>
        <v>Gen-state senator dist-20 (vote for1)</v>
      </c>
      <c r="E566" s="54" t="s">
        <v>1860</v>
      </c>
      <c r="F566" s="12" t="s">
        <v>1296</v>
      </c>
      <c r="G566" s="59">
        <v>52734</v>
      </c>
      <c r="H566"/>
      <c r="K566" s="2"/>
      <c r="O566">
        <f t="shared" si="211"/>
        <v>1</v>
      </c>
      <c r="P566" s="57">
        <f t="shared" si="212"/>
        <v>1</v>
      </c>
      <c r="Q566" s="267">
        <f t="shared" si="213"/>
        <v>100943</v>
      </c>
      <c r="R566" s="23">
        <f t="shared" si="214"/>
        <v>52734</v>
      </c>
      <c r="S566" s="23">
        <f t="shared" si="215"/>
        <v>48059</v>
      </c>
      <c r="T566" s="23">
        <f t="shared" si="216"/>
        <v>4675</v>
      </c>
      <c r="U566" t="str">
        <f t="shared" si="217"/>
        <v>AZ_Maric_2020g~Gen-state senator dist-20 (vote for1)</v>
      </c>
      <c r="W566" s="1">
        <f t="shared" si="218"/>
        <v>12</v>
      </c>
      <c r="X566" s="73">
        <f t="shared" si="207"/>
        <v>9.079947954315454</v>
      </c>
      <c r="Y566" s="322">
        <f t="shared" si="219"/>
        <v>2096.9100000000003</v>
      </c>
      <c r="Z566" s="43">
        <f t="shared" si="208"/>
        <v>2.9794762566326697E-36</v>
      </c>
      <c r="AA566" s="52">
        <f t="shared" si="220"/>
        <v>2.9794762566326696E-38</v>
      </c>
      <c r="AB566" s="8">
        <f t="shared" si="221"/>
        <v>823.99999999999989</v>
      </c>
      <c r="AC566" s="8">
        <f t="shared" si="222"/>
        <v>208445</v>
      </c>
      <c r="AD566" s="8">
        <f t="shared" si="226"/>
        <v>1042.2249999999999</v>
      </c>
      <c r="AE566" s="8" t="str">
        <f t="shared" si="223"/>
        <v/>
      </c>
      <c r="AF566" s="22" t="str">
        <f t="shared" si="224"/>
        <v>CO_Bould_2020g</v>
      </c>
      <c r="AG566">
        <v>1</v>
      </c>
      <c r="AH566" s="272">
        <v>30390</v>
      </c>
      <c r="AI566" s="273">
        <v>25217</v>
      </c>
      <c r="AJ566" s="274">
        <v>4466</v>
      </c>
      <c r="AK566" s="339">
        <v>20751</v>
      </c>
      <c r="AL566" s="340" t="s">
        <v>5728</v>
      </c>
      <c r="AM566" s="353">
        <f t="shared" si="225"/>
        <v>9.9551440427930626E-2</v>
      </c>
      <c r="AP566" s="23">
        <f t="shared" si="227"/>
        <v>79</v>
      </c>
      <c r="AQ566" s="392">
        <f t="shared" si="228"/>
        <v>0.58173602056050622</v>
      </c>
      <c r="AR566" s="392">
        <f t="shared" si="229"/>
        <v>0.9863109558382982</v>
      </c>
      <c r="AS566" s="392">
        <f t="shared" si="229"/>
        <v>0.99999999049926647</v>
      </c>
    </row>
    <row r="567" spans="1:45">
      <c r="A567" s="12" t="s">
        <v>1558</v>
      </c>
      <c r="B567" s="54" t="str">
        <f t="shared" si="209"/>
        <v>AZ_Maric_2020g</v>
      </c>
      <c r="C567" s="12"/>
      <c r="D567" s="54" t="str">
        <f t="shared" si="210"/>
        <v>Gen-state senator dist-20 (vote for1)</v>
      </c>
      <c r="E567" s="54" t="s">
        <v>1861</v>
      </c>
      <c r="F567" s="12" t="s">
        <v>1294</v>
      </c>
      <c r="G567" s="59">
        <v>48059</v>
      </c>
      <c r="H567"/>
      <c r="K567" s="2"/>
      <c r="O567">
        <f t="shared" si="211"/>
        <v>2</v>
      </c>
      <c r="P567" s="57">
        <f t="shared" si="212"/>
        <v>1</v>
      </c>
      <c r="Q567" s="267">
        <f t="shared" si="213"/>
        <v>48209</v>
      </c>
      <c r="R567" s="23" t="str">
        <f t="shared" si="214"/>
        <v/>
      </c>
      <c r="S567" s="23">
        <f t="shared" si="215"/>
        <v>48059</v>
      </c>
      <c r="T567" s="23" t="str">
        <f t="shared" si="216"/>
        <v/>
      </c>
      <c r="U567" t="str">
        <f t="shared" si="217"/>
        <v/>
      </c>
      <c r="W567" s="1">
        <f t="shared" si="218"/>
        <v>13</v>
      </c>
      <c r="X567" s="73">
        <f t="shared" si="207"/>
        <v>13.132636460093527</v>
      </c>
      <c r="Y567" s="322">
        <f t="shared" si="219"/>
        <v>3719.1690000000003</v>
      </c>
      <c r="Z567" s="43">
        <f t="shared" si="208"/>
        <v>2.5515591450631995E-45</v>
      </c>
      <c r="AA567" s="52">
        <f t="shared" si="220"/>
        <v>2.5515591450631996E-47</v>
      </c>
      <c r="AB567" s="8">
        <f t="shared" si="221"/>
        <v>823.99999999999989</v>
      </c>
      <c r="AC567" s="8">
        <f t="shared" si="222"/>
        <v>208445</v>
      </c>
      <c r="AD567" s="8">
        <f t="shared" si="226"/>
        <v>1042.2249999999999</v>
      </c>
      <c r="AE567" s="8" t="str">
        <f t="shared" si="223"/>
        <v/>
      </c>
      <c r="AF567" s="22" t="str">
        <f t="shared" si="224"/>
        <v>CO_Bould_2020g</v>
      </c>
      <c r="AG567">
        <v>1</v>
      </c>
      <c r="AH567" s="272">
        <v>53901</v>
      </c>
      <c r="AI567" s="273">
        <v>39674</v>
      </c>
      <c r="AJ567" s="274">
        <v>14227</v>
      </c>
      <c r="AK567" s="339">
        <v>25447</v>
      </c>
      <c r="AL567" s="340" t="s">
        <v>5727</v>
      </c>
      <c r="AM567" s="353">
        <f t="shared" si="225"/>
        <v>0.12208016503154309</v>
      </c>
      <c r="AP567" s="23">
        <f t="shared" si="227"/>
        <v>99</v>
      </c>
      <c r="AQ567" s="392">
        <f t="shared" si="228"/>
        <v>0.66836530015449047</v>
      </c>
      <c r="AR567" s="392">
        <f t="shared" si="229"/>
        <v>0.9956387169643417</v>
      </c>
      <c r="AS567" s="392">
        <f t="shared" si="229"/>
        <v>0.99999999993261934</v>
      </c>
    </row>
    <row r="568" spans="1:45">
      <c r="A568" s="12" t="s">
        <v>1558</v>
      </c>
      <c r="B568" s="54" t="str">
        <f t="shared" si="209"/>
        <v>AZ_Maric_2020g</v>
      </c>
      <c r="C568" s="12"/>
      <c r="D568" s="54" t="str">
        <f t="shared" si="210"/>
        <v>Gen-state senator dist-20 (vote for1)</v>
      </c>
      <c r="E568" s="54" t="s">
        <v>1299</v>
      </c>
      <c r="G568" s="59">
        <v>150</v>
      </c>
      <c r="H568"/>
      <c r="K568" s="2"/>
      <c r="O568">
        <f t="shared" si="211"/>
        <v>-2</v>
      </c>
      <c r="P568" s="57">
        <f t="shared" si="212"/>
        <v>1</v>
      </c>
      <c r="Q568" s="267">
        <f t="shared" si="213"/>
        <v>150</v>
      </c>
      <c r="R568" s="23">
        <f t="shared" si="214"/>
        <v>1</v>
      </c>
      <c r="S568" s="23">
        <f t="shared" si="215"/>
        <v>0</v>
      </c>
      <c r="T568" s="23" t="str">
        <f t="shared" si="216"/>
        <v/>
      </c>
      <c r="U568" t="str">
        <f t="shared" si="217"/>
        <v/>
      </c>
      <c r="W568" s="1">
        <f t="shared" si="218"/>
        <v>14</v>
      </c>
      <c r="X568" s="73">
        <f t="shared" si="207"/>
        <v>15.692307092447461</v>
      </c>
      <c r="Y568" s="322">
        <f t="shared" si="219"/>
        <v>4478.9970000000003</v>
      </c>
      <c r="Z568" s="43">
        <f t="shared" si="208"/>
        <v>1.0362991324395962E-45</v>
      </c>
      <c r="AA568" s="52">
        <f t="shared" si="220"/>
        <v>1.0362991324395962E-47</v>
      </c>
      <c r="AB568" s="8">
        <f t="shared" si="221"/>
        <v>823.99999999999989</v>
      </c>
      <c r="AC568" s="8">
        <f t="shared" si="222"/>
        <v>208445</v>
      </c>
      <c r="AD568" s="8">
        <f t="shared" si="226"/>
        <v>1042.2249999999999</v>
      </c>
      <c r="AE568" s="8" t="str">
        <f t="shared" si="223"/>
        <v/>
      </c>
      <c r="AF568" s="22" t="str">
        <f t="shared" si="224"/>
        <v>CO_Bould_2020g</v>
      </c>
      <c r="AG568">
        <v>1</v>
      </c>
      <c r="AH568" s="272">
        <v>64913</v>
      </c>
      <c r="AI568" s="273">
        <v>45280</v>
      </c>
      <c r="AJ568" s="274">
        <v>19633</v>
      </c>
      <c r="AK568" s="339">
        <v>25647</v>
      </c>
      <c r="AL568" s="340" t="s">
        <v>5724</v>
      </c>
      <c r="AM568" s="353">
        <f t="shared" si="225"/>
        <v>0.1230396507471995</v>
      </c>
      <c r="AP568" s="23">
        <f t="shared" si="227"/>
        <v>100</v>
      </c>
      <c r="AQ568" s="392">
        <f t="shared" si="228"/>
        <v>0.67223378551854218</v>
      </c>
      <c r="AR568" s="392">
        <f t="shared" si="229"/>
        <v>0.9958838367956141</v>
      </c>
      <c r="AS568" s="392">
        <f t="shared" si="229"/>
        <v>0.99999999994755306</v>
      </c>
    </row>
    <row r="569" spans="1:45">
      <c r="A569" s="12" t="s">
        <v>1560</v>
      </c>
      <c r="B569" s="54" t="str">
        <f t="shared" si="209"/>
        <v>AZ_Maric_2020g</v>
      </c>
      <c r="C569" s="12"/>
      <c r="D569" s="54" t="str">
        <f t="shared" si="210"/>
        <v>Gen-state senator dist-21 (vote for1)</v>
      </c>
      <c r="E569" s="54" t="s">
        <v>1865</v>
      </c>
      <c r="F569" s="12" t="s">
        <v>1296</v>
      </c>
      <c r="G569" s="59">
        <v>75864</v>
      </c>
      <c r="H569"/>
      <c r="K569" s="2"/>
      <c r="O569">
        <f t="shared" si="211"/>
        <v>1</v>
      </c>
      <c r="P569" s="57">
        <f t="shared" si="212"/>
        <v>1</v>
      </c>
      <c r="Q569" s="267">
        <f t="shared" si="213"/>
        <v>79046</v>
      </c>
      <c r="R569" s="23">
        <f t="shared" si="214"/>
        <v>75864</v>
      </c>
      <c r="S569" s="23">
        <f t="shared" si="215"/>
        <v>0</v>
      </c>
      <c r="T569" s="23" t="str">
        <f t="shared" si="216"/>
        <v/>
      </c>
      <c r="U569" t="str">
        <f t="shared" si="217"/>
        <v>AZ_Maric_2020g~Gen-state senator dist-21 (vote for1)</v>
      </c>
      <c r="W569" s="1">
        <f t="shared" si="218"/>
        <v>15</v>
      </c>
      <c r="X569" s="73">
        <f t="shared" si="207"/>
        <v>11.018018953654421</v>
      </c>
      <c r="Y569" s="322">
        <f t="shared" si="219"/>
        <v>3778.1640000000002</v>
      </c>
      <c r="Z569" s="43">
        <f t="shared" si="208"/>
        <v>5.7346485219245092E-56</v>
      </c>
      <c r="AA569" s="52">
        <f t="shared" si="220"/>
        <v>5.7346485219245096E-58</v>
      </c>
      <c r="AB569" s="8">
        <f t="shared" si="221"/>
        <v>823.99999999999989</v>
      </c>
      <c r="AC569" s="8">
        <f t="shared" si="222"/>
        <v>208445</v>
      </c>
      <c r="AD569" s="8">
        <f t="shared" si="226"/>
        <v>1042.2249999999999</v>
      </c>
      <c r="AE569" s="8" t="str">
        <f t="shared" si="223"/>
        <v/>
      </c>
      <c r="AF569" s="22" t="str">
        <f t="shared" si="224"/>
        <v>CO_Bould_2020g</v>
      </c>
      <c r="AG569">
        <v>1</v>
      </c>
      <c r="AH569" s="272">
        <v>54756</v>
      </c>
      <c r="AI569" s="273">
        <v>42784</v>
      </c>
      <c r="AJ569" s="274">
        <v>11972</v>
      </c>
      <c r="AK569" s="339">
        <v>30812</v>
      </c>
      <c r="AL569" s="340" t="s">
        <v>5710</v>
      </c>
      <c r="AM569" s="353">
        <f t="shared" si="225"/>
        <v>0.14781836935402623</v>
      </c>
      <c r="AP569" s="23">
        <f t="shared" si="227"/>
        <v>121</v>
      </c>
      <c r="AQ569" s="392">
        <f t="shared" si="228"/>
        <v>0.74456662945736429</v>
      </c>
      <c r="AR569" s="392">
        <f t="shared" si="229"/>
        <v>0.99879634814778406</v>
      </c>
      <c r="AS569" s="392">
        <f t="shared" si="229"/>
        <v>0.99999999999974665</v>
      </c>
    </row>
    <row r="570" spans="1:45">
      <c r="A570" s="12" t="s">
        <v>1560</v>
      </c>
      <c r="B570" s="54" t="str">
        <f t="shared" si="209"/>
        <v>AZ_Maric_2020g</v>
      </c>
      <c r="C570" s="12"/>
      <c r="D570" s="54" t="str">
        <f t="shared" si="210"/>
        <v>Gen-state senator dist-21 (vote for1)</v>
      </c>
      <c r="E570" s="54" t="s">
        <v>1299</v>
      </c>
      <c r="G570" s="59">
        <v>3182</v>
      </c>
      <c r="H570"/>
      <c r="K570" s="2"/>
      <c r="O570">
        <f t="shared" si="211"/>
        <v>-1</v>
      </c>
      <c r="P570" s="57">
        <f t="shared" si="212"/>
        <v>1</v>
      </c>
      <c r="Q570" s="267">
        <f t="shared" si="213"/>
        <v>3182</v>
      </c>
      <c r="R570" s="23">
        <f t="shared" si="214"/>
        <v>1</v>
      </c>
      <c r="S570" s="23">
        <f t="shared" si="215"/>
        <v>0</v>
      </c>
      <c r="T570" s="23" t="str">
        <f t="shared" si="216"/>
        <v/>
      </c>
      <c r="U570" t="str">
        <f t="shared" si="217"/>
        <v/>
      </c>
      <c r="W570" s="1">
        <f t="shared" si="218"/>
        <v>16</v>
      </c>
      <c r="X570" s="73">
        <f t="shared" si="207"/>
        <v>10.635954765751212</v>
      </c>
      <c r="Y570" s="322">
        <f t="shared" si="219"/>
        <v>3663.4860000000003</v>
      </c>
      <c r="Z570" s="43">
        <f t="shared" si="208"/>
        <v>6.0287570349577065E-35</v>
      </c>
      <c r="AA570" s="52">
        <f t="shared" si="220"/>
        <v>6.0287570349577064E-37</v>
      </c>
      <c r="AB570" s="8">
        <f t="shared" si="221"/>
        <v>974.99999999999989</v>
      </c>
      <c r="AC570" s="8">
        <f t="shared" si="222"/>
        <v>377525</v>
      </c>
      <c r="AD570" s="8">
        <f t="shared" si="226"/>
        <v>1887.625</v>
      </c>
      <c r="AE570" s="8">
        <f t="shared" si="223"/>
        <v>68</v>
      </c>
      <c r="AF570" s="22" t="str">
        <f t="shared" si="224"/>
        <v>CO_Bould_2020g</v>
      </c>
      <c r="AG570">
        <v>1</v>
      </c>
      <c r="AH570" s="272">
        <v>53094</v>
      </c>
      <c r="AI570" s="273">
        <v>42022</v>
      </c>
      <c r="AJ570" s="274">
        <v>11072</v>
      </c>
      <c r="AK570" s="339">
        <v>30950</v>
      </c>
      <c r="AL570" s="340" t="s">
        <v>5734</v>
      </c>
      <c r="AM570" s="353">
        <f t="shared" si="225"/>
        <v>8.1981325740017222E-2</v>
      </c>
      <c r="AP570" s="23">
        <f t="shared" si="227"/>
        <v>115</v>
      </c>
      <c r="AQ570" s="392">
        <f t="shared" si="228"/>
        <v>0.6989954674963097</v>
      </c>
      <c r="AR570" s="392">
        <f t="shared" si="229"/>
        <v>0.99782910067803765</v>
      </c>
      <c r="AS570" s="392">
        <f t="shared" si="229"/>
        <v>0.99999999999724931</v>
      </c>
    </row>
    <row r="571" spans="1:45">
      <c r="A571" s="12" t="s">
        <v>1562</v>
      </c>
      <c r="B571" s="54" t="str">
        <f t="shared" si="209"/>
        <v>AZ_Maric_2020g</v>
      </c>
      <c r="C571" s="12"/>
      <c r="D571" s="54" t="str">
        <f t="shared" si="210"/>
        <v>Gen-state senator dist-22 (vote for1)</v>
      </c>
      <c r="E571" s="54" t="s">
        <v>1869</v>
      </c>
      <c r="F571" s="12" t="s">
        <v>1296</v>
      </c>
      <c r="G571" s="59">
        <v>97386</v>
      </c>
      <c r="H571"/>
      <c r="K571" s="2"/>
      <c r="O571">
        <f t="shared" si="211"/>
        <v>1</v>
      </c>
      <c r="P571" s="57">
        <f t="shared" si="212"/>
        <v>1</v>
      </c>
      <c r="Q571" s="267">
        <f t="shared" si="213"/>
        <v>153158</v>
      </c>
      <c r="R571" s="23">
        <f t="shared" si="214"/>
        <v>97386</v>
      </c>
      <c r="S571" s="23">
        <f t="shared" si="215"/>
        <v>55653</v>
      </c>
      <c r="T571" s="23">
        <f t="shared" si="216"/>
        <v>41733</v>
      </c>
      <c r="U571" t="str">
        <f t="shared" si="217"/>
        <v>AZ_Maric_2020g~Gen-state senator dist-22 (vote for1)</v>
      </c>
      <c r="W571" s="1">
        <f t="shared" si="218"/>
        <v>17</v>
      </c>
      <c r="X571" s="73">
        <f t="shared" si="207"/>
        <v>8.7660560609786078</v>
      </c>
      <c r="Y571" s="322">
        <f t="shared" si="219"/>
        <v>3174.1380000000004</v>
      </c>
      <c r="Z571" s="43">
        <f t="shared" si="208"/>
        <v>1.8551540761245358E-59</v>
      </c>
      <c r="AA571" s="52">
        <f t="shared" si="220"/>
        <v>1.8551540761245357E-61</v>
      </c>
      <c r="AB571" s="8">
        <f t="shared" si="221"/>
        <v>823.99999999999989</v>
      </c>
      <c r="AC571" s="8">
        <f t="shared" si="222"/>
        <v>208445</v>
      </c>
      <c r="AD571" s="8">
        <f t="shared" si="226"/>
        <v>1042.2249999999999</v>
      </c>
      <c r="AE571" s="8" t="str">
        <f t="shared" si="223"/>
        <v/>
      </c>
      <c r="AF571" s="22" t="str">
        <f t="shared" si="224"/>
        <v>CO_Bould_2020g</v>
      </c>
      <c r="AG571">
        <v>1</v>
      </c>
      <c r="AH571" s="272">
        <v>46002</v>
      </c>
      <c r="AI571" s="273">
        <v>39269</v>
      </c>
      <c r="AJ571" s="274">
        <v>6733</v>
      </c>
      <c r="AK571" s="339">
        <v>32536</v>
      </c>
      <c r="AL571" s="340" t="s">
        <v>5725</v>
      </c>
      <c r="AM571" s="353">
        <f t="shared" si="225"/>
        <v>0.15608913622298448</v>
      </c>
      <c r="AP571" s="23">
        <f t="shared" si="227"/>
        <v>128</v>
      </c>
      <c r="AQ571" s="392">
        <f t="shared" si="228"/>
        <v>0.76523697384226075</v>
      </c>
      <c r="AR571" s="392">
        <f t="shared" si="229"/>
        <v>0.99920619476056793</v>
      </c>
      <c r="AS571" s="392">
        <f t="shared" si="229"/>
        <v>0.99999999999995848</v>
      </c>
    </row>
    <row r="572" spans="1:45">
      <c r="A572" s="12" t="s">
        <v>1562</v>
      </c>
      <c r="B572" s="54" t="str">
        <f t="shared" si="209"/>
        <v>AZ_Maric_2020g</v>
      </c>
      <c r="C572" s="12"/>
      <c r="D572" s="54" t="str">
        <f t="shared" si="210"/>
        <v>Gen-state senator dist-22 (vote for1)</v>
      </c>
      <c r="E572" s="54" t="s">
        <v>1870</v>
      </c>
      <c r="F572" s="12" t="s">
        <v>1294</v>
      </c>
      <c r="G572" s="59">
        <v>55653</v>
      </c>
      <c r="H572"/>
      <c r="K572" s="2"/>
      <c r="O572">
        <f t="shared" si="211"/>
        <v>2</v>
      </c>
      <c r="P572" s="57">
        <f t="shared" si="212"/>
        <v>1</v>
      </c>
      <c r="Q572" s="267">
        <f t="shared" si="213"/>
        <v>55772</v>
      </c>
      <c r="R572" s="23" t="str">
        <f t="shared" si="214"/>
        <v/>
      </c>
      <c r="S572" s="23">
        <f t="shared" si="215"/>
        <v>55653</v>
      </c>
      <c r="T572" s="23" t="str">
        <f t="shared" si="216"/>
        <v/>
      </c>
      <c r="U572" t="str">
        <f t="shared" si="217"/>
        <v/>
      </c>
      <c r="W572" s="1">
        <f t="shared" si="218"/>
        <v>18</v>
      </c>
      <c r="X572" s="73">
        <f t="shared" si="207"/>
        <v>17.330170457850951</v>
      </c>
      <c r="Y572" s="322">
        <f t="shared" si="219"/>
        <v>6630.4170000000004</v>
      </c>
      <c r="Z572" s="43">
        <f t="shared" si="208"/>
        <v>3.1722613267151827E-63</v>
      </c>
      <c r="AA572" s="52">
        <f t="shared" si="220"/>
        <v>3.1722613267151827E-65</v>
      </c>
      <c r="AB572" s="8">
        <f t="shared" si="221"/>
        <v>823.99999999999989</v>
      </c>
      <c r="AC572" s="8">
        <f t="shared" si="222"/>
        <v>208445</v>
      </c>
      <c r="AD572" s="8">
        <f t="shared" si="226"/>
        <v>1042.2249999999999</v>
      </c>
      <c r="AE572" s="8" t="str">
        <f t="shared" si="223"/>
        <v/>
      </c>
      <c r="AF572" s="22" t="str">
        <f t="shared" si="224"/>
        <v>CO_Bould_2020g</v>
      </c>
      <c r="AG572">
        <v>1</v>
      </c>
      <c r="AH572" s="272">
        <v>96093</v>
      </c>
      <c r="AI572" s="273">
        <v>65226</v>
      </c>
      <c r="AJ572" s="274">
        <v>30848</v>
      </c>
      <c r="AK572" s="339">
        <v>34378</v>
      </c>
      <c r="AL572" s="340" t="s">
        <v>5730</v>
      </c>
      <c r="AM572" s="353">
        <f t="shared" si="225"/>
        <v>0.16492599966418001</v>
      </c>
      <c r="AP572" s="23">
        <f t="shared" si="227"/>
        <v>136</v>
      </c>
      <c r="AQ572" s="392">
        <f t="shared" si="228"/>
        <v>0.78699040397177766</v>
      </c>
      <c r="AR572" s="392">
        <f t="shared" si="229"/>
        <v>0.99950870087823718</v>
      </c>
      <c r="AS572" s="392">
        <f t="shared" si="229"/>
        <v>0.99999999999999489</v>
      </c>
    </row>
    <row r="573" spans="1:45">
      <c r="A573" s="12" t="s">
        <v>1562</v>
      </c>
      <c r="B573" s="54" t="str">
        <f t="shared" si="209"/>
        <v>AZ_Maric_2020g</v>
      </c>
      <c r="C573" s="12"/>
      <c r="D573" s="54" t="str">
        <f t="shared" si="210"/>
        <v>Gen-state senator dist-22 (vote for1)</v>
      </c>
      <c r="E573" s="54" t="s">
        <v>1299</v>
      </c>
      <c r="G573" s="59">
        <v>119</v>
      </c>
      <c r="H573"/>
      <c r="K573" s="2"/>
      <c r="O573">
        <f t="shared" si="211"/>
        <v>-2</v>
      </c>
      <c r="P573" s="57">
        <f t="shared" si="212"/>
        <v>1</v>
      </c>
      <c r="Q573" s="267">
        <f t="shared" si="213"/>
        <v>119</v>
      </c>
      <c r="R573" s="23">
        <f t="shared" si="214"/>
        <v>1</v>
      </c>
      <c r="S573" s="23">
        <f t="shared" si="215"/>
        <v>0</v>
      </c>
      <c r="T573" s="23" t="str">
        <f t="shared" si="216"/>
        <v/>
      </c>
      <c r="U573" t="str">
        <f t="shared" si="217"/>
        <v/>
      </c>
      <c r="W573" s="1">
        <f t="shared" si="218"/>
        <v>19</v>
      </c>
      <c r="X573" s="73">
        <f t="shared" si="207"/>
        <v>8.898760167416885</v>
      </c>
      <c r="Y573" s="322">
        <f t="shared" si="219"/>
        <v>3762.2250000000004</v>
      </c>
      <c r="Z573" s="43">
        <f t="shared" si="208"/>
        <v>9.9895993633911729E-71</v>
      </c>
      <c r="AA573" s="52">
        <f t="shared" si="220"/>
        <v>9.9895993633911731E-73</v>
      </c>
      <c r="AB573" s="8">
        <f t="shared" si="221"/>
        <v>823.99999999999989</v>
      </c>
      <c r="AC573" s="8">
        <f t="shared" si="222"/>
        <v>208445</v>
      </c>
      <c r="AD573" s="8">
        <f t="shared" si="226"/>
        <v>1042.2249999999999</v>
      </c>
      <c r="AE573" s="8" t="str">
        <f t="shared" si="223"/>
        <v/>
      </c>
      <c r="AF573" s="22" t="str">
        <f t="shared" si="224"/>
        <v>CO_Bould_2020g</v>
      </c>
      <c r="AG573">
        <v>1</v>
      </c>
      <c r="AH573" s="272">
        <v>54525</v>
      </c>
      <c r="AI573" s="273">
        <v>46257</v>
      </c>
      <c r="AJ573" s="274">
        <v>8268</v>
      </c>
      <c r="AK573" s="339">
        <v>37989</v>
      </c>
      <c r="AL573" s="340" t="s">
        <v>5711</v>
      </c>
      <c r="AM573" s="353">
        <f t="shared" si="225"/>
        <v>0.18224951426035646</v>
      </c>
      <c r="AP573" s="23">
        <f t="shared" si="227"/>
        <v>151</v>
      </c>
      <c r="AQ573" s="392">
        <f t="shared" si="228"/>
        <v>0.82290903521017422</v>
      </c>
      <c r="AR573" s="392">
        <f t="shared" si="229"/>
        <v>0.9998025321781846</v>
      </c>
      <c r="AS573" s="392">
        <f t="shared" si="229"/>
        <v>0.99999999999999989</v>
      </c>
    </row>
    <row r="574" spans="1:45">
      <c r="A574" s="12" t="s">
        <v>1564</v>
      </c>
      <c r="B574" s="54" t="str">
        <f t="shared" si="209"/>
        <v>AZ_Maric_2020g</v>
      </c>
      <c r="C574" s="12"/>
      <c r="D574" s="54" t="str">
        <f t="shared" si="210"/>
        <v>Gen-state senator dist-23 (vote for1)</v>
      </c>
      <c r="E574" s="54" t="s">
        <v>1875</v>
      </c>
      <c r="F574" s="12" t="s">
        <v>1296</v>
      </c>
      <c r="G574" s="59">
        <v>89677</v>
      </c>
      <c r="H574"/>
      <c r="K574" s="2"/>
      <c r="O574">
        <f t="shared" si="211"/>
        <v>1</v>
      </c>
      <c r="P574" s="57">
        <f t="shared" si="212"/>
        <v>1</v>
      </c>
      <c r="Q574" s="267">
        <f t="shared" si="213"/>
        <v>152056</v>
      </c>
      <c r="R574" s="23">
        <f t="shared" si="214"/>
        <v>89677</v>
      </c>
      <c r="S574" s="23">
        <f t="shared" si="215"/>
        <v>62115</v>
      </c>
      <c r="T574" s="23">
        <f t="shared" si="216"/>
        <v>27562</v>
      </c>
      <c r="U574" t="str">
        <f t="shared" si="217"/>
        <v>AZ_Maric_2020g~Gen-state senator dist-23 (vote for1)</v>
      </c>
      <c r="W574" s="1">
        <f t="shared" si="218"/>
        <v>20</v>
      </c>
      <c r="X574" s="73">
        <f t="shared" si="207"/>
        <v>9.4224182667358587</v>
      </c>
      <c r="Y574" s="322">
        <f t="shared" si="219"/>
        <v>6264.1650000000009</v>
      </c>
      <c r="Z574" s="43">
        <f t="shared" si="208"/>
        <v>1.4272792174791648E-119</v>
      </c>
      <c r="AA574" s="52">
        <f t="shared" si="220"/>
        <v>1.4272792174791649E-121</v>
      </c>
      <c r="AB574" s="8">
        <f t="shared" si="221"/>
        <v>823.99999999999989</v>
      </c>
      <c r="AC574" s="8">
        <f t="shared" si="222"/>
        <v>208445</v>
      </c>
      <c r="AD574" s="8">
        <f t="shared" si="226"/>
        <v>1042.2249999999999</v>
      </c>
      <c r="AE574" s="8" t="str">
        <f t="shared" si="223"/>
        <v/>
      </c>
      <c r="AF574" s="22" t="str">
        <f t="shared" si="224"/>
        <v>CO_Bould_2020g</v>
      </c>
      <c r="AG574">
        <v>1</v>
      </c>
      <c r="AH574" s="272">
        <v>90785</v>
      </c>
      <c r="AI574" s="273">
        <v>75261</v>
      </c>
      <c r="AJ574" s="274">
        <v>15524</v>
      </c>
      <c r="AK574" s="339">
        <v>59737</v>
      </c>
      <c r="AL574" s="340" t="s">
        <v>5731</v>
      </c>
      <c r="AM574" s="353">
        <f t="shared" si="225"/>
        <v>0.28658399098083426</v>
      </c>
      <c r="AP574" s="23">
        <f t="shared" si="227"/>
        <v>243</v>
      </c>
      <c r="AQ574" s="392">
        <f t="shared" si="228"/>
        <v>0.94697953530255274</v>
      </c>
      <c r="AR574" s="392">
        <f t="shared" si="229"/>
        <v>0.99999949155086554</v>
      </c>
      <c r="AS574" s="392">
        <f t="shared" si="229"/>
        <v>1</v>
      </c>
    </row>
    <row r="575" spans="1:45">
      <c r="A575" s="12" t="s">
        <v>1564</v>
      </c>
      <c r="B575" s="54" t="str">
        <f t="shared" si="209"/>
        <v>AZ_Maric_2020g</v>
      </c>
      <c r="C575" s="12"/>
      <c r="D575" s="54" t="str">
        <f t="shared" si="210"/>
        <v>Gen-state senator dist-23 (vote for1)</v>
      </c>
      <c r="E575" s="54" t="s">
        <v>1876</v>
      </c>
      <c r="F575" s="12" t="s">
        <v>1294</v>
      </c>
      <c r="G575" s="59">
        <v>62115</v>
      </c>
      <c r="H575"/>
      <c r="K575" s="2"/>
      <c r="O575">
        <f t="shared" si="211"/>
        <v>2</v>
      </c>
      <c r="P575" s="57">
        <f t="shared" si="212"/>
        <v>1</v>
      </c>
      <c r="Q575" s="267">
        <f t="shared" si="213"/>
        <v>62379</v>
      </c>
      <c r="R575" s="23" t="str">
        <f t="shared" si="214"/>
        <v/>
      </c>
      <c r="S575" s="23">
        <f t="shared" si="215"/>
        <v>62115</v>
      </c>
      <c r="T575" s="23" t="str">
        <f t="shared" si="216"/>
        <v/>
      </c>
      <c r="U575" t="str">
        <f t="shared" si="217"/>
        <v/>
      </c>
      <c r="W575" s="1">
        <f t="shared" si="218"/>
        <v>21</v>
      </c>
      <c r="X575" s="73">
        <f t="shared" ref="X575:X638" si="230">IF(AK575=0,AH575,MIN(AH575,6.2/(AK575/AH575)))</f>
        <v>12.291758963769476</v>
      </c>
      <c r="Y575" s="322">
        <f t="shared" si="219"/>
        <v>10930.635</v>
      </c>
      <c r="Z575" s="43">
        <f t="shared" ref="Z575:Z638" si="231">AA575*100</f>
        <v>9.9672258699951237E-172</v>
      </c>
      <c r="AA575" s="52">
        <f t="shared" si="220"/>
        <v>9.9672258699951242E-174</v>
      </c>
      <c r="AB575" s="8">
        <f t="shared" si="221"/>
        <v>823.99999999999989</v>
      </c>
      <c r="AC575" s="8">
        <f t="shared" si="222"/>
        <v>208445</v>
      </c>
      <c r="AD575" s="8">
        <f t="shared" si="226"/>
        <v>1042.2249999999999</v>
      </c>
      <c r="AE575" s="8" t="str">
        <f t="shared" si="223"/>
        <v/>
      </c>
      <c r="AF575" s="22" t="str">
        <f t="shared" si="224"/>
        <v>CO_Bould_2020g</v>
      </c>
      <c r="AG575" s="23">
        <v>1</v>
      </c>
      <c r="AH575" s="8">
        <v>158415</v>
      </c>
      <c r="AI575" s="273">
        <v>119160</v>
      </c>
      <c r="AJ575" s="274">
        <v>39255</v>
      </c>
      <c r="AK575" s="339">
        <v>79905</v>
      </c>
      <c r="AL575" s="344" t="s">
        <v>5717</v>
      </c>
      <c r="AM575" s="353">
        <f t="shared" si="225"/>
        <v>0.38333853054762645</v>
      </c>
      <c r="AP575" s="23">
        <f t="shared" si="227"/>
        <v>327</v>
      </c>
      <c r="AQ575" s="392">
        <f t="shared" si="228"/>
        <v>0.9845029032916518</v>
      </c>
      <c r="AR575" s="392">
        <f t="shared" si="229"/>
        <v>0.99999999885926116</v>
      </c>
      <c r="AS575" s="392">
        <f t="shared" si="229"/>
        <v>1</v>
      </c>
    </row>
    <row r="576" spans="1:45">
      <c r="A576" s="12" t="s">
        <v>1564</v>
      </c>
      <c r="B576" s="54" t="str">
        <f t="shared" si="209"/>
        <v>AZ_Maric_2020g</v>
      </c>
      <c r="C576" s="12"/>
      <c r="D576" s="54" t="str">
        <f t="shared" si="210"/>
        <v>Gen-state senator dist-23 (vote for1)</v>
      </c>
      <c r="E576" s="54" t="s">
        <v>1299</v>
      </c>
      <c r="G576" s="59">
        <v>132</v>
      </c>
      <c r="H576"/>
      <c r="K576" s="2"/>
      <c r="O576">
        <f t="shared" si="211"/>
        <v>-2</v>
      </c>
      <c r="P576" s="57">
        <f t="shared" si="212"/>
        <v>1</v>
      </c>
      <c r="Q576" s="267">
        <f t="shared" si="213"/>
        <v>264</v>
      </c>
      <c r="R576" s="23" t="str">
        <f t="shared" si="214"/>
        <v/>
      </c>
      <c r="S576" s="23">
        <f t="shared" si="215"/>
        <v>13</v>
      </c>
      <c r="T576" s="23" t="str">
        <f t="shared" si="216"/>
        <v/>
      </c>
      <c r="U576" t="str">
        <f t="shared" si="217"/>
        <v/>
      </c>
      <c r="W576" s="1">
        <f t="shared" si="218"/>
        <v>22</v>
      </c>
      <c r="X576" s="73">
        <f t="shared" si="230"/>
        <v>10.164297077405571</v>
      </c>
      <c r="Y576" s="322">
        <f t="shared" si="219"/>
        <v>9954.9060000000009</v>
      </c>
      <c r="Z576" s="43">
        <f t="shared" si="231"/>
        <v>5.1178245349830471E-195</v>
      </c>
      <c r="AA576" s="52">
        <f t="shared" si="220"/>
        <v>5.1178245349830474E-197</v>
      </c>
      <c r="AB576" s="8">
        <f t="shared" si="221"/>
        <v>823.99999999999989</v>
      </c>
      <c r="AC576" s="8">
        <f t="shared" si="222"/>
        <v>208445</v>
      </c>
      <c r="AD576" s="8">
        <f t="shared" si="226"/>
        <v>1042.2249999999999</v>
      </c>
      <c r="AE576" s="8" t="str">
        <f t="shared" si="223"/>
        <v/>
      </c>
      <c r="AF576" s="22" t="str">
        <f t="shared" si="224"/>
        <v>CO_Bould_2020g</v>
      </c>
      <c r="AG576">
        <v>1</v>
      </c>
      <c r="AH576" s="272">
        <v>144274</v>
      </c>
      <c r="AI576" s="273">
        <v>114509</v>
      </c>
      <c r="AJ576" s="274">
        <v>26505</v>
      </c>
      <c r="AK576" s="339">
        <v>88004</v>
      </c>
      <c r="AL576" s="340" t="s">
        <v>5722</v>
      </c>
      <c r="AM576" s="353">
        <f t="shared" si="225"/>
        <v>0.42219290460313275</v>
      </c>
      <c r="AP576" s="23">
        <f t="shared" si="227"/>
        <v>362</v>
      </c>
      <c r="AQ576" s="392">
        <f t="shared" si="228"/>
        <v>0.99111320899051791</v>
      </c>
      <c r="AR576" s="392">
        <f t="shared" si="229"/>
        <v>0.99999999992812727</v>
      </c>
      <c r="AS576" s="392">
        <f t="shared" si="229"/>
        <v>1</v>
      </c>
    </row>
    <row r="577" spans="1:45">
      <c r="A577" s="12" t="s">
        <v>1564</v>
      </c>
      <c r="B577" s="54" t="str">
        <f t="shared" si="209"/>
        <v>AZ_Maric_2020g</v>
      </c>
      <c r="C577" s="12"/>
      <c r="D577" s="54" t="str">
        <f t="shared" si="210"/>
        <v>Gen-state senator dist-23 (vote for1)</v>
      </c>
      <c r="E577" s="54" t="s">
        <v>1765</v>
      </c>
      <c r="G577" s="59">
        <v>119</v>
      </c>
      <c r="H577"/>
      <c r="K577" s="2"/>
      <c r="O577">
        <f t="shared" si="211"/>
        <v>-2</v>
      </c>
      <c r="P577" s="57">
        <f t="shared" si="212"/>
        <v>1</v>
      </c>
      <c r="Q577" s="267">
        <f t="shared" si="213"/>
        <v>132</v>
      </c>
      <c r="R577" s="23" t="str">
        <f t="shared" si="214"/>
        <v/>
      </c>
      <c r="S577" s="23">
        <f t="shared" si="215"/>
        <v>13</v>
      </c>
      <c r="T577" s="23" t="str">
        <f t="shared" si="216"/>
        <v/>
      </c>
      <c r="U577" t="str">
        <f t="shared" si="217"/>
        <v/>
      </c>
      <c r="W577" s="1">
        <f t="shared" si="218"/>
        <v>23</v>
      </c>
      <c r="X577" s="73">
        <f t="shared" si="230"/>
        <v>13.284990925589836</v>
      </c>
      <c r="Y577" s="322">
        <f t="shared" si="219"/>
        <v>13034.376</v>
      </c>
      <c r="Z577" s="43">
        <f t="shared" si="231"/>
        <v>1.7590254096489335E-195</v>
      </c>
      <c r="AA577" s="52">
        <f t="shared" si="220"/>
        <v>1.7590254096489336E-197</v>
      </c>
      <c r="AB577" s="8">
        <f t="shared" si="221"/>
        <v>823.99999999999989</v>
      </c>
      <c r="AC577" s="8">
        <f t="shared" si="222"/>
        <v>208445</v>
      </c>
      <c r="AD577" s="8">
        <f t="shared" si="226"/>
        <v>1042.2249999999999</v>
      </c>
      <c r="AE577" s="8" t="str">
        <f t="shared" si="223"/>
        <v/>
      </c>
      <c r="AF577" s="22" t="str">
        <f t="shared" si="224"/>
        <v>CO_Bould_2020g</v>
      </c>
      <c r="AG577">
        <v>1</v>
      </c>
      <c r="AH577" s="272">
        <v>188904</v>
      </c>
      <c r="AI577" s="273">
        <v>138532</v>
      </c>
      <c r="AJ577" s="274">
        <v>50372</v>
      </c>
      <c r="AK577" s="339">
        <v>88160</v>
      </c>
      <c r="AL577" s="340" t="s">
        <v>5704</v>
      </c>
      <c r="AM577" s="353">
        <f t="shared" si="225"/>
        <v>0.42294130346134473</v>
      </c>
      <c r="AP577" s="23">
        <f t="shared" si="227"/>
        <v>362</v>
      </c>
      <c r="AQ577" s="392">
        <f t="shared" si="228"/>
        <v>0.99111320899051791</v>
      </c>
      <c r="AR577" s="392">
        <f t="shared" si="229"/>
        <v>0.99999999992812727</v>
      </c>
      <c r="AS577" s="392">
        <f t="shared" si="229"/>
        <v>1</v>
      </c>
    </row>
    <row r="578" spans="1:45">
      <c r="A578" s="12" t="s">
        <v>1564</v>
      </c>
      <c r="B578" s="54" t="str">
        <f t="shared" ref="B578:B641" si="232">LEFT(A578,14)</f>
        <v>AZ_Maric_2020g</v>
      </c>
      <c r="C578" s="12"/>
      <c r="D578" s="54" t="str">
        <f t="shared" ref="D578:D641" si="233">MID(A578,16,99)</f>
        <v>Gen-state senator dist-23 (vote for1)</v>
      </c>
      <c r="E578" s="54" t="s">
        <v>1877</v>
      </c>
      <c r="G578" s="59">
        <v>13</v>
      </c>
      <c r="H578"/>
      <c r="K578" s="2"/>
      <c r="O578">
        <f t="shared" ref="O578:O641" si="234">IF(OR(LOWER(LEFT(E578,8))="write-in",LOWER(LEFT(E578,8))="not qual"),IF(A578=A577,-ABS(O577),0),IF(A578=A577,ABS(O577)+1,1))</f>
        <v>3</v>
      </c>
      <c r="P578" s="57">
        <f t="shared" ref="P578:P641" si="235">1*LEFT(RIGHT(A578,2),1)</f>
        <v>1</v>
      </c>
      <c r="Q578" s="267">
        <f t="shared" ref="Q578:Q641" si="236">IF(A578&lt;&gt;A579,G578,IF(A578=A577,G578+Q579,MAX(G578,(G578+Q579)/P578)))</f>
        <v>13</v>
      </c>
      <c r="R578" s="23" t="str">
        <f t="shared" ref="R578:R641" si="237">IF(O578&gt;P578,"",IF(O578=P578,G578,IF(A578=A579,R579,IF(O578&lt;=0,1,G578))))</f>
        <v/>
      </c>
      <c r="S578" s="23">
        <f t="shared" ref="S578:S641" si="238">IF(AND(O578&gt;P578,LOWER(LEFT(E578,8))&lt;&gt;"write-in",LOWER(LEFT(E578,8))&lt;&gt;"not qual"),G578,IF(A578=A579,S579,0))</f>
        <v>13</v>
      </c>
      <c r="T578" s="23" t="str">
        <f t="shared" ref="T578:T641" si="239">IF(OR(A578=A577,S578=0),"",R578-ABS(S578))</f>
        <v/>
      </c>
      <c r="U578" t="str">
        <f t="shared" ref="U578:U641" si="240">IF(A578=A577,"",A578)</f>
        <v/>
      </c>
      <c r="W578" s="1">
        <f t="shared" ref="W578:W641" si="241">IF(AF578=AF577,W577+1,1)</f>
        <v>24</v>
      </c>
      <c r="X578" s="73">
        <f t="shared" si="230"/>
        <v>12.750193075463054</v>
      </c>
      <c r="Y578" s="322">
        <f t="shared" ref="Y578:Y641" si="242">MAX(X578,0.069*AH578)</f>
        <v>13008.294000000002</v>
      </c>
      <c r="Z578" s="43">
        <f t="shared" si="231"/>
        <v>4.315769789653305E-206</v>
      </c>
      <c r="AA578" s="52">
        <f t="shared" ref="AA578:AA641" si="243">(1-AK578/AC578)^AB578</f>
        <v>4.3157697896533049E-208</v>
      </c>
      <c r="AB578" s="8">
        <f t="shared" ref="AB578:AB641" si="244">INDEX(BA$2:BA$76,MATCH($AF578,$AU$2:$AU$76,0))+IF(AE578="",0,INDEX(BA$2:BA$76,AE578))</f>
        <v>823.99999999999989</v>
      </c>
      <c r="AC578" s="8">
        <f t="shared" ref="AC578:AC641" si="245">INDEX(AX$2:AX$76,MATCH(AF578,AU$2:AU$76,0))+IF(AE578="",0,INDEX(AX$2:AX$76,AE578))</f>
        <v>208445</v>
      </c>
      <c r="AD578" s="8">
        <f t="shared" si="226"/>
        <v>1042.2249999999999</v>
      </c>
      <c r="AE578" s="8" t="str">
        <f t="shared" ref="AE578:AE641" si="246">IF(MID(AL578,16,2)&lt;&gt;"w/","",MATCH(CONCATENATE("CO_",MID(AL578,18,5),"_2020g"),AU$2:AU$76,0))</f>
        <v/>
      </c>
      <c r="AF578" s="22" t="str">
        <f t="shared" ref="AF578:AF641" si="247">LEFT(AL578,14)</f>
        <v>CO_Bould_2020g</v>
      </c>
      <c r="AG578">
        <v>1</v>
      </c>
      <c r="AH578" s="272">
        <v>188526</v>
      </c>
      <c r="AI578" s="273">
        <v>140100</v>
      </c>
      <c r="AJ578" s="274">
        <v>48426</v>
      </c>
      <c r="AK578" s="339">
        <v>91674</v>
      </c>
      <c r="AL578" s="340" t="s">
        <v>5705</v>
      </c>
      <c r="AM578" s="353">
        <f t="shared" ref="AM578:AM641" si="248">AK578/AC578</f>
        <v>0.43979946748542781</v>
      </c>
      <c r="AP578" s="23">
        <f t="shared" si="227"/>
        <v>377</v>
      </c>
      <c r="AQ578" s="392">
        <f t="shared" si="228"/>
        <v>0.99305960246808112</v>
      </c>
      <c r="AR578" s="392">
        <f t="shared" si="229"/>
        <v>0.99999999997900146</v>
      </c>
      <c r="AS578" s="392">
        <f t="shared" si="229"/>
        <v>1</v>
      </c>
    </row>
    <row r="579" spans="1:45">
      <c r="A579" s="12" t="s">
        <v>1566</v>
      </c>
      <c r="B579" s="54" t="str">
        <f t="shared" si="232"/>
        <v>AZ_Maric_2020g</v>
      </c>
      <c r="C579" s="12"/>
      <c r="D579" s="54" t="str">
        <f t="shared" si="233"/>
        <v>Gen-state senator dist-24 (vote for1)</v>
      </c>
      <c r="E579" s="54" t="s">
        <v>1883</v>
      </c>
      <c r="F579" s="12" t="s">
        <v>1294</v>
      </c>
      <c r="G579" s="59">
        <v>66719</v>
      </c>
      <c r="H579"/>
      <c r="K579" s="2"/>
      <c r="O579">
        <f t="shared" si="234"/>
        <v>1</v>
      </c>
      <c r="P579" s="57">
        <f t="shared" si="235"/>
        <v>1</v>
      </c>
      <c r="Q579" s="267">
        <f t="shared" si="236"/>
        <v>94288</v>
      </c>
      <c r="R579" s="23">
        <f t="shared" si="237"/>
        <v>66719</v>
      </c>
      <c r="S579" s="23">
        <f t="shared" si="238"/>
        <v>27402</v>
      </c>
      <c r="T579" s="23">
        <f t="shared" si="239"/>
        <v>39317</v>
      </c>
      <c r="U579" t="str">
        <f t="shared" si="240"/>
        <v>AZ_Maric_2020g~Gen-state senator dist-24 (vote for1)</v>
      </c>
      <c r="W579" s="1">
        <f t="shared" si="241"/>
        <v>25</v>
      </c>
      <c r="X579" s="73">
        <f t="shared" si="230"/>
        <v>10.042444011783774</v>
      </c>
      <c r="Y579" s="322">
        <f t="shared" si="242"/>
        <v>10964.031000000001</v>
      </c>
      <c r="Z579" s="43">
        <f t="shared" si="231"/>
        <v>2.3766578478643123E-226</v>
      </c>
      <c r="AA579" s="52">
        <f t="shared" si="243"/>
        <v>2.3766578478643124E-228</v>
      </c>
      <c r="AB579" s="8">
        <f t="shared" si="244"/>
        <v>823.99999999999989</v>
      </c>
      <c r="AC579" s="8">
        <f t="shared" si="245"/>
        <v>208445</v>
      </c>
      <c r="AD579" s="8">
        <f t="shared" ref="AD579:AD642" si="249">AC579/RIGHT(AD$1,4)</f>
        <v>1042.2249999999999</v>
      </c>
      <c r="AE579" s="8" t="str">
        <f t="shared" si="246"/>
        <v/>
      </c>
      <c r="AF579" s="22" t="str">
        <f t="shared" si="247"/>
        <v>CO_Bould_2020g</v>
      </c>
      <c r="AG579">
        <v>1</v>
      </c>
      <c r="AH579" s="272">
        <v>158899</v>
      </c>
      <c r="AI579" s="273">
        <v>128500</v>
      </c>
      <c r="AJ579" s="274">
        <v>30399</v>
      </c>
      <c r="AK579" s="339">
        <v>98101</v>
      </c>
      <c r="AL579" s="340" t="s">
        <v>5714</v>
      </c>
      <c r="AM579" s="353">
        <f t="shared" si="248"/>
        <v>0.47063254095804646</v>
      </c>
      <c r="AP579" s="23">
        <f t="shared" si="227"/>
        <v>404</v>
      </c>
      <c r="AQ579" s="392">
        <f t="shared" si="228"/>
        <v>0.99561633772402414</v>
      </c>
      <c r="AR579" s="392">
        <f t="shared" si="229"/>
        <v>0.99999999999787248</v>
      </c>
      <c r="AS579" s="392">
        <f t="shared" si="229"/>
        <v>1</v>
      </c>
    </row>
    <row r="580" spans="1:45">
      <c r="A580" s="12" t="s">
        <v>1566</v>
      </c>
      <c r="B580" s="54" t="str">
        <f t="shared" si="232"/>
        <v>AZ_Maric_2020g</v>
      </c>
      <c r="C580" s="12"/>
      <c r="D580" s="54" t="str">
        <f t="shared" si="233"/>
        <v>Gen-state senator dist-24 (vote for1)</v>
      </c>
      <c r="E580" s="54" t="s">
        <v>1882</v>
      </c>
      <c r="F580" s="12" t="s">
        <v>1296</v>
      </c>
      <c r="G580" s="59">
        <v>27402</v>
      </c>
      <c r="H580"/>
      <c r="K580" s="2"/>
      <c r="O580">
        <f t="shared" si="234"/>
        <v>2</v>
      </c>
      <c r="P580" s="57">
        <f t="shared" si="235"/>
        <v>1</v>
      </c>
      <c r="Q580" s="267">
        <f t="shared" si="236"/>
        <v>27569</v>
      </c>
      <c r="R580" s="23" t="str">
        <f t="shared" si="237"/>
        <v/>
      </c>
      <c r="S580" s="23">
        <f t="shared" si="238"/>
        <v>27402</v>
      </c>
      <c r="T580" s="23" t="str">
        <f t="shared" si="239"/>
        <v/>
      </c>
      <c r="U580" t="str">
        <f t="shared" si="240"/>
        <v/>
      </c>
      <c r="W580" s="1">
        <f t="shared" si="241"/>
        <v>26</v>
      </c>
      <c r="X580" s="73">
        <f t="shared" si="230"/>
        <v>9.7368771098906652</v>
      </c>
      <c r="Y580" s="322">
        <f t="shared" si="242"/>
        <v>10753.305</v>
      </c>
      <c r="Z580" s="43">
        <f t="shared" si="231"/>
        <v>4.7779566057148659E-230</v>
      </c>
      <c r="AA580" s="52">
        <f t="shared" si="243"/>
        <v>4.7779566057148655E-232</v>
      </c>
      <c r="AB580" s="8">
        <f t="shared" si="244"/>
        <v>823.99999999999989</v>
      </c>
      <c r="AC580" s="8">
        <f t="shared" si="245"/>
        <v>208445</v>
      </c>
      <c r="AD580" s="8">
        <f t="shared" si="249"/>
        <v>1042.2249999999999</v>
      </c>
      <c r="AE580" s="8" t="str">
        <f t="shared" si="246"/>
        <v/>
      </c>
      <c r="AF580" s="22" t="str">
        <f t="shared" si="247"/>
        <v>CO_Bould_2020g</v>
      </c>
      <c r="AG580" s="23">
        <v>1</v>
      </c>
      <c r="AH580" s="8">
        <v>155845</v>
      </c>
      <c r="AI580" s="273">
        <v>127540</v>
      </c>
      <c r="AJ580" s="274">
        <v>28305</v>
      </c>
      <c r="AK580" s="339">
        <v>99235</v>
      </c>
      <c r="AL580" s="344" t="s">
        <v>5718</v>
      </c>
      <c r="AM580" s="353">
        <f t="shared" si="248"/>
        <v>0.47607282496581832</v>
      </c>
      <c r="AP580" s="23">
        <f t="shared" si="227"/>
        <v>409</v>
      </c>
      <c r="AQ580" s="392">
        <f t="shared" si="228"/>
        <v>0.99598254143829545</v>
      </c>
      <c r="AR580" s="392">
        <f t="shared" si="229"/>
        <v>0.99999999999862299</v>
      </c>
      <c r="AS580" s="392">
        <f t="shared" si="229"/>
        <v>1</v>
      </c>
    </row>
    <row r="581" spans="1:45">
      <c r="A581" s="12" t="s">
        <v>1566</v>
      </c>
      <c r="B581" s="54" t="str">
        <f t="shared" si="232"/>
        <v>AZ_Maric_2020g</v>
      </c>
      <c r="C581" s="12"/>
      <c r="D581" s="54" t="str">
        <f t="shared" si="233"/>
        <v>Gen-state senator dist-24 (vote for1)</v>
      </c>
      <c r="E581" s="54" t="s">
        <v>1299</v>
      </c>
      <c r="G581" s="59">
        <v>167</v>
      </c>
      <c r="H581"/>
      <c r="K581" s="2"/>
      <c r="O581">
        <f t="shared" si="234"/>
        <v>-2</v>
      </c>
      <c r="P581" s="57">
        <f t="shared" si="235"/>
        <v>1</v>
      </c>
      <c r="Q581" s="267">
        <f t="shared" si="236"/>
        <v>167</v>
      </c>
      <c r="R581" s="23">
        <f t="shared" si="237"/>
        <v>1</v>
      </c>
      <c r="S581" s="23">
        <f t="shared" si="238"/>
        <v>0</v>
      </c>
      <c r="T581" s="23" t="str">
        <f t="shared" si="239"/>
        <v/>
      </c>
      <c r="U581" t="str">
        <f t="shared" si="240"/>
        <v/>
      </c>
      <c r="W581" s="1">
        <f t="shared" si="241"/>
        <v>27</v>
      </c>
      <c r="X581" s="73">
        <f t="shared" si="230"/>
        <v>9.8930694260618459</v>
      </c>
      <c r="Y581" s="322">
        <f t="shared" si="242"/>
        <v>10980.522000000001</v>
      </c>
      <c r="Z581" s="43">
        <f t="shared" si="231"/>
        <v>1.1141885672084336E-231</v>
      </c>
      <c r="AA581" s="52">
        <f t="shared" si="243"/>
        <v>1.1141885672084336E-233</v>
      </c>
      <c r="AB581" s="8">
        <f t="shared" si="244"/>
        <v>823.99999999999989</v>
      </c>
      <c r="AC581" s="8">
        <f t="shared" si="245"/>
        <v>208445</v>
      </c>
      <c r="AD581" s="8">
        <f t="shared" si="249"/>
        <v>1042.2249999999999</v>
      </c>
      <c r="AE581" s="8" t="str">
        <f t="shared" si="246"/>
        <v/>
      </c>
      <c r="AF581" s="22" t="str">
        <f t="shared" si="247"/>
        <v>CO_Bould_2020g</v>
      </c>
      <c r="AG581">
        <v>1</v>
      </c>
      <c r="AH581" s="272">
        <v>159138</v>
      </c>
      <c r="AI581" s="273">
        <v>129435</v>
      </c>
      <c r="AJ581" s="274">
        <v>29703</v>
      </c>
      <c r="AK581" s="339">
        <v>99732</v>
      </c>
      <c r="AL581" s="340" t="s">
        <v>5713</v>
      </c>
      <c r="AM581" s="353">
        <f t="shared" si="248"/>
        <v>0.47845714696922448</v>
      </c>
      <c r="AP581" s="23">
        <f t="shared" si="227"/>
        <v>411</v>
      </c>
      <c r="AQ581" s="392">
        <f t="shared" si="228"/>
        <v>0.99612106410362267</v>
      </c>
      <c r="AR581" s="392">
        <f t="shared" si="229"/>
        <v>0.99999999999884415</v>
      </c>
      <c r="AS581" s="392">
        <f t="shared" si="229"/>
        <v>1</v>
      </c>
    </row>
    <row r="582" spans="1:45">
      <c r="A582" s="12" t="s">
        <v>1568</v>
      </c>
      <c r="B582" s="54" t="str">
        <f t="shared" si="232"/>
        <v>AZ_Maric_2020g</v>
      </c>
      <c r="C582" s="12"/>
      <c r="D582" s="54" t="str">
        <f t="shared" si="233"/>
        <v>Gen-state senator dist-25 (vote for1)</v>
      </c>
      <c r="E582" s="54" t="s">
        <v>1888</v>
      </c>
      <c r="F582" s="12" t="s">
        <v>1296</v>
      </c>
      <c r="G582" s="59">
        <v>70046</v>
      </c>
      <c r="H582"/>
      <c r="K582" s="2"/>
      <c r="O582">
        <f t="shared" si="234"/>
        <v>1</v>
      </c>
      <c r="P582" s="57">
        <f t="shared" si="235"/>
        <v>1</v>
      </c>
      <c r="Q582" s="267">
        <f t="shared" si="236"/>
        <v>114590</v>
      </c>
      <c r="R582" s="23">
        <f t="shared" si="237"/>
        <v>70046</v>
      </c>
      <c r="S582" s="23">
        <f t="shared" si="238"/>
        <v>44443</v>
      </c>
      <c r="T582" s="23">
        <f t="shared" si="239"/>
        <v>25603</v>
      </c>
      <c r="U582" t="str">
        <f t="shared" si="240"/>
        <v>AZ_Maric_2020g~Gen-state senator dist-25 (vote for1)</v>
      </c>
      <c r="W582" s="1">
        <f t="shared" si="241"/>
        <v>28</v>
      </c>
      <c r="X582" s="73">
        <f t="shared" si="230"/>
        <v>9.7163310738636941</v>
      </c>
      <c r="Y582" s="322">
        <f t="shared" si="242"/>
        <v>10831.827000000001</v>
      </c>
      <c r="Z582" s="43">
        <f t="shared" si="231"/>
        <v>3.9714050189873394E-233</v>
      </c>
      <c r="AA582" s="52">
        <f t="shared" si="243"/>
        <v>3.9714050189873393E-235</v>
      </c>
      <c r="AB582" s="8">
        <f t="shared" si="244"/>
        <v>823.99999999999989</v>
      </c>
      <c r="AC582" s="8">
        <f t="shared" si="245"/>
        <v>208445</v>
      </c>
      <c r="AD582" s="8">
        <f t="shared" si="249"/>
        <v>1042.2249999999999</v>
      </c>
      <c r="AE582" s="8" t="str">
        <f t="shared" si="246"/>
        <v/>
      </c>
      <c r="AF582" s="22" t="str">
        <f t="shared" si="247"/>
        <v>CO_Bould_2020g</v>
      </c>
      <c r="AG582" s="23">
        <v>1</v>
      </c>
      <c r="AH582" s="8">
        <v>156983</v>
      </c>
      <c r="AI582" s="273">
        <v>128577</v>
      </c>
      <c r="AJ582" s="274">
        <v>28406</v>
      </c>
      <c r="AK582" s="339">
        <v>100171</v>
      </c>
      <c r="AL582" s="340" t="s">
        <v>5715</v>
      </c>
      <c r="AM582" s="353">
        <f t="shared" si="248"/>
        <v>0.48056321811509028</v>
      </c>
      <c r="AP582" s="23">
        <f t="shared" si="227"/>
        <v>413</v>
      </c>
      <c r="AQ582" s="392">
        <f t="shared" si="228"/>
        <v>0.99625523100568081</v>
      </c>
      <c r="AR582" s="392">
        <f t="shared" si="229"/>
        <v>0.99999999999903022</v>
      </c>
      <c r="AS582" s="392">
        <f t="shared" si="229"/>
        <v>1</v>
      </c>
    </row>
    <row r="583" spans="1:45">
      <c r="A583" s="12" t="s">
        <v>1568</v>
      </c>
      <c r="B583" s="54" t="str">
        <f t="shared" si="232"/>
        <v>AZ_Maric_2020g</v>
      </c>
      <c r="C583" s="12"/>
      <c r="D583" s="54" t="str">
        <f t="shared" si="233"/>
        <v>Gen-state senator dist-25 (vote for1)</v>
      </c>
      <c r="E583" s="54" t="s">
        <v>1889</v>
      </c>
      <c r="F583" s="12" t="s">
        <v>1294</v>
      </c>
      <c r="G583" s="59">
        <v>44443</v>
      </c>
      <c r="H583"/>
      <c r="K583" s="2"/>
      <c r="O583">
        <f t="shared" si="234"/>
        <v>2</v>
      </c>
      <c r="P583" s="57">
        <f t="shared" si="235"/>
        <v>1</v>
      </c>
      <c r="Q583" s="267">
        <f t="shared" si="236"/>
        <v>44544</v>
      </c>
      <c r="R583" s="23" t="str">
        <f t="shared" si="237"/>
        <v/>
      </c>
      <c r="S583" s="23">
        <f t="shared" si="238"/>
        <v>44443</v>
      </c>
      <c r="T583" s="23" t="str">
        <f t="shared" si="239"/>
        <v/>
      </c>
      <c r="U583" t="str">
        <f t="shared" si="240"/>
        <v/>
      </c>
      <c r="W583" s="1">
        <f t="shared" si="241"/>
        <v>29</v>
      </c>
      <c r="X583" s="73">
        <f t="shared" si="230"/>
        <v>8.9545351022562105</v>
      </c>
      <c r="Y583" s="322">
        <f t="shared" si="242"/>
        <v>10764.069000000001</v>
      </c>
      <c r="Z583" s="43">
        <f t="shared" si="231"/>
        <v>4.9389936001810869E-260</v>
      </c>
      <c r="AA583" s="52">
        <f t="shared" si="243"/>
        <v>4.9389936001810869E-262</v>
      </c>
      <c r="AB583" s="8">
        <f t="shared" si="244"/>
        <v>823.99999999999989</v>
      </c>
      <c r="AC583" s="8">
        <f t="shared" si="245"/>
        <v>208445</v>
      </c>
      <c r="AD583" s="8">
        <f t="shared" si="249"/>
        <v>1042.2249999999999</v>
      </c>
      <c r="AE583" s="8" t="str">
        <f t="shared" si="246"/>
        <v/>
      </c>
      <c r="AF583" s="22" t="str">
        <f t="shared" si="247"/>
        <v>CO_Bould_2020g</v>
      </c>
      <c r="AG583">
        <v>1</v>
      </c>
      <c r="AH583" s="272">
        <v>156001</v>
      </c>
      <c r="AI583" s="273">
        <v>132007</v>
      </c>
      <c r="AJ583" s="274">
        <v>23994</v>
      </c>
      <c r="AK583" s="339">
        <v>108013</v>
      </c>
      <c r="AL583" s="340" t="s">
        <v>5706</v>
      </c>
      <c r="AM583" s="353">
        <f t="shared" si="248"/>
        <v>0.51818465302597805</v>
      </c>
      <c r="AP583" s="23">
        <f t="shared" si="227"/>
        <v>446</v>
      </c>
      <c r="AQ583" s="392">
        <f t="shared" si="228"/>
        <v>0.99794008266113465</v>
      </c>
      <c r="AR583" s="392">
        <f t="shared" si="229"/>
        <v>0.99999999999995104</v>
      </c>
      <c r="AS583" s="392">
        <f t="shared" si="229"/>
        <v>1</v>
      </c>
    </row>
    <row r="584" spans="1:45">
      <c r="A584" s="12" t="s">
        <v>1568</v>
      </c>
      <c r="B584" s="54" t="str">
        <f t="shared" si="232"/>
        <v>AZ_Maric_2020g</v>
      </c>
      <c r="C584" s="12"/>
      <c r="D584" s="54" t="str">
        <f t="shared" si="233"/>
        <v>Gen-state senator dist-25 (vote for1)</v>
      </c>
      <c r="E584" s="54" t="s">
        <v>1299</v>
      </c>
      <c r="G584" s="59">
        <v>101</v>
      </c>
      <c r="H584"/>
      <c r="K584" s="2"/>
      <c r="O584">
        <f t="shared" si="234"/>
        <v>-2</v>
      </c>
      <c r="P584" s="57">
        <f t="shared" si="235"/>
        <v>1</v>
      </c>
      <c r="Q584" s="267">
        <f t="shared" si="236"/>
        <v>101</v>
      </c>
      <c r="R584" s="23">
        <f t="shared" si="237"/>
        <v>1</v>
      </c>
      <c r="S584" s="23">
        <f t="shared" si="238"/>
        <v>0</v>
      </c>
      <c r="T584" s="23" t="str">
        <f t="shared" si="239"/>
        <v/>
      </c>
      <c r="U584" t="str">
        <f t="shared" si="240"/>
        <v/>
      </c>
      <c r="W584" s="1">
        <f t="shared" si="241"/>
        <v>30</v>
      </c>
      <c r="X584" s="73">
        <f t="shared" si="230"/>
        <v>8.7118841469470301</v>
      </c>
      <c r="Y584" s="322">
        <f t="shared" si="242"/>
        <v>10738.815000000001</v>
      </c>
      <c r="Z584" s="43">
        <f t="shared" si="231"/>
        <v>5.8281288558391958E-270</v>
      </c>
      <c r="AA584" s="52">
        <f t="shared" si="243"/>
        <v>5.8281288558391959E-272</v>
      </c>
      <c r="AB584" s="8">
        <f t="shared" si="244"/>
        <v>823.99999999999989</v>
      </c>
      <c r="AC584" s="8">
        <f t="shared" si="245"/>
        <v>208445</v>
      </c>
      <c r="AD584" s="8">
        <f t="shared" si="249"/>
        <v>1042.2249999999999</v>
      </c>
      <c r="AE584" s="8" t="str">
        <f t="shared" si="246"/>
        <v/>
      </c>
      <c r="AF584" s="22" t="str">
        <f t="shared" si="247"/>
        <v>CO_Bould_2020g</v>
      </c>
      <c r="AG584" s="23">
        <v>1</v>
      </c>
      <c r="AH584" s="8">
        <v>155635</v>
      </c>
      <c r="AI584" s="273">
        <v>133198</v>
      </c>
      <c r="AJ584" s="274">
        <v>22437</v>
      </c>
      <c r="AK584" s="339">
        <v>110761</v>
      </c>
      <c r="AL584" s="344" t="s">
        <v>5716</v>
      </c>
      <c r="AM584" s="353">
        <f t="shared" si="248"/>
        <v>0.53136798675909713</v>
      </c>
      <c r="AP584" s="23">
        <f t="shared" si="227"/>
        <v>457</v>
      </c>
      <c r="AQ584" s="392">
        <f t="shared" si="228"/>
        <v>0.99832469913021893</v>
      </c>
      <c r="AR584" s="392">
        <f t="shared" si="229"/>
        <v>0.99999999999998257</v>
      </c>
      <c r="AS584" s="392">
        <f t="shared" si="229"/>
        <v>1</v>
      </c>
    </row>
    <row r="585" spans="1:45">
      <c r="A585" s="12" t="s">
        <v>1570</v>
      </c>
      <c r="B585" s="54" t="str">
        <f t="shared" si="232"/>
        <v>AZ_Maric_2020g</v>
      </c>
      <c r="C585" s="12"/>
      <c r="D585" s="54" t="str">
        <f t="shared" si="233"/>
        <v>Gen-state senator dist-26 (vote for1)</v>
      </c>
      <c r="E585" s="54" t="s">
        <v>1894</v>
      </c>
      <c r="F585" s="12" t="s">
        <v>1294</v>
      </c>
      <c r="G585" s="59">
        <v>49806</v>
      </c>
      <c r="H585"/>
      <c r="K585" s="2"/>
      <c r="O585">
        <f t="shared" si="234"/>
        <v>1</v>
      </c>
      <c r="P585" s="57">
        <f t="shared" si="235"/>
        <v>1</v>
      </c>
      <c r="Q585" s="267">
        <f t="shared" si="236"/>
        <v>74359</v>
      </c>
      <c r="R585" s="23">
        <f t="shared" si="237"/>
        <v>49806</v>
      </c>
      <c r="S585" s="23">
        <f t="shared" si="238"/>
        <v>24385</v>
      </c>
      <c r="T585" s="23">
        <f t="shared" si="239"/>
        <v>25421</v>
      </c>
      <c r="U585" t="str">
        <f t="shared" si="240"/>
        <v>AZ_Maric_2020g~Gen-state senator dist-26 (vote for1)</v>
      </c>
      <c r="W585" s="1">
        <f t="shared" si="241"/>
        <v>31</v>
      </c>
      <c r="X585" s="73">
        <f t="shared" si="230"/>
        <v>9.0094755752963387</v>
      </c>
      <c r="Y585" s="322">
        <f t="shared" si="242"/>
        <v>11106.447</v>
      </c>
      <c r="Z585" s="43">
        <f t="shared" si="231"/>
        <v>5.4477916806620827E-270</v>
      </c>
      <c r="AA585" s="52">
        <f t="shared" si="243"/>
        <v>5.4477916806620827E-272</v>
      </c>
      <c r="AB585" s="8">
        <f t="shared" si="244"/>
        <v>823.99999999999989</v>
      </c>
      <c r="AC585" s="8">
        <f t="shared" si="245"/>
        <v>208445</v>
      </c>
      <c r="AD585" s="8">
        <f t="shared" si="249"/>
        <v>1042.2249999999999</v>
      </c>
      <c r="AE585" s="8" t="str">
        <f t="shared" si="246"/>
        <v/>
      </c>
      <c r="AF585" s="22" t="str">
        <f t="shared" si="247"/>
        <v>CO_Bould_2020g</v>
      </c>
      <c r="AG585" s="23">
        <v>1</v>
      </c>
      <c r="AH585" s="8">
        <v>160963</v>
      </c>
      <c r="AI585" s="273">
        <v>135866</v>
      </c>
      <c r="AJ585" s="274">
        <v>25097</v>
      </c>
      <c r="AK585" s="339">
        <v>110769</v>
      </c>
      <c r="AL585" s="344" t="s">
        <v>5720</v>
      </c>
      <c r="AM585" s="353">
        <f t="shared" si="248"/>
        <v>0.53140636618772341</v>
      </c>
      <c r="AP585" s="23">
        <f t="shared" si="227"/>
        <v>457</v>
      </c>
      <c r="AQ585" s="392">
        <f t="shared" si="228"/>
        <v>0.99832469913021893</v>
      </c>
      <c r="AR585" s="392">
        <f t="shared" si="229"/>
        <v>0.99999999999998257</v>
      </c>
      <c r="AS585" s="392">
        <f t="shared" si="229"/>
        <v>1</v>
      </c>
    </row>
    <row r="586" spans="1:45">
      <c r="A586" s="12" t="s">
        <v>1570</v>
      </c>
      <c r="B586" s="54" t="str">
        <f t="shared" si="232"/>
        <v>AZ_Maric_2020g</v>
      </c>
      <c r="C586" s="12"/>
      <c r="D586" s="54" t="str">
        <f t="shared" si="233"/>
        <v>Gen-state senator dist-26 (vote for1)</v>
      </c>
      <c r="E586" s="54" t="s">
        <v>1893</v>
      </c>
      <c r="F586" s="12" t="s">
        <v>1296</v>
      </c>
      <c r="G586" s="59">
        <v>24385</v>
      </c>
      <c r="H586"/>
      <c r="K586" s="2"/>
      <c r="O586">
        <f t="shared" si="234"/>
        <v>2</v>
      </c>
      <c r="P586" s="57">
        <f t="shared" si="235"/>
        <v>1</v>
      </c>
      <c r="Q586" s="267">
        <f t="shared" si="236"/>
        <v>24553</v>
      </c>
      <c r="R586" s="23" t="str">
        <f t="shared" si="237"/>
        <v/>
      </c>
      <c r="S586" s="23">
        <f t="shared" si="238"/>
        <v>24385</v>
      </c>
      <c r="T586" s="23" t="str">
        <f t="shared" si="239"/>
        <v/>
      </c>
      <c r="U586" t="str">
        <f t="shared" si="240"/>
        <v/>
      </c>
      <c r="W586" s="1">
        <f t="shared" si="241"/>
        <v>32</v>
      </c>
      <c r="X586" s="73">
        <f t="shared" si="230"/>
        <v>8.4691324279906581</v>
      </c>
      <c r="Y586" s="322">
        <f t="shared" si="242"/>
        <v>10896.618</v>
      </c>
      <c r="Z586" s="43">
        <f t="shared" si="231"/>
        <v>3.5115103070788107E-288</v>
      </c>
      <c r="AA586" s="52">
        <f t="shared" si="243"/>
        <v>3.5115103070788103E-290</v>
      </c>
      <c r="AB586" s="8">
        <f t="shared" si="244"/>
        <v>823.99999999999989</v>
      </c>
      <c r="AC586" s="8">
        <f t="shared" si="245"/>
        <v>208445</v>
      </c>
      <c r="AD586" s="8">
        <f t="shared" si="249"/>
        <v>1042.2249999999999</v>
      </c>
      <c r="AE586" s="8" t="str">
        <f t="shared" si="246"/>
        <v/>
      </c>
      <c r="AF586" s="22" t="str">
        <f t="shared" si="247"/>
        <v>CO_Bould_2020g</v>
      </c>
      <c r="AG586" s="23">
        <v>1</v>
      </c>
      <c r="AH586" s="8">
        <v>157922</v>
      </c>
      <c r="AI586" s="273">
        <v>136766</v>
      </c>
      <c r="AJ586" s="274">
        <v>21156</v>
      </c>
      <c r="AK586" s="339">
        <v>115610</v>
      </c>
      <c r="AL586" s="344" t="s">
        <v>5719</v>
      </c>
      <c r="AM586" s="353">
        <f t="shared" si="248"/>
        <v>0.5546307179351867</v>
      </c>
      <c r="AP586" s="23">
        <f t="shared" si="227"/>
        <v>477</v>
      </c>
      <c r="AQ586" s="392">
        <f t="shared" si="228"/>
        <v>0.99886119852971245</v>
      </c>
      <c r="AR586" s="392">
        <f t="shared" si="229"/>
        <v>0.99999999999999745</v>
      </c>
      <c r="AS586" s="392">
        <f t="shared" si="229"/>
        <v>1</v>
      </c>
    </row>
    <row r="587" spans="1:45">
      <c r="A587" s="12" t="s">
        <v>1570</v>
      </c>
      <c r="B587" s="54" t="str">
        <f t="shared" si="232"/>
        <v>AZ_Maric_2020g</v>
      </c>
      <c r="C587" s="12"/>
      <c r="D587" s="54" t="str">
        <f t="shared" si="233"/>
        <v>Gen-state senator dist-26 (vote for1)</v>
      </c>
      <c r="E587" s="54" t="s">
        <v>1299</v>
      </c>
      <c r="G587" s="59">
        <v>168</v>
      </c>
      <c r="H587"/>
      <c r="K587" s="2"/>
      <c r="O587">
        <f t="shared" si="234"/>
        <v>-2</v>
      </c>
      <c r="P587" s="57">
        <f t="shared" si="235"/>
        <v>1</v>
      </c>
      <c r="Q587" s="267">
        <f t="shared" si="236"/>
        <v>168</v>
      </c>
      <c r="R587" s="23">
        <f t="shared" si="237"/>
        <v>1</v>
      </c>
      <c r="S587" s="23">
        <f t="shared" si="238"/>
        <v>0</v>
      </c>
      <c r="T587" s="23" t="str">
        <f t="shared" si="239"/>
        <v/>
      </c>
      <c r="U587" t="str">
        <f t="shared" si="240"/>
        <v/>
      </c>
      <c r="W587" s="1">
        <f t="shared" si="241"/>
        <v>33</v>
      </c>
      <c r="X587" s="73">
        <f t="shared" si="230"/>
        <v>8.3349322877789902</v>
      </c>
      <c r="Y587" s="322">
        <f t="shared" si="242"/>
        <v>11308.617</v>
      </c>
      <c r="Z587" s="43">
        <f t="shared" si="231"/>
        <v>0</v>
      </c>
      <c r="AA587" s="52">
        <f t="shared" si="243"/>
        <v>0</v>
      </c>
      <c r="AB587" s="8">
        <f t="shared" si="244"/>
        <v>823.99999999999989</v>
      </c>
      <c r="AC587" s="8">
        <f t="shared" si="245"/>
        <v>208445</v>
      </c>
      <c r="AD587" s="8">
        <f t="shared" si="249"/>
        <v>1042.2249999999999</v>
      </c>
      <c r="AE587" s="8" t="str">
        <f t="shared" si="246"/>
        <v/>
      </c>
      <c r="AF587" s="22" t="str">
        <f t="shared" si="247"/>
        <v>CO_Bould_2020g</v>
      </c>
      <c r="AG587" s="23">
        <v>1</v>
      </c>
      <c r="AH587" s="8">
        <v>163893</v>
      </c>
      <c r="AI587" s="273">
        <v>142903</v>
      </c>
      <c r="AJ587" s="274">
        <v>20990</v>
      </c>
      <c r="AK587" s="339">
        <v>121913</v>
      </c>
      <c r="AL587" s="344" t="s">
        <v>5721</v>
      </c>
      <c r="AM587" s="353">
        <f t="shared" si="248"/>
        <v>0.58486891026409848</v>
      </c>
      <c r="AP587" s="23">
        <f t="shared" si="227"/>
        <v>504</v>
      </c>
      <c r="AQ587" s="392">
        <f t="shared" si="228"/>
        <v>0.99933874174200521</v>
      </c>
      <c r="AR587" s="392">
        <f t="shared" si="229"/>
        <v>0.99999999999999989</v>
      </c>
      <c r="AS587" s="392">
        <f t="shared" si="229"/>
        <v>1</v>
      </c>
    </row>
    <row r="588" spans="1:45">
      <c r="A588" s="12" t="s">
        <v>1572</v>
      </c>
      <c r="B588" s="54" t="str">
        <f t="shared" si="232"/>
        <v>AZ_Maric_2020g</v>
      </c>
      <c r="C588" s="12"/>
      <c r="D588" s="54" t="str">
        <f t="shared" si="233"/>
        <v>Gen-state senator dist-27 (vote for1)</v>
      </c>
      <c r="E588" s="54" t="s">
        <v>1900</v>
      </c>
      <c r="F588" s="12" t="s">
        <v>1294</v>
      </c>
      <c r="G588" s="59">
        <v>57027</v>
      </c>
      <c r="H588"/>
      <c r="K588" s="2"/>
      <c r="O588">
        <f t="shared" si="234"/>
        <v>1</v>
      </c>
      <c r="P588" s="57">
        <f t="shared" si="235"/>
        <v>1</v>
      </c>
      <c r="Q588" s="267">
        <f t="shared" si="236"/>
        <v>74248</v>
      </c>
      <c r="R588" s="23">
        <f t="shared" si="237"/>
        <v>57027</v>
      </c>
      <c r="S588" s="23">
        <f t="shared" si="238"/>
        <v>17087</v>
      </c>
      <c r="T588" s="23">
        <f t="shared" si="239"/>
        <v>39940</v>
      </c>
      <c r="U588" t="str">
        <f t="shared" si="240"/>
        <v>AZ_Maric_2020g~Gen-state senator dist-27 (vote for1)</v>
      </c>
      <c r="W588" s="1">
        <f t="shared" si="241"/>
        <v>1</v>
      </c>
      <c r="X588" s="73">
        <f t="shared" si="230"/>
        <v>18.834949712643677</v>
      </c>
      <c r="Y588" s="322">
        <f t="shared" si="242"/>
        <v>2334.27</v>
      </c>
      <c r="Z588" s="43">
        <f t="shared" si="231"/>
        <v>0.70624389453491421</v>
      </c>
      <c r="AA588" s="52">
        <f t="shared" si="243"/>
        <v>7.0624389453491417E-3</v>
      </c>
      <c r="AB588" s="8">
        <f t="shared" si="244"/>
        <v>523</v>
      </c>
      <c r="AC588" s="8">
        <f t="shared" si="245"/>
        <v>1181464</v>
      </c>
      <c r="AD588" s="8">
        <f t="shared" si="249"/>
        <v>5907.32</v>
      </c>
      <c r="AE588" s="8" t="str">
        <f t="shared" si="246"/>
        <v/>
      </c>
      <c r="AF588" s="22" t="str">
        <f t="shared" si="247"/>
        <v>CO_Denve_2020g</v>
      </c>
      <c r="AG588">
        <v>1</v>
      </c>
      <c r="AH588" s="272">
        <v>33830</v>
      </c>
      <c r="AI588" s="273">
        <v>22483</v>
      </c>
      <c r="AJ588" s="274">
        <v>11347</v>
      </c>
      <c r="AK588" s="339">
        <v>11136</v>
      </c>
      <c r="AL588" s="340" t="s">
        <v>5971</v>
      </c>
      <c r="AM588" s="353">
        <f t="shared" si="248"/>
        <v>9.4255940087890951E-3</v>
      </c>
      <c r="AP588" s="23">
        <f t="shared" si="227"/>
        <v>0</v>
      </c>
      <c r="AQ588" s="392">
        <f t="shared" si="228"/>
        <v>0</v>
      </c>
      <c r="AR588" s="392">
        <f t="shared" si="229"/>
        <v>0</v>
      </c>
      <c r="AS588" s="392">
        <f t="shared" si="229"/>
        <v>0</v>
      </c>
    </row>
    <row r="589" spans="1:45">
      <c r="A589" s="12" t="s">
        <v>1572</v>
      </c>
      <c r="B589" s="54" t="str">
        <f t="shared" si="232"/>
        <v>AZ_Maric_2020g</v>
      </c>
      <c r="C589" s="12"/>
      <c r="D589" s="54" t="str">
        <f t="shared" si="233"/>
        <v>Gen-state senator dist-27 (vote for1)</v>
      </c>
      <c r="E589" s="54" t="s">
        <v>1899</v>
      </c>
      <c r="F589" s="12" t="s">
        <v>1296</v>
      </c>
      <c r="G589" s="59">
        <v>17087</v>
      </c>
      <c r="H589"/>
      <c r="K589" s="2"/>
      <c r="O589">
        <f t="shared" si="234"/>
        <v>2</v>
      </c>
      <c r="P589" s="57">
        <f t="shared" si="235"/>
        <v>1</v>
      </c>
      <c r="Q589" s="267">
        <f t="shared" si="236"/>
        <v>17221</v>
      </c>
      <c r="R589" s="23" t="str">
        <f t="shared" si="237"/>
        <v/>
      </c>
      <c r="S589" s="23">
        <f t="shared" si="238"/>
        <v>17087</v>
      </c>
      <c r="T589" s="23" t="str">
        <f t="shared" si="239"/>
        <v/>
      </c>
      <c r="U589" t="str">
        <f t="shared" si="240"/>
        <v/>
      </c>
      <c r="W589" s="1">
        <f t="shared" si="241"/>
        <v>2</v>
      </c>
      <c r="X589" s="73">
        <f t="shared" si="230"/>
        <v>32.755560990522774</v>
      </c>
      <c r="Y589" s="322">
        <f t="shared" si="242"/>
        <v>5962.0140000000001</v>
      </c>
      <c r="Z589" s="43">
        <f t="shared" si="231"/>
        <v>1.1163526255872479E-2</v>
      </c>
      <c r="AA589" s="52">
        <f t="shared" si="243"/>
        <v>1.1163526255872479E-4</v>
      </c>
      <c r="AB589" s="8">
        <f t="shared" si="244"/>
        <v>850</v>
      </c>
      <c r="AC589" s="8">
        <f t="shared" si="245"/>
        <v>1535811</v>
      </c>
      <c r="AD589" s="8">
        <f t="shared" si="249"/>
        <v>7679.0550000000003</v>
      </c>
      <c r="AE589" s="8">
        <f t="shared" si="246"/>
        <v>7</v>
      </c>
      <c r="AF589" s="22" t="str">
        <f t="shared" si="247"/>
        <v>CO_Denve_2020g</v>
      </c>
      <c r="AG589">
        <v>1</v>
      </c>
      <c r="AH589" s="272">
        <v>86406</v>
      </c>
      <c r="AI589" s="273">
        <v>44968</v>
      </c>
      <c r="AJ589" s="274">
        <v>28613</v>
      </c>
      <c r="AK589" s="339">
        <v>16355</v>
      </c>
      <c r="AL589" s="340" t="s">
        <v>5768</v>
      </c>
      <c r="AM589" s="353">
        <f t="shared" si="248"/>
        <v>1.0649096796415704E-2</v>
      </c>
      <c r="AP589" s="23">
        <f t="shared" ref="AP589:AP652" si="250">MIN(AD589, MAX(0,ROUNDUP(AD589*(0.5*AK589/AC589-0.005)/(RIGHT(AP$1,3)-0.005),0)))</f>
        <v>5</v>
      </c>
      <c r="AQ589" s="392">
        <f t="shared" si="228"/>
        <v>4.9153838489369717E-2</v>
      </c>
      <c r="AR589" s="392">
        <f t="shared" si="229"/>
        <v>0.22629863903010949</v>
      </c>
      <c r="AS589" s="392">
        <f t="shared" si="229"/>
        <v>0.67248004689111252</v>
      </c>
    </row>
    <row r="590" spans="1:45">
      <c r="A590" s="12" t="s">
        <v>1572</v>
      </c>
      <c r="B590" s="54" t="str">
        <f t="shared" si="232"/>
        <v>AZ_Maric_2020g</v>
      </c>
      <c r="C590" s="12"/>
      <c r="D590" s="54" t="str">
        <f t="shared" si="233"/>
        <v>Gen-state senator dist-27 (vote for1)</v>
      </c>
      <c r="E590" s="54" t="s">
        <v>1299</v>
      </c>
      <c r="G590" s="59">
        <v>134</v>
      </c>
      <c r="H590"/>
      <c r="K590" s="2"/>
      <c r="O590">
        <f t="shared" si="234"/>
        <v>-2</v>
      </c>
      <c r="P590" s="57">
        <f t="shared" si="235"/>
        <v>1</v>
      </c>
      <c r="Q590" s="267">
        <f t="shared" si="236"/>
        <v>134</v>
      </c>
      <c r="R590" s="23">
        <f t="shared" si="237"/>
        <v>1</v>
      </c>
      <c r="S590" s="23">
        <f t="shared" si="238"/>
        <v>0</v>
      </c>
      <c r="T590" s="23" t="str">
        <f t="shared" si="239"/>
        <v/>
      </c>
      <c r="U590" t="str">
        <f t="shared" si="240"/>
        <v/>
      </c>
      <c r="W590" s="1">
        <f t="shared" si="241"/>
        <v>3</v>
      </c>
      <c r="X590" s="73">
        <f t="shared" si="230"/>
        <v>14.578953887731547</v>
      </c>
      <c r="Y590" s="322">
        <f t="shared" si="242"/>
        <v>2881.7160000000003</v>
      </c>
      <c r="Z590" s="43">
        <f t="shared" si="231"/>
        <v>5.0822610879276003E-3</v>
      </c>
      <c r="AA590" s="52">
        <f t="shared" si="243"/>
        <v>5.0822610879276006E-5</v>
      </c>
      <c r="AB590" s="8">
        <f t="shared" si="244"/>
        <v>850</v>
      </c>
      <c r="AC590" s="8">
        <f t="shared" si="245"/>
        <v>1535811</v>
      </c>
      <c r="AD590" s="8">
        <f t="shared" si="249"/>
        <v>7679.0550000000003</v>
      </c>
      <c r="AE590" s="8">
        <f t="shared" si="246"/>
        <v>7</v>
      </c>
      <c r="AF590" s="22" t="str">
        <f t="shared" si="247"/>
        <v>CO_Denve_2020g</v>
      </c>
      <c r="AG590">
        <v>1</v>
      </c>
      <c r="AH590" s="272">
        <v>41764</v>
      </c>
      <c r="AI590" s="273">
        <v>29151</v>
      </c>
      <c r="AJ590" s="274">
        <v>11390</v>
      </c>
      <c r="AK590" s="339">
        <v>17761</v>
      </c>
      <c r="AL590" s="340" t="s">
        <v>5769</v>
      </c>
      <c r="AM590" s="353">
        <f t="shared" si="248"/>
        <v>1.1564574026361317E-2</v>
      </c>
      <c r="AP590" s="23">
        <f t="shared" si="250"/>
        <v>11</v>
      </c>
      <c r="AQ590" s="392">
        <f t="shared" si="228"/>
        <v>0.10499875654087176</v>
      </c>
      <c r="AR590" s="392">
        <f t="shared" si="229"/>
        <v>0.43145738309490345</v>
      </c>
      <c r="AS590" s="392">
        <f t="shared" si="229"/>
        <v>0.9142852124262727</v>
      </c>
    </row>
    <row r="591" spans="1:45">
      <c r="A591" s="12" t="s">
        <v>1574</v>
      </c>
      <c r="B591" s="54" t="str">
        <f t="shared" si="232"/>
        <v>AZ_Maric_2020g</v>
      </c>
      <c r="C591" s="12"/>
      <c r="D591" s="54" t="str">
        <f t="shared" si="233"/>
        <v>Gen-state senator dist-28 (vote for1)</v>
      </c>
      <c r="E591" s="54" t="s">
        <v>1905</v>
      </c>
      <c r="F591" s="12" t="s">
        <v>1294</v>
      </c>
      <c r="G591" s="59">
        <v>60339</v>
      </c>
      <c r="H591"/>
      <c r="K591" s="2"/>
      <c r="O591">
        <f t="shared" si="234"/>
        <v>1</v>
      </c>
      <c r="P591" s="57">
        <f t="shared" si="235"/>
        <v>1</v>
      </c>
      <c r="Q591" s="267">
        <f t="shared" si="236"/>
        <v>120316</v>
      </c>
      <c r="R591" s="23">
        <f t="shared" si="237"/>
        <v>60339</v>
      </c>
      <c r="S591" s="23">
        <f t="shared" si="238"/>
        <v>59842</v>
      </c>
      <c r="T591" s="23">
        <f t="shared" si="239"/>
        <v>497</v>
      </c>
      <c r="U591" t="str">
        <f t="shared" si="240"/>
        <v>AZ_Maric_2020g~Gen-state senator dist-28 (vote for1)</v>
      </c>
      <c r="W591" s="1">
        <f t="shared" si="241"/>
        <v>4</v>
      </c>
      <c r="X591" s="73">
        <f t="shared" si="230"/>
        <v>111.96631283797318</v>
      </c>
      <c r="Y591" s="322">
        <f t="shared" si="242"/>
        <v>24886.644000000004</v>
      </c>
      <c r="Z591" s="43">
        <f t="shared" si="231"/>
        <v>1.3414261097277084E-2</v>
      </c>
      <c r="AA591" s="52">
        <f t="shared" si="243"/>
        <v>1.3414261097277085E-4</v>
      </c>
      <c r="AB591" s="8">
        <f t="shared" si="244"/>
        <v>523</v>
      </c>
      <c r="AC591" s="8">
        <f t="shared" si="245"/>
        <v>1181464</v>
      </c>
      <c r="AD591" s="8">
        <f t="shared" si="249"/>
        <v>5907.32</v>
      </c>
      <c r="AE591" s="8" t="str">
        <f t="shared" si="246"/>
        <v/>
      </c>
      <c r="AF591" s="22" t="str">
        <f t="shared" si="247"/>
        <v>CO_Denve_2020g</v>
      </c>
      <c r="AG591">
        <v>1</v>
      </c>
      <c r="AH591" s="272">
        <v>360676</v>
      </c>
      <c r="AI591" s="273">
        <v>190324</v>
      </c>
      <c r="AJ591" s="274">
        <v>170352</v>
      </c>
      <c r="AK591" s="339">
        <v>19972</v>
      </c>
      <c r="AL591" s="340" t="s">
        <v>5738</v>
      </c>
      <c r="AM591" s="353">
        <f t="shared" si="248"/>
        <v>1.6904450749239925E-2</v>
      </c>
      <c r="AO591" s="356"/>
      <c r="AP591" s="23">
        <f t="shared" si="250"/>
        <v>35</v>
      </c>
      <c r="AQ591" s="392">
        <f t="shared" si="228"/>
        <v>0.30118271799471119</v>
      </c>
      <c r="AR591" s="392">
        <f t="shared" si="229"/>
        <v>0.83546873896348295</v>
      </c>
      <c r="AS591" s="392">
        <f t="shared" si="229"/>
        <v>0.99960624330636616</v>
      </c>
    </row>
    <row r="592" spans="1:45">
      <c r="A592" s="12" t="s">
        <v>1574</v>
      </c>
      <c r="B592" s="54" t="str">
        <f t="shared" si="232"/>
        <v>AZ_Maric_2020g</v>
      </c>
      <c r="C592" s="12"/>
      <c r="D592" s="54" t="str">
        <f t="shared" si="233"/>
        <v>Gen-state senator dist-28 (vote for1)</v>
      </c>
      <c r="E592" s="54" t="s">
        <v>1904</v>
      </c>
      <c r="F592" s="12" t="s">
        <v>1296</v>
      </c>
      <c r="G592" s="59">
        <v>59842</v>
      </c>
      <c r="H592"/>
      <c r="K592" s="2"/>
      <c r="O592">
        <f t="shared" si="234"/>
        <v>2</v>
      </c>
      <c r="P592" s="57">
        <f t="shared" si="235"/>
        <v>1</v>
      </c>
      <c r="Q592" s="267">
        <f t="shared" si="236"/>
        <v>59977</v>
      </c>
      <c r="R592" s="23" t="str">
        <f t="shared" si="237"/>
        <v/>
      </c>
      <c r="S592" s="23">
        <f t="shared" si="238"/>
        <v>59842</v>
      </c>
      <c r="T592" s="23" t="str">
        <f t="shared" si="239"/>
        <v/>
      </c>
      <c r="U592" t="str">
        <f t="shared" si="240"/>
        <v/>
      </c>
      <c r="W592" s="1">
        <f t="shared" si="241"/>
        <v>5</v>
      </c>
      <c r="X592" s="73">
        <f t="shared" si="230"/>
        <v>13.277529566360053</v>
      </c>
      <c r="Y592" s="322">
        <f t="shared" si="242"/>
        <v>3485.9490000000001</v>
      </c>
      <c r="Z592" s="43">
        <f t="shared" si="231"/>
        <v>2.6226900516983977E-3</v>
      </c>
      <c r="AA592" s="52">
        <f t="shared" si="243"/>
        <v>2.6226900516983979E-5</v>
      </c>
      <c r="AB592" s="8">
        <f t="shared" si="244"/>
        <v>523</v>
      </c>
      <c r="AC592" s="8">
        <f t="shared" si="245"/>
        <v>1181464</v>
      </c>
      <c r="AD592" s="8">
        <f t="shared" si="249"/>
        <v>5907.32</v>
      </c>
      <c r="AE592" s="8" t="str">
        <f t="shared" si="246"/>
        <v/>
      </c>
      <c r="AF592" s="22" t="str">
        <f t="shared" si="247"/>
        <v>CO_Denve_2020g</v>
      </c>
      <c r="AG592">
        <v>1</v>
      </c>
      <c r="AH592" s="272">
        <v>50521</v>
      </c>
      <c r="AI592" s="273">
        <v>36302</v>
      </c>
      <c r="AJ592" s="274">
        <v>12711</v>
      </c>
      <c r="AK592" s="339">
        <v>23591</v>
      </c>
      <c r="AL592" s="340" t="s">
        <v>5765</v>
      </c>
      <c r="AM592" s="353">
        <f t="shared" si="248"/>
        <v>1.9967599520594789E-2</v>
      </c>
      <c r="AP592" s="23">
        <f t="shared" si="250"/>
        <v>50</v>
      </c>
      <c r="AQ592" s="392">
        <f t="shared" si="228"/>
        <v>0.40106910748846314</v>
      </c>
      <c r="AR592" s="392">
        <f t="shared" si="229"/>
        <v>0.92433652992394</v>
      </c>
      <c r="AS592" s="392">
        <f t="shared" si="229"/>
        <v>0.99998653925600367</v>
      </c>
    </row>
    <row r="593" spans="1:45">
      <c r="A593" s="12" t="s">
        <v>1574</v>
      </c>
      <c r="B593" s="54" t="str">
        <f t="shared" si="232"/>
        <v>AZ_Maric_2020g</v>
      </c>
      <c r="C593" s="12"/>
      <c r="D593" s="54" t="str">
        <f t="shared" si="233"/>
        <v>Gen-state senator dist-28 (vote for1)</v>
      </c>
      <c r="E593" s="54" t="s">
        <v>1299</v>
      </c>
      <c r="G593" s="59">
        <v>135</v>
      </c>
      <c r="H593"/>
      <c r="K593" s="2"/>
      <c r="O593">
        <f t="shared" si="234"/>
        <v>-2</v>
      </c>
      <c r="P593" s="57">
        <f t="shared" si="235"/>
        <v>1</v>
      </c>
      <c r="Q593" s="267">
        <f t="shared" si="236"/>
        <v>135</v>
      </c>
      <c r="R593" s="23">
        <f t="shared" si="237"/>
        <v>1</v>
      </c>
      <c r="S593" s="23">
        <f t="shared" si="238"/>
        <v>0</v>
      </c>
      <c r="T593" s="23" t="str">
        <f t="shared" si="239"/>
        <v/>
      </c>
      <c r="U593" t="str">
        <f t="shared" si="240"/>
        <v/>
      </c>
      <c r="W593" s="1">
        <f t="shared" si="241"/>
        <v>6</v>
      </c>
      <c r="X593" s="73">
        <f t="shared" si="230"/>
        <v>9.7334227188081943</v>
      </c>
      <c r="Y593" s="322">
        <f t="shared" si="242"/>
        <v>2908.4880000000003</v>
      </c>
      <c r="Z593" s="43">
        <f t="shared" si="231"/>
        <v>6.005353884183471E-4</v>
      </c>
      <c r="AA593" s="52">
        <f t="shared" si="243"/>
        <v>6.0053538841834709E-6</v>
      </c>
      <c r="AB593" s="8">
        <f t="shared" si="244"/>
        <v>523</v>
      </c>
      <c r="AC593" s="8">
        <f t="shared" si="245"/>
        <v>1181464</v>
      </c>
      <c r="AD593" s="8">
        <f t="shared" si="249"/>
        <v>5907.32</v>
      </c>
      <c r="AE593" s="8" t="str">
        <f t="shared" si="246"/>
        <v/>
      </c>
      <c r="AF593" s="22" t="str">
        <f t="shared" si="247"/>
        <v>CO_Denve_2020g</v>
      </c>
      <c r="AG593">
        <v>1</v>
      </c>
      <c r="AH593" s="272">
        <v>42152</v>
      </c>
      <c r="AI593" s="273">
        <v>34501</v>
      </c>
      <c r="AJ593" s="274">
        <v>7651</v>
      </c>
      <c r="AK593" s="339">
        <v>26850</v>
      </c>
      <c r="AL593" s="340" t="s">
        <v>5763</v>
      </c>
      <c r="AM593" s="353">
        <f t="shared" si="248"/>
        <v>2.2726041589079312E-2</v>
      </c>
      <c r="AP593" s="23">
        <f t="shared" si="250"/>
        <v>64</v>
      </c>
      <c r="AQ593" s="392">
        <f t="shared" si="228"/>
        <v>0.48155840747417411</v>
      </c>
      <c r="AR593" s="392">
        <f t="shared" si="229"/>
        <v>0.96342250825166575</v>
      </c>
      <c r="AS593" s="392">
        <f t="shared" si="229"/>
        <v>0.99999942871929792</v>
      </c>
    </row>
    <row r="594" spans="1:45">
      <c r="A594" s="12" t="s">
        <v>1576</v>
      </c>
      <c r="B594" s="54" t="str">
        <f t="shared" si="232"/>
        <v>AZ_Maric_2020g</v>
      </c>
      <c r="C594" s="12"/>
      <c r="D594" s="54" t="str">
        <f t="shared" si="233"/>
        <v>Gen-state senator dist-29 (vote for1)</v>
      </c>
      <c r="E594" s="54" t="s">
        <v>1911</v>
      </c>
      <c r="F594" s="12" t="s">
        <v>1294</v>
      </c>
      <c r="G594" s="59">
        <v>41272</v>
      </c>
      <c r="H594"/>
      <c r="K594" s="2"/>
      <c r="O594">
        <f t="shared" si="234"/>
        <v>1</v>
      </c>
      <c r="P594" s="57">
        <f t="shared" si="235"/>
        <v>1</v>
      </c>
      <c r="Q594" s="267">
        <f t="shared" si="236"/>
        <v>58781</v>
      </c>
      <c r="R594" s="23">
        <f t="shared" si="237"/>
        <v>41272</v>
      </c>
      <c r="S594" s="23">
        <f t="shared" si="238"/>
        <v>17305</v>
      </c>
      <c r="T594" s="23">
        <f t="shared" si="239"/>
        <v>23967</v>
      </c>
      <c r="U594" t="str">
        <f t="shared" si="240"/>
        <v>AZ_Maric_2020g~Gen-state senator dist-29 (vote for1)</v>
      </c>
      <c r="W594" s="1">
        <f t="shared" si="241"/>
        <v>7</v>
      </c>
      <c r="X594" s="73">
        <f t="shared" si="230"/>
        <v>10.426495757098357</v>
      </c>
      <c r="Y594" s="322">
        <f t="shared" si="242"/>
        <v>3240.7920000000004</v>
      </c>
      <c r="Z594" s="43">
        <f t="shared" si="231"/>
        <v>3.682800194224616E-4</v>
      </c>
      <c r="AA594" s="52">
        <f t="shared" si="243"/>
        <v>3.682800194224616E-6</v>
      </c>
      <c r="AB594" s="8">
        <f t="shared" si="244"/>
        <v>523</v>
      </c>
      <c r="AC594" s="8">
        <f t="shared" si="245"/>
        <v>1181464</v>
      </c>
      <c r="AD594" s="8">
        <f t="shared" si="249"/>
        <v>5907.32</v>
      </c>
      <c r="AE594" s="8" t="str">
        <f t="shared" si="246"/>
        <v/>
      </c>
      <c r="AF594" s="22" t="str">
        <f t="shared" si="247"/>
        <v>CO_Denve_2020g</v>
      </c>
      <c r="AG594">
        <v>1</v>
      </c>
      <c r="AH594" s="272">
        <v>46968</v>
      </c>
      <c r="AI594" s="273">
        <v>37132</v>
      </c>
      <c r="AJ594" s="274">
        <v>9203</v>
      </c>
      <c r="AK594" s="339">
        <v>27929</v>
      </c>
      <c r="AL594" s="340" t="s">
        <v>5764</v>
      </c>
      <c r="AM594" s="353">
        <f t="shared" si="248"/>
        <v>2.3639315290182351E-2</v>
      </c>
      <c r="AP594" s="23">
        <f t="shared" si="250"/>
        <v>68</v>
      </c>
      <c r="AQ594" s="392">
        <f t="shared" si="228"/>
        <v>0.50253282305403801</v>
      </c>
      <c r="AR594" s="392">
        <f t="shared" si="229"/>
        <v>0.97029160210651932</v>
      </c>
      <c r="AS594" s="392">
        <f t="shared" si="229"/>
        <v>0.99999976873533825</v>
      </c>
    </row>
    <row r="595" spans="1:45">
      <c r="A595" s="12" t="s">
        <v>1576</v>
      </c>
      <c r="B595" s="54" t="str">
        <f t="shared" si="232"/>
        <v>AZ_Maric_2020g</v>
      </c>
      <c r="C595" s="12"/>
      <c r="D595" s="54" t="str">
        <f t="shared" si="233"/>
        <v>Gen-state senator dist-29 (vote for1)</v>
      </c>
      <c r="E595" s="54" t="s">
        <v>1910</v>
      </c>
      <c r="F595" s="12" t="s">
        <v>1296</v>
      </c>
      <c r="G595" s="59">
        <v>17305</v>
      </c>
      <c r="H595"/>
      <c r="K595" s="2"/>
      <c r="O595">
        <f t="shared" si="234"/>
        <v>2</v>
      </c>
      <c r="P595" s="57">
        <f t="shared" si="235"/>
        <v>1</v>
      </c>
      <c r="Q595" s="267">
        <f t="shared" si="236"/>
        <v>17509</v>
      </c>
      <c r="R595" s="23" t="str">
        <f t="shared" si="237"/>
        <v/>
      </c>
      <c r="S595" s="23">
        <f t="shared" si="238"/>
        <v>17305</v>
      </c>
      <c r="T595" s="23" t="str">
        <f t="shared" si="239"/>
        <v/>
      </c>
      <c r="U595" t="str">
        <f t="shared" si="240"/>
        <v/>
      </c>
      <c r="W595" s="1">
        <f t="shared" si="241"/>
        <v>8</v>
      </c>
      <c r="X595" s="73">
        <f t="shared" si="230"/>
        <v>77.444595367457822</v>
      </c>
      <c r="Y595" s="322">
        <f t="shared" si="242"/>
        <v>24112.050000000003</v>
      </c>
      <c r="Z595" s="43">
        <f t="shared" si="231"/>
        <v>3.6051510547170407E-4</v>
      </c>
      <c r="AA595" s="52">
        <f t="shared" si="243"/>
        <v>3.6051510547170408E-6</v>
      </c>
      <c r="AB595" s="8">
        <f t="shared" si="244"/>
        <v>523</v>
      </c>
      <c r="AC595" s="8">
        <f t="shared" si="245"/>
        <v>1181464</v>
      </c>
      <c r="AD595" s="8">
        <f t="shared" si="249"/>
        <v>5907.32</v>
      </c>
      <c r="AE595" s="8" t="str">
        <f t="shared" si="246"/>
        <v/>
      </c>
      <c r="AF595" s="22" t="str">
        <f t="shared" si="247"/>
        <v>CO_Denve_2020g</v>
      </c>
      <c r="AG595">
        <v>1</v>
      </c>
      <c r="AH595" s="272">
        <v>349450</v>
      </c>
      <c r="AI595" s="273">
        <v>188713</v>
      </c>
      <c r="AJ595" s="274">
        <v>160737</v>
      </c>
      <c r="AK595" s="339">
        <v>27976</v>
      </c>
      <c r="AL595" s="340" t="s">
        <v>5742</v>
      </c>
      <c r="AM595" s="353">
        <f t="shared" si="248"/>
        <v>2.3679096443057088E-2</v>
      </c>
      <c r="AP595" s="23">
        <f t="shared" si="250"/>
        <v>68</v>
      </c>
      <c r="AQ595" s="392">
        <f t="shared" si="228"/>
        <v>0.50253282305403801</v>
      </c>
      <c r="AR595" s="392">
        <f t="shared" si="229"/>
        <v>0.97029160210651932</v>
      </c>
      <c r="AS595" s="392">
        <f t="shared" si="229"/>
        <v>0.99999976873533825</v>
      </c>
    </row>
    <row r="596" spans="1:45">
      <c r="A596" s="12" t="s">
        <v>1576</v>
      </c>
      <c r="B596" s="54" t="str">
        <f t="shared" si="232"/>
        <v>AZ_Maric_2020g</v>
      </c>
      <c r="C596" s="12"/>
      <c r="D596" s="54" t="str">
        <f t="shared" si="233"/>
        <v>Gen-state senator dist-29 (vote for1)</v>
      </c>
      <c r="E596" s="54" t="s">
        <v>1299</v>
      </c>
      <c r="G596" s="59">
        <v>102</v>
      </c>
      <c r="H596"/>
      <c r="K596" s="2"/>
      <c r="O596">
        <f t="shared" si="234"/>
        <v>-2</v>
      </c>
      <c r="P596" s="57">
        <f t="shared" si="235"/>
        <v>1</v>
      </c>
      <c r="Q596" s="267">
        <f t="shared" si="236"/>
        <v>204</v>
      </c>
      <c r="R596" s="23" t="str">
        <f t="shared" si="237"/>
        <v/>
      </c>
      <c r="S596" s="23">
        <f t="shared" si="238"/>
        <v>18</v>
      </c>
      <c r="T596" s="23" t="str">
        <f t="shared" si="239"/>
        <v/>
      </c>
      <c r="U596" t="str">
        <f t="shared" si="240"/>
        <v/>
      </c>
      <c r="W596" s="1">
        <f t="shared" si="241"/>
        <v>9</v>
      </c>
      <c r="X596" s="73">
        <f t="shared" si="230"/>
        <v>64.562287816202854</v>
      </c>
      <c r="Y596" s="322">
        <f t="shared" si="242"/>
        <v>23831.013000000003</v>
      </c>
      <c r="Z596" s="43">
        <f t="shared" si="231"/>
        <v>3.407568511348715E-5</v>
      </c>
      <c r="AA596" s="52">
        <f t="shared" si="243"/>
        <v>3.4075685113487152E-7</v>
      </c>
      <c r="AB596" s="8">
        <f t="shared" si="244"/>
        <v>523</v>
      </c>
      <c r="AC596" s="8">
        <f t="shared" si="245"/>
        <v>1181464</v>
      </c>
      <c r="AD596" s="8">
        <f t="shared" si="249"/>
        <v>5907.32</v>
      </c>
      <c r="AE596" s="8" t="str">
        <f t="shared" si="246"/>
        <v/>
      </c>
      <c r="AF596" s="22" t="str">
        <f t="shared" si="247"/>
        <v>CO_Denve_2020g</v>
      </c>
      <c r="AG596">
        <v>1</v>
      </c>
      <c r="AH596" s="272">
        <v>345377</v>
      </c>
      <c r="AI596" s="273">
        <v>189272</v>
      </c>
      <c r="AJ596" s="274">
        <v>156105</v>
      </c>
      <c r="AK596" s="339">
        <v>33167</v>
      </c>
      <c r="AL596" s="340" t="s">
        <v>5744</v>
      </c>
      <c r="AM596" s="353">
        <f t="shared" si="248"/>
        <v>2.8072797816945754E-2</v>
      </c>
      <c r="AP596" s="23">
        <f t="shared" si="250"/>
        <v>90</v>
      </c>
      <c r="AQ596" s="392">
        <f t="shared" si="228"/>
        <v>0.60381463543611336</v>
      </c>
      <c r="AR596" s="392">
        <f t="shared" si="229"/>
        <v>0.99056155847593919</v>
      </c>
      <c r="AS596" s="392">
        <f t="shared" si="229"/>
        <v>0.999999998420109</v>
      </c>
    </row>
    <row r="597" spans="1:45">
      <c r="A597" s="12" t="s">
        <v>1576</v>
      </c>
      <c r="B597" s="54" t="str">
        <f t="shared" si="232"/>
        <v>AZ_Maric_2020g</v>
      </c>
      <c r="C597" s="12"/>
      <c r="D597" s="54" t="str">
        <f t="shared" si="233"/>
        <v>Gen-state senator dist-29 (vote for1)</v>
      </c>
      <c r="E597" s="54" t="s">
        <v>1765</v>
      </c>
      <c r="G597" s="59">
        <v>84</v>
      </c>
      <c r="H597"/>
      <c r="K597" s="2"/>
      <c r="O597">
        <f t="shared" si="234"/>
        <v>-2</v>
      </c>
      <c r="P597" s="57">
        <f t="shared" si="235"/>
        <v>1</v>
      </c>
      <c r="Q597" s="267">
        <f t="shared" si="236"/>
        <v>102</v>
      </c>
      <c r="R597" s="23" t="str">
        <f t="shared" si="237"/>
        <v/>
      </c>
      <c r="S597" s="23">
        <f t="shared" si="238"/>
        <v>18</v>
      </c>
      <c r="T597" s="23" t="str">
        <f t="shared" si="239"/>
        <v/>
      </c>
      <c r="U597" t="str">
        <f t="shared" si="240"/>
        <v/>
      </c>
      <c r="W597" s="1">
        <f t="shared" si="241"/>
        <v>10</v>
      </c>
      <c r="X597" s="73">
        <f t="shared" si="230"/>
        <v>10.137794040773654</v>
      </c>
      <c r="Y597" s="322">
        <f t="shared" si="242"/>
        <v>3884.9760000000001</v>
      </c>
      <c r="Z597" s="43">
        <f t="shared" si="231"/>
        <v>1.9128920814906675E-5</v>
      </c>
      <c r="AA597" s="52">
        <f t="shared" si="243"/>
        <v>1.9128920814906676E-7</v>
      </c>
      <c r="AB597" s="8">
        <f t="shared" si="244"/>
        <v>523</v>
      </c>
      <c r="AC597" s="8">
        <f t="shared" si="245"/>
        <v>1181464</v>
      </c>
      <c r="AD597" s="8">
        <f t="shared" si="249"/>
        <v>5907.32</v>
      </c>
      <c r="AE597" s="8" t="str">
        <f t="shared" si="246"/>
        <v/>
      </c>
      <c r="AF597" s="22" t="str">
        <f t="shared" si="247"/>
        <v>CO_Denve_2020g</v>
      </c>
      <c r="AG597">
        <v>1</v>
      </c>
      <c r="AH597" s="272">
        <v>56304</v>
      </c>
      <c r="AI597" s="273">
        <v>45369</v>
      </c>
      <c r="AJ597" s="274">
        <v>10935</v>
      </c>
      <c r="AK597" s="339">
        <v>34434</v>
      </c>
      <c r="AL597" s="340" t="s">
        <v>5762</v>
      </c>
      <c r="AM597" s="353">
        <f t="shared" si="248"/>
        <v>2.9145196129547749E-2</v>
      </c>
      <c r="AP597" s="23">
        <f t="shared" si="250"/>
        <v>96</v>
      </c>
      <c r="AQ597" s="392">
        <f t="shared" si="228"/>
        <v>0.62771996747148595</v>
      </c>
      <c r="AR597" s="392">
        <f t="shared" si="229"/>
        <v>0.99310153747639762</v>
      </c>
      <c r="AS597" s="392">
        <f t="shared" si="229"/>
        <v>0.99999999959594044</v>
      </c>
    </row>
    <row r="598" spans="1:45">
      <c r="A598" s="12" t="s">
        <v>1576</v>
      </c>
      <c r="B598" s="54" t="str">
        <f t="shared" si="232"/>
        <v>AZ_Maric_2020g</v>
      </c>
      <c r="C598" s="12"/>
      <c r="D598" s="54" t="str">
        <f t="shared" si="233"/>
        <v>Gen-state senator dist-29 (vote for1)</v>
      </c>
      <c r="E598" s="54" t="s">
        <v>1912</v>
      </c>
      <c r="G598" s="59">
        <v>18</v>
      </c>
      <c r="H598"/>
      <c r="K598" s="2"/>
      <c r="O598">
        <f t="shared" si="234"/>
        <v>3</v>
      </c>
      <c r="P598" s="57">
        <f t="shared" si="235"/>
        <v>1</v>
      </c>
      <c r="Q598" s="267">
        <f t="shared" si="236"/>
        <v>18</v>
      </c>
      <c r="R598" s="23" t="str">
        <f t="shared" si="237"/>
        <v/>
      </c>
      <c r="S598" s="23">
        <f t="shared" si="238"/>
        <v>18</v>
      </c>
      <c r="T598" s="23" t="str">
        <f t="shared" si="239"/>
        <v/>
      </c>
      <c r="U598" t="str">
        <f t="shared" si="240"/>
        <v/>
      </c>
      <c r="W598" s="1">
        <f t="shared" si="241"/>
        <v>11</v>
      </c>
      <c r="X598" s="73">
        <f t="shared" si="230"/>
        <v>11.543629901813144</v>
      </c>
      <c r="Y598" s="322">
        <f t="shared" si="242"/>
        <v>6398.1630000000005</v>
      </c>
      <c r="Z598" s="43">
        <f t="shared" si="231"/>
        <v>1.650945900713562E-8</v>
      </c>
      <c r="AA598" s="52">
        <f t="shared" si="243"/>
        <v>1.6509459007135619E-10</v>
      </c>
      <c r="AB598" s="8">
        <f t="shared" si="244"/>
        <v>523</v>
      </c>
      <c r="AC598" s="8">
        <f t="shared" si="245"/>
        <v>1181464</v>
      </c>
      <c r="AD598" s="8">
        <f t="shared" si="249"/>
        <v>5907.32</v>
      </c>
      <c r="AE598" s="8" t="str">
        <f t="shared" si="246"/>
        <v/>
      </c>
      <c r="AF598" s="22" t="str">
        <f t="shared" si="247"/>
        <v>CO_Denve_2020g</v>
      </c>
      <c r="AG598">
        <v>1</v>
      </c>
      <c r="AH598" s="272">
        <v>92727</v>
      </c>
      <c r="AI598" s="273">
        <v>71265</v>
      </c>
      <c r="AJ598" s="274">
        <v>21462</v>
      </c>
      <c r="AK598" s="339">
        <v>49803</v>
      </c>
      <c r="AL598" s="340" t="s">
        <v>5766</v>
      </c>
      <c r="AM598" s="353">
        <f t="shared" si="248"/>
        <v>4.2153633119587225E-2</v>
      </c>
      <c r="AP598" s="23">
        <f t="shared" si="250"/>
        <v>160</v>
      </c>
      <c r="AQ598" s="392">
        <f t="shared" si="228"/>
        <v>0.80910009629067725</v>
      </c>
      <c r="AR598" s="392">
        <f t="shared" si="229"/>
        <v>0.99976151466947683</v>
      </c>
      <c r="AS598" s="392">
        <f t="shared" si="229"/>
        <v>0.99999999999999978</v>
      </c>
    </row>
    <row r="599" spans="1:45">
      <c r="A599" s="12" t="s">
        <v>1578</v>
      </c>
      <c r="B599" s="54" t="str">
        <f t="shared" si="232"/>
        <v>AZ_Maric_2020g</v>
      </c>
      <c r="C599" s="12"/>
      <c r="D599" s="54" t="str">
        <f t="shared" si="233"/>
        <v>Gen-state senator dist-30 (vote for1)</v>
      </c>
      <c r="E599" s="54" t="s">
        <v>1917</v>
      </c>
      <c r="F599" s="12" t="s">
        <v>1294</v>
      </c>
      <c r="G599" s="59">
        <v>42344</v>
      </c>
      <c r="H599"/>
      <c r="K599" s="2"/>
      <c r="O599">
        <f t="shared" si="234"/>
        <v>1</v>
      </c>
      <c r="P599" s="57">
        <f t="shared" si="235"/>
        <v>1</v>
      </c>
      <c r="Q599" s="267">
        <f t="shared" si="236"/>
        <v>44038</v>
      </c>
      <c r="R599" s="23">
        <f t="shared" si="237"/>
        <v>42344</v>
      </c>
      <c r="S599" s="23">
        <f t="shared" si="238"/>
        <v>0</v>
      </c>
      <c r="T599" s="23" t="str">
        <f t="shared" si="239"/>
        <v/>
      </c>
      <c r="U599" t="str">
        <f t="shared" si="240"/>
        <v>AZ_Maric_2020g~Gen-state senator dist-30 (vote for1)</v>
      </c>
      <c r="W599" s="1">
        <f t="shared" si="241"/>
        <v>12</v>
      </c>
      <c r="X599" s="73">
        <f t="shared" si="230"/>
        <v>38.308748083089363</v>
      </c>
      <c r="Y599" s="322">
        <f t="shared" si="242"/>
        <v>24465.054000000004</v>
      </c>
      <c r="Z599" s="43">
        <f t="shared" si="231"/>
        <v>4.9094027735710838E-10</v>
      </c>
      <c r="AA599" s="52">
        <f t="shared" si="243"/>
        <v>4.9094027735710835E-12</v>
      </c>
      <c r="AB599" s="8">
        <f t="shared" si="244"/>
        <v>523</v>
      </c>
      <c r="AC599" s="8">
        <f t="shared" si="245"/>
        <v>1181464</v>
      </c>
      <c r="AD599" s="8">
        <f t="shared" si="249"/>
        <v>5907.32</v>
      </c>
      <c r="AE599" s="8" t="str">
        <f t="shared" si="246"/>
        <v/>
      </c>
      <c r="AF599" s="22" t="str">
        <f t="shared" si="247"/>
        <v>CO_Denve_2020g</v>
      </c>
      <c r="AG599">
        <v>1</v>
      </c>
      <c r="AH599" s="272">
        <v>354566</v>
      </c>
      <c r="AI599" s="273">
        <v>205975</v>
      </c>
      <c r="AJ599" s="274">
        <v>148591</v>
      </c>
      <c r="AK599" s="339">
        <v>57384</v>
      </c>
      <c r="AL599" s="340" t="s">
        <v>5740</v>
      </c>
      <c r="AM599" s="353">
        <f t="shared" si="248"/>
        <v>4.8570248437531743E-2</v>
      </c>
      <c r="AP599" s="23">
        <f t="shared" si="250"/>
        <v>192</v>
      </c>
      <c r="AQ599" s="392">
        <f t="shared" si="228"/>
        <v>0.86368181491620666</v>
      </c>
      <c r="AR599" s="392">
        <f t="shared" si="229"/>
        <v>0.99995629429203681</v>
      </c>
      <c r="AS599" s="392">
        <f t="shared" si="229"/>
        <v>1</v>
      </c>
    </row>
    <row r="600" spans="1:45">
      <c r="A600" s="12" t="s">
        <v>1578</v>
      </c>
      <c r="B600" s="54" t="str">
        <f t="shared" si="232"/>
        <v>AZ_Maric_2020g</v>
      </c>
      <c r="C600" s="12"/>
      <c r="D600" s="54" t="str">
        <f t="shared" si="233"/>
        <v>Gen-state senator dist-30 (vote for1)</v>
      </c>
      <c r="E600" s="54" t="s">
        <v>1299</v>
      </c>
      <c r="G600" s="59">
        <v>1694</v>
      </c>
      <c r="H600"/>
      <c r="K600" s="2"/>
      <c r="O600">
        <f t="shared" si="234"/>
        <v>-1</v>
      </c>
      <c r="P600" s="57">
        <f t="shared" si="235"/>
        <v>1</v>
      </c>
      <c r="Q600" s="267">
        <f t="shared" si="236"/>
        <v>1694</v>
      </c>
      <c r="R600" s="23">
        <f t="shared" si="237"/>
        <v>1</v>
      </c>
      <c r="S600" s="23">
        <f t="shared" si="238"/>
        <v>0</v>
      </c>
      <c r="T600" s="23" t="str">
        <f t="shared" si="239"/>
        <v/>
      </c>
      <c r="U600" t="str">
        <f t="shared" si="240"/>
        <v/>
      </c>
      <c r="W600" s="1">
        <f t="shared" si="241"/>
        <v>13</v>
      </c>
      <c r="X600" s="73">
        <f t="shared" si="230"/>
        <v>7.5599648197009683</v>
      </c>
      <c r="Y600" s="322">
        <f t="shared" si="242"/>
        <v>5739.6960000000008</v>
      </c>
      <c r="Z600" s="43">
        <f t="shared" si="231"/>
        <v>3.096293403713996E-12</v>
      </c>
      <c r="AA600" s="52">
        <f t="shared" si="243"/>
        <v>3.096293403713996E-14</v>
      </c>
      <c r="AB600" s="8">
        <f t="shared" si="244"/>
        <v>523</v>
      </c>
      <c r="AC600" s="8">
        <f t="shared" si="245"/>
        <v>1181464</v>
      </c>
      <c r="AD600" s="8">
        <f t="shared" si="249"/>
        <v>5907.32</v>
      </c>
      <c r="AE600" s="8" t="str">
        <f t="shared" si="246"/>
        <v/>
      </c>
      <c r="AF600" s="22" t="str">
        <f t="shared" si="247"/>
        <v>CO_Denve_2020g</v>
      </c>
      <c r="AG600">
        <v>1</v>
      </c>
      <c r="AH600" s="272">
        <v>83184</v>
      </c>
      <c r="AI600" s="273">
        <v>75702</v>
      </c>
      <c r="AJ600" s="274">
        <v>7482</v>
      </c>
      <c r="AK600" s="339">
        <v>68220</v>
      </c>
      <c r="AL600" s="340" t="s">
        <v>5767</v>
      </c>
      <c r="AM600" s="353">
        <f t="shared" si="248"/>
        <v>5.7741920193928889E-2</v>
      </c>
      <c r="AP600" s="23">
        <f t="shared" si="250"/>
        <v>237</v>
      </c>
      <c r="AQ600" s="392">
        <f t="shared" si="228"/>
        <v>0.9153770345432114</v>
      </c>
      <c r="AR600" s="392">
        <f t="shared" si="229"/>
        <v>0.99999604598811986</v>
      </c>
      <c r="AS600" s="392">
        <f t="shared" si="229"/>
        <v>1</v>
      </c>
    </row>
    <row r="601" spans="1:45">
      <c r="A601" s="12" t="s">
        <v>1542</v>
      </c>
      <c r="B601" s="54" t="str">
        <f t="shared" si="232"/>
        <v>AZ_Maric_2020g</v>
      </c>
      <c r="C601" s="12"/>
      <c r="D601" s="54" t="str">
        <f t="shared" si="233"/>
        <v>Gen-state senator dist-4 (vote for1)</v>
      </c>
      <c r="E601" s="54" t="s">
        <v>1815</v>
      </c>
      <c r="F601" s="12" t="s">
        <v>1296</v>
      </c>
      <c r="G601" s="59">
        <v>16963</v>
      </c>
      <c r="H601"/>
      <c r="K601" s="2"/>
      <c r="O601">
        <f t="shared" si="234"/>
        <v>1</v>
      </c>
      <c r="P601" s="57">
        <f t="shared" si="235"/>
        <v>1</v>
      </c>
      <c r="Q601" s="267">
        <f t="shared" si="236"/>
        <v>30458</v>
      </c>
      <c r="R601" s="23">
        <f t="shared" si="237"/>
        <v>16963</v>
      </c>
      <c r="S601" s="23">
        <f t="shared" si="238"/>
        <v>13463</v>
      </c>
      <c r="T601" s="23">
        <f t="shared" si="239"/>
        <v>3500</v>
      </c>
      <c r="U601" t="str">
        <f t="shared" si="240"/>
        <v>AZ_Maric_2020g~Gen-state senator dist-4 (vote for1)</v>
      </c>
      <c r="W601" s="1">
        <f t="shared" si="241"/>
        <v>14</v>
      </c>
      <c r="X601" s="73">
        <f t="shared" si="230"/>
        <v>24.585621809378452</v>
      </c>
      <c r="Y601" s="322">
        <f t="shared" si="242"/>
        <v>20795.772000000001</v>
      </c>
      <c r="Z601" s="43">
        <f t="shared" si="231"/>
        <v>7.8902050176182434E-14</v>
      </c>
      <c r="AA601" s="52">
        <f t="shared" si="243"/>
        <v>7.8902050176182435E-16</v>
      </c>
      <c r="AB601" s="8">
        <f t="shared" si="244"/>
        <v>523</v>
      </c>
      <c r="AC601" s="8">
        <f t="shared" si="245"/>
        <v>1181464</v>
      </c>
      <c r="AD601" s="8">
        <f t="shared" si="249"/>
        <v>5907.32</v>
      </c>
      <c r="AE601" s="8" t="str">
        <f t="shared" si="246"/>
        <v/>
      </c>
      <c r="AF601" s="22" t="str">
        <f t="shared" si="247"/>
        <v>CO_Denve_2020g</v>
      </c>
      <c r="AG601">
        <v>1</v>
      </c>
      <c r="AH601" s="272">
        <v>301388</v>
      </c>
      <c r="AI601" s="273">
        <v>188696</v>
      </c>
      <c r="AJ601" s="274">
        <v>112692</v>
      </c>
      <c r="AK601" s="339">
        <v>76004</v>
      </c>
      <c r="AL601" s="340" t="s">
        <v>5750</v>
      </c>
      <c r="AM601" s="353">
        <f t="shared" si="248"/>
        <v>6.4330356235991953E-2</v>
      </c>
      <c r="AP601" s="23">
        <f t="shared" si="250"/>
        <v>270</v>
      </c>
      <c r="AQ601" s="392">
        <f t="shared" si="228"/>
        <v>0.94049033409228178</v>
      </c>
      <c r="AR601" s="392">
        <f t="shared" si="229"/>
        <v>0.99999932952354542</v>
      </c>
      <c r="AS601" s="392">
        <f t="shared" si="229"/>
        <v>1</v>
      </c>
    </row>
    <row r="602" spans="1:45">
      <c r="A602" s="12" t="s">
        <v>1542</v>
      </c>
      <c r="B602" s="54" t="str">
        <f t="shared" si="232"/>
        <v>AZ_Maric_2020g</v>
      </c>
      <c r="C602" s="12"/>
      <c r="D602" s="54" t="str">
        <f t="shared" si="233"/>
        <v>Gen-state senator dist-4 (vote for1)</v>
      </c>
      <c r="E602" s="54" t="s">
        <v>1816</v>
      </c>
      <c r="F602" s="12" t="s">
        <v>1294</v>
      </c>
      <c r="G602" s="59">
        <v>13463</v>
      </c>
      <c r="H602"/>
      <c r="K602" s="2"/>
      <c r="O602">
        <f t="shared" si="234"/>
        <v>2</v>
      </c>
      <c r="P602" s="57">
        <f t="shared" si="235"/>
        <v>1</v>
      </c>
      <c r="Q602" s="267">
        <f t="shared" si="236"/>
        <v>13495</v>
      </c>
      <c r="R602" s="23" t="str">
        <f t="shared" si="237"/>
        <v/>
      </c>
      <c r="S602" s="23">
        <f t="shared" si="238"/>
        <v>13463</v>
      </c>
      <c r="T602" s="23" t="str">
        <f t="shared" si="239"/>
        <v/>
      </c>
      <c r="U602" t="str">
        <f t="shared" si="240"/>
        <v/>
      </c>
      <c r="W602" s="1">
        <f t="shared" si="241"/>
        <v>15</v>
      </c>
      <c r="X602" s="73">
        <f t="shared" si="230"/>
        <v>25.131580155425123</v>
      </c>
      <c r="Y602" s="322">
        <f t="shared" si="242"/>
        <v>25589.133000000002</v>
      </c>
      <c r="Z602" s="43">
        <f t="shared" si="231"/>
        <v>4.9262250467947463E-17</v>
      </c>
      <c r="AA602" s="52">
        <f t="shared" si="243"/>
        <v>4.9262250467947462E-19</v>
      </c>
      <c r="AB602" s="8">
        <f t="shared" si="244"/>
        <v>523</v>
      </c>
      <c r="AC602" s="8">
        <f t="shared" si="245"/>
        <v>1181464</v>
      </c>
      <c r="AD602" s="8">
        <f t="shared" si="249"/>
        <v>5907.32</v>
      </c>
      <c r="AE602" s="8" t="str">
        <f t="shared" si="246"/>
        <v/>
      </c>
      <c r="AF602" s="22" t="str">
        <f t="shared" si="247"/>
        <v>CO_Denve_2020g</v>
      </c>
      <c r="AG602">
        <v>1</v>
      </c>
      <c r="AH602" s="272">
        <v>370857</v>
      </c>
      <c r="AI602" s="273">
        <v>231174</v>
      </c>
      <c r="AJ602" s="274">
        <v>139683</v>
      </c>
      <c r="AK602" s="339">
        <v>91491</v>
      </c>
      <c r="AL602" s="340" t="s">
        <v>5736</v>
      </c>
      <c r="AM602" s="353">
        <f t="shared" si="248"/>
        <v>7.7438669311972269E-2</v>
      </c>
      <c r="AP602" s="23">
        <f t="shared" si="250"/>
        <v>335</v>
      </c>
      <c r="AQ602" s="392">
        <f t="shared" si="228"/>
        <v>0.97043555353769118</v>
      </c>
      <c r="AR602" s="392">
        <f t="shared" si="229"/>
        <v>0.99999998028587744</v>
      </c>
      <c r="AS602" s="392">
        <f t="shared" si="229"/>
        <v>1</v>
      </c>
    </row>
    <row r="603" spans="1:45">
      <c r="A603" s="12" t="s">
        <v>1542</v>
      </c>
      <c r="B603" s="54" t="str">
        <f t="shared" si="232"/>
        <v>AZ_Maric_2020g</v>
      </c>
      <c r="C603" s="12"/>
      <c r="D603" s="54" t="str">
        <f t="shared" si="233"/>
        <v>Gen-state senator dist-4 (vote for1)</v>
      </c>
      <c r="E603" s="54" t="s">
        <v>1299</v>
      </c>
      <c r="G603" s="59">
        <v>32</v>
      </c>
      <c r="H603"/>
      <c r="K603" s="2"/>
      <c r="O603">
        <f t="shared" si="234"/>
        <v>-2</v>
      </c>
      <c r="P603" s="57">
        <f t="shared" si="235"/>
        <v>1</v>
      </c>
      <c r="Q603" s="267">
        <f t="shared" si="236"/>
        <v>32</v>
      </c>
      <c r="R603" s="23">
        <f t="shared" si="237"/>
        <v>1</v>
      </c>
      <c r="S603" s="23">
        <f t="shared" si="238"/>
        <v>0</v>
      </c>
      <c r="T603" s="23" t="str">
        <f t="shared" si="239"/>
        <v/>
      </c>
      <c r="U603" t="str">
        <f t="shared" si="240"/>
        <v/>
      </c>
      <c r="W603" s="1">
        <f t="shared" si="241"/>
        <v>16</v>
      </c>
      <c r="X603" s="73">
        <f t="shared" si="230"/>
        <v>24.204742135852943</v>
      </c>
      <c r="Y603" s="322">
        <f t="shared" si="242"/>
        <v>25630.257000000001</v>
      </c>
      <c r="Z603" s="43">
        <f t="shared" si="231"/>
        <v>8.4990703439290617E-18</v>
      </c>
      <c r="AA603" s="52">
        <f t="shared" si="243"/>
        <v>8.4990703439290624E-20</v>
      </c>
      <c r="AB603" s="8">
        <f t="shared" si="244"/>
        <v>523</v>
      </c>
      <c r="AC603" s="8">
        <f t="shared" si="245"/>
        <v>1181464</v>
      </c>
      <c r="AD603" s="8">
        <f t="shared" si="249"/>
        <v>5907.32</v>
      </c>
      <c r="AE603" s="8" t="str">
        <f t="shared" si="246"/>
        <v/>
      </c>
      <c r="AF603" s="22" t="str">
        <f t="shared" si="247"/>
        <v>CO_Denve_2020g</v>
      </c>
      <c r="AG603">
        <v>1</v>
      </c>
      <c r="AH603" s="272">
        <v>371453</v>
      </c>
      <c r="AI603" s="273">
        <v>233300</v>
      </c>
      <c r="AJ603" s="274">
        <v>138153</v>
      </c>
      <c r="AK603" s="339">
        <v>95147</v>
      </c>
      <c r="AL603" s="340" t="s">
        <v>5737</v>
      </c>
      <c r="AM603" s="353">
        <f t="shared" si="248"/>
        <v>8.0533135161122135E-2</v>
      </c>
      <c r="AP603" s="23">
        <f t="shared" si="250"/>
        <v>351</v>
      </c>
      <c r="AQ603" s="392">
        <f t="shared" si="228"/>
        <v>0.97514364924259533</v>
      </c>
      <c r="AR603" s="392">
        <f t="shared" si="229"/>
        <v>0.99999999177850918</v>
      </c>
      <c r="AS603" s="392">
        <f t="shared" si="229"/>
        <v>1</v>
      </c>
    </row>
    <row r="604" spans="1:45">
      <c r="A604" s="12" t="s">
        <v>1715</v>
      </c>
      <c r="B604" s="54" t="str">
        <f t="shared" si="232"/>
        <v>AZ_Maric_2020g</v>
      </c>
      <c r="C604" s="12"/>
      <c r="D604" s="54" t="str">
        <f t="shared" si="233"/>
        <v>Gen-superior court adleman, jay r. (vote for1)</v>
      </c>
      <c r="E604" s="54" t="s">
        <v>1981</v>
      </c>
      <c r="F604" s="12" t="s">
        <v>1300</v>
      </c>
      <c r="G604" s="59">
        <v>1003676</v>
      </c>
      <c r="H604"/>
      <c r="K604" s="2"/>
      <c r="O604">
        <f t="shared" si="234"/>
        <v>1</v>
      </c>
      <c r="P604" s="57">
        <f t="shared" si="235"/>
        <v>1</v>
      </c>
      <c r="Q604" s="267">
        <f t="shared" si="236"/>
        <v>1292883</v>
      </c>
      <c r="R604" s="23">
        <f t="shared" si="237"/>
        <v>1003676</v>
      </c>
      <c r="S604" s="23">
        <f t="shared" si="238"/>
        <v>289207</v>
      </c>
      <c r="T604" s="23">
        <f t="shared" si="239"/>
        <v>714469</v>
      </c>
      <c r="U604" t="str">
        <f t="shared" si="240"/>
        <v>AZ_Maric_2020g~Gen-superior court adleman, jay r. (vote for1)</v>
      </c>
      <c r="W604" s="1">
        <f t="shared" si="241"/>
        <v>17</v>
      </c>
      <c r="X604" s="73">
        <f t="shared" si="230"/>
        <v>19.096800354494302</v>
      </c>
      <c r="Y604" s="322">
        <f t="shared" si="242"/>
        <v>25419.945000000003</v>
      </c>
      <c r="Z604" s="43">
        <f t="shared" si="231"/>
        <v>5.7097641621674576E-23</v>
      </c>
      <c r="AA604" s="52">
        <f t="shared" si="243"/>
        <v>5.7097641621674575E-25</v>
      </c>
      <c r="AB604" s="8">
        <f t="shared" si="244"/>
        <v>523</v>
      </c>
      <c r="AC604" s="8">
        <f t="shared" si="245"/>
        <v>1181464</v>
      </c>
      <c r="AD604" s="8">
        <f t="shared" si="249"/>
        <v>5907.32</v>
      </c>
      <c r="AE604" s="8" t="str">
        <f t="shared" si="246"/>
        <v/>
      </c>
      <c r="AF604" s="22" t="str">
        <f t="shared" si="247"/>
        <v>CO_Denve_2020g</v>
      </c>
      <c r="AG604">
        <v>1</v>
      </c>
      <c r="AH604" s="272">
        <v>368405</v>
      </c>
      <c r="AI604" s="273">
        <v>244006</v>
      </c>
      <c r="AJ604" s="274">
        <v>124399</v>
      </c>
      <c r="AK604" s="339">
        <v>119607</v>
      </c>
      <c r="AL604" s="340" t="s">
        <v>5745</v>
      </c>
      <c r="AM604" s="353">
        <f t="shared" si="248"/>
        <v>0.1012362628061456</v>
      </c>
      <c r="AP604" s="23">
        <f t="shared" si="250"/>
        <v>453</v>
      </c>
      <c r="AQ604" s="392">
        <f t="shared" si="228"/>
        <v>0.99187160382933814</v>
      </c>
      <c r="AR604" s="392">
        <f t="shared" si="229"/>
        <v>0.99999999997070443</v>
      </c>
      <c r="AS604" s="392">
        <f t="shared" si="229"/>
        <v>1</v>
      </c>
    </row>
    <row r="605" spans="1:45">
      <c r="A605" s="12" t="s">
        <v>1715</v>
      </c>
      <c r="B605" s="54" t="str">
        <f t="shared" si="232"/>
        <v>AZ_Maric_2020g</v>
      </c>
      <c r="C605" s="12"/>
      <c r="D605" s="54" t="str">
        <f t="shared" si="233"/>
        <v>Gen-superior court adleman, jay r. (vote for1)</v>
      </c>
      <c r="E605" s="54" t="s">
        <v>1982</v>
      </c>
      <c r="F605" s="12" t="s">
        <v>1300</v>
      </c>
      <c r="G605" s="59">
        <v>289207</v>
      </c>
      <c r="H605"/>
      <c r="K605" s="2"/>
      <c r="O605">
        <f t="shared" si="234"/>
        <v>2</v>
      </c>
      <c r="P605" s="57">
        <f t="shared" si="235"/>
        <v>1</v>
      </c>
      <c r="Q605" s="267">
        <f t="shared" si="236"/>
        <v>289207</v>
      </c>
      <c r="R605" s="23" t="str">
        <f t="shared" si="237"/>
        <v/>
      </c>
      <c r="S605" s="23">
        <f t="shared" si="238"/>
        <v>289207</v>
      </c>
      <c r="T605" s="23" t="str">
        <f t="shared" si="239"/>
        <v/>
      </c>
      <c r="U605" t="str">
        <f t="shared" si="240"/>
        <v/>
      </c>
      <c r="W605" s="1">
        <f t="shared" si="241"/>
        <v>18</v>
      </c>
      <c r="X605" s="73">
        <f t="shared" si="230"/>
        <v>14.166684995894755</v>
      </c>
      <c r="Y605" s="322">
        <f t="shared" si="242"/>
        <v>20930.667000000001</v>
      </c>
      <c r="Z605" s="43">
        <f t="shared" si="231"/>
        <v>8.4374551649812618E-26</v>
      </c>
      <c r="AA605" s="52">
        <f t="shared" si="243"/>
        <v>8.4374551649812618E-28</v>
      </c>
      <c r="AB605" s="8">
        <f t="shared" si="244"/>
        <v>523</v>
      </c>
      <c r="AC605" s="8">
        <f t="shared" si="245"/>
        <v>1181464</v>
      </c>
      <c r="AD605" s="8">
        <f t="shared" si="249"/>
        <v>5907.32</v>
      </c>
      <c r="AE605" s="8" t="str">
        <f t="shared" si="246"/>
        <v/>
      </c>
      <c r="AF605" s="22" t="str">
        <f t="shared" si="247"/>
        <v>CO_Denve_2020g</v>
      </c>
      <c r="AG605">
        <v>1</v>
      </c>
      <c r="AH605" s="272">
        <v>303343</v>
      </c>
      <c r="AI605" s="273">
        <v>218050</v>
      </c>
      <c r="AJ605" s="274">
        <v>85293</v>
      </c>
      <c r="AK605" s="339">
        <v>132757</v>
      </c>
      <c r="AL605" s="340" t="s">
        <v>5747</v>
      </c>
      <c r="AM605" s="353">
        <f t="shared" si="248"/>
        <v>0.11236652153599264</v>
      </c>
      <c r="AP605" s="23">
        <f t="shared" si="250"/>
        <v>509</v>
      </c>
      <c r="AQ605" s="392">
        <f t="shared" si="228"/>
        <v>0.99563889330094724</v>
      </c>
      <c r="AR605" s="392">
        <f t="shared" si="229"/>
        <v>0.99999999999873346</v>
      </c>
      <c r="AS605" s="392">
        <f t="shared" si="229"/>
        <v>1</v>
      </c>
    </row>
    <row r="606" spans="1:45">
      <c r="A606" s="12" t="s">
        <v>1716</v>
      </c>
      <c r="B606" s="54" t="str">
        <f t="shared" si="232"/>
        <v>AZ_Maric_2020g</v>
      </c>
      <c r="C606" s="12"/>
      <c r="D606" s="54" t="str">
        <f t="shared" si="233"/>
        <v>Gen-superior court agne, sara j. (vote for1)</v>
      </c>
      <c r="E606" s="54" t="s">
        <v>1981</v>
      </c>
      <c r="F606" s="12" t="s">
        <v>1300</v>
      </c>
      <c r="G606" s="59">
        <v>1004088</v>
      </c>
      <c r="H606"/>
      <c r="K606" s="2"/>
      <c r="O606">
        <f t="shared" si="234"/>
        <v>1</v>
      </c>
      <c r="P606" s="57">
        <f t="shared" si="235"/>
        <v>1</v>
      </c>
      <c r="Q606" s="267">
        <f t="shared" si="236"/>
        <v>1295241</v>
      </c>
      <c r="R606" s="23">
        <f t="shared" si="237"/>
        <v>1004088</v>
      </c>
      <c r="S606" s="23">
        <f t="shared" si="238"/>
        <v>291153</v>
      </c>
      <c r="T606" s="23">
        <f t="shared" si="239"/>
        <v>712935</v>
      </c>
      <c r="U606" t="str">
        <f t="shared" si="240"/>
        <v>AZ_Maric_2020g~Gen-superior court agne, sara j. (vote for1)</v>
      </c>
      <c r="W606" s="1">
        <f t="shared" si="241"/>
        <v>19</v>
      </c>
      <c r="X606" s="73">
        <f t="shared" si="230"/>
        <v>12.754940627509807</v>
      </c>
      <c r="Y606" s="322">
        <f t="shared" si="242"/>
        <v>21386.067000000003</v>
      </c>
      <c r="Z606" s="43">
        <f t="shared" si="231"/>
        <v>1.0360967464782723E-29</v>
      </c>
      <c r="AA606" s="52">
        <f t="shared" si="243"/>
        <v>1.0360967464782723E-31</v>
      </c>
      <c r="AB606" s="8">
        <f t="shared" si="244"/>
        <v>523</v>
      </c>
      <c r="AC606" s="8">
        <f t="shared" si="245"/>
        <v>1181464</v>
      </c>
      <c r="AD606" s="8">
        <f t="shared" si="249"/>
        <v>5907.32</v>
      </c>
      <c r="AE606" s="8" t="str">
        <f t="shared" si="246"/>
        <v/>
      </c>
      <c r="AF606" s="22" t="str">
        <f t="shared" si="247"/>
        <v>CO_Denve_2020g</v>
      </c>
      <c r="AG606">
        <v>1</v>
      </c>
      <c r="AH606" s="272">
        <v>309943</v>
      </c>
      <c r="AI606" s="273">
        <v>230301</v>
      </c>
      <c r="AJ606" s="274">
        <v>79642</v>
      </c>
      <c r="AK606" s="339">
        <v>150659</v>
      </c>
      <c r="AL606" s="340" t="s">
        <v>5758</v>
      </c>
      <c r="AM606" s="353">
        <f t="shared" si="248"/>
        <v>0.12751890874372812</v>
      </c>
      <c r="AP606" s="23">
        <f t="shared" si="250"/>
        <v>584</v>
      </c>
      <c r="AQ606" s="392">
        <f t="shared" si="228"/>
        <v>0.9981250467597601</v>
      </c>
      <c r="AR606" s="392">
        <f t="shared" si="229"/>
        <v>0.99999999999998213</v>
      </c>
      <c r="AS606" s="392">
        <f t="shared" si="229"/>
        <v>1</v>
      </c>
    </row>
    <row r="607" spans="1:45">
      <c r="A607" s="12" t="s">
        <v>1716</v>
      </c>
      <c r="B607" s="54" t="str">
        <f t="shared" si="232"/>
        <v>AZ_Maric_2020g</v>
      </c>
      <c r="C607" s="12"/>
      <c r="D607" s="54" t="str">
        <f t="shared" si="233"/>
        <v>Gen-superior court agne, sara j. (vote for1)</v>
      </c>
      <c r="E607" s="54" t="s">
        <v>1982</v>
      </c>
      <c r="F607" s="12" t="s">
        <v>1300</v>
      </c>
      <c r="G607" s="59">
        <v>291153</v>
      </c>
      <c r="H607"/>
      <c r="K607" s="2"/>
      <c r="O607">
        <f t="shared" si="234"/>
        <v>2</v>
      </c>
      <c r="P607" s="57">
        <f t="shared" si="235"/>
        <v>1</v>
      </c>
      <c r="Q607" s="267">
        <f t="shared" si="236"/>
        <v>291153</v>
      </c>
      <c r="R607" s="23" t="str">
        <f t="shared" si="237"/>
        <v/>
      </c>
      <c r="S607" s="23">
        <f t="shared" si="238"/>
        <v>291153</v>
      </c>
      <c r="T607" s="23" t="str">
        <f t="shared" si="239"/>
        <v/>
      </c>
      <c r="U607" t="str">
        <f t="shared" si="240"/>
        <v/>
      </c>
      <c r="W607" s="1">
        <f t="shared" si="241"/>
        <v>20</v>
      </c>
      <c r="X607" s="73">
        <f t="shared" si="230"/>
        <v>12.553834281603558</v>
      </c>
      <c r="Y607" s="322">
        <f t="shared" si="242"/>
        <v>21363.366000000002</v>
      </c>
      <c r="Z607" s="43">
        <f t="shared" si="231"/>
        <v>3.3025863350182692E-30</v>
      </c>
      <c r="AA607" s="52">
        <f t="shared" si="243"/>
        <v>3.3025863350182693E-32</v>
      </c>
      <c r="AB607" s="8">
        <f t="shared" si="244"/>
        <v>523</v>
      </c>
      <c r="AC607" s="8">
        <f t="shared" si="245"/>
        <v>1181464</v>
      </c>
      <c r="AD607" s="8">
        <f t="shared" si="249"/>
        <v>5907.32</v>
      </c>
      <c r="AE607" s="8" t="str">
        <f t="shared" si="246"/>
        <v/>
      </c>
      <c r="AF607" s="22" t="str">
        <f t="shared" si="247"/>
        <v>CO_Denve_2020g</v>
      </c>
      <c r="AG607">
        <v>1</v>
      </c>
      <c r="AH607" s="272">
        <v>309614</v>
      </c>
      <c r="AI607" s="273">
        <v>231262</v>
      </c>
      <c r="AJ607" s="274">
        <v>78352</v>
      </c>
      <c r="AK607" s="339">
        <v>152910</v>
      </c>
      <c r="AL607" s="340" t="s">
        <v>5759</v>
      </c>
      <c r="AM607" s="353">
        <f t="shared" si="248"/>
        <v>0.12942417204417569</v>
      </c>
      <c r="AP607" s="23">
        <f t="shared" si="250"/>
        <v>593</v>
      </c>
      <c r="AQ607" s="392">
        <f t="shared" si="228"/>
        <v>0.99830703080772976</v>
      </c>
      <c r="AR607" s="392">
        <f t="shared" si="229"/>
        <v>0.99999999999998934</v>
      </c>
      <c r="AS607" s="392">
        <f t="shared" si="229"/>
        <v>1</v>
      </c>
    </row>
    <row r="608" spans="1:45">
      <c r="A608" s="12" t="s">
        <v>1717</v>
      </c>
      <c r="B608" s="54" t="str">
        <f t="shared" si="232"/>
        <v>AZ_Maric_2020g</v>
      </c>
      <c r="C608" s="12"/>
      <c r="D608" s="54" t="str">
        <f t="shared" si="233"/>
        <v>Gen-superior court beresky, justin (vote for1)</v>
      </c>
      <c r="E608" s="54" t="s">
        <v>1981</v>
      </c>
      <c r="F608" s="12" t="s">
        <v>1300</v>
      </c>
      <c r="G608" s="59">
        <v>916776</v>
      </c>
      <c r="H608"/>
      <c r="K608" s="2"/>
      <c r="O608">
        <f t="shared" si="234"/>
        <v>1</v>
      </c>
      <c r="P608" s="57">
        <f t="shared" si="235"/>
        <v>1</v>
      </c>
      <c r="Q608" s="267">
        <f t="shared" si="236"/>
        <v>1272983</v>
      </c>
      <c r="R608" s="23">
        <f t="shared" si="237"/>
        <v>916776</v>
      </c>
      <c r="S608" s="23">
        <f t="shared" si="238"/>
        <v>356207</v>
      </c>
      <c r="T608" s="23">
        <f t="shared" si="239"/>
        <v>560569</v>
      </c>
      <c r="U608" t="str">
        <f t="shared" si="240"/>
        <v>AZ_Maric_2020g~Gen-superior court beresky, justin (vote for1)</v>
      </c>
      <c r="W608" s="1">
        <f t="shared" si="241"/>
        <v>21</v>
      </c>
      <c r="X608" s="73">
        <f t="shared" si="230"/>
        <v>11.681779463349915</v>
      </c>
      <c r="Y608" s="322">
        <f t="shared" si="242"/>
        <v>21459.069000000003</v>
      </c>
      <c r="Z608" s="43">
        <f t="shared" si="231"/>
        <v>6.6003641663914142E-33</v>
      </c>
      <c r="AA608" s="52">
        <f t="shared" si="243"/>
        <v>6.6003641663914141E-35</v>
      </c>
      <c r="AB608" s="8">
        <f t="shared" si="244"/>
        <v>523</v>
      </c>
      <c r="AC608" s="8">
        <f t="shared" si="245"/>
        <v>1181464</v>
      </c>
      <c r="AD608" s="8">
        <f t="shared" si="249"/>
        <v>5907.32</v>
      </c>
      <c r="AE608" s="8" t="str">
        <f t="shared" si="246"/>
        <v/>
      </c>
      <c r="AF608" s="22" t="str">
        <f t="shared" si="247"/>
        <v>CO_Denve_2020g</v>
      </c>
      <c r="AG608">
        <v>1</v>
      </c>
      <c r="AH608" s="272">
        <v>311001</v>
      </c>
      <c r="AI608" s="273">
        <v>238031</v>
      </c>
      <c r="AJ608" s="274">
        <v>72970</v>
      </c>
      <c r="AK608" s="339">
        <v>165061</v>
      </c>
      <c r="AL608" s="340" t="s">
        <v>5757</v>
      </c>
      <c r="AM608" s="353">
        <f t="shared" si="248"/>
        <v>0.13970886967355756</v>
      </c>
      <c r="AP608" s="23">
        <f t="shared" si="250"/>
        <v>644</v>
      </c>
      <c r="AQ608" s="392">
        <f t="shared" si="228"/>
        <v>0.99905388072425472</v>
      </c>
      <c r="AR608" s="392">
        <f t="shared" si="229"/>
        <v>0.99999999999999944</v>
      </c>
      <c r="AS608" s="392">
        <f t="shared" si="229"/>
        <v>1</v>
      </c>
    </row>
    <row r="609" spans="1:45">
      <c r="A609" s="12" t="s">
        <v>1717</v>
      </c>
      <c r="B609" s="54" t="str">
        <f t="shared" si="232"/>
        <v>AZ_Maric_2020g</v>
      </c>
      <c r="C609" s="12"/>
      <c r="D609" s="54" t="str">
        <f t="shared" si="233"/>
        <v>Gen-superior court beresky, justin (vote for1)</v>
      </c>
      <c r="E609" s="54" t="s">
        <v>1982</v>
      </c>
      <c r="F609" s="12" t="s">
        <v>1300</v>
      </c>
      <c r="G609" s="59">
        <v>356207</v>
      </c>
      <c r="H609"/>
      <c r="K609" s="2"/>
      <c r="O609">
        <f t="shared" si="234"/>
        <v>2</v>
      </c>
      <c r="P609" s="57">
        <f t="shared" si="235"/>
        <v>1</v>
      </c>
      <c r="Q609" s="267">
        <f t="shared" si="236"/>
        <v>356207</v>
      </c>
      <c r="R609" s="23" t="str">
        <f t="shared" si="237"/>
        <v/>
      </c>
      <c r="S609" s="23">
        <f t="shared" si="238"/>
        <v>356207</v>
      </c>
      <c r="T609" s="23" t="str">
        <f t="shared" si="239"/>
        <v/>
      </c>
      <c r="U609" t="str">
        <f t="shared" si="240"/>
        <v/>
      </c>
      <c r="W609" s="1">
        <f t="shared" si="241"/>
        <v>22</v>
      </c>
      <c r="X609" s="73">
        <f t="shared" si="230"/>
        <v>13.874192556136574</v>
      </c>
      <c r="Y609" s="322">
        <f t="shared" si="242"/>
        <v>25600.725000000002</v>
      </c>
      <c r="Z609" s="43">
        <f t="shared" si="231"/>
        <v>4.5096158960570285E-33</v>
      </c>
      <c r="AA609" s="52">
        <f t="shared" si="243"/>
        <v>4.5096158960570285E-35</v>
      </c>
      <c r="AB609" s="8">
        <f t="shared" si="244"/>
        <v>523</v>
      </c>
      <c r="AC609" s="8">
        <f t="shared" si="245"/>
        <v>1181464</v>
      </c>
      <c r="AD609" s="8">
        <f t="shared" si="249"/>
        <v>5907.32</v>
      </c>
      <c r="AE609" s="8" t="str">
        <f t="shared" si="246"/>
        <v/>
      </c>
      <c r="AF609" s="22" t="str">
        <f t="shared" si="247"/>
        <v>CO_Denve_2020g</v>
      </c>
      <c r="AG609">
        <v>1</v>
      </c>
      <c r="AH609" s="272">
        <v>371025</v>
      </c>
      <c r="AI609" s="273">
        <v>268413</v>
      </c>
      <c r="AJ609" s="274">
        <v>102612</v>
      </c>
      <c r="AK609" s="339">
        <v>165801</v>
      </c>
      <c r="AL609" s="340" t="s">
        <v>5753</v>
      </c>
      <c r="AM609" s="353">
        <f t="shared" si="248"/>
        <v>0.14033521122945769</v>
      </c>
      <c r="AP609" s="23">
        <f t="shared" si="250"/>
        <v>648</v>
      </c>
      <c r="AQ609" s="392">
        <f t="shared" si="228"/>
        <v>0.99909630474466715</v>
      </c>
      <c r="AR609" s="392">
        <f t="shared" si="229"/>
        <v>0.99999999999999956</v>
      </c>
      <c r="AS609" s="392">
        <f t="shared" si="229"/>
        <v>1</v>
      </c>
    </row>
    <row r="610" spans="1:45">
      <c r="A610" s="12" t="s">
        <v>1718</v>
      </c>
      <c r="B610" s="54" t="str">
        <f t="shared" si="232"/>
        <v>AZ_Maric_2020g</v>
      </c>
      <c r="C610" s="12"/>
      <c r="D610" s="54" t="str">
        <f t="shared" si="233"/>
        <v>Gen-superior court blaney, scott allen (vote for1)</v>
      </c>
      <c r="E610" s="54" t="s">
        <v>1981</v>
      </c>
      <c r="F610" s="12" t="s">
        <v>1300</v>
      </c>
      <c r="G610" s="59">
        <v>912543</v>
      </c>
      <c r="H610"/>
      <c r="K610" s="2"/>
      <c r="O610">
        <f t="shared" si="234"/>
        <v>1</v>
      </c>
      <c r="P610" s="57">
        <f t="shared" si="235"/>
        <v>1</v>
      </c>
      <c r="Q610" s="267">
        <f t="shared" si="236"/>
        <v>1270958</v>
      </c>
      <c r="R610" s="23">
        <f t="shared" si="237"/>
        <v>912543</v>
      </c>
      <c r="S610" s="23">
        <f t="shared" si="238"/>
        <v>358415</v>
      </c>
      <c r="T610" s="23">
        <f t="shared" si="239"/>
        <v>554128</v>
      </c>
      <c r="U610" t="str">
        <f t="shared" si="240"/>
        <v>AZ_Maric_2020g~Gen-superior court blaney, scott allen (vote for1)</v>
      </c>
      <c r="W610" s="1">
        <f t="shared" si="241"/>
        <v>23</v>
      </c>
      <c r="X610" s="73">
        <f t="shared" si="230"/>
        <v>12.296798887343535</v>
      </c>
      <c r="Y610" s="322">
        <f t="shared" si="242"/>
        <v>24599.052000000003</v>
      </c>
      <c r="Z610" s="43">
        <f t="shared" si="231"/>
        <v>3.2588177178245419E-36</v>
      </c>
      <c r="AA610" s="52">
        <f t="shared" si="243"/>
        <v>3.2588177178245421E-38</v>
      </c>
      <c r="AB610" s="8">
        <f t="shared" si="244"/>
        <v>523</v>
      </c>
      <c r="AC610" s="8">
        <f t="shared" si="245"/>
        <v>1181464</v>
      </c>
      <c r="AD610" s="8">
        <f t="shared" si="249"/>
        <v>5907.32</v>
      </c>
      <c r="AE610" s="8" t="str">
        <f t="shared" si="246"/>
        <v/>
      </c>
      <c r="AF610" s="22" t="str">
        <f t="shared" si="247"/>
        <v>CO_Denve_2020g</v>
      </c>
      <c r="AG610">
        <v>1</v>
      </c>
      <c r="AH610" s="272">
        <v>356508</v>
      </c>
      <c r="AI610" s="273">
        <v>268129</v>
      </c>
      <c r="AJ610" s="274">
        <v>88379</v>
      </c>
      <c r="AK610" s="339">
        <v>179750</v>
      </c>
      <c r="AL610" s="340" t="s">
        <v>5739</v>
      </c>
      <c r="AM610" s="353">
        <f t="shared" si="248"/>
        <v>0.15214174955817528</v>
      </c>
      <c r="AP610" s="23">
        <f t="shared" si="250"/>
        <v>706</v>
      </c>
      <c r="AQ610" s="392">
        <f t="shared" si="228"/>
        <v>0.99953719240195804</v>
      </c>
      <c r="AR610" s="392">
        <f t="shared" si="229"/>
        <v>1</v>
      </c>
      <c r="AS610" s="392">
        <f t="shared" si="229"/>
        <v>1</v>
      </c>
    </row>
    <row r="611" spans="1:45">
      <c r="A611" s="12" t="s">
        <v>1718</v>
      </c>
      <c r="B611" s="54" t="str">
        <f t="shared" si="232"/>
        <v>AZ_Maric_2020g</v>
      </c>
      <c r="C611" s="12"/>
      <c r="D611" s="54" t="str">
        <f t="shared" si="233"/>
        <v>Gen-superior court blaney, scott allen (vote for1)</v>
      </c>
      <c r="E611" s="54" t="s">
        <v>1982</v>
      </c>
      <c r="F611" s="12" t="s">
        <v>1300</v>
      </c>
      <c r="G611" s="59">
        <v>358415</v>
      </c>
      <c r="H611"/>
      <c r="K611" s="2"/>
      <c r="O611">
        <f t="shared" si="234"/>
        <v>2</v>
      </c>
      <c r="P611" s="57">
        <f t="shared" si="235"/>
        <v>1</v>
      </c>
      <c r="Q611" s="267">
        <f t="shared" si="236"/>
        <v>358415</v>
      </c>
      <c r="R611" s="23" t="str">
        <f t="shared" si="237"/>
        <v/>
      </c>
      <c r="S611" s="23">
        <f t="shared" si="238"/>
        <v>358415</v>
      </c>
      <c r="T611" s="23" t="str">
        <f t="shared" si="239"/>
        <v/>
      </c>
      <c r="U611" t="str">
        <f t="shared" si="240"/>
        <v/>
      </c>
      <c r="W611" s="1">
        <f t="shared" si="241"/>
        <v>24</v>
      </c>
      <c r="X611" s="73">
        <f t="shared" si="230"/>
        <v>10.102011418343748</v>
      </c>
      <c r="Y611" s="322">
        <f t="shared" si="242"/>
        <v>20853.939000000002</v>
      </c>
      <c r="Z611" s="43">
        <f t="shared" si="231"/>
        <v>1.6127193998729929E-37</v>
      </c>
      <c r="AA611" s="52">
        <f t="shared" si="243"/>
        <v>1.6127193998729929E-39</v>
      </c>
      <c r="AB611" s="8">
        <f t="shared" si="244"/>
        <v>523</v>
      </c>
      <c r="AC611" s="8">
        <f t="shared" si="245"/>
        <v>1181464</v>
      </c>
      <c r="AD611" s="8">
        <f t="shared" si="249"/>
        <v>5907.32</v>
      </c>
      <c r="AE611" s="8" t="str">
        <f t="shared" si="246"/>
        <v/>
      </c>
      <c r="AF611" s="22" t="str">
        <f t="shared" si="247"/>
        <v>CO_Denve_2020g</v>
      </c>
      <c r="AG611">
        <v>1</v>
      </c>
      <c r="AH611" s="272">
        <v>302231</v>
      </c>
      <c r="AI611" s="273">
        <v>243861</v>
      </c>
      <c r="AJ611" s="274">
        <v>58370</v>
      </c>
      <c r="AK611" s="339">
        <v>185491</v>
      </c>
      <c r="AL611" s="340" t="s">
        <v>5749</v>
      </c>
      <c r="AM611" s="353">
        <f t="shared" si="248"/>
        <v>0.15700097506144919</v>
      </c>
      <c r="AP611" s="23">
        <f t="shared" si="250"/>
        <v>730</v>
      </c>
      <c r="AQ611" s="392">
        <f t="shared" si="228"/>
        <v>0.99964990275692045</v>
      </c>
      <c r="AR611" s="392">
        <f t="shared" si="229"/>
        <v>1</v>
      </c>
      <c r="AS611" s="392">
        <f t="shared" si="229"/>
        <v>1</v>
      </c>
    </row>
    <row r="612" spans="1:45">
      <c r="A612" s="12" t="s">
        <v>1719</v>
      </c>
      <c r="B612" s="54" t="str">
        <f t="shared" si="232"/>
        <v>AZ_Maric_2020g</v>
      </c>
      <c r="C612" s="12"/>
      <c r="D612" s="54" t="str">
        <f t="shared" si="233"/>
        <v>Gen-superior court bustamante, lori horn (vote for1)</v>
      </c>
      <c r="E612" s="54" t="s">
        <v>1981</v>
      </c>
      <c r="F612" s="12" t="s">
        <v>1300</v>
      </c>
      <c r="G612" s="59">
        <v>1007260</v>
      </c>
      <c r="H612"/>
      <c r="K612" s="2"/>
      <c r="O612">
        <f t="shared" si="234"/>
        <v>1</v>
      </c>
      <c r="P612" s="57">
        <f t="shared" si="235"/>
        <v>1</v>
      </c>
      <c r="Q612" s="267">
        <f t="shared" si="236"/>
        <v>1279430</v>
      </c>
      <c r="R612" s="23">
        <f t="shared" si="237"/>
        <v>1007260</v>
      </c>
      <c r="S612" s="23">
        <f t="shared" si="238"/>
        <v>272170</v>
      </c>
      <c r="T612" s="23">
        <f t="shared" si="239"/>
        <v>735090</v>
      </c>
      <c r="U612" t="str">
        <f t="shared" si="240"/>
        <v>AZ_Maric_2020g~Gen-superior court bustamante, lori horn (vote for1)</v>
      </c>
      <c r="W612" s="1">
        <f t="shared" si="241"/>
        <v>25</v>
      </c>
      <c r="X612" s="73">
        <f t="shared" si="230"/>
        <v>10.392028583881748</v>
      </c>
      <c r="Y612" s="322">
        <f t="shared" si="242"/>
        <v>21492.879000000001</v>
      </c>
      <c r="Z612" s="43">
        <f t="shared" si="231"/>
        <v>1.3433278374776269E-37</v>
      </c>
      <c r="AA612" s="52">
        <f t="shared" si="243"/>
        <v>1.3433278374776268E-39</v>
      </c>
      <c r="AB612" s="8">
        <f t="shared" si="244"/>
        <v>523</v>
      </c>
      <c r="AC612" s="8">
        <f t="shared" si="245"/>
        <v>1181464</v>
      </c>
      <c r="AD612" s="8">
        <f t="shared" si="249"/>
        <v>5907.32</v>
      </c>
      <c r="AE612" s="8" t="str">
        <f t="shared" si="246"/>
        <v/>
      </c>
      <c r="AF612" s="22" t="str">
        <f t="shared" si="247"/>
        <v>CO_Denve_2020g</v>
      </c>
      <c r="AG612">
        <v>1</v>
      </c>
      <c r="AH612" s="272">
        <v>311491</v>
      </c>
      <c r="AI612" s="273">
        <v>248665</v>
      </c>
      <c r="AJ612" s="274">
        <v>62826</v>
      </c>
      <c r="AK612" s="339">
        <v>185839</v>
      </c>
      <c r="AL612" s="340" t="s">
        <v>5760</v>
      </c>
      <c r="AM612" s="353">
        <f t="shared" si="248"/>
        <v>0.15729552487422385</v>
      </c>
      <c r="AP612" s="23">
        <f t="shared" si="250"/>
        <v>732</v>
      </c>
      <c r="AQ612" s="392">
        <f t="shared" si="228"/>
        <v>0.99965797156677716</v>
      </c>
      <c r="AR612" s="392">
        <f t="shared" si="229"/>
        <v>1</v>
      </c>
      <c r="AS612" s="392">
        <f t="shared" si="229"/>
        <v>1</v>
      </c>
    </row>
    <row r="613" spans="1:45">
      <c r="A613" s="12" t="s">
        <v>1719</v>
      </c>
      <c r="B613" s="54" t="str">
        <f t="shared" si="232"/>
        <v>AZ_Maric_2020g</v>
      </c>
      <c r="C613" s="12"/>
      <c r="D613" s="54" t="str">
        <f t="shared" si="233"/>
        <v>Gen-superior court bustamante, lori horn (vote for1)</v>
      </c>
      <c r="E613" s="54" t="s">
        <v>1982</v>
      </c>
      <c r="F613" s="12" t="s">
        <v>1300</v>
      </c>
      <c r="G613" s="59">
        <v>272170</v>
      </c>
      <c r="H613"/>
      <c r="K613" s="2"/>
      <c r="O613">
        <f t="shared" si="234"/>
        <v>2</v>
      </c>
      <c r="P613" s="57">
        <f t="shared" si="235"/>
        <v>1</v>
      </c>
      <c r="Q613" s="267">
        <f t="shared" si="236"/>
        <v>272170</v>
      </c>
      <c r="R613" s="23" t="str">
        <f t="shared" si="237"/>
        <v/>
      </c>
      <c r="S613" s="23">
        <f t="shared" si="238"/>
        <v>272170</v>
      </c>
      <c r="T613" s="23" t="str">
        <f t="shared" si="239"/>
        <v/>
      </c>
      <c r="U613" t="str">
        <f t="shared" si="240"/>
        <v/>
      </c>
      <c r="W613" s="1">
        <f t="shared" si="241"/>
        <v>26</v>
      </c>
      <c r="X613" s="73">
        <f t="shared" si="230"/>
        <v>9.9589564699501221</v>
      </c>
      <c r="Y613" s="322">
        <f t="shared" si="242"/>
        <v>20842.692000000003</v>
      </c>
      <c r="Z613" s="43">
        <f t="shared" si="231"/>
        <v>4.1908493431041961E-38</v>
      </c>
      <c r="AA613" s="52">
        <f t="shared" si="243"/>
        <v>4.1908493431041961E-40</v>
      </c>
      <c r="AB613" s="8">
        <f t="shared" si="244"/>
        <v>523</v>
      </c>
      <c r="AC613" s="8">
        <f t="shared" si="245"/>
        <v>1181464</v>
      </c>
      <c r="AD613" s="8">
        <f t="shared" si="249"/>
        <v>5907.32</v>
      </c>
      <c r="AE613" s="8" t="str">
        <f t="shared" si="246"/>
        <v/>
      </c>
      <c r="AF613" s="22" t="str">
        <f t="shared" si="247"/>
        <v>CO_Denve_2020g</v>
      </c>
      <c r="AG613">
        <v>1</v>
      </c>
      <c r="AH613" s="272">
        <v>302068</v>
      </c>
      <c r="AI613" s="273">
        <v>245061</v>
      </c>
      <c r="AJ613" s="274">
        <v>57007</v>
      </c>
      <c r="AK613" s="339">
        <v>188054</v>
      </c>
      <c r="AL613" s="340" t="s">
        <v>5752</v>
      </c>
      <c r="AM613" s="353">
        <f t="shared" si="248"/>
        <v>0.1591703175043844</v>
      </c>
      <c r="AP613" s="23">
        <f t="shared" si="250"/>
        <v>741</v>
      </c>
      <c r="AQ613" s="392">
        <f t="shared" si="228"/>
        <v>0.99969207546936678</v>
      </c>
      <c r="AR613" s="392">
        <f t="shared" si="229"/>
        <v>1</v>
      </c>
      <c r="AS613" s="392">
        <f t="shared" si="229"/>
        <v>1</v>
      </c>
    </row>
    <row r="614" spans="1:45">
      <c r="A614" s="12" t="s">
        <v>1720</v>
      </c>
      <c r="B614" s="54" t="str">
        <f t="shared" si="232"/>
        <v>AZ_Maric_2020g</v>
      </c>
      <c r="C614" s="12"/>
      <c r="D614" s="54" t="str">
        <f t="shared" si="233"/>
        <v>Gen-superior court coffey, rodrick j. (vote for1)</v>
      </c>
      <c r="E614" s="54" t="s">
        <v>1981</v>
      </c>
      <c r="F614" s="12" t="s">
        <v>1300</v>
      </c>
      <c r="G614" s="59">
        <v>940138</v>
      </c>
      <c r="H614"/>
      <c r="K614" s="2"/>
      <c r="O614">
        <f t="shared" si="234"/>
        <v>1</v>
      </c>
      <c r="P614" s="57">
        <f t="shared" si="235"/>
        <v>1</v>
      </c>
      <c r="Q614" s="267">
        <f t="shared" si="236"/>
        <v>1263489</v>
      </c>
      <c r="R614" s="23">
        <f t="shared" si="237"/>
        <v>940138</v>
      </c>
      <c r="S614" s="23">
        <f t="shared" si="238"/>
        <v>323351</v>
      </c>
      <c r="T614" s="23">
        <f t="shared" si="239"/>
        <v>616787</v>
      </c>
      <c r="U614" t="str">
        <f t="shared" si="240"/>
        <v>AZ_Maric_2020g~Gen-superior court coffey, rodrick j. (vote for1)</v>
      </c>
      <c r="W614" s="1">
        <f t="shared" si="241"/>
        <v>27</v>
      </c>
      <c r="X614" s="73">
        <f t="shared" si="230"/>
        <v>9.9716927159347222</v>
      </c>
      <c r="Y614" s="322">
        <f t="shared" si="242"/>
        <v>20910.519</v>
      </c>
      <c r="Z614" s="43">
        <f t="shared" si="231"/>
        <v>3.447146472565008E-38</v>
      </c>
      <c r="AA614" s="52">
        <f t="shared" si="243"/>
        <v>3.4471464725650082E-40</v>
      </c>
      <c r="AB614" s="8">
        <f t="shared" si="244"/>
        <v>523</v>
      </c>
      <c r="AC614" s="8">
        <f t="shared" si="245"/>
        <v>1181464</v>
      </c>
      <c r="AD614" s="8">
        <f t="shared" si="249"/>
        <v>5907.32</v>
      </c>
      <c r="AE614" s="8" t="str">
        <f t="shared" si="246"/>
        <v/>
      </c>
      <c r="AF614" s="22" t="str">
        <f t="shared" si="247"/>
        <v>CO_Denve_2020g</v>
      </c>
      <c r="AG614">
        <v>1</v>
      </c>
      <c r="AH614" s="272">
        <v>303051</v>
      </c>
      <c r="AI614" s="273">
        <v>245738</v>
      </c>
      <c r="AJ614" s="274">
        <v>57313</v>
      </c>
      <c r="AK614" s="339">
        <v>188425</v>
      </c>
      <c r="AL614" s="340" t="s">
        <v>5748</v>
      </c>
      <c r="AM614" s="353">
        <f t="shared" si="248"/>
        <v>0.15948433468984244</v>
      </c>
      <c r="AP614" s="23">
        <f t="shared" si="250"/>
        <v>743</v>
      </c>
      <c r="AQ614" s="392">
        <f t="shared" si="228"/>
        <v>0.99969918733495478</v>
      </c>
      <c r="AR614" s="392">
        <f t="shared" si="229"/>
        <v>1</v>
      </c>
      <c r="AS614" s="392">
        <f t="shared" si="229"/>
        <v>1</v>
      </c>
    </row>
    <row r="615" spans="1:45">
      <c r="A615" s="12" t="s">
        <v>1720</v>
      </c>
      <c r="B615" s="54" t="str">
        <f t="shared" si="232"/>
        <v>AZ_Maric_2020g</v>
      </c>
      <c r="C615" s="12"/>
      <c r="D615" s="54" t="str">
        <f t="shared" si="233"/>
        <v>Gen-superior court coffey, rodrick j. (vote for1)</v>
      </c>
      <c r="E615" s="54" t="s">
        <v>1982</v>
      </c>
      <c r="F615" s="12" t="s">
        <v>1300</v>
      </c>
      <c r="G615" s="59">
        <v>323351</v>
      </c>
      <c r="H615"/>
      <c r="K615" s="2"/>
      <c r="O615">
        <f t="shared" si="234"/>
        <v>2</v>
      </c>
      <c r="P615" s="57">
        <f t="shared" si="235"/>
        <v>1</v>
      </c>
      <c r="Q615" s="267">
        <f t="shared" si="236"/>
        <v>323351</v>
      </c>
      <c r="R615" s="23" t="str">
        <f t="shared" si="237"/>
        <v/>
      </c>
      <c r="S615" s="23">
        <f t="shared" si="238"/>
        <v>323351</v>
      </c>
      <c r="T615" s="23" t="str">
        <f t="shared" si="239"/>
        <v/>
      </c>
      <c r="U615" t="str">
        <f t="shared" si="240"/>
        <v/>
      </c>
      <c r="W615" s="1">
        <f t="shared" si="241"/>
        <v>28</v>
      </c>
      <c r="X615" s="73">
        <f t="shared" si="230"/>
        <v>10.25130693677753</v>
      </c>
      <c r="Y615" s="322">
        <f t="shared" si="242"/>
        <v>21535.314000000002</v>
      </c>
      <c r="Z615" s="43">
        <f t="shared" si="231"/>
        <v>2.8864580812303066E-38</v>
      </c>
      <c r="AA615" s="52">
        <f t="shared" si="243"/>
        <v>2.8864580812303065E-40</v>
      </c>
      <c r="AB615" s="8">
        <f t="shared" si="244"/>
        <v>523</v>
      </c>
      <c r="AC615" s="8">
        <f t="shared" si="245"/>
        <v>1181464</v>
      </c>
      <c r="AD615" s="8">
        <f t="shared" si="249"/>
        <v>5907.32</v>
      </c>
      <c r="AE615" s="8" t="str">
        <f t="shared" si="246"/>
        <v/>
      </c>
      <c r="AF615" s="22" t="str">
        <f t="shared" si="247"/>
        <v>CO_Denve_2020g</v>
      </c>
      <c r="AG615">
        <v>1</v>
      </c>
      <c r="AH615" s="272">
        <v>312106</v>
      </c>
      <c r="AI615" s="273">
        <v>250434</v>
      </c>
      <c r="AJ615" s="274">
        <v>61672</v>
      </c>
      <c r="AK615" s="339">
        <v>188762</v>
      </c>
      <c r="AL615" s="340" t="s">
        <v>5756</v>
      </c>
      <c r="AM615" s="353">
        <f t="shared" si="248"/>
        <v>0.15976957402002939</v>
      </c>
      <c r="AP615" s="23">
        <f t="shared" si="250"/>
        <v>744</v>
      </c>
      <c r="AQ615" s="392">
        <f t="shared" si="228"/>
        <v>0.99970268244725202</v>
      </c>
      <c r="AR615" s="392">
        <f t="shared" si="229"/>
        <v>1</v>
      </c>
      <c r="AS615" s="392">
        <f t="shared" si="229"/>
        <v>1</v>
      </c>
    </row>
    <row r="616" spans="1:45">
      <c r="A616" s="12" t="s">
        <v>1721</v>
      </c>
      <c r="B616" s="54" t="str">
        <f t="shared" si="232"/>
        <v>AZ_Maric_2020g</v>
      </c>
      <c r="C616" s="12"/>
      <c r="D616" s="54" t="str">
        <f t="shared" si="233"/>
        <v>Gen-superior court cohen, bruce r. (vote for1)</v>
      </c>
      <c r="E616" s="54" t="s">
        <v>1981</v>
      </c>
      <c r="F616" s="12" t="s">
        <v>1300</v>
      </c>
      <c r="G616" s="59">
        <v>922849</v>
      </c>
      <c r="H616"/>
      <c r="K616" s="2"/>
      <c r="O616">
        <f t="shared" si="234"/>
        <v>1</v>
      </c>
      <c r="P616" s="57">
        <f t="shared" si="235"/>
        <v>1</v>
      </c>
      <c r="Q616" s="267">
        <f t="shared" si="236"/>
        <v>1270349</v>
      </c>
      <c r="R616" s="23">
        <f t="shared" si="237"/>
        <v>922849</v>
      </c>
      <c r="S616" s="23">
        <f t="shared" si="238"/>
        <v>347500</v>
      </c>
      <c r="T616" s="23">
        <f t="shared" si="239"/>
        <v>575349</v>
      </c>
      <c r="U616" t="str">
        <f t="shared" si="240"/>
        <v>AZ_Maric_2020g~Gen-superior court cohen, bruce r. (vote for1)</v>
      </c>
      <c r="W616" s="1">
        <f t="shared" si="241"/>
        <v>29</v>
      </c>
      <c r="X616" s="73">
        <f t="shared" si="230"/>
        <v>9.7408998440710874</v>
      </c>
      <c r="Y616" s="322">
        <f t="shared" si="242"/>
        <v>20996.010000000002</v>
      </c>
      <c r="Z616" s="43">
        <f t="shared" si="231"/>
        <v>2.1515993948139973E-39</v>
      </c>
      <c r="AA616" s="52">
        <f t="shared" si="243"/>
        <v>2.1515993948139974E-41</v>
      </c>
      <c r="AB616" s="8">
        <f t="shared" si="244"/>
        <v>523</v>
      </c>
      <c r="AC616" s="8">
        <f t="shared" si="245"/>
        <v>1181464</v>
      </c>
      <c r="AD616" s="8">
        <f t="shared" si="249"/>
        <v>5907.32</v>
      </c>
      <c r="AE616" s="8" t="str">
        <f t="shared" si="246"/>
        <v/>
      </c>
      <c r="AF616" s="22" t="str">
        <f t="shared" si="247"/>
        <v>CO_Denve_2020g</v>
      </c>
      <c r="AG616">
        <v>1</v>
      </c>
      <c r="AH616" s="272">
        <v>304290</v>
      </c>
      <c r="AI616" s="273">
        <v>248984</v>
      </c>
      <c r="AJ616" s="274">
        <v>55306</v>
      </c>
      <c r="AK616" s="339">
        <v>193678</v>
      </c>
      <c r="AL616" s="340" t="s">
        <v>5746</v>
      </c>
      <c r="AM616" s="353">
        <f t="shared" si="248"/>
        <v>0.16393051332922542</v>
      </c>
      <c r="AP616" s="23">
        <f t="shared" si="250"/>
        <v>765</v>
      </c>
      <c r="AQ616" s="392">
        <f t="shared" si="228"/>
        <v>0.9997675098229627</v>
      </c>
      <c r="AR616" s="392">
        <f t="shared" si="229"/>
        <v>1</v>
      </c>
      <c r="AS616" s="392">
        <f t="shared" si="229"/>
        <v>1</v>
      </c>
    </row>
    <row r="617" spans="1:45">
      <c r="A617" s="12" t="s">
        <v>1721</v>
      </c>
      <c r="B617" s="54" t="str">
        <f t="shared" si="232"/>
        <v>AZ_Maric_2020g</v>
      </c>
      <c r="C617" s="12"/>
      <c r="D617" s="54" t="str">
        <f t="shared" si="233"/>
        <v>Gen-superior court cohen, bruce r. (vote for1)</v>
      </c>
      <c r="E617" s="54" t="s">
        <v>1982</v>
      </c>
      <c r="F617" s="12" t="s">
        <v>1300</v>
      </c>
      <c r="G617" s="59">
        <v>347500</v>
      </c>
      <c r="H617"/>
      <c r="K617" s="2"/>
      <c r="O617">
        <f t="shared" si="234"/>
        <v>2</v>
      </c>
      <c r="P617" s="57">
        <f t="shared" si="235"/>
        <v>1</v>
      </c>
      <c r="Q617" s="267">
        <f t="shared" si="236"/>
        <v>347500</v>
      </c>
      <c r="R617" s="23" t="str">
        <f t="shared" si="237"/>
        <v/>
      </c>
      <c r="S617" s="23">
        <f t="shared" si="238"/>
        <v>347500</v>
      </c>
      <c r="T617" s="23" t="str">
        <f t="shared" si="239"/>
        <v/>
      </c>
      <c r="U617" t="str">
        <f t="shared" si="240"/>
        <v/>
      </c>
      <c r="W617" s="1">
        <f t="shared" si="241"/>
        <v>30</v>
      </c>
      <c r="X617" s="73">
        <f t="shared" si="230"/>
        <v>9.3640934614019216</v>
      </c>
      <c r="Y617" s="322">
        <f t="shared" si="242"/>
        <v>20842.347000000002</v>
      </c>
      <c r="Z617" s="43">
        <f t="shared" si="231"/>
        <v>7.5002244668376522E-41</v>
      </c>
      <c r="AA617" s="52">
        <f t="shared" si="243"/>
        <v>7.5002244668376523E-43</v>
      </c>
      <c r="AB617" s="8">
        <f t="shared" si="244"/>
        <v>523</v>
      </c>
      <c r="AC617" s="8">
        <f t="shared" si="245"/>
        <v>1181464</v>
      </c>
      <c r="AD617" s="8">
        <f t="shared" si="249"/>
        <v>5907.32</v>
      </c>
      <c r="AE617" s="8" t="str">
        <f t="shared" si="246"/>
        <v/>
      </c>
      <c r="AF617" s="22" t="str">
        <f t="shared" si="247"/>
        <v>CO_Denve_2020g</v>
      </c>
      <c r="AG617">
        <v>1</v>
      </c>
      <c r="AH617" s="272">
        <v>302063</v>
      </c>
      <c r="AI617" s="273">
        <v>251030</v>
      </c>
      <c r="AJ617" s="274">
        <v>51033</v>
      </c>
      <c r="AK617" s="339">
        <v>199997</v>
      </c>
      <c r="AL617" s="340" t="s">
        <v>5751</v>
      </c>
      <c r="AM617" s="353">
        <f t="shared" si="248"/>
        <v>0.16927896237210782</v>
      </c>
      <c r="AP617" s="23">
        <f t="shared" si="250"/>
        <v>791</v>
      </c>
      <c r="AQ617" s="392">
        <f t="shared" ref="AQ617:AQ680" si="251">IF($AP617=$AD617,1,IF($AP617=0,0, 1-HYPGEOMDIST(0, ROUNDUP(RIGHT(AQ$1,4)*$AD617,0),$AP617, $AD617)))</f>
        <v>0.99982878305449441</v>
      </c>
      <c r="AR617" s="392">
        <f t="shared" ref="AR617:AS680" si="252">IF($AP617=$AD617,1,IF($AP617=0,0, 1-HYPGEOMDIST(0, ROUNDUP(RIGHT(AR$1,4)*$AD617,0),$AP617, $AD617)))</f>
        <v>1</v>
      </c>
      <c r="AS617" s="392">
        <f t="shared" si="252"/>
        <v>1</v>
      </c>
    </row>
    <row r="618" spans="1:45">
      <c r="A618" s="12" t="s">
        <v>1722</v>
      </c>
      <c r="B618" s="54" t="str">
        <f t="shared" si="232"/>
        <v>AZ_Maric_2020g</v>
      </c>
      <c r="C618" s="12"/>
      <c r="D618" s="54" t="str">
        <f t="shared" si="233"/>
        <v>Gen-superior court cohen, suzanne e. (vote for1)</v>
      </c>
      <c r="E618" s="54" t="s">
        <v>1981</v>
      </c>
      <c r="F618" s="12" t="s">
        <v>1300</v>
      </c>
      <c r="G618" s="59">
        <v>849829</v>
      </c>
      <c r="H618"/>
      <c r="K618" s="2"/>
      <c r="O618">
        <f t="shared" si="234"/>
        <v>1</v>
      </c>
      <c r="P618" s="57">
        <f t="shared" si="235"/>
        <v>1</v>
      </c>
      <c r="Q618" s="267">
        <f t="shared" si="236"/>
        <v>1280174</v>
      </c>
      <c r="R618" s="23">
        <f t="shared" si="237"/>
        <v>849829</v>
      </c>
      <c r="S618" s="23">
        <f t="shared" si="238"/>
        <v>430345</v>
      </c>
      <c r="T618" s="23">
        <f t="shared" si="239"/>
        <v>419484</v>
      </c>
      <c r="U618" t="str">
        <f t="shared" si="240"/>
        <v>AZ_Maric_2020g~Gen-superior court cohen, suzanne e. (vote for1)</v>
      </c>
      <c r="W618" s="1">
        <f t="shared" si="241"/>
        <v>31</v>
      </c>
      <c r="X618" s="73">
        <f t="shared" si="230"/>
        <v>9.3403754872071936</v>
      </c>
      <c r="Y618" s="322">
        <f t="shared" si="242"/>
        <v>21549.114000000001</v>
      </c>
      <c r="Z618" s="43">
        <f t="shared" si="231"/>
        <v>1.5056549414112286E-42</v>
      </c>
      <c r="AA618" s="52">
        <f t="shared" si="243"/>
        <v>1.5056549414112284E-44</v>
      </c>
      <c r="AB618" s="8">
        <f t="shared" si="244"/>
        <v>523</v>
      </c>
      <c r="AC618" s="8">
        <f t="shared" si="245"/>
        <v>1181464</v>
      </c>
      <c r="AD618" s="8">
        <f t="shared" si="249"/>
        <v>5907.32</v>
      </c>
      <c r="AE618" s="8" t="str">
        <f t="shared" si="246"/>
        <v/>
      </c>
      <c r="AF618" s="22" t="str">
        <f t="shared" si="247"/>
        <v>CO_Denve_2020g</v>
      </c>
      <c r="AG618">
        <v>1</v>
      </c>
      <c r="AH618" s="272">
        <v>312306</v>
      </c>
      <c r="AI618" s="273">
        <v>259805</v>
      </c>
      <c r="AJ618" s="274">
        <v>52501</v>
      </c>
      <c r="AK618" s="339">
        <v>207304</v>
      </c>
      <c r="AL618" s="340" t="s">
        <v>5761</v>
      </c>
      <c r="AM618" s="353">
        <f t="shared" si="248"/>
        <v>0.1754636620328677</v>
      </c>
      <c r="AP618" s="23">
        <f t="shared" si="250"/>
        <v>822</v>
      </c>
      <c r="AQ618" s="392">
        <f t="shared" si="251"/>
        <v>0.99988135516395649</v>
      </c>
      <c r="AR618" s="392">
        <f t="shared" si="252"/>
        <v>1</v>
      </c>
      <c r="AS618" s="392">
        <f t="shared" si="252"/>
        <v>1</v>
      </c>
    </row>
    <row r="619" spans="1:45">
      <c r="A619" s="12" t="s">
        <v>1722</v>
      </c>
      <c r="B619" s="54" t="str">
        <f t="shared" si="232"/>
        <v>AZ_Maric_2020g</v>
      </c>
      <c r="C619" s="12"/>
      <c r="D619" s="54" t="str">
        <f t="shared" si="233"/>
        <v>Gen-superior court cohen, suzanne e. (vote for1)</v>
      </c>
      <c r="E619" s="54" t="s">
        <v>1982</v>
      </c>
      <c r="F619" s="12" t="s">
        <v>1300</v>
      </c>
      <c r="G619" s="59">
        <v>430345</v>
      </c>
      <c r="H619"/>
      <c r="K619" s="2"/>
      <c r="O619">
        <f t="shared" si="234"/>
        <v>2</v>
      </c>
      <c r="P619" s="57">
        <f t="shared" si="235"/>
        <v>1</v>
      </c>
      <c r="Q619" s="267">
        <f t="shared" si="236"/>
        <v>430345</v>
      </c>
      <c r="R619" s="23" t="str">
        <f t="shared" si="237"/>
        <v/>
      </c>
      <c r="S619" s="23">
        <f t="shared" si="238"/>
        <v>430345</v>
      </c>
      <c r="T619" s="23" t="str">
        <f t="shared" si="239"/>
        <v/>
      </c>
      <c r="U619" t="str">
        <f t="shared" si="240"/>
        <v/>
      </c>
      <c r="W619" s="1">
        <f t="shared" si="241"/>
        <v>32</v>
      </c>
      <c r="X619" s="73">
        <f t="shared" si="230"/>
        <v>11.044986475950292</v>
      </c>
      <c r="Y619" s="322">
        <f t="shared" si="242"/>
        <v>25540.074000000001</v>
      </c>
      <c r="Z619" s="43">
        <f t="shared" si="231"/>
        <v>1.1672941120668582E-42</v>
      </c>
      <c r="AA619" s="52">
        <f t="shared" si="243"/>
        <v>1.1672941120668581E-44</v>
      </c>
      <c r="AB619" s="8">
        <f t="shared" si="244"/>
        <v>523</v>
      </c>
      <c r="AC619" s="8">
        <f t="shared" si="245"/>
        <v>1181464</v>
      </c>
      <c r="AD619" s="8">
        <f t="shared" si="249"/>
        <v>5907.32</v>
      </c>
      <c r="AE619" s="8" t="str">
        <f t="shared" si="246"/>
        <v/>
      </c>
      <c r="AF619" s="22" t="str">
        <f t="shared" si="247"/>
        <v>CO_Denve_2020g</v>
      </c>
      <c r="AG619">
        <v>1</v>
      </c>
      <c r="AH619" s="272">
        <v>370146</v>
      </c>
      <c r="AI619" s="273">
        <v>288962</v>
      </c>
      <c r="AJ619" s="274">
        <v>81184</v>
      </c>
      <c r="AK619" s="339">
        <v>207778</v>
      </c>
      <c r="AL619" s="340" t="s">
        <v>5754</v>
      </c>
      <c r="AM619" s="353">
        <f t="shared" si="248"/>
        <v>0.17586485919164696</v>
      </c>
      <c r="AP619" s="23">
        <f t="shared" si="250"/>
        <v>824</v>
      </c>
      <c r="AQ619" s="392">
        <f t="shared" si="251"/>
        <v>0.99988413879575067</v>
      </c>
      <c r="AR619" s="392">
        <f t="shared" si="252"/>
        <v>1</v>
      </c>
      <c r="AS619" s="392">
        <f t="shared" si="252"/>
        <v>1</v>
      </c>
    </row>
    <row r="620" spans="1:45">
      <c r="A620" s="12" t="s">
        <v>1723</v>
      </c>
      <c r="B620" s="54" t="str">
        <f t="shared" si="232"/>
        <v>AZ_Maric_2020g</v>
      </c>
      <c r="C620" s="12"/>
      <c r="D620" s="54" t="str">
        <f t="shared" si="233"/>
        <v>Gen-superior court contes, connie coin (vote for1)</v>
      </c>
      <c r="E620" s="54" t="s">
        <v>1981</v>
      </c>
      <c r="F620" s="12" t="s">
        <v>1300</v>
      </c>
      <c r="G620" s="59">
        <v>965397</v>
      </c>
      <c r="H620"/>
      <c r="K620" s="2"/>
      <c r="O620">
        <f t="shared" si="234"/>
        <v>1</v>
      </c>
      <c r="P620" s="57">
        <f t="shared" si="235"/>
        <v>1</v>
      </c>
      <c r="Q620" s="267">
        <f t="shared" si="236"/>
        <v>1266758</v>
      </c>
      <c r="R620" s="23">
        <f t="shared" si="237"/>
        <v>965397</v>
      </c>
      <c r="S620" s="23">
        <f t="shared" si="238"/>
        <v>301361</v>
      </c>
      <c r="T620" s="23">
        <f t="shared" si="239"/>
        <v>664036</v>
      </c>
      <c r="U620" t="str">
        <f t="shared" si="240"/>
        <v>AZ_Maric_2020g~Gen-superior court contes, connie coin (vote for1)</v>
      </c>
      <c r="W620" s="1">
        <f t="shared" si="241"/>
        <v>33</v>
      </c>
      <c r="X620" s="73">
        <f t="shared" si="230"/>
        <v>9.5089080310656779</v>
      </c>
      <c r="Y620" s="322">
        <f t="shared" si="242"/>
        <v>24472.230000000003</v>
      </c>
      <c r="Z620" s="43">
        <f t="shared" si="231"/>
        <v>3.3435614218607921E-48</v>
      </c>
      <c r="AA620" s="52">
        <f t="shared" si="243"/>
        <v>3.3435614218607919E-50</v>
      </c>
      <c r="AB620" s="8">
        <f t="shared" si="244"/>
        <v>523</v>
      </c>
      <c r="AC620" s="8">
        <f t="shared" si="245"/>
        <v>1181464</v>
      </c>
      <c r="AD620" s="8">
        <f t="shared" si="249"/>
        <v>5907.32</v>
      </c>
      <c r="AE620" s="8" t="str">
        <f t="shared" si="246"/>
        <v/>
      </c>
      <c r="AF620" s="22" t="str">
        <f t="shared" si="247"/>
        <v>CO_Denve_2020g</v>
      </c>
      <c r="AG620">
        <v>1</v>
      </c>
      <c r="AH620" s="272">
        <v>354670</v>
      </c>
      <c r="AI620" s="273">
        <v>292961</v>
      </c>
      <c r="AJ620" s="274">
        <v>61709</v>
      </c>
      <c r="AK620" s="339">
        <v>231252</v>
      </c>
      <c r="AL620" s="340" t="s">
        <v>5755</v>
      </c>
      <c r="AM620" s="353">
        <f t="shared" si="248"/>
        <v>0.19573342903380891</v>
      </c>
      <c r="AP620" s="23">
        <f t="shared" si="250"/>
        <v>923</v>
      </c>
      <c r="AQ620" s="392">
        <f t="shared" si="251"/>
        <v>0.99996465030876847</v>
      </c>
      <c r="AR620" s="392">
        <f t="shared" si="252"/>
        <v>1</v>
      </c>
      <c r="AS620" s="392">
        <f t="shared" si="252"/>
        <v>1</v>
      </c>
    </row>
    <row r="621" spans="1:45">
      <c r="A621" s="12" t="s">
        <v>1723</v>
      </c>
      <c r="B621" s="54" t="str">
        <f t="shared" si="232"/>
        <v>AZ_Maric_2020g</v>
      </c>
      <c r="C621" s="12"/>
      <c r="D621" s="54" t="str">
        <f t="shared" si="233"/>
        <v>Gen-superior court contes, connie coin (vote for1)</v>
      </c>
      <c r="E621" s="54" t="s">
        <v>1982</v>
      </c>
      <c r="F621" s="12" t="s">
        <v>1300</v>
      </c>
      <c r="G621" s="59">
        <v>301361</v>
      </c>
      <c r="H621"/>
      <c r="K621" s="2"/>
      <c r="O621">
        <f t="shared" si="234"/>
        <v>2</v>
      </c>
      <c r="P621" s="57">
        <f t="shared" si="235"/>
        <v>1</v>
      </c>
      <c r="Q621" s="267">
        <f t="shared" si="236"/>
        <v>301361</v>
      </c>
      <c r="R621" s="23" t="str">
        <f t="shared" si="237"/>
        <v/>
      </c>
      <c r="S621" s="23">
        <f t="shared" si="238"/>
        <v>301361</v>
      </c>
      <c r="T621" s="23" t="str">
        <f t="shared" si="239"/>
        <v/>
      </c>
      <c r="U621" t="str">
        <f t="shared" si="240"/>
        <v/>
      </c>
      <c r="W621" s="1">
        <f t="shared" si="241"/>
        <v>34</v>
      </c>
      <c r="X621" s="73">
        <f t="shared" si="230"/>
        <v>9.6717687735519213</v>
      </c>
      <c r="Y621" s="322">
        <f t="shared" si="242"/>
        <v>24936.255000000001</v>
      </c>
      <c r="Z621" s="43">
        <f t="shared" si="231"/>
        <v>2.6577181100979515E-48</v>
      </c>
      <c r="AA621" s="52">
        <f t="shared" si="243"/>
        <v>2.6577181100979515E-50</v>
      </c>
      <c r="AB621" s="8">
        <f t="shared" si="244"/>
        <v>523</v>
      </c>
      <c r="AC621" s="8">
        <f t="shared" si="245"/>
        <v>1181464</v>
      </c>
      <c r="AD621" s="8">
        <f t="shared" si="249"/>
        <v>5907.32</v>
      </c>
      <c r="AE621" s="8" t="str">
        <f t="shared" si="246"/>
        <v/>
      </c>
      <c r="AF621" s="22" t="str">
        <f t="shared" si="247"/>
        <v>CO_Denve_2020g</v>
      </c>
      <c r="AG621">
        <v>1</v>
      </c>
      <c r="AH621" s="272">
        <v>361395</v>
      </c>
      <c r="AI621" s="273">
        <v>296532</v>
      </c>
      <c r="AJ621" s="274">
        <v>64863</v>
      </c>
      <c r="AK621" s="339">
        <v>231669</v>
      </c>
      <c r="AL621" s="340" t="s">
        <v>5743</v>
      </c>
      <c r="AM621" s="353">
        <f t="shared" si="248"/>
        <v>0.19608638096463371</v>
      </c>
      <c r="AP621" s="23">
        <f t="shared" si="250"/>
        <v>924</v>
      </c>
      <c r="AQ621" s="392">
        <f t="shared" si="251"/>
        <v>0.99996507586684913</v>
      </c>
      <c r="AR621" s="392">
        <f t="shared" si="252"/>
        <v>1</v>
      </c>
      <c r="AS621" s="392">
        <f t="shared" si="252"/>
        <v>1</v>
      </c>
    </row>
    <row r="622" spans="1:45">
      <c r="A622" s="12" t="s">
        <v>1724</v>
      </c>
      <c r="B622" s="54" t="str">
        <f t="shared" si="232"/>
        <v>AZ_Maric_2020g</v>
      </c>
      <c r="C622" s="12"/>
      <c r="D622" s="54" t="str">
        <f t="shared" si="233"/>
        <v>Gen-superior court coury, christopher a. (vote for1)</v>
      </c>
      <c r="E622" s="54" t="s">
        <v>1981</v>
      </c>
      <c r="F622" s="12" t="s">
        <v>1300</v>
      </c>
      <c r="G622" s="59">
        <v>840792</v>
      </c>
      <c r="H622"/>
      <c r="K622" s="2"/>
      <c r="O622">
        <f t="shared" si="234"/>
        <v>1</v>
      </c>
      <c r="P622" s="57">
        <f t="shared" si="235"/>
        <v>1</v>
      </c>
      <c r="Q622" s="267">
        <f t="shared" si="236"/>
        <v>1290088</v>
      </c>
      <c r="R622" s="23">
        <f t="shared" si="237"/>
        <v>840792</v>
      </c>
      <c r="S622" s="23">
        <f t="shared" si="238"/>
        <v>449296</v>
      </c>
      <c r="T622" s="23">
        <f t="shared" si="239"/>
        <v>391496</v>
      </c>
      <c r="U622" t="str">
        <f t="shared" si="240"/>
        <v>AZ_Maric_2020g~Gen-superior court coury, christopher a. (vote for1)</v>
      </c>
      <c r="W622" s="1">
        <f t="shared" si="241"/>
        <v>35</v>
      </c>
      <c r="X622" s="73">
        <f t="shared" si="230"/>
        <v>9.3812126816491013</v>
      </c>
      <c r="Y622" s="322">
        <f t="shared" si="242"/>
        <v>24951.573</v>
      </c>
      <c r="Z622" s="43">
        <f t="shared" si="231"/>
        <v>4.6422228548904016E-50</v>
      </c>
      <c r="AA622" s="52">
        <f t="shared" si="243"/>
        <v>4.6422228548904019E-52</v>
      </c>
      <c r="AB622" s="8">
        <f t="shared" si="244"/>
        <v>523</v>
      </c>
      <c r="AC622" s="8">
        <f t="shared" si="245"/>
        <v>1181464</v>
      </c>
      <c r="AD622" s="8">
        <f t="shared" si="249"/>
        <v>5907.32</v>
      </c>
      <c r="AE622" s="8" t="str">
        <f t="shared" si="246"/>
        <v/>
      </c>
      <c r="AF622" s="22" t="str">
        <f t="shared" si="247"/>
        <v>CO_Denve_2020g</v>
      </c>
      <c r="AG622">
        <v>1</v>
      </c>
      <c r="AH622" s="272">
        <v>361617</v>
      </c>
      <c r="AI622" s="273">
        <v>300304</v>
      </c>
      <c r="AJ622" s="274">
        <v>61313</v>
      </c>
      <c r="AK622" s="339">
        <v>238991</v>
      </c>
      <c r="AL622" s="340" t="s">
        <v>5741</v>
      </c>
      <c r="AM622" s="353">
        <f t="shared" si="248"/>
        <v>0.20228377673801318</v>
      </c>
      <c r="AP622" s="23">
        <f t="shared" si="250"/>
        <v>955</v>
      </c>
      <c r="AQ622" s="392">
        <f t="shared" si="251"/>
        <v>0.99997603722708961</v>
      </c>
      <c r="AR622" s="392">
        <f t="shared" si="252"/>
        <v>1</v>
      </c>
      <c r="AS622" s="392">
        <f t="shared" si="252"/>
        <v>1</v>
      </c>
    </row>
    <row r="623" spans="1:45">
      <c r="A623" s="12" t="s">
        <v>1724</v>
      </c>
      <c r="B623" s="54" t="str">
        <f t="shared" si="232"/>
        <v>AZ_Maric_2020g</v>
      </c>
      <c r="C623" s="12"/>
      <c r="D623" s="54" t="str">
        <f t="shared" si="233"/>
        <v>Gen-superior court coury, christopher a. (vote for1)</v>
      </c>
      <c r="E623" s="54" t="s">
        <v>1982</v>
      </c>
      <c r="F623" s="12" t="s">
        <v>1300</v>
      </c>
      <c r="G623" s="59">
        <v>449296</v>
      </c>
      <c r="H623"/>
      <c r="K623" s="2"/>
      <c r="O623">
        <f t="shared" si="234"/>
        <v>2</v>
      </c>
      <c r="P623" s="57">
        <f t="shared" si="235"/>
        <v>1</v>
      </c>
      <c r="Q623" s="267">
        <f t="shared" si="236"/>
        <v>449296</v>
      </c>
      <c r="R623" s="23" t="str">
        <f t="shared" si="237"/>
        <v/>
      </c>
      <c r="S623" s="23">
        <f t="shared" si="238"/>
        <v>449296</v>
      </c>
      <c r="T623" s="23" t="str">
        <f t="shared" si="239"/>
        <v/>
      </c>
      <c r="U623" t="str">
        <f t="shared" si="240"/>
        <v/>
      </c>
      <c r="W623" s="1">
        <f t="shared" si="241"/>
        <v>1</v>
      </c>
      <c r="X623" s="73">
        <f t="shared" si="230"/>
        <v>588.92484848484855</v>
      </c>
      <c r="Y623" s="322">
        <f t="shared" si="242"/>
        <v>1802.3950000000002</v>
      </c>
      <c r="Z623" s="43">
        <f t="shared" si="231"/>
        <v>74.118326069071443</v>
      </c>
      <c r="AA623" s="52">
        <f t="shared" si="243"/>
        <v>0.7411832606907145</v>
      </c>
      <c r="AB623" s="8">
        <f t="shared" si="244"/>
        <v>254.99999999999997</v>
      </c>
      <c r="AC623" s="8">
        <f t="shared" si="245"/>
        <v>234271.99999999997</v>
      </c>
      <c r="AD623" s="8">
        <f t="shared" si="249"/>
        <v>1171.3599999999999</v>
      </c>
      <c r="AE623" s="8" t="str">
        <f t="shared" si="246"/>
        <v/>
      </c>
      <c r="AF623" s="22" t="str">
        <f t="shared" si="247"/>
        <v>CO_Dougl_2020g</v>
      </c>
      <c r="AG623">
        <v>3</v>
      </c>
      <c r="AH623" s="272">
        <v>26121.666666666668</v>
      </c>
      <c r="AI623" s="273">
        <v>8590</v>
      </c>
      <c r="AJ623" s="274">
        <v>8315</v>
      </c>
      <c r="AK623" s="339">
        <v>275</v>
      </c>
      <c r="AL623" s="340" t="s">
        <v>5783</v>
      </c>
      <c r="AM623" s="353">
        <f t="shared" si="248"/>
        <v>1.173849200928835E-3</v>
      </c>
      <c r="AP623" s="23">
        <f t="shared" si="250"/>
        <v>0</v>
      </c>
      <c r="AQ623" s="392">
        <f t="shared" si="251"/>
        <v>0</v>
      </c>
      <c r="AR623" s="392">
        <f t="shared" si="252"/>
        <v>0</v>
      </c>
      <c r="AS623" s="392">
        <f t="shared" si="252"/>
        <v>0</v>
      </c>
    </row>
    <row r="624" spans="1:45">
      <c r="A624" s="12" t="s">
        <v>1725</v>
      </c>
      <c r="B624" s="54" t="str">
        <f t="shared" si="232"/>
        <v>AZ_Maric_2020g</v>
      </c>
      <c r="C624" s="12"/>
      <c r="D624" s="54" t="str">
        <f t="shared" si="233"/>
        <v>Gen-superior court driggs, adam (vote for1)</v>
      </c>
      <c r="E624" s="54" t="s">
        <v>1981</v>
      </c>
      <c r="F624" s="12" t="s">
        <v>1300</v>
      </c>
      <c r="G624" s="59">
        <v>793073</v>
      </c>
      <c r="H624"/>
      <c r="K624" s="2"/>
      <c r="O624">
        <f t="shared" si="234"/>
        <v>1</v>
      </c>
      <c r="P624" s="57">
        <f t="shared" si="235"/>
        <v>1</v>
      </c>
      <c r="Q624" s="267">
        <f t="shared" si="236"/>
        <v>1271082</v>
      </c>
      <c r="R624" s="23">
        <f t="shared" si="237"/>
        <v>793073</v>
      </c>
      <c r="S624" s="23">
        <f t="shared" si="238"/>
        <v>478009</v>
      </c>
      <c r="T624" s="23">
        <f t="shared" si="239"/>
        <v>315064</v>
      </c>
      <c r="U624" t="str">
        <f t="shared" si="240"/>
        <v>AZ_Maric_2020g~Gen-superior court driggs, adam (vote for1)</v>
      </c>
      <c r="W624" s="1">
        <f t="shared" si="241"/>
        <v>2</v>
      </c>
      <c r="X624" s="73">
        <f t="shared" si="230"/>
        <v>66.886440677966107</v>
      </c>
      <c r="Y624" s="322">
        <f t="shared" si="242"/>
        <v>351.34800000000001</v>
      </c>
      <c r="Z624" s="43">
        <f t="shared" si="231"/>
        <v>59.793093279665129</v>
      </c>
      <c r="AA624" s="52">
        <f t="shared" si="243"/>
        <v>0.59793093279665133</v>
      </c>
      <c r="AB624" s="8">
        <f t="shared" si="244"/>
        <v>254.99999999999997</v>
      </c>
      <c r="AC624" s="8">
        <f t="shared" si="245"/>
        <v>234271.99999999997</v>
      </c>
      <c r="AD624" s="8">
        <f t="shared" si="249"/>
        <v>1171.3599999999999</v>
      </c>
      <c r="AE624" s="8" t="str">
        <f t="shared" si="246"/>
        <v/>
      </c>
      <c r="AF624" s="22" t="str">
        <f t="shared" si="247"/>
        <v>CO_Dougl_2020g</v>
      </c>
      <c r="AG624">
        <v>1</v>
      </c>
      <c r="AH624" s="272">
        <v>5092</v>
      </c>
      <c r="AI624" s="273">
        <v>2782</v>
      </c>
      <c r="AJ624" s="274">
        <v>2310</v>
      </c>
      <c r="AK624" s="339">
        <v>472</v>
      </c>
      <c r="AL624" s="340" t="s">
        <v>5781</v>
      </c>
      <c r="AM624" s="353">
        <f t="shared" si="248"/>
        <v>2.0147520830487639E-3</v>
      </c>
      <c r="AP624" s="23">
        <f t="shared" si="250"/>
        <v>0</v>
      </c>
      <c r="AQ624" s="392">
        <f t="shared" si="251"/>
        <v>0</v>
      </c>
      <c r="AR624" s="392">
        <f t="shared" si="252"/>
        <v>0</v>
      </c>
      <c r="AS624" s="392">
        <f t="shared" si="252"/>
        <v>0</v>
      </c>
    </row>
    <row r="625" spans="1:45">
      <c r="A625" s="12" t="s">
        <v>1725</v>
      </c>
      <c r="B625" s="54" t="str">
        <f t="shared" si="232"/>
        <v>AZ_Maric_2020g</v>
      </c>
      <c r="C625" s="12"/>
      <c r="D625" s="54" t="str">
        <f t="shared" si="233"/>
        <v>Gen-superior court driggs, adam (vote for1)</v>
      </c>
      <c r="E625" s="54" t="s">
        <v>1982</v>
      </c>
      <c r="F625" s="12" t="s">
        <v>1300</v>
      </c>
      <c r="G625" s="59">
        <v>478009</v>
      </c>
      <c r="H625"/>
      <c r="K625" s="2"/>
      <c r="O625">
        <f t="shared" si="234"/>
        <v>2</v>
      </c>
      <c r="P625" s="57">
        <f t="shared" si="235"/>
        <v>1</v>
      </c>
      <c r="Q625" s="267">
        <f t="shared" si="236"/>
        <v>478009</v>
      </c>
      <c r="R625" s="23" t="str">
        <f t="shared" si="237"/>
        <v/>
      </c>
      <c r="S625" s="23">
        <f t="shared" si="238"/>
        <v>478009</v>
      </c>
      <c r="T625" s="23" t="str">
        <f t="shared" si="239"/>
        <v/>
      </c>
      <c r="U625" t="str">
        <f t="shared" si="240"/>
        <v/>
      </c>
      <c r="W625" s="1">
        <f t="shared" si="241"/>
        <v>3</v>
      </c>
      <c r="X625" s="73">
        <f t="shared" si="230"/>
        <v>261.58379120879124</v>
      </c>
      <c r="Y625" s="322">
        <f t="shared" si="242"/>
        <v>2119.335</v>
      </c>
      <c r="Z625" s="43">
        <f t="shared" si="231"/>
        <v>45.219308756421228</v>
      </c>
      <c r="AA625" s="52">
        <f t="shared" si="243"/>
        <v>0.45219308756421228</v>
      </c>
      <c r="AB625" s="8">
        <f t="shared" si="244"/>
        <v>254.99999999999997</v>
      </c>
      <c r="AC625" s="8">
        <f t="shared" si="245"/>
        <v>234271.99999999997</v>
      </c>
      <c r="AD625" s="8">
        <f t="shared" si="249"/>
        <v>1171.3599999999999</v>
      </c>
      <c r="AE625" s="8" t="str">
        <f t="shared" si="246"/>
        <v/>
      </c>
      <c r="AF625" s="22" t="str">
        <f t="shared" si="247"/>
        <v>CO_Dougl_2020g</v>
      </c>
      <c r="AG625">
        <v>1</v>
      </c>
      <c r="AH625" s="272">
        <v>30715</v>
      </c>
      <c r="AI625" s="273">
        <v>13233</v>
      </c>
      <c r="AJ625" s="274">
        <v>12505</v>
      </c>
      <c r="AK625" s="339">
        <v>728</v>
      </c>
      <c r="AL625" s="340" t="s">
        <v>5784</v>
      </c>
      <c r="AM625" s="353">
        <f t="shared" si="248"/>
        <v>3.1074989755497887E-3</v>
      </c>
      <c r="AP625" s="23">
        <f t="shared" si="250"/>
        <v>0</v>
      </c>
      <c r="AQ625" s="392">
        <f t="shared" si="251"/>
        <v>0</v>
      </c>
      <c r="AR625" s="392">
        <f t="shared" si="252"/>
        <v>0</v>
      </c>
      <c r="AS625" s="392">
        <f t="shared" si="252"/>
        <v>0</v>
      </c>
    </row>
    <row r="626" spans="1:45">
      <c r="A626" s="12" t="s">
        <v>1726</v>
      </c>
      <c r="B626" s="54" t="str">
        <f t="shared" si="232"/>
        <v>AZ_Maric_2020g</v>
      </c>
      <c r="C626" s="12"/>
      <c r="D626" s="54" t="str">
        <f t="shared" si="233"/>
        <v>Gen-superior court fisk, ronda r. (vote for1)</v>
      </c>
      <c r="E626" s="54" t="s">
        <v>1981</v>
      </c>
      <c r="F626" s="12" t="s">
        <v>1300</v>
      </c>
      <c r="G626" s="59">
        <v>941069</v>
      </c>
      <c r="H626"/>
      <c r="K626" s="2"/>
      <c r="O626">
        <f t="shared" si="234"/>
        <v>1</v>
      </c>
      <c r="P626" s="57">
        <f t="shared" si="235"/>
        <v>1</v>
      </c>
      <c r="Q626" s="267">
        <f t="shared" si="236"/>
        <v>1260652</v>
      </c>
      <c r="R626" s="23">
        <f t="shared" si="237"/>
        <v>941069</v>
      </c>
      <c r="S626" s="23">
        <f t="shared" si="238"/>
        <v>319583</v>
      </c>
      <c r="T626" s="23">
        <f t="shared" si="239"/>
        <v>621486</v>
      </c>
      <c r="U626" t="str">
        <f t="shared" si="240"/>
        <v>AZ_Maric_2020g~Gen-superior court fisk, ronda r. (vote for1)</v>
      </c>
      <c r="W626" s="1">
        <f t="shared" si="241"/>
        <v>4</v>
      </c>
      <c r="X626" s="73">
        <f t="shared" si="230"/>
        <v>39.518749999999997</v>
      </c>
      <c r="Y626" s="322">
        <f t="shared" si="242"/>
        <v>436.28700000000003</v>
      </c>
      <c r="Z626" s="43">
        <f t="shared" si="231"/>
        <v>33.889563369634899</v>
      </c>
      <c r="AA626" s="52">
        <f t="shared" si="243"/>
        <v>0.33889563369634901</v>
      </c>
      <c r="AB626" s="8">
        <f t="shared" si="244"/>
        <v>254.99999999999997</v>
      </c>
      <c r="AC626" s="8">
        <f t="shared" si="245"/>
        <v>234271.99999999997</v>
      </c>
      <c r="AD626" s="8">
        <f t="shared" si="249"/>
        <v>1171.3599999999999</v>
      </c>
      <c r="AE626" s="8" t="str">
        <f t="shared" si="246"/>
        <v/>
      </c>
      <c r="AF626" s="22" t="str">
        <f t="shared" si="247"/>
        <v>CO_Dougl_2020g</v>
      </c>
      <c r="AG626">
        <v>1</v>
      </c>
      <c r="AH626" s="272">
        <v>6323</v>
      </c>
      <c r="AI626" s="273">
        <v>2995</v>
      </c>
      <c r="AJ626" s="274">
        <v>2003</v>
      </c>
      <c r="AK626" s="339">
        <v>992</v>
      </c>
      <c r="AL626" s="340" t="s">
        <v>5782</v>
      </c>
      <c r="AM626" s="353">
        <f t="shared" si="248"/>
        <v>4.2343942084414705E-3</v>
      </c>
      <c r="AP626" s="23">
        <f t="shared" si="250"/>
        <v>0</v>
      </c>
      <c r="AQ626" s="392">
        <f t="shared" si="251"/>
        <v>0</v>
      </c>
      <c r="AR626" s="392">
        <f t="shared" si="252"/>
        <v>0</v>
      </c>
      <c r="AS626" s="392">
        <f t="shared" si="252"/>
        <v>0</v>
      </c>
    </row>
    <row r="627" spans="1:45">
      <c r="A627" s="12" t="s">
        <v>1726</v>
      </c>
      <c r="B627" s="54" t="str">
        <f t="shared" si="232"/>
        <v>AZ_Maric_2020g</v>
      </c>
      <c r="C627" s="12"/>
      <c r="D627" s="54" t="str">
        <f t="shared" si="233"/>
        <v>Gen-superior court fisk, ronda r. (vote for1)</v>
      </c>
      <c r="E627" s="54" t="s">
        <v>1982</v>
      </c>
      <c r="F627" s="12" t="s">
        <v>1300</v>
      </c>
      <c r="G627" s="59">
        <v>319583</v>
      </c>
      <c r="H627"/>
      <c r="K627" s="2"/>
      <c r="O627">
        <f t="shared" si="234"/>
        <v>2</v>
      </c>
      <c r="P627" s="57">
        <f t="shared" si="235"/>
        <v>1</v>
      </c>
      <c r="Q627" s="267">
        <f t="shared" si="236"/>
        <v>319583</v>
      </c>
      <c r="R627" s="23" t="str">
        <f t="shared" si="237"/>
        <v/>
      </c>
      <c r="S627" s="23">
        <f t="shared" si="238"/>
        <v>319583</v>
      </c>
      <c r="T627" s="23" t="str">
        <f t="shared" si="239"/>
        <v/>
      </c>
      <c r="U627" t="str">
        <f t="shared" si="240"/>
        <v/>
      </c>
      <c r="W627" s="1">
        <f t="shared" si="241"/>
        <v>5</v>
      </c>
      <c r="X627" s="73">
        <f t="shared" si="230"/>
        <v>36.587862318840585</v>
      </c>
      <c r="Y627" s="322">
        <f t="shared" si="242"/>
        <v>449.53500000000003</v>
      </c>
      <c r="Z627" s="43">
        <f t="shared" si="231"/>
        <v>29.983574630347182</v>
      </c>
      <c r="AA627" s="52">
        <f t="shared" si="243"/>
        <v>0.29983574630347182</v>
      </c>
      <c r="AB627" s="8">
        <f t="shared" si="244"/>
        <v>254.99999999999997</v>
      </c>
      <c r="AC627" s="8">
        <f t="shared" si="245"/>
        <v>234271.99999999997</v>
      </c>
      <c r="AD627" s="8">
        <f t="shared" si="249"/>
        <v>1171.3599999999999</v>
      </c>
      <c r="AE627" s="8" t="str">
        <f t="shared" si="246"/>
        <v/>
      </c>
      <c r="AF627" s="22" t="str">
        <f t="shared" si="247"/>
        <v>CO_Dougl_2020g</v>
      </c>
      <c r="AG627">
        <v>1</v>
      </c>
      <c r="AH627" s="272">
        <v>6515</v>
      </c>
      <c r="AI627" s="273">
        <v>2882</v>
      </c>
      <c r="AJ627" s="274">
        <v>1778</v>
      </c>
      <c r="AK627" s="339">
        <v>1104</v>
      </c>
      <c r="AL627" s="340" t="s">
        <v>5780</v>
      </c>
      <c r="AM627" s="353">
        <f t="shared" si="248"/>
        <v>4.7124709739106681E-3</v>
      </c>
      <c r="AP627" s="23">
        <f t="shared" si="250"/>
        <v>0</v>
      </c>
      <c r="AQ627" s="392">
        <f t="shared" si="251"/>
        <v>0</v>
      </c>
      <c r="AR627" s="392">
        <f t="shared" si="252"/>
        <v>0</v>
      </c>
      <c r="AS627" s="392">
        <f t="shared" si="252"/>
        <v>0</v>
      </c>
    </row>
    <row r="628" spans="1:45">
      <c r="A628" s="12" t="s">
        <v>1727</v>
      </c>
      <c r="B628" s="54" t="str">
        <f t="shared" si="232"/>
        <v>AZ_Maric_2020g</v>
      </c>
      <c r="C628" s="12"/>
      <c r="D628" s="54" t="str">
        <f t="shared" si="233"/>
        <v>Gen-superior court gates, pamela frasher (vote for1)</v>
      </c>
      <c r="E628" s="54" t="s">
        <v>1981</v>
      </c>
      <c r="F628" s="12" t="s">
        <v>1300</v>
      </c>
      <c r="G628" s="59">
        <v>975233</v>
      </c>
      <c r="H628"/>
      <c r="K628" s="2"/>
      <c r="O628">
        <f t="shared" si="234"/>
        <v>1</v>
      </c>
      <c r="P628" s="57">
        <f t="shared" si="235"/>
        <v>1</v>
      </c>
      <c r="Q628" s="267">
        <f t="shared" si="236"/>
        <v>1262549</v>
      </c>
      <c r="R628" s="23">
        <f t="shared" si="237"/>
        <v>975233</v>
      </c>
      <c r="S628" s="23">
        <f t="shared" si="238"/>
        <v>287316</v>
      </c>
      <c r="T628" s="23">
        <f t="shared" si="239"/>
        <v>687917</v>
      </c>
      <c r="U628" t="str">
        <f t="shared" si="240"/>
        <v>AZ_Maric_2020g~Gen-superior court gates, pamela frasher (vote for1)</v>
      </c>
      <c r="W628" s="1">
        <f t="shared" si="241"/>
        <v>6</v>
      </c>
      <c r="X628" s="73">
        <f t="shared" si="230"/>
        <v>40.006861924686199</v>
      </c>
      <c r="Y628" s="322">
        <f t="shared" si="242"/>
        <v>532.05900000000008</v>
      </c>
      <c r="Z628" s="43">
        <f t="shared" si="231"/>
        <v>27.142744597528949</v>
      </c>
      <c r="AA628" s="52">
        <f t="shared" si="243"/>
        <v>0.27142744597528951</v>
      </c>
      <c r="AB628" s="8">
        <f t="shared" si="244"/>
        <v>254.99999999999997</v>
      </c>
      <c r="AC628" s="8">
        <f t="shared" si="245"/>
        <v>234271.99999999997</v>
      </c>
      <c r="AD628" s="8">
        <f t="shared" si="249"/>
        <v>1171.3599999999999</v>
      </c>
      <c r="AE628" s="8" t="str">
        <f t="shared" si="246"/>
        <v/>
      </c>
      <c r="AF628" s="22" t="str">
        <f t="shared" si="247"/>
        <v>CO_Dougl_2020g</v>
      </c>
      <c r="AG628">
        <v>1</v>
      </c>
      <c r="AH628" s="272">
        <v>7711</v>
      </c>
      <c r="AI628" s="273">
        <v>4453</v>
      </c>
      <c r="AJ628" s="274">
        <v>3258</v>
      </c>
      <c r="AK628" s="339">
        <v>1195</v>
      </c>
      <c r="AL628" s="340" t="s">
        <v>5770</v>
      </c>
      <c r="AM628" s="353">
        <f t="shared" si="248"/>
        <v>5.1009083458543924E-3</v>
      </c>
      <c r="AP628" s="23">
        <f t="shared" si="250"/>
        <v>0</v>
      </c>
      <c r="AQ628" s="392">
        <f t="shared" si="251"/>
        <v>0</v>
      </c>
      <c r="AR628" s="392">
        <f t="shared" si="252"/>
        <v>0</v>
      </c>
      <c r="AS628" s="392">
        <f t="shared" si="252"/>
        <v>0</v>
      </c>
    </row>
    <row r="629" spans="1:45">
      <c r="A629" s="12" t="s">
        <v>1727</v>
      </c>
      <c r="B629" s="54" t="str">
        <f t="shared" si="232"/>
        <v>AZ_Maric_2020g</v>
      </c>
      <c r="C629" s="12"/>
      <c r="D629" s="54" t="str">
        <f t="shared" si="233"/>
        <v>Gen-superior court gates, pamela frasher (vote for1)</v>
      </c>
      <c r="E629" s="54" t="s">
        <v>1982</v>
      </c>
      <c r="F629" s="12" t="s">
        <v>1300</v>
      </c>
      <c r="G629" s="59">
        <v>287316</v>
      </c>
      <c r="H629"/>
      <c r="K629" s="2"/>
      <c r="O629">
        <f t="shared" si="234"/>
        <v>2</v>
      </c>
      <c r="P629" s="57">
        <f t="shared" si="235"/>
        <v>1</v>
      </c>
      <c r="Q629" s="267">
        <f t="shared" si="236"/>
        <v>287316</v>
      </c>
      <c r="R629" s="23" t="str">
        <f t="shared" si="237"/>
        <v/>
      </c>
      <c r="S629" s="23">
        <f t="shared" si="238"/>
        <v>287316</v>
      </c>
      <c r="T629" s="23" t="str">
        <f t="shared" si="239"/>
        <v/>
      </c>
      <c r="U629" t="str">
        <f t="shared" si="240"/>
        <v/>
      </c>
      <c r="W629" s="1">
        <f t="shared" si="241"/>
        <v>7</v>
      </c>
      <c r="X629" s="73">
        <f t="shared" si="230"/>
        <v>27.063994169096212</v>
      </c>
      <c r="Y629" s="322">
        <f t="shared" si="242"/>
        <v>413.24100000000004</v>
      </c>
      <c r="Z629" s="43">
        <f t="shared" si="231"/>
        <v>22.362551675309973</v>
      </c>
      <c r="AA629" s="52">
        <f t="shared" si="243"/>
        <v>0.22362551675309975</v>
      </c>
      <c r="AB629" s="8">
        <f t="shared" si="244"/>
        <v>254.99999999999997</v>
      </c>
      <c r="AC629" s="8">
        <f t="shared" si="245"/>
        <v>234271.99999999997</v>
      </c>
      <c r="AD629" s="8">
        <f t="shared" si="249"/>
        <v>1171.3599999999999</v>
      </c>
      <c r="AE629" s="8" t="str">
        <f t="shared" si="246"/>
        <v/>
      </c>
      <c r="AF629" s="22" t="str">
        <f t="shared" si="247"/>
        <v>CO_Dougl_2020g</v>
      </c>
      <c r="AG629">
        <v>1</v>
      </c>
      <c r="AH629" s="272">
        <v>5989</v>
      </c>
      <c r="AI629" s="273">
        <v>3291</v>
      </c>
      <c r="AJ629" s="274">
        <v>1919</v>
      </c>
      <c r="AK629" s="339">
        <v>1372</v>
      </c>
      <c r="AL629" s="340" t="s">
        <v>5779</v>
      </c>
      <c r="AM629" s="353">
        <f t="shared" si="248"/>
        <v>5.8564403769976788E-3</v>
      </c>
      <c r="AP629" s="23">
        <f t="shared" si="250"/>
        <v>0</v>
      </c>
      <c r="AQ629" s="392">
        <f t="shared" si="251"/>
        <v>0</v>
      </c>
      <c r="AR629" s="392">
        <f t="shared" si="252"/>
        <v>0</v>
      </c>
      <c r="AS629" s="392">
        <f t="shared" si="252"/>
        <v>0</v>
      </c>
    </row>
    <row r="630" spans="1:45">
      <c r="A630" s="12" t="s">
        <v>1728</v>
      </c>
      <c r="B630" s="54" t="str">
        <f t="shared" si="232"/>
        <v>AZ_Maric_2020g</v>
      </c>
      <c r="C630" s="12"/>
      <c r="D630" s="54" t="str">
        <f t="shared" si="233"/>
        <v>Gen-superior court gentry, jo lynn (vote for1)</v>
      </c>
      <c r="E630" s="54" t="s">
        <v>1981</v>
      </c>
      <c r="F630" s="12" t="s">
        <v>1300</v>
      </c>
      <c r="G630" s="59">
        <v>690431</v>
      </c>
      <c r="H630"/>
      <c r="K630" s="2"/>
      <c r="O630">
        <f t="shared" si="234"/>
        <v>1</v>
      </c>
      <c r="P630" s="57">
        <f t="shared" si="235"/>
        <v>1</v>
      </c>
      <c r="Q630" s="267">
        <f t="shared" si="236"/>
        <v>1294672</v>
      </c>
      <c r="R630" s="23">
        <f t="shared" si="237"/>
        <v>690431</v>
      </c>
      <c r="S630" s="23">
        <f t="shared" si="238"/>
        <v>604241</v>
      </c>
      <c r="T630" s="23">
        <f t="shared" si="239"/>
        <v>86190</v>
      </c>
      <c r="U630" t="str">
        <f t="shared" si="240"/>
        <v>AZ_Maric_2020g~Gen-superior court gentry, jo lynn (vote for1)</v>
      </c>
      <c r="W630" s="1">
        <f t="shared" si="241"/>
        <v>8</v>
      </c>
      <c r="X630" s="73">
        <f t="shared" si="230"/>
        <v>24.526872246696037</v>
      </c>
      <c r="Y630" s="322">
        <f t="shared" si="242"/>
        <v>495.69600000000003</v>
      </c>
      <c r="Z630" s="43">
        <f t="shared" si="231"/>
        <v>13.746612129228829</v>
      </c>
      <c r="AA630" s="52">
        <f t="shared" si="243"/>
        <v>0.1374661212922883</v>
      </c>
      <c r="AB630" s="8">
        <f t="shared" si="244"/>
        <v>254.99999999999997</v>
      </c>
      <c r="AC630" s="8">
        <f t="shared" si="245"/>
        <v>234271.99999999997</v>
      </c>
      <c r="AD630" s="8">
        <f t="shared" si="249"/>
        <v>1171.3599999999999</v>
      </c>
      <c r="AE630" s="8" t="str">
        <f t="shared" si="246"/>
        <v/>
      </c>
      <c r="AF630" s="22" t="str">
        <f t="shared" si="247"/>
        <v>CO_Dougl_2020g</v>
      </c>
      <c r="AG630">
        <v>1</v>
      </c>
      <c r="AH630" s="272">
        <v>7184</v>
      </c>
      <c r="AI630" s="273">
        <v>4500</v>
      </c>
      <c r="AJ630" s="274">
        <v>2684</v>
      </c>
      <c r="AK630" s="339">
        <v>1816</v>
      </c>
      <c r="AL630" s="340" t="s">
        <v>5773</v>
      </c>
      <c r="AM630" s="353">
        <f t="shared" si="248"/>
        <v>7.7516732686791429E-3</v>
      </c>
      <c r="AP630" s="23">
        <f t="shared" si="250"/>
        <v>0</v>
      </c>
      <c r="AQ630" s="392">
        <f t="shared" si="251"/>
        <v>0</v>
      </c>
      <c r="AR630" s="392">
        <f t="shared" si="252"/>
        <v>0</v>
      </c>
      <c r="AS630" s="392">
        <f t="shared" si="252"/>
        <v>0</v>
      </c>
    </row>
    <row r="631" spans="1:45">
      <c r="A631" s="12" t="s">
        <v>1728</v>
      </c>
      <c r="B631" s="54" t="str">
        <f t="shared" si="232"/>
        <v>AZ_Maric_2020g</v>
      </c>
      <c r="C631" s="12"/>
      <c r="D631" s="54" t="str">
        <f t="shared" si="233"/>
        <v>Gen-superior court gentry, jo lynn (vote for1)</v>
      </c>
      <c r="E631" s="54" t="s">
        <v>1982</v>
      </c>
      <c r="F631" s="12" t="s">
        <v>1300</v>
      </c>
      <c r="G631" s="59">
        <v>604241</v>
      </c>
      <c r="H631"/>
      <c r="K631" s="2"/>
      <c r="O631">
        <f t="shared" si="234"/>
        <v>2</v>
      </c>
      <c r="P631" s="57">
        <f t="shared" si="235"/>
        <v>1</v>
      </c>
      <c r="Q631" s="267">
        <f t="shared" si="236"/>
        <v>604241</v>
      </c>
      <c r="R631" s="23" t="str">
        <f t="shared" si="237"/>
        <v/>
      </c>
      <c r="S631" s="23">
        <f t="shared" si="238"/>
        <v>604241</v>
      </c>
      <c r="T631" s="23" t="str">
        <f t="shared" si="239"/>
        <v/>
      </c>
      <c r="U631" t="str">
        <f t="shared" si="240"/>
        <v/>
      </c>
      <c r="W631" s="1">
        <f t="shared" si="241"/>
        <v>9</v>
      </c>
      <c r="X631" s="73">
        <f t="shared" si="230"/>
        <v>163.49251059821009</v>
      </c>
      <c r="Y631" s="322">
        <f t="shared" si="242"/>
        <v>3862.8270000000002</v>
      </c>
      <c r="Z631" s="43">
        <f t="shared" si="231"/>
        <v>9.8138672532700042</v>
      </c>
      <c r="AA631" s="52">
        <f t="shared" si="243"/>
        <v>9.8138672532700047E-2</v>
      </c>
      <c r="AB631" s="8">
        <f t="shared" si="244"/>
        <v>254.99999999999997</v>
      </c>
      <c r="AC631" s="8">
        <f t="shared" si="245"/>
        <v>234271.99999999997</v>
      </c>
      <c r="AD631" s="8">
        <f t="shared" si="249"/>
        <v>1171.3599999999999</v>
      </c>
      <c r="AE631" s="8" t="str">
        <f t="shared" si="246"/>
        <v/>
      </c>
      <c r="AF631" s="22" t="str">
        <f t="shared" si="247"/>
        <v>CO_Dougl_2020g</v>
      </c>
      <c r="AG631">
        <v>1</v>
      </c>
      <c r="AH631" s="272">
        <v>55983</v>
      </c>
      <c r="AI631" s="273">
        <v>29053</v>
      </c>
      <c r="AJ631" s="274">
        <v>26930</v>
      </c>
      <c r="AK631" s="339">
        <v>2123</v>
      </c>
      <c r="AL631" s="340" t="s">
        <v>5972</v>
      </c>
      <c r="AM631" s="353">
        <f t="shared" si="248"/>
        <v>9.0621158311706071E-3</v>
      </c>
      <c r="AP631" s="23">
        <f t="shared" si="250"/>
        <v>0</v>
      </c>
      <c r="AQ631" s="392">
        <f t="shared" si="251"/>
        <v>0</v>
      </c>
      <c r="AR631" s="392">
        <f t="shared" si="252"/>
        <v>0</v>
      </c>
      <c r="AS631" s="392">
        <f t="shared" si="252"/>
        <v>0</v>
      </c>
    </row>
    <row r="632" spans="1:45">
      <c r="A632" s="12" t="s">
        <v>1729</v>
      </c>
      <c r="B632" s="54" t="str">
        <f t="shared" si="232"/>
        <v>AZ_Maric_2020g</v>
      </c>
      <c r="C632" s="12"/>
      <c r="D632" s="54" t="str">
        <f t="shared" si="233"/>
        <v>Gen-superior court gordon, michael d. (vote for1)</v>
      </c>
      <c r="E632" s="54" t="s">
        <v>1981</v>
      </c>
      <c r="F632" s="12" t="s">
        <v>1300</v>
      </c>
      <c r="G632" s="59">
        <v>928165</v>
      </c>
      <c r="H632"/>
      <c r="K632" s="2"/>
      <c r="O632">
        <f t="shared" si="234"/>
        <v>1</v>
      </c>
      <c r="P632" s="57">
        <f t="shared" si="235"/>
        <v>1</v>
      </c>
      <c r="Q632" s="267">
        <f t="shared" si="236"/>
        <v>1253954</v>
      </c>
      <c r="R632" s="23">
        <f t="shared" si="237"/>
        <v>928165</v>
      </c>
      <c r="S632" s="23">
        <f t="shared" si="238"/>
        <v>325789</v>
      </c>
      <c r="T632" s="23">
        <f t="shared" si="239"/>
        <v>602376</v>
      </c>
      <c r="U632" t="str">
        <f t="shared" si="240"/>
        <v>AZ_Maric_2020g~Gen-superior court gordon, michael d. (vote for1)</v>
      </c>
      <c r="W632" s="1">
        <f t="shared" si="241"/>
        <v>10</v>
      </c>
      <c r="X632" s="73">
        <f t="shared" si="230"/>
        <v>108.25298378751293</v>
      </c>
      <c r="Y632" s="322">
        <f t="shared" si="242"/>
        <v>3492.5730000000003</v>
      </c>
      <c r="Z632" s="43">
        <f t="shared" si="231"/>
        <v>4.1786365412709987</v>
      </c>
      <c r="AA632" s="52">
        <f t="shared" si="243"/>
        <v>4.178636541270999E-2</v>
      </c>
      <c r="AB632" s="8">
        <f t="shared" si="244"/>
        <v>254.99999999999997</v>
      </c>
      <c r="AC632" s="8">
        <f t="shared" si="245"/>
        <v>234271.99999999997</v>
      </c>
      <c r="AD632" s="8">
        <f t="shared" si="249"/>
        <v>1171.3599999999999</v>
      </c>
      <c r="AE632" s="8" t="str">
        <f t="shared" si="246"/>
        <v/>
      </c>
      <c r="AF632" s="22" t="str">
        <f t="shared" si="247"/>
        <v>CO_Dougl_2020g</v>
      </c>
      <c r="AG632">
        <v>1</v>
      </c>
      <c r="AH632" s="272">
        <v>50617</v>
      </c>
      <c r="AI632" s="273">
        <v>26758</v>
      </c>
      <c r="AJ632" s="274">
        <v>23859</v>
      </c>
      <c r="AK632" s="339">
        <v>2899</v>
      </c>
      <c r="AL632" s="340" t="s">
        <v>5775</v>
      </c>
      <c r="AM632" s="353">
        <f t="shared" si="248"/>
        <v>1.2374504849064338E-2</v>
      </c>
      <c r="AP632" s="23">
        <f t="shared" si="250"/>
        <v>3</v>
      </c>
      <c r="AQ632" s="392">
        <f t="shared" si="251"/>
        <v>3.0454742582664451E-2</v>
      </c>
      <c r="AR632" s="392">
        <f t="shared" si="252"/>
        <v>0.14378159906573629</v>
      </c>
      <c r="AS632" s="392">
        <f t="shared" si="252"/>
        <v>0.48963948399407109</v>
      </c>
    </row>
    <row r="633" spans="1:45">
      <c r="A633" s="12" t="s">
        <v>1729</v>
      </c>
      <c r="B633" s="54" t="str">
        <f t="shared" si="232"/>
        <v>AZ_Maric_2020g</v>
      </c>
      <c r="C633" s="12"/>
      <c r="D633" s="54" t="str">
        <f t="shared" si="233"/>
        <v>Gen-superior court gordon, michael d. (vote for1)</v>
      </c>
      <c r="E633" s="54" t="s">
        <v>1982</v>
      </c>
      <c r="F633" s="12" t="s">
        <v>1300</v>
      </c>
      <c r="G633" s="59">
        <v>325789</v>
      </c>
      <c r="H633"/>
      <c r="K633" s="2"/>
      <c r="O633">
        <f t="shared" si="234"/>
        <v>2</v>
      </c>
      <c r="P633" s="57">
        <f t="shared" si="235"/>
        <v>1</v>
      </c>
      <c r="Q633" s="267">
        <f t="shared" si="236"/>
        <v>325789</v>
      </c>
      <c r="R633" s="23" t="str">
        <f t="shared" si="237"/>
        <v/>
      </c>
      <c r="S633" s="23">
        <f t="shared" si="238"/>
        <v>325789</v>
      </c>
      <c r="T633" s="23" t="str">
        <f t="shared" si="239"/>
        <v/>
      </c>
      <c r="U633" t="str">
        <f t="shared" si="240"/>
        <v/>
      </c>
      <c r="W633" s="1">
        <f t="shared" si="241"/>
        <v>11</v>
      </c>
      <c r="X633" s="73">
        <f t="shared" si="230"/>
        <v>45.204285014691479</v>
      </c>
      <c r="Y633" s="322">
        <f t="shared" si="242"/>
        <v>4109.1570000000002</v>
      </c>
      <c r="Z633" s="43">
        <f t="shared" si="231"/>
        <v>1.1746389153566078E-2</v>
      </c>
      <c r="AA633" s="52">
        <f t="shared" si="243"/>
        <v>1.1746389153566078E-4</v>
      </c>
      <c r="AB633" s="8">
        <f t="shared" si="244"/>
        <v>254.99999999999997</v>
      </c>
      <c r="AC633" s="8">
        <f t="shared" si="245"/>
        <v>234271.99999999997</v>
      </c>
      <c r="AD633" s="8">
        <f t="shared" si="249"/>
        <v>1171.3599999999999</v>
      </c>
      <c r="AE633" s="8" t="str">
        <f t="shared" si="246"/>
        <v/>
      </c>
      <c r="AF633" s="22" t="str">
        <f t="shared" si="247"/>
        <v>CO_Dougl_2020g</v>
      </c>
      <c r="AG633">
        <v>1</v>
      </c>
      <c r="AH633" s="272">
        <v>59553</v>
      </c>
      <c r="AI633" s="273">
        <v>32963</v>
      </c>
      <c r="AJ633" s="274">
        <v>24795</v>
      </c>
      <c r="AK633" s="339">
        <v>8168</v>
      </c>
      <c r="AL633" s="340" t="s">
        <v>5776</v>
      </c>
      <c r="AM633" s="353">
        <f t="shared" si="248"/>
        <v>3.4865455538860814E-2</v>
      </c>
      <c r="AP633" s="23">
        <f t="shared" si="250"/>
        <v>25</v>
      </c>
      <c r="AQ633" s="392">
        <f t="shared" si="251"/>
        <v>0.22910517920108908</v>
      </c>
      <c r="AR633" s="392">
        <f t="shared" si="252"/>
        <v>0.72916294662611469</v>
      </c>
      <c r="AS633" s="392">
        <f t="shared" si="252"/>
        <v>0.99653588036172092</v>
      </c>
    </row>
    <row r="634" spans="1:45">
      <c r="A634" s="12" t="s">
        <v>1730</v>
      </c>
      <c r="B634" s="54" t="str">
        <f t="shared" si="232"/>
        <v>AZ_Maric_2020g</v>
      </c>
      <c r="C634" s="12"/>
      <c r="D634" s="54" t="str">
        <f t="shared" si="233"/>
        <v>Gen-superior court hannah, john r. (vote for1)</v>
      </c>
      <c r="E634" s="54" t="s">
        <v>1981</v>
      </c>
      <c r="F634" s="12" t="s">
        <v>1300</v>
      </c>
      <c r="G634" s="59">
        <v>821071</v>
      </c>
      <c r="H634"/>
      <c r="K634" s="2"/>
      <c r="O634">
        <f t="shared" si="234"/>
        <v>1</v>
      </c>
      <c r="P634" s="57">
        <f t="shared" si="235"/>
        <v>1</v>
      </c>
      <c r="Q634" s="267">
        <f t="shared" si="236"/>
        <v>1257245</v>
      </c>
      <c r="R634" s="23">
        <f t="shared" si="237"/>
        <v>821071</v>
      </c>
      <c r="S634" s="23">
        <f t="shared" si="238"/>
        <v>436174</v>
      </c>
      <c r="T634" s="23">
        <f t="shared" si="239"/>
        <v>384897</v>
      </c>
      <c r="U634" t="str">
        <f t="shared" si="240"/>
        <v>AZ_Maric_2020g~Gen-superior court hannah, john r. (vote for1)</v>
      </c>
      <c r="W634" s="1">
        <f t="shared" si="241"/>
        <v>12</v>
      </c>
      <c r="X634" s="73">
        <f t="shared" si="230"/>
        <v>24.646850321395775</v>
      </c>
      <c r="Y634" s="322">
        <f t="shared" si="242"/>
        <v>2987.0790000000002</v>
      </c>
      <c r="Z634" s="43">
        <f t="shared" si="231"/>
        <v>5.352866346409619E-4</v>
      </c>
      <c r="AA634" s="52">
        <f t="shared" si="243"/>
        <v>5.3528663464096189E-6</v>
      </c>
      <c r="AB634" s="8">
        <f t="shared" si="244"/>
        <v>254.99999999999997</v>
      </c>
      <c r="AC634" s="8">
        <f t="shared" si="245"/>
        <v>234271.99999999997</v>
      </c>
      <c r="AD634" s="8">
        <f t="shared" si="249"/>
        <v>1171.3599999999999</v>
      </c>
      <c r="AE634" s="8" t="str">
        <f t="shared" si="246"/>
        <v/>
      </c>
      <c r="AF634" s="22" t="str">
        <f t="shared" si="247"/>
        <v>CO_Dougl_2020g</v>
      </c>
      <c r="AG634">
        <v>1</v>
      </c>
      <c r="AH634" s="272">
        <v>43291</v>
      </c>
      <c r="AI634" s="273">
        <v>26509</v>
      </c>
      <c r="AJ634" s="274">
        <v>15619</v>
      </c>
      <c r="AK634" s="339">
        <v>10890</v>
      </c>
      <c r="AL634" s="340" t="s">
        <v>5774</v>
      </c>
      <c r="AM634" s="353">
        <f t="shared" si="248"/>
        <v>4.6484428356781869E-2</v>
      </c>
      <c r="AP634" s="23">
        <f t="shared" si="250"/>
        <v>36</v>
      </c>
      <c r="AQ634" s="392">
        <f t="shared" si="251"/>
        <v>0.31374423098238291</v>
      </c>
      <c r="AR634" s="392">
        <f t="shared" si="252"/>
        <v>0.84896979755836088</v>
      </c>
      <c r="AS634" s="392">
        <f t="shared" si="252"/>
        <v>0.9997259371208651</v>
      </c>
    </row>
    <row r="635" spans="1:45">
      <c r="A635" s="12" t="s">
        <v>1730</v>
      </c>
      <c r="B635" s="54" t="str">
        <f t="shared" si="232"/>
        <v>AZ_Maric_2020g</v>
      </c>
      <c r="C635" s="12"/>
      <c r="D635" s="54" t="str">
        <f t="shared" si="233"/>
        <v>Gen-superior court hannah, john r. (vote for1)</v>
      </c>
      <c r="E635" s="54" t="s">
        <v>1982</v>
      </c>
      <c r="F635" s="12" t="s">
        <v>1300</v>
      </c>
      <c r="G635" s="59">
        <v>436174</v>
      </c>
      <c r="H635"/>
      <c r="K635" s="2"/>
      <c r="O635">
        <f t="shared" si="234"/>
        <v>2</v>
      </c>
      <c r="P635" s="57">
        <f t="shared" si="235"/>
        <v>1</v>
      </c>
      <c r="Q635" s="267">
        <f t="shared" si="236"/>
        <v>436174</v>
      </c>
      <c r="R635" s="23" t="str">
        <f t="shared" si="237"/>
        <v/>
      </c>
      <c r="S635" s="23">
        <f t="shared" si="238"/>
        <v>436174</v>
      </c>
      <c r="T635" s="23" t="str">
        <f t="shared" si="239"/>
        <v/>
      </c>
      <c r="U635" t="str">
        <f t="shared" si="240"/>
        <v/>
      </c>
      <c r="W635" s="1">
        <f t="shared" si="241"/>
        <v>13</v>
      </c>
      <c r="X635" s="73">
        <f t="shared" si="230"/>
        <v>26.623249568386726</v>
      </c>
      <c r="Y635" s="322">
        <f t="shared" si="242"/>
        <v>4633.6950000000006</v>
      </c>
      <c r="Z635" s="43">
        <f t="shared" si="231"/>
        <v>2.2325894218634985E-6</v>
      </c>
      <c r="AA635" s="52">
        <f t="shared" si="243"/>
        <v>2.2325894218634983E-8</v>
      </c>
      <c r="AB635" s="8">
        <f t="shared" si="244"/>
        <v>254.99999999999997</v>
      </c>
      <c r="AC635" s="8">
        <f t="shared" si="245"/>
        <v>234271.99999999997</v>
      </c>
      <c r="AD635" s="8">
        <f t="shared" si="249"/>
        <v>1171.3599999999999</v>
      </c>
      <c r="AE635" s="8" t="str">
        <f t="shared" si="246"/>
        <v/>
      </c>
      <c r="AF635" s="22" t="str">
        <f t="shared" si="247"/>
        <v>CO_Dougl_2020g</v>
      </c>
      <c r="AG635">
        <v>1</v>
      </c>
      <c r="AH635" s="272">
        <v>67155</v>
      </c>
      <c r="AI635" s="273">
        <v>40418</v>
      </c>
      <c r="AJ635" s="274">
        <v>24779</v>
      </c>
      <c r="AK635" s="339">
        <v>15639</v>
      </c>
      <c r="AL635" s="340" t="s">
        <v>5777</v>
      </c>
      <c r="AM635" s="353">
        <f t="shared" si="248"/>
        <v>6.6755736921185638E-2</v>
      </c>
      <c r="AP635" s="23">
        <f t="shared" si="250"/>
        <v>56</v>
      </c>
      <c r="AQ635" s="392">
        <f t="shared" si="251"/>
        <v>0.4461680850099885</v>
      </c>
      <c r="AR635" s="392">
        <f t="shared" si="252"/>
        <v>0.9485532373627783</v>
      </c>
      <c r="AS635" s="392">
        <f t="shared" si="252"/>
        <v>0.99999746749333807</v>
      </c>
    </row>
    <row r="636" spans="1:45">
      <c r="A636" s="12" t="s">
        <v>1731</v>
      </c>
      <c r="B636" s="54" t="str">
        <f t="shared" si="232"/>
        <v>AZ_Maric_2020g</v>
      </c>
      <c r="C636" s="12"/>
      <c r="D636" s="54" t="str">
        <f t="shared" si="233"/>
        <v>Gen-superior court kemp, michael (vote for1)</v>
      </c>
      <c r="E636" s="54" t="s">
        <v>1981</v>
      </c>
      <c r="F636" s="12" t="s">
        <v>1300</v>
      </c>
      <c r="G636" s="59">
        <v>943688</v>
      </c>
      <c r="H636"/>
      <c r="K636" s="2"/>
      <c r="O636">
        <f t="shared" si="234"/>
        <v>1</v>
      </c>
      <c r="P636" s="57">
        <f t="shared" si="235"/>
        <v>1</v>
      </c>
      <c r="Q636" s="267">
        <f t="shared" si="236"/>
        <v>1252437</v>
      </c>
      <c r="R636" s="23">
        <f t="shared" si="237"/>
        <v>943688</v>
      </c>
      <c r="S636" s="23">
        <f t="shared" si="238"/>
        <v>308749</v>
      </c>
      <c r="T636" s="23">
        <f t="shared" si="239"/>
        <v>634939</v>
      </c>
      <c r="U636" t="str">
        <f t="shared" si="240"/>
        <v>AZ_Maric_2020g~Gen-superior court kemp, michael (vote for1)</v>
      </c>
      <c r="W636" s="1">
        <f t="shared" si="241"/>
        <v>14</v>
      </c>
      <c r="X636" s="73">
        <f t="shared" si="230"/>
        <v>46.55873817896282</v>
      </c>
      <c r="Y636" s="322">
        <f t="shared" si="242"/>
        <v>15177.240000000002</v>
      </c>
      <c r="Z636" s="43">
        <f t="shared" si="231"/>
        <v>1.6153688168607749E-13</v>
      </c>
      <c r="AA636" s="52">
        <f t="shared" si="243"/>
        <v>1.6153688168607748E-15</v>
      </c>
      <c r="AB636" s="8">
        <f t="shared" si="244"/>
        <v>254.99999999999997</v>
      </c>
      <c r="AC636" s="8">
        <f t="shared" si="245"/>
        <v>234271.99999999997</v>
      </c>
      <c r="AD636" s="8">
        <f t="shared" si="249"/>
        <v>1171.3599999999999</v>
      </c>
      <c r="AE636" s="8" t="str">
        <f t="shared" si="246"/>
        <v/>
      </c>
      <c r="AF636" s="22" t="str">
        <f t="shared" si="247"/>
        <v>CO_Dougl_2020g</v>
      </c>
      <c r="AG636">
        <v>1</v>
      </c>
      <c r="AH636" s="272">
        <v>219960</v>
      </c>
      <c r="AI636" s="273">
        <v>120650</v>
      </c>
      <c r="AJ636" s="274">
        <v>91359</v>
      </c>
      <c r="AK636" s="339">
        <v>29291</v>
      </c>
      <c r="AL636" s="340" t="s">
        <v>5771</v>
      </c>
      <c r="AM636" s="353">
        <f t="shared" si="248"/>
        <v>0.12502987979784183</v>
      </c>
      <c r="AP636" s="23">
        <f t="shared" si="250"/>
        <v>114</v>
      </c>
      <c r="AQ636" s="392">
        <f t="shared" si="251"/>
        <v>0.70922386170930218</v>
      </c>
      <c r="AR636" s="392">
        <f t="shared" si="252"/>
        <v>0.99798336894065087</v>
      </c>
      <c r="AS636" s="392">
        <f t="shared" si="252"/>
        <v>0.99999999999816913</v>
      </c>
    </row>
    <row r="637" spans="1:45">
      <c r="A637" s="12" t="s">
        <v>1731</v>
      </c>
      <c r="B637" s="54" t="str">
        <f t="shared" si="232"/>
        <v>AZ_Maric_2020g</v>
      </c>
      <c r="C637" s="12"/>
      <c r="D637" s="54" t="str">
        <f t="shared" si="233"/>
        <v>Gen-superior court kemp, michael (vote for1)</v>
      </c>
      <c r="E637" s="54" t="s">
        <v>1982</v>
      </c>
      <c r="F637" s="12" t="s">
        <v>1300</v>
      </c>
      <c r="G637" s="59">
        <v>308749</v>
      </c>
      <c r="H637"/>
      <c r="K637" s="2"/>
      <c r="O637">
        <f t="shared" si="234"/>
        <v>2</v>
      </c>
      <c r="P637" s="57">
        <f t="shared" si="235"/>
        <v>1</v>
      </c>
      <c r="Q637" s="267">
        <f t="shared" si="236"/>
        <v>308749</v>
      </c>
      <c r="R637" s="23" t="str">
        <f t="shared" si="237"/>
        <v/>
      </c>
      <c r="S637" s="23">
        <f t="shared" si="238"/>
        <v>308749</v>
      </c>
      <c r="T637" s="23" t="str">
        <f t="shared" si="239"/>
        <v/>
      </c>
      <c r="U637" t="str">
        <f t="shared" si="240"/>
        <v/>
      </c>
      <c r="W637" s="1">
        <f t="shared" si="241"/>
        <v>15</v>
      </c>
      <c r="X637" s="73">
        <f t="shared" si="230"/>
        <v>22.754571906147465</v>
      </c>
      <c r="Y637" s="322">
        <f t="shared" si="242"/>
        <v>8181.054000000001</v>
      </c>
      <c r="Z637" s="43">
        <f t="shared" si="231"/>
        <v>3.6919784519106037E-15</v>
      </c>
      <c r="AA637" s="52">
        <f t="shared" si="243"/>
        <v>3.6919784519106034E-17</v>
      </c>
      <c r="AB637" s="8">
        <f t="shared" si="244"/>
        <v>254.99999999999997</v>
      </c>
      <c r="AC637" s="8">
        <f t="shared" si="245"/>
        <v>234271.99999999997</v>
      </c>
      <c r="AD637" s="8">
        <f t="shared" si="249"/>
        <v>1171.3599999999999</v>
      </c>
      <c r="AE637" s="8" t="str">
        <f t="shared" si="246"/>
        <v/>
      </c>
      <c r="AF637" s="22" t="str">
        <f t="shared" si="247"/>
        <v>CO_Dougl_2020g</v>
      </c>
      <c r="AG637">
        <v>1</v>
      </c>
      <c r="AH637" s="272">
        <v>118566</v>
      </c>
      <c r="AI637" s="273">
        <v>73832</v>
      </c>
      <c r="AJ637" s="274">
        <v>41526</v>
      </c>
      <c r="AK637" s="339">
        <v>32306</v>
      </c>
      <c r="AL637" s="340" t="s">
        <v>5778</v>
      </c>
      <c r="AM637" s="353">
        <f t="shared" si="248"/>
        <v>0.1378995355825707</v>
      </c>
      <c r="AP637" s="23">
        <f t="shared" si="250"/>
        <v>126</v>
      </c>
      <c r="AQ637" s="392">
        <f t="shared" si="251"/>
        <v>0.74663844719415817</v>
      </c>
      <c r="AR637" s="392">
        <f t="shared" si="252"/>
        <v>0.99899149542122756</v>
      </c>
      <c r="AS637" s="392">
        <f t="shared" si="252"/>
        <v>0.99999999999991207</v>
      </c>
    </row>
    <row r="638" spans="1:45">
      <c r="A638" s="12" t="s">
        <v>1732</v>
      </c>
      <c r="B638" s="54" t="str">
        <f t="shared" si="232"/>
        <v>AZ_Maric_2020g</v>
      </c>
      <c r="C638" s="12"/>
      <c r="D638" s="54" t="str">
        <f t="shared" si="233"/>
        <v>Gen-superior court kiley, daniel j. (vote for1)</v>
      </c>
      <c r="E638" s="54" t="s">
        <v>1981</v>
      </c>
      <c r="F638" s="12" t="s">
        <v>1300</v>
      </c>
      <c r="G638" s="59">
        <v>951194</v>
      </c>
      <c r="H638"/>
      <c r="K638" s="2"/>
      <c r="O638">
        <f t="shared" si="234"/>
        <v>1</v>
      </c>
      <c r="P638" s="57">
        <f t="shared" si="235"/>
        <v>1</v>
      </c>
      <c r="Q638" s="267">
        <f t="shared" si="236"/>
        <v>1247934</v>
      </c>
      <c r="R638" s="23">
        <f t="shared" si="237"/>
        <v>951194</v>
      </c>
      <c r="S638" s="23">
        <f t="shared" si="238"/>
        <v>296740</v>
      </c>
      <c r="T638" s="23">
        <f t="shared" si="239"/>
        <v>654454</v>
      </c>
      <c r="U638" t="str">
        <f t="shared" si="240"/>
        <v>AZ_Maric_2020g~Gen-superior court kiley, daniel j. (vote for1)</v>
      </c>
      <c r="W638" s="1">
        <f t="shared" si="241"/>
        <v>16</v>
      </c>
      <c r="X638" s="73">
        <f t="shared" si="230"/>
        <v>35.366105775521419</v>
      </c>
      <c r="Y638" s="322">
        <f t="shared" si="242"/>
        <v>15040.275000000001</v>
      </c>
      <c r="Z638" s="43">
        <f t="shared" si="231"/>
        <v>1.9051601694376488E-18</v>
      </c>
      <c r="AA638" s="52">
        <f t="shared" si="243"/>
        <v>1.9051601694376489E-20</v>
      </c>
      <c r="AB638" s="8">
        <f t="shared" si="244"/>
        <v>254.99999999999997</v>
      </c>
      <c r="AC638" s="8">
        <f t="shared" si="245"/>
        <v>234271.99999999997</v>
      </c>
      <c r="AD638" s="8">
        <f t="shared" si="249"/>
        <v>1171.3599999999999</v>
      </c>
      <c r="AE638" s="8" t="str">
        <f t="shared" si="246"/>
        <v/>
      </c>
      <c r="AF638" s="22" t="str">
        <f t="shared" si="247"/>
        <v>CO_Dougl_2020g</v>
      </c>
      <c r="AG638">
        <v>1</v>
      </c>
      <c r="AH638" s="272">
        <v>217975</v>
      </c>
      <c r="AI638" s="273">
        <v>128094</v>
      </c>
      <c r="AJ638" s="274">
        <v>89881</v>
      </c>
      <c r="AK638" s="339">
        <v>38213</v>
      </c>
      <c r="AL638" s="340" t="s">
        <v>5772</v>
      </c>
      <c r="AM638" s="353">
        <f t="shared" si="248"/>
        <v>0.16311381641852207</v>
      </c>
      <c r="AP638" s="23">
        <f t="shared" si="250"/>
        <v>151</v>
      </c>
      <c r="AQ638" s="392">
        <f t="shared" si="251"/>
        <v>0.81082228708509785</v>
      </c>
      <c r="AR638" s="392">
        <f t="shared" si="252"/>
        <v>0.99976820143922984</v>
      </c>
      <c r="AS638" s="392">
        <f t="shared" si="252"/>
        <v>0.99999999999999989</v>
      </c>
    </row>
    <row r="639" spans="1:45">
      <c r="A639" s="12" t="s">
        <v>1732</v>
      </c>
      <c r="B639" s="54" t="str">
        <f t="shared" si="232"/>
        <v>AZ_Maric_2020g</v>
      </c>
      <c r="C639" s="12"/>
      <c r="D639" s="54" t="str">
        <f t="shared" si="233"/>
        <v>Gen-superior court kiley, daniel j. (vote for1)</v>
      </c>
      <c r="E639" s="54" t="s">
        <v>1982</v>
      </c>
      <c r="F639" s="12" t="s">
        <v>1300</v>
      </c>
      <c r="G639" s="59">
        <v>296740</v>
      </c>
      <c r="H639"/>
      <c r="K639" s="2"/>
      <c r="O639">
        <f t="shared" si="234"/>
        <v>2</v>
      </c>
      <c r="P639" s="57">
        <f t="shared" si="235"/>
        <v>1</v>
      </c>
      <c r="Q639" s="267">
        <f t="shared" si="236"/>
        <v>296740</v>
      </c>
      <c r="R639" s="23" t="str">
        <f t="shared" si="237"/>
        <v/>
      </c>
      <c r="S639" s="23">
        <f t="shared" si="238"/>
        <v>296740</v>
      </c>
      <c r="T639" s="23" t="str">
        <f t="shared" si="239"/>
        <v/>
      </c>
      <c r="U639" t="str">
        <f t="shared" si="240"/>
        <v/>
      </c>
      <c r="W639" s="1">
        <f t="shared" si="241"/>
        <v>1</v>
      </c>
      <c r="X639" s="73">
        <f t="shared" ref="X639:X702" si="253">IF(AK639=0,AH639,MIN(AH639,6.2/(AK639/AH639)))</f>
        <v>10.576470588235296</v>
      </c>
      <c r="Y639" s="322">
        <f t="shared" si="242"/>
        <v>10.576470588235296</v>
      </c>
      <c r="Z639" s="43">
        <f t="shared" ref="Z639:Z702" si="254">AA639*100</f>
        <v>94.828445035485629</v>
      </c>
      <c r="AA639" s="52">
        <f t="shared" si="243"/>
        <v>0.94828445035485631</v>
      </c>
      <c r="AB639" s="8">
        <f t="shared" si="244"/>
        <v>1195</v>
      </c>
      <c r="AC639" s="8">
        <f t="shared" si="245"/>
        <v>382583.00000000006</v>
      </c>
      <c r="AD639" s="8">
        <f t="shared" si="249"/>
        <v>1912.9150000000002</v>
      </c>
      <c r="AE639" s="8" t="str">
        <f t="shared" si="246"/>
        <v/>
      </c>
      <c r="AF639" s="22" t="str">
        <f t="shared" si="247"/>
        <v>CO_El Pa_2020g</v>
      </c>
      <c r="AG639">
        <v>1</v>
      </c>
      <c r="AH639" s="272">
        <v>29</v>
      </c>
      <c r="AI639" s="273">
        <v>23</v>
      </c>
      <c r="AJ639" s="274">
        <v>6</v>
      </c>
      <c r="AK639" s="339">
        <v>17</v>
      </c>
      <c r="AL639" s="340" t="s">
        <v>5804</v>
      </c>
      <c r="AM639" s="353">
        <f t="shared" si="248"/>
        <v>4.4434802382750928E-5</v>
      </c>
      <c r="AP639" s="23">
        <f t="shared" si="250"/>
        <v>0</v>
      </c>
      <c r="AQ639" s="392">
        <f t="shared" si="251"/>
        <v>0</v>
      </c>
      <c r="AR639" s="392">
        <f t="shared" si="252"/>
        <v>0</v>
      </c>
      <c r="AS639" s="392">
        <f t="shared" si="252"/>
        <v>0</v>
      </c>
    </row>
    <row r="640" spans="1:45">
      <c r="A640" s="12" t="s">
        <v>1733</v>
      </c>
      <c r="B640" s="54" t="str">
        <f t="shared" si="232"/>
        <v>AZ_Maric_2020g</v>
      </c>
      <c r="C640" s="12"/>
      <c r="D640" s="54" t="str">
        <f t="shared" si="233"/>
        <v>Gen-superior court labianca, margaret b. (vote for1)</v>
      </c>
      <c r="E640" s="54" t="s">
        <v>1981</v>
      </c>
      <c r="F640" s="12" t="s">
        <v>1300</v>
      </c>
      <c r="G640" s="59">
        <v>983932</v>
      </c>
      <c r="H640"/>
      <c r="K640" s="2"/>
      <c r="O640">
        <f t="shared" si="234"/>
        <v>1</v>
      </c>
      <c r="P640" s="57">
        <f t="shared" si="235"/>
        <v>1</v>
      </c>
      <c r="Q640" s="267">
        <f t="shared" si="236"/>
        <v>1257561</v>
      </c>
      <c r="R640" s="23">
        <f t="shared" si="237"/>
        <v>983932</v>
      </c>
      <c r="S640" s="23">
        <f t="shared" si="238"/>
        <v>273629</v>
      </c>
      <c r="T640" s="23">
        <f t="shared" si="239"/>
        <v>710303</v>
      </c>
      <c r="U640" t="str">
        <f t="shared" si="240"/>
        <v>AZ_Maric_2020g~Gen-superior court labianca, margaret b. (vote for1)</v>
      </c>
      <c r="W640" s="1">
        <f t="shared" si="241"/>
        <v>2</v>
      </c>
      <c r="X640" s="73">
        <f t="shared" si="253"/>
        <v>1501.7052631578947</v>
      </c>
      <c r="Y640" s="322">
        <f t="shared" si="242"/>
        <v>1501.7052631578947</v>
      </c>
      <c r="Z640" s="43">
        <f t="shared" si="254"/>
        <v>94.237869548681402</v>
      </c>
      <c r="AA640" s="52">
        <f t="shared" si="243"/>
        <v>0.94237869548681397</v>
      </c>
      <c r="AB640" s="8">
        <f t="shared" si="244"/>
        <v>1195</v>
      </c>
      <c r="AC640" s="8">
        <f t="shared" si="245"/>
        <v>382583.00000000006</v>
      </c>
      <c r="AD640" s="8">
        <f t="shared" si="249"/>
        <v>1912.9150000000002</v>
      </c>
      <c r="AE640" s="8" t="str">
        <f t="shared" si="246"/>
        <v/>
      </c>
      <c r="AF640" s="22" t="str">
        <f t="shared" si="247"/>
        <v>CO_El Pa_2020g</v>
      </c>
      <c r="AG640">
        <v>1</v>
      </c>
      <c r="AH640" s="272">
        <v>4602</v>
      </c>
      <c r="AI640" s="273">
        <v>846</v>
      </c>
      <c r="AJ640" s="274">
        <v>827</v>
      </c>
      <c r="AK640" s="339">
        <v>19</v>
      </c>
      <c r="AL640" s="340" t="s">
        <v>5819</v>
      </c>
      <c r="AM640" s="353">
        <f t="shared" si="248"/>
        <v>4.9662426192486332E-5</v>
      </c>
      <c r="AP640" s="23">
        <f t="shared" si="250"/>
        <v>0</v>
      </c>
      <c r="AQ640" s="392">
        <f t="shared" si="251"/>
        <v>0</v>
      </c>
      <c r="AR640" s="392">
        <f t="shared" si="252"/>
        <v>0</v>
      </c>
      <c r="AS640" s="392">
        <f t="shared" si="252"/>
        <v>0</v>
      </c>
    </row>
    <row r="641" spans="1:45">
      <c r="A641" s="12" t="s">
        <v>1733</v>
      </c>
      <c r="B641" s="54" t="str">
        <f t="shared" si="232"/>
        <v>AZ_Maric_2020g</v>
      </c>
      <c r="C641" s="12"/>
      <c r="D641" s="54" t="str">
        <f t="shared" si="233"/>
        <v>Gen-superior court labianca, margaret b. (vote for1)</v>
      </c>
      <c r="E641" s="54" t="s">
        <v>1982</v>
      </c>
      <c r="F641" s="12" t="s">
        <v>1300</v>
      </c>
      <c r="G641" s="59">
        <v>273629</v>
      </c>
      <c r="H641"/>
      <c r="K641" s="2"/>
      <c r="O641">
        <f t="shared" si="234"/>
        <v>2</v>
      </c>
      <c r="P641" s="57">
        <f t="shared" si="235"/>
        <v>1</v>
      </c>
      <c r="Q641" s="267">
        <f t="shared" si="236"/>
        <v>273629</v>
      </c>
      <c r="R641" s="23" t="str">
        <f t="shared" si="237"/>
        <v/>
      </c>
      <c r="S641" s="23">
        <f t="shared" si="238"/>
        <v>273629</v>
      </c>
      <c r="T641" s="23" t="str">
        <f t="shared" si="239"/>
        <v/>
      </c>
      <c r="U641" t="str">
        <f t="shared" si="240"/>
        <v/>
      </c>
      <c r="W641" s="1">
        <f t="shared" si="241"/>
        <v>3</v>
      </c>
      <c r="X641" s="73">
        <f t="shared" si="253"/>
        <v>38.640845070422536</v>
      </c>
      <c r="Y641" s="322">
        <f t="shared" si="242"/>
        <v>122.13000000000001</v>
      </c>
      <c r="Z641" s="43">
        <f t="shared" si="254"/>
        <v>41.172283138294404</v>
      </c>
      <c r="AA641" s="52">
        <f t="shared" si="243"/>
        <v>0.41172283138294402</v>
      </c>
      <c r="AB641" s="8">
        <f t="shared" si="244"/>
        <v>1195</v>
      </c>
      <c r="AC641" s="8">
        <f t="shared" si="245"/>
        <v>382583.00000000006</v>
      </c>
      <c r="AD641" s="8">
        <f t="shared" si="249"/>
        <v>1912.9150000000002</v>
      </c>
      <c r="AE641" s="8" t="str">
        <f t="shared" si="246"/>
        <v/>
      </c>
      <c r="AF641" s="22" t="str">
        <f t="shared" si="247"/>
        <v>CO_El Pa_2020g</v>
      </c>
      <c r="AG641">
        <v>1</v>
      </c>
      <c r="AH641" s="272">
        <v>1770</v>
      </c>
      <c r="AI641" s="273">
        <v>1027</v>
      </c>
      <c r="AJ641" s="274">
        <v>743</v>
      </c>
      <c r="AK641" s="339">
        <v>284</v>
      </c>
      <c r="AL641" s="340" t="s">
        <v>5817</v>
      </c>
      <c r="AM641" s="353">
        <f t="shared" si="248"/>
        <v>7.4232258098242722E-4</v>
      </c>
      <c r="AP641" s="23">
        <f t="shared" si="250"/>
        <v>0</v>
      </c>
      <c r="AQ641" s="392">
        <f t="shared" si="251"/>
        <v>0</v>
      </c>
      <c r="AR641" s="392">
        <f t="shared" si="252"/>
        <v>0</v>
      </c>
      <c r="AS641" s="392">
        <f t="shared" si="252"/>
        <v>0</v>
      </c>
    </row>
    <row r="642" spans="1:45">
      <c r="A642" s="12" t="s">
        <v>1734</v>
      </c>
      <c r="B642" s="54" t="str">
        <f t="shared" ref="B642:B705" si="255">LEFT(A642,14)</f>
        <v>AZ_Maric_2020g</v>
      </c>
      <c r="C642" s="12"/>
      <c r="D642" s="54" t="str">
        <f t="shared" ref="D642:D705" si="256">MID(A642,16,99)</f>
        <v>Gen-superior court lang, todd f. (vote for1)</v>
      </c>
      <c r="E642" s="54" t="s">
        <v>1981</v>
      </c>
      <c r="F642" s="12" t="s">
        <v>1300</v>
      </c>
      <c r="G642" s="59">
        <v>924088</v>
      </c>
      <c r="H642"/>
      <c r="K642" s="2"/>
      <c r="O642">
        <f t="shared" ref="O642:O705" si="257">IF(OR(LOWER(LEFT(E642,8))="write-in",LOWER(LEFT(E642,8))="not qual"),IF(A642=A641,-ABS(O641),0),IF(A642=A641,ABS(O641)+1,1))</f>
        <v>1</v>
      </c>
      <c r="P642" s="57">
        <f t="shared" ref="P642:P705" si="258">1*LEFT(RIGHT(A642,2),1)</f>
        <v>1</v>
      </c>
      <c r="Q642" s="267">
        <f t="shared" ref="Q642:Q705" si="259">IF(A642&lt;&gt;A643,G642,IF(A642=A641,G642+Q643,MAX(G642,(G642+Q643)/P642)))</f>
        <v>1248248</v>
      </c>
      <c r="R642" s="23">
        <f t="shared" ref="R642:R705" si="260">IF(O642&gt;P642,"",IF(O642=P642,G642,IF(A642=A643,R643,IF(O642&lt;=0,1,G642))))</f>
        <v>924088</v>
      </c>
      <c r="S642" s="23">
        <f t="shared" ref="S642:S705" si="261">IF(AND(O642&gt;P642,LOWER(LEFT(E642,8))&lt;&gt;"write-in",LOWER(LEFT(E642,8))&lt;&gt;"not qual"),G642,IF(A642=A643,S643,0))</f>
        <v>324160</v>
      </c>
      <c r="T642" s="23">
        <f t="shared" ref="T642:T705" si="262">IF(OR(A642=A641,S642=0),"",R642-ABS(S642))</f>
        <v>599928</v>
      </c>
      <c r="U642" t="str">
        <f t="shared" ref="U642:U705" si="263">IF(A642=A641,"",A642)</f>
        <v>AZ_Maric_2020g~Gen-superior court lang, todd f. (vote for1)</v>
      </c>
      <c r="W642" s="1">
        <f t="shared" ref="W642:W705" si="264">IF(AF642=AF641,W641+1,1)</f>
        <v>4</v>
      </c>
      <c r="X642" s="73">
        <f t="shared" si="253"/>
        <v>25.658942065491186</v>
      </c>
      <c r="Y642" s="322">
        <f t="shared" ref="Y642:Y705" si="265">MAX(X642,0.069*AH642)</f>
        <v>113.367</v>
      </c>
      <c r="Z642" s="43">
        <f t="shared" si="254"/>
        <v>28.918883373372505</v>
      </c>
      <c r="AA642" s="52">
        <f t="shared" ref="AA642:AA705" si="266">(1-AK642/AC642)^AB642</f>
        <v>0.28918883373372506</v>
      </c>
      <c r="AB642" s="8">
        <f t="shared" ref="AB642:AB705" si="267">INDEX(BA$2:BA$76,MATCH($AF642,$AU$2:$AU$76,0))+IF(AE642="",0,INDEX(BA$2:BA$76,AE642))</f>
        <v>1195</v>
      </c>
      <c r="AC642" s="8">
        <f t="shared" ref="AC642:AC705" si="268">INDEX(AX$2:AX$76,MATCH(AF642,AU$2:AU$76,0))+IF(AE642="",0,INDEX(AX$2:AX$76,AE642))</f>
        <v>382583.00000000006</v>
      </c>
      <c r="AD642" s="8">
        <f t="shared" si="249"/>
        <v>1912.9150000000002</v>
      </c>
      <c r="AE642" s="8" t="str">
        <f t="shared" ref="AE642:AE705" si="269">IF(MID(AL642,16,2)&lt;&gt;"w/","",MATCH(CONCATENATE("CO_",MID(AL642,18,5),"_2020g"),AU$2:AU$76,0))</f>
        <v/>
      </c>
      <c r="AF642" s="22" t="str">
        <f t="shared" ref="AF642:AF705" si="270">LEFT(AL642,14)</f>
        <v>CO_El Pa_2020g</v>
      </c>
      <c r="AG642">
        <v>1</v>
      </c>
      <c r="AH642" s="272">
        <v>1643</v>
      </c>
      <c r="AI642" s="273">
        <v>1020</v>
      </c>
      <c r="AJ642" s="274">
        <v>623</v>
      </c>
      <c r="AK642" s="339">
        <v>397</v>
      </c>
      <c r="AL642" s="340" t="s">
        <v>5818</v>
      </c>
      <c r="AM642" s="353">
        <f t="shared" ref="AM642:AM705" si="271">AK642/AC642</f>
        <v>1.0376833262324774E-3</v>
      </c>
      <c r="AP642" s="23">
        <f t="shared" si="250"/>
        <v>0</v>
      </c>
      <c r="AQ642" s="392">
        <f t="shared" si="251"/>
        <v>0</v>
      </c>
      <c r="AR642" s="392">
        <f t="shared" si="252"/>
        <v>0</v>
      </c>
      <c r="AS642" s="392">
        <f t="shared" si="252"/>
        <v>0</v>
      </c>
    </row>
    <row r="643" spans="1:45">
      <c r="A643" s="12" t="s">
        <v>1734</v>
      </c>
      <c r="B643" s="54" t="str">
        <f t="shared" si="255"/>
        <v>AZ_Maric_2020g</v>
      </c>
      <c r="C643" s="12"/>
      <c r="D643" s="54" t="str">
        <f t="shared" si="256"/>
        <v>Gen-superior court lang, todd f. (vote for1)</v>
      </c>
      <c r="E643" s="54" t="s">
        <v>1982</v>
      </c>
      <c r="F643" s="12" t="s">
        <v>1300</v>
      </c>
      <c r="G643" s="59">
        <v>324160</v>
      </c>
      <c r="H643"/>
      <c r="K643" s="2"/>
      <c r="O643">
        <f t="shared" si="257"/>
        <v>2</v>
      </c>
      <c r="P643" s="57">
        <f t="shared" si="258"/>
        <v>1</v>
      </c>
      <c r="Q643" s="267">
        <f t="shared" si="259"/>
        <v>324160</v>
      </c>
      <c r="R643" s="23" t="str">
        <f t="shared" si="260"/>
        <v/>
      </c>
      <c r="S643" s="23">
        <f t="shared" si="261"/>
        <v>324160</v>
      </c>
      <c r="T643" s="23" t="str">
        <f t="shared" si="262"/>
        <v/>
      </c>
      <c r="U643" t="str">
        <f t="shared" si="263"/>
        <v/>
      </c>
      <c r="W643" s="1">
        <f t="shared" si="264"/>
        <v>5</v>
      </c>
      <c r="X643" s="73">
        <f t="shared" si="253"/>
        <v>12.619081272084806</v>
      </c>
      <c r="Y643" s="322">
        <f t="shared" si="265"/>
        <v>79.488</v>
      </c>
      <c r="Z643" s="43">
        <f t="shared" si="254"/>
        <v>17.046709648432778</v>
      </c>
      <c r="AA643" s="52">
        <f t="shared" si="266"/>
        <v>0.17046709648432778</v>
      </c>
      <c r="AB643" s="8">
        <f t="shared" si="267"/>
        <v>1195</v>
      </c>
      <c r="AC643" s="8">
        <f t="shared" si="268"/>
        <v>382583.00000000006</v>
      </c>
      <c r="AD643" s="8">
        <f t="shared" ref="AD643:AD706" si="272">AC643/RIGHT(AD$1,4)</f>
        <v>1912.9150000000002</v>
      </c>
      <c r="AE643" s="8" t="str">
        <f t="shared" si="269"/>
        <v/>
      </c>
      <c r="AF643" s="22" t="str">
        <f t="shared" si="270"/>
        <v>CO_El Pa_2020g</v>
      </c>
      <c r="AG643">
        <v>1</v>
      </c>
      <c r="AH643" s="272">
        <v>1152</v>
      </c>
      <c r="AI643" s="273">
        <v>859</v>
      </c>
      <c r="AJ643" s="274">
        <v>293</v>
      </c>
      <c r="AK643" s="339">
        <v>566</v>
      </c>
      <c r="AL643" s="340" t="s">
        <v>5803</v>
      </c>
      <c r="AM643" s="353">
        <f t="shared" si="271"/>
        <v>1.479417538155119E-3</v>
      </c>
      <c r="AP643" s="23">
        <f t="shared" si="250"/>
        <v>0</v>
      </c>
      <c r="AQ643" s="392">
        <f t="shared" si="251"/>
        <v>0</v>
      </c>
      <c r="AR643" s="392">
        <f t="shared" si="252"/>
        <v>0</v>
      </c>
      <c r="AS643" s="392">
        <f t="shared" si="252"/>
        <v>0</v>
      </c>
    </row>
    <row r="644" spans="1:45">
      <c r="A644" s="12" t="s">
        <v>1735</v>
      </c>
      <c r="B644" s="54" t="str">
        <f t="shared" si="255"/>
        <v>AZ_Maric_2020g</v>
      </c>
      <c r="C644" s="12"/>
      <c r="D644" s="54" t="str">
        <f t="shared" si="256"/>
        <v>Gen-superior court mahoney, margaret r. (vote for1)</v>
      </c>
      <c r="E644" s="54" t="s">
        <v>1981</v>
      </c>
      <c r="F644" s="12" t="s">
        <v>1300</v>
      </c>
      <c r="G644" s="59">
        <v>915870</v>
      </c>
      <c r="H644"/>
      <c r="K644" s="2"/>
      <c r="O644">
        <f t="shared" si="257"/>
        <v>1</v>
      </c>
      <c r="P644" s="57">
        <f t="shared" si="258"/>
        <v>1</v>
      </c>
      <c r="Q644" s="267">
        <f t="shared" si="259"/>
        <v>1256764</v>
      </c>
      <c r="R644" s="23">
        <f t="shared" si="260"/>
        <v>915870</v>
      </c>
      <c r="S644" s="23">
        <f t="shared" si="261"/>
        <v>340894</v>
      </c>
      <c r="T644" s="23">
        <f t="shared" si="262"/>
        <v>574976</v>
      </c>
      <c r="U644" t="str">
        <f t="shared" si="263"/>
        <v>AZ_Maric_2020g~Gen-superior court mahoney, margaret r. (vote for1)</v>
      </c>
      <c r="W644" s="1">
        <f t="shared" si="264"/>
        <v>6</v>
      </c>
      <c r="X644" s="73">
        <f t="shared" si="253"/>
        <v>34.327301092043683</v>
      </c>
      <c r="Y644" s="322">
        <f t="shared" si="265"/>
        <v>244.88100000000003</v>
      </c>
      <c r="Z644" s="43">
        <f t="shared" si="254"/>
        <v>13.48157841116141</v>
      </c>
      <c r="AA644" s="52">
        <f t="shared" si="266"/>
        <v>0.1348157841116141</v>
      </c>
      <c r="AB644" s="8">
        <f t="shared" si="267"/>
        <v>1195</v>
      </c>
      <c r="AC644" s="8">
        <f t="shared" si="268"/>
        <v>382583.00000000006</v>
      </c>
      <c r="AD644" s="8">
        <f t="shared" si="272"/>
        <v>1912.9150000000002</v>
      </c>
      <c r="AE644" s="8" t="str">
        <f t="shared" si="269"/>
        <v/>
      </c>
      <c r="AF644" s="22" t="str">
        <f t="shared" si="270"/>
        <v>CO_El Pa_2020g</v>
      </c>
      <c r="AG644">
        <v>1</v>
      </c>
      <c r="AH644" s="272">
        <v>3549</v>
      </c>
      <c r="AI644" s="273">
        <v>2095</v>
      </c>
      <c r="AJ644" s="274">
        <v>1454</v>
      </c>
      <c r="AK644" s="339">
        <v>641</v>
      </c>
      <c r="AL644" s="340" t="s">
        <v>5820</v>
      </c>
      <c r="AM644" s="353">
        <f t="shared" si="271"/>
        <v>1.6754534310201967E-3</v>
      </c>
      <c r="AP644" s="23">
        <f t="shared" si="250"/>
        <v>0</v>
      </c>
      <c r="AQ644" s="392">
        <f t="shared" si="251"/>
        <v>0</v>
      </c>
      <c r="AR644" s="392">
        <f t="shared" si="252"/>
        <v>0</v>
      </c>
      <c r="AS644" s="392">
        <f t="shared" si="252"/>
        <v>0</v>
      </c>
    </row>
    <row r="645" spans="1:45">
      <c r="A645" s="12" t="s">
        <v>1735</v>
      </c>
      <c r="B645" s="54" t="str">
        <f t="shared" si="255"/>
        <v>AZ_Maric_2020g</v>
      </c>
      <c r="C645" s="12"/>
      <c r="D645" s="54" t="str">
        <f t="shared" si="256"/>
        <v>Gen-superior court mahoney, margaret r. (vote for1)</v>
      </c>
      <c r="E645" s="54" t="s">
        <v>1982</v>
      </c>
      <c r="F645" s="12" t="s">
        <v>1300</v>
      </c>
      <c r="G645" s="59">
        <v>340894</v>
      </c>
      <c r="H645"/>
      <c r="K645" s="2"/>
      <c r="O645">
        <f t="shared" si="257"/>
        <v>2</v>
      </c>
      <c r="P645" s="57">
        <f t="shared" si="258"/>
        <v>1</v>
      </c>
      <c r="Q645" s="267">
        <f t="shared" si="259"/>
        <v>340894</v>
      </c>
      <c r="R645" s="23" t="str">
        <f t="shared" si="260"/>
        <v/>
      </c>
      <c r="S645" s="23">
        <f t="shared" si="261"/>
        <v>340894</v>
      </c>
      <c r="T645" s="23" t="str">
        <f t="shared" si="262"/>
        <v/>
      </c>
      <c r="U645" t="str">
        <f t="shared" si="263"/>
        <v/>
      </c>
      <c r="W645" s="1">
        <f t="shared" si="264"/>
        <v>7</v>
      </c>
      <c r="X645" s="73">
        <f t="shared" si="253"/>
        <v>41.63048648648649</v>
      </c>
      <c r="Y645" s="322">
        <f t="shared" si="265"/>
        <v>428.55900000000003</v>
      </c>
      <c r="Z645" s="43">
        <f t="shared" si="254"/>
        <v>5.5424100940594005</v>
      </c>
      <c r="AA645" s="52">
        <f t="shared" si="266"/>
        <v>5.5424100940594009E-2</v>
      </c>
      <c r="AB645" s="8">
        <f t="shared" si="267"/>
        <v>1195</v>
      </c>
      <c r="AC645" s="8">
        <f t="shared" si="268"/>
        <v>382583.00000000006</v>
      </c>
      <c r="AD645" s="8">
        <f t="shared" si="272"/>
        <v>1912.9150000000002</v>
      </c>
      <c r="AE645" s="8" t="str">
        <f t="shared" si="269"/>
        <v/>
      </c>
      <c r="AF645" s="22" t="str">
        <f t="shared" si="270"/>
        <v>CO_El Pa_2020g</v>
      </c>
      <c r="AG645">
        <v>1</v>
      </c>
      <c r="AH645" s="272">
        <v>6211</v>
      </c>
      <c r="AI645" s="273">
        <v>3568</v>
      </c>
      <c r="AJ645" s="274">
        <v>2643</v>
      </c>
      <c r="AK645" s="339">
        <v>925</v>
      </c>
      <c r="AL645" s="340" t="s">
        <v>5815</v>
      </c>
      <c r="AM645" s="353">
        <f t="shared" si="271"/>
        <v>2.4177760120026241E-3</v>
      </c>
      <c r="AP645" s="23">
        <f t="shared" si="250"/>
        <v>0</v>
      </c>
      <c r="AQ645" s="392">
        <f t="shared" si="251"/>
        <v>0</v>
      </c>
      <c r="AR645" s="392">
        <f t="shared" si="252"/>
        <v>0</v>
      </c>
      <c r="AS645" s="392">
        <f t="shared" si="252"/>
        <v>0</v>
      </c>
    </row>
    <row r="646" spans="1:45">
      <c r="A646" s="12" t="s">
        <v>1736</v>
      </c>
      <c r="B646" s="54" t="str">
        <f t="shared" si="255"/>
        <v>AZ_Maric_2020g</v>
      </c>
      <c r="C646" s="12"/>
      <c r="D646" s="54" t="str">
        <f t="shared" si="256"/>
        <v>Gen-superior court mandell, michael (vote for1)</v>
      </c>
      <c r="E646" s="54" t="s">
        <v>1981</v>
      </c>
      <c r="F646" s="12" t="s">
        <v>1300</v>
      </c>
      <c r="G646" s="59">
        <v>896807</v>
      </c>
      <c r="H646"/>
      <c r="K646" s="2"/>
      <c r="O646">
        <f t="shared" si="257"/>
        <v>1</v>
      </c>
      <c r="P646" s="57">
        <f t="shared" si="258"/>
        <v>1</v>
      </c>
      <c r="Q646" s="267">
        <f t="shared" si="259"/>
        <v>1248042</v>
      </c>
      <c r="R646" s="23">
        <f t="shared" si="260"/>
        <v>896807</v>
      </c>
      <c r="S646" s="23">
        <f t="shared" si="261"/>
        <v>351235</v>
      </c>
      <c r="T646" s="23">
        <f t="shared" si="262"/>
        <v>545572</v>
      </c>
      <c r="U646" t="str">
        <f t="shared" si="263"/>
        <v>AZ_Maric_2020g~Gen-superior court mandell, michael (vote for1)</v>
      </c>
      <c r="W646" s="1">
        <f t="shared" si="264"/>
        <v>8</v>
      </c>
      <c r="X646" s="73">
        <f t="shared" si="253"/>
        <v>24.405532503457817</v>
      </c>
      <c r="Y646" s="322">
        <f t="shared" si="265"/>
        <v>392.74800000000005</v>
      </c>
      <c r="Z646" s="43">
        <f t="shared" si="254"/>
        <v>1.0833137981037937</v>
      </c>
      <c r="AA646" s="52">
        <f t="shared" si="266"/>
        <v>1.0833137981037936E-2</v>
      </c>
      <c r="AB646" s="8">
        <f t="shared" si="267"/>
        <v>1195</v>
      </c>
      <c r="AC646" s="8">
        <f t="shared" si="268"/>
        <v>382583.00000000006</v>
      </c>
      <c r="AD646" s="8">
        <f t="shared" si="272"/>
        <v>1912.9150000000002</v>
      </c>
      <c r="AE646" s="8" t="str">
        <f t="shared" si="269"/>
        <v/>
      </c>
      <c r="AF646" s="22" t="str">
        <f t="shared" si="270"/>
        <v>CO_El Pa_2020g</v>
      </c>
      <c r="AG646">
        <v>1</v>
      </c>
      <c r="AH646" s="272">
        <v>5692</v>
      </c>
      <c r="AI646" s="273">
        <v>3569</v>
      </c>
      <c r="AJ646" s="274">
        <v>2123</v>
      </c>
      <c r="AK646" s="339">
        <v>1446</v>
      </c>
      <c r="AL646" s="340" t="s">
        <v>5797</v>
      </c>
      <c r="AM646" s="353">
        <f t="shared" si="271"/>
        <v>3.7795720144386965E-3</v>
      </c>
      <c r="AP646" s="23">
        <f t="shared" si="250"/>
        <v>0</v>
      </c>
      <c r="AQ646" s="392">
        <f t="shared" si="251"/>
        <v>0</v>
      </c>
      <c r="AR646" s="392">
        <f t="shared" si="252"/>
        <v>0</v>
      </c>
      <c r="AS646" s="392">
        <f t="shared" si="252"/>
        <v>0</v>
      </c>
    </row>
    <row r="647" spans="1:45">
      <c r="A647" s="12" t="s">
        <v>1736</v>
      </c>
      <c r="B647" s="54" t="str">
        <f t="shared" si="255"/>
        <v>AZ_Maric_2020g</v>
      </c>
      <c r="C647" s="12"/>
      <c r="D647" s="54" t="str">
        <f t="shared" si="256"/>
        <v>Gen-superior court mandell, michael (vote for1)</v>
      </c>
      <c r="E647" s="54" t="s">
        <v>1982</v>
      </c>
      <c r="F647" s="12" t="s">
        <v>1300</v>
      </c>
      <c r="G647" s="59">
        <v>351235</v>
      </c>
      <c r="H647"/>
      <c r="K647" s="2"/>
      <c r="O647">
        <f t="shared" si="257"/>
        <v>2</v>
      </c>
      <c r="P647" s="57">
        <f t="shared" si="258"/>
        <v>1</v>
      </c>
      <c r="Q647" s="267">
        <f t="shared" si="259"/>
        <v>351235</v>
      </c>
      <c r="R647" s="23" t="str">
        <f t="shared" si="260"/>
        <v/>
      </c>
      <c r="S647" s="23">
        <f t="shared" si="261"/>
        <v>351235</v>
      </c>
      <c r="T647" s="23" t="str">
        <f t="shared" si="262"/>
        <v/>
      </c>
      <c r="U647" t="str">
        <f t="shared" si="263"/>
        <v/>
      </c>
      <c r="W647" s="1">
        <f t="shared" si="264"/>
        <v>9</v>
      </c>
      <c r="X647" s="73">
        <f t="shared" si="253"/>
        <v>25.068823124569857</v>
      </c>
      <c r="Y647" s="322">
        <f t="shared" si="265"/>
        <v>405.37500000000006</v>
      </c>
      <c r="Z647" s="43">
        <f t="shared" si="254"/>
        <v>1.0597965807401415</v>
      </c>
      <c r="AA647" s="52">
        <f t="shared" si="266"/>
        <v>1.0597965807401414E-2</v>
      </c>
      <c r="AB647" s="8">
        <f t="shared" si="267"/>
        <v>1195</v>
      </c>
      <c r="AC647" s="8">
        <f t="shared" si="268"/>
        <v>382583.00000000006</v>
      </c>
      <c r="AD647" s="8">
        <f t="shared" si="272"/>
        <v>1912.9150000000002</v>
      </c>
      <c r="AE647" s="8" t="str">
        <f t="shared" si="269"/>
        <v/>
      </c>
      <c r="AF647" s="22" t="str">
        <f t="shared" si="270"/>
        <v>CO_El Pa_2020g</v>
      </c>
      <c r="AG647">
        <v>1</v>
      </c>
      <c r="AH647" s="272">
        <v>5875</v>
      </c>
      <c r="AI647" s="273">
        <v>3664</v>
      </c>
      <c r="AJ647" s="274">
        <v>2211</v>
      </c>
      <c r="AK647" s="339">
        <v>1453</v>
      </c>
      <c r="AL647" s="340" t="s">
        <v>5796</v>
      </c>
      <c r="AM647" s="353">
        <f t="shared" si="271"/>
        <v>3.7978686977727704E-3</v>
      </c>
      <c r="AP647" s="23">
        <f t="shared" si="250"/>
        <v>0</v>
      </c>
      <c r="AQ647" s="392">
        <f t="shared" si="251"/>
        <v>0</v>
      </c>
      <c r="AR647" s="392">
        <f t="shared" si="252"/>
        <v>0</v>
      </c>
      <c r="AS647" s="392">
        <f t="shared" si="252"/>
        <v>0</v>
      </c>
    </row>
    <row r="648" spans="1:45">
      <c r="A648" s="12" t="s">
        <v>1737</v>
      </c>
      <c r="B648" s="54" t="str">
        <f t="shared" si="255"/>
        <v>AZ_Maric_2020g</v>
      </c>
      <c r="C648" s="12"/>
      <c r="D648" s="54" t="str">
        <f t="shared" si="256"/>
        <v>Gen-superior court marwil, suzanne sheiner (vote for1)</v>
      </c>
      <c r="E648" s="54" t="s">
        <v>1981</v>
      </c>
      <c r="F648" s="12" t="s">
        <v>1300</v>
      </c>
      <c r="G648" s="59">
        <v>943647</v>
      </c>
      <c r="H648"/>
      <c r="K648" s="2"/>
      <c r="O648">
        <f t="shared" si="257"/>
        <v>1</v>
      </c>
      <c r="P648" s="57">
        <f t="shared" si="258"/>
        <v>1</v>
      </c>
      <c r="Q648" s="267">
        <f t="shared" si="259"/>
        <v>1253198</v>
      </c>
      <c r="R648" s="23">
        <f t="shared" si="260"/>
        <v>943647</v>
      </c>
      <c r="S648" s="23">
        <f t="shared" si="261"/>
        <v>309551</v>
      </c>
      <c r="T648" s="23">
        <f t="shared" si="262"/>
        <v>634096</v>
      </c>
      <c r="U648" t="str">
        <f t="shared" si="263"/>
        <v>AZ_Maric_2020g~Gen-superior court marwil, suzanne sheiner (vote for1)</v>
      </c>
      <c r="W648" s="1">
        <f t="shared" si="264"/>
        <v>10</v>
      </c>
      <c r="X648" s="73">
        <f t="shared" si="253"/>
        <v>24.658713136729222</v>
      </c>
      <c r="Y648" s="322">
        <f t="shared" si="265"/>
        <v>409.44600000000003</v>
      </c>
      <c r="Z648" s="43">
        <f t="shared" si="254"/>
        <v>0.93780767955028888</v>
      </c>
      <c r="AA648" s="52">
        <f t="shared" si="266"/>
        <v>9.3780767955028883E-3</v>
      </c>
      <c r="AB648" s="8">
        <f t="shared" si="267"/>
        <v>1195</v>
      </c>
      <c r="AC648" s="8">
        <f t="shared" si="268"/>
        <v>382583.00000000006</v>
      </c>
      <c r="AD648" s="8">
        <f t="shared" si="272"/>
        <v>1912.9150000000002</v>
      </c>
      <c r="AE648" s="8" t="str">
        <f t="shared" si="269"/>
        <v/>
      </c>
      <c r="AF648" s="22" t="str">
        <f t="shared" si="270"/>
        <v>CO_El Pa_2020g</v>
      </c>
      <c r="AG648">
        <v>1</v>
      </c>
      <c r="AH648" s="272">
        <v>5934</v>
      </c>
      <c r="AI648" s="273">
        <v>3713</v>
      </c>
      <c r="AJ648" s="274">
        <v>2221</v>
      </c>
      <c r="AK648" s="339">
        <v>1492</v>
      </c>
      <c r="AL648" s="340" t="s">
        <v>5816</v>
      </c>
      <c r="AM648" s="353">
        <f t="shared" si="271"/>
        <v>3.8998073620626107E-3</v>
      </c>
      <c r="AP648" s="23">
        <f t="shared" si="250"/>
        <v>0</v>
      </c>
      <c r="AQ648" s="392">
        <f t="shared" si="251"/>
        <v>0</v>
      </c>
      <c r="AR648" s="392">
        <f t="shared" si="252"/>
        <v>0</v>
      </c>
      <c r="AS648" s="392">
        <f t="shared" si="252"/>
        <v>0</v>
      </c>
    </row>
    <row r="649" spans="1:45">
      <c r="A649" s="12" t="s">
        <v>1737</v>
      </c>
      <c r="B649" s="54" t="str">
        <f t="shared" si="255"/>
        <v>AZ_Maric_2020g</v>
      </c>
      <c r="C649" s="12"/>
      <c r="D649" s="54" t="str">
        <f t="shared" si="256"/>
        <v>Gen-superior court marwil, suzanne sheiner (vote for1)</v>
      </c>
      <c r="E649" s="54" t="s">
        <v>1982</v>
      </c>
      <c r="F649" s="12" t="s">
        <v>1300</v>
      </c>
      <c r="G649" s="59">
        <v>309551</v>
      </c>
      <c r="H649"/>
      <c r="K649" s="2"/>
      <c r="O649">
        <f t="shared" si="257"/>
        <v>2</v>
      </c>
      <c r="P649" s="57">
        <f t="shared" si="258"/>
        <v>1</v>
      </c>
      <c r="Q649" s="267">
        <f t="shared" si="259"/>
        <v>309551</v>
      </c>
      <c r="R649" s="23" t="str">
        <f t="shared" si="260"/>
        <v/>
      </c>
      <c r="S649" s="23">
        <f t="shared" si="261"/>
        <v>309551</v>
      </c>
      <c r="T649" s="23" t="str">
        <f t="shared" si="262"/>
        <v/>
      </c>
      <c r="U649" t="str">
        <f t="shared" si="263"/>
        <v/>
      </c>
      <c r="W649" s="1">
        <f t="shared" si="264"/>
        <v>11</v>
      </c>
      <c r="X649" s="73">
        <f t="shared" si="253"/>
        <v>44.859069453809845</v>
      </c>
      <c r="Y649" s="322">
        <f t="shared" si="265"/>
        <v>2221.11</v>
      </c>
      <c r="Z649" s="43">
        <f t="shared" si="254"/>
        <v>8.5010439420969203E-5</v>
      </c>
      <c r="AA649" s="52">
        <f t="shared" si="266"/>
        <v>8.5010439420969198E-7</v>
      </c>
      <c r="AB649" s="8">
        <f t="shared" si="267"/>
        <v>1195</v>
      </c>
      <c r="AC649" s="8">
        <f t="shared" si="268"/>
        <v>382583.00000000006</v>
      </c>
      <c r="AD649" s="8">
        <f t="shared" si="272"/>
        <v>1912.9150000000002</v>
      </c>
      <c r="AE649" s="8" t="str">
        <f t="shared" si="269"/>
        <v/>
      </c>
      <c r="AF649" s="22" t="str">
        <f t="shared" si="270"/>
        <v>CO_El Pa_2020g</v>
      </c>
      <c r="AG649">
        <v>1</v>
      </c>
      <c r="AH649" s="272">
        <v>32190</v>
      </c>
      <c r="AI649" s="273">
        <v>17448</v>
      </c>
      <c r="AJ649" s="274">
        <v>12999</v>
      </c>
      <c r="AK649" s="339">
        <v>4449</v>
      </c>
      <c r="AL649" s="340" t="s">
        <v>5812</v>
      </c>
      <c r="AM649" s="353">
        <f t="shared" si="271"/>
        <v>1.1628849164756405E-2</v>
      </c>
      <c r="AP649" s="23">
        <f t="shared" si="250"/>
        <v>3</v>
      </c>
      <c r="AQ649" s="392">
        <f t="shared" si="251"/>
        <v>3.1069732037989684E-2</v>
      </c>
      <c r="AR649" s="392">
        <f t="shared" si="252"/>
        <v>0.14326242632292208</v>
      </c>
      <c r="AS649" s="392">
        <f t="shared" si="252"/>
        <v>0.48880342610169247</v>
      </c>
    </row>
    <row r="650" spans="1:45">
      <c r="A650" s="12" t="s">
        <v>1738</v>
      </c>
      <c r="B650" s="54" t="str">
        <f t="shared" si="255"/>
        <v>AZ_Maric_2020g</v>
      </c>
      <c r="C650" s="12"/>
      <c r="D650" s="54" t="str">
        <f t="shared" si="256"/>
        <v>Gen-superior court mccoy, michael scott (vote for1)</v>
      </c>
      <c r="E650" s="54" t="s">
        <v>1981</v>
      </c>
      <c r="F650" s="12" t="s">
        <v>1300</v>
      </c>
      <c r="G650" s="59">
        <v>947532</v>
      </c>
      <c r="H650"/>
      <c r="K650" s="2"/>
      <c r="O650">
        <f t="shared" si="257"/>
        <v>1</v>
      </c>
      <c r="P650" s="57">
        <f t="shared" si="258"/>
        <v>1</v>
      </c>
      <c r="Q650" s="267">
        <f t="shared" si="259"/>
        <v>1247550</v>
      </c>
      <c r="R650" s="23">
        <f t="shared" si="260"/>
        <v>947532</v>
      </c>
      <c r="S650" s="23">
        <f t="shared" si="261"/>
        <v>300018</v>
      </c>
      <c r="T650" s="23">
        <f t="shared" si="262"/>
        <v>647514</v>
      </c>
      <c r="U650" t="str">
        <f t="shared" si="263"/>
        <v>AZ_Maric_2020g~Gen-superior court mccoy, michael scott (vote for1)</v>
      </c>
      <c r="W650" s="1">
        <f t="shared" si="264"/>
        <v>12</v>
      </c>
      <c r="X650" s="73">
        <f t="shared" si="253"/>
        <v>32.024117428465253</v>
      </c>
      <c r="Y650" s="322">
        <f t="shared" si="265"/>
        <v>1918.1310000000001</v>
      </c>
      <c r="Z650" s="43">
        <f t="shared" si="254"/>
        <v>4.4398130269423299E-6</v>
      </c>
      <c r="AA650" s="52">
        <f t="shared" si="266"/>
        <v>4.43981302694233E-8</v>
      </c>
      <c r="AB650" s="8">
        <f t="shared" si="267"/>
        <v>1195</v>
      </c>
      <c r="AC650" s="8">
        <f t="shared" si="268"/>
        <v>382583.00000000006</v>
      </c>
      <c r="AD650" s="8">
        <f t="shared" si="272"/>
        <v>1912.9150000000002</v>
      </c>
      <c r="AE650" s="8" t="str">
        <f t="shared" si="269"/>
        <v/>
      </c>
      <c r="AF650" s="22" t="str">
        <f t="shared" si="270"/>
        <v>CO_El Pa_2020g</v>
      </c>
      <c r="AG650">
        <v>1</v>
      </c>
      <c r="AH650" s="272">
        <v>27799</v>
      </c>
      <c r="AI650" s="273">
        <v>15780</v>
      </c>
      <c r="AJ650" s="274">
        <v>10398</v>
      </c>
      <c r="AK650" s="339">
        <v>5382</v>
      </c>
      <c r="AL650" s="340" t="s">
        <v>5808</v>
      </c>
      <c r="AM650" s="353">
        <f t="shared" si="271"/>
        <v>1.406753567199797E-2</v>
      </c>
      <c r="AP650" s="23">
        <f t="shared" si="250"/>
        <v>7</v>
      </c>
      <c r="AQ650" s="392">
        <f t="shared" si="251"/>
        <v>7.1071748711110549E-2</v>
      </c>
      <c r="AR650" s="392">
        <f t="shared" si="252"/>
        <v>0.30314415269867889</v>
      </c>
      <c r="AS650" s="392">
        <f t="shared" si="252"/>
        <v>0.79143602568075655</v>
      </c>
    </row>
    <row r="651" spans="1:45">
      <c r="A651" s="12" t="s">
        <v>1738</v>
      </c>
      <c r="B651" s="54" t="str">
        <f t="shared" si="255"/>
        <v>AZ_Maric_2020g</v>
      </c>
      <c r="C651" s="12"/>
      <c r="D651" s="54" t="str">
        <f t="shared" si="256"/>
        <v>Gen-superior court mccoy, michael scott (vote for1)</v>
      </c>
      <c r="E651" s="54" t="s">
        <v>1982</v>
      </c>
      <c r="F651" s="12" t="s">
        <v>1300</v>
      </c>
      <c r="G651" s="59">
        <v>300018</v>
      </c>
      <c r="H651"/>
      <c r="K651" s="2"/>
      <c r="O651">
        <f t="shared" si="257"/>
        <v>2</v>
      </c>
      <c r="P651" s="57">
        <f t="shared" si="258"/>
        <v>1</v>
      </c>
      <c r="Q651" s="267">
        <f t="shared" si="259"/>
        <v>300018</v>
      </c>
      <c r="R651" s="23" t="str">
        <f t="shared" si="260"/>
        <v/>
      </c>
      <c r="S651" s="23">
        <f t="shared" si="261"/>
        <v>300018</v>
      </c>
      <c r="T651" s="23" t="str">
        <f t="shared" si="262"/>
        <v/>
      </c>
      <c r="U651" t="str">
        <f t="shared" si="263"/>
        <v/>
      </c>
      <c r="W651" s="1">
        <f t="shared" si="264"/>
        <v>13</v>
      </c>
      <c r="X651" s="73">
        <f t="shared" si="253"/>
        <v>46.967255717255718</v>
      </c>
      <c r="Y651" s="322">
        <f t="shared" si="265"/>
        <v>3017.0250000000001</v>
      </c>
      <c r="Z651" s="43">
        <f t="shared" si="254"/>
        <v>1.2897197307508415E-6</v>
      </c>
      <c r="AA651" s="52">
        <f t="shared" si="266"/>
        <v>1.2897197307508414E-8</v>
      </c>
      <c r="AB651" s="8">
        <f t="shared" si="267"/>
        <v>1195</v>
      </c>
      <c r="AC651" s="8">
        <f t="shared" si="268"/>
        <v>382583.00000000006</v>
      </c>
      <c r="AD651" s="8">
        <f t="shared" si="272"/>
        <v>1912.9150000000002</v>
      </c>
      <c r="AE651" s="8" t="str">
        <f t="shared" si="269"/>
        <v/>
      </c>
      <c r="AF651" s="22" t="str">
        <f t="shared" si="270"/>
        <v>CO_El Pa_2020g</v>
      </c>
      <c r="AG651">
        <v>1</v>
      </c>
      <c r="AH651" s="272">
        <v>43725</v>
      </c>
      <c r="AI651" s="273">
        <v>23842</v>
      </c>
      <c r="AJ651" s="274">
        <v>18070</v>
      </c>
      <c r="AK651" s="339">
        <v>5772</v>
      </c>
      <c r="AL651" s="340" t="s">
        <v>5807</v>
      </c>
      <c r="AM651" s="353">
        <f t="shared" si="271"/>
        <v>1.5086922314896374E-2</v>
      </c>
      <c r="AP651" s="23">
        <f t="shared" si="250"/>
        <v>9</v>
      </c>
      <c r="AQ651" s="392">
        <f t="shared" si="251"/>
        <v>9.0479483465591537E-2</v>
      </c>
      <c r="AR651" s="392">
        <f t="shared" si="252"/>
        <v>0.37162627434308615</v>
      </c>
      <c r="AS651" s="392">
        <f t="shared" si="252"/>
        <v>0.86688676550044541</v>
      </c>
    </row>
    <row r="652" spans="1:45">
      <c r="A652" s="12" t="s">
        <v>1739</v>
      </c>
      <c r="B652" s="54" t="str">
        <f t="shared" si="255"/>
        <v>AZ_Maric_2020g</v>
      </c>
      <c r="C652" s="12"/>
      <c r="D652" s="54" t="str">
        <f t="shared" si="256"/>
        <v>Gen-superior court mead, kathleen (vote for1)</v>
      </c>
      <c r="E652" s="54" t="s">
        <v>1981</v>
      </c>
      <c r="F652" s="12" t="s">
        <v>1300</v>
      </c>
      <c r="G652" s="59">
        <v>995843</v>
      </c>
      <c r="H652"/>
      <c r="K652" s="2"/>
      <c r="O652">
        <f t="shared" si="257"/>
        <v>1</v>
      </c>
      <c r="P652" s="57">
        <f t="shared" si="258"/>
        <v>1</v>
      </c>
      <c r="Q652" s="267">
        <f t="shared" si="259"/>
        <v>1254501</v>
      </c>
      <c r="R652" s="23">
        <f t="shared" si="260"/>
        <v>995843</v>
      </c>
      <c r="S652" s="23">
        <f t="shared" si="261"/>
        <v>258658</v>
      </c>
      <c r="T652" s="23">
        <f t="shared" si="262"/>
        <v>737185</v>
      </c>
      <c r="U652" t="str">
        <f t="shared" si="263"/>
        <v>AZ_Maric_2020g~Gen-superior court mead, kathleen (vote for1)</v>
      </c>
      <c r="W652" s="1">
        <f t="shared" si="264"/>
        <v>14</v>
      </c>
      <c r="X652" s="73">
        <f t="shared" si="253"/>
        <v>178.34470757555934</v>
      </c>
      <c r="Y652" s="322">
        <f t="shared" si="265"/>
        <v>15169.857000000002</v>
      </c>
      <c r="Z652" s="43">
        <f t="shared" si="254"/>
        <v>3.3662590269319403E-9</v>
      </c>
      <c r="AA652" s="52">
        <f t="shared" si="266"/>
        <v>3.3662590269319402E-11</v>
      </c>
      <c r="AB652" s="8">
        <f t="shared" si="267"/>
        <v>1195</v>
      </c>
      <c r="AC652" s="8">
        <f t="shared" si="268"/>
        <v>382583.00000000006</v>
      </c>
      <c r="AD652" s="8">
        <f t="shared" si="272"/>
        <v>1912.9150000000002</v>
      </c>
      <c r="AE652" s="8" t="str">
        <f t="shared" si="269"/>
        <v/>
      </c>
      <c r="AF652" s="22" t="str">
        <f t="shared" si="270"/>
        <v>CO_El Pa_2020g</v>
      </c>
      <c r="AG652">
        <v>1</v>
      </c>
      <c r="AH652" s="272">
        <v>219853</v>
      </c>
      <c r="AI652" s="273">
        <v>113748</v>
      </c>
      <c r="AJ652" s="274">
        <v>106105</v>
      </c>
      <c r="AK652" s="339">
        <v>7643</v>
      </c>
      <c r="AL652" s="340" t="s">
        <v>5787</v>
      </c>
      <c r="AM652" s="353">
        <f t="shared" si="271"/>
        <v>1.9977364388903844E-2</v>
      </c>
      <c r="AP652" s="23">
        <f t="shared" si="250"/>
        <v>17</v>
      </c>
      <c r="AQ652" s="392">
        <f t="shared" si="251"/>
        <v>0.16432635988688293</v>
      </c>
      <c r="AR652" s="392">
        <f t="shared" si="252"/>
        <v>0.58501487358404858</v>
      </c>
      <c r="AS652" s="392">
        <f t="shared" si="252"/>
        <v>0.97802925758357506</v>
      </c>
    </row>
    <row r="653" spans="1:45">
      <c r="A653" s="12" t="s">
        <v>1739</v>
      </c>
      <c r="B653" s="54" t="str">
        <f t="shared" si="255"/>
        <v>AZ_Maric_2020g</v>
      </c>
      <c r="C653" s="12"/>
      <c r="D653" s="54" t="str">
        <f t="shared" si="256"/>
        <v>Gen-superior court mead, kathleen (vote for1)</v>
      </c>
      <c r="E653" s="54" t="s">
        <v>1982</v>
      </c>
      <c r="F653" s="12" t="s">
        <v>1300</v>
      </c>
      <c r="G653" s="59">
        <v>258658</v>
      </c>
      <c r="H653"/>
      <c r="K653" s="2"/>
      <c r="O653">
        <f t="shared" si="257"/>
        <v>2</v>
      </c>
      <c r="P653" s="57">
        <f t="shared" si="258"/>
        <v>1</v>
      </c>
      <c r="Q653" s="267">
        <f t="shared" si="259"/>
        <v>258658</v>
      </c>
      <c r="R653" s="23" t="str">
        <f t="shared" si="260"/>
        <v/>
      </c>
      <c r="S653" s="23">
        <f t="shared" si="261"/>
        <v>258658</v>
      </c>
      <c r="T653" s="23" t="str">
        <f t="shared" si="262"/>
        <v/>
      </c>
      <c r="U653" t="str">
        <f t="shared" si="263"/>
        <v/>
      </c>
      <c r="W653" s="1">
        <f t="shared" si="264"/>
        <v>15</v>
      </c>
      <c r="X653" s="73">
        <f t="shared" si="253"/>
        <v>64.983087563617389</v>
      </c>
      <c r="Y653" s="322">
        <f t="shared" si="265"/>
        <v>5541.8730000000005</v>
      </c>
      <c r="Z653" s="43">
        <f t="shared" si="254"/>
        <v>3.1583723452444957E-9</v>
      </c>
      <c r="AA653" s="52">
        <f t="shared" si="266"/>
        <v>3.1583723452444957E-11</v>
      </c>
      <c r="AB653" s="8">
        <f t="shared" si="267"/>
        <v>1195</v>
      </c>
      <c r="AC653" s="8">
        <f t="shared" si="268"/>
        <v>382583.00000000006</v>
      </c>
      <c r="AD653" s="8">
        <f t="shared" si="272"/>
        <v>1912.9150000000002</v>
      </c>
      <c r="AE653" s="8" t="str">
        <f t="shared" si="269"/>
        <v/>
      </c>
      <c r="AF653" s="22" t="str">
        <f t="shared" si="270"/>
        <v>CO_El Pa_2020g</v>
      </c>
      <c r="AG653">
        <v>1</v>
      </c>
      <c r="AH653" s="272">
        <v>80317</v>
      </c>
      <c r="AI653" s="273">
        <v>42303</v>
      </c>
      <c r="AJ653" s="274">
        <v>34640</v>
      </c>
      <c r="AK653" s="339">
        <v>7663</v>
      </c>
      <c r="AL653" s="340" t="s">
        <v>5799</v>
      </c>
      <c r="AM653" s="353">
        <f t="shared" si="271"/>
        <v>2.0029640627001195E-2</v>
      </c>
      <c r="AP653" s="23">
        <f t="shared" ref="AP653:AP716" si="273">MIN(AD653, MAX(0,ROUNDUP(AD653*(0.5*AK653/AC653-0.005)/(RIGHT(AP$1,3)-0.005),0)))</f>
        <v>17</v>
      </c>
      <c r="AQ653" s="392">
        <f t="shared" si="251"/>
        <v>0.16432635988688293</v>
      </c>
      <c r="AR653" s="392">
        <f t="shared" si="252"/>
        <v>0.58501487358404858</v>
      </c>
      <c r="AS653" s="392">
        <f t="shared" si="252"/>
        <v>0.97802925758357506</v>
      </c>
    </row>
    <row r="654" spans="1:45">
      <c r="A654" s="12" t="s">
        <v>1740</v>
      </c>
      <c r="B654" s="54" t="str">
        <f t="shared" si="255"/>
        <v>AZ_Maric_2020g</v>
      </c>
      <c r="C654" s="12"/>
      <c r="D654" s="54" t="str">
        <f t="shared" si="256"/>
        <v>Gen-superior court mikitish, joseph p. (vote for1)</v>
      </c>
      <c r="E654" s="54" t="s">
        <v>1981</v>
      </c>
      <c r="F654" s="12" t="s">
        <v>1300</v>
      </c>
      <c r="G654" s="59">
        <v>927207</v>
      </c>
      <c r="H654"/>
      <c r="K654" s="2"/>
      <c r="O654">
        <f t="shared" si="257"/>
        <v>1</v>
      </c>
      <c r="P654" s="57">
        <f t="shared" si="258"/>
        <v>1</v>
      </c>
      <c r="Q654" s="267">
        <f t="shared" si="259"/>
        <v>1246357</v>
      </c>
      <c r="R654" s="23">
        <f t="shared" si="260"/>
        <v>927207</v>
      </c>
      <c r="S654" s="23">
        <f t="shared" si="261"/>
        <v>319150</v>
      </c>
      <c r="T654" s="23">
        <f t="shared" si="262"/>
        <v>608057</v>
      </c>
      <c r="U654" t="str">
        <f t="shared" si="263"/>
        <v>AZ_Maric_2020g~Gen-superior court mikitish, joseph p. (vote for1)</v>
      </c>
      <c r="W654" s="1">
        <f t="shared" si="264"/>
        <v>16</v>
      </c>
      <c r="X654" s="73">
        <f t="shared" si="253"/>
        <v>34.306666666666665</v>
      </c>
      <c r="Y654" s="322">
        <f t="shared" si="265"/>
        <v>3602.2830000000004</v>
      </c>
      <c r="Z654" s="43">
        <f t="shared" si="254"/>
        <v>1.0984053240427778E-11</v>
      </c>
      <c r="AA654" s="52">
        <f t="shared" si="266"/>
        <v>1.0984053240427778E-13</v>
      </c>
      <c r="AB654" s="8">
        <f t="shared" si="267"/>
        <v>1195</v>
      </c>
      <c r="AC654" s="8">
        <f t="shared" si="268"/>
        <v>382583.00000000006</v>
      </c>
      <c r="AD654" s="8">
        <f t="shared" si="272"/>
        <v>1912.9150000000002</v>
      </c>
      <c r="AE654" s="8" t="str">
        <f t="shared" si="269"/>
        <v/>
      </c>
      <c r="AF654" s="22" t="str">
        <f t="shared" si="270"/>
        <v>CO_El Pa_2020g</v>
      </c>
      <c r="AG654">
        <v>1</v>
      </c>
      <c r="AH654" s="272">
        <v>52207</v>
      </c>
      <c r="AI654" s="273">
        <v>29036</v>
      </c>
      <c r="AJ654" s="274">
        <v>19601</v>
      </c>
      <c r="AK654" s="339">
        <v>9435</v>
      </c>
      <c r="AL654" s="340" t="s">
        <v>5800</v>
      </c>
      <c r="AM654" s="353">
        <f t="shared" si="271"/>
        <v>2.4661315322426765E-2</v>
      </c>
      <c r="AP654" s="23">
        <f t="shared" si="273"/>
        <v>24</v>
      </c>
      <c r="AQ654" s="392">
        <f t="shared" si="251"/>
        <v>0.22423594416492509</v>
      </c>
      <c r="AR654" s="392">
        <f t="shared" si="252"/>
        <v>0.71177692534102077</v>
      </c>
      <c r="AS654" s="392">
        <f t="shared" si="252"/>
        <v>0.99548954333289397</v>
      </c>
    </row>
    <row r="655" spans="1:45">
      <c r="A655" s="12" t="s">
        <v>1740</v>
      </c>
      <c r="B655" s="54" t="str">
        <f t="shared" si="255"/>
        <v>AZ_Maric_2020g</v>
      </c>
      <c r="C655" s="12"/>
      <c r="D655" s="54" t="str">
        <f t="shared" si="256"/>
        <v>Gen-superior court mikitish, joseph p. (vote for1)</v>
      </c>
      <c r="E655" s="54" t="s">
        <v>1982</v>
      </c>
      <c r="F655" s="12" t="s">
        <v>1300</v>
      </c>
      <c r="G655" s="59">
        <v>319150</v>
      </c>
      <c r="H655"/>
      <c r="K655" s="2"/>
      <c r="O655">
        <f t="shared" si="257"/>
        <v>2</v>
      </c>
      <c r="P655" s="57">
        <f t="shared" si="258"/>
        <v>1</v>
      </c>
      <c r="Q655" s="267">
        <f t="shared" si="259"/>
        <v>319150</v>
      </c>
      <c r="R655" s="23" t="str">
        <f t="shared" si="260"/>
        <v/>
      </c>
      <c r="S655" s="23">
        <f t="shared" si="261"/>
        <v>319150</v>
      </c>
      <c r="T655" s="23" t="str">
        <f t="shared" si="262"/>
        <v/>
      </c>
      <c r="U655" t="str">
        <f t="shared" si="263"/>
        <v/>
      </c>
      <c r="W655" s="1">
        <f t="shared" si="264"/>
        <v>17</v>
      </c>
      <c r="X655" s="73">
        <f t="shared" si="253"/>
        <v>30.181706171034772</v>
      </c>
      <c r="Y655" s="322">
        <f t="shared" si="265"/>
        <v>3216.8490000000002</v>
      </c>
      <c r="Z655" s="43">
        <f t="shared" si="254"/>
        <v>6.9699317208425948E-12</v>
      </c>
      <c r="AA655" s="52">
        <f t="shared" si="266"/>
        <v>6.9699317208425948E-14</v>
      </c>
      <c r="AB655" s="8">
        <f t="shared" si="267"/>
        <v>1195</v>
      </c>
      <c r="AC655" s="8">
        <f t="shared" si="268"/>
        <v>382583.00000000006</v>
      </c>
      <c r="AD655" s="8">
        <f t="shared" si="272"/>
        <v>1912.9150000000002</v>
      </c>
      <c r="AE655" s="8" t="str">
        <f t="shared" si="269"/>
        <v/>
      </c>
      <c r="AF655" s="22" t="str">
        <f t="shared" si="270"/>
        <v>CO_El Pa_2020g</v>
      </c>
      <c r="AG655">
        <v>1</v>
      </c>
      <c r="AH655" s="272">
        <v>46621</v>
      </c>
      <c r="AI655" s="273">
        <v>27376</v>
      </c>
      <c r="AJ655" s="274">
        <v>17799</v>
      </c>
      <c r="AK655" s="339">
        <v>9577</v>
      </c>
      <c r="AL655" s="340" t="s">
        <v>5811</v>
      </c>
      <c r="AM655" s="353">
        <f t="shared" si="271"/>
        <v>2.5032476612917978E-2</v>
      </c>
      <c r="AP655" s="23">
        <f t="shared" si="273"/>
        <v>25</v>
      </c>
      <c r="AQ655" s="392">
        <f t="shared" si="251"/>
        <v>0.23245378373944903</v>
      </c>
      <c r="AR655" s="392">
        <f t="shared" si="252"/>
        <v>0.72643233591690093</v>
      </c>
      <c r="AS655" s="392">
        <f t="shared" si="252"/>
        <v>0.99640453533686735</v>
      </c>
    </row>
    <row r="656" spans="1:45">
      <c r="A656" s="12" t="s">
        <v>1741</v>
      </c>
      <c r="B656" s="54" t="str">
        <f t="shared" si="255"/>
        <v>AZ_Maric_2020g</v>
      </c>
      <c r="C656" s="12"/>
      <c r="D656" s="54" t="str">
        <f t="shared" si="256"/>
        <v>Gen-superior court minder, scott s. (vote for1)</v>
      </c>
      <c r="E656" s="54" t="s">
        <v>1981</v>
      </c>
      <c r="F656" s="12" t="s">
        <v>1300</v>
      </c>
      <c r="G656" s="59">
        <v>944044</v>
      </c>
      <c r="H656"/>
      <c r="K656" s="2"/>
      <c r="O656">
        <f t="shared" si="257"/>
        <v>1</v>
      </c>
      <c r="P656" s="57">
        <f t="shared" si="258"/>
        <v>1</v>
      </c>
      <c r="Q656" s="267">
        <f t="shared" si="259"/>
        <v>1245150</v>
      </c>
      <c r="R656" s="23">
        <f t="shared" si="260"/>
        <v>944044</v>
      </c>
      <c r="S656" s="23">
        <f t="shared" si="261"/>
        <v>301106</v>
      </c>
      <c r="T656" s="23">
        <f t="shared" si="262"/>
        <v>642938</v>
      </c>
      <c r="U656" t="str">
        <f t="shared" si="263"/>
        <v>AZ_Maric_2020g~Gen-superior court minder, scott s. (vote for1)</v>
      </c>
      <c r="W656" s="1">
        <f t="shared" si="264"/>
        <v>18</v>
      </c>
      <c r="X656" s="73">
        <f t="shared" si="253"/>
        <v>27.645647388433062</v>
      </c>
      <c r="Y656" s="322">
        <f t="shared" si="265"/>
        <v>3074.8470000000002</v>
      </c>
      <c r="Z656" s="43">
        <f t="shared" si="254"/>
        <v>1.8310955673241884E-12</v>
      </c>
      <c r="AA656" s="52">
        <f t="shared" si="266"/>
        <v>1.8310955673241883E-14</v>
      </c>
      <c r="AB656" s="8">
        <f t="shared" si="267"/>
        <v>1195</v>
      </c>
      <c r="AC656" s="8">
        <f t="shared" si="268"/>
        <v>382583.00000000006</v>
      </c>
      <c r="AD656" s="8">
        <f t="shared" si="272"/>
        <v>1912.9150000000002</v>
      </c>
      <c r="AE656" s="8" t="str">
        <f t="shared" si="269"/>
        <v/>
      </c>
      <c r="AF656" s="22" t="str">
        <f t="shared" si="270"/>
        <v>CO_El Pa_2020g</v>
      </c>
      <c r="AG656">
        <v>1</v>
      </c>
      <c r="AH656" s="272">
        <v>44563</v>
      </c>
      <c r="AI656" s="273">
        <v>26325</v>
      </c>
      <c r="AJ656" s="274">
        <v>16331</v>
      </c>
      <c r="AK656" s="339">
        <v>9994</v>
      </c>
      <c r="AL656" s="340" t="s">
        <v>5809</v>
      </c>
      <c r="AM656" s="353">
        <f t="shared" si="271"/>
        <v>2.6122436177247809E-2</v>
      </c>
      <c r="AP656" s="23">
        <f t="shared" si="273"/>
        <v>26</v>
      </c>
      <c r="AQ656" s="392">
        <f t="shared" si="251"/>
        <v>0.24058887877135737</v>
      </c>
      <c r="AR656" s="392">
        <f t="shared" si="252"/>
        <v>0.7403499277303498</v>
      </c>
      <c r="AS656" s="392">
        <f t="shared" si="252"/>
        <v>0.99713429843489587</v>
      </c>
    </row>
    <row r="657" spans="1:45">
      <c r="A657" s="12" t="s">
        <v>1741</v>
      </c>
      <c r="B657" s="54" t="str">
        <f t="shared" si="255"/>
        <v>AZ_Maric_2020g</v>
      </c>
      <c r="C657" s="12"/>
      <c r="D657" s="54" t="str">
        <f t="shared" si="256"/>
        <v>Gen-superior court minder, scott s. (vote for1)</v>
      </c>
      <c r="E657" s="54" t="s">
        <v>1982</v>
      </c>
      <c r="F657" s="12" t="s">
        <v>1300</v>
      </c>
      <c r="G657" s="59">
        <v>301106</v>
      </c>
      <c r="H657"/>
      <c r="K657" s="2"/>
      <c r="O657">
        <f t="shared" si="257"/>
        <v>2</v>
      </c>
      <c r="P657" s="57">
        <f t="shared" si="258"/>
        <v>1</v>
      </c>
      <c r="Q657" s="267">
        <f t="shared" si="259"/>
        <v>301106</v>
      </c>
      <c r="R657" s="23" t="str">
        <f t="shared" si="260"/>
        <v/>
      </c>
      <c r="S657" s="23">
        <f t="shared" si="261"/>
        <v>301106</v>
      </c>
      <c r="T657" s="23" t="str">
        <f t="shared" si="262"/>
        <v/>
      </c>
      <c r="U657" t="str">
        <f t="shared" si="263"/>
        <v/>
      </c>
      <c r="W657" s="1">
        <f t="shared" si="264"/>
        <v>19</v>
      </c>
      <c r="X657" s="73">
        <f t="shared" si="253"/>
        <v>26.594407923569111</v>
      </c>
      <c r="Y657" s="322">
        <f t="shared" si="265"/>
        <v>3376.7220000000002</v>
      </c>
      <c r="Z657" s="43">
        <f t="shared" si="254"/>
        <v>1.9408643682281797E-14</v>
      </c>
      <c r="AA657" s="52">
        <f t="shared" si="266"/>
        <v>1.9408643682281798E-16</v>
      </c>
      <c r="AB657" s="8">
        <f t="shared" si="267"/>
        <v>1195</v>
      </c>
      <c r="AC657" s="8">
        <f t="shared" si="268"/>
        <v>382583.00000000006</v>
      </c>
      <c r="AD657" s="8">
        <f t="shared" si="272"/>
        <v>1912.9150000000002</v>
      </c>
      <c r="AE657" s="8" t="str">
        <f t="shared" si="269"/>
        <v/>
      </c>
      <c r="AF657" s="22" t="str">
        <f t="shared" si="270"/>
        <v>CO_El Pa_2020g</v>
      </c>
      <c r="AG657">
        <v>1</v>
      </c>
      <c r="AH657" s="272">
        <v>48938</v>
      </c>
      <c r="AI657" s="273">
        <v>28944</v>
      </c>
      <c r="AJ657" s="274">
        <v>17535</v>
      </c>
      <c r="AK657" s="339">
        <v>11409</v>
      </c>
      <c r="AL657" s="340" t="s">
        <v>5806</v>
      </c>
      <c r="AM657" s="353">
        <f t="shared" si="271"/>
        <v>2.9820980022635606E-2</v>
      </c>
      <c r="AP657" s="23">
        <f t="shared" si="273"/>
        <v>32</v>
      </c>
      <c r="AQ657" s="392">
        <f t="shared" si="251"/>
        <v>0.28770554241347368</v>
      </c>
      <c r="AR657" s="392">
        <f t="shared" si="252"/>
        <v>0.81029844744038648</v>
      </c>
      <c r="AS657" s="392">
        <f t="shared" si="252"/>
        <v>0.99926742415351577</v>
      </c>
    </row>
    <row r="658" spans="1:45">
      <c r="A658" s="12" t="s">
        <v>1742</v>
      </c>
      <c r="B658" s="54" t="str">
        <f t="shared" si="255"/>
        <v>AZ_Maric_2020g</v>
      </c>
      <c r="C658" s="12"/>
      <c r="D658" s="54" t="str">
        <f t="shared" si="256"/>
        <v>Gen-superior court mullins, karen a. (vote for1)</v>
      </c>
      <c r="E658" s="54" t="s">
        <v>1981</v>
      </c>
      <c r="F658" s="12" t="s">
        <v>1300</v>
      </c>
      <c r="G658" s="59">
        <v>918935</v>
      </c>
      <c r="H658"/>
      <c r="K658" s="2"/>
      <c r="O658">
        <f t="shared" si="257"/>
        <v>1</v>
      </c>
      <c r="P658" s="57">
        <f t="shared" si="258"/>
        <v>1</v>
      </c>
      <c r="Q658" s="267">
        <f t="shared" si="259"/>
        <v>1254026</v>
      </c>
      <c r="R658" s="23">
        <f t="shared" si="260"/>
        <v>918935</v>
      </c>
      <c r="S658" s="23">
        <f t="shared" si="261"/>
        <v>335091</v>
      </c>
      <c r="T658" s="23">
        <f t="shared" si="262"/>
        <v>583844</v>
      </c>
      <c r="U658" t="str">
        <f t="shared" si="263"/>
        <v>AZ_Maric_2020g~Gen-superior court mullins, karen a. (vote for1)</v>
      </c>
      <c r="W658" s="1">
        <f t="shared" si="264"/>
        <v>20</v>
      </c>
      <c r="X658" s="73">
        <f t="shared" si="253"/>
        <v>24.18973821989529</v>
      </c>
      <c r="Y658" s="322">
        <f t="shared" si="265"/>
        <v>3856.4100000000003</v>
      </c>
      <c r="Z658" s="43">
        <f t="shared" si="254"/>
        <v>1.5656461651223163E-18</v>
      </c>
      <c r="AA658" s="52">
        <f t="shared" si="266"/>
        <v>1.5656461651223163E-20</v>
      </c>
      <c r="AB658" s="8">
        <f t="shared" si="267"/>
        <v>1195</v>
      </c>
      <c r="AC658" s="8">
        <f t="shared" si="268"/>
        <v>382583.00000000006</v>
      </c>
      <c r="AD658" s="8">
        <f t="shared" si="272"/>
        <v>1912.9150000000002</v>
      </c>
      <c r="AE658" s="8" t="str">
        <f t="shared" si="269"/>
        <v/>
      </c>
      <c r="AF658" s="22" t="str">
        <f t="shared" si="270"/>
        <v>CO_El Pa_2020g</v>
      </c>
      <c r="AG658">
        <v>1</v>
      </c>
      <c r="AH658" s="272">
        <v>55890</v>
      </c>
      <c r="AI658" s="273">
        <v>34013</v>
      </c>
      <c r="AJ658" s="274">
        <v>19688</v>
      </c>
      <c r="AK658" s="339">
        <v>14325</v>
      </c>
      <c r="AL658" s="340" t="s">
        <v>5805</v>
      </c>
      <c r="AM658" s="353">
        <f t="shared" si="271"/>
        <v>3.7442855537229827E-2</v>
      </c>
      <c r="AP658" s="23">
        <f t="shared" si="273"/>
        <v>45</v>
      </c>
      <c r="AQ658" s="392">
        <f t="shared" si="251"/>
        <v>0.38044312105708056</v>
      </c>
      <c r="AR658" s="392">
        <f t="shared" si="252"/>
        <v>0.90424138670860343</v>
      </c>
      <c r="AS658" s="392">
        <f t="shared" si="252"/>
        <v>0.99996249831244088</v>
      </c>
    </row>
    <row r="659" spans="1:45">
      <c r="A659" s="12" t="s">
        <v>1742</v>
      </c>
      <c r="B659" s="54" t="str">
        <f t="shared" si="255"/>
        <v>AZ_Maric_2020g</v>
      </c>
      <c r="C659" s="12"/>
      <c r="D659" s="54" t="str">
        <f t="shared" si="256"/>
        <v>Gen-superior court mullins, karen a. (vote for1)</v>
      </c>
      <c r="E659" s="54" t="s">
        <v>1982</v>
      </c>
      <c r="F659" s="12" t="s">
        <v>1300</v>
      </c>
      <c r="G659" s="59">
        <v>335091</v>
      </c>
      <c r="H659"/>
      <c r="K659" s="2"/>
      <c r="O659">
        <f t="shared" si="257"/>
        <v>2</v>
      </c>
      <c r="P659" s="57">
        <f t="shared" si="258"/>
        <v>1</v>
      </c>
      <c r="Q659" s="267">
        <f t="shared" si="259"/>
        <v>335091</v>
      </c>
      <c r="R659" s="23" t="str">
        <f t="shared" si="260"/>
        <v/>
      </c>
      <c r="S659" s="23">
        <f t="shared" si="261"/>
        <v>335091</v>
      </c>
      <c r="T659" s="23" t="str">
        <f t="shared" si="262"/>
        <v/>
      </c>
      <c r="U659" t="str">
        <f t="shared" si="263"/>
        <v/>
      </c>
      <c r="W659" s="1">
        <f t="shared" si="264"/>
        <v>21</v>
      </c>
      <c r="X659" s="73">
        <f t="shared" si="253"/>
        <v>34.010124438074143</v>
      </c>
      <c r="Y659" s="322">
        <f t="shared" si="265"/>
        <v>5809.5930000000008</v>
      </c>
      <c r="Z659" s="43">
        <f t="shared" si="254"/>
        <v>5.6178698420989594E-20</v>
      </c>
      <c r="AA659" s="52">
        <f t="shared" si="266"/>
        <v>5.6178698420989591E-22</v>
      </c>
      <c r="AB659" s="8">
        <f t="shared" si="267"/>
        <v>1195</v>
      </c>
      <c r="AC659" s="8">
        <f t="shared" si="268"/>
        <v>382583.00000000006</v>
      </c>
      <c r="AD659" s="8">
        <f t="shared" si="272"/>
        <v>1912.9150000000002</v>
      </c>
      <c r="AE659" s="8" t="str">
        <f t="shared" si="269"/>
        <v/>
      </c>
      <c r="AF659" s="22" t="str">
        <f t="shared" si="270"/>
        <v>CO_El Pa_2020g</v>
      </c>
      <c r="AG659">
        <v>1</v>
      </c>
      <c r="AH659" s="272">
        <v>84197</v>
      </c>
      <c r="AI659" s="273">
        <v>47463</v>
      </c>
      <c r="AJ659" s="274">
        <v>32114</v>
      </c>
      <c r="AK659" s="339">
        <v>15349</v>
      </c>
      <c r="AL659" s="340" t="s">
        <v>5813</v>
      </c>
      <c r="AM659" s="353">
        <f t="shared" si="271"/>
        <v>4.0119398927814354E-2</v>
      </c>
      <c r="AP659" s="23">
        <f t="shared" si="273"/>
        <v>49</v>
      </c>
      <c r="AQ659" s="392">
        <f t="shared" si="251"/>
        <v>0.40658794979118129</v>
      </c>
      <c r="AR659" s="392">
        <f t="shared" si="252"/>
        <v>0.92248262316156548</v>
      </c>
      <c r="AS659" s="392">
        <f t="shared" si="252"/>
        <v>0.99998504286464485</v>
      </c>
    </row>
    <row r="660" spans="1:45">
      <c r="A660" s="12" t="s">
        <v>1743</v>
      </c>
      <c r="B660" s="54" t="str">
        <f t="shared" si="255"/>
        <v>AZ_Maric_2020g</v>
      </c>
      <c r="C660" s="12"/>
      <c r="D660" s="54" t="str">
        <f t="shared" si="256"/>
        <v>Gen-superior court palmer, david j. (vote for1)</v>
      </c>
      <c r="E660" s="54" t="s">
        <v>1981</v>
      </c>
      <c r="F660" s="12" t="s">
        <v>1300</v>
      </c>
      <c r="G660" s="59">
        <v>954507</v>
      </c>
      <c r="H660"/>
      <c r="K660" s="2"/>
      <c r="O660">
        <f t="shared" si="257"/>
        <v>1</v>
      </c>
      <c r="P660" s="57">
        <f t="shared" si="258"/>
        <v>1</v>
      </c>
      <c r="Q660" s="267">
        <f t="shared" si="259"/>
        <v>1249175</v>
      </c>
      <c r="R660" s="23">
        <f t="shared" si="260"/>
        <v>954507</v>
      </c>
      <c r="S660" s="23">
        <f t="shared" si="261"/>
        <v>294668</v>
      </c>
      <c r="T660" s="23">
        <f t="shared" si="262"/>
        <v>659839</v>
      </c>
      <c r="U660" t="str">
        <f t="shared" si="263"/>
        <v>AZ_Maric_2020g~Gen-superior court palmer, david j. (vote for1)</v>
      </c>
      <c r="W660" s="1">
        <f t="shared" si="264"/>
        <v>22</v>
      </c>
      <c r="X660" s="73">
        <f t="shared" si="253"/>
        <v>30.137097573055968</v>
      </c>
      <c r="Y660" s="322">
        <f t="shared" si="265"/>
        <v>5417.3280000000004</v>
      </c>
      <c r="Z660" s="43">
        <f t="shared" si="254"/>
        <v>4.1069049615502351E-21</v>
      </c>
      <c r="AA660" s="52">
        <f t="shared" si="266"/>
        <v>4.1069049615502352E-23</v>
      </c>
      <c r="AB660" s="8">
        <f t="shared" si="267"/>
        <v>1195</v>
      </c>
      <c r="AC660" s="8">
        <f t="shared" si="268"/>
        <v>382583.00000000006</v>
      </c>
      <c r="AD660" s="8">
        <f t="shared" si="272"/>
        <v>1912.9150000000002</v>
      </c>
      <c r="AE660" s="8" t="str">
        <f t="shared" si="269"/>
        <v/>
      </c>
      <c r="AF660" s="22" t="str">
        <f t="shared" si="270"/>
        <v>CO_El Pa_2020g</v>
      </c>
      <c r="AG660">
        <v>1</v>
      </c>
      <c r="AH660" s="272">
        <v>78512</v>
      </c>
      <c r="AI660" s="273">
        <v>45808</v>
      </c>
      <c r="AJ660" s="274">
        <v>29656</v>
      </c>
      <c r="AK660" s="339">
        <v>16152</v>
      </c>
      <c r="AL660" s="340" t="s">
        <v>5814</v>
      </c>
      <c r="AM660" s="353">
        <f t="shared" si="271"/>
        <v>4.2218289887423113E-2</v>
      </c>
      <c r="AP660" s="23">
        <f t="shared" si="273"/>
        <v>52</v>
      </c>
      <c r="AQ660" s="392">
        <f t="shared" si="251"/>
        <v>0.42550506243835062</v>
      </c>
      <c r="AR660" s="392">
        <f t="shared" si="252"/>
        <v>0.93386488368241205</v>
      </c>
      <c r="AS660" s="392">
        <f t="shared" si="252"/>
        <v>0.99999250427158848</v>
      </c>
    </row>
    <row r="661" spans="1:45">
      <c r="A661" s="12" t="s">
        <v>1743</v>
      </c>
      <c r="B661" s="54" t="str">
        <f t="shared" si="255"/>
        <v>AZ_Maric_2020g</v>
      </c>
      <c r="C661" s="12"/>
      <c r="D661" s="54" t="str">
        <f t="shared" si="256"/>
        <v>Gen-superior court palmer, david j. (vote for1)</v>
      </c>
      <c r="E661" s="54" t="s">
        <v>1982</v>
      </c>
      <c r="F661" s="12" t="s">
        <v>1300</v>
      </c>
      <c r="G661" s="59">
        <v>294668</v>
      </c>
      <c r="H661"/>
      <c r="K661" s="2"/>
      <c r="O661">
        <f t="shared" si="257"/>
        <v>2</v>
      </c>
      <c r="P661" s="57">
        <f t="shared" si="258"/>
        <v>1</v>
      </c>
      <c r="Q661" s="267">
        <f t="shared" si="259"/>
        <v>294668</v>
      </c>
      <c r="R661" s="23" t="str">
        <f t="shared" si="260"/>
        <v/>
      </c>
      <c r="S661" s="23">
        <f t="shared" si="261"/>
        <v>294668</v>
      </c>
      <c r="T661" s="23" t="str">
        <f t="shared" si="262"/>
        <v/>
      </c>
      <c r="U661" t="str">
        <f t="shared" si="263"/>
        <v/>
      </c>
      <c r="W661" s="1">
        <f t="shared" si="264"/>
        <v>23</v>
      </c>
      <c r="X661" s="73">
        <f t="shared" si="253"/>
        <v>20.146871320437345</v>
      </c>
      <c r="Y661" s="322">
        <f t="shared" si="265"/>
        <v>5331.8370000000004</v>
      </c>
      <c r="Z661" s="43">
        <f t="shared" si="254"/>
        <v>4.9639193303025369E-32</v>
      </c>
      <c r="AA661" s="52">
        <f t="shared" si="266"/>
        <v>4.9639193303025374E-34</v>
      </c>
      <c r="AB661" s="8">
        <f t="shared" si="267"/>
        <v>1195</v>
      </c>
      <c r="AC661" s="8">
        <f t="shared" si="268"/>
        <v>382583.00000000006</v>
      </c>
      <c r="AD661" s="8">
        <f t="shared" si="272"/>
        <v>1912.9150000000002</v>
      </c>
      <c r="AE661" s="8" t="str">
        <f t="shared" si="269"/>
        <v/>
      </c>
      <c r="AF661" s="22" t="str">
        <f t="shared" si="270"/>
        <v>CO_El Pa_2020g</v>
      </c>
      <c r="AG661">
        <v>1</v>
      </c>
      <c r="AH661" s="272">
        <v>77273</v>
      </c>
      <c r="AI661" s="273">
        <v>48904</v>
      </c>
      <c r="AJ661" s="274">
        <v>25124</v>
      </c>
      <c r="AK661" s="339">
        <v>23780</v>
      </c>
      <c r="AL661" s="340" t="s">
        <v>5798</v>
      </c>
      <c r="AM661" s="353">
        <f t="shared" si="271"/>
        <v>6.215644709775394E-2</v>
      </c>
      <c r="AP661" s="23">
        <f t="shared" si="273"/>
        <v>84</v>
      </c>
      <c r="AQ661" s="392">
        <f t="shared" si="251"/>
        <v>0.59470706985993416</v>
      </c>
      <c r="AR661" s="392">
        <f t="shared" si="252"/>
        <v>0.98804372919654537</v>
      </c>
      <c r="AS661" s="392">
        <f t="shared" si="252"/>
        <v>0.99999999563327602</v>
      </c>
    </row>
    <row r="662" spans="1:45">
      <c r="A662" s="12" t="s">
        <v>1744</v>
      </c>
      <c r="B662" s="54" t="str">
        <f t="shared" si="255"/>
        <v>AZ_Maric_2020g</v>
      </c>
      <c r="C662" s="12"/>
      <c r="D662" s="54" t="str">
        <f t="shared" si="256"/>
        <v>Gen-superior court ponce, adele g. (vote for1)</v>
      </c>
      <c r="E662" s="54" t="s">
        <v>1981</v>
      </c>
      <c r="F662" s="12" t="s">
        <v>1300</v>
      </c>
      <c r="G662" s="59">
        <v>880669</v>
      </c>
      <c r="H662"/>
      <c r="K662" s="2"/>
      <c r="O662">
        <f t="shared" si="257"/>
        <v>1</v>
      </c>
      <c r="P662" s="57">
        <f t="shared" si="258"/>
        <v>1</v>
      </c>
      <c r="Q662" s="267">
        <f t="shared" si="259"/>
        <v>1257506</v>
      </c>
      <c r="R662" s="23">
        <f t="shared" si="260"/>
        <v>880669</v>
      </c>
      <c r="S662" s="23">
        <f t="shared" si="261"/>
        <v>376837</v>
      </c>
      <c r="T662" s="23">
        <f t="shared" si="262"/>
        <v>503832</v>
      </c>
      <c r="U662" t="str">
        <f t="shared" si="263"/>
        <v>AZ_Maric_2020g~Gen-superior court ponce, adele g. (vote for1)</v>
      </c>
      <c r="W662" s="1">
        <f t="shared" si="264"/>
        <v>24</v>
      </c>
      <c r="X662" s="73">
        <f t="shared" si="253"/>
        <v>12.414002413142343</v>
      </c>
      <c r="Y662" s="322">
        <f t="shared" si="265"/>
        <v>4465.6110000000008</v>
      </c>
      <c r="Z662" s="43">
        <f t="shared" si="254"/>
        <v>1.5471258181859456E-44</v>
      </c>
      <c r="AA662" s="52">
        <f t="shared" si="266"/>
        <v>1.5471258181859455E-46</v>
      </c>
      <c r="AB662" s="8">
        <f t="shared" si="267"/>
        <v>1195</v>
      </c>
      <c r="AC662" s="8">
        <f t="shared" si="268"/>
        <v>382583.00000000006</v>
      </c>
      <c r="AD662" s="8">
        <f t="shared" si="272"/>
        <v>1912.9150000000002</v>
      </c>
      <c r="AE662" s="8" t="str">
        <f t="shared" si="269"/>
        <v/>
      </c>
      <c r="AF662" s="22" t="str">
        <f t="shared" si="270"/>
        <v>CO_El Pa_2020g</v>
      </c>
      <c r="AG662">
        <v>1</v>
      </c>
      <c r="AH662" s="272">
        <v>64719</v>
      </c>
      <c r="AI662" s="273">
        <v>48521</v>
      </c>
      <c r="AJ662" s="274">
        <v>16198</v>
      </c>
      <c r="AK662" s="339">
        <v>32323</v>
      </c>
      <c r="AL662" s="340" t="s">
        <v>5810</v>
      </c>
      <c r="AM662" s="353">
        <f t="shared" si="271"/>
        <v>8.4486242201038717E-2</v>
      </c>
      <c r="AP662" s="23">
        <f t="shared" si="273"/>
        <v>120</v>
      </c>
      <c r="AQ662" s="392">
        <f t="shared" si="251"/>
        <v>0.7282985794563237</v>
      </c>
      <c r="AR662" s="392">
        <f t="shared" si="252"/>
        <v>0.99831822193492648</v>
      </c>
      <c r="AS662" s="392">
        <f t="shared" si="252"/>
        <v>0.99999999999916056</v>
      </c>
    </row>
    <row r="663" spans="1:45">
      <c r="A663" s="12" t="s">
        <v>1744</v>
      </c>
      <c r="B663" s="54" t="str">
        <f t="shared" si="255"/>
        <v>AZ_Maric_2020g</v>
      </c>
      <c r="C663" s="12"/>
      <c r="D663" s="54" t="str">
        <f t="shared" si="256"/>
        <v>Gen-superior court ponce, adele g. (vote for1)</v>
      </c>
      <c r="E663" s="54" t="s">
        <v>1982</v>
      </c>
      <c r="F663" s="12" t="s">
        <v>1300</v>
      </c>
      <c r="G663" s="59">
        <v>376837</v>
      </c>
      <c r="H663"/>
      <c r="K663" s="2"/>
      <c r="O663">
        <f t="shared" si="257"/>
        <v>2</v>
      </c>
      <c r="P663" s="57">
        <f t="shared" si="258"/>
        <v>1</v>
      </c>
      <c r="Q663" s="267">
        <f t="shared" si="259"/>
        <v>376837</v>
      </c>
      <c r="R663" s="23" t="str">
        <f t="shared" si="260"/>
        <v/>
      </c>
      <c r="S663" s="23">
        <f t="shared" si="261"/>
        <v>376837</v>
      </c>
      <c r="T663" s="23" t="str">
        <f t="shared" si="262"/>
        <v/>
      </c>
      <c r="U663" t="str">
        <f t="shared" si="263"/>
        <v/>
      </c>
      <c r="W663" s="1">
        <f t="shared" si="264"/>
        <v>25</v>
      </c>
      <c r="X663" s="73">
        <f t="shared" si="253"/>
        <v>35.075421657592258</v>
      </c>
      <c r="Y663" s="322">
        <f t="shared" si="265"/>
        <v>16131.441000000001</v>
      </c>
      <c r="Z663" s="43">
        <f t="shared" si="254"/>
        <v>4.7513997392728327E-58</v>
      </c>
      <c r="AA663" s="52">
        <f t="shared" si="266"/>
        <v>4.7513997392728329E-60</v>
      </c>
      <c r="AB663" s="8">
        <f t="shared" si="267"/>
        <v>1195</v>
      </c>
      <c r="AC663" s="8">
        <f t="shared" si="268"/>
        <v>382583.00000000006</v>
      </c>
      <c r="AD663" s="8">
        <f t="shared" si="272"/>
        <v>1912.9150000000002</v>
      </c>
      <c r="AE663" s="8" t="str">
        <f t="shared" si="269"/>
        <v/>
      </c>
      <c r="AF663" s="22" t="str">
        <f t="shared" si="270"/>
        <v>CO_El Pa_2020g</v>
      </c>
      <c r="AG663">
        <v>1</v>
      </c>
      <c r="AH663" s="272">
        <v>233789</v>
      </c>
      <c r="AI663" s="273">
        <v>137557</v>
      </c>
      <c r="AJ663" s="274">
        <v>96232</v>
      </c>
      <c r="AK663" s="339">
        <v>41325</v>
      </c>
      <c r="AL663" s="340" t="s">
        <v>5785</v>
      </c>
      <c r="AM663" s="353">
        <f t="shared" si="271"/>
        <v>0.10801577696865776</v>
      </c>
      <c r="AP663" s="23">
        <f t="shared" si="273"/>
        <v>158</v>
      </c>
      <c r="AQ663" s="392">
        <f t="shared" si="251"/>
        <v>0.82342931059460001</v>
      </c>
      <c r="AR663" s="392">
        <f t="shared" si="252"/>
        <v>0.99979708118871569</v>
      </c>
      <c r="AS663" s="392">
        <f t="shared" si="252"/>
        <v>0.99999999999999989</v>
      </c>
    </row>
    <row r="664" spans="1:45">
      <c r="A664" s="12" t="s">
        <v>1745</v>
      </c>
      <c r="B664" s="54" t="str">
        <f t="shared" si="255"/>
        <v>AZ_Maric_2020g</v>
      </c>
      <c r="C664" s="12"/>
      <c r="D664" s="54" t="str">
        <f t="shared" si="256"/>
        <v>Gen-superior court ryan, timothy j. (vote for1)</v>
      </c>
      <c r="E664" s="54" t="s">
        <v>1981</v>
      </c>
      <c r="F664" s="12" t="s">
        <v>1300</v>
      </c>
      <c r="G664" s="59">
        <v>879833</v>
      </c>
      <c r="H664"/>
      <c r="K664" s="2"/>
      <c r="O664">
        <f t="shared" si="257"/>
        <v>1</v>
      </c>
      <c r="P664" s="57">
        <f t="shared" si="258"/>
        <v>1</v>
      </c>
      <c r="Q664" s="267">
        <f t="shared" si="259"/>
        <v>1249165</v>
      </c>
      <c r="R664" s="23">
        <f t="shared" si="260"/>
        <v>879833</v>
      </c>
      <c r="S664" s="23">
        <f t="shared" si="261"/>
        <v>369332</v>
      </c>
      <c r="T664" s="23">
        <f t="shared" si="262"/>
        <v>510501</v>
      </c>
      <c r="U664" t="str">
        <f t="shared" si="263"/>
        <v>AZ_Maric_2020g~Gen-superior court ryan, timothy j. (vote for1)</v>
      </c>
      <c r="W664" s="1">
        <f t="shared" si="264"/>
        <v>26</v>
      </c>
      <c r="X664" s="73">
        <f t="shared" si="253"/>
        <v>33.200383417205849</v>
      </c>
      <c r="Y664" s="322">
        <f t="shared" si="265"/>
        <v>15418.740000000002</v>
      </c>
      <c r="Z664" s="43">
        <f t="shared" si="254"/>
        <v>1.1495706498999586E-58</v>
      </c>
      <c r="AA664" s="52">
        <f t="shared" si="266"/>
        <v>1.1495706498999586E-60</v>
      </c>
      <c r="AB664" s="8">
        <f t="shared" si="267"/>
        <v>1195</v>
      </c>
      <c r="AC664" s="8">
        <f t="shared" si="268"/>
        <v>382583.00000000006</v>
      </c>
      <c r="AD664" s="8">
        <f t="shared" si="272"/>
        <v>1912.9150000000002</v>
      </c>
      <c r="AE664" s="8" t="str">
        <f t="shared" si="269"/>
        <v/>
      </c>
      <c r="AF664" s="22" t="str">
        <f t="shared" si="270"/>
        <v>CO_El Pa_2020g</v>
      </c>
      <c r="AG664">
        <v>1</v>
      </c>
      <c r="AH664" s="272">
        <v>223460</v>
      </c>
      <c r="AI664" s="273">
        <v>132595</v>
      </c>
      <c r="AJ664" s="274">
        <v>90865</v>
      </c>
      <c r="AK664" s="339">
        <v>41730</v>
      </c>
      <c r="AL664" s="340" t="s">
        <v>5786</v>
      </c>
      <c r="AM664" s="353">
        <f t="shared" si="271"/>
        <v>0.10907437079012919</v>
      </c>
      <c r="AP664" s="23">
        <f t="shared" si="273"/>
        <v>160</v>
      </c>
      <c r="AQ664" s="392">
        <f t="shared" si="251"/>
        <v>0.82743418637982591</v>
      </c>
      <c r="AR664" s="392">
        <f t="shared" si="252"/>
        <v>0.99981869163605042</v>
      </c>
      <c r="AS664" s="392">
        <f t="shared" si="252"/>
        <v>1</v>
      </c>
    </row>
    <row r="665" spans="1:45">
      <c r="A665" s="12" t="s">
        <v>1745</v>
      </c>
      <c r="B665" s="54" t="str">
        <f t="shared" si="255"/>
        <v>AZ_Maric_2020g</v>
      </c>
      <c r="C665" s="12"/>
      <c r="D665" s="54" t="str">
        <f t="shared" si="256"/>
        <v>Gen-superior court ryan, timothy j. (vote for1)</v>
      </c>
      <c r="E665" s="54" t="s">
        <v>1982</v>
      </c>
      <c r="F665" s="12" t="s">
        <v>1300</v>
      </c>
      <c r="G665" s="59">
        <v>369332</v>
      </c>
      <c r="H665"/>
      <c r="K665" s="2"/>
      <c r="O665">
        <f t="shared" si="257"/>
        <v>2</v>
      </c>
      <c r="P665" s="57">
        <f t="shared" si="258"/>
        <v>1</v>
      </c>
      <c r="Q665" s="267">
        <f t="shared" si="259"/>
        <v>369332</v>
      </c>
      <c r="R665" s="23" t="str">
        <f t="shared" si="260"/>
        <v/>
      </c>
      <c r="S665" s="23">
        <f t="shared" si="261"/>
        <v>369332</v>
      </c>
      <c r="T665" s="23" t="str">
        <f t="shared" si="262"/>
        <v/>
      </c>
      <c r="U665" t="str">
        <f t="shared" si="263"/>
        <v/>
      </c>
      <c r="W665" s="1">
        <f t="shared" si="264"/>
        <v>27</v>
      </c>
      <c r="X665" s="73">
        <f t="shared" si="253"/>
        <v>44.918187210819788</v>
      </c>
      <c r="Y665" s="322">
        <f t="shared" si="265"/>
        <v>21068.115000000002</v>
      </c>
      <c r="Z665" s="43">
        <f t="shared" si="254"/>
        <v>2.6808514509490119E-59</v>
      </c>
      <c r="AA665" s="52">
        <f t="shared" si="266"/>
        <v>2.6808514509490117E-61</v>
      </c>
      <c r="AB665" s="8">
        <f t="shared" si="267"/>
        <v>1195</v>
      </c>
      <c r="AC665" s="8">
        <f t="shared" si="268"/>
        <v>382583.00000000006</v>
      </c>
      <c r="AD665" s="8">
        <f t="shared" si="272"/>
        <v>1912.9150000000002</v>
      </c>
      <c r="AE665" s="8" t="str">
        <f t="shared" si="269"/>
        <v/>
      </c>
      <c r="AF665" s="22" t="str">
        <f t="shared" si="270"/>
        <v>CO_El Pa_2020g</v>
      </c>
      <c r="AG665">
        <v>1</v>
      </c>
      <c r="AH665" s="272">
        <v>305335</v>
      </c>
      <c r="AI665" s="273">
        <v>173740</v>
      </c>
      <c r="AJ665" s="274">
        <v>131595</v>
      </c>
      <c r="AK665" s="339">
        <v>42145</v>
      </c>
      <c r="AL665" s="340" t="s">
        <v>5795</v>
      </c>
      <c r="AM665" s="353">
        <f t="shared" si="271"/>
        <v>0.11015910273064929</v>
      </c>
      <c r="AP665" s="23">
        <f t="shared" si="273"/>
        <v>162</v>
      </c>
      <c r="AQ665" s="392">
        <f t="shared" si="251"/>
        <v>0.83135266954821152</v>
      </c>
      <c r="AR665" s="392">
        <f t="shared" si="252"/>
        <v>0.99983802204125061</v>
      </c>
      <c r="AS665" s="392">
        <f t="shared" si="252"/>
        <v>1</v>
      </c>
    </row>
    <row r="666" spans="1:45">
      <c r="A666" s="12" t="s">
        <v>1746</v>
      </c>
      <c r="B666" s="54" t="str">
        <f t="shared" si="255"/>
        <v>AZ_Maric_2020g</v>
      </c>
      <c r="C666" s="12"/>
      <c r="D666" s="54" t="str">
        <f t="shared" si="256"/>
        <v>Gen-superior court sanders, teresa a. (vote for1)</v>
      </c>
      <c r="E666" s="54" t="s">
        <v>1981</v>
      </c>
      <c r="F666" s="12" t="s">
        <v>1300</v>
      </c>
      <c r="G666" s="59">
        <v>961495</v>
      </c>
      <c r="H666"/>
      <c r="K666" s="2"/>
      <c r="O666">
        <f t="shared" si="257"/>
        <v>1</v>
      </c>
      <c r="P666" s="57">
        <f t="shared" si="258"/>
        <v>1</v>
      </c>
      <c r="Q666" s="267">
        <f t="shared" si="259"/>
        <v>1253046</v>
      </c>
      <c r="R666" s="23">
        <f t="shared" si="260"/>
        <v>961495</v>
      </c>
      <c r="S666" s="23">
        <f t="shared" si="261"/>
        <v>291551</v>
      </c>
      <c r="T666" s="23">
        <f t="shared" si="262"/>
        <v>669944</v>
      </c>
      <c r="U666" t="str">
        <f t="shared" si="263"/>
        <v>AZ_Maric_2020g~Gen-superior court sanders, teresa a. (vote for1)</v>
      </c>
      <c r="W666" s="1">
        <f t="shared" si="264"/>
        <v>28</v>
      </c>
      <c r="X666" s="73">
        <f t="shared" si="253"/>
        <v>12.800177215629724</v>
      </c>
      <c r="Y666" s="322">
        <f t="shared" si="265"/>
        <v>8199.2010000000009</v>
      </c>
      <c r="Z666" s="43">
        <f t="shared" si="254"/>
        <v>2.4263844083362215E-83</v>
      </c>
      <c r="AA666" s="52">
        <f t="shared" si="266"/>
        <v>2.4263844083362215E-85</v>
      </c>
      <c r="AB666" s="8">
        <f t="shared" si="267"/>
        <v>1195</v>
      </c>
      <c r="AC666" s="8">
        <f t="shared" si="268"/>
        <v>382583.00000000006</v>
      </c>
      <c r="AD666" s="8">
        <f t="shared" si="272"/>
        <v>1912.9150000000002</v>
      </c>
      <c r="AE666" s="8" t="str">
        <f t="shared" si="269"/>
        <v/>
      </c>
      <c r="AF666" s="22" t="str">
        <f t="shared" si="270"/>
        <v>CO_El Pa_2020g</v>
      </c>
      <c r="AG666">
        <v>1</v>
      </c>
      <c r="AH666" s="272">
        <v>118829</v>
      </c>
      <c r="AI666" s="273">
        <v>88193</v>
      </c>
      <c r="AJ666" s="274">
        <v>30636</v>
      </c>
      <c r="AK666" s="339">
        <v>57557</v>
      </c>
      <c r="AL666" s="340" t="s">
        <v>5788</v>
      </c>
      <c r="AM666" s="353">
        <f t="shared" si="271"/>
        <v>0.15044317180847031</v>
      </c>
      <c r="AP666" s="23">
        <f t="shared" si="273"/>
        <v>226</v>
      </c>
      <c r="AQ666" s="392">
        <f t="shared" si="251"/>
        <v>0.92028016980630589</v>
      </c>
      <c r="AR666" s="392">
        <f t="shared" si="252"/>
        <v>0.99999591199854598</v>
      </c>
      <c r="AS666" s="392">
        <f t="shared" si="252"/>
        <v>1</v>
      </c>
    </row>
    <row r="667" spans="1:45">
      <c r="A667" s="12" t="s">
        <v>1746</v>
      </c>
      <c r="B667" s="54" t="str">
        <f t="shared" si="255"/>
        <v>AZ_Maric_2020g</v>
      </c>
      <c r="C667" s="12"/>
      <c r="D667" s="54" t="str">
        <f t="shared" si="256"/>
        <v>Gen-superior court sanders, teresa a. (vote for1)</v>
      </c>
      <c r="E667" s="54" t="s">
        <v>1982</v>
      </c>
      <c r="F667" s="12" t="s">
        <v>1300</v>
      </c>
      <c r="G667" s="59">
        <v>291551</v>
      </c>
      <c r="H667"/>
      <c r="K667" s="2"/>
      <c r="O667">
        <f t="shared" si="257"/>
        <v>2</v>
      </c>
      <c r="P667" s="57">
        <f t="shared" si="258"/>
        <v>1</v>
      </c>
      <c r="Q667" s="267">
        <f t="shared" si="259"/>
        <v>291551</v>
      </c>
      <c r="R667" s="23" t="str">
        <f t="shared" si="260"/>
        <v/>
      </c>
      <c r="S667" s="23">
        <f t="shared" si="261"/>
        <v>291551</v>
      </c>
      <c r="T667" s="23" t="str">
        <f t="shared" si="262"/>
        <v/>
      </c>
      <c r="U667" t="str">
        <f t="shared" si="263"/>
        <v/>
      </c>
      <c r="W667" s="1">
        <f t="shared" si="264"/>
        <v>29</v>
      </c>
      <c r="X667" s="73">
        <f t="shared" si="253"/>
        <v>33.233583199734248</v>
      </c>
      <c r="Y667" s="322">
        <f t="shared" si="265"/>
        <v>25607.832000000002</v>
      </c>
      <c r="Z667" s="43">
        <f t="shared" si="254"/>
        <v>2.4642893617223536E-102</v>
      </c>
      <c r="AA667" s="52">
        <f t="shared" si="266"/>
        <v>2.4642893617223537E-104</v>
      </c>
      <c r="AB667" s="8">
        <f t="shared" si="267"/>
        <v>1195</v>
      </c>
      <c r="AC667" s="8">
        <f t="shared" si="268"/>
        <v>382583.00000000006</v>
      </c>
      <c r="AD667" s="8">
        <f t="shared" si="272"/>
        <v>1912.9150000000002</v>
      </c>
      <c r="AE667" s="8" t="str">
        <f t="shared" si="269"/>
        <v/>
      </c>
      <c r="AF667" s="22" t="str">
        <f t="shared" si="270"/>
        <v>CO_El Pa_2020g</v>
      </c>
      <c r="AG667">
        <v>1</v>
      </c>
      <c r="AH667" s="272">
        <v>371128</v>
      </c>
      <c r="AI667" s="273">
        <v>210639</v>
      </c>
      <c r="AJ667" s="274">
        <v>141402</v>
      </c>
      <c r="AK667" s="339">
        <v>69237</v>
      </c>
      <c r="AL667" s="340" t="s">
        <v>5973</v>
      </c>
      <c r="AM667" s="353">
        <f t="shared" si="271"/>
        <v>0.18097249485732506</v>
      </c>
      <c r="AP667" s="23">
        <f t="shared" si="273"/>
        <v>275</v>
      </c>
      <c r="AQ667" s="392">
        <f t="shared" si="251"/>
        <v>0.95595343816103884</v>
      </c>
      <c r="AR667" s="392">
        <f t="shared" si="252"/>
        <v>0.99999977854277544</v>
      </c>
      <c r="AS667" s="392">
        <f t="shared" si="252"/>
        <v>1</v>
      </c>
    </row>
    <row r="668" spans="1:45">
      <c r="A668" s="12" t="s">
        <v>1747</v>
      </c>
      <c r="B668" s="54" t="str">
        <f t="shared" si="255"/>
        <v>AZ_Maric_2020g</v>
      </c>
      <c r="C668" s="12"/>
      <c r="D668" s="54" t="str">
        <f t="shared" si="256"/>
        <v>Gen-superior court starr, patricia ann (vote for1)</v>
      </c>
      <c r="E668" s="54" t="s">
        <v>1981</v>
      </c>
      <c r="F668" s="12" t="s">
        <v>1300</v>
      </c>
      <c r="G668" s="59">
        <v>980218</v>
      </c>
      <c r="H668"/>
      <c r="K668" s="2"/>
      <c r="O668">
        <f t="shared" si="257"/>
        <v>1</v>
      </c>
      <c r="P668" s="57">
        <f t="shared" si="258"/>
        <v>1</v>
      </c>
      <c r="Q668" s="267">
        <f t="shared" si="259"/>
        <v>1251930</v>
      </c>
      <c r="R668" s="23">
        <f t="shared" si="260"/>
        <v>980218</v>
      </c>
      <c r="S668" s="23">
        <f t="shared" si="261"/>
        <v>271712</v>
      </c>
      <c r="T668" s="23">
        <f t="shared" si="262"/>
        <v>708506</v>
      </c>
      <c r="U668" t="str">
        <f t="shared" si="263"/>
        <v>AZ_Maric_2020g~Gen-superior court starr, patricia ann (vote for1)</v>
      </c>
      <c r="W668" s="1">
        <f t="shared" si="264"/>
        <v>30</v>
      </c>
      <c r="X668" s="73">
        <f t="shared" si="253"/>
        <v>13.270075680670974</v>
      </c>
      <c r="Y668" s="322">
        <f t="shared" si="265"/>
        <v>21094.611000000001</v>
      </c>
      <c r="Z668" s="43">
        <f t="shared" si="254"/>
        <v>2.7907021494480736E-241</v>
      </c>
      <c r="AA668" s="52">
        <f t="shared" si="266"/>
        <v>2.7907021494480738E-243</v>
      </c>
      <c r="AB668" s="8">
        <f t="shared" si="267"/>
        <v>1195</v>
      </c>
      <c r="AC668" s="8">
        <f t="shared" si="268"/>
        <v>382583.00000000006</v>
      </c>
      <c r="AD668" s="8">
        <f t="shared" si="272"/>
        <v>1912.9150000000002</v>
      </c>
      <c r="AE668" s="8" t="str">
        <f t="shared" si="269"/>
        <v/>
      </c>
      <c r="AF668" s="22" t="str">
        <f t="shared" si="270"/>
        <v>CO_El Pa_2020g</v>
      </c>
      <c r="AG668">
        <v>1</v>
      </c>
      <c r="AH668" s="272">
        <v>305719</v>
      </c>
      <c r="AI668" s="273">
        <v>224278</v>
      </c>
      <c r="AJ668" s="274">
        <v>81441</v>
      </c>
      <c r="AK668" s="339">
        <v>142837</v>
      </c>
      <c r="AL668" s="340" t="s">
        <v>5792</v>
      </c>
      <c r="AM668" s="353">
        <f t="shared" si="271"/>
        <v>0.37334905105558785</v>
      </c>
      <c r="AP668" s="23">
        <f t="shared" si="273"/>
        <v>585</v>
      </c>
      <c r="AQ668" s="392">
        <f t="shared" si="251"/>
        <v>0.99935660767961509</v>
      </c>
      <c r="AR668" s="392">
        <f t="shared" si="252"/>
        <v>0.99999999999999978</v>
      </c>
      <c r="AS668" s="392">
        <f t="shared" si="252"/>
        <v>1</v>
      </c>
    </row>
    <row r="669" spans="1:45">
      <c r="A669" s="12" t="s">
        <v>1747</v>
      </c>
      <c r="B669" s="54" t="str">
        <f t="shared" si="255"/>
        <v>AZ_Maric_2020g</v>
      </c>
      <c r="C669" s="12"/>
      <c r="D669" s="54" t="str">
        <f t="shared" si="256"/>
        <v>Gen-superior court starr, patricia ann (vote for1)</v>
      </c>
      <c r="E669" s="54" t="s">
        <v>1982</v>
      </c>
      <c r="F669" s="12" t="s">
        <v>1300</v>
      </c>
      <c r="G669" s="59">
        <v>271712</v>
      </c>
      <c r="H669"/>
      <c r="K669" s="2"/>
      <c r="O669">
        <f t="shared" si="257"/>
        <v>2</v>
      </c>
      <c r="P669" s="57">
        <f t="shared" si="258"/>
        <v>1</v>
      </c>
      <c r="Q669" s="267">
        <f t="shared" si="259"/>
        <v>271712</v>
      </c>
      <c r="R669" s="23" t="str">
        <f t="shared" si="260"/>
        <v/>
      </c>
      <c r="S669" s="23">
        <f t="shared" si="261"/>
        <v>271712</v>
      </c>
      <c r="T669" s="23" t="str">
        <f t="shared" si="262"/>
        <v/>
      </c>
      <c r="U669" t="str">
        <f t="shared" si="263"/>
        <v/>
      </c>
      <c r="W669" s="1">
        <f t="shared" si="264"/>
        <v>31</v>
      </c>
      <c r="X669" s="73">
        <f t="shared" si="253"/>
        <v>12.804496187897165</v>
      </c>
      <c r="Y669" s="322">
        <f t="shared" si="265"/>
        <v>21101.787</v>
      </c>
      <c r="Z669" s="43">
        <f t="shared" si="254"/>
        <v>9.2886978730675057E-253</v>
      </c>
      <c r="AA669" s="52">
        <f t="shared" si="266"/>
        <v>9.2886978730675058E-255</v>
      </c>
      <c r="AB669" s="8">
        <f t="shared" si="267"/>
        <v>1195</v>
      </c>
      <c r="AC669" s="8">
        <f t="shared" si="268"/>
        <v>382583.00000000006</v>
      </c>
      <c r="AD669" s="8">
        <f t="shared" si="272"/>
        <v>1912.9150000000002</v>
      </c>
      <c r="AE669" s="8" t="str">
        <f t="shared" si="269"/>
        <v/>
      </c>
      <c r="AF669" s="22" t="str">
        <f t="shared" si="270"/>
        <v>CO_El Pa_2020g</v>
      </c>
      <c r="AG669">
        <v>1</v>
      </c>
      <c r="AH669" s="272">
        <v>305823</v>
      </c>
      <c r="AI669" s="273">
        <v>226952</v>
      </c>
      <c r="AJ669" s="274">
        <v>78871</v>
      </c>
      <c r="AK669" s="339">
        <v>148081</v>
      </c>
      <c r="AL669" s="340" t="s">
        <v>5791</v>
      </c>
      <c r="AM669" s="353">
        <f t="shared" si="271"/>
        <v>0.38705588068471408</v>
      </c>
      <c r="AP669" s="23">
        <f t="shared" si="273"/>
        <v>607</v>
      </c>
      <c r="AQ669" s="392">
        <f t="shared" si="251"/>
        <v>0.99954058106365695</v>
      </c>
      <c r="AR669" s="392">
        <f t="shared" si="252"/>
        <v>1</v>
      </c>
      <c r="AS669" s="392">
        <f t="shared" si="252"/>
        <v>1</v>
      </c>
    </row>
    <row r="670" spans="1:45">
      <c r="A670" s="12" t="s">
        <v>1748</v>
      </c>
      <c r="B670" s="54" t="str">
        <f t="shared" si="255"/>
        <v>AZ_Maric_2020g</v>
      </c>
      <c r="C670" s="12"/>
      <c r="D670" s="54" t="str">
        <f t="shared" si="256"/>
        <v>Gen-superior court stephens, sherry k. (vote for1)</v>
      </c>
      <c r="E670" s="54" t="s">
        <v>1981</v>
      </c>
      <c r="F670" s="12" t="s">
        <v>1300</v>
      </c>
      <c r="G670" s="59">
        <v>931260</v>
      </c>
      <c r="H670"/>
      <c r="K670" s="2"/>
      <c r="O670">
        <f t="shared" si="257"/>
        <v>1</v>
      </c>
      <c r="P670" s="57">
        <f t="shared" si="258"/>
        <v>1</v>
      </c>
      <c r="Q670" s="267">
        <f t="shared" si="259"/>
        <v>1254599</v>
      </c>
      <c r="R670" s="23">
        <f t="shared" si="260"/>
        <v>931260</v>
      </c>
      <c r="S670" s="23">
        <f t="shared" si="261"/>
        <v>323339</v>
      </c>
      <c r="T670" s="23">
        <f t="shared" si="262"/>
        <v>607921</v>
      </c>
      <c r="U670" t="str">
        <f t="shared" si="263"/>
        <v>AZ_Maric_2020g~Gen-superior court stephens, sherry k. (vote for1)</v>
      </c>
      <c r="W670" s="1">
        <f t="shared" si="264"/>
        <v>32</v>
      </c>
      <c r="X670" s="73">
        <f t="shared" si="253"/>
        <v>12.178275720375984</v>
      </c>
      <c r="Y670" s="322">
        <f t="shared" si="265"/>
        <v>21109.446000000004</v>
      </c>
      <c r="Z670" s="43">
        <f t="shared" si="254"/>
        <v>5.0956922548356833E-270</v>
      </c>
      <c r="AA670" s="52">
        <f t="shared" si="266"/>
        <v>5.0956922548356834E-272</v>
      </c>
      <c r="AB670" s="8">
        <f t="shared" si="267"/>
        <v>1195</v>
      </c>
      <c r="AC670" s="8">
        <f t="shared" si="268"/>
        <v>382583.00000000006</v>
      </c>
      <c r="AD670" s="8">
        <f t="shared" si="272"/>
        <v>1912.9150000000002</v>
      </c>
      <c r="AE670" s="8" t="str">
        <f t="shared" si="269"/>
        <v/>
      </c>
      <c r="AF670" s="22" t="str">
        <f t="shared" si="270"/>
        <v>CO_El Pa_2020g</v>
      </c>
      <c r="AG670">
        <v>1</v>
      </c>
      <c r="AH670" s="272">
        <v>305934</v>
      </c>
      <c r="AI670" s="273">
        <v>230843</v>
      </c>
      <c r="AJ670" s="274">
        <v>75091</v>
      </c>
      <c r="AK670" s="339">
        <v>155752</v>
      </c>
      <c r="AL670" s="340" t="s">
        <v>5794</v>
      </c>
      <c r="AM670" s="353">
        <f t="shared" si="271"/>
        <v>0.40710643180695427</v>
      </c>
      <c r="AP670" s="23">
        <f t="shared" si="273"/>
        <v>639</v>
      </c>
      <c r="AQ670" s="392">
        <f t="shared" si="251"/>
        <v>0.99972141286495897</v>
      </c>
      <c r="AR670" s="392">
        <f t="shared" si="252"/>
        <v>1</v>
      </c>
      <c r="AS670" s="392">
        <f t="shared" si="252"/>
        <v>1</v>
      </c>
    </row>
    <row r="671" spans="1:45">
      <c r="A671" s="12" t="s">
        <v>1748</v>
      </c>
      <c r="B671" s="54" t="str">
        <f t="shared" si="255"/>
        <v>AZ_Maric_2020g</v>
      </c>
      <c r="C671" s="12"/>
      <c r="D671" s="54" t="str">
        <f t="shared" si="256"/>
        <v>Gen-superior court stephens, sherry k. (vote for1)</v>
      </c>
      <c r="E671" s="54" t="s">
        <v>1982</v>
      </c>
      <c r="F671" s="12" t="s">
        <v>1300</v>
      </c>
      <c r="G671" s="59">
        <v>323339</v>
      </c>
      <c r="H671"/>
      <c r="K671" s="2"/>
      <c r="O671">
        <f t="shared" si="257"/>
        <v>2</v>
      </c>
      <c r="P671" s="57">
        <f t="shared" si="258"/>
        <v>1</v>
      </c>
      <c r="Q671" s="267">
        <f t="shared" si="259"/>
        <v>323339</v>
      </c>
      <c r="R671" s="23" t="str">
        <f t="shared" si="260"/>
        <v/>
      </c>
      <c r="S671" s="23">
        <f t="shared" si="261"/>
        <v>323339</v>
      </c>
      <c r="T671" s="23" t="str">
        <f t="shared" si="262"/>
        <v/>
      </c>
      <c r="U671" t="str">
        <f t="shared" si="263"/>
        <v/>
      </c>
      <c r="W671" s="1">
        <f t="shared" si="264"/>
        <v>33</v>
      </c>
      <c r="X671" s="73">
        <f t="shared" si="253"/>
        <v>12.093066193253867</v>
      </c>
      <c r="Y671" s="322">
        <f t="shared" si="265"/>
        <v>21226.608</v>
      </c>
      <c r="Z671" s="43">
        <f t="shared" si="254"/>
        <v>1.5305126654040187E-274</v>
      </c>
      <c r="AA671" s="52">
        <f t="shared" si="266"/>
        <v>1.5305126654040186E-276</v>
      </c>
      <c r="AB671" s="8">
        <f t="shared" si="267"/>
        <v>1195</v>
      </c>
      <c r="AC671" s="8">
        <f t="shared" si="268"/>
        <v>382583.00000000006</v>
      </c>
      <c r="AD671" s="8">
        <f t="shared" si="272"/>
        <v>1912.9150000000002</v>
      </c>
      <c r="AE671" s="8" t="str">
        <f t="shared" si="269"/>
        <v/>
      </c>
      <c r="AF671" s="22" t="str">
        <f t="shared" si="270"/>
        <v>CO_El Pa_2020g</v>
      </c>
      <c r="AG671">
        <v>1</v>
      </c>
      <c r="AH671" s="272">
        <v>307632</v>
      </c>
      <c r="AI671" s="273">
        <v>232676</v>
      </c>
      <c r="AJ671" s="274">
        <v>74956</v>
      </c>
      <c r="AK671" s="339">
        <v>157720</v>
      </c>
      <c r="AL671" s="340" t="s">
        <v>5789</v>
      </c>
      <c r="AM671" s="353">
        <f t="shared" si="271"/>
        <v>0.41225041363573389</v>
      </c>
      <c r="AP671" s="23">
        <f t="shared" si="273"/>
        <v>647</v>
      </c>
      <c r="AQ671" s="392">
        <f t="shared" si="251"/>
        <v>0.99975464816155091</v>
      </c>
      <c r="AR671" s="392">
        <f t="shared" si="252"/>
        <v>1</v>
      </c>
      <c r="AS671" s="392">
        <f t="shared" si="252"/>
        <v>1</v>
      </c>
    </row>
    <row r="672" spans="1:45">
      <c r="A672" s="12" t="s">
        <v>1749</v>
      </c>
      <c r="B672" s="54" t="str">
        <f t="shared" si="255"/>
        <v>AZ_Maric_2020g</v>
      </c>
      <c r="C672" s="12"/>
      <c r="D672" s="54" t="str">
        <f t="shared" si="256"/>
        <v>Gen-superior court thomason, timothy j. (vote for1)</v>
      </c>
      <c r="E672" s="54" t="s">
        <v>1981</v>
      </c>
      <c r="F672" s="12" t="s">
        <v>1300</v>
      </c>
      <c r="G672" s="59">
        <v>950087</v>
      </c>
      <c r="H672"/>
      <c r="K672" s="2"/>
      <c r="O672">
        <f t="shared" si="257"/>
        <v>1</v>
      </c>
      <c r="P672" s="57">
        <f t="shared" si="258"/>
        <v>1</v>
      </c>
      <c r="Q672" s="267">
        <f t="shared" si="259"/>
        <v>1244178</v>
      </c>
      <c r="R672" s="23">
        <f t="shared" si="260"/>
        <v>950087</v>
      </c>
      <c r="S672" s="23">
        <f t="shared" si="261"/>
        <v>294091</v>
      </c>
      <c r="T672" s="23">
        <f t="shared" si="262"/>
        <v>655996</v>
      </c>
      <c r="U672" t="str">
        <f t="shared" si="263"/>
        <v>AZ_Maric_2020g~Gen-superior court thomason, timothy j. (vote for1)</v>
      </c>
      <c r="W672" s="1">
        <f t="shared" si="264"/>
        <v>34</v>
      </c>
      <c r="X672" s="73">
        <f t="shared" si="253"/>
        <v>11.928893900925477</v>
      </c>
      <c r="Y672" s="322">
        <f t="shared" si="265"/>
        <v>21072.393</v>
      </c>
      <c r="Z672" s="43">
        <f t="shared" si="254"/>
        <v>7.0930492614536377E-277</v>
      </c>
      <c r="AA672" s="52">
        <f t="shared" si="266"/>
        <v>7.0930492614536376E-279</v>
      </c>
      <c r="AB672" s="8">
        <f t="shared" si="267"/>
        <v>1195</v>
      </c>
      <c r="AC672" s="8">
        <f t="shared" si="268"/>
        <v>382583.00000000006</v>
      </c>
      <c r="AD672" s="8">
        <f t="shared" si="272"/>
        <v>1912.9150000000002</v>
      </c>
      <c r="AE672" s="8" t="str">
        <f t="shared" si="269"/>
        <v/>
      </c>
      <c r="AF672" s="22" t="str">
        <f t="shared" si="270"/>
        <v>CO_El Pa_2020g</v>
      </c>
      <c r="AG672">
        <v>1</v>
      </c>
      <c r="AH672" s="272">
        <v>305397</v>
      </c>
      <c r="AI672" s="273">
        <v>232063</v>
      </c>
      <c r="AJ672" s="274">
        <v>73334</v>
      </c>
      <c r="AK672" s="339">
        <v>158729</v>
      </c>
      <c r="AL672" s="340" t="s">
        <v>5793</v>
      </c>
      <c r="AM672" s="353">
        <f t="shared" si="271"/>
        <v>0.4148877498477454</v>
      </c>
      <c r="AP672" s="23">
        <f t="shared" si="273"/>
        <v>651</v>
      </c>
      <c r="AQ672" s="392">
        <f t="shared" si="251"/>
        <v>0.99976981794240749</v>
      </c>
      <c r="AR672" s="392">
        <f t="shared" si="252"/>
        <v>1</v>
      </c>
      <c r="AS672" s="392">
        <f t="shared" si="252"/>
        <v>1</v>
      </c>
    </row>
    <row r="673" spans="1:45">
      <c r="A673" s="12" t="s">
        <v>1749</v>
      </c>
      <c r="B673" s="54" t="str">
        <f t="shared" si="255"/>
        <v>AZ_Maric_2020g</v>
      </c>
      <c r="C673" s="12"/>
      <c r="D673" s="54" t="str">
        <f t="shared" si="256"/>
        <v>Gen-superior court thomason, timothy j. (vote for1)</v>
      </c>
      <c r="E673" s="54" t="s">
        <v>1982</v>
      </c>
      <c r="F673" s="12" t="s">
        <v>1300</v>
      </c>
      <c r="G673" s="59">
        <v>294091</v>
      </c>
      <c r="H673"/>
      <c r="K673" s="2"/>
      <c r="O673">
        <f t="shared" si="257"/>
        <v>2</v>
      </c>
      <c r="P673" s="57">
        <f t="shared" si="258"/>
        <v>1</v>
      </c>
      <c r="Q673" s="267">
        <f t="shared" si="259"/>
        <v>294091</v>
      </c>
      <c r="R673" s="23" t="str">
        <f t="shared" si="260"/>
        <v/>
      </c>
      <c r="S673" s="23">
        <f t="shared" si="261"/>
        <v>294091</v>
      </c>
      <c r="T673" s="23" t="str">
        <f t="shared" si="262"/>
        <v/>
      </c>
      <c r="U673" t="str">
        <f t="shared" si="263"/>
        <v/>
      </c>
      <c r="W673" s="1">
        <f t="shared" si="264"/>
        <v>35</v>
      </c>
      <c r="X673" s="73">
        <f t="shared" si="253"/>
        <v>11.568401493760817</v>
      </c>
      <c r="Y673" s="322">
        <f t="shared" si="265"/>
        <v>21202.389000000003</v>
      </c>
      <c r="Z673" s="43">
        <f t="shared" si="254"/>
        <v>7.1689075612237031E-291</v>
      </c>
      <c r="AA673" s="52">
        <f t="shared" si="266"/>
        <v>7.1689075612237027E-293</v>
      </c>
      <c r="AB673" s="8">
        <f t="shared" si="267"/>
        <v>1195</v>
      </c>
      <c r="AC673" s="8">
        <f t="shared" si="268"/>
        <v>382583.00000000006</v>
      </c>
      <c r="AD673" s="8">
        <f t="shared" si="272"/>
        <v>1912.9150000000002</v>
      </c>
      <c r="AE673" s="8" t="str">
        <f t="shared" si="269"/>
        <v/>
      </c>
      <c r="AF673" s="22" t="str">
        <f t="shared" si="270"/>
        <v>CO_El Pa_2020g</v>
      </c>
      <c r="AG673">
        <v>1</v>
      </c>
      <c r="AH673" s="272">
        <v>307281</v>
      </c>
      <c r="AI673" s="273">
        <v>235983</v>
      </c>
      <c r="AJ673" s="274">
        <v>71298</v>
      </c>
      <c r="AK673" s="339">
        <v>164685</v>
      </c>
      <c r="AL673" s="340" t="s">
        <v>5790</v>
      </c>
      <c r="AM673" s="353">
        <f t="shared" si="271"/>
        <v>0.43045561355313744</v>
      </c>
      <c r="AP673" s="23">
        <f t="shared" si="273"/>
        <v>676</v>
      </c>
      <c r="AQ673" s="392">
        <f t="shared" si="251"/>
        <v>0.99984625477270161</v>
      </c>
      <c r="AR673" s="392">
        <f t="shared" si="252"/>
        <v>1</v>
      </c>
      <c r="AS673" s="392">
        <f t="shared" si="252"/>
        <v>1</v>
      </c>
    </row>
    <row r="674" spans="1:45">
      <c r="A674" s="12" t="s">
        <v>1750</v>
      </c>
      <c r="B674" s="54" t="str">
        <f t="shared" si="255"/>
        <v>AZ_Maric_2020g</v>
      </c>
      <c r="C674" s="12"/>
      <c r="D674" s="54" t="str">
        <f t="shared" si="256"/>
        <v>Gen-superior court thompson, peter allen (vote for1)</v>
      </c>
      <c r="E674" s="54" t="s">
        <v>1981</v>
      </c>
      <c r="F674" s="12" t="s">
        <v>1300</v>
      </c>
      <c r="G674" s="59">
        <v>939433</v>
      </c>
      <c r="H674"/>
      <c r="K674" s="2"/>
      <c r="O674">
        <f t="shared" si="257"/>
        <v>1</v>
      </c>
      <c r="P674" s="57">
        <f t="shared" si="258"/>
        <v>1</v>
      </c>
      <c r="Q674" s="267">
        <f t="shared" si="259"/>
        <v>1240382</v>
      </c>
      <c r="R674" s="23">
        <f t="shared" si="260"/>
        <v>939433</v>
      </c>
      <c r="S674" s="23">
        <f t="shared" si="261"/>
        <v>300949</v>
      </c>
      <c r="T674" s="23">
        <f t="shared" si="262"/>
        <v>638484</v>
      </c>
      <c r="U674" t="str">
        <f t="shared" si="263"/>
        <v>AZ_Maric_2020g~Gen-superior court thompson, peter allen (vote for1)</v>
      </c>
      <c r="W674" s="1">
        <f t="shared" si="264"/>
        <v>36</v>
      </c>
      <c r="X674" s="73">
        <f t="shared" si="253"/>
        <v>11.34599518837569</v>
      </c>
      <c r="Y674" s="322">
        <f t="shared" si="265"/>
        <v>21151.605000000003</v>
      </c>
      <c r="Z674" s="43">
        <f t="shared" si="254"/>
        <v>1.2038030552627666E-297</v>
      </c>
      <c r="AA674" s="52">
        <f t="shared" si="266"/>
        <v>1.2038030552627667E-299</v>
      </c>
      <c r="AB674" s="8">
        <f t="shared" si="267"/>
        <v>1195</v>
      </c>
      <c r="AC674" s="8">
        <f t="shared" si="268"/>
        <v>382583.00000000006</v>
      </c>
      <c r="AD674" s="8">
        <f t="shared" si="272"/>
        <v>1912.9150000000002</v>
      </c>
      <c r="AE674" s="8" t="str">
        <f t="shared" si="269"/>
        <v/>
      </c>
      <c r="AF674" s="22" t="str">
        <f t="shared" si="270"/>
        <v>CO_El Pa_2020g</v>
      </c>
      <c r="AG674">
        <v>1</v>
      </c>
      <c r="AH674" s="272">
        <v>306545</v>
      </c>
      <c r="AI674" s="273">
        <v>237028</v>
      </c>
      <c r="AJ674" s="274">
        <v>69517</v>
      </c>
      <c r="AK674" s="339">
        <v>167511</v>
      </c>
      <c r="AL674" s="340" t="s">
        <v>5801</v>
      </c>
      <c r="AM674" s="353">
        <f t="shared" si="271"/>
        <v>0.43784224599629357</v>
      </c>
      <c r="AP674" s="23">
        <f t="shared" si="273"/>
        <v>688</v>
      </c>
      <c r="AQ674" s="392">
        <f t="shared" si="251"/>
        <v>0.9998737012452954</v>
      </c>
      <c r="AR674" s="392">
        <f t="shared" si="252"/>
        <v>1</v>
      </c>
      <c r="AS674" s="392">
        <f t="shared" si="252"/>
        <v>1</v>
      </c>
    </row>
    <row r="675" spans="1:45">
      <c r="A675" s="12" t="s">
        <v>1750</v>
      </c>
      <c r="B675" s="54" t="str">
        <f t="shared" si="255"/>
        <v>AZ_Maric_2020g</v>
      </c>
      <c r="C675" s="12"/>
      <c r="D675" s="54" t="str">
        <f t="shared" si="256"/>
        <v>Gen-superior court thompson, peter allen (vote for1)</v>
      </c>
      <c r="E675" s="54" t="s">
        <v>1982</v>
      </c>
      <c r="F675" s="12" t="s">
        <v>1300</v>
      </c>
      <c r="G675" s="59">
        <v>300949</v>
      </c>
      <c r="H675"/>
      <c r="K675" s="2"/>
      <c r="O675">
        <f t="shared" si="257"/>
        <v>2</v>
      </c>
      <c r="P675" s="57">
        <f t="shared" si="258"/>
        <v>1</v>
      </c>
      <c r="Q675" s="267">
        <f t="shared" si="259"/>
        <v>300949</v>
      </c>
      <c r="R675" s="23" t="str">
        <f t="shared" si="260"/>
        <v/>
      </c>
      <c r="S675" s="23">
        <f t="shared" si="261"/>
        <v>300949</v>
      </c>
      <c r="T675" s="23" t="str">
        <f t="shared" si="262"/>
        <v/>
      </c>
      <c r="U675" t="str">
        <f t="shared" si="263"/>
        <v/>
      </c>
      <c r="W675" s="1">
        <f t="shared" si="264"/>
        <v>37</v>
      </c>
      <c r="X675" s="73">
        <f t="shared" si="253"/>
        <v>11.322624890420844</v>
      </c>
      <c r="Y675" s="322">
        <f t="shared" si="265"/>
        <v>21130.215</v>
      </c>
      <c r="Z675" s="43">
        <f t="shared" si="254"/>
        <v>4.5256691027821893E-298</v>
      </c>
      <c r="AA675" s="52">
        <f t="shared" si="266"/>
        <v>4.525669102782189E-300</v>
      </c>
      <c r="AB675" s="8">
        <f t="shared" si="267"/>
        <v>1195</v>
      </c>
      <c r="AC675" s="8">
        <f t="shared" si="268"/>
        <v>382583.00000000006</v>
      </c>
      <c r="AD675" s="8">
        <f t="shared" si="272"/>
        <v>1912.9150000000002</v>
      </c>
      <c r="AE675" s="8" t="str">
        <f t="shared" si="269"/>
        <v/>
      </c>
      <c r="AF675" s="22" t="str">
        <f t="shared" si="270"/>
        <v>CO_El Pa_2020g</v>
      </c>
      <c r="AG675">
        <v>1</v>
      </c>
      <c r="AH675" s="272">
        <v>306235</v>
      </c>
      <c r="AI675" s="273">
        <v>236961</v>
      </c>
      <c r="AJ675" s="274">
        <v>69274</v>
      </c>
      <c r="AK675" s="339">
        <v>167687</v>
      </c>
      <c r="AL675" s="340" t="s">
        <v>5802</v>
      </c>
      <c r="AM675" s="353">
        <f t="shared" si="271"/>
        <v>0.43830227689155027</v>
      </c>
      <c r="AP675" s="23">
        <f t="shared" si="273"/>
        <v>689</v>
      </c>
      <c r="AQ675" s="392">
        <f t="shared" si="251"/>
        <v>0.99987576495043762</v>
      </c>
      <c r="AR675" s="392">
        <f t="shared" si="252"/>
        <v>1</v>
      </c>
      <c r="AS675" s="392">
        <f t="shared" si="252"/>
        <v>1</v>
      </c>
    </row>
    <row r="676" spans="1:45">
      <c r="A676" s="12" t="s">
        <v>1751</v>
      </c>
      <c r="B676" s="54" t="str">
        <f t="shared" si="255"/>
        <v>AZ_Maric_2020g</v>
      </c>
      <c r="C676" s="12"/>
      <c r="D676" s="54" t="str">
        <f t="shared" si="256"/>
        <v>Gen-superior court udall, david k. (vote for1)</v>
      </c>
      <c r="E676" s="54" t="s">
        <v>1981</v>
      </c>
      <c r="F676" s="12" t="s">
        <v>1300</v>
      </c>
      <c r="G676" s="59">
        <v>957538</v>
      </c>
      <c r="H676"/>
      <c r="K676" s="2"/>
      <c r="O676">
        <f t="shared" si="257"/>
        <v>1</v>
      </c>
      <c r="P676" s="57">
        <f t="shared" si="258"/>
        <v>1</v>
      </c>
      <c r="Q676" s="267">
        <f t="shared" si="259"/>
        <v>1251291</v>
      </c>
      <c r="R676" s="23">
        <f t="shared" si="260"/>
        <v>957538</v>
      </c>
      <c r="S676" s="23">
        <f t="shared" si="261"/>
        <v>293753</v>
      </c>
      <c r="T676" s="23">
        <f t="shared" si="262"/>
        <v>663785</v>
      </c>
      <c r="U676" t="str">
        <f t="shared" si="263"/>
        <v>AZ_Maric_2020g~Gen-superior court udall, david k. (vote for1)</v>
      </c>
      <c r="W676" s="1">
        <f t="shared" si="264"/>
        <v>1</v>
      </c>
      <c r="X676" s="73">
        <f t="shared" si="253"/>
        <v>209.25</v>
      </c>
      <c r="Y676" s="322">
        <f t="shared" si="265"/>
        <v>209.25</v>
      </c>
      <c r="Z676" s="43">
        <f t="shared" si="254"/>
        <v>99.521354502972201</v>
      </c>
      <c r="AA676" s="52">
        <f t="shared" si="266"/>
        <v>0.99521354502972204</v>
      </c>
      <c r="AB676" s="8">
        <f t="shared" si="267"/>
        <v>229</v>
      </c>
      <c r="AC676" s="8">
        <f t="shared" si="268"/>
        <v>381834.00000000006</v>
      </c>
      <c r="AD676" s="8">
        <f t="shared" si="272"/>
        <v>1909.1700000000003</v>
      </c>
      <c r="AE676" s="8" t="str">
        <f t="shared" si="269"/>
        <v/>
      </c>
      <c r="AF676" s="22" t="str">
        <f t="shared" si="270"/>
        <v>CO_Jeffe_2020g</v>
      </c>
      <c r="AG676">
        <v>1</v>
      </c>
      <c r="AH676" s="272">
        <v>270</v>
      </c>
      <c r="AI676" s="273">
        <v>139</v>
      </c>
      <c r="AJ676" s="274">
        <v>131</v>
      </c>
      <c r="AK676" s="339">
        <v>8</v>
      </c>
      <c r="AL676" s="340" t="s">
        <v>5831</v>
      </c>
      <c r="AM676" s="353">
        <f t="shared" si="271"/>
        <v>2.0951512961129702E-5</v>
      </c>
      <c r="AP676" s="23">
        <f t="shared" si="273"/>
        <v>0</v>
      </c>
      <c r="AQ676" s="392">
        <f t="shared" si="251"/>
        <v>0</v>
      </c>
      <c r="AR676" s="392">
        <f t="shared" si="252"/>
        <v>0</v>
      </c>
      <c r="AS676" s="392">
        <f t="shared" si="252"/>
        <v>0</v>
      </c>
    </row>
    <row r="677" spans="1:45">
      <c r="A677" s="12" t="s">
        <v>1751</v>
      </c>
      <c r="B677" s="54" t="str">
        <f t="shared" si="255"/>
        <v>AZ_Maric_2020g</v>
      </c>
      <c r="C677" s="12"/>
      <c r="D677" s="54" t="str">
        <f t="shared" si="256"/>
        <v>Gen-superior court udall, david k. (vote for1)</v>
      </c>
      <c r="E677" s="54" t="s">
        <v>1982</v>
      </c>
      <c r="F677" s="12" t="s">
        <v>1300</v>
      </c>
      <c r="G677" s="59">
        <v>293753</v>
      </c>
      <c r="H677"/>
      <c r="K677" s="2"/>
      <c r="O677">
        <f t="shared" si="257"/>
        <v>2</v>
      </c>
      <c r="P677" s="57">
        <f t="shared" si="258"/>
        <v>1</v>
      </c>
      <c r="Q677" s="267">
        <f t="shared" si="259"/>
        <v>293753</v>
      </c>
      <c r="R677" s="23" t="str">
        <f t="shared" si="260"/>
        <v/>
      </c>
      <c r="S677" s="23">
        <f t="shared" si="261"/>
        <v>293753</v>
      </c>
      <c r="T677" s="23" t="str">
        <f t="shared" si="262"/>
        <v/>
      </c>
      <c r="U677" t="str">
        <f t="shared" si="263"/>
        <v/>
      </c>
      <c r="W677" s="1">
        <f t="shared" si="264"/>
        <v>2</v>
      </c>
      <c r="X677" s="73">
        <f t="shared" si="253"/>
        <v>24.892537313432836</v>
      </c>
      <c r="Y677" s="322">
        <f t="shared" si="265"/>
        <v>24.892537313432836</v>
      </c>
      <c r="Z677" s="43">
        <f t="shared" si="254"/>
        <v>96.061083662714225</v>
      </c>
      <c r="AA677" s="52">
        <f t="shared" si="266"/>
        <v>0.96061083662714231</v>
      </c>
      <c r="AB677" s="8">
        <f t="shared" si="267"/>
        <v>229</v>
      </c>
      <c r="AC677" s="8">
        <f t="shared" si="268"/>
        <v>381834.00000000006</v>
      </c>
      <c r="AD677" s="8">
        <f t="shared" si="272"/>
        <v>1909.1700000000003</v>
      </c>
      <c r="AE677" s="8" t="str">
        <f t="shared" si="269"/>
        <v/>
      </c>
      <c r="AF677" s="22" t="str">
        <f t="shared" si="270"/>
        <v>CO_Jeffe_2020g</v>
      </c>
      <c r="AG677">
        <v>1</v>
      </c>
      <c r="AH677" s="272">
        <v>269</v>
      </c>
      <c r="AI677" s="273">
        <v>168</v>
      </c>
      <c r="AJ677" s="274">
        <v>101</v>
      </c>
      <c r="AK677" s="339">
        <v>67</v>
      </c>
      <c r="AL677" s="340" t="s">
        <v>5832</v>
      </c>
      <c r="AM677" s="353">
        <f t="shared" si="271"/>
        <v>1.7546892104946125E-4</v>
      </c>
      <c r="AP677" s="23">
        <f t="shared" si="273"/>
        <v>0</v>
      </c>
      <c r="AQ677" s="392">
        <f t="shared" si="251"/>
        <v>0</v>
      </c>
      <c r="AR677" s="392">
        <f t="shared" si="252"/>
        <v>0</v>
      </c>
      <c r="AS677" s="392">
        <f t="shared" si="252"/>
        <v>0</v>
      </c>
    </row>
    <row r="678" spans="1:45">
      <c r="A678" s="12" t="s">
        <v>1752</v>
      </c>
      <c r="B678" s="54" t="str">
        <f t="shared" si="255"/>
        <v>AZ_Maric_2020g</v>
      </c>
      <c r="C678" s="12"/>
      <c r="D678" s="54" t="str">
        <f t="shared" si="256"/>
        <v>Gen-superior court vandenberg, lisa a. (vote for1)</v>
      </c>
      <c r="E678" s="54" t="s">
        <v>1981</v>
      </c>
      <c r="F678" s="12" t="s">
        <v>1300</v>
      </c>
      <c r="G678" s="59">
        <v>899945</v>
      </c>
      <c r="H678"/>
      <c r="K678" s="2"/>
      <c r="O678">
        <f t="shared" si="257"/>
        <v>1</v>
      </c>
      <c r="P678" s="57">
        <f t="shared" si="258"/>
        <v>1</v>
      </c>
      <c r="Q678" s="267">
        <f t="shared" si="259"/>
        <v>1249350</v>
      </c>
      <c r="R678" s="23">
        <f t="shared" si="260"/>
        <v>899945</v>
      </c>
      <c r="S678" s="23">
        <f t="shared" si="261"/>
        <v>349405</v>
      </c>
      <c r="T678" s="23">
        <f t="shared" si="262"/>
        <v>550540</v>
      </c>
      <c r="U678" t="str">
        <f t="shared" si="263"/>
        <v>AZ_Maric_2020g~Gen-superior court vandenberg, lisa a. (vote for1)</v>
      </c>
      <c r="W678" s="1">
        <f t="shared" si="264"/>
        <v>3</v>
      </c>
      <c r="X678" s="73">
        <f t="shared" si="253"/>
        <v>7.6551020408163275</v>
      </c>
      <c r="Y678" s="322">
        <f t="shared" si="265"/>
        <v>16.698</v>
      </c>
      <c r="Z678" s="43">
        <f t="shared" si="254"/>
        <v>88.907058953499202</v>
      </c>
      <c r="AA678" s="52">
        <f t="shared" si="266"/>
        <v>0.88907058953499207</v>
      </c>
      <c r="AB678" s="8">
        <f t="shared" si="267"/>
        <v>229</v>
      </c>
      <c r="AC678" s="8">
        <f t="shared" si="268"/>
        <v>381834.00000000006</v>
      </c>
      <c r="AD678" s="8">
        <f t="shared" si="272"/>
        <v>1909.1700000000003</v>
      </c>
      <c r="AE678" s="8" t="str">
        <f t="shared" si="269"/>
        <v/>
      </c>
      <c r="AF678" s="22" t="str">
        <f t="shared" si="270"/>
        <v>CO_Jeffe_2020g</v>
      </c>
      <c r="AG678">
        <v>1</v>
      </c>
      <c r="AH678" s="272">
        <v>242</v>
      </c>
      <c r="AI678" s="273">
        <v>219</v>
      </c>
      <c r="AJ678" s="274">
        <v>23</v>
      </c>
      <c r="AK678" s="339">
        <v>196</v>
      </c>
      <c r="AL678" s="340" t="s">
        <v>5821</v>
      </c>
      <c r="AM678" s="353">
        <f t="shared" si="271"/>
        <v>5.1331206754767766E-4</v>
      </c>
      <c r="AP678" s="23">
        <f t="shared" si="273"/>
        <v>0</v>
      </c>
      <c r="AQ678" s="392">
        <f t="shared" si="251"/>
        <v>0</v>
      </c>
      <c r="AR678" s="392">
        <f t="shared" si="252"/>
        <v>0</v>
      </c>
      <c r="AS678" s="392">
        <f t="shared" si="252"/>
        <v>0</v>
      </c>
    </row>
    <row r="679" spans="1:45">
      <c r="A679" s="12" t="s">
        <v>1752</v>
      </c>
      <c r="B679" s="54" t="str">
        <f t="shared" si="255"/>
        <v>AZ_Maric_2020g</v>
      </c>
      <c r="C679" s="12"/>
      <c r="D679" s="54" t="str">
        <f t="shared" si="256"/>
        <v>Gen-superior court vandenberg, lisa a. (vote for1)</v>
      </c>
      <c r="E679" s="54" t="s">
        <v>1982</v>
      </c>
      <c r="F679" s="12" t="s">
        <v>1300</v>
      </c>
      <c r="G679" s="59">
        <v>349405</v>
      </c>
      <c r="H679"/>
      <c r="K679" s="2"/>
      <c r="O679">
        <f t="shared" si="257"/>
        <v>2</v>
      </c>
      <c r="P679" s="57">
        <f t="shared" si="258"/>
        <v>1</v>
      </c>
      <c r="Q679" s="267">
        <f t="shared" si="259"/>
        <v>349405</v>
      </c>
      <c r="R679" s="23" t="str">
        <f t="shared" si="260"/>
        <v/>
      </c>
      <c r="S679" s="23">
        <f t="shared" si="261"/>
        <v>349405</v>
      </c>
      <c r="T679" s="23" t="str">
        <f t="shared" si="262"/>
        <v/>
      </c>
      <c r="U679" t="str">
        <f t="shared" si="263"/>
        <v/>
      </c>
      <c r="W679" s="1">
        <f t="shared" si="264"/>
        <v>4</v>
      </c>
      <c r="X679" s="73">
        <f t="shared" si="253"/>
        <v>19.614946619217083</v>
      </c>
      <c r="Y679" s="322">
        <f t="shared" si="265"/>
        <v>61.341000000000008</v>
      </c>
      <c r="Z679" s="43">
        <f t="shared" si="254"/>
        <v>84.485678186204623</v>
      </c>
      <c r="AA679" s="52">
        <f t="shared" si="266"/>
        <v>0.84485678186204627</v>
      </c>
      <c r="AB679" s="8">
        <f t="shared" si="267"/>
        <v>229</v>
      </c>
      <c r="AC679" s="8">
        <f t="shared" si="268"/>
        <v>381834.00000000006</v>
      </c>
      <c r="AD679" s="8">
        <f t="shared" si="272"/>
        <v>1909.1700000000003</v>
      </c>
      <c r="AE679" s="8" t="str">
        <f t="shared" si="269"/>
        <v/>
      </c>
      <c r="AF679" s="22" t="str">
        <f t="shared" si="270"/>
        <v>CO_Jeffe_2020g</v>
      </c>
      <c r="AG679">
        <v>1</v>
      </c>
      <c r="AH679" s="272">
        <v>889</v>
      </c>
      <c r="AI679" s="273">
        <v>585</v>
      </c>
      <c r="AJ679" s="274">
        <v>304</v>
      </c>
      <c r="AK679" s="339">
        <v>281</v>
      </c>
      <c r="AL679" s="340" t="s">
        <v>5839</v>
      </c>
      <c r="AM679" s="353">
        <f t="shared" si="271"/>
        <v>7.359218927596808E-4</v>
      </c>
      <c r="AP679" s="23">
        <f t="shared" si="273"/>
        <v>0</v>
      </c>
      <c r="AQ679" s="392">
        <f t="shared" si="251"/>
        <v>0</v>
      </c>
      <c r="AR679" s="392">
        <f t="shared" si="252"/>
        <v>0</v>
      </c>
      <c r="AS679" s="392">
        <f t="shared" si="252"/>
        <v>0</v>
      </c>
    </row>
    <row r="680" spans="1:45">
      <c r="A680" s="12" t="s">
        <v>1753</v>
      </c>
      <c r="B680" s="54" t="str">
        <f t="shared" si="255"/>
        <v>AZ_Maric_2020g</v>
      </c>
      <c r="C680" s="12"/>
      <c r="D680" s="54" t="str">
        <f t="shared" si="256"/>
        <v>Gen-superior court wein, kevin (vote for1)</v>
      </c>
      <c r="E680" s="54" t="s">
        <v>1981</v>
      </c>
      <c r="F680" s="12" t="s">
        <v>1300</v>
      </c>
      <c r="G680" s="59">
        <v>933800</v>
      </c>
      <c r="H680"/>
      <c r="K680" s="2"/>
      <c r="O680">
        <f t="shared" si="257"/>
        <v>1</v>
      </c>
      <c r="P680" s="57">
        <f t="shared" si="258"/>
        <v>1</v>
      </c>
      <c r="Q680" s="267">
        <f t="shared" si="259"/>
        <v>1241045</v>
      </c>
      <c r="R680" s="23">
        <f t="shared" si="260"/>
        <v>933800</v>
      </c>
      <c r="S680" s="23">
        <f t="shared" si="261"/>
        <v>307245</v>
      </c>
      <c r="T680" s="23">
        <f t="shared" si="262"/>
        <v>626555</v>
      </c>
      <c r="U680" t="str">
        <f t="shared" si="263"/>
        <v>AZ_Maric_2020g~Gen-superior court wein, kevin (vote for1)</v>
      </c>
      <c r="W680" s="1">
        <f t="shared" si="264"/>
        <v>5</v>
      </c>
      <c r="X680" s="73">
        <f t="shared" si="253"/>
        <v>23.458135860979464</v>
      </c>
      <c r="Y680" s="322">
        <f t="shared" si="265"/>
        <v>165.25500000000002</v>
      </c>
      <c r="Z680" s="43">
        <f t="shared" si="254"/>
        <v>68.389657268673034</v>
      </c>
      <c r="AA680" s="52">
        <f t="shared" si="266"/>
        <v>0.68389657268673032</v>
      </c>
      <c r="AB680" s="8">
        <f t="shared" si="267"/>
        <v>229</v>
      </c>
      <c r="AC680" s="8">
        <f t="shared" si="268"/>
        <v>381834.00000000006</v>
      </c>
      <c r="AD680" s="8">
        <f t="shared" si="272"/>
        <v>1909.1700000000003</v>
      </c>
      <c r="AE680" s="8" t="str">
        <f t="shared" si="269"/>
        <v/>
      </c>
      <c r="AF680" s="22" t="str">
        <f t="shared" si="270"/>
        <v>CO_Jeffe_2020g</v>
      </c>
      <c r="AG680">
        <v>1</v>
      </c>
      <c r="AH680" s="272">
        <v>2395</v>
      </c>
      <c r="AI680" s="273">
        <v>1514</v>
      </c>
      <c r="AJ680" s="274">
        <v>881</v>
      </c>
      <c r="AK680" s="339">
        <v>633</v>
      </c>
      <c r="AL680" s="340" t="s">
        <v>5822</v>
      </c>
      <c r="AM680" s="353">
        <f t="shared" si="271"/>
        <v>1.6577884630493878E-3</v>
      </c>
      <c r="AP680" s="23">
        <f t="shared" si="273"/>
        <v>0</v>
      </c>
      <c r="AQ680" s="392">
        <f t="shared" si="251"/>
        <v>0</v>
      </c>
      <c r="AR680" s="392">
        <f t="shared" si="252"/>
        <v>0</v>
      </c>
      <c r="AS680" s="392">
        <f t="shared" si="252"/>
        <v>0</v>
      </c>
    </row>
    <row r="681" spans="1:45">
      <c r="A681" s="12" t="s">
        <v>1753</v>
      </c>
      <c r="B681" s="54" t="str">
        <f t="shared" si="255"/>
        <v>AZ_Maric_2020g</v>
      </c>
      <c r="C681" s="12"/>
      <c r="D681" s="54" t="str">
        <f t="shared" si="256"/>
        <v>Gen-superior court wein, kevin (vote for1)</v>
      </c>
      <c r="E681" s="54" t="s">
        <v>1982</v>
      </c>
      <c r="F681" s="12" t="s">
        <v>1300</v>
      </c>
      <c r="G681" s="59">
        <v>307245</v>
      </c>
      <c r="H681"/>
      <c r="K681" s="2"/>
      <c r="O681">
        <f t="shared" si="257"/>
        <v>2</v>
      </c>
      <c r="P681" s="57">
        <f t="shared" si="258"/>
        <v>1</v>
      </c>
      <c r="Q681" s="267">
        <f t="shared" si="259"/>
        <v>307245</v>
      </c>
      <c r="R681" s="23" t="str">
        <f t="shared" si="260"/>
        <v/>
      </c>
      <c r="S681" s="23">
        <f t="shared" si="261"/>
        <v>307245</v>
      </c>
      <c r="T681" s="23" t="str">
        <f t="shared" si="262"/>
        <v/>
      </c>
      <c r="U681" t="str">
        <f t="shared" si="263"/>
        <v/>
      </c>
      <c r="W681" s="1">
        <f t="shared" si="264"/>
        <v>6</v>
      </c>
      <c r="X681" s="73">
        <f t="shared" si="253"/>
        <v>198.93742071881607</v>
      </c>
      <c r="Y681" s="322">
        <f t="shared" si="265"/>
        <v>4188.8520000000008</v>
      </c>
      <c r="Z681" s="43">
        <f t="shared" si="254"/>
        <v>32.061216982764783</v>
      </c>
      <c r="AA681" s="52">
        <f t="shared" si="266"/>
        <v>0.32061216982764784</v>
      </c>
      <c r="AB681" s="8">
        <f t="shared" si="267"/>
        <v>229</v>
      </c>
      <c r="AC681" s="8">
        <f t="shared" si="268"/>
        <v>381834.00000000006</v>
      </c>
      <c r="AD681" s="8">
        <f t="shared" si="272"/>
        <v>1909.1700000000003</v>
      </c>
      <c r="AE681" s="8" t="str">
        <f t="shared" si="269"/>
        <v/>
      </c>
      <c r="AF681" s="22" t="str">
        <f t="shared" si="270"/>
        <v>CO_Jeffe_2020g</v>
      </c>
      <c r="AG681">
        <v>1</v>
      </c>
      <c r="AH681" s="272">
        <v>60708</v>
      </c>
      <c r="AI681" s="273">
        <v>29566</v>
      </c>
      <c r="AJ681" s="274">
        <v>27674</v>
      </c>
      <c r="AK681" s="339">
        <v>1892</v>
      </c>
      <c r="AL681" s="340" t="s">
        <v>5844</v>
      </c>
      <c r="AM681" s="353">
        <f t="shared" si="271"/>
        <v>4.9550328153071749E-3</v>
      </c>
      <c r="AP681" s="23">
        <f t="shared" si="273"/>
        <v>0</v>
      </c>
      <c r="AQ681" s="392">
        <f t="shared" ref="AQ681:AQ744" si="274">IF($AP681=$AD681,1,IF($AP681=0,0, 1-HYPGEOMDIST(0, ROUNDUP(RIGHT(AQ$1,4)*$AD681,0),$AP681, $AD681)))</f>
        <v>0</v>
      </c>
      <c r="AR681" s="392">
        <f t="shared" ref="AR681:AS744" si="275">IF($AP681=$AD681,1,IF($AP681=0,0, 1-HYPGEOMDIST(0, ROUNDUP(RIGHT(AR$1,4)*$AD681,0),$AP681, $AD681)))</f>
        <v>0</v>
      </c>
      <c r="AS681" s="392">
        <f t="shared" si="275"/>
        <v>0</v>
      </c>
    </row>
    <row r="682" spans="1:45">
      <c r="A682" s="12" t="s">
        <v>1754</v>
      </c>
      <c r="B682" s="54" t="str">
        <f t="shared" si="255"/>
        <v>AZ_Maric_2020g</v>
      </c>
      <c r="C682" s="12"/>
      <c r="D682" s="54" t="str">
        <f t="shared" si="256"/>
        <v>Gen-superior court whitten, christopher t. (vote for1)</v>
      </c>
      <c r="E682" s="54" t="s">
        <v>1981</v>
      </c>
      <c r="F682" s="12" t="s">
        <v>1300</v>
      </c>
      <c r="G682" s="59">
        <v>892586</v>
      </c>
      <c r="H682"/>
      <c r="K682" s="2"/>
      <c r="O682">
        <f t="shared" si="257"/>
        <v>1</v>
      </c>
      <c r="P682" s="57">
        <f t="shared" si="258"/>
        <v>1</v>
      </c>
      <c r="Q682" s="267">
        <f t="shared" si="259"/>
        <v>1241069</v>
      </c>
      <c r="R682" s="23">
        <f t="shared" si="260"/>
        <v>892586</v>
      </c>
      <c r="S682" s="23">
        <f t="shared" si="261"/>
        <v>348483</v>
      </c>
      <c r="T682" s="23">
        <f t="shared" si="262"/>
        <v>544103</v>
      </c>
      <c r="U682" t="str">
        <f t="shared" si="263"/>
        <v>AZ_Maric_2020g~Gen-superior court whitten, christopher t. (vote for1)</v>
      </c>
      <c r="W682" s="1">
        <f t="shared" si="264"/>
        <v>7</v>
      </c>
      <c r="X682" s="73">
        <f t="shared" si="253"/>
        <v>108.15159106296548</v>
      </c>
      <c r="Y682" s="322">
        <f t="shared" si="265"/>
        <v>3555.5010000000002</v>
      </c>
      <c r="Z682" s="43">
        <f t="shared" si="254"/>
        <v>16.888930694457702</v>
      </c>
      <c r="AA682" s="52">
        <f t="shared" si="266"/>
        <v>0.16888930694457702</v>
      </c>
      <c r="AB682" s="8">
        <f t="shared" si="267"/>
        <v>229</v>
      </c>
      <c r="AC682" s="8">
        <f t="shared" si="268"/>
        <v>381834.00000000006</v>
      </c>
      <c r="AD682" s="8">
        <f t="shared" si="272"/>
        <v>1909.1700000000003</v>
      </c>
      <c r="AE682" s="8" t="str">
        <f t="shared" si="269"/>
        <v/>
      </c>
      <c r="AF682" s="22" t="str">
        <f t="shared" si="270"/>
        <v>CO_Jeffe_2020g</v>
      </c>
      <c r="AG682">
        <v>1</v>
      </c>
      <c r="AH682" s="272">
        <v>51529</v>
      </c>
      <c r="AI682" s="273">
        <v>26421</v>
      </c>
      <c r="AJ682" s="274">
        <v>23467</v>
      </c>
      <c r="AK682" s="339">
        <v>2954</v>
      </c>
      <c r="AL682" s="340" t="s">
        <v>5840</v>
      </c>
      <c r="AM682" s="353">
        <f t="shared" si="271"/>
        <v>7.7363461608971427E-3</v>
      </c>
      <c r="AP682" s="23">
        <f t="shared" si="273"/>
        <v>0</v>
      </c>
      <c r="AQ682" s="392">
        <f t="shared" si="274"/>
        <v>0</v>
      </c>
      <c r="AR682" s="392">
        <f t="shared" si="275"/>
        <v>0</v>
      </c>
      <c r="AS682" s="392">
        <f t="shared" si="275"/>
        <v>0</v>
      </c>
    </row>
    <row r="683" spans="1:45">
      <c r="A683" s="12" t="s">
        <v>1754</v>
      </c>
      <c r="B683" s="54" t="str">
        <f t="shared" si="255"/>
        <v>AZ_Maric_2020g</v>
      </c>
      <c r="C683" s="12"/>
      <c r="D683" s="54" t="str">
        <f t="shared" si="256"/>
        <v>Gen-superior court whitten, christopher t. (vote for1)</v>
      </c>
      <c r="E683" s="54" t="s">
        <v>1982</v>
      </c>
      <c r="F683" s="12" t="s">
        <v>1300</v>
      </c>
      <c r="G683" s="59">
        <v>348483</v>
      </c>
      <c r="H683"/>
      <c r="K683" s="2"/>
      <c r="O683">
        <f t="shared" si="257"/>
        <v>2</v>
      </c>
      <c r="P683" s="57">
        <f t="shared" si="258"/>
        <v>1</v>
      </c>
      <c r="Q683" s="267">
        <f t="shared" si="259"/>
        <v>348483</v>
      </c>
      <c r="R683" s="23" t="str">
        <f t="shared" si="260"/>
        <v/>
      </c>
      <c r="S683" s="23">
        <f t="shared" si="261"/>
        <v>348483</v>
      </c>
      <c r="T683" s="23" t="str">
        <f t="shared" si="262"/>
        <v/>
      </c>
      <c r="U683" t="str">
        <f t="shared" si="263"/>
        <v/>
      </c>
      <c r="W683" s="1">
        <f t="shared" si="264"/>
        <v>8</v>
      </c>
      <c r="X683" s="73">
        <f t="shared" si="253"/>
        <v>110.07017978921265</v>
      </c>
      <c r="Y683" s="322">
        <f t="shared" si="265"/>
        <v>3951.7680000000005</v>
      </c>
      <c r="Z683" s="43">
        <f t="shared" si="254"/>
        <v>14.327761813828602</v>
      </c>
      <c r="AA683" s="52">
        <f t="shared" si="266"/>
        <v>0.14327761813828602</v>
      </c>
      <c r="AB683" s="8">
        <f t="shared" si="267"/>
        <v>229</v>
      </c>
      <c r="AC683" s="8">
        <f t="shared" si="268"/>
        <v>381834.00000000006</v>
      </c>
      <c r="AD683" s="8">
        <f t="shared" si="272"/>
        <v>1909.1700000000003</v>
      </c>
      <c r="AE683" s="8" t="str">
        <f t="shared" si="269"/>
        <v/>
      </c>
      <c r="AF683" s="22" t="str">
        <f t="shared" si="270"/>
        <v>CO_Jeffe_2020g</v>
      </c>
      <c r="AG683">
        <v>1</v>
      </c>
      <c r="AH683" s="272">
        <v>57272</v>
      </c>
      <c r="AI683" s="273">
        <v>30249</v>
      </c>
      <c r="AJ683" s="274">
        <v>27023</v>
      </c>
      <c r="AK683" s="339">
        <v>3226</v>
      </c>
      <c r="AL683" s="340" t="s">
        <v>5843</v>
      </c>
      <c r="AM683" s="353">
        <f t="shared" si="271"/>
        <v>8.4486976015755531E-3</v>
      </c>
      <c r="AP683" s="23">
        <f t="shared" si="273"/>
        <v>0</v>
      </c>
      <c r="AQ683" s="392">
        <f t="shared" si="274"/>
        <v>0</v>
      </c>
      <c r="AR683" s="392">
        <f t="shared" si="275"/>
        <v>0</v>
      </c>
      <c r="AS683" s="392">
        <f t="shared" si="275"/>
        <v>0</v>
      </c>
    </row>
    <row r="684" spans="1:45">
      <c r="A684" s="12" t="s">
        <v>1706</v>
      </c>
      <c r="B684" s="54" t="str">
        <f t="shared" si="255"/>
        <v>AZ_Maric_2020g</v>
      </c>
      <c r="C684" s="12"/>
      <c r="D684" s="54" t="str">
        <f t="shared" si="256"/>
        <v>Gen-supreme court brutinel, robert (vote for1)</v>
      </c>
      <c r="E684" s="54" t="s">
        <v>1981</v>
      </c>
      <c r="F684" s="12" t="s">
        <v>1300</v>
      </c>
      <c r="G684" s="59">
        <v>1045779</v>
      </c>
      <c r="H684"/>
      <c r="K684" s="2"/>
      <c r="O684">
        <f t="shared" si="257"/>
        <v>1</v>
      </c>
      <c r="P684" s="57">
        <f t="shared" si="258"/>
        <v>1</v>
      </c>
      <c r="Q684" s="267">
        <f t="shared" si="259"/>
        <v>1427400</v>
      </c>
      <c r="R684" s="23">
        <f t="shared" si="260"/>
        <v>1045779</v>
      </c>
      <c r="S684" s="23">
        <f t="shared" si="261"/>
        <v>381621</v>
      </c>
      <c r="T684" s="23">
        <f t="shared" si="262"/>
        <v>664158</v>
      </c>
      <c r="U684" t="str">
        <f t="shared" si="263"/>
        <v>AZ_Maric_2020g~Gen-supreme court brutinel, robert (vote for1)</v>
      </c>
      <c r="W684" s="1">
        <f t="shared" si="264"/>
        <v>9</v>
      </c>
      <c r="X684" s="73">
        <f t="shared" si="253"/>
        <v>34.940494273658828</v>
      </c>
      <c r="Y684" s="322">
        <f t="shared" si="265"/>
        <v>3225.5430000000001</v>
      </c>
      <c r="Z684" s="43">
        <f t="shared" si="254"/>
        <v>0.65410916517224771</v>
      </c>
      <c r="AA684" s="52">
        <f t="shared" si="266"/>
        <v>6.5410916517224769E-3</v>
      </c>
      <c r="AB684" s="8">
        <f t="shared" si="267"/>
        <v>229</v>
      </c>
      <c r="AC684" s="8">
        <f t="shared" si="268"/>
        <v>381834.00000000006</v>
      </c>
      <c r="AD684" s="8">
        <f t="shared" si="272"/>
        <v>1909.1700000000003</v>
      </c>
      <c r="AE684" s="8" t="str">
        <f t="shared" si="269"/>
        <v/>
      </c>
      <c r="AF684" s="22" t="str">
        <f t="shared" si="270"/>
        <v>CO_Jeffe_2020g</v>
      </c>
      <c r="AG684">
        <v>1</v>
      </c>
      <c r="AH684" s="272">
        <v>46747</v>
      </c>
      <c r="AI684" s="273">
        <v>26226</v>
      </c>
      <c r="AJ684" s="274">
        <v>17931</v>
      </c>
      <c r="AK684" s="339">
        <v>8295</v>
      </c>
      <c r="AL684" s="340" t="s">
        <v>5846</v>
      </c>
      <c r="AM684" s="353">
        <f t="shared" si="271"/>
        <v>2.1724100001571361E-2</v>
      </c>
      <c r="AP684" s="23">
        <f t="shared" si="273"/>
        <v>19</v>
      </c>
      <c r="AQ684" s="392">
        <f t="shared" si="274"/>
        <v>0.18213808604202686</v>
      </c>
      <c r="AR684" s="392">
        <f t="shared" si="275"/>
        <v>0.62660201796603032</v>
      </c>
      <c r="AS684" s="392">
        <f t="shared" si="275"/>
        <v>0.98594516298319279</v>
      </c>
    </row>
    <row r="685" spans="1:45">
      <c r="A685" s="12" t="s">
        <v>1706</v>
      </c>
      <c r="B685" s="54" t="str">
        <f t="shared" si="255"/>
        <v>AZ_Maric_2020g</v>
      </c>
      <c r="C685" s="12"/>
      <c r="D685" s="54" t="str">
        <f t="shared" si="256"/>
        <v>Gen-supreme court brutinel, robert (vote for1)</v>
      </c>
      <c r="E685" s="54" t="s">
        <v>1982</v>
      </c>
      <c r="F685" s="12" t="s">
        <v>1300</v>
      </c>
      <c r="G685" s="59">
        <v>381621</v>
      </c>
      <c r="H685"/>
      <c r="K685" s="2"/>
      <c r="O685">
        <f t="shared" si="257"/>
        <v>2</v>
      </c>
      <c r="P685" s="57">
        <f t="shared" si="258"/>
        <v>1</v>
      </c>
      <c r="Q685" s="267">
        <f t="shared" si="259"/>
        <v>381621</v>
      </c>
      <c r="R685" s="23" t="str">
        <f t="shared" si="260"/>
        <v/>
      </c>
      <c r="S685" s="23">
        <f t="shared" si="261"/>
        <v>381621</v>
      </c>
      <c r="T685" s="23" t="str">
        <f t="shared" si="262"/>
        <v/>
      </c>
      <c r="U685" t="str">
        <f t="shared" si="263"/>
        <v/>
      </c>
      <c r="W685" s="1">
        <f t="shared" si="264"/>
        <v>10</v>
      </c>
      <c r="X685" s="73">
        <f t="shared" si="253"/>
        <v>29.917820539636057</v>
      </c>
      <c r="Y685" s="322">
        <f t="shared" si="265"/>
        <v>3183.7290000000003</v>
      </c>
      <c r="Z685" s="43">
        <f t="shared" si="254"/>
        <v>0.30042949924142937</v>
      </c>
      <c r="AA685" s="52">
        <f t="shared" si="266"/>
        <v>3.0042949924142938E-3</v>
      </c>
      <c r="AB685" s="8">
        <f t="shared" si="267"/>
        <v>229</v>
      </c>
      <c r="AC685" s="8">
        <f t="shared" si="268"/>
        <v>381834.00000000006</v>
      </c>
      <c r="AD685" s="8">
        <f t="shared" si="272"/>
        <v>1909.1700000000003</v>
      </c>
      <c r="AE685" s="8" t="str">
        <f t="shared" si="269"/>
        <v/>
      </c>
      <c r="AF685" s="22" t="str">
        <f t="shared" si="270"/>
        <v>CO_Jeffe_2020g</v>
      </c>
      <c r="AG685">
        <v>1</v>
      </c>
      <c r="AH685" s="272">
        <v>46141</v>
      </c>
      <c r="AI685" s="273">
        <v>26592</v>
      </c>
      <c r="AJ685" s="274">
        <v>17030</v>
      </c>
      <c r="AK685" s="339">
        <v>9562</v>
      </c>
      <c r="AL685" s="340" t="s">
        <v>5845</v>
      </c>
      <c r="AM685" s="353">
        <f t="shared" si="271"/>
        <v>2.5042295866790278E-2</v>
      </c>
      <c r="AP685" s="23">
        <f t="shared" si="273"/>
        <v>25</v>
      </c>
      <c r="AQ685" s="392">
        <f t="shared" si="274"/>
        <v>0.23277656025763871</v>
      </c>
      <c r="AR685" s="392">
        <f t="shared" si="275"/>
        <v>0.72700734494838293</v>
      </c>
      <c r="AS685" s="392">
        <f t="shared" si="275"/>
        <v>0.99638100484980274</v>
      </c>
    </row>
    <row r="686" spans="1:45">
      <c r="A686" s="12" t="s">
        <v>1707</v>
      </c>
      <c r="B686" s="54" t="str">
        <f t="shared" si="255"/>
        <v>AZ_Maric_2020g</v>
      </c>
      <c r="C686" s="12"/>
      <c r="D686" s="54" t="str">
        <f t="shared" si="256"/>
        <v>Gen-supreme court gould, andrew w. (vote for1)</v>
      </c>
      <c r="E686" s="54" t="s">
        <v>1981</v>
      </c>
      <c r="F686" s="12" t="s">
        <v>1300</v>
      </c>
      <c r="G686" s="59">
        <v>922166</v>
      </c>
      <c r="H686"/>
      <c r="K686" s="2"/>
      <c r="O686">
        <f t="shared" si="257"/>
        <v>1</v>
      </c>
      <c r="P686" s="57">
        <f t="shared" si="258"/>
        <v>1</v>
      </c>
      <c r="Q686" s="267">
        <f t="shared" si="259"/>
        <v>1432732</v>
      </c>
      <c r="R686" s="23">
        <f t="shared" si="260"/>
        <v>922166</v>
      </c>
      <c r="S686" s="23">
        <f t="shared" si="261"/>
        <v>510566</v>
      </c>
      <c r="T686" s="23">
        <f t="shared" si="262"/>
        <v>411600</v>
      </c>
      <c r="U686" t="str">
        <f t="shared" si="263"/>
        <v>AZ_Maric_2020g~Gen-supreme court gould, andrew w. (vote for1)</v>
      </c>
      <c r="W686" s="1">
        <f t="shared" si="264"/>
        <v>11</v>
      </c>
      <c r="X686" s="73">
        <f t="shared" si="253"/>
        <v>24.413772119465129</v>
      </c>
      <c r="Y686" s="322">
        <f t="shared" si="265"/>
        <v>3393.2820000000002</v>
      </c>
      <c r="Z686" s="43">
        <f t="shared" si="254"/>
        <v>4.9282939180663093E-2</v>
      </c>
      <c r="AA686" s="52">
        <f t="shared" si="266"/>
        <v>4.9282939180663094E-4</v>
      </c>
      <c r="AB686" s="8">
        <f t="shared" si="267"/>
        <v>229</v>
      </c>
      <c r="AC686" s="8">
        <f t="shared" si="268"/>
        <v>381834.00000000006</v>
      </c>
      <c r="AD686" s="8">
        <f t="shared" si="272"/>
        <v>1909.1700000000003</v>
      </c>
      <c r="AE686" s="8" t="str">
        <f t="shared" si="269"/>
        <v/>
      </c>
      <c r="AF686" s="22" t="str">
        <f t="shared" si="270"/>
        <v>CO_Jeffe_2020g</v>
      </c>
      <c r="AG686">
        <v>1</v>
      </c>
      <c r="AH686" s="272">
        <v>49178</v>
      </c>
      <c r="AI686" s="273">
        <v>29615</v>
      </c>
      <c r="AJ686" s="274">
        <v>17126</v>
      </c>
      <c r="AK686" s="339">
        <v>12489</v>
      </c>
      <c r="AL686" s="340" t="s">
        <v>5841</v>
      </c>
      <c r="AM686" s="353">
        <f t="shared" si="271"/>
        <v>3.2707930671443605E-2</v>
      </c>
      <c r="AP686" s="23">
        <f t="shared" si="273"/>
        <v>37</v>
      </c>
      <c r="AQ686" s="392">
        <f t="shared" si="274"/>
        <v>0.32525750198878955</v>
      </c>
      <c r="AR686" s="392">
        <f t="shared" si="275"/>
        <v>0.8545311322661765</v>
      </c>
      <c r="AS686" s="392">
        <f t="shared" si="275"/>
        <v>0.99976353373236615</v>
      </c>
    </row>
    <row r="687" spans="1:45">
      <c r="A687" s="12" t="s">
        <v>1707</v>
      </c>
      <c r="B687" s="54" t="str">
        <f t="shared" si="255"/>
        <v>AZ_Maric_2020g</v>
      </c>
      <c r="C687" s="12"/>
      <c r="D687" s="54" t="str">
        <f t="shared" si="256"/>
        <v>Gen-supreme court gould, andrew w. (vote for1)</v>
      </c>
      <c r="E687" s="54" t="s">
        <v>1982</v>
      </c>
      <c r="F687" s="12" t="s">
        <v>1300</v>
      </c>
      <c r="G687" s="59">
        <v>510566</v>
      </c>
      <c r="H687"/>
      <c r="K687" s="2"/>
      <c r="O687">
        <f t="shared" si="257"/>
        <v>2</v>
      </c>
      <c r="P687" s="57">
        <f t="shared" si="258"/>
        <v>1</v>
      </c>
      <c r="Q687" s="267">
        <f t="shared" si="259"/>
        <v>510566</v>
      </c>
      <c r="R687" s="23" t="str">
        <f t="shared" si="260"/>
        <v/>
      </c>
      <c r="S687" s="23">
        <f t="shared" si="261"/>
        <v>510566</v>
      </c>
      <c r="T687" s="23" t="str">
        <f t="shared" si="262"/>
        <v/>
      </c>
      <c r="U687" t="str">
        <f t="shared" si="263"/>
        <v/>
      </c>
      <c r="W687" s="1">
        <f t="shared" si="264"/>
        <v>12</v>
      </c>
      <c r="X687" s="73">
        <f t="shared" si="253"/>
        <v>22.091333779662282</v>
      </c>
      <c r="Y687" s="322">
        <f t="shared" si="265"/>
        <v>3305.0310000000004</v>
      </c>
      <c r="Z687" s="43">
        <f t="shared" si="254"/>
        <v>2.7257180301298724E-2</v>
      </c>
      <c r="AA687" s="52">
        <f t="shared" si="266"/>
        <v>2.7257180301298726E-4</v>
      </c>
      <c r="AB687" s="8">
        <f t="shared" si="267"/>
        <v>229</v>
      </c>
      <c r="AC687" s="8">
        <f t="shared" si="268"/>
        <v>381834.00000000006</v>
      </c>
      <c r="AD687" s="8">
        <f t="shared" si="272"/>
        <v>1909.1700000000003</v>
      </c>
      <c r="AE687" s="8" t="str">
        <f t="shared" si="269"/>
        <v/>
      </c>
      <c r="AF687" s="22" t="str">
        <f t="shared" si="270"/>
        <v>CO_Jeffe_2020g</v>
      </c>
      <c r="AG687">
        <v>1</v>
      </c>
      <c r="AH687" s="272">
        <v>47899</v>
      </c>
      <c r="AI687" s="273">
        <v>30671</v>
      </c>
      <c r="AJ687" s="274">
        <v>17228</v>
      </c>
      <c r="AK687" s="339">
        <v>13443</v>
      </c>
      <c r="AL687" s="340" t="s">
        <v>5842</v>
      </c>
      <c r="AM687" s="353">
        <f t="shared" si="271"/>
        <v>3.5206398592058326E-2</v>
      </c>
      <c r="AP687" s="23">
        <f t="shared" si="273"/>
        <v>41</v>
      </c>
      <c r="AQ687" s="392">
        <f t="shared" si="274"/>
        <v>0.35365623236470656</v>
      </c>
      <c r="AR687" s="392">
        <f t="shared" si="275"/>
        <v>0.88217344266936426</v>
      </c>
      <c r="AS687" s="392">
        <f t="shared" si="275"/>
        <v>0.99990517266998113</v>
      </c>
    </row>
    <row r="688" spans="1:45">
      <c r="A688" s="12" t="s">
        <v>1708</v>
      </c>
      <c r="B688" s="54" t="str">
        <f t="shared" si="255"/>
        <v>AZ_Maric_2020g</v>
      </c>
      <c r="C688" s="12"/>
      <c r="D688" s="54" t="str">
        <f t="shared" si="256"/>
        <v>Gen-supreme court lopez iv, john (vote for1)</v>
      </c>
      <c r="E688" s="54" t="s">
        <v>1981</v>
      </c>
      <c r="F688" s="12" t="s">
        <v>1300</v>
      </c>
      <c r="G688" s="59">
        <v>1007257</v>
      </c>
      <c r="H688"/>
      <c r="K688" s="2"/>
      <c r="O688">
        <f t="shared" si="257"/>
        <v>1</v>
      </c>
      <c r="P688" s="57">
        <f t="shared" si="258"/>
        <v>1</v>
      </c>
      <c r="Q688" s="267">
        <f t="shared" si="259"/>
        <v>1439914</v>
      </c>
      <c r="R688" s="23">
        <f t="shared" si="260"/>
        <v>1007257</v>
      </c>
      <c r="S688" s="23">
        <f t="shared" si="261"/>
        <v>432657</v>
      </c>
      <c r="T688" s="23">
        <f t="shared" si="262"/>
        <v>574600</v>
      </c>
      <c r="U688" t="str">
        <f t="shared" si="263"/>
        <v>AZ_Maric_2020g~Gen-supreme court lopez iv, john (vote for1)</v>
      </c>
      <c r="W688" s="1">
        <f t="shared" si="264"/>
        <v>13</v>
      </c>
      <c r="X688" s="73">
        <f t="shared" si="253"/>
        <v>33.802689630765606</v>
      </c>
      <c r="Y688" s="322">
        <f t="shared" si="265"/>
        <v>6377.9460000000008</v>
      </c>
      <c r="Z688" s="43">
        <f t="shared" si="254"/>
        <v>3.0414510836444309E-3</v>
      </c>
      <c r="AA688" s="52">
        <f t="shared" si="266"/>
        <v>3.0414510836444309E-5</v>
      </c>
      <c r="AB688" s="8">
        <f t="shared" si="267"/>
        <v>229</v>
      </c>
      <c r="AC688" s="8">
        <f t="shared" si="268"/>
        <v>381834.00000000006</v>
      </c>
      <c r="AD688" s="8">
        <f t="shared" si="272"/>
        <v>1909.1700000000003</v>
      </c>
      <c r="AE688" s="8" t="str">
        <f t="shared" si="269"/>
        <v/>
      </c>
      <c r="AF688" s="22" t="str">
        <f t="shared" si="270"/>
        <v>CO_Jeffe_2020g</v>
      </c>
      <c r="AG688">
        <v>1</v>
      </c>
      <c r="AH688" s="272">
        <v>92434</v>
      </c>
      <c r="AI688" s="273">
        <v>54694</v>
      </c>
      <c r="AJ688" s="274">
        <v>37740</v>
      </c>
      <c r="AK688" s="339">
        <v>16954</v>
      </c>
      <c r="AL688" s="340" t="s">
        <v>5847</v>
      </c>
      <c r="AM688" s="353">
        <f t="shared" si="271"/>
        <v>4.4401493842874125E-2</v>
      </c>
      <c r="AP688" s="23">
        <f t="shared" si="273"/>
        <v>56</v>
      </c>
      <c r="AQ688" s="392">
        <f t="shared" si="274"/>
        <v>0.45036495904595475</v>
      </c>
      <c r="AR688" s="392">
        <f t="shared" si="275"/>
        <v>0.94676266883301485</v>
      </c>
      <c r="AS688" s="392">
        <f t="shared" si="275"/>
        <v>0.99999697830729806</v>
      </c>
    </row>
    <row r="689" spans="1:45">
      <c r="A689" s="12" t="s">
        <v>1708</v>
      </c>
      <c r="B689" s="54" t="str">
        <f t="shared" si="255"/>
        <v>AZ_Maric_2020g</v>
      </c>
      <c r="C689" s="12"/>
      <c r="D689" s="54" t="str">
        <f t="shared" si="256"/>
        <v>Gen-supreme court lopez iv, john (vote for1)</v>
      </c>
      <c r="E689" s="54" t="s">
        <v>1982</v>
      </c>
      <c r="F689" s="12" t="s">
        <v>1300</v>
      </c>
      <c r="G689" s="59">
        <v>432657</v>
      </c>
      <c r="H689"/>
      <c r="K689" s="2"/>
      <c r="O689">
        <f t="shared" si="257"/>
        <v>2</v>
      </c>
      <c r="P689" s="57">
        <f t="shared" si="258"/>
        <v>1</v>
      </c>
      <c r="Q689" s="267">
        <f t="shared" si="259"/>
        <v>432657</v>
      </c>
      <c r="R689" s="23" t="str">
        <f t="shared" si="260"/>
        <v/>
      </c>
      <c r="S689" s="23">
        <f t="shared" si="261"/>
        <v>432657</v>
      </c>
      <c r="T689" s="23" t="str">
        <f t="shared" si="262"/>
        <v/>
      </c>
      <c r="U689" t="str">
        <f t="shared" si="263"/>
        <v/>
      </c>
      <c r="W689" s="1">
        <f t="shared" si="264"/>
        <v>14</v>
      </c>
      <c r="X689" s="73">
        <f t="shared" si="253"/>
        <v>19.365497200368559</v>
      </c>
      <c r="Y689" s="322">
        <f t="shared" si="265"/>
        <v>6081.5220000000008</v>
      </c>
      <c r="Z689" s="43">
        <f t="shared" si="254"/>
        <v>2.3148562524442673E-6</v>
      </c>
      <c r="AA689" s="52">
        <f t="shared" si="266"/>
        <v>2.3148562524442673E-8</v>
      </c>
      <c r="AB689" s="8">
        <f t="shared" si="267"/>
        <v>229</v>
      </c>
      <c r="AC689" s="8">
        <f t="shared" si="268"/>
        <v>381834.00000000006</v>
      </c>
      <c r="AD689" s="8">
        <f t="shared" si="272"/>
        <v>1909.1700000000003</v>
      </c>
      <c r="AE689" s="8" t="str">
        <f t="shared" si="269"/>
        <v/>
      </c>
      <c r="AF689" s="22" t="str">
        <f t="shared" si="270"/>
        <v>CO_Jeffe_2020g</v>
      </c>
      <c r="AG689">
        <v>1</v>
      </c>
      <c r="AH689" s="272">
        <v>88138</v>
      </c>
      <c r="AI689" s="273">
        <v>58178</v>
      </c>
      <c r="AJ689" s="274">
        <v>29960</v>
      </c>
      <c r="AK689" s="339">
        <v>28218</v>
      </c>
      <c r="AL689" s="340" t="s">
        <v>5823</v>
      </c>
      <c r="AM689" s="353">
        <f t="shared" si="271"/>
        <v>7.3901224092144738E-2</v>
      </c>
      <c r="AP689" s="23">
        <f t="shared" si="273"/>
        <v>103</v>
      </c>
      <c r="AQ689" s="392">
        <f t="shared" si="274"/>
        <v>0.67209068635916502</v>
      </c>
      <c r="AR689" s="392">
        <f t="shared" si="275"/>
        <v>0.99577079613058617</v>
      </c>
      <c r="AS689" s="392">
        <f t="shared" si="275"/>
        <v>0.99999999994978461</v>
      </c>
    </row>
    <row r="690" spans="1:45">
      <c r="A690" s="12" t="s">
        <v>1629</v>
      </c>
      <c r="B690" s="54" t="str">
        <f t="shared" si="255"/>
        <v>AZ_Maric_2020g</v>
      </c>
      <c r="C690" s="12"/>
      <c r="D690" s="54" t="str">
        <f t="shared" si="256"/>
        <v>Gen-tempe esd #3-gbm-4yr (vote for3)</v>
      </c>
      <c r="E690" s="54" t="s">
        <v>2024</v>
      </c>
      <c r="F690" s="12" t="s">
        <v>1300</v>
      </c>
      <c r="G690" s="59">
        <v>33255</v>
      </c>
      <c r="H690"/>
      <c r="K690" s="2"/>
      <c r="O690">
        <f t="shared" si="257"/>
        <v>1</v>
      </c>
      <c r="P690" s="57">
        <f t="shared" si="258"/>
        <v>3</v>
      </c>
      <c r="Q690" s="267">
        <f t="shared" si="259"/>
        <v>33255</v>
      </c>
      <c r="R690" s="23">
        <f t="shared" si="260"/>
        <v>2498</v>
      </c>
      <c r="S690" s="23">
        <f t="shared" si="261"/>
        <v>654</v>
      </c>
      <c r="T690" s="23">
        <f t="shared" si="262"/>
        <v>1844</v>
      </c>
      <c r="U690" t="str">
        <f t="shared" si="263"/>
        <v>AZ_Maric_2020g~Gen-tempe esd #3-gbm-4yr (vote for3)</v>
      </c>
      <c r="W690" s="1">
        <f t="shared" si="264"/>
        <v>15</v>
      </c>
      <c r="X690" s="73">
        <f t="shared" si="253"/>
        <v>74.136753281543008</v>
      </c>
      <c r="Y690" s="322">
        <f t="shared" si="265"/>
        <v>24639.9</v>
      </c>
      <c r="Z690" s="43">
        <f t="shared" si="254"/>
        <v>7.9526286199623038E-7</v>
      </c>
      <c r="AA690" s="52">
        <f t="shared" si="266"/>
        <v>7.9526286199623043E-9</v>
      </c>
      <c r="AB690" s="8">
        <f t="shared" si="267"/>
        <v>229</v>
      </c>
      <c r="AC690" s="8">
        <f t="shared" si="268"/>
        <v>381834.00000000006</v>
      </c>
      <c r="AD690" s="8">
        <f t="shared" si="272"/>
        <v>1909.1700000000003</v>
      </c>
      <c r="AE690" s="8" t="str">
        <f t="shared" si="269"/>
        <v/>
      </c>
      <c r="AF690" s="22" t="str">
        <f t="shared" si="270"/>
        <v>CO_Jeffe_2020g</v>
      </c>
      <c r="AG690">
        <v>1</v>
      </c>
      <c r="AH690" s="272">
        <v>357100</v>
      </c>
      <c r="AI690" s="273">
        <v>185307</v>
      </c>
      <c r="AJ690" s="274">
        <v>155443</v>
      </c>
      <c r="AK690" s="339">
        <v>29864</v>
      </c>
      <c r="AL690" s="340" t="s">
        <v>5833</v>
      </c>
      <c r="AM690" s="353">
        <f t="shared" si="271"/>
        <v>7.8211997883897183E-2</v>
      </c>
      <c r="AP690" s="23">
        <f t="shared" si="273"/>
        <v>110</v>
      </c>
      <c r="AQ690" s="392">
        <f t="shared" si="274"/>
        <v>0.69672052115382743</v>
      </c>
      <c r="AR690" s="392">
        <f t="shared" si="275"/>
        <v>0.9971164800177198</v>
      </c>
      <c r="AS690" s="392">
        <f t="shared" si="275"/>
        <v>0.99999999999051525</v>
      </c>
    </row>
    <row r="691" spans="1:45">
      <c r="A691" s="12" t="s">
        <v>1629</v>
      </c>
      <c r="B691" s="54" t="str">
        <f t="shared" si="255"/>
        <v>AZ_Maric_2020g</v>
      </c>
      <c r="C691" s="12"/>
      <c r="D691" s="54" t="str">
        <f t="shared" si="256"/>
        <v>Gen-tempe esd #3-gbm-4yr (vote for3)</v>
      </c>
      <c r="E691" s="54" t="s">
        <v>2023</v>
      </c>
      <c r="F691" s="12" t="s">
        <v>1300</v>
      </c>
      <c r="G691" s="59">
        <v>26437</v>
      </c>
      <c r="H691"/>
      <c r="K691" s="2"/>
      <c r="O691">
        <f t="shared" si="257"/>
        <v>2</v>
      </c>
      <c r="P691" s="57">
        <f t="shared" si="258"/>
        <v>3</v>
      </c>
      <c r="Q691" s="267">
        <f t="shared" si="259"/>
        <v>35921</v>
      </c>
      <c r="R691" s="23">
        <f t="shared" si="260"/>
        <v>2498</v>
      </c>
      <c r="S691" s="23">
        <f t="shared" si="261"/>
        <v>654</v>
      </c>
      <c r="T691" s="23" t="str">
        <f t="shared" si="262"/>
        <v/>
      </c>
      <c r="U691" t="str">
        <f t="shared" si="263"/>
        <v/>
      </c>
      <c r="W691" s="1">
        <f t="shared" si="264"/>
        <v>16</v>
      </c>
      <c r="X691" s="73">
        <f t="shared" si="253"/>
        <v>11.269106553512495</v>
      </c>
      <c r="Y691" s="322">
        <f t="shared" si="265"/>
        <v>4256.058</v>
      </c>
      <c r="Z691" s="43">
        <f t="shared" si="254"/>
        <v>5.5361738224368253E-8</v>
      </c>
      <c r="AA691" s="52">
        <f t="shared" si="266"/>
        <v>5.5361738224368255E-10</v>
      </c>
      <c r="AB691" s="8">
        <f t="shared" si="267"/>
        <v>229</v>
      </c>
      <c r="AC691" s="8">
        <f t="shared" si="268"/>
        <v>381834.00000000006</v>
      </c>
      <c r="AD691" s="8">
        <f t="shared" si="272"/>
        <v>1909.1700000000003</v>
      </c>
      <c r="AE691" s="8" t="str">
        <f t="shared" si="269"/>
        <v/>
      </c>
      <c r="AF691" s="22" t="str">
        <f t="shared" si="270"/>
        <v>CO_Jeffe_2020g</v>
      </c>
      <c r="AG691">
        <v>1</v>
      </c>
      <c r="AH691" s="272">
        <v>61682</v>
      </c>
      <c r="AI691" s="273">
        <v>47809</v>
      </c>
      <c r="AJ691" s="274">
        <v>13873</v>
      </c>
      <c r="AK691" s="339">
        <v>33936</v>
      </c>
      <c r="AL691" s="340" t="s">
        <v>5830</v>
      </c>
      <c r="AM691" s="353">
        <f t="shared" si="271"/>
        <v>8.8876317981112202E-2</v>
      </c>
      <c r="AP691" s="23">
        <f t="shared" si="273"/>
        <v>127</v>
      </c>
      <c r="AQ691" s="392">
        <f t="shared" si="274"/>
        <v>0.74942774662946188</v>
      </c>
      <c r="AR691" s="392">
        <f t="shared" si="275"/>
        <v>0.99886973642506882</v>
      </c>
      <c r="AS691" s="392">
        <f t="shared" si="275"/>
        <v>0.99999999999983935</v>
      </c>
    </row>
    <row r="692" spans="1:45">
      <c r="A692" s="12" t="s">
        <v>1629</v>
      </c>
      <c r="B692" s="54" t="str">
        <f t="shared" si="255"/>
        <v>AZ_Maric_2020g</v>
      </c>
      <c r="C692" s="12"/>
      <c r="D692" s="54" t="str">
        <f t="shared" si="256"/>
        <v>Gen-tempe esd #3-gbm-4yr (vote for3)</v>
      </c>
      <c r="E692" s="54" t="s">
        <v>1299</v>
      </c>
      <c r="G692" s="59">
        <v>4742</v>
      </c>
      <c r="H692"/>
      <c r="K692" s="2"/>
      <c r="O692">
        <f t="shared" si="257"/>
        <v>-2</v>
      </c>
      <c r="P692" s="57">
        <f t="shared" si="258"/>
        <v>3</v>
      </c>
      <c r="Q692" s="267">
        <f t="shared" si="259"/>
        <v>9484</v>
      </c>
      <c r="R692" s="23">
        <f t="shared" si="260"/>
        <v>2498</v>
      </c>
      <c r="S692" s="23">
        <f t="shared" si="261"/>
        <v>654</v>
      </c>
      <c r="T692" s="23" t="str">
        <f t="shared" si="262"/>
        <v/>
      </c>
      <c r="U692" t="str">
        <f t="shared" si="263"/>
        <v/>
      </c>
      <c r="W692" s="1">
        <f t="shared" si="264"/>
        <v>17</v>
      </c>
      <c r="X692" s="73">
        <f t="shared" si="253"/>
        <v>63.79847603536529</v>
      </c>
      <c r="Y692" s="322">
        <f t="shared" si="265"/>
        <v>24413.166000000001</v>
      </c>
      <c r="Z692" s="43">
        <f t="shared" si="254"/>
        <v>4.1215221597401296E-8</v>
      </c>
      <c r="AA692" s="52">
        <f t="shared" si="266"/>
        <v>4.1215221597401294E-10</v>
      </c>
      <c r="AB692" s="8">
        <f t="shared" si="267"/>
        <v>229</v>
      </c>
      <c r="AC692" s="8">
        <f t="shared" si="268"/>
        <v>381834.00000000006</v>
      </c>
      <c r="AD692" s="8">
        <f t="shared" si="272"/>
        <v>1909.1700000000003</v>
      </c>
      <c r="AE692" s="8" t="str">
        <f t="shared" si="269"/>
        <v/>
      </c>
      <c r="AF692" s="22" t="str">
        <f t="shared" si="270"/>
        <v>CO_Jeffe_2020g</v>
      </c>
      <c r="AG692">
        <v>1</v>
      </c>
      <c r="AH692" s="272">
        <v>353814</v>
      </c>
      <c r="AI692" s="273">
        <v>194099</v>
      </c>
      <c r="AJ692" s="274">
        <v>159715</v>
      </c>
      <c r="AK692" s="339">
        <v>34384</v>
      </c>
      <c r="AL692" s="340" t="s">
        <v>5824</v>
      </c>
      <c r="AM692" s="353">
        <f t="shared" si="271"/>
        <v>9.0049602706935461E-2</v>
      </c>
      <c r="AP692" s="23">
        <f t="shared" si="273"/>
        <v>129</v>
      </c>
      <c r="AQ692" s="392">
        <f t="shared" si="274"/>
        <v>0.75502226246403081</v>
      </c>
      <c r="AR692" s="392">
        <f t="shared" si="275"/>
        <v>0.99898826776320893</v>
      </c>
      <c r="AS692" s="392">
        <f t="shared" si="275"/>
        <v>0.99999999999990086</v>
      </c>
    </row>
    <row r="693" spans="1:45">
      <c r="A693" s="12" t="s">
        <v>1629</v>
      </c>
      <c r="B693" s="54" t="str">
        <f t="shared" si="255"/>
        <v>AZ_Maric_2020g</v>
      </c>
      <c r="C693" s="12"/>
      <c r="D693" s="54" t="str">
        <f t="shared" si="256"/>
        <v>Gen-tempe esd #3-gbm-4yr (vote for3)</v>
      </c>
      <c r="E693" s="54" t="s">
        <v>2025</v>
      </c>
      <c r="F693" s="12" t="s">
        <v>1300</v>
      </c>
      <c r="G693" s="59">
        <v>2498</v>
      </c>
      <c r="H693"/>
      <c r="K693" s="2"/>
      <c r="O693">
        <f t="shared" si="257"/>
        <v>3</v>
      </c>
      <c r="P693" s="57">
        <f t="shared" si="258"/>
        <v>3</v>
      </c>
      <c r="Q693" s="267">
        <f t="shared" si="259"/>
        <v>4742</v>
      </c>
      <c r="R693" s="23">
        <f t="shared" si="260"/>
        <v>2498</v>
      </c>
      <c r="S693" s="23">
        <f t="shared" si="261"/>
        <v>654</v>
      </c>
      <c r="T693" s="23" t="str">
        <f t="shared" si="262"/>
        <v/>
      </c>
      <c r="U693" t="str">
        <f t="shared" si="263"/>
        <v/>
      </c>
      <c r="W693" s="1">
        <f t="shared" si="264"/>
        <v>18</v>
      </c>
      <c r="X693" s="73">
        <f t="shared" si="253"/>
        <v>55.893661324895376</v>
      </c>
      <c r="Y693" s="322">
        <f t="shared" si="265"/>
        <v>24376.596000000001</v>
      </c>
      <c r="Z693" s="43">
        <f t="shared" si="254"/>
        <v>1.6997100898984312E-9</v>
      </c>
      <c r="AA693" s="52">
        <f t="shared" si="266"/>
        <v>1.6997100898984312E-11</v>
      </c>
      <c r="AB693" s="8">
        <f t="shared" si="267"/>
        <v>229</v>
      </c>
      <c r="AC693" s="8">
        <f t="shared" si="268"/>
        <v>381834.00000000006</v>
      </c>
      <c r="AD693" s="8">
        <f t="shared" si="272"/>
        <v>1909.1700000000003</v>
      </c>
      <c r="AE693" s="8" t="str">
        <f t="shared" si="269"/>
        <v/>
      </c>
      <c r="AF693" s="22" t="str">
        <f t="shared" si="270"/>
        <v>CO_Jeffe_2020g</v>
      </c>
      <c r="AG693">
        <v>1</v>
      </c>
      <c r="AH693" s="272">
        <v>353284</v>
      </c>
      <c r="AI693" s="273">
        <v>196236</v>
      </c>
      <c r="AJ693" s="274">
        <v>157048</v>
      </c>
      <c r="AK693" s="339">
        <v>39188</v>
      </c>
      <c r="AL693" s="340" t="s">
        <v>5834</v>
      </c>
      <c r="AM693" s="353">
        <f t="shared" si="271"/>
        <v>0.10263098624009384</v>
      </c>
      <c r="AP693" s="23">
        <f t="shared" si="273"/>
        <v>149</v>
      </c>
      <c r="AQ693" s="392">
        <f t="shared" si="274"/>
        <v>0.80481374073864764</v>
      </c>
      <c r="AR693" s="392">
        <f t="shared" si="275"/>
        <v>0.99966822430300062</v>
      </c>
      <c r="AS693" s="392">
        <f t="shared" si="275"/>
        <v>0.99999999999999922</v>
      </c>
    </row>
    <row r="694" spans="1:45">
      <c r="A694" s="12" t="s">
        <v>1629</v>
      </c>
      <c r="B694" s="54" t="str">
        <f t="shared" si="255"/>
        <v>AZ_Maric_2020g</v>
      </c>
      <c r="C694" s="12"/>
      <c r="D694" s="54" t="str">
        <f t="shared" si="256"/>
        <v>Gen-tempe esd #3-gbm-4yr (vote for3)</v>
      </c>
      <c r="E694" s="54" t="s">
        <v>1825</v>
      </c>
      <c r="F694" s="12" t="s">
        <v>1300</v>
      </c>
      <c r="G694" s="59">
        <v>790</v>
      </c>
      <c r="H694"/>
      <c r="K694" s="2"/>
      <c r="O694">
        <f t="shared" si="257"/>
        <v>-3</v>
      </c>
      <c r="P694" s="57">
        <f t="shared" si="258"/>
        <v>3</v>
      </c>
      <c r="Q694" s="267">
        <f t="shared" si="259"/>
        <v>2244</v>
      </c>
      <c r="R694" s="23" t="str">
        <f t="shared" si="260"/>
        <v/>
      </c>
      <c r="S694" s="23">
        <f t="shared" si="261"/>
        <v>654</v>
      </c>
      <c r="T694" s="23" t="str">
        <f t="shared" si="262"/>
        <v/>
      </c>
      <c r="U694" t="str">
        <f t="shared" si="263"/>
        <v/>
      </c>
      <c r="W694" s="1">
        <f t="shared" si="264"/>
        <v>19</v>
      </c>
      <c r="X694" s="73">
        <f t="shared" si="253"/>
        <v>28.687242595204516</v>
      </c>
      <c r="Y694" s="322">
        <f t="shared" si="265"/>
        <v>18108.498000000003</v>
      </c>
      <c r="Z694" s="43">
        <f t="shared" si="254"/>
        <v>8.4315500260344906E-23</v>
      </c>
      <c r="AA694" s="52">
        <f t="shared" si="266"/>
        <v>8.4315500260344909E-25</v>
      </c>
      <c r="AB694" s="8">
        <f t="shared" si="267"/>
        <v>579</v>
      </c>
      <c r="AC694" s="8">
        <f t="shared" si="268"/>
        <v>621259</v>
      </c>
      <c r="AD694" s="8">
        <f t="shared" si="272"/>
        <v>3106.2950000000001</v>
      </c>
      <c r="AE694" s="8">
        <f t="shared" si="269"/>
        <v>5</v>
      </c>
      <c r="AF694" s="22" t="str">
        <f t="shared" si="270"/>
        <v>CO_Jeffe_2020g</v>
      </c>
      <c r="AG694">
        <v>1</v>
      </c>
      <c r="AH694" s="272">
        <v>262442</v>
      </c>
      <c r="AI694" s="273">
        <v>155764</v>
      </c>
      <c r="AJ694" s="274">
        <v>99044</v>
      </c>
      <c r="AK694" s="339">
        <v>56720</v>
      </c>
      <c r="AL694" s="340" t="s">
        <v>5974</v>
      </c>
      <c r="AM694" s="353">
        <f t="shared" si="271"/>
        <v>9.1298476158896691E-2</v>
      </c>
      <c r="AP694" s="23">
        <f t="shared" si="273"/>
        <v>213</v>
      </c>
      <c r="AQ694" s="392">
        <f t="shared" si="274"/>
        <v>0.89824373023369564</v>
      </c>
      <c r="AR694" s="392">
        <f t="shared" si="275"/>
        <v>0.9999885716338538</v>
      </c>
      <c r="AS694" s="392">
        <f t="shared" si="275"/>
        <v>1</v>
      </c>
    </row>
    <row r="695" spans="1:45">
      <c r="A695" s="12" t="s">
        <v>1629</v>
      </c>
      <c r="B695" s="54" t="str">
        <f t="shared" si="255"/>
        <v>AZ_Maric_2020g</v>
      </c>
      <c r="C695" s="12"/>
      <c r="D695" s="54" t="str">
        <f t="shared" si="256"/>
        <v>Gen-tempe esd #3-gbm-4yr (vote for3)</v>
      </c>
      <c r="E695" s="54" t="s">
        <v>2027</v>
      </c>
      <c r="F695" s="12" t="s">
        <v>1300</v>
      </c>
      <c r="G695" s="59">
        <v>654</v>
      </c>
      <c r="H695"/>
      <c r="K695" s="2"/>
      <c r="O695">
        <f t="shared" si="257"/>
        <v>4</v>
      </c>
      <c r="P695" s="57">
        <f t="shared" si="258"/>
        <v>3</v>
      </c>
      <c r="Q695" s="267">
        <f t="shared" si="259"/>
        <v>1454</v>
      </c>
      <c r="R695" s="23" t="str">
        <f t="shared" si="260"/>
        <v/>
      </c>
      <c r="S695" s="23">
        <f t="shared" si="261"/>
        <v>654</v>
      </c>
      <c r="T695" s="23" t="str">
        <f t="shared" si="262"/>
        <v/>
      </c>
      <c r="U695" t="str">
        <f t="shared" si="263"/>
        <v/>
      </c>
      <c r="W695" s="1">
        <f t="shared" si="264"/>
        <v>20</v>
      </c>
      <c r="X695" s="73">
        <f t="shared" si="253"/>
        <v>26.561276267721286</v>
      </c>
      <c r="Y695" s="322">
        <f t="shared" si="265"/>
        <v>17639.712000000003</v>
      </c>
      <c r="Z695" s="43">
        <f t="shared" si="254"/>
        <v>4.0428221499138419E-24</v>
      </c>
      <c r="AA695" s="52">
        <f t="shared" si="266"/>
        <v>4.0428221499138421E-26</v>
      </c>
      <c r="AB695" s="8">
        <f t="shared" si="267"/>
        <v>579</v>
      </c>
      <c r="AC695" s="8">
        <f t="shared" si="268"/>
        <v>621259</v>
      </c>
      <c r="AD695" s="8">
        <f t="shared" si="272"/>
        <v>3106.2950000000001</v>
      </c>
      <c r="AE695" s="8">
        <f t="shared" si="269"/>
        <v>5</v>
      </c>
      <c r="AF695" s="22" t="str">
        <f t="shared" si="270"/>
        <v>CO_Jeffe_2020g</v>
      </c>
      <c r="AG695">
        <v>1</v>
      </c>
      <c r="AH695" s="272">
        <v>255648</v>
      </c>
      <c r="AI695" s="273">
        <v>157661</v>
      </c>
      <c r="AJ695" s="274">
        <v>97987</v>
      </c>
      <c r="AK695" s="339">
        <v>59674</v>
      </c>
      <c r="AL695" s="340" t="s">
        <v>5848</v>
      </c>
      <c r="AM695" s="353">
        <f t="shared" si="271"/>
        <v>9.6053336853067717E-2</v>
      </c>
      <c r="AP695" s="23">
        <f t="shared" si="273"/>
        <v>225</v>
      </c>
      <c r="AQ695" s="392">
        <f t="shared" si="274"/>
        <v>0.91098090940769016</v>
      </c>
      <c r="AR695" s="392">
        <f t="shared" si="275"/>
        <v>0.99999413140347848</v>
      </c>
      <c r="AS695" s="392">
        <f t="shared" si="275"/>
        <v>1</v>
      </c>
    </row>
    <row r="696" spans="1:45">
      <c r="A696" s="12" t="s">
        <v>1629</v>
      </c>
      <c r="B696" s="54" t="str">
        <f t="shared" si="255"/>
        <v>AZ_Maric_2020g</v>
      </c>
      <c r="C696" s="12"/>
      <c r="D696" s="54" t="str">
        <f t="shared" si="256"/>
        <v>Gen-tempe esd #3-gbm-4yr (vote for3)</v>
      </c>
      <c r="E696" s="54" t="s">
        <v>2028</v>
      </c>
      <c r="F696" s="12" t="s">
        <v>1300</v>
      </c>
      <c r="G696" s="59">
        <v>407</v>
      </c>
      <c r="H696"/>
      <c r="K696" s="2"/>
      <c r="O696">
        <f t="shared" si="257"/>
        <v>5</v>
      </c>
      <c r="P696" s="57">
        <f t="shared" si="258"/>
        <v>3</v>
      </c>
      <c r="Q696" s="267">
        <f t="shared" si="259"/>
        <v>800</v>
      </c>
      <c r="R696" s="23" t="str">
        <f t="shared" si="260"/>
        <v/>
      </c>
      <c r="S696" s="23">
        <f t="shared" si="261"/>
        <v>407</v>
      </c>
      <c r="T696" s="23" t="str">
        <f t="shared" si="262"/>
        <v/>
      </c>
      <c r="U696" t="str">
        <f t="shared" si="263"/>
        <v/>
      </c>
      <c r="W696" s="1">
        <f t="shared" si="264"/>
        <v>21</v>
      </c>
      <c r="X696" s="73">
        <f t="shared" si="253"/>
        <v>14.199796935573197</v>
      </c>
      <c r="Y696" s="322">
        <f t="shared" si="265"/>
        <v>20545.164000000001</v>
      </c>
      <c r="Z696" s="43">
        <f t="shared" si="254"/>
        <v>4.0063340881414571E-40</v>
      </c>
      <c r="AA696" s="52">
        <f t="shared" si="266"/>
        <v>4.0063340881414572E-42</v>
      </c>
      <c r="AB696" s="8">
        <f t="shared" si="267"/>
        <v>229</v>
      </c>
      <c r="AC696" s="8">
        <f t="shared" si="268"/>
        <v>381834.00000000006</v>
      </c>
      <c r="AD696" s="8">
        <f t="shared" si="272"/>
        <v>1909.1700000000003</v>
      </c>
      <c r="AE696" s="8" t="str">
        <f t="shared" si="269"/>
        <v/>
      </c>
      <c r="AF696" s="22" t="str">
        <f t="shared" si="270"/>
        <v>CO_Jeffe_2020g</v>
      </c>
      <c r="AG696">
        <v>1</v>
      </c>
      <c r="AH696" s="272">
        <v>297756</v>
      </c>
      <c r="AI696" s="273">
        <v>213882</v>
      </c>
      <c r="AJ696" s="274">
        <v>83874</v>
      </c>
      <c r="AK696" s="339">
        <v>130008</v>
      </c>
      <c r="AL696" s="340" t="s">
        <v>5835</v>
      </c>
      <c r="AM696" s="353">
        <f t="shared" si="271"/>
        <v>0.34048303713131878</v>
      </c>
      <c r="AP696" s="23">
        <f t="shared" si="273"/>
        <v>531</v>
      </c>
      <c r="AQ696" s="392">
        <f t="shared" si="274"/>
        <v>0.99858070395554166</v>
      </c>
      <c r="AR696" s="392">
        <f t="shared" si="275"/>
        <v>0.99999999999999012</v>
      </c>
      <c r="AS696" s="392">
        <f t="shared" si="275"/>
        <v>1</v>
      </c>
    </row>
    <row r="697" spans="1:45">
      <c r="A697" s="12" t="s">
        <v>1629</v>
      </c>
      <c r="B697" s="54" t="str">
        <f t="shared" si="255"/>
        <v>AZ_Maric_2020g</v>
      </c>
      <c r="C697" s="12"/>
      <c r="D697" s="54" t="str">
        <f t="shared" si="256"/>
        <v>Gen-tempe esd #3-gbm-4yr (vote for3)</v>
      </c>
      <c r="E697" s="54" t="s">
        <v>2026</v>
      </c>
      <c r="F697" s="12" t="s">
        <v>1300</v>
      </c>
      <c r="G697" s="59">
        <v>167</v>
      </c>
      <c r="H697"/>
      <c r="K697" s="2"/>
      <c r="O697">
        <f t="shared" si="257"/>
        <v>6</v>
      </c>
      <c r="P697" s="57">
        <f t="shared" si="258"/>
        <v>3</v>
      </c>
      <c r="Q697" s="267">
        <f t="shared" si="259"/>
        <v>393</v>
      </c>
      <c r="R697" s="23" t="str">
        <f t="shared" si="260"/>
        <v/>
      </c>
      <c r="S697" s="23">
        <f t="shared" si="261"/>
        <v>167</v>
      </c>
      <c r="T697" s="23" t="str">
        <f t="shared" si="262"/>
        <v/>
      </c>
      <c r="U697" t="str">
        <f t="shared" si="263"/>
        <v/>
      </c>
      <c r="W697" s="1">
        <f t="shared" si="264"/>
        <v>22</v>
      </c>
      <c r="X697" s="73">
        <f t="shared" si="253"/>
        <v>13.128533579571688</v>
      </c>
      <c r="Y697" s="322">
        <f t="shared" si="265"/>
        <v>20569.797000000002</v>
      </c>
      <c r="Z697" s="43">
        <f t="shared" si="254"/>
        <v>1.7899413012678979E-44</v>
      </c>
      <c r="AA697" s="52">
        <f t="shared" si="266"/>
        <v>1.789941301267898E-46</v>
      </c>
      <c r="AB697" s="8">
        <f t="shared" si="267"/>
        <v>229</v>
      </c>
      <c r="AC697" s="8">
        <f t="shared" si="268"/>
        <v>381834.00000000006</v>
      </c>
      <c r="AD697" s="8">
        <f t="shared" si="272"/>
        <v>1909.1700000000003</v>
      </c>
      <c r="AE697" s="8" t="str">
        <f t="shared" si="269"/>
        <v/>
      </c>
      <c r="AF697" s="22" t="str">
        <f t="shared" si="270"/>
        <v>CO_Jeffe_2020g</v>
      </c>
      <c r="AG697">
        <v>1</v>
      </c>
      <c r="AH697" s="272">
        <v>298113</v>
      </c>
      <c r="AI697" s="273">
        <v>219449</v>
      </c>
      <c r="AJ697" s="274">
        <v>78664</v>
      </c>
      <c r="AK697" s="339">
        <v>140785</v>
      </c>
      <c r="AL697" s="340" t="s">
        <v>5836</v>
      </c>
      <c r="AM697" s="353">
        <f t="shared" si="271"/>
        <v>0.36870734402908062</v>
      </c>
      <c r="AP697" s="23">
        <f t="shared" si="273"/>
        <v>576</v>
      </c>
      <c r="AQ697" s="392">
        <f t="shared" si="274"/>
        <v>0.9992728055802228</v>
      </c>
      <c r="AR697" s="392">
        <f t="shared" si="275"/>
        <v>0.99999999999999967</v>
      </c>
      <c r="AS697" s="392">
        <f t="shared" si="275"/>
        <v>1</v>
      </c>
    </row>
    <row r="698" spans="1:45">
      <c r="A698" s="12" t="s">
        <v>1629</v>
      </c>
      <c r="B698" s="54" t="str">
        <f t="shared" si="255"/>
        <v>AZ_Maric_2020g</v>
      </c>
      <c r="C698" s="12"/>
      <c r="D698" s="54" t="str">
        <f t="shared" si="256"/>
        <v>Gen-tempe esd #3-gbm-4yr (vote for3)</v>
      </c>
      <c r="E698" s="54" t="s">
        <v>1826</v>
      </c>
      <c r="F698" s="12" t="s">
        <v>1300</v>
      </c>
      <c r="G698" s="59">
        <v>142</v>
      </c>
      <c r="H698"/>
      <c r="K698" s="2"/>
      <c r="O698">
        <f t="shared" si="257"/>
        <v>-6</v>
      </c>
      <c r="P698" s="57">
        <f t="shared" si="258"/>
        <v>3</v>
      </c>
      <c r="Q698" s="267">
        <f t="shared" si="259"/>
        <v>226</v>
      </c>
      <c r="R698" s="23">
        <f t="shared" si="260"/>
        <v>1</v>
      </c>
      <c r="S698" s="23">
        <f t="shared" si="261"/>
        <v>0</v>
      </c>
      <c r="T698" s="23" t="str">
        <f t="shared" si="262"/>
        <v/>
      </c>
      <c r="U698" t="str">
        <f t="shared" si="263"/>
        <v/>
      </c>
      <c r="W698" s="1">
        <f t="shared" si="264"/>
        <v>23</v>
      </c>
      <c r="X698" s="73">
        <f t="shared" si="253"/>
        <v>12.913411341134115</v>
      </c>
      <c r="Y698" s="322">
        <f t="shared" si="265"/>
        <v>20437.248000000003</v>
      </c>
      <c r="Z698" s="43">
        <f t="shared" si="254"/>
        <v>4.6130603528512673E-45</v>
      </c>
      <c r="AA698" s="52">
        <f t="shared" si="266"/>
        <v>4.6130603528512673E-47</v>
      </c>
      <c r="AB698" s="8">
        <f t="shared" si="267"/>
        <v>229</v>
      </c>
      <c r="AC698" s="8">
        <f t="shared" si="268"/>
        <v>381834.00000000006</v>
      </c>
      <c r="AD698" s="8">
        <f t="shared" si="272"/>
        <v>1909.1700000000003</v>
      </c>
      <c r="AE698" s="8" t="str">
        <f t="shared" si="269"/>
        <v/>
      </c>
      <c r="AF698" s="22" t="str">
        <f t="shared" si="270"/>
        <v>CO_Jeffe_2020g</v>
      </c>
      <c r="AG698">
        <v>1</v>
      </c>
      <c r="AH698" s="272">
        <v>296192</v>
      </c>
      <c r="AI698" s="273">
        <v>219200</v>
      </c>
      <c r="AJ698" s="274">
        <v>76992</v>
      </c>
      <c r="AK698" s="339">
        <v>142208</v>
      </c>
      <c r="AL698" s="340" t="s">
        <v>5829</v>
      </c>
      <c r="AM698" s="353">
        <f t="shared" si="271"/>
        <v>0.37243409439704162</v>
      </c>
      <c r="AP698" s="23">
        <f t="shared" si="273"/>
        <v>582</v>
      </c>
      <c r="AQ698" s="392">
        <f t="shared" si="274"/>
        <v>0.99933597665212981</v>
      </c>
      <c r="AR698" s="392">
        <f t="shared" si="275"/>
        <v>0.99999999999999978</v>
      </c>
      <c r="AS698" s="392">
        <f t="shared" si="275"/>
        <v>1</v>
      </c>
    </row>
    <row r="699" spans="1:45">
      <c r="A699" s="12" t="s">
        <v>1629</v>
      </c>
      <c r="B699" s="54" t="str">
        <f t="shared" si="255"/>
        <v>AZ_Maric_2020g</v>
      </c>
      <c r="C699" s="12"/>
      <c r="D699" s="54" t="str">
        <f t="shared" si="256"/>
        <v>Gen-tempe esd #3-gbm-4yr (vote for3)</v>
      </c>
      <c r="E699" s="54" t="s">
        <v>1928</v>
      </c>
      <c r="F699" s="12" t="s">
        <v>1300</v>
      </c>
      <c r="G699" s="59">
        <v>84</v>
      </c>
      <c r="H699"/>
      <c r="K699" s="2"/>
      <c r="O699">
        <f t="shared" si="257"/>
        <v>-6</v>
      </c>
      <c r="P699" s="57">
        <f t="shared" si="258"/>
        <v>3</v>
      </c>
      <c r="Q699" s="267">
        <f t="shared" si="259"/>
        <v>84</v>
      </c>
      <c r="R699" s="23">
        <f t="shared" si="260"/>
        <v>1</v>
      </c>
      <c r="S699" s="23">
        <f t="shared" si="261"/>
        <v>0</v>
      </c>
      <c r="T699" s="23" t="str">
        <f t="shared" si="262"/>
        <v/>
      </c>
      <c r="U699" t="str">
        <f t="shared" si="263"/>
        <v/>
      </c>
      <c r="W699" s="1">
        <f t="shared" si="264"/>
        <v>24</v>
      </c>
      <c r="X699" s="73">
        <f t="shared" si="253"/>
        <v>12.927569952722815</v>
      </c>
      <c r="Y699" s="322">
        <f t="shared" si="265"/>
        <v>20541.231000000003</v>
      </c>
      <c r="Z699" s="43">
        <f t="shared" si="254"/>
        <v>2.6815433711817503E-45</v>
      </c>
      <c r="AA699" s="52">
        <f t="shared" si="266"/>
        <v>2.6815433711817505E-47</v>
      </c>
      <c r="AB699" s="8">
        <f t="shared" si="267"/>
        <v>229</v>
      </c>
      <c r="AC699" s="8">
        <f t="shared" si="268"/>
        <v>381834.00000000006</v>
      </c>
      <c r="AD699" s="8">
        <f t="shared" si="272"/>
        <v>1909.1700000000003</v>
      </c>
      <c r="AE699" s="8" t="str">
        <f t="shared" si="269"/>
        <v/>
      </c>
      <c r="AF699" s="22" t="str">
        <f t="shared" si="270"/>
        <v>CO_Jeffe_2020g</v>
      </c>
      <c r="AG699">
        <v>1</v>
      </c>
      <c r="AH699" s="272">
        <v>297699</v>
      </c>
      <c r="AI699" s="273">
        <v>220237</v>
      </c>
      <c r="AJ699" s="274">
        <v>77462</v>
      </c>
      <c r="AK699" s="339">
        <v>142775</v>
      </c>
      <c r="AL699" s="340" t="s">
        <v>5838</v>
      </c>
      <c r="AM699" s="353">
        <f t="shared" si="271"/>
        <v>0.37391903287816164</v>
      </c>
      <c r="AP699" s="23">
        <f t="shared" si="273"/>
        <v>584</v>
      </c>
      <c r="AQ699" s="392">
        <f t="shared" si="274"/>
        <v>0.99935584902639341</v>
      </c>
      <c r="AR699" s="392">
        <f t="shared" si="275"/>
        <v>0.99999999999999978</v>
      </c>
      <c r="AS699" s="392">
        <f t="shared" si="275"/>
        <v>1</v>
      </c>
    </row>
    <row r="700" spans="1:45">
      <c r="A700" s="12" t="s">
        <v>1624</v>
      </c>
      <c r="B700" s="54" t="str">
        <f t="shared" si="255"/>
        <v>AZ_Maric_2020g</v>
      </c>
      <c r="C700" s="12"/>
      <c r="D700" s="54" t="str">
        <f t="shared" si="256"/>
        <v>Gen-tempe uhsd #213-gbm-4yr (vote for3)</v>
      </c>
      <c r="E700" s="54" t="s">
        <v>2009</v>
      </c>
      <c r="F700" s="12" t="s">
        <v>1300</v>
      </c>
      <c r="G700" s="59">
        <v>45236</v>
      </c>
      <c r="H700"/>
      <c r="K700" s="2"/>
      <c r="O700">
        <f t="shared" si="257"/>
        <v>1</v>
      </c>
      <c r="P700" s="57">
        <f t="shared" si="258"/>
        <v>3</v>
      </c>
      <c r="Q700" s="267">
        <f t="shared" si="259"/>
        <v>99196</v>
      </c>
      <c r="R700" s="23">
        <f t="shared" si="260"/>
        <v>41361</v>
      </c>
      <c r="S700" s="23">
        <f t="shared" si="261"/>
        <v>40148</v>
      </c>
      <c r="T700" s="23">
        <f t="shared" si="262"/>
        <v>1213</v>
      </c>
      <c r="U700" t="str">
        <f t="shared" si="263"/>
        <v>AZ_Maric_2020g~Gen-tempe uhsd #213-gbm-4yr (vote for3)</v>
      </c>
      <c r="W700" s="1">
        <f t="shared" si="264"/>
        <v>25</v>
      </c>
      <c r="X700" s="73">
        <f t="shared" si="253"/>
        <v>12.685081439484938</v>
      </c>
      <c r="Y700" s="322">
        <f t="shared" si="265"/>
        <v>20567.589</v>
      </c>
      <c r="Z700" s="43">
        <f t="shared" si="254"/>
        <v>1.6136514838213541E-46</v>
      </c>
      <c r="AA700" s="52">
        <f t="shared" si="266"/>
        <v>1.6136514838213541E-48</v>
      </c>
      <c r="AB700" s="8">
        <f t="shared" si="267"/>
        <v>229</v>
      </c>
      <c r="AC700" s="8">
        <f t="shared" si="268"/>
        <v>381834.00000000006</v>
      </c>
      <c r="AD700" s="8">
        <f t="shared" si="272"/>
        <v>1909.1700000000003</v>
      </c>
      <c r="AE700" s="8" t="str">
        <f t="shared" si="269"/>
        <v/>
      </c>
      <c r="AF700" s="22" t="str">
        <f t="shared" si="270"/>
        <v>CO_Jeffe_2020g</v>
      </c>
      <c r="AG700">
        <v>1</v>
      </c>
      <c r="AH700" s="272">
        <v>298081</v>
      </c>
      <c r="AI700" s="273">
        <v>221886</v>
      </c>
      <c r="AJ700" s="274">
        <v>76195</v>
      </c>
      <c r="AK700" s="339">
        <v>145691</v>
      </c>
      <c r="AL700" s="340" t="s">
        <v>5828</v>
      </c>
      <c r="AM700" s="353">
        <f t="shared" si="271"/>
        <v>0.38155585935249342</v>
      </c>
      <c r="AP700" s="23">
        <f t="shared" si="273"/>
        <v>597</v>
      </c>
      <c r="AQ700" s="392">
        <f t="shared" si="274"/>
        <v>0.99947189098087408</v>
      </c>
      <c r="AR700" s="392">
        <f t="shared" si="275"/>
        <v>0.99999999999999989</v>
      </c>
      <c r="AS700" s="392">
        <f t="shared" si="275"/>
        <v>1</v>
      </c>
    </row>
    <row r="701" spans="1:45">
      <c r="A701" s="12" t="s">
        <v>1624</v>
      </c>
      <c r="B701" s="54" t="str">
        <f t="shared" si="255"/>
        <v>AZ_Maric_2020g</v>
      </c>
      <c r="C701" s="12"/>
      <c r="D701" s="54" t="str">
        <f t="shared" si="256"/>
        <v>Gen-tempe uhsd #213-gbm-4yr (vote for3)</v>
      </c>
      <c r="E701" s="54" t="s">
        <v>2012</v>
      </c>
      <c r="F701" s="12" t="s">
        <v>1300</v>
      </c>
      <c r="G701" s="59">
        <v>43516</v>
      </c>
      <c r="H701"/>
      <c r="K701" s="2"/>
      <c r="O701">
        <f t="shared" si="257"/>
        <v>2</v>
      </c>
      <c r="P701" s="57">
        <f t="shared" si="258"/>
        <v>3</v>
      </c>
      <c r="Q701" s="267">
        <f t="shared" si="259"/>
        <v>252352</v>
      </c>
      <c r="R701" s="23">
        <f t="shared" si="260"/>
        <v>41361</v>
      </c>
      <c r="S701" s="23">
        <f t="shared" si="261"/>
        <v>40148</v>
      </c>
      <c r="T701" s="23" t="str">
        <f t="shared" si="262"/>
        <v/>
      </c>
      <c r="U701" t="str">
        <f t="shared" si="263"/>
        <v/>
      </c>
      <c r="W701" s="1">
        <f t="shared" si="264"/>
        <v>26</v>
      </c>
      <c r="X701" s="73">
        <f t="shared" si="253"/>
        <v>12.324154868343323</v>
      </c>
      <c r="Y701" s="322">
        <f t="shared" si="265"/>
        <v>20663.499000000003</v>
      </c>
      <c r="Z701" s="43">
        <f t="shared" si="254"/>
        <v>1.24175542983774E-48</v>
      </c>
      <c r="AA701" s="52">
        <f t="shared" si="266"/>
        <v>1.24175542983774E-50</v>
      </c>
      <c r="AB701" s="8">
        <f t="shared" si="267"/>
        <v>229</v>
      </c>
      <c r="AC701" s="8">
        <f t="shared" si="268"/>
        <v>381834.00000000006</v>
      </c>
      <c r="AD701" s="8">
        <f t="shared" si="272"/>
        <v>1909.1700000000003</v>
      </c>
      <c r="AE701" s="8" t="str">
        <f t="shared" si="269"/>
        <v/>
      </c>
      <c r="AF701" s="22" t="str">
        <f t="shared" si="270"/>
        <v>CO_Jeffe_2020g</v>
      </c>
      <c r="AG701">
        <v>1</v>
      </c>
      <c r="AH701" s="272">
        <v>299471</v>
      </c>
      <c r="AI701" s="273">
        <v>225064</v>
      </c>
      <c r="AJ701" s="274">
        <v>74407</v>
      </c>
      <c r="AK701" s="339">
        <v>150657</v>
      </c>
      <c r="AL701" s="340" t="s">
        <v>5825</v>
      </c>
      <c r="AM701" s="353">
        <f t="shared" si="271"/>
        <v>0.39456151102311471</v>
      </c>
      <c r="AP701" s="23">
        <f t="shared" si="273"/>
        <v>617</v>
      </c>
      <c r="AQ701" s="392">
        <f t="shared" si="274"/>
        <v>0.99961246248938529</v>
      </c>
      <c r="AR701" s="392">
        <f t="shared" si="275"/>
        <v>1</v>
      </c>
      <c r="AS701" s="392">
        <f t="shared" si="275"/>
        <v>1</v>
      </c>
    </row>
    <row r="702" spans="1:45">
      <c r="A702" s="12" t="s">
        <v>1624</v>
      </c>
      <c r="B702" s="54" t="str">
        <f t="shared" si="255"/>
        <v>AZ_Maric_2020g</v>
      </c>
      <c r="C702" s="12"/>
      <c r="D702" s="54" t="str">
        <f t="shared" si="256"/>
        <v>Gen-tempe uhsd #213-gbm-4yr (vote for3)</v>
      </c>
      <c r="E702" s="54" t="s">
        <v>2010</v>
      </c>
      <c r="F702" s="12" t="s">
        <v>1300</v>
      </c>
      <c r="G702" s="59">
        <v>41361</v>
      </c>
      <c r="H702"/>
      <c r="K702" s="2"/>
      <c r="O702">
        <f t="shared" si="257"/>
        <v>3</v>
      </c>
      <c r="P702" s="57">
        <f t="shared" si="258"/>
        <v>3</v>
      </c>
      <c r="Q702" s="267">
        <f t="shared" si="259"/>
        <v>208836</v>
      </c>
      <c r="R702" s="23">
        <f t="shared" si="260"/>
        <v>41361</v>
      </c>
      <c r="S702" s="23">
        <f t="shared" si="261"/>
        <v>40148</v>
      </c>
      <c r="T702" s="23" t="str">
        <f t="shared" si="262"/>
        <v/>
      </c>
      <c r="U702" t="str">
        <f t="shared" si="263"/>
        <v/>
      </c>
      <c r="W702" s="1">
        <f t="shared" si="264"/>
        <v>27</v>
      </c>
      <c r="X702" s="73">
        <f t="shared" si="253"/>
        <v>12.227679811622769</v>
      </c>
      <c r="Y702" s="322">
        <f t="shared" si="265"/>
        <v>20573.730000000003</v>
      </c>
      <c r="Z702" s="43">
        <f t="shared" si="254"/>
        <v>7.3484711051015121E-49</v>
      </c>
      <c r="AA702" s="52">
        <f t="shared" si="266"/>
        <v>7.3484711051015114E-51</v>
      </c>
      <c r="AB702" s="8">
        <f t="shared" si="267"/>
        <v>229</v>
      </c>
      <c r="AC702" s="8">
        <f t="shared" si="268"/>
        <v>381834.00000000006</v>
      </c>
      <c r="AD702" s="8">
        <f t="shared" si="272"/>
        <v>1909.1700000000003</v>
      </c>
      <c r="AE702" s="8" t="str">
        <f t="shared" si="269"/>
        <v/>
      </c>
      <c r="AF702" s="22" t="str">
        <f t="shared" si="270"/>
        <v>CO_Jeffe_2020g</v>
      </c>
      <c r="AG702">
        <v>1</v>
      </c>
      <c r="AH702" s="272">
        <v>298170</v>
      </c>
      <c r="AI702" s="273">
        <v>224678</v>
      </c>
      <c r="AJ702" s="274">
        <v>73492</v>
      </c>
      <c r="AK702" s="339">
        <v>151186</v>
      </c>
      <c r="AL702" s="340" t="s">
        <v>5827</v>
      </c>
      <c r="AM702" s="353">
        <f t="shared" si="271"/>
        <v>0.39594692981766938</v>
      </c>
      <c r="AP702" s="23">
        <f t="shared" si="273"/>
        <v>620</v>
      </c>
      <c r="AQ702" s="392">
        <f t="shared" si="274"/>
        <v>0.99963019595113412</v>
      </c>
      <c r="AR702" s="392">
        <f t="shared" si="275"/>
        <v>1</v>
      </c>
      <c r="AS702" s="392">
        <f t="shared" si="275"/>
        <v>1</v>
      </c>
    </row>
    <row r="703" spans="1:45">
      <c r="A703" s="12" t="s">
        <v>1624</v>
      </c>
      <c r="B703" s="54" t="str">
        <f t="shared" si="255"/>
        <v>AZ_Maric_2020g</v>
      </c>
      <c r="C703" s="12"/>
      <c r="D703" s="54" t="str">
        <f t="shared" si="256"/>
        <v>Gen-tempe uhsd #213-gbm-4yr (vote for3)</v>
      </c>
      <c r="E703" s="54" t="s">
        <v>2007</v>
      </c>
      <c r="F703" s="12" t="s">
        <v>1300</v>
      </c>
      <c r="G703" s="59">
        <v>40148</v>
      </c>
      <c r="H703"/>
      <c r="K703" s="2"/>
      <c r="O703">
        <f t="shared" si="257"/>
        <v>4</v>
      </c>
      <c r="P703" s="57">
        <f t="shared" si="258"/>
        <v>3</v>
      </c>
      <c r="Q703" s="267">
        <f t="shared" si="259"/>
        <v>167475</v>
      </c>
      <c r="R703" s="23" t="str">
        <f t="shared" si="260"/>
        <v/>
      </c>
      <c r="S703" s="23">
        <f t="shared" si="261"/>
        <v>40148</v>
      </c>
      <c r="T703" s="23" t="str">
        <f t="shared" si="262"/>
        <v/>
      </c>
      <c r="U703" t="str">
        <f t="shared" si="263"/>
        <v/>
      </c>
      <c r="W703" s="1">
        <f t="shared" si="264"/>
        <v>28</v>
      </c>
      <c r="X703" s="73">
        <f t="shared" ref="X703:X766" si="276">IF(AK703=0,AH703,MIN(AH703,6.2/(AK703/AH703)))</f>
        <v>12.159265249234085</v>
      </c>
      <c r="Y703" s="322">
        <f t="shared" si="265"/>
        <v>20583.114000000001</v>
      </c>
      <c r="Z703" s="43">
        <f t="shared" ref="Z703:Z766" si="277">AA703*100</f>
        <v>2.9424400298307028E-49</v>
      </c>
      <c r="AA703" s="52">
        <f t="shared" si="266"/>
        <v>2.9424400298307026E-51</v>
      </c>
      <c r="AB703" s="8">
        <f t="shared" si="267"/>
        <v>229</v>
      </c>
      <c r="AC703" s="8">
        <f t="shared" si="268"/>
        <v>381834.00000000006</v>
      </c>
      <c r="AD703" s="8">
        <f t="shared" si="272"/>
        <v>1909.1700000000003</v>
      </c>
      <c r="AE703" s="8" t="str">
        <f t="shared" si="269"/>
        <v/>
      </c>
      <c r="AF703" s="22" t="str">
        <f t="shared" si="270"/>
        <v>CO_Jeffe_2020g</v>
      </c>
      <c r="AG703">
        <v>1</v>
      </c>
      <c r="AH703" s="272">
        <v>298306</v>
      </c>
      <c r="AI703" s="273">
        <v>225206</v>
      </c>
      <c r="AJ703" s="274">
        <v>73100</v>
      </c>
      <c r="AK703" s="339">
        <v>152106</v>
      </c>
      <c r="AL703" s="340" t="s">
        <v>5826</v>
      </c>
      <c r="AM703" s="353">
        <f t="shared" si="271"/>
        <v>0.39835635380819934</v>
      </c>
      <c r="AP703" s="23">
        <f t="shared" si="273"/>
        <v>624</v>
      </c>
      <c r="AQ703" s="392">
        <f t="shared" si="274"/>
        <v>0.99965264419424193</v>
      </c>
      <c r="AR703" s="392">
        <f t="shared" si="275"/>
        <v>1</v>
      </c>
      <c r="AS703" s="392">
        <f t="shared" si="275"/>
        <v>1</v>
      </c>
    </row>
    <row r="704" spans="1:45">
      <c r="A704" s="12" t="s">
        <v>1624</v>
      </c>
      <c r="B704" s="54" t="str">
        <f t="shared" si="255"/>
        <v>AZ_Maric_2020g</v>
      </c>
      <c r="C704" s="12"/>
      <c r="D704" s="54" t="str">
        <f t="shared" si="256"/>
        <v>Gen-tempe uhsd #213-gbm-4yr (vote for3)</v>
      </c>
      <c r="E704" s="54" t="s">
        <v>2008</v>
      </c>
      <c r="F704" s="12" t="s">
        <v>1300</v>
      </c>
      <c r="G704" s="59">
        <v>36345</v>
      </c>
      <c r="H704"/>
      <c r="K704" s="2"/>
      <c r="O704">
        <f t="shared" si="257"/>
        <v>5</v>
      </c>
      <c r="P704" s="57">
        <f t="shared" si="258"/>
        <v>3</v>
      </c>
      <c r="Q704" s="267">
        <f t="shared" si="259"/>
        <v>127327</v>
      </c>
      <c r="R704" s="23" t="str">
        <f t="shared" si="260"/>
        <v/>
      </c>
      <c r="S704" s="23">
        <f t="shared" si="261"/>
        <v>36345</v>
      </c>
      <c r="T704" s="23" t="str">
        <f t="shared" si="262"/>
        <v/>
      </c>
      <c r="U704" t="str">
        <f t="shared" si="263"/>
        <v/>
      </c>
      <c r="W704" s="1">
        <f t="shared" si="264"/>
        <v>29</v>
      </c>
      <c r="X704" s="73">
        <f t="shared" si="276"/>
        <v>11.783642828921376</v>
      </c>
      <c r="Y704" s="322">
        <f t="shared" si="265"/>
        <v>20578.836000000003</v>
      </c>
      <c r="Z704" s="43">
        <f t="shared" si="277"/>
        <v>2.2993705601454245E-51</v>
      </c>
      <c r="AA704" s="52">
        <f t="shared" si="266"/>
        <v>2.2993705601454245E-53</v>
      </c>
      <c r="AB704" s="8">
        <f t="shared" si="267"/>
        <v>229</v>
      </c>
      <c r="AC704" s="8">
        <f t="shared" si="268"/>
        <v>381834.00000000006</v>
      </c>
      <c r="AD704" s="8">
        <f t="shared" si="272"/>
        <v>1909.1700000000003</v>
      </c>
      <c r="AE704" s="8" t="str">
        <f t="shared" si="269"/>
        <v/>
      </c>
      <c r="AF704" s="22" t="str">
        <f t="shared" si="270"/>
        <v>CO_Jeffe_2020g</v>
      </c>
      <c r="AG704">
        <v>1</v>
      </c>
      <c r="AH704" s="272">
        <v>298244</v>
      </c>
      <c r="AI704" s="273">
        <v>227583</v>
      </c>
      <c r="AJ704" s="274">
        <v>70661</v>
      </c>
      <c r="AK704" s="339">
        <v>156922</v>
      </c>
      <c r="AL704" s="340" t="s">
        <v>5837</v>
      </c>
      <c r="AM704" s="353">
        <f t="shared" si="271"/>
        <v>0.41096916461079941</v>
      </c>
      <c r="AP704" s="23">
        <f t="shared" si="273"/>
        <v>644</v>
      </c>
      <c r="AQ704" s="392">
        <f t="shared" si="274"/>
        <v>0.99974678070593759</v>
      </c>
      <c r="AR704" s="392">
        <f t="shared" si="275"/>
        <v>1</v>
      </c>
      <c r="AS704" s="392">
        <f t="shared" si="275"/>
        <v>1</v>
      </c>
    </row>
    <row r="705" spans="1:45">
      <c r="A705" s="12" t="s">
        <v>1624</v>
      </c>
      <c r="B705" s="54" t="str">
        <f t="shared" si="255"/>
        <v>AZ_Maric_2020g</v>
      </c>
      <c r="C705" s="12"/>
      <c r="D705" s="54" t="str">
        <f t="shared" si="256"/>
        <v>Gen-tempe uhsd #213-gbm-4yr (vote for3)</v>
      </c>
      <c r="E705" s="54" t="s">
        <v>2014</v>
      </c>
      <c r="F705" s="12" t="s">
        <v>1300</v>
      </c>
      <c r="G705" s="59">
        <v>31863</v>
      </c>
      <c r="H705"/>
      <c r="K705" s="2"/>
      <c r="O705">
        <f t="shared" si="257"/>
        <v>6</v>
      </c>
      <c r="P705" s="57">
        <f t="shared" si="258"/>
        <v>3</v>
      </c>
      <c r="Q705" s="267">
        <f t="shared" si="259"/>
        <v>90982</v>
      </c>
      <c r="R705" s="23" t="str">
        <f t="shared" si="260"/>
        <v/>
      </c>
      <c r="S705" s="23">
        <f t="shared" si="261"/>
        <v>31863</v>
      </c>
      <c r="T705" s="23" t="str">
        <f t="shared" si="262"/>
        <v/>
      </c>
      <c r="U705" t="str">
        <f t="shared" si="263"/>
        <v/>
      </c>
      <c r="W705" s="1">
        <f t="shared" si="264"/>
        <v>1</v>
      </c>
      <c r="X705" s="73">
        <f t="shared" si="276"/>
        <v>36</v>
      </c>
      <c r="Y705" s="322">
        <f t="shared" si="265"/>
        <v>36</v>
      </c>
      <c r="Z705" s="43">
        <f t="shared" si="277"/>
        <v>100</v>
      </c>
      <c r="AA705" s="52">
        <f t="shared" si="266"/>
        <v>1</v>
      </c>
      <c r="AB705" s="8">
        <f t="shared" si="267"/>
        <v>203</v>
      </c>
      <c r="AC705" s="8">
        <f t="shared" si="268"/>
        <v>226895.99999999997</v>
      </c>
      <c r="AD705" s="8">
        <f t="shared" si="272"/>
        <v>1134.4799999999998</v>
      </c>
      <c r="AE705" s="8" t="str">
        <f t="shared" si="269"/>
        <v/>
      </c>
      <c r="AF705" s="22" t="str">
        <f t="shared" si="270"/>
        <v>CO_Larim_2020g</v>
      </c>
      <c r="AG705">
        <v>1</v>
      </c>
      <c r="AH705" s="272">
        <v>36</v>
      </c>
      <c r="AI705" s="273">
        <v>18</v>
      </c>
      <c r="AJ705" s="274">
        <v>18</v>
      </c>
      <c r="AK705" s="339">
        <v>0</v>
      </c>
      <c r="AL705" s="340" t="s">
        <v>5861</v>
      </c>
      <c r="AM705" s="353">
        <f t="shared" si="271"/>
        <v>0</v>
      </c>
      <c r="AP705" s="23">
        <f t="shared" si="273"/>
        <v>0</v>
      </c>
      <c r="AQ705" s="392">
        <f t="shared" si="274"/>
        <v>0</v>
      </c>
      <c r="AR705" s="392">
        <f t="shared" si="275"/>
        <v>0</v>
      </c>
      <c r="AS705" s="392">
        <f t="shared" si="275"/>
        <v>0</v>
      </c>
    </row>
    <row r="706" spans="1:45">
      <c r="A706" s="12" t="s">
        <v>1624</v>
      </c>
      <c r="B706" s="54" t="str">
        <f t="shared" ref="B706:B769" si="278">LEFT(A706,14)</f>
        <v>AZ_Maric_2020g</v>
      </c>
      <c r="C706" s="12"/>
      <c r="D706" s="54" t="str">
        <f t="shared" ref="D706:D769" si="279">MID(A706,16,99)</f>
        <v>Gen-tempe uhsd #213-gbm-4yr (vote for3)</v>
      </c>
      <c r="E706" s="54" t="s">
        <v>2011</v>
      </c>
      <c r="F706" s="12" t="s">
        <v>1300</v>
      </c>
      <c r="G706" s="59">
        <v>31111</v>
      </c>
      <c r="H706"/>
      <c r="K706" s="2"/>
      <c r="O706">
        <f t="shared" ref="O706:O769" si="280">IF(OR(LOWER(LEFT(E706,8))="write-in",LOWER(LEFT(E706,8))="not qual"),IF(A706=A705,-ABS(O705),0),IF(A706=A705,ABS(O705)+1,1))</f>
        <v>7</v>
      </c>
      <c r="P706" s="57">
        <f t="shared" ref="P706:P769" si="281">1*LEFT(RIGHT(A706,2),1)</f>
        <v>3</v>
      </c>
      <c r="Q706" s="267">
        <f t="shared" ref="Q706:Q769" si="282">IF(A706&lt;&gt;A707,G706,IF(A706=A705,G706+Q707,MAX(G706,(G706+Q707)/P706)))</f>
        <v>59119</v>
      </c>
      <c r="R706" s="23" t="str">
        <f t="shared" ref="R706:R769" si="283">IF(O706&gt;P706,"",IF(O706=P706,G706,IF(A706=A707,R707,IF(O706&lt;=0,1,G706))))</f>
        <v/>
      </c>
      <c r="S706" s="23">
        <f t="shared" ref="S706:S769" si="284">IF(AND(O706&gt;P706,LOWER(LEFT(E706,8))&lt;&gt;"write-in",LOWER(LEFT(E706,8))&lt;&gt;"not qual"),G706,IF(A706=A707,S707,0))</f>
        <v>31111</v>
      </c>
      <c r="T706" s="23" t="str">
        <f t="shared" ref="T706:T769" si="285">IF(OR(A706=A705,S706=0),"",R706-ABS(S706))</f>
        <v/>
      </c>
      <c r="U706" t="str">
        <f t="shared" ref="U706:U769" si="286">IF(A706=A705,"",A706)</f>
        <v/>
      </c>
      <c r="W706" s="1">
        <f t="shared" ref="W706:W769" si="287">IF(AF706=AF705,W705+1,1)</f>
        <v>2</v>
      </c>
      <c r="X706" s="73">
        <f t="shared" si="276"/>
        <v>71</v>
      </c>
      <c r="Y706" s="322">
        <f t="shared" ref="Y706:Y769" si="288">MAX(X706,0.069*AH706)</f>
        <v>71</v>
      </c>
      <c r="Z706" s="43">
        <f t="shared" si="277"/>
        <v>99.731953206271413</v>
      </c>
      <c r="AA706" s="52">
        <f t="shared" ref="AA706:AA769" si="289">(1-AK706/AC706)^AB706</f>
        <v>0.99731953206271418</v>
      </c>
      <c r="AB706" s="8">
        <f t="shared" ref="AB706:AB769" si="290">INDEX(BA$2:BA$76,MATCH($AF706,$AU$2:$AU$76,0))+IF(AE706="",0,INDEX(BA$2:BA$76,AE706))</f>
        <v>203</v>
      </c>
      <c r="AC706" s="8">
        <f t="shared" ref="AC706:AC769" si="291">INDEX(AX$2:AX$76,MATCH(AF706,AU$2:AU$76,0))+IF(AE706="",0,INDEX(AX$2:AX$76,AE706))</f>
        <v>226895.99999999997</v>
      </c>
      <c r="AD706" s="8">
        <f t="shared" si="272"/>
        <v>1134.4799999999998</v>
      </c>
      <c r="AE706" s="8" t="str">
        <f t="shared" ref="AE706:AE769" si="292">IF(MID(AL706,16,2)&lt;&gt;"w/","",MATCH(CONCATENATE("CO_",MID(AL706,18,5),"_2020g"),AU$2:AU$76,0))</f>
        <v/>
      </c>
      <c r="AF706" s="22" t="str">
        <f t="shared" ref="AF706:AF769" si="293">LEFT(AL706,14)</f>
        <v>CO_Larim_2020g</v>
      </c>
      <c r="AG706">
        <v>1</v>
      </c>
      <c r="AH706" s="8">
        <v>71</v>
      </c>
      <c r="AI706" s="273">
        <v>37</v>
      </c>
      <c r="AJ706" s="274">
        <v>34</v>
      </c>
      <c r="AK706" s="339">
        <v>3</v>
      </c>
      <c r="AL706" s="340" t="s">
        <v>5864</v>
      </c>
      <c r="AM706" s="353">
        <f t="shared" ref="AM706:AM769" si="294">AK706/AC706</f>
        <v>1.3221916649037446E-5</v>
      </c>
      <c r="AP706" s="23">
        <f t="shared" si="273"/>
        <v>0</v>
      </c>
      <c r="AQ706" s="392">
        <f t="shared" si="274"/>
        <v>0</v>
      </c>
      <c r="AR706" s="392">
        <f t="shared" si="275"/>
        <v>0</v>
      </c>
      <c r="AS706" s="392">
        <f t="shared" si="275"/>
        <v>0</v>
      </c>
    </row>
    <row r="707" spans="1:45">
      <c r="A707" s="12" t="s">
        <v>1624</v>
      </c>
      <c r="B707" s="54" t="str">
        <f t="shared" si="278"/>
        <v>AZ_Maric_2020g</v>
      </c>
      <c r="C707" s="12"/>
      <c r="D707" s="54" t="str">
        <f t="shared" si="279"/>
        <v>Gen-tempe uhsd #213-gbm-4yr (vote for3)</v>
      </c>
      <c r="E707" s="54" t="s">
        <v>2013</v>
      </c>
      <c r="F707" s="12" t="s">
        <v>1300</v>
      </c>
      <c r="G707" s="59">
        <v>26969</v>
      </c>
      <c r="H707"/>
      <c r="K707" s="2"/>
      <c r="O707">
        <f t="shared" si="280"/>
        <v>8</v>
      </c>
      <c r="P707" s="57">
        <f t="shared" si="281"/>
        <v>3</v>
      </c>
      <c r="Q707" s="267">
        <f t="shared" si="282"/>
        <v>28008</v>
      </c>
      <c r="R707" s="23" t="str">
        <f t="shared" si="283"/>
        <v/>
      </c>
      <c r="S707" s="23">
        <f t="shared" si="284"/>
        <v>26969</v>
      </c>
      <c r="T707" s="23" t="str">
        <f t="shared" si="285"/>
        <v/>
      </c>
      <c r="U707" t="str">
        <f t="shared" si="286"/>
        <v/>
      </c>
      <c r="W707" s="1">
        <f t="shared" si="287"/>
        <v>3</v>
      </c>
      <c r="X707" s="73">
        <f t="shared" si="276"/>
        <v>28.520000000000003</v>
      </c>
      <c r="Y707" s="322">
        <f t="shared" si="288"/>
        <v>28.520000000000003</v>
      </c>
      <c r="Z707" s="43">
        <f t="shared" si="277"/>
        <v>98.666896689561383</v>
      </c>
      <c r="AA707" s="52">
        <f t="shared" si="289"/>
        <v>0.9866689668956139</v>
      </c>
      <c r="AB707" s="8">
        <f t="shared" si="290"/>
        <v>203</v>
      </c>
      <c r="AC707" s="8">
        <f t="shared" si="291"/>
        <v>226895.99999999997</v>
      </c>
      <c r="AD707" s="8">
        <f t="shared" ref="AD707:AD770" si="295">AC707/RIGHT(AD$1,4)</f>
        <v>1134.4799999999998</v>
      </c>
      <c r="AE707" s="8" t="str">
        <f t="shared" si="292"/>
        <v/>
      </c>
      <c r="AF707" s="22" t="str">
        <f t="shared" si="293"/>
        <v>CO_Larim_2020g</v>
      </c>
      <c r="AG707">
        <v>1</v>
      </c>
      <c r="AH707" s="272">
        <v>69</v>
      </c>
      <c r="AI707" s="273">
        <v>42</v>
      </c>
      <c r="AJ707" s="274">
        <v>27</v>
      </c>
      <c r="AK707" s="339">
        <v>15</v>
      </c>
      <c r="AL707" s="340" t="s">
        <v>5860</v>
      </c>
      <c r="AM707" s="353">
        <f t="shared" si="294"/>
        <v>6.6109583245187227E-5</v>
      </c>
      <c r="AP707" s="23">
        <f t="shared" si="273"/>
        <v>0</v>
      </c>
      <c r="AQ707" s="392">
        <f t="shared" si="274"/>
        <v>0</v>
      </c>
      <c r="AR707" s="392">
        <f t="shared" si="275"/>
        <v>0</v>
      </c>
      <c r="AS707" s="392">
        <f t="shared" si="275"/>
        <v>0</v>
      </c>
    </row>
    <row r="708" spans="1:45">
      <c r="A708" s="12" t="s">
        <v>1624</v>
      </c>
      <c r="B708" s="54" t="str">
        <f t="shared" si="278"/>
        <v>AZ_Maric_2020g</v>
      </c>
      <c r="C708" s="12"/>
      <c r="D708" s="54" t="str">
        <f t="shared" si="279"/>
        <v>Gen-tempe uhsd #213-gbm-4yr (vote for3)</v>
      </c>
      <c r="E708" s="54" t="s">
        <v>1299</v>
      </c>
      <c r="G708" s="59">
        <v>1039</v>
      </c>
      <c r="H708"/>
      <c r="K708" s="2"/>
      <c r="O708">
        <f t="shared" si="280"/>
        <v>-8</v>
      </c>
      <c r="P708" s="57">
        <f t="shared" si="281"/>
        <v>3</v>
      </c>
      <c r="Q708" s="267">
        <f t="shared" si="282"/>
        <v>1039</v>
      </c>
      <c r="R708" s="23">
        <f t="shared" si="283"/>
        <v>1</v>
      </c>
      <c r="S708" s="23">
        <f t="shared" si="284"/>
        <v>0</v>
      </c>
      <c r="T708" s="23" t="str">
        <f t="shared" si="285"/>
        <v/>
      </c>
      <c r="U708" t="str">
        <f t="shared" si="286"/>
        <v/>
      </c>
      <c r="W708" s="1">
        <f t="shared" si="287"/>
        <v>4</v>
      </c>
      <c r="X708" s="73">
        <f t="shared" si="276"/>
        <v>15.606896551724139</v>
      </c>
      <c r="Y708" s="322">
        <f t="shared" si="288"/>
        <v>15.606896551724139</v>
      </c>
      <c r="Z708" s="43">
        <f t="shared" si="277"/>
        <v>97.438627666970163</v>
      </c>
      <c r="AA708" s="52">
        <f t="shared" si="289"/>
        <v>0.97438627666970157</v>
      </c>
      <c r="AB708" s="8">
        <f t="shared" si="290"/>
        <v>203</v>
      </c>
      <c r="AC708" s="8">
        <f t="shared" si="291"/>
        <v>226895.99999999997</v>
      </c>
      <c r="AD708" s="8">
        <f t="shared" si="295"/>
        <v>1134.4799999999998</v>
      </c>
      <c r="AE708" s="8" t="str">
        <f t="shared" si="292"/>
        <v/>
      </c>
      <c r="AF708" s="22" t="str">
        <f t="shared" si="293"/>
        <v>CO_Larim_2020g</v>
      </c>
      <c r="AG708" s="23">
        <v>1</v>
      </c>
      <c r="AH708" s="8">
        <v>73</v>
      </c>
      <c r="AI708" s="273">
        <v>51</v>
      </c>
      <c r="AJ708" s="274">
        <v>22</v>
      </c>
      <c r="AK708" s="339">
        <v>29</v>
      </c>
      <c r="AL708" s="344" t="s">
        <v>5863</v>
      </c>
      <c r="AM708" s="353">
        <f t="shared" si="294"/>
        <v>1.2781186094069531E-4</v>
      </c>
      <c r="AP708" s="23">
        <f t="shared" si="273"/>
        <v>0</v>
      </c>
      <c r="AQ708" s="392">
        <f t="shared" si="274"/>
        <v>0</v>
      </c>
      <c r="AR708" s="392">
        <f t="shared" si="275"/>
        <v>0</v>
      </c>
      <c r="AS708" s="392">
        <f t="shared" si="275"/>
        <v>0</v>
      </c>
    </row>
    <row r="709" spans="1:45">
      <c r="A709" s="12" t="s">
        <v>1698</v>
      </c>
      <c r="B709" s="54" t="str">
        <f t="shared" si="278"/>
        <v>AZ_Maric_2020g</v>
      </c>
      <c r="C709" s="12"/>
      <c r="D709" s="54" t="str">
        <f t="shared" si="279"/>
        <v>Gen-tempe-question 1 (vote for1)</v>
      </c>
      <c r="E709" s="54" t="s">
        <v>2001</v>
      </c>
      <c r="F709" s="12" t="s">
        <v>1300</v>
      </c>
      <c r="G709" s="59">
        <v>57091</v>
      </c>
      <c r="H709"/>
      <c r="K709" s="2"/>
      <c r="O709">
        <f t="shared" si="280"/>
        <v>1</v>
      </c>
      <c r="P709" s="57">
        <f t="shared" si="281"/>
        <v>1</v>
      </c>
      <c r="Q709" s="267">
        <f t="shared" si="282"/>
        <v>72589</v>
      </c>
      <c r="R709" s="23">
        <f t="shared" si="283"/>
        <v>57091</v>
      </c>
      <c r="S709" s="23">
        <f t="shared" si="284"/>
        <v>15498</v>
      </c>
      <c r="T709" s="23">
        <f t="shared" si="285"/>
        <v>41593</v>
      </c>
      <c r="U709" t="str">
        <f t="shared" si="286"/>
        <v>AZ_Maric_2020g~Gen-tempe-question 1 (vote for1)</v>
      </c>
      <c r="W709" s="1">
        <f t="shared" si="287"/>
        <v>5</v>
      </c>
      <c r="X709" s="73">
        <f t="shared" si="276"/>
        <v>15.989473684210527</v>
      </c>
      <c r="Y709" s="322">
        <f t="shared" si="288"/>
        <v>15.989473684210527</v>
      </c>
      <c r="Z709" s="43">
        <f t="shared" si="277"/>
        <v>96.657072918043824</v>
      </c>
      <c r="AA709" s="52">
        <f t="shared" si="289"/>
        <v>0.96657072918043829</v>
      </c>
      <c r="AB709" s="8">
        <f t="shared" si="290"/>
        <v>203</v>
      </c>
      <c r="AC709" s="8">
        <f t="shared" si="291"/>
        <v>226895.99999999997</v>
      </c>
      <c r="AD709" s="8">
        <f t="shared" si="295"/>
        <v>1134.4799999999998</v>
      </c>
      <c r="AE709" s="8" t="str">
        <f t="shared" si="292"/>
        <v/>
      </c>
      <c r="AF709" s="22" t="str">
        <f t="shared" si="293"/>
        <v>CO_Larim_2020g</v>
      </c>
      <c r="AG709">
        <v>1</v>
      </c>
      <c r="AH709" s="272">
        <v>98</v>
      </c>
      <c r="AI709" s="273">
        <v>68</v>
      </c>
      <c r="AJ709" s="274">
        <v>30</v>
      </c>
      <c r="AK709" s="339">
        <v>38</v>
      </c>
      <c r="AL709" s="340" t="s">
        <v>5862</v>
      </c>
      <c r="AM709" s="353">
        <f t="shared" si="294"/>
        <v>1.6747761088780765E-4</v>
      </c>
      <c r="AP709" s="23">
        <f t="shared" si="273"/>
        <v>0</v>
      </c>
      <c r="AQ709" s="392">
        <f t="shared" si="274"/>
        <v>0</v>
      </c>
      <c r="AR709" s="392">
        <f t="shared" si="275"/>
        <v>0</v>
      </c>
      <c r="AS709" s="392">
        <f t="shared" si="275"/>
        <v>0</v>
      </c>
    </row>
    <row r="710" spans="1:45">
      <c r="A710" s="12" t="s">
        <v>1698</v>
      </c>
      <c r="B710" s="54" t="str">
        <f t="shared" si="278"/>
        <v>AZ_Maric_2020g</v>
      </c>
      <c r="C710" s="12"/>
      <c r="D710" s="54" t="str">
        <f t="shared" si="279"/>
        <v>Gen-tempe-question 1 (vote for1)</v>
      </c>
      <c r="E710" s="54" t="s">
        <v>2002</v>
      </c>
      <c r="F710" s="12" t="s">
        <v>1300</v>
      </c>
      <c r="G710" s="59">
        <v>15498</v>
      </c>
      <c r="H710"/>
      <c r="K710" s="2"/>
      <c r="O710">
        <f t="shared" si="280"/>
        <v>2</v>
      </c>
      <c r="P710" s="57">
        <f t="shared" si="281"/>
        <v>1</v>
      </c>
      <c r="Q710" s="267">
        <f t="shared" si="282"/>
        <v>15498</v>
      </c>
      <c r="R710" s="23" t="str">
        <f t="shared" si="283"/>
        <v/>
      </c>
      <c r="S710" s="23">
        <f t="shared" si="284"/>
        <v>15498</v>
      </c>
      <c r="T710" s="23" t="str">
        <f t="shared" si="285"/>
        <v/>
      </c>
      <c r="U710" t="str">
        <f t="shared" si="286"/>
        <v/>
      </c>
      <c r="W710" s="1">
        <f t="shared" si="287"/>
        <v>6</v>
      </c>
      <c r="X710" s="73">
        <f t="shared" si="276"/>
        <v>19.181249999999999</v>
      </c>
      <c r="Y710" s="322">
        <f t="shared" si="288"/>
        <v>27.324000000000002</v>
      </c>
      <c r="Z710" s="43">
        <f t="shared" si="277"/>
        <v>89.176579568239219</v>
      </c>
      <c r="AA710" s="52">
        <f t="shared" si="289"/>
        <v>0.89176579568239223</v>
      </c>
      <c r="AB710" s="8">
        <f t="shared" si="290"/>
        <v>203</v>
      </c>
      <c r="AC710" s="8">
        <f t="shared" si="291"/>
        <v>226895.99999999997</v>
      </c>
      <c r="AD710" s="8">
        <f t="shared" si="295"/>
        <v>1134.4799999999998</v>
      </c>
      <c r="AE710" s="8" t="str">
        <f t="shared" si="292"/>
        <v/>
      </c>
      <c r="AF710" s="22" t="str">
        <f t="shared" si="293"/>
        <v>CO_Larim_2020g</v>
      </c>
      <c r="AG710">
        <v>1</v>
      </c>
      <c r="AH710" s="272">
        <v>396</v>
      </c>
      <c r="AI710" s="273">
        <v>262</v>
      </c>
      <c r="AJ710" s="274">
        <v>134</v>
      </c>
      <c r="AK710" s="339">
        <v>128</v>
      </c>
      <c r="AL710" s="340" t="s">
        <v>5867</v>
      </c>
      <c r="AM710" s="353">
        <f t="shared" si="294"/>
        <v>5.6413511035893098E-4</v>
      </c>
      <c r="AP710" s="23">
        <f t="shared" si="273"/>
        <v>0</v>
      </c>
      <c r="AQ710" s="392">
        <f t="shared" si="274"/>
        <v>0</v>
      </c>
      <c r="AR710" s="392">
        <f t="shared" si="275"/>
        <v>0</v>
      </c>
      <c r="AS710" s="392">
        <f t="shared" si="275"/>
        <v>0</v>
      </c>
    </row>
    <row r="711" spans="1:45">
      <c r="A711" s="12" t="s">
        <v>1699</v>
      </c>
      <c r="B711" s="54" t="str">
        <f t="shared" si="278"/>
        <v>AZ_Maric_2020g</v>
      </c>
      <c r="C711" s="12"/>
      <c r="D711" s="54" t="str">
        <f t="shared" si="279"/>
        <v>Gen-tempe-question 2 (vote for1)</v>
      </c>
      <c r="E711" s="54" t="s">
        <v>2001</v>
      </c>
      <c r="F711" s="12" t="s">
        <v>1300</v>
      </c>
      <c r="G711" s="59">
        <v>56808</v>
      </c>
      <c r="H711"/>
      <c r="K711" s="2"/>
      <c r="O711">
        <f t="shared" si="280"/>
        <v>1</v>
      </c>
      <c r="P711" s="57">
        <f t="shared" si="281"/>
        <v>1</v>
      </c>
      <c r="Q711" s="267">
        <f t="shared" si="282"/>
        <v>72750</v>
      </c>
      <c r="R711" s="23">
        <f t="shared" si="283"/>
        <v>56808</v>
      </c>
      <c r="S711" s="23">
        <f t="shared" si="284"/>
        <v>15942</v>
      </c>
      <c r="T711" s="23">
        <f t="shared" si="285"/>
        <v>40866</v>
      </c>
      <c r="U711" t="str">
        <f t="shared" si="286"/>
        <v>AZ_Maric_2020g~Gen-tempe-question 2 (vote for1)</v>
      </c>
      <c r="W711" s="1">
        <f t="shared" si="287"/>
        <v>7</v>
      </c>
      <c r="X711" s="73">
        <f t="shared" si="276"/>
        <v>11.287447346251055</v>
      </c>
      <c r="Y711" s="322">
        <f t="shared" si="288"/>
        <v>447.32700000000006</v>
      </c>
      <c r="Z711" s="43">
        <f t="shared" si="277"/>
        <v>4.0847398891797662</v>
      </c>
      <c r="AA711" s="52">
        <f t="shared" si="289"/>
        <v>4.0847398891797664E-2</v>
      </c>
      <c r="AB711" s="8">
        <f t="shared" si="290"/>
        <v>354</v>
      </c>
      <c r="AC711" s="8">
        <f t="shared" si="291"/>
        <v>395976</v>
      </c>
      <c r="AD711" s="8">
        <f t="shared" si="295"/>
        <v>1979.88</v>
      </c>
      <c r="AE711" s="8">
        <f t="shared" si="292"/>
        <v>68</v>
      </c>
      <c r="AF711" s="22" t="str">
        <f t="shared" si="293"/>
        <v>CO_Larim_2020g</v>
      </c>
      <c r="AG711" s="314">
        <v>1</v>
      </c>
      <c r="AH711" s="313">
        <v>6483</v>
      </c>
      <c r="AI711" s="315">
        <v>5022</v>
      </c>
      <c r="AJ711" s="315">
        <v>1461</v>
      </c>
      <c r="AK711" s="345">
        <v>3561</v>
      </c>
      <c r="AL711" s="346" t="s">
        <v>5872</v>
      </c>
      <c r="AM711" s="353">
        <f t="shared" si="294"/>
        <v>8.9929692708649017E-3</v>
      </c>
      <c r="AP711" s="23">
        <f t="shared" si="273"/>
        <v>0</v>
      </c>
      <c r="AQ711" s="392">
        <f t="shared" si="274"/>
        <v>0</v>
      </c>
      <c r="AR711" s="392">
        <f t="shared" si="275"/>
        <v>0</v>
      </c>
      <c r="AS711" s="392">
        <f t="shared" si="275"/>
        <v>0</v>
      </c>
    </row>
    <row r="712" spans="1:45">
      <c r="A712" s="12" t="s">
        <v>1699</v>
      </c>
      <c r="B712" s="54" t="str">
        <f t="shared" si="278"/>
        <v>AZ_Maric_2020g</v>
      </c>
      <c r="C712" s="12"/>
      <c r="D712" s="54" t="str">
        <f t="shared" si="279"/>
        <v>Gen-tempe-question 2 (vote for1)</v>
      </c>
      <c r="E712" s="54" t="s">
        <v>2002</v>
      </c>
      <c r="F712" s="12" t="s">
        <v>1300</v>
      </c>
      <c r="G712" s="59">
        <v>15942</v>
      </c>
      <c r="H712"/>
      <c r="K712" s="2"/>
      <c r="O712">
        <f t="shared" si="280"/>
        <v>2</v>
      </c>
      <c r="P712" s="57">
        <f t="shared" si="281"/>
        <v>1</v>
      </c>
      <c r="Q712" s="267">
        <f t="shared" si="282"/>
        <v>15942</v>
      </c>
      <c r="R712" s="23" t="str">
        <f t="shared" si="283"/>
        <v/>
      </c>
      <c r="S712" s="23">
        <f t="shared" si="284"/>
        <v>15942</v>
      </c>
      <c r="T712" s="23" t="str">
        <f t="shared" si="285"/>
        <v/>
      </c>
      <c r="U712" t="str">
        <f t="shared" si="286"/>
        <v/>
      </c>
      <c r="W712" s="1">
        <f t="shared" si="287"/>
        <v>8</v>
      </c>
      <c r="X712" s="73">
        <f t="shared" si="276"/>
        <v>15.624090247452694</v>
      </c>
      <c r="Y712" s="322">
        <f t="shared" si="288"/>
        <v>955.65000000000009</v>
      </c>
      <c r="Z712" s="43">
        <f t="shared" si="277"/>
        <v>0.68898172640000144</v>
      </c>
      <c r="AA712" s="52">
        <f t="shared" si="289"/>
        <v>6.8898172640000149E-3</v>
      </c>
      <c r="AB712" s="8">
        <f t="shared" si="290"/>
        <v>203</v>
      </c>
      <c r="AC712" s="8">
        <f t="shared" si="291"/>
        <v>226895.99999999997</v>
      </c>
      <c r="AD712" s="8">
        <f t="shared" si="295"/>
        <v>1134.4799999999998</v>
      </c>
      <c r="AE712" s="8" t="str">
        <f t="shared" si="292"/>
        <v/>
      </c>
      <c r="AF712" s="22" t="str">
        <f t="shared" si="293"/>
        <v>CO_Larim_2020g</v>
      </c>
      <c r="AG712">
        <v>1</v>
      </c>
      <c r="AH712" s="272">
        <v>13850</v>
      </c>
      <c r="AI712" s="273">
        <v>9673</v>
      </c>
      <c r="AJ712" s="274">
        <v>4177</v>
      </c>
      <c r="AK712" s="339">
        <v>5496</v>
      </c>
      <c r="AL712" s="340" t="s">
        <v>5866</v>
      </c>
      <c r="AM712" s="353">
        <f t="shared" si="294"/>
        <v>2.42225513010366E-2</v>
      </c>
      <c r="AP712" s="23">
        <f t="shared" si="273"/>
        <v>14</v>
      </c>
      <c r="AQ712" s="392">
        <f t="shared" si="274"/>
        <v>0.13912222407936059</v>
      </c>
      <c r="AR712" s="392">
        <f t="shared" si="275"/>
        <v>0.51629848620476004</v>
      </c>
      <c r="AS712" s="392">
        <f t="shared" si="275"/>
        <v>0.95703465824207579</v>
      </c>
    </row>
    <row r="713" spans="1:45">
      <c r="A713" s="12" t="s">
        <v>1700</v>
      </c>
      <c r="B713" s="54" t="str">
        <f t="shared" si="278"/>
        <v>AZ_Maric_2020g</v>
      </c>
      <c r="C713" s="12"/>
      <c r="D713" s="54" t="str">
        <f t="shared" si="279"/>
        <v>Gen-tempe-question 3 (vote for1)</v>
      </c>
      <c r="E713" s="54" t="s">
        <v>2001</v>
      </c>
      <c r="F713" s="12" t="s">
        <v>1300</v>
      </c>
      <c r="G713" s="59">
        <v>50689</v>
      </c>
      <c r="H713"/>
      <c r="K713" s="2"/>
      <c r="O713">
        <f t="shared" si="280"/>
        <v>1</v>
      </c>
      <c r="P713" s="57">
        <f t="shared" si="281"/>
        <v>1</v>
      </c>
      <c r="Q713" s="267">
        <f t="shared" si="282"/>
        <v>72284</v>
      </c>
      <c r="R713" s="23">
        <f t="shared" si="283"/>
        <v>50689</v>
      </c>
      <c r="S713" s="23">
        <f t="shared" si="284"/>
        <v>21595</v>
      </c>
      <c r="T713" s="23">
        <f t="shared" si="285"/>
        <v>29094</v>
      </c>
      <c r="U713" t="str">
        <f t="shared" si="286"/>
        <v>AZ_Maric_2020g~Gen-tempe-question 3 (vote for1)</v>
      </c>
      <c r="W713" s="1">
        <f t="shared" si="287"/>
        <v>9</v>
      </c>
      <c r="X713" s="73">
        <f t="shared" si="276"/>
        <v>33.653224679860308</v>
      </c>
      <c r="Y713" s="322">
        <f t="shared" si="288"/>
        <v>3217.1940000000004</v>
      </c>
      <c r="Z713" s="43">
        <f t="shared" si="277"/>
        <v>3.9580656867060256E-2</v>
      </c>
      <c r="AA713" s="52">
        <f t="shared" si="289"/>
        <v>3.9580656867060259E-4</v>
      </c>
      <c r="AB713" s="8">
        <f t="shared" si="290"/>
        <v>203</v>
      </c>
      <c r="AC713" s="8">
        <f t="shared" si="291"/>
        <v>226895.99999999997</v>
      </c>
      <c r="AD713" s="8">
        <f t="shared" si="295"/>
        <v>1134.4799999999998</v>
      </c>
      <c r="AE713" s="8" t="str">
        <f t="shared" si="292"/>
        <v/>
      </c>
      <c r="AF713" s="22" t="str">
        <f t="shared" si="293"/>
        <v>CO_Larim_2020g</v>
      </c>
      <c r="AG713">
        <v>1</v>
      </c>
      <c r="AH713" s="272">
        <v>46626</v>
      </c>
      <c r="AI713" s="273">
        <v>27608</v>
      </c>
      <c r="AJ713" s="274">
        <v>19018</v>
      </c>
      <c r="AK713" s="339">
        <v>8590</v>
      </c>
      <c r="AL713" s="340" t="s">
        <v>5849</v>
      </c>
      <c r="AM713" s="353">
        <f t="shared" si="294"/>
        <v>3.7858754671743884E-2</v>
      </c>
      <c r="AP713" s="23">
        <f t="shared" si="273"/>
        <v>27</v>
      </c>
      <c r="AQ713" s="392">
        <f t="shared" si="274"/>
        <v>0.25218521579423325</v>
      </c>
      <c r="AR713" s="392">
        <f t="shared" si="275"/>
        <v>0.75563372240850946</v>
      </c>
      <c r="AS713" s="392">
        <f t="shared" si="275"/>
        <v>0.9977787396657235</v>
      </c>
    </row>
    <row r="714" spans="1:45">
      <c r="A714" s="12" t="s">
        <v>1700</v>
      </c>
      <c r="B714" s="54" t="str">
        <f t="shared" si="278"/>
        <v>AZ_Maric_2020g</v>
      </c>
      <c r="C714" s="12"/>
      <c r="D714" s="54" t="str">
        <f t="shared" si="279"/>
        <v>Gen-tempe-question 3 (vote for1)</v>
      </c>
      <c r="E714" s="54" t="s">
        <v>2002</v>
      </c>
      <c r="F714" s="12" t="s">
        <v>1300</v>
      </c>
      <c r="G714" s="59">
        <v>21595</v>
      </c>
      <c r="H714"/>
      <c r="K714" s="2"/>
      <c r="O714">
        <f t="shared" si="280"/>
        <v>2</v>
      </c>
      <c r="P714" s="57">
        <f t="shared" si="281"/>
        <v>1</v>
      </c>
      <c r="Q714" s="267">
        <f t="shared" si="282"/>
        <v>21595</v>
      </c>
      <c r="R714" s="23" t="str">
        <f t="shared" si="283"/>
        <v/>
      </c>
      <c r="S714" s="23">
        <f t="shared" si="284"/>
        <v>21595</v>
      </c>
      <c r="T714" s="23" t="str">
        <f t="shared" si="285"/>
        <v/>
      </c>
      <c r="U714" t="str">
        <f t="shared" si="286"/>
        <v/>
      </c>
      <c r="W714" s="1">
        <f t="shared" si="287"/>
        <v>10</v>
      </c>
      <c r="X714" s="73">
        <f t="shared" si="276"/>
        <v>8.6809978875364653</v>
      </c>
      <c r="Y714" s="322">
        <f t="shared" si="288"/>
        <v>960.41100000000006</v>
      </c>
      <c r="Z714" s="43">
        <f t="shared" si="277"/>
        <v>1.1225177675535223E-2</v>
      </c>
      <c r="AA714" s="52">
        <f t="shared" si="289"/>
        <v>1.1225177675535222E-4</v>
      </c>
      <c r="AB714" s="8">
        <f t="shared" si="290"/>
        <v>203</v>
      </c>
      <c r="AC714" s="8">
        <f t="shared" si="291"/>
        <v>226895.99999999997</v>
      </c>
      <c r="AD714" s="8">
        <f t="shared" si="295"/>
        <v>1134.4799999999998</v>
      </c>
      <c r="AE714" s="8" t="str">
        <f t="shared" si="292"/>
        <v/>
      </c>
      <c r="AF714" s="22" t="str">
        <f t="shared" si="293"/>
        <v>CO_Larim_2020g</v>
      </c>
      <c r="AG714">
        <v>1</v>
      </c>
      <c r="AH714" s="272">
        <v>13919</v>
      </c>
      <c r="AI714" s="273">
        <v>11930</v>
      </c>
      <c r="AJ714" s="274">
        <v>1989</v>
      </c>
      <c r="AK714" s="339">
        <v>9941</v>
      </c>
      <c r="AL714" s="340" t="s">
        <v>5865</v>
      </c>
      <c r="AM714" s="353">
        <f t="shared" si="294"/>
        <v>4.3813024469360418E-2</v>
      </c>
      <c r="AP714" s="23">
        <f t="shared" si="273"/>
        <v>33</v>
      </c>
      <c r="AQ714" s="392">
        <f t="shared" si="274"/>
        <v>0.29962871691298465</v>
      </c>
      <c r="AR714" s="392">
        <f t="shared" si="275"/>
        <v>0.82218401753676096</v>
      </c>
      <c r="AS714" s="392">
        <f t="shared" si="275"/>
        <v>0.99944141911366935</v>
      </c>
    </row>
    <row r="715" spans="1:45">
      <c r="A715" s="12" t="s">
        <v>1701</v>
      </c>
      <c r="B715" s="54" t="str">
        <f t="shared" si="278"/>
        <v>AZ_Maric_2020g</v>
      </c>
      <c r="C715" s="12"/>
      <c r="D715" s="54" t="str">
        <f t="shared" si="279"/>
        <v>Gen-tempe-question 4 (vote for1)</v>
      </c>
      <c r="E715" s="54" t="s">
        <v>2001</v>
      </c>
      <c r="F715" s="12" t="s">
        <v>1300</v>
      </c>
      <c r="G715" s="59">
        <v>55050</v>
      </c>
      <c r="H715"/>
      <c r="K715" s="2"/>
      <c r="O715">
        <f t="shared" si="280"/>
        <v>1</v>
      </c>
      <c r="P715" s="57">
        <f t="shared" si="281"/>
        <v>1</v>
      </c>
      <c r="Q715" s="267">
        <f t="shared" si="282"/>
        <v>72813</v>
      </c>
      <c r="R715" s="23">
        <f t="shared" si="283"/>
        <v>55050</v>
      </c>
      <c r="S715" s="23">
        <f t="shared" si="284"/>
        <v>17763</v>
      </c>
      <c r="T715" s="23">
        <f t="shared" si="285"/>
        <v>37287</v>
      </c>
      <c r="U715" t="str">
        <f t="shared" si="286"/>
        <v>AZ_Maric_2020g~Gen-tempe-question 4 (vote for1)</v>
      </c>
      <c r="W715" s="1">
        <f t="shared" si="287"/>
        <v>11</v>
      </c>
      <c r="X715" s="73">
        <f t="shared" si="276"/>
        <v>35.100835987261149</v>
      </c>
      <c r="Y715" s="322">
        <f t="shared" si="288"/>
        <v>3925.1340000000005</v>
      </c>
      <c r="Z715" s="43">
        <f t="shared" si="277"/>
        <v>1.1180167166143685E-2</v>
      </c>
      <c r="AA715" s="52">
        <f t="shared" si="289"/>
        <v>1.1180167166143686E-4</v>
      </c>
      <c r="AB715" s="8">
        <f t="shared" si="290"/>
        <v>354</v>
      </c>
      <c r="AC715" s="8">
        <f t="shared" si="291"/>
        <v>395976</v>
      </c>
      <c r="AD715" s="8">
        <f t="shared" si="295"/>
        <v>1979.88</v>
      </c>
      <c r="AE715" s="8">
        <f t="shared" si="292"/>
        <v>68</v>
      </c>
      <c r="AF715" s="22" t="str">
        <f t="shared" si="293"/>
        <v>CO_Larim_2020g</v>
      </c>
      <c r="AG715">
        <v>1</v>
      </c>
      <c r="AH715" s="272">
        <v>56886</v>
      </c>
      <c r="AI715" s="273">
        <v>33467</v>
      </c>
      <c r="AJ715" s="274">
        <v>23419</v>
      </c>
      <c r="AK715" s="339">
        <v>10048</v>
      </c>
      <c r="AL715" s="340" t="s">
        <v>5871</v>
      </c>
      <c r="AM715" s="353">
        <f t="shared" si="294"/>
        <v>2.5375275269208235E-2</v>
      </c>
      <c r="AP715" s="23">
        <f t="shared" si="273"/>
        <v>26</v>
      </c>
      <c r="AQ715" s="392">
        <f t="shared" si="274"/>
        <v>0.23339756620494068</v>
      </c>
      <c r="AR715" s="392">
        <f t="shared" si="275"/>
        <v>0.73894968879337763</v>
      </c>
      <c r="AS715" s="392">
        <f t="shared" si="275"/>
        <v>0.99711000492507096</v>
      </c>
    </row>
    <row r="716" spans="1:45">
      <c r="A716" s="12" t="s">
        <v>1701</v>
      </c>
      <c r="B716" s="54" t="str">
        <f t="shared" si="278"/>
        <v>AZ_Maric_2020g</v>
      </c>
      <c r="C716" s="12"/>
      <c r="D716" s="54" t="str">
        <f t="shared" si="279"/>
        <v>Gen-tempe-question 4 (vote for1)</v>
      </c>
      <c r="E716" s="54" t="s">
        <v>2002</v>
      </c>
      <c r="F716" s="12" t="s">
        <v>1300</v>
      </c>
      <c r="G716" s="59">
        <v>17763</v>
      </c>
      <c r="H716"/>
      <c r="K716" s="2"/>
      <c r="O716">
        <f t="shared" si="280"/>
        <v>2</v>
      </c>
      <c r="P716" s="57">
        <f t="shared" si="281"/>
        <v>1</v>
      </c>
      <c r="Q716" s="267">
        <f t="shared" si="282"/>
        <v>17763</v>
      </c>
      <c r="R716" s="23" t="str">
        <f t="shared" si="283"/>
        <v/>
      </c>
      <c r="S716" s="23">
        <f t="shared" si="284"/>
        <v>17763</v>
      </c>
      <c r="T716" s="23" t="str">
        <f t="shared" si="285"/>
        <v/>
      </c>
      <c r="U716" t="str">
        <f t="shared" si="286"/>
        <v/>
      </c>
      <c r="W716" s="1">
        <f t="shared" si="287"/>
        <v>12</v>
      </c>
      <c r="X716" s="73">
        <f t="shared" si="276"/>
        <v>117.72187218721874</v>
      </c>
      <c r="Y716" s="322">
        <f t="shared" si="288"/>
        <v>14555.550000000001</v>
      </c>
      <c r="Z716" s="43">
        <f t="shared" si="277"/>
        <v>3.7486445736002226E-3</v>
      </c>
      <c r="AA716" s="52">
        <f t="shared" si="289"/>
        <v>3.7486445736002226E-5</v>
      </c>
      <c r="AB716" s="8">
        <f t="shared" si="290"/>
        <v>203</v>
      </c>
      <c r="AC716" s="8">
        <f t="shared" si="291"/>
        <v>226895.99999999997</v>
      </c>
      <c r="AD716" s="8">
        <f t="shared" si="295"/>
        <v>1134.4799999999998</v>
      </c>
      <c r="AE716" s="8" t="str">
        <f t="shared" si="292"/>
        <v/>
      </c>
      <c r="AF716" s="22" t="str">
        <f t="shared" si="293"/>
        <v>CO_Larim_2020g</v>
      </c>
      <c r="AG716">
        <v>1</v>
      </c>
      <c r="AH716" s="272">
        <v>210950</v>
      </c>
      <c r="AI716" s="273">
        <v>111030</v>
      </c>
      <c r="AJ716" s="274">
        <v>99920</v>
      </c>
      <c r="AK716" s="339">
        <v>11110</v>
      </c>
      <c r="AL716" s="340" t="s">
        <v>5856</v>
      </c>
      <c r="AM716" s="353">
        <f t="shared" si="294"/>
        <v>4.8965164656935345E-2</v>
      </c>
      <c r="AP716" s="23">
        <f t="shared" si="273"/>
        <v>38</v>
      </c>
      <c r="AQ716" s="392">
        <f t="shared" si="274"/>
        <v>0.33703965925241475</v>
      </c>
      <c r="AR716" s="392">
        <f t="shared" si="275"/>
        <v>0.86375495261579505</v>
      </c>
      <c r="AS716" s="392">
        <f t="shared" si="275"/>
        <v>0.99982433753389388</v>
      </c>
    </row>
    <row r="717" spans="1:45">
      <c r="A717" s="12" t="s">
        <v>1702</v>
      </c>
      <c r="B717" s="54" t="str">
        <f t="shared" si="278"/>
        <v>AZ_Maric_2020g</v>
      </c>
      <c r="C717" s="12"/>
      <c r="D717" s="54" t="str">
        <f t="shared" si="279"/>
        <v>Gen-tempe-question 5 (vote for1)</v>
      </c>
      <c r="E717" s="54" t="s">
        <v>2001</v>
      </c>
      <c r="F717" s="12" t="s">
        <v>1300</v>
      </c>
      <c r="G717" s="59">
        <v>48262</v>
      </c>
      <c r="H717"/>
      <c r="K717" s="2"/>
      <c r="O717">
        <f t="shared" si="280"/>
        <v>1</v>
      </c>
      <c r="P717" s="57">
        <f t="shared" si="281"/>
        <v>1</v>
      </c>
      <c r="Q717" s="267">
        <f t="shared" si="282"/>
        <v>71205</v>
      </c>
      <c r="R717" s="23">
        <f t="shared" si="283"/>
        <v>48262</v>
      </c>
      <c r="S717" s="23">
        <f t="shared" si="284"/>
        <v>22943</v>
      </c>
      <c r="T717" s="23">
        <f t="shared" si="285"/>
        <v>25319</v>
      </c>
      <c r="U717" t="str">
        <f t="shared" si="286"/>
        <v>AZ_Maric_2020g~Gen-tempe-question 5 (vote for1)</v>
      </c>
      <c r="W717" s="1">
        <f t="shared" si="287"/>
        <v>13</v>
      </c>
      <c r="X717" s="73">
        <f t="shared" si="276"/>
        <v>97.080816686251467</v>
      </c>
      <c r="Y717" s="322">
        <f t="shared" si="288"/>
        <v>14710.938000000002</v>
      </c>
      <c r="Z717" s="43">
        <f t="shared" si="277"/>
        <v>3.4996801597115781E-4</v>
      </c>
      <c r="AA717" s="52">
        <f t="shared" si="289"/>
        <v>3.4996801597115778E-6</v>
      </c>
      <c r="AB717" s="8">
        <f t="shared" si="290"/>
        <v>203</v>
      </c>
      <c r="AC717" s="8">
        <f t="shared" si="291"/>
        <v>226895.99999999997</v>
      </c>
      <c r="AD717" s="8">
        <f t="shared" si="295"/>
        <v>1134.4799999999998</v>
      </c>
      <c r="AE717" s="8" t="str">
        <f t="shared" si="292"/>
        <v/>
      </c>
      <c r="AF717" s="22" t="str">
        <f t="shared" si="293"/>
        <v>CO_Larim_2020g</v>
      </c>
      <c r="AG717">
        <v>1</v>
      </c>
      <c r="AH717" s="272">
        <v>213202</v>
      </c>
      <c r="AI717" s="273">
        <v>113409</v>
      </c>
      <c r="AJ717" s="274">
        <v>99793</v>
      </c>
      <c r="AK717" s="339">
        <v>13616</v>
      </c>
      <c r="AL717" s="340" t="s">
        <v>5855</v>
      </c>
      <c r="AM717" s="353">
        <f t="shared" si="294"/>
        <v>6.000987236443129E-2</v>
      </c>
      <c r="AP717" s="23">
        <f t="shared" ref="AP717:AP780" si="296">MIN(AD717, MAX(0,ROUNDUP(AD717*(0.5*AK717/AC717-0.005)/(RIGHT(AP$1,3)-0.005),0)))</f>
        <v>48</v>
      </c>
      <c r="AQ717" s="392">
        <f t="shared" si="274"/>
        <v>0.40642407340513942</v>
      </c>
      <c r="AR717" s="392">
        <f t="shared" si="275"/>
        <v>0.92031316623637804</v>
      </c>
      <c r="AS717" s="392">
        <f t="shared" si="275"/>
        <v>0.99998293593025944</v>
      </c>
    </row>
    <row r="718" spans="1:45">
      <c r="A718" s="12" t="s">
        <v>1702</v>
      </c>
      <c r="B718" s="54" t="str">
        <f t="shared" si="278"/>
        <v>AZ_Maric_2020g</v>
      </c>
      <c r="C718" s="12"/>
      <c r="D718" s="54" t="str">
        <f t="shared" si="279"/>
        <v>Gen-tempe-question 5 (vote for1)</v>
      </c>
      <c r="E718" s="54" t="s">
        <v>2002</v>
      </c>
      <c r="F718" s="12" t="s">
        <v>1300</v>
      </c>
      <c r="G718" s="59">
        <v>22943</v>
      </c>
      <c r="H718"/>
      <c r="K718" s="2"/>
      <c r="O718">
        <f t="shared" si="280"/>
        <v>2</v>
      </c>
      <c r="P718" s="57">
        <f t="shared" si="281"/>
        <v>1</v>
      </c>
      <c r="Q718" s="267">
        <f t="shared" si="282"/>
        <v>22943</v>
      </c>
      <c r="R718" s="23" t="str">
        <f t="shared" si="283"/>
        <v/>
      </c>
      <c r="S718" s="23">
        <f t="shared" si="284"/>
        <v>22943</v>
      </c>
      <c r="T718" s="23" t="str">
        <f t="shared" si="285"/>
        <v/>
      </c>
      <c r="U718" t="str">
        <f t="shared" si="286"/>
        <v/>
      </c>
      <c r="W718" s="1">
        <f t="shared" si="287"/>
        <v>14</v>
      </c>
      <c r="X718" s="73">
        <f t="shared" si="276"/>
        <v>92.335463800904989</v>
      </c>
      <c r="Y718" s="322">
        <f t="shared" si="288"/>
        <v>14534.436000000002</v>
      </c>
      <c r="Z718" s="43">
        <f t="shared" si="277"/>
        <v>2.1159372387335315E-4</v>
      </c>
      <c r="AA718" s="52">
        <f t="shared" si="289"/>
        <v>2.1159372387335315E-6</v>
      </c>
      <c r="AB718" s="8">
        <f t="shared" si="290"/>
        <v>203</v>
      </c>
      <c r="AC718" s="8">
        <f t="shared" si="291"/>
        <v>226895.99999999997</v>
      </c>
      <c r="AD718" s="8">
        <f t="shared" si="295"/>
        <v>1134.4799999999998</v>
      </c>
      <c r="AE718" s="8" t="str">
        <f t="shared" si="292"/>
        <v/>
      </c>
      <c r="AF718" s="22" t="str">
        <f t="shared" si="293"/>
        <v>CO_Larim_2020g</v>
      </c>
      <c r="AG718">
        <v>1</v>
      </c>
      <c r="AH718" s="272">
        <v>210644</v>
      </c>
      <c r="AI718" s="273">
        <v>112394</v>
      </c>
      <c r="AJ718" s="274">
        <v>98250</v>
      </c>
      <c r="AK718" s="339">
        <v>14144</v>
      </c>
      <c r="AL718" s="340" t="s">
        <v>5850</v>
      </c>
      <c r="AM718" s="353">
        <f t="shared" si="294"/>
        <v>6.2336929694661883E-2</v>
      </c>
      <c r="AP718" s="23">
        <f t="shared" si="296"/>
        <v>50</v>
      </c>
      <c r="AQ718" s="392">
        <f t="shared" si="274"/>
        <v>0.41947527818675001</v>
      </c>
      <c r="AR718" s="392">
        <f t="shared" si="275"/>
        <v>0.92846221368131943</v>
      </c>
      <c r="AS718" s="392">
        <f t="shared" si="275"/>
        <v>0.99998932658230155</v>
      </c>
    </row>
    <row r="719" spans="1:45">
      <c r="A719" s="12" t="s">
        <v>1640</v>
      </c>
      <c r="B719" s="54" t="str">
        <f t="shared" si="278"/>
        <v>AZ_Maric_2020g</v>
      </c>
      <c r="C719" s="12"/>
      <c r="D719" s="54" t="str">
        <f t="shared" si="279"/>
        <v>Gen-tolleson esd #17-question (vote for1)</v>
      </c>
      <c r="E719" s="54" t="s">
        <v>2015</v>
      </c>
      <c r="F719" s="12" t="s">
        <v>1300</v>
      </c>
      <c r="G719" s="59">
        <v>3319</v>
      </c>
      <c r="H719"/>
      <c r="K719" s="2"/>
      <c r="O719">
        <f t="shared" si="280"/>
        <v>1</v>
      </c>
      <c r="P719" s="57">
        <f t="shared" si="281"/>
        <v>1</v>
      </c>
      <c r="Q719" s="267">
        <f t="shared" si="282"/>
        <v>4445</v>
      </c>
      <c r="R719" s="23">
        <f t="shared" si="283"/>
        <v>3319</v>
      </c>
      <c r="S719" s="23">
        <f t="shared" si="284"/>
        <v>1126</v>
      </c>
      <c r="T719" s="23">
        <f t="shared" si="285"/>
        <v>2193</v>
      </c>
      <c r="U719" t="str">
        <f t="shared" si="286"/>
        <v>AZ_Maric_2020g~Gen-tolleson esd #17-question (vote for1)</v>
      </c>
      <c r="W719" s="1">
        <f t="shared" si="287"/>
        <v>15</v>
      </c>
      <c r="X719" s="73">
        <f t="shared" si="276"/>
        <v>22.504586215731489</v>
      </c>
      <c r="Y719" s="322">
        <f t="shared" si="288"/>
        <v>3910.0920000000006</v>
      </c>
      <c r="Z719" s="43">
        <f t="shared" si="277"/>
        <v>5.188877671680869E-5</v>
      </c>
      <c r="AA719" s="52">
        <f t="shared" si="289"/>
        <v>5.1888776716808692E-7</v>
      </c>
      <c r="AB719" s="8">
        <f t="shared" si="290"/>
        <v>203</v>
      </c>
      <c r="AC719" s="8">
        <f t="shared" si="291"/>
        <v>226895.99999999997</v>
      </c>
      <c r="AD719" s="8">
        <f t="shared" si="295"/>
        <v>1134.4799999999998</v>
      </c>
      <c r="AE719" s="8" t="str">
        <f t="shared" si="292"/>
        <v/>
      </c>
      <c r="AF719" s="22" t="str">
        <f t="shared" si="293"/>
        <v>CO_Larim_2020g</v>
      </c>
      <c r="AG719">
        <v>1</v>
      </c>
      <c r="AH719" s="272">
        <v>56668</v>
      </c>
      <c r="AI719" s="273">
        <v>36140</v>
      </c>
      <c r="AJ719" s="274">
        <v>20528</v>
      </c>
      <c r="AK719" s="339">
        <v>15612</v>
      </c>
      <c r="AL719" s="340" t="s">
        <v>5868</v>
      </c>
      <c r="AM719" s="353">
        <f t="shared" si="294"/>
        <v>6.8806854241590873E-2</v>
      </c>
      <c r="AP719" s="23">
        <f t="shared" si="296"/>
        <v>57</v>
      </c>
      <c r="AQ719" s="392">
        <f t="shared" si="274"/>
        <v>0.46311078453693344</v>
      </c>
      <c r="AR719" s="392">
        <f t="shared" si="275"/>
        <v>0.95103849706646681</v>
      </c>
      <c r="AS719" s="392">
        <f t="shared" si="275"/>
        <v>0.99999795013335335</v>
      </c>
    </row>
    <row r="720" spans="1:45">
      <c r="A720" s="12" t="s">
        <v>1640</v>
      </c>
      <c r="B720" s="54" t="str">
        <f t="shared" si="278"/>
        <v>AZ_Maric_2020g</v>
      </c>
      <c r="C720" s="12"/>
      <c r="D720" s="54" t="str">
        <f t="shared" si="279"/>
        <v>Gen-tolleson esd #17-question (vote for1)</v>
      </c>
      <c r="E720" s="54" t="s">
        <v>2016</v>
      </c>
      <c r="F720" s="12" t="s">
        <v>1300</v>
      </c>
      <c r="G720" s="59">
        <v>1126</v>
      </c>
      <c r="H720"/>
      <c r="K720" s="2"/>
      <c r="O720">
        <f t="shared" si="280"/>
        <v>2</v>
      </c>
      <c r="P720" s="57">
        <f t="shared" si="281"/>
        <v>1</v>
      </c>
      <c r="Q720" s="267">
        <f t="shared" si="282"/>
        <v>1126</v>
      </c>
      <c r="R720" s="23" t="str">
        <f t="shared" si="283"/>
        <v/>
      </c>
      <c r="S720" s="23">
        <f t="shared" si="284"/>
        <v>1126</v>
      </c>
      <c r="T720" s="23" t="str">
        <f t="shared" si="285"/>
        <v/>
      </c>
      <c r="U720" t="str">
        <f t="shared" si="286"/>
        <v/>
      </c>
      <c r="W720" s="1">
        <f t="shared" si="287"/>
        <v>16</v>
      </c>
      <c r="X720" s="73">
        <f t="shared" si="276"/>
        <v>12.240996257104571</v>
      </c>
      <c r="Y720" s="322">
        <f t="shared" si="288"/>
        <v>2948.1630000000005</v>
      </c>
      <c r="Z720" s="43">
        <f t="shared" si="277"/>
        <v>1.4547281505512362E-7</v>
      </c>
      <c r="AA720" s="52">
        <f t="shared" si="289"/>
        <v>1.4547281505512363E-9</v>
      </c>
      <c r="AB720" s="8">
        <f t="shared" si="290"/>
        <v>203</v>
      </c>
      <c r="AC720" s="8">
        <f t="shared" si="291"/>
        <v>226895.99999999997</v>
      </c>
      <c r="AD720" s="8">
        <f t="shared" si="295"/>
        <v>1134.4799999999998</v>
      </c>
      <c r="AE720" s="8" t="str">
        <f t="shared" si="292"/>
        <v/>
      </c>
      <c r="AF720" s="22" t="str">
        <f t="shared" si="293"/>
        <v>CO_Larim_2020g</v>
      </c>
      <c r="AG720">
        <v>1</v>
      </c>
      <c r="AH720" s="272">
        <v>42727</v>
      </c>
      <c r="AI720" s="273">
        <v>32184</v>
      </c>
      <c r="AJ720" s="274">
        <v>10543</v>
      </c>
      <c r="AK720" s="339">
        <v>21641</v>
      </c>
      <c r="AL720" s="340" t="s">
        <v>5869</v>
      </c>
      <c r="AM720" s="353">
        <f t="shared" si="294"/>
        <v>9.5378499400606456E-2</v>
      </c>
      <c r="AP720" s="23">
        <f t="shared" si="296"/>
        <v>82</v>
      </c>
      <c r="AQ720" s="392">
        <f t="shared" si="274"/>
        <v>0.5955656261461979</v>
      </c>
      <c r="AR720" s="392">
        <f t="shared" si="275"/>
        <v>0.98762346988653793</v>
      </c>
      <c r="AS720" s="392">
        <f t="shared" si="275"/>
        <v>0.99999999488397373</v>
      </c>
    </row>
    <row r="721" spans="1:45">
      <c r="A721" s="12" t="s">
        <v>1625</v>
      </c>
      <c r="B721" s="54" t="str">
        <f t="shared" si="278"/>
        <v>AZ_Maric_2020g</v>
      </c>
      <c r="C721" s="12"/>
      <c r="D721" s="54" t="str">
        <f t="shared" si="279"/>
        <v>Gen-tolleson uhsd #214-question (vote for1)</v>
      </c>
      <c r="E721" s="54" t="s">
        <v>2015</v>
      </c>
      <c r="F721" s="12" t="s">
        <v>1300</v>
      </c>
      <c r="G721" s="59">
        <v>38469</v>
      </c>
      <c r="H721"/>
      <c r="K721" s="2"/>
      <c r="O721">
        <f t="shared" si="280"/>
        <v>1</v>
      </c>
      <c r="P721" s="57">
        <f t="shared" si="281"/>
        <v>1</v>
      </c>
      <c r="Q721" s="267">
        <f t="shared" si="282"/>
        <v>56993</v>
      </c>
      <c r="R721" s="23">
        <f t="shared" si="283"/>
        <v>38469</v>
      </c>
      <c r="S721" s="23">
        <f t="shared" si="284"/>
        <v>18524</v>
      </c>
      <c r="T721" s="23">
        <f t="shared" si="285"/>
        <v>19945</v>
      </c>
      <c r="U721" t="str">
        <f t="shared" si="286"/>
        <v>AZ_Maric_2020g~Gen-tolleson uhsd #214-question (vote for1)</v>
      </c>
      <c r="W721" s="1">
        <f t="shared" si="287"/>
        <v>17</v>
      </c>
      <c r="X721" s="73">
        <f t="shared" si="276"/>
        <v>37.707901318012844</v>
      </c>
      <c r="Y721" s="322">
        <f t="shared" si="288"/>
        <v>12417.516000000001</v>
      </c>
      <c r="Z721" s="43">
        <f t="shared" si="277"/>
        <v>4.7932585788547487E-11</v>
      </c>
      <c r="AA721" s="52">
        <f t="shared" si="289"/>
        <v>4.7932585788547488E-13</v>
      </c>
      <c r="AB721" s="8">
        <f t="shared" si="290"/>
        <v>203</v>
      </c>
      <c r="AC721" s="8">
        <f t="shared" si="291"/>
        <v>226895.99999999997</v>
      </c>
      <c r="AD721" s="8">
        <f t="shared" si="295"/>
        <v>1134.4799999999998</v>
      </c>
      <c r="AE721" s="8" t="str">
        <f t="shared" si="292"/>
        <v/>
      </c>
      <c r="AF721" s="22" t="str">
        <f t="shared" si="293"/>
        <v>CO_Larim_2020g</v>
      </c>
      <c r="AG721">
        <v>1</v>
      </c>
      <c r="AH721" s="272">
        <v>179964</v>
      </c>
      <c r="AI721" s="273">
        <v>104777</v>
      </c>
      <c r="AJ721" s="274">
        <v>75187</v>
      </c>
      <c r="AK721" s="339">
        <v>29590</v>
      </c>
      <c r="AL721" s="340" t="s">
        <v>5854</v>
      </c>
      <c r="AM721" s="353">
        <f t="shared" si="294"/>
        <v>0.13041217121500601</v>
      </c>
      <c r="AP721" s="23">
        <f t="shared" si="296"/>
        <v>115</v>
      </c>
      <c r="AQ721" s="392">
        <f t="shared" si="274"/>
        <v>0.72466562988762018</v>
      </c>
      <c r="AR721" s="392">
        <f t="shared" si="275"/>
        <v>0.99808802041150191</v>
      </c>
      <c r="AS721" s="392">
        <f t="shared" si="275"/>
        <v>0.99999999999854128</v>
      </c>
    </row>
    <row r="722" spans="1:45">
      <c r="A722" s="12" t="s">
        <v>1625</v>
      </c>
      <c r="B722" s="54" t="str">
        <f t="shared" si="278"/>
        <v>AZ_Maric_2020g</v>
      </c>
      <c r="C722" s="12"/>
      <c r="D722" s="54" t="str">
        <f t="shared" si="279"/>
        <v>Gen-tolleson uhsd #214-question (vote for1)</v>
      </c>
      <c r="E722" s="54" t="s">
        <v>2016</v>
      </c>
      <c r="F722" s="12" t="s">
        <v>1300</v>
      </c>
      <c r="G722" s="59">
        <v>18524</v>
      </c>
      <c r="H722"/>
      <c r="K722" s="2"/>
      <c r="O722">
        <f t="shared" si="280"/>
        <v>2</v>
      </c>
      <c r="P722" s="57">
        <f t="shared" si="281"/>
        <v>1</v>
      </c>
      <c r="Q722" s="267">
        <f t="shared" si="282"/>
        <v>18524</v>
      </c>
      <c r="R722" s="23" t="str">
        <f t="shared" si="283"/>
        <v/>
      </c>
      <c r="S722" s="23">
        <f t="shared" si="284"/>
        <v>18524</v>
      </c>
      <c r="T722" s="23" t="str">
        <f t="shared" si="285"/>
        <v/>
      </c>
      <c r="U722" t="str">
        <f t="shared" si="286"/>
        <v/>
      </c>
      <c r="W722" s="1">
        <f t="shared" si="287"/>
        <v>18</v>
      </c>
      <c r="X722" s="73">
        <f t="shared" si="276"/>
        <v>18.615262742622694</v>
      </c>
      <c r="Y722" s="322">
        <f t="shared" si="288"/>
        <v>6564.1770000000006</v>
      </c>
      <c r="Z722" s="43">
        <f t="shared" si="277"/>
        <v>5.4893591295637059E-12</v>
      </c>
      <c r="AA722" s="52">
        <f t="shared" si="289"/>
        <v>5.4893591295637063E-14</v>
      </c>
      <c r="AB722" s="8">
        <f t="shared" si="290"/>
        <v>203</v>
      </c>
      <c r="AC722" s="8">
        <f t="shared" si="291"/>
        <v>226895.99999999997</v>
      </c>
      <c r="AD722" s="8">
        <f t="shared" si="295"/>
        <v>1134.4799999999998</v>
      </c>
      <c r="AE722" s="8" t="str">
        <f t="shared" si="292"/>
        <v/>
      </c>
      <c r="AF722" s="22" t="str">
        <f t="shared" si="293"/>
        <v>CO_Larim_2020g</v>
      </c>
      <c r="AG722">
        <v>1</v>
      </c>
      <c r="AH722" s="272">
        <v>95133</v>
      </c>
      <c r="AI722" s="273">
        <v>63409</v>
      </c>
      <c r="AJ722" s="274">
        <v>31724</v>
      </c>
      <c r="AK722" s="339">
        <v>31685</v>
      </c>
      <c r="AL722" s="340" t="s">
        <v>5870</v>
      </c>
      <c r="AM722" s="353">
        <f t="shared" si="294"/>
        <v>0.13964547634158384</v>
      </c>
      <c r="AP722" s="23">
        <f t="shared" si="296"/>
        <v>124</v>
      </c>
      <c r="AQ722" s="392">
        <f t="shared" si="274"/>
        <v>0.75261455712191683</v>
      </c>
      <c r="AR722" s="392">
        <f t="shared" si="275"/>
        <v>0.99886348046917983</v>
      </c>
      <c r="AS722" s="392">
        <f t="shared" si="275"/>
        <v>0.99999999999985056</v>
      </c>
    </row>
    <row r="723" spans="1:45">
      <c r="A723" s="12" t="s">
        <v>1703</v>
      </c>
      <c r="B723" s="54" t="str">
        <f t="shared" si="278"/>
        <v>AZ_Maric_2020g</v>
      </c>
      <c r="C723" s="12"/>
      <c r="D723" s="54" t="str">
        <f t="shared" si="279"/>
        <v>Gen-tolleson-proposition 434 (vote for1)</v>
      </c>
      <c r="E723" s="54" t="s">
        <v>1981</v>
      </c>
      <c r="F723" s="12" t="s">
        <v>1300</v>
      </c>
      <c r="G723" s="59">
        <v>1784</v>
      </c>
      <c r="H723"/>
      <c r="K723" s="2"/>
      <c r="O723">
        <f t="shared" si="280"/>
        <v>1</v>
      </c>
      <c r="P723" s="57">
        <f t="shared" si="281"/>
        <v>1</v>
      </c>
      <c r="Q723" s="267">
        <f t="shared" si="282"/>
        <v>2059</v>
      </c>
      <c r="R723" s="23">
        <f t="shared" si="283"/>
        <v>1784</v>
      </c>
      <c r="S723" s="23">
        <f t="shared" si="284"/>
        <v>275</v>
      </c>
      <c r="T723" s="23">
        <f t="shared" si="285"/>
        <v>1509</v>
      </c>
      <c r="U723" t="str">
        <f t="shared" si="286"/>
        <v>AZ_Maric_2020g~Gen-tolleson-proposition 434 (vote for1)</v>
      </c>
      <c r="W723" s="1">
        <f t="shared" si="287"/>
        <v>19</v>
      </c>
      <c r="X723" s="73">
        <f t="shared" si="276"/>
        <v>12.320303481973754</v>
      </c>
      <c r="Y723" s="322">
        <f t="shared" si="288"/>
        <v>12234.735000000001</v>
      </c>
      <c r="Z723" s="43">
        <f t="shared" si="277"/>
        <v>8.8783034182313043E-43</v>
      </c>
      <c r="AA723" s="52">
        <f t="shared" si="289"/>
        <v>8.8783034182313041E-45</v>
      </c>
      <c r="AB723" s="8">
        <f t="shared" si="290"/>
        <v>203</v>
      </c>
      <c r="AC723" s="8">
        <f t="shared" si="291"/>
        <v>226895.99999999997</v>
      </c>
      <c r="AD723" s="8">
        <f t="shared" si="295"/>
        <v>1134.4799999999998</v>
      </c>
      <c r="AE723" s="8" t="str">
        <f t="shared" si="292"/>
        <v/>
      </c>
      <c r="AF723" s="22" t="str">
        <f t="shared" si="293"/>
        <v>CO_Larim_2020g</v>
      </c>
      <c r="AG723">
        <v>1</v>
      </c>
      <c r="AH723" s="272">
        <v>177315</v>
      </c>
      <c r="AI723" s="273">
        <v>133273</v>
      </c>
      <c r="AJ723" s="274">
        <v>44042</v>
      </c>
      <c r="AK723" s="339">
        <v>89231</v>
      </c>
      <c r="AL723" s="340" t="s">
        <v>5858</v>
      </c>
      <c r="AM723" s="353">
        <f t="shared" si="294"/>
        <v>0.39326828150342014</v>
      </c>
      <c r="AP723" s="23">
        <f t="shared" si="296"/>
        <v>366</v>
      </c>
      <c r="AQ723" s="392">
        <f t="shared" si="274"/>
        <v>0.99094621058339127</v>
      </c>
      <c r="AR723" s="392">
        <f t="shared" si="275"/>
        <v>0.99999999988811172</v>
      </c>
      <c r="AS723" s="392">
        <f t="shared" si="275"/>
        <v>1</v>
      </c>
    </row>
    <row r="724" spans="1:45">
      <c r="A724" s="12" t="s">
        <v>1703</v>
      </c>
      <c r="B724" s="54" t="str">
        <f t="shared" si="278"/>
        <v>AZ_Maric_2020g</v>
      </c>
      <c r="C724" s="12"/>
      <c r="D724" s="54" t="str">
        <f t="shared" si="279"/>
        <v>Gen-tolleson-proposition 434 (vote for1)</v>
      </c>
      <c r="E724" s="54" t="s">
        <v>1982</v>
      </c>
      <c r="F724" s="12" t="s">
        <v>1300</v>
      </c>
      <c r="G724" s="59">
        <v>275</v>
      </c>
      <c r="H724"/>
      <c r="K724" s="2"/>
      <c r="O724">
        <f t="shared" si="280"/>
        <v>2</v>
      </c>
      <c r="P724" s="57">
        <f t="shared" si="281"/>
        <v>1</v>
      </c>
      <c r="Q724" s="267">
        <f t="shared" si="282"/>
        <v>275</v>
      </c>
      <c r="R724" s="23" t="str">
        <f t="shared" si="283"/>
        <v/>
      </c>
      <c r="S724" s="23">
        <f t="shared" si="284"/>
        <v>275</v>
      </c>
      <c r="T724" s="23" t="str">
        <f t="shared" si="285"/>
        <v/>
      </c>
      <c r="U724" t="str">
        <f t="shared" si="286"/>
        <v/>
      </c>
      <c r="W724" s="1">
        <f t="shared" si="287"/>
        <v>20</v>
      </c>
      <c r="X724" s="73">
        <f t="shared" si="276"/>
        <v>11.849677692960137</v>
      </c>
      <c r="Y724" s="322">
        <f t="shared" si="288"/>
        <v>12438.492</v>
      </c>
      <c r="Z724" s="43">
        <f t="shared" si="277"/>
        <v>4.2415891919493714E-46</v>
      </c>
      <c r="AA724" s="52">
        <f t="shared" si="289"/>
        <v>4.2415891919493711E-48</v>
      </c>
      <c r="AB724" s="8">
        <f t="shared" si="290"/>
        <v>203</v>
      </c>
      <c r="AC724" s="8">
        <f t="shared" si="291"/>
        <v>226895.99999999997</v>
      </c>
      <c r="AD724" s="8">
        <f t="shared" si="295"/>
        <v>1134.4799999999998</v>
      </c>
      <c r="AE724" s="8" t="str">
        <f t="shared" si="292"/>
        <v/>
      </c>
      <c r="AF724" s="22" t="str">
        <f t="shared" si="293"/>
        <v>CO_Larim_2020g</v>
      </c>
      <c r="AG724">
        <v>1</v>
      </c>
      <c r="AH724" s="272">
        <v>180268</v>
      </c>
      <c r="AI724" s="273">
        <v>137294</v>
      </c>
      <c r="AJ724" s="274">
        <v>42974</v>
      </c>
      <c r="AK724" s="339">
        <v>94320</v>
      </c>
      <c r="AL724" s="340" t="s">
        <v>5851</v>
      </c>
      <c r="AM724" s="353">
        <f t="shared" si="294"/>
        <v>0.41569705944573732</v>
      </c>
      <c r="AP724" s="23">
        <f t="shared" si="296"/>
        <v>387</v>
      </c>
      <c r="AQ724" s="392">
        <f t="shared" si="274"/>
        <v>0.99352435534855421</v>
      </c>
      <c r="AR724" s="392">
        <f t="shared" si="275"/>
        <v>0.99999999997833489</v>
      </c>
      <c r="AS724" s="392">
        <f t="shared" si="275"/>
        <v>1</v>
      </c>
    </row>
    <row r="725" spans="1:45">
      <c r="A725" s="12" t="s">
        <v>1704</v>
      </c>
      <c r="B725" s="54" t="str">
        <f t="shared" si="278"/>
        <v>AZ_Maric_2020g</v>
      </c>
      <c r="C725" s="12"/>
      <c r="D725" s="54" t="str">
        <f t="shared" si="279"/>
        <v>Gen-tolleson-proposition 435 (vote for1)</v>
      </c>
      <c r="E725" s="54" t="s">
        <v>1981</v>
      </c>
      <c r="F725" s="12" t="s">
        <v>1300</v>
      </c>
      <c r="G725" s="59">
        <v>1334</v>
      </c>
      <c r="H725"/>
      <c r="K725" s="2"/>
      <c r="O725">
        <f t="shared" si="280"/>
        <v>1</v>
      </c>
      <c r="P725" s="57">
        <f t="shared" si="281"/>
        <v>1</v>
      </c>
      <c r="Q725" s="267">
        <f t="shared" si="282"/>
        <v>2078</v>
      </c>
      <c r="R725" s="23">
        <f t="shared" si="283"/>
        <v>1334</v>
      </c>
      <c r="S725" s="23">
        <f t="shared" si="284"/>
        <v>744</v>
      </c>
      <c r="T725" s="23">
        <f t="shared" si="285"/>
        <v>590</v>
      </c>
      <c r="U725" t="str">
        <f t="shared" si="286"/>
        <v>AZ_Maric_2020g~Gen-tolleson-proposition 435 (vote for1)</v>
      </c>
      <c r="W725" s="1">
        <f t="shared" si="287"/>
        <v>21</v>
      </c>
      <c r="X725" s="73">
        <f t="shared" si="276"/>
        <v>11.486191042000311</v>
      </c>
      <c r="Y725" s="322">
        <f t="shared" si="288"/>
        <v>12372.045000000002</v>
      </c>
      <c r="Z725" s="43">
        <f t="shared" si="277"/>
        <v>9.3949947367911075E-48</v>
      </c>
      <c r="AA725" s="52">
        <f t="shared" si="289"/>
        <v>9.3949947367911078E-50</v>
      </c>
      <c r="AB725" s="8">
        <f t="shared" si="290"/>
        <v>203</v>
      </c>
      <c r="AC725" s="8">
        <f t="shared" si="291"/>
        <v>226895.99999999997</v>
      </c>
      <c r="AD725" s="8">
        <f t="shared" si="295"/>
        <v>1134.4799999999998</v>
      </c>
      <c r="AE725" s="8" t="str">
        <f t="shared" si="292"/>
        <v/>
      </c>
      <c r="AF725" s="22" t="str">
        <f t="shared" si="293"/>
        <v>CO_Larim_2020g</v>
      </c>
      <c r="AG725">
        <v>1</v>
      </c>
      <c r="AH725" s="272">
        <v>179305</v>
      </c>
      <c r="AI725" s="273">
        <v>138045</v>
      </c>
      <c r="AJ725" s="274">
        <v>41260</v>
      </c>
      <c r="AK725" s="339">
        <v>96785</v>
      </c>
      <c r="AL725" s="340" t="s">
        <v>5857</v>
      </c>
      <c r="AM725" s="353">
        <f t="shared" si="294"/>
        <v>0.4265610676256964</v>
      </c>
      <c r="AP725" s="23">
        <f t="shared" si="296"/>
        <v>398</v>
      </c>
      <c r="AQ725" s="392">
        <f t="shared" si="274"/>
        <v>0.99458759764771354</v>
      </c>
      <c r="AR725" s="392">
        <f t="shared" si="275"/>
        <v>0.99999999999100697</v>
      </c>
      <c r="AS725" s="392">
        <f t="shared" si="275"/>
        <v>1</v>
      </c>
    </row>
    <row r="726" spans="1:45">
      <c r="A726" s="12" t="s">
        <v>1704</v>
      </c>
      <c r="B726" s="54" t="str">
        <f t="shared" si="278"/>
        <v>AZ_Maric_2020g</v>
      </c>
      <c r="C726" s="12"/>
      <c r="D726" s="54" t="str">
        <f t="shared" si="279"/>
        <v>Gen-tolleson-proposition 435 (vote for1)</v>
      </c>
      <c r="E726" s="54" t="s">
        <v>1982</v>
      </c>
      <c r="F726" s="12" t="s">
        <v>1300</v>
      </c>
      <c r="G726" s="59">
        <v>744</v>
      </c>
      <c r="H726"/>
      <c r="K726" s="2"/>
      <c r="O726">
        <f t="shared" si="280"/>
        <v>2</v>
      </c>
      <c r="P726" s="57">
        <f t="shared" si="281"/>
        <v>1</v>
      </c>
      <c r="Q726" s="267">
        <f t="shared" si="282"/>
        <v>744</v>
      </c>
      <c r="R726" s="23" t="str">
        <f t="shared" si="283"/>
        <v/>
      </c>
      <c r="S726" s="23">
        <f t="shared" si="284"/>
        <v>744</v>
      </c>
      <c r="T726" s="23" t="str">
        <f t="shared" si="285"/>
        <v/>
      </c>
      <c r="U726" t="str">
        <f t="shared" si="286"/>
        <v/>
      </c>
      <c r="W726" s="1">
        <f t="shared" si="287"/>
        <v>22</v>
      </c>
      <c r="X726" s="73">
        <f t="shared" si="276"/>
        <v>11.45317557487525</v>
      </c>
      <c r="Y726" s="322">
        <f t="shared" si="288"/>
        <v>12388.743</v>
      </c>
      <c r="Z726" s="43">
        <f t="shared" si="277"/>
        <v>4.9504698957391372E-48</v>
      </c>
      <c r="AA726" s="52">
        <f t="shared" si="289"/>
        <v>4.9504698957391372E-50</v>
      </c>
      <c r="AB726" s="8">
        <f t="shared" si="290"/>
        <v>203</v>
      </c>
      <c r="AC726" s="8">
        <f t="shared" si="291"/>
        <v>226895.99999999997</v>
      </c>
      <c r="AD726" s="8">
        <f t="shared" si="295"/>
        <v>1134.4799999999998</v>
      </c>
      <c r="AE726" s="8" t="str">
        <f t="shared" si="292"/>
        <v/>
      </c>
      <c r="AF726" s="22" t="str">
        <f t="shared" si="293"/>
        <v>CO_Larim_2020g</v>
      </c>
      <c r="AG726">
        <v>1</v>
      </c>
      <c r="AH726" s="272">
        <v>179547</v>
      </c>
      <c r="AI726" s="273">
        <v>138371</v>
      </c>
      <c r="AJ726" s="274">
        <v>41176</v>
      </c>
      <c r="AK726" s="339">
        <v>97195</v>
      </c>
      <c r="AL726" s="340" t="s">
        <v>5853</v>
      </c>
      <c r="AM726" s="353">
        <f t="shared" si="294"/>
        <v>0.42836806290106488</v>
      </c>
      <c r="AP726" s="23">
        <f t="shared" si="296"/>
        <v>399</v>
      </c>
      <c r="AQ726" s="392">
        <f t="shared" si="274"/>
        <v>0.99467584333824</v>
      </c>
      <c r="AR726" s="392">
        <f t="shared" si="275"/>
        <v>0.99999999999170341</v>
      </c>
      <c r="AS726" s="392">
        <f t="shared" si="275"/>
        <v>1</v>
      </c>
    </row>
    <row r="727" spans="1:45">
      <c r="A727" s="12" t="s">
        <v>1705</v>
      </c>
      <c r="B727" s="54" t="str">
        <f t="shared" si="278"/>
        <v>AZ_Maric_2020g</v>
      </c>
      <c r="C727" s="12"/>
      <c r="D727" s="54" t="str">
        <f t="shared" si="279"/>
        <v>Gen-tolleson-proposition 436 (vote for1)</v>
      </c>
      <c r="E727" s="54" t="s">
        <v>1981</v>
      </c>
      <c r="F727" s="12" t="s">
        <v>1300</v>
      </c>
      <c r="G727" s="59">
        <v>1602</v>
      </c>
      <c r="H727"/>
      <c r="K727" s="2"/>
      <c r="O727">
        <f t="shared" si="280"/>
        <v>1</v>
      </c>
      <c r="P727" s="57">
        <f t="shared" si="281"/>
        <v>1</v>
      </c>
      <c r="Q727" s="267">
        <f t="shared" si="282"/>
        <v>2015</v>
      </c>
      <c r="R727" s="23">
        <f t="shared" si="283"/>
        <v>1602</v>
      </c>
      <c r="S727" s="23">
        <f t="shared" si="284"/>
        <v>413</v>
      </c>
      <c r="T727" s="23">
        <f t="shared" si="285"/>
        <v>1189</v>
      </c>
      <c r="U727" t="str">
        <f t="shared" si="286"/>
        <v>AZ_Maric_2020g~Gen-tolleson-proposition 436 (vote for1)</v>
      </c>
      <c r="W727" s="1">
        <f t="shared" si="287"/>
        <v>23</v>
      </c>
      <c r="X727" s="73">
        <f t="shared" si="276"/>
        <v>11.292026648604386</v>
      </c>
      <c r="Y727" s="322">
        <f t="shared" si="288"/>
        <v>12430.833000000001</v>
      </c>
      <c r="Z727" s="43">
        <f t="shared" si="277"/>
        <v>3.2832968888104602E-49</v>
      </c>
      <c r="AA727" s="52">
        <f t="shared" si="289"/>
        <v>3.2832968888104602E-51</v>
      </c>
      <c r="AB727" s="8">
        <f t="shared" si="290"/>
        <v>203</v>
      </c>
      <c r="AC727" s="8">
        <f t="shared" si="291"/>
        <v>226895.99999999997</v>
      </c>
      <c r="AD727" s="8">
        <f t="shared" si="295"/>
        <v>1134.4799999999998</v>
      </c>
      <c r="AE727" s="8" t="str">
        <f t="shared" si="292"/>
        <v/>
      </c>
      <c r="AF727" s="22" t="str">
        <f t="shared" si="293"/>
        <v>CO_Larim_2020g</v>
      </c>
      <c r="AG727">
        <v>1</v>
      </c>
      <c r="AH727" s="272">
        <v>180157</v>
      </c>
      <c r="AI727" s="273">
        <v>139537</v>
      </c>
      <c r="AJ727" s="274">
        <v>40620</v>
      </c>
      <c r="AK727" s="339">
        <v>98917</v>
      </c>
      <c r="AL727" s="340" t="s">
        <v>5852</v>
      </c>
      <c r="AM727" s="353">
        <f t="shared" si="294"/>
        <v>0.43595744305761236</v>
      </c>
      <c r="AP727" s="23">
        <f t="shared" si="296"/>
        <v>407</v>
      </c>
      <c r="AQ727" s="392">
        <f t="shared" si="274"/>
        <v>0.99533574812073577</v>
      </c>
      <c r="AR727" s="392">
        <f t="shared" si="275"/>
        <v>0.99999999999566458</v>
      </c>
      <c r="AS727" s="392">
        <f t="shared" si="275"/>
        <v>1</v>
      </c>
    </row>
    <row r="728" spans="1:45">
      <c r="A728" s="12" t="s">
        <v>1705</v>
      </c>
      <c r="B728" s="54" t="str">
        <f t="shared" si="278"/>
        <v>AZ_Maric_2020g</v>
      </c>
      <c r="C728" s="12"/>
      <c r="D728" s="54" t="str">
        <f t="shared" si="279"/>
        <v>Gen-tolleson-proposition 436 (vote for1)</v>
      </c>
      <c r="E728" s="54" t="s">
        <v>1982</v>
      </c>
      <c r="F728" s="12" t="s">
        <v>1300</v>
      </c>
      <c r="G728" s="59">
        <v>413</v>
      </c>
      <c r="H728"/>
      <c r="K728" s="2"/>
      <c r="O728">
        <f t="shared" si="280"/>
        <v>2</v>
      </c>
      <c r="P728" s="57">
        <f t="shared" si="281"/>
        <v>1</v>
      </c>
      <c r="Q728" s="267">
        <f t="shared" si="282"/>
        <v>413</v>
      </c>
      <c r="R728" s="23" t="str">
        <f t="shared" si="283"/>
        <v/>
      </c>
      <c r="S728" s="23">
        <f t="shared" si="284"/>
        <v>413</v>
      </c>
      <c r="T728" s="23" t="str">
        <f t="shared" si="285"/>
        <v/>
      </c>
      <c r="U728" t="str">
        <f t="shared" si="286"/>
        <v/>
      </c>
      <c r="W728" s="1">
        <f t="shared" si="287"/>
        <v>24</v>
      </c>
      <c r="X728" s="73">
        <f t="shared" si="276"/>
        <v>10.93350935006154</v>
      </c>
      <c r="Y728" s="322">
        <f t="shared" si="288"/>
        <v>12258.954000000002</v>
      </c>
      <c r="Z728" s="43">
        <f t="shared" si="277"/>
        <v>1.761434669454943E-50</v>
      </c>
      <c r="AA728" s="52">
        <f t="shared" si="289"/>
        <v>1.761434669454943E-52</v>
      </c>
      <c r="AB728" s="8">
        <f t="shared" si="290"/>
        <v>203</v>
      </c>
      <c r="AC728" s="8">
        <f t="shared" si="291"/>
        <v>226895.99999999997</v>
      </c>
      <c r="AD728" s="8">
        <f t="shared" si="295"/>
        <v>1134.4799999999998</v>
      </c>
      <c r="AE728" s="8" t="str">
        <f t="shared" si="292"/>
        <v/>
      </c>
      <c r="AF728" s="22" t="str">
        <f t="shared" si="293"/>
        <v>CO_Larim_2020g</v>
      </c>
      <c r="AG728">
        <v>1</v>
      </c>
      <c r="AH728" s="272">
        <v>177666</v>
      </c>
      <c r="AI728" s="273">
        <v>139207</v>
      </c>
      <c r="AJ728" s="274">
        <v>38459</v>
      </c>
      <c r="AK728" s="339">
        <v>100748</v>
      </c>
      <c r="AL728" s="340" t="s">
        <v>5859</v>
      </c>
      <c r="AM728" s="353">
        <f t="shared" si="294"/>
        <v>0.44402721951907487</v>
      </c>
      <c r="AP728" s="23">
        <f t="shared" si="296"/>
        <v>414</v>
      </c>
      <c r="AQ728" s="392">
        <f t="shared" si="274"/>
        <v>0.99585073098454668</v>
      </c>
      <c r="AR728" s="392">
        <f t="shared" si="275"/>
        <v>0.99999999999755795</v>
      </c>
      <c r="AS728" s="392">
        <f t="shared" si="275"/>
        <v>1</v>
      </c>
    </row>
    <row r="729" spans="1:45">
      <c r="A729" s="12" t="s">
        <v>1532</v>
      </c>
      <c r="B729" s="54" t="str">
        <f t="shared" si="278"/>
        <v>AZ_Maric_2020g</v>
      </c>
      <c r="C729" s="12"/>
      <c r="D729" s="54" t="str">
        <f t="shared" si="279"/>
        <v>Gen-us rep dist cd-1 (vote for1)</v>
      </c>
      <c r="E729" s="54" t="s">
        <v>1786</v>
      </c>
      <c r="F729" s="12" t="s">
        <v>1294</v>
      </c>
      <c r="G729" s="59">
        <v>554</v>
      </c>
      <c r="H729"/>
      <c r="K729" s="2"/>
      <c r="O729">
        <f t="shared" si="280"/>
        <v>1</v>
      </c>
      <c r="P729" s="57">
        <f t="shared" si="281"/>
        <v>1</v>
      </c>
      <c r="Q729" s="267">
        <f t="shared" si="282"/>
        <v>648</v>
      </c>
      <c r="R729" s="23">
        <f t="shared" si="283"/>
        <v>554</v>
      </c>
      <c r="S729" s="23">
        <f t="shared" si="284"/>
        <v>93</v>
      </c>
      <c r="T729" s="23">
        <f t="shared" si="285"/>
        <v>461</v>
      </c>
      <c r="U729" t="str">
        <f t="shared" si="286"/>
        <v>AZ_Maric_2020g~Gen-us rep dist cd-1 (vote for1)</v>
      </c>
      <c r="W729" s="1">
        <f t="shared" si="287"/>
        <v>1</v>
      </c>
      <c r="X729" s="73">
        <f t="shared" si="276"/>
        <v>339.84477590987262</v>
      </c>
      <c r="Y729" s="322">
        <f t="shared" si="288"/>
        <v>215529.22800000003</v>
      </c>
      <c r="Z729" s="43">
        <f t="shared" si="277"/>
        <v>1.4518479253356517E-48</v>
      </c>
      <c r="AA729" s="52">
        <f t="shared" si="289"/>
        <v>1.4518479253356518E-50</v>
      </c>
      <c r="AB729" s="8">
        <f t="shared" si="290"/>
        <v>8355.8537927060897</v>
      </c>
      <c r="AC729" s="8">
        <f t="shared" si="291"/>
        <v>4177926.896353045</v>
      </c>
      <c r="AD729" s="8">
        <f t="shared" si="295"/>
        <v>20889.634481765224</v>
      </c>
      <c r="AE729" s="8" t="str">
        <f t="shared" si="292"/>
        <v/>
      </c>
      <c r="AF729" s="22" t="str">
        <f t="shared" si="293"/>
        <v>CO_state_2020g</v>
      </c>
      <c r="AG729">
        <v>1</v>
      </c>
      <c r="AH729" s="272">
        <v>3123612</v>
      </c>
      <c r="AI729" s="273">
        <v>1590299</v>
      </c>
      <c r="AJ729" s="274">
        <v>1533313</v>
      </c>
      <c r="AK729" s="339">
        <v>56986</v>
      </c>
      <c r="AL729" s="340" t="s">
        <v>5303</v>
      </c>
      <c r="AM729" s="353">
        <f t="shared" si="294"/>
        <v>1.3639779109046561E-2</v>
      </c>
      <c r="AP729" s="23">
        <f t="shared" si="296"/>
        <v>64</v>
      </c>
      <c r="AQ729" s="392">
        <f t="shared" si="274"/>
        <v>0.47509567902070771</v>
      </c>
      <c r="AR729" s="392">
        <f t="shared" si="275"/>
        <v>0.96273264526692837</v>
      </c>
      <c r="AS729" s="392">
        <f t="shared" si="275"/>
        <v>0.99999938775748798</v>
      </c>
    </row>
    <row r="730" spans="1:45">
      <c r="A730" s="12" t="s">
        <v>1532</v>
      </c>
      <c r="B730" s="54" t="str">
        <f t="shared" si="278"/>
        <v>AZ_Maric_2020g</v>
      </c>
      <c r="C730" s="12"/>
      <c r="D730" s="54" t="str">
        <f t="shared" si="279"/>
        <v>Gen-us rep dist cd-1 (vote for1)</v>
      </c>
      <c r="E730" s="54" t="s">
        <v>1785</v>
      </c>
      <c r="F730" s="12" t="s">
        <v>1296</v>
      </c>
      <c r="G730" s="59">
        <v>93</v>
      </c>
      <c r="H730"/>
      <c r="K730" s="2"/>
      <c r="O730">
        <f t="shared" si="280"/>
        <v>2</v>
      </c>
      <c r="P730" s="57">
        <f t="shared" si="281"/>
        <v>1</v>
      </c>
      <c r="Q730" s="267">
        <f t="shared" si="282"/>
        <v>94</v>
      </c>
      <c r="R730" s="23" t="str">
        <f t="shared" si="283"/>
        <v/>
      </c>
      <c r="S730" s="23">
        <f t="shared" si="284"/>
        <v>93</v>
      </c>
      <c r="T730" s="23" t="str">
        <f t="shared" si="285"/>
        <v/>
      </c>
      <c r="U730" t="str">
        <f t="shared" si="286"/>
        <v/>
      </c>
      <c r="W730" s="1">
        <f t="shared" si="287"/>
        <v>2</v>
      </c>
      <c r="X730" s="73">
        <f t="shared" si="276"/>
        <v>131.97206291251229</v>
      </c>
      <c r="Y730" s="322">
        <f t="shared" si="288"/>
        <v>209175.29400000002</v>
      </c>
      <c r="Z730" s="43">
        <f t="shared" si="277"/>
        <v>1.3738001891779347E-124</v>
      </c>
      <c r="AA730" s="52">
        <f t="shared" si="289"/>
        <v>1.3738001891779347E-126</v>
      </c>
      <c r="AB730" s="8">
        <f t="shared" si="290"/>
        <v>8355.8537927060897</v>
      </c>
      <c r="AC730" s="8">
        <f t="shared" si="291"/>
        <v>4177926.896353045</v>
      </c>
      <c r="AD730" s="8">
        <f t="shared" si="295"/>
        <v>20889.634481765224</v>
      </c>
      <c r="AE730" s="8" t="str">
        <f t="shared" si="292"/>
        <v/>
      </c>
      <c r="AF730" s="22" t="str">
        <f t="shared" si="293"/>
        <v>CO_state_2020g</v>
      </c>
      <c r="AG730">
        <v>1</v>
      </c>
      <c r="AH730" s="272">
        <v>3031526</v>
      </c>
      <c r="AI730" s="273">
        <v>1586973</v>
      </c>
      <c r="AJ730" s="274">
        <v>1444553</v>
      </c>
      <c r="AK730" s="339">
        <v>142420</v>
      </c>
      <c r="AL730" s="23" t="s">
        <v>5296</v>
      </c>
      <c r="AM730" s="353">
        <f t="shared" si="294"/>
        <v>3.4088676880469085E-2</v>
      </c>
      <c r="AP730" s="23">
        <f t="shared" si="296"/>
        <v>423</v>
      </c>
      <c r="AQ730" s="392">
        <f t="shared" si="274"/>
        <v>0.98639500334556141</v>
      </c>
      <c r="AR730" s="392">
        <f t="shared" si="275"/>
        <v>0.99999999970290099</v>
      </c>
      <c r="AS730" s="392">
        <f t="shared" si="275"/>
        <v>1</v>
      </c>
    </row>
    <row r="731" spans="1:45">
      <c r="A731" s="12" t="s">
        <v>1532</v>
      </c>
      <c r="B731" s="54" t="str">
        <f t="shared" si="278"/>
        <v>AZ_Maric_2020g</v>
      </c>
      <c r="C731" s="12"/>
      <c r="D731" s="54" t="str">
        <f t="shared" si="279"/>
        <v>Gen-us rep dist cd-1 (vote for1)</v>
      </c>
      <c r="E731" s="54" t="s">
        <v>1299</v>
      </c>
      <c r="G731" s="59">
        <v>1</v>
      </c>
      <c r="H731"/>
      <c r="K731" s="2"/>
      <c r="O731">
        <f t="shared" si="280"/>
        <v>-2</v>
      </c>
      <c r="P731" s="57">
        <f t="shared" si="281"/>
        <v>1</v>
      </c>
      <c r="Q731" s="267">
        <f t="shared" si="282"/>
        <v>1</v>
      </c>
      <c r="R731" s="23">
        <f t="shared" si="283"/>
        <v>1</v>
      </c>
      <c r="S731" s="23">
        <f t="shared" si="284"/>
        <v>0</v>
      </c>
      <c r="T731" s="23" t="str">
        <f t="shared" si="285"/>
        <v/>
      </c>
      <c r="U731" t="str">
        <f t="shared" si="286"/>
        <v/>
      </c>
      <c r="W731" s="1">
        <f t="shared" si="287"/>
        <v>3</v>
      </c>
      <c r="X731" s="73">
        <f t="shared" si="276"/>
        <v>133.28185150735899</v>
      </c>
      <c r="Y731" s="322">
        <f t="shared" si="288"/>
        <v>216881.90400000001</v>
      </c>
      <c r="Z731" s="43">
        <f t="shared" si="277"/>
        <v>5.2819075530694047E-128</v>
      </c>
      <c r="AA731" s="52">
        <f t="shared" si="289"/>
        <v>5.281907553069405E-130</v>
      </c>
      <c r="AB731" s="8">
        <f t="shared" si="290"/>
        <v>8355.8537927060897</v>
      </c>
      <c r="AC731" s="8">
        <f t="shared" si="291"/>
        <v>4177926.896353045</v>
      </c>
      <c r="AD731" s="8">
        <f t="shared" si="295"/>
        <v>20889.634481765224</v>
      </c>
      <c r="AE731" s="8" t="str">
        <f t="shared" si="292"/>
        <v/>
      </c>
      <c r="AF731" s="22" t="str">
        <f t="shared" si="293"/>
        <v>CO_state_2020g</v>
      </c>
      <c r="AG731">
        <v>1</v>
      </c>
      <c r="AH731" s="272">
        <v>3143216</v>
      </c>
      <c r="AI731" s="273">
        <v>1644716</v>
      </c>
      <c r="AJ731" s="274">
        <v>1498500</v>
      </c>
      <c r="AK731" s="339">
        <v>146216</v>
      </c>
      <c r="AL731" s="340" t="s">
        <v>5302</v>
      </c>
      <c r="AM731" s="353">
        <f t="shared" si="294"/>
        <v>3.4997261471385113E-2</v>
      </c>
      <c r="AP731" s="23">
        <f t="shared" si="296"/>
        <v>439</v>
      </c>
      <c r="AQ731" s="392">
        <f t="shared" si="274"/>
        <v>0.98845625602209497</v>
      </c>
      <c r="AR731" s="392">
        <f t="shared" si="275"/>
        <v>0.99999999987159494</v>
      </c>
      <c r="AS731" s="392">
        <f t="shared" si="275"/>
        <v>1</v>
      </c>
    </row>
    <row r="732" spans="1:45">
      <c r="A732" s="12" t="s">
        <v>1533</v>
      </c>
      <c r="B732" s="54" t="str">
        <f t="shared" si="278"/>
        <v>AZ_Maric_2020g</v>
      </c>
      <c r="C732" s="12"/>
      <c r="D732" s="54" t="str">
        <f t="shared" si="279"/>
        <v>Gen-us rep dist cd-3 (vote for1)</v>
      </c>
      <c r="E732" s="54" t="s">
        <v>1788</v>
      </c>
      <c r="F732" s="12" t="s">
        <v>1294</v>
      </c>
      <c r="G732" s="59">
        <v>56986</v>
      </c>
      <c r="H732"/>
      <c r="K732" s="2"/>
      <c r="O732">
        <f t="shared" si="280"/>
        <v>1</v>
      </c>
      <c r="P732" s="57">
        <f t="shared" si="281"/>
        <v>1</v>
      </c>
      <c r="Q732" s="267">
        <f t="shared" si="282"/>
        <v>97640</v>
      </c>
      <c r="R732" s="23">
        <f t="shared" si="283"/>
        <v>56986</v>
      </c>
      <c r="S732" s="23">
        <f t="shared" si="284"/>
        <v>40521</v>
      </c>
      <c r="T732" s="23">
        <f t="shared" si="285"/>
        <v>16465</v>
      </c>
      <c r="U732" t="str">
        <f t="shared" si="286"/>
        <v>AZ_Maric_2020g~Gen-us rep dist cd-3 (vote for1)</v>
      </c>
      <c r="W732" s="1">
        <f t="shared" si="287"/>
        <v>4</v>
      </c>
      <c r="X732" s="73">
        <f t="shared" si="276"/>
        <v>121.57062533978738</v>
      </c>
      <c r="Y732" s="322">
        <f t="shared" si="288"/>
        <v>206555.57100000003</v>
      </c>
      <c r="Z732" s="43">
        <f t="shared" si="277"/>
        <v>8.1256695223310105E-134</v>
      </c>
      <c r="AA732" s="52">
        <f t="shared" si="289"/>
        <v>8.1256695223310107E-136</v>
      </c>
      <c r="AB732" s="8">
        <f t="shared" si="290"/>
        <v>8355.8537927060897</v>
      </c>
      <c r="AC732" s="8">
        <f t="shared" si="291"/>
        <v>4177926.896353045</v>
      </c>
      <c r="AD732" s="8">
        <f t="shared" si="295"/>
        <v>20889.634481765224</v>
      </c>
      <c r="AE732" s="8" t="str">
        <f t="shared" si="292"/>
        <v/>
      </c>
      <c r="AF732" s="22" t="str">
        <f t="shared" si="293"/>
        <v>CO_state_2020g</v>
      </c>
      <c r="AG732">
        <v>1</v>
      </c>
      <c r="AH732" s="272">
        <v>2993559</v>
      </c>
      <c r="AI732" s="273">
        <v>1573114</v>
      </c>
      <c r="AJ732" s="274">
        <v>1420445</v>
      </c>
      <c r="AK732" s="339">
        <v>152669</v>
      </c>
      <c r="AL732" s="340" t="s">
        <v>5306</v>
      </c>
      <c r="AM732" s="353">
        <f t="shared" si="294"/>
        <v>3.6541807405310593E-2</v>
      </c>
      <c r="AP732" s="23">
        <f t="shared" si="296"/>
        <v>466</v>
      </c>
      <c r="AQ732" s="392">
        <f t="shared" si="274"/>
        <v>0.99125392354882291</v>
      </c>
      <c r="AR732" s="392">
        <f t="shared" si="275"/>
        <v>0.99999999996887357</v>
      </c>
      <c r="AS732" s="392">
        <f t="shared" si="275"/>
        <v>1</v>
      </c>
    </row>
    <row r="733" spans="1:45">
      <c r="A733" s="12" t="s">
        <v>1533</v>
      </c>
      <c r="B733" s="54" t="str">
        <f t="shared" si="278"/>
        <v>AZ_Maric_2020g</v>
      </c>
      <c r="C733" s="12"/>
      <c r="D733" s="54" t="str">
        <f t="shared" si="279"/>
        <v>Gen-us rep dist cd-3 (vote for1)</v>
      </c>
      <c r="E733" s="54" t="s">
        <v>1787</v>
      </c>
      <c r="F733" s="12" t="s">
        <v>1296</v>
      </c>
      <c r="G733" s="59">
        <v>40521</v>
      </c>
      <c r="H733"/>
      <c r="K733" s="2"/>
      <c r="O733">
        <f t="shared" si="280"/>
        <v>2</v>
      </c>
      <c r="P733" s="57">
        <f t="shared" si="281"/>
        <v>1</v>
      </c>
      <c r="Q733" s="267">
        <f t="shared" si="282"/>
        <v>40654</v>
      </c>
      <c r="R733" s="23" t="str">
        <f t="shared" si="283"/>
        <v/>
      </c>
      <c r="S733" s="23">
        <f t="shared" si="284"/>
        <v>40521</v>
      </c>
      <c r="T733" s="23" t="str">
        <f t="shared" si="285"/>
        <v/>
      </c>
      <c r="U733" t="str">
        <f t="shared" si="286"/>
        <v/>
      </c>
      <c r="W733" s="1">
        <f t="shared" si="287"/>
        <v>5</v>
      </c>
      <c r="X733" s="73">
        <f t="shared" si="276"/>
        <v>66.510684896990284</v>
      </c>
      <c r="Y733" s="322">
        <f t="shared" si="288"/>
        <v>223260.47100000002</v>
      </c>
      <c r="Z733" s="43">
        <f t="shared" si="277"/>
        <v>1.1918691936583767E-270</v>
      </c>
      <c r="AA733" s="52">
        <f t="shared" si="289"/>
        <v>1.1918691936583768E-272</v>
      </c>
      <c r="AB733" s="8">
        <f t="shared" si="290"/>
        <v>8355.8537927060897</v>
      </c>
      <c r="AC733" s="8">
        <f t="shared" si="291"/>
        <v>4177926.896353045</v>
      </c>
      <c r="AD733" s="8">
        <f t="shared" si="295"/>
        <v>20889.634481765224</v>
      </c>
      <c r="AE733" s="8" t="str">
        <f t="shared" si="292"/>
        <v/>
      </c>
      <c r="AF733" s="22" t="str">
        <f t="shared" si="293"/>
        <v>CO_state_2020g</v>
      </c>
      <c r="AG733">
        <v>1</v>
      </c>
      <c r="AH733" s="272">
        <v>3235659</v>
      </c>
      <c r="AI733" s="273">
        <v>1731114</v>
      </c>
      <c r="AJ733" s="274">
        <v>1429492</v>
      </c>
      <c r="AK733" s="339">
        <v>301622</v>
      </c>
      <c r="AL733" s="340" t="s">
        <v>5309</v>
      </c>
      <c r="AM733" s="353">
        <f t="shared" si="294"/>
        <v>7.2194178472411497E-2</v>
      </c>
      <c r="AP733" s="23">
        <f t="shared" si="296"/>
        <v>1092</v>
      </c>
      <c r="AQ733" s="392">
        <f t="shared" si="274"/>
        <v>0.99998737057737486</v>
      </c>
      <c r="AR733" s="392">
        <f t="shared" si="275"/>
        <v>1</v>
      </c>
      <c r="AS733" s="392">
        <f t="shared" si="275"/>
        <v>1</v>
      </c>
    </row>
    <row r="734" spans="1:45">
      <c r="A734" s="12" t="s">
        <v>1533</v>
      </c>
      <c r="B734" s="54" t="str">
        <f t="shared" si="278"/>
        <v>AZ_Maric_2020g</v>
      </c>
      <c r="C734" s="12"/>
      <c r="D734" s="54" t="str">
        <f t="shared" si="279"/>
        <v>Gen-us rep dist cd-3 (vote for1)</v>
      </c>
      <c r="E734" s="54" t="s">
        <v>1299</v>
      </c>
      <c r="G734" s="59">
        <v>133</v>
      </c>
      <c r="H734"/>
      <c r="K734" s="2"/>
      <c r="O734">
        <f t="shared" si="280"/>
        <v>-2</v>
      </c>
      <c r="P734" s="57">
        <f t="shared" si="281"/>
        <v>1</v>
      </c>
      <c r="Q734" s="267">
        <f t="shared" si="282"/>
        <v>133</v>
      </c>
      <c r="R734" s="23">
        <f t="shared" si="283"/>
        <v>1</v>
      </c>
      <c r="S734" s="23">
        <f t="shared" si="284"/>
        <v>0</v>
      </c>
      <c r="T734" s="23" t="str">
        <f t="shared" si="285"/>
        <v/>
      </c>
      <c r="U734" t="str">
        <f t="shared" si="286"/>
        <v/>
      </c>
      <c r="W734" s="1">
        <f t="shared" si="287"/>
        <v>6</v>
      </c>
      <c r="X734" s="73">
        <f t="shared" si="276"/>
        <v>45.920027288542222</v>
      </c>
      <c r="Y734" s="322">
        <f t="shared" si="288"/>
        <v>224729.68800000002</v>
      </c>
      <c r="Z734" s="43">
        <f t="shared" si="277"/>
        <v>0</v>
      </c>
      <c r="AA734" s="52">
        <f t="shared" si="289"/>
        <v>0</v>
      </c>
      <c r="AB734" s="8">
        <f t="shared" si="290"/>
        <v>8355.8537927060897</v>
      </c>
      <c r="AC734" s="8">
        <f t="shared" si="291"/>
        <v>4177926.896353045</v>
      </c>
      <c r="AD734" s="8">
        <f t="shared" si="295"/>
        <v>20889.634481765224</v>
      </c>
      <c r="AE734" s="8" t="str">
        <f t="shared" si="292"/>
        <v/>
      </c>
      <c r="AF734" s="22" t="str">
        <f t="shared" si="293"/>
        <v>CO_state_2020g</v>
      </c>
      <c r="AG734">
        <v>1</v>
      </c>
      <c r="AH734" s="272">
        <v>3256952</v>
      </c>
      <c r="AI734" s="273">
        <v>1804352</v>
      </c>
      <c r="AJ734" s="274">
        <v>1364607</v>
      </c>
      <c r="AK734" s="339">
        <v>439745</v>
      </c>
      <c r="AL734" s="340" t="s">
        <v>5301</v>
      </c>
      <c r="AM734" s="353">
        <f t="shared" si="294"/>
        <v>0.10525435482939108</v>
      </c>
      <c r="AP734" s="23">
        <f t="shared" si="296"/>
        <v>1673</v>
      </c>
      <c r="AQ734" s="392">
        <f t="shared" si="274"/>
        <v>0.99999997583667621</v>
      </c>
      <c r="AR734" s="392">
        <f t="shared" si="275"/>
        <v>1</v>
      </c>
      <c r="AS734" s="392">
        <f t="shared" si="275"/>
        <v>1</v>
      </c>
    </row>
    <row r="735" spans="1:45">
      <c r="A735" s="12" t="s">
        <v>1534</v>
      </c>
      <c r="B735" s="54" t="str">
        <f t="shared" si="278"/>
        <v>AZ_Maric_2020g</v>
      </c>
      <c r="C735" s="12"/>
      <c r="D735" s="54" t="str">
        <f t="shared" si="279"/>
        <v>Gen-us rep dist cd-4 (vote for1)</v>
      </c>
      <c r="E735" s="54" t="s">
        <v>1789</v>
      </c>
      <c r="F735" s="12" t="s">
        <v>1296</v>
      </c>
      <c r="G735" s="59">
        <v>23060</v>
      </c>
      <c r="H735"/>
      <c r="K735" s="2"/>
      <c r="O735">
        <f t="shared" si="280"/>
        <v>1</v>
      </c>
      <c r="P735" s="57">
        <f t="shared" si="281"/>
        <v>1</v>
      </c>
      <c r="Q735" s="267">
        <f t="shared" si="282"/>
        <v>34132</v>
      </c>
      <c r="R735" s="23">
        <f t="shared" si="283"/>
        <v>23060</v>
      </c>
      <c r="S735" s="23">
        <f t="shared" si="284"/>
        <v>10982</v>
      </c>
      <c r="T735" s="23">
        <f t="shared" si="285"/>
        <v>12078</v>
      </c>
      <c r="U735" t="str">
        <f t="shared" si="286"/>
        <v>AZ_Maric_2020g~Gen-us rep dist cd-4 (vote for1)</v>
      </c>
      <c r="W735" s="1">
        <f t="shared" si="287"/>
        <v>7</v>
      </c>
      <c r="X735" s="73">
        <f t="shared" si="276"/>
        <v>41.203561489174291</v>
      </c>
      <c r="Y735" s="322">
        <f t="shared" si="288"/>
        <v>208761.63900000002</v>
      </c>
      <c r="Z735" s="43">
        <f t="shared" si="277"/>
        <v>0</v>
      </c>
      <c r="AA735" s="52">
        <f t="shared" si="289"/>
        <v>0</v>
      </c>
      <c r="AB735" s="8">
        <f t="shared" si="290"/>
        <v>8355.8537927060897</v>
      </c>
      <c r="AC735" s="8">
        <f t="shared" si="291"/>
        <v>4177926.896353045</v>
      </c>
      <c r="AD735" s="8">
        <f t="shared" si="295"/>
        <v>20889.634481765224</v>
      </c>
      <c r="AE735" s="8" t="str">
        <f t="shared" si="292"/>
        <v/>
      </c>
      <c r="AF735" s="22" t="str">
        <f t="shared" si="293"/>
        <v>CO_state_2020g</v>
      </c>
      <c r="AG735">
        <v>1</v>
      </c>
      <c r="AH735" s="272">
        <v>3025531</v>
      </c>
      <c r="AI735" s="273">
        <v>1740395</v>
      </c>
      <c r="AJ735" s="274">
        <v>1285136</v>
      </c>
      <c r="AK735" s="339">
        <v>455259</v>
      </c>
      <c r="AL735" s="340" t="s">
        <v>5295</v>
      </c>
      <c r="AM735" s="353">
        <f t="shared" si="294"/>
        <v>0.10896767973546886</v>
      </c>
      <c r="AP735" s="23">
        <f t="shared" si="296"/>
        <v>1738</v>
      </c>
      <c r="AQ735" s="392">
        <f t="shared" si="274"/>
        <v>0.99999998814431645</v>
      </c>
      <c r="AR735" s="392">
        <f t="shared" si="275"/>
        <v>1</v>
      </c>
      <c r="AS735" s="392">
        <f t="shared" si="275"/>
        <v>1</v>
      </c>
    </row>
    <row r="736" spans="1:45">
      <c r="A736" s="12" t="s">
        <v>1534</v>
      </c>
      <c r="B736" s="54" t="str">
        <f t="shared" si="278"/>
        <v>AZ_Maric_2020g</v>
      </c>
      <c r="C736" s="12"/>
      <c r="D736" s="54" t="str">
        <f t="shared" si="279"/>
        <v>Gen-us rep dist cd-4 (vote for1)</v>
      </c>
      <c r="E736" s="54" t="s">
        <v>1790</v>
      </c>
      <c r="F736" s="12" t="s">
        <v>1294</v>
      </c>
      <c r="G736" s="59">
        <v>10982</v>
      </c>
      <c r="H736"/>
      <c r="K736" s="2"/>
      <c r="O736">
        <f t="shared" si="280"/>
        <v>2</v>
      </c>
      <c r="P736" s="57">
        <f t="shared" si="281"/>
        <v>1</v>
      </c>
      <c r="Q736" s="267">
        <f t="shared" si="282"/>
        <v>11072</v>
      </c>
      <c r="R736" s="23" t="str">
        <f t="shared" si="283"/>
        <v/>
      </c>
      <c r="S736" s="23">
        <f t="shared" si="284"/>
        <v>10982</v>
      </c>
      <c r="T736" s="23" t="str">
        <f t="shared" si="285"/>
        <v/>
      </c>
      <c r="U736" t="str">
        <f t="shared" si="286"/>
        <v/>
      </c>
      <c r="W736" s="1">
        <f t="shared" si="287"/>
        <v>8</v>
      </c>
      <c r="X736" s="73">
        <f t="shared" si="276"/>
        <v>40.016891936549904</v>
      </c>
      <c r="Y736" s="322">
        <f t="shared" si="288"/>
        <v>215620.30800000002</v>
      </c>
      <c r="Z736" s="43">
        <f t="shared" si="277"/>
        <v>0</v>
      </c>
      <c r="AA736" s="52">
        <f t="shared" si="289"/>
        <v>0</v>
      </c>
      <c r="AB736" s="8">
        <f t="shared" si="290"/>
        <v>8355.8537927060897</v>
      </c>
      <c r="AC736" s="8">
        <f t="shared" si="291"/>
        <v>4177926.896353045</v>
      </c>
      <c r="AD736" s="8">
        <f t="shared" si="295"/>
        <v>20889.634481765224</v>
      </c>
      <c r="AE736" s="8" t="str">
        <f t="shared" si="292"/>
        <v/>
      </c>
      <c r="AF736" s="22" t="str">
        <f t="shared" si="293"/>
        <v>CO_state_2020g</v>
      </c>
      <c r="AG736">
        <v>1</v>
      </c>
      <c r="AH736" s="272">
        <v>3124932</v>
      </c>
      <c r="AI736" s="273">
        <v>1804546</v>
      </c>
      <c r="AJ736" s="274">
        <v>1320386</v>
      </c>
      <c r="AK736" s="339">
        <v>484160</v>
      </c>
      <c r="AL736" s="340" t="s">
        <v>5307</v>
      </c>
      <c r="AM736" s="353">
        <f t="shared" si="294"/>
        <v>0.11588522537879449</v>
      </c>
      <c r="AP736" s="23">
        <f t="shared" si="296"/>
        <v>1859</v>
      </c>
      <c r="AQ736" s="392">
        <f t="shared" si="274"/>
        <v>0.9999999968705946</v>
      </c>
      <c r="AR736" s="392">
        <f t="shared" si="275"/>
        <v>1</v>
      </c>
      <c r="AS736" s="392">
        <f t="shared" si="275"/>
        <v>1</v>
      </c>
    </row>
    <row r="737" spans="1:45">
      <c r="A737" s="12" t="s">
        <v>1534</v>
      </c>
      <c r="B737" s="54" t="str">
        <f t="shared" si="278"/>
        <v>AZ_Maric_2020g</v>
      </c>
      <c r="C737" s="12"/>
      <c r="D737" s="54" t="str">
        <f t="shared" si="279"/>
        <v>Gen-us rep dist cd-4 (vote for1)</v>
      </c>
      <c r="E737" s="54" t="s">
        <v>1299</v>
      </c>
      <c r="G737" s="59">
        <v>45</v>
      </c>
      <c r="H737"/>
      <c r="K737" s="2"/>
      <c r="O737">
        <f t="shared" si="280"/>
        <v>-2</v>
      </c>
      <c r="P737" s="57">
        <f t="shared" si="281"/>
        <v>1</v>
      </c>
      <c r="Q737" s="267">
        <f t="shared" si="282"/>
        <v>90</v>
      </c>
      <c r="R737" s="23" t="str">
        <f t="shared" si="283"/>
        <v/>
      </c>
      <c r="S737" s="23">
        <f t="shared" si="284"/>
        <v>7</v>
      </c>
      <c r="T737" s="23" t="str">
        <f t="shared" si="285"/>
        <v/>
      </c>
      <c r="U737" t="str">
        <f t="shared" si="286"/>
        <v/>
      </c>
      <c r="W737" s="1">
        <f t="shared" si="287"/>
        <v>9</v>
      </c>
      <c r="X737" s="73">
        <f t="shared" si="276"/>
        <v>39.464352294527544</v>
      </c>
      <c r="Y737" s="322">
        <f t="shared" si="288"/>
        <v>217262.16300000003</v>
      </c>
      <c r="Z737" s="43">
        <f t="shared" si="277"/>
        <v>0</v>
      </c>
      <c r="AA737" s="52">
        <f t="shared" si="289"/>
        <v>0</v>
      </c>
      <c r="AB737" s="8">
        <f t="shared" si="290"/>
        <v>8355.8537927060897</v>
      </c>
      <c r="AC737" s="8">
        <f t="shared" si="291"/>
        <v>4177926.896353045</v>
      </c>
      <c r="AD737" s="8">
        <f t="shared" si="295"/>
        <v>20889.634481765224</v>
      </c>
      <c r="AE737" s="8" t="str">
        <f t="shared" si="292"/>
        <v/>
      </c>
      <c r="AF737" s="22" t="str">
        <f t="shared" si="293"/>
        <v>CO_state_2020g</v>
      </c>
      <c r="AG737">
        <v>1</v>
      </c>
      <c r="AH737" s="272">
        <v>3148727</v>
      </c>
      <c r="AI737" s="273">
        <v>1821702</v>
      </c>
      <c r="AJ737" s="274">
        <v>1327025</v>
      </c>
      <c r="AK737" s="339">
        <v>494677</v>
      </c>
      <c r="AL737" s="340" t="s">
        <v>5305</v>
      </c>
      <c r="AM737" s="353">
        <f t="shared" si="294"/>
        <v>0.11840250255020225</v>
      </c>
      <c r="AP737" s="23">
        <f t="shared" si="296"/>
        <v>1903</v>
      </c>
      <c r="AQ737" s="392">
        <f t="shared" si="274"/>
        <v>0.99999999807605078</v>
      </c>
      <c r="AR737" s="392">
        <f t="shared" si="275"/>
        <v>1</v>
      </c>
      <c r="AS737" s="392">
        <f t="shared" si="275"/>
        <v>1</v>
      </c>
    </row>
    <row r="738" spans="1:45">
      <c r="A738" s="12" t="s">
        <v>1534</v>
      </c>
      <c r="B738" s="54" t="str">
        <f t="shared" si="278"/>
        <v>AZ_Maric_2020g</v>
      </c>
      <c r="C738" s="12"/>
      <c r="D738" s="54" t="str">
        <f t="shared" si="279"/>
        <v>Gen-us rep dist cd-4 (vote for1)</v>
      </c>
      <c r="E738" s="54" t="s">
        <v>1765</v>
      </c>
      <c r="G738" s="59">
        <v>37</v>
      </c>
      <c r="H738"/>
      <c r="K738" s="2"/>
      <c r="O738">
        <f t="shared" si="280"/>
        <v>-2</v>
      </c>
      <c r="P738" s="57">
        <f t="shared" si="281"/>
        <v>1</v>
      </c>
      <c r="Q738" s="267">
        <f t="shared" si="282"/>
        <v>45</v>
      </c>
      <c r="R738" s="23" t="str">
        <f t="shared" si="283"/>
        <v/>
      </c>
      <c r="S738" s="23">
        <f t="shared" si="284"/>
        <v>7</v>
      </c>
      <c r="T738" s="23" t="str">
        <f t="shared" si="285"/>
        <v/>
      </c>
      <c r="U738" t="str">
        <f t="shared" si="286"/>
        <v/>
      </c>
      <c r="W738" s="1">
        <f t="shared" si="287"/>
        <v>10</v>
      </c>
      <c r="X738" s="73">
        <f t="shared" si="276"/>
        <v>34.487956773697178</v>
      </c>
      <c r="Y738" s="322">
        <f t="shared" si="288"/>
        <v>217506.35400000002</v>
      </c>
      <c r="Z738" s="43">
        <f t="shared" si="277"/>
        <v>0</v>
      </c>
      <c r="AA738" s="52">
        <f t="shared" si="289"/>
        <v>0</v>
      </c>
      <c r="AB738" s="8">
        <f t="shared" si="290"/>
        <v>8355.8537927060897</v>
      </c>
      <c r="AC738" s="8">
        <f t="shared" si="291"/>
        <v>4177926.896353045</v>
      </c>
      <c r="AD738" s="8">
        <f t="shared" si="295"/>
        <v>20889.634481765224</v>
      </c>
      <c r="AE738" s="8" t="str">
        <f t="shared" si="292"/>
        <v/>
      </c>
      <c r="AF738" s="22" t="str">
        <f t="shared" si="293"/>
        <v>CO_state_2020g</v>
      </c>
      <c r="AG738">
        <v>1</v>
      </c>
      <c r="AH738" s="272">
        <v>3152266</v>
      </c>
      <c r="AI738" s="273">
        <v>1859479</v>
      </c>
      <c r="AJ738" s="274">
        <v>1292787</v>
      </c>
      <c r="AK738" s="339">
        <v>566692</v>
      </c>
      <c r="AL738" s="340" t="s">
        <v>5304</v>
      </c>
      <c r="AM738" s="353">
        <f t="shared" si="294"/>
        <v>0.13563952028329437</v>
      </c>
      <c r="AP738" s="23">
        <f t="shared" si="296"/>
        <v>2206</v>
      </c>
      <c r="AQ738" s="392">
        <f t="shared" si="274"/>
        <v>0.99999999993456412</v>
      </c>
      <c r="AR738" s="392">
        <f t="shared" si="275"/>
        <v>1</v>
      </c>
      <c r="AS738" s="392">
        <f t="shared" si="275"/>
        <v>1</v>
      </c>
    </row>
    <row r="739" spans="1:45">
      <c r="A739" s="12" t="s">
        <v>1534</v>
      </c>
      <c r="B739" s="54" t="str">
        <f t="shared" si="278"/>
        <v>AZ_Maric_2020g</v>
      </c>
      <c r="C739" s="12"/>
      <c r="D739" s="54" t="str">
        <f t="shared" si="279"/>
        <v>Gen-us rep dist cd-4 (vote for1)</v>
      </c>
      <c r="E739" s="54" t="s">
        <v>1791</v>
      </c>
      <c r="G739" s="59">
        <v>7</v>
      </c>
      <c r="H739"/>
      <c r="K739" s="2"/>
      <c r="O739">
        <f t="shared" si="280"/>
        <v>3</v>
      </c>
      <c r="P739" s="57">
        <f t="shared" si="281"/>
        <v>1</v>
      </c>
      <c r="Q739" s="267">
        <f t="shared" si="282"/>
        <v>8</v>
      </c>
      <c r="R739" s="23" t="str">
        <f t="shared" si="283"/>
        <v/>
      </c>
      <c r="S739" s="23">
        <f t="shared" si="284"/>
        <v>7</v>
      </c>
      <c r="T739" s="23" t="str">
        <f t="shared" si="285"/>
        <v/>
      </c>
      <c r="U739" t="str">
        <f t="shared" si="286"/>
        <v/>
      </c>
      <c r="W739" s="1">
        <f t="shared" si="287"/>
        <v>11</v>
      </c>
      <c r="X739" s="73">
        <f t="shared" si="276"/>
        <v>29.40493821807263</v>
      </c>
      <c r="Y739" s="322">
        <f t="shared" si="288"/>
        <v>211317.12300000002</v>
      </c>
      <c r="Z739" s="43">
        <f t="shared" si="277"/>
        <v>0</v>
      </c>
      <c r="AA739" s="52">
        <f t="shared" si="289"/>
        <v>0</v>
      </c>
      <c r="AB739" s="8">
        <f t="shared" si="290"/>
        <v>8355.8537927060897</v>
      </c>
      <c r="AC739" s="8">
        <f t="shared" si="291"/>
        <v>4177926.896353045</v>
      </c>
      <c r="AD739" s="8">
        <f t="shared" si="295"/>
        <v>20889.634481765224</v>
      </c>
      <c r="AE739" s="8" t="str">
        <f t="shared" si="292"/>
        <v/>
      </c>
      <c r="AF739" s="22" t="str">
        <f t="shared" si="293"/>
        <v>CO_state_2020g</v>
      </c>
      <c r="AG739">
        <v>1</v>
      </c>
      <c r="AH739" s="272">
        <v>3062567</v>
      </c>
      <c r="AI739" s="273">
        <v>1854153</v>
      </c>
      <c r="AJ739" s="274">
        <v>1208414</v>
      </c>
      <c r="AK739" s="339">
        <v>645739</v>
      </c>
      <c r="AL739" s="340" t="s">
        <v>5294</v>
      </c>
      <c r="AM739" s="353">
        <f t="shared" si="294"/>
        <v>0.15455966942927415</v>
      </c>
      <c r="AP739" s="23">
        <f t="shared" si="296"/>
        <v>2538</v>
      </c>
      <c r="AQ739" s="392">
        <f t="shared" si="274"/>
        <v>0.99999999999848943</v>
      </c>
      <c r="AR739" s="392">
        <f t="shared" si="275"/>
        <v>1</v>
      </c>
      <c r="AS739" s="392">
        <f t="shared" si="275"/>
        <v>1</v>
      </c>
    </row>
    <row r="740" spans="1:45">
      <c r="A740" s="12" t="s">
        <v>1534</v>
      </c>
      <c r="B740" s="54" t="str">
        <f t="shared" si="278"/>
        <v>AZ_Maric_2020g</v>
      </c>
      <c r="C740" s="12"/>
      <c r="D740" s="54" t="str">
        <f t="shared" si="279"/>
        <v>Gen-us rep dist cd-4 (vote for1)</v>
      </c>
      <c r="E740" s="54" t="s">
        <v>1793</v>
      </c>
      <c r="G740" s="59">
        <v>1</v>
      </c>
      <c r="H740"/>
      <c r="K740" s="2"/>
      <c r="O740">
        <f t="shared" si="280"/>
        <v>4</v>
      </c>
      <c r="P740" s="57">
        <f t="shared" si="281"/>
        <v>1</v>
      </c>
      <c r="Q740" s="267">
        <f t="shared" si="282"/>
        <v>1</v>
      </c>
      <c r="R740" s="23" t="str">
        <f t="shared" si="283"/>
        <v/>
      </c>
      <c r="S740" s="23">
        <f t="shared" si="284"/>
        <v>1</v>
      </c>
      <c r="T740" s="23" t="str">
        <f t="shared" si="285"/>
        <v/>
      </c>
      <c r="U740" t="str">
        <f t="shared" si="286"/>
        <v/>
      </c>
      <c r="W740" s="1">
        <f t="shared" si="287"/>
        <v>12</v>
      </c>
      <c r="X740" s="73">
        <f t="shared" si="276"/>
        <v>24.03818096503878</v>
      </c>
      <c r="Y740" s="322">
        <f t="shared" si="288"/>
        <v>217789.94400000002</v>
      </c>
      <c r="Z740" s="43">
        <f t="shared" si="277"/>
        <v>0</v>
      </c>
      <c r="AA740" s="52">
        <f t="shared" si="289"/>
        <v>0</v>
      </c>
      <c r="AB740" s="8">
        <f t="shared" si="290"/>
        <v>8355.8537927060897</v>
      </c>
      <c r="AC740" s="8">
        <f t="shared" si="291"/>
        <v>4177926.896353045</v>
      </c>
      <c r="AD740" s="8">
        <f t="shared" si="295"/>
        <v>20889.634481765224</v>
      </c>
      <c r="AE740" s="8" t="str">
        <f t="shared" si="292"/>
        <v/>
      </c>
      <c r="AF740" s="22" t="str">
        <f t="shared" si="293"/>
        <v>CO_state_2020g</v>
      </c>
      <c r="AG740" s="314">
        <v>1</v>
      </c>
      <c r="AH740" s="313">
        <v>3156376</v>
      </c>
      <c r="AI740" s="315">
        <v>1985239</v>
      </c>
      <c r="AJ740" s="315">
        <v>1171137</v>
      </c>
      <c r="AK740" s="345">
        <v>814102</v>
      </c>
      <c r="AL740" s="346" t="s">
        <v>5293</v>
      </c>
      <c r="AM740" s="353">
        <f t="shared" si="294"/>
        <v>0.1948578853092518</v>
      </c>
      <c r="AP740" s="23">
        <f t="shared" si="296"/>
        <v>3246</v>
      </c>
      <c r="AQ740" s="392">
        <f t="shared" si="274"/>
        <v>0.99999999999999967</v>
      </c>
      <c r="AR740" s="392">
        <f t="shared" si="275"/>
        <v>1</v>
      </c>
      <c r="AS740" s="392">
        <f t="shared" si="275"/>
        <v>1</v>
      </c>
    </row>
    <row r="741" spans="1:45">
      <c r="A741" s="12" t="s">
        <v>1534</v>
      </c>
      <c r="B741" s="54" t="str">
        <f t="shared" si="278"/>
        <v>AZ_Maric_2020g</v>
      </c>
      <c r="C741" s="12"/>
      <c r="D741" s="54" t="str">
        <f t="shared" si="279"/>
        <v>Gen-us rep dist cd-4 (vote for1)</v>
      </c>
      <c r="E741" s="54" t="s">
        <v>1792</v>
      </c>
      <c r="G741" s="59">
        <v>0</v>
      </c>
      <c r="H741"/>
      <c r="K741" s="2"/>
      <c r="O741">
        <f t="shared" si="280"/>
        <v>5</v>
      </c>
      <c r="P741" s="57">
        <f t="shared" si="281"/>
        <v>1</v>
      </c>
      <c r="Q741" s="267">
        <f t="shared" si="282"/>
        <v>0</v>
      </c>
      <c r="R741" s="23" t="str">
        <f t="shared" si="283"/>
        <v/>
      </c>
      <c r="S741" s="23">
        <f t="shared" si="284"/>
        <v>0</v>
      </c>
      <c r="T741" s="23" t="str">
        <f t="shared" si="285"/>
        <v/>
      </c>
      <c r="U741" t="str">
        <f t="shared" si="286"/>
        <v/>
      </c>
      <c r="W741" s="1">
        <f t="shared" si="287"/>
        <v>13</v>
      </c>
      <c r="X741" s="73">
        <f t="shared" si="276"/>
        <v>15.439760461431293</v>
      </c>
      <c r="Y741" s="322">
        <f t="shared" si="288"/>
        <v>182289.37500000003</v>
      </c>
      <c r="Z741" s="43">
        <f t="shared" si="277"/>
        <v>0</v>
      </c>
      <c r="AA741" s="52">
        <f t="shared" si="289"/>
        <v>0</v>
      </c>
      <c r="AB741" s="8">
        <f t="shared" si="290"/>
        <v>8355.8537927060897</v>
      </c>
      <c r="AC741" s="8">
        <f t="shared" si="291"/>
        <v>4177926.896353045</v>
      </c>
      <c r="AD741" s="8">
        <f t="shared" si="295"/>
        <v>20889.634481765224</v>
      </c>
      <c r="AE741" s="8" t="str">
        <f t="shared" si="292"/>
        <v/>
      </c>
      <c r="AF741" s="22" t="str">
        <f t="shared" si="293"/>
        <v>CO_state_2020g</v>
      </c>
      <c r="AG741">
        <v>1</v>
      </c>
      <c r="AH741" s="272">
        <v>2641875</v>
      </c>
      <c r="AI741" s="273">
        <v>1851374</v>
      </c>
      <c r="AJ741" s="274">
        <v>790501</v>
      </c>
      <c r="AK741" s="339">
        <v>1060873</v>
      </c>
      <c r="AL741" s="340" t="s">
        <v>5298</v>
      </c>
      <c r="AM741" s="353">
        <f t="shared" si="294"/>
        <v>0.25392330366671728</v>
      </c>
      <c r="AP741" s="23">
        <f t="shared" si="296"/>
        <v>4282</v>
      </c>
      <c r="AQ741" s="392">
        <f t="shared" si="274"/>
        <v>1</v>
      </c>
      <c r="AR741" s="392">
        <f t="shared" si="275"/>
        <v>1</v>
      </c>
      <c r="AS741" s="392">
        <f t="shared" si="275"/>
        <v>1</v>
      </c>
    </row>
    <row r="742" spans="1:45">
      <c r="A742" s="12" t="s">
        <v>1534</v>
      </c>
      <c r="B742" s="54" t="str">
        <f t="shared" si="278"/>
        <v>AZ_Maric_2020g</v>
      </c>
      <c r="C742" s="12"/>
      <c r="D742" s="54" t="str">
        <f t="shared" si="279"/>
        <v>Gen-us rep dist cd-4 (vote for1)</v>
      </c>
      <c r="E742" s="54" t="s">
        <v>1794</v>
      </c>
      <c r="G742" s="59">
        <v>0</v>
      </c>
      <c r="H742"/>
      <c r="K742" s="2"/>
      <c r="O742">
        <f t="shared" si="280"/>
        <v>6</v>
      </c>
      <c r="P742" s="57">
        <f t="shared" si="281"/>
        <v>1</v>
      </c>
      <c r="Q742" s="267">
        <f t="shared" si="282"/>
        <v>0</v>
      </c>
      <c r="R742" s="23" t="str">
        <f t="shared" si="283"/>
        <v/>
      </c>
      <c r="S742" s="23">
        <f t="shared" si="284"/>
        <v>0</v>
      </c>
      <c r="T742" s="23" t="str">
        <f t="shared" si="285"/>
        <v/>
      </c>
      <c r="U742" t="str">
        <f t="shared" si="286"/>
        <v/>
      </c>
      <c r="W742" s="1">
        <f t="shared" si="287"/>
        <v>14</v>
      </c>
      <c r="X742" s="73">
        <f t="shared" si="276"/>
        <v>14.909606531202405</v>
      </c>
      <c r="Y742" s="322">
        <f t="shared" si="288"/>
        <v>182697.16500000001</v>
      </c>
      <c r="Z742" s="43">
        <f t="shared" si="277"/>
        <v>0</v>
      </c>
      <c r="AA742" s="52">
        <f t="shared" si="289"/>
        <v>0</v>
      </c>
      <c r="AB742" s="8">
        <f t="shared" si="290"/>
        <v>8355.8537927060897</v>
      </c>
      <c r="AC742" s="8">
        <f t="shared" si="291"/>
        <v>4177926.896353045</v>
      </c>
      <c r="AD742" s="8">
        <f t="shared" si="295"/>
        <v>20889.634481765224</v>
      </c>
      <c r="AE742" s="8" t="str">
        <f t="shared" si="292"/>
        <v/>
      </c>
      <c r="AF742" s="22" t="str">
        <f t="shared" si="293"/>
        <v>CO_state_2020g</v>
      </c>
      <c r="AG742">
        <v>1</v>
      </c>
      <c r="AH742" s="272">
        <v>2647785</v>
      </c>
      <c r="AI742" s="273">
        <v>1874419</v>
      </c>
      <c r="AJ742" s="274">
        <v>773366</v>
      </c>
      <c r="AK742" s="339">
        <v>1101053</v>
      </c>
      <c r="AL742" s="340" t="s">
        <v>5297</v>
      </c>
      <c r="AM742" s="353">
        <f t="shared" si="294"/>
        <v>0.26354051358847863</v>
      </c>
      <c r="AP742" s="23">
        <f t="shared" si="296"/>
        <v>4451</v>
      </c>
      <c r="AQ742" s="392">
        <f t="shared" si="274"/>
        <v>1</v>
      </c>
      <c r="AR742" s="392">
        <f t="shared" si="275"/>
        <v>1</v>
      </c>
      <c r="AS742" s="392">
        <f t="shared" si="275"/>
        <v>1</v>
      </c>
    </row>
    <row r="743" spans="1:45">
      <c r="A743" s="12" t="s">
        <v>1534</v>
      </c>
      <c r="B743" s="54" t="str">
        <f t="shared" si="278"/>
        <v>AZ_Maric_2020g</v>
      </c>
      <c r="C743" s="12"/>
      <c r="D743" s="54" t="str">
        <f t="shared" si="279"/>
        <v>Gen-us rep dist cd-4 (vote for1)</v>
      </c>
      <c r="E743" s="54" t="s">
        <v>1795</v>
      </c>
      <c r="G743" s="59">
        <v>0</v>
      </c>
      <c r="H743"/>
      <c r="K743" s="2"/>
      <c r="O743">
        <f t="shared" si="280"/>
        <v>7</v>
      </c>
      <c r="P743" s="57">
        <f t="shared" si="281"/>
        <v>1</v>
      </c>
      <c r="Q743" s="267">
        <f t="shared" si="282"/>
        <v>0</v>
      </c>
      <c r="R743" s="23" t="str">
        <f t="shared" si="283"/>
        <v/>
      </c>
      <c r="S743" s="23">
        <f t="shared" si="284"/>
        <v>0</v>
      </c>
      <c r="T743" s="23" t="str">
        <f t="shared" si="285"/>
        <v/>
      </c>
      <c r="U743" t="str">
        <f t="shared" si="286"/>
        <v/>
      </c>
      <c r="W743" s="1">
        <f t="shared" si="287"/>
        <v>15</v>
      </c>
      <c r="X743" s="73">
        <f t="shared" si="276"/>
        <v>17.658408943002957</v>
      </c>
      <c r="Y743" s="322">
        <f t="shared" si="288"/>
        <v>218025.51</v>
      </c>
      <c r="Z743" s="43">
        <f t="shared" si="277"/>
        <v>0</v>
      </c>
      <c r="AA743" s="52">
        <f t="shared" si="289"/>
        <v>0</v>
      </c>
      <c r="AB743" s="8">
        <f t="shared" si="290"/>
        <v>8355.8537927060897</v>
      </c>
      <c r="AC743" s="8">
        <f t="shared" si="291"/>
        <v>4177926.896353045</v>
      </c>
      <c r="AD743" s="8">
        <f t="shared" si="295"/>
        <v>20889.634481765224</v>
      </c>
      <c r="AE743" s="8" t="str">
        <f t="shared" si="292"/>
        <v/>
      </c>
      <c r="AF743" s="22" t="str">
        <f t="shared" si="293"/>
        <v>CO_state_2020g</v>
      </c>
      <c r="AG743">
        <v>1</v>
      </c>
      <c r="AH743" s="272">
        <v>3159790</v>
      </c>
      <c r="AI743" s="273">
        <v>2134608</v>
      </c>
      <c r="AJ743" s="274">
        <v>1025182</v>
      </c>
      <c r="AK743" s="339">
        <v>1109426</v>
      </c>
      <c r="AL743" s="340" t="s">
        <v>5308</v>
      </c>
      <c r="AM743" s="353">
        <f t="shared" si="294"/>
        <v>0.26554461758735637</v>
      </c>
      <c r="AP743" s="23">
        <f t="shared" si="296"/>
        <v>4486</v>
      </c>
      <c r="AQ743" s="392">
        <f t="shared" si="274"/>
        <v>1</v>
      </c>
      <c r="AR743" s="392">
        <f t="shared" si="275"/>
        <v>1</v>
      </c>
      <c r="AS743" s="392">
        <f t="shared" si="275"/>
        <v>1</v>
      </c>
    </row>
    <row r="744" spans="1:45">
      <c r="A744" s="12" t="s">
        <v>1535</v>
      </c>
      <c r="B744" s="54" t="str">
        <f t="shared" si="278"/>
        <v>AZ_Maric_2020g</v>
      </c>
      <c r="C744" s="12"/>
      <c r="D744" s="54" t="str">
        <f t="shared" si="279"/>
        <v>Gen-us rep dist cd-5 (vote for1)</v>
      </c>
      <c r="E744" s="54" t="s">
        <v>1796</v>
      </c>
      <c r="F744" s="12" t="s">
        <v>1296</v>
      </c>
      <c r="G744" s="59">
        <v>262414</v>
      </c>
      <c r="H744"/>
      <c r="K744" s="2"/>
      <c r="O744">
        <f t="shared" si="280"/>
        <v>1</v>
      </c>
      <c r="P744" s="57">
        <f t="shared" si="281"/>
        <v>1</v>
      </c>
      <c r="Q744" s="267">
        <f t="shared" si="282"/>
        <v>446651</v>
      </c>
      <c r="R744" s="23">
        <f t="shared" si="283"/>
        <v>262414</v>
      </c>
      <c r="S744" s="23">
        <f t="shared" si="284"/>
        <v>183171</v>
      </c>
      <c r="T744" s="23">
        <f t="shared" si="285"/>
        <v>79243</v>
      </c>
      <c r="U744" t="str">
        <f t="shared" si="286"/>
        <v>AZ_Maric_2020g~Gen-us rep dist cd-5 (vote for1)</v>
      </c>
      <c r="W744" s="1">
        <f t="shared" si="287"/>
        <v>16</v>
      </c>
      <c r="X744" s="73">
        <f t="shared" si="276"/>
        <v>13.220036013248926</v>
      </c>
      <c r="Y744" s="322">
        <f t="shared" si="288"/>
        <v>184738.87500000003</v>
      </c>
      <c r="Z744" s="43">
        <f t="shared" si="277"/>
        <v>0</v>
      </c>
      <c r="AA744" s="52">
        <f t="shared" si="289"/>
        <v>0</v>
      </c>
      <c r="AB744" s="8">
        <f t="shared" si="290"/>
        <v>8355.8537927060897</v>
      </c>
      <c r="AC744" s="8">
        <f t="shared" si="291"/>
        <v>4177926.896353045</v>
      </c>
      <c r="AD744" s="8">
        <f t="shared" si="295"/>
        <v>20889.634481765224</v>
      </c>
      <c r="AE744" s="8" t="str">
        <f t="shared" si="292"/>
        <v/>
      </c>
      <c r="AF744" s="22" t="str">
        <f t="shared" si="293"/>
        <v>CO_state_2020g</v>
      </c>
      <c r="AG744" s="302">
        <v>1</v>
      </c>
      <c r="AH744" s="301">
        <v>2677375</v>
      </c>
      <c r="AI744" s="303">
        <v>1966512</v>
      </c>
      <c r="AJ744" s="303">
        <v>710863</v>
      </c>
      <c r="AK744" s="342">
        <v>1255649</v>
      </c>
      <c r="AL744" s="343" t="s">
        <v>5300</v>
      </c>
      <c r="AM744" s="353">
        <f t="shared" si="294"/>
        <v>0.3005435545308533</v>
      </c>
      <c r="AP744" s="23">
        <f t="shared" si="296"/>
        <v>5101</v>
      </c>
      <c r="AQ744" s="392">
        <f t="shared" si="274"/>
        <v>1</v>
      </c>
      <c r="AR744" s="392">
        <f t="shared" si="275"/>
        <v>1</v>
      </c>
      <c r="AS744" s="392">
        <f t="shared" si="275"/>
        <v>1</v>
      </c>
    </row>
    <row r="745" spans="1:45">
      <c r="A745" s="12" t="s">
        <v>1535</v>
      </c>
      <c r="B745" s="54" t="str">
        <f t="shared" si="278"/>
        <v>AZ_Maric_2020g</v>
      </c>
      <c r="C745" s="12"/>
      <c r="D745" s="54" t="str">
        <f t="shared" si="279"/>
        <v>Gen-us rep dist cd-5 (vote for1)</v>
      </c>
      <c r="E745" s="54" t="s">
        <v>1797</v>
      </c>
      <c r="F745" s="12" t="s">
        <v>1294</v>
      </c>
      <c r="G745" s="59">
        <v>183171</v>
      </c>
      <c r="H745"/>
      <c r="K745" s="2"/>
      <c r="O745">
        <f t="shared" si="280"/>
        <v>2</v>
      </c>
      <c r="P745" s="57">
        <f t="shared" si="281"/>
        <v>1</v>
      </c>
      <c r="Q745" s="267">
        <f t="shared" si="282"/>
        <v>184237</v>
      </c>
      <c r="R745" s="23" t="str">
        <f t="shared" si="283"/>
        <v/>
      </c>
      <c r="S745" s="23">
        <f t="shared" si="284"/>
        <v>183171</v>
      </c>
      <c r="T745" s="23" t="str">
        <f t="shared" si="285"/>
        <v/>
      </c>
      <c r="U745" t="str">
        <f t="shared" si="286"/>
        <v/>
      </c>
      <c r="W745" s="1">
        <f t="shared" si="287"/>
        <v>17</v>
      </c>
      <c r="X745" s="73">
        <f t="shared" si="276"/>
        <v>12.618780917825788</v>
      </c>
      <c r="Y745" s="322">
        <f t="shared" si="288"/>
        <v>187024.91400000002</v>
      </c>
      <c r="Z745" s="43">
        <f t="shared" si="277"/>
        <v>0</v>
      </c>
      <c r="AA745" s="52">
        <f t="shared" si="289"/>
        <v>0</v>
      </c>
      <c r="AB745" s="8">
        <f t="shared" si="290"/>
        <v>8355.8537927060897</v>
      </c>
      <c r="AC745" s="8">
        <f t="shared" si="291"/>
        <v>4177926.896353045</v>
      </c>
      <c r="AD745" s="8">
        <f t="shared" si="295"/>
        <v>20889.634481765224</v>
      </c>
      <c r="AE745" s="8" t="str">
        <f t="shared" si="292"/>
        <v/>
      </c>
      <c r="AF745" s="22" t="str">
        <f t="shared" si="293"/>
        <v>CO_state_2020g</v>
      </c>
      <c r="AG745" s="302">
        <v>1</v>
      </c>
      <c r="AH745" s="301">
        <v>2710506</v>
      </c>
      <c r="AI745" s="303">
        <v>2021131</v>
      </c>
      <c r="AJ745" s="303">
        <v>689375</v>
      </c>
      <c r="AK745" s="342">
        <v>1331756</v>
      </c>
      <c r="AL745" s="343" t="s">
        <v>5299</v>
      </c>
      <c r="AM745" s="353">
        <f t="shared" si="294"/>
        <v>0.31876000538987492</v>
      </c>
      <c r="AP745" s="23">
        <f t="shared" si="296"/>
        <v>5421</v>
      </c>
      <c r="AQ745" s="392">
        <f t="shared" ref="AQ745:AQ808" si="297">IF($AP745=$AD745,1,IF($AP745=0,0, 1-HYPGEOMDIST(0, ROUNDUP(RIGHT(AQ$1,4)*$AD745,0),$AP745, $AD745)))</f>
        <v>1</v>
      </c>
      <c r="AR745" s="392">
        <f t="shared" ref="AR745:AS808" si="298">IF($AP745=$AD745,1,IF($AP745=0,0, 1-HYPGEOMDIST(0, ROUNDUP(RIGHT(AR$1,4)*$AD745,0),$AP745, $AD745)))</f>
        <v>1</v>
      </c>
      <c r="AS745" s="392">
        <f t="shared" si="298"/>
        <v>1</v>
      </c>
    </row>
    <row r="746" spans="1:45">
      <c r="A746" s="12" t="s">
        <v>1535</v>
      </c>
      <c r="B746" s="54" t="str">
        <f t="shared" si="278"/>
        <v>AZ_Maric_2020g</v>
      </c>
      <c r="C746" s="12"/>
      <c r="D746" s="54" t="str">
        <f t="shared" si="279"/>
        <v>Gen-us rep dist cd-5 (vote for1)</v>
      </c>
      <c r="E746" s="54" t="s">
        <v>1299</v>
      </c>
      <c r="G746" s="59">
        <v>533</v>
      </c>
      <c r="H746"/>
      <c r="K746" s="2"/>
      <c r="O746">
        <f t="shared" si="280"/>
        <v>-2</v>
      </c>
      <c r="P746" s="57">
        <f t="shared" si="281"/>
        <v>1</v>
      </c>
      <c r="Q746" s="267">
        <f t="shared" si="282"/>
        <v>1066</v>
      </c>
      <c r="R746" s="23" t="str">
        <f t="shared" si="283"/>
        <v/>
      </c>
      <c r="S746" s="23">
        <f t="shared" si="284"/>
        <v>72</v>
      </c>
      <c r="T746" s="23" t="str">
        <f t="shared" si="285"/>
        <v/>
      </c>
      <c r="U746" t="str">
        <f t="shared" si="286"/>
        <v/>
      </c>
      <c r="W746" s="1">
        <f t="shared" si="287"/>
        <v>1</v>
      </c>
      <c r="X746" s="73">
        <f t="shared" si="276"/>
        <v>291</v>
      </c>
      <c r="Y746" s="322">
        <f t="shared" si="288"/>
        <v>291</v>
      </c>
      <c r="Z746" s="43">
        <f t="shared" si="277"/>
        <v>99.910732765824832</v>
      </c>
      <c r="AA746" s="52">
        <f t="shared" si="289"/>
        <v>0.99910732765824839</v>
      </c>
      <c r="AB746" s="8">
        <f t="shared" si="290"/>
        <v>151</v>
      </c>
      <c r="AC746" s="8">
        <f t="shared" si="291"/>
        <v>169080</v>
      </c>
      <c r="AD746" s="8">
        <f t="shared" si="295"/>
        <v>845.4</v>
      </c>
      <c r="AE746" s="8" t="str">
        <f t="shared" si="292"/>
        <v/>
      </c>
      <c r="AF746" s="22" t="str">
        <f t="shared" si="293"/>
        <v>CO_Weld__2020g</v>
      </c>
      <c r="AG746" s="23">
        <v>3</v>
      </c>
      <c r="AH746" s="8">
        <v>291</v>
      </c>
      <c r="AI746" s="273">
        <v>114</v>
      </c>
      <c r="AJ746" s="274">
        <v>113</v>
      </c>
      <c r="AK746" s="339">
        <v>1</v>
      </c>
      <c r="AL746" s="344" t="s">
        <v>5889</v>
      </c>
      <c r="AM746" s="353">
        <f t="shared" si="294"/>
        <v>5.9143600662408329E-6</v>
      </c>
      <c r="AP746" s="23">
        <f t="shared" si="296"/>
        <v>0</v>
      </c>
      <c r="AQ746" s="392">
        <f t="shared" si="297"/>
        <v>0</v>
      </c>
      <c r="AR746" s="392">
        <f t="shared" si="298"/>
        <v>0</v>
      </c>
      <c r="AS746" s="392">
        <f t="shared" si="298"/>
        <v>0</v>
      </c>
    </row>
    <row r="747" spans="1:45">
      <c r="A747" s="12" t="s">
        <v>1535</v>
      </c>
      <c r="B747" s="54" t="str">
        <f t="shared" si="278"/>
        <v>AZ_Maric_2020g</v>
      </c>
      <c r="C747" s="12"/>
      <c r="D747" s="54" t="str">
        <f t="shared" si="279"/>
        <v>Gen-us rep dist cd-5 (vote for1)</v>
      </c>
      <c r="E747" s="54" t="s">
        <v>1765</v>
      </c>
      <c r="G747" s="59">
        <v>461</v>
      </c>
      <c r="H747"/>
      <c r="K747" s="2"/>
      <c r="O747">
        <f t="shared" si="280"/>
        <v>-2</v>
      </c>
      <c r="P747" s="57">
        <f t="shared" si="281"/>
        <v>1</v>
      </c>
      <c r="Q747" s="267">
        <f t="shared" si="282"/>
        <v>533</v>
      </c>
      <c r="R747" s="23" t="str">
        <f t="shared" si="283"/>
        <v/>
      </c>
      <c r="S747" s="23">
        <f t="shared" si="284"/>
        <v>72</v>
      </c>
      <c r="T747" s="23" t="str">
        <f t="shared" si="285"/>
        <v/>
      </c>
      <c r="U747" t="str">
        <f t="shared" si="286"/>
        <v/>
      </c>
      <c r="W747" s="1">
        <f t="shared" si="287"/>
        <v>2</v>
      </c>
      <c r="X747" s="73">
        <f t="shared" si="276"/>
        <v>257.3</v>
      </c>
      <c r="Y747" s="322">
        <f t="shared" si="288"/>
        <v>257.3</v>
      </c>
      <c r="Z747" s="43">
        <f t="shared" si="277"/>
        <v>98.757436882742638</v>
      </c>
      <c r="AA747" s="52">
        <f t="shared" si="289"/>
        <v>0.98757436882742644</v>
      </c>
      <c r="AB747" s="8">
        <f t="shared" si="290"/>
        <v>151</v>
      </c>
      <c r="AC747" s="8">
        <f t="shared" si="291"/>
        <v>169080</v>
      </c>
      <c r="AD747" s="8">
        <f t="shared" si="295"/>
        <v>845.4</v>
      </c>
      <c r="AE747" s="8" t="str">
        <f t="shared" si="292"/>
        <v/>
      </c>
      <c r="AF747" s="22" t="str">
        <f t="shared" si="293"/>
        <v>CO_Weld__2020g</v>
      </c>
      <c r="AG747">
        <v>3</v>
      </c>
      <c r="AH747" s="272">
        <v>581</v>
      </c>
      <c r="AI747" s="273">
        <v>311</v>
      </c>
      <c r="AJ747" s="274">
        <v>297</v>
      </c>
      <c r="AK747" s="339">
        <v>14</v>
      </c>
      <c r="AL747" s="340" t="s">
        <v>5890</v>
      </c>
      <c r="AM747" s="353">
        <f t="shared" si="294"/>
        <v>8.2801040927371662E-5</v>
      </c>
      <c r="AP747" s="23">
        <f t="shared" si="296"/>
        <v>0</v>
      </c>
      <c r="AQ747" s="392">
        <f t="shared" si="297"/>
        <v>0</v>
      </c>
      <c r="AR747" s="392">
        <f t="shared" si="298"/>
        <v>0</v>
      </c>
      <c r="AS747" s="392">
        <f t="shared" si="298"/>
        <v>0</v>
      </c>
    </row>
    <row r="748" spans="1:45">
      <c r="A748" s="12" t="s">
        <v>1535</v>
      </c>
      <c r="B748" s="54" t="str">
        <f t="shared" si="278"/>
        <v>AZ_Maric_2020g</v>
      </c>
      <c r="C748" s="12"/>
      <c r="D748" s="54" t="str">
        <f t="shared" si="279"/>
        <v>Gen-us rep dist cd-5 (vote for1)</v>
      </c>
      <c r="E748" s="54" t="s">
        <v>1798</v>
      </c>
      <c r="G748" s="59">
        <v>72</v>
      </c>
      <c r="H748"/>
      <c r="K748" s="2"/>
      <c r="O748">
        <f t="shared" si="280"/>
        <v>3</v>
      </c>
      <c r="P748" s="57">
        <f t="shared" si="281"/>
        <v>1</v>
      </c>
      <c r="Q748" s="267">
        <f t="shared" si="282"/>
        <v>72</v>
      </c>
      <c r="R748" s="23" t="str">
        <f t="shared" si="283"/>
        <v/>
      </c>
      <c r="S748" s="23">
        <f t="shared" si="284"/>
        <v>72</v>
      </c>
      <c r="T748" s="23" t="str">
        <f t="shared" si="285"/>
        <v/>
      </c>
      <c r="U748" t="str">
        <f t="shared" si="286"/>
        <v/>
      </c>
      <c r="W748" s="1">
        <f t="shared" si="287"/>
        <v>3</v>
      </c>
      <c r="X748" s="73">
        <f t="shared" si="276"/>
        <v>1005.2857142857143</v>
      </c>
      <c r="Y748" s="322">
        <f t="shared" si="288"/>
        <v>1005.2857142857143</v>
      </c>
      <c r="Z748" s="43">
        <f t="shared" si="277"/>
        <v>98.141919126320346</v>
      </c>
      <c r="AA748" s="52">
        <f t="shared" si="289"/>
        <v>0.98141919126320343</v>
      </c>
      <c r="AB748" s="8">
        <f t="shared" si="290"/>
        <v>151</v>
      </c>
      <c r="AC748" s="8">
        <f t="shared" si="291"/>
        <v>169080</v>
      </c>
      <c r="AD748" s="8">
        <f t="shared" si="295"/>
        <v>845.4</v>
      </c>
      <c r="AE748" s="8" t="str">
        <f t="shared" si="292"/>
        <v/>
      </c>
      <c r="AF748" s="22" t="str">
        <f t="shared" si="293"/>
        <v>CO_Weld__2020g</v>
      </c>
      <c r="AG748">
        <v>1</v>
      </c>
      <c r="AH748" s="272">
        <v>3405</v>
      </c>
      <c r="AI748" s="273">
        <v>1713</v>
      </c>
      <c r="AJ748" s="274">
        <v>1692</v>
      </c>
      <c r="AK748" s="339">
        <v>21</v>
      </c>
      <c r="AL748" s="340" t="s">
        <v>5888</v>
      </c>
      <c r="AM748" s="353">
        <f t="shared" si="294"/>
        <v>1.242015613910575E-4</v>
      </c>
      <c r="AP748" s="23">
        <f t="shared" si="296"/>
        <v>0</v>
      </c>
      <c r="AQ748" s="392">
        <f t="shared" si="297"/>
        <v>0</v>
      </c>
      <c r="AR748" s="392">
        <f t="shared" si="298"/>
        <v>0</v>
      </c>
      <c r="AS748" s="392">
        <f t="shared" si="298"/>
        <v>0</v>
      </c>
    </row>
    <row r="749" spans="1:45">
      <c r="A749" s="12" t="s">
        <v>1536</v>
      </c>
      <c r="B749" s="54" t="str">
        <f t="shared" si="278"/>
        <v>AZ_Maric_2020g</v>
      </c>
      <c r="C749" s="12"/>
      <c r="D749" s="54" t="str">
        <f t="shared" si="279"/>
        <v>Gen-us rep dist cd-6 (vote for1)</v>
      </c>
      <c r="E749" s="54" t="s">
        <v>1799</v>
      </c>
      <c r="F749" s="12" t="s">
        <v>1296</v>
      </c>
      <c r="G749" s="59">
        <v>217783</v>
      </c>
      <c r="H749"/>
      <c r="K749" s="2"/>
      <c r="O749">
        <f t="shared" si="280"/>
        <v>1</v>
      </c>
      <c r="P749" s="57">
        <f t="shared" si="281"/>
        <v>1</v>
      </c>
      <c r="Q749" s="267">
        <f t="shared" si="282"/>
        <v>417972</v>
      </c>
      <c r="R749" s="23">
        <f t="shared" si="283"/>
        <v>217783</v>
      </c>
      <c r="S749" s="23">
        <f t="shared" si="284"/>
        <v>199644</v>
      </c>
      <c r="T749" s="23">
        <f t="shared" si="285"/>
        <v>18139</v>
      </c>
      <c r="U749" t="str">
        <f t="shared" si="286"/>
        <v>AZ_Maric_2020g~Gen-us rep dist cd-6 (vote for1)</v>
      </c>
      <c r="W749" s="1">
        <f t="shared" si="287"/>
        <v>4</v>
      </c>
      <c r="X749" s="73">
        <f t="shared" si="276"/>
        <v>57.63703703703704</v>
      </c>
      <c r="Y749" s="322">
        <f t="shared" si="288"/>
        <v>57.63703703703704</v>
      </c>
      <c r="Z749" s="43">
        <f t="shared" si="277"/>
        <v>97.61736664536086</v>
      </c>
      <c r="AA749" s="52">
        <f t="shared" si="289"/>
        <v>0.97617366645360859</v>
      </c>
      <c r="AB749" s="8">
        <f t="shared" si="290"/>
        <v>151</v>
      </c>
      <c r="AC749" s="8">
        <f t="shared" si="291"/>
        <v>169080</v>
      </c>
      <c r="AD749" s="8">
        <f t="shared" si="295"/>
        <v>845.4</v>
      </c>
      <c r="AE749" s="8" t="str">
        <f t="shared" si="292"/>
        <v/>
      </c>
      <c r="AF749" s="22" t="str">
        <f t="shared" si="293"/>
        <v>CO_Weld__2020g</v>
      </c>
      <c r="AG749">
        <v>1</v>
      </c>
      <c r="AH749" s="272">
        <v>251</v>
      </c>
      <c r="AI749" s="273">
        <v>139</v>
      </c>
      <c r="AJ749" s="274">
        <v>112</v>
      </c>
      <c r="AK749" s="339">
        <v>27</v>
      </c>
      <c r="AL749" s="340" t="s">
        <v>5884</v>
      </c>
      <c r="AM749" s="353">
        <f t="shared" si="294"/>
        <v>1.5968772178850249E-4</v>
      </c>
      <c r="AP749" s="23">
        <f t="shared" si="296"/>
        <v>0</v>
      </c>
      <c r="AQ749" s="392">
        <f t="shared" si="297"/>
        <v>0</v>
      </c>
      <c r="AR749" s="392">
        <f t="shared" si="298"/>
        <v>0</v>
      </c>
      <c r="AS749" s="392">
        <f t="shared" si="298"/>
        <v>0</v>
      </c>
    </row>
    <row r="750" spans="1:45">
      <c r="A750" s="12" t="s">
        <v>1536</v>
      </c>
      <c r="B750" s="54" t="str">
        <f t="shared" si="278"/>
        <v>AZ_Maric_2020g</v>
      </c>
      <c r="C750" s="12"/>
      <c r="D750" s="54" t="str">
        <f t="shared" si="279"/>
        <v>Gen-us rep dist cd-6 (vote for1)</v>
      </c>
      <c r="E750" s="54" t="s">
        <v>1800</v>
      </c>
      <c r="F750" s="12" t="s">
        <v>1294</v>
      </c>
      <c r="G750" s="59">
        <v>199644</v>
      </c>
      <c r="H750"/>
      <c r="K750" s="2"/>
      <c r="O750">
        <f t="shared" si="280"/>
        <v>2</v>
      </c>
      <c r="P750" s="57">
        <f t="shared" si="281"/>
        <v>1</v>
      </c>
      <c r="Q750" s="267">
        <f t="shared" si="282"/>
        <v>200189</v>
      </c>
      <c r="R750" s="23" t="str">
        <f t="shared" si="283"/>
        <v/>
      </c>
      <c r="S750" s="23">
        <f t="shared" si="284"/>
        <v>199644</v>
      </c>
      <c r="T750" s="23" t="str">
        <f t="shared" si="285"/>
        <v/>
      </c>
      <c r="U750" t="str">
        <f t="shared" si="286"/>
        <v/>
      </c>
      <c r="W750" s="1">
        <f t="shared" si="287"/>
        <v>5</v>
      </c>
      <c r="X750" s="73">
        <f t="shared" si="276"/>
        <v>427.15584415584414</v>
      </c>
      <c r="Y750" s="322">
        <f t="shared" si="288"/>
        <v>427.15584415584414</v>
      </c>
      <c r="Z750" s="43">
        <f t="shared" si="277"/>
        <v>93.353023513513151</v>
      </c>
      <c r="AA750" s="52">
        <f t="shared" si="289"/>
        <v>0.93353023513513156</v>
      </c>
      <c r="AB750" s="8">
        <f t="shared" si="290"/>
        <v>151</v>
      </c>
      <c r="AC750" s="8">
        <f t="shared" si="291"/>
        <v>169080</v>
      </c>
      <c r="AD750" s="8">
        <f t="shared" si="295"/>
        <v>845.4</v>
      </c>
      <c r="AE750" s="8" t="str">
        <f t="shared" si="292"/>
        <v/>
      </c>
      <c r="AF750" s="22" t="str">
        <f t="shared" si="293"/>
        <v>CO_Weld__2020g</v>
      </c>
      <c r="AG750">
        <v>1</v>
      </c>
      <c r="AH750" s="272">
        <v>5305</v>
      </c>
      <c r="AI750" s="273">
        <v>2691</v>
      </c>
      <c r="AJ750" s="274">
        <v>2614</v>
      </c>
      <c r="AK750" s="339">
        <v>77</v>
      </c>
      <c r="AL750" s="340" t="s">
        <v>5880</v>
      </c>
      <c r="AM750" s="353">
        <f t="shared" si="294"/>
        <v>4.554057251005441E-4</v>
      </c>
      <c r="AP750" s="23">
        <f t="shared" si="296"/>
        <v>0</v>
      </c>
      <c r="AQ750" s="392">
        <f t="shared" si="297"/>
        <v>0</v>
      </c>
      <c r="AR750" s="392">
        <f t="shared" si="298"/>
        <v>0</v>
      </c>
      <c r="AS750" s="392">
        <f t="shared" si="298"/>
        <v>0</v>
      </c>
    </row>
    <row r="751" spans="1:45">
      <c r="A751" s="12" t="s">
        <v>1536</v>
      </c>
      <c r="B751" s="54" t="str">
        <f t="shared" si="278"/>
        <v>AZ_Maric_2020g</v>
      </c>
      <c r="C751" s="12"/>
      <c r="D751" s="54" t="str">
        <f t="shared" si="279"/>
        <v>Gen-us rep dist cd-6 (vote for1)</v>
      </c>
      <c r="E751" s="54" t="s">
        <v>1299</v>
      </c>
      <c r="G751" s="59">
        <v>545</v>
      </c>
      <c r="H751"/>
      <c r="K751" s="2"/>
      <c r="O751">
        <f t="shared" si="280"/>
        <v>-2</v>
      </c>
      <c r="P751" s="57">
        <f t="shared" si="281"/>
        <v>1</v>
      </c>
      <c r="Q751" s="267">
        <f t="shared" si="282"/>
        <v>545</v>
      </c>
      <c r="R751" s="23">
        <f t="shared" si="283"/>
        <v>1</v>
      </c>
      <c r="S751" s="23">
        <f t="shared" si="284"/>
        <v>0</v>
      </c>
      <c r="T751" s="23" t="str">
        <f t="shared" si="285"/>
        <v/>
      </c>
      <c r="U751" t="str">
        <f t="shared" si="286"/>
        <v/>
      </c>
      <c r="W751" s="1">
        <f t="shared" si="287"/>
        <v>6</v>
      </c>
      <c r="X751" s="73">
        <f t="shared" si="276"/>
        <v>229.09256198347106</v>
      </c>
      <c r="Y751" s="322">
        <f t="shared" si="288"/>
        <v>308.49900000000002</v>
      </c>
      <c r="Z751" s="43">
        <f t="shared" si="277"/>
        <v>89.753787623159724</v>
      </c>
      <c r="AA751" s="52">
        <f t="shared" si="289"/>
        <v>0.8975378762315972</v>
      </c>
      <c r="AB751" s="8">
        <f t="shared" si="290"/>
        <v>151</v>
      </c>
      <c r="AC751" s="8">
        <f t="shared" si="291"/>
        <v>169080</v>
      </c>
      <c r="AD751" s="8">
        <f t="shared" si="295"/>
        <v>845.4</v>
      </c>
      <c r="AE751" s="8" t="str">
        <f t="shared" si="292"/>
        <v/>
      </c>
      <c r="AF751" s="22" t="str">
        <f t="shared" si="293"/>
        <v>CO_Weld__2020g</v>
      </c>
      <c r="AG751">
        <v>1</v>
      </c>
      <c r="AH751" s="272">
        <v>4471</v>
      </c>
      <c r="AI751" s="273">
        <v>2296</v>
      </c>
      <c r="AJ751" s="274">
        <v>2175</v>
      </c>
      <c r="AK751" s="339">
        <v>121</v>
      </c>
      <c r="AL751" s="340" t="s">
        <v>5883</v>
      </c>
      <c r="AM751" s="353">
        <f t="shared" si="294"/>
        <v>7.1563756801514076E-4</v>
      </c>
      <c r="AP751" s="23">
        <f t="shared" si="296"/>
        <v>0</v>
      </c>
      <c r="AQ751" s="392">
        <f t="shared" si="297"/>
        <v>0</v>
      </c>
      <c r="AR751" s="392">
        <f t="shared" si="298"/>
        <v>0</v>
      </c>
      <c r="AS751" s="392">
        <f t="shared" si="298"/>
        <v>0</v>
      </c>
    </row>
    <row r="752" spans="1:45">
      <c r="A752" s="12" t="s">
        <v>1537</v>
      </c>
      <c r="B752" s="54" t="str">
        <f t="shared" si="278"/>
        <v>AZ_Maric_2020g</v>
      </c>
      <c r="C752" s="12"/>
      <c r="D752" s="54" t="str">
        <f t="shared" si="279"/>
        <v>Gen-us rep dist cd-7 (vote for1)</v>
      </c>
      <c r="E752" s="54" t="s">
        <v>1802</v>
      </c>
      <c r="F752" s="12" t="s">
        <v>1294</v>
      </c>
      <c r="G752" s="59">
        <v>165452</v>
      </c>
      <c r="H752"/>
      <c r="K752" s="2"/>
      <c r="O752">
        <f t="shared" si="280"/>
        <v>1</v>
      </c>
      <c r="P752" s="57">
        <f t="shared" si="281"/>
        <v>1</v>
      </c>
      <c r="Q752" s="267">
        <f t="shared" si="282"/>
        <v>216518</v>
      </c>
      <c r="R752" s="23">
        <f t="shared" si="283"/>
        <v>165452</v>
      </c>
      <c r="S752" s="23">
        <f t="shared" si="284"/>
        <v>50226</v>
      </c>
      <c r="T752" s="23">
        <f t="shared" si="285"/>
        <v>115226</v>
      </c>
      <c r="U752" t="str">
        <f t="shared" si="286"/>
        <v>AZ_Maric_2020g~Gen-us rep dist cd-7 (vote for1)</v>
      </c>
      <c r="W752" s="1">
        <f t="shared" si="287"/>
        <v>7</v>
      </c>
      <c r="X752" s="73">
        <f t="shared" si="276"/>
        <v>59.371739130434783</v>
      </c>
      <c r="Y752" s="322">
        <f t="shared" si="288"/>
        <v>182.36700000000002</v>
      </c>
      <c r="Z752" s="43">
        <f t="shared" si="277"/>
        <v>78.138423851741166</v>
      </c>
      <c r="AA752" s="52">
        <f t="shared" si="289"/>
        <v>0.78138423851741168</v>
      </c>
      <c r="AB752" s="8">
        <f t="shared" si="290"/>
        <v>151</v>
      </c>
      <c r="AC752" s="8">
        <f t="shared" si="291"/>
        <v>169080</v>
      </c>
      <c r="AD752" s="8">
        <f t="shared" si="295"/>
        <v>845.4</v>
      </c>
      <c r="AE752" s="8" t="str">
        <f t="shared" si="292"/>
        <v/>
      </c>
      <c r="AF752" s="22" t="str">
        <f t="shared" si="293"/>
        <v>CO_Weld__2020g</v>
      </c>
      <c r="AG752">
        <v>1</v>
      </c>
      <c r="AH752" s="272">
        <v>2643</v>
      </c>
      <c r="AI752" s="273">
        <v>1183</v>
      </c>
      <c r="AJ752" s="274">
        <v>907</v>
      </c>
      <c r="AK752" s="339">
        <v>276</v>
      </c>
      <c r="AL752" s="340" t="s">
        <v>5891</v>
      </c>
      <c r="AM752" s="353">
        <f t="shared" si="294"/>
        <v>1.6323633782824698E-3</v>
      </c>
      <c r="AP752" s="23">
        <f t="shared" si="296"/>
        <v>0</v>
      </c>
      <c r="AQ752" s="392">
        <f t="shared" si="297"/>
        <v>0</v>
      </c>
      <c r="AR752" s="392">
        <f t="shared" si="298"/>
        <v>0</v>
      </c>
      <c r="AS752" s="392">
        <f t="shared" si="298"/>
        <v>0</v>
      </c>
    </row>
    <row r="753" spans="1:45">
      <c r="A753" s="12" t="s">
        <v>1537</v>
      </c>
      <c r="B753" s="54" t="str">
        <f t="shared" si="278"/>
        <v>AZ_Maric_2020g</v>
      </c>
      <c r="C753" s="12"/>
      <c r="D753" s="54" t="str">
        <f t="shared" si="279"/>
        <v>Gen-us rep dist cd-7 (vote for1)</v>
      </c>
      <c r="E753" s="54" t="s">
        <v>1801</v>
      </c>
      <c r="F753" s="12" t="s">
        <v>1296</v>
      </c>
      <c r="G753" s="59">
        <v>50226</v>
      </c>
      <c r="H753"/>
      <c r="K753" s="2"/>
      <c r="O753">
        <f t="shared" si="280"/>
        <v>2</v>
      </c>
      <c r="P753" s="57">
        <f t="shared" si="281"/>
        <v>1</v>
      </c>
      <c r="Q753" s="267">
        <f t="shared" si="282"/>
        <v>51066</v>
      </c>
      <c r="R753" s="23" t="str">
        <f t="shared" si="283"/>
        <v/>
      </c>
      <c r="S753" s="23">
        <f t="shared" si="284"/>
        <v>50226</v>
      </c>
      <c r="T753" s="23" t="str">
        <f t="shared" si="285"/>
        <v/>
      </c>
      <c r="U753" t="str">
        <f t="shared" si="286"/>
        <v/>
      </c>
      <c r="W753" s="1">
        <f t="shared" si="287"/>
        <v>8</v>
      </c>
      <c r="X753" s="73">
        <f t="shared" si="276"/>
        <v>62.16644295302013</v>
      </c>
      <c r="Y753" s="322">
        <f t="shared" si="288"/>
        <v>206.17200000000003</v>
      </c>
      <c r="Z753" s="43">
        <f t="shared" si="277"/>
        <v>76.615622698783454</v>
      </c>
      <c r="AA753" s="52">
        <f t="shared" si="289"/>
        <v>0.76615622698783459</v>
      </c>
      <c r="AB753" s="8">
        <f t="shared" si="290"/>
        <v>151</v>
      </c>
      <c r="AC753" s="8">
        <f t="shared" si="291"/>
        <v>169080</v>
      </c>
      <c r="AD753" s="8">
        <f t="shared" si="295"/>
        <v>845.4</v>
      </c>
      <c r="AE753" s="8" t="str">
        <f t="shared" si="292"/>
        <v/>
      </c>
      <c r="AF753" s="22" t="str">
        <f t="shared" si="293"/>
        <v>CO_Weld__2020g</v>
      </c>
      <c r="AG753">
        <v>1</v>
      </c>
      <c r="AH753" s="272">
        <v>2988</v>
      </c>
      <c r="AI753" s="273">
        <v>1643</v>
      </c>
      <c r="AJ753" s="274">
        <v>1345</v>
      </c>
      <c r="AK753" s="339">
        <v>298</v>
      </c>
      <c r="AL753" s="340" t="s">
        <v>5893</v>
      </c>
      <c r="AM753" s="353">
        <f t="shared" si="294"/>
        <v>1.7624792997397681E-3</v>
      </c>
      <c r="AP753" s="23">
        <f t="shared" si="296"/>
        <v>0</v>
      </c>
      <c r="AQ753" s="392">
        <f t="shared" si="297"/>
        <v>0</v>
      </c>
      <c r="AR753" s="392">
        <f t="shared" si="298"/>
        <v>0</v>
      </c>
      <c r="AS753" s="392">
        <f t="shared" si="298"/>
        <v>0</v>
      </c>
    </row>
    <row r="754" spans="1:45">
      <c r="A754" s="12" t="s">
        <v>1537</v>
      </c>
      <c r="B754" s="54" t="str">
        <f t="shared" si="278"/>
        <v>AZ_Maric_2020g</v>
      </c>
      <c r="C754" s="12"/>
      <c r="D754" s="54" t="str">
        <f t="shared" si="279"/>
        <v>Gen-us rep dist cd-7 (vote for1)</v>
      </c>
      <c r="E754" s="54" t="s">
        <v>1299</v>
      </c>
      <c r="G754" s="59">
        <v>420</v>
      </c>
      <c r="H754"/>
      <c r="K754" s="2"/>
      <c r="O754">
        <f t="shared" si="280"/>
        <v>-2</v>
      </c>
      <c r="P754" s="57">
        <f t="shared" si="281"/>
        <v>1</v>
      </c>
      <c r="Q754" s="267">
        <f t="shared" si="282"/>
        <v>840</v>
      </c>
      <c r="R754" s="23" t="str">
        <f t="shared" si="283"/>
        <v/>
      </c>
      <c r="S754" s="23">
        <f t="shared" si="284"/>
        <v>51</v>
      </c>
      <c r="T754" s="23" t="str">
        <f t="shared" si="285"/>
        <v/>
      </c>
      <c r="U754" t="str">
        <f t="shared" si="286"/>
        <v/>
      </c>
      <c r="W754" s="1">
        <f t="shared" si="287"/>
        <v>9</v>
      </c>
      <c r="X754" s="73">
        <f t="shared" si="276"/>
        <v>55.168862275449108</v>
      </c>
      <c r="Y754" s="322">
        <f t="shared" si="288"/>
        <v>205.06800000000001</v>
      </c>
      <c r="Z754" s="43">
        <f t="shared" si="277"/>
        <v>74.187104885770722</v>
      </c>
      <c r="AA754" s="52">
        <f t="shared" si="289"/>
        <v>0.74187104885770727</v>
      </c>
      <c r="AB754" s="8">
        <f t="shared" si="290"/>
        <v>151</v>
      </c>
      <c r="AC754" s="8">
        <f t="shared" si="291"/>
        <v>169080</v>
      </c>
      <c r="AD754" s="8">
        <f t="shared" si="295"/>
        <v>845.4</v>
      </c>
      <c r="AE754" s="8" t="str">
        <f t="shared" si="292"/>
        <v/>
      </c>
      <c r="AF754" s="22" t="str">
        <f t="shared" si="293"/>
        <v>CO_Weld__2020g</v>
      </c>
      <c r="AG754">
        <v>1</v>
      </c>
      <c r="AH754" s="272">
        <v>2972</v>
      </c>
      <c r="AI754" s="273">
        <v>1653</v>
      </c>
      <c r="AJ754" s="274">
        <v>1319</v>
      </c>
      <c r="AK754" s="339">
        <v>334</v>
      </c>
      <c r="AL754" s="340" t="s">
        <v>5892</v>
      </c>
      <c r="AM754" s="353">
        <f t="shared" si="294"/>
        <v>1.975396262124438E-3</v>
      </c>
      <c r="AP754" s="23">
        <f t="shared" si="296"/>
        <v>0</v>
      </c>
      <c r="AQ754" s="392">
        <f t="shared" si="297"/>
        <v>0</v>
      </c>
      <c r="AR754" s="392">
        <f t="shared" si="298"/>
        <v>0</v>
      </c>
      <c r="AS754" s="392">
        <f t="shared" si="298"/>
        <v>0</v>
      </c>
    </row>
    <row r="755" spans="1:45">
      <c r="A755" s="12" t="s">
        <v>1537</v>
      </c>
      <c r="B755" s="54" t="str">
        <f t="shared" si="278"/>
        <v>AZ_Maric_2020g</v>
      </c>
      <c r="C755" s="12"/>
      <c r="D755" s="54" t="str">
        <f t="shared" si="279"/>
        <v>Gen-us rep dist cd-7 (vote for1)</v>
      </c>
      <c r="E755" s="54" t="s">
        <v>1765</v>
      </c>
      <c r="G755" s="59">
        <v>366</v>
      </c>
      <c r="H755"/>
      <c r="K755" s="2"/>
      <c r="O755">
        <f t="shared" si="280"/>
        <v>-2</v>
      </c>
      <c r="P755" s="57">
        <f t="shared" si="281"/>
        <v>1</v>
      </c>
      <c r="Q755" s="267">
        <f t="shared" si="282"/>
        <v>420</v>
      </c>
      <c r="R755" s="23" t="str">
        <f t="shared" si="283"/>
        <v/>
      </c>
      <c r="S755" s="23">
        <f t="shared" si="284"/>
        <v>51</v>
      </c>
      <c r="T755" s="23" t="str">
        <f t="shared" si="285"/>
        <v/>
      </c>
      <c r="U755" t="str">
        <f t="shared" si="286"/>
        <v/>
      </c>
      <c r="W755" s="1">
        <f t="shared" si="287"/>
        <v>10</v>
      </c>
      <c r="X755" s="73">
        <f t="shared" si="276"/>
        <v>33.061081081081078</v>
      </c>
      <c r="Y755" s="322">
        <f t="shared" si="288"/>
        <v>136.137</v>
      </c>
      <c r="Z755" s="43">
        <f t="shared" si="277"/>
        <v>71.835071141027328</v>
      </c>
      <c r="AA755" s="52">
        <f t="shared" si="289"/>
        <v>0.71835071141027329</v>
      </c>
      <c r="AB755" s="8">
        <f t="shared" si="290"/>
        <v>151</v>
      </c>
      <c r="AC755" s="8">
        <f t="shared" si="291"/>
        <v>169080</v>
      </c>
      <c r="AD755" s="8">
        <f t="shared" si="295"/>
        <v>845.4</v>
      </c>
      <c r="AE755" s="8" t="str">
        <f t="shared" si="292"/>
        <v/>
      </c>
      <c r="AF755" s="22" t="str">
        <f t="shared" si="293"/>
        <v>CO_Weld__2020g</v>
      </c>
      <c r="AG755">
        <v>2</v>
      </c>
      <c r="AH755" s="272">
        <v>1973</v>
      </c>
      <c r="AI755" s="273">
        <v>1172</v>
      </c>
      <c r="AJ755" s="274">
        <v>802</v>
      </c>
      <c r="AK755" s="339">
        <v>370</v>
      </c>
      <c r="AL755" s="340" t="s">
        <v>5873</v>
      </c>
      <c r="AM755" s="353">
        <f t="shared" si="294"/>
        <v>2.1883132245091082E-3</v>
      </c>
      <c r="AP755" s="23">
        <f t="shared" si="296"/>
        <v>0</v>
      </c>
      <c r="AQ755" s="392">
        <f t="shared" si="297"/>
        <v>0</v>
      </c>
      <c r="AR755" s="392">
        <f t="shared" si="298"/>
        <v>0</v>
      </c>
      <c r="AS755" s="392">
        <f t="shared" si="298"/>
        <v>0</v>
      </c>
    </row>
    <row r="756" spans="1:45">
      <c r="A756" s="12" t="s">
        <v>1537</v>
      </c>
      <c r="B756" s="54" t="str">
        <f t="shared" si="278"/>
        <v>AZ_Maric_2020g</v>
      </c>
      <c r="C756" s="12"/>
      <c r="D756" s="54" t="str">
        <f t="shared" si="279"/>
        <v>Gen-us rep dist cd-7 (vote for1)</v>
      </c>
      <c r="E756" s="54" t="s">
        <v>1804</v>
      </c>
      <c r="G756" s="59">
        <v>51</v>
      </c>
      <c r="H756"/>
      <c r="K756" s="2"/>
      <c r="O756">
        <f t="shared" si="280"/>
        <v>3</v>
      </c>
      <c r="P756" s="57">
        <f t="shared" si="281"/>
        <v>1</v>
      </c>
      <c r="Q756" s="267">
        <f t="shared" si="282"/>
        <v>54</v>
      </c>
      <c r="R756" s="23" t="str">
        <f t="shared" si="283"/>
        <v/>
      </c>
      <c r="S756" s="23">
        <f t="shared" si="284"/>
        <v>51</v>
      </c>
      <c r="T756" s="23" t="str">
        <f t="shared" si="285"/>
        <v/>
      </c>
      <c r="U756" t="str">
        <f t="shared" si="286"/>
        <v/>
      </c>
      <c r="W756" s="1">
        <f t="shared" si="287"/>
        <v>11</v>
      </c>
      <c r="X756" s="73">
        <f t="shared" si="276"/>
        <v>55.601069518716578</v>
      </c>
      <c r="Y756" s="322">
        <f t="shared" si="288"/>
        <v>231.42600000000002</v>
      </c>
      <c r="Z756" s="43">
        <f t="shared" si="277"/>
        <v>71.57835061141293</v>
      </c>
      <c r="AA756" s="52">
        <f t="shared" si="289"/>
        <v>0.71578350611412933</v>
      </c>
      <c r="AB756" s="8">
        <f t="shared" si="290"/>
        <v>151</v>
      </c>
      <c r="AC756" s="8">
        <f t="shared" si="291"/>
        <v>169080</v>
      </c>
      <c r="AD756" s="8">
        <f t="shared" si="295"/>
        <v>845.4</v>
      </c>
      <c r="AE756" s="8" t="str">
        <f t="shared" si="292"/>
        <v/>
      </c>
      <c r="AF756" s="22" t="str">
        <f t="shared" si="293"/>
        <v>CO_Weld__2020g</v>
      </c>
      <c r="AG756">
        <v>1</v>
      </c>
      <c r="AH756" s="272">
        <v>3354</v>
      </c>
      <c r="AI756" s="273">
        <v>1864</v>
      </c>
      <c r="AJ756" s="274">
        <v>1490</v>
      </c>
      <c r="AK756" s="339">
        <v>374</v>
      </c>
      <c r="AL756" s="340" t="s">
        <v>5875</v>
      </c>
      <c r="AM756" s="353">
        <f t="shared" si="294"/>
        <v>2.2119706647740715E-3</v>
      </c>
      <c r="AP756" s="23">
        <f t="shared" si="296"/>
        <v>0</v>
      </c>
      <c r="AQ756" s="392">
        <f t="shared" si="297"/>
        <v>0</v>
      </c>
      <c r="AR756" s="392">
        <f t="shared" si="298"/>
        <v>0</v>
      </c>
      <c r="AS756" s="392">
        <f t="shared" si="298"/>
        <v>0</v>
      </c>
    </row>
    <row r="757" spans="1:45">
      <c r="A757" s="12" t="s">
        <v>1537</v>
      </c>
      <c r="B757" s="54" t="str">
        <f t="shared" si="278"/>
        <v>AZ_Maric_2020g</v>
      </c>
      <c r="C757" s="12"/>
      <c r="D757" s="54" t="str">
        <f t="shared" si="279"/>
        <v>Gen-us rep dist cd-7 (vote for1)</v>
      </c>
      <c r="E757" s="54" t="s">
        <v>1803</v>
      </c>
      <c r="G757" s="59">
        <v>3</v>
      </c>
      <c r="H757"/>
      <c r="K757" s="2"/>
      <c r="O757">
        <f t="shared" si="280"/>
        <v>4</v>
      </c>
      <c r="P757" s="57">
        <f t="shared" si="281"/>
        <v>1</v>
      </c>
      <c r="Q757" s="267">
        <f t="shared" si="282"/>
        <v>3</v>
      </c>
      <c r="R757" s="23" t="str">
        <f t="shared" si="283"/>
        <v/>
      </c>
      <c r="S757" s="23">
        <f t="shared" si="284"/>
        <v>3</v>
      </c>
      <c r="T757" s="23" t="str">
        <f t="shared" si="285"/>
        <v/>
      </c>
      <c r="U757" t="str">
        <f t="shared" si="286"/>
        <v/>
      </c>
      <c r="W757" s="1">
        <f t="shared" si="287"/>
        <v>12</v>
      </c>
      <c r="X757" s="73">
        <f t="shared" si="276"/>
        <v>31.128783382789315</v>
      </c>
      <c r="Y757" s="322">
        <f t="shared" si="288"/>
        <v>233.49600000000001</v>
      </c>
      <c r="Z757" s="43">
        <f t="shared" si="277"/>
        <v>54.709599093794893</v>
      </c>
      <c r="AA757" s="52">
        <f t="shared" si="289"/>
        <v>0.54709599093794892</v>
      </c>
      <c r="AB757" s="8">
        <f t="shared" si="290"/>
        <v>151</v>
      </c>
      <c r="AC757" s="8">
        <f t="shared" si="291"/>
        <v>169080</v>
      </c>
      <c r="AD757" s="8">
        <f t="shared" si="295"/>
        <v>845.4</v>
      </c>
      <c r="AE757" s="8" t="str">
        <f t="shared" si="292"/>
        <v/>
      </c>
      <c r="AF757" s="22" t="str">
        <f t="shared" si="293"/>
        <v>CO_Weld__2020g</v>
      </c>
      <c r="AG757">
        <v>1</v>
      </c>
      <c r="AH757" s="272">
        <v>3384</v>
      </c>
      <c r="AI757" s="273">
        <v>2029</v>
      </c>
      <c r="AJ757" s="274">
        <v>1355</v>
      </c>
      <c r="AK757" s="339">
        <v>674</v>
      </c>
      <c r="AL757" s="340" t="s">
        <v>5876</v>
      </c>
      <c r="AM757" s="353">
        <f t="shared" si="294"/>
        <v>3.9862786846463216E-3</v>
      </c>
      <c r="AP757" s="23">
        <f t="shared" si="296"/>
        <v>0</v>
      </c>
      <c r="AQ757" s="392">
        <f t="shared" si="297"/>
        <v>0</v>
      </c>
      <c r="AR757" s="392">
        <f t="shared" si="298"/>
        <v>0</v>
      </c>
      <c r="AS757" s="392">
        <f t="shared" si="298"/>
        <v>0</v>
      </c>
    </row>
    <row r="758" spans="1:45">
      <c r="A758" s="12" t="s">
        <v>1538</v>
      </c>
      <c r="B758" s="54" t="str">
        <f t="shared" si="278"/>
        <v>AZ_Maric_2020g</v>
      </c>
      <c r="C758" s="12"/>
      <c r="D758" s="54" t="str">
        <f t="shared" si="279"/>
        <v>Gen-us rep dist cd-8 (vote for1)</v>
      </c>
      <c r="E758" s="54" t="s">
        <v>1805</v>
      </c>
      <c r="F758" s="12" t="s">
        <v>1296</v>
      </c>
      <c r="G758" s="59">
        <v>251633</v>
      </c>
      <c r="H758"/>
      <c r="K758" s="2"/>
      <c r="O758">
        <f t="shared" si="280"/>
        <v>1</v>
      </c>
      <c r="P758" s="57">
        <f t="shared" si="281"/>
        <v>1</v>
      </c>
      <c r="Q758" s="267">
        <f t="shared" si="282"/>
        <v>423401</v>
      </c>
      <c r="R758" s="23">
        <f t="shared" si="283"/>
        <v>251633</v>
      </c>
      <c r="S758" s="23">
        <f t="shared" si="284"/>
        <v>170816</v>
      </c>
      <c r="T758" s="23">
        <f t="shared" si="285"/>
        <v>80817</v>
      </c>
      <c r="U758" t="str">
        <f t="shared" si="286"/>
        <v>AZ_Maric_2020g~Gen-us rep dist cd-8 (vote for1)</v>
      </c>
      <c r="W758" s="1">
        <f t="shared" si="287"/>
        <v>13</v>
      </c>
      <c r="X758" s="73">
        <f t="shared" si="276"/>
        <v>74.995009596928995</v>
      </c>
      <c r="Y758" s="322">
        <f t="shared" si="288"/>
        <v>869.67600000000004</v>
      </c>
      <c r="Z758" s="43">
        <f t="shared" si="277"/>
        <v>39.346265406653835</v>
      </c>
      <c r="AA758" s="52">
        <f t="shared" si="289"/>
        <v>0.39346265406653835</v>
      </c>
      <c r="AB758" s="8">
        <f t="shared" si="290"/>
        <v>354</v>
      </c>
      <c r="AC758" s="8">
        <f t="shared" si="291"/>
        <v>395976</v>
      </c>
      <c r="AD758" s="8">
        <f t="shared" si="295"/>
        <v>1979.88</v>
      </c>
      <c r="AE758" s="8">
        <f t="shared" si="292"/>
        <v>40</v>
      </c>
      <c r="AF758" s="22" t="str">
        <f t="shared" si="293"/>
        <v>CO_Weld__2020g</v>
      </c>
      <c r="AG758">
        <v>1</v>
      </c>
      <c r="AH758" s="272">
        <v>12604</v>
      </c>
      <c r="AI758" s="273">
        <v>6823</v>
      </c>
      <c r="AJ758" s="274">
        <v>5781</v>
      </c>
      <c r="AK758" s="339">
        <v>1042</v>
      </c>
      <c r="AL758" s="340" t="s">
        <v>5898</v>
      </c>
      <c r="AM758" s="353">
        <f t="shared" si="294"/>
        <v>2.6314726145018892E-3</v>
      </c>
      <c r="AP758" s="23">
        <f t="shared" si="296"/>
        <v>0</v>
      </c>
      <c r="AQ758" s="392">
        <f t="shared" si="297"/>
        <v>0</v>
      </c>
      <c r="AR758" s="392">
        <f t="shared" si="298"/>
        <v>0</v>
      </c>
      <c r="AS758" s="392">
        <f t="shared" si="298"/>
        <v>0</v>
      </c>
    </row>
    <row r="759" spans="1:45">
      <c r="A759" s="12" t="s">
        <v>1538</v>
      </c>
      <c r="B759" s="54" t="str">
        <f t="shared" si="278"/>
        <v>AZ_Maric_2020g</v>
      </c>
      <c r="C759" s="12"/>
      <c r="D759" s="54" t="str">
        <f t="shared" si="279"/>
        <v>Gen-us rep dist cd-8 (vote for1)</v>
      </c>
      <c r="E759" s="54" t="s">
        <v>1806</v>
      </c>
      <c r="F759" s="12" t="s">
        <v>1294</v>
      </c>
      <c r="G759" s="59">
        <v>170816</v>
      </c>
      <c r="H759"/>
      <c r="K759" s="2"/>
      <c r="O759">
        <f t="shared" si="280"/>
        <v>2</v>
      </c>
      <c r="P759" s="57">
        <f t="shared" si="281"/>
        <v>1</v>
      </c>
      <c r="Q759" s="267">
        <f t="shared" si="282"/>
        <v>171768</v>
      </c>
      <c r="R759" s="23" t="str">
        <f t="shared" si="283"/>
        <v/>
      </c>
      <c r="S759" s="23">
        <f t="shared" si="284"/>
        <v>170816</v>
      </c>
      <c r="T759" s="23" t="str">
        <f t="shared" si="285"/>
        <v/>
      </c>
      <c r="U759" t="str">
        <f t="shared" si="286"/>
        <v/>
      </c>
      <c r="W759" s="1">
        <f t="shared" si="287"/>
        <v>14</v>
      </c>
      <c r="X759" s="73">
        <f t="shared" si="276"/>
        <v>15.214022140221402</v>
      </c>
      <c r="Y759" s="322">
        <f t="shared" si="288"/>
        <v>229.42500000000001</v>
      </c>
      <c r="Z759" s="43">
        <f t="shared" si="277"/>
        <v>29.671518311793861</v>
      </c>
      <c r="AA759" s="52">
        <f t="shared" si="289"/>
        <v>0.2967151831179386</v>
      </c>
      <c r="AB759" s="8">
        <f t="shared" si="290"/>
        <v>151</v>
      </c>
      <c r="AC759" s="8">
        <f t="shared" si="291"/>
        <v>169080</v>
      </c>
      <c r="AD759" s="8">
        <f t="shared" si="295"/>
        <v>845.4</v>
      </c>
      <c r="AE759" s="8" t="str">
        <f t="shared" si="292"/>
        <v/>
      </c>
      <c r="AF759" s="22" t="str">
        <f t="shared" si="293"/>
        <v>CO_Weld__2020g</v>
      </c>
      <c r="AG759">
        <v>1</v>
      </c>
      <c r="AH759" s="272">
        <v>3325</v>
      </c>
      <c r="AI759" s="273">
        <v>2340</v>
      </c>
      <c r="AJ759" s="274">
        <v>985</v>
      </c>
      <c r="AK759" s="339">
        <v>1355</v>
      </c>
      <c r="AL759" s="340" t="s">
        <v>5874</v>
      </c>
      <c r="AM759" s="353">
        <f t="shared" si="294"/>
        <v>8.013957889756328E-3</v>
      </c>
      <c r="AP759" s="23">
        <f t="shared" si="296"/>
        <v>0</v>
      </c>
      <c r="AQ759" s="392">
        <f t="shared" si="297"/>
        <v>0</v>
      </c>
      <c r="AR759" s="392">
        <f t="shared" si="298"/>
        <v>0</v>
      </c>
      <c r="AS759" s="392">
        <f t="shared" si="298"/>
        <v>0</v>
      </c>
    </row>
    <row r="760" spans="1:45">
      <c r="A760" s="12" t="s">
        <v>1538</v>
      </c>
      <c r="B760" s="54" t="str">
        <f t="shared" si="278"/>
        <v>AZ_Maric_2020g</v>
      </c>
      <c r="C760" s="12"/>
      <c r="D760" s="54" t="str">
        <f t="shared" si="279"/>
        <v>Gen-us rep dist cd-8 (vote for1)</v>
      </c>
      <c r="E760" s="54" t="s">
        <v>1299</v>
      </c>
      <c r="G760" s="59">
        <v>476</v>
      </c>
      <c r="H760"/>
      <c r="K760" s="2"/>
      <c r="O760">
        <f t="shared" si="280"/>
        <v>-2</v>
      </c>
      <c r="P760" s="57">
        <f t="shared" si="281"/>
        <v>1</v>
      </c>
      <c r="Q760" s="267">
        <f t="shared" si="282"/>
        <v>952</v>
      </c>
      <c r="R760" s="23" t="str">
        <f t="shared" si="283"/>
        <v/>
      </c>
      <c r="S760" s="23">
        <f t="shared" si="284"/>
        <v>18</v>
      </c>
      <c r="T760" s="23" t="str">
        <f t="shared" si="285"/>
        <v/>
      </c>
      <c r="U760" t="str">
        <f t="shared" si="286"/>
        <v/>
      </c>
      <c r="W760" s="1">
        <f t="shared" si="287"/>
        <v>15</v>
      </c>
      <c r="X760" s="73">
        <f t="shared" si="276"/>
        <v>56.956851311953358</v>
      </c>
      <c r="Y760" s="322">
        <f t="shared" si="288"/>
        <v>869.67600000000004</v>
      </c>
      <c r="Z760" s="43">
        <f t="shared" si="277"/>
        <v>29.26760150833698</v>
      </c>
      <c r="AA760" s="52">
        <f t="shared" si="289"/>
        <v>0.29267601508336982</v>
      </c>
      <c r="AB760" s="8">
        <f t="shared" si="290"/>
        <v>354</v>
      </c>
      <c r="AC760" s="8">
        <f t="shared" si="291"/>
        <v>395976</v>
      </c>
      <c r="AD760" s="8">
        <f t="shared" si="295"/>
        <v>1979.88</v>
      </c>
      <c r="AE760" s="8">
        <f t="shared" si="292"/>
        <v>40</v>
      </c>
      <c r="AF760" s="22" t="str">
        <f t="shared" si="293"/>
        <v>CO_Weld__2020g</v>
      </c>
      <c r="AG760">
        <v>1</v>
      </c>
      <c r="AH760" s="272">
        <v>12604</v>
      </c>
      <c r="AI760" s="273">
        <v>6988</v>
      </c>
      <c r="AJ760" s="274">
        <v>5616</v>
      </c>
      <c r="AK760" s="339">
        <v>1372</v>
      </c>
      <c r="AL760" s="340" t="s">
        <v>5899</v>
      </c>
      <c r="AM760" s="353">
        <f t="shared" si="294"/>
        <v>3.4648564559468251E-3</v>
      </c>
      <c r="AP760" s="23">
        <f t="shared" si="296"/>
        <v>0</v>
      </c>
      <c r="AQ760" s="392">
        <f t="shared" si="297"/>
        <v>0</v>
      </c>
      <c r="AR760" s="392">
        <f t="shared" si="298"/>
        <v>0</v>
      </c>
      <c r="AS760" s="392">
        <f t="shared" si="298"/>
        <v>0</v>
      </c>
    </row>
    <row r="761" spans="1:45">
      <c r="A761" s="12" t="s">
        <v>1538</v>
      </c>
      <c r="B761" s="54" t="str">
        <f t="shared" si="278"/>
        <v>AZ_Maric_2020g</v>
      </c>
      <c r="C761" s="12"/>
      <c r="D761" s="54" t="str">
        <f t="shared" si="279"/>
        <v>Gen-us rep dist cd-8 (vote for1)</v>
      </c>
      <c r="E761" s="54" t="s">
        <v>1765</v>
      </c>
      <c r="G761" s="59">
        <v>458</v>
      </c>
      <c r="H761"/>
      <c r="K761" s="2"/>
      <c r="O761">
        <f t="shared" si="280"/>
        <v>-2</v>
      </c>
      <c r="P761" s="57">
        <f t="shared" si="281"/>
        <v>1</v>
      </c>
      <c r="Q761" s="267">
        <f t="shared" si="282"/>
        <v>476</v>
      </c>
      <c r="R761" s="23" t="str">
        <f t="shared" si="283"/>
        <v/>
      </c>
      <c r="S761" s="23">
        <f t="shared" si="284"/>
        <v>18</v>
      </c>
      <c r="T761" s="23" t="str">
        <f t="shared" si="285"/>
        <v/>
      </c>
      <c r="U761" t="str">
        <f t="shared" si="286"/>
        <v/>
      </c>
      <c r="W761" s="1">
        <f t="shared" si="287"/>
        <v>16</v>
      </c>
      <c r="X761" s="73">
        <f t="shared" si="276"/>
        <v>21.704434907010015</v>
      </c>
      <c r="Y761" s="322">
        <f t="shared" si="288"/>
        <v>337.68600000000004</v>
      </c>
      <c r="Z761" s="43">
        <f t="shared" si="277"/>
        <v>28.544676758153265</v>
      </c>
      <c r="AA761" s="52">
        <f t="shared" si="289"/>
        <v>0.28544676758153265</v>
      </c>
      <c r="AB761" s="8">
        <f t="shared" si="290"/>
        <v>151</v>
      </c>
      <c r="AC761" s="8">
        <f t="shared" si="291"/>
        <v>169080</v>
      </c>
      <c r="AD761" s="8">
        <f t="shared" si="295"/>
        <v>845.4</v>
      </c>
      <c r="AE761" s="8" t="str">
        <f t="shared" si="292"/>
        <v/>
      </c>
      <c r="AF761" s="22" t="str">
        <f t="shared" si="293"/>
        <v>CO_Weld__2020g</v>
      </c>
      <c r="AG761">
        <v>1</v>
      </c>
      <c r="AH761" s="272">
        <v>4894</v>
      </c>
      <c r="AI761" s="273">
        <v>3146</v>
      </c>
      <c r="AJ761" s="274">
        <v>1748</v>
      </c>
      <c r="AK761" s="339">
        <v>1398</v>
      </c>
      <c r="AL761" s="340" t="s">
        <v>5905</v>
      </c>
      <c r="AM761" s="353">
        <f t="shared" si="294"/>
        <v>8.2682753726046835E-3</v>
      </c>
      <c r="AP761" s="23">
        <f t="shared" si="296"/>
        <v>0</v>
      </c>
      <c r="AQ761" s="392">
        <f t="shared" si="297"/>
        <v>0</v>
      </c>
      <c r="AR761" s="392">
        <f t="shared" si="298"/>
        <v>0</v>
      </c>
      <c r="AS761" s="392">
        <f t="shared" si="298"/>
        <v>0</v>
      </c>
    </row>
    <row r="762" spans="1:45">
      <c r="A762" s="12" t="s">
        <v>1538</v>
      </c>
      <c r="B762" s="54" t="str">
        <f t="shared" si="278"/>
        <v>AZ_Maric_2020g</v>
      </c>
      <c r="C762" s="12"/>
      <c r="D762" s="54" t="str">
        <f t="shared" si="279"/>
        <v>Gen-us rep dist cd-8 (vote for1)</v>
      </c>
      <c r="E762" s="54" t="s">
        <v>1807</v>
      </c>
      <c r="G762" s="59">
        <v>18</v>
      </c>
      <c r="H762"/>
      <c r="K762" s="2"/>
      <c r="O762">
        <f t="shared" si="280"/>
        <v>3</v>
      </c>
      <c r="P762" s="57">
        <f t="shared" si="281"/>
        <v>1</v>
      </c>
      <c r="Q762" s="267">
        <f t="shared" si="282"/>
        <v>18</v>
      </c>
      <c r="R762" s="23" t="str">
        <f t="shared" si="283"/>
        <v/>
      </c>
      <c r="S762" s="23">
        <f t="shared" si="284"/>
        <v>18</v>
      </c>
      <c r="T762" s="23" t="str">
        <f t="shared" si="285"/>
        <v/>
      </c>
      <c r="U762" t="str">
        <f t="shared" si="286"/>
        <v/>
      </c>
      <c r="W762" s="1">
        <f t="shared" si="287"/>
        <v>17</v>
      </c>
      <c r="X762" s="73">
        <f t="shared" si="276"/>
        <v>70.978595317725748</v>
      </c>
      <c r="Y762" s="322">
        <f t="shared" si="288"/>
        <v>1180.9350000000002</v>
      </c>
      <c r="Z762" s="43">
        <f t="shared" si="277"/>
        <v>26.156437238978803</v>
      </c>
      <c r="AA762" s="52">
        <f t="shared" si="289"/>
        <v>0.26156437238978802</v>
      </c>
      <c r="AB762" s="8">
        <f t="shared" si="290"/>
        <v>151</v>
      </c>
      <c r="AC762" s="8">
        <f t="shared" si="291"/>
        <v>169080</v>
      </c>
      <c r="AD762" s="8">
        <f t="shared" si="295"/>
        <v>845.4</v>
      </c>
      <c r="AE762" s="8" t="str">
        <f t="shared" si="292"/>
        <v/>
      </c>
      <c r="AF762" s="22" t="str">
        <f t="shared" si="293"/>
        <v>CO_Weld__2020g</v>
      </c>
      <c r="AG762">
        <v>1</v>
      </c>
      <c r="AH762" s="272">
        <v>17115</v>
      </c>
      <c r="AI762" s="273">
        <v>9305</v>
      </c>
      <c r="AJ762" s="274">
        <v>7810</v>
      </c>
      <c r="AK762" s="339">
        <v>1495</v>
      </c>
      <c r="AL762" s="340" t="s">
        <v>5881</v>
      </c>
      <c r="AM762" s="353">
        <f t="shared" si="294"/>
        <v>8.8419682990300442E-3</v>
      </c>
      <c r="AP762" s="23">
        <f t="shared" si="296"/>
        <v>0</v>
      </c>
      <c r="AQ762" s="392">
        <f t="shared" si="297"/>
        <v>0</v>
      </c>
      <c r="AR762" s="392">
        <f t="shared" si="298"/>
        <v>0</v>
      </c>
      <c r="AS762" s="392">
        <f t="shared" si="298"/>
        <v>0</v>
      </c>
    </row>
    <row r="763" spans="1:45">
      <c r="A763" s="12" t="s">
        <v>1539</v>
      </c>
      <c r="B763" s="54" t="str">
        <f t="shared" si="278"/>
        <v>AZ_Maric_2020g</v>
      </c>
      <c r="C763" s="12"/>
      <c r="D763" s="54" t="str">
        <f t="shared" si="279"/>
        <v>Gen-us rep dist cd-9 (vote for1)</v>
      </c>
      <c r="E763" s="54" t="s">
        <v>1809</v>
      </c>
      <c r="F763" s="12" t="s">
        <v>1294</v>
      </c>
      <c r="G763" s="59">
        <v>217094</v>
      </c>
      <c r="H763"/>
      <c r="K763" s="2"/>
      <c r="O763">
        <f t="shared" si="280"/>
        <v>1</v>
      </c>
      <c r="P763" s="57">
        <f t="shared" si="281"/>
        <v>1</v>
      </c>
      <c r="Q763" s="267">
        <f t="shared" si="282"/>
        <v>352779</v>
      </c>
      <c r="R763" s="23">
        <f t="shared" si="283"/>
        <v>217094</v>
      </c>
      <c r="S763" s="23">
        <f t="shared" si="284"/>
        <v>135180</v>
      </c>
      <c r="T763" s="23">
        <f t="shared" si="285"/>
        <v>81914</v>
      </c>
      <c r="U763" t="str">
        <f t="shared" si="286"/>
        <v>AZ_Maric_2020g~Gen-us rep dist cd-9 (vote for1)</v>
      </c>
      <c r="W763" s="1">
        <f t="shared" si="287"/>
        <v>18</v>
      </c>
      <c r="X763" s="73">
        <f t="shared" si="276"/>
        <v>48.98033495407887</v>
      </c>
      <c r="Y763" s="322">
        <f t="shared" si="288"/>
        <v>1008.9870000000001</v>
      </c>
      <c r="Z763" s="43">
        <f t="shared" si="277"/>
        <v>19.03935821900583</v>
      </c>
      <c r="AA763" s="52">
        <f t="shared" si="289"/>
        <v>0.19039358219005831</v>
      </c>
      <c r="AB763" s="8">
        <f t="shared" si="290"/>
        <v>354</v>
      </c>
      <c r="AC763" s="8">
        <f t="shared" si="291"/>
        <v>395976</v>
      </c>
      <c r="AD763" s="8">
        <f t="shared" si="295"/>
        <v>1979.88</v>
      </c>
      <c r="AE763" s="8">
        <f t="shared" si="292"/>
        <v>40</v>
      </c>
      <c r="AF763" s="22" t="str">
        <f t="shared" si="293"/>
        <v>CO_Weld__2020g</v>
      </c>
      <c r="AG763">
        <v>1</v>
      </c>
      <c r="AH763" s="272">
        <v>14623</v>
      </c>
      <c r="AI763" s="273">
        <v>8237</v>
      </c>
      <c r="AJ763" s="274">
        <v>6386</v>
      </c>
      <c r="AK763" s="339">
        <v>1851</v>
      </c>
      <c r="AL763" s="340" t="s">
        <v>5897</v>
      </c>
      <c r="AM763" s="353">
        <f t="shared" si="294"/>
        <v>4.6745257288320508E-3</v>
      </c>
      <c r="AP763" s="23">
        <f t="shared" si="296"/>
        <v>0</v>
      </c>
      <c r="AQ763" s="392">
        <f t="shared" si="297"/>
        <v>0</v>
      </c>
      <c r="AR763" s="392">
        <f t="shared" si="298"/>
        <v>0</v>
      </c>
      <c r="AS763" s="392">
        <f t="shared" si="298"/>
        <v>0</v>
      </c>
    </row>
    <row r="764" spans="1:45">
      <c r="A764" s="12" t="s">
        <v>1539</v>
      </c>
      <c r="B764" s="54" t="str">
        <f t="shared" si="278"/>
        <v>AZ_Maric_2020g</v>
      </c>
      <c r="C764" s="12"/>
      <c r="D764" s="54" t="str">
        <f t="shared" si="279"/>
        <v>Gen-us rep dist cd-9 (vote for1)</v>
      </c>
      <c r="E764" s="54" t="s">
        <v>1808</v>
      </c>
      <c r="F764" s="12" t="s">
        <v>1296</v>
      </c>
      <c r="G764" s="59">
        <v>135180</v>
      </c>
      <c r="H764"/>
      <c r="K764" s="2"/>
      <c r="O764">
        <f t="shared" si="280"/>
        <v>2</v>
      </c>
      <c r="P764" s="57">
        <f t="shared" si="281"/>
        <v>1</v>
      </c>
      <c r="Q764" s="267">
        <f t="shared" si="282"/>
        <v>135685</v>
      </c>
      <c r="R764" s="23" t="str">
        <f t="shared" si="283"/>
        <v/>
      </c>
      <c r="S764" s="23">
        <f t="shared" si="284"/>
        <v>135180</v>
      </c>
      <c r="T764" s="23" t="str">
        <f t="shared" si="285"/>
        <v/>
      </c>
      <c r="U764" t="str">
        <f t="shared" si="286"/>
        <v/>
      </c>
      <c r="W764" s="1">
        <f t="shared" si="287"/>
        <v>19</v>
      </c>
      <c r="X764" s="73">
        <f t="shared" si="276"/>
        <v>112.7923076923077</v>
      </c>
      <c r="Y764" s="322">
        <f t="shared" si="288"/>
        <v>2610.96</v>
      </c>
      <c r="Z764" s="43">
        <f t="shared" si="277"/>
        <v>15.426202589744001</v>
      </c>
      <c r="AA764" s="52">
        <f t="shared" si="289"/>
        <v>0.15426202589744001</v>
      </c>
      <c r="AB764" s="8">
        <f t="shared" si="290"/>
        <v>151</v>
      </c>
      <c r="AC764" s="8">
        <f t="shared" si="291"/>
        <v>169080</v>
      </c>
      <c r="AD764" s="8">
        <f t="shared" si="295"/>
        <v>845.4</v>
      </c>
      <c r="AE764" s="8" t="str">
        <f t="shared" si="292"/>
        <v/>
      </c>
      <c r="AF764" s="22" t="str">
        <f t="shared" si="293"/>
        <v>CO_Weld__2020g</v>
      </c>
      <c r="AG764" s="89">
        <v>1</v>
      </c>
      <c r="AH764" s="274">
        <v>37840</v>
      </c>
      <c r="AI764" s="279">
        <v>19960</v>
      </c>
      <c r="AJ764" s="280">
        <v>17880</v>
      </c>
      <c r="AK764" s="92">
        <v>2080</v>
      </c>
      <c r="AL764" s="23" t="s">
        <v>5904</v>
      </c>
      <c r="AM764" s="353">
        <f t="shared" si="294"/>
        <v>1.2301868937780932E-2</v>
      </c>
      <c r="AP764" s="23">
        <f t="shared" si="296"/>
        <v>2</v>
      </c>
      <c r="AQ764" s="392">
        <f t="shared" si="297"/>
        <v>2.1200818867607052E-2</v>
      </c>
      <c r="AR764" s="392">
        <f t="shared" si="298"/>
        <v>9.9242827897585206E-2</v>
      </c>
      <c r="AS764" s="392">
        <f t="shared" si="298"/>
        <v>0.3620825037157519</v>
      </c>
    </row>
    <row r="765" spans="1:45">
      <c r="A765" s="12" t="s">
        <v>1539</v>
      </c>
      <c r="B765" s="54" t="str">
        <f t="shared" si="278"/>
        <v>AZ_Maric_2020g</v>
      </c>
      <c r="C765" s="12"/>
      <c r="D765" s="54" t="str">
        <f t="shared" si="279"/>
        <v>Gen-us rep dist cd-9 (vote for1)</v>
      </c>
      <c r="E765" s="54" t="s">
        <v>1299</v>
      </c>
      <c r="G765" s="59">
        <v>505</v>
      </c>
      <c r="H765"/>
      <c r="K765" s="2"/>
      <c r="O765">
        <f t="shared" si="280"/>
        <v>-2</v>
      </c>
      <c r="P765" s="57">
        <f t="shared" si="281"/>
        <v>1</v>
      </c>
      <c r="Q765" s="267">
        <f t="shared" si="282"/>
        <v>505</v>
      </c>
      <c r="R765" s="23">
        <f t="shared" si="283"/>
        <v>1</v>
      </c>
      <c r="S765" s="23">
        <f t="shared" si="284"/>
        <v>0</v>
      </c>
      <c r="T765" s="23" t="str">
        <f t="shared" si="285"/>
        <v/>
      </c>
      <c r="U765" t="str">
        <f t="shared" si="286"/>
        <v/>
      </c>
      <c r="W765" s="1">
        <f t="shared" si="287"/>
        <v>20</v>
      </c>
      <c r="X765" s="73">
        <f t="shared" si="276"/>
        <v>10.590995670995671</v>
      </c>
      <c r="Y765" s="322">
        <f t="shared" si="288"/>
        <v>272.274</v>
      </c>
      <c r="Z765" s="43">
        <f t="shared" si="277"/>
        <v>12.527924568003229</v>
      </c>
      <c r="AA765" s="52">
        <f t="shared" si="289"/>
        <v>0.12527924568003229</v>
      </c>
      <c r="AB765" s="8">
        <f t="shared" si="290"/>
        <v>151</v>
      </c>
      <c r="AC765" s="8">
        <f t="shared" si="291"/>
        <v>169080</v>
      </c>
      <c r="AD765" s="8">
        <f t="shared" si="295"/>
        <v>845.4</v>
      </c>
      <c r="AE765" s="8" t="str">
        <f t="shared" si="292"/>
        <v/>
      </c>
      <c r="AF765" s="22" t="str">
        <f t="shared" si="293"/>
        <v>CO_Weld__2020g</v>
      </c>
      <c r="AG765">
        <v>1</v>
      </c>
      <c r="AH765" s="272">
        <v>3946</v>
      </c>
      <c r="AI765" s="273">
        <v>3128</v>
      </c>
      <c r="AJ765" s="274">
        <v>818</v>
      </c>
      <c r="AK765" s="339">
        <v>2310</v>
      </c>
      <c r="AL765" s="340" t="s">
        <v>5894</v>
      </c>
      <c r="AM765" s="353">
        <f t="shared" si="294"/>
        <v>1.3662171753016324E-2</v>
      </c>
      <c r="AP765" s="23">
        <f t="shared" si="296"/>
        <v>3</v>
      </c>
      <c r="AQ765" s="392">
        <f t="shared" si="297"/>
        <v>3.1650632189305417E-2</v>
      </c>
      <c r="AR765" s="392">
        <f t="shared" si="298"/>
        <v>0.14518892327172994</v>
      </c>
      <c r="AS765" s="392">
        <f t="shared" si="298"/>
        <v>0.49072541518469881</v>
      </c>
    </row>
    <row r="766" spans="1:45">
      <c r="A766" s="12" t="s">
        <v>1531</v>
      </c>
      <c r="B766" s="54" t="str">
        <f t="shared" si="278"/>
        <v>AZ_Maric_2020g</v>
      </c>
      <c r="C766" s="12"/>
      <c r="D766" s="54" t="str">
        <f t="shared" si="279"/>
        <v>Gen-us senate-term expires  january 3, 2023 (vote for1)</v>
      </c>
      <c r="E766" s="54" t="s">
        <v>1767</v>
      </c>
      <c r="F766" s="12" t="s">
        <v>1294</v>
      </c>
      <c r="G766" s="59">
        <v>1064396</v>
      </c>
      <c r="H766"/>
      <c r="K766" s="2"/>
      <c r="O766">
        <f t="shared" si="280"/>
        <v>1</v>
      </c>
      <c r="P766" s="57">
        <f t="shared" si="281"/>
        <v>1</v>
      </c>
      <c r="Q766" s="267">
        <f t="shared" si="282"/>
        <v>2057845</v>
      </c>
      <c r="R766" s="23">
        <f t="shared" si="283"/>
        <v>1064396</v>
      </c>
      <c r="S766" s="23">
        <f t="shared" si="284"/>
        <v>984203</v>
      </c>
      <c r="T766" s="23">
        <f t="shared" si="285"/>
        <v>80193</v>
      </c>
      <c r="U766" t="str">
        <f t="shared" si="286"/>
        <v>AZ_Maric_2020g~Gen-us senate-term expires  january 3, 2023 (vote for1)</v>
      </c>
      <c r="W766" s="1">
        <f t="shared" si="287"/>
        <v>21</v>
      </c>
      <c r="X766" s="73">
        <f t="shared" si="276"/>
        <v>11.238795986622074</v>
      </c>
      <c r="Y766" s="322">
        <f t="shared" si="288"/>
        <v>299.18400000000003</v>
      </c>
      <c r="Z766" s="43">
        <f t="shared" si="277"/>
        <v>11.631255234908549</v>
      </c>
      <c r="AA766" s="52">
        <f t="shared" si="289"/>
        <v>0.1163125523490855</v>
      </c>
      <c r="AB766" s="8">
        <f t="shared" si="290"/>
        <v>151</v>
      </c>
      <c r="AC766" s="8">
        <f t="shared" si="291"/>
        <v>169080</v>
      </c>
      <c r="AD766" s="8">
        <f t="shared" si="295"/>
        <v>845.4</v>
      </c>
      <c r="AE766" s="8" t="str">
        <f t="shared" si="292"/>
        <v/>
      </c>
      <c r="AF766" s="22" t="str">
        <f t="shared" si="293"/>
        <v>CO_Weld__2020g</v>
      </c>
      <c r="AG766">
        <v>1</v>
      </c>
      <c r="AH766" s="272">
        <v>4336</v>
      </c>
      <c r="AI766" s="273">
        <v>3364</v>
      </c>
      <c r="AJ766" s="274">
        <v>972</v>
      </c>
      <c r="AK766" s="339">
        <v>2392</v>
      </c>
      <c r="AL766" s="340" t="s">
        <v>5895</v>
      </c>
      <c r="AM766" s="353">
        <f t="shared" si="294"/>
        <v>1.4147149278448071E-2</v>
      </c>
      <c r="AP766" s="23">
        <f t="shared" si="296"/>
        <v>3</v>
      </c>
      <c r="AQ766" s="392">
        <f t="shared" si="297"/>
        <v>3.1650632189305417E-2</v>
      </c>
      <c r="AR766" s="392">
        <f t="shared" si="298"/>
        <v>0.14518892327172994</v>
      </c>
      <c r="AS766" s="392">
        <f t="shared" si="298"/>
        <v>0.49072541518469881</v>
      </c>
    </row>
    <row r="767" spans="1:45">
      <c r="A767" s="12" t="s">
        <v>1531</v>
      </c>
      <c r="B767" s="54" t="str">
        <f t="shared" si="278"/>
        <v>AZ_Maric_2020g</v>
      </c>
      <c r="C767" s="12"/>
      <c r="D767" s="54" t="str">
        <f t="shared" si="279"/>
        <v>Gen-us senate-term expires  january 3, 2023 (vote for1)</v>
      </c>
      <c r="E767" s="54" t="s">
        <v>1766</v>
      </c>
      <c r="F767" s="12" t="s">
        <v>1296</v>
      </c>
      <c r="G767" s="59">
        <v>984203</v>
      </c>
      <c r="H767"/>
      <c r="K767" s="2"/>
      <c r="O767">
        <f t="shared" si="280"/>
        <v>2</v>
      </c>
      <c r="P767" s="57">
        <f t="shared" si="281"/>
        <v>1</v>
      </c>
      <c r="Q767" s="267">
        <f t="shared" si="282"/>
        <v>993449</v>
      </c>
      <c r="R767" s="23" t="str">
        <f t="shared" si="283"/>
        <v/>
      </c>
      <c r="S767" s="23">
        <f t="shared" si="284"/>
        <v>984203</v>
      </c>
      <c r="T767" s="23" t="str">
        <f t="shared" si="285"/>
        <v/>
      </c>
      <c r="U767" t="str">
        <f t="shared" si="286"/>
        <v/>
      </c>
      <c r="W767" s="1">
        <f t="shared" si="287"/>
        <v>22</v>
      </c>
      <c r="X767" s="73">
        <f t="shared" ref="X767:X779" si="299">IF(AK767=0,AH767,MIN(AH767,6.2/(AK767/AH767)))</f>
        <v>16.741029900332226</v>
      </c>
      <c r="Y767" s="322">
        <f t="shared" si="288"/>
        <v>448.63800000000003</v>
      </c>
      <c r="Z767" s="43">
        <f t="shared" ref="Z767:Z779" si="300">AA767*100</f>
        <v>11.463878029779558</v>
      </c>
      <c r="AA767" s="52">
        <f t="shared" si="289"/>
        <v>0.11463878029779558</v>
      </c>
      <c r="AB767" s="8">
        <f t="shared" si="290"/>
        <v>151</v>
      </c>
      <c r="AC767" s="8">
        <f t="shared" si="291"/>
        <v>169080</v>
      </c>
      <c r="AD767" s="8">
        <f t="shared" si="295"/>
        <v>845.4</v>
      </c>
      <c r="AE767" s="8" t="str">
        <f t="shared" si="292"/>
        <v/>
      </c>
      <c r="AF767" s="22" t="str">
        <f t="shared" si="293"/>
        <v>CO_Weld__2020g</v>
      </c>
      <c r="AG767">
        <v>1</v>
      </c>
      <c r="AH767" s="272">
        <v>6502</v>
      </c>
      <c r="AI767" s="273">
        <v>4455</v>
      </c>
      <c r="AJ767" s="274">
        <v>2047</v>
      </c>
      <c r="AK767" s="339">
        <v>2408</v>
      </c>
      <c r="AL767" s="340" t="s">
        <v>5906</v>
      </c>
      <c r="AM767" s="353">
        <f t="shared" si="294"/>
        <v>1.4241779039507926E-2</v>
      </c>
      <c r="AP767" s="23">
        <f t="shared" si="296"/>
        <v>4</v>
      </c>
      <c r="AQ767" s="392">
        <f t="shared" si="297"/>
        <v>4.2001159873742422E-2</v>
      </c>
      <c r="AR767" s="392">
        <f t="shared" si="298"/>
        <v>0.18884317065809053</v>
      </c>
      <c r="AS767" s="392">
        <f t="shared" si="298"/>
        <v>0.59354807482674299</v>
      </c>
    </row>
    <row r="768" spans="1:45">
      <c r="A768" s="12" t="s">
        <v>1531</v>
      </c>
      <c r="B768" s="54" t="str">
        <f t="shared" si="278"/>
        <v>AZ_Maric_2020g</v>
      </c>
      <c r="C768" s="12"/>
      <c r="D768" s="54" t="str">
        <f t="shared" si="279"/>
        <v>Gen-us senate-term expires  january 3, 2023 (vote for1)</v>
      </c>
      <c r="E768" s="54" t="s">
        <v>1299</v>
      </c>
      <c r="G768" s="59">
        <v>4623</v>
      </c>
      <c r="H768"/>
      <c r="K768" s="2"/>
      <c r="O768">
        <f t="shared" si="280"/>
        <v>-2</v>
      </c>
      <c r="P768" s="57">
        <f t="shared" si="281"/>
        <v>1</v>
      </c>
      <c r="Q768" s="267">
        <f t="shared" si="282"/>
        <v>9246</v>
      </c>
      <c r="R768" s="23" t="str">
        <f t="shared" si="283"/>
        <v/>
      </c>
      <c r="S768" s="23">
        <f t="shared" si="284"/>
        <v>229</v>
      </c>
      <c r="T768" s="23" t="str">
        <f t="shared" si="285"/>
        <v/>
      </c>
      <c r="U768" t="str">
        <f t="shared" si="286"/>
        <v/>
      </c>
      <c r="W768" s="1">
        <f t="shared" si="287"/>
        <v>23</v>
      </c>
      <c r="X768" s="73">
        <f t="shared" si="299"/>
        <v>17.231286549707605</v>
      </c>
      <c r="Y768" s="322">
        <f t="shared" si="288"/>
        <v>524.67600000000004</v>
      </c>
      <c r="Z768" s="43">
        <f t="shared" si="300"/>
        <v>3.4500512344637539</v>
      </c>
      <c r="AA768" s="52">
        <f t="shared" si="289"/>
        <v>3.4500512344637538E-2</v>
      </c>
      <c r="AB768" s="8">
        <f t="shared" si="290"/>
        <v>501</v>
      </c>
      <c r="AC768" s="8">
        <f t="shared" si="291"/>
        <v>408505</v>
      </c>
      <c r="AD768" s="8">
        <f t="shared" si="295"/>
        <v>2042.5250000000001</v>
      </c>
      <c r="AE768" s="8">
        <f t="shared" si="292"/>
        <v>5</v>
      </c>
      <c r="AF768" s="22" t="str">
        <f t="shared" si="293"/>
        <v>CO_Weld__2020g</v>
      </c>
      <c r="AG768">
        <v>1</v>
      </c>
      <c r="AH768" s="272">
        <v>7604</v>
      </c>
      <c r="AI768" s="273">
        <v>5170</v>
      </c>
      <c r="AJ768" s="274">
        <v>2434</v>
      </c>
      <c r="AK768" s="339">
        <v>2736</v>
      </c>
      <c r="AL768" s="340" t="s">
        <v>5896</v>
      </c>
      <c r="AM768" s="353">
        <f t="shared" si="294"/>
        <v>6.6975924407289998E-3</v>
      </c>
      <c r="AP768" s="23">
        <f t="shared" si="296"/>
        <v>0</v>
      </c>
      <c r="AQ768" s="392">
        <f t="shared" si="297"/>
        <v>0</v>
      </c>
      <c r="AR768" s="392">
        <f t="shared" si="298"/>
        <v>0</v>
      </c>
      <c r="AS768" s="392">
        <f t="shared" si="298"/>
        <v>0</v>
      </c>
    </row>
    <row r="769" spans="1:47">
      <c r="A769" s="12" t="s">
        <v>1531</v>
      </c>
      <c r="B769" s="54" t="str">
        <f t="shared" si="278"/>
        <v>AZ_Maric_2020g</v>
      </c>
      <c r="C769" s="12"/>
      <c r="D769" s="54" t="str">
        <f t="shared" si="279"/>
        <v>Gen-us senate-term expires  january 3, 2023 (vote for1)</v>
      </c>
      <c r="E769" s="54" t="s">
        <v>1765</v>
      </c>
      <c r="G769" s="59">
        <v>3925</v>
      </c>
      <c r="H769"/>
      <c r="K769" s="2"/>
      <c r="O769">
        <f t="shared" si="280"/>
        <v>-2</v>
      </c>
      <c r="P769" s="57">
        <f t="shared" si="281"/>
        <v>1</v>
      </c>
      <c r="Q769" s="267">
        <f t="shared" si="282"/>
        <v>4623</v>
      </c>
      <c r="R769" s="23" t="str">
        <f t="shared" si="283"/>
        <v/>
      </c>
      <c r="S769" s="23">
        <f t="shared" si="284"/>
        <v>229</v>
      </c>
      <c r="T769" s="23" t="str">
        <f t="shared" si="285"/>
        <v/>
      </c>
      <c r="U769" t="str">
        <f t="shared" si="286"/>
        <v/>
      </c>
      <c r="W769" s="1">
        <f t="shared" si="287"/>
        <v>24</v>
      </c>
      <c r="X769" s="73">
        <f t="shared" si="299"/>
        <v>25.529297971918879</v>
      </c>
      <c r="Y769" s="322">
        <f t="shared" si="288"/>
        <v>1821.1860000000001</v>
      </c>
      <c r="Z769" s="43">
        <f t="shared" si="300"/>
        <v>0.29207834176973591</v>
      </c>
      <c r="AA769" s="52">
        <f t="shared" si="289"/>
        <v>2.9207834176973591E-3</v>
      </c>
      <c r="AB769" s="8">
        <f t="shared" si="290"/>
        <v>151</v>
      </c>
      <c r="AC769" s="8">
        <f t="shared" si="291"/>
        <v>169080</v>
      </c>
      <c r="AD769" s="8">
        <f t="shared" si="295"/>
        <v>845.4</v>
      </c>
      <c r="AE769" s="8" t="str">
        <f t="shared" si="292"/>
        <v/>
      </c>
      <c r="AF769" s="22" t="str">
        <f t="shared" si="293"/>
        <v>CO_Weld__2020g</v>
      </c>
      <c r="AG769">
        <v>1</v>
      </c>
      <c r="AH769" s="272">
        <v>26394</v>
      </c>
      <c r="AI769" s="273">
        <v>16402</v>
      </c>
      <c r="AJ769" s="274">
        <v>9992</v>
      </c>
      <c r="AK769" s="339">
        <v>6410</v>
      </c>
      <c r="AL769" s="340" t="s">
        <v>5886</v>
      </c>
      <c r="AM769" s="353">
        <f t="shared" si="294"/>
        <v>3.7911048024603738E-2</v>
      </c>
      <c r="AP769" s="23">
        <f t="shared" si="296"/>
        <v>20</v>
      </c>
      <c r="AQ769" s="392">
        <f t="shared" si="297"/>
        <v>0.19476333134420687</v>
      </c>
      <c r="AR769" s="392">
        <f t="shared" si="298"/>
        <v>0.65243721072318484</v>
      </c>
      <c r="AS769" s="392">
        <f t="shared" si="298"/>
        <v>0.98943394383507222</v>
      </c>
    </row>
    <row r="770" spans="1:47">
      <c r="A770" s="12" t="s">
        <v>1531</v>
      </c>
      <c r="B770" s="54" t="str">
        <f t="shared" ref="B770:B805" si="301">LEFT(A770,14)</f>
        <v>AZ_Maric_2020g</v>
      </c>
      <c r="C770" s="12"/>
      <c r="D770" s="54" t="str">
        <f t="shared" ref="D770:D805" si="302">MID(A770,16,99)</f>
        <v>Gen-us senate-term expires  january 3, 2023 (vote for1)</v>
      </c>
      <c r="E770" s="54" t="s">
        <v>1773</v>
      </c>
      <c r="G770" s="59">
        <v>229</v>
      </c>
      <c r="H770"/>
      <c r="K770" s="2"/>
      <c r="O770">
        <f t="shared" ref="O770:O833" si="303">IF(OR(LOWER(LEFT(E770,8))="write-in",LOWER(LEFT(E770,8))="not qual"),IF(A770=A769,-ABS(O769),0),IF(A770=A769,ABS(O769)+1,1))</f>
        <v>3</v>
      </c>
      <c r="P770" s="57">
        <f t="shared" ref="P770:P833" si="304">1*LEFT(RIGHT(A770,2),1)</f>
        <v>1</v>
      </c>
      <c r="Q770" s="267">
        <f t="shared" ref="Q770:Q833" si="305">IF(A770&lt;&gt;A771,G770,IF(A770=A769,G770+Q771,MAX(G770,(G770+Q771)/P770)))</f>
        <v>698</v>
      </c>
      <c r="R770" s="23" t="str">
        <f t="shared" ref="R770:R833" si="306">IF(O770&gt;P770,"",IF(O770=P770,G770,IF(A770=A771,R771,IF(O770&lt;=0,1,G770))))</f>
        <v/>
      </c>
      <c r="S770" s="23">
        <f t="shared" ref="S770:S833" si="307">IF(AND(O770&gt;P770,LOWER(LEFT(E770,8))&lt;&gt;"write-in",LOWER(LEFT(E770,8))&lt;&gt;"not qual"),G770,IF(A770=A771,S771,0))</f>
        <v>229</v>
      </c>
      <c r="T770" s="23" t="str">
        <f t="shared" ref="T770:T833" si="308">IF(OR(A770=A769,S770=0),"",R770-ABS(S770))</f>
        <v/>
      </c>
      <c r="U770" t="str">
        <f t="shared" ref="U770:U833" si="309">IF(A770=A769,"",A770)</f>
        <v/>
      </c>
      <c r="W770" s="1">
        <f t="shared" ref="W770:W833" si="310">IF(AF770=AF769,W769+1,1)</f>
        <v>25</v>
      </c>
      <c r="X770" s="73">
        <f t="shared" si="299"/>
        <v>39.040509351372862</v>
      </c>
      <c r="Y770" s="322">
        <f t="shared" ref="Y770:Y833" si="311">MAX(X770,0.069*AH770)</f>
        <v>3275.5680000000002</v>
      </c>
      <c r="Z770" s="43">
        <f t="shared" si="300"/>
        <v>0.1020398248439446</v>
      </c>
      <c r="AA770" s="52">
        <f t="shared" ref="AA770:AA833" si="312">(1-AK770/AC770)^AB770</f>
        <v>1.0203982484394459E-3</v>
      </c>
      <c r="AB770" s="8">
        <f t="shared" ref="AB770:AB833" si="313">INDEX(BA$2:BA$76,MATCH($AF770,$AU$2:$AU$76,0))+IF(AE770="",0,INDEX(BA$2:BA$76,AE770))</f>
        <v>151</v>
      </c>
      <c r="AC770" s="8">
        <f t="shared" ref="AC770:AC833" si="314">INDEX(AX$2:AX$76,MATCH(AF770,AU$2:AU$76,0))+IF(AE770="",0,INDEX(AX$2:AX$76,AE770))</f>
        <v>169080</v>
      </c>
      <c r="AD770" s="8">
        <f t="shared" si="295"/>
        <v>845.4</v>
      </c>
      <c r="AE770" s="8" t="str">
        <f t="shared" ref="AE770:AE833" si="315">IF(MID(AL770,16,2)&lt;&gt;"w/","",MATCH(CONCATENATE("CO_",MID(AL770,18,5),"_2020g"),AU$2:AU$76,0))</f>
        <v/>
      </c>
      <c r="AF770" s="22" t="str">
        <f t="shared" ref="AF770:AF833" si="316">LEFT(AL770,14)</f>
        <v>CO_Weld__2020g</v>
      </c>
      <c r="AG770">
        <v>1</v>
      </c>
      <c r="AH770" s="272">
        <v>47472</v>
      </c>
      <c r="AI770" s="273">
        <v>26358</v>
      </c>
      <c r="AJ770" s="274">
        <v>18819</v>
      </c>
      <c r="AK770" s="339">
        <v>7539</v>
      </c>
      <c r="AL770" s="340" t="s">
        <v>5902</v>
      </c>
      <c r="AM770" s="353">
        <f t="shared" ref="AM770:AM833" si="317">AK770/AC770</f>
        <v>4.4588360539389638E-2</v>
      </c>
      <c r="AP770" s="23">
        <f t="shared" si="296"/>
        <v>25</v>
      </c>
      <c r="AQ770" s="392">
        <f t="shared" si="297"/>
        <v>0.23783970456512371</v>
      </c>
      <c r="AR770" s="392">
        <f t="shared" si="298"/>
        <v>0.73422951554206894</v>
      </c>
      <c r="AS770" s="392">
        <f t="shared" si="298"/>
        <v>0.99667740231099955</v>
      </c>
    </row>
    <row r="771" spans="1:47">
      <c r="A771" s="12" t="s">
        <v>1531</v>
      </c>
      <c r="B771" s="54" t="str">
        <f t="shared" si="301"/>
        <v>AZ_Maric_2020g</v>
      </c>
      <c r="C771" s="12"/>
      <c r="D771" s="54" t="str">
        <f t="shared" si="302"/>
        <v>Gen-us senate-term expires  january 3, 2023 (vote for1)</v>
      </c>
      <c r="E771" s="54" t="s">
        <v>1774</v>
      </c>
      <c r="G771" s="59">
        <v>109</v>
      </c>
      <c r="H771"/>
      <c r="K771" s="2"/>
      <c r="O771">
        <f t="shared" si="303"/>
        <v>4</v>
      </c>
      <c r="P771" s="57">
        <f t="shared" si="304"/>
        <v>1</v>
      </c>
      <c r="Q771" s="267">
        <f t="shared" si="305"/>
        <v>469</v>
      </c>
      <c r="R771" s="23" t="str">
        <f t="shared" si="306"/>
        <v/>
      </c>
      <c r="S771" s="23">
        <f t="shared" si="307"/>
        <v>109</v>
      </c>
      <c r="T771" s="23" t="str">
        <f t="shared" si="308"/>
        <v/>
      </c>
      <c r="U771" t="str">
        <f t="shared" si="309"/>
        <v/>
      </c>
      <c r="W771" s="1">
        <f t="shared" si="310"/>
        <v>26</v>
      </c>
      <c r="X771" s="73">
        <f t="shared" si="299"/>
        <v>68.605575801749268</v>
      </c>
      <c r="Y771" s="322">
        <f t="shared" si="311"/>
        <v>8380.3260000000009</v>
      </c>
      <c r="Z771" s="43">
        <f t="shared" si="300"/>
        <v>3.9668281850533194E-3</v>
      </c>
      <c r="AA771" s="52">
        <f t="shared" si="312"/>
        <v>3.9668281850533195E-5</v>
      </c>
      <c r="AB771" s="8">
        <f t="shared" si="313"/>
        <v>151</v>
      </c>
      <c r="AC771" s="8">
        <f t="shared" si="314"/>
        <v>169080</v>
      </c>
      <c r="AD771" s="8">
        <f t="shared" ref="AD771:AD834" si="318">AC771/RIGHT(AD$1,4)</f>
        <v>845.4</v>
      </c>
      <c r="AE771" s="8" t="str">
        <f t="shared" si="315"/>
        <v/>
      </c>
      <c r="AF771" s="22" t="str">
        <f t="shared" si="316"/>
        <v>CO_Weld__2020g</v>
      </c>
      <c r="AG771">
        <v>1</v>
      </c>
      <c r="AH771" s="272">
        <v>121454</v>
      </c>
      <c r="AI771" s="273">
        <v>66215</v>
      </c>
      <c r="AJ771" s="274">
        <v>55239</v>
      </c>
      <c r="AK771" s="339">
        <v>10976</v>
      </c>
      <c r="AL771" s="340" t="s">
        <v>5903</v>
      </c>
      <c r="AM771" s="353">
        <f t="shared" si="317"/>
        <v>6.4916016087059381E-2</v>
      </c>
      <c r="AP771" s="23">
        <f t="shared" si="296"/>
        <v>40</v>
      </c>
      <c r="AQ771" s="392">
        <f t="shared" si="297"/>
        <v>0.35504888663604417</v>
      </c>
      <c r="AR771" s="392">
        <f t="shared" si="298"/>
        <v>0.88237520478987452</v>
      </c>
      <c r="AS771" s="392">
        <f t="shared" si="298"/>
        <v>0.99990154696821865</v>
      </c>
    </row>
    <row r="772" spans="1:47">
      <c r="A772" s="12" t="s">
        <v>1531</v>
      </c>
      <c r="B772" s="54" t="str">
        <f t="shared" si="301"/>
        <v>AZ_Maric_2020g</v>
      </c>
      <c r="C772" s="12"/>
      <c r="D772" s="54" t="str">
        <f t="shared" si="302"/>
        <v>Gen-us senate-term expires  january 3, 2023 (vote for1)</v>
      </c>
      <c r="E772" s="54" t="s">
        <v>1780</v>
      </c>
      <c r="G772" s="59">
        <v>51</v>
      </c>
      <c r="H772"/>
      <c r="K772" s="2"/>
      <c r="O772">
        <f t="shared" si="303"/>
        <v>5</v>
      </c>
      <c r="P772" s="57">
        <f t="shared" si="304"/>
        <v>1</v>
      </c>
      <c r="Q772" s="267">
        <f t="shared" si="305"/>
        <v>360</v>
      </c>
      <c r="R772" s="23" t="str">
        <f t="shared" si="306"/>
        <v/>
      </c>
      <c r="S772" s="23">
        <f t="shared" si="307"/>
        <v>51</v>
      </c>
      <c r="T772" s="23" t="str">
        <f t="shared" si="308"/>
        <v/>
      </c>
      <c r="U772" t="str">
        <f t="shared" si="309"/>
        <v/>
      </c>
      <c r="W772" s="1">
        <f t="shared" si="310"/>
        <v>27</v>
      </c>
      <c r="X772" s="73">
        <f t="shared" si="299"/>
        <v>9.7255451995294546</v>
      </c>
      <c r="Y772" s="322">
        <f t="shared" si="311"/>
        <v>1196.115</v>
      </c>
      <c r="Z772" s="43">
        <f t="shared" si="300"/>
        <v>3.6925592017135445E-3</v>
      </c>
      <c r="AA772" s="52">
        <f t="shared" si="312"/>
        <v>3.6925592017135445E-5</v>
      </c>
      <c r="AB772" s="8">
        <f t="shared" si="313"/>
        <v>151</v>
      </c>
      <c r="AC772" s="8">
        <f t="shared" si="314"/>
        <v>169080</v>
      </c>
      <c r="AD772" s="8">
        <f t="shared" si="318"/>
        <v>845.4</v>
      </c>
      <c r="AE772" s="8" t="str">
        <f t="shared" si="315"/>
        <v/>
      </c>
      <c r="AF772" s="22" t="str">
        <f t="shared" si="316"/>
        <v>CO_Weld__2020g</v>
      </c>
      <c r="AG772">
        <v>1</v>
      </c>
      <c r="AH772" s="272">
        <v>17335</v>
      </c>
      <c r="AI772" s="273">
        <v>14193</v>
      </c>
      <c r="AJ772" s="274">
        <v>3142</v>
      </c>
      <c r="AK772" s="339">
        <v>11051</v>
      </c>
      <c r="AL772" s="340" t="s">
        <v>5882</v>
      </c>
      <c r="AM772" s="353">
        <f t="shared" si="317"/>
        <v>6.5359593092027449E-2</v>
      </c>
      <c r="AP772" s="23">
        <f t="shared" si="296"/>
        <v>40</v>
      </c>
      <c r="AQ772" s="392">
        <f t="shared" si="297"/>
        <v>0.35504888663604417</v>
      </c>
      <c r="AR772" s="392">
        <f t="shared" si="298"/>
        <v>0.88237520478987452</v>
      </c>
      <c r="AS772" s="392">
        <f t="shared" si="298"/>
        <v>0.99990154696821865</v>
      </c>
    </row>
    <row r="773" spans="1:47">
      <c r="A773" s="12" t="s">
        <v>1531</v>
      </c>
      <c r="B773" s="54" t="str">
        <f t="shared" si="301"/>
        <v>AZ_Maric_2020g</v>
      </c>
      <c r="C773" s="12"/>
      <c r="D773" s="54" t="str">
        <f t="shared" si="302"/>
        <v>Gen-us senate-term expires  january 3, 2023 (vote for1)</v>
      </c>
      <c r="E773" s="54" t="s">
        <v>1769</v>
      </c>
      <c r="G773" s="59">
        <v>44</v>
      </c>
      <c r="H773"/>
      <c r="K773" s="2"/>
      <c r="O773">
        <f t="shared" si="303"/>
        <v>6</v>
      </c>
      <c r="P773" s="57">
        <f t="shared" si="304"/>
        <v>1</v>
      </c>
      <c r="Q773" s="267">
        <f t="shared" si="305"/>
        <v>309</v>
      </c>
      <c r="R773" s="23" t="str">
        <f t="shared" si="306"/>
        <v/>
      </c>
      <c r="S773" s="23">
        <f t="shared" si="307"/>
        <v>44</v>
      </c>
      <c r="T773" s="23" t="str">
        <f t="shared" si="308"/>
        <v/>
      </c>
      <c r="U773" t="str">
        <f t="shared" si="309"/>
        <v/>
      </c>
      <c r="W773" s="1">
        <f t="shared" si="310"/>
        <v>28</v>
      </c>
      <c r="X773" s="73">
        <f t="shared" si="299"/>
        <v>25.697287752507417</v>
      </c>
      <c r="Y773" s="322">
        <f t="shared" si="311"/>
        <v>4048.9890000000005</v>
      </c>
      <c r="Z773" s="43">
        <f t="shared" si="300"/>
        <v>1.8414046180290379E-4</v>
      </c>
      <c r="AA773" s="52">
        <f t="shared" si="312"/>
        <v>1.8414046180290379E-6</v>
      </c>
      <c r="AB773" s="8">
        <f t="shared" si="313"/>
        <v>151</v>
      </c>
      <c r="AC773" s="8">
        <f t="shared" si="314"/>
        <v>169080</v>
      </c>
      <c r="AD773" s="8">
        <f t="shared" si="318"/>
        <v>845.4</v>
      </c>
      <c r="AE773" s="8" t="str">
        <f t="shared" si="315"/>
        <v/>
      </c>
      <c r="AF773" s="22" t="str">
        <f t="shared" si="316"/>
        <v>CO_Weld__2020g</v>
      </c>
      <c r="AG773">
        <v>1</v>
      </c>
      <c r="AH773" s="272">
        <v>58681</v>
      </c>
      <c r="AI773" s="273">
        <v>35064</v>
      </c>
      <c r="AJ773" s="274">
        <v>20906</v>
      </c>
      <c r="AK773" s="339">
        <v>14158</v>
      </c>
      <c r="AL773" s="340" t="s">
        <v>5887</v>
      </c>
      <c r="AM773" s="353">
        <f t="shared" si="317"/>
        <v>8.3735509817837714E-2</v>
      </c>
      <c r="AP773" s="23">
        <f t="shared" si="296"/>
        <v>53</v>
      </c>
      <c r="AQ773" s="392">
        <f t="shared" si="297"/>
        <v>0.44336637969327497</v>
      </c>
      <c r="AR773" s="392">
        <f t="shared" si="298"/>
        <v>0.94269838690243202</v>
      </c>
      <c r="AS773" s="392">
        <f t="shared" si="298"/>
        <v>0.99999560922313191</v>
      </c>
    </row>
    <row r="774" spans="1:47">
      <c r="A774" s="12" t="s">
        <v>1531</v>
      </c>
      <c r="B774" s="54" t="str">
        <f t="shared" si="301"/>
        <v>AZ_Maric_2020g</v>
      </c>
      <c r="C774" s="12"/>
      <c r="D774" s="54" t="str">
        <f t="shared" si="302"/>
        <v>Gen-us senate-term expires  january 3, 2023 (vote for1)</v>
      </c>
      <c r="E774" s="54" t="s">
        <v>1776</v>
      </c>
      <c r="G774" s="59">
        <v>41</v>
      </c>
      <c r="H774"/>
      <c r="K774" s="2"/>
      <c r="O774">
        <f t="shared" si="303"/>
        <v>7</v>
      </c>
      <c r="P774" s="57">
        <f t="shared" si="304"/>
        <v>1</v>
      </c>
      <c r="Q774" s="267">
        <f t="shared" si="305"/>
        <v>265</v>
      </c>
      <c r="R774" s="23" t="str">
        <f t="shared" si="306"/>
        <v/>
      </c>
      <c r="S774" s="23">
        <f t="shared" si="307"/>
        <v>41</v>
      </c>
      <c r="T774" s="23" t="str">
        <f t="shared" si="308"/>
        <v/>
      </c>
      <c r="U774" t="str">
        <f t="shared" si="309"/>
        <v/>
      </c>
      <c r="W774" s="1">
        <f t="shared" si="310"/>
        <v>29</v>
      </c>
      <c r="X774" s="73">
        <f t="shared" si="299"/>
        <v>19.723352995963989</v>
      </c>
      <c r="Y774" s="322">
        <f t="shared" si="311"/>
        <v>3535.0770000000002</v>
      </c>
      <c r="Z774" s="43">
        <f t="shared" si="300"/>
        <v>2.7274803440298012E-5</v>
      </c>
      <c r="AA774" s="52">
        <f t="shared" si="312"/>
        <v>2.7274803440298013E-7</v>
      </c>
      <c r="AB774" s="8">
        <f t="shared" si="313"/>
        <v>151</v>
      </c>
      <c r="AC774" s="8">
        <f t="shared" si="314"/>
        <v>169080</v>
      </c>
      <c r="AD774" s="8">
        <f t="shared" si="318"/>
        <v>845.4</v>
      </c>
      <c r="AE774" s="8" t="str">
        <f t="shared" si="315"/>
        <v/>
      </c>
      <c r="AF774" s="22" t="str">
        <f t="shared" si="316"/>
        <v>CO_Weld__2020g</v>
      </c>
      <c r="AG774" s="89">
        <v>1</v>
      </c>
      <c r="AH774" s="274">
        <v>51233</v>
      </c>
      <c r="AI774" s="279">
        <v>33669</v>
      </c>
      <c r="AJ774" s="280">
        <v>17564</v>
      </c>
      <c r="AK774" s="92">
        <v>16105</v>
      </c>
      <c r="AL774" s="23" t="s">
        <v>5901</v>
      </c>
      <c r="AM774" s="353">
        <f t="shared" si="317"/>
        <v>9.5250768866808611E-2</v>
      </c>
      <c r="AP774" s="23">
        <f t="shared" si="296"/>
        <v>61</v>
      </c>
      <c r="AQ774" s="392">
        <f t="shared" si="297"/>
        <v>0.49220962105579824</v>
      </c>
      <c r="AR774" s="392">
        <f t="shared" si="298"/>
        <v>0.96341250231794251</v>
      </c>
      <c r="AS774" s="392">
        <f t="shared" si="298"/>
        <v>0.99999937073113276</v>
      </c>
    </row>
    <row r="775" spans="1:47">
      <c r="A775" s="12" t="s">
        <v>1531</v>
      </c>
      <c r="B775" s="54" t="str">
        <f t="shared" si="301"/>
        <v>AZ_Maric_2020g</v>
      </c>
      <c r="C775" s="12"/>
      <c r="D775" s="54" t="str">
        <f t="shared" si="302"/>
        <v>Gen-us senate-term expires  january 3, 2023 (vote for1)</v>
      </c>
      <c r="E775" s="54" t="s">
        <v>1778</v>
      </c>
      <c r="G775" s="59">
        <v>38</v>
      </c>
      <c r="H775"/>
      <c r="K775" s="2"/>
      <c r="O775">
        <f t="shared" si="303"/>
        <v>8</v>
      </c>
      <c r="P775" s="57">
        <f t="shared" si="304"/>
        <v>1</v>
      </c>
      <c r="Q775" s="267">
        <f t="shared" si="305"/>
        <v>224</v>
      </c>
      <c r="R775" s="23" t="str">
        <f t="shared" si="306"/>
        <v/>
      </c>
      <c r="S775" s="23">
        <f t="shared" si="307"/>
        <v>38</v>
      </c>
      <c r="T775" s="23" t="str">
        <f t="shared" si="308"/>
        <v/>
      </c>
      <c r="U775" t="str">
        <f t="shared" si="309"/>
        <v/>
      </c>
      <c r="W775" s="1">
        <f t="shared" si="310"/>
        <v>30</v>
      </c>
      <c r="X775" s="73">
        <f t="shared" si="299"/>
        <v>18.556624973500107</v>
      </c>
      <c r="Y775" s="322">
        <f t="shared" si="311"/>
        <v>3896.5680000000002</v>
      </c>
      <c r="Z775" s="43">
        <f t="shared" si="300"/>
        <v>1.7396857356043166E-6</v>
      </c>
      <c r="AA775" s="52">
        <f t="shared" si="312"/>
        <v>1.7396857356043167E-8</v>
      </c>
      <c r="AB775" s="8">
        <f t="shared" si="313"/>
        <v>151</v>
      </c>
      <c r="AC775" s="8">
        <f t="shared" si="314"/>
        <v>169080</v>
      </c>
      <c r="AD775" s="8">
        <f t="shared" si="318"/>
        <v>845.4</v>
      </c>
      <c r="AE775" s="8" t="str">
        <f t="shared" si="315"/>
        <v/>
      </c>
      <c r="AF775" s="22" t="str">
        <f t="shared" si="316"/>
        <v>CO_Weld__2020g</v>
      </c>
      <c r="AG775">
        <v>1</v>
      </c>
      <c r="AH775" s="272">
        <v>56472</v>
      </c>
      <c r="AI775" s="273">
        <v>37670</v>
      </c>
      <c r="AJ775" s="274">
        <v>18802</v>
      </c>
      <c r="AK775" s="339">
        <v>18868</v>
      </c>
      <c r="AL775" s="340" t="s">
        <v>5885</v>
      </c>
      <c r="AM775" s="353">
        <f t="shared" si="317"/>
        <v>0.11159214572983203</v>
      </c>
      <c r="AP775" s="23">
        <f t="shared" si="296"/>
        <v>73</v>
      </c>
      <c r="AQ775" s="392">
        <f t="shared" si="297"/>
        <v>0.55834479842118401</v>
      </c>
      <c r="AR775" s="392">
        <f t="shared" si="298"/>
        <v>0.98149814540102487</v>
      </c>
      <c r="AS775" s="392">
        <f t="shared" si="298"/>
        <v>0.99999996727895202</v>
      </c>
    </row>
    <row r="776" spans="1:47">
      <c r="A776" s="12" t="s">
        <v>1531</v>
      </c>
      <c r="B776" s="54" t="str">
        <f t="shared" si="301"/>
        <v>AZ_Maric_2020g</v>
      </c>
      <c r="C776" s="12"/>
      <c r="D776" s="54" t="str">
        <f t="shared" si="302"/>
        <v>Gen-us senate-term expires  january 3, 2023 (vote for1)</v>
      </c>
      <c r="E776" s="54" t="s">
        <v>1768</v>
      </c>
      <c r="G776" s="59">
        <v>37</v>
      </c>
      <c r="H776"/>
      <c r="K776" s="2"/>
      <c r="O776">
        <f t="shared" si="303"/>
        <v>9</v>
      </c>
      <c r="P776" s="57">
        <f t="shared" si="304"/>
        <v>1</v>
      </c>
      <c r="Q776" s="267">
        <f t="shared" si="305"/>
        <v>186</v>
      </c>
      <c r="R776" s="23" t="str">
        <f t="shared" si="306"/>
        <v/>
      </c>
      <c r="S776" s="23">
        <f t="shared" si="307"/>
        <v>37</v>
      </c>
      <c r="T776" s="23" t="str">
        <f t="shared" si="308"/>
        <v/>
      </c>
      <c r="U776" t="str">
        <f t="shared" si="309"/>
        <v/>
      </c>
      <c r="W776" s="1">
        <f t="shared" si="310"/>
        <v>31</v>
      </c>
      <c r="X776" s="73">
        <f t="shared" si="299"/>
        <v>13.792586162879754</v>
      </c>
      <c r="Y776" s="322">
        <f t="shared" si="311"/>
        <v>3006.2610000000004</v>
      </c>
      <c r="Z776" s="43">
        <f t="shared" si="300"/>
        <v>8.4469258650530771E-7</v>
      </c>
      <c r="AA776" s="52">
        <f t="shared" si="312"/>
        <v>8.4469258650530773E-9</v>
      </c>
      <c r="AB776" s="8">
        <f t="shared" si="313"/>
        <v>151</v>
      </c>
      <c r="AC776" s="8">
        <f t="shared" si="314"/>
        <v>169080</v>
      </c>
      <c r="AD776" s="8">
        <f t="shared" si="318"/>
        <v>845.4</v>
      </c>
      <c r="AE776" s="8" t="str">
        <f t="shared" si="315"/>
        <v/>
      </c>
      <c r="AF776" s="22" t="str">
        <f t="shared" si="316"/>
        <v>CO_Weld__2020g</v>
      </c>
      <c r="AG776">
        <v>1</v>
      </c>
      <c r="AH776" s="272">
        <v>43569</v>
      </c>
      <c r="AI776" s="273">
        <v>31577</v>
      </c>
      <c r="AJ776" s="274">
        <v>11992</v>
      </c>
      <c r="AK776" s="339">
        <v>19585</v>
      </c>
      <c r="AL776" s="340" t="s">
        <v>5877</v>
      </c>
      <c r="AM776" s="353">
        <f t="shared" si="317"/>
        <v>0.11583274189732672</v>
      </c>
      <c r="AP776" s="23">
        <f t="shared" si="296"/>
        <v>76</v>
      </c>
      <c r="AQ776" s="392">
        <f t="shared" si="297"/>
        <v>0.57363149944725511</v>
      </c>
      <c r="AR776" s="392">
        <f t="shared" si="298"/>
        <v>0.98442435003728879</v>
      </c>
      <c r="AS776" s="392">
        <f t="shared" si="298"/>
        <v>0.99999998450159466</v>
      </c>
    </row>
    <row r="777" spans="1:47">
      <c r="A777" s="12" t="s">
        <v>1531</v>
      </c>
      <c r="B777" s="54" t="str">
        <f t="shared" si="301"/>
        <v>AZ_Maric_2020g</v>
      </c>
      <c r="C777" s="12"/>
      <c r="D777" s="54" t="str">
        <f t="shared" si="302"/>
        <v>Gen-us senate-term expires  january 3, 2023 (vote for1)</v>
      </c>
      <c r="E777" s="54" t="s">
        <v>1781</v>
      </c>
      <c r="G777" s="59">
        <v>32</v>
      </c>
      <c r="H777"/>
      <c r="K777" s="2"/>
      <c r="O777">
        <f t="shared" si="303"/>
        <v>10</v>
      </c>
      <c r="P777" s="57">
        <f t="shared" si="304"/>
        <v>1</v>
      </c>
      <c r="Q777" s="267">
        <f t="shared" si="305"/>
        <v>149</v>
      </c>
      <c r="R777" s="23" t="str">
        <f t="shared" si="306"/>
        <v/>
      </c>
      <c r="S777" s="23">
        <f t="shared" si="307"/>
        <v>32</v>
      </c>
      <c r="T777" s="23" t="str">
        <f t="shared" si="308"/>
        <v/>
      </c>
      <c r="U777" t="str">
        <f t="shared" si="309"/>
        <v/>
      </c>
      <c r="W777" s="1">
        <f t="shared" si="310"/>
        <v>32</v>
      </c>
      <c r="X777" s="73">
        <f t="shared" si="299"/>
        <v>24.882816674227531</v>
      </c>
      <c r="Y777" s="322">
        <f t="shared" si="311"/>
        <v>10987.698</v>
      </c>
      <c r="Z777" s="43">
        <f t="shared" si="300"/>
        <v>2.8917529229686847E-16</v>
      </c>
      <c r="AA777" s="52">
        <f t="shared" si="312"/>
        <v>2.8917529229686845E-18</v>
      </c>
      <c r="AB777" s="8">
        <f t="shared" si="313"/>
        <v>151</v>
      </c>
      <c r="AC777" s="8">
        <f t="shared" si="314"/>
        <v>169080</v>
      </c>
      <c r="AD777" s="8">
        <f t="shared" si="318"/>
        <v>845.4</v>
      </c>
      <c r="AE777" s="8" t="str">
        <f t="shared" si="315"/>
        <v/>
      </c>
      <c r="AF777" s="22" t="str">
        <f t="shared" si="316"/>
        <v>CO_Weld__2020g</v>
      </c>
      <c r="AG777">
        <v>1</v>
      </c>
      <c r="AH777" s="272">
        <v>159242</v>
      </c>
      <c r="AI777" s="273">
        <v>99460</v>
      </c>
      <c r="AJ777" s="274">
        <v>59782</v>
      </c>
      <c r="AK777" s="339">
        <v>39678</v>
      </c>
      <c r="AL777" s="340" t="s">
        <v>5900</v>
      </c>
      <c r="AM777" s="353">
        <f t="shared" si="317"/>
        <v>0.23466997870830375</v>
      </c>
      <c r="AP777" s="23">
        <f t="shared" si="296"/>
        <v>160</v>
      </c>
      <c r="AQ777" s="392">
        <f t="shared" si="297"/>
        <v>0.85032461911340118</v>
      </c>
      <c r="AR777" s="392">
        <f t="shared" si="298"/>
        <v>0.99990727152605741</v>
      </c>
      <c r="AS777" s="392">
        <f t="shared" si="298"/>
        <v>1</v>
      </c>
    </row>
    <row r="778" spans="1:47">
      <c r="A778" s="12" t="s">
        <v>1531</v>
      </c>
      <c r="B778" s="54" t="str">
        <f t="shared" si="301"/>
        <v>AZ_Maric_2020g</v>
      </c>
      <c r="C778" s="12"/>
      <c r="D778" s="54" t="str">
        <f t="shared" si="302"/>
        <v>Gen-us senate-term expires  january 3, 2023 (vote for1)</v>
      </c>
      <c r="E778" s="54" t="s">
        <v>1784</v>
      </c>
      <c r="G778" s="59">
        <v>19</v>
      </c>
      <c r="H778"/>
      <c r="K778" s="2"/>
      <c r="O778">
        <f t="shared" si="303"/>
        <v>11</v>
      </c>
      <c r="P778" s="57">
        <f t="shared" si="304"/>
        <v>1</v>
      </c>
      <c r="Q778" s="267">
        <f t="shared" si="305"/>
        <v>117</v>
      </c>
      <c r="R778" s="23" t="str">
        <f t="shared" si="306"/>
        <v/>
      </c>
      <c r="S778" s="23">
        <f t="shared" si="307"/>
        <v>19</v>
      </c>
      <c r="T778" s="23" t="str">
        <f t="shared" si="308"/>
        <v/>
      </c>
      <c r="U778" t="str">
        <f t="shared" si="309"/>
        <v/>
      </c>
      <c r="W778" s="1">
        <f t="shared" si="310"/>
        <v>33</v>
      </c>
      <c r="X778" s="73">
        <f t="shared" si="299"/>
        <v>13.874492763093411</v>
      </c>
      <c r="Y778" s="322">
        <f t="shared" si="311"/>
        <v>9452.0340000000015</v>
      </c>
      <c r="Z778" s="43">
        <f t="shared" si="300"/>
        <v>3.3392010756661753E-28</v>
      </c>
      <c r="AA778" s="52">
        <f t="shared" si="312"/>
        <v>3.3392010756661753E-30</v>
      </c>
      <c r="AB778" s="8">
        <f t="shared" si="313"/>
        <v>151</v>
      </c>
      <c r="AC778" s="8">
        <f t="shared" si="314"/>
        <v>169080</v>
      </c>
      <c r="AD778" s="8">
        <f t="shared" si="318"/>
        <v>845.4</v>
      </c>
      <c r="AE778" s="8" t="str">
        <f t="shared" si="315"/>
        <v/>
      </c>
      <c r="AF778" s="22" t="str">
        <f t="shared" si="316"/>
        <v>CO_Weld__2020g</v>
      </c>
      <c r="AG778">
        <v>1</v>
      </c>
      <c r="AH778" s="272">
        <v>136986</v>
      </c>
      <c r="AI778" s="273">
        <v>99100</v>
      </c>
      <c r="AJ778" s="274">
        <v>37886</v>
      </c>
      <c r="AK778" s="339">
        <v>61214</v>
      </c>
      <c r="AL778" s="340" t="s">
        <v>5878</v>
      </c>
      <c r="AM778" s="353">
        <f t="shared" si="317"/>
        <v>0.36204163709486631</v>
      </c>
      <c r="AP778" s="23">
        <f t="shared" si="296"/>
        <v>251</v>
      </c>
      <c r="AQ778" s="392">
        <f t="shared" si="297"/>
        <v>0.95883907417460157</v>
      </c>
      <c r="AR778" s="392">
        <f t="shared" si="298"/>
        <v>0.99999983650086954</v>
      </c>
      <c r="AS778" s="392">
        <f t="shared" si="298"/>
        <v>1</v>
      </c>
    </row>
    <row r="779" spans="1:47">
      <c r="A779" s="12" t="s">
        <v>1531</v>
      </c>
      <c r="B779" s="54" t="str">
        <f t="shared" si="301"/>
        <v>AZ_Maric_2020g</v>
      </c>
      <c r="C779" s="12"/>
      <c r="D779" s="54" t="str">
        <f t="shared" si="302"/>
        <v>Gen-us senate-term expires  january 3, 2023 (vote for1)</v>
      </c>
      <c r="E779" s="54" t="s">
        <v>1771</v>
      </c>
      <c r="G779" s="59">
        <v>18</v>
      </c>
      <c r="H779"/>
      <c r="K779" s="2"/>
      <c r="O779">
        <f t="shared" si="303"/>
        <v>12</v>
      </c>
      <c r="P779" s="57">
        <f t="shared" si="304"/>
        <v>1</v>
      </c>
      <c r="Q779" s="267">
        <f t="shared" si="305"/>
        <v>98</v>
      </c>
      <c r="R779" s="23" t="str">
        <f t="shared" si="306"/>
        <v/>
      </c>
      <c r="S779" s="23">
        <f t="shared" si="307"/>
        <v>18</v>
      </c>
      <c r="T779" s="23" t="str">
        <f t="shared" si="308"/>
        <v/>
      </c>
      <c r="U779" t="str">
        <f t="shared" si="309"/>
        <v/>
      </c>
      <c r="W779" s="1">
        <f t="shared" si="310"/>
        <v>34</v>
      </c>
      <c r="X779" s="73">
        <f t="shared" si="299"/>
        <v>13.297244899552004</v>
      </c>
      <c r="Y779" s="322">
        <f t="shared" si="311"/>
        <v>9480.393</v>
      </c>
      <c r="Z779" s="43">
        <f t="shared" si="300"/>
        <v>5.8650626219441342E-30</v>
      </c>
      <c r="AA779" s="52">
        <f t="shared" si="312"/>
        <v>5.8650626219441341E-32</v>
      </c>
      <c r="AB779" s="8">
        <f t="shared" si="313"/>
        <v>151</v>
      </c>
      <c r="AC779" s="8">
        <f t="shared" si="314"/>
        <v>169080</v>
      </c>
      <c r="AD779" s="8">
        <f t="shared" si="318"/>
        <v>845.4</v>
      </c>
      <c r="AE779" s="8" t="str">
        <f t="shared" si="315"/>
        <v/>
      </c>
      <c r="AF779" s="22" t="str">
        <f t="shared" si="316"/>
        <v>CO_Weld__2020g</v>
      </c>
      <c r="AG779">
        <v>1</v>
      </c>
      <c r="AH779" s="272">
        <v>137397</v>
      </c>
      <c r="AI779" s="273">
        <v>100730</v>
      </c>
      <c r="AJ779" s="274">
        <v>36667</v>
      </c>
      <c r="AK779" s="339">
        <v>64063</v>
      </c>
      <c r="AL779" s="340" t="s">
        <v>5879</v>
      </c>
      <c r="AM779" s="353">
        <f t="shared" si="317"/>
        <v>0.37889164892358645</v>
      </c>
      <c r="AP779" s="23">
        <f t="shared" si="296"/>
        <v>263</v>
      </c>
      <c r="AQ779" s="392">
        <f t="shared" si="297"/>
        <v>0.96578898137400027</v>
      </c>
      <c r="AR779" s="392">
        <f t="shared" si="298"/>
        <v>0.99999993422206934</v>
      </c>
      <c r="AS779" s="392">
        <f t="shared" si="298"/>
        <v>1</v>
      </c>
    </row>
    <row r="780" spans="1:47">
      <c r="A780" s="12" t="s">
        <v>1531</v>
      </c>
      <c r="B780" s="54" t="str">
        <f t="shared" si="301"/>
        <v>AZ_Maric_2020g</v>
      </c>
      <c r="C780" s="12"/>
      <c r="D780" s="54" t="str">
        <f t="shared" si="302"/>
        <v>Gen-us senate-term expires  january 3, 2023 (vote for1)</v>
      </c>
      <c r="E780" s="54" t="s">
        <v>1775</v>
      </c>
      <c r="G780" s="59">
        <v>18</v>
      </c>
      <c r="H780"/>
      <c r="K780" s="2"/>
      <c r="O780">
        <f t="shared" si="303"/>
        <v>13</v>
      </c>
      <c r="P780" s="57">
        <f t="shared" si="304"/>
        <v>1</v>
      </c>
      <c r="Q780" s="267">
        <f t="shared" si="305"/>
        <v>80</v>
      </c>
      <c r="R780" s="23" t="str">
        <f t="shared" si="306"/>
        <v/>
      </c>
      <c r="S780" s="23">
        <f t="shared" si="307"/>
        <v>18</v>
      </c>
      <c r="T780" s="23" t="str">
        <f t="shared" si="308"/>
        <v/>
      </c>
      <c r="U780" t="str">
        <f t="shared" si="309"/>
        <v/>
      </c>
      <c r="W780" s="290">
        <f t="shared" si="310"/>
        <v>1</v>
      </c>
      <c r="X780" s="291">
        <f t="shared" ref="X780:X811" si="319">IF(AK780=0,AH780,MIN(AH780,6.2/(AK780/AH780)))</f>
        <v>1132.8115384615385</v>
      </c>
      <c r="Y780" s="322">
        <f t="shared" si="311"/>
        <v>1132.8115384615385</v>
      </c>
      <c r="Z780" s="292">
        <f t="shared" ref="Z780:Z811" si="320">AA780*100</f>
        <v>21.008871675451964</v>
      </c>
      <c r="AA780" s="293">
        <f t="shared" si="312"/>
        <v>0.21008871675451962</v>
      </c>
      <c r="AB780" s="294">
        <f t="shared" si="313"/>
        <v>5400</v>
      </c>
      <c r="AC780" s="294">
        <f t="shared" si="314"/>
        <v>180000</v>
      </c>
      <c r="AD780" s="8">
        <f t="shared" si="318"/>
        <v>900</v>
      </c>
      <c r="AE780" s="294" t="str">
        <f t="shared" si="315"/>
        <v/>
      </c>
      <c r="AF780" s="22" t="str">
        <f t="shared" ref="AF780:AF811" si="321">LEFT(AL780,14)</f>
        <v>MN_Henne_2021g</v>
      </c>
      <c r="AG780" s="89">
        <v>1</v>
      </c>
      <c r="AH780" s="274">
        <v>9501</v>
      </c>
      <c r="AI780" s="279">
        <v>2759</v>
      </c>
      <c r="AJ780" s="280">
        <v>2707</v>
      </c>
      <c r="AK780" s="92">
        <v>52</v>
      </c>
      <c r="AL780" s="23" t="s">
        <v>6845</v>
      </c>
      <c r="AM780" s="358">
        <f t="shared" si="317"/>
        <v>2.8888888888888888E-4</v>
      </c>
      <c r="AN780" s="359" t="str">
        <f t="shared" ref="AN780:AN811" si="322">MID(AL780,16,FIND("-",AL780)-16)</f>
        <v>Minneapolis</v>
      </c>
      <c r="AO780" s="355" t="s">
        <v>6506</v>
      </c>
      <c r="AP780" s="23">
        <f t="shared" si="296"/>
        <v>0</v>
      </c>
      <c r="AQ780" s="392">
        <f t="shared" si="297"/>
        <v>0</v>
      </c>
      <c r="AR780" s="392">
        <f t="shared" si="298"/>
        <v>0</v>
      </c>
      <c r="AS780" s="392">
        <f t="shared" si="298"/>
        <v>0</v>
      </c>
      <c r="AU780" s="65"/>
    </row>
    <row r="781" spans="1:47">
      <c r="A781" s="12" t="s">
        <v>1531</v>
      </c>
      <c r="B781" s="54" t="str">
        <f t="shared" si="301"/>
        <v>AZ_Maric_2020g</v>
      </c>
      <c r="C781" s="12"/>
      <c r="D781" s="54" t="str">
        <f t="shared" si="302"/>
        <v>Gen-us senate-term expires  january 3, 2023 (vote for1)</v>
      </c>
      <c r="E781" s="54" t="s">
        <v>1783</v>
      </c>
      <c r="G781" s="59">
        <v>15</v>
      </c>
      <c r="H781"/>
      <c r="K781" s="2"/>
      <c r="O781">
        <f t="shared" si="303"/>
        <v>14</v>
      </c>
      <c r="P781" s="57">
        <f t="shared" si="304"/>
        <v>1</v>
      </c>
      <c r="Q781" s="267">
        <f t="shared" si="305"/>
        <v>62</v>
      </c>
      <c r="R781" s="23" t="str">
        <f t="shared" si="306"/>
        <v/>
      </c>
      <c r="S781" s="23">
        <f t="shared" si="307"/>
        <v>15</v>
      </c>
      <c r="T781" s="23" t="str">
        <f t="shared" si="308"/>
        <v/>
      </c>
      <c r="U781" t="str">
        <f t="shared" si="309"/>
        <v/>
      </c>
      <c r="W781" s="290">
        <f t="shared" si="310"/>
        <v>2</v>
      </c>
      <c r="X781" s="291">
        <f t="shared" si="319"/>
        <v>115.45350734094616</v>
      </c>
      <c r="Y781" s="322">
        <f t="shared" si="311"/>
        <v>787.6350000000001</v>
      </c>
      <c r="Z781" s="292">
        <f t="shared" si="320"/>
        <v>9.9929563215235067E-7</v>
      </c>
      <c r="AA781" s="293">
        <f t="shared" si="312"/>
        <v>9.9929563215235057E-9</v>
      </c>
      <c r="AB781" s="294">
        <f t="shared" si="313"/>
        <v>5400</v>
      </c>
      <c r="AC781" s="294">
        <f t="shared" si="314"/>
        <v>180000</v>
      </c>
      <c r="AD781" s="8">
        <f t="shared" si="318"/>
        <v>900</v>
      </c>
      <c r="AE781" s="294" t="str">
        <f t="shared" si="315"/>
        <v/>
      </c>
      <c r="AF781" s="22" t="str">
        <f t="shared" si="321"/>
        <v>MN_Henne_2021g</v>
      </c>
      <c r="AG781" s="89">
        <v>1</v>
      </c>
      <c r="AH781" s="274">
        <v>11415</v>
      </c>
      <c r="AI781" s="279">
        <v>5505</v>
      </c>
      <c r="AJ781" s="280">
        <v>4892</v>
      </c>
      <c r="AK781" s="92">
        <v>613</v>
      </c>
      <c r="AL781" s="23" t="s">
        <v>6840</v>
      </c>
      <c r="AM781" s="358">
        <f t="shared" si="317"/>
        <v>3.4055555555555558E-3</v>
      </c>
      <c r="AN781" s="359" t="str">
        <f t="shared" si="322"/>
        <v>Minneapolis</v>
      </c>
      <c r="AO781" s="355" t="s">
        <v>6506</v>
      </c>
      <c r="AP781" s="23">
        <f t="shared" ref="AP781:AP844" si="323">MIN(AD781, MAX(0,ROUNDUP(AD781*(0.5*AK781/AC781-0.005)/(RIGHT(AP$1,3)-0.005),0)))</f>
        <v>0</v>
      </c>
      <c r="AQ781" s="392">
        <f t="shared" si="297"/>
        <v>0</v>
      </c>
      <c r="AR781" s="392">
        <f t="shared" si="298"/>
        <v>0</v>
      </c>
      <c r="AS781" s="392">
        <f t="shared" si="298"/>
        <v>0</v>
      </c>
    </row>
    <row r="782" spans="1:47">
      <c r="A782" s="12" t="s">
        <v>1531</v>
      </c>
      <c r="B782" s="54" t="str">
        <f t="shared" si="301"/>
        <v>AZ_Maric_2020g</v>
      </c>
      <c r="C782" s="12"/>
      <c r="D782" s="54" t="str">
        <f t="shared" si="302"/>
        <v>Gen-us senate-term expires  january 3, 2023 (vote for1)</v>
      </c>
      <c r="E782" s="54" t="s">
        <v>1772</v>
      </c>
      <c r="G782" s="59">
        <v>13</v>
      </c>
      <c r="H782"/>
      <c r="K782" s="2"/>
      <c r="O782">
        <f t="shared" si="303"/>
        <v>15</v>
      </c>
      <c r="P782" s="57">
        <f t="shared" si="304"/>
        <v>1</v>
      </c>
      <c r="Q782" s="267">
        <f t="shared" si="305"/>
        <v>47</v>
      </c>
      <c r="R782" s="23" t="str">
        <f t="shared" si="306"/>
        <v/>
      </c>
      <c r="S782" s="23">
        <f t="shared" si="307"/>
        <v>13</v>
      </c>
      <c r="T782" s="23" t="str">
        <f t="shared" si="308"/>
        <v/>
      </c>
      <c r="U782" t="str">
        <f t="shared" si="309"/>
        <v/>
      </c>
      <c r="W782" s="290">
        <f t="shared" si="310"/>
        <v>3</v>
      </c>
      <c r="X782" s="291">
        <f t="shared" si="319"/>
        <v>105.58258642765685</v>
      </c>
      <c r="Y782" s="322">
        <f t="shared" si="311"/>
        <v>917.7</v>
      </c>
      <c r="Z782" s="292">
        <f t="shared" si="320"/>
        <v>6.343676111648487E-9</v>
      </c>
      <c r="AA782" s="293">
        <f t="shared" si="312"/>
        <v>6.3436761116484867E-11</v>
      </c>
      <c r="AB782" s="294">
        <f t="shared" si="313"/>
        <v>5400</v>
      </c>
      <c r="AC782" s="294">
        <f t="shared" si="314"/>
        <v>180000</v>
      </c>
      <c r="AD782" s="8">
        <f t="shared" si="318"/>
        <v>900</v>
      </c>
      <c r="AE782" s="294" t="str">
        <f t="shared" si="315"/>
        <v/>
      </c>
      <c r="AF782" s="22" t="str">
        <f t="shared" si="321"/>
        <v>MN_Henne_2021g</v>
      </c>
      <c r="AG782" s="89">
        <v>1</v>
      </c>
      <c r="AH782" s="274">
        <v>13300</v>
      </c>
      <c r="AI782" s="279">
        <v>5999</v>
      </c>
      <c r="AJ782" s="280">
        <v>5218</v>
      </c>
      <c r="AK782" s="92">
        <v>781</v>
      </c>
      <c r="AL782" s="23" t="s">
        <v>6846</v>
      </c>
      <c r="AM782" s="358">
        <f t="shared" si="317"/>
        <v>4.3388888888888887E-3</v>
      </c>
      <c r="AN782" s="359" t="str">
        <f t="shared" si="322"/>
        <v>Minneapolis</v>
      </c>
      <c r="AO782" s="355" t="s">
        <v>6506</v>
      </c>
      <c r="AP782" s="23">
        <f t="shared" si="323"/>
        <v>0</v>
      </c>
      <c r="AQ782" s="392">
        <f t="shared" si="297"/>
        <v>0</v>
      </c>
      <c r="AR782" s="392">
        <f t="shared" si="298"/>
        <v>0</v>
      </c>
      <c r="AS782" s="392">
        <f t="shared" si="298"/>
        <v>0</v>
      </c>
    </row>
    <row r="783" spans="1:47">
      <c r="A783" s="12" t="s">
        <v>1531</v>
      </c>
      <c r="B783" s="54" t="str">
        <f t="shared" si="301"/>
        <v>AZ_Maric_2020g</v>
      </c>
      <c r="C783" s="12"/>
      <c r="D783" s="54" t="str">
        <f t="shared" si="302"/>
        <v>Gen-us senate-term expires  january 3, 2023 (vote for1)</v>
      </c>
      <c r="E783" s="54" t="s">
        <v>1782</v>
      </c>
      <c r="G783" s="59">
        <v>12</v>
      </c>
      <c r="H783"/>
      <c r="K783" s="2"/>
      <c r="O783">
        <f t="shared" si="303"/>
        <v>16</v>
      </c>
      <c r="P783" s="57">
        <f t="shared" si="304"/>
        <v>1</v>
      </c>
      <c r="Q783" s="267">
        <f t="shared" si="305"/>
        <v>34</v>
      </c>
      <c r="R783" s="23" t="str">
        <f t="shared" si="306"/>
        <v/>
      </c>
      <c r="S783" s="23">
        <f t="shared" si="307"/>
        <v>12</v>
      </c>
      <c r="T783" s="23" t="str">
        <f t="shared" si="308"/>
        <v/>
      </c>
      <c r="U783" t="str">
        <f t="shared" si="309"/>
        <v/>
      </c>
      <c r="W783" s="290">
        <f t="shared" si="310"/>
        <v>4</v>
      </c>
      <c r="X783" s="291">
        <f t="shared" si="319"/>
        <v>105.47848101265824</v>
      </c>
      <c r="Y783" s="322">
        <f t="shared" si="311"/>
        <v>105.47848101265824</v>
      </c>
      <c r="Z783" s="292">
        <f t="shared" si="320"/>
        <v>9.3432106928298992</v>
      </c>
      <c r="AA783" s="293">
        <f t="shared" si="312"/>
        <v>9.3432106928298994E-2</v>
      </c>
      <c r="AB783" s="294">
        <f t="shared" si="313"/>
        <v>5400</v>
      </c>
      <c r="AC783" s="294">
        <f t="shared" si="314"/>
        <v>180000</v>
      </c>
      <c r="AD783" s="8">
        <f t="shared" si="318"/>
        <v>900</v>
      </c>
      <c r="AE783" s="294" t="str">
        <f t="shared" si="315"/>
        <v/>
      </c>
      <c r="AF783" s="22" t="str">
        <f t="shared" si="321"/>
        <v>MN_Henne_2021g</v>
      </c>
      <c r="AG783">
        <v>1</v>
      </c>
      <c r="AH783" s="272">
        <v>1344</v>
      </c>
      <c r="AI783" s="273">
        <v>581</v>
      </c>
      <c r="AJ783" s="274">
        <v>502</v>
      </c>
      <c r="AK783" s="339">
        <v>79</v>
      </c>
      <c r="AL783" s="340" t="s">
        <v>6863</v>
      </c>
      <c r="AM783" s="358">
        <f t="shared" si="317"/>
        <v>4.3888888888888889E-4</v>
      </c>
      <c r="AN783" s="359" t="str">
        <f t="shared" si="322"/>
        <v>St Louis Park</v>
      </c>
      <c r="AO783" s="355" t="s">
        <v>6506</v>
      </c>
      <c r="AP783" s="23">
        <f t="shared" si="323"/>
        <v>0</v>
      </c>
      <c r="AQ783" s="392">
        <f t="shared" si="297"/>
        <v>0</v>
      </c>
      <c r="AR783" s="392">
        <f t="shared" si="298"/>
        <v>0</v>
      </c>
      <c r="AS783" s="392">
        <f t="shared" si="298"/>
        <v>0</v>
      </c>
      <c r="AU783" s="65"/>
    </row>
    <row r="784" spans="1:47">
      <c r="A784" s="12" t="s">
        <v>1531</v>
      </c>
      <c r="B784" s="54" t="str">
        <f t="shared" si="301"/>
        <v>AZ_Maric_2020g</v>
      </c>
      <c r="C784" s="12"/>
      <c r="D784" s="54" t="str">
        <f t="shared" si="302"/>
        <v>Gen-us senate-term expires  january 3, 2023 (vote for1)</v>
      </c>
      <c r="E784" s="54" t="s">
        <v>1770</v>
      </c>
      <c r="G784" s="59">
        <v>10</v>
      </c>
      <c r="H784"/>
      <c r="K784" s="2"/>
      <c r="O784">
        <f t="shared" si="303"/>
        <v>17</v>
      </c>
      <c r="P784" s="57">
        <f t="shared" si="304"/>
        <v>1</v>
      </c>
      <c r="Q784" s="267">
        <f t="shared" si="305"/>
        <v>22</v>
      </c>
      <c r="R784" s="23" t="str">
        <f t="shared" si="306"/>
        <v/>
      </c>
      <c r="S784" s="23">
        <f t="shared" si="307"/>
        <v>10</v>
      </c>
      <c r="T784" s="23" t="str">
        <f t="shared" si="308"/>
        <v/>
      </c>
      <c r="U784" t="str">
        <f t="shared" si="309"/>
        <v/>
      </c>
      <c r="W784" s="290">
        <f t="shared" si="310"/>
        <v>5</v>
      </c>
      <c r="X784" s="291">
        <f t="shared" si="319"/>
        <v>86.262244897959178</v>
      </c>
      <c r="Y784" s="322">
        <f t="shared" si="311"/>
        <v>376.32600000000002</v>
      </c>
      <c r="Z784" s="292">
        <f t="shared" si="320"/>
        <v>7.7112985904617736E-4</v>
      </c>
      <c r="AA784" s="293">
        <f t="shared" si="312"/>
        <v>7.7112985904617731E-6</v>
      </c>
      <c r="AB784" s="294">
        <f t="shared" si="313"/>
        <v>5400</v>
      </c>
      <c r="AC784" s="294">
        <f t="shared" si="314"/>
        <v>180000</v>
      </c>
      <c r="AD784" s="8">
        <f t="shared" si="318"/>
        <v>900</v>
      </c>
      <c r="AE784" s="294" t="str">
        <f t="shared" si="315"/>
        <v/>
      </c>
      <c r="AF784" s="22" t="str">
        <f t="shared" si="321"/>
        <v>MN_Henne_2021g</v>
      </c>
      <c r="AG784" s="89">
        <v>1</v>
      </c>
      <c r="AH784" s="274">
        <v>5454</v>
      </c>
      <c r="AI784" s="279">
        <v>1744</v>
      </c>
      <c r="AJ784" s="280">
        <v>1352</v>
      </c>
      <c r="AK784" s="92">
        <v>392</v>
      </c>
      <c r="AL784" s="23" t="s">
        <v>6848</v>
      </c>
      <c r="AM784" s="353">
        <f t="shared" si="317"/>
        <v>2.1777777777777776E-3</v>
      </c>
      <c r="AN784" s="359" t="str">
        <f t="shared" si="322"/>
        <v>Minneapolis</v>
      </c>
      <c r="AO784" s="355" t="s">
        <v>6506</v>
      </c>
      <c r="AP784" s="23">
        <f t="shared" si="323"/>
        <v>0</v>
      </c>
      <c r="AQ784" s="392">
        <f t="shared" si="297"/>
        <v>0</v>
      </c>
      <c r="AR784" s="392">
        <f t="shared" si="298"/>
        <v>0</v>
      </c>
      <c r="AS784" s="392">
        <f t="shared" si="298"/>
        <v>0</v>
      </c>
    </row>
    <row r="785" spans="1:47">
      <c r="A785" s="12" t="s">
        <v>1531</v>
      </c>
      <c r="B785" s="54" t="str">
        <f t="shared" si="301"/>
        <v>AZ_Maric_2020g</v>
      </c>
      <c r="C785" s="12"/>
      <c r="D785" s="54" t="str">
        <f t="shared" si="302"/>
        <v>Gen-us senate-term expires  january 3, 2023 (vote for1)</v>
      </c>
      <c r="E785" s="54" t="s">
        <v>1777</v>
      </c>
      <c r="G785" s="59">
        <v>9</v>
      </c>
      <c r="H785"/>
      <c r="K785" s="2"/>
      <c r="O785">
        <f t="shared" si="303"/>
        <v>18</v>
      </c>
      <c r="P785" s="57">
        <f t="shared" si="304"/>
        <v>1</v>
      </c>
      <c r="Q785" s="267">
        <f t="shared" si="305"/>
        <v>12</v>
      </c>
      <c r="R785" s="23" t="str">
        <f t="shared" si="306"/>
        <v/>
      </c>
      <c r="S785" s="23">
        <f t="shared" si="307"/>
        <v>9</v>
      </c>
      <c r="T785" s="23" t="str">
        <f t="shared" si="308"/>
        <v/>
      </c>
      <c r="U785" t="str">
        <f t="shared" si="309"/>
        <v/>
      </c>
      <c r="W785" s="290">
        <f t="shared" si="310"/>
        <v>6</v>
      </c>
      <c r="X785" s="291">
        <f t="shared" si="319"/>
        <v>71.586034912718205</v>
      </c>
      <c r="Y785" s="322">
        <f t="shared" si="311"/>
        <v>319.47000000000003</v>
      </c>
      <c r="Z785" s="292">
        <f t="shared" si="320"/>
        <v>5.8831394512933268E-4</v>
      </c>
      <c r="AA785" s="293">
        <f t="shared" si="312"/>
        <v>5.8831394512933264E-6</v>
      </c>
      <c r="AB785" s="294">
        <f t="shared" si="313"/>
        <v>5400</v>
      </c>
      <c r="AC785" s="294">
        <f t="shared" si="314"/>
        <v>180000</v>
      </c>
      <c r="AD785" s="8">
        <f t="shared" si="318"/>
        <v>900</v>
      </c>
      <c r="AE785" s="294" t="str">
        <f t="shared" si="315"/>
        <v/>
      </c>
      <c r="AF785" s="22" t="str">
        <f t="shared" si="321"/>
        <v>MN_Henne_2021g</v>
      </c>
      <c r="AG785">
        <v>2</v>
      </c>
      <c r="AH785" s="272">
        <v>4630</v>
      </c>
      <c r="AI785" s="273">
        <v>2260</v>
      </c>
      <c r="AJ785" s="274">
        <v>1859</v>
      </c>
      <c r="AK785" s="339">
        <v>401</v>
      </c>
      <c r="AL785" s="340" t="s">
        <v>6818</v>
      </c>
      <c r="AM785" s="353">
        <f t="shared" si="317"/>
        <v>2.2277777777777777E-3</v>
      </c>
      <c r="AN785" s="359" t="str">
        <f t="shared" si="322"/>
        <v>Golden Valley</v>
      </c>
      <c r="AO785" s="355" t="s">
        <v>6506</v>
      </c>
      <c r="AP785" s="23">
        <f t="shared" si="323"/>
        <v>0</v>
      </c>
      <c r="AQ785" s="392">
        <f t="shared" si="297"/>
        <v>0</v>
      </c>
      <c r="AR785" s="392">
        <f t="shared" si="298"/>
        <v>0</v>
      </c>
      <c r="AS785" s="392">
        <f t="shared" si="298"/>
        <v>0</v>
      </c>
    </row>
    <row r="786" spans="1:47">
      <c r="A786" s="12" t="s">
        <v>1531</v>
      </c>
      <c r="B786" s="54" t="str">
        <f t="shared" si="301"/>
        <v>AZ_Maric_2020g</v>
      </c>
      <c r="C786" s="12"/>
      <c r="D786" s="54" t="str">
        <f t="shared" si="302"/>
        <v>Gen-us senate-term expires  january 3, 2023 (vote for1)</v>
      </c>
      <c r="E786" s="54" t="s">
        <v>1779</v>
      </c>
      <c r="G786" s="59">
        <v>3</v>
      </c>
      <c r="H786"/>
      <c r="K786" s="2"/>
      <c r="O786">
        <f t="shared" si="303"/>
        <v>19</v>
      </c>
      <c r="P786" s="57">
        <f t="shared" si="304"/>
        <v>1</v>
      </c>
      <c r="Q786" s="267">
        <f t="shared" si="305"/>
        <v>3</v>
      </c>
      <c r="R786" s="23" t="str">
        <f t="shared" si="306"/>
        <v/>
      </c>
      <c r="S786" s="23">
        <f t="shared" si="307"/>
        <v>3</v>
      </c>
      <c r="T786" s="23" t="str">
        <f t="shared" si="308"/>
        <v/>
      </c>
      <c r="U786" t="str">
        <f t="shared" si="309"/>
        <v/>
      </c>
      <c r="W786" s="290">
        <f t="shared" si="310"/>
        <v>7</v>
      </c>
      <c r="X786" s="291">
        <f t="shared" si="319"/>
        <v>60.3046875</v>
      </c>
      <c r="Y786" s="322">
        <f t="shared" si="311"/>
        <v>60.3046875</v>
      </c>
      <c r="Z786" s="292">
        <f t="shared" si="320"/>
        <v>14.655691696591411</v>
      </c>
      <c r="AA786" s="293">
        <f t="shared" si="312"/>
        <v>0.14655691696591411</v>
      </c>
      <c r="AB786" s="294">
        <f t="shared" si="313"/>
        <v>5400</v>
      </c>
      <c r="AC786" s="294">
        <f t="shared" si="314"/>
        <v>180000</v>
      </c>
      <c r="AD786" s="8">
        <f t="shared" si="318"/>
        <v>900</v>
      </c>
      <c r="AE786" s="294" t="str">
        <f t="shared" si="315"/>
        <v/>
      </c>
      <c r="AF786" s="22" t="str">
        <f t="shared" si="321"/>
        <v>MN_Henne_2021g</v>
      </c>
      <c r="AG786" s="89">
        <v>2</v>
      </c>
      <c r="AH786" s="274">
        <v>622.5</v>
      </c>
      <c r="AI786" s="279">
        <v>393</v>
      </c>
      <c r="AJ786" s="280">
        <v>329</v>
      </c>
      <c r="AK786" s="92">
        <v>64</v>
      </c>
      <c r="AL786" s="23" t="s">
        <v>6821</v>
      </c>
      <c r="AM786" s="358">
        <f t="shared" si="317"/>
        <v>3.5555555555555557E-4</v>
      </c>
      <c r="AN786" s="359" t="str">
        <f t="shared" si="322"/>
        <v>Independence</v>
      </c>
      <c r="AO786" s="355" t="s">
        <v>6506</v>
      </c>
      <c r="AP786" s="23">
        <f t="shared" si="323"/>
        <v>0</v>
      </c>
      <c r="AQ786" s="392">
        <f t="shared" si="297"/>
        <v>0</v>
      </c>
      <c r="AR786" s="392">
        <f t="shared" si="298"/>
        <v>0</v>
      </c>
      <c r="AS786" s="392">
        <f t="shared" si="298"/>
        <v>0</v>
      </c>
      <c r="AU786" s="65"/>
    </row>
    <row r="787" spans="1:47">
      <c r="A787" s="12" t="s">
        <v>1632</v>
      </c>
      <c r="B787" s="54" t="str">
        <f t="shared" si="301"/>
        <v>AZ_Maric_2020g</v>
      </c>
      <c r="C787" s="12"/>
      <c r="D787" s="54" t="str">
        <f t="shared" si="302"/>
        <v>Gen-washington esd #6-gbm-4yr (vote for3)</v>
      </c>
      <c r="E787" s="54" t="s">
        <v>2042</v>
      </c>
      <c r="F787" s="12" t="s">
        <v>1300</v>
      </c>
      <c r="G787" s="59">
        <v>37382</v>
      </c>
      <c r="H787"/>
      <c r="K787" s="2"/>
      <c r="O787">
        <f t="shared" si="303"/>
        <v>1</v>
      </c>
      <c r="P787" s="57">
        <f t="shared" si="304"/>
        <v>3</v>
      </c>
      <c r="Q787" s="267">
        <f t="shared" si="305"/>
        <v>53742.666666666664</v>
      </c>
      <c r="R787" s="23">
        <f t="shared" si="306"/>
        <v>31133</v>
      </c>
      <c r="S787" s="23">
        <f t="shared" si="307"/>
        <v>28691</v>
      </c>
      <c r="T787" s="23">
        <f t="shared" si="308"/>
        <v>2442</v>
      </c>
      <c r="U787" t="str">
        <f t="shared" si="309"/>
        <v>AZ_Maric_2020g~Gen-washington esd #6-gbm-4yr (vote for3)</v>
      </c>
      <c r="W787" s="290">
        <f t="shared" si="310"/>
        <v>8</v>
      </c>
      <c r="X787" s="291">
        <f t="shared" si="319"/>
        <v>53.794117647058826</v>
      </c>
      <c r="Y787" s="322">
        <f t="shared" si="311"/>
        <v>162.84</v>
      </c>
      <c r="Z787" s="292">
        <f t="shared" si="320"/>
        <v>2.8410361312735902E-2</v>
      </c>
      <c r="AA787" s="293">
        <f t="shared" si="312"/>
        <v>2.8410361312735901E-4</v>
      </c>
      <c r="AB787" s="294">
        <f t="shared" si="313"/>
        <v>5400</v>
      </c>
      <c r="AC787" s="294">
        <f t="shared" si="314"/>
        <v>180000</v>
      </c>
      <c r="AD787" s="8">
        <f t="shared" si="318"/>
        <v>900</v>
      </c>
      <c r="AE787" s="294" t="str">
        <f t="shared" si="315"/>
        <v/>
      </c>
      <c r="AF787" s="22" t="str">
        <f t="shared" si="321"/>
        <v>MN_Henne_2021g</v>
      </c>
      <c r="AG787">
        <v>2</v>
      </c>
      <c r="AH787" s="8">
        <v>2360</v>
      </c>
      <c r="AI787" s="273">
        <v>1251</v>
      </c>
      <c r="AJ787" s="274">
        <v>979</v>
      </c>
      <c r="AK787" s="339">
        <v>272</v>
      </c>
      <c r="AL787" s="23" t="s">
        <v>6819</v>
      </c>
      <c r="AM787" s="358">
        <f t="shared" si="317"/>
        <v>1.5111111111111111E-3</v>
      </c>
      <c r="AN787" s="359" t="str">
        <f t="shared" si="322"/>
        <v>Hopkins</v>
      </c>
      <c r="AO787" s="355" t="s">
        <v>6506</v>
      </c>
      <c r="AP787" s="23">
        <f t="shared" si="323"/>
        <v>0</v>
      </c>
      <c r="AQ787" s="392">
        <f t="shared" si="297"/>
        <v>0</v>
      </c>
      <c r="AR787" s="392">
        <f t="shared" si="298"/>
        <v>0</v>
      </c>
      <c r="AS787" s="392">
        <f t="shared" si="298"/>
        <v>0</v>
      </c>
    </row>
    <row r="788" spans="1:47">
      <c r="A788" s="12" t="s">
        <v>1632</v>
      </c>
      <c r="B788" s="54" t="str">
        <f t="shared" si="301"/>
        <v>AZ_Maric_2020g</v>
      </c>
      <c r="C788" s="12"/>
      <c r="D788" s="54" t="str">
        <f t="shared" si="302"/>
        <v>Gen-washington esd #6-gbm-4yr (vote for3)</v>
      </c>
      <c r="E788" s="54" t="s">
        <v>2043</v>
      </c>
      <c r="F788" s="12" t="s">
        <v>1300</v>
      </c>
      <c r="G788" s="59">
        <v>37256</v>
      </c>
      <c r="H788"/>
      <c r="K788" s="2"/>
      <c r="O788">
        <f t="shared" si="303"/>
        <v>2</v>
      </c>
      <c r="P788" s="57">
        <f t="shared" si="304"/>
        <v>3</v>
      </c>
      <c r="Q788" s="267">
        <f t="shared" si="305"/>
        <v>123846</v>
      </c>
      <c r="R788" s="23">
        <f t="shared" si="306"/>
        <v>31133</v>
      </c>
      <c r="S788" s="23">
        <f t="shared" si="307"/>
        <v>28691</v>
      </c>
      <c r="T788" s="23" t="str">
        <f t="shared" si="308"/>
        <v/>
      </c>
      <c r="U788" t="str">
        <f t="shared" si="309"/>
        <v/>
      </c>
      <c r="W788" s="290">
        <f t="shared" si="310"/>
        <v>9</v>
      </c>
      <c r="X788" s="291">
        <f t="shared" si="319"/>
        <v>39.845549738219894</v>
      </c>
      <c r="Y788" s="322">
        <f t="shared" si="311"/>
        <v>169.39500000000001</v>
      </c>
      <c r="Z788" s="292">
        <f t="shared" si="320"/>
        <v>1.0415894873032094E-3</v>
      </c>
      <c r="AA788" s="293">
        <f t="shared" si="312"/>
        <v>1.0415894873032093E-5</v>
      </c>
      <c r="AB788" s="294">
        <f t="shared" si="313"/>
        <v>5400</v>
      </c>
      <c r="AC788" s="294">
        <f t="shared" si="314"/>
        <v>180000</v>
      </c>
      <c r="AD788" s="8">
        <f t="shared" si="318"/>
        <v>900</v>
      </c>
      <c r="AE788" s="294" t="str">
        <f t="shared" si="315"/>
        <v/>
      </c>
      <c r="AF788" s="22" t="str">
        <f t="shared" si="321"/>
        <v>MN_Henne_2021g</v>
      </c>
      <c r="AG788">
        <v>1</v>
      </c>
      <c r="AH788" s="8">
        <v>2455</v>
      </c>
      <c r="AI788" s="273">
        <v>1228</v>
      </c>
      <c r="AJ788" s="274">
        <v>846</v>
      </c>
      <c r="AK788" s="339">
        <v>382</v>
      </c>
      <c r="AL788" s="23" t="s">
        <v>6817</v>
      </c>
      <c r="AM788" s="358">
        <f t="shared" si="317"/>
        <v>2.1222222222222224E-3</v>
      </c>
      <c r="AN788" s="359" t="str">
        <f t="shared" si="322"/>
        <v>Bloomington</v>
      </c>
      <c r="AO788" s="355" t="s">
        <v>6506</v>
      </c>
      <c r="AP788" s="23">
        <f t="shared" si="323"/>
        <v>0</v>
      </c>
      <c r="AQ788" s="392">
        <f t="shared" si="297"/>
        <v>0</v>
      </c>
      <c r="AR788" s="392">
        <f t="shared" si="298"/>
        <v>0</v>
      </c>
      <c r="AS788" s="392">
        <f t="shared" si="298"/>
        <v>0</v>
      </c>
    </row>
    <row r="789" spans="1:47">
      <c r="A789" s="12" t="s">
        <v>1632</v>
      </c>
      <c r="B789" s="54" t="str">
        <f t="shared" si="301"/>
        <v>AZ_Maric_2020g</v>
      </c>
      <c r="C789" s="12"/>
      <c r="D789" s="54" t="str">
        <f t="shared" si="302"/>
        <v>Gen-washington esd #6-gbm-4yr (vote for3)</v>
      </c>
      <c r="E789" s="54" t="s">
        <v>2039</v>
      </c>
      <c r="F789" s="12" t="s">
        <v>1300</v>
      </c>
      <c r="G789" s="59">
        <v>31133</v>
      </c>
      <c r="H789"/>
      <c r="K789" s="2"/>
      <c r="O789">
        <f t="shared" si="303"/>
        <v>3</v>
      </c>
      <c r="P789" s="57">
        <f t="shared" si="304"/>
        <v>3</v>
      </c>
      <c r="Q789" s="267">
        <f t="shared" si="305"/>
        <v>86590</v>
      </c>
      <c r="R789" s="23">
        <f t="shared" si="306"/>
        <v>31133</v>
      </c>
      <c r="S789" s="23">
        <f t="shared" si="307"/>
        <v>28691</v>
      </c>
      <c r="T789" s="23" t="str">
        <f t="shared" si="308"/>
        <v/>
      </c>
      <c r="U789" t="str">
        <f t="shared" si="309"/>
        <v/>
      </c>
      <c r="W789" s="290">
        <f t="shared" si="310"/>
        <v>10</v>
      </c>
      <c r="X789" s="291">
        <f t="shared" si="319"/>
        <v>38.949162011173186</v>
      </c>
      <c r="Y789" s="322">
        <f t="shared" si="311"/>
        <v>310.36200000000002</v>
      </c>
      <c r="Z789" s="292">
        <f t="shared" si="320"/>
        <v>4.495226099573706E-8</v>
      </c>
      <c r="AA789" s="293">
        <f t="shared" si="312"/>
        <v>4.4952260995737058E-10</v>
      </c>
      <c r="AB789" s="294">
        <f t="shared" si="313"/>
        <v>5400</v>
      </c>
      <c r="AC789" s="294">
        <f t="shared" si="314"/>
        <v>180000</v>
      </c>
      <c r="AD789" s="8">
        <f t="shared" si="318"/>
        <v>900</v>
      </c>
      <c r="AE789" s="294" t="str">
        <f t="shared" si="315"/>
        <v/>
      </c>
      <c r="AF789" s="22" t="str">
        <f t="shared" si="321"/>
        <v>MN_Henne_2021g</v>
      </c>
      <c r="AG789">
        <v>1</v>
      </c>
      <c r="AH789" s="8">
        <v>4498</v>
      </c>
      <c r="AI789" s="273">
        <v>2326</v>
      </c>
      <c r="AJ789" s="274">
        <v>1610</v>
      </c>
      <c r="AK789" s="339">
        <v>716</v>
      </c>
      <c r="AL789" s="23" t="s">
        <v>6816</v>
      </c>
      <c r="AM789" s="353">
        <f t="shared" si="317"/>
        <v>3.977777777777778E-3</v>
      </c>
      <c r="AN789" s="359" t="str">
        <f t="shared" si="322"/>
        <v>Bloomington</v>
      </c>
      <c r="AO789" s="355" t="s">
        <v>6506</v>
      </c>
      <c r="AP789" s="23">
        <f t="shared" si="323"/>
        <v>0</v>
      </c>
      <c r="AQ789" s="392">
        <f t="shared" si="297"/>
        <v>0</v>
      </c>
      <c r="AR789" s="392">
        <f t="shared" si="298"/>
        <v>0</v>
      </c>
      <c r="AS789" s="392">
        <f t="shared" si="298"/>
        <v>0</v>
      </c>
    </row>
    <row r="790" spans="1:47">
      <c r="A790" s="12" t="s">
        <v>1632</v>
      </c>
      <c r="B790" s="54" t="str">
        <f t="shared" si="301"/>
        <v>AZ_Maric_2020g</v>
      </c>
      <c r="C790" s="12"/>
      <c r="D790" s="54" t="str">
        <f t="shared" si="302"/>
        <v>Gen-washington esd #6-gbm-4yr (vote for3)</v>
      </c>
      <c r="E790" s="54" t="s">
        <v>2040</v>
      </c>
      <c r="F790" s="12" t="s">
        <v>1300</v>
      </c>
      <c r="G790" s="59">
        <v>28691</v>
      </c>
      <c r="H790"/>
      <c r="K790" s="2"/>
      <c r="O790">
        <f t="shared" si="303"/>
        <v>4</v>
      </c>
      <c r="P790" s="57">
        <f t="shared" si="304"/>
        <v>3</v>
      </c>
      <c r="Q790" s="267">
        <f t="shared" si="305"/>
        <v>55457</v>
      </c>
      <c r="R790" s="23" t="str">
        <f t="shared" si="306"/>
        <v/>
      </c>
      <c r="S790" s="23">
        <f t="shared" si="307"/>
        <v>28691</v>
      </c>
      <c r="T790" s="23" t="str">
        <f t="shared" si="308"/>
        <v/>
      </c>
      <c r="U790" t="str">
        <f t="shared" si="309"/>
        <v/>
      </c>
      <c r="W790" s="290">
        <f t="shared" si="310"/>
        <v>11</v>
      </c>
      <c r="X790" s="291">
        <f t="shared" si="319"/>
        <v>35.732286023835321</v>
      </c>
      <c r="Y790" s="322">
        <f t="shared" si="311"/>
        <v>734.09100000000001</v>
      </c>
      <c r="Z790" s="292">
        <f t="shared" si="320"/>
        <v>6.6771708836178296E-23</v>
      </c>
      <c r="AA790" s="293">
        <f t="shared" si="312"/>
        <v>6.6771708836178292E-25</v>
      </c>
      <c r="AB790" s="294">
        <f t="shared" si="313"/>
        <v>5400</v>
      </c>
      <c r="AC790" s="294">
        <f t="shared" si="314"/>
        <v>180000</v>
      </c>
      <c r="AD790" s="8">
        <f t="shared" si="318"/>
        <v>900</v>
      </c>
      <c r="AE790" s="294" t="str">
        <f t="shared" si="315"/>
        <v/>
      </c>
      <c r="AF790" s="22" t="str">
        <f t="shared" si="321"/>
        <v>MN_Henne_2021g</v>
      </c>
      <c r="AG790" s="89">
        <v>1</v>
      </c>
      <c r="AH790" s="274">
        <v>10639</v>
      </c>
      <c r="AI790" s="279">
        <v>3929</v>
      </c>
      <c r="AJ790" s="280">
        <v>2083</v>
      </c>
      <c r="AK790" s="92">
        <v>1846</v>
      </c>
      <c r="AL790" s="23" t="s">
        <v>6841</v>
      </c>
      <c r="AM790" s="353">
        <f t="shared" si="317"/>
        <v>1.0255555555555556E-2</v>
      </c>
      <c r="AN790" s="359" t="str">
        <f t="shared" si="322"/>
        <v>Minneapolis</v>
      </c>
      <c r="AO790" s="355" t="s">
        <v>6506</v>
      </c>
      <c r="AP790" s="23">
        <f t="shared" si="323"/>
        <v>1</v>
      </c>
      <c r="AQ790" s="392">
        <f t="shared" si="297"/>
        <v>1.0000000000000675E-2</v>
      </c>
      <c r="AR790" s="392">
        <f t="shared" si="298"/>
        <v>5.00000000000006E-2</v>
      </c>
      <c r="AS790" s="392">
        <f t="shared" si="298"/>
        <v>0.20000000000000029</v>
      </c>
    </row>
    <row r="791" spans="1:47">
      <c r="A791" s="12" t="s">
        <v>1632</v>
      </c>
      <c r="B791" s="54" t="str">
        <f t="shared" si="301"/>
        <v>AZ_Maric_2020g</v>
      </c>
      <c r="C791" s="12"/>
      <c r="D791" s="54" t="str">
        <f t="shared" si="302"/>
        <v>Gen-washington esd #6-gbm-4yr (vote for3)</v>
      </c>
      <c r="E791" s="54" t="s">
        <v>2041</v>
      </c>
      <c r="F791" s="12" t="s">
        <v>1300</v>
      </c>
      <c r="G791" s="59">
        <v>25826</v>
      </c>
      <c r="H791"/>
      <c r="K791" s="2"/>
      <c r="O791">
        <f t="shared" si="303"/>
        <v>5</v>
      </c>
      <c r="P791" s="57">
        <f t="shared" si="304"/>
        <v>3</v>
      </c>
      <c r="Q791" s="267">
        <f t="shared" si="305"/>
        <v>26766</v>
      </c>
      <c r="R791" s="23" t="str">
        <f t="shared" si="306"/>
        <v/>
      </c>
      <c r="S791" s="23">
        <f t="shared" si="307"/>
        <v>25826</v>
      </c>
      <c r="T791" s="23" t="str">
        <f t="shared" si="308"/>
        <v/>
      </c>
      <c r="U791" t="str">
        <f t="shared" si="309"/>
        <v/>
      </c>
      <c r="W791" s="290">
        <f t="shared" si="310"/>
        <v>12</v>
      </c>
      <c r="X791" s="291">
        <f t="shared" si="319"/>
        <v>32.908189880020863</v>
      </c>
      <c r="Y791" s="322">
        <f t="shared" si="311"/>
        <v>702.07500000000005</v>
      </c>
      <c r="Z791" s="292">
        <f t="shared" si="320"/>
        <v>7.7584288191009154E-24</v>
      </c>
      <c r="AA791" s="293">
        <f t="shared" si="312"/>
        <v>7.7584288191009161E-26</v>
      </c>
      <c r="AB791" s="294">
        <f t="shared" si="313"/>
        <v>5400</v>
      </c>
      <c r="AC791" s="294">
        <f t="shared" si="314"/>
        <v>180000</v>
      </c>
      <c r="AD791" s="8">
        <f t="shared" si="318"/>
        <v>900</v>
      </c>
      <c r="AE791" s="294" t="str">
        <f t="shared" si="315"/>
        <v/>
      </c>
      <c r="AF791" s="22" t="str">
        <f t="shared" si="321"/>
        <v>MN_Henne_2021g</v>
      </c>
      <c r="AG791">
        <v>1</v>
      </c>
      <c r="AH791" s="272">
        <v>10175</v>
      </c>
      <c r="AI791" s="273">
        <v>4137</v>
      </c>
      <c r="AJ791" s="274">
        <v>2220</v>
      </c>
      <c r="AK791" s="339">
        <v>1917</v>
      </c>
      <c r="AL791" s="340" t="s">
        <v>6861</v>
      </c>
      <c r="AM791" s="358">
        <f t="shared" si="317"/>
        <v>1.065E-2</v>
      </c>
      <c r="AN791" s="359" t="str">
        <f t="shared" si="322"/>
        <v>Minnetonka</v>
      </c>
      <c r="AO791" s="355" t="s">
        <v>6506</v>
      </c>
      <c r="AP791" s="23">
        <f t="shared" si="323"/>
        <v>1</v>
      </c>
      <c r="AQ791" s="392">
        <f t="shared" si="297"/>
        <v>1.0000000000000675E-2</v>
      </c>
      <c r="AR791" s="392">
        <f t="shared" si="298"/>
        <v>5.00000000000006E-2</v>
      </c>
      <c r="AS791" s="392">
        <f t="shared" si="298"/>
        <v>0.20000000000000029</v>
      </c>
    </row>
    <row r="792" spans="1:47">
      <c r="A792" s="12" t="s">
        <v>1632</v>
      </c>
      <c r="B792" s="54" t="str">
        <f t="shared" si="301"/>
        <v>AZ_Maric_2020g</v>
      </c>
      <c r="C792" s="12"/>
      <c r="D792" s="54" t="str">
        <f t="shared" si="302"/>
        <v>Gen-washington esd #6-gbm-4yr (vote for3)</v>
      </c>
      <c r="E792" s="54" t="s">
        <v>1299</v>
      </c>
      <c r="G792" s="59">
        <v>940</v>
      </c>
      <c r="H792"/>
      <c r="K792" s="2"/>
      <c r="O792">
        <f t="shared" si="303"/>
        <v>-5</v>
      </c>
      <c r="P792" s="57">
        <f t="shared" si="304"/>
        <v>3</v>
      </c>
      <c r="Q792" s="267">
        <f t="shared" si="305"/>
        <v>940</v>
      </c>
      <c r="R792" s="23">
        <f t="shared" si="306"/>
        <v>1</v>
      </c>
      <c r="S792" s="23">
        <f t="shared" si="307"/>
        <v>0</v>
      </c>
      <c r="T792" s="23" t="str">
        <f t="shared" si="308"/>
        <v/>
      </c>
      <c r="U792" t="str">
        <f t="shared" si="309"/>
        <v/>
      </c>
      <c r="W792" s="290">
        <f t="shared" si="310"/>
        <v>13</v>
      </c>
      <c r="X792" s="291">
        <f t="shared" si="319"/>
        <v>30.975279106858054</v>
      </c>
      <c r="Y792" s="322">
        <f t="shared" si="311"/>
        <v>432.28500000000003</v>
      </c>
      <c r="Z792" s="292">
        <f t="shared" si="320"/>
        <v>4.0240616815170859E-15</v>
      </c>
      <c r="AA792" s="293">
        <f t="shared" si="312"/>
        <v>4.0240616815170861E-17</v>
      </c>
      <c r="AB792" s="294">
        <f t="shared" si="313"/>
        <v>5400</v>
      </c>
      <c r="AC792" s="294">
        <f t="shared" si="314"/>
        <v>180000</v>
      </c>
      <c r="AD792" s="8">
        <f t="shared" si="318"/>
        <v>900</v>
      </c>
      <c r="AE792" s="294" t="str">
        <f t="shared" si="315"/>
        <v/>
      </c>
      <c r="AF792" s="22" t="str">
        <f t="shared" si="321"/>
        <v>MN_Henne_2021g</v>
      </c>
      <c r="AG792" s="89">
        <v>1</v>
      </c>
      <c r="AH792" s="274">
        <v>6265</v>
      </c>
      <c r="AI792" s="279">
        <v>3722</v>
      </c>
      <c r="AJ792" s="280">
        <v>2468</v>
      </c>
      <c r="AK792" s="92">
        <v>1254</v>
      </c>
      <c r="AL792" s="23" t="s">
        <v>6849</v>
      </c>
      <c r="AM792" s="358">
        <f t="shared" si="317"/>
        <v>6.966666666666667E-3</v>
      </c>
      <c r="AN792" s="359" t="str">
        <f t="shared" si="322"/>
        <v>Minneapolis</v>
      </c>
      <c r="AO792" s="355" t="s">
        <v>6506</v>
      </c>
      <c r="AP792" s="23">
        <f t="shared" si="323"/>
        <v>0</v>
      </c>
      <c r="AQ792" s="392">
        <f t="shared" si="297"/>
        <v>0</v>
      </c>
      <c r="AR792" s="392">
        <f t="shared" si="298"/>
        <v>0</v>
      </c>
      <c r="AS792" s="392">
        <f t="shared" si="298"/>
        <v>0</v>
      </c>
    </row>
    <row r="793" spans="1:47">
      <c r="A793" s="12" t="s">
        <v>1618</v>
      </c>
      <c r="B793" s="54" t="str">
        <f t="shared" si="301"/>
        <v>AZ_Maric_2020g</v>
      </c>
      <c r="C793" s="12"/>
      <c r="D793" s="54" t="str">
        <f t="shared" si="302"/>
        <v>Gen-westmec - dist 4 (vote for1)</v>
      </c>
      <c r="E793" s="54" t="s">
        <v>1988</v>
      </c>
      <c r="F793" s="12" t="s">
        <v>1300</v>
      </c>
      <c r="G793" s="59">
        <v>71839</v>
      </c>
      <c r="H793"/>
      <c r="K793" s="2"/>
      <c r="O793">
        <f t="shared" si="303"/>
        <v>1</v>
      </c>
      <c r="P793" s="57">
        <f t="shared" si="304"/>
        <v>1</v>
      </c>
      <c r="Q793" s="267">
        <f t="shared" si="305"/>
        <v>108878</v>
      </c>
      <c r="R793" s="23">
        <f t="shared" si="306"/>
        <v>71839</v>
      </c>
      <c r="S793" s="23">
        <f t="shared" si="307"/>
        <v>36348</v>
      </c>
      <c r="T793" s="23">
        <f t="shared" si="308"/>
        <v>35491</v>
      </c>
      <c r="U793" t="str">
        <f t="shared" si="309"/>
        <v>AZ_Maric_2020g~Gen-westmec - dist 4 (vote for1)</v>
      </c>
      <c r="W793" s="290">
        <f t="shared" si="310"/>
        <v>14</v>
      </c>
      <c r="X793" s="291">
        <f t="shared" si="319"/>
        <v>22.137647058823532</v>
      </c>
      <c r="Y793" s="322">
        <f t="shared" si="311"/>
        <v>921.42600000000004</v>
      </c>
      <c r="Z793" s="292">
        <f t="shared" si="320"/>
        <v>5.7386229005074312E-48</v>
      </c>
      <c r="AA793" s="293">
        <f t="shared" si="312"/>
        <v>5.738622900507431E-50</v>
      </c>
      <c r="AB793" s="294">
        <f t="shared" si="313"/>
        <v>5400</v>
      </c>
      <c r="AC793" s="294">
        <f t="shared" si="314"/>
        <v>180000</v>
      </c>
      <c r="AD793" s="8">
        <f t="shared" si="318"/>
        <v>900</v>
      </c>
      <c r="AE793" s="294" t="str">
        <f t="shared" si="315"/>
        <v/>
      </c>
      <c r="AF793" s="22" t="str">
        <f t="shared" si="321"/>
        <v>MN_Henne_2021g</v>
      </c>
      <c r="AG793" s="89">
        <v>1</v>
      </c>
      <c r="AH793" s="274">
        <v>13354</v>
      </c>
      <c r="AI793" s="279">
        <v>7789</v>
      </c>
      <c r="AJ793" s="280">
        <v>4049</v>
      </c>
      <c r="AK793" s="92">
        <v>3740</v>
      </c>
      <c r="AL793" s="23" t="s">
        <v>6842</v>
      </c>
      <c r="AM793" s="353">
        <f t="shared" si="317"/>
        <v>2.0777777777777777E-2</v>
      </c>
      <c r="AN793" s="359" t="str">
        <f t="shared" si="322"/>
        <v>Minneapolis</v>
      </c>
      <c r="AO793" s="355" t="s">
        <v>6506</v>
      </c>
      <c r="AP793" s="23">
        <f t="shared" si="323"/>
        <v>9</v>
      </c>
      <c r="AQ793" s="392">
        <f t="shared" si="297"/>
        <v>8.6854127269224368E-2</v>
      </c>
      <c r="AR793" s="392">
        <f t="shared" si="298"/>
        <v>0.37108465386330369</v>
      </c>
      <c r="AS793" s="392">
        <f t="shared" si="298"/>
        <v>0.86712724856044843</v>
      </c>
    </row>
    <row r="794" spans="1:47">
      <c r="A794" s="12" t="s">
        <v>1618</v>
      </c>
      <c r="B794" s="54" t="str">
        <f t="shared" si="301"/>
        <v>AZ_Maric_2020g</v>
      </c>
      <c r="C794" s="12"/>
      <c r="D794" s="54" t="str">
        <f t="shared" si="302"/>
        <v>Gen-westmec - dist 4 (vote for1)</v>
      </c>
      <c r="E794" s="54" t="s">
        <v>1987</v>
      </c>
      <c r="F794" s="12" t="s">
        <v>1300</v>
      </c>
      <c r="G794" s="59">
        <v>36348</v>
      </c>
      <c r="H794"/>
      <c r="K794" s="2"/>
      <c r="O794">
        <f t="shared" si="303"/>
        <v>2</v>
      </c>
      <c r="P794" s="57">
        <f t="shared" si="304"/>
        <v>1</v>
      </c>
      <c r="Q794" s="267">
        <f t="shared" si="305"/>
        <v>37039</v>
      </c>
      <c r="R794" s="23" t="str">
        <f t="shared" si="306"/>
        <v/>
      </c>
      <c r="S794" s="23">
        <f t="shared" si="307"/>
        <v>36348</v>
      </c>
      <c r="T794" s="23" t="str">
        <f t="shared" si="308"/>
        <v/>
      </c>
      <c r="U794" t="str">
        <f t="shared" si="309"/>
        <v/>
      </c>
      <c r="W794" s="290">
        <f t="shared" si="310"/>
        <v>15</v>
      </c>
      <c r="X794" s="298">
        <f t="shared" si="319"/>
        <v>20.455763097949887</v>
      </c>
      <c r="Y794" s="322">
        <f t="shared" si="311"/>
        <v>499.69800000000004</v>
      </c>
      <c r="Z794" s="299">
        <f t="shared" si="320"/>
        <v>1.6823159797738596E-27</v>
      </c>
      <c r="AA794" s="300">
        <f t="shared" si="312"/>
        <v>1.6823159797738598E-29</v>
      </c>
      <c r="AB794" s="301">
        <f t="shared" si="313"/>
        <v>5400</v>
      </c>
      <c r="AC794" s="301">
        <f t="shared" si="314"/>
        <v>180000</v>
      </c>
      <c r="AD794" s="8">
        <f t="shared" si="318"/>
        <v>900</v>
      </c>
      <c r="AE794" s="301" t="str">
        <f t="shared" si="315"/>
        <v/>
      </c>
      <c r="AF794" s="22" t="str">
        <f t="shared" si="321"/>
        <v>MN_Henne_2021g</v>
      </c>
      <c r="AG794" s="89">
        <v>1</v>
      </c>
      <c r="AH794" s="274">
        <v>7242</v>
      </c>
      <c r="AI794" s="279">
        <v>4391</v>
      </c>
      <c r="AJ794" s="280">
        <v>2196</v>
      </c>
      <c r="AK794" s="92">
        <v>2195</v>
      </c>
      <c r="AL794" s="23" t="s">
        <v>6847</v>
      </c>
      <c r="AM794" s="353">
        <f t="shared" si="317"/>
        <v>1.2194444444444445E-2</v>
      </c>
      <c r="AN794" s="359" t="str">
        <f t="shared" si="322"/>
        <v>Minneapolis</v>
      </c>
      <c r="AO794" s="355" t="s">
        <v>6506</v>
      </c>
      <c r="AP794" s="23">
        <f t="shared" si="323"/>
        <v>2</v>
      </c>
      <c r="AQ794" s="392">
        <f t="shared" si="297"/>
        <v>1.9911012235817704E-2</v>
      </c>
      <c r="AR794" s="392">
        <f t="shared" si="298"/>
        <v>9.7552836484983363E-2</v>
      </c>
      <c r="AS794" s="392">
        <f t="shared" si="298"/>
        <v>0.36017797552836472</v>
      </c>
    </row>
    <row r="795" spans="1:47">
      <c r="A795" s="12" t="s">
        <v>1618</v>
      </c>
      <c r="B795" s="54" t="str">
        <f t="shared" si="301"/>
        <v>AZ_Maric_2020g</v>
      </c>
      <c r="C795" s="12"/>
      <c r="D795" s="54" t="str">
        <f t="shared" si="302"/>
        <v>Gen-westmec - dist 4 (vote for1)</v>
      </c>
      <c r="E795" s="54" t="s">
        <v>1299</v>
      </c>
      <c r="G795" s="59">
        <v>691</v>
      </c>
      <c r="H795"/>
      <c r="K795" s="2"/>
      <c r="O795">
        <f t="shared" si="303"/>
        <v>-2</v>
      </c>
      <c r="P795" s="57">
        <f t="shared" si="304"/>
        <v>1</v>
      </c>
      <c r="Q795" s="267">
        <f t="shared" si="305"/>
        <v>691</v>
      </c>
      <c r="R795" s="23">
        <f t="shared" si="306"/>
        <v>1</v>
      </c>
      <c r="S795" s="23">
        <f t="shared" si="307"/>
        <v>0</v>
      </c>
      <c r="T795" s="23" t="str">
        <f t="shared" si="308"/>
        <v/>
      </c>
      <c r="U795" t="str">
        <f t="shared" si="309"/>
        <v/>
      </c>
      <c r="W795" s="290">
        <f t="shared" si="310"/>
        <v>16</v>
      </c>
      <c r="X795" s="298">
        <f t="shared" si="319"/>
        <v>17.871172855997862</v>
      </c>
      <c r="Y795" s="322">
        <f t="shared" si="311"/>
        <v>744.44100000000003</v>
      </c>
      <c r="Z795" s="299">
        <f t="shared" si="320"/>
        <v>5.2346961870234924E-48</v>
      </c>
      <c r="AA795" s="300">
        <f t="shared" si="312"/>
        <v>5.2346961870234923E-50</v>
      </c>
      <c r="AB795" s="301">
        <f t="shared" si="313"/>
        <v>5400</v>
      </c>
      <c r="AC795" s="301">
        <f t="shared" si="314"/>
        <v>180000</v>
      </c>
      <c r="AD795" s="8">
        <f t="shared" si="318"/>
        <v>900</v>
      </c>
      <c r="AE795" s="301" t="str">
        <f t="shared" si="315"/>
        <v/>
      </c>
      <c r="AF795" s="22" t="str">
        <f t="shared" si="321"/>
        <v>MN_Henne_2021g</v>
      </c>
      <c r="AG795">
        <v>1</v>
      </c>
      <c r="AH795" s="272">
        <v>10789</v>
      </c>
      <c r="AI795" s="273">
        <v>5881</v>
      </c>
      <c r="AJ795" s="274">
        <v>2138</v>
      </c>
      <c r="AK795" s="339">
        <v>3743</v>
      </c>
      <c r="AL795" s="340" t="s">
        <v>6860</v>
      </c>
      <c r="AM795" s="353">
        <f t="shared" si="317"/>
        <v>2.0794444444444445E-2</v>
      </c>
      <c r="AN795" s="359" t="str">
        <f t="shared" si="322"/>
        <v>Minnetonka</v>
      </c>
      <c r="AO795" s="355" t="s">
        <v>6506</v>
      </c>
      <c r="AP795" s="23">
        <f t="shared" si="323"/>
        <v>9</v>
      </c>
      <c r="AQ795" s="392">
        <f t="shared" si="297"/>
        <v>8.6854127269224368E-2</v>
      </c>
      <c r="AR795" s="392">
        <f t="shared" si="298"/>
        <v>0.37108465386330369</v>
      </c>
      <c r="AS795" s="392">
        <f t="shared" si="298"/>
        <v>0.86712724856044843</v>
      </c>
    </row>
    <row r="796" spans="1:47">
      <c r="A796" s="12" t="s">
        <v>1619</v>
      </c>
      <c r="B796" s="54" t="str">
        <f t="shared" si="301"/>
        <v>AZ_Maric_2020g</v>
      </c>
      <c r="C796" s="12"/>
      <c r="D796" s="54" t="str">
        <f t="shared" si="302"/>
        <v>Gen-westmec - dist 5 (vote for1)</v>
      </c>
      <c r="E796" s="54" t="s">
        <v>1299</v>
      </c>
      <c r="G796" s="59">
        <v>4741</v>
      </c>
      <c r="H796"/>
      <c r="K796" s="2"/>
      <c r="O796">
        <f t="shared" si="303"/>
        <v>0</v>
      </c>
      <c r="P796" s="57">
        <f t="shared" si="304"/>
        <v>1</v>
      </c>
      <c r="Q796" s="267">
        <f t="shared" si="305"/>
        <v>9482</v>
      </c>
      <c r="R796" s="23">
        <f t="shared" si="306"/>
        <v>292</v>
      </c>
      <c r="S796" s="23">
        <f t="shared" si="307"/>
        <v>216</v>
      </c>
      <c r="T796" s="23">
        <f t="shared" si="308"/>
        <v>76</v>
      </c>
      <c r="U796" t="str">
        <f t="shared" si="309"/>
        <v>AZ_Maric_2020g~Gen-westmec - dist 5 (vote for1)</v>
      </c>
      <c r="W796" s="290">
        <f t="shared" si="310"/>
        <v>17</v>
      </c>
      <c r="X796" s="298">
        <f t="shared" si="319"/>
        <v>17.699609011357289</v>
      </c>
      <c r="Y796" s="322">
        <f t="shared" si="311"/>
        <v>1057.9770000000001</v>
      </c>
      <c r="Z796" s="299">
        <f t="shared" si="320"/>
        <v>9.0542930687023467E-70</v>
      </c>
      <c r="AA796" s="300">
        <f t="shared" si="312"/>
        <v>9.0542930687023462E-72</v>
      </c>
      <c r="AB796" s="301">
        <f t="shared" si="313"/>
        <v>5400</v>
      </c>
      <c r="AC796" s="301">
        <f t="shared" si="314"/>
        <v>180000</v>
      </c>
      <c r="AD796" s="8">
        <f t="shared" si="318"/>
        <v>900</v>
      </c>
      <c r="AE796" s="301" t="str">
        <f t="shared" si="315"/>
        <v/>
      </c>
      <c r="AF796" s="22" t="str">
        <f t="shared" si="321"/>
        <v>MN_Henne_2021g</v>
      </c>
      <c r="AG796" s="89">
        <v>1</v>
      </c>
      <c r="AH796" s="274">
        <v>15333</v>
      </c>
      <c r="AI796" s="279">
        <v>9940</v>
      </c>
      <c r="AJ796" s="280">
        <v>4569</v>
      </c>
      <c r="AK796" s="92">
        <v>5371</v>
      </c>
      <c r="AL796" s="23" t="s">
        <v>6843</v>
      </c>
      <c r="AM796" s="353">
        <f t="shared" si="317"/>
        <v>2.983888888888889E-2</v>
      </c>
      <c r="AN796" s="359" t="str">
        <f t="shared" si="322"/>
        <v>Minneapolis</v>
      </c>
      <c r="AO796" s="355" t="s">
        <v>6506</v>
      </c>
      <c r="AP796" s="23">
        <f t="shared" si="323"/>
        <v>16</v>
      </c>
      <c r="AQ796" s="392">
        <f t="shared" si="297"/>
        <v>0.14970159019611406</v>
      </c>
      <c r="AR796" s="392">
        <f t="shared" si="298"/>
        <v>0.56298775216162023</v>
      </c>
      <c r="AS796" s="392">
        <f t="shared" si="298"/>
        <v>0.97278717978250262</v>
      </c>
    </row>
    <row r="797" spans="1:47">
      <c r="A797" s="12" t="s">
        <v>1619</v>
      </c>
      <c r="B797" s="54" t="str">
        <f t="shared" si="301"/>
        <v>AZ_Maric_2020g</v>
      </c>
      <c r="C797" s="12"/>
      <c r="D797" s="54" t="str">
        <f t="shared" si="302"/>
        <v>Gen-westmec - dist 5 (vote for1)</v>
      </c>
      <c r="E797" s="54" t="s">
        <v>1765</v>
      </c>
      <c r="F797" s="12" t="s">
        <v>1300</v>
      </c>
      <c r="G797" s="59">
        <v>3886</v>
      </c>
      <c r="H797"/>
      <c r="K797" s="2"/>
      <c r="O797">
        <f t="shared" si="303"/>
        <v>0</v>
      </c>
      <c r="P797" s="57">
        <f t="shared" si="304"/>
        <v>1</v>
      </c>
      <c r="Q797" s="267">
        <f t="shared" si="305"/>
        <v>4741</v>
      </c>
      <c r="R797" s="23">
        <f t="shared" si="306"/>
        <v>292</v>
      </c>
      <c r="S797" s="23">
        <f t="shared" si="307"/>
        <v>216</v>
      </c>
      <c r="T797" s="23" t="str">
        <f t="shared" si="308"/>
        <v/>
      </c>
      <c r="U797" t="str">
        <f t="shared" si="309"/>
        <v/>
      </c>
      <c r="W797" s="290">
        <f t="shared" si="310"/>
        <v>18</v>
      </c>
      <c r="X797" s="291">
        <f t="shared" si="319"/>
        <v>17.430386473429952</v>
      </c>
      <c r="Y797" s="322">
        <f t="shared" si="311"/>
        <v>803.09100000000012</v>
      </c>
      <c r="Z797" s="292">
        <f t="shared" si="320"/>
        <v>2.695529451866608E-53</v>
      </c>
      <c r="AA797" s="293">
        <f t="shared" si="312"/>
        <v>2.695529451866608E-55</v>
      </c>
      <c r="AB797" s="294">
        <f t="shared" si="313"/>
        <v>5400</v>
      </c>
      <c r="AC797" s="294">
        <f t="shared" si="314"/>
        <v>180000</v>
      </c>
      <c r="AD797" s="8">
        <f t="shared" si="318"/>
        <v>900</v>
      </c>
      <c r="AE797" s="294" t="str">
        <f t="shared" si="315"/>
        <v/>
      </c>
      <c r="AF797" s="22" t="str">
        <f t="shared" si="321"/>
        <v>MN_Henne_2021g</v>
      </c>
      <c r="AG797" s="89">
        <v>1</v>
      </c>
      <c r="AH797" s="274">
        <v>11639</v>
      </c>
      <c r="AI797" s="279">
        <v>7206</v>
      </c>
      <c r="AJ797" s="280">
        <v>3066</v>
      </c>
      <c r="AK797" s="92">
        <v>4140</v>
      </c>
      <c r="AL797" s="23" t="s">
        <v>6850</v>
      </c>
      <c r="AM797" s="353">
        <f t="shared" si="317"/>
        <v>2.3E-2</v>
      </c>
      <c r="AN797" s="359" t="str">
        <f t="shared" si="322"/>
        <v>Minneapolis</v>
      </c>
      <c r="AO797" s="355" t="s">
        <v>6506</v>
      </c>
      <c r="AP797" s="23">
        <f t="shared" si="323"/>
        <v>10</v>
      </c>
      <c r="AQ797" s="392">
        <f t="shared" si="297"/>
        <v>9.6077822953373526E-2</v>
      </c>
      <c r="AR797" s="392">
        <f t="shared" si="298"/>
        <v>0.40284805518333899</v>
      </c>
      <c r="AS797" s="392">
        <f t="shared" si="298"/>
        <v>0.89397022864924669</v>
      </c>
    </row>
    <row r="798" spans="1:47">
      <c r="A798" s="12" t="s">
        <v>1619</v>
      </c>
      <c r="B798" s="54" t="str">
        <f t="shared" si="301"/>
        <v>AZ_Maric_2020g</v>
      </c>
      <c r="C798" s="12"/>
      <c r="D798" s="54" t="str">
        <f t="shared" si="302"/>
        <v>Gen-westmec - dist 5 (vote for1)</v>
      </c>
      <c r="E798" s="54" t="s">
        <v>1993</v>
      </c>
      <c r="F798" s="12" t="s">
        <v>1300</v>
      </c>
      <c r="G798" s="59">
        <v>292</v>
      </c>
      <c r="H798"/>
      <c r="K798" s="2"/>
      <c r="O798">
        <f t="shared" si="303"/>
        <v>1</v>
      </c>
      <c r="P798" s="57">
        <f t="shared" si="304"/>
        <v>1</v>
      </c>
      <c r="Q798" s="267">
        <f t="shared" si="305"/>
        <v>855</v>
      </c>
      <c r="R798" s="23">
        <f t="shared" si="306"/>
        <v>292</v>
      </c>
      <c r="S798" s="23">
        <f t="shared" si="307"/>
        <v>216</v>
      </c>
      <c r="T798" s="23" t="str">
        <f t="shared" si="308"/>
        <v/>
      </c>
      <c r="U798" t="str">
        <f t="shared" si="309"/>
        <v/>
      </c>
      <c r="W798" s="290">
        <f t="shared" si="310"/>
        <v>19</v>
      </c>
      <c r="X798" s="298">
        <f t="shared" si="319"/>
        <v>14.32058212058212</v>
      </c>
      <c r="Y798" s="322">
        <f t="shared" si="311"/>
        <v>459.95400000000006</v>
      </c>
      <c r="Z798" s="299">
        <f t="shared" si="320"/>
        <v>1.2418984100435131E-36</v>
      </c>
      <c r="AA798" s="300">
        <f t="shared" si="312"/>
        <v>1.2418984100435132E-38</v>
      </c>
      <c r="AB798" s="301">
        <f t="shared" si="313"/>
        <v>5400</v>
      </c>
      <c r="AC798" s="301">
        <f t="shared" si="314"/>
        <v>180000</v>
      </c>
      <c r="AD798" s="8">
        <f t="shared" si="318"/>
        <v>900</v>
      </c>
      <c r="AE798" s="301" t="str">
        <f t="shared" si="315"/>
        <v/>
      </c>
      <c r="AF798" s="22" t="str">
        <f t="shared" si="321"/>
        <v>MN_Henne_2021g</v>
      </c>
      <c r="AG798">
        <v>1</v>
      </c>
      <c r="AH798" s="272">
        <v>6666</v>
      </c>
      <c r="AI798" s="273">
        <v>3792</v>
      </c>
      <c r="AJ798" s="274">
        <v>906</v>
      </c>
      <c r="AK798" s="339">
        <v>2886</v>
      </c>
      <c r="AL798" s="340" t="s">
        <v>6852</v>
      </c>
      <c r="AM798" s="353">
        <f t="shared" si="317"/>
        <v>1.6033333333333333E-2</v>
      </c>
      <c r="AN798" s="359" t="str">
        <f t="shared" si="322"/>
        <v>Minneapolis</v>
      </c>
      <c r="AO798" s="355" t="s">
        <v>6506</v>
      </c>
      <c r="AP798" s="23">
        <f t="shared" si="323"/>
        <v>5</v>
      </c>
      <c r="AQ798" s="392">
        <f t="shared" si="297"/>
        <v>4.9117035869855719E-2</v>
      </c>
      <c r="AR798" s="392">
        <f t="shared" si="298"/>
        <v>0.22667298672472802</v>
      </c>
      <c r="AS798" s="392">
        <f t="shared" si="298"/>
        <v>0.67323237734652919</v>
      </c>
    </row>
    <row r="799" spans="1:47">
      <c r="A799" s="12" t="s">
        <v>1619</v>
      </c>
      <c r="B799" s="54" t="str">
        <f t="shared" si="301"/>
        <v>AZ_Maric_2020g</v>
      </c>
      <c r="C799" s="12"/>
      <c r="D799" s="54" t="str">
        <f t="shared" si="302"/>
        <v>Gen-westmec - dist 5 (vote for1)</v>
      </c>
      <c r="E799" s="54" t="s">
        <v>1989</v>
      </c>
      <c r="F799" s="12" t="s">
        <v>1300</v>
      </c>
      <c r="G799" s="59">
        <v>216</v>
      </c>
      <c r="H799"/>
      <c r="K799" s="2"/>
      <c r="O799">
        <f t="shared" si="303"/>
        <v>2</v>
      </c>
      <c r="P799" s="57">
        <f t="shared" si="304"/>
        <v>1</v>
      </c>
      <c r="Q799" s="267">
        <f t="shared" si="305"/>
        <v>563</v>
      </c>
      <c r="R799" s="23" t="str">
        <f t="shared" si="306"/>
        <v/>
      </c>
      <c r="S799" s="23">
        <f t="shared" si="307"/>
        <v>216</v>
      </c>
      <c r="T799" s="23" t="str">
        <f t="shared" si="308"/>
        <v/>
      </c>
      <c r="U799" t="str">
        <f t="shared" si="309"/>
        <v/>
      </c>
      <c r="W799" s="290">
        <f t="shared" si="310"/>
        <v>20</v>
      </c>
      <c r="X799" s="298">
        <f t="shared" si="319"/>
        <v>13.411445862386527</v>
      </c>
      <c r="Y799" s="322">
        <f t="shared" si="311"/>
        <v>1134.498</v>
      </c>
      <c r="Z799" s="299">
        <f t="shared" si="320"/>
        <v>6.5475865848063142E-100</v>
      </c>
      <c r="AA799" s="300">
        <f t="shared" si="312"/>
        <v>6.547586584806314E-102</v>
      </c>
      <c r="AB799" s="301">
        <f t="shared" si="313"/>
        <v>5400</v>
      </c>
      <c r="AC799" s="301">
        <f t="shared" si="314"/>
        <v>180000</v>
      </c>
      <c r="AD799" s="8">
        <f t="shared" si="318"/>
        <v>900</v>
      </c>
      <c r="AE799" s="301" t="str">
        <f t="shared" si="315"/>
        <v/>
      </c>
      <c r="AF799" s="22" t="str">
        <f t="shared" si="321"/>
        <v>MN_Henne_2021g</v>
      </c>
      <c r="AG799" s="89">
        <v>1</v>
      </c>
      <c r="AH799" s="274">
        <v>16442</v>
      </c>
      <c r="AI799" s="279">
        <v>10883</v>
      </c>
      <c r="AJ799" s="280">
        <v>3282</v>
      </c>
      <c r="AK799" s="92">
        <v>7601</v>
      </c>
      <c r="AL799" s="23" t="s">
        <v>6844</v>
      </c>
      <c r="AM799" s="353">
        <f t="shared" si="317"/>
        <v>4.2227777777777781E-2</v>
      </c>
      <c r="AN799" s="359" t="str">
        <f t="shared" si="322"/>
        <v>Minneapolis</v>
      </c>
      <c r="AO799" s="355" t="s">
        <v>6506</v>
      </c>
      <c r="AP799" s="23">
        <f t="shared" si="323"/>
        <v>25</v>
      </c>
      <c r="AQ799" s="392">
        <f t="shared" si="297"/>
        <v>0.22484176871427297</v>
      </c>
      <c r="AR799" s="392">
        <f t="shared" si="298"/>
        <v>0.72752542960869149</v>
      </c>
      <c r="AS799" s="392">
        <f t="shared" si="298"/>
        <v>0.99653021873251957</v>
      </c>
    </row>
    <row r="800" spans="1:47">
      <c r="A800" s="12" t="s">
        <v>1619</v>
      </c>
      <c r="B800" s="54" t="str">
        <f t="shared" si="301"/>
        <v>AZ_Maric_2020g</v>
      </c>
      <c r="C800" s="12"/>
      <c r="D800" s="54" t="str">
        <f t="shared" si="302"/>
        <v>Gen-westmec - dist 5 (vote for1)</v>
      </c>
      <c r="E800" s="54" t="s">
        <v>1991</v>
      </c>
      <c r="F800" s="12" t="s">
        <v>1300</v>
      </c>
      <c r="G800" s="59">
        <v>211</v>
      </c>
      <c r="H800"/>
      <c r="K800" s="2"/>
      <c r="O800">
        <f t="shared" si="303"/>
        <v>3</v>
      </c>
      <c r="P800" s="57">
        <f t="shared" si="304"/>
        <v>1</v>
      </c>
      <c r="Q800" s="267">
        <f t="shared" si="305"/>
        <v>347</v>
      </c>
      <c r="R800" s="23" t="str">
        <f t="shared" si="306"/>
        <v/>
      </c>
      <c r="S800" s="23">
        <f t="shared" si="307"/>
        <v>211</v>
      </c>
      <c r="T800" s="23" t="str">
        <f t="shared" si="308"/>
        <v/>
      </c>
      <c r="U800" t="str">
        <f t="shared" si="309"/>
        <v/>
      </c>
      <c r="W800" s="290">
        <f t="shared" si="310"/>
        <v>21</v>
      </c>
      <c r="X800" s="298">
        <f t="shared" si="319"/>
        <v>8.7219085487077539</v>
      </c>
      <c r="Y800" s="322">
        <f t="shared" si="311"/>
        <v>732.3660000000001</v>
      </c>
      <c r="Z800" s="299">
        <f t="shared" si="320"/>
        <v>3.7821669170247798E-99</v>
      </c>
      <c r="AA800" s="300">
        <f t="shared" si="312"/>
        <v>3.7821669170247797E-101</v>
      </c>
      <c r="AB800" s="301">
        <f t="shared" si="313"/>
        <v>5400</v>
      </c>
      <c r="AC800" s="301">
        <f t="shared" si="314"/>
        <v>180000</v>
      </c>
      <c r="AD800" s="8">
        <f t="shared" si="318"/>
        <v>900</v>
      </c>
      <c r="AE800" s="301" t="str">
        <f t="shared" si="315"/>
        <v/>
      </c>
      <c r="AF800" s="22" t="str">
        <f t="shared" si="321"/>
        <v>MN_Henne_2021g</v>
      </c>
      <c r="AG800" s="89">
        <v>1</v>
      </c>
      <c r="AH800" s="274">
        <v>10614</v>
      </c>
      <c r="AI800" s="279">
        <v>9013</v>
      </c>
      <c r="AJ800" s="280">
        <v>1468</v>
      </c>
      <c r="AK800" s="92">
        <v>7545</v>
      </c>
      <c r="AL800" s="23" t="s">
        <v>6851</v>
      </c>
      <c r="AM800" s="353">
        <f t="shared" si="317"/>
        <v>4.1916666666666665E-2</v>
      </c>
      <c r="AN800" s="359" t="str">
        <f t="shared" si="322"/>
        <v>Minneapolis</v>
      </c>
      <c r="AO800" s="355" t="s">
        <v>6506</v>
      </c>
      <c r="AP800" s="23">
        <f t="shared" si="323"/>
        <v>25</v>
      </c>
      <c r="AQ800" s="392">
        <f t="shared" si="297"/>
        <v>0.22484176871427297</v>
      </c>
      <c r="AR800" s="392">
        <f t="shared" si="298"/>
        <v>0.72752542960869149</v>
      </c>
      <c r="AS800" s="392">
        <f t="shared" si="298"/>
        <v>0.99653021873251957</v>
      </c>
    </row>
    <row r="801" spans="1:45">
      <c r="A801" s="12" t="s">
        <v>1619</v>
      </c>
      <c r="B801" s="54" t="str">
        <f t="shared" si="301"/>
        <v>AZ_Maric_2020g</v>
      </c>
      <c r="C801" s="12"/>
      <c r="D801" s="54" t="str">
        <f t="shared" si="302"/>
        <v>Gen-westmec - dist 5 (vote for1)</v>
      </c>
      <c r="E801" s="54" t="s">
        <v>1990</v>
      </c>
      <c r="F801" s="12" t="s">
        <v>1300</v>
      </c>
      <c r="G801" s="59">
        <v>109</v>
      </c>
      <c r="H801"/>
      <c r="K801" s="2"/>
      <c r="O801">
        <f t="shared" si="303"/>
        <v>4</v>
      </c>
      <c r="P801" s="57">
        <f t="shared" si="304"/>
        <v>1</v>
      </c>
      <c r="Q801" s="267">
        <f t="shared" si="305"/>
        <v>136</v>
      </c>
      <c r="R801" s="23" t="str">
        <f t="shared" si="306"/>
        <v/>
      </c>
      <c r="S801" s="23">
        <f t="shared" si="307"/>
        <v>109</v>
      </c>
      <c r="T801" s="23" t="str">
        <f t="shared" si="308"/>
        <v/>
      </c>
      <c r="U801" t="str">
        <f t="shared" si="309"/>
        <v/>
      </c>
      <c r="W801" s="290">
        <f t="shared" si="310"/>
        <v>22</v>
      </c>
      <c r="X801" s="291">
        <f t="shared" si="319"/>
        <v>1355.8071428571429</v>
      </c>
      <c r="Y801" s="322">
        <f t="shared" si="311"/>
        <v>1689.9480000000001</v>
      </c>
      <c r="Z801" s="292">
        <f t="shared" si="320"/>
        <v>3.4698952938918834</v>
      </c>
      <c r="AA801" s="293">
        <f t="shared" si="312"/>
        <v>3.4698952938918837E-2</v>
      </c>
      <c r="AB801" s="294">
        <f t="shared" si="313"/>
        <v>5400</v>
      </c>
      <c r="AC801" s="294">
        <f t="shared" si="314"/>
        <v>180000</v>
      </c>
      <c r="AD801" s="8">
        <f t="shared" si="318"/>
        <v>900</v>
      </c>
      <c r="AE801" s="294" t="str">
        <f t="shared" si="315"/>
        <v/>
      </c>
      <c r="AF801" s="22" t="str">
        <f t="shared" si="321"/>
        <v>MN_Henne_2021g</v>
      </c>
      <c r="AG801">
        <v>1</v>
      </c>
      <c r="AH801" s="272">
        <v>24492</v>
      </c>
      <c r="AI801" s="273">
        <v>6552</v>
      </c>
      <c r="AJ801" s="274">
        <v>6440</v>
      </c>
      <c r="AK801" s="339">
        <v>112</v>
      </c>
      <c r="AL801" s="340" t="s">
        <v>6859</v>
      </c>
      <c r="AM801" s="358">
        <f t="shared" si="317"/>
        <v>6.2222222222222225E-4</v>
      </c>
      <c r="AN801" s="359" t="str">
        <f t="shared" si="322"/>
        <v>Minneapolis</v>
      </c>
      <c r="AO801" s="355" t="s">
        <v>6507</v>
      </c>
      <c r="AP801" s="23">
        <f t="shared" si="323"/>
        <v>0</v>
      </c>
      <c r="AQ801" s="392">
        <f t="shared" si="297"/>
        <v>0</v>
      </c>
      <c r="AR801" s="392">
        <f t="shared" si="298"/>
        <v>0</v>
      </c>
      <c r="AS801" s="392">
        <f t="shared" si="298"/>
        <v>0</v>
      </c>
    </row>
    <row r="802" spans="1:45">
      <c r="A802" s="12" t="s">
        <v>1619</v>
      </c>
      <c r="B802" s="54" t="str">
        <f t="shared" si="301"/>
        <v>AZ_Maric_2020g</v>
      </c>
      <c r="C802" s="12"/>
      <c r="D802" s="54" t="str">
        <f t="shared" si="302"/>
        <v>Gen-westmec - dist 5 (vote for1)</v>
      </c>
      <c r="E802" s="54" t="s">
        <v>1992</v>
      </c>
      <c r="F802" s="12" t="s">
        <v>1300</v>
      </c>
      <c r="G802" s="59">
        <v>27</v>
      </c>
      <c r="H802"/>
      <c r="K802" s="2"/>
      <c r="O802">
        <f t="shared" si="303"/>
        <v>5</v>
      </c>
      <c r="P802" s="57">
        <f t="shared" si="304"/>
        <v>1</v>
      </c>
      <c r="Q802" s="267">
        <f t="shared" si="305"/>
        <v>27</v>
      </c>
      <c r="R802" s="23" t="str">
        <f t="shared" si="306"/>
        <v/>
      </c>
      <c r="S802" s="23">
        <f t="shared" si="307"/>
        <v>27</v>
      </c>
      <c r="T802" s="23" t="str">
        <f t="shared" si="308"/>
        <v/>
      </c>
      <c r="U802" t="str">
        <f t="shared" si="309"/>
        <v/>
      </c>
      <c r="W802" s="290">
        <f t="shared" si="310"/>
        <v>23</v>
      </c>
      <c r="X802" s="291">
        <f t="shared" si="319"/>
        <v>992.13247863247852</v>
      </c>
      <c r="Y802" s="322">
        <f t="shared" si="311"/>
        <v>1722.47</v>
      </c>
      <c r="Z802" s="292">
        <f t="shared" si="320"/>
        <v>0.92602042577439625</v>
      </c>
      <c r="AA802" s="293">
        <f t="shared" si="312"/>
        <v>9.2602042577439626E-3</v>
      </c>
      <c r="AB802" s="294">
        <f t="shared" si="313"/>
        <v>5400</v>
      </c>
      <c r="AC802" s="294">
        <f t="shared" si="314"/>
        <v>180000</v>
      </c>
      <c r="AD802" s="8">
        <f t="shared" si="318"/>
        <v>900</v>
      </c>
      <c r="AE802" s="294" t="str">
        <f t="shared" si="315"/>
        <v/>
      </c>
      <c r="AF802" s="22" t="str">
        <f t="shared" si="321"/>
        <v>MN_Henne_2021g</v>
      </c>
      <c r="AG802">
        <v>3</v>
      </c>
      <c r="AH802" s="272">
        <v>24963.333333333332</v>
      </c>
      <c r="AI802" s="273">
        <v>12044</v>
      </c>
      <c r="AJ802" s="274">
        <v>11888</v>
      </c>
      <c r="AK802" s="339">
        <v>156</v>
      </c>
      <c r="AL802" s="340" t="s">
        <v>6854</v>
      </c>
      <c r="AM802" s="358">
        <f t="shared" si="317"/>
        <v>8.6666666666666663E-4</v>
      </c>
      <c r="AN802" s="359" t="str">
        <f t="shared" si="322"/>
        <v>Minneapolis</v>
      </c>
      <c r="AO802" s="355" t="s">
        <v>6507</v>
      </c>
      <c r="AP802" s="23">
        <f t="shared" si="323"/>
        <v>0</v>
      </c>
      <c r="AQ802" s="392">
        <f t="shared" si="297"/>
        <v>0</v>
      </c>
      <c r="AR802" s="392">
        <f t="shared" si="298"/>
        <v>0</v>
      </c>
      <c r="AS802" s="392">
        <f t="shared" si="298"/>
        <v>0</v>
      </c>
    </row>
    <row r="803" spans="1:45">
      <c r="A803" s="12" t="s">
        <v>1619</v>
      </c>
      <c r="B803" s="54" t="str">
        <f t="shared" si="301"/>
        <v>AZ_Maric_2020g</v>
      </c>
      <c r="C803" s="12"/>
      <c r="D803" s="54" t="str">
        <f t="shared" si="302"/>
        <v>Gen-westmec - dist 5 (vote for1)</v>
      </c>
      <c r="E803" s="54" t="s">
        <v>1994</v>
      </c>
      <c r="G803" s="59">
        <v>0</v>
      </c>
      <c r="H803"/>
      <c r="K803" s="2"/>
      <c r="O803">
        <f t="shared" si="303"/>
        <v>6</v>
      </c>
      <c r="P803" s="57">
        <f t="shared" si="304"/>
        <v>1</v>
      </c>
      <c r="Q803" s="267">
        <f t="shared" si="305"/>
        <v>0</v>
      </c>
      <c r="R803" s="23" t="str">
        <f t="shared" si="306"/>
        <v/>
      </c>
      <c r="S803" s="23">
        <f t="shared" si="307"/>
        <v>0</v>
      </c>
      <c r="T803" s="23" t="str">
        <f t="shared" si="308"/>
        <v/>
      </c>
      <c r="U803" t="str">
        <f t="shared" si="309"/>
        <v/>
      </c>
      <c r="W803" s="290">
        <f t="shared" si="310"/>
        <v>24</v>
      </c>
      <c r="X803" s="298">
        <f t="shared" si="319"/>
        <v>128.63019532971066</v>
      </c>
      <c r="Y803" s="322">
        <f t="shared" si="311"/>
        <v>9747.2850000000017</v>
      </c>
      <c r="Z803" s="299">
        <f t="shared" si="320"/>
        <v>3.6745107544293588E-89</v>
      </c>
      <c r="AA803" s="300">
        <f t="shared" si="312"/>
        <v>3.6745107544293592E-91</v>
      </c>
      <c r="AB803" s="301">
        <f t="shared" si="313"/>
        <v>5400</v>
      </c>
      <c r="AC803" s="301">
        <f t="shared" si="314"/>
        <v>180000</v>
      </c>
      <c r="AD803" s="8">
        <f t="shared" si="318"/>
        <v>900</v>
      </c>
      <c r="AE803" s="301" t="str">
        <f t="shared" si="315"/>
        <v/>
      </c>
      <c r="AF803" s="22" t="str">
        <f t="shared" si="321"/>
        <v>MN_Henne_2021g</v>
      </c>
      <c r="AG803" s="89">
        <v>1</v>
      </c>
      <c r="AH803" s="274">
        <v>141265</v>
      </c>
      <c r="AI803" s="279">
        <v>74037</v>
      </c>
      <c r="AJ803" s="280">
        <v>67228</v>
      </c>
      <c r="AK803" s="92">
        <v>6809</v>
      </c>
      <c r="AL803" s="23" t="s">
        <v>6837</v>
      </c>
      <c r="AM803" s="353">
        <f t="shared" si="317"/>
        <v>3.782777777777778E-2</v>
      </c>
      <c r="AN803" s="359" t="str">
        <f t="shared" si="322"/>
        <v>Minneapolis</v>
      </c>
      <c r="AO803" s="355" t="s">
        <v>6507</v>
      </c>
      <c r="AP803" s="23">
        <f t="shared" si="323"/>
        <v>22</v>
      </c>
      <c r="AQ803" s="392">
        <f t="shared" si="297"/>
        <v>0.2004788082697293</v>
      </c>
      <c r="AR803" s="392">
        <f t="shared" si="298"/>
        <v>0.68087939954743426</v>
      </c>
      <c r="AS803" s="392">
        <f t="shared" si="298"/>
        <v>0.993088013628734</v>
      </c>
    </row>
    <row r="804" spans="1:45">
      <c r="A804" s="12" t="s">
        <v>1633</v>
      </c>
      <c r="B804" s="54" t="str">
        <f t="shared" si="301"/>
        <v>AZ_Maric_2020g</v>
      </c>
      <c r="C804" s="12"/>
      <c r="D804" s="54" t="str">
        <f t="shared" si="302"/>
        <v>Gen-wilson esd #7-question (vote for1)</v>
      </c>
      <c r="E804" s="54" t="s">
        <v>2015</v>
      </c>
      <c r="F804" s="12" t="s">
        <v>1300</v>
      </c>
      <c r="G804" s="59">
        <v>338</v>
      </c>
      <c r="H804"/>
      <c r="K804" s="2"/>
      <c r="O804">
        <f t="shared" si="303"/>
        <v>1</v>
      </c>
      <c r="P804" s="57">
        <f t="shared" si="304"/>
        <v>1</v>
      </c>
      <c r="Q804" s="267">
        <f t="shared" si="305"/>
        <v>479</v>
      </c>
      <c r="R804" s="23">
        <f t="shared" si="306"/>
        <v>338</v>
      </c>
      <c r="S804" s="23">
        <f t="shared" si="307"/>
        <v>141</v>
      </c>
      <c r="T804" s="23">
        <f t="shared" si="308"/>
        <v>197</v>
      </c>
      <c r="U804" t="str">
        <f t="shared" si="309"/>
        <v>AZ_Maric_2020g~Gen-wilson esd #7-question (vote for1)</v>
      </c>
      <c r="W804" s="290">
        <f t="shared" si="310"/>
        <v>25</v>
      </c>
      <c r="X804" s="291">
        <f t="shared" si="319"/>
        <v>96.474173055859822</v>
      </c>
      <c r="Y804" s="322">
        <f t="shared" si="311"/>
        <v>9802.5540000000001</v>
      </c>
      <c r="Z804" s="292">
        <f t="shared" si="320"/>
        <v>8.3926163732440558E-121</v>
      </c>
      <c r="AA804" s="293">
        <f t="shared" si="312"/>
        <v>8.3926163732440562E-123</v>
      </c>
      <c r="AB804" s="294">
        <f t="shared" si="313"/>
        <v>5400</v>
      </c>
      <c r="AC804" s="294">
        <f t="shared" si="314"/>
        <v>180000</v>
      </c>
      <c r="AD804" s="8">
        <f t="shared" si="318"/>
        <v>900</v>
      </c>
      <c r="AE804" s="294" t="str">
        <f t="shared" si="315"/>
        <v/>
      </c>
      <c r="AF804" s="22" t="str">
        <f t="shared" si="321"/>
        <v>MN_Henne_2021g</v>
      </c>
      <c r="AG804" s="89">
        <v>1</v>
      </c>
      <c r="AH804" s="274">
        <v>142066</v>
      </c>
      <c r="AI804" s="279">
        <v>75598</v>
      </c>
      <c r="AJ804" s="280">
        <v>66468</v>
      </c>
      <c r="AK804" s="92">
        <v>9130</v>
      </c>
      <c r="AL804" s="23" t="s">
        <v>6839</v>
      </c>
      <c r="AM804" s="353">
        <f t="shared" si="317"/>
        <v>5.0722222222222224E-2</v>
      </c>
      <c r="AN804" s="359" t="str">
        <f t="shared" si="322"/>
        <v>Minneapolis</v>
      </c>
      <c r="AO804" s="355" t="s">
        <v>6507</v>
      </c>
      <c r="AP804" s="23">
        <f t="shared" si="323"/>
        <v>31</v>
      </c>
      <c r="AQ804" s="392">
        <f t="shared" si="297"/>
        <v>0.27159704977629773</v>
      </c>
      <c r="AR804" s="392">
        <f t="shared" si="298"/>
        <v>0.80169173280264738</v>
      </c>
      <c r="AS804" s="392">
        <f t="shared" si="298"/>
        <v>0.99913258841473751</v>
      </c>
    </row>
    <row r="805" spans="1:45">
      <c r="A805" s="12" t="s">
        <v>1633</v>
      </c>
      <c r="B805" s="54" t="str">
        <f t="shared" si="301"/>
        <v>AZ_Maric_2020g</v>
      </c>
      <c r="C805" s="12"/>
      <c r="D805" s="54" t="str">
        <f t="shared" si="302"/>
        <v>Gen-wilson esd #7-question (vote for1)</v>
      </c>
      <c r="E805" s="54" t="s">
        <v>2016</v>
      </c>
      <c r="F805" s="12" t="s">
        <v>1300</v>
      </c>
      <c r="G805" s="59">
        <v>141</v>
      </c>
      <c r="H805"/>
      <c r="K805" s="2"/>
      <c r="O805">
        <f t="shared" si="303"/>
        <v>2</v>
      </c>
      <c r="P805" s="57">
        <f t="shared" si="304"/>
        <v>1</v>
      </c>
      <c r="Q805" s="267">
        <f t="shared" si="305"/>
        <v>141</v>
      </c>
      <c r="R805" s="23" t="str">
        <f t="shared" si="306"/>
        <v/>
      </c>
      <c r="S805" s="23">
        <f t="shared" si="307"/>
        <v>141</v>
      </c>
      <c r="T805" s="23" t="str">
        <f t="shared" si="308"/>
        <v/>
      </c>
      <c r="U805" t="str">
        <f t="shared" si="309"/>
        <v/>
      </c>
      <c r="W805" s="290">
        <f t="shared" si="310"/>
        <v>26</v>
      </c>
      <c r="X805" s="298">
        <f t="shared" si="319"/>
        <v>61.655627344726973</v>
      </c>
      <c r="Y805" s="322">
        <f t="shared" si="311"/>
        <v>3292.2315000000003</v>
      </c>
      <c r="Z805" s="299">
        <f t="shared" si="320"/>
        <v>4.3590691664116604E-62</v>
      </c>
      <c r="AA805" s="300">
        <f t="shared" si="312"/>
        <v>4.3590691664116604E-64</v>
      </c>
      <c r="AB805" s="301">
        <f t="shared" si="313"/>
        <v>5400</v>
      </c>
      <c r="AC805" s="301">
        <f t="shared" si="314"/>
        <v>180000</v>
      </c>
      <c r="AD805" s="8">
        <f t="shared" si="318"/>
        <v>900</v>
      </c>
      <c r="AE805" s="301" t="str">
        <f t="shared" si="315"/>
        <v/>
      </c>
      <c r="AF805" s="22" t="str">
        <f t="shared" si="321"/>
        <v>MN_Henne_2021g</v>
      </c>
      <c r="AG805" s="89">
        <v>2</v>
      </c>
      <c r="AH805" s="274">
        <v>47713.5</v>
      </c>
      <c r="AI805" s="279">
        <v>25547</v>
      </c>
      <c r="AJ805" s="280">
        <v>20749</v>
      </c>
      <c r="AK805" s="92">
        <v>4798</v>
      </c>
      <c r="AL805" s="23" t="s">
        <v>6836</v>
      </c>
      <c r="AM805" s="353">
        <f t="shared" si="317"/>
        <v>2.6655555555555554E-2</v>
      </c>
      <c r="AN805" s="359" t="str">
        <f t="shared" si="322"/>
        <v>Minneapolis</v>
      </c>
      <c r="AO805" s="355" t="s">
        <v>6507</v>
      </c>
      <c r="AP805" s="23">
        <f t="shared" si="323"/>
        <v>13</v>
      </c>
      <c r="AQ805" s="392">
        <f t="shared" si="297"/>
        <v>0.12325405917677767</v>
      </c>
      <c r="AR805" s="392">
        <f t="shared" si="298"/>
        <v>0.48901653392485533</v>
      </c>
      <c r="AS805" s="392">
        <f t="shared" si="298"/>
        <v>0.94621502970962568</v>
      </c>
    </row>
    <row r="806" spans="1:45">
      <c r="A806" t="str">
        <f t="shared" ref="A806:A869" si="324">CONCATENATE(B806,"~",LOWER(D806),IF(RIGHT(D806,1)=")",""," (vote 1)"))</f>
        <v>CA_Orang_2020g~aa-city of orange, the trails at santiago creek open space and residential project (vote 1)</v>
      </c>
      <c r="B806" s="55" t="s">
        <v>3536</v>
      </c>
      <c r="D806" s="55" t="s">
        <v>4165</v>
      </c>
      <c r="E806" s="55" t="s">
        <v>1394</v>
      </c>
      <c r="G806" s="60">
        <v>39877</v>
      </c>
      <c r="H806"/>
      <c r="J806">
        <v>67671</v>
      </c>
      <c r="N806">
        <v>4453</v>
      </c>
      <c r="O806">
        <f t="shared" si="303"/>
        <v>1</v>
      </c>
      <c r="P806" s="57">
        <f t="shared" si="304"/>
        <v>1</v>
      </c>
      <c r="Q806" s="267">
        <f t="shared" si="305"/>
        <v>63167</v>
      </c>
      <c r="R806" s="23">
        <f t="shared" si="306"/>
        <v>39877</v>
      </c>
      <c r="S806" s="23">
        <f t="shared" si="307"/>
        <v>23290</v>
      </c>
      <c r="T806" s="23">
        <f t="shared" si="308"/>
        <v>16587</v>
      </c>
      <c r="U806" t="str">
        <f t="shared" si="309"/>
        <v>CA_Orang_2020g~aa-city of orange, the trails at santiago creek open space and residential project (vote 1)</v>
      </c>
      <c r="W806" s="290">
        <f t="shared" si="310"/>
        <v>27</v>
      </c>
      <c r="X806" s="291">
        <f t="shared" si="319"/>
        <v>52.641417322834648</v>
      </c>
      <c r="Y806" s="322">
        <f t="shared" si="311"/>
        <v>744.02700000000004</v>
      </c>
      <c r="Z806" s="292">
        <f t="shared" si="320"/>
        <v>2.4815978972742997E-15</v>
      </c>
      <c r="AA806" s="293">
        <f t="shared" si="312"/>
        <v>2.4815978972742998E-17</v>
      </c>
      <c r="AB806" s="294">
        <f t="shared" si="313"/>
        <v>5400</v>
      </c>
      <c r="AC806" s="294">
        <f t="shared" si="314"/>
        <v>180000</v>
      </c>
      <c r="AD806" s="8">
        <f t="shared" si="318"/>
        <v>900</v>
      </c>
      <c r="AE806" s="294" t="str">
        <f t="shared" si="315"/>
        <v/>
      </c>
      <c r="AF806" s="22" t="str">
        <f t="shared" si="321"/>
        <v>MN_Henne_2021g</v>
      </c>
      <c r="AG806">
        <v>1</v>
      </c>
      <c r="AH806" s="272">
        <v>10783</v>
      </c>
      <c r="AI806" s="273">
        <v>4470</v>
      </c>
      <c r="AJ806" s="274">
        <v>3200</v>
      </c>
      <c r="AK806" s="339">
        <v>1270</v>
      </c>
      <c r="AL806" s="340" t="s">
        <v>6855</v>
      </c>
      <c r="AM806" s="358">
        <f t="shared" si="317"/>
        <v>7.0555555555555554E-3</v>
      </c>
      <c r="AN806" s="359" t="str">
        <f t="shared" si="322"/>
        <v>Minneapolis</v>
      </c>
      <c r="AO806" s="355" t="s">
        <v>6507</v>
      </c>
      <c r="AP806" s="23">
        <f t="shared" si="323"/>
        <v>0</v>
      </c>
      <c r="AQ806" s="392">
        <f t="shared" si="297"/>
        <v>0</v>
      </c>
      <c r="AR806" s="392">
        <f t="shared" si="298"/>
        <v>0</v>
      </c>
      <c r="AS806" s="392">
        <f t="shared" si="298"/>
        <v>0</v>
      </c>
    </row>
    <row r="807" spans="1:45">
      <c r="A807" t="str">
        <f t="shared" si="324"/>
        <v>CA_Orang_2020g~aa-city of orange, the trails at santiago creek open space and residential project (vote 1)</v>
      </c>
      <c r="B807" s="55" t="s">
        <v>3536</v>
      </c>
      <c r="D807" s="55" t="s">
        <v>4165</v>
      </c>
      <c r="E807" s="55" t="s">
        <v>1393</v>
      </c>
      <c r="G807" s="60">
        <v>23290</v>
      </c>
      <c r="H807"/>
      <c r="J807">
        <v>67671</v>
      </c>
      <c r="N807">
        <v>4453</v>
      </c>
      <c r="O807">
        <f t="shared" si="303"/>
        <v>2</v>
      </c>
      <c r="P807" s="57">
        <f t="shared" si="304"/>
        <v>1</v>
      </c>
      <c r="Q807" s="267">
        <f t="shared" si="305"/>
        <v>23290</v>
      </c>
      <c r="R807" s="23" t="str">
        <f t="shared" si="306"/>
        <v/>
      </c>
      <c r="S807" s="23">
        <f t="shared" si="307"/>
        <v>23290</v>
      </c>
      <c r="T807" s="23" t="str">
        <f t="shared" si="308"/>
        <v/>
      </c>
      <c r="U807" t="str">
        <f t="shared" si="309"/>
        <v/>
      </c>
      <c r="W807" s="290">
        <f t="shared" si="310"/>
        <v>28</v>
      </c>
      <c r="X807" s="298">
        <f t="shared" si="319"/>
        <v>50.221997400101735</v>
      </c>
      <c r="Y807" s="322">
        <f t="shared" si="311"/>
        <v>9889.0110000000004</v>
      </c>
      <c r="Z807" s="299">
        <f t="shared" si="320"/>
        <v>2.2367909167952412E-241</v>
      </c>
      <c r="AA807" s="300">
        <f t="shared" si="312"/>
        <v>2.2367909167952412E-243</v>
      </c>
      <c r="AB807" s="301">
        <f t="shared" si="313"/>
        <v>5400</v>
      </c>
      <c r="AC807" s="301">
        <f t="shared" si="314"/>
        <v>180000</v>
      </c>
      <c r="AD807" s="8">
        <f t="shared" si="318"/>
        <v>900</v>
      </c>
      <c r="AE807" s="301" t="str">
        <f t="shared" si="315"/>
        <v/>
      </c>
      <c r="AF807" s="22" t="str">
        <f t="shared" si="321"/>
        <v>MN_Henne_2021g</v>
      </c>
      <c r="AG807" s="89">
        <v>1</v>
      </c>
      <c r="AH807" s="274">
        <v>143319</v>
      </c>
      <c r="AI807" s="279">
        <v>80506</v>
      </c>
      <c r="AJ807" s="280">
        <v>62813</v>
      </c>
      <c r="AK807" s="92">
        <v>17693</v>
      </c>
      <c r="AL807" s="23" t="s">
        <v>6838</v>
      </c>
      <c r="AM807" s="353">
        <f t="shared" si="317"/>
        <v>9.8294444444444448E-2</v>
      </c>
      <c r="AN807" s="359" t="str">
        <f t="shared" si="322"/>
        <v>Minneapolis</v>
      </c>
      <c r="AO807" s="355" t="s">
        <v>6507</v>
      </c>
      <c r="AP807" s="23">
        <f t="shared" si="323"/>
        <v>67</v>
      </c>
      <c r="AQ807" s="392">
        <f t="shared" si="297"/>
        <v>0.50316068002272518</v>
      </c>
      <c r="AR807" s="392">
        <f t="shared" si="298"/>
        <v>0.97192516469618795</v>
      </c>
      <c r="AS807" s="392">
        <f t="shared" si="298"/>
        <v>0.99999983230245115</v>
      </c>
    </row>
    <row r="808" spans="1:45">
      <c r="A808" t="str">
        <f t="shared" si="324"/>
        <v>CA_Orang_2020g~anaheim elementary school district governing board member, trustee area 3 (vote 1)</v>
      </c>
      <c r="B808" s="55" t="s">
        <v>3536</v>
      </c>
      <c r="D808" s="55" t="s">
        <v>3702</v>
      </c>
      <c r="E808" s="55" t="s">
        <v>3703</v>
      </c>
      <c r="G808" s="60">
        <v>8840</v>
      </c>
      <c r="H808"/>
      <c r="J808">
        <v>15034</v>
      </c>
      <c r="N808">
        <v>1205</v>
      </c>
      <c r="O808">
        <f t="shared" si="303"/>
        <v>1</v>
      </c>
      <c r="P808" s="57">
        <f t="shared" si="304"/>
        <v>1</v>
      </c>
      <c r="Q808" s="267">
        <f t="shared" si="305"/>
        <v>13770</v>
      </c>
      <c r="R808" s="23">
        <f t="shared" si="306"/>
        <v>8840</v>
      </c>
      <c r="S808" s="23">
        <f t="shared" si="307"/>
        <v>4930</v>
      </c>
      <c r="T808" s="23">
        <f t="shared" si="308"/>
        <v>3910</v>
      </c>
      <c r="U808" t="str">
        <f t="shared" si="309"/>
        <v>CA_Orang_2020g~anaheim elementary school district governing board member, trustee area 3 (vote 1)</v>
      </c>
      <c r="W808" s="290">
        <f t="shared" si="310"/>
        <v>29</v>
      </c>
      <c r="X808" s="291">
        <f t="shared" si="319"/>
        <v>26.125964682799214</v>
      </c>
      <c r="Y808" s="322">
        <f t="shared" si="311"/>
        <v>1333.701</v>
      </c>
      <c r="Z808" s="292">
        <f t="shared" si="320"/>
        <v>2.8977678981597922E-59</v>
      </c>
      <c r="AA808" s="293">
        <f t="shared" si="312"/>
        <v>2.8977678981597921E-61</v>
      </c>
      <c r="AB808" s="294">
        <f t="shared" si="313"/>
        <v>5400</v>
      </c>
      <c r="AC808" s="294">
        <f t="shared" si="314"/>
        <v>180000</v>
      </c>
      <c r="AD808" s="8">
        <f t="shared" si="318"/>
        <v>900</v>
      </c>
      <c r="AE808" s="294" t="str">
        <f t="shared" si="315"/>
        <v/>
      </c>
      <c r="AF808" s="22" t="str">
        <f t="shared" si="321"/>
        <v>MN_Henne_2021g</v>
      </c>
      <c r="AG808">
        <v>1</v>
      </c>
      <c r="AH808" s="272">
        <v>19329</v>
      </c>
      <c r="AI808" s="273">
        <v>11893</v>
      </c>
      <c r="AJ808" s="274">
        <v>7306</v>
      </c>
      <c r="AK808" s="339">
        <v>4587</v>
      </c>
      <c r="AL808" s="340" t="s">
        <v>6857</v>
      </c>
      <c r="AM808" s="353">
        <f t="shared" si="317"/>
        <v>2.5483333333333334E-2</v>
      </c>
      <c r="AN808" s="359" t="str">
        <f t="shared" si="322"/>
        <v>Minneapolis</v>
      </c>
      <c r="AO808" s="355" t="s">
        <v>6507</v>
      </c>
      <c r="AP808" s="23">
        <f t="shared" si="323"/>
        <v>12</v>
      </c>
      <c r="AQ808" s="392">
        <f t="shared" si="297"/>
        <v>0.11427713828097641</v>
      </c>
      <c r="AR808" s="392">
        <f t="shared" si="298"/>
        <v>0.46173983644753425</v>
      </c>
      <c r="AS808" s="392">
        <f t="shared" si="298"/>
        <v>0.93254088472054741</v>
      </c>
    </row>
    <row r="809" spans="1:45">
      <c r="A809" t="str">
        <f t="shared" si="324"/>
        <v>CA_Orang_2020g~anaheim elementary school district governing board member, trustee area 3 (vote 1)</v>
      </c>
      <c r="B809" s="55" t="s">
        <v>3536</v>
      </c>
      <c r="D809" s="55" t="s">
        <v>3702</v>
      </c>
      <c r="E809" s="55" t="s">
        <v>3704</v>
      </c>
      <c r="G809" s="60">
        <v>4930</v>
      </c>
      <c r="H809"/>
      <c r="J809">
        <v>15034</v>
      </c>
      <c r="N809">
        <v>1205</v>
      </c>
      <c r="O809">
        <f t="shared" si="303"/>
        <v>2</v>
      </c>
      <c r="P809" s="57">
        <f t="shared" si="304"/>
        <v>1</v>
      </c>
      <c r="Q809" s="267">
        <f t="shared" si="305"/>
        <v>4930</v>
      </c>
      <c r="R809" s="23" t="str">
        <f t="shared" si="306"/>
        <v/>
      </c>
      <c r="S809" s="23">
        <f t="shared" si="307"/>
        <v>4930</v>
      </c>
      <c r="T809" s="23" t="str">
        <f t="shared" si="308"/>
        <v/>
      </c>
      <c r="U809" t="str">
        <f t="shared" si="309"/>
        <v/>
      </c>
      <c r="W809" s="290">
        <f t="shared" si="310"/>
        <v>30</v>
      </c>
      <c r="X809" s="298">
        <f t="shared" si="319"/>
        <v>18.323147276395424</v>
      </c>
      <c r="Y809" s="322">
        <f t="shared" si="311"/>
        <v>1516.1370000000002</v>
      </c>
      <c r="Z809" s="299">
        <f t="shared" si="320"/>
        <v>1.1834166076979101E-97</v>
      </c>
      <c r="AA809" s="300">
        <f t="shared" si="312"/>
        <v>1.18341660769791E-99</v>
      </c>
      <c r="AB809" s="301">
        <f t="shared" si="313"/>
        <v>5400</v>
      </c>
      <c r="AC809" s="301">
        <f t="shared" si="314"/>
        <v>180000</v>
      </c>
      <c r="AD809" s="8">
        <f t="shared" si="318"/>
        <v>900</v>
      </c>
      <c r="AE809" s="301" t="str">
        <f t="shared" si="315"/>
        <v/>
      </c>
      <c r="AF809" s="22" t="str">
        <f t="shared" si="321"/>
        <v>MN_Henne_2021g</v>
      </c>
      <c r="AG809">
        <v>1</v>
      </c>
      <c r="AH809" s="272">
        <v>21973</v>
      </c>
      <c r="AI809" s="273">
        <v>13319</v>
      </c>
      <c r="AJ809" s="274">
        <v>5884</v>
      </c>
      <c r="AK809" s="339">
        <v>7435</v>
      </c>
      <c r="AL809" s="340" t="s">
        <v>6858</v>
      </c>
      <c r="AM809" s="353">
        <f t="shared" si="317"/>
        <v>4.1305555555555554E-2</v>
      </c>
      <c r="AN809" s="359" t="str">
        <f t="shared" si="322"/>
        <v>Minneapolis</v>
      </c>
      <c r="AO809" s="355" t="s">
        <v>6507</v>
      </c>
      <c r="AP809" s="23">
        <f t="shared" si="323"/>
        <v>24</v>
      </c>
      <c r="AQ809" s="392">
        <f t="shared" ref="AQ809:AQ872" si="325">IF($AP809=$AD809,1,IF($AP809=0,0, 1-HYPGEOMDIST(0, ROUNDUP(RIGHT(AQ$1,4)*$AD809,0),$AP809, $AD809)))</f>
        <v>0.21679514347601248</v>
      </c>
      <c r="AR809" s="392">
        <f t="shared" ref="AR809:AS872" si="326">IF($AP809=$AD809,1,IF($AP809=0,0, 1-HYPGEOMDIST(0, ROUNDUP(RIGHT(AR$1,4)*$AD809,0),$AP809, $AD809)))</f>
        <v>0.71277048897378292</v>
      </c>
      <c r="AS809" s="392">
        <f t="shared" si="326"/>
        <v>0.99563286150817121</v>
      </c>
    </row>
    <row r="810" spans="1:45">
      <c r="A810" t="str">
        <f t="shared" si="324"/>
        <v>CA_Orang_2020g~bb-city of san clemente, city council term limits (vote 1)</v>
      </c>
      <c r="B810" s="55" t="s">
        <v>3536</v>
      </c>
      <c r="D810" s="55" t="s">
        <v>4166</v>
      </c>
      <c r="E810" s="55" t="s">
        <v>1393</v>
      </c>
      <c r="G810" s="60">
        <v>28141</v>
      </c>
      <c r="H810"/>
      <c r="J810">
        <v>40150</v>
      </c>
      <c r="N810">
        <v>3821</v>
      </c>
      <c r="O810">
        <f t="shared" si="303"/>
        <v>1</v>
      </c>
      <c r="P810" s="57">
        <f t="shared" si="304"/>
        <v>1</v>
      </c>
      <c r="Q810" s="267">
        <f t="shared" si="305"/>
        <v>36298</v>
      </c>
      <c r="R810" s="23">
        <f t="shared" si="306"/>
        <v>28141</v>
      </c>
      <c r="S810" s="23">
        <f t="shared" si="307"/>
        <v>8157</v>
      </c>
      <c r="T810" s="23">
        <f t="shared" si="308"/>
        <v>19984</v>
      </c>
      <c r="U810" t="str">
        <f t="shared" si="309"/>
        <v>CA_Orang_2020g~bb-city of san clemente, city council term limits (vote 1)</v>
      </c>
      <c r="W810" s="290">
        <f t="shared" si="310"/>
        <v>31</v>
      </c>
      <c r="X810" s="298">
        <f t="shared" si="319"/>
        <v>15.713040563191418</v>
      </c>
      <c r="Y810" s="322">
        <f t="shared" si="311"/>
        <v>1043.2800000000002</v>
      </c>
      <c r="Z810" s="299">
        <f t="shared" si="320"/>
        <v>8.9665207673457071E-78</v>
      </c>
      <c r="AA810" s="300">
        <f t="shared" si="312"/>
        <v>8.9665207673457073E-80</v>
      </c>
      <c r="AB810" s="301">
        <f t="shared" si="313"/>
        <v>5400</v>
      </c>
      <c r="AC810" s="301">
        <f t="shared" si="314"/>
        <v>180000</v>
      </c>
      <c r="AD810" s="8">
        <f t="shared" si="318"/>
        <v>900</v>
      </c>
      <c r="AE810" s="301" t="str">
        <f t="shared" si="315"/>
        <v/>
      </c>
      <c r="AF810" s="22" t="str">
        <f t="shared" si="321"/>
        <v>MN_Henne_2021g</v>
      </c>
      <c r="AG810">
        <v>1</v>
      </c>
      <c r="AH810" s="272">
        <v>15120</v>
      </c>
      <c r="AI810" s="273">
        <v>9058</v>
      </c>
      <c r="AJ810" s="274">
        <v>3092</v>
      </c>
      <c r="AK810" s="339">
        <v>5966</v>
      </c>
      <c r="AL810" s="340" t="s">
        <v>6856</v>
      </c>
      <c r="AM810" s="353">
        <f t="shared" si="317"/>
        <v>3.3144444444444442E-2</v>
      </c>
      <c r="AN810" s="359" t="str">
        <f t="shared" si="322"/>
        <v>Minneapolis</v>
      </c>
      <c r="AO810" s="355" t="s">
        <v>6507</v>
      </c>
      <c r="AP810" s="23">
        <f t="shared" si="323"/>
        <v>18</v>
      </c>
      <c r="AQ810" s="392">
        <f t="shared" si="325"/>
        <v>0.16693692715403352</v>
      </c>
      <c r="AR810" s="392">
        <f t="shared" si="326"/>
        <v>0.60637142347572848</v>
      </c>
      <c r="AS810" s="392">
        <f t="shared" si="326"/>
        <v>0.98274604869316085</v>
      </c>
    </row>
    <row r="811" spans="1:45">
      <c r="A811" t="str">
        <f t="shared" si="324"/>
        <v>CA_Orang_2020g~bb-city of san clemente, city council term limits (vote 1)</v>
      </c>
      <c r="B811" s="55" t="s">
        <v>3536</v>
      </c>
      <c r="D811" s="55" t="s">
        <v>4166</v>
      </c>
      <c r="E811" s="55" t="s">
        <v>1394</v>
      </c>
      <c r="G811" s="60">
        <v>8157</v>
      </c>
      <c r="H811"/>
      <c r="J811">
        <v>40150</v>
      </c>
      <c r="N811">
        <v>3821</v>
      </c>
      <c r="O811">
        <f t="shared" si="303"/>
        <v>2</v>
      </c>
      <c r="P811" s="57">
        <f t="shared" si="304"/>
        <v>1</v>
      </c>
      <c r="Q811" s="267">
        <f t="shared" si="305"/>
        <v>8157</v>
      </c>
      <c r="R811" s="23" t="str">
        <f t="shared" si="306"/>
        <v/>
      </c>
      <c r="S811" s="23">
        <f t="shared" si="307"/>
        <v>8157</v>
      </c>
      <c r="T811" s="23" t="str">
        <f t="shared" si="308"/>
        <v/>
      </c>
      <c r="U811" t="str">
        <f t="shared" si="309"/>
        <v/>
      </c>
      <c r="W811" s="290">
        <f t="shared" si="310"/>
        <v>32</v>
      </c>
      <c r="X811" s="298">
        <f t="shared" si="319"/>
        <v>38.082134195634602</v>
      </c>
      <c r="Y811" s="322">
        <f t="shared" si="311"/>
        <v>1048.5240000000001</v>
      </c>
      <c r="Z811" s="299">
        <f t="shared" si="320"/>
        <v>3.4921912167395298E-31</v>
      </c>
      <c r="AA811" s="300">
        <f t="shared" si="312"/>
        <v>3.4921912167395299E-33</v>
      </c>
      <c r="AB811" s="301">
        <f t="shared" si="313"/>
        <v>5400</v>
      </c>
      <c r="AC811" s="301">
        <f t="shared" si="314"/>
        <v>180000</v>
      </c>
      <c r="AD811" s="8">
        <f t="shared" si="318"/>
        <v>900</v>
      </c>
      <c r="AE811" s="301" t="str">
        <f t="shared" si="315"/>
        <v/>
      </c>
      <c r="AF811" s="22" t="str">
        <f t="shared" si="321"/>
        <v>MN_Henne_2021g</v>
      </c>
      <c r="AG811">
        <v>1</v>
      </c>
      <c r="AH811" s="8">
        <v>15196</v>
      </c>
      <c r="AI811" s="273">
        <v>7127</v>
      </c>
      <c r="AJ811" s="274">
        <v>4653</v>
      </c>
      <c r="AK811" s="339">
        <v>2474</v>
      </c>
      <c r="AL811" s="23" t="s">
        <v>6815</v>
      </c>
      <c r="AM811" s="353">
        <f t="shared" si="317"/>
        <v>1.3744444444444445E-2</v>
      </c>
      <c r="AN811" s="359" t="str">
        <f t="shared" si="322"/>
        <v>Bloomington</v>
      </c>
      <c r="AO811" s="355" t="s">
        <v>6966</v>
      </c>
      <c r="AP811" s="23">
        <f t="shared" si="323"/>
        <v>3</v>
      </c>
      <c r="AQ811" s="392">
        <f t="shared" si="325"/>
        <v>2.9733730375993583E-2</v>
      </c>
      <c r="AR811" s="392">
        <f t="shared" si="326"/>
        <v>0.14277568989052425</v>
      </c>
      <c r="AS811" s="392">
        <f t="shared" si="326"/>
        <v>0.48842737909728962</v>
      </c>
    </row>
    <row r="812" spans="1:45">
      <c r="A812" t="str">
        <f t="shared" si="324"/>
        <v>CA_Orang_2020g~brea olinda unified school district governing board member, trustee area 5 (vote 1)</v>
      </c>
      <c r="B812" s="55" t="s">
        <v>3536</v>
      </c>
      <c r="D812" s="55" t="s">
        <v>3599</v>
      </c>
      <c r="E812" s="55" t="s">
        <v>3600</v>
      </c>
      <c r="G812" s="60">
        <v>1805</v>
      </c>
      <c r="H812"/>
      <c r="J812">
        <v>4164</v>
      </c>
      <c r="N812">
        <v>540</v>
      </c>
      <c r="O812">
        <f t="shared" si="303"/>
        <v>1</v>
      </c>
      <c r="P812" s="57">
        <f t="shared" si="304"/>
        <v>1</v>
      </c>
      <c r="Q812" s="267">
        <f t="shared" si="305"/>
        <v>3610</v>
      </c>
      <c r="R812" s="23">
        <f t="shared" si="306"/>
        <v>1805</v>
      </c>
      <c r="S812" s="23">
        <f t="shared" si="307"/>
        <v>1805</v>
      </c>
      <c r="T812" s="23">
        <f t="shared" si="308"/>
        <v>0</v>
      </c>
      <c r="U812" t="str">
        <f t="shared" si="309"/>
        <v>CA_Orang_2020g~brea olinda unified school district governing board member, trustee area 5 (vote 1)</v>
      </c>
      <c r="W812" s="290">
        <f t="shared" si="310"/>
        <v>33</v>
      </c>
      <c r="X812" s="298">
        <f t="shared" ref="X812:X828" si="327">IF(AK812=0,AH812,MIN(AH812,6.2/(AK812/AH812)))</f>
        <v>28.60626987440979</v>
      </c>
      <c r="Y812" s="322">
        <f t="shared" si="311"/>
        <v>9911.505000000001</v>
      </c>
      <c r="Z812" s="299">
        <f t="shared" ref="Z812:Z828" si="328">AA812*100</f>
        <v>0</v>
      </c>
      <c r="AA812" s="300">
        <f t="shared" si="312"/>
        <v>0</v>
      </c>
      <c r="AB812" s="301">
        <f t="shared" si="313"/>
        <v>5400</v>
      </c>
      <c r="AC812" s="301">
        <f t="shared" si="314"/>
        <v>180000</v>
      </c>
      <c r="AD812" s="8">
        <f t="shared" si="318"/>
        <v>900</v>
      </c>
      <c r="AE812" s="301" t="str">
        <f t="shared" si="315"/>
        <v/>
      </c>
      <c r="AF812" s="22" t="str">
        <f t="shared" ref="AF812:AF828" si="329">LEFT(AL812,14)</f>
        <v>MN_Henne_2021g</v>
      </c>
      <c r="AG812">
        <v>1</v>
      </c>
      <c r="AH812" s="272">
        <v>143645</v>
      </c>
      <c r="AI812" s="273">
        <v>61468</v>
      </c>
      <c r="AJ812" s="274">
        <v>30335</v>
      </c>
      <c r="AK812" s="339">
        <v>31133</v>
      </c>
      <c r="AL812" s="340" t="s">
        <v>6853</v>
      </c>
      <c r="AM812" s="353">
        <f t="shared" si="317"/>
        <v>0.17296111111111112</v>
      </c>
      <c r="AN812" s="359" t="str">
        <f t="shared" ref="AN812:AN828" si="330">MID(AL812,16,FIND("-",AL812)-16)</f>
        <v>Minneapolis</v>
      </c>
      <c r="AO812" s="355" t="s">
        <v>6966</v>
      </c>
      <c r="AP812" s="23">
        <f t="shared" si="323"/>
        <v>124</v>
      </c>
      <c r="AQ812" s="392">
        <f t="shared" si="325"/>
        <v>0.7383155093970829</v>
      </c>
      <c r="AR812" s="392">
        <f t="shared" si="326"/>
        <v>0.99894392209243277</v>
      </c>
      <c r="AS812" s="392">
        <f t="shared" si="326"/>
        <v>0.99999999999990963</v>
      </c>
    </row>
    <row r="813" spans="1:45">
      <c r="A813" t="str">
        <f t="shared" si="324"/>
        <v>CA_Orang_2020g~brea olinda unified school district governing board member, trustee area 5 (vote 1)</v>
      </c>
      <c r="B813" s="55" t="s">
        <v>3536</v>
      </c>
      <c r="D813" s="55" t="s">
        <v>3599</v>
      </c>
      <c r="E813" s="55" t="s">
        <v>3601</v>
      </c>
      <c r="G813" s="60">
        <v>1805</v>
      </c>
      <c r="H813"/>
      <c r="J813">
        <v>4164</v>
      </c>
      <c r="N813">
        <v>540</v>
      </c>
      <c r="O813">
        <f t="shared" si="303"/>
        <v>2</v>
      </c>
      <c r="P813" s="57">
        <f t="shared" si="304"/>
        <v>1</v>
      </c>
      <c r="Q813" s="267">
        <f t="shared" si="305"/>
        <v>1805</v>
      </c>
      <c r="R813" s="23" t="str">
        <f t="shared" si="306"/>
        <v/>
      </c>
      <c r="S813" s="23">
        <f t="shared" si="307"/>
        <v>1805</v>
      </c>
      <c r="T813" s="23" t="str">
        <f t="shared" si="308"/>
        <v/>
      </c>
      <c r="U813" t="str">
        <f t="shared" si="309"/>
        <v/>
      </c>
      <c r="W813" s="290">
        <f t="shared" si="310"/>
        <v>34</v>
      </c>
      <c r="X813" s="291">
        <f t="shared" si="327"/>
        <v>24.418734358240972</v>
      </c>
      <c r="Y813" s="322">
        <f t="shared" si="311"/>
        <v>760.10400000000004</v>
      </c>
      <c r="Z813" s="292">
        <f t="shared" si="328"/>
        <v>1.8717636316788298E-35</v>
      </c>
      <c r="AA813" s="293">
        <f t="shared" si="312"/>
        <v>1.8717636316788299E-37</v>
      </c>
      <c r="AB813" s="294">
        <f t="shared" si="313"/>
        <v>5400</v>
      </c>
      <c r="AC813" s="294">
        <f t="shared" si="314"/>
        <v>180000</v>
      </c>
      <c r="AD813" s="8">
        <f t="shared" si="318"/>
        <v>900</v>
      </c>
      <c r="AE813" s="294" t="str">
        <f t="shared" si="315"/>
        <v/>
      </c>
      <c r="AF813" s="22" t="str">
        <f t="shared" si="329"/>
        <v>MN_Henne_2021g</v>
      </c>
      <c r="AG813">
        <v>1</v>
      </c>
      <c r="AH813" s="272">
        <v>11016</v>
      </c>
      <c r="AI813" s="273">
        <v>6897</v>
      </c>
      <c r="AJ813" s="274">
        <v>4100</v>
      </c>
      <c r="AK813" s="339">
        <v>2797</v>
      </c>
      <c r="AL813" s="340" t="s">
        <v>6862</v>
      </c>
      <c r="AM813" s="353">
        <f t="shared" si="317"/>
        <v>1.5538888888888889E-2</v>
      </c>
      <c r="AN813" s="359" t="str">
        <f t="shared" si="330"/>
        <v>Minnetonka</v>
      </c>
      <c r="AO813" s="355" t="s">
        <v>6966</v>
      </c>
      <c r="AP813" s="23">
        <f t="shared" si="323"/>
        <v>5</v>
      </c>
      <c r="AQ813" s="392">
        <f t="shared" si="325"/>
        <v>4.9117035869855719E-2</v>
      </c>
      <c r="AR813" s="392">
        <f t="shared" si="326"/>
        <v>0.22667298672472802</v>
      </c>
      <c r="AS813" s="392">
        <f t="shared" si="326"/>
        <v>0.67323237734652919</v>
      </c>
    </row>
    <row r="814" spans="1:45">
      <c r="A814" t="str">
        <f t="shared" si="324"/>
        <v>CA_Orang_2020g~buena park library district trustee (vote 1)</v>
      </c>
      <c r="B814" s="55" t="s">
        <v>3536</v>
      </c>
      <c r="D814" s="55" t="s">
        <v>4137</v>
      </c>
      <c r="E814" s="55" t="s">
        <v>4139</v>
      </c>
      <c r="G814" s="60">
        <v>21242</v>
      </c>
      <c r="H814"/>
      <c r="J814">
        <v>35201</v>
      </c>
      <c r="N814">
        <v>51092</v>
      </c>
      <c r="O814">
        <f t="shared" si="303"/>
        <v>1</v>
      </c>
      <c r="P814" s="57">
        <f t="shared" si="304"/>
        <v>1</v>
      </c>
      <c r="Q814" s="267">
        <f t="shared" si="305"/>
        <v>54237</v>
      </c>
      <c r="R814" s="23">
        <f t="shared" si="306"/>
        <v>21242</v>
      </c>
      <c r="S814" s="23">
        <f t="shared" si="307"/>
        <v>13186</v>
      </c>
      <c r="T814" s="23">
        <f t="shared" si="308"/>
        <v>8056</v>
      </c>
      <c r="U814" t="str">
        <f t="shared" si="309"/>
        <v>CA_Orang_2020g~buena park library district trustee (vote 1)</v>
      </c>
      <c r="W814" s="290">
        <f t="shared" si="310"/>
        <v>35</v>
      </c>
      <c r="X814" s="291">
        <f t="shared" si="327"/>
        <v>16.820429009193056</v>
      </c>
      <c r="Y814" s="322">
        <f t="shared" si="311"/>
        <v>183.26400000000001</v>
      </c>
      <c r="Z814" s="292">
        <f t="shared" si="328"/>
        <v>1.6216519243420856E-11</v>
      </c>
      <c r="AA814" s="293">
        <f t="shared" si="312"/>
        <v>1.6216519243420857E-13</v>
      </c>
      <c r="AB814" s="294">
        <f t="shared" si="313"/>
        <v>5400</v>
      </c>
      <c r="AC814" s="294">
        <f t="shared" si="314"/>
        <v>180000</v>
      </c>
      <c r="AD814" s="8">
        <f t="shared" si="318"/>
        <v>900</v>
      </c>
      <c r="AE814" s="294" t="str">
        <f t="shared" si="315"/>
        <v/>
      </c>
      <c r="AF814" s="22" t="str">
        <f t="shared" si="329"/>
        <v>MN_Henne_2021g</v>
      </c>
      <c r="AG814" s="89">
        <v>1</v>
      </c>
      <c r="AH814" s="274">
        <v>2656</v>
      </c>
      <c r="AI814" s="279">
        <v>1560</v>
      </c>
      <c r="AJ814" s="280">
        <v>581</v>
      </c>
      <c r="AK814" s="92">
        <v>979</v>
      </c>
      <c r="AL814" s="23" t="s">
        <v>6820</v>
      </c>
      <c r="AM814" s="358">
        <f t="shared" si="317"/>
        <v>5.4388888888888889E-3</v>
      </c>
      <c r="AN814" s="359" t="str">
        <f t="shared" si="330"/>
        <v>Hopkins</v>
      </c>
      <c r="AO814" s="355" t="s">
        <v>6966</v>
      </c>
      <c r="AP814" s="23">
        <f t="shared" si="323"/>
        <v>0</v>
      </c>
      <c r="AQ814" s="392">
        <f t="shared" si="325"/>
        <v>0</v>
      </c>
      <c r="AR814" s="392">
        <f t="shared" si="326"/>
        <v>0</v>
      </c>
      <c r="AS814" s="392">
        <f t="shared" si="326"/>
        <v>0</v>
      </c>
    </row>
    <row r="815" spans="1:45">
      <c r="A815" t="str">
        <f t="shared" si="324"/>
        <v>CA_Orang_2020g~buena park library district trustee (vote 1)</v>
      </c>
      <c r="B815" s="55" t="s">
        <v>3536</v>
      </c>
      <c r="D815" s="55" t="s">
        <v>4137</v>
      </c>
      <c r="E815" s="55" t="s">
        <v>3707</v>
      </c>
      <c r="G815" s="60">
        <v>13186</v>
      </c>
      <c r="H815"/>
      <c r="J815">
        <v>35201</v>
      </c>
      <c r="N815">
        <v>51092</v>
      </c>
      <c r="O815">
        <f t="shared" si="303"/>
        <v>2</v>
      </c>
      <c r="P815" s="57">
        <f t="shared" si="304"/>
        <v>1</v>
      </c>
      <c r="Q815" s="267">
        <f t="shared" si="305"/>
        <v>32995</v>
      </c>
      <c r="R815" s="23" t="str">
        <f t="shared" si="306"/>
        <v/>
      </c>
      <c r="S815" s="23">
        <f t="shared" si="307"/>
        <v>13186</v>
      </c>
      <c r="T815" s="23" t="str">
        <f t="shared" si="308"/>
        <v/>
      </c>
      <c r="U815" t="str">
        <f t="shared" si="309"/>
        <v/>
      </c>
      <c r="W815" s="290">
        <f t="shared" si="310"/>
        <v>36</v>
      </c>
      <c r="X815" s="291">
        <f t="shared" si="327"/>
        <v>1307.8325925925926</v>
      </c>
      <c r="Y815" s="322">
        <f t="shared" si="311"/>
        <v>1307.8325925925926</v>
      </c>
      <c r="Z815" s="292">
        <f t="shared" si="328"/>
        <v>25.919651025157435</v>
      </c>
      <c r="AA815" s="293">
        <f t="shared" si="312"/>
        <v>0.25919651025157436</v>
      </c>
      <c r="AB815" s="294">
        <f t="shared" si="313"/>
        <v>5400</v>
      </c>
      <c r="AC815" s="294">
        <f t="shared" si="314"/>
        <v>180000</v>
      </c>
      <c r="AD815" s="8">
        <f t="shared" si="318"/>
        <v>900</v>
      </c>
      <c r="AE815" s="294" t="str">
        <f t="shared" si="315"/>
        <v/>
      </c>
      <c r="AF815" s="22" t="str">
        <f t="shared" si="329"/>
        <v>MN_Henne_2021g</v>
      </c>
      <c r="AG815" s="89">
        <v>3</v>
      </c>
      <c r="AH815" s="274">
        <v>9492.3333333333339</v>
      </c>
      <c r="AI815" s="279">
        <v>4567</v>
      </c>
      <c r="AJ815" s="280">
        <v>4522</v>
      </c>
      <c r="AK815" s="92">
        <v>45</v>
      </c>
      <c r="AL815" s="23" t="s">
        <v>6832</v>
      </c>
      <c r="AM815" s="353">
        <f t="shared" si="317"/>
        <v>2.5000000000000001E-4</v>
      </c>
      <c r="AN815" s="359" t="str">
        <f t="shared" si="330"/>
        <v>ISD #276</v>
      </c>
      <c r="AO815" s="355" t="s">
        <v>6510</v>
      </c>
      <c r="AP815" s="23">
        <f t="shared" si="323"/>
        <v>0</v>
      </c>
      <c r="AQ815" s="392">
        <f t="shared" si="325"/>
        <v>0</v>
      </c>
      <c r="AR815" s="392">
        <f t="shared" si="326"/>
        <v>0</v>
      </c>
      <c r="AS815" s="392">
        <f t="shared" si="326"/>
        <v>0</v>
      </c>
    </row>
    <row r="816" spans="1:45">
      <c r="A816" t="str">
        <f t="shared" si="324"/>
        <v>CA_Orang_2020g~buena park library district trustee (vote 1)</v>
      </c>
      <c r="B816" s="55" t="s">
        <v>3536</v>
      </c>
      <c r="D816" s="55" t="s">
        <v>4137</v>
      </c>
      <c r="E816" s="55" t="s">
        <v>3706</v>
      </c>
      <c r="G816" s="60">
        <v>10228</v>
      </c>
      <c r="H816"/>
      <c r="J816">
        <v>35201</v>
      </c>
      <c r="N816">
        <v>51092</v>
      </c>
      <c r="O816">
        <f t="shared" si="303"/>
        <v>3</v>
      </c>
      <c r="P816" s="57">
        <f t="shared" si="304"/>
        <v>1</v>
      </c>
      <c r="Q816" s="267">
        <f t="shared" si="305"/>
        <v>19809</v>
      </c>
      <c r="R816" s="23" t="str">
        <f t="shared" si="306"/>
        <v/>
      </c>
      <c r="S816" s="23">
        <f t="shared" si="307"/>
        <v>10228</v>
      </c>
      <c r="T816" s="23" t="str">
        <f t="shared" si="308"/>
        <v/>
      </c>
      <c r="U816" t="str">
        <f t="shared" si="309"/>
        <v/>
      </c>
      <c r="W816" s="290">
        <f t="shared" si="310"/>
        <v>37</v>
      </c>
      <c r="X816" s="291">
        <f t="shared" si="327"/>
        <v>227.78260869565219</v>
      </c>
      <c r="Y816" s="322">
        <f t="shared" si="311"/>
        <v>349.83000000000004</v>
      </c>
      <c r="Z816" s="292">
        <f t="shared" si="328"/>
        <v>1.5897589077479914</v>
      </c>
      <c r="AA816" s="293">
        <f t="shared" si="312"/>
        <v>1.5897589077479915E-2</v>
      </c>
      <c r="AB816" s="294">
        <f t="shared" si="313"/>
        <v>5400</v>
      </c>
      <c r="AC816" s="294">
        <f t="shared" si="314"/>
        <v>180000</v>
      </c>
      <c r="AD816" s="8">
        <f t="shared" si="318"/>
        <v>900</v>
      </c>
      <c r="AE816" s="294" t="str">
        <f t="shared" si="315"/>
        <v/>
      </c>
      <c r="AF816" s="22" t="str">
        <f t="shared" si="329"/>
        <v>MN_Henne_2021g</v>
      </c>
      <c r="AG816" s="89">
        <v>1</v>
      </c>
      <c r="AH816" s="274">
        <v>5070</v>
      </c>
      <c r="AI816" s="279">
        <v>1979</v>
      </c>
      <c r="AJ816" s="280">
        <v>1841</v>
      </c>
      <c r="AK816" s="92">
        <v>138</v>
      </c>
      <c r="AL816" s="23" t="s">
        <v>6830</v>
      </c>
      <c r="AM816" s="358">
        <f t="shared" si="317"/>
        <v>7.6666666666666669E-4</v>
      </c>
      <c r="AN816" s="359" t="str">
        <f t="shared" si="330"/>
        <v>ISD #272</v>
      </c>
      <c r="AO816" s="355" t="s">
        <v>6510</v>
      </c>
      <c r="AP816" s="23">
        <f t="shared" si="323"/>
        <v>0</v>
      </c>
      <c r="AQ816" s="392">
        <f t="shared" si="325"/>
        <v>0</v>
      </c>
      <c r="AR816" s="392">
        <f t="shared" si="326"/>
        <v>0</v>
      </c>
      <c r="AS816" s="392">
        <f t="shared" si="326"/>
        <v>0</v>
      </c>
    </row>
    <row r="817" spans="1:47">
      <c r="A817" t="str">
        <f t="shared" si="324"/>
        <v>CA_Orang_2020g~buena park library district trustee (vote 1)</v>
      </c>
      <c r="B817" s="55" t="s">
        <v>3536</v>
      </c>
      <c r="D817" s="55" t="s">
        <v>4137</v>
      </c>
      <c r="E817" s="55" t="s">
        <v>4138</v>
      </c>
      <c r="G817" s="60">
        <v>9581</v>
      </c>
      <c r="H817"/>
      <c r="J817">
        <v>35201</v>
      </c>
      <c r="N817">
        <v>51092</v>
      </c>
      <c r="O817">
        <f t="shared" si="303"/>
        <v>4</v>
      </c>
      <c r="P817" s="57">
        <f t="shared" si="304"/>
        <v>1</v>
      </c>
      <c r="Q817" s="267">
        <f t="shared" si="305"/>
        <v>9581</v>
      </c>
      <c r="R817" s="23" t="str">
        <f t="shared" si="306"/>
        <v/>
      </c>
      <c r="S817" s="23">
        <f t="shared" si="307"/>
        <v>9581</v>
      </c>
      <c r="T817" s="23" t="str">
        <f t="shared" si="308"/>
        <v/>
      </c>
      <c r="U817" t="str">
        <f t="shared" si="309"/>
        <v/>
      </c>
      <c r="W817" s="290">
        <f t="shared" si="310"/>
        <v>38</v>
      </c>
      <c r="X817" s="291">
        <f t="shared" si="327"/>
        <v>226.43364879074659</v>
      </c>
      <c r="Y817" s="322">
        <f t="shared" si="311"/>
        <v>798.83600000000013</v>
      </c>
      <c r="Z817" s="292">
        <f t="shared" si="328"/>
        <v>7.3488330862026196E-3</v>
      </c>
      <c r="AA817" s="293">
        <f t="shared" si="312"/>
        <v>7.3488330862026197E-5</v>
      </c>
      <c r="AB817" s="294">
        <f t="shared" si="313"/>
        <v>5400</v>
      </c>
      <c r="AC817" s="294">
        <f t="shared" si="314"/>
        <v>180000</v>
      </c>
      <c r="AD817" s="8">
        <f t="shared" si="318"/>
        <v>900</v>
      </c>
      <c r="AE817" s="294" t="str">
        <f t="shared" si="315"/>
        <v/>
      </c>
      <c r="AF817" s="22" t="str">
        <f t="shared" si="329"/>
        <v>MN_Henne_2021g</v>
      </c>
      <c r="AG817" s="89">
        <v>3</v>
      </c>
      <c r="AH817" s="274">
        <v>11577.333333333334</v>
      </c>
      <c r="AI817" s="279">
        <v>4809</v>
      </c>
      <c r="AJ817" s="280">
        <v>4492</v>
      </c>
      <c r="AK817" s="92">
        <v>317</v>
      </c>
      <c r="AL817" s="23" t="s">
        <v>6834</v>
      </c>
      <c r="AM817" s="358">
        <f t="shared" si="317"/>
        <v>1.7611111111111111E-3</v>
      </c>
      <c r="AN817" s="359" t="str">
        <f t="shared" si="330"/>
        <v>ISD #284</v>
      </c>
      <c r="AO817" s="355" t="s">
        <v>6510</v>
      </c>
      <c r="AP817" s="23">
        <f t="shared" si="323"/>
        <v>0</v>
      </c>
      <c r="AQ817" s="392">
        <f t="shared" si="325"/>
        <v>0</v>
      </c>
      <c r="AR817" s="392">
        <f t="shared" si="326"/>
        <v>0</v>
      </c>
      <c r="AS817" s="392">
        <f t="shared" si="326"/>
        <v>0</v>
      </c>
    </row>
    <row r="818" spans="1:47">
      <c r="A818" t="str">
        <f t="shared" si="324"/>
        <v>CA_Orang_2020g~buena park school district governing board member, trustee area 4 (vote 1)</v>
      </c>
      <c r="B818" s="55" t="s">
        <v>3536</v>
      </c>
      <c r="D818" s="55" t="s">
        <v>3705</v>
      </c>
      <c r="E818" s="55" t="s">
        <v>3707</v>
      </c>
      <c r="G818" s="60">
        <v>1792</v>
      </c>
      <c r="H818"/>
      <c r="J818">
        <v>2843</v>
      </c>
      <c r="N818">
        <v>365</v>
      </c>
      <c r="O818">
        <f t="shared" si="303"/>
        <v>1</v>
      </c>
      <c r="P818" s="57">
        <f t="shared" si="304"/>
        <v>1</v>
      </c>
      <c r="Q818" s="267">
        <f t="shared" si="305"/>
        <v>2469</v>
      </c>
      <c r="R818" s="23">
        <f t="shared" si="306"/>
        <v>1792</v>
      </c>
      <c r="S818" s="23">
        <f t="shared" si="307"/>
        <v>677</v>
      </c>
      <c r="T818" s="23">
        <f t="shared" si="308"/>
        <v>1115</v>
      </c>
      <c r="U818" t="str">
        <f t="shared" si="309"/>
        <v>CA_Orang_2020g~buena park school district governing board member, trustee area 4 (vote 1)</v>
      </c>
      <c r="W818" s="290">
        <f t="shared" si="310"/>
        <v>39</v>
      </c>
      <c r="X818" s="291">
        <f t="shared" si="327"/>
        <v>166.09876543209876</v>
      </c>
      <c r="Y818" s="322">
        <f t="shared" si="311"/>
        <v>299.46000000000004</v>
      </c>
      <c r="Z818" s="292">
        <f t="shared" si="328"/>
        <v>0.77335419497078328</v>
      </c>
      <c r="AA818" s="293">
        <f t="shared" si="312"/>
        <v>7.7335419497078332E-3</v>
      </c>
      <c r="AB818" s="294">
        <f t="shared" si="313"/>
        <v>5400</v>
      </c>
      <c r="AC818" s="294">
        <f t="shared" si="314"/>
        <v>180000</v>
      </c>
      <c r="AD818" s="8">
        <f t="shared" si="318"/>
        <v>900</v>
      </c>
      <c r="AE818" s="294" t="str">
        <f t="shared" si="315"/>
        <v/>
      </c>
      <c r="AF818" s="22" t="str">
        <f t="shared" si="329"/>
        <v>MN_Henne_2021g</v>
      </c>
      <c r="AG818" s="89">
        <v>1</v>
      </c>
      <c r="AH818" s="274">
        <v>4340</v>
      </c>
      <c r="AI818" s="279">
        <v>2224</v>
      </c>
      <c r="AJ818" s="280">
        <v>2062</v>
      </c>
      <c r="AK818" s="92">
        <v>162</v>
      </c>
      <c r="AL818" s="23" t="s">
        <v>6822</v>
      </c>
      <c r="AM818" s="358">
        <f t="shared" si="317"/>
        <v>8.9999999999999998E-4</v>
      </c>
      <c r="AN818" s="359" t="str">
        <f t="shared" si="330"/>
        <v>ISD #11</v>
      </c>
      <c r="AO818" s="355" t="s">
        <v>6510</v>
      </c>
      <c r="AP818" s="23">
        <f t="shared" si="323"/>
        <v>0</v>
      </c>
      <c r="AQ818" s="392">
        <f t="shared" si="325"/>
        <v>0</v>
      </c>
      <c r="AR818" s="392">
        <f t="shared" si="326"/>
        <v>0</v>
      </c>
      <c r="AS818" s="392">
        <f t="shared" si="326"/>
        <v>0</v>
      </c>
    </row>
    <row r="819" spans="1:47">
      <c r="A819" t="str">
        <f t="shared" si="324"/>
        <v>CA_Orang_2020g~buena park school district governing board member, trustee area 4 (vote 1)</v>
      </c>
      <c r="B819" s="55" t="s">
        <v>3536</v>
      </c>
      <c r="D819" s="55" t="s">
        <v>3705</v>
      </c>
      <c r="E819" s="55" t="s">
        <v>3706</v>
      </c>
      <c r="G819" s="60">
        <v>677</v>
      </c>
      <c r="H819"/>
      <c r="J819">
        <v>2843</v>
      </c>
      <c r="N819">
        <v>365</v>
      </c>
      <c r="O819">
        <f t="shared" si="303"/>
        <v>2</v>
      </c>
      <c r="P819" s="57">
        <f t="shared" si="304"/>
        <v>1</v>
      </c>
      <c r="Q819" s="267">
        <f t="shared" si="305"/>
        <v>677</v>
      </c>
      <c r="R819" s="23" t="str">
        <f t="shared" si="306"/>
        <v/>
      </c>
      <c r="S819" s="23">
        <f t="shared" si="307"/>
        <v>677</v>
      </c>
      <c r="T819" s="23" t="str">
        <f t="shared" si="308"/>
        <v/>
      </c>
      <c r="U819" t="str">
        <f t="shared" si="309"/>
        <v/>
      </c>
      <c r="W819" s="290">
        <f t="shared" si="310"/>
        <v>40</v>
      </c>
      <c r="X819" s="291">
        <f t="shared" si="327"/>
        <v>101.40423312883436</v>
      </c>
      <c r="Y819" s="322">
        <f t="shared" si="311"/>
        <v>919.75275000000011</v>
      </c>
      <c r="Z819" s="292">
        <f t="shared" si="328"/>
        <v>2.2771309353352217E-9</v>
      </c>
      <c r="AA819" s="293">
        <f t="shared" si="312"/>
        <v>2.2771309353352218E-11</v>
      </c>
      <c r="AB819" s="294">
        <f t="shared" si="313"/>
        <v>5400</v>
      </c>
      <c r="AC819" s="294">
        <f t="shared" si="314"/>
        <v>180000</v>
      </c>
      <c r="AD819" s="8">
        <f t="shared" si="318"/>
        <v>900</v>
      </c>
      <c r="AE819" s="294" t="str">
        <f t="shared" si="315"/>
        <v/>
      </c>
      <c r="AF819" s="22" t="str">
        <f t="shared" si="329"/>
        <v>MN_Henne_2021g</v>
      </c>
      <c r="AG819" s="89">
        <v>4</v>
      </c>
      <c r="AH819" s="274">
        <v>13329.75</v>
      </c>
      <c r="AI819" s="279">
        <v>6702</v>
      </c>
      <c r="AJ819" s="280">
        <v>5887</v>
      </c>
      <c r="AK819" s="92">
        <v>815</v>
      </c>
      <c r="AL819" s="23" t="s">
        <v>6829</v>
      </c>
      <c r="AM819" s="353">
        <f t="shared" si="317"/>
        <v>4.5277777777777781E-3</v>
      </c>
      <c r="AN819" s="359" t="str">
        <f t="shared" si="330"/>
        <v>ISD #271</v>
      </c>
      <c r="AO819" s="355" t="s">
        <v>6510</v>
      </c>
      <c r="AP819" s="23">
        <f t="shared" si="323"/>
        <v>0</v>
      </c>
      <c r="AQ819" s="392">
        <f t="shared" si="325"/>
        <v>0</v>
      </c>
      <c r="AR819" s="392">
        <f t="shared" si="326"/>
        <v>0</v>
      </c>
      <c r="AS819" s="392">
        <f t="shared" si="326"/>
        <v>0</v>
      </c>
    </row>
    <row r="820" spans="1:47">
      <c r="A820" t="str">
        <f t="shared" si="324"/>
        <v>CA_Orang_2020g~capistrano bay community services district director (vote 1)</v>
      </c>
      <c r="B820" s="55" t="s">
        <v>3536</v>
      </c>
      <c r="D820" s="55" t="s">
        <v>4058</v>
      </c>
      <c r="E820" s="55" t="s">
        <v>4060</v>
      </c>
      <c r="G820" s="60">
        <v>72</v>
      </c>
      <c r="H820"/>
      <c r="J820">
        <v>109</v>
      </c>
      <c r="N820">
        <v>57</v>
      </c>
      <c r="O820">
        <f t="shared" si="303"/>
        <v>1</v>
      </c>
      <c r="P820" s="57">
        <f t="shared" si="304"/>
        <v>1</v>
      </c>
      <c r="Q820" s="267">
        <f t="shared" si="305"/>
        <v>160</v>
      </c>
      <c r="R820" s="23">
        <f t="shared" si="306"/>
        <v>72</v>
      </c>
      <c r="S820" s="23">
        <f t="shared" si="307"/>
        <v>55</v>
      </c>
      <c r="T820" s="23">
        <f t="shared" si="308"/>
        <v>17</v>
      </c>
      <c r="U820" t="str">
        <f t="shared" si="309"/>
        <v>CA_Orang_2020g~capistrano bay community services district director (vote 1)</v>
      </c>
      <c r="W820" s="290">
        <f t="shared" si="310"/>
        <v>41</v>
      </c>
      <c r="X820" s="291">
        <f t="shared" si="327"/>
        <v>58.704504504504513</v>
      </c>
      <c r="Y820" s="322">
        <f t="shared" si="311"/>
        <v>169.21100000000001</v>
      </c>
      <c r="Z820" s="292">
        <f t="shared" si="328"/>
        <v>4.1985739020956037E-2</v>
      </c>
      <c r="AA820" s="293">
        <f t="shared" si="312"/>
        <v>4.1985739020956034E-4</v>
      </c>
      <c r="AB820" s="294">
        <f t="shared" si="313"/>
        <v>5400</v>
      </c>
      <c r="AC820" s="294">
        <f t="shared" si="314"/>
        <v>180000</v>
      </c>
      <c r="AD820" s="8">
        <f t="shared" si="318"/>
        <v>900</v>
      </c>
      <c r="AE820" s="294" t="str">
        <f t="shared" si="315"/>
        <v/>
      </c>
      <c r="AF820" s="22" t="str">
        <f t="shared" si="329"/>
        <v>MN_Henne_2021g</v>
      </c>
      <c r="AG820" s="89">
        <v>3</v>
      </c>
      <c r="AH820" s="274">
        <v>2452.3333333333335</v>
      </c>
      <c r="AI820" s="279">
        <v>1319</v>
      </c>
      <c r="AJ820" s="280">
        <v>1060</v>
      </c>
      <c r="AK820" s="92">
        <v>259</v>
      </c>
      <c r="AL820" s="23" t="s">
        <v>6833</v>
      </c>
      <c r="AM820" s="358">
        <f t="shared" si="317"/>
        <v>1.4388888888888889E-3</v>
      </c>
      <c r="AN820" s="359" t="str">
        <f t="shared" si="330"/>
        <v>ISD #277</v>
      </c>
      <c r="AO820" s="355" t="s">
        <v>6510</v>
      </c>
      <c r="AP820" s="23">
        <f t="shared" si="323"/>
        <v>0</v>
      </c>
      <c r="AQ820" s="392">
        <f t="shared" si="325"/>
        <v>0</v>
      </c>
      <c r="AR820" s="392">
        <f t="shared" si="326"/>
        <v>0</v>
      </c>
      <c r="AS820" s="392">
        <f t="shared" si="326"/>
        <v>0</v>
      </c>
    </row>
    <row r="821" spans="1:47">
      <c r="A821" t="str">
        <f t="shared" si="324"/>
        <v>CA_Orang_2020g~capistrano bay community services district director (vote 1)</v>
      </c>
      <c r="B821" s="55" t="s">
        <v>3536</v>
      </c>
      <c r="D821" s="55" t="s">
        <v>4058</v>
      </c>
      <c r="E821" s="55" t="s">
        <v>4059</v>
      </c>
      <c r="G821" s="60">
        <v>55</v>
      </c>
      <c r="H821"/>
      <c r="J821">
        <v>109</v>
      </c>
      <c r="N821">
        <v>57</v>
      </c>
      <c r="O821">
        <f t="shared" si="303"/>
        <v>2</v>
      </c>
      <c r="P821" s="57">
        <f t="shared" si="304"/>
        <v>1</v>
      </c>
      <c r="Q821" s="267">
        <f t="shared" si="305"/>
        <v>88</v>
      </c>
      <c r="R821" s="23" t="str">
        <f t="shared" si="306"/>
        <v/>
      </c>
      <c r="S821" s="23">
        <f t="shared" si="307"/>
        <v>55</v>
      </c>
      <c r="T821" s="23" t="str">
        <f t="shared" si="308"/>
        <v/>
      </c>
      <c r="U821" t="str">
        <f t="shared" si="309"/>
        <v/>
      </c>
      <c r="W821" s="290">
        <f t="shared" si="310"/>
        <v>42</v>
      </c>
      <c r="X821" s="298">
        <f t="shared" si="327"/>
        <v>32.658310719131613</v>
      </c>
      <c r="Y821" s="322">
        <f t="shared" si="311"/>
        <v>535.73325</v>
      </c>
      <c r="Z821" s="299">
        <f t="shared" si="328"/>
        <v>5.2051628167404228E-18</v>
      </c>
      <c r="AA821" s="300">
        <f t="shared" si="312"/>
        <v>5.2051628167404225E-20</v>
      </c>
      <c r="AB821" s="301">
        <f t="shared" si="313"/>
        <v>5400</v>
      </c>
      <c r="AC821" s="301">
        <f t="shared" si="314"/>
        <v>180000</v>
      </c>
      <c r="AD821" s="8">
        <f t="shared" si="318"/>
        <v>900</v>
      </c>
      <c r="AE821" s="301" t="str">
        <f t="shared" si="315"/>
        <v/>
      </c>
      <c r="AF821" s="22" t="str">
        <f t="shared" si="329"/>
        <v>MN_Henne_2021g</v>
      </c>
      <c r="AG821" s="89">
        <v>4</v>
      </c>
      <c r="AH821" s="274">
        <v>7764.25</v>
      </c>
      <c r="AI821" s="279">
        <v>5380</v>
      </c>
      <c r="AJ821" s="280">
        <v>3906</v>
      </c>
      <c r="AK821" s="92">
        <v>1474</v>
      </c>
      <c r="AL821" s="23" t="s">
        <v>6831</v>
      </c>
      <c r="AM821" s="353">
        <f t="shared" si="317"/>
        <v>8.1888888888888896E-3</v>
      </c>
      <c r="AN821" s="359" t="str">
        <f t="shared" si="330"/>
        <v>ISD #273</v>
      </c>
      <c r="AO821" s="355" t="s">
        <v>6510</v>
      </c>
      <c r="AP821" s="23">
        <f t="shared" si="323"/>
        <v>0</v>
      </c>
      <c r="AQ821" s="392">
        <f t="shared" si="325"/>
        <v>0</v>
      </c>
      <c r="AR821" s="392">
        <f t="shared" si="326"/>
        <v>0</v>
      </c>
      <c r="AS821" s="392">
        <f t="shared" si="326"/>
        <v>0</v>
      </c>
    </row>
    <row r="822" spans="1:47">
      <c r="A822" t="str">
        <f t="shared" si="324"/>
        <v>CA_Orang_2020g~capistrano bay community services district director (vote 1)</v>
      </c>
      <c r="B822" s="55" t="s">
        <v>3536</v>
      </c>
      <c r="D822" s="55" t="s">
        <v>4058</v>
      </c>
      <c r="E822" s="55" t="s">
        <v>4061</v>
      </c>
      <c r="G822" s="60">
        <v>33</v>
      </c>
      <c r="H822"/>
      <c r="J822">
        <v>109</v>
      </c>
      <c r="N822">
        <v>57</v>
      </c>
      <c r="O822">
        <f t="shared" si="303"/>
        <v>3</v>
      </c>
      <c r="P822" s="57">
        <f t="shared" si="304"/>
        <v>1</v>
      </c>
      <c r="Q822" s="267">
        <f t="shared" si="305"/>
        <v>33</v>
      </c>
      <c r="R822" s="23" t="str">
        <f t="shared" si="306"/>
        <v/>
      </c>
      <c r="S822" s="23">
        <f t="shared" si="307"/>
        <v>33</v>
      </c>
      <c r="T822" s="23" t="str">
        <f t="shared" si="308"/>
        <v/>
      </c>
      <c r="U822" t="str">
        <f t="shared" si="309"/>
        <v/>
      </c>
      <c r="W822" s="290">
        <f t="shared" si="310"/>
        <v>43</v>
      </c>
      <c r="X822" s="291">
        <f t="shared" si="327"/>
        <v>29.688917197452227</v>
      </c>
      <c r="Y822" s="322">
        <f t="shared" si="311"/>
        <v>259.37100000000004</v>
      </c>
      <c r="Z822" s="292">
        <f t="shared" si="328"/>
        <v>5.6233869815041268E-9</v>
      </c>
      <c r="AA822" s="293">
        <f t="shared" si="312"/>
        <v>5.6233869815041265E-11</v>
      </c>
      <c r="AB822" s="294">
        <f t="shared" si="313"/>
        <v>5400</v>
      </c>
      <c r="AC822" s="294">
        <f t="shared" si="314"/>
        <v>180000</v>
      </c>
      <c r="AD822" s="8">
        <f t="shared" si="318"/>
        <v>900</v>
      </c>
      <c r="AE822" s="294" t="str">
        <f t="shared" si="315"/>
        <v/>
      </c>
      <c r="AF822" s="22" t="str">
        <f t="shared" si="329"/>
        <v>MN_Henne_2021g</v>
      </c>
      <c r="AG822" s="89">
        <v>1</v>
      </c>
      <c r="AH822" s="274">
        <v>3759</v>
      </c>
      <c r="AI822" s="279">
        <v>2201</v>
      </c>
      <c r="AJ822" s="280">
        <v>1416</v>
      </c>
      <c r="AK822" s="92">
        <v>785</v>
      </c>
      <c r="AL822" s="23" t="s">
        <v>6824</v>
      </c>
      <c r="AM822" s="353">
        <f t="shared" si="317"/>
        <v>4.3611111111111107E-3</v>
      </c>
      <c r="AN822" s="359" t="str">
        <f t="shared" si="330"/>
        <v>ISD #11</v>
      </c>
      <c r="AO822" s="355" t="s">
        <v>6510</v>
      </c>
      <c r="AP822" s="23">
        <f t="shared" si="323"/>
        <v>0</v>
      </c>
      <c r="AQ822" s="392">
        <f t="shared" si="325"/>
        <v>0</v>
      </c>
      <c r="AR822" s="392">
        <f t="shared" si="326"/>
        <v>0</v>
      </c>
      <c r="AS822" s="392">
        <f t="shared" si="326"/>
        <v>0</v>
      </c>
    </row>
    <row r="823" spans="1:47">
      <c r="A823" t="str">
        <f t="shared" si="324"/>
        <v>CA_Orang_2020g~capistrano unified school district governing board member, trustee area 2 (vote 1)</v>
      </c>
      <c r="B823" s="55" t="s">
        <v>3536</v>
      </c>
      <c r="D823" s="55" t="s">
        <v>3602</v>
      </c>
      <c r="E823" s="55" t="s">
        <v>3604</v>
      </c>
      <c r="G823" s="60">
        <v>17483</v>
      </c>
      <c r="H823"/>
      <c r="J823">
        <v>37874</v>
      </c>
      <c r="N823">
        <v>6667</v>
      </c>
      <c r="O823">
        <f t="shared" si="303"/>
        <v>1</v>
      </c>
      <c r="P823" s="57">
        <f t="shared" si="304"/>
        <v>1</v>
      </c>
      <c r="Q823" s="267">
        <f t="shared" si="305"/>
        <v>31082</v>
      </c>
      <c r="R823" s="23">
        <f t="shared" si="306"/>
        <v>17483</v>
      </c>
      <c r="S823" s="23">
        <f t="shared" si="307"/>
        <v>13599</v>
      </c>
      <c r="T823" s="23">
        <f t="shared" si="308"/>
        <v>3884</v>
      </c>
      <c r="U823" t="str">
        <f t="shared" si="309"/>
        <v>CA_Orang_2020g~capistrano unified school district governing board member, trustee area 2 (vote 1)</v>
      </c>
      <c r="W823" s="290">
        <f t="shared" si="310"/>
        <v>44</v>
      </c>
      <c r="X823" s="291">
        <f t="shared" si="327"/>
        <v>22.587332521315467</v>
      </c>
      <c r="Y823" s="322">
        <f t="shared" si="311"/>
        <v>206.37900000000002</v>
      </c>
      <c r="Z823" s="292">
        <f t="shared" si="328"/>
        <v>1.9004573249024438E-9</v>
      </c>
      <c r="AA823" s="293">
        <f t="shared" si="312"/>
        <v>1.9004573249024438E-11</v>
      </c>
      <c r="AB823" s="294">
        <f t="shared" si="313"/>
        <v>5400</v>
      </c>
      <c r="AC823" s="294">
        <f t="shared" si="314"/>
        <v>180000</v>
      </c>
      <c r="AD823" s="8">
        <f t="shared" si="318"/>
        <v>900</v>
      </c>
      <c r="AE823" s="294" t="str">
        <f t="shared" si="315"/>
        <v/>
      </c>
      <c r="AF823" s="22" t="str">
        <f t="shared" si="329"/>
        <v>MN_Henne_2021g</v>
      </c>
      <c r="AG823" s="89">
        <v>1</v>
      </c>
      <c r="AH823" s="274">
        <v>2991</v>
      </c>
      <c r="AI823" s="279">
        <v>1906</v>
      </c>
      <c r="AJ823" s="280">
        <v>1085</v>
      </c>
      <c r="AK823" s="92">
        <v>821</v>
      </c>
      <c r="AL823" s="23" t="s">
        <v>6835</v>
      </c>
      <c r="AM823" s="358">
        <f t="shared" si="317"/>
        <v>4.5611111111111113E-3</v>
      </c>
      <c r="AN823" s="359" t="str">
        <f t="shared" si="330"/>
        <v>ISD #879</v>
      </c>
      <c r="AO823" s="355" t="s">
        <v>6510</v>
      </c>
      <c r="AP823" s="23">
        <f t="shared" si="323"/>
        <v>0</v>
      </c>
      <c r="AQ823" s="392">
        <f t="shared" si="325"/>
        <v>0</v>
      </c>
      <c r="AR823" s="392">
        <f t="shared" si="326"/>
        <v>0</v>
      </c>
      <c r="AS823" s="392">
        <f t="shared" si="326"/>
        <v>0</v>
      </c>
    </row>
    <row r="824" spans="1:47">
      <c r="A824" t="str">
        <f t="shared" si="324"/>
        <v>CA_Orang_2020g~capistrano unified school district governing board member, trustee area 2 (vote 1)</v>
      </c>
      <c r="B824" s="55" t="s">
        <v>3536</v>
      </c>
      <c r="D824" s="55" t="s">
        <v>3602</v>
      </c>
      <c r="E824" s="55" t="s">
        <v>3603</v>
      </c>
      <c r="G824" s="60">
        <v>13599</v>
      </c>
      <c r="H824"/>
      <c r="J824">
        <v>37874</v>
      </c>
      <c r="N824">
        <v>6667</v>
      </c>
      <c r="O824">
        <f t="shared" si="303"/>
        <v>2</v>
      </c>
      <c r="P824" s="57">
        <f t="shared" si="304"/>
        <v>1</v>
      </c>
      <c r="Q824" s="267">
        <f t="shared" si="305"/>
        <v>13599</v>
      </c>
      <c r="R824" s="23" t="str">
        <f t="shared" si="306"/>
        <v/>
      </c>
      <c r="S824" s="23">
        <f t="shared" si="307"/>
        <v>13599</v>
      </c>
      <c r="T824" s="23" t="str">
        <f t="shared" si="308"/>
        <v/>
      </c>
      <c r="U824" t="str">
        <f t="shared" si="309"/>
        <v/>
      </c>
      <c r="W824" s="290">
        <f t="shared" si="310"/>
        <v>45</v>
      </c>
      <c r="X824" s="291">
        <f t="shared" si="327"/>
        <v>18.041075972373683</v>
      </c>
      <c r="Y824" s="322">
        <f t="shared" si="311"/>
        <v>552.34500000000003</v>
      </c>
      <c r="Z824" s="292">
        <f t="shared" si="328"/>
        <v>7.6025318463781958E-35</v>
      </c>
      <c r="AA824" s="293">
        <f t="shared" si="312"/>
        <v>7.6025318463781956E-37</v>
      </c>
      <c r="AB824" s="294">
        <f t="shared" si="313"/>
        <v>5400</v>
      </c>
      <c r="AC824" s="294">
        <f t="shared" si="314"/>
        <v>180000</v>
      </c>
      <c r="AD824" s="8">
        <f t="shared" si="318"/>
        <v>900</v>
      </c>
      <c r="AE824" s="294" t="str">
        <f t="shared" si="315"/>
        <v/>
      </c>
      <c r="AF824" s="22" t="str">
        <f t="shared" si="329"/>
        <v>MN_Henne_2021g</v>
      </c>
      <c r="AG824" s="89">
        <v>1</v>
      </c>
      <c r="AH824" s="274">
        <v>8005</v>
      </c>
      <c r="AI824" s="279">
        <v>5371</v>
      </c>
      <c r="AJ824" s="280">
        <v>2620</v>
      </c>
      <c r="AK824" s="92">
        <v>2751</v>
      </c>
      <c r="AL824" s="23" t="s">
        <v>6823</v>
      </c>
      <c r="AM824" s="353">
        <f t="shared" si="317"/>
        <v>1.5283333333333333E-2</v>
      </c>
      <c r="AN824" s="359" t="str">
        <f t="shared" si="330"/>
        <v>ISD #11</v>
      </c>
      <c r="AO824" s="355" t="s">
        <v>6510</v>
      </c>
      <c r="AP824" s="23">
        <f t="shared" si="323"/>
        <v>4</v>
      </c>
      <c r="AQ824" s="392">
        <f t="shared" si="325"/>
        <v>3.9468843449144142E-2</v>
      </c>
      <c r="AR824" s="392">
        <f t="shared" si="326"/>
        <v>0.18578025394283948</v>
      </c>
      <c r="AS824" s="392">
        <f t="shared" si="326"/>
        <v>0.59108409232191372</v>
      </c>
    </row>
    <row r="825" spans="1:47">
      <c r="A825" t="str">
        <f t="shared" si="324"/>
        <v>CA_Orang_2020g~capistrano unified school district governing board member, trustee area 3 (vote 1)</v>
      </c>
      <c r="B825" s="55" t="s">
        <v>3536</v>
      </c>
      <c r="D825" s="55" t="s">
        <v>3605</v>
      </c>
      <c r="E825" s="55" t="s">
        <v>3607</v>
      </c>
      <c r="G825" s="60">
        <v>11459</v>
      </c>
      <c r="H825"/>
      <c r="J825">
        <v>31354</v>
      </c>
      <c r="N825">
        <v>5587</v>
      </c>
      <c r="O825">
        <f t="shared" si="303"/>
        <v>1</v>
      </c>
      <c r="P825" s="57">
        <f t="shared" si="304"/>
        <v>1</v>
      </c>
      <c r="Q825" s="267">
        <f t="shared" si="305"/>
        <v>25650</v>
      </c>
      <c r="R825" s="23">
        <f t="shared" si="306"/>
        <v>11459</v>
      </c>
      <c r="S825" s="23">
        <f t="shared" si="307"/>
        <v>10964</v>
      </c>
      <c r="T825" s="23">
        <f t="shared" si="308"/>
        <v>495</v>
      </c>
      <c r="U825" t="str">
        <f t="shared" si="309"/>
        <v>CA_Orang_2020g~capistrano unified school district governing board member, trustee area 3 (vote 1)</v>
      </c>
      <c r="W825" s="290">
        <f t="shared" si="310"/>
        <v>46</v>
      </c>
      <c r="X825" s="298">
        <f t="shared" si="327"/>
        <v>17.323126866640695</v>
      </c>
      <c r="Y825" s="322">
        <f t="shared" si="311"/>
        <v>494.89100000000002</v>
      </c>
      <c r="Z825" s="299">
        <f t="shared" si="328"/>
        <v>2.0616195167606119E-32</v>
      </c>
      <c r="AA825" s="300">
        <f t="shared" si="312"/>
        <v>2.0616195167606121E-34</v>
      </c>
      <c r="AB825" s="301">
        <f t="shared" si="313"/>
        <v>5400</v>
      </c>
      <c r="AC825" s="301">
        <f t="shared" si="314"/>
        <v>180000</v>
      </c>
      <c r="AD825" s="8">
        <f t="shared" si="318"/>
        <v>900</v>
      </c>
      <c r="AE825" s="301" t="str">
        <f t="shared" si="315"/>
        <v/>
      </c>
      <c r="AF825" s="22" t="str">
        <f t="shared" si="329"/>
        <v>MN_Henne_2021g</v>
      </c>
      <c r="AG825" s="89">
        <v>3</v>
      </c>
      <c r="AH825" s="274">
        <v>7172.333333333333</v>
      </c>
      <c r="AI825" s="279">
        <v>5371</v>
      </c>
      <c r="AJ825" s="280">
        <v>2804</v>
      </c>
      <c r="AK825" s="92">
        <v>2567</v>
      </c>
      <c r="AL825" s="23" t="s">
        <v>6828</v>
      </c>
      <c r="AM825" s="353">
        <f t="shared" si="317"/>
        <v>1.4261111111111112E-2</v>
      </c>
      <c r="AN825" s="359" t="str">
        <f t="shared" si="330"/>
        <v>ISD #270</v>
      </c>
      <c r="AO825" s="355" t="s">
        <v>6510</v>
      </c>
      <c r="AP825" s="23">
        <f t="shared" si="323"/>
        <v>4</v>
      </c>
      <c r="AQ825" s="392">
        <f t="shared" si="325"/>
        <v>3.9468843449144142E-2</v>
      </c>
      <c r="AR825" s="392">
        <f t="shared" si="326"/>
        <v>0.18578025394283948</v>
      </c>
      <c r="AS825" s="392">
        <f t="shared" si="326"/>
        <v>0.59108409232191372</v>
      </c>
    </row>
    <row r="826" spans="1:47">
      <c r="A826" t="str">
        <f t="shared" si="324"/>
        <v>CA_Orang_2020g~capistrano unified school district governing board member, trustee area 3 (vote 1)</v>
      </c>
      <c r="B826" s="55" t="s">
        <v>3536</v>
      </c>
      <c r="D826" s="55" t="s">
        <v>3605</v>
      </c>
      <c r="E826" s="55" t="s">
        <v>3606</v>
      </c>
      <c r="G826" s="60">
        <v>10964</v>
      </c>
      <c r="H826"/>
      <c r="J826">
        <v>31354</v>
      </c>
      <c r="N826">
        <v>5587</v>
      </c>
      <c r="O826">
        <f t="shared" si="303"/>
        <v>2</v>
      </c>
      <c r="P826" s="57">
        <f t="shared" si="304"/>
        <v>1</v>
      </c>
      <c r="Q826" s="267">
        <f t="shared" si="305"/>
        <v>14191</v>
      </c>
      <c r="R826" s="23" t="str">
        <f t="shared" si="306"/>
        <v/>
      </c>
      <c r="S826" s="23">
        <f t="shared" si="307"/>
        <v>10964</v>
      </c>
      <c r="T826" s="23" t="str">
        <f t="shared" si="308"/>
        <v/>
      </c>
      <c r="U826" t="str">
        <f t="shared" si="309"/>
        <v/>
      </c>
      <c r="W826" s="290">
        <f t="shared" si="310"/>
        <v>47</v>
      </c>
      <c r="X826" s="298">
        <f t="shared" si="327"/>
        <v>68.424065708418894</v>
      </c>
      <c r="Y826" s="322">
        <f t="shared" si="311"/>
        <v>1854.2370000000001</v>
      </c>
      <c r="Z826" s="299">
        <f t="shared" si="328"/>
        <v>1.143529026762595E-30</v>
      </c>
      <c r="AA826" s="300">
        <f t="shared" si="312"/>
        <v>1.1435290267625949E-32</v>
      </c>
      <c r="AB826" s="301">
        <f t="shared" si="313"/>
        <v>5400</v>
      </c>
      <c r="AC826" s="301">
        <f t="shared" si="314"/>
        <v>180000</v>
      </c>
      <c r="AD826" s="8">
        <f t="shared" si="318"/>
        <v>900</v>
      </c>
      <c r="AE826" s="301" t="str">
        <f t="shared" si="315"/>
        <v/>
      </c>
      <c r="AF826" s="22" t="str">
        <f t="shared" si="329"/>
        <v>MN_Henne_2021g</v>
      </c>
      <c r="AG826" s="89">
        <v>1</v>
      </c>
      <c r="AH826" s="274">
        <v>26873</v>
      </c>
      <c r="AI826" s="279">
        <v>14654</v>
      </c>
      <c r="AJ826" s="280">
        <v>12219</v>
      </c>
      <c r="AK826" s="92">
        <v>2435</v>
      </c>
      <c r="AL826" s="23" t="s">
        <v>6827</v>
      </c>
      <c r="AM826" s="353">
        <f t="shared" si="317"/>
        <v>1.3527777777777777E-2</v>
      </c>
      <c r="AN826" s="359" t="str">
        <f t="shared" si="330"/>
        <v>ISD #11</v>
      </c>
      <c r="AO826" s="355" t="s">
        <v>6525</v>
      </c>
      <c r="AP826" s="23">
        <f t="shared" si="323"/>
        <v>3</v>
      </c>
      <c r="AQ826" s="392">
        <f t="shared" si="325"/>
        <v>2.9733730375993583E-2</v>
      </c>
      <c r="AR826" s="392">
        <f t="shared" si="326"/>
        <v>0.14277568989052425</v>
      </c>
      <c r="AS826" s="392">
        <f t="shared" si="326"/>
        <v>0.48842737909728962</v>
      </c>
    </row>
    <row r="827" spans="1:47">
      <c r="A827" t="str">
        <f t="shared" si="324"/>
        <v>CA_Orang_2020g~capistrano unified school district governing board member, trustee area 3 (vote 1)</v>
      </c>
      <c r="B827" s="55" t="s">
        <v>3536</v>
      </c>
      <c r="D827" s="55" t="s">
        <v>3605</v>
      </c>
      <c r="E827" s="55" t="s">
        <v>3608</v>
      </c>
      <c r="G827" s="60">
        <v>3227</v>
      </c>
      <c r="H827"/>
      <c r="J827">
        <v>31354</v>
      </c>
      <c r="N827">
        <v>5587</v>
      </c>
      <c r="O827">
        <f t="shared" si="303"/>
        <v>3</v>
      </c>
      <c r="P827" s="57">
        <f t="shared" si="304"/>
        <v>1</v>
      </c>
      <c r="Q827" s="267">
        <f t="shared" si="305"/>
        <v>3227</v>
      </c>
      <c r="R827" s="23" t="str">
        <f t="shared" si="306"/>
        <v/>
      </c>
      <c r="S827" s="23">
        <f t="shared" si="307"/>
        <v>3227</v>
      </c>
      <c r="T827" s="23" t="str">
        <f t="shared" si="308"/>
        <v/>
      </c>
      <c r="U827" t="str">
        <f t="shared" si="309"/>
        <v/>
      </c>
      <c r="W827" s="290">
        <f t="shared" si="310"/>
        <v>48</v>
      </c>
      <c r="X827" s="298">
        <f t="shared" si="327"/>
        <v>31.115693226348199</v>
      </c>
      <c r="Y827" s="322">
        <f t="shared" si="311"/>
        <v>1855.7550000000001</v>
      </c>
      <c r="Z827" s="299">
        <f t="shared" si="328"/>
        <v>1.3122110820522326E-69</v>
      </c>
      <c r="AA827" s="300">
        <f t="shared" si="312"/>
        <v>1.3122110820522326E-71</v>
      </c>
      <c r="AB827" s="301">
        <f t="shared" si="313"/>
        <v>5400</v>
      </c>
      <c r="AC827" s="301">
        <f t="shared" si="314"/>
        <v>180000</v>
      </c>
      <c r="AD827" s="8">
        <f t="shared" si="318"/>
        <v>900</v>
      </c>
      <c r="AE827" s="301" t="str">
        <f t="shared" si="315"/>
        <v/>
      </c>
      <c r="AF827" s="22" t="str">
        <f t="shared" si="329"/>
        <v>MN_Henne_2021g</v>
      </c>
      <c r="AG827" s="89">
        <v>1</v>
      </c>
      <c r="AH827" s="274">
        <v>26895</v>
      </c>
      <c r="AI827" s="279">
        <v>16127</v>
      </c>
      <c r="AJ827" s="280">
        <v>10768</v>
      </c>
      <c r="AK827" s="92">
        <v>5359</v>
      </c>
      <c r="AL827" s="23" t="s">
        <v>6826</v>
      </c>
      <c r="AM827" s="353">
        <f t="shared" si="317"/>
        <v>2.9772222222222221E-2</v>
      </c>
      <c r="AN827" s="359" t="str">
        <f t="shared" si="330"/>
        <v>ISD #11</v>
      </c>
      <c r="AO827" s="355" t="s">
        <v>6525</v>
      </c>
      <c r="AP827" s="23">
        <f t="shared" si="323"/>
        <v>15</v>
      </c>
      <c r="AQ827" s="392">
        <f t="shared" si="325"/>
        <v>0.14096564762963615</v>
      </c>
      <c r="AR827" s="392">
        <f t="shared" si="326"/>
        <v>0.53957638174170719</v>
      </c>
      <c r="AS827" s="392">
        <f t="shared" si="326"/>
        <v>0.96583922568441816</v>
      </c>
    </row>
    <row r="828" spans="1:47">
      <c r="A828" t="str">
        <f t="shared" si="324"/>
        <v>CA_Orang_2020g~capistrano unified school district governing board member, trustee area 5 (vote 1)</v>
      </c>
      <c r="B828" s="55" t="s">
        <v>3536</v>
      </c>
      <c r="D828" s="55" t="s">
        <v>3609</v>
      </c>
      <c r="E828" s="55" t="s">
        <v>3610</v>
      </c>
      <c r="G828" s="60">
        <v>12799</v>
      </c>
      <c r="H828"/>
      <c r="J828">
        <v>29316</v>
      </c>
      <c r="N828">
        <v>5780</v>
      </c>
      <c r="O828">
        <f t="shared" si="303"/>
        <v>1</v>
      </c>
      <c r="P828" s="57">
        <f t="shared" si="304"/>
        <v>1</v>
      </c>
      <c r="Q828" s="267">
        <f t="shared" si="305"/>
        <v>23420</v>
      </c>
      <c r="R828" s="23">
        <f t="shared" si="306"/>
        <v>12799</v>
      </c>
      <c r="S828" s="23">
        <f t="shared" si="307"/>
        <v>6585</v>
      </c>
      <c r="T828" s="23">
        <f t="shared" si="308"/>
        <v>6214</v>
      </c>
      <c r="U828" t="str">
        <f t="shared" si="309"/>
        <v>CA_Orang_2020g~capistrano unified school district governing board member, trustee area 5 (vote 1)</v>
      </c>
      <c r="W828" s="290">
        <f t="shared" si="310"/>
        <v>49</v>
      </c>
      <c r="X828" s="298">
        <f t="shared" si="327"/>
        <v>28.807604562737641</v>
      </c>
      <c r="Y828" s="322">
        <f t="shared" si="311"/>
        <v>1854.9960000000001</v>
      </c>
      <c r="Z828" s="299">
        <f t="shared" si="328"/>
        <v>2.3820743915519724E-75</v>
      </c>
      <c r="AA828" s="300">
        <f t="shared" si="312"/>
        <v>2.3820743915519725E-77</v>
      </c>
      <c r="AB828" s="301">
        <f t="shared" si="313"/>
        <v>5400</v>
      </c>
      <c r="AC828" s="301">
        <f t="shared" si="314"/>
        <v>180000</v>
      </c>
      <c r="AD828" s="8">
        <f t="shared" si="318"/>
        <v>900</v>
      </c>
      <c r="AE828" s="301" t="str">
        <f t="shared" si="315"/>
        <v/>
      </c>
      <c r="AF828" s="22" t="str">
        <f t="shared" si="329"/>
        <v>MN_Henne_2021g</v>
      </c>
      <c r="AG828" s="89">
        <v>1</v>
      </c>
      <c r="AH828" s="274">
        <v>26884</v>
      </c>
      <c r="AI828" s="279">
        <v>16335</v>
      </c>
      <c r="AJ828" s="280">
        <v>10549</v>
      </c>
      <c r="AK828" s="92">
        <v>5786</v>
      </c>
      <c r="AL828" s="23" t="s">
        <v>6825</v>
      </c>
      <c r="AM828" s="353">
        <f t="shared" si="317"/>
        <v>3.2144444444444448E-2</v>
      </c>
      <c r="AN828" s="359" t="str">
        <f t="shared" si="330"/>
        <v>ISD #11</v>
      </c>
      <c r="AO828" s="355" t="s">
        <v>6525</v>
      </c>
      <c r="AP828" s="23">
        <f t="shared" si="323"/>
        <v>17</v>
      </c>
      <c r="AQ828" s="392">
        <f t="shared" si="325"/>
        <v>0.15835847445882367</v>
      </c>
      <c r="AR828" s="392">
        <f t="shared" si="326"/>
        <v>0.58523385075067824</v>
      </c>
      <c r="AS828" s="392">
        <f t="shared" si="326"/>
        <v>0.97832825177249083</v>
      </c>
      <c r="AU828" s="65"/>
    </row>
    <row r="829" spans="1:47">
      <c r="A829" t="str">
        <f t="shared" si="324"/>
        <v>CA_Orang_2020g~capistrano unified school district governing board member, trustee area 5 (vote 1)</v>
      </c>
      <c r="B829" s="55" t="s">
        <v>3536</v>
      </c>
      <c r="D829" s="55" t="s">
        <v>3609</v>
      </c>
      <c r="E829" s="55" t="s">
        <v>3612</v>
      </c>
      <c r="G829" s="60">
        <v>6585</v>
      </c>
      <c r="H829"/>
      <c r="J829">
        <v>29316</v>
      </c>
      <c r="N829">
        <v>5780</v>
      </c>
      <c r="O829">
        <f t="shared" si="303"/>
        <v>2</v>
      </c>
      <c r="P829" s="57">
        <f t="shared" si="304"/>
        <v>1</v>
      </c>
      <c r="Q829" s="267">
        <f t="shared" si="305"/>
        <v>10621</v>
      </c>
      <c r="R829" s="23" t="str">
        <f t="shared" si="306"/>
        <v/>
      </c>
      <c r="S829" s="23">
        <f t="shared" si="307"/>
        <v>6585</v>
      </c>
      <c r="T829" s="23" t="str">
        <f t="shared" si="308"/>
        <v/>
      </c>
      <c r="U829" t="str">
        <f t="shared" si="309"/>
        <v/>
      </c>
      <c r="W829" s="1">
        <f t="shared" si="310"/>
        <v>1</v>
      </c>
      <c r="X829" s="73">
        <f t="shared" ref="X829:X843" si="331">IF(AK829=0,AH829,MIN(AH829,6.2/(AK829/AH829)))</f>
        <v>43.327901375255756</v>
      </c>
      <c r="Y829" s="322">
        <f t="shared" si="311"/>
        <v>18618.132000000001</v>
      </c>
      <c r="Z829" s="43">
        <f t="shared" ref="Z829:Z843" si="332">AA829*100</f>
        <v>0</v>
      </c>
      <c r="AA829" s="52">
        <f t="shared" si="312"/>
        <v>0</v>
      </c>
      <c r="AB829" s="8">
        <f t="shared" si="313"/>
        <v>5396.56</v>
      </c>
      <c r="AC829" s="8">
        <f t="shared" si="314"/>
        <v>269828</v>
      </c>
      <c r="AD829" s="8">
        <f t="shared" si="318"/>
        <v>1349.14</v>
      </c>
      <c r="AE829" s="8" t="str">
        <f t="shared" si="315"/>
        <v/>
      </c>
      <c r="AF829" s="22" t="str">
        <f t="shared" si="316"/>
        <v>PA_Alleg_2019g</v>
      </c>
      <c r="AG829">
        <v>1</v>
      </c>
      <c r="AH829" s="272">
        <v>269828</v>
      </c>
      <c r="AI829" s="273">
        <v>154015</v>
      </c>
      <c r="AJ829" s="274">
        <v>115404</v>
      </c>
      <c r="AK829" s="339">
        <v>38611</v>
      </c>
      <c r="AL829" s="340" t="s">
        <v>2217</v>
      </c>
      <c r="AM829" s="358">
        <f t="shared" si="317"/>
        <v>0.14309486042960701</v>
      </c>
      <c r="AN829" s="359" t="s">
        <v>6512</v>
      </c>
      <c r="AO829" s="360" t="s">
        <v>6485</v>
      </c>
      <c r="AP829" s="23">
        <f t="shared" si="323"/>
        <v>151</v>
      </c>
      <c r="AQ829" s="392">
        <f t="shared" si="325"/>
        <v>0.81184786763403871</v>
      </c>
      <c r="AR829" s="392">
        <f t="shared" si="326"/>
        <v>0.99974973543009249</v>
      </c>
      <c r="AS829" s="392">
        <f t="shared" si="326"/>
        <v>0.99999999999999978</v>
      </c>
    </row>
    <row r="830" spans="1:47">
      <c r="A830" t="str">
        <f t="shared" si="324"/>
        <v>CA_Orang_2020g~capistrano unified school district governing board member, trustee area 5 (vote 1)</v>
      </c>
      <c r="B830" s="55" t="s">
        <v>3536</v>
      </c>
      <c r="D830" s="55" t="s">
        <v>3609</v>
      </c>
      <c r="E830" s="55" t="s">
        <v>3611</v>
      </c>
      <c r="G830" s="60">
        <v>4036</v>
      </c>
      <c r="H830"/>
      <c r="J830">
        <v>29316</v>
      </c>
      <c r="N830">
        <v>5780</v>
      </c>
      <c r="O830">
        <f t="shared" si="303"/>
        <v>3</v>
      </c>
      <c r="P830" s="57">
        <f t="shared" si="304"/>
        <v>1</v>
      </c>
      <c r="Q830" s="267">
        <f t="shared" si="305"/>
        <v>4036</v>
      </c>
      <c r="R830" s="23" t="str">
        <f t="shared" si="306"/>
        <v/>
      </c>
      <c r="S830" s="23">
        <f t="shared" si="307"/>
        <v>4036</v>
      </c>
      <c r="T830" s="23" t="str">
        <f t="shared" si="308"/>
        <v/>
      </c>
      <c r="U830" t="str">
        <f t="shared" si="309"/>
        <v/>
      </c>
      <c r="W830" s="1">
        <f t="shared" si="310"/>
        <v>2</v>
      </c>
      <c r="X830" s="73">
        <f t="shared" si="331"/>
        <v>42.12420856610801</v>
      </c>
      <c r="Y830" s="322">
        <f t="shared" si="311"/>
        <v>503.49300000000005</v>
      </c>
      <c r="Z830" s="43">
        <f t="shared" si="332"/>
        <v>4.4951030329890858E-8</v>
      </c>
      <c r="AA830" s="52">
        <f t="shared" si="312"/>
        <v>4.495103032989086E-10</v>
      </c>
      <c r="AB830" s="8">
        <f t="shared" si="313"/>
        <v>5396.56</v>
      </c>
      <c r="AC830" s="8">
        <f t="shared" si="314"/>
        <v>269828</v>
      </c>
      <c r="AD830" s="8">
        <f t="shared" si="318"/>
        <v>1349.14</v>
      </c>
      <c r="AE830" s="8" t="str">
        <f t="shared" si="315"/>
        <v/>
      </c>
      <c r="AF830" s="22" t="str">
        <f t="shared" si="316"/>
        <v>PA_Alleg_2019g</v>
      </c>
      <c r="AG830">
        <v>1</v>
      </c>
      <c r="AH830" s="272">
        <v>7297</v>
      </c>
      <c r="AI830" s="273">
        <v>4182</v>
      </c>
      <c r="AJ830" s="274">
        <v>3108</v>
      </c>
      <c r="AK830" s="339">
        <v>1074</v>
      </c>
      <c r="AL830" s="340" t="s">
        <v>2219</v>
      </c>
      <c r="AM830" s="358">
        <f t="shared" si="317"/>
        <v>3.9803133848229245E-3</v>
      </c>
      <c r="AN830" s="359" t="s">
        <v>6512</v>
      </c>
      <c r="AO830" s="360" t="s">
        <v>6485</v>
      </c>
      <c r="AP830" s="23">
        <f t="shared" si="323"/>
        <v>0</v>
      </c>
      <c r="AQ830" s="392">
        <f t="shared" si="325"/>
        <v>0</v>
      </c>
      <c r="AR830" s="392">
        <f t="shared" si="326"/>
        <v>0</v>
      </c>
      <c r="AS830" s="392">
        <f t="shared" si="326"/>
        <v>0</v>
      </c>
    </row>
    <row r="831" spans="1:47">
      <c r="A831" t="str">
        <f t="shared" si="324"/>
        <v>CA_Orang_2020g~cc-city of tustin, limited council compensation (vote 1)</v>
      </c>
      <c r="B831" s="55" t="s">
        <v>3536</v>
      </c>
      <c r="D831" s="55" t="s">
        <v>4167</v>
      </c>
      <c r="E831" s="55" t="s">
        <v>1393</v>
      </c>
      <c r="G831" s="60">
        <v>23540</v>
      </c>
      <c r="H831"/>
      <c r="J831">
        <v>35282</v>
      </c>
      <c r="N831">
        <v>3906</v>
      </c>
      <c r="O831">
        <f t="shared" si="303"/>
        <v>1</v>
      </c>
      <c r="P831" s="57">
        <f t="shared" si="304"/>
        <v>1</v>
      </c>
      <c r="Q831" s="267">
        <f t="shared" si="305"/>
        <v>31355</v>
      </c>
      <c r="R831" s="23">
        <f t="shared" si="306"/>
        <v>23540</v>
      </c>
      <c r="S831" s="23">
        <f t="shared" si="307"/>
        <v>7815</v>
      </c>
      <c r="T831" s="23">
        <f t="shared" si="308"/>
        <v>15725</v>
      </c>
      <c r="U831" t="str">
        <f t="shared" si="309"/>
        <v>CA_Orang_2020g~cc-city of tustin, limited council compensation (vote 1)</v>
      </c>
      <c r="W831" s="1">
        <f t="shared" si="310"/>
        <v>3</v>
      </c>
      <c r="X831" s="73">
        <f t="shared" si="331"/>
        <v>25.536963270845707</v>
      </c>
      <c r="Y831" s="322">
        <f t="shared" si="311"/>
        <v>16752.268500000002</v>
      </c>
      <c r="Z831" s="43">
        <f t="shared" si="332"/>
        <v>0</v>
      </c>
      <c r="AA831" s="52">
        <f t="shared" si="312"/>
        <v>0</v>
      </c>
      <c r="AB831" s="8">
        <f t="shared" si="313"/>
        <v>5396.56</v>
      </c>
      <c r="AC831" s="8">
        <f t="shared" si="314"/>
        <v>269828</v>
      </c>
      <c r="AD831" s="8">
        <f t="shared" si="318"/>
        <v>1349.14</v>
      </c>
      <c r="AE831" s="8" t="str">
        <f t="shared" si="315"/>
        <v/>
      </c>
      <c r="AF831" s="22" t="str">
        <f t="shared" si="316"/>
        <v>PA_Alleg_2019g</v>
      </c>
      <c r="AG831">
        <v>2</v>
      </c>
      <c r="AH831" s="272">
        <v>242786.5</v>
      </c>
      <c r="AI831" s="273">
        <v>153648</v>
      </c>
      <c r="AJ831" s="274">
        <v>94703</v>
      </c>
      <c r="AK831" s="339">
        <v>58945</v>
      </c>
      <c r="AL831" s="340" t="s">
        <v>2218</v>
      </c>
      <c r="AM831" s="358">
        <f t="shared" si="317"/>
        <v>0.21845397808974606</v>
      </c>
      <c r="AN831" s="359" t="s">
        <v>6517</v>
      </c>
      <c r="AO831" s="360" t="s">
        <v>6485</v>
      </c>
      <c r="AP831" s="23">
        <f t="shared" si="323"/>
        <v>237</v>
      </c>
      <c r="AQ831" s="392">
        <f t="shared" si="325"/>
        <v>0.93408119538372492</v>
      </c>
      <c r="AR831" s="392">
        <f t="shared" si="326"/>
        <v>0.99999864484820655</v>
      </c>
      <c r="AS831" s="392">
        <f t="shared" si="326"/>
        <v>1</v>
      </c>
    </row>
    <row r="832" spans="1:47">
      <c r="A832" t="str">
        <f t="shared" si="324"/>
        <v>CA_Orang_2020g~cc-city of tustin, limited council compensation (vote 1)</v>
      </c>
      <c r="B832" s="55" t="s">
        <v>3536</v>
      </c>
      <c r="D832" s="55" t="s">
        <v>4167</v>
      </c>
      <c r="E832" s="55" t="s">
        <v>1394</v>
      </c>
      <c r="G832" s="60">
        <v>7815</v>
      </c>
      <c r="H832"/>
      <c r="J832">
        <v>35282</v>
      </c>
      <c r="N832">
        <v>3906</v>
      </c>
      <c r="O832">
        <f t="shared" si="303"/>
        <v>2</v>
      </c>
      <c r="P832" s="57">
        <f t="shared" si="304"/>
        <v>1</v>
      </c>
      <c r="Q832" s="267">
        <f t="shared" si="305"/>
        <v>7815</v>
      </c>
      <c r="R832" s="23" t="str">
        <f t="shared" si="306"/>
        <v/>
      </c>
      <c r="S832" s="23">
        <f t="shared" si="307"/>
        <v>7815</v>
      </c>
      <c r="T832" s="23" t="str">
        <f t="shared" si="308"/>
        <v/>
      </c>
      <c r="U832" t="str">
        <f t="shared" si="309"/>
        <v/>
      </c>
      <c r="W832" s="1">
        <f t="shared" si="310"/>
        <v>4</v>
      </c>
      <c r="X832" s="73">
        <f t="shared" si="331"/>
        <v>23.366649530174509</v>
      </c>
      <c r="Y832" s="322">
        <f t="shared" si="311"/>
        <v>18210.135000000002</v>
      </c>
      <c r="Z832" s="43">
        <f t="shared" si="332"/>
        <v>0</v>
      </c>
      <c r="AA832" s="52">
        <f t="shared" si="312"/>
        <v>0</v>
      </c>
      <c r="AB832" s="8">
        <f t="shared" si="313"/>
        <v>5396.56</v>
      </c>
      <c r="AC832" s="8">
        <f t="shared" si="314"/>
        <v>269828</v>
      </c>
      <c r="AD832" s="8">
        <f t="shared" si="318"/>
        <v>1349.14</v>
      </c>
      <c r="AE832" s="8" t="str">
        <f t="shared" si="315"/>
        <v/>
      </c>
      <c r="AF832" s="22" t="str">
        <f t="shared" si="316"/>
        <v>PA_Alleg_2019g</v>
      </c>
      <c r="AG832">
        <v>1</v>
      </c>
      <c r="AH832" s="272">
        <v>263915</v>
      </c>
      <c r="AI832" s="273">
        <v>166757</v>
      </c>
      <c r="AJ832" s="274">
        <v>96731</v>
      </c>
      <c r="AK832" s="339">
        <v>70026</v>
      </c>
      <c r="AL832" s="340" t="s">
        <v>2216</v>
      </c>
      <c r="AM832" s="358">
        <f t="shared" si="317"/>
        <v>0.25952087996797962</v>
      </c>
      <c r="AN832" s="359" t="s">
        <v>6517</v>
      </c>
      <c r="AO832" s="360" t="s">
        <v>6485</v>
      </c>
      <c r="AP832" s="23">
        <f t="shared" si="323"/>
        <v>283</v>
      </c>
      <c r="AQ832" s="392">
        <f t="shared" si="325"/>
        <v>0.96364227212591591</v>
      </c>
      <c r="AR832" s="392">
        <f t="shared" si="326"/>
        <v>0.99999993012913446</v>
      </c>
      <c r="AS832" s="392">
        <f t="shared" si="326"/>
        <v>1</v>
      </c>
    </row>
    <row r="833" spans="1:45">
      <c r="A833" t="str">
        <f t="shared" si="324"/>
        <v>CA_Orang_2020g~city of aliso viejo member, city council (vote 1)</v>
      </c>
      <c r="B833" s="55" t="s">
        <v>3536</v>
      </c>
      <c r="D833" s="55" t="s">
        <v>3725</v>
      </c>
      <c r="E833" s="55" t="s">
        <v>3731</v>
      </c>
      <c r="G833" s="60">
        <v>11067</v>
      </c>
      <c r="H833"/>
      <c r="J833">
        <v>28298</v>
      </c>
      <c r="N833">
        <v>32125</v>
      </c>
      <c r="O833">
        <f t="shared" si="303"/>
        <v>1</v>
      </c>
      <c r="P833" s="57">
        <f t="shared" si="304"/>
        <v>1</v>
      </c>
      <c r="Q833" s="267">
        <f t="shared" si="305"/>
        <v>52570</v>
      </c>
      <c r="R833" s="23">
        <f t="shared" si="306"/>
        <v>11067</v>
      </c>
      <c r="S833" s="23">
        <f t="shared" si="307"/>
        <v>9885</v>
      </c>
      <c r="T833" s="23">
        <f t="shared" si="308"/>
        <v>1182</v>
      </c>
      <c r="U833" t="str">
        <f t="shared" si="309"/>
        <v>CA_Orang_2020g~city of aliso viejo member, city council (vote 1)</v>
      </c>
      <c r="W833" s="1">
        <f t="shared" si="310"/>
        <v>5</v>
      </c>
      <c r="X833" s="73">
        <f t="shared" si="331"/>
        <v>21.034187789144461</v>
      </c>
      <c r="Y833" s="322">
        <f t="shared" si="311"/>
        <v>17962.908000000003</v>
      </c>
      <c r="Z833" s="43">
        <f t="shared" si="332"/>
        <v>0</v>
      </c>
      <c r="AA833" s="52">
        <f t="shared" si="312"/>
        <v>0</v>
      </c>
      <c r="AB833" s="8">
        <f t="shared" si="313"/>
        <v>5396.56</v>
      </c>
      <c r="AC833" s="8">
        <f t="shared" si="314"/>
        <v>269828</v>
      </c>
      <c r="AD833" s="8">
        <f t="shared" si="318"/>
        <v>1349.14</v>
      </c>
      <c r="AE833" s="8" t="str">
        <f t="shared" si="315"/>
        <v/>
      </c>
      <c r="AF833" s="22" t="str">
        <f t="shared" si="316"/>
        <v>PA_Alleg_2019g</v>
      </c>
      <c r="AG833">
        <v>1</v>
      </c>
      <c r="AH833" s="272">
        <v>260332</v>
      </c>
      <c r="AI833" s="273">
        <v>168350</v>
      </c>
      <c r="AJ833" s="274">
        <v>91615</v>
      </c>
      <c r="AK833" s="339">
        <v>76735</v>
      </c>
      <c r="AL833" s="340" t="s">
        <v>2274</v>
      </c>
      <c r="AM833" s="353">
        <f t="shared" si="317"/>
        <v>0.28438486739700847</v>
      </c>
      <c r="AN833" s="359" t="s">
        <v>6517</v>
      </c>
      <c r="AO833" s="360" t="s">
        <v>6485</v>
      </c>
      <c r="AP833" s="23">
        <f t="shared" si="323"/>
        <v>312</v>
      </c>
      <c r="AQ833" s="392">
        <f t="shared" si="325"/>
        <v>0.97534796850686101</v>
      </c>
      <c r="AR833" s="392">
        <f t="shared" si="326"/>
        <v>0.99999998993901351</v>
      </c>
      <c r="AS833" s="392">
        <f t="shared" si="326"/>
        <v>1</v>
      </c>
    </row>
    <row r="834" spans="1:45">
      <c r="A834" t="str">
        <f t="shared" si="324"/>
        <v>CA_Orang_2020g~city of aliso viejo member, city council (vote 1)</v>
      </c>
      <c r="B834" s="55" t="s">
        <v>3536</v>
      </c>
      <c r="D834" s="55" t="s">
        <v>3725</v>
      </c>
      <c r="E834" s="55" t="s">
        <v>3730</v>
      </c>
      <c r="G834" s="60">
        <v>9885</v>
      </c>
      <c r="H834"/>
      <c r="J834">
        <v>28298</v>
      </c>
      <c r="N834">
        <v>32125</v>
      </c>
      <c r="O834">
        <f t="shared" ref="O834:O897" si="333">IF(OR(LOWER(LEFT(E834,8))="write-in",LOWER(LEFT(E834,8))="not qual"),IF(A834=A833,-ABS(O833),0),IF(A834=A833,ABS(O833)+1,1))</f>
        <v>2</v>
      </c>
      <c r="P834" s="57">
        <f t="shared" ref="P834:P897" si="334">1*LEFT(RIGHT(A834,2),1)</f>
        <v>1</v>
      </c>
      <c r="Q834" s="267">
        <f t="shared" ref="Q834:Q897" si="335">IF(A834&lt;&gt;A835,G834,IF(A834=A833,G834+Q835,MAX(G834,(G834+Q835)/P834)))</f>
        <v>41503</v>
      </c>
      <c r="R834" s="23" t="str">
        <f t="shared" ref="R834:R897" si="336">IF(O834&gt;P834,"",IF(O834=P834,G834,IF(A834=A835,R835,IF(O834&lt;=0,1,G834))))</f>
        <v/>
      </c>
      <c r="S834" s="23">
        <f t="shared" ref="S834:S897" si="337">IF(AND(O834&gt;P834,LOWER(LEFT(E834,8))&lt;&gt;"write-in",LOWER(LEFT(E834,8))&lt;&gt;"not qual"),G834,IF(A834=A835,S835,0))</f>
        <v>9885</v>
      </c>
      <c r="T834" s="23" t="str">
        <f t="shared" ref="T834:T897" si="338">IF(OR(A834=A833,S834=0),"",R834-ABS(S834))</f>
        <v/>
      </c>
      <c r="U834" t="str">
        <f t="shared" ref="U834:U897" si="339">IF(A834=A833,"",A834)</f>
        <v/>
      </c>
      <c r="W834" s="1">
        <f t="shared" ref="W834:W897" si="340">IF(AF834=AF833,W833+1,1)</f>
        <v>6</v>
      </c>
      <c r="X834" s="73">
        <f t="shared" si="331"/>
        <v>16.985634905146824</v>
      </c>
      <c r="Y834" s="322">
        <f t="shared" ref="Y834:Y897" si="341">MAX(X834,0.069*AH834)</f>
        <v>18404.508000000002</v>
      </c>
      <c r="Z834" s="43">
        <f t="shared" si="332"/>
        <v>0</v>
      </c>
      <c r="AA834" s="52">
        <f t="shared" ref="AA834:AA897" si="342">(1-AK834/AC834)^AB834</f>
        <v>0</v>
      </c>
      <c r="AB834" s="8">
        <f t="shared" ref="AB834:AB897" si="343">INDEX(BA$2:BA$76,MATCH($AF834,$AU$2:$AU$76,0))+IF(AE834="",0,INDEX(BA$2:BA$76,AE834))</f>
        <v>5396.56</v>
      </c>
      <c r="AC834" s="8">
        <f t="shared" ref="AC834:AC897" si="344">INDEX(AX$2:AX$76,MATCH(AF834,AU$2:AU$76,0))+IF(AE834="",0,INDEX(AX$2:AX$76,AE834))</f>
        <v>269828</v>
      </c>
      <c r="AD834" s="8">
        <f t="shared" si="318"/>
        <v>1349.14</v>
      </c>
      <c r="AE834" s="8" t="str">
        <f t="shared" ref="AE834:AE897" si="345">IF(MID(AL834,16,2)&lt;&gt;"w/","",MATCH(CONCATENATE("CO_",MID(AL834,18,5),"_2020g"),AU$2:AU$76,0))</f>
        <v/>
      </c>
      <c r="AF834" s="22" t="str">
        <f t="shared" ref="AF834:AF897" si="346">LEFT(AL834,14)</f>
        <v>PA_Alleg_2019g</v>
      </c>
      <c r="AG834">
        <v>1</v>
      </c>
      <c r="AH834" s="272">
        <v>266732</v>
      </c>
      <c r="AI834" s="273">
        <v>181448</v>
      </c>
      <c r="AJ834" s="274">
        <v>84087</v>
      </c>
      <c r="AK834" s="339">
        <v>97361</v>
      </c>
      <c r="AL834" s="340" t="s">
        <v>2215</v>
      </c>
      <c r="AM834" s="358">
        <f t="shared" ref="AM834:AM897" si="347">AK834/AC834</f>
        <v>0.36082615592155004</v>
      </c>
      <c r="AN834" s="359" t="s">
        <v>6517</v>
      </c>
      <c r="AO834" s="360" t="s">
        <v>6485</v>
      </c>
      <c r="AP834" s="23">
        <f t="shared" si="323"/>
        <v>398</v>
      </c>
      <c r="AQ834" s="392">
        <f t="shared" si="325"/>
        <v>0.99272221230580981</v>
      </c>
      <c r="AR834" s="392">
        <f t="shared" si="326"/>
        <v>0.99999999997732425</v>
      </c>
      <c r="AS834" s="392">
        <f t="shared" si="326"/>
        <v>1</v>
      </c>
    </row>
    <row r="835" spans="1:45">
      <c r="A835" t="str">
        <f t="shared" si="324"/>
        <v>CA_Orang_2020g~city of aliso viejo member, city council (vote 1)</v>
      </c>
      <c r="B835" s="55" t="s">
        <v>3536</v>
      </c>
      <c r="D835" s="55" t="s">
        <v>3725</v>
      </c>
      <c r="E835" s="55" t="s">
        <v>3726</v>
      </c>
      <c r="G835" s="60">
        <v>8906</v>
      </c>
      <c r="H835"/>
      <c r="J835">
        <v>28298</v>
      </c>
      <c r="N835">
        <v>32125</v>
      </c>
      <c r="O835">
        <f t="shared" si="333"/>
        <v>3</v>
      </c>
      <c r="P835" s="57">
        <f t="shared" si="334"/>
        <v>1</v>
      </c>
      <c r="Q835" s="267">
        <f t="shared" si="335"/>
        <v>31618</v>
      </c>
      <c r="R835" s="23" t="str">
        <f t="shared" si="336"/>
        <v/>
      </c>
      <c r="S835" s="23">
        <f t="shared" si="337"/>
        <v>8906</v>
      </c>
      <c r="T835" s="23" t="str">
        <f t="shared" si="338"/>
        <v/>
      </c>
      <c r="U835" t="str">
        <f t="shared" si="339"/>
        <v/>
      </c>
      <c r="W835" s="1">
        <f t="shared" si="340"/>
        <v>7</v>
      </c>
      <c r="X835" s="73">
        <f t="shared" si="331"/>
        <v>13.978199346913389</v>
      </c>
      <c r="Y835" s="322">
        <f t="shared" si="341"/>
        <v>14006.034000000001</v>
      </c>
      <c r="Z835" s="43">
        <f t="shared" si="332"/>
        <v>0</v>
      </c>
      <c r="AA835" s="52">
        <f t="shared" si="342"/>
        <v>0</v>
      </c>
      <c r="AB835" s="8">
        <f t="shared" si="343"/>
        <v>5396.56</v>
      </c>
      <c r="AC835" s="8">
        <f t="shared" si="344"/>
        <v>269828</v>
      </c>
      <c r="AD835" s="8">
        <f t="shared" ref="AD835:AD898" si="348">AC835/RIGHT(AD$1,4)</f>
        <v>1349.14</v>
      </c>
      <c r="AE835" s="8" t="str">
        <f t="shared" si="345"/>
        <v/>
      </c>
      <c r="AF835" s="22" t="str">
        <f t="shared" si="346"/>
        <v>PA_Alleg_2019g</v>
      </c>
      <c r="AG835">
        <v>1</v>
      </c>
      <c r="AH835" s="272">
        <v>202986</v>
      </c>
      <c r="AI835" s="273">
        <v>146510</v>
      </c>
      <c r="AJ835" s="274">
        <v>56476</v>
      </c>
      <c r="AK835" s="339">
        <v>90034</v>
      </c>
      <c r="AL835" s="340" t="s">
        <v>2279</v>
      </c>
      <c r="AM835" s="358">
        <f t="shared" si="347"/>
        <v>0.33367182056717615</v>
      </c>
      <c r="AN835" s="359" t="s">
        <v>6523</v>
      </c>
      <c r="AO835" s="360" t="s">
        <v>6485</v>
      </c>
      <c r="AP835" s="23">
        <f t="shared" si="323"/>
        <v>367</v>
      </c>
      <c r="AQ835" s="392">
        <f t="shared" si="325"/>
        <v>0.98856181262357923</v>
      </c>
      <c r="AR835" s="392">
        <f t="shared" si="326"/>
        <v>0.99999999978256815</v>
      </c>
      <c r="AS835" s="392">
        <f t="shared" si="326"/>
        <v>1</v>
      </c>
    </row>
    <row r="836" spans="1:45">
      <c r="A836" t="str">
        <f t="shared" si="324"/>
        <v>CA_Orang_2020g~city of aliso viejo member, city council (vote 1)</v>
      </c>
      <c r="B836" s="55" t="s">
        <v>3536</v>
      </c>
      <c r="D836" s="55" t="s">
        <v>3725</v>
      </c>
      <c r="E836" s="55" t="s">
        <v>3727</v>
      </c>
      <c r="G836" s="60">
        <v>5865</v>
      </c>
      <c r="H836"/>
      <c r="J836">
        <v>28298</v>
      </c>
      <c r="N836">
        <v>32125</v>
      </c>
      <c r="O836">
        <f t="shared" si="333"/>
        <v>4</v>
      </c>
      <c r="P836" s="57">
        <f t="shared" si="334"/>
        <v>1</v>
      </c>
      <c r="Q836" s="267">
        <f t="shared" si="335"/>
        <v>22712</v>
      </c>
      <c r="R836" s="23" t="str">
        <f t="shared" si="336"/>
        <v/>
      </c>
      <c r="S836" s="23">
        <f t="shared" si="337"/>
        <v>5865</v>
      </c>
      <c r="T836" s="23" t="str">
        <f t="shared" si="338"/>
        <v/>
      </c>
      <c r="U836" t="str">
        <f t="shared" si="339"/>
        <v/>
      </c>
      <c r="W836" s="1">
        <f t="shared" si="340"/>
        <v>8</v>
      </c>
      <c r="X836" s="73">
        <f t="shared" si="331"/>
        <v>13.799942526966143</v>
      </c>
      <c r="Y836" s="322">
        <f t="shared" si="341"/>
        <v>14964.375000000002</v>
      </c>
      <c r="Z836" s="43">
        <f t="shared" si="332"/>
        <v>0</v>
      </c>
      <c r="AA836" s="52">
        <f t="shared" si="342"/>
        <v>0</v>
      </c>
      <c r="AB836" s="8">
        <f t="shared" si="343"/>
        <v>5396.56</v>
      </c>
      <c r="AC836" s="8">
        <f t="shared" si="344"/>
        <v>269828</v>
      </c>
      <c r="AD836" s="8">
        <f t="shared" si="348"/>
        <v>1349.14</v>
      </c>
      <c r="AE836" s="8" t="str">
        <f t="shared" si="345"/>
        <v/>
      </c>
      <c r="AF836" s="22" t="str">
        <f t="shared" si="346"/>
        <v>PA_Alleg_2019g</v>
      </c>
      <c r="AG836">
        <v>1</v>
      </c>
      <c r="AH836" s="8">
        <v>216875</v>
      </c>
      <c r="AI836" s="273">
        <v>157156</v>
      </c>
      <c r="AJ836" s="274">
        <v>59719</v>
      </c>
      <c r="AK836" s="339">
        <v>97437</v>
      </c>
      <c r="AL836" s="23" t="s">
        <v>2286</v>
      </c>
      <c r="AM836" s="358">
        <f t="shared" si="347"/>
        <v>0.36110781683146298</v>
      </c>
      <c r="AN836" s="359" t="s">
        <v>6523</v>
      </c>
      <c r="AO836" s="360" t="s">
        <v>6485</v>
      </c>
      <c r="AP836" s="23">
        <f t="shared" si="323"/>
        <v>399</v>
      </c>
      <c r="AQ836" s="392">
        <f t="shared" si="325"/>
        <v>0.99282935113621851</v>
      </c>
      <c r="AR836" s="392">
        <f t="shared" si="326"/>
        <v>0.99999999997894562</v>
      </c>
      <c r="AS836" s="392">
        <f t="shared" si="326"/>
        <v>1</v>
      </c>
    </row>
    <row r="837" spans="1:45">
      <c r="A837" t="str">
        <f t="shared" si="324"/>
        <v>CA_Orang_2020g~city of aliso viejo member, city council (vote 1)</v>
      </c>
      <c r="B837" s="55" t="s">
        <v>3536</v>
      </c>
      <c r="D837" s="55" t="s">
        <v>3725</v>
      </c>
      <c r="E837" s="55" t="s">
        <v>3732</v>
      </c>
      <c r="G837" s="60">
        <v>5663</v>
      </c>
      <c r="H837"/>
      <c r="J837">
        <v>28298</v>
      </c>
      <c r="N837">
        <v>32125</v>
      </c>
      <c r="O837">
        <f t="shared" si="333"/>
        <v>5</v>
      </c>
      <c r="P837" s="57">
        <f t="shared" si="334"/>
        <v>1</v>
      </c>
      <c r="Q837" s="267">
        <f t="shared" si="335"/>
        <v>16847</v>
      </c>
      <c r="R837" s="23" t="str">
        <f t="shared" si="336"/>
        <v/>
      </c>
      <c r="S837" s="23">
        <f t="shared" si="337"/>
        <v>5663</v>
      </c>
      <c r="T837" s="23" t="str">
        <f t="shared" si="338"/>
        <v/>
      </c>
      <c r="U837" t="str">
        <f t="shared" si="339"/>
        <v/>
      </c>
      <c r="W837" s="1">
        <f t="shared" si="340"/>
        <v>9</v>
      </c>
      <c r="X837" s="73">
        <f t="shared" si="331"/>
        <v>13.224894934864857</v>
      </c>
      <c r="Y837" s="322">
        <f t="shared" si="341"/>
        <v>14043.501000000002</v>
      </c>
      <c r="Z837" s="43">
        <f t="shared" si="332"/>
        <v>0</v>
      </c>
      <c r="AA837" s="52">
        <f t="shared" si="342"/>
        <v>0</v>
      </c>
      <c r="AB837" s="8">
        <f t="shared" si="343"/>
        <v>5396.56</v>
      </c>
      <c r="AC837" s="8">
        <f t="shared" si="344"/>
        <v>269828</v>
      </c>
      <c r="AD837" s="8">
        <f t="shared" si="348"/>
        <v>1349.14</v>
      </c>
      <c r="AE837" s="8" t="str">
        <f t="shared" si="345"/>
        <v/>
      </c>
      <c r="AF837" s="22" t="str">
        <f t="shared" si="346"/>
        <v>PA_Alleg_2019g</v>
      </c>
      <c r="AG837">
        <v>1</v>
      </c>
      <c r="AH837" s="272">
        <v>203529</v>
      </c>
      <c r="AI837" s="273">
        <v>149473</v>
      </c>
      <c r="AJ837" s="274">
        <v>54056</v>
      </c>
      <c r="AK837" s="339">
        <v>95417</v>
      </c>
      <c r="AL837" s="340" t="s">
        <v>2283</v>
      </c>
      <c r="AM837" s="358">
        <f t="shared" si="347"/>
        <v>0.35362156633114428</v>
      </c>
      <c r="AN837" s="359" t="s">
        <v>6523</v>
      </c>
      <c r="AO837" s="360" t="s">
        <v>6485</v>
      </c>
      <c r="AP837" s="23">
        <f t="shared" si="323"/>
        <v>390</v>
      </c>
      <c r="AQ837" s="392">
        <f t="shared" si="325"/>
        <v>0.99181002421107989</v>
      </c>
      <c r="AR837" s="392">
        <f t="shared" si="326"/>
        <v>0.99999999995906808</v>
      </c>
      <c r="AS837" s="392">
        <f t="shared" si="326"/>
        <v>1</v>
      </c>
    </row>
    <row r="838" spans="1:45">
      <c r="A838" t="str">
        <f t="shared" si="324"/>
        <v>CA_Orang_2020g~city of aliso viejo member, city council (vote 1)</v>
      </c>
      <c r="B838" s="55" t="s">
        <v>3536</v>
      </c>
      <c r="D838" s="55" t="s">
        <v>3725</v>
      </c>
      <c r="E838" s="55" t="s">
        <v>3728</v>
      </c>
      <c r="G838" s="60">
        <v>4130</v>
      </c>
      <c r="H838"/>
      <c r="J838">
        <v>28298</v>
      </c>
      <c r="N838">
        <v>32125</v>
      </c>
      <c r="O838">
        <f t="shared" si="333"/>
        <v>6</v>
      </c>
      <c r="P838" s="57">
        <f t="shared" si="334"/>
        <v>1</v>
      </c>
      <c r="Q838" s="267">
        <f t="shared" si="335"/>
        <v>11184</v>
      </c>
      <c r="R838" s="23" t="str">
        <f t="shared" si="336"/>
        <v/>
      </c>
      <c r="S838" s="23">
        <f t="shared" si="337"/>
        <v>4130</v>
      </c>
      <c r="T838" s="23" t="str">
        <f t="shared" si="338"/>
        <v/>
      </c>
      <c r="U838" t="str">
        <f t="shared" si="339"/>
        <v/>
      </c>
      <c r="W838" s="1">
        <f t="shared" si="340"/>
        <v>10</v>
      </c>
      <c r="X838" s="73">
        <f t="shared" si="331"/>
        <v>12.749170668711409</v>
      </c>
      <c r="Y838" s="322">
        <f t="shared" si="341"/>
        <v>14063.166000000001</v>
      </c>
      <c r="Z838" s="43">
        <f t="shared" si="332"/>
        <v>0</v>
      </c>
      <c r="AA838" s="52">
        <f t="shared" si="342"/>
        <v>0</v>
      </c>
      <c r="AB838" s="8">
        <f t="shared" si="343"/>
        <v>5396.56</v>
      </c>
      <c r="AC838" s="8">
        <f t="shared" si="344"/>
        <v>269828</v>
      </c>
      <c r="AD838" s="8">
        <f t="shared" si="348"/>
        <v>1349.14</v>
      </c>
      <c r="AE838" s="8" t="str">
        <f t="shared" si="345"/>
        <v/>
      </c>
      <c r="AF838" s="22" t="str">
        <f t="shared" si="346"/>
        <v>PA_Alleg_2019g</v>
      </c>
      <c r="AG838">
        <v>1</v>
      </c>
      <c r="AH838" s="272">
        <v>203814</v>
      </c>
      <c r="AI838" s="273">
        <v>151465</v>
      </c>
      <c r="AJ838" s="274">
        <v>52349</v>
      </c>
      <c r="AK838" s="339">
        <v>99116</v>
      </c>
      <c r="AL838" s="340" t="s">
        <v>2289</v>
      </c>
      <c r="AM838" s="358">
        <f t="shared" si="347"/>
        <v>0.36733029930177741</v>
      </c>
      <c r="AN838" s="359" t="s">
        <v>6523</v>
      </c>
      <c r="AO838" s="360" t="s">
        <v>6485</v>
      </c>
      <c r="AP838" s="23">
        <f t="shared" si="323"/>
        <v>406</v>
      </c>
      <c r="AQ838" s="392">
        <f t="shared" si="325"/>
        <v>0.99353929510203776</v>
      </c>
      <c r="AR838" s="392">
        <f t="shared" si="326"/>
        <v>0.99999999998750277</v>
      </c>
      <c r="AS838" s="392">
        <f t="shared" si="326"/>
        <v>1</v>
      </c>
    </row>
    <row r="839" spans="1:45">
      <c r="A839" t="str">
        <f t="shared" si="324"/>
        <v>CA_Orang_2020g~city of aliso viejo member, city council (vote 1)</v>
      </c>
      <c r="B839" s="55" t="s">
        <v>3536</v>
      </c>
      <c r="D839" s="55" t="s">
        <v>3725</v>
      </c>
      <c r="E839" s="55" t="s">
        <v>3729</v>
      </c>
      <c r="G839" s="60">
        <v>3740</v>
      </c>
      <c r="H839"/>
      <c r="J839">
        <v>28298</v>
      </c>
      <c r="N839">
        <v>32125</v>
      </c>
      <c r="O839">
        <f t="shared" si="333"/>
        <v>7</v>
      </c>
      <c r="P839" s="57">
        <f t="shared" si="334"/>
        <v>1</v>
      </c>
      <c r="Q839" s="267">
        <f t="shared" si="335"/>
        <v>7054</v>
      </c>
      <c r="R839" s="23" t="str">
        <f t="shared" si="336"/>
        <v/>
      </c>
      <c r="S839" s="23">
        <f t="shared" si="337"/>
        <v>3740</v>
      </c>
      <c r="T839" s="23" t="str">
        <f t="shared" si="338"/>
        <v/>
      </c>
      <c r="U839" t="str">
        <f t="shared" si="339"/>
        <v/>
      </c>
      <c r="W839" s="1">
        <f t="shared" si="340"/>
        <v>11</v>
      </c>
      <c r="X839" s="73">
        <f t="shared" si="331"/>
        <v>12.347213296183755</v>
      </c>
      <c r="Y839" s="322">
        <f t="shared" si="341"/>
        <v>14154.453000000001</v>
      </c>
      <c r="Z839" s="43">
        <f t="shared" si="332"/>
        <v>0</v>
      </c>
      <c r="AA839" s="52">
        <f t="shared" si="342"/>
        <v>0</v>
      </c>
      <c r="AB839" s="8">
        <f t="shared" si="343"/>
        <v>5396.56</v>
      </c>
      <c r="AC839" s="8">
        <f t="shared" si="344"/>
        <v>269828</v>
      </c>
      <c r="AD839" s="8">
        <f t="shared" si="348"/>
        <v>1349.14</v>
      </c>
      <c r="AE839" s="8" t="str">
        <f t="shared" si="345"/>
        <v/>
      </c>
      <c r="AF839" s="22" t="str">
        <f t="shared" si="346"/>
        <v>PA_Alleg_2019g</v>
      </c>
      <c r="AG839">
        <v>1</v>
      </c>
      <c r="AH839" s="272">
        <v>205137</v>
      </c>
      <c r="AI839" s="273">
        <v>154072</v>
      </c>
      <c r="AJ839" s="274">
        <v>51065</v>
      </c>
      <c r="AK839" s="339">
        <v>103007</v>
      </c>
      <c r="AL839" s="340" t="s">
        <v>2290</v>
      </c>
      <c r="AM839" s="358">
        <f t="shared" si="347"/>
        <v>0.38175059667640127</v>
      </c>
      <c r="AN839" s="359" t="s">
        <v>6523</v>
      </c>
      <c r="AO839" s="360" t="s">
        <v>6485</v>
      </c>
      <c r="AP839" s="23">
        <f t="shared" si="323"/>
        <v>422</v>
      </c>
      <c r="AQ839" s="392">
        <f t="shared" si="325"/>
        <v>0.9949242282411831</v>
      </c>
      <c r="AR839" s="392">
        <f t="shared" si="326"/>
        <v>0.99999999999626399</v>
      </c>
      <c r="AS839" s="392">
        <f t="shared" si="326"/>
        <v>1</v>
      </c>
    </row>
    <row r="840" spans="1:45">
      <c r="A840" t="str">
        <f t="shared" si="324"/>
        <v>CA_Orang_2020g~city of aliso viejo member, city council (vote 1)</v>
      </c>
      <c r="B840" s="55" t="s">
        <v>3536</v>
      </c>
      <c r="D840" s="55" t="s">
        <v>3725</v>
      </c>
      <c r="E840" s="55" t="s">
        <v>3733</v>
      </c>
      <c r="G840" s="60">
        <v>3314</v>
      </c>
      <c r="H840"/>
      <c r="J840">
        <v>28298</v>
      </c>
      <c r="N840">
        <v>32125</v>
      </c>
      <c r="O840">
        <f t="shared" si="333"/>
        <v>8</v>
      </c>
      <c r="P840" s="57">
        <f t="shared" si="334"/>
        <v>1</v>
      </c>
      <c r="Q840" s="267">
        <f t="shared" si="335"/>
        <v>3314</v>
      </c>
      <c r="R840" s="23" t="str">
        <f t="shared" si="336"/>
        <v/>
      </c>
      <c r="S840" s="23">
        <f t="shared" si="337"/>
        <v>3314</v>
      </c>
      <c r="T840" s="23" t="str">
        <f t="shared" si="338"/>
        <v/>
      </c>
      <c r="U840" t="str">
        <f t="shared" si="339"/>
        <v/>
      </c>
      <c r="W840" s="1">
        <f t="shared" si="340"/>
        <v>12</v>
      </c>
      <c r="X840" s="73">
        <f t="shared" si="331"/>
        <v>12.267218766250023</v>
      </c>
      <c r="Y840" s="322">
        <f t="shared" si="341"/>
        <v>14177.292000000001</v>
      </c>
      <c r="Z840" s="43">
        <f t="shared" si="332"/>
        <v>0</v>
      </c>
      <c r="AA840" s="52">
        <f t="shared" si="342"/>
        <v>0</v>
      </c>
      <c r="AB840" s="8">
        <f t="shared" si="343"/>
        <v>5396.56</v>
      </c>
      <c r="AC840" s="8">
        <f t="shared" si="344"/>
        <v>269828</v>
      </c>
      <c r="AD840" s="8">
        <f t="shared" si="348"/>
        <v>1349.14</v>
      </c>
      <c r="AE840" s="8" t="str">
        <f t="shared" si="345"/>
        <v/>
      </c>
      <c r="AF840" s="22" t="str">
        <f t="shared" si="346"/>
        <v>PA_Alleg_2019g</v>
      </c>
      <c r="AG840">
        <v>1</v>
      </c>
      <c r="AH840" s="272">
        <v>205468</v>
      </c>
      <c r="AI840" s="273">
        <v>154657</v>
      </c>
      <c r="AJ840" s="274">
        <v>50811</v>
      </c>
      <c r="AK840" s="339">
        <v>103846</v>
      </c>
      <c r="AL840" s="340" t="s">
        <v>2291</v>
      </c>
      <c r="AM840" s="358">
        <f t="shared" si="347"/>
        <v>0.38485998487925643</v>
      </c>
      <c r="AN840" s="359" t="s">
        <v>6523</v>
      </c>
      <c r="AO840" s="360" t="s">
        <v>6485</v>
      </c>
      <c r="AP840" s="23">
        <f t="shared" si="323"/>
        <v>425</v>
      </c>
      <c r="AQ840" s="392">
        <f t="shared" si="325"/>
        <v>0.99515098391995871</v>
      </c>
      <c r="AR840" s="392">
        <f t="shared" si="326"/>
        <v>0.99999999999702804</v>
      </c>
      <c r="AS840" s="392">
        <f t="shared" si="326"/>
        <v>1</v>
      </c>
    </row>
    <row r="841" spans="1:45">
      <c r="A841" t="str">
        <f t="shared" si="324"/>
        <v>CA_Orang_2020g~city of anaheim member, city council, district 1 (vote 1)</v>
      </c>
      <c r="B841" s="55" t="s">
        <v>3536</v>
      </c>
      <c r="D841" s="55" t="s">
        <v>3734</v>
      </c>
      <c r="E841" s="55" t="s">
        <v>3735</v>
      </c>
      <c r="G841" s="60">
        <v>7791</v>
      </c>
      <c r="H841"/>
      <c r="J841">
        <v>20079</v>
      </c>
      <c r="N841">
        <v>1508</v>
      </c>
      <c r="O841">
        <f t="shared" si="333"/>
        <v>1</v>
      </c>
      <c r="P841" s="57">
        <f t="shared" si="334"/>
        <v>1</v>
      </c>
      <c r="Q841" s="267">
        <f t="shared" si="335"/>
        <v>18441</v>
      </c>
      <c r="R841" s="23">
        <f t="shared" si="336"/>
        <v>7791</v>
      </c>
      <c r="S841" s="23">
        <f t="shared" si="337"/>
        <v>6997</v>
      </c>
      <c r="T841" s="23">
        <f t="shared" si="338"/>
        <v>794</v>
      </c>
      <c r="U841" t="str">
        <f t="shared" si="339"/>
        <v>CA_Orang_2020g~city of anaheim member, city council, district 1 (vote 1)</v>
      </c>
      <c r="W841" s="1">
        <f t="shared" si="340"/>
        <v>13</v>
      </c>
      <c r="X841" s="73">
        <f t="shared" si="331"/>
        <v>12.252093304829831</v>
      </c>
      <c r="Y841" s="322">
        <f t="shared" si="341"/>
        <v>14415.066000000001</v>
      </c>
      <c r="Z841" s="43">
        <f t="shared" si="332"/>
        <v>0</v>
      </c>
      <c r="AA841" s="52">
        <f t="shared" si="342"/>
        <v>0</v>
      </c>
      <c r="AB841" s="8">
        <f t="shared" si="343"/>
        <v>5396.56</v>
      </c>
      <c r="AC841" s="8">
        <f t="shared" si="344"/>
        <v>269828</v>
      </c>
      <c r="AD841" s="8">
        <f t="shared" si="348"/>
        <v>1349.14</v>
      </c>
      <c r="AE841" s="8" t="str">
        <f t="shared" si="345"/>
        <v/>
      </c>
      <c r="AF841" s="22" t="str">
        <f t="shared" si="346"/>
        <v>PA_Alleg_2019g</v>
      </c>
      <c r="AG841">
        <v>1</v>
      </c>
      <c r="AH841" s="272">
        <v>208914</v>
      </c>
      <c r="AI841" s="273">
        <v>157316</v>
      </c>
      <c r="AJ841" s="274">
        <v>51598</v>
      </c>
      <c r="AK841" s="339">
        <v>105718</v>
      </c>
      <c r="AL841" s="340" t="s">
        <v>2280</v>
      </c>
      <c r="AM841" s="358">
        <f t="shared" si="347"/>
        <v>0.39179773781816563</v>
      </c>
      <c r="AN841" s="359" t="s">
        <v>6523</v>
      </c>
      <c r="AO841" s="360" t="s">
        <v>6485</v>
      </c>
      <c r="AP841" s="23">
        <f t="shared" si="323"/>
        <v>433</v>
      </c>
      <c r="AQ841" s="392">
        <f t="shared" si="325"/>
        <v>0.99571051242680197</v>
      </c>
      <c r="AR841" s="392">
        <f t="shared" si="326"/>
        <v>0.99999999999839162</v>
      </c>
      <c r="AS841" s="392">
        <f t="shared" si="326"/>
        <v>1</v>
      </c>
    </row>
    <row r="842" spans="1:45">
      <c r="A842" t="str">
        <f t="shared" si="324"/>
        <v>CA_Orang_2020g~city of anaheim member, city council, district 1 (vote 1)</v>
      </c>
      <c r="B842" s="55" t="s">
        <v>3536</v>
      </c>
      <c r="D842" s="55" t="s">
        <v>3734</v>
      </c>
      <c r="E842" s="55" t="s">
        <v>3737</v>
      </c>
      <c r="G842" s="60">
        <v>6997</v>
      </c>
      <c r="H842"/>
      <c r="J842">
        <v>20079</v>
      </c>
      <c r="N842">
        <v>1508</v>
      </c>
      <c r="O842">
        <f t="shared" si="333"/>
        <v>2</v>
      </c>
      <c r="P842" s="57">
        <f t="shared" si="334"/>
        <v>1</v>
      </c>
      <c r="Q842" s="267">
        <f t="shared" si="335"/>
        <v>10650</v>
      </c>
      <c r="R842" s="23" t="str">
        <f t="shared" si="336"/>
        <v/>
      </c>
      <c r="S842" s="23">
        <f t="shared" si="337"/>
        <v>6997</v>
      </c>
      <c r="T842" s="23" t="str">
        <f t="shared" si="338"/>
        <v/>
      </c>
      <c r="U842" t="str">
        <f t="shared" si="339"/>
        <v/>
      </c>
      <c r="W842" s="1">
        <f t="shared" si="340"/>
        <v>14</v>
      </c>
      <c r="X842" s="73">
        <f t="shared" si="331"/>
        <v>12.187067090191549</v>
      </c>
      <c r="Y842" s="322">
        <f t="shared" si="341"/>
        <v>14090.628000000001</v>
      </c>
      <c r="Z842" s="43">
        <f t="shared" si="332"/>
        <v>0</v>
      </c>
      <c r="AA842" s="52">
        <f t="shared" si="342"/>
        <v>0</v>
      </c>
      <c r="AB842" s="8">
        <f t="shared" si="343"/>
        <v>5396.56</v>
      </c>
      <c r="AC842" s="8">
        <f t="shared" si="344"/>
        <v>269828</v>
      </c>
      <c r="AD842" s="8">
        <f t="shared" si="348"/>
        <v>1349.14</v>
      </c>
      <c r="AE842" s="8" t="str">
        <f t="shared" si="345"/>
        <v/>
      </c>
      <c r="AF842" s="22" t="str">
        <f t="shared" si="346"/>
        <v>PA_Alleg_2019g</v>
      </c>
      <c r="AG842">
        <v>1</v>
      </c>
      <c r="AH842" s="272">
        <v>204212</v>
      </c>
      <c r="AI842" s="273">
        <v>154051</v>
      </c>
      <c r="AJ842" s="274">
        <v>50161</v>
      </c>
      <c r="AK842" s="339">
        <v>103890</v>
      </c>
      <c r="AL842" s="340" t="s">
        <v>2284</v>
      </c>
      <c r="AM842" s="358">
        <f t="shared" si="347"/>
        <v>0.38502305172183759</v>
      </c>
      <c r="AN842" s="359" t="s">
        <v>6523</v>
      </c>
      <c r="AO842" s="360" t="s">
        <v>6485</v>
      </c>
      <c r="AP842" s="23">
        <f t="shared" si="323"/>
        <v>426</v>
      </c>
      <c r="AQ842" s="392">
        <f t="shared" si="325"/>
        <v>0.99522445386056535</v>
      </c>
      <c r="AR842" s="392">
        <f t="shared" si="326"/>
        <v>0.99999999999724676</v>
      </c>
      <c r="AS842" s="392">
        <f t="shared" si="326"/>
        <v>1</v>
      </c>
    </row>
    <row r="843" spans="1:45">
      <c r="A843" t="str">
        <f t="shared" si="324"/>
        <v>CA_Orang_2020g~city of anaheim member, city council, district 1 (vote 1)</v>
      </c>
      <c r="B843" s="55" t="s">
        <v>3536</v>
      </c>
      <c r="D843" s="55" t="s">
        <v>3734</v>
      </c>
      <c r="E843" s="55" t="s">
        <v>3736</v>
      </c>
      <c r="G843" s="60">
        <v>3653</v>
      </c>
      <c r="H843"/>
      <c r="J843">
        <v>20079</v>
      </c>
      <c r="N843">
        <v>1508</v>
      </c>
      <c r="O843">
        <f t="shared" si="333"/>
        <v>3</v>
      </c>
      <c r="P843" s="57">
        <f t="shared" si="334"/>
        <v>1</v>
      </c>
      <c r="Q843" s="267">
        <f t="shared" si="335"/>
        <v>3653</v>
      </c>
      <c r="R843" s="23" t="str">
        <f t="shared" si="336"/>
        <v/>
      </c>
      <c r="S843" s="23">
        <f t="shared" si="337"/>
        <v>3653</v>
      </c>
      <c r="T843" s="23" t="str">
        <f t="shared" si="338"/>
        <v/>
      </c>
      <c r="U843" t="str">
        <f t="shared" si="339"/>
        <v/>
      </c>
      <c r="W843" s="1">
        <f t="shared" si="340"/>
        <v>15</v>
      </c>
      <c r="X843" s="73">
        <f t="shared" si="331"/>
        <v>11.647468023308258</v>
      </c>
      <c r="Y843" s="322">
        <f t="shared" si="341"/>
        <v>14370.492000000002</v>
      </c>
      <c r="Z843" s="43">
        <f t="shared" si="332"/>
        <v>0</v>
      </c>
      <c r="AA843" s="52">
        <f t="shared" si="342"/>
        <v>0</v>
      </c>
      <c r="AB843" s="8">
        <f t="shared" si="343"/>
        <v>5396.56</v>
      </c>
      <c r="AC843" s="8">
        <f t="shared" si="344"/>
        <v>269828</v>
      </c>
      <c r="AD843" s="8">
        <f t="shared" si="348"/>
        <v>1349.14</v>
      </c>
      <c r="AE843" s="8" t="str">
        <f t="shared" si="345"/>
        <v/>
      </c>
      <c r="AF843" s="22" t="str">
        <f t="shared" si="346"/>
        <v>PA_Alleg_2019g</v>
      </c>
      <c r="AG843" s="302">
        <v>1</v>
      </c>
      <c r="AH843" s="301">
        <v>208268</v>
      </c>
      <c r="AI843" s="303">
        <v>159565</v>
      </c>
      <c r="AJ843" s="303">
        <v>48703</v>
      </c>
      <c r="AK843" s="342">
        <v>110862</v>
      </c>
      <c r="AL843" s="343" t="s">
        <v>2288</v>
      </c>
      <c r="AM843" s="358">
        <f t="shared" si="347"/>
        <v>0.41086173414174953</v>
      </c>
      <c r="AN843" s="359" t="s">
        <v>6523</v>
      </c>
      <c r="AO843" s="360" t="s">
        <v>6485</v>
      </c>
      <c r="AP843" s="23">
        <f t="shared" si="323"/>
        <v>455</v>
      </c>
      <c r="AQ843" s="392">
        <f t="shared" si="325"/>
        <v>0.99695546036010096</v>
      </c>
      <c r="AR843" s="392">
        <f t="shared" si="326"/>
        <v>0.99999999999971123</v>
      </c>
      <c r="AS843" s="392">
        <f t="shared" si="326"/>
        <v>1</v>
      </c>
    </row>
    <row r="844" spans="1:45">
      <c r="A844" t="str">
        <f t="shared" si="324"/>
        <v>CA_Orang_2020g~city of anaheim member, city council, district 4 (vote 1)</v>
      </c>
      <c r="B844" s="55" t="s">
        <v>3536</v>
      </c>
      <c r="D844" s="55" t="s">
        <v>3738</v>
      </c>
      <c r="E844" s="55" t="s">
        <v>3740</v>
      </c>
      <c r="G844" s="60">
        <v>7861</v>
      </c>
      <c r="H844"/>
      <c r="J844">
        <v>17227</v>
      </c>
      <c r="N844">
        <v>1592</v>
      </c>
      <c r="O844">
        <f t="shared" si="333"/>
        <v>1</v>
      </c>
      <c r="P844" s="57">
        <f t="shared" si="334"/>
        <v>1</v>
      </c>
      <c r="Q844" s="267">
        <f t="shared" si="335"/>
        <v>15530</v>
      </c>
      <c r="R844" s="23">
        <f t="shared" si="336"/>
        <v>7861</v>
      </c>
      <c r="S844" s="23">
        <f t="shared" si="337"/>
        <v>3541</v>
      </c>
      <c r="T844" s="23">
        <f t="shared" si="338"/>
        <v>4320</v>
      </c>
      <c r="U844" t="str">
        <f t="shared" si="339"/>
        <v>CA_Orang_2020g~city of anaheim member, city council, district 4 (vote 1)</v>
      </c>
      <c r="W844" s="1">
        <f t="shared" si="340"/>
        <v>16</v>
      </c>
      <c r="X844" s="73">
        <f t="shared" ref="X844:X907" si="349">IF(AK844=0,AH844,MIN(AH844,6.2/(AK844/AH844)))</f>
        <v>11.603090628124717</v>
      </c>
      <c r="Y844" s="322">
        <f t="shared" si="341"/>
        <v>14205.720000000001</v>
      </c>
      <c r="Z844" s="43">
        <f t="shared" ref="Z844:Z907" si="350">AA844*100</f>
        <v>0</v>
      </c>
      <c r="AA844" s="52">
        <f t="shared" si="342"/>
        <v>0</v>
      </c>
      <c r="AB844" s="8">
        <f t="shared" si="343"/>
        <v>5396.56</v>
      </c>
      <c r="AC844" s="8">
        <f t="shared" si="344"/>
        <v>269828</v>
      </c>
      <c r="AD844" s="8">
        <f t="shared" si="348"/>
        <v>1349.14</v>
      </c>
      <c r="AE844" s="8" t="str">
        <f t="shared" si="345"/>
        <v/>
      </c>
      <c r="AF844" s="22" t="str">
        <f t="shared" si="346"/>
        <v>PA_Alleg_2019g</v>
      </c>
      <c r="AG844">
        <v>1</v>
      </c>
      <c r="AH844" s="272">
        <v>205880</v>
      </c>
      <c r="AI844" s="273">
        <v>157945</v>
      </c>
      <c r="AJ844" s="274">
        <v>47935</v>
      </c>
      <c r="AK844" s="339">
        <v>110010</v>
      </c>
      <c r="AL844" s="340" t="s">
        <v>2282</v>
      </c>
      <c r="AM844" s="358">
        <f t="shared" si="347"/>
        <v>0.40770416709904089</v>
      </c>
      <c r="AN844" s="359" t="s">
        <v>6523</v>
      </c>
      <c r="AO844" s="360" t="s">
        <v>6485</v>
      </c>
      <c r="AP844" s="23">
        <f t="shared" si="323"/>
        <v>451</v>
      </c>
      <c r="AQ844" s="392">
        <f t="shared" si="325"/>
        <v>0.99675761937573604</v>
      </c>
      <c r="AR844" s="392">
        <f t="shared" si="326"/>
        <v>0.99999999999960421</v>
      </c>
      <c r="AS844" s="392">
        <f t="shared" si="326"/>
        <v>1</v>
      </c>
    </row>
    <row r="845" spans="1:45">
      <c r="A845" t="str">
        <f t="shared" si="324"/>
        <v>CA_Orang_2020g~city of anaheim member, city council, district 4 (vote 1)</v>
      </c>
      <c r="B845" s="55" t="s">
        <v>3536</v>
      </c>
      <c r="D845" s="55" t="s">
        <v>3738</v>
      </c>
      <c r="E845" s="55" t="s">
        <v>3742</v>
      </c>
      <c r="G845" s="60">
        <v>3541</v>
      </c>
      <c r="H845"/>
      <c r="J845">
        <v>17227</v>
      </c>
      <c r="N845">
        <v>1592</v>
      </c>
      <c r="O845">
        <f t="shared" si="333"/>
        <v>2</v>
      </c>
      <c r="P845" s="57">
        <f t="shared" si="334"/>
        <v>1</v>
      </c>
      <c r="Q845" s="267">
        <f t="shared" si="335"/>
        <v>7669</v>
      </c>
      <c r="R845" s="23" t="str">
        <f t="shared" si="336"/>
        <v/>
      </c>
      <c r="S845" s="23">
        <f t="shared" si="337"/>
        <v>3541</v>
      </c>
      <c r="T845" s="23" t="str">
        <f t="shared" si="338"/>
        <v/>
      </c>
      <c r="U845" t="str">
        <f t="shared" si="339"/>
        <v/>
      </c>
      <c r="W845" s="1">
        <f t="shared" si="340"/>
        <v>17</v>
      </c>
      <c r="X845" s="73">
        <f t="shared" si="349"/>
        <v>11.438957325897427</v>
      </c>
      <c r="Y845" s="322">
        <f t="shared" si="341"/>
        <v>14426.658000000001</v>
      </c>
      <c r="Z845" s="43">
        <f t="shared" si="350"/>
        <v>0</v>
      </c>
      <c r="AA845" s="52">
        <f t="shared" si="342"/>
        <v>0</v>
      </c>
      <c r="AB845" s="8">
        <f t="shared" si="343"/>
        <v>5396.56</v>
      </c>
      <c r="AC845" s="8">
        <f t="shared" si="344"/>
        <v>269828</v>
      </c>
      <c r="AD845" s="8">
        <f t="shared" si="348"/>
        <v>1349.14</v>
      </c>
      <c r="AE845" s="8" t="str">
        <f t="shared" si="345"/>
        <v/>
      </c>
      <c r="AF845" s="22" t="str">
        <f t="shared" si="346"/>
        <v>PA_Alleg_2019g</v>
      </c>
      <c r="AG845">
        <v>1</v>
      </c>
      <c r="AH845" s="272">
        <v>209082</v>
      </c>
      <c r="AI845" s="273">
        <v>161203</v>
      </c>
      <c r="AJ845" s="274">
        <v>47879</v>
      </c>
      <c r="AK845" s="339">
        <v>113324</v>
      </c>
      <c r="AL845" s="340" t="s">
        <v>2287</v>
      </c>
      <c r="AM845" s="358">
        <f t="shared" si="347"/>
        <v>0.41998606519708853</v>
      </c>
      <c r="AN845" s="359" t="s">
        <v>6523</v>
      </c>
      <c r="AO845" s="360" t="s">
        <v>6485</v>
      </c>
      <c r="AP845" s="23">
        <f t="shared" ref="AP845:AP908" si="351">MIN(AD845, MAX(0,ROUNDUP(AD845*(0.5*AK845/AC845-0.005)/(RIGHT(AP$1,3)-0.005),0)))</f>
        <v>465</v>
      </c>
      <c r="AQ845" s="392">
        <f t="shared" si="325"/>
        <v>0.99740209728974449</v>
      </c>
      <c r="AR845" s="392">
        <f t="shared" si="326"/>
        <v>0.99999999999986966</v>
      </c>
      <c r="AS845" s="392">
        <f t="shared" si="326"/>
        <v>1</v>
      </c>
    </row>
    <row r="846" spans="1:45">
      <c r="A846" t="str">
        <f t="shared" si="324"/>
        <v>CA_Orang_2020g~city of anaheim member, city council, district 4 (vote 1)</v>
      </c>
      <c r="B846" s="55" t="s">
        <v>3536</v>
      </c>
      <c r="D846" s="55" t="s">
        <v>3738</v>
      </c>
      <c r="E846" s="55" t="s">
        <v>3739</v>
      </c>
      <c r="G846" s="60">
        <v>3349</v>
      </c>
      <c r="H846"/>
      <c r="J846">
        <v>17227</v>
      </c>
      <c r="N846">
        <v>1592</v>
      </c>
      <c r="O846">
        <f t="shared" si="333"/>
        <v>3</v>
      </c>
      <c r="P846" s="57">
        <f t="shared" si="334"/>
        <v>1</v>
      </c>
      <c r="Q846" s="267">
        <f t="shared" si="335"/>
        <v>4128</v>
      </c>
      <c r="R846" s="23" t="str">
        <f t="shared" si="336"/>
        <v/>
      </c>
      <c r="S846" s="23">
        <f t="shared" si="337"/>
        <v>3349</v>
      </c>
      <c r="T846" s="23" t="str">
        <f t="shared" si="338"/>
        <v/>
      </c>
      <c r="U846" t="str">
        <f t="shared" si="339"/>
        <v/>
      </c>
      <c r="W846" s="1">
        <f t="shared" si="340"/>
        <v>18</v>
      </c>
      <c r="X846" s="73">
        <f t="shared" si="349"/>
        <v>11.135148804403922</v>
      </c>
      <c r="Y846" s="322">
        <f t="shared" si="341"/>
        <v>14407.338000000002</v>
      </c>
      <c r="Z846" s="43">
        <f t="shared" si="350"/>
        <v>0</v>
      </c>
      <c r="AA846" s="52">
        <f t="shared" si="342"/>
        <v>0</v>
      </c>
      <c r="AB846" s="8">
        <f t="shared" si="343"/>
        <v>5396.56</v>
      </c>
      <c r="AC846" s="8">
        <f t="shared" si="344"/>
        <v>269828</v>
      </c>
      <c r="AD846" s="8">
        <f t="shared" si="348"/>
        <v>1349.14</v>
      </c>
      <c r="AE846" s="8" t="str">
        <f t="shared" si="345"/>
        <v/>
      </c>
      <c r="AF846" s="22" t="str">
        <f t="shared" si="346"/>
        <v>PA_Alleg_2019g</v>
      </c>
      <c r="AG846">
        <v>1</v>
      </c>
      <c r="AH846" s="272">
        <v>208802</v>
      </c>
      <c r="AI846" s="273">
        <v>162531</v>
      </c>
      <c r="AJ846" s="274">
        <v>46271</v>
      </c>
      <c r="AK846" s="339">
        <v>116260</v>
      </c>
      <c r="AL846" s="340" t="s">
        <v>2285</v>
      </c>
      <c r="AM846" s="358">
        <f t="shared" si="347"/>
        <v>0.43086707087477949</v>
      </c>
      <c r="AN846" s="359" t="s">
        <v>6523</v>
      </c>
      <c r="AO846" s="360" t="s">
        <v>6485</v>
      </c>
      <c r="AP846" s="23">
        <f t="shared" si="351"/>
        <v>478</v>
      </c>
      <c r="AQ846" s="392">
        <f t="shared" si="325"/>
        <v>0.99789199734511991</v>
      </c>
      <c r="AR846" s="392">
        <f t="shared" si="326"/>
        <v>0.99999999999995426</v>
      </c>
      <c r="AS846" s="392">
        <f t="shared" si="326"/>
        <v>1</v>
      </c>
    </row>
    <row r="847" spans="1:45">
      <c r="A847" t="str">
        <f t="shared" si="324"/>
        <v>CA_Orang_2020g~city of anaheim member, city council, district 4 (vote 1)</v>
      </c>
      <c r="B847" s="55" t="s">
        <v>3536</v>
      </c>
      <c r="D847" s="55" t="s">
        <v>3738</v>
      </c>
      <c r="E847" s="55" t="s">
        <v>3741</v>
      </c>
      <c r="G847" s="60">
        <v>779</v>
      </c>
      <c r="H847"/>
      <c r="J847">
        <v>17227</v>
      </c>
      <c r="N847">
        <v>1592</v>
      </c>
      <c r="O847">
        <f t="shared" si="333"/>
        <v>4</v>
      </c>
      <c r="P847" s="57">
        <f t="shared" si="334"/>
        <v>1</v>
      </c>
      <c r="Q847" s="267">
        <f t="shared" si="335"/>
        <v>779</v>
      </c>
      <c r="R847" s="23" t="str">
        <f t="shared" si="336"/>
        <v/>
      </c>
      <c r="S847" s="23">
        <f t="shared" si="337"/>
        <v>779</v>
      </c>
      <c r="T847" s="23" t="str">
        <f t="shared" si="338"/>
        <v/>
      </c>
      <c r="U847" t="str">
        <f t="shared" si="339"/>
        <v/>
      </c>
      <c r="W847" s="1">
        <f t="shared" si="340"/>
        <v>19</v>
      </c>
      <c r="X847" s="73">
        <f t="shared" si="349"/>
        <v>11.117924412379097</v>
      </c>
      <c r="Y847" s="322">
        <f t="shared" si="341"/>
        <v>14097.252</v>
      </c>
      <c r="Z847" s="43">
        <f t="shared" si="350"/>
        <v>0</v>
      </c>
      <c r="AA847" s="52">
        <f t="shared" si="342"/>
        <v>0</v>
      </c>
      <c r="AB847" s="8">
        <f t="shared" si="343"/>
        <v>5396.56</v>
      </c>
      <c r="AC847" s="8">
        <f t="shared" si="344"/>
        <v>269828</v>
      </c>
      <c r="AD847" s="8">
        <f t="shared" si="348"/>
        <v>1349.14</v>
      </c>
      <c r="AE847" s="8" t="str">
        <f t="shared" si="345"/>
        <v/>
      </c>
      <c r="AF847" s="22" t="str">
        <f t="shared" si="346"/>
        <v>PA_Alleg_2019g</v>
      </c>
      <c r="AG847">
        <v>1</v>
      </c>
      <c r="AH847" s="272">
        <v>204308</v>
      </c>
      <c r="AI847" s="273">
        <v>159121</v>
      </c>
      <c r="AJ847" s="274">
        <v>45187</v>
      </c>
      <c r="AK847" s="339">
        <v>113934</v>
      </c>
      <c r="AL847" s="340" t="s">
        <v>2281</v>
      </c>
      <c r="AM847" s="358">
        <f t="shared" si="347"/>
        <v>0.42224676460560062</v>
      </c>
      <c r="AN847" s="359" t="s">
        <v>6523</v>
      </c>
      <c r="AO847" s="360" t="s">
        <v>6485</v>
      </c>
      <c r="AP847" s="23">
        <f t="shared" si="351"/>
        <v>468</v>
      </c>
      <c r="AQ847" s="392">
        <f t="shared" si="325"/>
        <v>0.9975237180985036</v>
      </c>
      <c r="AR847" s="392">
        <f t="shared" si="326"/>
        <v>0.99999999999989753</v>
      </c>
      <c r="AS847" s="392">
        <f t="shared" si="326"/>
        <v>1</v>
      </c>
    </row>
    <row r="848" spans="1:45">
      <c r="A848" t="str">
        <f t="shared" si="324"/>
        <v>CA_Orang_2020g~city of anaheim member, city council, district 5 (vote 1)</v>
      </c>
      <c r="B848" s="55" t="s">
        <v>3536</v>
      </c>
      <c r="D848" s="55" t="s">
        <v>3743</v>
      </c>
      <c r="E848" s="55" t="s">
        <v>3745</v>
      </c>
      <c r="G848" s="60">
        <v>11160</v>
      </c>
      <c r="H848"/>
      <c r="J848">
        <v>22972</v>
      </c>
      <c r="N848">
        <v>1709</v>
      </c>
      <c r="O848">
        <f t="shared" si="333"/>
        <v>1</v>
      </c>
      <c r="P848" s="57">
        <f t="shared" si="334"/>
        <v>1</v>
      </c>
      <c r="Q848" s="267">
        <f t="shared" si="335"/>
        <v>21151</v>
      </c>
      <c r="R848" s="23">
        <f t="shared" si="336"/>
        <v>11160</v>
      </c>
      <c r="S848" s="23">
        <f t="shared" si="337"/>
        <v>6440</v>
      </c>
      <c r="T848" s="23">
        <f t="shared" si="338"/>
        <v>4720</v>
      </c>
      <c r="U848" t="str">
        <f t="shared" si="339"/>
        <v>CA_Orang_2020g~city of anaheim member, city council, district 5 (vote 1)</v>
      </c>
      <c r="W848" s="1">
        <f t="shared" si="340"/>
        <v>20</v>
      </c>
      <c r="X848" s="73">
        <f t="shared" si="349"/>
        <v>10.91061216133215</v>
      </c>
      <c r="Y848" s="322">
        <f t="shared" si="341"/>
        <v>14233.872000000001</v>
      </c>
      <c r="Z848" s="43">
        <f t="shared" si="350"/>
        <v>0</v>
      </c>
      <c r="AA848" s="52">
        <f t="shared" si="342"/>
        <v>0</v>
      </c>
      <c r="AB848" s="8">
        <f t="shared" si="343"/>
        <v>5396.56</v>
      </c>
      <c r="AC848" s="8">
        <f t="shared" si="344"/>
        <v>269828</v>
      </c>
      <c r="AD848" s="8">
        <f t="shared" si="348"/>
        <v>1349.14</v>
      </c>
      <c r="AE848" s="8" t="str">
        <f t="shared" si="345"/>
        <v/>
      </c>
      <c r="AF848" s="22" t="str">
        <f t="shared" si="346"/>
        <v>PA_Alleg_2019g</v>
      </c>
      <c r="AG848">
        <v>1</v>
      </c>
      <c r="AH848" s="272">
        <v>206288</v>
      </c>
      <c r="AI848" s="273">
        <v>161756</v>
      </c>
      <c r="AJ848" s="274">
        <v>44532</v>
      </c>
      <c r="AK848" s="339">
        <v>117224</v>
      </c>
      <c r="AL848" s="340" t="s">
        <v>2278</v>
      </c>
      <c r="AM848" s="358">
        <f t="shared" si="347"/>
        <v>0.43443971715314944</v>
      </c>
      <c r="AN848" s="359" t="s">
        <v>6523</v>
      </c>
      <c r="AO848" s="360" t="s">
        <v>6485</v>
      </c>
      <c r="AP848" s="23">
        <f t="shared" si="351"/>
        <v>482</v>
      </c>
      <c r="AQ848" s="392">
        <f t="shared" si="325"/>
        <v>0.99802451918541413</v>
      </c>
      <c r="AR848" s="392">
        <f t="shared" si="326"/>
        <v>0.99999999999996703</v>
      </c>
      <c r="AS848" s="392">
        <f t="shared" si="326"/>
        <v>1</v>
      </c>
    </row>
    <row r="849" spans="1:45">
      <c r="A849" t="str">
        <f t="shared" si="324"/>
        <v>CA_Orang_2020g~city of anaheim member, city council, district 5 (vote 1)</v>
      </c>
      <c r="B849" s="55" t="s">
        <v>3536</v>
      </c>
      <c r="D849" s="55" t="s">
        <v>3743</v>
      </c>
      <c r="E849" s="55" t="s">
        <v>3746</v>
      </c>
      <c r="G849" s="60">
        <v>6440</v>
      </c>
      <c r="H849"/>
      <c r="J849">
        <v>22972</v>
      </c>
      <c r="N849">
        <v>1709</v>
      </c>
      <c r="O849">
        <f t="shared" si="333"/>
        <v>2</v>
      </c>
      <c r="P849" s="57">
        <f t="shared" si="334"/>
        <v>1</v>
      </c>
      <c r="Q849" s="267">
        <f t="shared" si="335"/>
        <v>9991</v>
      </c>
      <c r="R849" s="23" t="str">
        <f t="shared" si="336"/>
        <v/>
      </c>
      <c r="S849" s="23">
        <f t="shared" si="337"/>
        <v>6440</v>
      </c>
      <c r="T849" s="23" t="str">
        <f t="shared" si="338"/>
        <v/>
      </c>
      <c r="U849" t="str">
        <f t="shared" si="339"/>
        <v/>
      </c>
      <c r="W849" s="1">
        <f t="shared" si="340"/>
        <v>21</v>
      </c>
      <c r="X849" s="73">
        <f t="shared" si="349"/>
        <v>74.712605042016818</v>
      </c>
      <c r="Y849" s="322">
        <f t="shared" si="341"/>
        <v>1583.1360000000002</v>
      </c>
      <c r="Z849" s="43">
        <f t="shared" si="350"/>
        <v>2.5318704634096191E-15</v>
      </c>
      <c r="AA849" s="52">
        <f t="shared" si="342"/>
        <v>2.531870463409619E-17</v>
      </c>
      <c r="AB849" s="8">
        <f t="shared" si="343"/>
        <v>5396.56</v>
      </c>
      <c r="AC849" s="8">
        <f t="shared" si="344"/>
        <v>269828</v>
      </c>
      <c r="AD849" s="8">
        <f t="shared" si="348"/>
        <v>1349.14</v>
      </c>
      <c r="AE849" s="8" t="str">
        <f t="shared" si="345"/>
        <v/>
      </c>
      <c r="AF849" s="22" t="str">
        <f t="shared" si="346"/>
        <v>PA_Alleg_2019g</v>
      </c>
      <c r="AG849">
        <v>1</v>
      </c>
      <c r="AH849" s="272">
        <v>22944</v>
      </c>
      <c r="AI849" s="273">
        <v>12413</v>
      </c>
      <c r="AJ849" s="274">
        <v>10509</v>
      </c>
      <c r="AK849" s="339">
        <v>1904</v>
      </c>
      <c r="AL849" s="340" t="s">
        <v>2275</v>
      </c>
      <c r="AM849" s="353">
        <f t="shared" si="347"/>
        <v>7.0563470062410131E-3</v>
      </c>
      <c r="AN849" s="359" t="s">
        <v>6512</v>
      </c>
      <c r="AO849" s="360" t="s">
        <v>6524</v>
      </c>
      <c r="AP849" s="23">
        <f t="shared" si="351"/>
        <v>0</v>
      </c>
      <c r="AQ849" s="392">
        <f t="shared" si="325"/>
        <v>0</v>
      </c>
      <c r="AR849" s="392">
        <f t="shared" si="326"/>
        <v>0</v>
      </c>
      <c r="AS849" s="392">
        <f t="shared" si="326"/>
        <v>0</v>
      </c>
    </row>
    <row r="850" spans="1:45">
      <c r="A850" t="str">
        <f t="shared" si="324"/>
        <v>CA_Orang_2020g~city of anaheim member, city council, district 5 (vote 1)</v>
      </c>
      <c r="B850" s="55" t="s">
        <v>3536</v>
      </c>
      <c r="D850" s="55" t="s">
        <v>3743</v>
      </c>
      <c r="E850" s="55" t="s">
        <v>3744</v>
      </c>
      <c r="G850" s="60">
        <v>3551</v>
      </c>
      <c r="H850"/>
      <c r="J850">
        <v>22972</v>
      </c>
      <c r="N850">
        <v>1709</v>
      </c>
      <c r="O850">
        <f t="shared" si="333"/>
        <v>3</v>
      </c>
      <c r="P850" s="57">
        <f t="shared" si="334"/>
        <v>1</v>
      </c>
      <c r="Q850" s="267">
        <f t="shared" si="335"/>
        <v>3551</v>
      </c>
      <c r="R850" s="23" t="str">
        <f t="shared" si="336"/>
        <v/>
      </c>
      <c r="S850" s="23">
        <f t="shared" si="337"/>
        <v>3551</v>
      </c>
      <c r="T850" s="23" t="str">
        <f t="shared" si="338"/>
        <v/>
      </c>
      <c r="U850" t="str">
        <f t="shared" si="339"/>
        <v/>
      </c>
      <c r="W850" s="1">
        <f t="shared" si="340"/>
        <v>22</v>
      </c>
      <c r="X850" s="73">
        <f t="shared" si="349"/>
        <v>48.222222222222229</v>
      </c>
      <c r="Y850" s="322">
        <f t="shared" si="341"/>
        <v>550.62</v>
      </c>
      <c r="Z850" s="43">
        <f t="shared" si="350"/>
        <v>1.1783955452975853E-7</v>
      </c>
      <c r="AA850" s="52">
        <f t="shared" si="342"/>
        <v>1.1783955452975854E-9</v>
      </c>
      <c r="AB850" s="8">
        <f t="shared" si="343"/>
        <v>5396.56</v>
      </c>
      <c r="AC850" s="8">
        <f t="shared" si="344"/>
        <v>269828</v>
      </c>
      <c r="AD850" s="8">
        <f t="shared" si="348"/>
        <v>1349.14</v>
      </c>
      <c r="AE850" s="8" t="str">
        <f t="shared" si="345"/>
        <v/>
      </c>
      <c r="AF850" s="22" t="str">
        <f t="shared" si="346"/>
        <v>PA_Alleg_2019g</v>
      </c>
      <c r="AG850" s="89">
        <v>1</v>
      </c>
      <c r="AH850" s="274">
        <v>7980</v>
      </c>
      <c r="AI850" s="279">
        <v>3272</v>
      </c>
      <c r="AJ850" s="280">
        <v>2246</v>
      </c>
      <c r="AK850" s="92">
        <v>1026</v>
      </c>
      <c r="AL850" s="23" t="s">
        <v>2235</v>
      </c>
      <c r="AM850" s="353">
        <f t="shared" si="347"/>
        <v>3.8024222838252517E-3</v>
      </c>
      <c r="AN850" s="359" t="s">
        <v>6870</v>
      </c>
      <c r="AO850" s="360" t="s">
        <v>6524</v>
      </c>
      <c r="AP850" s="23">
        <f t="shared" si="351"/>
        <v>0</v>
      </c>
      <c r="AQ850" s="392">
        <f t="shared" si="325"/>
        <v>0</v>
      </c>
      <c r="AR850" s="392">
        <f t="shared" si="326"/>
        <v>0</v>
      </c>
      <c r="AS850" s="392">
        <f t="shared" si="326"/>
        <v>0</v>
      </c>
    </row>
    <row r="851" spans="1:45">
      <c r="A851" t="str">
        <f t="shared" si="324"/>
        <v>CA_Orang_2020g~city of brea city treasurer (vote 1)</v>
      </c>
      <c r="B851" s="55" t="s">
        <v>3536</v>
      </c>
      <c r="D851" s="55" t="s">
        <v>3752</v>
      </c>
      <c r="E851" s="55" t="s">
        <v>3754</v>
      </c>
      <c r="G851" s="60">
        <v>11755</v>
      </c>
      <c r="H851"/>
      <c r="J851">
        <v>25813</v>
      </c>
      <c r="N851">
        <v>3738</v>
      </c>
      <c r="O851">
        <f t="shared" si="333"/>
        <v>1</v>
      </c>
      <c r="P851" s="57">
        <f t="shared" si="334"/>
        <v>1</v>
      </c>
      <c r="Q851" s="267">
        <f t="shared" si="335"/>
        <v>21982</v>
      </c>
      <c r="R851" s="23">
        <f t="shared" si="336"/>
        <v>11755</v>
      </c>
      <c r="S851" s="23">
        <f t="shared" si="337"/>
        <v>10227</v>
      </c>
      <c r="T851" s="23">
        <f t="shared" si="338"/>
        <v>1528</v>
      </c>
      <c r="U851" t="str">
        <f t="shared" si="339"/>
        <v>CA_Orang_2020g~city of brea city treasurer (vote 1)</v>
      </c>
      <c r="W851" s="1">
        <f t="shared" si="340"/>
        <v>23</v>
      </c>
      <c r="X851" s="73">
        <f t="shared" si="349"/>
        <v>33.123649801023312</v>
      </c>
      <c r="Y851" s="322">
        <f t="shared" si="341"/>
        <v>1296.855</v>
      </c>
      <c r="Z851" s="43">
        <f t="shared" si="350"/>
        <v>1.7461915243754346E-29</v>
      </c>
      <c r="AA851" s="52">
        <f t="shared" si="342"/>
        <v>1.7461915243754346E-31</v>
      </c>
      <c r="AB851" s="8">
        <f t="shared" si="343"/>
        <v>5396.56</v>
      </c>
      <c r="AC851" s="8">
        <f t="shared" si="344"/>
        <v>269828</v>
      </c>
      <c r="AD851" s="8">
        <f t="shared" si="348"/>
        <v>1349.14</v>
      </c>
      <c r="AE851" s="8" t="str">
        <f t="shared" si="345"/>
        <v/>
      </c>
      <c r="AF851" s="22" t="str">
        <f t="shared" si="346"/>
        <v>PA_Alleg_2019g</v>
      </c>
      <c r="AG851">
        <v>1</v>
      </c>
      <c r="AH851" s="272">
        <v>18795</v>
      </c>
      <c r="AI851" s="273">
        <v>11145</v>
      </c>
      <c r="AJ851" s="274">
        <v>7627</v>
      </c>
      <c r="AK851" s="339">
        <v>3518</v>
      </c>
      <c r="AL851" s="23" t="s">
        <v>2277</v>
      </c>
      <c r="AM851" s="353">
        <f t="shared" si="347"/>
        <v>1.3037935277287754E-2</v>
      </c>
      <c r="AN851" s="359" t="s">
        <v>6514</v>
      </c>
      <c r="AO851" s="360" t="s">
        <v>6524</v>
      </c>
      <c r="AP851" s="23">
        <f t="shared" si="351"/>
        <v>4</v>
      </c>
      <c r="AQ851" s="392">
        <f t="shared" si="325"/>
        <v>4.0915279739510813E-2</v>
      </c>
      <c r="AR851" s="392">
        <f t="shared" si="326"/>
        <v>0.18708338475470032</v>
      </c>
      <c r="AS851" s="392">
        <f t="shared" si="326"/>
        <v>0.59115971469850592</v>
      </c>
    </row>
    <row r="852" spans="1:45">
      <c r="A852" t="str">
        <f t="shared" si="324"/>
        <v>CA_Orang_2020g~city of brea city treasurer (vote 1)</v>
      </c>
      <c r="B852" s="55" t="s">
        <v>3536</v>
      </c>
      <c r="D852" s="55" t="s">
        <v>3752</v>
      </c>
      <c r="E852" s="55" t="s">
        <v>3753</v>
      </c>
      <c r="G852" s="60">
        <v>10227</v>
      </c>
      <c r="H852"/>
      <c r="J852">
        <v>25813</v>
      </c>
      <c r="N852">
        <v>3738</v>
      </c>
      <c r="O852">
        <f t="shared" si="333"/>
        <v>2</v>
      </c>
      <c r="P852" s="57">
        <f t="shared" si="334"/>
        <v>1</v>
      </c>
      <c r="Q852" s="267">
        <f t="shared" si="335"/>
        <v>10227</v>
      </c>
      <c r="R852" s="23" t="str">
        <f t="shared" si="336"/>
        <v/>
      </c>
      <c r="S852" s="23">
        <f t="shared" si="337"/>
        <v>10227</v>
      </c>
      <c r="T852" s="23" t="str">
        <f t="shared" si="338"/>
        <v/>
      </c>
      <c r="U852" t="str">
        <f t="shared" si="339"/>
        <v/>
      </c>
      <c r="W852" s="1">
        <f t="shared" si="340"/>
        <v>24</v>
      </c>
      <c r="X852" s="73">
        <f t="shared" si="349"/>
        <v>31.470581014729952</v>
      </c>
      <c r="Y852" s="322">
        <f t="shared" si="341"/>
        <v>1711.9590000000001</v>
      </c>
      <c r="Z852" s="43">
        <f t="shared" si="350"/>
        <v>1.4259592537433953E-41</v>
      </c>
      <c r="AA852" s="52">
        <f t="shared" si="342"/>
        <v>1.4259592537433954E-43</v>
      </c>
      <c r="AB852" s="8">
        <f t="shared" si="343"/>
        <v>5396.56</v>
      </c>
      <c r="AC852" s="8">
        <f t="shared" si="344"/>
        <v>269828</v>
      </c>
      <c r="AD852" s="8">
        <f t="shared" si="348"/>
        <v>1349.14</v>
      </c>
      <c r="AE852" s="8" t="str">
        <f t="shared" si="345"/>
        <v/>
      </c>
      <c r="AF852" s="22" t="str">
        <f t="shared" si="346"/>
        <v>PA_Alleg_2019g</v>
      </c>
      <c r="AG852">
        <v>1</v>
      </c>
      <c r="AH852" s="272">
        <v>24811</v>
      </c>
      <c r="AI852" s="273">
        <v>14842</v>
      </c>
      <c r="AJ852" s="274">
        <v>9954</v>
      </c>
      <c r="AK852" s="339">
        <v>4888</v>
      </c>
      <c r="AL852" s="340" t="s">
        <v>2276</v>
      </c>
      <c r="AM852" s="358">
        <f t="shared" si="347"/>
        <v>1.8115243784929659E-2</v>
      </c>
      <c r="AN852" s="359" t="s">
        <v>6516</v>
      </c>
      <c r="AO852" s="360" t="s">
        <v>6524</v>
      </c>
      <c r="AP852" s="23">
        <f t="shared" si="351"/>
        <v>10</v>
      </c>
      <c r="AQ852" s="392">
        <f t="shared" si="325"/>
        <v>9.9382226081405456E-2</v>
      </c>
      <c r="AR852" s="392">
        <f t="shared" si="326"/>
        <v>0.40488754199749077</v>
      </c>
      <c r="AS852" s="392">
        <f t="shared" si="326"/>
        <v>0.89372024946056339</v>
      </c>
    </row>
    <row r="853" spans="1:45">
      <c r="A853" t="str">
        <f t="shared" si="324"/>
        <v>CA_Orang_2020g~city of brea member, city council (vote 1)</v>
      </c>
      <c r="B853" s="55" t="s">
        <v>3536</v>
      </c>
      <c r="D853" s="55" t="s">
        <v>3747</v>
      </c>
      <c r="E853" s="55" t="s">
        <v>3749</v>
      </c>
      <c r="G853" s="60">
        <v>13107</v>
      </c>
      <c r="H853"/>
      <c r="J853">
        <v>25813</v>
      </c>
      <c r="N853">
        <v>15401</v>
      </c>
      <c r="O853">
        <f t="shared" si="333"/>
        <v>1</v>
      </c>
      <c r="P853" s="57">
        <f t="shared" si="334"/>
        <v>1</v>
      </c>
      <c r="Q853" s="267">
        <f t="shared" si="335"/>
        <v>36067</v>
      </c>
      <c r="R853" s="23">
        <f t="shared" si="336"/>
        <v>13107</v>
      </c>
      <c r="S853" s="23">
        <f t="shared" si="337"/>
        <v>11538</v>
      </c>
      <c r="T853" s="23">
        <f t="shared" si="338"/>
        <v>1569</v>
      </c>
      <c r="U853" t="str">
        <f t="shared" si="339"/>
        <v>CA_Orang_2020g~city of brea member, city council (vote 1)</v>
      </c>
      <c r="W853" s="1">
        <f t="shared" si="340"/>
        <v>25</v>
      </c>
      <c r="X853" s="73">
        <f t="shared" si="349"/>
        <v>25.187025703794372</v>
      </c>
      <c r="Y853" s="322">
        <f t="shared" si="341"/>
        <v>458.02200000000005</v>
      </c>
      <c r="Z853" s="43">
        <f t="shared" si="350"/>
        <v>5.8090950494297871E-13</v>
      </c>
      <c r="AA853" s="52">
        <f t="shared" si="342"/>
        <v>5.8090950494297867E-15</v>
      </c>
      <c r="AB853" s="8">
        <f t="shared" si="343"/>
        <v>5396.56</v>
      </c>
      <c r="AC853" s="8">
        <f t="shared" si="344"/>
        <v>269828</v>
      </c>
      <c r="AD853" s="8">
        <f t="shared" si="348"/>
        <v>1349.14</v>
      </c>
      <c r="AE853" s="8" t="str">
        <f t="shared" si="345"/>
        <v/>
      </c>
      <c r="AF853" s="22" t="str">
        <f t="shared" si="346"/>
        <v>PA_Alleg_2019g</v>
      </c>
      <c r="AG853">
        <v>1</v>
      </c>
      <c r="AH853" s="272">
        <v>6638</v>
      </c>
      <c r="AI853" s="273">
        <v>3975</v>
      </c>
      <c r="AJ853" s="274">
        <v>2341</v>
      </c>
      <c r="AK853" s="339">
        <v>1634</v>
      </c>
      <c r="AL853" s="340" t="s">
        <v>2233</v>
      </c>
      <c r="AM853" s="358">
        <f t="shared" si="347"/>
        <v>6.0557095631291044E-3</v>
      </c>
      <c r="AN853" s="359" t="s">
        <v>6868</v>
      </c>
      <c r="AO853" s="360" t="s">
        <v>6524</v>
      </c>
      <c r="AP853" s="23">
        <f t="shared" si="351"/>
        <v>0</v>
      </c>
      <c r="AQ853" s="392">
        <f t="shared" si="325"/>
        <v>0</v>
      </c>
      <c r="AR853" s="392">
        <f t="shared" si="326"/>
        <v>0</v>
      </c>
      <c r="AS853" s="392">
        <f t="shared" si="326"/>
        <v>0</v>
      </c>
    </row>
    <row r="854" spans="1:45">
      <c r="A854" t="str">
        <f t="shared" si="324"/>
        <v>CA_Orang_2020g~city of brea member, city council (vote 1)</v>
      </c>
      <c r="B854" s="55" t="s">
        <v>3536</v>
      </c>
      <c r="D854" s="55" t="s">
        <v>3747</v>
      </c>
      <c r="E854" s="55" t="s">
        <v>3748</v>
      </c>
      <c r="G854" s="60">
        <v>11538</v>
      </c>
      <c r="H854"/>
      <c r="J854">
        <v>25813</v>
      </c>
      <c r="N854">
        <v>15401</v>
      </c>
      <c r="O854">
        <f t="shared" si="333"/>
        <v>2</v>
      </c>
      <c r="P854" s="57">
        <f t="shared" si="334"/>
        <v>1</v>
      </c>
      <c r="Q854" s="267">
        <f t="shared" si="335"/>
        <v>22960</v>
      </c>
      <c r="R854" s="23" t="str">
        <f t="shared" si="336"/>
        <v/>
      </c>
      <c r="S854" s="23">
        <f t="shared" si="337"/>
        <v>11538</v>
      </c>
      <c r="T854" s="23" t="str">
        <f t="shared" si="338"/>
        <v/>
      </c>
      <c r="U854" t="str">
        <f t="shared" si="339"/>
        <v/>
      </c>
      <c r="W854" s="1">
        <f t="shared" si="340"/>
        <v>26</v>
      </c>
      <c r="X854" s="73">
        <f t="shared" si="349"/>
        <v>15.773908523908524</v>
      </c>
      <c r="Y854" s="322">
        <f t="shared" si="341"/>
        <v>337.75500000000005</v>
      </c>
      <c r="Z854" s="43">
        <f t="shared" si="350"/>
        <v>1.6923205770437258E-15</v>
      </c>
      <c r="AA854" s="52">
        <f t="shared" si="342"/>
        <v>1.6923205770437258E-17</v>
      </c>
      <c r="AB854" s="8">
        <f t="shared" si="343"/>
        <v>5396.56</v>
      </c>
      <c r="AC854" s="8">
        <f t="shared" si="344"/>
        <v>269828</v>
      </c>
      <c r="AD854" s="8">
        <f t="shared" si="348"/>
        <v>1349.14</v>
      </c>
      <c r="AE854" s="8" t="str">
        <f t="shared" si="345"/>
        <v/>
      </c>
      <c r="AF854" s="22" t="str">
        <f t="shared" si="346"/>
        <v>PA_Alleg_2019g</v>
      </c>
      <c r="AG854">
        <v>1</v>
      </c>
      <c r="AH854" s="272">
        <v>4895</v>
      </c>
      <c r="AI854" s="273">
        <v>3398</v>
      </c>
      <c r="AJ854" s="274">
        <v>1474</v>
      </c>
      <c r="AK854" s="339">
        <v>1924</v>
      </c>
      <c r="AL854" s="340" t="s">
        <v>2234</v>
      </c>
      <c r="AM854" s="358">
        <f t="shared" si="347"/>
        <v>7.1304682983233765E-3</v>
      </c>
      <c r="AN854" s="359" t="s">
        <v>6867</v>
      </c>
      <c r="AO854" s="360" t="s">
        <v>6524</v>
      </c>
      <c r="AP854" s="23">
        <f t="shared" si="351"/>
        <v>0</v>
      </c>
      <c r="AQ854" s="392">
        <f t="shared" si="325"/>
        <v>0</v>
      </c>
      <c r="AR854" s="392">
        <f t="shared" si="326"/>
        <v>0</v>
      </c>
      <c r="AS854" s="392">
        <f t="shared" si="326"/>
        <v>0</v>
      </c>
    </row>
    <row r="855" spans="1:45">
      <c r="A855" t="str">
        <f t="shared" si="324"/>
        <v>CA_Orang_2020g~city of brea member, city council (vote 1)</v>
      </c>
      <c r="B855" s="55" t="s">
        <v>3536</v>
      </c>
      <c r="D855" s="55" t="s">
        <v>3747</v>
      </c>
      <c r="E855" s="55" t="s">
        <v>3751</v>
      </c>
      <c r="G855" s="60">
        <v>7302</v>
      </c>
      <c r="H855"/>
      <c r="J855">
        <v>25813</v>
      </c>
      <c r="N855">
        <v>15401</v>
      </c>
      <c r="O855">
        <f t="shared" si="333"/>
        <v>3</v>
      </c>
      <c r="P855" s="57">
        <f t="shared" si="334"/>
        <v>1</v>
      </c>
      <c r="Q855" s="267">
        <f t="shared" si="335"/>
        <v>11422</v>
      </c>
      <c r="R855" s="23" t="str">
        <f t="shared" si="336"/>
        <v/>
      </c>
      <c r="S855" s="23">
        <f t="shared" si="337"/>
        <v>7302</v>
      </c>
      <c r="T855" s="23" t="str">
        <f t="shared" si="338"/>
        <v/>
      </c>
      <c r="U855" t="str">
        <f t="shared" si="339"/>
        <v/>
      </c>
      <c r="W855" s="290">
        <f t="shared" si="340"/>
        <v>27</v>
      </c>
      <c r="X855" s="298">
        <f t="shared" si="349"/>
        <v>2296.3333333333335</v>
      </c>
      <c r="Y855" s="322">
        <f t="shared" si="341"/>
        <v>2296.3333333333335</v>
      </c>
      <c r="Z855" s="299">
        <f t="shared" si="350"/>
        <v>98.019863698000833</v>
      </c>
      <c r="AA855" s="300">
        <f t="shared" si="342"/>
        <v>0.98019863698000831</v>
      </c>
      <c r="AB855" s="301">
        <f t="shared" si="343"/>
        <v>5396.56</v>
      </c>
      <c r="AC855" s="301">
        <f t="shared" si="344"/>
        <v>269828</v>
      </c>
      <c r="AD855" s="8">
        <f t="shared" si="348"/>
        <v>1349.14</v>
      </c>
      <c r="AE855" s="301" t="str">
        <f t="shared" si="345"/>
        <v/>
      </c>
      <c r="AF855" s="22" t="str">
        <f t="shared" si="346"/>
        <v>PA_Alleg_2019g</v>
      </c>
      <c r="AG855">
        <v>3</v>
      </c>
      <c r="AH855" s="272">
        <v>2296.3333333333335</v>
      </c>
      <c r="AI855" s="273">
        <v>1174</v>
      </c>
      <c r="AJ855" s="274">
        <v>1173</v>
      </c>
      <c r="AK855" s="339">
        <v>1</v>
      </c>
      <c r="AL855" s="340" t="s">
        <v>2247</v>
      </c>
      <c r="AM855" s="353">
        <f t="shared" si="347"/>
        <v>3.7060646041181788E-6</v>
      </c>
      <c r="AN855" s="361" t="s">
        <v>6959</v>
      </c>
      <c r="AO855" s="362" t="s">
        <v>6506</v>
      </c>
      <c r="AP855" s="23">
        <f t="shared" si="351"/>
        <v>0</v>
      </c>
      <c r="AQ855" s="392">
        <f t="shared" si="325"/>
        <v>0</v>
      </c>
      <c r="AR855" s="392">
        <f t="shared" si="326"/>
        <v>0</v>
      </c>
      <c r="AS855" s="392">
        <f t="shared" si="326"/>
        <v>0</v>
      </c>
    </row>
    <row r="856" spans="1:45">
      <c r="A856" t="str">
        <f t="shared" si="324"/>
        <v>CA_Orang_2020g~city of brea member, city council (vote 1)</v>
      </c>
      <c r="B856" s="55" t="s">
        <v>3536</v>
      </c>
      <c r="D856" s="55" t="s">
        <v>3747</v>
      </c>
      <c r="E856" s="55" t="s">
        <v>3750</v>
      </c>
      <c r="G856" s="60">
        <v>4120</v>
      </c>
      <c r="H856"/>
      <c r="J856">
        <v>25813</v>
      </c>
      <c r="N856">
        <v>15401</v>
      </c>
      <c r="O856">
        <f t="shared" si="333"/>
        <v>4</v>
      </c>
      <c r="P856" s="57">
        <f t="shared" si="334"/>
        <v>1</v>
      </c>
      <c r="Q856" s="267">
        <f t="shared" si="335"/>
        <v>4120</v>
      </c>
      <c r="R856" s="23" t="str">
        <f t="shared" si="336"/>
        <v/>
      </c>
      <c r="S856" s="23">
        <f t="shared" si="337"/>
        <v>4120</v>
      </c>
      <c r="T856" s="23" t="str">
        <f t="shared" si="338"/>
        <v/>
      </c>
      <c r="U856" t="str">
        <f t="shared" si="339"/>
        <v/>
      </c>
      <c r="W856" s="290">
        <f t="shared" si="340"/>
        <v>28</v>
      </c>
      <c r="X856" s="298">
        <f t="shared" si="349"/>
        <v>1085.7104166666668</v>
      </c>
      <c r="Y856" s="322">
        <f t="shared" si="341"/>
        <v>1085.7104166666668</v>
      </c>
      <c r="Z856" s="299">
        <f t="shared" si="350"/>
        <v>52.727241203937446</v>
      </c>
      <c r="AA856" s="300">
        <f t="shared" si="342"/>
        <v>0.52727241203937447</v>
      </c>
      <c r="AB856" s="301">
        <f t="shared" si="343"/>
        <v>5396.56</v>
      </c>
      <c r="AC856" s="301">
        <f t="shared" si="344"/>
        <v>269828</v>
      </c>
      <c r="AD856" s="8">
        <f t="shared" si="348"/>
        <v>1349.14</v>
      </c>
      <c r="AE856" s="301" t="str">
        <f t="shared" si="345"/>
        <v/>
      </c>
      <c r="AF856" s="22" t="str">
        <f t="shared" si="346"/>
        <v>PA_Alleg_2019g</v>
      </c>
      <c r="AG856">
        <v>3</v>
      </c>
      <c r="AH856" s="272">
        <v>5603.666666666667</v>
      </c>
      <c r="AI856" s="273">
        <v>2771</v>
      </c>
      <c r="AJ856" s="274">
        <v>2739</v>
      </c>
      <c r="AK856" s="339">
        <v>32</v>
      </c>
      <c r="AL856" s="340" t="s">
        <v>2259</v>
      </c>
      <c r="AM856" s="353">
        <f t="shared" si="347"/>
        <v>1.1859406733178172E-4</v>
      </c>
      <c r="AN856" s="361" t="s">
        <v>6939</v>
      </c>
      <c r="AO856" s="362" t="s">
        <v>6506</v>
      </c>
      <c r="AP856" s="23">
        <f t="shared" si="351"/>
        <v>0</v>
      </c>
      <c r="AQ856" s="392">
        <f t="shared" si="325"/>
        <v>0</v>
      </c>
      <c r="AR856" s="392">
        <f t="shared" si="326"/>
        <v>0</v>
      </c>
      <c r="AS856" s="392">
        <f t="shared" si="326"/>
        <v>0</v>
      </c>
    </row>
    <row r="857" spans="1:45">
      <c r="A857" t="str">
        <f t="shared" si="324"/>
        <v>CA_Orang_2020g~city of buena park member, city council, district 3 (vote 1)</v>
      </c>
      <c r="B857" s="55" t="s">
        <v>3536</v>
      </c>
      <c r="D857" s="55" t="s">
        <v>3755</v>
      </c>
      <c r="E857" s="55" t="s">
        <v>3757</v>
      </c>
      <c r="G857" s="60">
        <v>3730</v>
      </c>
      <c r="H857"/>
      <c r="J857">
        <v>7978</v>
      </c>
      <c r="N857">
        <v>619</v>
      </c>
      <c r="O857">
        <f t="shared" si="333"/>
        <v>1</v>
      </c>
      <c r="P857" s="57">
        <f t="shared" si="334"/>
        <v>1</v>
      </c>
      <c r="Q857" s="267">
        <f t="shared" si="335"/>
        <v>7323</v>
      </c>
      <c r="R857" s="23">
        <f t="shared" si="336"/>
        <v>3730</v>
      </c>
      <c r="S857" s="23">
        <f t="shared" si="337"/>
        <v>2255</v>
      </c>
      <c r="T857" s="23">
        <f t="shared" si="338"/>
        <v>1475</v>
      </c>
      <c r="U857" t="str">
        <f t="shared" si="339"/>
        <v>CA_Orang_2020g~city of buena park member, city council, district 3 (vote 1)</v>
      </c>
      <c r="W857" s="290">
        <f t="shared" si="340"/>
        <v>29</v>
      </c>
      <c r="X857" s="291">
        <f t="shared" si="349"/>
        <v>946.18888888888887</v>
      </c>
      <c r="Y857" s="322">
        <f t="shared" si="341"/>
        <v>946.18888888888887</v>
      </c>
      <c r="Z857" s="292">
        <f t="shared" si="350"/>
        <v>69.766794829618235</v>
      </c>
      <c r="AA857" s="293">
        <f t="shared" si="342"/>
        <v>0.69766794829618228</v>
      </c>
      <c r="AB857" s="294">
        <f t="shared" si="343"/>
        <v>5396.56</v>
      </c>
      <c r="AC857" s="294">
        <f t="shared" si="344"/>
        <v>269828</v>
      </c>
      <c r="AD857" s="8">
        <f t="shared" si="348"/>
        <v>1349.14</v>
      </c>
      <c r="AE857" s="294" t="str">
        <f t="shared" si="345"/>
        <v/>
      </c>
      <c r="AF857" s="22" t="str">
        <f t="shared" si="346"/>
        <v>PA_Alleg_2019g</v>
      </c>
      <c r="AG857">
        <v>1</v>
      </c>
      <c r="AH857" s="272">
        <v>2747</v>
      </c>
      <c r="AI857" s="273">
        <v>718</v>
      </c>
      <c r="AJ857" s="274">
        <v>700</v>
      </c>
      <c r="AK857" s="339">
        <v>18</v>
      </c>
      <c r="AL857" s="23" t="s">
        <v>2241</v>
      </c>
      <c r="AM857" s="353">
        <f t="shared" si="347"/>
        <v>6.6709162874127218E-5</v>
      </c>
      <c r="AN857" s="361" t="s">
        <v>6942</v>
      </c>
      <c r="AO857" s="362" t="s">
        <v>6506</v>
      </c>
      <c r="AP857" s="23">
        <f t="shared" si="351"/>
        <v>0</v>
      </c>
      <c r="AQ857" s="392">
        <f t="shared" si="325"/>
        <v>0</v>
      </c>
      <c r="AR857" s="392">
        <f t="shared" si="326"/>
        <v>0</v>
      </c>
      <c r="AS857" s="392">
        <f t="shared" si="326"/>
        <v>0</v>
      </c>
    </row>
    <row r="858" spans="1:45">
      <c r="A858" t="str">
        <f t="shared" si="324"/>
        <v>CA_Orang_2020g~city of buena park member, city council, district 3 (vote 1)</v>
      </c>
      <c r="B858" s="55" t="s">
        <v>3536</v>
      </c>
      <c r="D858" s="55" t="s">
        <v>3755</v>
      </c>
      <c r="E858" s="55" t="s">
        <v>3756</v>
      </c>
      <c r="G858" s="60">
        <v>2255</v>
      </c>
      <c r="H858"/>
      <c r="J858">
        <v>7978</v>
      </c>
      <c r="N858">
        <v>619</v>
      </c>
      <c r="O858">
        <f t="shared" si="333"/>
        <v>2</v>
      </c>
      <c r="P858" s="57">
        <f t="shared" si="334"/>
        <v>1</v>
      </c>
      <c r="Q858" s="267">
        <f t="shared" si="335"/>
        <v>3593</v>
      </c>
      <c r="R858" s="23" t="str">
        <f t="shared" si="336"/>
        <v/>
      </c>
      <c r="S858" s="23">
        <f t="shared" si="337"/>
        <v>2255</v>
      </c>
      <c r="T858" s="23" t="str">
        <f t="shared" si="338"/>
        <v/>
      </c>
      <c r="U858" t="str">
        <f t="shared" si="339"/>
        <v/>
      </c>
      <c r="W858" s="290">
        <f t="shared" si="340"/>
        <v>30</v>
      </c>
      <c r="X858" s="298">
        <f t="shared" si="349"/>
        <v>614.76444444444451</v>
      </c>
      <c r="Y858" s="322">
        <f t="shared" si="341"/>
        <v>614.76444444444451</v>
      </c>
      <c r="Z858" s="299">
        <f t="shared" si="350"/>
        <v>74.081204305789939</v>
      </c>
      <c r="AA858" s="300">
        <f t="shared" si="342"/>
        <v>0.74081204305789938</v>
      </c>
      <c r="AB858" s="301">
        <f t="shared" si="343"/>
        <v>5396.56</v>
      </c>
      <c r="AC858" s="301">
        <f t="shared" si="344"/>
        <v>269828</v>
      </c>
      <c r="AD858" s="8">
        <f t="shared" si="348"/>
        <v>1349.14</v>
      </c>
      <c r="AE858" s="301" t="str">
        <f t="shared" si="345"/>
        <v/>
      </c>
      <c r="AF858" s="22" t="str">
        <f t="shared" si="346"/>
        <v>PA_Alleg_2019g</v>
      </c>
      <c r="AG858">
        <v>3</v>
      </c>
      <c r="AH858" s="272">
        <v>1487.3333333333333</v>
      </c>
      <c r="AI858" s="273">
        <v>998</v>
      </c>
      <c r="AJ858" s="274">
        <v>983</v>
      </c>
      <c r="AK858" s="339">
        <v>15</v>
      </c>
      <c r="AL858" s="340" t="s">
        <v>2258</v>
      </c>
      <c r="AM858" s="353">
        <f t="shared" si="347"/>
        <v>5.5590969061772682E-5</v>
      </c>
      <c r="AN858" s="361" t="s">
        <v>6944</v>
      </c>
      <c r="AO858" s="362" t="s">
        <v>6506</v>
      </c>
      <c r="AP858" s="23">
        <f t="shared" si="351"/>
        <v>0</v>
      </c>
      <c r="AQ858" s="392">
        <f t="shared" si="325"/>
        <v>0</v>
      </c>
      <c r="AR858" s="392">
        <f t="shared" si="326"/>
        <v>0</v>
      </c>
      <c r="AS858" s="392">
        <f t="shared" si="326"/>
        <v>0</v>
      </c>
    </row>
    <row r="859" spans="1:45">
      <c r="A859" t="str">
        <f t="shared" si="324"/>
        <v>CA_Orang_2020g~city of buena park member, city council, district 3 (vote 1)</v>
      </c>
      <c r="B859" s="55" t="s">
        <v>3536</v>
      </c>
      <c r="D859" s="55" t="s">
        <v>3755</v>
      </c>
      <c r="E859" s="55" t="s">
        <v>3758</v>
      </c>
      <c r="G859" s="60">
        <v>1338</v>
      </c>
      <c r="H859"/>
      <c r="J859">
        <v>7978</v>
      </c>
      <c r="N859">
        <v>619</v>
      </c>
      <c r="O859">
        <f t="shared" si="333"/>
        <v>3</v>
      </c>
      <c r="P859" s="57">
        <f t="shared" si="334"/>
        <v>1</v>
      </c>
      <c r="Q859" s="267">
        <f t="shared" si="335"/>
        <v>1338</v>
      </c>
      <c r="R859" s="23" t="str">
        <f t="shared" si="336"/>
        <v/>
      </c>
      <c r="S859" s="23">
        <f t="shared" si="337"/>
        <v>1338</v>
      </c>
      <c r="T859" s="23" t="str">
        <f t="shared" si="338"/>
        <v/>
      </c>
      <c r="U859" t="str">
        <f t="shared" si="339"/>
        <v/>
      </c>
      <c r="W859" s="290">
        <f t="shared" si="340"/>
        <v>31</v>
      </c>
      <c r="X859" s="298">
        <f t="shared" si="349"/>
        <v>594.27</v>
      </c>
      <c r="Y859" s="322">
        <f t="shared" si="341"/>
        <v>594.27</v>
      </c>
      <c r="Z859" s="299">
        <f t="shared" si="350"/>
        <v>81.872771873974315</v>
      </c>
      <c r="AA859" s="300">
        <f t="shared" si="342"/>
        <v>0.81872771873974315</v>
      </c>
      <c r="AB859" s="301">
        <f t="shared" si="343"/>
        <v>5396.56</v>
      </c>
      <c r="AC859" s="301">
        <f t="shared" si="344"/>
        <v>269828</v>
      </c>
      <c r="AD859" s="8">
        <f t="shared" si="348"/>
        <v>1349.14</v>
      </c>
      <c r="AE859" s="301" t="str">
        <f t="shared" si="345"/>
        <v/>
      </c>
      <c r="AF859" s="22" t="str">
        <f t="shared" si="346"/>
        <v>PA_Alleg_2019g</v>
      </c>
      <c r="AG859">
        <v>2</v>
      </c>
      <c r="AH859" s="272">
        <v>958.5</v>
      </c>
      <c r="AI859" s="273">
        <v>569</v>
      </c>
      <c r="AJ859" s="274">
        <v>559</v>
      </c>
      <c r="AK859" s="339">
        <v>10</v>
      </c>
      <c r="AL859" s="340" t="s">
        <v>2237</v>
      </c>
      <c r="AM859" s="353">
        <f t="shared" si="347"/>
        <v>3.7060646041181788E-5</v>
      </c>
      <c r="AN859" s="361" t="s">
        <v>6951</v>
      </c>
      <c r="AO859" s="362" t="s">
        <v>6506</v>
      </c>
      <c r="AP859" s="23">
        <f t="shared" si="351"/>
        <v>0</v>
      </c>
      <c r="AQ859" s="392">
        <f t="shared" si="325"/>
        <v>0</v>
      </c>
      <c r="AR859" s="392">
        <f t="shared" si="326"/>
        <v>0</v>
      </c>
      <c r="AS859" s="392">
        <f t="shared" si="326"/>
        <v>0</v>
      </c>
    </row>
    <row r="860" spans="1:45">
      <c r="A860" t="str">
        <f t="shared" si="324"/>
        <v>CA_Orang_2020g~city of buena park member, city council, district 4 (vote 1)</v>
      </c>
      <c r="B860" s="55" t="s">
        <v>3536</v>
      </c>
      <c r="D860" s="55" t="s">
        <v>3759</v>
      </c>
      <c r="E860" s="55" t="s">
        <v>3761</v>
      </c>
      <c r="G860" s="60">
        <v>4087</v>
      </c>
      <c r="H860"/>
      <c r="J860">
        <v>7826</v>
      </c>
      <c r="N860">
        <v>911</v>
      </c>
      <c r="O860">
        <f t="shared" si="333"/>
        <v>1</v>
      </c>
      <c r="P860" s="57">
        <f t="shared" si="334"/>
        <v>1</v>
      </c>
      <c r="Q860" s="267">
        <f t="shared" si="335"/>
        <v>6884</v>
      </c>
      <c r="R860" s="23">
        <f t="shared" si="336"/>
        <v>4087</v>
      </c>
      <c r="S860" s="23">
        <f t="shared" si="337"/>
        <v>2797</v>
      </c>
      <c r="T860" s="23">
        <f t="shared" si="338"/>
        <v>1290</v>
      </c>
      <c r="U860" t="str">
        <f t="shared" si="339"/>
        <v>CA_Orang_2020g~city of buena park member, city council, district 4 (vote 1)</v>
      </c>
      <c r="W860" s="290">
        <f t="shared" si="340"/>
        <v>32</v>
      </c>
      <c r="X860" s="291">
        <f t="shared" si="349"/>
        <v>517.69999999999993</v>
      </c>
      <c r="Y860" s="322">
        <f t="shared" si="341"/>
        <v>517.69999999999993</v>
      </c>
      <c r="Z860" s="292">
        <f t="shared" si="350"/>
        <v>78.662366293031454</v>
      </c>
      <c r="AA860" s="293">
        <f t="shared" si="342"/>
        <v>0.7866236629303146</v>
      </c>
      <c r="AB860" s="294">
        <f t="shared" si="343"/>
        <v>5396.56</v>
      </c>
      <c r="AC860" s="294">
        <f t="shared" si="344"/>
        <v>269828</v>
      </c>
      <c r="AD860" s="8">
        <f t="shared" si="348"/>
        <v>1349.14</v>
      </c>
      <c r="AE860" s="294" t="str">
        <f t="shared" si="345"/>
        <v/>
      </c>
      <c r="AF860" s="22" t="str">
        <f t="shared" si="346"/>
        <v>PA_Alleg_2019g</v>
      </c>
      <c r="AG860">
        <v>1</v>
      </c>
      <c r="AH860" s="272">
        <v>1002</v>
      </c>
      <c r="AI860" s="273">
        <v>507</v>
      </c>
      <c r="AJ860" s="274">
        <v>495</v>
      </c>
      <c r="AK860" s="339">
        <v>12</v>
      </c>
      <c r="AL860" s="340" t="s">
        <v>2248</v>
      </c>
      <c r="AM860" s="353">
        <f t="shared" si="347"/>
        <v>4.4472775249418145E-5</v>
      </c>
      <c r="AN860" s="361" t="s">
        <v>6948</v>
      </c>
      <c r="AO860" s="362" t="s">
        <v>6506</v>
      </c>
      <c r="AP860" s="23">
        <f t="shared" si="351"/>
        <v>0</v>
      </c>
      <c r="AQ860" s="392">
        <f t="shared" si="325"/>
        <v>0</v>
      </c>
      <c r="AR860" s="392">
        <f t="shared" si="326"/>
        <v>0</v>
      </c>
      <c r="AS860" s="392">
        <f t="shared" si="326"/>
        <v>0</v>
      </c>
    </row>
    <row r="861" spans="1:45">
      <c r="A861" t="str">
        <f t="shared" si="324"/>
        <v>CA_Orang_2020g~city of buena park member, city council, district 4 (vote 1)</v>
      </c>
      <c r="B861" s="55" t="s">
        <v>3536</v>
      </c>
      <c r="D861" s="55" t="s">
        <v>3759</v>
      </c>
      <c r="E861" s="55" t="s">
        <v>3760</v>
      </c>
      <c r="G861" s="60">
        <v>2797</v>
      </c>
      <c r="H861"/>
      <c r="J861">
        <v>7826</v>
      </c>
      <c r="N861">
        <v>911</v>
      </c>
      <c r="O861">
        <f t="shared" si="333"/>
        <v>2</v>
      </c>
      <c r="P861" s="57">
        <f t="shared" si="334"/>
        <v>1</v>
      </c>
      <c r="Q861" s="267">
        <f t="shared" si="335"/>
        <v>2797</v>
      </c>
      <c r="R861" s="23" t="str">
        <f t="shared" si="336"/>
        <v/>
      </c>
      <c r="S861" s="23">
        <f t="shared" si="337"/>
        <v>2797</v>
      </c>
      <c r="T861" s="23" t="str">
        <f t="shared" si="338"/>
        <v/>
      </c>
      <c r="U861" t="str">
        <f t="shared" si="339"/>
        <v/>
      </c>
      <c r="W861" s="290">
        <f t="shared" si="340"/>
        <v>33</v>
      </c>
      <c r="X861" s="298">
        <f t="shared" si="349"/>
        <v>515.63333333333333</v>
      </c>
      <c r="Y861" s="322">
        <f t="shared" si="341"/>
        <v>515.63333333333333</v>
      </c>
      <c r="Z861" s="299">
        <f t="shared" si="350"/>
        <v>78.662366293031454</v>
      </c>
      <c r="AA861" s="300">
        <f t="shared" si="342"/>
        <v>0.7866236629303146</v>
      </c>
      <c r="AB861" s="301">
        <f t="shared" si="343"/>
        <v>5396.56</v>
      </c>
      <c r="AC861" s="301">
        <f t="shared" si="344"/>
        <v>269828</v>
      </c>
      <c r="AD861" s="8">
        <f t="shared" si="348"/>
        <v>1349.14</v>
      </c>
      <c r="AE861" s="301" t="str">
        <f t="shared" si="345"/>
        <v/>
      </c>
      <c r="AF861" s="22" t="str">
        <f t="shared" si="346"/>
        <v>PA_Alleg_2019g</v>
      </c>
      <c r="AG861">
        <v>1</v>
      </c>
      <c r="AH861" s="272">
        <v>998</v>
      </c>
      <c r="AI861" s="273">
        <v>505</v>
      </c>
      <c r="AJ861" s="274">
        <v>493</v>
      </c>
      <c r="AK861" s="339">
        <v>12</v>
      </c>
      <c r="AL861" s="344" t="s">
        <v>2251</v>
      </c>
      <c r="AM861" s="353">
        <f t="shared" si="347"/>
        <v>4.4472775249418145E-5</v>
      </c>
      <c r="AN861" s="361" t="s">
        <v>6949</v>
      </c>
      <c r="AO861" s="362" t="s">
        <v>6506</v>
      </c>
      <c r="AP861" s="23">
        <f t="shared" si="351"/>
        <v>0</v>
      </c>
      <c r="AQ861" s="392">
        <f t="shared" si="325"/>
        <v>0</v>
      </c>
      <c r="AR861" s="392">
        <f t="shared" si="326"/>
        <v>0</v>
      </c>
      <c r="AS861" s="392">
        <f t="shared" si="326"/>
        <v>0</v>
      </c>
    </row>
    <row r="862" spans="1:45">
      <c r="A862" t="str">
        <f t="shared" si="324"/>
        <v>CA_Orang_2020g~city of costa mesa  member, city council, district 2 (vote 1)</v>
      </c>
      <c r="B862" s="55" t="s">
        <v>3536</v>
      </c>
      <c r="D862" s="55" t="s">
        <v>3772</v>
      </c>
      <c r="E862" s="55" t="s">
        <v>3773</v>
      </c>
      <c r="G862" s="60">
        <v>3962</v>
      </c>
      <c r="H862"/>
      <c r="J862">
        <v>9264</v>
      </c>
      <c r="N862">
        <v>1188</v>
      </c>
      <c r="O862">
        <f t="shared" si="333"/>
        <v>1</v>
      </c>
      <c r="P862" s="57">
        <f t="shared" si="334"/>
        <v>1</v>
      </c>
      <c r="Q862" s="267">
        <f t="shared" si="335"/>
        <v>8027</v>
      </c>
      <c r="R862" s="23">
        <f t="shared" si="336"/>
        <v>3962</v>
      </c>
      <c r="S862" s="23">
        <f t="shared" si="337"/>
        <v>2436</v>
      </c>
      <c r="T862" s="23">
        <f t="shared" si="338"/>
        <v>1526</v>
      </c>
      <c r="U862" t="str">
        <f t="shared" si="339"/>
        <v>CA_Orang_2020g~city of costa mesa  member, city council, district 2 (vote 1)</v>
      </c>
      <c r="W862" s="290">
        <f t="shared" si="340"/>
        <v>34</v>
      </c>
      <c r="X862" s="298">
        <f t="shared" si="349"/>
        <v>509</v>
      </c>
      <c r="Y862" s="322">
        <f t="shared" si="341"/>
        <v>509</v>
      </c>
      <c r="Z862" s="299">
        <f t="shared" si="350"/>
        <v>94.176421946018834</v>
      </c>
      <c r="AA862" s="300">
        <f t="shared" si="342"/>
        <v>0.9417642194601884</v>
      </c>
      <c r="AB862" s="301">
        <f t="shared" si="343"/>
        <v>5396.56</v>
      </c>
      <c r="AC862" s="301">
        <f t="shared" si="344"/>
        <v>269828</v>
      </c>
      <c r="AD862" s="8">
        <f t="shared" si="348"/>
        <v>1349.14</v>
      </c>
      <c r="AE862" s="301" t="str">
        <f t="shared" si="345"/>
        <v/>
      </c>
      <c r="AF862" s="22" t="str">
        <f t="shared" si="346"/>
        <v>PA_Alleg_2019g</v>
      </c>
      <c r="AG862">
        <v>2</v>
      </c>
      <c r="AH862" s="272">
        <v>509</v>
      </c>
      <c r="AI862" s="273">
        <v>224</v>
      </c>
      <c r="AJ862" s="274">
        <v>221</v>
      </c>
      <c r="AK862" s="339">
        <v>3</v>
      </c>
      <c r="AL862" s="340" t="s">
        <v>2195</v>
      </c>
      <c r="AM862" s="353">
        <f t="shared" si="347"/>
        <v>1.1118193812354536E-5</v>
      </c>
      <c r="AN862" s="361" t="s">
        <v>6526</v>
      </c>
      <c r="AO862" s="362" t="s">
        <v>6506</v>
      </c>
      <c r="AP862" s="23">
        <f t="shared" si="351"/>
        <v>0</v>
      </c>
      <c r="AQ862" s="392">
        <f t="shared" si="325"/>
        <v>0</v>
      </c>
      <c r="AR862" s="392">
        <f t="shared" si="326"/>
        <v>0</v>
      </c>
      <c r="AS862" s="392">
        <f t="shared" si="326"/>
        <v>0</v>
      </c>
    </row>
    <row r="863" spans="1:45">
      <c r="A863" t="str">
        <f t="shared" si="324"/>
        <v>CA_Orang_2020g~city of costa mesa  member, city council, district 2 (vote 1)</v>
      </c>
      <c r="B863" s="55" t="s">
        <v>3536</v>
      </c>
      <c r="D863" s="55" t="s">
        <v>3772</v>
      </c>
      <c r="E863" s="55" t="s">
        <v>3529</v>
      </c>
      <c r="G863" s="60">
        <v>2436</v>
      </c>
      <c r="H863"/>
      <c r="J863">
        <v>9264</v>
      </c>
      <c r="N863">
        <v>1188</v>
      </c>
      <c r="O863">
        <f t="shared" si="333"/>
        <v>2</v>
      </c>
      <c r="P863" s="57">
        <f t="shared" si="334"/>
        <v>1</v>
      </c>
      <c r="Q863" s="267">
        <f t="shared" si="335"/>
        <v>4065</v>
      </c>
      <c r="R863" s="23" t="str">
        <f t="shared" si="336"/>
        <v/>
      </c>
      <c r="S863" s="23">
        <f t="shared" si="337"/>
        <v>2436</v>
      </c>
      <c r="T863" s="23" t="str">
        <f t="shared" si="338"/>
        <v/>
      </c>
      <c r="U863" t="str">
        <f t="shared" si="339"/>
        <v/>
      </c>
      <c r="W863" s="290">
        <f t="shared" si="340"/>
        <v>35</v>
      </c>
      <c r="X863" s="298">
        <f t="shared" si="349"/>
        <v>507.24509803921575</v>
      </c>
      <c r="Y863" s="322">
        <f t="shared" si="341"/>
        <v>507.24509803921575</v>
      </c>
      <c r="Z863" s="299">
        <f t="shared" si="350"/>
        <v>36.056017801260197</v>
      </c>
      <c r="AA863" s="300">
        <f t="shared" si="342"/>
        <v>0.36056017801260198</v>
      </c>
      <c r="AB863" s="301">
        <f t="shared" si="343"/>
        <v>5396.56</v>
      </c>
      <c r="AC863" s="301">
        <f t="shared" si="344"/>
        <v>269828</v>
      </c>
      <c r="AD863" s="8">
        <f t="shared" si="348"/>
        <v>1349.14</v>
      </c>
      <c r="AE863" s="301" t="str">
        <f t="shared" si="345"/>
        <v/>
      </c>
      <c r="AF863" s="22" t="str">
        <f t="shared" si="346"/>
        <v>PA_Alleg_2019g</v>
      </c>
      <c r="AG863">
        <v>2</v>
      </c>
      <c r="AH863" s="272">
        <v>4172.5</v>
      </c>
      <c r="AI863" s="273">
        <v>2119</v>
      </c>
      <c r="AJ863" s="274">
        <v>2068</v>
      </c>
      <c r="AK863" s="339">
        <v>51</v>
      </c>
      <c r="AL863" s="340" t="s">
        <v>2245</v>
      </c>
      <c r="AM863" s="353">
        <f t="shared" si="347"/>
        <v>1.8900929481002713E-4</v>
      </c>
      <c r="AN863" s="361" t="s">
        <v>6927</v>
      </c>
      <c r="AO863" s="362" t="s">
        <v>6506</v>
      </c>
      <c r="AP863" s="23">
        <f t="shared" si="351"/>
        <v>0</v>
      </c>
      <c r="AQ863" s="392">
        <f t="shared" si="325"/>
        <v>0</v>
      </c>
      <c r="AR863" s="392">
        <f t="shared" si="326"/>
        <v>0</v>
      </c>
      <c r="AS863" s="392">
        <f t="shared" si="326"/>
        <v>0</v>
      </c>
    </row>
    <row r="864" spans="1:45">
      <c r="A864" t="str">
        <f t="shared" si="324"/>
        <v>CA_Orang_2020g~city of costa mesa  member, city council, district 2 (vote 1)</v>
      </c>
      <c r="B864" s="55" t="s">
        <v>3536</v>
      </c>
      <c r="D864" s="55" t="s">
        <v>3772</v>
      </c>
      <c r="E864" s="55" t="s">
        <v>3774</v>
      </c>
      <c r="G864" s="60">
        <v>1629</v>
      </c>
      <c r="H864"/>
      <c r="J864">
        <v>9264</v>
      </c>
      <c r="N864">
        <v>1188</v>
      </c>
      <c r="O864">
        <f t="shared" si="333"/>
        <v>3</v>
      </c>
      <c r="P864" s="57">
        <f t="shared" si="334"/>
        <v>1</v>
      </c>
      <c r="Q864" s="267">
        <f t="shared" si="335"/>
        <v>1629</v>
      </c>
      <c r="R864" s="23" t="str">
        <f t="shared" si="336"/>
        <v/>
      </c>
      <c r="S864" s="23">
        <f t="shared" si="337"/>
        <v>1629</v>
      </c>
      <c r="T864" s="23" t="str">
        <f t="shared" si="338"/>
        <v/>
      </c>
      <c r="U864" t="str">
        <f t="shared" si="339"/>
        <v/>
      </c>
      <c r="W864" s="290">
        <f t="shared" si="340"/>
        <v>36</v>
      </c>
      <c r="X864" s="298">
        <f t="shared" si="349"/>
        <v>505</v>
      </c>
      <c r="Y864" s="322">
        <f t="shared" si="341"/>
        <v>505</v>
      </c>
      <c r="Z864" s="299">
        <f t="shared" si="350"/>
        <v>96.078929672199138</v>
      </c>
      <c r="AA864" s="300">
        <f t="shared" si="342"/>
        <v>0.96078929672199143</v>
      </c>
      <c r="AB864" s="301">
        <f t="shared" si="343"/>
        <v>5396.56</v>
      </c>
      <c r="AC864" s="301">
        <f t="shared" si="344"/>
        <v>269828</v>
      </c>
      <c r="AD864" s="8">
        <f t="shared" si="348"/>
        <v>1349.14</v>
      </c>
      <c r="AE864" s="301" t="str">
        <f t="shared" si="345"/>
        <v/>
      </c>
      <c r="AF864" s="22" t="str">
        <f t="shared" si="346"/>
        <v>PA_Alleg_2019g</v>
      </c>
      <c r="AG864">
        <v>1</v>
      </c>
      <c r="AH864" s="272">
        <v>505</v>
      </c>
      <c r="AI864" s="273">
        <v>248</v>
      </c>
      <c r="AJ864" s="274">
        <v>246</v>
      </c>
      <c r="AK864" s="339">
        <v>2</v>
      </c>
      <c r="AL864" s="340" t="s">
        <v>2230</v>
      </c>
      <c r="AM864" s="353">
        <f t="shared" si="347"/>
        <v>7.4121292082363576E-6</v>
      </c>
      <c r="AN864" s="361" t="s">
        <v>6958</v>
      </c>
      <c r="AO864" s="362" t="s">
        <v>6506</v>
      </c>
      <c r="AP864" s="23">
        <f t="shared" si="351"/>
        <v>0</v>
      </c>
      <c r="AQ864" s="392">
        <f t="shared" si="325"/>
        <v>0</v>
      </c>
      <c r="AR864" s="392">
        <f t="shared" si="326"/>
        <v>0</v>
      </c>
      <c r="AS864" s="392">
        <f t="shared" si="326"/>
        <v>0</v>
      </c>
    </row>
    <row r="865" spans="1:45">
      <c r="A865" t="str">
        <f t="shared" si="324"/>
        <v>CA_Orang_2020g~city of costa mesa mayor (vote 1)</v>
      </c>
      <c r="B865" s="55" t="s">
        <v>3536</v>
      </c>
      <c r="D865" s="55" t="s">
        <v>3762</v>
      </c>
      <c r="E865" s="55" t="s">
        <v>3764</v>
      </c>
      <c r="G865" s="60">
        <v>25833</v>
      </c>
      <c r="H865"/>
      <c r="J865">
        <v>54122</v>
      </c>
      <c r="N865">
        <v>4437</v>
      </c>
      <c r="O865">
        <f t="shared" si="333"/>
        <v>1</v>
      </c>
      <c r="P865" s="57">
        <f t="shared" si="334"/>
        <v>1</v>
      </c>
      <c r="Q865" s="267">
        <f t="shared" si="335"/>
        <v>49467</v>
      </c>
      <c r="R865" s="23">
        <f t="shared" si="336"/>
        <v>25833</v>
      </c>
      <c r="S865" s="23">
        <f t="shared" si="337"/>
        <v>11158</v>
      </c>
      <c r="T865" s="23">
        <f t="shared" si="338"/>
        <v>14675</v>
      </c>
      <c r="U865" t="str">
        <f t="shared" si="339"/>
        <v>CA_Orang_2020g~city of costa mesa mayor (vote 1)</v>
      </c>
      <c r="W865" s="290">
        <f t="shared" si="340"/>
        <v>37</v>
      </c>
      <c r="X865" s="298">
        <f t="shared" si="349"/>
        <v>466.03333333333336</v>
      </c>
      <c r="Y865" s="322">
        <f t="shared" si="341"/>
        <v>466.03333333333336</v>
      </c>
      <c r="Z865" s="299">
        <f t="shared" si="350"/>
        <v>78.662366293031454</v>
      </c>
      <c r="AA865" s="300">
        <f t="shared" si="342"/>
        <v>0.7866236629303146</v>
      </c>
      <c r="AB865" s="301">
        <f t="shared" si="343"/>
        <v>5396.56</v>
      </c>
      <c r="AC865" s="301">
        <f t="shared" si="344"/>
        <v>269828</v>
      </c>
      <c r="AD865" s="8">
        <f t="shared" si="348"/>
        <v>1349.14</v>
      </c>
      <c r="AE865" s="301" t="str">
        <f t="shared" si="345"/>
        <v/>
      </c>
      <c r="AF865" s="22" t="str">
        <f t="shared" si="346"/>
        <v>PA_Alleg_2019g</v>
      </c>
      <c r="AG865">
        <v>1</v>
      </c>
      <c r="AH865" s="272">
        <v>902</v>
      </c>
      <c r="AI865" s="273">
        <v>457</v>
      </c>
      <c r="AJ865" s="274">
        <v>445</v>
      </c>
      <c r="AK865" s="339">
        <v>12</v>
      </c>
      <c r="AL865" s="340" t="s">
        <v>2205</v>
      </c>
      <c r="AM865" s="353">
        <f t="shared" si="347"/>
        <v>4.4472775249418145E-5</v>
      </c>
      <c r="AN865" s="361" t="s">
        <v>6950</v>
      </c>
      <c r="AO865" s="362" t="s">
        <v>6506</v>
      </c>
      <c r="AP865" s="23">
        <f t="shared" si="351"/>
        <v>0</v>
      </c>
      <c r="AQ865" s="392">
        <f t="shared" si="325"/>
        <v>0</v>
      </c>
      <c r="AR865" s="392">
        <f t="shared" si="326"/>
        <v>0</v>
      </c>
      <c r="AS865" s="392">
        <f t="shared" si="326"/>
        <v>0</v>
      </c>
    </row>
    <row r="866" spans="1:45">
      <c r="A866" t="str">
        <f t="shared" si="324"/>
        <v>CA_Orang_2020g~city of costa mesa mayor (vote 1)</v>
      </c>
      <c r="B866" s="55" t="s">
        <v>3536</v>
      </c>
      <c r="D866" s="55" t="s">
        <v>3762</v>
      </c>
      <c r="E866" s="55" t="s">
        <v>3767</v>
      </c>
      <c r="G866" s="60">
        <v>11158</v>
      </c>
      <c r="H866"/>
      <c r="J866">
        <v>54122</v>
      </c>
      <c r="N866">
        <v>4437</v>
      </c>
      <c r="O866">
        <f t="shared" si="333"/>
        <v>2</v>
      </c>
      <c r="P866" s="57">
        <f t="shared" si="334"/>
        <v>1</v>
      </c>
      <c r="Q866" s="267">
        <f t="shared" si="335"/>
        <v>23634</v>
      </c>
      <c r="R866" s="23" t="str">
        <f t="shared" si="336"/>
        <v/>
      </c>
      <c r="S866" s="23">
        <f t="shared" si="337"/>
        <v>11158</v>
      </c>
      <c r="T866" s="23" t="str">
        <f t="shared" si="338"/>
        <v/>
      </c>
      <c r="U866" t="str">
        <f t="shared" si="339"/>
        <v/>
      </c>
      <c r="W866" s="290">
        <f t="shared" si="340"/>
        <v>38</v>
      </c>
      <c r="X866" s="298">
        <f t="shared" si="349"/>
        <v>440.33333333333331</v>
      </c>
      <c r="Y866" s="322">
        <f t="shared" si="341"/>
        <v>440.33333333333331</v>
      </c>
      <c r="Z866" s="299">
        <f t="shared" si="350"/>
        <v>90.483657967960482</v>
      </c>
      <c r="AA866" s="300">
        <f t="shared" si="342"/>
        <v>0.90483657967960485</v>
      </c>
      <c r="AB866" s="301">
        <f t="shared" si="343"/>
        <v>5396.56</v>
      </c>
      <c r="AC866" s="301">
        <f t="shared" si="344"/>
        <v>269828</v>
      </c>
      <c r="AD866" s="8">
        <f t="shared" si="348"/>
        <v>1349.14</v>
      </c>
      <c r="AE866" s="301" t="str">
        <f t="shared" si="345"/>
        <v/>
      </c>
      <c r="AF866" s="22" t="str">
        <f t="shared" si="346"/>
        <v>PA_Alleg_2019g</v>
      </c>
      <c r="AG866">
        <v>3</v>
      </c>
      <c r="AH866" s="272">
        <v>440.33333333333331</v>
      </c>
      <c r="AI866" s="273">
        <v>239</v>
      </c>
      <c r="AJ866" s="274">
        <v>234</v>
      </c>
      <c r="AK866" s="339">
        <v>5</v>
      </c>
      <c r="AL866" s="340" t="s">
        <v>2253</v>
      </c>
      <c r="AM866" s="353">
        <f t="shared" si="347"/>
        <v>1.8530323020590894E-5</v>
      </c>
      <c r="AN866" s="361" t="s">
        <v>6953</v>
      </c>
      <c r="AO866" s="362" t="s">
        <v>6506</v>
      </c>
      <c r="AP866" s="23">
        <f t="shared" si="351"/>
        <v>0</v>
      </c>
      <c r="AQ866" s="392">
        <f t="shared" si="325"/>
        <v>0</v>
      </c>
      <c r="AR866" s="392">
        <f t="shared" si="326"/>
        <v>0</v>
      </c>
      <c r="AS866" s="392">
        <f t="shared" si="326"/>
        <v>0</v>
      </c>
    </row>
    <row r="867" spans="1:45">
      <c r="A867" t="str">
        <f t="shared" si="324"/>
        <v>CA_Orang_2020g~city of costa mesa mayor (vote 1)</v>
      </c>
      <c r="B867" s="55" t="s">
        <v>3536</v>
      </c>
      <c r="D867" s="55" t="s">
        <v>3762</v>
      </c>
      <c r="E867" s="55" t="s">
        <v>3766</v>
      </c>
      <c r="G867" s="60">
        <v>5751</v>
      </c>
      <c r="H867"/>
      <c r="J867">
        <v>54122</v>
      </c>
      <c r="N867">
        <v>4437</v>
      </c>
      <c r="O867">
        <f t="shared" si="333"/>
        <v>3</v>
      </c>
      <c r="P867" s="57">
        <f t="shared" si="334"/>
        <v>1</v>
      </c>
      <c r="Q867" s="267">
        <f t="shared" si="335"/>
        <v>12476</v>
      </c>
      <c r="R867" s="23" t="str">
        <f t="shared" si="336"/>
        <v/>
      </c>
      <c r="S867" s="23">
        <f t="shared" si="337"/>
        <v>5751</v>
      </c>
      <c r="T867" s="23" t="str">
        <f t="shared" si="338"/>
        <v/>
      </c>
      <c r="U867" t="str">
        <f t="shared" si="339"/>
        <v/>
      </c>
      <c r="W867" s="290">
        <f t="shared" si="340"/>
        <v>39</v>
      </c>
      <c r="X867" s="298">
        <f t="shared" si="349"/>
        <v>410.26896551724138</v>
      </c>
      <c r="Y867" s="322">
        <f t="shared" si="341"/>
        <v>410.26896551724138</v>
      </c>
      <c r="Z867" s="299">
        <f t="shared" si="350"/>
        <v>55.988091467271609</v>
      </c>
      <c r="AA867" s="300">
        <f t="shared" si="342"/>
        <v>0.55988091467271606</v>
      </c>
      <c r="AB867" s="301">
        <f t="shared" si="343"/>
        <v>5396.56</v>
      </c>
      <c r="AC867" s="301">
        <f t="shared" si="344"/>
        <v>269828</v>
      </c>
      <c r="AD867" s="8">
        <f t="shared" si="348"/>
        <v>1349.14</v>
      </c>
      <c r="AE867" s="301" t="str">
        <f t="shared" si="345"/>
        <v/>
      </c>
      <c r="AF867" s="22" t="str">
        <f t="shared" si="346"/>
        <v>PA_Alleg_2019g</v>
      </c>
      <c r="AG867">
        <v>3</v>
      </c>
      <c r="AH867" s="272">
        <v>1919</v>
      </c>
      <c r="AI867" s="273">
        <v>989</v>
      </c>
      <c r="AJ867" s="274">
        <v>960</v>
      </c>
      <c r="AK867" s="339">
        <v>29</v>
      </c>
      <c r="AL867" s="340" t="s">
        <v>2271</v>
      </c>
      <c r="AM867" s="353">
        <f t="shared" si="347"/>
        <v>1.0747587351942718E-4</v>
      </c>
      <c r="AN867" s="361" t="s">
        <v>6940</v>
      </c>
      <c r="AO867" s="362" t="s">
        <v>6506</v>
      </c>
      <c r="AP867" s="23">
        <f t="shared" si="351"/>
        <v>0</v>
      </c>
      <c r="AQ867" s="392">
        <f t="shared" si="325"/>
        <v>0</v>
      </c>
      <c r="AR867" s="392">
        <f t="shared" si="326"/>
        <v>0</v>
      </c>
      <c r="AS867" s="392">
        <f t="shared" si="326"/>
        <v>0</v>
      </c>
    </row>
    <row r="868" spans="1:45">
      <c r="A868" t="str">
        <f t="shared" si="324"/>
        <v>CA_Orang_2020g~city of costa mesa mayor (vote 1)</v>
      </c>
      <c r="B868" s="55" t="s">
        <v>3536</v>
      </c>
      <c r="D868" s="55" t="s">
        <v>3762</v>
      </c>
      <c r="E868" s="55" t="s">
        <v>3765</v>
      </c>
      <c r="G868" s="60">
        <v>5161</v>
      </c>
      <c r="H868"/>
      <c r="J868">
        <v>54122</v>
      </c>
      <c r="N868">
        <v>4437</v>
      </c>
      <c r="O868">
        <f t="shared" si="333"/>
        <v>4</v>
      </c>
      <c r="P868" s="57">
        <f t="shared" si="334"/>
        <v>1</v>
      </c>
      <c r="Q868" s="267">
        <f t="shared" si="335"/>
        <v>6725</v>
      </c>
      <c r="R868" s="23" t="str">
        <f t="shared" si="336"/>
        <v/>
      </c>
      <c r="S868" s="23">
        <f t="shared" si="337"/>
        <v>5161</v>
      </c>
      <c r="T868" s="23" t="str">
        <f t="shared" si="338"/>
        <v/>
      </c>
      <c r="U868" t="str">
        <f t="shared" si="339"/>
        <v/>
      </c>
      <c r="W868" s="290">
        <f t="shared" si="340"/>
        <v>40</v>
      </c>
      <c r="X868" s="298">
        <f t="shared" si="349"/>
        <v>401</v>
      </c>
      <c r="Y868" s="322">
        <f t="shared" si="341"/>
        <v>401</v>
      </c>
      <c r="Z868" s="299">
        <f t="shared" si="350"/>
        <v>98.019863698000833</v>
      </c>
      <c r="AA868" s="300">
        <f t="shared" si="342"/>
        <v>0.98019863698000831</v>
      </c>
      <c r="AB868" s="301">
        <f t="shared" si="343"/>
        <v>5396.56</v>
      </c>
      <c r="AC868" s="301">
        <f t="shared" si="344"/>
        <v>269828</v>
      </c>
      <c r="AD868" s="8">
        <f t="shared" si="348"/>
        <v>1349.14</v>
      </c>
      <c r="AE868" s="301" t="str">
        <f t="shared" si="345"/>
        <v/>
      </c>
      <c r="AF868" s="22" t="str">
        <f t="shared" si="346"/>
        <v>PA_Alleg_2019g</v>
      </c>
      <c r="AG868">
        <v>1</v>
      </c>
      <c r="AH868" s="272">
        <v>401</v>
      </c>
      <c r="AI868" s="273">
        <v>201</v>
      </c>
      <c r="AJ868" s="274">
        <v>200</v>
      </c>
      <c r="AK868" s="339">
        <v>1</v>
      </c>
      <c r="AL868" s="340" t="s">
        <v>2324</v>
      </c>
      <c r="AM868" s="353">
        <f t="shared" si="347"/>
        <v>3.7060646041181788E-6</v>
      </c>
      <c r="AN868" s="361" t="s">
        <v>6960</v>
      </c>
      <c r="AO868" s="362" t="s">
        <v>6506</v>
      </c>
      <c r="AP868" s="23">
        <f t="shared" si="351"/>
        <v>0</v>
      </c>
      <c r="AQ868" s="392">
        <f t="shared" si="325"/>
        <v>0</v>
      </c>
      <c r="AR868" s="392">
        <f t="shared" si="326"/>
        <v>0</v>
      </c>
      <c r="AS868" s="392">
        <f t="shared" si="326"/>
        <v>0</v>
      </c>
    </row>
    <row r="869" spans="1:45">
      <c r="A869" t="str">
        <f t="shared" si="324"/>
        <v>CA_Orang_2020g~city of costa mesa mayor (vote 1)</v>
      </c>
      <c r="B869" s="55" t="s">
        <v>3536</v>
      </c>
      <c r="D869" s="55" t="s">
        <v>3762</v>
      </c>
      <c r="E869" s="55" t="s">
        <v>3763</v>
      </c>
      <c r="G869" s="60">
        <v>1564</v>
      </c>
      <c r="H869"/>
      <c r="J869">
        <v>54122</v>
      </c>
      <c r="N869">
        <v>4437</v>
      </c>
      <c r="O869">
        <f t="shared" si="333"/>
        <v>5</v>
      </c>
      <c r="P869" s="57">
        <f t="shared" si="334"/>
        <v>1</v>
      </c>
      <c r="Q869" s="267">
        <f t="shared" si="335"/>
        <v>1564</v>
      </c>
      <c r="R869" s="23" t="str">
        <f t="shared" si="336"/>
        <v/>
      </c>
      <c r="S869" s="23">
        <f t="shared" si="337"/>
        <v>1564</v>
      </c>
      <c r="T869" s="23" t="str">
        <f t="shared" si="338"/>
        <v/>
      </c>
      <c r="U869" t="str">
        <f t="shared" si="339"/>
        <v/>
      </c>
      <c r="W869" s="290">
        <f t="shared" si="340"/>
        <v>41</v>
      </c>
      <c r="X869" s="298">
        <f t="shared" si="349"/>
        <v>373.66666666666669</v>
      </c>
      <c r="Y869" s="322">
        <f t="shared" si="341"/>
        <v>373.66666666666669</v>
      </c>
      <c r="Z869" s="299">
        <f t="shared" si="350"/>
        <v>92.311579900074491</v>
      </c>
      <c r="AA869" s="300">
        <f t="shared" si="342"/>
        <v>0.92311579900074492</v>
      </c>
      <c r="AB869" s="301">
        <f t="shared" si="343"/>
        <v>5396.56</v>
      </c>
      <c r="AC869" s="301">
        <f t="shared" si="344"/>
        <v>269828</v>
      </c>
      <c r="AD869" s="8">
        <f t="shared" si="348"/>
        <v>1349.14</v>
      </c>
      <c r="AE869" s="301" t="str">
        <f t="shared" si="345"/>
        <v/>
      </c>
      <c r="AF869" s="22" t="str">
        <f t="shared" si="346"/>
        <v>PA_Alleg_2019g</v>
      </c>
      <c r="AG869">
        <v>3</v>
      </c>
      <c r="AH869" s="272">
        <v>373.66666666666669</v>
      </c>
      <c r="AI869" s="273">
        <v>208</v>
      </c>
      <c r="AJ869" s="274">
        <v>204</v>
      </c>
      <c r="AK869" s="339">
        <v>4</v>
      </c>
      <c r="AL869" s="340" t="s">
        <v>2201</v>
      </c>
      <c r="AM869" s="353">
        <f t="shared" si="347"/>
        <v>1.4824258416472715E-5</v>
      </c>
      <c r="AN869" s="361" t="s">
        <v>6954</v>
      </c>
      <c r="AO869" s="362" t="s">
        <v>6506</v>
      </c>
      <c r="AP869" s="23">
        <f t="shared" si="351"/>
        <v>0</v>
      </c>
      <c r="AQ869" s="392">
        <f t="shared" si="325"/>
        <v>0</v>
      </c>
      <c r="AR869" s="392">
        <f t="shared" si="326"/>
        <v>0</v>
      </c>
      <c r="AS869" s="392">
        <f t="shared" si="326"/>
        <v>0</v>
      </c>
    </row>
    <row r="870" spans="1:45">
      <c r="A870" t="str">
        <f t="shared" ref="A870:A933" si="352">CONCATENATE(B870,"~",LOWER(D870),IF(RIGHT(D870,1)=")",""," (vote 1)"))</f>
        <v>CA_Orang_2020g~city of costa mesa member, city council, district 1 (vote 1)</v>
      </c>
      <c r="B870" s="55" t="s">
        <v>3536</v>
      </c>
      <c r="D870" s="55" t="s">
        <v>3768</v>
      </c>
      <c r="E870" s="55" t="s">
        <v>3770</v>
      </c>
      <c r="G870" s="60">
        <v>4437</v>
      </c>
      <c r="H870"/>
      <c r="J870">
        <v>11444</v>
      </c>
      <c r="N870">
        <v>1218</v>
      </c>
      <c r="O870">
        <f t="shared" si="333"/>
        <v>1</v>
      </c>
      <c r="P870" s="57">
        <f t="shared" si="334"/>
        <v>1</v>
      </c>
      <c r="Q870" s="267">
        <f t="shared" si="335"/>
        <v>10191</v>
      </c>
      <c r="R870" s="23">
        <f t="shared" si="336"/>
        <v>4437</v>
      </c>
      <c r="S870" s="23">
        <f t="shared" si="337"/>
        <v>4114</v>
      </c>
      <c r="T870" s="23">
        <f t="shared" si="338"/>
        <v>323</v>
      </c>
      <c r="U870" t="str">
        <f t="shared" si="339"/>
        <v>CA_Orang_2020g~city of costa mesa member, city council, district 1 (vote 1)</v>
      </c>
      <c r="W870" s="290">
        <f t="shared" si="340"/>
        <v>42</v>
      </c>
      <c r="X870" s="298">
        <f t="shared" si="349"/>
        <v>291.66666666666669</v>
      </c>
      <c r="Y870" s="322">
        <f t="shared" si="341"/>
        <v>291.66666666666669</v>
      </c>
      <c r="Z870" s="299">
        <f t="shared" si="350"/>
        <v>94.176421946018834</v>
      </c>
      <c r="AA870" s="300">
        <f t="shared" si="342"/>
        <v>0.9417642194601884</v>
      </c>
      <c r="AB870" s="301">
        <f t="shared" si="343"/>
        <v>5396.56</v>
      </c>
      <c r="AC870" s="301">
        <f t="shared" si="344"/>
        <v>269828</v>
      </c>
      <c r="AD870" s="8">
        <f t="shared" si="348"/>
        <v>1349.14</v>
      </c>
      <c r="AE870" s="301" t="str">
        <f t="shared" si="345"/>
        <v/>
      </c>
      <c r="AF870" s="22" t="str">
        <f t="shared" si="346"/>
        <v>PA_Alleg_2019g</v>
      </c>
      <c r="AG870">
        <v>3</v>
      </c>
      <c r="AH870" s="272">
        <v>291.66666666666669</v>
      </c>
      <c r="AI870" s="273">
        <v>134</v>
      </c>
      <c r="AJ870" s="274">
        <v>131</v>
      </c>
      <c r="AK870" s="339">
        <v>3</v>
      </c>
      <c r="AL870" s="340" t="s">
        <v>2260</v>
      </c>
      <c r="AM870" s="353">
        <f t="shared" si="347"/>
        <v>1.1118193812354536E-5</v>
      </c>
      <c r="AN870" s="361" t="s">
        <v>6957</v>
      </c>
      <c r="AO870" s="362" t="s">
        <v>6506</v>
      </c>
      <c r="AP870" s="23">
        <f t="shared" si="351"/>
        <v>0</v>
      </c>
      <c r="AQ870" s="392">
        <f t="shared" si="325"/>
        <v>0</v>
      </c>
      <c r="AR870" s="392">
        <f t="shared" si="326"/>
        <v>0</v>
      </c>
      <c r="AS870" s="392">
        <f t="shared" si="326"/>
        <v>0</v>
      </c>
    </row>
    <row r="871" spans="1:45">
      <c r="A871" t="str">
        <f t="shared" si="352"/>
        <v>CA_Orang_2020g~city of costa mesa member, city council, district 1 (vote 1)</v>
      </c>
      <c r="B871" s="55" t="s">
        <v>3536</v>
      </c>
      <c r="D871" s="55" t="s">
        <v>3768</v>
      </c>
      <c r="E871" s="55" t="s">
        <v>3769</v>
      </c>
      <c r="G871" s="60">
        <v>4114</v>
      </c>
      <c r="H871"/>
      <c r="J871">
        <v>11444</v>
      </c>
      <c r="N871">
        <v>1218</v>
      </c>
      <c r="O871">
        <f t="shared" si="333"/>
        <v>2</v>
      </c>
      <c r="P871" s="57">
        <f t="shared" si="334"/>
        <v>1</v>
      </c>
      <c r="Q871" s="267">
        <f t="shared" si="335"/>
        <v>5754</v>
      </c>
      <c r="R871" s="23" t="str">
        <f t="shared" si="336"/>
        <v/>
      </c>
      <c r="S871" s="23">
        <f t="shared" si="337"/>
        <v>4114</v>
      </c>
      <c r="T871" s="23" t="str">
        <f t="shared" si="338"/>
        <v/>
      </c>
      <c r="U871" t="str">
        <f t="shared" si="339"/>
        <v/>
      </c>
      <c r="W871" s="290">
        <f t="shared" si="340"/>
        <v>43</v>
      </c>
      <c r="X871" s="298">
        <f t="shared" si="349"/>
        <v>285.5263157894737</v>
      </c>
      <c r="Y871" s="322">
        <f t="shared" si="341"/>
        <v>285.5263157894737</v>
      </c>
      <c r="Z871" s="299">
        <f t="shared" si="350"/>
        <v>46.764139789292649</v>
      </c>
      <c r="AA871" s="300">
        <f t="shared" si="342"/>
        <v>0.46764139789292647</v>
      </c>
      <c r="AB871" s="301">
        <f t="shared" si="343"/>
        <v>5396.56</v>
      </c>
      <c r="AC871" s="301">
        <f t="shared" si="344"/>
        <v>269828</v>
      </c>
      <c r="AD871" s="8">
        <f t="shared" si="348"/>
        <v>1349.14</v>
      </c>
      <c r="AE871" s="301" t="str">
        <f t="shared" si="345"/>
        <v/>
      </c>
      <c r="AF871" s="22" t="str">
        <f t="shared" si="346"/>
        <v>PA_Alleg_2019g</v>
      </c>
      <c r="AG871">
        <v>3</v>
      </c>
      <c r="AH871" s="272">
        <v>1750</v>
      </c>
      <c r="AI871" s="273">
        <v>896</v>
      </c>
      <c r="AJ871" s="274">
        <v>858</v>
      </c>
      <c r="AK871" s="339">
        <v>38</v>
      </c>
      <c r="AL871" s="340" t="s">
        <v>2239</v>
      </c>
      <c r="AM871" s="353">
        <f t="shared" si="347"/>
        <v>1.4083045495649079E-4</v>
      </c>
      <c r="AN871" s="361" t="s">
        <v>6932</v>
      </c>
      <c r="AO871" s="362" t="s">
        <v>6506</v>
      </c>
      <c r="AP871" s="23">
        <f t="shared" si="351"/>
        <v>0</v>
      </c>
      <c r="AQ871" s="392">
        <f t="shared" si="325"/>
        <v>0</v>
      </c>
      <c r="AR871" s="392">
        <f t="shared" si="326"/>
        <v>0</v>
      </c>
      <c r="AS871" s="392">
        <f t="shared" si="326"/>
        <v>0</v>
      </c>
    </row>
    <row r="872" spans="1:45">
      <c r="A872" t="str">
        <f t="shared" si="352"/>
        <v>CA_Orang_2020g~city of costa mesa member, city council, district 1 (vote 1)</v>
      </c>
      <c r="B872" s="55" t="s">
        <v>3536</v>
      </c>
      <c r="D872" s="55" t="s">
        <v>3768</v>
      </c>
      <c r="E872" s="55" t="s">
        <v>3771</v>
      </c>
      <c r="G872" s="60">
        <v>1640</v>
      </c>
      <c r="H872"/>
      <c r="J872">
        <v>11444</v>
      </c>
      <c r="N872">
        <v>1218</v>
      </c>
      <c r="O872">
        <f t="shared" si="333"/>
        <v>3</v>
      </c>
      <c r="P872" s="57">
        <f t="shared" si="334"/>
        <v>1</v>
      </c>
      <c r="Q872" s="267">
        <f t="shared" si="335"/>
        <v>1640</v>
      </c>
      <c r="R872" s="23" t="str">
        <f t="shared" si="336"/>
        <v/>
      </c>
      <c r="S872" s="23">
        <f t="shared" si="337"/>
        <v>1640</v>
      </c>
      <c r="T872" s="23" t="str">
        <f t="shared" si="338"/>
        <v/>
      </c>
      <c r="U872" t="str">
        <f t="shared" si="339"/>
        <v/>
      </c>
      <c r="W872" s="290">
        <f t="shared" si="340"/>
        <v>44</v>
      </c>
      <c r="X872" s="298">
        <f t="shared" si="349"/>
        <v>277</v>
      </c>
      <c r="Y872" s="322">
        <f t="shared" si="341"/>
        <v>277</v>
      </c>
      <c r="Z872" s="299">
        <f t="shared" si="350"/>
        <v>98.019863698000833</v>
      </c>
      <c r="AA872" s="300">
        <f t="shared" si="342"/>
        <v>0.98019863698000831</v>
      </c>
      <c r="AB872" s="301">
        <f t="shared" si="343"/>
        <v>5396.56</v>
      </c>
      <c r="AC872" s="301">
        <f t="shared" si="344"/>
        <v>269828</v>
      </c>
      <c r="AD872" s="8">
        <f t="shared" si="348"/>
        <v>1349.14</v>
      </c>
      <c r="AE872" s="301" t="str">
        <f t="shared" si="345"/>
        <v/>
      </c>
      <c r="AF872" s="22" t="str">
        <f t="shared" si="346"/>
        <v>PA_Alleg_2019g</v>
      </c>
      <c r="AG872">
        <v>3</v>
      </c>
      <c r="AH872" s="272">
        <v>277</v>
      </c>
      <c r="AI872" s="273">
        <v>190</v>
      </c>
      <c r="AJ872" s="274">
        <v>189</v>
      </c>
      <c r="AK872" s="339">
        <v>1</v>
      </c>
      <c r="AL872" s="340" t="s">
        <v>2224</v>
      </c>
      <c r="AM872" s="353">
        <f t="shared" si="347"/>
        <v>3.7060646041181788E-6</v>
      </c>
      <c r="AN872" s="361" t="s">
        <v>6961</v>
      </c>
      <c r="AO872" s="362" t="s">
        <v>6506</v>
      </c>
      <c r="AP872" s="23">
        <f t="shared" si="351"/>
        <v>0</v>
      </c>
      <c r="AQ872" s="392">
        <f t="shared" si="325"/>
        <v>0</v>
      </c>
      <c r="AR872" s="392">
        <f t="shared" si="326"/>
        <v>0</v>
      </c>
      <c r="AS872" s="392">
        <f t="shared" si="326"/>
        <v>0</v>
      </c>
    </row>
    <row r="873" spans="1:45">
      <c r="A873" t="str">
        <f t="shared" si="352"/>
        <v>CA_Orang_2020g~city of costa mesa member, city council, district 6 (vote 1)</v>
      </c>
      <c r="B873" s="55" t="s">
        <v>3536</v>
      </c>
      <c r="D873" s="55" t="s">
        <v>3775</v>
      </c>
      <c r="E873" s="55" t="s">
        <v>3776</v>
      </c>
      <c r="G873" s="60">
        <v>4612</v>
      </c>
      <c r="H873"/>
      <c r="J873">
        <v>11293</v>
      </c>
      <c r="N873">
        <v>1415</v>
      </c>
      <c r="O873">
        <f t="shared" si="333"/>
        <v>1</v>
      </c>
      <c r="P873" s="57">
        <f t="shared" si="334"/>
        <v>1</v>
      </c>
      <c r="Q873" s="267">
        <f t="shared" si="335"/>
        <v>9833</v>
      </c>
      <c r="R873" s="23">
        <f t="shared" si="336"/>
        <v>4612</v>
      </c>
      <c r="S873" s="23">
        <f t="shared" si="337"/>
        <v>1997</v>
      </c>
      <c r="T873" s="23">
        <f t="shared" si="338"/>
        <v>2615</v>
      </c>
      <c r="U873" t="str">
        <f t="shared" si="339"/>
        <v>CA_Orang_2020g~city of costa mesa member, city council, district 6 (vote 1)</v>
      </c>
      <c r="W873" s="290">
        <f t="shared" si="340"/>
        <v>45</v>
      </c>
      <c r="X873" s="298">
        <f t="shared" si="349"/>
        <v>270</v>
      </c>
      <c r="Y873" s="322">
        <f t="shared" si="341"/>
        <v>270</v>
      </c>
      <c r="Z873" s="299">
        <f t="shared" si="350"/>
        <v>96.078929672199138</v>
      </c>
      <c r="AA873" s="300">
        <f t="shared" si="342"/>
        <v>0.96078929672199143</v>
      </c>
      <c r="AB873" s="301">
        <f t="shared" si="343"/>
        <v>5396.56</v>
      </c>
      <c r="AC873" s="301">
        <f t="shared" si="344"/>
        <v>269828</v>
      </c>
      <c r="AD873" s="8">
        <f t="shared" si="348"/>
        <v>1349.14</v>
      </c>
      <c r="AE873" s="301" t="str">
        <f t="shared" si="345"/>
        <v/>
      </c>
      <c r="AF873" s="22" t="str">
        <f t="shared" si="346"/>
        <v>PA_Alleg_2019g</v>
      </c>
      <c r="AG873">
        <v>1</v>
      </c>
      <c r="AH873" s="272">
        <v>270</v>
      </c>
      <c r="AI873" s="273">
        <v>132</v>
      </c>
      <c r="AJ873" s="274">
        <v>130</v>
      </c>
      <c r="AK873" s="339">
        <v>2</v>
      </c>
      <c r="AL873" s="340" t="s">
        <v>2189</v>
      </c>
      <c r="AM873" s="353">
        <f t="shared" si="347"/>
        <v>7.4121292082363576E-6</v>
      </c>
      <c r="AN873" s="361" t="s">
        <v>6508</v>
      </c>
      <c r="AO873" s="362" t="s">
        <v>6506</v>
      </c>
      <c r="AP873" s="23">
        <f t="shared" si="351"/>
        <v>0</v>
      </c>
      <c r="AQ873" s="392">
        <f t="shared" ref="AQ873:AQ936" si="353">IF($AP873=$AD873,1,IF($AP873=0,0, 1-HYPGEOMDIST(0, ROUNDUP(RIGHT(AQ$1,4)*$AD873,0),$AP873, $AD873)))</f>
        <v>0</v>
      </c>
      <c r="AR873" s="392">
        <f t="shared" ref="AR873:AS936" si="354">IF($AP873=$AD873,1,IF($AP873=0,0, 1-HYPGEOMDIST(0, ROUNDUP(RIGHT(AR$1,4)*$AD873,0),$AP873, $AD873)))</f>
        <v>0</v>
      </c>
      <c r="AS873" s="392">
        <f t="shared" si="354"/>
        <v>0</v>
      </c>
    </row>
    <row r="874" spans="1:45">
      <c r="A874" t="str">
        <f t="shared" si="352"/>
        <v>CA_Orang_2020g~city of costa mesa member, city council, district 6 (vote 1)</v>
      </c>
      <c r="B874" s="55" t="s">
        <v>3536</v>
      </c>
      <c r="D874" s="55" t="s">
        <v>3775</v>
      </c>
      <c r="E874" s="55" t="s">
        <v>3777</v>
      </c>
      <c r="G874" s="60">
        <v>1997</v>
      </c>
      <c r="H874"/>
      <c r="J874">
        <v>11293</v>
      </c>
      <c r="N874">
        <v>1415</v>
      </c>
      <c r="O874">
        <f t="shared" si="333"/>
        <v>2</v>
      </c>
      <c r="P874" s="57">
        <f t="shared" si="334"/>
        <v>1</v>
      </c>
      <c r="Q874" s="267">
        <f t="shared" si="335"/>
        <v>5221</v>
      </c>
      <c r="R874" s="23" t="str">
        <f t="shared" si="336"/>
        <v/>
      </c>
      <c r="S874" s="23">
        <f t="shared" si="337"/>
        <v>1997</v>
      </c>
      <c r="T874" s="23" t="str">
        <f t="shared" si="338"/>
        <v/>
      </c>
      <c r="U874" t="str">
        <f t="shared" si="339"/>
        <v/>
      </c>
      <c r="W874" s="290">
        <f t="shared" si="340"/>
        <v>46</v>
      </c>
      <c r="X874" s="298">
        <f t="shared" si="349"/>
        <v>243.46923076923079</v>
      </c>
      <c r="Y874" s="322">
        <f t="shared" si="341"/>
        <v>243.46923076923079</v>
      </c>
      <c r="Z874" s="299">
        <f t="shared" si="350"/>
        <v>27.248911615822951</v>
      </c>
      <c r="AA874" s="300">
        <f t="shared" si="342"/>
        <v>0.27248911615822952</v>
      </c>
      <c r="AB874" s="301">
        <f t="shared" si="343"/>
        <v>5396.56</v>
      </c>
      <c r="AC874" s="301">
        <f t="shared" si="344"/>
        <v>269828</v>
      </c>
      <c r="AD874" s="8">
        <f t="shared" si="348"/>
        <v>1349.14</v>
      </c>
      <c r="AE874" s="301" t="str">
        <f t="shared" si="345"/>
        <v/>
      </c>
      <c r="AF874" s="22" t="str">
        <f t="shared" si="346"/>
        <v>PA_Alleg_2019g</v>
      </c>
      <c r="AG874">
        <v>4</v>
      </c>
      <c r="AH874" s="272">
        <v>2552.5</v>
      </c>
      <c r="AI874" s="273">
        <v>1447</v>
      </c>
      <c r="AJ874" s="274">
        <v>1382</v>
      </c>
      <c r="AK874" s="339">
        <v>65</v>
      </c>
      <c r="AL874" s="340" t="s">
        <v>2211</v>
      </c>
      <c r="AM874" s="353">
        <f t="shared" si="347"/>
        <v>2.4089419926768163E-4</v>
      </c>
      <c r="AN874" s="361" t="s">
        <v>6923</v>
      </c>
      <c r="AO874" s="362" t="s">
        <v>6506</v>
      </c>
      <c r="AP874" s="23">
        <f t="shared" si="351"/>
        <v>0</v>
      </c>
      <c r="AQ874" s="392">
        <f t="shared" si="353"/>
        <v>0</v>
      </c>
      <c r="AR874" s="392">
        <f t="shared" si="354"/>
        <v>0</v>
      </c>
      <c r="AS874" s="392">
        <f t="shared" si="354"/>
        <v>0</v>
      </c>
    </row>
    <row r="875" spans="1:45">
      <c r="A875" t="str">
        <f t="shared" si="352"/>
        <v>CA_Orang_2020g~city of costa mesa member, city council, district 6 (vote 1)</v>
      </c>
      <c r="B875" s="55" t="s">
        <v>3536</v>
      </c>
      <c r="D875" s="55" t="s">
        <v>3775</v>
      </c>
      <c r="E875" s="55" t="s">
        <v>3778</v>
      </c>
      <c r="G875" s="60">
        <v>1910</v>
      </c>
      <c r="H875"/>
      <c r="J875">
        <v>11293</v>
      </c>
      <c r="N875">
        <v>1415</v>
      </c>
      <c r="O875">
        <f t="shared" si="333"/>
        <v>3</v>
      </c>
      <c r="P875" s="57">
        <f t="shared" si="334"/>
        <v>1</v>
      </c>
      <c r="Q875" s="267">
        <f t="shared" si="335"/>
        <v>3224</v>
      </c>
      <c r="R875" s="23" t="str">
        <f t="shared" si="336"/>
        <v/>
      </c>
      <c r="S875" s="23">
        <f t="shared" si="337"/>
        <v>1910</v>
      </c>
      <c r="T875" s="23" t="str">
        <f t="shared" si="338"/>
        <v/>
      </c>
      <c r="U875" t="str">
        <f t="shared" si="339"/>
        <v/>
      </c>
      <c r="W875" s="290">
        <f t="shared" si="340"/>
        <v>47</v>
      </c>
      <c r="X875" s="298">
        <f t="shared" si="349"/>
        <v>239.08750000000001</v>
      </c>
      <c r="Y875" s="322">
        <f t="shared" si="341"/>
        <v>239.08750000000001</v>
      </c>
      <c r="Z875" s="299">
        <f t="shared" si="350"/>
        <v>85.214176774463951</v>
      </c>
      <c r="AA875" s="300">
        <f t="shared" si="342"/>
        <v>0.85214176774463946</v>
      </c>
      <c r="AB875" s="301">
        <f t="shared" si="343"/>
        <v>5396.56</v>
      </c>
      <c r="AC875" s="301">
        <f t="shared" si="344"/>
        <v>269828</v>
      </c>
      <c r="AD875" s="8">
        <f t="shared" si="348"/>
        <v>1349.14</v>
      </c>
      <c r="AE875" s="301" t="str">
        <f t="shared" si="345"/>
        <v/>
      </c>
      <c r="AF875" s="22" t="str">
        <f t="shared" si="346"/>
        <v>PA_Alleg_2019g</v>
      </c>
      <c r="AG875">
        <v>2</v>
      </c>
      <c r="AH875" s="272">
        <v>308.5</v>
      </c>
      <c r="AI875" s="273">
        <v>207</v>
      </c>
      <c r="AJ875" s="274">
        <v>199</v>
      </c>
      <c r="AK875" s="339">
        <v>8</v>
      </c>
      <c r="AL875" s="340" t="s">
        <v>2236</v>
      </c>
      <c r="AM875" s="353">
        <f t="shared" si="347"/>
        <v>2.964851683294543E-5</v>
      </c>
      <c r="AN875" s="361" t="s">
        <v>6952</v>
      </c>
      <c r="AO875" s="362" t="s">
        <v>6506</v>
      </c>
      <c r="AP875" s="23">
        <f t="shared" si="351"/>
        <v>0</v>
      </c>
      <c r="AQ875" s="392">
        <f t="shared" si="353"/>
        <v>0</v>
      </c>
      <c r="AR875" s="392">
        <f t="shared" si="354"/>
        <v>0</v>
      </c>
      <c r="AS875" s="392">
        <f t="shared" si="354"/>
        <v>0</v>
      </c>
    </row>
    <row r="876" spans="1:45">
      <c r="A876" t="str">
        <f t="shared" si="352"/>
        <v>CA_Orang_2020g~city of costa mesa member, city council, district 6 (vote 1)</v>
      </c>
      <c r="B876" s="55" t="s">
        <v>3536</v>
      </c>
      <c r="D876" s="55" t="s">
        <v>3775</v>
      </c>
      <c r="E876" s="55" t="s">
        <v>3779</v>
      </c>
      <c r="G876" s="60">
        <v>1314</v>
      </c>
      <c r="H876"/>
      <c r="J876">
        <v>11293</v>
      </c>
      <c r="N876">
        <v>1415</v>
      </c>
      <c r="O876">
        <f t="shared" si="333"/>
        <v>4</v>
      </c>
      <c r="P876" s="57">
        <f t="shared" si="334"/>
        <v>1</v>
      </c>
      <c r="Q876" s="267">
        <f t="shared" si="335"/>
        <v>1314</v>
      </c>
      <c r="R876" s="23" t="str">
        <f t="shared" si="336"/>
        <v/>
      </c>
      <c r="S876" s="23">
        <f t="shared" si="337"/>
        <v>1314</v>
      </c>
      <c r="T876" s="23" t="str">
        <f t="shared" si="338"/>
        <v/>
      </c>
      <c r="U876" t="str">
        <f t="shared" si="339"/>
        <v/>
      </c>
      <c r="W876" s="290">
        <f t="shared" si="340"/>
        <v>48</v>
      </c>
      <c r="X876" s="298">
        <f t="shared" si="349"/>
        <v>235.72156862745098</v>
      </c>
      <c r="Y876" s="322">
        <f t="shared" si="341"/>
        <v>235.72156862745098</v>
      </c>
      <c r="Z876" s="299">
        <f t="shared" si="350"/>
        <v>50.659528646784565</v>
      </c>
      <c r="AA876" s="300">
        <f t="shared" si="342"/>
        <v>0.50659528646784568</v>
      </c>
      <c r="AB876" s="301">
        <f t="shared" si="343"/>
        <v>5396.56</v>
      </c>
      <c r="AC876" s="301">
        <f t="shared" si="344"/>
        <v>269828</v>
      </c>
      <c r="AD876" s="8">
        <f t="shared" si="348"/>
        <v>1349.14</v>
      </c>
      <c r="AE876" s="301" t="str">
        <f t="shared" si="345"/>
        <v/>
      </c>
      <c r="AF876" s="22" t="str">
        <f t="shared" si="346"/>
        <v>PA_Alleg_2019g</v>
      </c>
      <c r="AG876">
        <v>3</v>
      </c>
      <c r="AH876" s="272">
        <v>1292.6666666666667</v>
      </c>
      <c r="AI876" s="273">
        <v>719</v>
      </c>
      <c r="AJ876" s="274">
        <v>685</v>
      </c>
      <c r="AK876" s="339">
        <v>34</v>
      </c>
      <c r="AL876" s="340" t="s">
        <v>2232</v>
      </c>
      <c r="AM876" s="353">
        <f t="shared" si="347"/>
        <v>1.2600619654001808E-4</v>
      </c>
      <c r="AN876" s="361" t="s">
        <v>6936</v>
      </c>
      <c r="AO876" s="362" t="s">
        <v>6506</v>
      </c>
      <c r="AP876" s="23">
        <f t="shared" si="351"/>
        <v>0</v>
      </c>
      <c r="AQ876" s="392">
        <f t="shared" si="353"/>
        <v>0</v>
      </c>
      <c r="AR876" s="392">
        <f t="shared" si="354"/>
        <v>0</v>
      </c>
      <c r="AS876" s="392">
        <f t="shared" si="354"/>
        <v>0</v>
      </c>
    </row>
    <row r="877" spans="1:45">
      <c r="A877" t="str">
        <f t="shared" si="352"/>
        <v>CA_Orang_2020g~city of cypress member, city council (vote 1)</v>
      </c>
      <c r="B877" s="55" t="s">
        <v>3536</v>
      </c>
      <c r="D877" s="55" t="s">
        <v>3780</v>
      </c>
      <c r="E877" s="55" t="s">
        <v>3787</v>
      </c>
      <c r="G877" s="60">
        <v>8129</v>
      </c>
      <c r="H877"/>
      <c r="J877">
        <v>26387</v>
      </c>
      <c r="N877">
        <v>12499</v>
      </c>
      <c r="O877">
        <f t="shared" si="333"/>
        <v>1</v>
      </c>
      <c r="P877" s="57">
        <f t="shared" si="334"/>
        <v>1</v>
      </c>
      <c r="Q877" s="267">
        <f t="shared" si="335"/>
        <v>40062</v>
      </c>
      <c r="R877" s="23">
        <f t="shared" si="336"/>
        <v>8129</v>
      </c>
      <c r="S877" s="23">
        <f t="shared" si="337"/>
        <v>7353</v>
      </c>
      <c r="T877" s="23">
        <f t="shared" si="338"/>
        <v>776</v>
      </c>
      <c r="U877" t="str">
        <f t="shared" si="339"/>
        <v>CA_Orang_2020g~city of cypress member, city council (vote 1)</v>
      </c>
      <c r="W877" s="290">
        <f t="shared" si="340"/>
        <v>49</v>
      </c>
      <c r="X877" s="298">
        <f t="shared" si="349"/>
        <v>205.42666666666668</v>
      </c>
      <c r="Y877" s="322">
        <f t="shared" si="341"/>
        <v>205.42666666666668</v>
      </c>
      <c r="Z877" s="299">
        <f t="shared" si="350"/>
        <v>74.081204305789939</v>
      </c>
      <c r="AA877" s="300">
        <f t="shared" si="342"/>
        <v>0.74081204305789938</v>
      </c>
      <c r="AB877" s="301">
        <f t="shared" si="343"/>
        <v>5396.56</v>
      </c>
      <c r="AC877" s="301">
        <f t="shared" si="344"/>
        <v>269828</v>
      </c>
      <c r="AD877" s="8">
        <f t="shared" si="348"/>
        <v>1349.14</v>
      </c>
      <c r="AE877" s="301" t="str">
        <f t="shared" si="345"/>
        <v/>
      </c>
      <c r="AF877" s="22" t="str">
        <f t="shared" si="346"/>
        <v>PA_Alleg_2019g</v>
      </c>
      <c r="AG877">
        <v>1</v>
      </c>
      <c r="AH877" s="272">
        <v>497</v>
      </c>
      <c r="AI877" s="273">
        <v>232</v>
      </c>
      <c r="AJ877" s="274">
        <v>217</v>
      </c>
      <c r="AK877" s="339">
        <v>15</v>
      </c>
      <c r="AL877" s="340" t="s">
        <v>2229</v>
      </c>
      <c r="AM877" s="353">
        <f t="shared" si="347"/>
        <v>5.5590969061772682E-5</v>
      </c>
      <c r="AN877" s="361" t="s">
        <v>6945</v>
      </c>
      <c r="AO877" s="362" t="s">
        <v>6506</v>
      </c>
      <c r="AP877" s="23">
        <f t="shared" si="351"/>
        <v>0</v>
      </c>
      <c r="AQ877" s="392">
        <f t="shared" si="353"/>
        <v>0</v>
      </c>
      <c r="AR877" s="392">
        <f t="shared" si="354"/>
        <v>0</v>
      </c>
      <c r="AS877" s="392">
        <f t="shared" si="354"/>
        <v>0</v>
      </c>
    </row>
    <row r="878" spans="1:45">
      <c r="A878" t="str">
        <f t="shared" si="352"/>
        <v>CA_Orang_2020g~city of cypress member, city council (vote 1)</v>
      </c>
      <c r="B878" s="55" t="s">
        <v>3536</v>
      </c>
      <c r="D878" s="55" t="s">
        <v>3780</v>
      </c>
      <c r="E878" s="55" t="s">
        <v>3785</v>
      </c>
      <c r="G878" s="60">
        <v>7353</v>
      </c>
      <c r="H878"/>
      <c r="J878">
        <v>26387</v>
      </c>
      <c r="N878">
        <v>12499</v>
      </c>
      <c r="O878">
        <f t="shared" si="333"/>
        <v>2</v>
      </c>
      <c r="P878" s="57">
        <f t="shared" si="334"/>
        <v>1</v>
      </c>
      <c r="Q878" s="267">
        <f t="shared" si="335"/>
        <v>31933</v>
      </c>
      <c r="R878" s="23" t="str">
        <f t="shared" si="336"/>
        <v/>
      </c>
      <c r="S878" s="23">
        <f t="shared" si="337"/>
        <v>7353</v>
      </c>
      <c r="T878" s="23" t="str">
        <f t="shared" si="338"/>
        <v/>
      </c>
      <c r="U878" t="str">
        <f t="shared" si="339"/>
        <v/>
      </c>
      <c r="W878" s="290">
        <f t="shared" si="340"/>
        <v>50</v>
      </c>
      <c r="X878" s="298">
        <f t="shared" si="349"/>
        <v>183.63646408839779</v>
      </c>
      <c r="Y878" s="322">
        <f t="shared" si="341"/>
        <v>369.90900000000005</v>
      </c>
      <c r="Z878" s="299">
        <f t="shared" si="350"/>
        <v>2.6750163672471592</v>
      </c>
      <c r="AA878" s="300">
        <f t="shared" si="342"/>
        <v>2.6750163672471593E-2</v>
      </c>
      <c r="AB878" s="301">
        <f t="shared" si="343"/>
        <v>5396.56</v>
      </c>
      <c r="AC878" s="301">
        <f t="shared" si="344"/>
        <v>269828</v>
      </c>
      <c r="AD878" s="8">
        <f t="shared" si="348"/>
        <v>1349.14</v>
      </c>
      <c r="AE878" s="301" t="str">
        <f t="shared" si="345"/>
        <v/>
      </c>
      <c r="AF878" s="22" t="str">
        <f t="shared" si="346"/>
        <v>PA_Alleg_2019g</v>
      </c>
      <c r="AG878">
        <v>1</v>
      </c>
      <c r="AH878" s="272">
        <v>5361</v>
      </c>
      <c r="AI878" s="273">
        <v>2770</v>
      </c>
      <c r="AJ878" s="274">
        <v>2589</v>
      </c>
      <c r="AK878" s="339">
        <v>181</v>
      </c>
      <c r="AL878" s="340" t="s">
        <v>2197</v>
      </c>
      <c r="AM878" s="358">
        <f t="shared" si="347"/>
        <v>6.7079769334539043E-4</v>
      </c>
      <c r="AN878" s="361" t="s">
        <v>6528</v>
      </c>
      <c r="AO878" s="362" t="s">
        <v>6506</v>
      </c>
      <c r="AP878" s="23">
        <f t="shared" si="351"/>
        <v>0</v>
      </c>
      <c r="AQ878" s="392">
        <f t="shared" si="353"/>
        <v>0</v>
      </c>
      <c r="AR878" s="392">
        <f t="shared" si="354"/>
        <v>0</v>
      </c>
      <c r="AS878" s="392">
        <f t="shared" si="354"/>
        <v>0</v>
      </c>
    </row>
    <row r="879" spans="1:45">
      <c r="A879" t="str">
        <f t="shared" si="352"/>
        <v>CA_Orang_2020g~city of cypress member, city council (vote 1)</v>
      </c>
      <c r="B879" s="55" t="s">
        <v>3536</v>
      </c>
      <c r="D879" s="55" t="s">
        <v>3780</v>
      </c>
      <c r="E879" s="55" t="s">
        <v>3784</v>
      </c>
      <c r="G879" s="60">
        <v>6070</v>
      </c>
      <c r="H879"/>
      <c r="J879">
        <v>26387</v>
      </c>
      <c r="N879">
        <v>12499</v>
      </c>
      <c r="O879">
        <f t="shared" si="333"/>
        <v>3</v>
      </c>
      <c r="P879" s="57">
        <f t="shared" si="334"/>
        <v>1</v>
      </c>
      <c r="Q879" s="267">
        <f t="shared" si="335"/>
        <v>24580</v>
      </c>
      <c r="R879" s="23" t="str">
        <f t="shared" si="336"/>
        <v/>
      </c>
      <c r="S879" s="23">
        <f t="shared" si="337"/>
        <v>6070</v>
      </c>
      <c r="T879" s="23" t="str">
        <f t="shared" si="338"/>
        <v/>
      </c>
      <c r="U879" t="str">
        <f t="shared" si="339"/>
        <v/>
      </c>
      <c r="W879" s="290">
        <f t="shared" si="340"/>
        <v>51</v>
      </c>
      <c r="X879" s="298">
        <f t="shared" si="349"/>
        <v>167.99824561403511</v>
      </c>
      <c r="Y879" s="322">
        <f t="shared" si="341"/>
        <v>167.99824561403511</v>
      </c>
      <c r="Z879" s="299">
        <f t="shared" si="350"/>
        <v>46.764139789292649</v>
      </c>
      <c r="AA879" s="300">
        <f t="shared" si="342"/>
        <v>0.46764139789292647</v>
      </c>
      <c r="AB879" s="301">
        <f t="shared" si="343"/>
        <v>5396.56</v>
      </c>
      <c r="AC879" s="301">
        <f t="shared" si="344"/>
        <v>269828</v>
      </c>
      <c r="AD879" s="8">
        <f t="shared" si="348"/>
        <v>1349.14</v>
      </c>
      <c r="AE879" s="301" t="str">
        <f t="shared" si="345"/>
        <v/>
      </c>
      <c r="AF879" s="22" t="str">
        <f t="shared" si="346"/>
        <v>PA_Alleg_2019g</v>
      </c>
      <c r="AG879">
        <v>3</v>
      </c>
      <c r="AH879" s="272">
        <v>1029.6666666666667</v>
      </c>
      <c r="AI879" s="273">
        <v>564</v>
      </c>
      <c r="AJ879" s="274">
        <v>526</v>
      </c>
      <c r="AK879" s="339">
        <v>38</v>
      </c>
      <c r="AL879" s="340" t="s">
        <v>2227</v>
      </c>
      <c r="AM879" s="353">
        <f t="shared" si="347"/>
        <v>1.4083045495649079E-4</v>
      </c>
      <c r="AN879" s="361" t="s">
        <v>6933</v>
      </c>
      <c r="AO879" s="362" t="s">
        <v>6506</v>
      </c>
      <c r="AP879" s="23">
        <f t="shared" si="351"/>
        <v>0</v>
      </c>
      <c r="AQ879" s="392">
        <f t="shared" si="353"/>
        <v>0</v>
      </c>
      <c r="AR879" s="392">
        <f t="shared" si="354"/>
        <v>0</v>
      </c>
      <c r="AS879" s="392">
        <f t="shared" si="354"/>
        <v>0</v>
      </c>
    </row>
    <row r="880" spans="1:45">
      <c r="A880" t="str">
        <f t="shared" si="352"/>
        <v>CA_Orang_2020g~city of cypress member, city council (vote 1)</v>
      </c>
      <c r="B880" s="55" t="s">
        <v>3536</v>
      </c>
      <c r="D880" s="55" t="s">
        <v>3780</v>
      </c>
      <c r="E880" s="55" t="s">
        <v>3781</v>
      </c>
      <c r="G880" s="60">
        <v>4020</v>
      </c>
      <c r="H880"/>
      <c r="J880">
        <v>26387</v>
      </c>
      <c r="N880">
        <v>12499</v>
      </c>
      <c r="O880">
        <f t="shared" si="333"/>
        <v>4</v>
      </c>
      <c r="P880" s="57">
        <f t="shared" si="334"/>
        <v>1</v>
      </c>
      <c r="Q880" s="267">
        <f t="shared" si="335"/>
        <v>18510</v>
      </c>
      <c r="R880" s="23" t="str">
        <f t="shared" si="336"/>
        <v/>
      </c>
      <c r="S880" s="23">
        <f t="shared" si="337"/>
        <v>4020</v>
      </c>
      <c r="T880" s="23" t="str">
        <f t="shared" si="338"/>
        <v/>
      </c>
      <c r="U880" t="str">
        <f t="shared" si="339"/>
        <v/>
      </c>
      <c r="W880" s="1">
        <f t="shared" si="340"/>
        <v>52</v>
      </c>
      <c r="X880" s="73">
        <f t="shared" si="349"/>
        <v>164.57952883834281</v>
      </c>
      <c r="Y880" s="322">
        <f t="shared" si="341"/>
        <v>4509.4260000000004</v>
      </c>
      <c r="Z880" s="43">
        <f t="shared" si="350"/>
        <v>3.2898932891790538E-20</v>
      </c>
      <c r="AA880" s="52">
        <f t="shared" si="342"/>
        <v>3.2898932891790541E-22</v>
      </c>
      <c r="AB880" s="8">
        <f t="shared" si="343"/>
        <v>5396.56</v>
      </c>
      <c r="AC880" s="8">
        <f t="shared" si="344"/>
        <v>269828</v>
      </c>
      <c r="AD880" s="8">
        <f t="shared" si="348"/>
        <v>1349.14</v>
      </c>
      <c r="AE880" s="8" t="str">
        <f t="shared" si="345"/>
        <v/>
      </c>
      <c r="AF880" s="22" t="str">
        <f t="shared" si="346"/>
        <v>PA_Alleg_2019g</v>
      </c>
      <c r="AG880">
        <v>1</v>
      </c>
      <c r="AH880" s="272">
        <v>65354</v>
      </c>
      <c r="AI880" s="273">
        <v>33908</v>
      </c>
      <c r="AJ880" s="274">
        <v>31446</v>
      </c>
      <c r="AK880" s="339">
        <v>2462</v>
      </c>
      <c r="AL880" s="340" t="s">
        <v>2194</v>
      </c>
      <c r="AM880" s="358">
        <f t="shared" si="347"/>
        <v>9.1243310553389568E-3</v>
      </c>
      <c r="AN880" s="361" t="s">
        <v>6509</v>
      </c>
      <c r="AO880" s="362" t="s">
        <v>6506</v>
      </c>
      <c r="AP880" s="23">
        <f t="shared" si="351"/>
        <v>0</v>
      </c>
      <c r="AQ880" s="392">
        <f t="shared" si="353"/>
        <v>0</v>
      </c>
      <c r="AR880" s="392">
        <f t="shared" si="354"/>
        <v>0</v>
      </c>
      <c r="AS880" s="392">
        <f t="shared" si="354"/>
        <v>0</v>
      </c>
    </row>
    <row r="881" spans="1:45">
      <c r="A881" t="str">
        <f t="shared" si="352"/>
        <v>CA_Orang_2020g~city of cypress member, city council (vote 1)</v>
      </c>
      <c r="B881" s="55" t="s">
        <v>3536</v>
      </c>
      <c r="D881" s="55" t="s">
        <v>3780</v>
      </c>
      <c r="E881" s="55" t="s">
        <v>3783</v>
      </c>
      <c r="G881" s="60">
        <v>3988</v>
      </c>
      <c r="H881"/>
      <c r="J881">
        <v>26387</v>
      </c>
      <c r="N881">
        <v>12499</v>
      </c>
      <c r="O881">
        <f t="shared" si="333"/>
        <v>5</v>
      </c>
      <c r="P881" s="57">
        <f t="shared" si="334"/>
        <v>1</v>
      </c>
      <c r="Q881" s="267">
        <f t="shared" si="335"/>
        <v>14490</v>
      </c>
      <c r="R881" s="23" t="str">
        <f t="shared" si="336"/>
        <v/>
      </c>
      <c r="S881" s="23">
        <f t="shared" si="337"/>
        <v>3988</v>
      </c>
      <c r="T881" s="23" t="str">
        <f t="shared" si="338"/>
        <v/>
      </c>
      <c r="U881" t="str">
        <f t="shared" si="339"/>
        <v/>
      </c>
      <c r="W881" s="290">
        <f t="shared" si="340"/>
        <v>53</v>
      </c>
      <c r="X881" s="298">
        <f t="shared" si="349"/>
        <v>141.76538461538462</v>
      </c>
      <c r="Y881" s="322">
        <f t="shared" si="341"/>
        <v>141.76538461538462</v>
      </c>
      <c r="Z881" s="299">
        <f t="shared" si="350"/>
        <v>59.450565267862352</v>
      </c>
      <c r="AA881" s="300">
        <f t="shared" si="342"/>
        <v>0.59450565267862354</v>
      </c>
      <c r="AB881" s="301">
        <f t="shared" si="343"/>
        <v>5396.56</v>
      </c>
      <c r="AC881" s="301">
        <f t="shared" si="344"/>
        <v>269828</v>
      </c>
      <c r="AD881" s="8">
        <f t="shared" si="348"/>
        <v>1349.14</v>
      </c>
      <c r="AE881" s="301" t="str">
        <f t="shared" si="345"/>
        <v/>
      </c>
      <c r="AF881" s="22" t="str">
        <f t="shared" si="346"/>
        <v>PA_Alleg_2019g</v>
      </c>
      <c r="AG881">
        <v>4</v>
      </c>
      <c r="AH881" s="272">
        <v>594.5</v>
      </c>
      <c r="AI881" s="273">
        <v>419</v>
      </c>
      <c r="AJ881" s="274">
        <v>393</v>
      </c>
      <c r="AK881" s="339">
        <v>26</v>
      </c>
      <c r="AL881" s="340" t="s">
        <v>2243</v>
      </c>
      <c r="AM881" s="353">
        <f t="shared" si="347"/>
        <v>9.6357679707072648E-5</v>
      </c>
      <c r="AN881" s="361" t="s">
        <v>6941</v>
      </c>
      <c r="AO881" s="362" t="s">
        <v>6506</v>
      </c>
      <c r="AP881" s="23">
        <f t="shared" si="351"/>
        <v>0</v>
      </c>
      <c r="AQ881" s="392">
        <f t="shared" si="353"/>
        <v>0</v>
      </c>
      <c r="AR881" s="392">
        <f t="shared" si="354"/>
        <v>0</v>
      </c>
      <c r="AS881" s="392">
        <f t="shared" si="354"/>
        <v>0</v>
      </c>
    </row>
    <row r="882" spans="1:45">
      <c r="A882" t="str">
        <f t="shared" si="352"/>
        <v>CA_Orang_2020g~city of cypress member, city council (vote 1)</v>
      </c>
      <c r="B882" s="55" t="s">
        <v>3536</v>
      </c>
      <c r="D882" s="55" t="s">
        <v>3780</v>
      </c>
      <c r="E882" s="55" t="s">
        <v>3788</v>
      </c>
      <c r="G882" s="60">
        <v>3800</v>
      </c>
      <c r="H882"/>
      <c r="J882">
        <v>26387</v>
      </c>
      <c r="N882">
        <v>12499</v>
      </c>
      <c r="O882">
        <f t="shared" si="333"/>
        <v>6</v>
      </c>
      <c r="P882" s="57">
        <f t="shared" si="334"/>
        <v>1</v>
      </c>
      <c r="Q882" s="267">
        <f t="shared" si="335"/>
        <v>10502</v>
      </c>
      <c r="R882" s="23" t="str">
        <f t="shared" si="336"/>
        <v/>
      </c>
      <c r="S882" s="23">
        <f t="shared" si="337"/>
        <v>3800</v>
      </c>
      <c r="T882" s="23" t="str">
        <f t="shared" si="338"/>
        <v/>
      </c>
      <c r="U882" t="str">
        <f t="shared" si="339"/>
        <v/>
      </c>
      <c r="W882" s="290">
        <f t="shared" si="340"/>
        <v>54</v>
      </c>
      <c r="X882" s="298">
        <f t="shared" si="349"/>
        <v>127.55925925925926</v>
      </c>
      <c r="Y882" s="322">
        <f t="shared" si="341"/>
        <v>127.55925925925926</v>
      </c>
      <c r="Z882" s="299">
        <f t="shared" si="350"/>
        <v>33.955882303540108</v>
      </c>
      <c r="AA882" s="300">
        <f t="shared" si="342"/>
        <v>0.33955882303540108</v>
      </c>
      <c r="AB882" s="301">
        <f t="shared" si="343"/>
        <v>5396.56</v>
      </c>
      <c r="AC882" s="301">
        <f t="shared" si="344"/>
        <v>269828</v>
      </c>
      <c r="AD882" s="8">
        <f t="shared" si="348"/>
        <v>1349.14</v>
      </c>
      <c r="AE882" s="301" t="str">
        <f t="shared" si="345"/>
        <v/>
      </c>
      <c r="AF882" s="22" t="str">
        <f t="shared" si="346"/>
        <v>PA_Alleg_2019g</v>
      </c>
      <c r="AG882">
        <v>1</v>
      </c>
      <c r="AH882" s="272">
        <v>1111</v>
      </c>
      <c r="AI882" s="273">
        <v>582</v>
      </c>
      <c r="AJ882" s="274">
        <v>528</v>
      </c>
      <c r="AK882" s="339">
        <v>54</v>
      </c>
      <c r="AL882" s="340" t="s">
        <v>2242</v>
      </c>
      <c r="AM882" s="353">
        <f t="shared" si="347"/>
        <v>2.0012748862238165E-4</v>
      </c>
      <c r="AN882" s="361" t="s">
        <v>6926</v>
      </c>
      <c r="AO882" s="362" t="s">
        <v>6506</v>
      </c>
      <c r="AP882" s="23">
        <f t="shared" si="351"/>
        <v>0</v>
      </c>
      <c r="AQ882" s="392">
        <f t="shared" si="353"/>
        <v>0</v>
      </c>
      <c r="AR882" s="392">
        <f t="shared" si="354"/>
        <v>0</v>
      </c>
      <c r="AS882" s="392">
        <f t="shared" si="354"/>
        <v>0</v>
      </c>
    </row>
    <row r="883" spans="1:45">
      <c r="A883" t="str">
        <f t="shared" si="352"/>
        <v>CA_Orang_2020g~city of cypress member, city council (vote 1)</v>
      </c>
      <c r="B883" s="55" t="s">
        <v>3536</v>
      </c>
      <c r="D883" s="55" t="s">
        <v>3780</v>
      </c>
      <c r="E883" s="55" t="s">
        <v>3782</v>
      </c>
      <c r="G883" s="60">
        <v>2895</v>
      </c>
      <c r="H883"/>
      <c r="J883">
        <v>26387</v>
      </c>
      <c r="N883">
        <v>12499</v>
      </c>
      <c r="O883">
        <f t="shared" si="333"/>
        <v>7</v>
      </c>
      <c r="P883" s="57">
        <f t="shared" si="334"/>
        <v>1</v>
      </c>
      <c r="Q883" s="267">
        <f t="shared" si="335"/>
        <v>6702</v>
      </c>
      <c r="R883" s="23" t="str">
        <f t="shared" si="336"/>
        <v/>
      </c>
      <c r="S883" s="23">
        <f t="shared" si="337"/>
        <v>2895</v>
      </c>
      <c r="T883" s="23" t="str">
        <f t="shared" si="338"/>
        <v/>
      </c>
      <c r="U883" t="str">
        <f t="shared" si="339"/>
        <v/>
      </c>
      <c r="W883" s="290">
        <f t="shared" si="340"/>
        <v>55</v>
      </c>
      <c r="X883" s="291">
        <f t="shared" si="349"/>
        <v>116.14666666666666</v>
      </c>
      <c r="Y883" s="322">
        <f t="shared" si="341"/>
        <v>116.14666666666666</v>
      </c>
      <c r="Z883" s="292">
        <f t="shared" si="350"/>
        <v>74.081204305789939</v>
      </c>
      <c r="AA883" s="293">
        <f t="shared" si="342"/>
        <v>0.74081204305789938</v>
      </c>
      <c r="AB883" s="294">
        <f t="shared" si="343"/>
        <v>5396.56</v>
      </c>
      <c r="AC883" s="294">
        <f t="shared" si="344"/>
        <v>269828</v>
      </c>
      <c r="AD883" s="8">
        <f t="shared" si="348"/>
        <v>1349.14</v>
      </c>
      <c r="AE883" s="294" t="str">
        <f t="shared" si="345"/>
        <v/>
      </c>
      <c r="AF883" s="22" t="str">
        <f t="shared" si="346"/>
        <v>PA_Alleg_2019g</v>
      </c>
      <c r="AG883">
        <v>1</v>
      </c>
      <c r="AH883" s="272">
        <v>281</v>
      </c>
      <c r="AI883" s="273">
        <v>135</v>
      </c>
      <c r="AJ883" s="274">
        <v>120</v>
      </c>
      <c r="AK883" s="339">
        <v>15</v>
      </c>
      <c r="AL883" s="340" t="s">
        <v>2267</v>
      </c>
      <c r="AM883" s="353">
        <f t="shared" si="347"/>
        <v>5.5590969061772682E-5</v>
      </c>
      <c r="AN883" s="361" t="s">
        <v>6946</v>
      </c>
      <c r="AO883" s="362" t="s">
        <v>6506</v>
      </c>
      <c r="AP883" s="23">
        <f t="shared" si="351"/>
        <v>0</v>
      </c>
      <c r="AQ883" s="392">
        <f t="shared" si="353"/>
        <v>0</v>
      </c>
      <c r="AR883" s="392">
        <f t="shared" si="354"/>
        <v>0</v>
      </c>
      <c r="AS883" s="392">
        <f t="shared" si="354"/>
        <v>0</v>
      </c>
    </row>
    <row r="884" spans="1:45">
      <c r="A884" t="str">
        <f t="shared" si="352"/>
        <v>CA_Orang_2020g~city of cypress member, city council (vote 1)</v>
      </c>
      <c r="B884" s="55" t="s">
        <v>3536</v>
      </c>
      <c r="D884" s="55" t="s">
        <v>3780</v>
      </c>
      <c r="E884" s="55" t="s">
        <v>3786</v>
      </c>
      <c r="G884" s="60">
        <v>2694</v>
      </c>
      <c r="H884"/>
      <c r="J884">
        <v>26387</v>
      </c>
      <c r="N884">
        <v>12499</v>
      </c>
      <c r="O884">
        <f t="shared" si="333"/>
        <v>8</v>
      </c>
      <c r="P884" s="57">
        <f t="shared" si="334"/>
        <v>1</v>
      </c>
      <c r="Q884" s="267">
        <f t="shared" si="335"/>
        <v>3807</v>
      </c>
      <c r="R884" s="23" t="str">
        <f t="shared" si="336"/>
        <v/>
      </c>
      <c r="S884" s="23">
        <f t="shared" si="337"/>
        <v>2694</v>
      </c>
      <c r="T884" s="23" t="str">
        <f t="shared" si="338"/>
        <v/>
      </c>
      <c r="U884" t="str">
        <f t="shared" si="339"/>
        <v/>
      </c>
      <c r="W884" s="290">
        <f t="shared" si="340"/>
        <v>56</v>
      </c>
      <c r="X884" s="298">
        <f t="shared" si="349"/>
        <v>98.613711583924356</v>
      </c>
      <c r="Y884" s="322">
        <f t="shared" si="341"/>
        <v>154.744</v>
      </c>
      <c r="Z884" s="299">
        <f t="shared" si="350"/>
        <v>5.9562025770219735</v>
      </c>
      <c r="AA884" s="300">
        <f t="shared" si="342"/>
        <v>5.9562025770219733E-2</v>
      </c>
      <c r="AB884" s="301">
        <f t="shared" si="343"/>
        <v>5396.56</v>
      </c>
      <c r="AC884" s="301">
        <f t="shared" si="344"/>
        <v>269828</v>
      </c>
      <c r="AD884" s="8">
        <f t="shared" si="348"/>
        <v>1349.14</v>
      </c>
      <c r="AE884" s="301" t="str">
        <f t="shared" si="345"/>
        <v/>
      </c>
      <c r="AF884" s="22" t="str">
        <f t="shared" si="346"/>
        <v>PA_Alleg_2019g</v>
      </c>
      <c r="AG884">
        <v>3</v>
      </c>
      <c r="AH884" s="272">
        <v>2242.6666666666665</v>
      </c>
      <c r="AI884" s="273">
        <v>1188</v>
      </c>
      <c r="AJ884" s="274">
        <v>1047</v>
      </c>
      <c r="AK884" s="339">
        <v>141</v>
      </c>
      <c r="AL884" s="340" t="s">
        <v>2326</v>
      </c>
      <c r="AM884" s="358">
        <f t="shared" si="347"/>
        <v>5.2255510918066328E-4</v>
      </c>
      <c r="AN884" s="361" t="s">
        <v>6903</v>
      </c>
      <c r="AO884" s="362" t="s">
        <v>6506</v>
      </c>
      <c r="AP884" s="23">
        <f t="shared" si="351"/>
        <v>0</v>
      </c>
      <c r="AQ884" s="392">
        <f t="shared" si="353"/>
        <v>0</v>
      </c>
      <c r="AR884" s="392">
        <f t="shared" si="354"/>
        <v>0</v>
      </c>
      <c r="AS884" s="392">
        <f t="shared" si="354"/>
        <v>0</v>
      </c>
    </row>
    <row r="885" spans="1:45">
      <c r="A885" t="str">
        <f t="shared" si="352"/>
        <v>CA_Orang_2020g~city of cypress member, city council (vote 1)</v>
      </c>
      <c r="B885" s="55" t="s">
        <v>3536</v>
      </c>
      <c r="D885" s="55" t="s">
        <v>3780</v>
      </c>
      <c r="E885" s="55" t="s">
        <v>3789</v>
      </c>
      <c r="G885" s="60">
        <v>1113</v>
      </c>
      <c r="H885"/>
      <c r="J885">
        <v>26387</v>
      </c>
      <c r="N885">
        <v>12499</v>
      </c>
      <c r="O885">
        <f t="shared" si="333"/>
        <v>9</v>
      </c>
      <c r="P885" s="57">
        <f t="shared" si="334"/>
        <v>1</v>
      </c>
      <c r="Q885" s="267">
        <f t="shared" si="335"/>
        <v>1113</v>
      </c>
      <c r="R885" s="23" t="str">
        <f t="shared" si="336"/>
        <v/>
      </c>
      <c r="S885" s="23">
        <f t="shared" si="337"/>
        <v>1113</v>
      </c>
      <c r="T885" s="23" t="str">
        <f t="shared" si="338"/>
        <v/>
      </c>
      <c r="U885" t="str">
        <f t="shared" si="339"/>
        <v/>
      </c>
      <c r="W885" s="290">
        <f t="shared" si="340"/>
        <v>57</v>
      </c>
      <c r="X885" s="298">
        <f t="shared" si="349"/>
        <v>95.728000000000009</v>
      </c>
      <c r="Y885" s="322">
        <f t="shared" si="341"/>
        <v>95.728000000000009</v>
      </c>
      <c r="Z885" s="299">
        <f t="shared" si="350"/>
        <v>22.308364129519891</v>
      </c>
      <c r="AA885" s="300">
        <f t="shared" si="342"/>
        <v>0.22308364129519892</v>
      </c>
      <c r="AB885" s="301">
        <f t="shared" si="343"/>
        <v>5396.56</v>
      </c>
      <c r="AC885" s="301">
        <f t="shared" si="344"/>
        <v>269828</v>
      </c>
      <c r="AD885" s="8">
        <f t="shared" si="348"/>
        <v>1349.14</v>
      </c>
      <c r="AE885" s="301" t="str">
        <f t="shared" si="345"/>
        <v/>
      </c>
      <c r="AF885" s="22" t="str">
        <f t="shared" si="346"/>
        <v>PA_Alleg_2019g</v>
      </c>
      <c r="AG885">
        <v>1</v>
      </c>
      <c r="AH885" s="272">
        <v>1158</v>
      </c>
      <c r="AI885" s="273">
        <v>614</v>
      </c>
      <c r="AJ885" s="274">
        <v>539</v>
      </c>
      <c r="AK885" s="339">
        <v>75</v>
      </c>
      <c r="AL885" s="340" t="s">
        <v>2249</v>
      </c>
      <c r="AM885" s="353">
        <f t="shared" si="347"/>
        <v>2.7795484530886345E-4</v>
      </c>
      <c r="AN885" s="361" t="s">
        <v>6919</v>
      </c>
      <c r="AO885" s="362" t="s">
        <v>6506</v>
      </c>
      <c r="AP885" s="23">
        <f t="shared" si="351"/>
        <v>0</v>
      </c>
      <c r="AQ885" s="392">
        <f t="shared" si="353"/>
        <v>0</v>
      </c>
      <c r="AR885" s="392">
        <f t="shared" si="354"/>
        <v>0</v>
      </c>
      <c r="AS885" s="392">
        <f t="shared" si="354"/>
        <v>0</v>
      </c>
    </row>
    <row r="886" spans="1:45">
      <c r="A886" t="str">
        <f t="shared" si="352"/>
        <v>CA_Orang_2020g~city of dana point member, city council, district 4 (vote 1)</v>
      </c>
      <c r="B886" s="55" t="s">
        <v>3536</v>
      </c>
      <c r="D886" s="55" t="s">
        <v>3790</v>
      </c>
      <c r="E886" s="55" t="s">
        <v>3791</v>
      </c>
      <c r="G886" s="60">
        <v>2135</v>
      </c>
      <c r="H886"/>
      <c r="J886">
        <v>3763</v>
      </c>
      <c r="N886">
        <v>299</v>
      </c>
      <c r="O886">
        <f t="shared" si="333"/>
        <v>1</v>
      </c>
      <c r="P886" s="57">
        <f t="shared" si="334"/>
        <v>1</v>
      </c>
      <c r="Q886" s="267">
        <f t="shared" si="335"/>
        <v>3449</v>
      </c>
      <c r="R886" s="23">
        <f t="shared" si="336"/>
        <v>2135</v>
      </c>
      <c r="S886" s="23">
        <f t="shared" si="337"/>
        <v>1314</v>
      </c>
      <c r="T886" s="23">
        <f t="shared" si="338"/>
        <v>821</v>
      </c>
      <c r="U886" t="str">
        <f t="shared" si="339"/>
        <v>CA_Orang_2020g~city of dana point member, city council, district 4 (vote 1)</v>
      </c>
      <c r="W886" s="290">
        <f t="shared" si="340"/>
        <v>58</v>
      </c>
      <c r="X886" s="298">
        <f t="shared" si="349"/>
        <v>91.283076923076919</v>
      </c>
      <c r="Y886" s="322">
        <f t="shared" si="341"/>
        <v>91.283076923076919</v>
      </c>
      <c r="Z886" s="299">
        <f t="shared" si="350"/>
        <v>27.248911615822951</v>
      </c>
      <c r="AA886" s="300">
        <f t="shared" si="342"/>
        <v>0.27248911615822952</v>
      </c>
      <c r="AB886" s="301">
        <f t="shared" si="343"/>
        <v>5396.56</v>
      </c>
      <c r="AC886" s="301">
        <f t="shared" si="344"/>
        <v>269828</v>
      </c>
      <c r="AD886" s="8">
        <f t="shared" si="348"/>
        <v>1349.14</v>
      </c>
      <c r="AE886" s="301" t="str">
        <f t="shared" si="345"/>
        <v/>
      </c>
      <c r="AF886" s="22" t="str">
        <f t="shared" si="346"/>
        <v>PA_Alleg_2019g</v>
      </c>
      <c r="AG886">
        <v>1</v>
      </c>
      <c r="AH886" s="272">
        <v>957</v>
      </c>
      <c r="AI886" s="273">
        <v>511</v>
      </c>
      <c r="AJ886" s="274">
        <v>446</v>
      </c>
      <c r="AK886" s="339">
        <v>65</v>
      </c>
      <c r="AL886" s="340" t="s">
        <v>2207</v>
      </c>
      <c r="AM886" s="353">
        <f t="shared" si="347"/>
        <v>2.4089419926768163E-4</v>
      </c>
      <c r="AN886" s="361" t="s">
        <v>6924</v>
      </c>
      <c r="AO886" s="362" t="s">
        <v>6506</v>
      </c>
      <c r="AP886" s="23">
        <f t="shared" si="351"/>
        <v>0</v>
      </c>
      <c r="AQ886" s="392">
        <f t="shared" si="353"/>
        <v>0</v>
      </c>
      <c r="AR886" s="392">
        <f t="shared" si="354"/>
        <v>0</v>
      </c>
      <c r="AS886" s="392">
        <f t="shared" si="354"/>
        <v>0</v>
      </c>
    </row>
    <row r="887" spans="1:45">
      <c r="A887" t="str">
        <f t="shared" si="352"/>
        <v>CA_Orang_2020g~city of dana point member, city council, district 4 (vote 1)</v>
      </c>
      <c r="B887" s="55" t="s">
        <v>3536</v>
      </c>
      <c r="D887" s="55" t="s">
        <v>3790</v>
      </c>
      <c r="E887" s="55" t="s">
        <v>3792</v>
      </c>
      <c r="G887" s="60">
        <v>1314</v>
      </c>
      <c r="H887"/>
      <c r="J887">
        <v>3763</v>
      </c>
      <c r="N887">
        <v>299</v>
      </c>
      <c r="O887">
        <f t="shared" si="333"/>
        <v>2</v>
      </c>
      <c r="P887" s="57">
        <f t="shared" si="334"/>
        <v>1</v>
      </c>
      <c r="Q887" s="267">
        <f t="shared" si="335"/>
        <v>1314</v>
      </c>
      <c r="R887" s="23" t="str">
        <f t="shared" si="336"/>
        <v/>
      </c>
      <c r="S887" s="23">
        <f t="shared" si="337"/>
        <v>1314</v>
      </c>
      <c r="T887" s="23" t="str">
        <f t="shared" si="338"/>
        <v/>
      </c>
      <c r="U887" t="str">
        <f t="shared" si="339"/>
        <v/>
      </c>
      <c r="W887" s="290">
        <f t="shared" si="340"/>
        <v>59</v>
      </c>
      <c r="X887" s="298">
        <f t="shared" si="349"/>
        <v>85.161428571428587</v>
      </c>
      <c r="Y887" s="322">
        <f t="shared" si="341"/>
        <v>132.68700000000001</v>
      </c>
      <c r="Z887" s="299">
        <f t="shared" si="350"/>
        <v>6.0765891650381949</v>
      </c>
      <c r="AA887" s="300">
        <f t="shared" si="342"/>
        <v>6.0765891650381945E-2</v>
      </c>
      <c r="AB887" s="301">
        <f t="shared" si="343"/>
        <v>5396.56</v>
      </c>
      <c r="AC887" s="301">
        <f t="shared" si="344"/>
        <v>269828</v>
      </c>
      <c r="AD887" s="8">
        <f t="shared" si="348"/>
        <v>1349.14</v>
      </c>
      <c r="AE887" s="301" t="str">
        <f t="shared" si="345"/>
        <v/>
      </c>
      <c r="AF887" s="22" t="str">
        <f t="shared" si="346"/>
        <v>PA_Alleg_2019g</v>
      </c>
      <c r="AG887">
        <v>1</v>
      </c>
      <c r="AH887" s="272">
        <v>1923</v>
      </c>
      <c r="AI887" s="273">
        <v>1031</v>
      </c>
      <c r="AJ887" s="274">
        <v>891</v>
      </c>
      <c r="AK887" s="339">
        <v>140</v>
      </c>
      <c r="AL887" s="340" t="s">
        <v>2254</v>
      </c>
      <c r="AM887" s="358">
        <f t="shared" si="347"/>
        <v>5.1884904457654508E-4</v>
      </c>
      <c r="AN887" s="361" t="s">
        <v>6904</v>
      </c>
      <c r="AO887" s="362" t="s">
        <v>6506</v>
      </c>
      <c r="AP887" s="23">
        <f t="shared" si="351"/>
        <v>0</v>
      </c>
      <c r="AQ887" s="392">
        <f t="shared" si="353"/>
        <v>0</v>
      </c>
      <c r="AR887" s="392">
        <f t="shared" si="354"/>
        <v>0</v>
      </c>
      <c r="AS887" s="392">
        <f t="shared" si="354"/>
        <v>0</v>
      </c>
    </row>
    <row r="888" spans="1:45">
      <c r="A888" t="str">
        <f t="shared" si="352"/>
        <v>CA_Orang_2020g~city of dana point member, city council, district 5 (vote 1)</v>
      </c>
      <c r="B888" s="55" t="s">
        <v>3536</v>
      </c>
      <c r="D888" s="55" t="s">
        <v>3793</v>
      </c>
      <c r="E888" s="55" t="s">
        <v>3795</v>
      </c>
      <c r="G888" s="60">
        <v>2990</v>
      </c>
      <c r="H888"/>
      <c r="J888">
        <v>4290</v>
      </c>
      <c r="N888">
        <v>622</v>
      </c>
      <c r="O888">
        <f t="shared" si="333"/>
        <v>1</v>
      </c>
      <c r="P888" s="57">
        <f t="shared" si="334"/>
        <v>1</v>
      </c>
      <c r="Q888" s="267">
        <f t="shared" si="335"/>
        <v>3640</v>
      </c>
      <c r="R888" s="23">
        <f t="shared" si="336"/>
        <v>2990</v>
      </c>
      <c r="S888" s="23">
        <f t="shared" si="337"/>
        <v>650</v>
      </c>
      <c r="T888" s="23">
        <f t="shared" si="338"/>
        <v>2340</v>
      </c>
      <c r="U888" t="str">
        <f t="shared" si="339"/>
        <v>CA_Orang_2020g~city of dana point member, city council, district 5 (vote 1)</v>
      </c>
      <c r="W888" s="290">
        <f t="shared" si="340"/>
        <v>60</v>
      </c>
      <c r="X888" s="291">
        <f t="shared" si="349"/>
        <v>84.674285714285716</v>
      </c>
      <c r="Y888" s="322">
        <f t="shared" si="341"/>
        <v>84.674285714285716</v>
      </c>
      <c r="Z888" s="292">
        <f t="shared" si="350"/>
        <v>24.655217895279709</v>
      </c>
      <c r="AA888" s="293">
        <f t="shared" si="342"/>
        <v>0.2465521789527971</v>
      </c>
      <c r="AB888" s="294">
        <f t="shared" si="343"/>
        <v>5396.56</v>
      </c>
      <c r="AC888" s="294">
        <f t="shared" si="344"/>
        <v>269828</v>
      </c>
      <c r="AD888" s="8">
        <f t="shared" si="348"/>
        <v>1349.14</v>
      </c>
      <c r="AE888" s="294" t="str">
        <f t="shared" si="345"/>
        <v/>
      </c>
      <c r="AF888" s="22" t="str">
        <f t="shared" si="346"/>
        <v>PA_Alleg_2019g</v>
      </c>
      <c r="AG888">
        <v>1</v>
      </c>
      <c r="AH888" s="272">
        <v>956</v>
      </c>
      <c r="AI888" s="273">
        <v>512</v>
      </c>
      <c r="AJ888" s="274">
        <v>442</v>
      </c>
      <c r="AK888" s="339">
        <v>70</v>
      </c>
      <c r="AL888" s="340" t="s">
        <v>2210</v>
      </c>
      <c r="AM888" s="353">
        <f t="shared" si="347"/>
        <v>2.5942452228827254E-4</v>
      </c>
      <c r="AN888" s="361" t="s">
        <v>6921</v>
      </c>
      <c r="AO888" s="362" t="s">
        <v>6506</v>
      </c>
      <c r="AP888" s="23">
        <f t="shared" si="351"/>
        <v>0</v>
      </c>
      <c r="AQ888" s="392">
        <f t="shared" si="353"/>
        <v>0</v>
      </c>
      <c r="AR888" s="392">
        <f t="shared" si="354"/>
        <v>0</v>
      </c>
      <c r="AS888" s="392">
        <f t="shared" si="354"/>
        <v>0</v>
      </c>
    </row>
    <row r="889" spans="1:45">
      <c r="A889" t="str">
        <f t="shared" si="352"/>
        <v>CA_Orang_2020g~city of dana point member, city council, district 5 (vote 1)</v>
      </c>
      <c r="B889" s="55" t="s">
        <v>3536</v>
      </c>
      <c r="D889" s="55" t="s">
        <v>3793</v>
      </c>
      <c r="E889" s="55" t="s">
        <v>3794</v>
      </c>
      <c r="G889" s="60">
        <v>650</v>
      </c>
      <c r="H889"/>
      <c r="J889">
        <v>4290</v>
      </c>
      <c r="N889">
        <v>622</v>
      </c>
      <c r="O889">
        <f t="shared" si="333"/>
        <v>2</v>
      </c>
      <c r="P889" s="57">
        <f t="shared" si="334"/>
        <v>1</v>
      </c>
      <c r="Q889" s="267">
        <f t="shared" si="335"/>
        <v>650</v>
      </c>
      <c r="R889" s="23" t="str">
        <f t="shared" si="336"/>
        <v/>
      </c>
      <c r="S889" s="23">
        <f t="shared" si="337"/>
        <v>650</v>
      </c>
      <c r="T889" s="23" t="str">
        <f t="shared" si="338"/>
        <v/>
      </c>
      <c r="U889" t="str">
        <f t="shared" si="339"/>
        <v/>
      </c>
      <c r="W889" s="290">
        <f t="shared" si="340"/>
        <v>61</v>
      </c>
      <c r="X889" s="298">
        <f t="shared" si="349"/>
        <v>68.820000000000007</v>
      </c>
      <c r="Y889" s="322">
        <f t="shared" si="341"/>
        <v>68.820000000000007</v>
      </c>
      <c r="Z889" s="299">
        <f t="shared" si="350"/>
        <v>44.930231839924737</v>
      </c>
      <c r="AA889" s="300">
        <f t="shared" si="342"/>
        <v>0.44930231839924734</v>
      </c>
      <c r="AB889" s="301">
        <f t="shared" si="343"/>
        <v>5396.56</v>
      </c>
      <c r="AC889" s="301">
        <f t="shared" si="344"/>
        <v>269828</v>
      </c>
      <c r="AD889" s="8">
        <f t="shared" si="348"/>
        <v>1349.14</v>
      </c>
      <c r="AE889" s="301" t="str">
        <f t="shared" si="345"/>
        <v/>
      </c>
      <c r="AF889" s="22" t="str">
        <f t="shared" si="346"/>
        <v>PA_Alleg_2019g</v>
      </c>
      <c r="AG889">
        <v>1</v>
      </c>
      <c r="AH889" s="272">
        <v>444</v>
      </c>
      <c r="AI889" s="273">
        <v>242</v>
      </c>
      <c r="AJ889" s="274">
        <v>202</v>
      </c>
      <c r="AK889" s="339">
        <v>40</v>
      </c>
      <c r="AL889" s="340" t="s">
        <v>2209</v>
      </c>
      <c r="AM889" s="353">
        <f t="shared" si="347"/>
        <v>1.4824258416472715E-4</v>
      </c>
      <c r="AN889" s="361" t="s">
        <v>6931</v>
      </c>
      <c r="AO889" s="362" t="s">
        <v>6506</v>
      </c>
      <c r="AP889" s="23">
        <f t="shared" si="351"/>
        <v>0</v>
      </c>
      <c r="AQ889" s="392">
        <f t="shared" si="353"/>
        <v>0</v>
      </c>
      <c r="AR889" s="392">
        <f t="shared" si="354"/>
        <v>0</v>
      </c>
      <c r="AS889" s="392">
        <f t="shared" si="354"/>
        <v>0</v>
      </c>
    </row>
    <row r="890" spans="1:45">
      <c r="A890" t="str">
        <f t="shared" si="352"/>
        <v>CA_Orang_2020g~city of fountain valley member, city council (vote 1)</v>
      </c>
      <c r="B890" s="55" t="s">
        <v>3536</v>
      </c>
      <c r="D890" s="55" t="s">
        <v>3796</v>
      </c>
      <c r="E890" s="55" t="s">
        <v>3799</v>
      </c>
      <c r="G890" s="60">
        <v>10444</v>
      </c>
      <c r="H890"/>
      <c r="J890">
        <v>32563</v>
      </c>
      <c r="N890">
        <v>15283</v>
      </c>
      <c r="O890">
        <f t="shared" si="333"/>
        <v>1</v>
      </c>
      <c r="P890" s="57">
        <f t="shared" si="334"/>
        <v>1</v>
      </c>
      <c r="Q890" s="267">
        <f t="shared" si="335"/>
        <v>49635</v>
      </c>
      <c r="R890" s="23">
        <f t="shared" si="336"/>
        <v>10444</v>
      </c>
      <c r="S890" s="23">
        <f t="shared" si="337"/>
        <v>9218</v>
      </c>
      <c r="T890" s="23">
        <f t="shared" si="338"/>
        <v>1226</v>
      </c>
      <c r="U890" t="str">
        <f t="shared" si="339"/>
        <v>CA_Orang_2020g~city of fountain valley member, city council (vote 1)</v>
      </c>
      <c r="W890" s="290">
        <f t="shared" si="340"/>
        <v>62</v>
      </c>
      <c r="X890" s="298">
        <f t="shared" si="349"/>
        <v>61.738947368421051</v>
      </c>
      <c r="Y890" s="322">
        <f t="shared" si="341"/>
        <v>65.274000000000001</v>
      </c>
      <c r="Z890" s="299">
        <f t="shared" si="350"/>
        <v>14.951858928206033</v>
      </c>
      <c r="AA890" s="300">
        <f t="shared" si="342"/>
        <v>0.14951858928206033</v>
      </c>
      <c r="AB890" s="301">
        <f t="shared" si="343"/>
        <v>5396.56</v>
      </c>
      <c r="AC890" s="301">
        <f t="shared" si="344"/>
        <v>269828</v>
      </c>
      <c r="AD890" s="8">
        <f t="shared" si="348"/>
        <v>1349.14</v>
      </c>
      <c r="AE890" s="301" t="str">
        <f t="shared" si="345"/>
        <v/>
      </c>
      <c r="AF890" s="22" t="str">
        <f t="shared" si="346"/>
        <v>PA_Alleg_2019g</v>
      </c>
      <c r="AG890">
        <v>1</v>
      </c>
      <c r="AH890" s="272">
        <v>946</v>
      </c>
      <c r="AI890" s="273">
        <v>520</v>
      </c>
      <c r="AJ890" s="274">
        <v>425</v>
      </c>
      <c r="AK890" s="339">
        <v>95</v>
      </c>
      <c r="AL890" s="340" t="s">
        <v>2204</v>
      </c>
      <c r="AM890" s="358">
        <f t="shared" si="347"/>
        <v>3.5207613739122703E-4</v>
      </c>
      <c r="AN890" s="361" t="s">
        <v>6913</v>
      </c>
      <c r="AO890" s="362" t="s">
        <v>6506</v>
      </c>
      <c r="AP890" s="23">
        <f t="shared" si="351"/>
        <v>0</v>
      </c>
      <c r="AQ890" s="392">
        <f t="shared" si="353"/>
        <v>0</v>
      </c>
      <c r="AR890" s="392">
        <f t="shared" si="354"/>
        <v>0</v>
      </c>
      <c r="AS890" s="392">
        <f t="shared" si="354"/>
        <v>0</v>
      </c>
    </row>
    <row r="891" spans="1:45">
      <c r="A891" t="str">
        <f t="shared" si="352"/>
        <v>CA_Orang_2020g~city of fountain valley member, city council (vote 1)</v>
      </c>
      <c r="B891" s="55" t="s">
        <v>3536</v>
      </c>
      <c r="D891" s="55" t="s">
        <v>3796</v>
      </c>
      <c r="E891" s="55" t="s">
        <v>3800</v>
      </c>
      <c r="G891" s="60">
        <v>9218</v>
      </c>
      <c r="H891"/>
      <c r="J891">
        <v>32563</v>
      </c>
      <c r="N891">
        <v>15283</v>
      </c>
      <c r="O891">
        <f t="shared" si="333"/>
        <v>2</v>
      </c>
      <c r="P891" s="57">
        <f t="shared" si="334"/>
        <v>1</v>
      </c>
      <c r="Q891" s="267">
        <f t="shared" si="335"/>
        <v>39191</v>
      </c>
      <c r="R891" s="23" t="str">
        <f t="shared" si="336"/>
        <v/>
      </c>
      <c r="S891" s="23">
        <f t="shared" si="337"/>
        <v>9218</v>
      </c>
      <c r="T891" s="23" t="str">
        <f t="shared" si="338"/>
        <v/>
      </c>
      <c r="U891" t="str">
        <f t="shared" si="339"/>
        <v/>
      </c>
      <c r="W891" s="290">
        <f t="shared" si="340"/>
        <v>63</v>
      </c>
      <c r="X891" s="298">
        <f t="shared" si="349"/>
        <v>59.044859813084116</v>
      </c>
      <c r="Y891" s="322">
        <f t="shared" si="341"/>
        <v>210.93300000000002</v>
      </c>
      <c r="Z891" s="299">
        <f t="shared" si="350"/>
        <v>0.16224437196914676</v>
      </c>
      <c r="AA891" s="300">
        <f t="shared" si="342"/>
        <v>1.6224437196914676E-3</v>
      </c>
      <c r="AB891" s="301">
        <f t="shared" si="343"/>
        <v>5396.56</v>
      </c>
      <c r="AC891" s="301">
        <f t="shared" si="344"/>
        <v>269828</v>
      </c>
      <c r="AD891" s="8">
        <f t="shared" si="348"/>
        <v>1349.14</v>
      </c>
      <c r="AE891" s="301" t="str">
        <f t="shared" si="345"/>
        <v/>
      </c>
      <c r="AF891" s="22" t="str">
        <f t="shared" si="346"/>
        <v>PA_Alleg_2019g</v>
      </c>
      <c r="AG891">
        <v>1</v>
      </c>
      <c r="AH891" s="272">
        <v>3057</v>
      </c>
      <c r="AI891" s="273">
        <v>1687</v>
      </c>
      <c r="AJ891" s="274">
        <v>1366</v>
      </c>
      <c r="AK891" s="339">
        <v>321</v>
      </c>
      <c r="AL891" s="340" t="s">
        <v>2327</v>
      </c>
      <c r="AM891" s="358">
        <f t="shared" si="347"/>
        <v>1.1896467379219355E-3</v>
      </c>
      <c r="AN891" s="361" t="s">
        <v>6887</v>
      </c>
      <c r="AO891" s="362" t="s">
        <v>6506</v>
      </c>
      <c r="AP891" s="23">
        <f t="shared" si="351"/>
        <v>0</v>
      </c>
      <c r="AQ891" s="392">
        <f t="shared" si="353"/>
        <v>0</v>
      </c>
      <c r="AR891" s="392">
        <f t="shared" si="354"/>
        <v>0</v>
      </c>
      <c r="AS891" s="392">
        <f t="shared" si="354"/>
        <v>0</v>
      </c>
    </row>
    <row r="892" spans="1:45">
      <c r="A892" t="str">
        <f t="shared" si="352"/>
        <v>CA_Orang_2020g~city of fountain valley member, city council (vote 1)</v>
      </c>
      <c r="B892" s="55" t="s">
        <v>3536</v>
      </c>
      <c r="D892" s="55" t="s">
        <v>3796</v>
      </c>
      <c r="E892" s="55" t="s">
        <v>3801</v>
      </c>
      <c r="G892" s="60">
        <v>8505</v>
      </c>
      <c r="H892"/>
      <c r="J892">
        <v>32563</v>
      </c>
      <c r="N892">
        <v>15283</v>
      </c>
      <c r="O892">
        <f t="shared" si="333"/>
        <v>3</v>
      </c>
      <c r="P892" s="57">
        <f t="shared" si="334"/>
        <v>1</v>
      </c>
      <c r="Q892" s="267">
        <f t="shared" si="335"/>
        <v>29973</v>
      </c>
      <c r="R892" s="23" t="str">
        <f t="shared" si="336"/>
        <v/>
      </c>
      <c r="S892" s="23">
        <f t="shared" si="337"/>
        <v>8505</v>
      </c>
      <c r="T892" s="23" t="str">
        <f t="shared" si="338"/>
        <v/>
      </c>
      <c r="U892" t="str">
        <f t="shared" si="339"/>
        <v/>
      </c>
      <c r="W892" s="290">
        <f t="shared" si="340"/>
        <v>64</v>
      </c>
      <c r="X892" s="298">
        <f t="shared" si="349"/>
        <v>56.984269662921349</v>
      </c>
      <c r="Y892" s="322">
        <f t="shared" si="341"/>
        <v>56.984269662921349</v>
      </c>
      <c r="Z892" s="299">
        <f t="shared" si="350"/>
        <v>16.858863867662688</v>
      </c>
      <c r="AA892" s="300">
        <f t="shared" si="342"/>
        <v>0.16858863867662688</v>
      </c>
      <c r="AB892" s="301">
        <f t="shared" si="343"/>
        <v>5396.56</v>
      </c>
      <c r="AC892" s="301">
        <f t="shared" si="344"/>
        <v>269828</v>
      </c>
      <c r="AD892" s="8">
        <f t="shared" si="348"/>
        <v>1349.14</v>
      </c>
      <c r="AE892" s="301" t="str">
        <f t="shared" si="345"/>
        <v/>
      </c>
      <c r="AF892" s="22" t="str">
        <f t="shared" si="346"/>
        <v>PA_Alleg_2019g</v>
      </c>
      <c r="AG892">
        <v>1</v>
      </c>
      <c r="AH892" s="272">
        <v>818</v>
      </c>
      <c r="AI892" s="273">
        <v>333</v>
      </c>
      <c r="AJ892" s="274">
        <v>244</v>
      </c>
      <c r="AK892" s="339">
        <v>89</v>
      </c>
      <c r="AL892" s="340" t="s">
        <v>2322</v>
      </c>
      <c r="AM892" s="358">
        <f t="shared" si="347"/>
        <v>3.2983974976651793E-4</v>
      </c>
      <c r="AN892" s="361" t="s">
        <v>6915</v>
      </c>
      <c r="AO892" s="362" t="s">
        <v>6506</v>
      </c>
      <c r="AP892" s="23">
        <f t="shared" si="351"/>
        <v>0</v>
      </c>
      <c r="AQ892" s="392">
        <f t="shared" si="353"/>
        <v>0</v>
      </c>
      <c r="AR892" s="392">
        <f t="shared" si="354"/>
        <v>0</v>
      </c>
      <c r="AS892" s="392">
        <f t="shared" si="354"/>
        <v>0</v>
      </c>
    </row>
    <row r="893" spans="1:45">
      <c r="A893" t="str">
        <f t="shared" si="352"/>
        <v>CA_Orang_2020g~city of fountain valley member, city council (vote 1)</v>
      </c>
      <c r="B893" s="55" t="s">
        <v>3536</v>
      </c>
      <c r="D893" s="55" t="s">
        <v>3796</v>
      </c>
      <c r="E893" s="55" t="s">
        <v>3798</v>
      </c>
      <c r="G893" s="60">
        <v>8276</v>
      </c>
      <c r="H893"/>
      <c r="J893">
        <v>32563</v>
      </c>
      <c r="N893">
        <v>15283</v>
      </c>
      <c r="O893">
        <f t="shared" si="333"/>
        <v>4</v>
      </c>
      <c r="P893" s="57">
        <f t="shared" si="334"/>
        <v>1</v>
      </c>
      <c r="Q893" s="267">
        <f t="shared" si="335"/>
        <v>21468</v>
      </c>
      <c r="R893" s="23" t="str">
        <f t="shared" si="336"/>
        <v/>
      </c>
      <c r="S893" s="23">
        <f t="shared" si="337"/>
        <v>8276</v>
      </c>
      <c r="T893" s="23" t="str">
        <f t="shared" si="338"/>
        <v/>
      </c>
      <c r="U893" t="str">
        <f t="shared" si="339"/>
        <v/>
      </c>
      <c r="W893" s="290">
        <f t="shared" si="340"/>
        <v>65</v>
      </c>
      <c r="X893" s="298">
        <f t="shared" si="349"/>
        <v>54.49111111111111</v>
      </c>
      <c r="Y893" s="322">
        <f t="shared" si="341"/>
        <v>272.89500000000004</v>
      </c>
      <c r="Z893" s="299">
        <f t="shared" si="350"/>
        <v>1.2248608390173178E-2</v>
      </c>
      <c r="AA893" s="300">
        <f t="shared" si="342"/>
        <v>1.2248608390173177E-4</v>
      </c>
      <c r="AB893" s="301">
        <f t="shared" si="343"/>
        <v>5396.56</v>
      </c>
      <c r="AC893" s="301">
        <f t="shared" si="344"/>
        <v>269828</v>
      </c>
      <c r="AD893" s="8">
        <f t="shared" si="348"/>
        <v>1349.14</v>
      </c>
      <c r="AE893" s="301" t="str">
        <f t="shared" si="345"/>
        <v/>
      </c>
      <c r="AF893" s="22" t="str">
        <f t="shared" si="346"/>
        <v>PA_Alleg_2019g</v>
      </c>
      <c r="AG893">
        <v>2</v>
      </c>
      <c r="AH893" s="272">
        <v>3955</v>
      </c>
      <c r="AI893" s="273">
        <v>2731</v>
      </c>
      <c r="AJ893" s="274">
        <v>2281</v>
      </c>
      <c r="AK893" s="339">
        <v>450</v>
      </c>
      <c r="AL893" s="340" t="s">
        <v>2325</v>
      </c>
      <c r="AM893" s="358">
        <f t="shared" si="347"/>
        <v>1.6677290718531805E-3</v>
      </c>
      <c r="AN893" s="361" t="s">
        <v>6882</v>
      </c>
      <c r="AO893" s="362" t="s">
        <v>6506</v>
      </c>
      <c r="AP893" s="23">
        <f t="shared" si="351"/>
        <v>0</v>
      </c>
      <c r="AQ893" s="392">
        <f t="shared" si="353"/>
        <v>0</v>
      </c>
      <c r="AR893" s="392">
        <f t="shared" si="354"/>
        <v>0</v>
      </c>
      <c r="AS893" s="392">
        <f t="shared" si="354"/>
        <v>0</v>
      </c>
    </row>
    <row r="894" spans="1:45">
      <c r="A894" t="str">
        <f t="shared" si="352"/>
        <v>CA_Orang_2020g~city of fountain valley member, city council (vote 1)</v>
      </c>
      <c r="B894" s="55" t="s">
        <v>3536</v>
      </c>
      <c r="D894" s="55" t="s">
        <v>3796</v>
      </c>
      <c r="E894" s="55" t="s">
        <v>3797</v>
      </c>
      <c r="G894" s="60">
        <v>6846</v>
      </c>
      <c r="H894"/>
      <c r="J894">
        <v>32563</v>
      </c>
      <c r="N894">
        <v>15283</v>
      </c>
      <c r="O894">
        <f t="shared" si="333"/>
        <v>5</v>
      </c>
      <c r="P894" s="57">
        <f t="shared" si="334"/>
        <v>1</v>
      </c>
      <c r="Q894" s="267">
        <f t="shared" si="335"/>
        <v>13192</v>
      </c>
      <c r="R894" s="23" t="str">
        <f t="shared" si="336"/>
        <v/>
      </c>
      <c r="S894" s="23">
        <f t="shared" si="337"/>
        <v>6846</v>
      </c>
      <c r="T894" s="23" t="str">
        <f t="shared" si="338"/>
        <v/>
      </c>
      <c r="U894" t="str">
        <f t="shared" si="339"/>
        <v/>
      </c>
      <c r="W894" s="290">
        <f t="shared" si="340"/>
        <v>66</v>
      </c>
      <c r="X894" s="291">
        <f t="shared" si="349"/>
        <v>51.778378378378385</v>
      </c>
      <c r="Y894" s="322">
        <f t="shared" si="341"/>
        <v>51.778378378378385</v>
      </c>
      <c r="Z894" s="292">
        <f t="shared" si="350"/>
        <v>47.708970705872908</v>
      </c>
      <c r="AA894" s="293">
        <f t="shared" si="342"/>
        <v>0.47708970705872905</v>
      </c>
      <c r="AB894" s="294">
        <f t="shared" si="343"/>
        <v>5396.56</v>
      </c>
      <c r="AC894" s="294">
        <f t="shared" si="344"/>
        <v>269828</v>
      </c>
      <c r="AD894" s="8">
        <f t="shared" si="348"/>
        <v>1349.14</v>
      </c>
      <c r="AE894" s="294" t="str">
        <f t="shared" si="345"/>
        <v/>
      </c>
      <c r="AF894" s="22" t="str">
        <f t="shared" si="346"/>
        <v>PA_Alleg_2019g</v>
      </c>
      <c r="AG894">
        <v>1</v>
      </c>
      <c r="AH894" s="272">
        <v>309</v>
      </c>
      <c r="AI894" s="273">
        <v>173</v>
      </c>
      <c r="AJ894" s="274">
        <v>136</v>
      </c>
      <c r="AK894" s="339">
        <v>37</v>
      </c>
      <c r="AL894" s="340" t="s">
        <v>2323</v>
      </c>
      <c r="AM894" s="353">
        <f t="shared" si="347"/>
        <v>1.3712439035237263E-4</v>
      </c>
      <c r="AN894" s="361" t="s">
        <v>6934</v>
      </c>
      <c r="AO894" s="362" t="s">
        <v>6506</v>
      </c>
      <c r="AP894" s="23">
        <f t="shared" si="351"/>
        <v>0</v>
      </c>
      <c r="AQ894" s="392">
        <f t="shared" si="353"/>
        <v>0</v>
      </c>
      <c r="AR894" s="392">
        <f t="shared" si="354"/>
        <v>0</v>
      </c>
      <c r="AS894" s="392">
        <f t="shared" si="354"/>
        <v>0</v>
      </c>
    </row>
    <row r="895" spans="1:45">
      <c r="A895" t="str">
        <f t="shared" si="352"/>
        <v>CA_Orang_2020g~city of fountain valley member, city council (vote 1)</v>
      </c>
      <c r="B895" s="55" t="s">
        <v>3536</v>
      </c>
      <c r="D895" s="55" t="s">
        <v>3796</v>
      </c>
      <c r="E895" s="55" t="s">
        <v>3712</v>
      </c>
      <c r="G895" s="60">
        <v>3549</v>
      </c>
      <c r="H895"/>
      <c r="J895">
        <v>32563</v>
      </c>
      <c r="N895">
        <v>15283</v>
      </c>
      <c r="O895">
        <f t="shared" si="333"/>
        <v>6</v>
      </c>
      <c r="P895" s="57">
        <f t="shared" si="334"/>
        <v>1</v>
      </c>
      <c r="Q895" s="267">
        <f t="shared" si="335"/>
        <v>6346</v>
      </c>
      <c r="R895" s="23" t="str">
        <f t="shared" si="336"/>
        <v/>
      </c>
      <c r="S895" s="23">
        <f t="shared" si="337"/>
        <v>3549</v>
      </c>
      <c r="T895" s="23" t="str">
        <f t="shared" si="338"/>
        <v/>
      </c>
      <c r="U895" t="str">
        <f t="shared" si="339"/>
        <v/>
      </c>
      <c r="W895" s="290">
        <f t="shared" si="340"/>
        <v>67</v>
      </c>
      <c r="X895" s="298">
        <f t="shared" si="349"/>
        <v>49.109352517985613</v>
      </c>
      <c r="Y895" s="322">
        <f t="shared" si="341"/>
        <v>75.969000000000008</v>
      </c>
      <c r="Z895" s="299">
        <f t="shared" si="350"/>
        <v>6.1994085431787669</v>
      </c>
      <c r="AA895" s="300">
        <f t="shared" si="342"/>
        <v>6.1994085431787672E-2</v>
      </c>
      <c r="AB895" s="301">
        <f t="shared" si="343"/>
        <v>5396.56</v>
      </c>
      <c r="AC895" s="301">
        <f t="shared" si="344"/>
        <v>269828</v>
      </c>
      <c r="AD895" s="8">
        <f t="shared" si="348"/>
        <v>1349.14</v>
      </c>
      <c r="AE895" s="301" t="str">
        <f t="shared" si="345"/>
        <v/>
      </c>
      <c r="AF895" s="22" t="str">
        <f t="shared" si="346"/>
        <v>PA_Alleg_2019g</v>
      </c>
      <c r="AG895">
        <v>1</v>
      </c>
      <c r="AH895" s="272">
        <v>1101</v>
      </c>
      <c r="AI895" s="273">
        <v>620</v>
      </c>
      <c r="AJ895" s="274">
        <v>481</v>
      </c>
      <c r="AK895" s="339">
        <v>139</v>
      </c>
      <c r="AL895" s="340" t="s">
        <v>2250</v>
      </c>
      <c r="AM895" s="358">
        <f t="shared" si="347"/>
        <v>5.1514297997242689E-4</v>
      </c>
      <c r="AN895" s="361" t="s">
        <v>6905</v>
      </c>
      <c r="AO895" s="362" t="s">
        <v>6506</v>
      </c>
      <c r="AP895" s="23">
        <f t="shared" si="351"/>
        <v>0</v>
      </c>
      <c r="AQ895" s="392">
        <f t="shared" si="353"/>
        <v>0</v>
      </c>
      <c r="AR895" s="392">
        <f t="shared" si="354"/>
        <v>0</v>
      </c>
      <c r="AS895" s="392">
        <f t="shared" si="354"/>
        <v>0</v>
      </c>
    </row>
    <row r="896" spans="1:45">
      <c r="A896" t="str">
        <f t="shared" si="352"/>
        <v>CA_Orang_2020g~city of fountain valley member, city council (vote 1)</v>
      </c>
      <c r="B896" s="55" t="s">
        <v>3536</v>
      </c>
      <c r="D896" s="55" t="s">
        <v>3796</v>
      </c>
      <c r="E896" s="55" t="s">
        <v>3802</v>
      </c>
      <c r="G896" s="60">
        <v>2797</v>
      </c>
      <c r="H896"/>
      <c r="J896">
        <v>32563</v>
      </c>
      <c r="N896">
        <v>15283</v>
      </c>
      <c r="O896">
        <f t="shared" si="333"/>
        <v>7</v>
      </c>
      <c r="P896" s="57">
        <f t="shared" si="334"/>
        <v>1</v>
      </c>
      <c r="Q896" s="267">
        <f t="shared" si="335"/>
        <v>2797</v>
      </c>
      <c r="R896" s="23" t="str">
        <f t="shared" si="336"/>
        <v/>
      </c>
      <c r="S896" s="23">
        <f t="shared" si="337"/>
        <v>2797</v>
      </c>
      <c r="T896" s="23" t="str">
        <f t="shared" si="338"/>
        <v/>
      </c>
      <c r="U896" t="str">
        <f t="shared" si="339"/>
        <v/>
      </c>
      <c r="W896" s="290">
        <f t="shared" si="340"/>
        <v>68</v>
      </c>
      <c r="X896" s="298">
        <f t="shared" si="349"/>
        <v>49.071143375680577</v>
      </c>
      <c r="Y896" s="322">
        <f t="shared" si="341"/>
        <v>300.90900000000005</v>
      </c>
      <c r="Z896" s="299">
        <f t="shared" si="350"/>
        <v>1.6187568444952884E-3</v>
      </c>
      <c r="AA896" s="300">
        <f t="shared" si="342"/>
        <v>1.6187568444952885E-5</v>
      </c>
      <c r="AB896" s="301">
        <f t="shared" si="343"/>
        <v>5396.56</v>
      </c>
      <c r="AC896" s="301">
        <f t="shared" si="344"/>
        <v>269828</v>
      </c>
      <c r="AD896" s="8">
        <f t="shared" si="348"/>
        <v>1349.14</v>
      </c>
      <c r="AE896" s="301" t="str">
        <f t="shared" si="345"/>
        <v/>
      </c>
      <c r="AF896" s="22" t="str">
        <f t="shared" si="346"/>
        <v>PA_Alleg_2019g</v>
      </c>
      <c r="AG896">
        <v>1</v>
      </c>
      <c r="AH896" s="272">
        <v>4361</v>
      </c>
      <c r="AI896" s="273">
        <v>1814</v>
      </c>
      <c r="AJ896" s="274">
        <v>1263</v>
      </c>
      <c r="AK896" s="339">
        <v>551</v>
      </c>
      <c r="AL896" s="340" t="s">
        <v>2188</v>
      </c>
      <c r="AM896" s="358">
        <f t="shared" si="347"/>
        <v>2.0420415968691167E-3</v>
      </c>
      <c r="AN896" s="361" t="s">
        <v>6513</v>
      </c>
      <c r="AO896" s="362" t="s">
        <v>6506</v>
      </c>
      <c r="AP896" s="23">
        <f t="shared" si="351"/>
        <v>0</v>
      </c>
      <c r="AQ896" s="392">
        <f t="shared" si="353"/>
        <v>0</v>
      </c>
      <c r="AR896" s="392">
        <f t="shared" si="354"/>
        <v>0</v>
      </c>
      <c r="AS896" s="392">
        <f t="shared" si="354"/>
        <v>0</v>
      </c>
    </row>
    <row r="897" spans="1:45">
      <c r="A897" t="str">
        <f t="shared" si="352"/>
        <v>CA_Orang_2020g~city of fullerton member, city council, district 1 (vote 1)</v>
      </c>
      <c r="B897" s="55" t="s">
        <v>3536</v>
      </c>
      <c r="D897" s="55" t="s">
        <v>3803</v>
      </c>
      <c r="E897" s="55" t="s">
        <v>3804</v>
      </c>
      <c r="G897" s="60">
        <v>6400</v>
      </c>
      <c r="H897"/>
      <c r="J897">
        <v>13662</v>
      </c>
      <c r="N897">
        <v>1105</v>
      </c>
      <c r="O897">
        <f t="shared" si="333"/>
        <v>1</v>
      </c>
      <c r="P897" s="57">
        <f t="shared" si="334"/>
        <v>1</v>
      </c>
      <c r="Q897" s="267">
        <f t="shared" si="335"/>
        <v>12483</v>
      </c>
      <c r="R897" s="23">
        <f t="shared" si="336"/>
        <v>6400</v>
      </c>
      <c r="S897" s="23">
        <f t="shared" si="337"/>
        <v>6083</v>
      </c>
      <c r="T897" s="23">
        <f t="shared" si="338"/>
        <v>317</v>
      </c>
      <c r="U897" t="str">
        <f t="shared" si="339"/>
        <v>CA_Orang_2020g~city of fullerton member, city council, district 1 (vote 1)</v>
      </c>
      <c r="W897" s="290">
        <f t="shared" si="340"/>
        <v>69</v>
      </c>
      <c r="X897" s="291">
        <f t="shared" si="349"/>
        <v>47.621276595744682</v>
      </c>
      <c r="Y897" s="322">
        <f t="shared" si="341"/>
        <v>47.621276595744682</v>
      </c>
      <c r="Z897" s="292">
        <f t="shared" si="350"/>
        <v>39.059585343763395</v>
      </c>
      <c r="AA897" s="293">
        <f t="shared" si="342"/>
        <v>0.39059585343763392</v>
      </c>
      <c r="AB897" s="294">
        <f t="shared" si="343"/>
        <v>5396.56</v>
      </c>
      <c r="AC897" s="294">
        <f t="shared" si="344"/>
        <v>269828</v>
      </c>
      <c r="AD897" s="8">
        <f t="shared" si="348"/>
        <v>1349.14</v>
      </c>
      <c r="AE897" s="294" t="str">
        <f t="shared" si="345"/>
        <v/>
      </c>
      <c r="AF897" s="22" t="str">
        <f t="shared" si="346"/>
        <v>PA_Alleg_2019g</v>
      </c>
      <c r="AG897">
        <v>3</v>
      </c>
      <c r="AH897" s="272">
        <v>361</v>
      </c>
      <c r="AI897" s="273">
        <v>265</v>
      </c>
      <c r="AJ897" s="274">
        <v>218</v>
      </c>
      <c r="AK897" s="339">
        <v>47</v>
      </c>
      <c r="AL897" s="340" t="s">
        <v>2212</v>
      </c>
      <c r="AM897" s="353">
        <f t="shared" si="347"/>
        <v>1.7418503639355442E-4</v>
      </c>
      <c r="AN897" s="361" t="s">
        <v>6930</v>
      </c>
      <c r="AO897" s="362" t="s">
        <v>6506</v>
      </c>
      <c r="AP897" s="23">
        <f t="shared" si="351"/>
        <v>0</v>
      </c>
      <c r="AQ897" s="392">
        <f t="shared" si="353"/>
        <v>0</v>
      </c>
      <c r="AR897" s="392">
        <f t="shared" si="354"/>
        <v>0</v>
      </c>
      <c r="AS897" s="392">
        <f t="shared" si="354"/>
        <v>0</v>
      </c>
    </row>
    <row r="898" spans="1:45">
      <c r="A898" t="str">
        <f t="shared" si="352"/>
        <v>CA_Orang_2020g~city of fullerton member, city council, district 1 (vote 1)</v>
      </c>
      <c r="B898" s="55" t="s">
        <v>3536</v>
      </c>
      <c r="D898" s="55" t="s">
        <v>3803</v>
      </c>
      <c r="E898" s="55" t="s">
        <v>3805</v>
      </c>
      <c r="G898" s="60">
        <v>6083</v>
      </c>
      <c r="H898"/>
      <c r="J898">
        <v>13662</v>
      </c>
      <c r="N898">
        <v>1105</v>
      </c>
      <c r="O898">
        <f t="shared" ref="O898:O961" si="355">IF(OR(LOWER(LEFT(E898,8))="write-in",LOWER(LEFT(E898,8))="not qual"),IF(A898=A897,-ABS(O897),0),IF(A898=A897,ABS(O897)+1,1))</f>
        <v>2</v>
      </c>
      <c r="P898" s="57">
        <f t="shared" ref="P898:P961" si="356">1*LEFT(RIGHT(A898,2),1)</f>
        <v>1</v>
      </c>
      <c r="Q898" s="267">
        <f t="shared" ref="Q898:Q961" si="357">IF(A898&lt;&gt;A899,G898,IF(A898=A897,G898+Q899,MAX(G898,(G898+Q899)/P898)))</f>
        <v>6083</v>
      </c>
      <c r="R898" s="23" t="str">
        <f t="shared" ref="R898:R961" si="358">IF(O898&gt;P898,"",IF(O898=P898,G898,IF(A898=A899,R899,IF(O898&lt;=0,1,G898))))</f>
        <v/>
      </c>
      <c r="S898" s="23">
        <f t="shared" ref="S898:S961" si="359">IF(AND(O898&gt;P898,LOWER(LEFT(E898,8))&lt;&gt;"write-in",LOWER(LEFT(E898,8))&lt;&gt;"not qual"),G898,IF(A898=A899,S899,0))</f>
        <v>6083</v>
      </c>
      <c r="T898" s="23" t="str">
        <f t="shared" ref="T898:T961" si="360">IF(OR(A898=A897,S898=0),"",R898-ABS(S898))</f>
        <v/>
      </c>
      <c r="U898" t="str">
        <f t="shared" ref="U898:U961" si="361">IF(A898=A897,"",A898)</f>
        <v/>
      </c>
      <c r="W898" s="290">
        <f t="shared" ref="W898:W961" si="362">IF(AF898=AF897,W897+1,1)</f>
        <v>70</v>
      </c>
      <c r="X898" s="298">
        <f t="shared" si="349"/>
        <v>45.384</v>
      </c>
      <c r="Y898" s="322">
        <f t="shared" ref="Y898:Y961" si="363">MAX(X898,0.069*AH898)</f>
        <v>45.384</v>
      </c>
      <c r="Z898" s="299">
        <f t="shared" si="350"/>
        <v>36.784535391509529</v>
      </c>
      <c r="AA898" s="300">
        <f t="shared" ref="AA898:AA961" si="364">(1-AK898/AC898)^AB898</f>
        <v>0.36784535391509526</v>
      </c>
      <c r="AB898" s="301">
        <f t="shared" ref="AB898:AB961" si="365">INDEX(BA$2:BA$76,MATCH($AF898,$AU$2:$AU$76,0))+IF(AE898="",0,INDEX(BA$2:BA$76,AE898))</f>
        <v>5396.56</v>
      </c>
      <c r="AC898" s="301">
        <f t="shared" ref="AC898:AC961" si="366">INDEX(AX$2:AX$76,MATCH(AF898,AU$2:AU$76,0))+IF(AE898="",0,INDEX(AX$2:AX$76,AE898))</f>
        <v>269828</v>
      </c>
      <c r="AD898" s="8">
        <f t="shared" si="348"/>
        <v>1349.14</v>
      </c>
      <c r="AE898" s="301" t="str">
        <f t="shared" ref="AE898:AE961" si="367">IF(MID(AL898,16,2)&lt;&gt;"w/","",MATCH(CONCATENATE("CO_",MID(AL898,18,5),"_2020g"),AU$2:AU$76,0))</f>
        <v/>
      </c>
      <c r="AF898" s="22" t="str">
        <f t="shared" ref="AF898:AF961" si="368">LEFT(AL898,14)</f>
        <v>PA_Alleg_2019g</v>
      </c>
      <c r="AG898">
        <v>1</v>
      </c>
      <c r="AH898" s="272">
        <v>366</v>
      </c>
      <c r="AI898" s="273">
        <v>207</v>
      </c>
      <c r="AJ898" s="274">
        <v>157</v>
      </c>
      <c r="AK898" s="339">
        <v>50</v>
      </c>
      <c r="AL898" s="340" t="s">
        <v>2261</v>
      </c>
      <c r="AM898" s="353">
        <f t="shared" ref="AM898:AM961" si="369">AK898/AC898</f>
        <v>1.8530323020590894E-4</v>
      </c>
      <c r="AN898" s="361" t="s">
        <v>6928</v>
      </c>
      <c r="AO898" s="362" t="s">
        <v>6506</v>
      </c>
      <c r="AP898" s="23">
        <f t="shared" si="351"/>
        <v>0</v>
      </c>
      <c r="AQ898" s="392">
        <f t="shared" si="353"/>
        <v>0</v>
      </c>
      <c r="AR898" s="392">
        <f t="shared" si="354"/>
        <v>0</v>
      </c>
      <c r="AS898" s="392">
        <f t="shared" si="354"/>
        <v>0</v>
      </c>
    </row>
    <row r="899" spans="1:45">
      <c r="A899" t="str">
        <f t="shared" si="352"/>
        <v>CA_Orang_2020g~city of fullerton member, city council, district 2 (vote 1)</v>
      </c>
      <c r="B899" s="55" t="s">
        <v>3536</v>
      </c>
      <c r="D899" s="55" t="s">
        <v>3806</v>
      </c>
      <c r="E899" s="55" t="s">
        <v>3464</v>
      </c>
      <c r="G899" s="60">
        <v>8152</v>
      </c>
      <c r="H899"/>
      <c r="J899">
        <v>18134</v>
      </c>
      <c r="N899">
        <v>1467</v>
      </c>
      <c r="O899">
        <f t="shared" si="355"/>
        <v>1</v>
      </c>
      <c r="P899" s="57">
        <f t="shared" si="356"/>
        <v>1</v>
      </c>
      <c r="Q899" s="267">
        <f t="shared" si="357"/>
        <v>16560</v>
      </c>
      <c r="R899" s="23">
        <f t="shared" si="358"/>
        <v>8152</v>
      </c>
      <c r="S899" s="23">
        <f t="shared" si="359"/>
        <v>4766</v>
      </c>
      <c r="T899" s="23">
        <f t="shared" si="360"/>
        <v>3386</v>
      </c>
      <c r="U899" t="str">
        <f t="shared" si="361"/>
        <v>CA_Orang_2020g~city of fullerton member, city council, district 2 (vote 1)</v>
      </c>
      <c r="W899" s="290">
        <f t="shared" si="362"/>
        <v>71</v>
      </c>
      <c r="X899" s="298">
        <f t="shared" si="349"/>
        <v>36.636363636363633</v>
      </c>
      <c r="Y899" s="322">
        <f t="shared" si="363"/>
        <v>85.215000000000003</v>
      </c>
      <c r="Z899" s="299">
        <f t="shared" si="350"/>
        <v>1.5273748897708057</v>
      </c>
      <c r="AA899" s="300">
        <f t="shared" si="364"/>
        <v>1.5273748897708057E-2</v>
      </c>
      <c r="AB899" s="301">
        <f t="shared" si="365"/>
        <v>5396.56</v>
      </c>
      <c r="AC899" s="301">
        <f t="shared" si="366"/>
        <v>269828</v>
      </c>
      <c r="AD899" s="8">
        <f t="shared" ref="AD899:AD962" si="370">AC899/RIGHT(AD$1,4)</f>
        <v>1349.14</v>
      </c>
      <c r="AE899" s="301" t="str">
        <f t="shared" si="367"/>
        <v/>
      </c>
      <c r="AF899" s="22" t="str">
        <f t="shared" si="368"/>
        <v>PA_Alleg_2019g</v>
      </c>
      <c r="AG899">
        <v>1</v>
      </c>
      <c r="AH899" s="272">
        <v>1235</v>
      </c>
      <c r="AI899" s="273">
        <v>721</v>
      </c>
      <c r="AJ899" s="274">
        <v>512</v>
      </c>
      <c r="AK899" s="339">
        <v>209</v>
      </c>
      <c r="AL899" s="340" t="s">
        <v>2240</v>
      </c>
      <c r="AM899" s="358">
        <f t="shared" si="369"/>
        <v>7.7456750226069938E-4</v>
      </c>
      <c r="AN899" s="361" t="s">
        <v>6892</v>
      </c>
      <c r="AO899" s="362" t="s">
        <v>6506</v>
      </c>
      <c r="AP899" s="23">
        <f t="shared" si="351"/>
        <v>0</v>
      </c>
      <c r="AQ899" s="392">
        <f t="shared" si="353"/>
        <v>0</v>
      </c>
      <c r="AR899" s="392">
        <f t="shared" si="354"/>
        <v>0</v>
      </c>
      <c r="AS899" s="392">
        <f t="shared" si="354"/>
        <v>0</v>
      </c>
    </row>
    <row r="900" spans="1:45">
      <c r="A900" t="str">
        <f t="shared" si="352"/>
        <v>CA_Orang_2020g~city of fullerton member, city council, district 2 (vote 1)</v>
      </c>
      <c r="B900" s="55" t="s">
        <v>3536</v>
      </c>
      <c r="D900" s="55" t="s">
        <v>3806</v>
      </c>
      <c r="E900" s="55" t="s">
        <v>3809</v>
      </c>
      <c r="G900" s="60">
        <v>4766</v>
      </c>
      <c r="H900"/>
      <c r="J900">
        <v>18134</v>
      </c>
      <c r="N900">
        <v>1467</v>
      </c>
      <c r="O900">
        <f t="shared" si="355"/>
        <v>2</v>
      </c>
      <c r="P900" s="57">
        <f t="shared" si="356"/>
        <v>1</v>
      </c>
      <c r="Q900" s="267">
        <f t="shared" si="357"/>
        <v>8408</v>
      </c>
      <c r="R900" s="23" t="str">
        <f t="shared" si="358"/>
        <v/>
      </c>
      <c r="S900" s="23">
        <f t="shared" si="359"/>
        <v>4766</v>
      </c>
      <c r="T900" s="23" t="str">
        <f t="shared" si="360"/>
        <v/>
      </c>
      <c r="U900" t="str">
        <f t="shared" si="361"/>
        <v/>
      </c>
      <c r="W900" s="290">
        <f t="shared" si="362"/>
        <v>72</v>
      </c>
      <c r="X900" s="298">
        <f t="shared" si="349"/>
        <v>35.367295597484279</v>
      </c>
      <c r="Y900" s="322">
        <f t="shared" si="363"/>
        <v>62.583000000000006</v>
      </c>
      <c r="Z900" s="299">
        <f t="shared" si="350"/>
        <v>4.1546695213657614</v>
      </c>
      <c r="AA900" s="300">
        <f t="shared" si="364"/>
        <v>4.1546695213657614E-2</v>
      </c>
      <c r="AB900" s="301">
        <f t="shared" si="365"/>
        <v>5396.56</v>
      </c>
      <c r="AC900" s="301">
        <f t="shared" si="366"/>
        <v>269828</v>
      </c>
      <c r="AD900" s="8">
        <f t="shared" si="370"/>
        <v>1349.14</v>
      </c>
      <c r="AE900" s="301" t="str">
        <f t="shared" si="367"/>
        <v/>
      </c>
      <c r="AF900" s="22" t="str">
        <f t="shared" si="368"/>
        <v>PA_Alleg_2019g</v>
      </c>
      <c r="AG900">
        <v>1</v>
      </c>
      <c r="AH900" s="272">
        <v>907</v>
      </c>
      <c r="AI900" s="273">
        <v>533</v>
      </c>
      <c r="AJ900" s="274">
        <v>374</v>
      </c>
      <c r="AK900" s="339">
        <v>159</v>
      </c>
      <c r="AL900" s="340" t="s">
        <v>2206</v>
      </c>
      <c r="AM900" s="358">
        <f t="shared" si="369"/>
        <v>5.8926427205479041E-4</v>
      </c>
      <c r="AN900" s="361" t="s">
        <v>6898</v>
      </c>
      <c r="AO900" s="362" t="s">
        <v>6506</v>
      </c>
      <c r="AP900" s="23">
        <f t="shared" si="351"/>
        <v>0</v>
      </c>
      <c r="AQ900" s="392">
        <f t="shared" si="353"/>
        <v>0</v>
      </c>
      <c r="AR900" s="392">
        <f t="shared" si="354"/>
        <v>0</v>
      </c>
      <c r="AS900" s="392">
        <f t="shared" si="354"/>
        <v>0</v>
      </c>
    </row>
    <row r="901" spans="1:45">
      <c r="A901" t="str">
        <f t="shared" si="352"/>
        <v>CA_Orang_2020g~city of fullerton member, city council, district 2 (vote 1)</v>
      </c>
      <c r="B901" s="55" t="s">
        <v>3536</v>
      </c>
      <c r="D901" s="55" t="s">
        <v>3806</v>
      </c>
      <c r="E901" s="55" t="s">
        <v>3808</v>
      </c>
      <c r="G901" s="60">
        <v>1921</v>
      </c>
      <c r="H901"/>
      <c r="J901">
        <v>18134</v>
      </c>
      <c r="N901">
        <v>1467</v>
      </c>
      <c r="O901">
        <f t="shared" si="355"/>
        <v>3</v>
      </c>
      <c r="P901" s="57">
        <f t="shared" si="356"/>
        <v>1</v>
      </c>
      <c r="Q901" s="267">
        <f t="shared" si="357"/>
        <v>3642</v>
      </c>
      <c r="R901" s="23" t="str">
        <f t="shared" si="358"/>
        <v/>
      </c>
      <c r="S901" s="23">
        <f t="shared" si="359"/>
        <v>1921</v>
      </c>
      <c r="T901" s="23" t="str">
        <f t="shared" si="360"/>
        <v/>
      </c>
      <c r="U901" t="str">
        <f t="shared" si="361"/>
        <v/>
      </c>
      <c r="W901" s="290">
        <f t="shared" si="362"/>
        <v>73</v>
      </c>
      <c r="X901" s="298">
        <f t="shared" si="349"/>
        <v>35.283636363636361</v>
      </c>
      <c r="Y901" s="322">
        <f t="shared" si="363"/>
        <v>35.283636363636361</v>
      </c>
      <c r="Z901" s="299">
        <f t="shared" si="350"/>
        <v>33.283376305586764</v>
      </c>
      <c r="AA901" s="300">
        <f t="shared" si="364"/>
        <v>0.33283376305586765</v>
      </c>
      <c r="AB901" s="301">
        <f t="shared" si="365"/>
        <v>5396.56</v>
      </c>
      <c r="AC901" s="301">
        <f t="shared" si="366"/>
        <v>269828</v>
      </c>
      <c r="AD901" s="8">
        <f t="shared" si="370"/>
        <v>1349.14</v>
      </c>
      <c r="AE901" s="301" t="str">
        <f t="shared" si="367"/>
        <v/>
      </c>
      <c r="AF901" s="22" t="str">
        <f t="shared" si="368"/>
        <v>PA_Alleg_2019g</v>
      </c>
      <c r="AG901">
        <v>1</v>
      </c>
      <c r="AH901" s="272">
        <v>313</v>
      </c>
      <c r="AI901" s="273">
        <v>183</v>
      </c>
      <c r="AJ901" s="274">
        <v>128</v>
      </c>
      <c r="AK901" s="339">
        <v>55</v>
      </c>
      <c r="AL901" s="340" t="s">
        <v>2196</v>
      </c>
      <c r="AM901" s="353">
        <f t="shared" si="369"/>
        <v>2.0383355322649985E-4</v>
      </c>
      <c r="AN901" s="361" t="s">
        <v>6527</v>
      </c>
      <c r="AO901" s="362" t="s">
        <v>6506</v>
      </c>
      <c r="AP901" s="23">
        <f t="shared" si="351"/>
        <v>0</v>
      </c>
      <c r="AQ901" s="392">
        <f t="shared" si="353"/>
        <v>0</v>
      </c>
      <c r="AR901" s="392">
        <f t="shared" si="354"/>
        <v>0</v>
      </c>
      <c r="AS901" s="392">
        <f t="shared" si="354"/>
        <v>0</v>
      </c>
    </row>
    <row r="902" spans="1:45">
      <c r="A902" t="str">
        <f t="shared" si="352"/>
        <v>CA_Orang_2020g~city of fullerton member, city council, district 2 (vote 1)</v>
      </c>
      <c r="B902" s="55" t="s">
        <v>3536</v>
      </c>
      <c r="D902" s="55" t="s">
        <v>3806</v>
      </c>
      <c r="E902" s="55" t="s">
        <v>3807</v>
      </c>
      <c r="G902" s="60">
        <v>1721</v>
      </c>
      <c r="H902"/>
      <c r="J902">
        <v>18134</v>
      </c>
      <c r="N902">
        <v>1467</v>
      </c>
      <c r="O902">
        <f t="shared" si="355"/>
        <v>4</v>
      </c>
      <c r="P902" s="57">
        <f t="shared" si="356"/>
        <v>1</v>
      </c>
      <c r="Q902" s="267">
        <f t="shared" si="357"/>
        <v>1721</v>
      </c>
      <c r="R902" s="23" t="str">
        <f t="shared" si="358"/>
        <v/>
      </c>
      <c r="S902" s="23">
        <f t="shared" si="359"/>
        <v>1721</v>
      </c>
      <c r="T902" s="23" t="str">
        <f t="shared" si="360"/>
        <v/>
      </c>
      <c r="U902" t="str">
        <f t="shared" si="361"/>
        <v/>
      </c>
      <c r="W902" s="290">
        <f t="shared" si="362"/>
        <v>74</v>
      </c>
      <c r="X902" s="298">
        <f t="shared" si="349"/>
        <v>35.209594095940965</v>
      </c>
      <c r="Y902" s="322">
        <f t="shared" si="363"/>
        <v>106.191</v>
      </c>
      <c r="Z902" s="299">
        <f t="shared" si="350"/>
        <v>0.44151053001139762</v>
      </c>
      <c r="AA902" s="300">
        <f t="shared" si="364"/>
        <v>4.4151053001139761E-3</v>
      </c>
      <c r="AB902" s="301">
        <f t="shared" si="365"/>
        <v>5396.56</v>
      </c>
      <c r="AC902" s="301">
        <f t="shared" si="366"/>
        <v>269828</v>
      </c>
      <c r="AD902" s="8">
        <f t="shared" si="370"/>
        <v>1349.14</v>
      </c>
      <c r="AE902" s="301" t="str">
        <f t="shared" si="367"/>
        <v/>
      </c>
      <c r="AF902" s="22" t="str">
        <f t="shared" si="368"/>
        <v>PA_Alleg_2019g</v>
      </c>
      <c r="AG902">
        <v>2</v>
      </c>
      <c r="AH902" s="272">
        <v>1539</v>
      </c>
      <c r="AI902" s="273">
        <v>977</v>
      </c>
      <c r="AJ902" s="274">
        <v>706</v>
      </c>
      <c r="AK902" s="339">
        <v>271</v>
      </c>
      <c r="AL902" s="340" t="s">
        <v>2198</v>
      </c>
      <c r="AM902" s="358">
        <f t="shared" si="369"/>
        <v>1.0043435077160265E-3</v>
      </c>
      <c r="AN902" s="361" t="s">
        <v>6889</v>
      </c>
      <c r="AO902" s="362" t="s">
        <v>6506</v>
      </c>
      <c r="AP902" s="23">
        <f t="shared" si="351"/>
        <v>0</v>
      </c>
      <c r="AQ902" s="392">
        <f t="shared" si="353"/>
        <v>0</v>
      </c>
      <c r="AR902" s="392">
        <f t="shared" si="354"/>
        <v>0</v>
      </c>
      <c r="AS902" s="392">
        <f t="shared" si="354"/>
        <v>0</v>
      </c>
    </row>
    <row r="903" spans="1:45">
      <c r="A903" t="str">
        <f t="shared" si="352"/>
        <v>CA_Orang_2020g~city of fullerton member, city council, district 4 (vote 1)</v>
      </c>
      <c r="B903" s="55" t="s">
        <v>3536</v>
      </c>
      <c r="D903" s="55" t="s">
        <v>3810</v>
      </c>
      <c r="E903" s="55" t="s">
        <v>3812</v>
      </c>
      <c r="G903" s="60">
        <v>4951</v>
      </c>
      <c r="H903"/>
      <c r="J903">
        <v>10497</v>
      </c>
      <c r="N903">
        <v>769</v>
      </c>
      <c r="O903">
        <f t="shared" si="355"/>
        <v>1</v>
      </c>
      <c r="P903" s="57">
        <f t="shared" si="356"/>
        <v>1</v>
      </c>
      <c r="Q903" s="267">
        <f t="shared" si="357"/>
        <v>9653</v>
      </c>
      <c r="R903" s="23">
        <f t="shared" si="358"/>
        <v>4951</v>
      </c>
      <c r="S903" s="23">
        <f t="shared" si="359"/>
        <v>4702</v>
      </c>
      <c r="T903" s="23">
        <f t="shared" si="360"/>
        <v>249</v>
      </c>
      <c r="U903" t="str">
        <f t="shared" si="361"/>
        <v>CA_Orang_2020g~city of fullerton member, city council, district 4 (vote 1)</v>
      </c>
      <c r="W903" s="290">
        <f t="shared" si="362"/>
        <v>75</v>
      </c>
      <c r="X903" s="298">
        <f t="shared" si="349"/>
        <v>34.289795918367346</v>
      </c>
      <c r="Y903" s="322">
        <f t="shared" si="363"/>
        <v>34.289795918367346</v>
      </c>
      <c r="Z903" s="299">
        <f t="shared" si="350"/>
        <v>37.527770013223048</v>
      </c>
      <c r="AA903" s="300">
        <f t="shared" si="364"/>
        <v>0.3752777001322305</v>
      </c>
      <c r="AB903" s="301">
        <f t="shared" si="365"/>
        <v>5396.56</v>
      </c>
      <c r="AC903" s="301">
        <f t="shared" si="366"/>
        <v>269828</v>
      </c>
      <c r="AD903" s="8">
        <f t="shared" si="370"/>
        <v>1349.14</v>
      </c>
      <c r="AE903" s="301" t="str">
        <f t="shared" si="367"/>
        <v/>
      </c>
      <c r="AF903" s="22" t="str">
        <f t="shared" si="368"/>
        <v>PA_Alleg_2019g</v>
      </c>
      <c r="AG903">
        <v>1</v>
      </c>
      <c r="AH903" s="272">
        <v>271</v>
      </c>
      <c r="AI903" s="273">
        <v>160</v>
      </c>
      <c r="AJ903" s="274">
        <v>111</v>
      </c>
      <c r="AK903" s="339">
        <v>49</v>
      </c>
      <c r="AL903" s="340" t="s">
        <v>2266</v>
      </c>
      <c r="AM903" s="353">
        <f t="shared" si="369"/>
        <v>1.8159716560179077E-4</v>
      </c>
      <c r="AN903" s="361" t="s">
        <v>6929</v>
      </c>
      <c r="AO903" s="362" t="s">
        <v>6506</v>
      </c>
      <c r="AP903" s="23">
        <f t="shared" si="351"/>
        <v>0</v>
      </c>
      <c r="AQ903" s="392">
        <f t="shared" si="353"/>
        <v>0</v>
      </c>
      <c r="AR903" s="392">
        <f t="shared" si="354"/>
        <v>0</v>
      </c>
      <c r="AS903" s="392">
        <f t="shared" si="354"/>
        <v>0</v>
      </c>
    </row>
    <row r="904" spans="1:45">
      <c r="A904" t="str">
        <f t="shared" si="352"/>
        <v>CA_Orang_2020g~city of fullerton member, city council, district 4 (vote 1)</v>
      </c>
      <c r="B904" s="55" t="s">
        <v>3536</v>
      </c>
      <c r="D904" s="55" t="s">
        <v>3810</v>
      </c>
      <c r="E904" s="55" t="s">
        <v>3811</v>
      </c>
      <c r="G904" s="60">
        <v>4702</v>
      </c>
      <c r="H904"/>
      <c r="J904">
        <v>10497</v>
      </c>
      <c r="N904">
        <v>769</v>
      </c>
      <c r="O904">
        <f t="shared" si="355"/>
        <v>2</v>
      </c>
      <c r="P904" s="57">
        <f t="shared" si="356"/>
        <v>1</v>
      </c>
      <c r="Q904" s="267">
        <f t="shared" si="357"/>
        <v>4702</v>
      </c>
      <c r="R904" s="23" t="str">
        <f t="shared" si="358"/>
        <v/>
      </c>
      <c r="S904" s="23">
        <f t="shared" si="359"/>
        <v>4702</v>
      </c>
      <c r="T904" s="23" t="str">
        <f t="shared" si="360"/>
        <v/>
      </c>
      <c r="U904" t="str">
        <f t="shared" si="361"/>
        <v/>
      </c>
      <c r="W904" s="290">
        <f t="shared" si="362"/>
        <v>76</v>
      </c>
      <c r="X904" s="298">
        <f t="shared" si="349"/>
        <v>34.158052434456927</v>
      </c>
      <c r="Y904" s="322">
        <f t="shared" si="363"/>
        <v>34.158052434456927</v>
      </c>
      <c r="Z904" s="299">
        <f t="shared" si="350"/>
        <v>16.858863867662688</v>
      </c>
      <c r="AA904" s="300">
        <f t="shared" si="364"/>
        <v>0.16858863867662688</v>
      </c>
      <c r="AB904" s="301">
        <f t="shared" si="365"/>
        <v>5396.56</v>
      </c>
      <c r="AC904" s="301">
        <f t="shared" si="366"/>
        <v>269828</v>
      </c>
      <c r="AD904" s="8">
        <f t="shared" si="370"/>
        <v>1349.14</v>
      </c>
      <c r="AE904" s="301" t="str">
        <f t="shared" si="367"/>
        <v/>
      </c>
      <c r="AF904" s="22" t="str">
        <f t="shared" si="368"/>
        <v>PA_Alleg_2019g</v>
      </c>
      <c r="AG904">
        <v>3</v>
      </c>
      <c r="AH904" s="272">
        <v>490.33333333333331</v>
      </c>
      <c r="AI904" s="273">
        <v>377</v>
      </c>
      <c r="AJ904" s="274">
        <v>288</v>
      </c>
      <c r="AK904" s="339">
        <v>89</v>
      </c>
      <c r="AL904" s="340" t="s">
        <v>2264</v>
      </c>
      <c r="AM904" s="358">
        <f t="shared" si="369"/>
        <v>3.2983974976651793E-4</v>
      </c>
      <c r="AN904" s="361" t="s">
        <v>6916</v>
      </c>
      <c r="AO904" s="362" t="s">
        <v>6506</v>
      </c>
      <c r="AP904" s="23">
        <f t="shared" si="351"/>
        <v>0</v>
      </c>
      <c r="AQ904" s="392">
        <f t="shared" si="353"/>
        <v>0</v>
      </c>
      <c r="AR904" s="392">
        <f t="shared" si="354"/>
        <v>0</v>
      </c>
      <c r="AS904" s="392">
        <f t="shared" si="354"/>
        <v>0</v>
      </c>
    </row>
    <row r="905" spans="1:45">
      <c r="A905" t="str">
        <f t="shared" si="352"/>
        <v>CA_Orang_2020g~city of garden grove mayor (vote 1)</v>
      </c>
      <c r="B905" s="55" t="s">
        <v>3536</v>
      </c>
      <c r="D905" s="55" t="s">
        <v>3813</v>
      </c>
      <c r="E905" s="55" t="s">
        <v>3814</v>
      </c>
      <c r="G905" s="60">
        <v>40388</v>
      </c>
      <c r="H905"/>
      <c r="J905">
        <v>70733</v>
      </c>
      <c r="N905">
        <v>4761</v>
      </c>
      <c r="O905">
        <f t="shared" si="355"/>
        <v>1</v>
      </c>
      <c r="P905" s="57">
        <f t="shared" si="356"/>
        <v>1</v>
      </c>
      <c r="Q905" s="267">
        <f t="shared" si="357"/>
        <v>65597</v>
      </c>
      <c r="R905" s="23">
        <f t="shared" si="358"/>
        <v>40388</v>
      </c>
      <c r="S905" s="23">
        <f t="shared" si="359"/>
        <v>18701</v>
      </c>
      <c r="T905" s="23">
        <f t="shared" si="360"/>
        <v>21687</v>
      </c>
      <c r="U905" t="str">
        <f t="shared" si="361"/>
        <v>CA_Orang_2020g~city of garden grove mayor (vote 1)</v>
      </c>
      <c r="W905" s="290">
        <f t="shared" si="362"/>
        <v>77</v>
      </c>
      <c r="X905" s="298">
        <f t="shared" si="349"/>
        <v>33.75</v>
      </c>
      <c r="Y905" s="322">
        <f t="shared" si="363"/>
        <v>33.75</v>
      </c>
      <c r="Z905" s="299">
        <f t="shared" si="350"/>
        <v>98.019863698000833</v>
      </c>
      <c r="AA905" s="300">
        <f t="shared" si="364"/>
        <v>0.98019863698000831</v>
      </c>
      <c r="AB905" s="301">
        <f t="shared" si="365"/>
        <v>5396.56</v>
      </c>
      <c r="AC905" s="301">
        <f t="shared" si="366"/>
        <v>269828</v>
      </c>
      <c r="AD905" s="8">
        <f t="shared" si="370"/>
        <v>1349.14</v>
      </c>
      <c r="AE905" s="301" t="str">
        <f t="shared" si="367"/>
        <v/>
      </c>
      <c r="AF905" s="22" t="str">
        <f t="shared" si="368"/>
        <v>PA_Alleg_2019g</v>
      </c>
      <c r="AG905">
        <v>4</v>
      </c>
      <c r="AH905" s="272">
        <v>33.75</v>
      </c>
      <c r="AI905" s="273">
        <v>25</v>
      </c>
      <c r="AJ905" s="274">
        <v>24</v>
      </c>
      <c r="AK905" s="339">
        <v>1</v>
      </c>
      <c r="AL905" s="340" t="s">
        <v>2252</v>
      </c>
      <c r="AM905" s="353">
        <f t="shared" si="369"/>
        <v>3.7060646041181788E-6</v>
      </c>
      <c r="AN905" s="361" t="s">
        <v>6962</v>
      </c>
      <c r="AO905" s="362" t="s">
        <v>6506</v>
      </c>
      <c r="AP905" s="23">
        <f t="shared" si="351"/>
        <v>0</v>
      </c>
      <c r="AQ905" s="392">
        <f t="shared" si="353"/>
        <v>0</v>
      </c>
      <c r="AR905" s="392">
        <f t="shared" si="354"/>
        <v>0</v>
      </c>
      <c r="AS905" s="392">
        <f t="shared" si="354"/>
        <v>0</v>
      </c>
    </row>
    <row r="906" spans="1:45">
      <c r="A906" t="str">
        <f t="shared" si="352"/>
        <v>CA_Orang_2020g~city of garden grove mayor (vote 1)</v>
      </c>
      <c r="B906" s="55" t="s">
        <v>3536</v>
      </c>
      <c r="D906" s="55" t="s">
        <v>3813</v>
      </c>
      <c r="E906" s="55" t="s">
        <v>3816</v>
      </c>
      <c r="G906" s="60">
        <v>18701</v>
      </c>
      <c r="H906"/>
      <c r="J906">
        <v>70733</v>
      </c>
      <c r="N906">
        <v>4761</v>
      </c>
      <c r="O906">
        <f t="shared" si="355"/>
        <v>2</v>
      </c>
      <c r="P906" s="57">
        <f t="shared" si="356"/>
        <v>1</v>
      </c>
      <c r="Q906" s="267">
        <f t="shared" si="357"/>
        <v>25209</v>
      </c>
      <c r="R906" s="23" t="str">
        <f t="shared" si="358"/>
        <v/>
      </c>
      <c r="S906" s="23">
        <f t="shared" si="359"/>
        <v>18701</v>
      </c>
      <c r="T906" s="23" t="str">
        <f t="shared" si="360"/>
        <v/>
      </c>
      <c r="U906" t="str">
        <f t="shared" si="361"/>
        <v/>
      </c>
      <c r="W906" s="1">
        <f t="shared" si="362"/>
        <v>78</v>
      </c>
      <c r="X906" s="73">
        <f t="shared" si="349"/>
        <v>32.324562462281229</v>
      </c>
      <c r="Y906" s="322">
        <f t="shared" si="363"/>
        <v>596.09100000000001</v>
      </c>
      <c r="Z906" s="43">
        <f t="shared" si="350"/>
        <v>3.6568508639846358E-13</v>
      </c>
      <c r="AA906" s="52">
        <f t="shared" si="364"/>
        <v>3.6568508639846359E-15</v>
      </c>
      <c r="AB906" s="8">
        <f t="shared" si="365"/>
        <v>5396.56</v>
      </c>
      <c r="AC906" s="8">
        <f t="shared" si="366"/>
        <v>269828</v>
      </c>
      <c r="AD906" s="8">
        <f t="shared" si="370"/>
        <v>1349.14</v>
      </c>
      <c r="AE906" s="8" t="str">
        <f t="shared" si="367"/>
        <v/>
      </c>
      <c r="AF906" s="22" t="str">
        <f t="shared" si="368"/>
        <v>PA_Alleg_2019g</v>
      </c>
      <c r="AG906">
        <v>1</v>
      </c>
      <c r="AH906" s="272">
        <v>8639</v>
      </c>
      <c r="AI906" s="273">
        <v>5148</v>
      </c>
      <c r="AJ906" s="274">
        <v>3491</v>
      </c>
      <c r="AK906" s="339">
        <v>1657</v>
      </c>
      <c r="AL906" s="340" t="s">
        <v>2191</v>
      </c>
      <c r="AM906" s="358">
        <f t="shared" si="369"/>
        <v>6.1409490490238229E-3</v>
      </c>
      <c r="AN906" s="361" t="s">
        <v>6515</v>
      </c>
      <c r="AO906" s="362" t="s">
        <v>6506</v>
      </c>
      <c r="AP906" s="23">
        <f t="shared" si="351"/>
        <v>0</v>
      </c>
      <c r="AQ906" s="392">
        <f t="shared" si="353"/>
        <v>0</v>
      </c>
      <c r="AR906" s="392">
        <f t="shared" si="354"/>
        <v>0</v>
      </c>
      <c r="AS906" s="392">
        <f t="shared" si="354"/>
        <v>0</v>
      </c>
    </row>
    <row r="907" spans="1:45">
      <c r="A907" t="str">
        <f t="shared" si="352"/>
        <v>CA_Orang_2020g~city of garden grove mayor (vote 1)</v>
      </c>
      <c r="B907" s="55" t="s">
        <v>3536</v>
      </c>
      <c r="D907" s="55" t="s">
        <v>3813</v>
      </c>
      <c r="E907" s="55" t="s">
        <v>3817</v>
      </c>
      <c r="G907" s="60">
        <v>3277</v>
      </c>
      <c r="H907"/>
      <c r="J907">
        <v>70733</v>
      </c>
      <c r="N907">
        <v>4761</v>
      </c>
      <c r="O907">
        <f t="shared" si="355"/>
        <v>3</v>
      </c>
      <c r="P907" s="57">
        <f t="shared" si="356"/>
        <v>1</v>
      </c>
      <c r="Q907" s="267">
        <f t="shared" si="357"/>
        <v>6508</v>
      </c>
      <c r="R907" s="23" t="str">
        <f t="shared" si="358"/>
        <v/>
      </c>
      <c r="S907" s="23">
        <f t="shared" si="359"/>
        <v>3277</v>
      </c>
      <c r="T907" s="23" t="str">
        <f t="shared" si="360"/>
        <v/>
      </c>
      <c r="U907" t="str">
        <f t="shared" si="361"/>
        <v/>
      </c>
      <c r="W907" s="1">
        <f t="shared" si="362"/>
        <v>79</v>
      </c>
      <c r="X907" s="73">
        <f t="shared" si="349"/>
        <v>31.261645299145304</v>
      </c>
      <c r="Y907" s="322">
        <f t="shared" si="363"/>
        <v>217.09700000000004</v>
      </c>
      <c r="Z907" s="43">
        <f t="shared" si="350"/>
        <v>3.7473830585586782E-4</v>
      </c>
      <c r="AA907" s="52">
        <f t="shared" si="364"/>
        <v>3.747383058558678E-6</v>
      </c>
      <c r="AB907" s="8">
        <f t="shared" si="365"/>
        <v>5396.56</v>
      </c>
      <c r="AC907" s="8">
        <f t="shared" si="366"/>
        <v>269828</v>
      </c>
      <c r="AD907" s="8">
        <f t="shared" si="370"/>
        <v>1349.14</v>
      </c>
      <c r="AE907" s="8" t="str">
        <f t="shared" si="367"/>
        <v/>
      </c>
      <c r="AF907" s="22" t="str">
        <f t="shared" si="368"/>
        <v>PA_Alleg_2019g</v>
      </c>
      <c r="AG907">
        <v>3</v>
      </c>
      <c r="AH907" s="272">
        <v>3146.3333333333335</v>
      </c>
      <c r="AI907" s="273">
        <v>2351</v>
      </c>
      <c r="AJ907" s="274">
        <v>1727</v>
      </c>
      <c r="AK907" s="339">
        <v>624</v>
      </c>
      <c r="AL907" s="340" t="s">
        <v>2269</v>
      </c>
      <c r="AM907" s="358">
        <f t="shared" si="369"/>
        <v>2.3125843129697438E-3</v>
      </c>
      <c r="AN907" s="361" t="s">
        <v>6879</v>
      </c>
      <c r="AO907" s="362" t="s">
        <v>6506</v>
      </c>
      <c r="AP907" s="23">
        <f t="shared" si="351"/>
        <v>0</v>
      </c>
      <c r="AQ907" s="392">
        <f t="shared" si="353"/>
        <v>0</v>
      </c>
      <c r="AR907" s="392">
        <f t="shared" si="354"/>
        <v>0</v>
      </c>
      <c r="AS907" s="392">
        <f t="shared" si="354"/>
        <v>0</v>
      </c>
    </row>
    <row r="908" spans="1:45">
      <c r="A908" t="str">
        <f t="shared" si="352"/>
        <v>CA_Orang_2020g~city of garden grove mayor (vote 1)</v>
      </c>
      <c r="B908" s="55" t="s">
        <v>3536</v>
      </c>
      <c r="D908" s="55" t="s">
        <v>3813</v>
      </c>
      <c r="E908" s="55" t="s">
        <v>3815</v>
      </c>
      <c r="G908" s="60">
        <v>3231</v>
      </c>
      <c r="H908"/>
      <c r="J908">
        <v>70733</v>
      </c>
      <c r="N908">
        <v>4761</v>
      </c>
      <c r="O908">
        <f t="shared" si="355"/>
        <v>4</v>
      </c>
      <c r="P908" s="57">
        <f t="shared" si="356"/>
        <v>1</v>
      </c>
      <c r="Q908" s="267">
        <f t="shared" si="357"/>
        <v>3231</v>
      </c>
      <c r="R908" s="23" t="str">
        <f t="shared" si="358"/>
        <v/>
      </c>
      <c r="S908" s="23">
        <f t="shared" si="359"/>
        <v>3231</v>
      </c>
      <c r="T908" s="23" t="str">
        <f t="shared" si="360"/>
        <v/>
      </c>
      <c r="U908" t="str">
        <f t="shared" si="361"/>
        <v/>
      </c>
      <c r="W908" s="290">
        <f t="shared" si="362"/>
        <v>80</v>
      </c>
      <c r="X908" s="298">
        <f t="shared" ref="X908:X971" si="371">IF(AK908=0,AH908,MIN(AH908,6.2/(AK908/AH908)))</f>
        <v>25.45528455284553</v>
      </c>
      <c r="Y908" s="322">
        <f t="shared" si="363"/>
        <v>34.845000000000006</v>
      </c>
      <c r="Z908" s="299">
        <f t="shared" ref="Z908:Z971" si="372">AA908*100</f>
        <v>8.5387047273222514</v>
      </c>
      <c r="AA908" s="300">
        <f t="shared" si="364"/>
        <v>8.5387047273222522E-2</v>
      </c>
      <c r="AB908" s="301">
        <f t="shared" si="365"/>
        <v>5396.56</v>
      </c>
      <c r="AC908" s="301">
        <f t="shared" si="366"/>
        <v>269828</v>
      </c>
      <c r="AD908" s="8">
        <f t="shared" si="370"/>
        <v>1349.14</v>
      </c>
      <c r="AE908" s="301" t="str">
        <f t="shared" si="367"/>
        <v/>
      </c>
      <c r="AF908" s="22" t="str">
        <f t="shared" si="368"/>
        <v>PA_Alleg_2019g</v>
      </c>
      <c r="AG908">
        <v>1</v>
      </c>
      <c r="AH908" s="272">
        <v>505</v>
      </c>
      <c r="AI908" s="273">
        <v>313</v>
      </c>
      <c r="AJ908" s="274">
        <v>190</v>
      </c>
      <c r="AK908" s="339">
        <v>123</v>
      </c>
      <c r="AL908" s="340" t="s">
        <v>2199</v>
      </c>
      <c r="AM908" s="358">
        <f t="shared" si="369"/>
        <v>4.5584594630653603E-4</v>
      </c>
      <c r="AN908" s="361" t="s">
        <v>6907</v>
      </c>
      <c r="AO908" s="362" t="s">
        <v>6506</v>
      </c>
      <c r="AP908" s="23">
        <f t="shared" si="351"/>
        <v>0</v>
      </c>
      <c r="AQ908" s="392">
        <f t="shared" si="353"/>
        <v>0</v>
      </c>
      <c r="AR908" s="392">
        <f t="shared" si="354"/>
        <v>0</v>
      </c>
      <c r="AS908" s="392">
        <f t="shared" si="354"/>
        <v>0</v>
      </c>
    </row>
    <row r="909" spans="1:45">
      <c r="A909" t="str">
        <f t="shared" si="352"/>
        <v>CA_Orang_2020g~city of garden grove member, city council, district 2 (vote 1)</v>
      </c>
      <c r="B909" s="55" t="s">
        <v>3536</v>
      </c>
      <c r="D909" s="55" t="s">
        <v>3818</v>
      </c>
      <c r="E909" s="55" t="s">
        <v>3819</v>
      </c>
      <c r="G909" s="60">
        <v>6159</v>
      </c>
      <c r="H909"/>
      <c r="J909">
        <v>12777</v>
      </c>
      <c r="N909">
        <v>1213</v>
      </c>
      <c r="O909">
        <f t="shared" si="355"/>
        <v>1</v>
      </c>
      <c r="P909" s="57">
        <f t="shared" si="356"/>
        <v>1</v>
      </c>
      <c r="Q909" s="267">
        <f t="shared" si="357"/>
        <v>11499</v>
      </c>
      <c r="R909" s="23">
        <f t="shared" si="358"/>
        <v>6159</v>
      </c>
      <c r="S909" s="23">
        <f t="shared" si="359"/>
        <v>5340</v>
      </c>
      <c r="T909" s="23">
        <f t="shared" si="360"/>
        <v>819</v>
      </c>
      <c r="U909" t="str">
        <f t="shared" si="361"/>
        <v>CA_Orang_2020g~city of garden grove member, city council, district 2 (vote 1)</v>
      </c>
      <c r="W909" s="290">
        <f t="shared" si="362"/>
        <v>81</v>
      </c>
      <c r="X909" s="298">
        <f t="shared" si="371"/>
        <v>25.182716049382716</v>
      </c>
      <c r="Y909" s="322">
        <f t="shared" si="363"/>
        <v>25.182716049382716</v>
      </c>
      <c r="Z909" s="299">
        <f t="shared" si="372"/>
        <v>19.785057526536562</v>
      </c>
      <c r="AA909" s="300">
        <f t="shared" si="364"/>
        <v>0.19785057526536562</v>
      </c>
      <c r="AB909" s="301">
        <f t="shared" si="365"/>
        <v>5396.56</v>
      </c>
      <c r="AC909" s="301">
        <f t="shared" si="366"/>
        <v>269828</v>
      </c>
      <c r="AD909" s="8">
        <f t="shared" si="370"/>
        <v>1349.14</v>
      </c>
      <c r="AE909" s="301" t="str">
        <f t="shared" si="367"/>
        <v/>
      </c>
      <c r="AF909" s="22" t="str">
        <f t="shared" si="368"/>
        <v>PA_Alleg_2019g</v>
      </c>
      <c r="AG909">
        <v>1</v>
      </c>
      <c r="AH909" s="272">
        <v>329</v>
      </c>
      <c r="AI909" s="273">
        <v>205</v>
      </c>
      <c r="AJ909" s="274">
        <v>124</v>
      </c>
      <c r="AK909" s="339">
        <v>81</v>
      </c>
      <c r="AL909" s="340" t="s">
        <v>2263</v>
      </c>
      <c r="AM909" s="358">
        <f t="shared" si="369"/>
        <v>3.001912329335725E-4</v>
      </c>
      <c r="AN909" s="361" t="s">
        <v>6918</v>
      </c>
      <c r="AO909" s="362" t="s">
        <v>6506</v>
      </c>
      <c r="AP909" s="23">
        <f t="shared" ref="AP909:AP972" si="373">MIN(AD909, MAX(0,ROUNDUP(AD909*(0.5*AK909/AC909-0.005)/(RIGHT(AP$1,3)-0.005),0)))</f>
        <v>0</v>
      </c>
      <c r="AQ909" s="392">
        <f t="shared" si="353"/>
        <v>0</v>
      </c>
      <c r="AR909" s="392">
        <f t="shared" si="354"/>
        <v>0</v>
      </c>
      <c r="AS909" s="392">
        <f t="shared" si="354"/>
        <v>0</v>
      </c>
    </row>
    <row r="910" spans="1:45">
      <c r="A910" t="str">
        <f t="shared" si="352"/>
        <v>CA_Orang_2020g~city of garden grove member, city council, district 2 (vote 1)</v>
      </c>
      <c r="B910" s="55" t="s">
        <v>3536</v>
      </c>
      <c r="D910" s="55" t="s">
        <v>3818</v>
      </c>
      <c r="E910" s="55" t="s">
        <v>3820</v>
      </c>
      <c r="G910" s="60">
        <v>5340</v>
      </c>
      <c r="H910"/>
      <c r="J910">
        <v>12777</v>
      </c>
      <c r="N910">
        <v>1213</v>
      </c>
      <c r="O910">
        <f t="shared" si="355"/>
        <v>2</v>
      </c>
      <c r="P910" s="57">
        <f t="shared" si="356"/>
        <v>1</v>
      </c>
      <c r="Q910" s="267">
        <f t="shared" si="357"/>
        <v>5340</v>
      </c>
      <c r="R910" s="23" t="str">
        <f t="shared" si="358"/>
        <v/>
      </c>
      <c r="S910" s="23">
        <f t="shared" si="359"/>
        <v>5340</v>
      </c>
      <c r="T910" s="23" t="str">
        <f t="shared" si="360"/>
        <v/>
      </c>
      <c r="U910" t="str">
        <f t="shared" si="361"/>
        <v/>
      </c>
      <c r="W910" s="290">
        <f t="shared" si="362"/>
        <v>82</v>
      </c>
      <c r="X910" s="298">
        <f t="shared" si="371"/>
        <v>24.097165991902838</v>
      </c>
      <c r="Y910" s="322">
        <f t="shared" si="363"/>
        <v>66.240000000000009</v>
      </c>
      <c r="Z910" s="299">
        <f t="shared" si="372"/>
        <v>0.71384300073702978</v>
      </c>
      <c r="AA910" s="300">
        <f t="shared" si="364"/>
        <v>7.1384300073702982E-3</v>
      </c>
      <c r="AB910" s="301">
        <f t="shared" si="365"/>
        <v>5396.56</v>
      </c>
      <c r="AC910" s="301">
        <f t="shared" si="366"/>
        <v>269828</v>
      </c>
      <c r="AD910" s="8">
        <f t="shared" si="370"/>
        <v>1349.14</v>
      </c>
      <c r="AE910" s="301" t="str">
        <f t="shared" si="367"/>
        <v/>
      </c>
      <c r="AF910" s="22" t="str">
        <f t="shared" si="368"/>
        <v>PA_Alleg_2019g</v>
      </c>
      <c r="AG910">
        <v>1</v>
      </c>
      <c r="AH910" s="272">
        <v>960</v>
      </c>
      <c r="AI910" s="273">
        <v>603</v>
      </c>
      <c r="AJ910" s="274">
        <v>356</v>
      </c>
      <c r="AK910" s="339">
        <v>247</v>
      </c>
      <c r="AL910" s="340" t="s">
        <v>2203</v>
      </c>
      <c r="AM910" s="358">
        <f t="shared" si="369"/>
        <v>9.1539795721719025E-4</v>
      </c>
      <c r="AN910" s="361" t="s">
        <v>6890</v>
      </c>
      <c r="AO910" s="362" t="s">
        <v>6506</v>
      </c>
      <c r="AP910" s="23">
        <f t="shared" si="373"/>
        <v>0</v>
      </c>
      <c r="AQ910" s="392">
        <f t="shared" si="353"/>
        <v>0</v>
      </c>
      <c r="AR910" s="392">
        <f t="shared" si="354"/>
        <v>0</v>
      </c>
      <c r="AS910" s="392">
        <f t="shared" si="354"/>
        <v>0</v>
      </c>
    </row>
    <row r="911" spans="1:45">
      <c r="A911" t="str">
        <f t="shared" si="352"/>
        <v>CA_Orang_2020g~city of garden grove member, city council, district 5 (vote 1)</v>
      </c>
      <c r="B911" s="55" t="s">
        <v>3536</v>
      </c>
      <c r="D911" s="55" t="s">
        <v>3821</v>
      </c>
      <c r="E911" s="55" t="s">
        <v>3822</v>
      </c>
      <c r="G911" s="60">
        <v>7267</v>
      </c>
      <c r="H911"/>
      <c r="J911">
        <v>11463</v>
      </c>
      <c r="N911">
        <v>1073</v>
      </c>
      <c r="O911">
        <f t="shared" si="355"/>
        <v>1</v>
      </c>
      <c r="P911" s="57">
        <f t="shared" si="356"/>
        <v>1</v>
      </c>
      <c r="Q911" s="267">
        <f t="shared" si="357"/>
        <v>10309</v>
      </c>
      <c r="R911" s="23">
        <f t="shared" si="358"/>
        <v>7267</v>
      </c>
      <c r="S911" s="23">
        <f t="shared" si="359"/>
        <v>3042</v>
      </c>
      <c r="T911" s="23">
        <f t="shared" si="360"/>
        <v>4225</v>
      </c>
      <c r="U911" t="str">
        <f t="shared" si="361"/>
        <v>CA_Orang_2020g~city of garden grove member, city council, district 5 (vote 1)</v>
      </c>
      <c r="W911" s="290">
        <f t="shared" si="362"/>
        <v>83</v>
      </c>
      <c r="X911" s="298">
        <f t="shared" si="371"/>
        <v>21.616216216216216</v>
      </c>
      <c r="Y911" s="322">
        <f t="shared" si="363"/>
        <v>21.616216216216216</v>
      </c>
      <c r="Z911" s="299">
        <f t="shared" si="372"/>
        <v>47.708970705872908</v>
      </c>
      <c r="AA911" s="300">
        <f t="shared" si="364"/>
        <v>0.47708970705872905</v>
      </c>
      <c r="AB911" s="301">
        <f t="shared" si="365"/>
        <v>5396.56</v>
      </c>
      <c r="AC911" s="301">
        <f t="shared" si="366"/>
        <v>269828</v>
      </c>
      <c r="AD911" s="8">
        <f t="shared" si="370"/>
        <v>1349.14</v>
      </c>
      <c r="AE911" s="301" t="str">
        <f t="shared" si="367"/>
        <v/>
      </c>
      <c r="AF911" s="22" t="str">
        <f t="shared" si="368"/>
        <v>PA_Alleg_2019g</v>
      </c>
      <c r="AG911">
        <v>3</v>
      </c>
      <c r="AH911" s="272">
        <v>129</v>
      </c>
      <c r="AI911" s="273">
        <v>86</v>
      </c>
      <c r="AJ911" s="274">
        <v>49</v>
      </c>
      <c r="AK911" s="339">
        <v>37</v>
      </c>
      <c r="AL911" s="340" t="s">
        <v>2244</v>
      </c>
      <c r="AM911" s="353">
        <f t="shared" si="369"/>
        <v>1.3712439035237263E-4</v>
      </c>
      <c r="AN911" s="361" t="s">
        <v>6935</v>
      </c>
      <c r="AO911" s="362" t="s">
        <v>6506</v>
      </c>
      <c r="AP911" s="23">
        <f t="shared" si="373"/>
        <v>0</v>
      </c>
      <c r="AQ911" s="392">
        <f t="shared" si="353"/>
        <v>0</v>
      </c>
      <c r="AR911" s="392">
        <f t="shared" si="354"/>
        <v>0</v>
      </c>
      <c r="AS911" s="392">
        <f t="shared" si="354"/>
        <v>0</v>
      </c>
    </row>
    <row r="912" spans="1:45">
      <c r="A912" t="str">
        <f t="shared" si="352"/>
        <v>CA_Orang_2020g~city of garden grove member, city council, district 5 (vote 1)</v>
      </c>
      <c r="B912" s="55" t="s">
        <v>3536</v>
      </c>
      <c r="D912" s="55" t="s">
        <v>3821</v>
      </c>
      <c r="E912" s="55" t="s">
        <v>3823</v>
      </c>
      <c r="G912" s="60">
        <v>3042</v>
      </c>
      <c r="H912"/>
      <c r="J912">
        <v>11463</v>
      </c>
      <c r="N912">
        <v>1073</v>
      </c>
      <c r="O912">
        <f t="shared" si="355"/>
        <v>2</v>
      </c>
      <c r="P912" s="57">
        <f t="shared" si="356"/>
        <v>1</v>
      </c>
      <c r="Q912" s="267">
        <f t="shared" si="357"/>
        <v>3042</v>
      </c>
      <c r="R912" s="23" t="str">
        <f t="shared" si="358"/>
        <v/>
      </c>
      <c r="S912" s="23">
        <f t="shared" si="359"/>
        <v>3042</v>
      </c>
      <c r="T912" s="23" t="str">
        <f t="shared" si="360"/>
        <v/>
      </c>
      <c r="U912" t="str">
        <f t="shared" si="361"/>
        <v/>
      </c>
      <c r="W912" s="1">
        <f t="shared" si="362"/>
        <v>84</v>
      </c>
      <c r="X912" s="73">
        <f t="shared" si="371"/>
        <v>21.392995169082123</v>
      </c>
      <c r="Y912" s="322">
        <f t="shared" si="363"/>
        <v>197.13300000000001</v>
      </c>
      <c r="Z912" s="43">
        <f t="shared" si="372"/>
        <v>6.2665155050231256E-6</v>
      </c>
      <c r="AA912" s="52">
        <f t="shared" si="364"/>
        <v>6.2665155050231256E-8</v>
      </c>
      <c r="AB912" s="8">
        <f t="shared" si="365"/>
        <v>5396.56</v>
      </c>
      <c r="AC912" s="8">
        <f t="shared" si="366"/>
        <v>269828</v>
      </c>
      <c r="AD912" s="8">
        <f t="shared" si="370"/>
        <v>1349.14</v>
      </c>
      <c r="AE912" s="8" t="str">
        <f t="shared" si="367"/>
        <v/>
      </c>
      <c r="AF912" s="22" t="str">
        <f t="shared" si="368"/>
        <v>PA_Alleg_2019g</v>
      </c>
      <c r="AG912">
        <v>3</v>
      </c>
      <c r="AH912" s="272">
        <v>2857</v>
      </c>
      <c r="AI912" s="273">
        <v>1959</v>
      </c>
      <c r="AJ912" s="274">
        <v>1131</v>
      </c>
      <c r="AK912" s="339">
        <v>828</v>
      </c>
      <c r="AL912" s="340" t="s">
        <v>2272</v>
      </c>
      <c r="AM912" s="358">
        <f t="shared" si="369"/>
        <v>3.0686214922098524E-3</v>
      </c>
      <c r="AN912" s="361" t="s">
        <v>6872</v>
      </c>
      <c r="AO912" s="362" t="s">
        <v>6506</v>
      </c>
      <c r="AP912" s="23">
        <f t="shared" si="373"/>
        <v>0</v>
      </c>
      <c r="AQ912" s="392">
        <f t="shared" si="353"/>
        <v>0</v>
      </c>
      <c r="AR912" s="392">
        <f t="shared" si="354"/>
        <v>0</v>
      </c>
      <c r="AS912" s="392">
        <f t="shared" si="354"/>
        <v>0</v>
      </c>
    </row>
    <row r="913" spans="1:45">
      <c r="A913" t="str">
        <f t="shared" si="352"/>
        <v>CA_Orang_2020g~city of garden grove member, city council, district 6 (vote 1)</v>
      </c>
      <c r="B913" s="55" t="s">
        <v>3536</v>
      </c>
      <c r="D913" s="55" t="s">
        <v>3824</v>
      </c>
      <c r="E913" s="55" t="s">
        <v>3825</v>
      </c>
      <c r="G913" s="60">
        <v>5652</v>
      </c>
      <c r="H913"/>
      <c r="J913">
        <v>8434</v>
      </c>
      <c r="N913">
        <v>845</v>
      </c>
      <c r="O913">
        <f t="shared" si="355"/>
        <v>1</v>
      </c>
      <c r="P913" s="57">
        <f t="shared" si="356"/>
        <v>1</v>
      </c>
      <c r="Q913" s="267">
        <f t="shared" si="357"/>
        <v>7513</v>
      </c>
      <c r="R913" s="23">
        <f t="shared" si="358"/>
        <v>5652</v>
      </c>
      <c r="S913" s="23">
        <f t="shared" si="359"/>
        <v>1861</v>
      </c>
      <c r="T913" s="23">
        <f t="shared" si="360"/>
        <v>3791</v>
      </c>
      <c r="U913" t="str">
        <f t="shared" si="361"/>
        <v>CA_Orang_2020g~city of garden grove member, city council, district 6 (vote 1)</v>
      </c>
      <c r="W913" s="290">
        <f t="shared" si="362"/>
        <v>85</v>
      </c>
      <c r="X913" s="298">
        <f t="shared" si="371"/>
        <v>20.816666666666666</v>
      </c>
      <c r="Y913" s="322">
        <f t="shared" si="363"/>
        <v>86.181000000000012</v>
      </c>
      <c r="Z913" s="299">
        <f t="shared" si="372"/>
        <v>5.8427819980278003E-2</v>
      </c>
      <c r="AA913" s="300">
        <f t="shared" si="364"/>
        <v>5.8427819980278004E-4</v>
      </c>
      <c r="AB913" s="301">
        <f t="shared" si="365"/>
        <v>5396.56</v>
      </c>
      <c r="AC913" s="301">
        <f t="shared" si="366"/>
        <v>269828</v>
      </c>
      <c r="AD913" s="8">
        <f t="shared" si="370"/>
        <v>1349.14</v>
      </c>
      <c r="AE913" s="301" t="str">
        <f t="shared" si="367"/>
        <v/>
      </c>
      <c r="AF913" s="22" t="str">
        <f t="shared" si="368"/>
        <v>PA_Alleg_2019g</v>
      </c>
      <c r="AG913">
        <v>3</v>
      </c>
      <c r="AH913" s="272">
        <v>1249</v>
      </c>
      <c r="AI913" s="273">
        <v>952</v>
      </c>
      <c r="AJ913" s="274">
        <v>580</v>
      </c>
      <c r="AK913" s="339">
        <v>372</v>
      </c>
      <c r="AL913" s="340" t="s">
        <v>2228</v>
      </c>
      <c r="AM913" s="358">
        <f t="shared" si="369"/>
        <v>1.3786560327319626E-3</v>
      </c>
      <c r="AN913" s="361" t="s">
        <v>6885</v>
      </c>
      <c r="AO913" s="362" t="s">
        <v>6506</v>
      </c>
      <c r="AP913" s="23">
        <f t="shared" si="373"/>
        <v>0</v>
      </c>
      <c r="AQ913" s="392">
        <f t="shared" si="353"/>
        <v>0</v>
      </c>
      <c r="AR913" s="392">
        <f t="shared" si="354"/>
        <v>0</v>
      </c>
      <c r="AS913" s="392">
        <f t="shared" si="354"/>
        <v>0</v>
      </c>
    </row>
    <row r="914" spans="1:45">
      <c r="A914" t="str">
        <f t="shared" si="352"/>
        <v>CA_Orang_2020g~city of garden grove member, city council, district 6 (vote 1)</v>
      </c>
      <c r="B914" s="55" t="s">
        <v>3536</v>
      </c>
      <c r="D914" s="55" t="s">
        <v>3824</v>
      </c>
      <c r="E914" s="55" t="s">
        <v>3826</v>
      </c>
      <c r="G914" s="60">
        <v>1861</v>
      </c>
      <c r="H914"/>
      <c r="J914">
        <v>8434</v>
      </c>
      <c r="N914">
        <v>845</v>
      </c>
      <c r="O914">
        <f t="shared" si="355"/>
        <v>2</v>
      </c>
      <c r="P914" s="57">
        <f t="shared" si="356"/>
        <v>1</v>
      </c>
      <c r="Q914" s="267">
        <f t="shared" si="357"/>
        <v>1861</v>
      </c>
      <c r="R914" s="23" t="str">
        <f t="shared" si="358"/>
        <v/>
      </c>
      <c r="S914" s="23">
        <f t="shared" si="359"/>
        <v>1861</v>
      </c>
      <c r="T914" s="23" t="str">
        <f t="shared" si="360"/>
        <v/>
      </c>
      <c r="U914" t="str">
        <f t="shared" si="361"/>
        <v/>
      </c>
      <c r="W914" s="290">
        <f t="shared" si="362"/>
        <v>86</v>
      </c>
      <c r="X914" s="298">
        <f t="shared" si="371"/>
        <v>19.882272727272728</v>
      </c>
      <c r="Y914" s="322">
        <f t="shared" si="363"/>
        <v>97.359000000000009</v>
      </c>
      <c r="Z914" s="299">
        <f t="shared" si="372"/>
        <v>1.4965427602150666E-2</v>
      </c>
      <c r="AA914" s="300">
        <f t="shared" si="364"/>
        <v>1.4965427602150666E-4</v>
      </c>
      <c r="AB914" s="301">
        <f t="shared" si="365"/>
        <v>5396.56</v>
      </c>
      <c r="AC914" s="301">
        <f t="shared" si="366"/>
        <v>269828</v>
      </c>
      <c r="AD914" s="8">
        <f t="shared" si="370"/>
        <v>1349.14</v>
      </c>
      <c r="AE914" s="301" t="str">
        <f t="shared" si="367"/>
        <v/>
      </c>
      <c r="AF914" s="22" t="str">
        <f t="shared" si="368"/>
        <v>PA_Alleg_2019g</v>
      </c>
      <c r="AG914">
        <v>1</v>
      </c>
      <c r="AH914" s="272">
        <v>1411</v>
      </c>
      <c r="AI914" s="273">
        <v>922</v>
      </c>
      <c r="AJ914" s="274">
        <v>482</v>
      </c>
      <c r="AK914" s="339">
        <v>440</v>
      </c>
      <c r="AL914" s="340" t="s">
        <v>2273</v>
      </c>
      <c r="AM914" s="358">
        <f t="shared" si="369"/>
        <v>1.6306684258119988E-3</v>
      </c>
      <c r="AN914" s="361" t="s">
        <v>6883</v>
      </c>
      <c r="AO914" s="362" t="s">
        <v>6506</v>
      </c>
      <c r="AP914" s="23">
        <f t="shared" si="373"/>
        <v>0</v>
      </c>
      <c r="AQ914" s="392">
        <f t="shared" si="353"/>
        <v>0</v>
      </c>
      <c r="AR914" s="392">
        <f t="shared" si="354"/>
        <v>0</v>
      </c>
      <c r="AS914" s="392">
        <f t="shared" si="354"/>
        <v>0</v>
      </c>
    </row>
    <row r="915" spans="1:45">
      <c r="A915" t="str">
        <f t="shared" si="352"/>
        <v>CA_Orang_2020g~city of huntington beach city clerk (vote 1)</v>
      </c>
      <c r="B915" s="55" t="s">
        <v>3536</v>
      </c>
      <c r="D915" s="55" t="s">
        <v>3840</v>
      </c>
      <c r="E915" s="55" t="s">
        <v>3841</v>
      </c>
      <c r="G915" s="60">
        <v>76225</v>
      </c>
      <c r="H915"/>
      <c r="J915">
        <v>119371</v>
      </c>
      <c r="N915">
        <v>41973</v>
      </c>
      <c r="O915">
        <f t="shared" si="355"/>
        <v>1</v>
      </c>
      <c r="P915" s="57">
        <f t="shared" si="356"/>
        <v>1</v>
      </c>
      <c r="Q915" s="267">
        <f t="shared" si="357"/>
        <v>76225</v>
      </c>
      <c r="R915" s="23">
        <f t="shared" si="358"/>
        <v>76225</v>
      </c>
      <c r="S915" s="23">
        <f t="shared" si="359"/>
        <v>0</v>
      </c>
      <c r="T915" s="23" t="str">
        <f t="shared" si="360"/>
        <v/>
      </c>
      <c r="U915" t="str">
        <f t="shared" si="361"/>
        <v>CA_Orang_2020g~city of huntington beach city clerk (vote 1)</v>
      </c>
      <c r="W915" s="1">
        <f t="shared" si="362"/>
        <v>87</v>
      </c>
      <c r="X915" s="73">
        <f t="shared" si="371"/>
        <v>19.347211155378485</v>
      </c>
      <c r="Y915" s="322">
        <f t="shared" si="363"/>
        <v>216.17700000000002</v>
      </c>
      <c r="Z915" s="43">
        <f t="shared" si="372"/>
        <v>1.8327456251770559E-7</v>
      </c>
      <c r="AA915" s="52">
        <f t="shared" si="364"/>
        <v>1.8327456251770559E-9</v>
      </c>
      <c r="AB915" s="8">
        <f t="shared" si="365"/>
        <v>5396.56</v>
      </c>
      <c r="AC915" s="8">
        <f t="shared" si="366"/>
        <v>269828</v>
      </c>
      <c r="AD915" s="8">
        <f t="shared" si="370"/>
        <v>1349.14</v>
      </c>
      <c r="AE915" s="8" t="str">
        <f t="shared" si="367"/>
        <v/>
      </c>
      <c r="AF915" s="22" t="str">
        <f t="shared" si="368"/>
        <v>PA_Alleg_2019g</v>
      </c>
      <c r="AG915">
        <v>1</v>
      </c>
      <c r="AH915" s="272">
        <v>3133</v>
      </c>
      <c r="AI915" s="273">
        <v>2062</v>
      </c>
      <c r="AJ915" s="274">
        <v>1058</v>
      </c>
      <c r="AK915" s="339">
        <v>1004</v>
      </c>
      <c r="AL915" s="340" t="s">
        <v>2220</v>
      </c>
      <c r="AM915" s="358">
        <f t="shared" si="369"/>
        <v>3.7208888625346517E-3</v>
      </c>
      <c r="AN915" s="361" t="s">
        <v>6518</v>
      </c>
      <c r="AO915" s="362" t="s">
        <v>6506</v>
      </c>
      <c r="AP915" s="23">
        <f t="shared" si="373"/>
        <v>0</v>
      </c>
      <c r="AQ915" s="392">
        <f t="shared" si="353"/>
        <v>0</v>
      </c>
      <c r="AR915" s="392">
        <f t="shared" si="354"/>
        <v>0</v>
      </c>
      <c r="AS915" s="392">
        <f t="shared" si="354"/>
        <v>0</v>
      </c>
    </row>
    <row r="916" spans="1:45">
      <c r="A916" t="str">
        <f t="shared" si="352"/>
        <v>CA_Orang_2020g~city of huntington beach city treasurer (vote 1)</v>
      </c>
      <c r="B916" s="55" t="s">
        <v>3536</v>
      </c>
      <c r="D916" s="55" t="s">
        <v>3842</v>
      </c>
      <c r="E916" s="55" t="s">
        <v>3843</v>
      </c>
      <c r="G916" s="60">
        <v>75730</v>
      </c>
      <c r="H916"/>
      <c r="J916">
        <v>119371</v>
      </c>
      <c r="N916">
        <v>42476</v>
      </c>
      <c r="O916">
        <f t="shared" si="355"/>
        <v>1</v>
      </c>
      <c r="P916" s="57">
        <f t="shared" si="356"/>
        <v>1</v>
      </c>
      <c r="Q916" s="267">
        <f t="shared" si="357"/>
        <v>75730</v>
      </c>
      <c r="R916" s="23">
        <f t="shared" si="358"/>
        <v>75730</v>
      </c>
      <c r="S916" s="23">
        <f t="shared" si="359"/>
        <v>0</v>
      </c>
      <c r="T916" s="23" t="str">
        <f t="shared" si="360"/>
        <v/>
      </c>
      <c r="U916" t="str">
        <f t="shared" si="361"/>
        <v>CA_Orang_2020g~city of huntington beach city treasurer (vote 1)</v>
      </c>
      <c r="W916" s="290">
        <f t="shared" si="362"/>
        <v>88</v>
      </c>
      <c r="X916" s="298">
        <f t="shared" si="371"/>
        <v>18.09004329004329</v>
      </c>
      <c r="Y916" s="322">
        <f t="shared" si="363"/>
        <v>124.01600000000001</v>
      </c>
      <c r="Z916" s="299">
        <f t="shared" si="372"/>
        <v>4.3992155178831655E-4</v>
      </c>
      <c r="AA916" s="300">
        <f t="shared" si="364"/>
        <v>4.3992155178831653E-6</v>
      </c>
      <c r="AB916" s="301">
        <f t="shared" si="365"/>
        <v>5396.56</v>
      </c>
      <c r="AC916" s="301">
        <f t="shared" si="366"/>
        <v>269828</v>
      </c>
      <c r="AD916" s="8">
        <f t="shared" si="370"/>
        <v>1349.14</v>
      </c>
      <c r="AE916" s="301" t="str">
        <f t="shared" si="367"/>
        <v/>
      </c>
      <c r="AF916" s="22" t="str">
        <f t="shared" si="368"/>
        <v>PA_Alleg_2019g</v>
      </c>
      <c r="AG916">
        <v>3</v>
      </c>
      <c r="AH916" s="272">
        <v>1797.3333333333333</v>
      </c>
      <c r="AI916" s="273">
        <v>1383</v>
      </c>
      <c r="AJ916" s="274">
        <v>767</v>
      </c>
      <c r="AK916" s="339">
        <v>616</v>
      </c>
      <c r="AL916" s="340" t="s">
        <v>2265</v>
      </c>
      <c r="AM916" s="358">
        <f t="shared" si="369"/>
        <v>2.2829357961367982E-3</v>
      </c>
      <c r="AN916" s="361" t="s">
        <v>6880</v>
      </c>
      <c r="AO916" s="362" t="s">
        <v>6506</v>
      </c>
      <c r="AP916" s="23">
        <f t="shared" si="373"/>
        <v>0</v>
      </c>
      <c r="AQ916" s="392">
        <f t="shared" si="353"/>
        <v>0</v>
      </c>
      <c r="AR916" s="392">
        <f t="shared" si="354"/>
        <v>0</v>
      </c>
      <c r="AS916" s="392">
        <f t="shared" si="354"/>
        <v>0</v>
      </c>
    </row>
    <row r="917" spans="1:45">
      <c r="A917" t="str">
        <f t="shared" si="352"/>
        <v>CA_Orang_2020g~city of huntington beach member, city council (vote 1)</v>
      </c>
      <c r="B917" s="55" t="s">
        <v>3536</v>
      </c>
      <c r="D917" s="55" t="s">
        <v>3827</v>
      </c>
      <c r="E917" s="55" t="s">
        <v>3836</v>
      </c>
      <c r="G917" s="60">
        <v>42246</v>
      </c>
      <c r="H917"/>
      <c r="J917">
        <v>119371</v>
      </c>
      <c r="N917">
        <v>72370</v>
      </c>
      <c r="O917">
        <f t="shared" si="355"/>
        <v>1</v>
      </c>
      <c r="P917" s="57">
        <f t="shared" si="356"/>
        <v>1</v>
      </c>
      <c r="Q917" s="267">
        <f t="shared" si="357"/>
        <v>284780</v>
      </c>
      <c r="R917" s="23">
        <f t="shared" si="358"/>
        <v>42246</v>
      </c>
      <c r="S917" s="23">
        <f t="shared" si="359"/>
        <v>30310</v>
      </c>
      <c r="T917" s="23">
        <f t="shared" si="360"/>
        <v>11936</v>
      </c>
      <c r="U917" t="str">
        <f t="shared" si="361"/>
        <v>CA_Orang_2020g~city of huntington beach member, city council (vote 1)</v>
      </c>
      <c r="W917" s="1">
        <f t="shared" si="362"/>
        <v>89</v>
      </c>
      <c r="X917" s="73">
        <f t="shared" si="371"/>
        <v>17.966012305889247</v>
      </c>
      <c r="Y917" s="322">
        <f t="shared" si="363"/>
        <v>682.41000000000008</v>
      </c>
      <c r="Z917" s="43">
        <f t="shared" si="372"/>
        <v>1.4654671360088863E-28</v>
      </c>
      <c r="AA917" s="52">
        <f t="shared" si="364"/>
        <v>1.4654671360088863E-30</v>
      </c>
      <c r="AB917" s="8">
        <f t="shared" si="365"/>
        <v>5396.56</v>
      </c>
      <c r="AC917" s="8">
        <f t="shared" si="366"/>
        <v>269828</v>
      </c>
      <c r="AD917" s="8">
        <f t="shared" si="370"/>
        <v>1349.14</v>
      </c>
      <c r="AE917" s="8" t="str">
        <f t="shared" si="367"/>
        <v/>
      </c>
      <c r="AF917" s="22" t="str">
        <f t="shared" si="368"/>
        <v>PA_Alleg_2019g</v>
      </c>
      <c r="AG917">
        <v>1</v>
      </c>
      <c r="AH917" s="272">
        <v>9890</v>
      </c>
      <c r="AI917" s="273">
        <v>6642</v>
      </c>
      <c r="AJ917" s="274">
        <v>3229</v>
      </c>
      <c r="AK917" s="339">
        <v>3413</v>
      </c>
      <c r="AL917" s="340" t="s">
        <v>2221</v>
      </c>
      <c r="AM917" s="353">
        <f t="shared" si="369"/>
        <v>1.2648798493855345E-2</v>
      </c>
      <c r="AN917" s="361" t="s">
        <v>6519</v>
      </c>
      <c r="AO917" s="362" t="s">
        <v>6506</v>
      </c>
      <c r="AP917" s="23">
        <f t="shared" si="373"/>
        <v>4</v>
      </c>
      <c r="AQ917" s="392">
        <f t="shared" si="353"/>
        <v>4.0915279739510813E-2</v>
      </c>
      <c r="AR917" s="392">
        <f t="shared" si="354"/>
        <v>0.18708338475470032</v>
      </c>
      <c r="AS917" s="392">
        <f t="shared" si="354"/>
        <v>0.59115971469850592</v>
      </c>
    </row>
    <row r="918" spans="1:45">
      <c r="A918" t="str">
        <f t="shared" si="352"/>
        <v>CA_Orang_2020g~city of huntington beach member, city council (vote 1)</v>
      </c>
      <c r="B918" s="55" t="s">
        <v>3536</v>
      </c>
      <c r="D918" s="55" t="s">
        <v>3827</v>
      </c>
      <c r="E918" s="55" t="s">
        <v>3828</v>
      </c>
      <c r="G918" s="60">
        <v>30310</v>
      </c>
      <c r="H918"/>
      <c r="J918">
        <v>119371</v>
      </c>
      <c r="N918">
        <v>72370</v>
      </c>
      <c r="O918">
        <f t="shared" si="355"/>
        <v>2</v>
      </c>
      <c r="P918" s="57">
        <f t="shared" si="356"/>
        <v>1</v>
      </c>
      <c r="Q918" s="267">
        <f t="shared" si="357"/>
        <v>242534</v>
      </c>
      <c r="R918" s="23" t="str">
        <f t="shared" si="358"/>
        <v/>
      </c>
      <c r="S918" s="23">
        <f t="shared" si="359"/>
        <v>30310</v>
      </c>
      <c r="T918" s="23" t="str">
        <f t="shared" si="360"/>
        <v/>
      </c>
      <c r="U918" t="str">
        <f t="shared" si="361"/>
        <v/>
      </c>
      <c r="W918" s="290">
        <f t="shared" si="362"/>
        <v>90</v>
      </c>
      <c r="X918" s="298">
        <f t="shared" si="371"/>
        <v>17.158918918918918</v>
      </c>
      <c r="Y918" s="322">
        <f t="shared" si="363"/>
        <v>35.328000000000003</v>
      </c>
      <c r="Z918" s="299">
        <f t="shared" si="372"/>
        <v>2.4692172690993726</v>
      </c>
      <c r="AA918" s="300">
        <f t="shared" si="364"/>
        <v>2.4692172690993726E-2</v>
      </c>
      <c r="AB918" s="301">
        <f t="shared" si="365"/>
        <v>5396.56</v>
      </c>
      <c r="AC918" s="301">
        <f t="shared" si="366"/>
        <v>269828</v>
      </c>
      <c r="AD918" s="8">
        <f t="shared" si="370"/>
        <v>1349.14</v>
      </c>
      <c r="AE918" s="301" t="str">
        <f t="shared" si="367"/>
        <v/>
      </c>
      <c r="AF918" s="22" t="str">
        <f t="shared" si="368"/>
        <v>PA_Alleg_2019g</v>
      </c>
      <c r="AG918">
        <v>3</v>
      </c>
      <c r="AH918" s="272">
        <v>512</v>
      </c>
      <c r="AI918" s="273">
        <v>415</v>
      </c>
      <c r="AJ918" s="274">
        <v>230</v>
      </c>
      <c r="AK918" s="339">
        <v>185</v>
      </c>
      <c r="AL918" s="340" t="s">
        <v>2246</v>
      </c>
      <c r="AM918" s="358">
        <f t="shared" si="369"/>
        <v>6.8562195176186309E-4</v>
      </c>
      <c r="AN918" s="361" t="s">
        <v>6894</v>
      </c>
      <c r="AO918" s="362" t="s">
        <v>6506</v>
      </c>
      <c r="AP918" s="23">
        <f t="shared" si="373"/>
        <v>0</v>
      </c>
      <c r="AQ918" s="392">
        <f t="shared" si="353"/>
        <v>0</v>
      </c>
      <c r="AR918" s="392">
        <f t="shared" si="354"/>
        <v>0</v>
      </c>
      <c r="AS918" s="392">
        <f t="shared" si="354"/>
        <v>0</v>
      </c>
    </row>
    <row r="919" spans="1:45">
      <c r="A919" t="str">
        <f t="shared" si="352"/>
        <v>CA_Orang_2020g~city of huntington beach member, city council (vote 1)</v>
      </c>
      <c r="B919" s="55" t="s">
        <v>3536</v>
      </c>
      <c r="D919" s="55" t="s">
        <v>3827</v>
      </c>
      <c r="E919" s="55" t="s">
        <v>3831</v>
      </c>
      <c r="G919" s="60">
        <v>30185</v>
      </c>
      <c r="H919"/>
      <c r="J919">
        <v>119371</v>
      </c>
      <c r="N919">
        <v>72370</v>
      </c>
      <c r="O919">
        <f t="shared" si="355"/>
        <v>3</v>
      </c>
      <c r="P919" s="57">
        <f t="shared" si="356"/>
        <v>1</v>
      </c>
      <c r="Q919" s="267">
        <f t="shared" si="357"/>
        <v>212224</v>
      </c>
      <c r="R919" s="23" t="str">
        <f t="shared" si="358"/>
        <v/>
      </c>
      <c r="S919" s="23">
        <f t="shared" si="359"/>
        <v>30185</v>
      </c>
      <c r="T919" s="23" t="str">
        <f t="shared" si="360"/>
        <v/>
      </c>
      <c r="U919" t="str">
        <f t="shared" si="361"/>
        <v/>
      </c>
      <c r="W919" s="290">
        <f t="shared" si="362"/>
        <v>91</v>
      </c>
      <c r="X919" s="298">
        <f t="shared" si="371"/>
        <v>16.533333333333335</v>
      </c>
      <c r="Y919" s="322">
        <f t="shared" si="363"/>
        <v>28.704000000000001</v>
      </c>
      <c r="Z919" s="299">
        <f t="shared" si="372"/>
        <v>4.4117345332735463</v>
      </c>
      <c r="AA919" s="300">
        <f t="shared" si="364"/>
        <v>4.4117345332735466E-2</v>
      </c>
      <c r="AB919" s="301">
        <f t="shared" si="365"/>
        <v>5396.56</v>
      </c>
      <c r="AC919" s="301">
        <f t="shared" si="366"/>
        <v>269828</v>
      </c>
      <c r="AD919" s="8">
        <f t="shared" si="370"/>
        <v>1349.14</v>
      </c>
      <c r="AE919" s="301" t="str">
        <f t="shared" si="367"/>
        <v/>
      </c>
      <c r="AF919" s="22" t="str">
        <f t="shared" si="368"/>
        <v>PA_Alleg_2019g</v>
      </c>
      <c r="AG919">
        <v>1</v>
      </c>
      <c r="AH919" s="272">
        <v>416</v>
      </c>
      <c r="AI919" s="273">
        <v>284</v>
      </c>
      <c r="AJ919" s="274">
        <v>128</v>
      </c>
      <c r="AK919" s="339">
        <v>156</v>
      </c>
      <c r="AL919" s="340" t="s">
        <v>2200</v>
      </c>
      <c r="AM919" s="358">
        <f t="shared" si="369"/>
        <v>5.7814607824243594E-4</v>
      </c>
      <c r="AN919" s="361" t="s">
        <v>6899</v>
      </c>
      <c r="AO919" s="362" t="s">
        <v>6506</v>
      </c>
      <c r="AP919" s="23">
        <f t="shared" si="373"/>
        <v>0</v>
      </c>
      <c r="AQ919" s="392">
        <f t="shared" si="353"/>
        <v>0</v>
      </c>
      <c r="AR919" s="392">
        <f t="shared" si="354"/>
        <v>0</v>
      </c>
      <c r="AS919" s="392">
        <f t="shared" si="354"/>
        <v>0</v>
      </c>
    </row>
    <row r="920" spans="1:45">
      <c r="A920" t="str">
        <f t="shared" si="352"/>
        <v>CA_Orang_2020g~city of huntington beach member, city council (vote 1)</v>
      </c>
      <c r="B920" s="55" t="s">
        <v>3536</v>
      </c>
      <c r="D920" s="55" t="s">
        <v>3827</v>
      </c>
      <c r="E920" s="55" t="s">
        <v>3492</v>
      </c>
      <c r="G920" s="60">
        <v>23365</v>
      </c>
      <c r="H920"/>
      <c r="J920">
        <v>119371</v>
      </c>
      <c r="N920">
        <v>72370</v>
      </c>
      <c r="O920">
        <f t="shared" si="355"/>
        <v>4</v>
      </c>
      <c r="P920" s="57">
        <f t="shared" si="356"/>
        <v>1</v>
      </c>
      <c r="Q920" s="267">
        <f t="shared" si="357"/>
        <v>182039</v>
      </c>
      <c r="R920" s="23" t="str">
        <f t="shared" si="358"/>
        <v/>
      </c>
      <c r="S920" s="23">
        <f t="shared" si="359"/>
        <v>23365</v>
      </c>
      <c r="T920" s="23" t="str">
        <f t="shared" si="360"/>
        <v/>
      </c>
      <c r="U920" t="str">
        <f t="shared" si="361"/>
        <v/>
      </c>
      <c r="W920" s="290">
        <f t="shared" si="362"/>
        <v>92</v>
      </c>
      <c r="X920" s="298">
        <f t="shared" si="371"/>
        <v>16.395555555555557</v>
      </c>
      <c r="Y920" s="322">
        <f t="shared" si="363"/>
        <v>24.633000000000003</v>
      </c>
      <c r="Z920" s="299">
        <f t="shared" si="372"/>
        <v>6.7160120292199661</v>
      </c>
      <c r="AA920" s="300">
        <f t="shared" si="364"/>
        <v>6.7160120292199657E-2</v>
      </c>
      <c r="AB920" s="301">
        <f t="shared" si="365"/>
        <v>5396.56</v>
      </c>
      <c r="AC920" s="301">
        <f t="shared" si="366"/>
        <v>269828</v>
      </c>
      <c r="AD920" s="8">
        <f t="shared" si="370"/>
        <v>1349.14</v>
      </c>
      <c r="AE920" s="301" t="str">
        <f t="shared" si="367"/>
        <v/>
      </c>
      <c r="AF920" s="22" t="str">
        <f t="shared" si="368"/>
        <v>PA_Alleg_2019g</v>
      </c>
      <c r="AG920">
        <v>1</v>
      </c>
      <c r="AH920" s="272">
        <v>357</v>
      </c>
      <c r="AI920" s="273">
        <v>246</v>
      </c>
      <c r="AJ920" s="274">
        <v>111</v>
      </c>
      <c r="AK920" s="339">
        <v>135</v>
      </c>
      <c r="AL920" s="340" t="s">
        <v>2193</v>
      </c>
      <c r="AM920" s="358">
        <f t="shared" si="369"/>
        <v>5.0031872155595412E-4</v>
      </c>
      <c r="AN920" s="361" t="s">
        <v>6520</v>
      </c>
      <c r="AO920" s="362" t="s">
        <v>6506</v>
      </c>
      <c r="AP920" s="23">
        <f t="shared" si="373"/>
        <v>0</v>
      </c>
      <c r="AQ920" s="392">
        <f t="shared" si="353"/>
        <v>0</v>
      </c>
      <c r="AR920" s="392">
        <f t="shared" si="354"/>
        <v>0</v>
      </c>
      <c r="AS920" s="392">
        <f t="shared" si="354"/>
        <v>0</v>
      </c>
    </row>
    <row r="921" spans="1:45">
      <c r="A921" t="str">
        <f t="shared" si="352"/>
        <v>CA_Orang_2020g~city of huntington beach member, city council (vote 1)</v>
      </c>
      <c r="B921" s="55" t="s">
        <v>3536</v>
      </c>
      <c r="D921" s="55" t="s">
        <v>3827</v>
      </c>
      <c r="E921" s="55" t="s">
        <v>3407</v>
      </c>
      <c r="G921" s="60">
        <v>21696</v>
      </c>
      <c r="H921"/>
      <c r="J921">
        <v>119371</v>
      </c>
      <c r="N921">
        <v>72370</v>
      </c>
      <c r="O921">
        <f t="shared" si="355"/>
        <v>5</v>
      </c>
      <c r="P921" s="57">
        <f t="shared" si="356"/>
        <v>1</v>
      </c>
      <c r="Q921" s="267">
        <f t="shared" si="357"/>
        <v>158674</v>
      </c>
      <c r="R921" s="23" t="str">
        <f t="shared" si="358"/>
        <v/>
      </c>
      <c r="S921" s="23">
        <f t="shared" si="359"/>
        <v>21696</v>
      </c>
      <c r="T921" s="23" t="str">
        <f t="shared" si="360"/>
        <v/>
      </c>
      <c r="U921" t="str">
        <f t="shared" si="361"/>
        <v/>
      </c>
      <c r="W921" s="290">
        <f t="shared" si="362"/>
        <v>93</v>
      </c>
      <c r="X921" s="298">
        <f t="shared" si="371"/>
        <v>15.5</v>
      </c>
      <c r="Y921" s="322">
        <f t="shared" si="363"/>
        <v>21.39</v>
      </c>
      <c r="Z921" s="299">
        <f t="shared" si="372"/>
        <v>8.3695503953535209</v>
      </c>
      <c r="AA921" s="300">
        <f t="shared" si="364"/>
        <v>8.3695503953535214E-2</v>
      </c>
      <c r="AB921" s="301">
        <f t="shared" si="365"/>
        <v>5396.56</v>
      </c>
      <c r="AC921" s="301">
        <f t="shared" si="366"/>
        <v>269828</v>
      </c>
      <c r="AD921" s="8">
        <f t="shared" si="370"/>
        <v>1349.14</v>
      </c>
      <c r="AE921" s="301" t="str">
        <f t="shared" si="367"/>
        <v/>
      </c>
      <c r="AF921" s="22" t="str">
        <f t="shared" si="368"/>
        <v>PA_Alleg_2019g</v>
      </c>
      <c r="AG921">
        <v>1</v>
      </c>
      <c r="AH921" s="272">
        <v>310</v>
      </c>
      <c r="AI921" s="273">
        <v>216</v>
      </c>
      <c r="AJ921" s="274">
        <v>92</v>
      </c>
      <c r="AK921" s="339">
        <v>124</v>
      </c>
      <c r="AL921" s="340" t="s">
        <v>2208</v>
      </c>
      <c r="AM921" s="358">
        <f t="shared" si="369"/>
        <v>4.5955201091065417E-4</v>
      </c>
      <c r="AN921" s="361" t="s">
        <v>6906</v>
      </c>
      <c r="AO921" s="362" t="s">
        <v>6506</v>
      </c>
      <c r="AP921" s="23">
        <f t="shared" si="373"/>
        <v>0</v>
      </c>
      <c r="AQ921" s="392">
        <f t="shared" si="353"/>
        <v>0</v>
      </c>
      <c r="AR921" s="392">
        <f t="shared" si="354"/>
        <v>0</v>
      </c>
      <c r="AS921" s="392">
        <f t="shared" si="354"/>
        <v>0</v>
      </c>
    </row>
    <row r="922" spans="1:45">
      <c r="A922" t="str">
        <f t="shared" si="352"/>
        <v>CA_Orang_2020g~city of huntington beach member, city council (vote 1)</v>
      </c>
      <c r="B922" s="55" t="s">
        <v>3536</v>
      </c>
      <c r="D922" s="55" t="s">
        <v>3827</v>
      </c>
      <c r="E922" s="55" t="s">
        <v>3501</v>
      </c>
      <c r="G922" s="60">
        <v>20862</v>
      </c>
      <c r="H922"/>
      <c r="J922">
        <v>119371</v>
      </c>
      <c r="N922">
        <v>72370</v>
      </c>
      <c r="O922">
        <f t="shared" si="355"/>
        <v>6</v>
      </c>
      <c r="P922" s="57">
        <f t="shared" si="356"/>
        <v>1</v>
      </c>
      <c r="Q922" s="267">
        <f t="shared" si="357"/>
        <v>136978</v>
      </c>
      <c r="R922" s="23" t="str">
        <f t="shared" si="358"/>
        <v/>
      </c>
      <c r="S922" s="23">
        <f t="shared" si="359"/>
        <v>20862</v>
      </c>
      <c r="T922" s="23" t="str">
        <f t="shared" si="360"/>
        <v/>
      </c>
      <c r="U922" t="str">
        <f t="shared" si="361"/>
        <v/>
      </c>
      <c r="W922" s="1">
        <f t="shared" si="362"/>
        <v>94</v>
      </c>
      <c r="X922" s="73">
        <f t="shared" si="371"/>
        <v>14.016401468788251</v>
      </c>
      <c r="Y922" s="322">
        <f t="shared" si="363"/>
        <v>127.44300000000001</v>
      </c>
      <c r="Z922" s="43">
        <f t="shared" si="372"/>
        <v>7.8138134473739801E-6</v>
      </c>
      <c r="AA922" s="52">
        <f t="shared" si="364"/>
        <v>7.8138134473739801E-8</v>
      </c>
      <c r="AB922" s="8">
        <f t="shared" si="365"/>
        <v>5396.56</v>
      </c>
      <c r="AC922" s="8">
        <f t="shared" si="366"/>
        <v>269828</v>
      </c>
      <c r="AD922" s="8">
        <f t="shared" si="370"/>
        <v>1349.14</v>
      </c>
      <c r="AE922" s="8" t="str">
        <f t="shared" si="367"/>
        <v/>
      </c>
      <c r="AF922" s="22" t="str">
        <f t="shared" si="368"/>
        <v>PA_Alleg_2019g</v>
      </c>
      <c r="AG922">
        <v>1</v>
      </c>
      <c r="AH922" s="272">
        <v>1847</v>
      </c>
      <c r="AI922" s="273">
        <v>1332</v>
      </c>
      <c r="AJ922" s="274">
        <v>515</v>
      </c>
      <c r="AK922" s="339">
        <v>817</v>
      </c>
      <c r="AL922" s="340" t="s">
        <v>2202</v>
      </c>
      <c r="AM922" s="358">
        <f t="shared" si="369"/>
        <v>3.0278547815645522E-3</v>
      </c>
      <c r="AN922" s="361" t="s">
        <v>6875</v>
      </c>
      <c r="AO922" s="362" t="s">
        <v>6506</v>
      </c>
      <c r="AP922" s="23">
        <f t="shared" si="373"/>
        <v>0</v>
      </c>
      <c r="AQ922" s="392">
        <f t="shared" si="353"/>
        <v>0</v>
      </c>
      <c r="AR922" s="392">
        <f t="shared" si="354"/>
        <v>0</v>
      </c>
      <c r="AS922" s="392">
        <f t="shared" si="354"/>
        <v>0</v>
      </c>
    </row>
    <row r="923" spans="1:45">
      <c r="A923" t="str">
        <f t="shared" si="352"/>
        <v>CA_Orang_2020g~city of huntington beach member, city council (vote 1)</v>
      </c>
      <c r="B923" s="55" t="s">
        <v>3536</v>
      </c>
      <c r="D923" s="55" t="s">
        <v>3827</v>
      </c>
      <c r="E923" s="55" t="s">
        <v>3838</v>
      </c>
      <c r="G923" s="60">
        <v>20055</v>
      </c>
      <c r="H923"/>
      <c r="J923">
        <v>119371</v>
      </c>
      <c r="N923">
        <v>72370</v>
      </c>
      <c r="O923">
        <f t="shared" si="355"/>
        <v>7</v>
      </c>
      <c r="P923" s="57">
        <f t="shared" si="356"/>
        <v>1</v>
      </c>
      <c r="Q923" s="267">
        <f t="shared" si="357"/>
        <v>116116</v>
      </c>
      <c r="R923" s="23" t="str">
        <f t="shared" si="358"/>
        <v/>
      </c>
      <c r="S923" s="23">
        <f t="shared" si="359"/>
        <v>20055</v>
      </c>
      <c r="T923" s="23" t="str">
        <f t="shared" si="360"/>
        <v/>
      </c>
      <c r="U923" t="str">
        <f t="shared" si="361"/>
        <v/>
      </c>
      <c r="W923" s="290">
        <f t="shared" si="362"/>
        <v>95</v>
      </c>
      <c r="X923" s="298">
        <f t="shared" si="371"/>
        <v>13.92280701754386</v>
      </c>
      <c r="Y923" s="322">
        <f t="shared" si="363"/>
        <v>26.496000000000002</v>
      </c>
      <c r="Z923" s="299">
        <f t="shared" si="372"/>
        <v>3.2676989022211167</v>
      </c>
      <c r="AA923" s="300">
        <f t="shared" si="364"/>
        <v>3.2676989022211167E-2</v>
      </c>
      <c r="AB923" s="301">
        <f t="shared" si="365"/>
        <v>5396.56</v>
      </c>
      <c r="AC923" s="301">
        <f t="shared" si="366"/>
        <v>269828</v>
      </c>
      <c r="AD923" s="8">
        <f t="shared" si="370"/>
        <v>1349.14</v>
      </c>
      <c r="AE923" s="301" t="str">
        <f t="shared" si="367"/>
        <v/>
      </c>
      <c r="AF923" s="22" t="str">
        <f t="shared" si="368"/>
        <v>PA_Alleg_2019g</v>
      </c>
      <c r="AG923">
        <v>3</v>
      </c>
      <c r="AH923" s="272">
        <v>384</v>
      </c>
      <c r="AI923" s="273">
        <v>321</v>
      </c>
      <c r="AJ923" s="274">
        <v>150</v>
      </c>
      <c r="AK923" s="339">
        <v>171</v>
      </c>
      <c r="AL923" s="340" t="s">
        <v>2256</v>
      </c>
      <c r="AM923" s="358">
        <f t="shared" si="369"/>
        <v>6.3373704730420861E-4</v>
      </c>
      <c r="AN923" s="361" t="s">
        <v>6897</v>
      </c>
      <c r="AO923" s="362" t="s">
        <v>6506</v>
      </c>
      <c r="AP923" s="23">
        <f t="shared" si="373"/>
        <v>0</v>
      </c>
      <c r="AQ923" s="392">
        <f t="shared" si="353"/>
        <v>0</v>
      </c>
      <c r="AR923" s="392">
        <f t="shared" si="354"/>
        <v>0</v>
      </c>
      <c r="AS923" s="392">
        <f t="shared" si="354"/>
        <v>0</v>
      </c>
    </row>
    <row r="924" spans="1:45">
      <c r="A924" t="str">
        <f t="shared" si="352"/>
        <v>CA_Orang_2020g~city of huntington beach member, city council (vote 1)</v>
      </c>
      <c r="B924" s="55" t="s">
        <v>3536</v>
      </c>
      <c r="D924" s="55" t="s">
        <v>3827</v>
      </c>
      <c r="E924" s="55" t="s">
        <v>3837</v>
      </c>
      <c r="G924" s="60">
        <v>19900</v>
      </c>
      <c r="H924"/>
      <c r="J924">
        <v>119371</v>
      </c>
      <c r="N924">
        <v>72370</v>
      </c>
      <c r="O924">
        <f t="shared" si="355"/>
        <v>8</v>
      </c>
      <c r="P924" s="57">
        <f t="shared" si="356"/>
        <v>1</v>
      </c>
      <c r="Q924" s="267">
        <f t="shared" si="357"/>
        <v>96061</v>
      </c>
      <c r="R924" s="23" t="str">
        <f t="shared" si="358"/>
        <v/>
      </c>
      <c r="S924" s="23">
        <f t="shared" si="359"/>
        <v>19900</v>
      </c>
      <c r="T924" s="23" t="str">
        <f t="shared" si="360"/>
        <v/>
      </c>
      <c r="U924" t="str">
        <f t="shared" si="361"/>
        <v/>
      </c>
      <c r="W924" s="290">
        <f t="shared" si="362"/>
        <v>96</v>
      </c>
      <c r="X924" s="298">
        <f t="shared" si="371"/>
        <v>12.061494252873564</v>
      </c>
      <c r="Y924" s="322">
        <f t="shared" si="363"/>
        <v>23.3565</v>
      </c>
      <c r="Z924" s="299">
        <f t="shared" si="372"/>
        <v>3.0772848169863645</v>
      </c>
      <c r="AA924" s="300">
        <f t="shared" si="364"/>
        <v>3.0772848169863642E-2</v>
      </c>
      <c r="AB924" s="301">
        <f t="shared" si="365"/>
        <v>5396.56</v>
      </c>
      <c r="AC924" s="301">
        <f t="shared" si="366"/>
        <v>269828</v>
      </c>
      <c r="AD924" s="8">
        <f t="shared" si="370"/>
        <v>1349.14</v>
      </c>
      <c r="AE924" s="301" t="str">
        <f t="shared" si="367"/>
        <v/>
      </c>
      <c r="AF924" s="22" t="str">
        <f t="shared" si="368"/>
        <v>PA_Alleg_2019g</v>
      </c>
      <c r="AG924">
        <v>2</v>
      </c>
      <c r="AH924" s="272">
        <v>338.5</v>
      </c>
      <c r="AI924" s="273">
        <v>275</v>
      </c>
      <c r="AJ924" s="274">
        <v>101</v>
      </c>
      <c r="AK924" s="339">
        <v>174</v>
      </c>
      <c r="AL924" s="340" t="s">
        <v>2262</v>
      </c>
      <c r="AM924" s="358">
        <f t="shared" si="369"/>
        <v>6.4485524111656319E-4</v>
      </c>
      <c r="AN924" s="361" t="s">
        <v>6896</v>
      </c>
      <c r="AO924" s="362" t="s">
        <v>6506</v>
      </c>
      <c r="AP924" s="23">
        <f t="shared" si="373"/>
        <v>0</v>
      </c>
      <c r="AQ924" s="392">
        <f t="shared" si="353"/>
        <v>0</v>
      </c>
      <c r="AR924" s="392">
        <f t="shared" si="354"/>
        <v>0</v>
      </c>
      <c r="AS924" s="392">
        <f t="shared" si="354"/>
        <v>0</v>
      </c>
    </row>
    <row r="925" spans="1:45">
      <c r="A925" t="str">
        <f t="shared" si="352"/>
        <v>CA_Orang_2020g~city of huntington beach member, city council (vote 1)</v>
      </c>
      <c r="B925" s="55" t="s">
        <v>3536</v>
      </c>
      <c r="D925" s="55" t="s">
        <v>3827</v>
      </c>
      <c r="E925" s="55" t="s">
        <v>3835</v>
      </c>
      <c r="G925" s="60">
        <v>16727</v>
      </c>
      <c r="H925"/>
      <c r="J925">
        <v>119371</v>
      </c>
      <c r="N925">
        <v>72370</v>
      </c>
      <c r="O925">
        <f t="shared" si="355"/>
        <v>9</v>
      </c>
      <c r="P925" s="57">
        <f t="shared" si="356"/>
        <v>1</v>
      </c>
      <c r="Q925" s="267">
        <f t="shared" si="357"/>
        <v>76161</v>
      </c>
      <c r="R925" s="23" t="str">
        <f t="shared" si="358"/>
        <v/>
      </c>
      <c r="S925" s="23">
        <f t="shared" si="359"/>
        <v>16727</v>
      </c>
      <c r="T925" s="23" t="str">
        <f t="shared" si="360"/>
        <v/>
      </c>
      <c r="U925" t="str">
        <f t="shared" si="361"/>
        <v/>
      </c>
      <c r="W925" s="290">
        <f t="shared" si="362"/>
        <v>97</v>
      </c>
      <c r="X925" s="298">
        <f t="shared" si="371"/>
        <v>12</v>
      </c>
      <c r="Y925" s="322">
        <f t="shared" si="363"/>
        <v>12</v>
      </c>
      <c r="Z925" s="299">
        <f t="shared" si="372"/>
        <v>100</v>
      </c>
      <c r="AA925" s="300">
        <f t="shared" si="364"/>
        <v>1</v>
      </c>
      <c r="AB925" s="301">
        <f t="shared" si="365"/>
        <v>5396.56</v>
      </c>
      <c r="AC925" s="301">
        <f t="shared" si="366"/>
        <v>269828</v>
      </c>
      <c r="AD925" s="8">
        <f t="shared" si="370"/>
        <v>1349.14</v>
      </c>
      <c r="AE925" s="301" t="str">
        <f t="shared" si="367"/>
        <v/>
      </c>
      <c r="AF925" s="22" t="str">
        <f t="shared" si="368"/>
        <v>PA_Alleg_2019g</v>
      </c>
      <c r="AG925">
        <v>3</v>
      </c>
      <c r="AH925" s="272">
        <v>12</v>
      </c>
      <c r="AI925" s="273">
        <v>5</v>
      </c>
      <c r="AJ925" s="274">
        <v>5</v>
      </c>
      <c r="AK925" s="339">
        <v>0</v>
      </c>
      <c r="AL925" s="340" t="s">
        <v>2268</v>
      </c>
      <c r="AM925" s="353">
        <f t="shared" si="369"/>
        <v>0</v>
      </c>
      <c r="AN925" s="361" t="s">
        <v>6964</v>
      </c>
      <c r="AO925" s="362" t="s">
        <v>6506</v>
      </c>
      <c r="AP925" s="23">
        <f t="shared" si="373"/>
        <v>0</v>
      </c>
      <c r="AQ925" s="392">
        <f t="shared" si="353"/>
        <v>0</v>
      </c>
      <c r="AR925" s="392">
        <f t="shared" si="354"/>
        <v>0</v>
      </c>
      <c r="AS925" s="392">
        <f t="shared" si="354"/>
        <v>0</v>
      </c>
    </row>
    <row r="926" spans="1:45">
      <c r="A926" t="str">
        <f t="shared" si="352"/>
        <v>CA_Orang_2020g~city of huntington beach member, city council (vote 1)</v>
      </c>
      <c r="B926" s="55" t="s">
        <v>3536</v>
      </c>
      <c r="D926" s="55" t="s">
        <v>3827</v>
      </c>
      <c r="E926" s="55" t="s">
        <v>3839</v>
      </c>
      <c r="G926" s="60">
        <v>16602</v>
      </c>
      <c r="H926"/>
      <c r="J926">
        <v>119371</v>
      </c>
      <c r="N926">
        <v>72370</v>
      </c>
      <c r="O926">
        <f t="shared" si="355"/>
        <v>10</v>
      </c>
      <c r="P926" s="57">
        <f t="shared" si="356"/>
        <v>1</v>
      </c>
      <c r="Q926" s="267">
        <f t="shared" si="357"/>
        <v>59434</v>
      </c>
      <c r="R926" s="23" t="str">
        <f t="shared" si="358"/>
        <v/>
      </c>
      <c r="S926" s="23">
        <f t="shared" si="359"/>
        <v>16602</v>
      </c>
      <c r="T926" s="23" t="str">
        <f t="shared" si="360"/>
        <v/>
      </c>
      <c r="U926" t="str">
        <f t="shared" si="361"/>
        <v/>
      </c>
      <c r="W926" s="290">
        <f t="shared" si="362"/>
        <v>98</v>
      </c>
      <c r="X926" s="298">
        <f t="shared" si="371"/>
        <v>10.247371461582901</v>
      </c>
      <c r="Y926" s="322">
        <f t="shared" si="363"/>
        <v>65.802999999999997</v>
      </c>
      <c r="Z926" s="299">
        <f t="shared" si="372"/>
        <v>9.613365559972873E-4</v>
      </c>
      <c r="AA926" s="300">
        <f t="shared" si="364"/>
        <v>9.6133655599728727E-6</v>
      </c>
      <c r="AB926" s="301">
        <f t="shared" si="365"/>
        <v>5396.56</v>
      </c>
      <c r="AC926" s="301">
        <f t="shared" si="366"/>
        <v>269828</v>
      </c>
      <c r="AD926" s="8">
        <f t="shared" si="370"/>
        <v>1349.14</v>
      </c>
      <c r="AE926" s="301" t="str">
        <f t="shared" si="367"/>
        <v/>
      </c>
      <c r="AF926" s="22" t="str">
        <f t="shared" si="368"/>
        <v>PA_Alleg_2019g</v>
      </c>
      <c r="AG926">
        <v>3</v>
      </c>
      <c r="AH926" s="272">
        <v>953.66666666666663</v>
      </c>
      <c r="AI926" s="273">
        <v>838</v>
      </c>
      <c r="AJ926" s="274">
        <v>261</v>
      </c>
      <c r="AK926" s="339">
        <v>577</v>
      </c>
      <c r="AL926" s="340" t="s">
        <v>2238</v>
      </c>
      <c r="AM926" s="358">
        <f t="shared" si="369"/>
        <v>2.1383992765761891E-3</v>
      </c>
      <c r="AN926" s="361" t="s">
        <v>6881</v>
      </c>
      <c r="AO926" s="362" t="s">
        <v>6506</v>
      </c>
      <c r="AP926" s="23">
        <f t="shared" si="373"/>
        <v>0</v>
      </c>
      <c r="AQ926" s="392">
        <f t="shared" si="353"/>
        <v>0</v>
      </c>
      <c r="AR926" s="392">
        <f t="shared" si="354"/>
        <v>0</v>
      </c>
      <c r="AS926" s="392">
        <f t="shared" si="354"/>
        <v>0</v>
      </c>
    </row>
    <row r="927" spans="1:45">
      <c r="A927" t="str">
        <f t="shared" si="352"/>
        <v>CA_Orang_2020g~city of huntington beach member, city council (vote 1)</v>
      </c>
      <c r="B927" s="55" t="s">
        <v>3536</v>
      </c>
      <c r="D927" s="55" t="s">
        <v>3827</v>
      </c>
      <c r="E927" s="55" t="s">
        <v>3829</v>
      </c>
      <c r="G927" s="60">
        <v>11560</v>
      </c>
      <c r="H927"/>
      <c r="J927">
        <v>119371</v>
      </c>
      <c r="N927">
        <v>72370</v>
      </c>
      <c r="O927">
        <f t="shared" si="355"/>
        <v>11</v>
      </c>
      <c r="P927" s="57">
        <f t="shared" si="356"/>
        <v>1</v>
      </c>
      <c r="Q927" s="267">
        <f t="shared" si="357"/>
        <v>42832</v>
      </c>
      <c r="R927" s="23" t="str">
        <f t="shared" si="358"/>
        <v/>
      </c>
      <c r="S927" s="23">
        <f t="shared" si="359"/>
        <v>11560</v>
      </c>
      <c r="T927" s="23" t="str">
        <f t="shared" si="360"/>
        <v/>
      </c>
      <c r="U927" t="str">
        <f t="shared" si="361"/>
        <v/>
      </c>
      <c r="W927" s="290">
        <f t="shared" si="362"/>
        <v>99</v>
      </c>
      <c r="X927" s="298">
        <f t="shared" si="371"/>
        <v>105.58787878787879</v>
      </c>
      <c r="Y927" s="322">
        <f t="shared" si="363"/>
        <v>105.58787878787879</v>
      </c>
      <c r="Z927" s="299">
        <f t="shared" si="372"/>
        <v>26.709217311298612</v>
      </c>
      <c r="AA927" s="300">
        <f t="shared" si="364"/>
        <v>0.26709217311298611</v>
      </c>
      <c r="AB927" s="301">
        <f t="shared" si="365"/>
        <v>5396.56</v>
      </c>
      <c r="AC927" s="301">
        <f t="shared" si="366"/>
        <v>269828</v>
      </c>
      <c r="AD927" s="8">
        <f t="shared" si="370"/>
        <v>1349.14</v>
      </c>
      <c r="AE927" s="301" t="str">
        <f t="shared" si="367"/>
        <v/>
      </c>
      <c r="AF927" s="22" t="str">
        <f t="shared" si="368"/>
        <v>PA_Alleg_2019g</v>
      </c>
      <c r="AG927">
        <v>1</v>
      </c>
      <c r="AH927" s="272">
        <v>1124</v>
      </c>
      <c r="AI927" s="273">
        <v>595</v>
      </c>
      <c r="AJ927" s="274">
        <v>529</v>
      </c>
      <c r="AK927" s="339">
        <v>66</v>
      </c>
      <c r="AL927" s="340" t="s">
        <v>2213</v>
      </c>
      <c r="AM927" s="353">
        <f t="shared" si="369"/>
        <v>2.4460026387179983E-4</v>
      </c>
      <c r="AN927" s="359" t="s">
        <v>6922</v>
      </c>
      <c r="AO927" s="360" t="s">
        <v>6507</v>
      </c>
      <c r="AP927" s="23">
        <f t="shared" si="373"/>
        <v>0</v>
      </c>
      <c r="AQ927" s="392">
        <f t="shared" si="353"/>
        <v>0</v>
      </c>
      <c r="AR927" s="392">
        <f t="shared" si="354"/>
        <v>0</v>
      </c>
      <c r="AS927" s="392">
        <f t="shared" si="354"/>
        <v>0</v>
      </c>
    </row>
    <row r="928" spans="1:45">
      <c r="A928" t="str">
        <f t="shared" si="352"/>
        <v>CA_Orang_2020g~city of huntington beach member, city council (vote 1)</v>
      </c>
      <c r="B928" s="55" t="s">
        <v>3536</v>
      </c>
      <c r="D928" s="55" t="s">
        <v>3827</v>
      </c>
      <c r="E928" s="55" t="s">
        <v>3833</v>
      </c>
      <c r="G928" s="60">
        <v>10388</v>
      </c>
      <c r="H928"/>
      <c r="J928">
        <v>119371</v>
      </c>
      <c r="N928">
        <v>72370</v>
      </c>
      <c r="O928">
        <f t="shared" si="355"/>
        <v>12</v>
      </c>
      <c r="P928" s="57">
        <f t="shared" si="356"/>
        <v>1</v>
      </c>
      <c r="Q928" s="267">
        <f t="shared" si="357"/>
        <v>31272</v>
      </c>
      <c r="R928" s="23" t="str">
        <f t="shared" si="358"/>
        <v/>
      </c>
      <c r="S928" s="23">
        <f t="shared" si="359"/>
        <v>10388</v>
      </c>
      <c r="T928" s="23" t="str">
        <f t="shared" si="360"/>
        <v/>
      </c>
      <c r="U928" t="str">
        <f t="shared" si="361"/>
        <v/>
      </c>
      <c r="W928" s="290">
        <f t="shared" si="362"/>
        <v>100</v>
      </c>
      <c r="X928" s="298">
        <f t="shared" si="371"/>
        <v>77.52080536912753</v>
      </c>
      <c r="Y928" s="322">
        <f t="shared" si="363"/>
        <v>128.547</v>
      </c>
      <c r="Z928" s="299">
        <f t="shared" si="372"/>
        <v>5.075104417351989</v>
      </c>
      <c r="AA928" s="300">
        <f t="shared" si="364"/>
        <v>5.0751044173519888E-2</v>
      </c>
      <c r="AB928" s="301">
        <f t="shared" si="365"/>
        <v>5396.56</v>
      </c>
      <c r="AC928" s="301">
        <f t="shared" si="366"/>
        <v>269828</v>
      </c>
      <c r="AD928" s="8">
        <f t="shared" si="370"/>
        <v>1349.14</v>
      </c>
      <c r="AE928" s="301" t="str">
        <f t="shared" si="367"/>
        <v/>
      </c>
      <c r="AF928" s="22" t="str">
        <f t="shared" si="368"/>
        <v>PA_Alleg_2019g</v>
      </c>
      <c r="AG928">
        <v>1</v>
      </c>
      <c r="AH928" s="272">
        <v>1863</v>
      </c>
      <c r="AI928" s="273">
        <v>1005</v>
      </c>
      <c r="AJ928" s="274">
        <v>856</v>
      </c>
      <c r="AK928" s="339">
        <v>149</v>
      </c>
      <c r="AL928" s="340" t="s">
        <v>2270</v>
      </c>
      <c r="AM928" s="358">
        <f t="shared" si="369"/>
        <v>5.5220362601360871E-4</v>
      </c>
      <c r="AN928" s="359" t="s">
        <v>6902</v>
      </c>
      <c r="AO928" s="360" t="s">
        <v>6507</v>
      </c>
      <c r="AP928" s="23">
        <f t="shared" si="373"/>
        <v>0</v>
      </c>
      <c r="AQ928" s="392">
        <f t="shared" si="353"/>
        <v>0</v>
      </c>
      <c r="AR928" s="392">
        <f t="shared" si="354"/>
        <v>0</v>
      </c>
      <c r="AS928" s="392">
        <f t="shared" si="354"/>
        <v>0</v>
      </c>
    </row>
    <row r="929" spans="1:45">
      <c r="A929" t="str">
        <f t="shared" si="352"/>
        <v>CA_Orang_2020g~city of huntington beach member, city council (vote 1)</v>
      </c>
      <c r="B929" s="55" t="s">
        <v>3536</v>
      </c>
      <c r="D929" s="55" t="s">
        <v>3827</v>
      </c>
      <c r="E929" s="55" t="s">
        <v>3832</v>
      </c>
      <c r="G929" s="60">
        <v>9688</v>
      </c>
      <c r="H929"/>
      <c r="J929">
        <v>119371</v>
      </c>
      <c r="N929">
        <v>72370</v>
      </c>
      <c r="O929">
        <f t="shared" si="355"/>
        <v>13</v>
      </c>
      <c r="P929" s="57">
        <f t="shared" si="356"/>
        <v>1</v>
      </c>
      <c r="Q929" s="267">
        <f t="shared" si="357"/>
        <v>20884</v>
      </c>
      <c r="R929" s="23" t="str">
        <f t="shared" si="358"/>
        <v/>
      </c>
      <c r="S929" s="23">
        <f t="shared" si="359"/>
        <v>9688</v>
      </c>
      <c r="T929" s="23" t="str">
        <f t="shared" si="360"/>
        <v/>
      </c>
      <c r="U929" t="str">
        <f t="shared" si="361"/>
        <v/>
      </c>
      <c r="W929" s="290">
        <f t="shared" si="362"/>
        <v>101</v>
      </c>
      <c r="X929" s="298">
        <f t="shared" si="371"/>
        <v>76.855844155844167</v>
      </c>
      <c r="Y929" s="322">
        <f t="shared" si="363"/>
        <v>131.721</v>
      </c>
      <c r="Z929" s="299">
        <f t="shared" si="372"/>
        <v>4.591886405072338</v>
      </c>
      <c r="AA929" s="300">
        <f t="shared" si="364"/>
        <v>4.5918864050723381E-2</v>
      </c>
      <c r="AB929" s="301">
        <f t="shared" si="365"/>
        <v>5396.56</v>
      </c>
      <c r="AC929" s="301">
        <f t="shared" si="366"/>
        <v>269828</v>
      </c>
      <c r="AD929" s="8">
        <f t="shared" si="370"/>
        <v>1349.14</v>
      </c>
      <c r="AE929" s="301" t="str">
        <f t="shared" si="367"/>
        <v/>
      </c>
      <c r="AF929" s="22" t="str">
        <f t="shared" si="368"/>
        <v>PA_Alleg_2019g</v>
      </c>
      <c r="AG929">
        <v>3</v>
      </c>
      <c r="AH929" s="272">
        <v>1909</v>
      </c>
      <c r="AI929" s="273">
        <v>1036</v>
      </c>
      <c r="AJ929" s="274">
        <v>882</v>
      </c>
      <c r="AK929" s="339">
        <v>154</v>
      </c>
      <c r="AL929" s="340" t="s">
        <v>2255</v>
      </c>
      <c r="AM929" s="358">
        <f t="shared" si="369"/>
        <v>5.7073394903419956E-4</v>
      </c>
      <c r="AN929" s="359" t="s">
        <v>6901</v>
      </c>
      <c r="AO929" s="360" t="s">
        <v>6507</v>
      </c>
      <c r="AP929" s="23">
        <f t="shared" si="373"/>
        <v>0</v>
      </c>
      <c r="AQ929" s="392">
        <f t="shared" si="353"/>
        <v>0</v>
      </c>
      <c r="AR929" s="392">
        <f t="shared" si="354"/>
        <v>0</v>
      </c>
      <c r="AS929" s="392">
        <f t="shared" si="354"/>
        <v>0</v>
      </c>
    </row>
    <row r="930" spans="1:45">
      <c r="A930" t="str">
        <f t="shared" si="352"/>
        <v>CA_Orang_2020g~city of huntington beach member, city council (vote 1)</v>
      </c>
      <c r="B930" s="55" t="s">
        <v>3536</v>
      </c>
      <c r="D930" s="55" t="s">
        <v>3827</v>
      </c>
      <c r="E930" s="55" t="s">
        <v>3834</v>
      </c>
      <c r="G930" s="60">
        <v>8497</v>
      </c>
      <c r="H930"/>
      <c r="J930">
        <v>119371</v>
      </c>
      <c r="N930">
        <v>72370</v>
      </c>
      <c r="O930">
        <f t="shared" si="355"/>
        <v>14</v>
      </c>
      <c r="P930" s="57">
        <f t="shared" si="356"/>
        <v>1</v>
      </c>
      <c r="Q930" s="267">
        <f t="shared" si="357"/>
        <v>11196</v>
      </c>
      <c r="R930" s="23" t="str">
        <f t="shared" si="358"/>
        <v/>
      </c>
      <c r="S930" s="23">
        <f t="shared" si="359"/>
        <v>8497</v>
      </c>
      <c r="T930" s="23" t="str">
        <f t="shared" si="360"/>
        <v/>
      </c>
      <c r="U930" t="str">
        <f t="shared" si="361"/>
        <v/>
      </c>
      <c r="W930" s="290">
        <f t="shared" si="362"/>
        <v>102</v>
      </c>
      <c r="X930" s="298">
        <f t="shared" si="371"/>
        <v>75.36</v>
      </c>
      <c r="Y930" s="322">
        <f t="shared" si="363"/>
        <v>129.99600000000001</v>
      </c>
      <c r="Z930" s="299">
        <f t="shared" si="372"/>
        <v>4.5009093891599861</v>
      </c>
      <c r="AA930" s="300">
        <f t="shared" si="364"/>
        <v>4.5009093891599856E-2</v>
      </c>
      <c r="AB930" s="301">
        <f t="shared" si="365"/>
        <v>5396.56</v>
      </c>
      <c r="AC930" s="301">
        <f t="shared" si="366"/>
        <v>269828</v>
      </c>
      <c r="AD930" s="8">
        <f t="shared" si="370"/>
        <v>1349.14</v>
      </c>
      <c r="AE930" s="301" t="str">
        <f t="shared" si="367"/>
        <v/>
      </c>
      <c r="AF930" s="22" t="str">
        <f t="shared" si="368"/>
        <v>PA_Alleg_2019g</v>
      </c>
      <c r="AG930">
        <v>1</v>
      </c>
      <c r="AH930" s="272">
        <v>1884</v>
      </c>
      <c r="AI930" s="273">
        <v>1019</v>
      </c>
      <c r="AJ930" s="274">
        <v>864</v>
      </c>
      <c r="AK930" s="339">
        <v>155</v>
      </c>
      <c r="AL930" s="340" t="s">
        <v>2257</v>
      </c>
      <c r="AM930" s="358">
        <f t="shared" si="369"/>
        <v>5.7444001363831775E-4</v>
      </c>
      <c r="AN930" s="359" t="s">
        <v>6900</v>
      </c>
      <c r="AO930" s="360" t="s">
        <v>6507</v>
      </c>
      <c r="AP930" s="23">
        <f t="shared" si="373"/>
        <v>0</v>
      </c>
      <c r="AQ930" s="392">
        <f t="shared" si="353"/>
        <v>0</v>
      </c>
      <c r="AR930" s="392">
        <f t="shared" si="354"/>
        <v>0</v>
      </c>
      <c r="AS930" s="392">
        <f t="shared" si="354"/>
        <v>0</v>
      </c>
    </row>
    <row r="931" spans="1:45">
      <c r="A931" t="str">
        <f t="shared" si="352"/>
        <v>CA_Orang_2020g~city of huntington beach member, city council (vote 1)</v>
      </c>
      <c r="B931" s="55" t="s">
        <v>3536</v>
      </c>
      <c r="D931" s="55" t="s">
        <v>3827</v>
      </c>
      <c r="E931" s="55" t="s">
        <v>3830</v>
      </c>
      <c r="G931" s="60">
        <v>2699</v>
      </c>
      <c r="H931"/>
      <c r="J931">
        <v>119371</v>
      </c>
      <c r="N931">
        <v>72370</v>
      </c>
      <c r="O931">
        <f t="shared" si="355"/>
        <v>15</v>
      </c>
      <c r="P931" s="57">
        <f t="shared" si="356"/>
        <v>1</v>
      </c>
      <c r="Q931" s="267">
        <f t="shared" si="357"/>
        <v>2699</v>
      </c>
      <c r="R931" s="23" t="str">
        <f t="shared" si="358"/>
        <v/>
      </c>
      <c r="S931" s="23">
        <f t="shared" si="359"/>
        <v>2699</v>
      </c>
      <c r="T931" s="23" t="str">
        <f t="shared" si="360"/>
        <v/>
      </c>
      <c r="U931" t="str">
        <f t="shared" si="361"/>
        <v/>
      </c>
      <c r="W931" s="1">
        <f t="shared" si="362"/>
        <v>103</v>
      </c>
      <c r="X931" s="73">
        <f t="shared" si="371"/>
        <v>71.188809182209468</v>
      </c>
      <c r="Y931" s="322">
        <f t="shared" si="363"/>
        <v>552.20699999999999</v>
      </c>
      <c r="Z931" s="43">
        <f t="shared" si="372"/>
        <v>8.6716595923755588E-5</v>
      </c>
      <c r="AA931" s="52">
        <f t="shared" si="364"/>
        <v>8.671659592375559E-7</v>
      </c>
      <c r="AB931" s="8">
        <f t="shared" si="365"/>
        <v>5396.56</v>
      </c>
      <c r="AC931" s="8">
        <f t="shared" si="366"/>
        <v>269828</v>
      </c>
      <c r="AD931" s="8">
        <f t="shared" si="370"/>
        <v>1349.14</v>
      </c>
      <c r="AE931" s="8" t="str">
        <f t="shared" si="367"/>
        <v/>
      </c>
      <c r="AF931" s="22" t="str">
        <f t="shared" si="368"/>
        <v>PA_Alleg_2019g</v>
      </c>
      <c r="AG931">
        <v>1</v>
      </c>
      <c r="AH931" s="8">
        <v>8003</v>
      </c>
      <c r="AI931" s="273">
        <v>4347</v>
      </c>
      <c r="AJ931" s="274">
        <v>3650</v>
      </c>
      <c r="AK931" s="339">
        <v>697</v>
      </c>
      <c r="AL931" s="23" t="s">
        <v>2328</v>
      </c>
      <c r="AM931" s="353">
        <f t="shared" si="369"/>
        <v>2.5831270290703708E-3</v>
      </c>
      <c r="AN931" s="359" t="s">
        <v>6511</v>
      </c>
      <c r="AO931" s="360" t="s">
        <v>6507</v>
      </c>
      <c r="AP931" s="23">
        <f t="shared" si="373"/>
        <v>0</v>
      </c>
      <c r="AQ931" s="392">
        <f t="shared" si="353"/>
        <v>0</v>
      </c>
      <c r="AR931" s="392">
        <f t="shared" si="354"/>
        <v>0</v>
      </c>
      <c r="AS931" s="392">
        <f t="shared" si="354"/>
        <v>0</v>
      </c>
    </row>
    <row r="932" spans="1:45">
      <c r="A932" t="str">
        <f t="shared" si="352"/>
        <v>CA_Orang_2020g~city of irvine mayor (vote 1)</v>
      </c>
      <c r="B932" s="55" t="s">
        <v>3536</v>
      </c>
      <c r="D932" s="55" t="s">
        <v>3844</v>
      </c>
      <c r="E932" s="55" t="s">
        <v>3845</v>
      </c>
      <c r="G932" s="60">
        <v>56304</v>
      </c>
      <c r="H932"/>
      <c r="J932">
        <v>129954</v>
      </c>
      <c r="N932">
        <v>11188</v>
      </c>
      <c r="O932">
        <f t="shared" si="355"/>
        <v>1</v>
      </c>
      <c r="P932" s="57">
        <f t="shared" si="356"/>
        <v>1</v>
      </c>
      <c r="Q932" s="267">
        <f t="shared" si="357"/>
        <v>118380</v>
      </c>
      <c r="R932" s="23">
        <f t="shared" si="358"/>
        <v>56304</v>
      </c>
      <c r="S932" s="23">
        <f t="shared" si="359"/>
        <v>42738</v>
      </c>
      <c r="T932" s="23">
        <f t="shared" si="360"/>
        <v>13566</v>
      </c>
      <c r="U932" t="str">
        <f t="shared" si="361"/>
        <v>CA_Orang_2020g~city of irvine mayor (vote 1)</v>
      </c>
      <c r="W932" s="290">
        <f t="shared" si="362"/>
        <v>104</v>
      </c>
      <c r="X932" s="298">
        <f t="shared" si="371"/>
        <v>47.645652173913049</v>
      </c>
      <c r="Y932" s="322">
        <f t="shared" si="363"/>
        <v>97.566000000000003</v>
      </c>
      <c r="Z932" s="299">
        <f t="shared" si="372"/>
        <v>2.5191332401900168</v>
      </c>
      <c r="AA932" s="300">
        <f t="shared" si="364"/>
        <v>2.5191332401900166E-2</v>
      </c>
      <c r="AB932" s="301">
        <f t="shared" si="365"/>
        <v>5396.56</v>
      </c>
      <c r="AC932" s="301">
        <f t="shared" si="366"/>
        <v>269828</v>
      </c>
      <c r="AD932" s="8">
        <f t="shared" si="370"/>
        <v>1349.14</v>
      </c>
      <c r="AE932" s="301" t="str">
        <f t="shared" si="367"/>
        <v/>
      </c>
      <c r="AF932" s="22" t="str">
        <f t="shared" si="368"/>
        <v>PA_Alleg_2019g</v>
      </c>
      <c r="AG932" s="302">
        <v>1</v>
      </c>
      <c r="AH932" s="301">
        <v>1414</v>
      </c>
      <c r="AI932" s="303">
        <v>794</v>
      </c>
      <c r="AJ932" s="303">
        <v>610</v>
      </c>
      <c r="AK932" s="342">
        <v>184</v>
      </c>
      <c r="AL932" s="343" t="s">
        <v>2231</v>
      </c>
      <c r="AM932" s="358">
        <f t="shared" si="369"/>
        <v>6.819158871577449E-4</v>
      </c>
      <c r="AN932" s="359" t="s">
        <v>6895</v>
      </c>
      <c r="AO932" s="360" t="s">
        <v>6507</v>
      </c>
      <c r="AP932" s="23">
        <f t="shared" si="373"/>
        <v>0</v>
      </c>
      <c r="AQ932" s="392">
        <f t="shared" si="353"/>
        <v>0</v>
      </c>
      <c r="AR932" s="392">
        <f t="shared" si="354"/>
        <v>0</v>
      </c>
      <c r="AS932" s="392">
        <f t="shared" si="354"/>
        <v>0</v>
      </c>
    </row>
    <row r="933" spans="1:45">
      <c r="A933" t="str">
        <f t="shared" si="352"/>
        <v>CA_Orang_2020g~city of irvine mayor (vote 1)</v>
      </c>
      <c r="B933" s="55" t="s">
        <v>3536</v>
      </c>
      <c r="D933" s="55" t="s">
        <v>3844</v>
      </c>
      <c r="E933" s="55" t="s">
        <v>3846</v>
      </c>
      <c r="G933" s="60">
        <v>42738</v>
      </c>
      <c r="H933"/>
      <c r="J933">
        <v>129954</v>
      </c>
      <c r="N933">
        <v>11188</v>
      </c>
      <c r="O933">
        <f t="shared" si="355"/>
        <v>2</v>
      </c>
      <c r="P933" s="57">
        <f t="shared" si="356"/>
        <v>1</v>
      </c>
      <c r="Q933" s="267">
        <f t="shared" si="357"/>
        <v>62076</v>
      </c>
      <c r="R933" s="23" t="str">
        <f t="shared" si="358"/>
        <v/>
      </c>
      <c r="S933" s="23">
        <f t="shared" si="359"/>
        <v>42738</v>
      </c>
      <c r="T933" s="23" t="str">
        <f t="shared" si="360"/>
        <v/>
      </c>
      <c r="U933" t="str">
        <f t="shared" si="361"/>
        <v/>
      </c>
      <c r="W933" s="290">
        <f t="shared" si="362"/>
        <v>105</v>
      </c>
      <c r="X933" s="298">
        <f t="shared" si="371"/>
        <v>29.436036036036036</v>
      </c>
      <c r="Y933" s="322">
        <f t="shared" si="363"/>
        <v>36.363</v>
      </c>
      <c r="Z933" s="299">
        <f t="shared" si="372"/>
        <v>10.855951299750522</v>
      </c>
      <c r="AA933" s="300">
        <f t="shared" si="364"/>
        <v>0.10855951299750523</v>
      </c>
      <c r="AB933" s="301">
        <f t="shared" si="365"/>
        <v>5396.56</v>
      </c>
      <c r="AC933" s="301">
        <f t="shared" si="366"/>
        <v>269828</v>
      </c>
      <c r="AD933" s="8">
        <f t="shared" si="370"/>
        <v>1349.14</v>
      </c>
      <c r="AE933" s="301" t="str">
        <f t="shared" si="367"/>
        <v/>
      </c>
      <c r="AF933" s="22" t="str">
        <f t="shared" si="368"/>
        <v>PA_Alleg_2019g</v>
      </c>
      <c r="AG933">
        <v>1</v>
      </c>
      <c r="AH933" s="272">
        <v>527</v>
      </c>
      <c r="AI933" s="273">
        <v>319</v>
      </c>
      <c r="AJ933" s="274">
        <v>208</v>
      </c>
      <c r="AK933" s="339">
        <v>111</v>
      </c>
      <c r="AL933" s="340" t="s">
        <v>2225</v>
      </c>
      <c r="AM933" s="358">
        <f t="shared" si="369"/>
        <v>4.1137317105711789E-4</v>
      </c>
      <c r="AN933" s="361" t="s">
        <v>6911</v>
      </c>
      <c r="AO933" s="362" t="s">
        <v>6507</v>
      </c>
      <c r="AP933" s="23">
        <f t="shared" si="373"/>
        <v>0</v>
      </c>
      <c r="AQ933" s="392">
        <f t="shared" si="353"/>
        <v>0</v>
      </c>
      <c r="AR933" s="392">
        <f t="shared" si="354"/>
        <v>0</v>
      </c>
      <c r="AS933" s="392">
        <f t="shared" si="354"/>
        <v>0</v>
      </c>
    </row>
    <row r="934" spans="1:45">
      <c r="A934" t="str">
        <f t="shared" ref="A934:A997" si="374">CONCATENATE(B934,"~",LOWER(D934),IF(RIGHT(D934,1)=")",""," (vote 1)"))</f>
        <v>CA_Orang_2020g~city of irvine mayor (vote 1)</v>
      </c>
      <c r="B934" s="55" t="s">
        <v>3536</v>
      </c>
      <c r="D934" s="55" t="s">
        <v>3844</v>
      </c>
      <c r="E934" s="55" t="s">
        <v>3847</v>
      </c>
      <c r="G934" s="60">
        <v>9684</v>
      </c>
      <c r="H934"/>
      <c r="J934">
        <v>129954</v>
      </c>
      <c r="N934">
        <v>11188</v>
      </c>
      <c r="O934">
        <f t="shared" si="355"/>
        <v>3</v>
      </c>
      <c r="P934" s="57">
        <f t="shared" si="356"/>
        <v>1</v>
      </c>
      <c r="Q934" s="267">
        <f t="shared" si="357"/>
        <v>19338</v>
      </c>
      <c r="R934" s="23" t="str">
        <f t="shared" si="358"/>
        <v/>
      </c>
      <c r="S934" s="23">
        <f t="shared" si="359"/>
        <v>9684</v>
      </c>
      <c r="T934" s="23" t="str">
        <f t="shared" si="360"/>
        <v/>
      </c>
      <c r="U934" t="str">
        <f t="shared" si="361"/>
        <v/>
      </c>
      <c r="W934" s="290">
        <f t="shared" si="362"/>
        <v>106</v>
      </c>
      <c r="X934" s="298">
        <f t="shared" si="371"/>
        <v>27.823140495867769</v>
      </c>
      <c r="Y934" s="322">
        <f t="shared" si="363"/>
        <v>37.467000000000006</v>
      </c>
      <c r="Z934" s="299">
        <f t="shared" si="372"/>
        <v>8.887336681874956</v>
      </c>
      <c r="AA934" s="300">
        <f t="shared" si="364"/>
        <v>8.8873366818749563E-2</v>
      </c>
      <c r="AB934" s="301">
        <f t="shared" si="365"/>
        <v>5396.56</v>
      </c>
      <c r="AC934" s="301">
        <f t="shared" si="366"/>
        <v>269828</v>
      </c>
      <c r="AD934" s="8">
        <f t="shared" si="370"/>
        <v>1349.14</v>
      </c>
      <c r="AE934" s="301" t="str">
        <f t="shared" si="367"/>
        <v/>
      </c>
      <c r="AF934" s="22" t="str">
        <f t="shared" si="368"/>
        <v>PA_Alleg_2019g</v>
      </c>
      <c r="AG934">
        <v>1</v>
      </c>
      <c r="AH934" s="272">
        <v>543</v>
      </c>
      <c r="AI934" s="273">
        <v>328</v>
      </c>
      <c r="AJ934" s="274">
        <v>207</v>
      </c>
      <c r="AK934" s="339">
        <v>121</v>
      </c>
      <c r="AL934" s="340" t="s">
        <v>2222</v>
      </c>
      <c r="AM934" s="358">
        <f t="shared" si="369"/>
        <v>4.4843381709829965E-4</v>
      </c>
      <c r="AN934" s="359" t="s">
        <v>6534</v>
      </c>
      <c r="AO934" s="360" t="s">
        <v>6507</v>
      </c>
      <c r="AP934" s="23">
        <f t="shared" si="373"/>
        <v>0</v>
      </c>
      <c r="AQ934" s="392">
        <f t="shared" si="353"/>
        <v>0</v>
      </c>
      <c r="AR934" s="392">
        <f t="shared" si="354"/>
        <v>0</v>
      </c>
      <c r="AS934" s="392">
        <f t="shared" si="354"/>
        <v>0</v>
      </c>
    </row>
    <row r="935" spans="1:45">
      <c r="A935" t="str">
        <f t="shared" si="374"/>
        <v>CA_Orang_2020g~city of irvine mayor (vote 1)</v>
      </c>
      <c r="B935" s="55" t="s">
        <v>3536</v>
      </c>
      <c r="D935" s="55" t="s">
        <v>3844</v>
      </c>
      <c r="E935" s="55" t="s">
        <v>3522</v>
      </c>
      <c r="G935" s="60">
        <v>9654</v>
      </c>
      <c r="H935"/>
      <c r="J935">
        <v>129954</v>
      </c>
      <c r="N935">
        <v>11188</v>
      </c>
      <c r="O935">
        <f t="shared" si="355"/>
        <v>4</v>
      </c>
      <c r="P935" s="57">
        <f t="shared" si="356"/>
        <v>1</v>
      </c>
      <c r="Q935" s="267">
        <f t="shared" si="357"/>
        <v>9654</v>
      </c>
      <c r="R935" s="23" t="str">
        <f t="shared" si="358"/>
        <v/>
      </c>
      <c r="S935" s="23">
        <f t="shared" si="359"/>
        <v>9654</v>
      </c>
      <c r="T935" s="23" t="str">
        <f t="shared" si="360"/>
        <v/>
      </c>
      <c r="U935" t="str">
        <f t="shared" si="361"/>
        <v/>
      </c>
      <c r="W935" s="1">
        <f t="shared" si="362"/>
        <v>107</v>
      </c>
      <c r="X935" s="73">
        <f t="shared" si="371"/>
        <v>21.397501951600312</v>
      </c>
      <c r="Y935" s="322">
        <f t="shared" si="363"/>
        <v>610.09800000000007</v>
      </c>
      <c r="Z935" s="43">
        <f t="shared" si="372"/>
        <v>4.3694885374242333E-21</v>
      </c>
      <c r="AA935" s="52">
        <f t="shared" si="364"/>
        <v>4.3694885374242336E-23</v>
      </c>
      <c r="AB935" s="8">
        <f t="shared" si="365"/>
        <v>5396.56</v>
      </c>
      <c r="AC935" s="8">
        <f t="shared" si="366"/>
        <v>269828</v>
      </c>
      <c r="AD935" s="8">
        <f t="shared" si="370"/>
        <v>1349.14</v>
      </c>
      <c r="AE935" s="8" t="str">
        <f t="shared" si="367"/>
        <v/>
      </c>
      <c r="AF935" s="22" t="str">
        <f t="shared" si="368"/>
        <v>PA_Alleg_2019g</v>
      </c>
      <c r="AG935">
        <v>1</v>
      </c>
      <c r="AH935" s="272">
        <v>8842</v>
      </c>
      <c r="AI935" s="273">
        <v>5702</v>
      </c>
      <c r="AJ935" s="274">
        <v>3140</v>
      </c>
      <c r="AK935" s="339">
        <v>2562</v>
      </c>
      <c r="AL935" s="340" t="s">
        <v>2192</v>
      </c>
      <c r="AM935" s="358">
        <f t="shared" si="369"/>
        <v>9.4949375157507739E-3</v>
      </c>
      <c r="AN935" s="359" t="s">
        <v>6515</v>
      </c>
      <c r="AO935" s="360" t="s">
        <v>6507</v>
      </c>
      <c r="AP935" s="23">
        <f t="shared" si="373"/>
        <v>0</v>
      </c>
      <c r="AQ935" s="392">
        <f t="shared" si="353"/>
        <v>0</v>
      </c>
      <c r="AR935" s="392">
        <f t="shared" si="354"/>
        <v>0</v>
      </c>
      <c r="AS935" s="392">
        <f t="shared" si="354"/>
        <v>0</v>
      </c>
    </row>
    <row r="936" spans="1:45">
      <c r="A936" t="str">
        <f t="shared" si="374"/>
        <v>CA_Orang_2020g~city of irvine member, city council (vote 1)</v>
      </c>
      <c r="B936" s="55" t="s">
        <v>3536</v>
      </c>
      <c r="D936" s="55" t="s">
        <v>3848</v>
      </c>
      <c r="E936" s="55" t="s">
        <v>3381</v>
      </c>
      <c r="G936" s="60">
        <v>43744</v>
      </c>
      <c r="H936"/>
      <c r="J936">
        <v>129954</v>
      </c>
      <c r="N936">
        <v>93402</v>
      </c>
      <c r="O936">
        <f t="shared" si="355"/>
        <v>1</v>
      </c>
      <c r="P936" s="57">
        <f t="shared" si="356"/>
        <v>1</v>
      </c>
      <c r="Q936" s="267">
        <f t="shared" si="357"/>
        <v>295348</v>
      </c>
      <c r="R936" s="23">
        <f t="shared" si="358"/>
        <v>43744</v>
      </c>
      <c r="S936" s="23">
        <f t="shared" si="359"/>
        <v>38615</v>
      </c>
      <c r="T936" s="23">
        <f t="shared" si="360"/>
        <v>5129</v>
      </c>
      <c r="U936" t="str">
        <f t="shared" si="361"/>
        <v>CA_Orang_2020g~city of irvine member, city council (vote 1)</v>
      </c>
      <c r="W936" s="1">
        <f t="shared" si="362"/>
        <v>108</v>
      </c>
      <c r="X936" s="73">
        <f t="shared" si="371"/>
        <v>16.102414001206999</v>
      </c>
      <c r="Y936" s="322">
        <f t="shared" si="363"/>
        <v>593.88300000000004</v>
      </c>
      <c r="Z936" s="43">
        <f t="shared" si="372"/>
        <v>1.0882619922551386E-27</v>
      </c>
      <c r="AA936" s="52">
        <f t="shared" si="364"/>
        <v>1.0882619922551386E-29</v>
      </c>
      <c r="AB936" s="8">
        <f t="shared" si="365"/>
        <v>5396.56</v>
      </c>
      <c r="AC936" s="8">
        <f t="shared" si="366"/>
        <v>269828</v>
      </c>
      <c r="AD936" s="8">
        <f t="shared" si="370"/>
        <v>1349.14</v>
      </c>
      <c r="AE936" s="8" t="str">
        <f t="shared" si="367"/>
        <v/>
      </c>
      <c r="AF936" s="22" t="str">
        <f t="shared" si="368"/>
        <v>PA_Alleg_2019g</v>
      </c>
      <c r="AG936">
        <v>1</v>
      </c>
      <c r="AH936" s="272">
        <v>8607</v>
      </c>
      <c r="AI936" s="273">
        <v>5933</v>
      </c>
      <c r="AJ936" s="274">
        <v>2619</v>
      </c>
      <c r="AK936" s="339">
        <v>3314</v>
      </c>
      <c r="AL936" s="340" t="s">
        <v>2190</v>
      </c>
      <c r="AM936" s="353">
        <f t="shared" si="369"/>
        <v>1.2281898098047646E-2</v>
      </c>
      <c r="AN936" s="359" t="s">
        <v>6521</v>
      </c>
      <c r="AO936" s="360" t="s">
        <v>6507</v>
      </c>
      <c r="AP936" s="23">
        <f t="shared" si="373"/>
        <v>3</v>
      </c>
      <c r="AQ936" s="392">
        <f t="shared" si="353"/>
        <v>3.0834809706742905E-2</v>
      </c>
      <c r="AR936" s="392">
        <f t="shared" si="354"/>
        <v>0.14382960553977031</v>
      </c>
      <c r="AS936" s="392">
        <f t="shared" si="354"/>
        <v>0.48856968028270364</v>
      </c>
    </row>
    <row r="937" spans="1:45">
      <c r="A937" t="str">
        <f t="shared" si="374"/>
        <v>CA_Orang_2020g~city of irvine member, city council (vote 1)</v>
      </c>
      <c r="B937" s="55" t="s">
        <v>3536</v>
      </c>
      <c r="D937" s="55" t="s">
        <v>3848</v>
      </c>
      <c r="E937" s="55" t="s">
        <v>3852</v>
      </c>
      <c r="G937" s="60">
        <v>38615</v>
      </c>
      <c r="H937"/>
      <c r="J937">
        <v>129954</v>
      </c>
      <c r="N937">
        <v>93402</v>
      </c>
      <c r="O937">
        <f t="shared" si="355"/>
        <v>2</v>
      </c>
      <c r="P937" s="57">
        <f t="shared" si="356"/>
        <v>1</v>
      </c>
      <c r="Q937" s="267">
        <f t="shared" si="357"/>
        <v>251604</v>
      </c>
      <c r="R937" s="23" t="str">
        <f t="shared" si="358"/>
        <v/>
      </c>
      <c r="S937" s="23">
        <f t="shared" si="359"/>
        <v>38615</v>
      </c>
      <c r="T937" s="23" t="str">
        <f t="shared" si="360"/>
        <v/>
      </c>
      <c r="U937" t="str">
        <f t="shared" si="361"/>
        <v/>
      </c>
      <c r="W937" s="290">
        <f t="shared" si="362"/>
        <v>109</v>
      </c>
      <c r="X937" s="298">
        <f t="shared" si="371"/>
        <v>15.982914572864322</v>
      </c>
      <c r="Y937" s="322">
        <f t="shared" si="363"/>
        <v>35.397000000000006</v>
      </c>
      <c r="Z937" s="299">
        <f t="shared" si="372"/>
        <v>1.8658222214451841</v>
      </c>
      <c r="AA937" s="300">
        <f t="shared" si="364"/>
        <v>1.865822221445184E-2</v>
      </c>
      <c r="AB937" s="301">
        <f t="shared" si="365"/>
        <v>5396.56</v>
      </c>
      <c r="AC937" s="301">
        <f t="shared" si="366"/>
        <v>269828</v>
      </c>
      <c r="AD937" s="8">
        <f t="shared" si="370"/>
        <v>1349.14</v>
      </c>
      <c r="AE937" s="301" t="str">
        <f t="shared" si="367"/>
        <v/>
      </c>
      <c r="AF937" s="22" t="str">
        <f t="shared" si="368"/>
        <v>PA_Alleg_2019g</v>
      </c>
      <c r="AG937">
        <v>1</v>
      </c>
      <c r="AH937" s="272">
        <v>513</v>
      </c>
      <c r="AI937" s="273">
        <v>356</v>
      </c>
      <c r="AJ937" s="274">
        <v>157</v>
      </c>
      <c r="AK937" s="339">
        <v>199</v>
      </c>
      <c r="AL937" s="340" t="s">
        <v>2226</v>
      </c>
      <c r="AM937" s="358">
        <f t="shared" si="369"/>
        <v>7.3750685621951756E-4</v>
      </c>
      <c r="AN937" s="361" t="s">
        <v>6893</v>
      </c>
      <c r="AO937" s="362" t="s">
        <v>6507</v>
      </c>
      <c r="AP937" s="23">
        <f t="shared" si="373"/>
        <v>0</v>
      </c>
      <c r="AQ937" s="392">
        <f t="shared" ref="AQ937:AQ1000" si="375">IF($AP937=$AD937,1,IF($AP937=0,0, 1-HYPGEOMDIST(0, ROUNDUP(RIGHT(AQ$1,4)*$AD937,0),$AP937, $AD937)))</f>
        <v>0</v>
      </c>
      <c r="AR937" s="392">
        <f t="shared" ref="AR937:AS1000" si="376">IF($AP937=$AD937,1,IF($AP937=0,0, 1-HYPGEOMDIST(0, ROUNDUP(RIGHT(AR$1,4)*$AD937,0),$AP937, $AD937)))</f>
        <v>0</v>
      </c>
      <c r="AS937" s="392">
        <f t="shared" si="376"/>
        <v>0</v>
      </c>
    </row>
    <row r="938" spans="1:45">
      <c r="A938" t="str">
        <f t="shared" si="374"/>
        <v>CA_Orang_2020g~city of irvine member, city council (vote 1)</v>
      </c>
      <c r="B938" s="55" t="s">
        <v>3536</v>
      </c>
      <c r="D938" s="55" t="s">
        <v>3848</v>
      </c>
      <c r="E938" s="55" t="s">
        <v>3859</v>
      </c>
      <c r="G938" s="60">
        <v>38156</v>
      </c>
      <c r="H938"/>
      <c r="J938">
        <v>129954</v>
      </c>
      <c r="N938">
        <v>93402</v>
      </c>
      <c r="O938">
        <f t="shared" si="355"/>
        <v>3</v>
      </c>
      <c r="P938" s="57">
        <f t="shared" si="356"/>
        <v>1</v>
      </c>
      <c r="Q938" s="267">
        <f t="shared" si="357"/>
        <v>212989</v>
      </c>
      <c r="R938" s="23" t="str">
        <f t="shared" si="358"/>
        <v/>
      </c>
      <c r="S938" s="23">
        <f t="shared" si="359"/>
        <v>38156</v>
      </c>
      <c r="T938" s="23" t="str">
        <f t="shared" si="360"/>
        <v/>
      </c>
      <c r="U938" t="str">
        <f t="shared" si="361"/>
        <v/>
      </c>
      <c r="W938" s="290">
        <f t="shared" si="362"/>
        <v>110</v>
      </c>
      <c r="X938" s="298">
        <f t="shared" si="371"/>
        <v>3408.4</v>
      </c>
      <c r="Y938" s="322">
        <f t="shared" si="363"/>
        <v>3408.4</v>
      </c>
      <c r="Z938" s="299">
        <f t="shared" si="372"/>
        <v>92.311579900074491</v>
      </c>
      <c r="AA938" s="300">
        <f t="shared" si="364"/>
        <v>0.92311579900074492</v>
      </c>
      <c r="AB938" s="301">
        <f t="shared" si="365"/>
        <v>5396.56</v>
      </c>
      <c r="AC938" s="301">
        <f t="shared" si="366"/>
        <v>269828</v>
      </c>
      <c r="AD938" s="8">
        <f t="shared" si="370"/>
        <v>1349.14</v>
      </c>
      <c r="AE938" s="301" t="str">
        <f t="shared" si="367"/>
        <v/>
      </c>
      <c r="AF938" s="22" t="str">
        <f t="shared" si="368"/>
        <v>PA_Alleg_2019g</v>
      </c>
      <c r="AG938">
        <v>5</v>
      </c>
      <c r="AH938" s="272">
        <v>3408.4</v>
      </c>
      <c r="AI938" s="273">
        <v>2265</v>
      </c>
      <c r="AJ938" s="274">
        <v>2261</v>
      </c>
      <c r="AK938" s="339">
        <v>4</v>
      </c>
      <c r="AL938" s="340" t="s">
        <v>2304</v>
      </c>
      <c r="AM938" s="353">
        <f t="shared" si="369"/>
        <v>1.4824258416472715E-5</v>
      </c>
      <c r="AN938" s="361" t="s">
        <v>6955</v>
      </c>
      <c r="AO938" s="362" t="s">
        <v>6510</v>
      </c>
      <c r="AP938" s="23">
        <f t="shared" si="373"/>
        <v>0</v>
      </c>
      <c r="AQ938" s="392">
        <f t="shared" si="375"/>
        <v>0</v>
      </c>
      <c r="AR938" s="392">
        <f t="shared" si="376"/>
        <v>0</v>
      </c>
      <c r="AS938" s="392">
        <f t="shared" si="376"/>
        <v>0</v>
      </c>
    </row>
    <row r="939" spans="1:45">
      <c r="A939" t="str">
        <f t="shared" si="374"/>
        <v>CA_Orang_2020g~city of irvine member, city council (vote 1)</v>
      </c>
      <c r="B939" s="55" t="s">
        <v>3536</v>
      </c>
      <c r="D939" s="55" t="s">
        <v>3848</v>
      </c>
      <c r="E939" s="55" t="s">
        <v>3433</v>
      </c>
      <c r="G939" s="60">
        <v>37931</v>
      </c>
      <c r="H939"/>
      <c r="J939">
        <v>129954</v>
      </c>
      <c r="N939">
        <v>93402</v>
      </c>
      <c r="O939">
        <f t="shared" si="355"/>
        <v>4</v>
      </c>
      <c r="P939" s="57">
        <f t="shared" si="356"/>
        <v>1</v>
      </c>
      <c r="Q939" s="267">
        <f t="shared" si="357"/>
        <v>174833</v>
      </c>
      <c r="R939" s="23" t="str">
        <f t="shared" si="358"/>
        <v/>
      </c>
      <c r="S939" s="23">
        <f t="shared" si="359"/>
        <v>37931</v>
      </c>
      <c r="T939" s="23" t="str">
        <f t="shared" si="360"/>
        <v/>
      </c>
      <c r="U939" t="str">
        <f t="shared" si="361"/>
        <v/>
      </c>
      <c r="W939" s="290">
        <f t="shared" si="362"/>
        <v>111</v>
      </c>
      <c r="X939" s="298">
        <f t="shared" si="371"/>
        <v>2015</v>
      </c>
      <c r="Y939" s="322">
        <f t="shared" si="363"/>
        <v>2015</v>
      </c>
      <c r="Z939" s="299">
        <f t="shared" si="372"/>
        <v>92.311579900074491</v>
      </c>
      <c r="AA939" s="300">
        <f t="shared" si="364"/>
        <v>0.92311579900074492</v>
      </c>
      <c r="AB939" s="301">
        <f t="shared" si="365"/>
        <v>5396.56</v>
      </c>
      <c r="AC939" s="301">
        <f t="shared" si="366"/>
        <v>269828</v>
      </c>
      <c r="AD939" s="8">
        <f t="shared" si="370"/>
        <v>1349.14</v>
      </c>
      <c r="AE939" s="301" t="str">
        <f t="shared" si="367"/>
        <v/>
      </c>
      <c r="AF939" s="22" t="str">
        <f t="shared" si="368"/>
        <v>PA_Alleg_2019g</v>
      </c>
      <c r="AG939">
        <v>5</v>
      </c>
      <c r="AH939" s="272">
        <v>2015</v>
      </c>
      <c r="AI939" s="273">
        <v>1234</v>
      </c>
      <c r="AJ939" s="274">
        <v>1230</v>
      </c>
      <c r="AK939" s="339">
        <v>4</v>
      </c>
      <c r="AL939" s="340" t="s">
        <v>2313</v>
      </c>
      <c r="AM939" s="353">
        <f t="shared" si="369"/>
        <v>1.4824258416472715E-5</v>
      </c>
      <c r="AN939" s="361" t="s">
        <v>6956</v>
      </c>
      <c r="AO939" s="362" t="s">
        <v>6510</v>
      </c>
      <c r="AP939" s="23">
        <f t="shared" si="373"/>
        <v>0</v>
      </c>
      <c r="AQ939" s="392">
        <f t="shared" si="375"/>
        <v>0</v>
      </c>
      <c r="AR939" s="392">
        <f t="shared" si="376"/>
        <v>0</v>
      </c>
      <c r="AS939" s="392">
        <f t="shared" si="376"/>
        <v>0</v>
      </c>
    </row>
    <row r="940" spans="1:45">
      <c r="A940" t="str">
        <f t="shared" si="374"/>
        <v>CA_Orang_2020g~city of irvine member, city council (vote 1)</v>
      </c>
      <c r="B940" s="55" t="s">
        <v>3536</v>
      </c>
      <c r="D940" s="55" t="s">
        <v>3848</v>
      </c>
      <c r="E940" s="55" t="s">
        <v>3467</v>
      </c>
      <c r="G940" s="60">
        <v>32521</v>
      </c>
      <c r="H940"/>
      <c r="J940">
        <v>129954</v>
      </c>
      <c r="N940">
        <v>93402</v>
      </c>
      <c r="O940">
        <f t="shared" si="355"/>
        <v>5</v>
      </c>
      <c r="P940" s="57">
        <f t="shared" si="356"/>
        <v>1</v>
      </c>
      <c r="Q940" s="267">
        <f t="shared" si="357"/>
        <v>136902</v>
      </c>
      <c r="R940" s="23" t="str">
        <f t="shared" si="358"/>
        <v/>
      </c>
      <c r="S940" s="23">
        <f t="shared" si="359"/>
        <v>32521</v>
      </c>
      <c r="T940" s="23" t="str">
        <f t="shared" si="360"/>
        <v/>
      </c>
      <c r="U940" t="str">
        <f t="shared" si="361"/>
        <v/>
      </c>
      <c r="W940" s="290">
        <f t="shared" si="362"/>
        <v>112</v>
      </c>
      <c r="X940" s="298">
        <f t="shared" si="371"/>
        <v>1175.7886666666668</v>
      </c>
      <c r="Y940" s="322">
        <f t="shared" si="363"/>
        <v>1175.7886666666668</v>
      </c>
      <c r="Z940" s="299">
        <f t="shared" si="372"/>
        <v>30.115402380801982</v>
      </c>
      <c r="AA940" s="300">
        <f t="shared" si="364"/>
        <v>0.30115402380801981</v>
      </c>
      <c r="AB940" s="301">
        <f t="shared" si="365"/>
        <v>5396.56</v>
      </c>
      <c r="AC940" s="301">
        <f t="shared" si="366"/>
        <v>269828</v>
      </c>
      <c r="AD940" s="8">
        <f t="shared" si="370"/>
        <v>1349.14</v>
      </c>
      <c r="AE940" s="301" t="str">
        <f t="shared" si="367"/>
        <v/>
      </c>
      <c r="AF940" s="22" t="str">
        <f t="shared" si="368"/>
        <v>PA_Alleg_2019g</v>
      </c>
      <c r="AG940">
        <v>5</v>
      </c>
      <c r="AH940" s="272">
        <v>11378.6</v>
      </c>
      <c r="AI940" s="273">
        <v>6604</v>
      </c>
      <c r="AJ940" s="274">
        <v>6544</v>
      </c>
      <c r="AK940" s="339">
        <v>60</v>
      </c>
      <c r="AL940" s="340" t="s">
        <v>2305</v>
      </c>
      <c r="AM940" s="353">
        <f t="shared" si="369"/>
        <v>2.2236387624709073E-4</v>
      </c>
      <c r="AN940" s="361" t="s">
        <v>6925</v>
      </c>
      <c r="AO940" s="362" t="s">
        <v>6510</v>
      </c>
      <c r="AP940" s="23">
        <f t="shared" si="373"/>
        <v>0</v>
      </c>
      <c r="AQ940" s="392">
        <f t="shared" si="375"/>
        <v>0</v>
      </c>
      <c r="AR940" s="392">
        <f t="shared" si="376"/>
        <v>0</v>
      </c>
      <c r="AS940" s="392">
        <f t="shared" si="376"/>
        <v>0</v>
      </c>
    </row>
    <row r="941" spans="1:45">
      <c r="A941" t="str">
        <f t="shared" si="374"/>
        <v>CA_Orang_2020g~city of irvine member, city council (vote 1)</v>
      </c>
      <c r="B941" s="55" t="s">
        <v>3536</v>
      </c>
      <c r="D941" s="55" t="s">
        <v>3848</v>
      </c>
      <c r="E941" s="55" t="s">
        <v>3853</v>
      </c>
      <c r="G941" s="60">
        <v>27440</v>
      </c>
      <c r="H941"/>
      <c r="J941">
        <v>129954</v>
      </c>
      <c r="N941">
        <v>93402</v>
      </c>
      <c r="O941">
        <f t="shared" si="355"/>
        <v>6</v>
      </c>
      <c r="P941" s="57">
        <f t="shared" si="356"/>
        <v>1</v>
      </c>
      <c r="Q941" s="267">
        <f t="shared" si="357"/>
        <v>104381</v>
      </c>
      <c r="R941" s="23" t="str">
        <f t="shared" si="358"/>
        <v/>
      </c>
      <c r="S941" s="23">
        <f t="shared" si="359"/>
        <v>27440</v>
      </c>
      <c r="T941" s="23" t="str">
        <f t="shared" si="360"/>
        <v/>
      </c>
      <c r="U941" t="str">
        <f t="shared" si="361"/>
        <v/>
      </c>
      <c r="W941" s="290">
        <f t="shared" si="362"/>
        <v>113</v>
      </c>
      <c r="X941" s="298">
        <f t="shared" si="371"/>
        <v>1085.1878787878788</v>
      </c>
      <c r="Y941" s="322">
        <f t="shared" si="363"/>
        <v>1085.1878787878788</v>
      </c>
      <c r="Z941" s="299">
        <f t="shared" si="372"/>
        <v>51.683047358620136</v>
      </c>
      <c r="AA941" s="300">
        <f t="shared" si="364"/>
        <v>0.51683047358620138</v>
      </c>
      <c r="AB941" s="301">
        <f t="shared" si="365"/>
        <v>5396.56</v>
      </c>
      <c r="AC941" s="301">
        <f t="shared" si="366"/>
        <v>269828</v>
      </c>
      <c r="AD941" s="8">
        <f t="shared" si="370"/>
        <v>1349.14</v>
      </c>
      <c r="AE941" s="301" t="str">
        <f t="shared" si="367"/>
        <v/>
      </c>
      <c r="AF941" s="22" t="str">
        <f t="shared" si="368"/>
        <v>PA_Alleg_2019g</v>
      </c>
      <c r="AG941">
        <v>1</v>
      </c>
      <c r="AH941" s="272">
        <v>5776</v>
      </c>
      <c r="AI941" s="273">
        <v>2816</v>
      </c>
      <c r="AJ941" s="274">
        <v>2783</v>
      </c>
      <c r="AK941" s="339">
        <v>33</v>
      </c>
      <c r="AL941" s="340" t="s">
        <v>2310</v>
      </c>
      <c r="AM941" s="353">
        <f t="shared" si="369"/>
        <v>1.2230013193589991E-4</v>
      </c>
      <c r="AN941" s="361" t="s">
        <v>6937</v>
      </c>
      <c r="AO941" s="362" t="s">
        <v>6510</v>
      </c>
      <c r="AP941" s="23">
        <f t="shared" si="373"/>
        <v>0</v>
      </c>
      <c r="AQ941" s="392">
        <f t="shared" si="375"/>
        <v>0</v>
      </c>
      <c r="AR941" s="392">
        <f t="shared" si="376"/>
        <v>0</v>
      </c>
      <c r="AS941" s="392">
        <f t="shared" si="376"/>
        <v>0</v>
      </c>
    </row>
    <row r="942" spans="1:45">
      <c r="A942" t="str">
        <f t="shared" si="374"/>
        <v>CA_Orang_2020g~city of irvine member, city council (vote 1)</v>
      </c>
      <c r="B942" s="55" t="s">
        <v>3536</v>
      </c>
      <c r="D942" s="55" t="s">
        <v>3848</v>
      </c>
      <c r="E942" s="55" t="s">
        <v>3849</v>
      </c>
      <c r="G942" s="60">
        <v>15894</v>
      </c>
      <c r="H942"/>
      <c r="J942">
        <v>129954</v>
      </c>
      <c r="N942">
        <v>93402</v>
      </c>
      <c r="O942">
        <f t="shared" si="355"/>
        <v>7</v>
      </c>
      <c r="P942" s="57">
        <f t="shared" si="356"/>
        <v>1</v>
      </c>
      <c r="Q942" s="267">
        <f t="shared" si="357"/>
        <v>76941</v>
      </c>
      <c r="R942" s="23" t="str">
        <f t="shared" si="358"/>
        <v/>
      </c>
      <c r="S942" s="23">
        <f t="shared" si="359"/>
        <v>15894</v>
      </c>
      <c r="T942" s="23" t="str">
        <f t="shared" si="360"/>
        <v/>
      </c>
      <c r="U942" t="str">
        <f t="shared" si="361"/>
        <v/>
      </c>
      <c r="W942" s="290">
        <f t="shared" si="362"/>
        <v>114</v>
      </c>
      <c r="X942" s="298">
        <f t="shared" si="371"/>
        <v>177.80714285714285</v>
      </c>
      <c r="Y942" s="322">
        <f t="shared" si="363"/>
        <v>221.62800000000001</v>
      </c>
      <c r="Z942" s="299">
        <f t="shared" si="372"/>
        <v>10.640901082797717</v>
      </c>
      <c r="AA942" s="300">
        <f t="shared" si="364"/>
        <v>0.10640901082797717</v>
      </c>
      <c r="AB942" s="301">
        <f t="shared" si="365"/>
        <v>5396.56</v>
      </c>
      <c r="AC942" s="301">
        <f t="shared" si="366"/>
        <v>269828</v>
      </c>
      <c r="AD942" s="8">
        <f t="shared" si="370"/>
        <v>1349.14</v>
      </c>
      <c r="AE942" s="301" t="str">
        <f t="shared" si="367"/>
        <v/>
      </c>
      <c r="AF942" s="22" t="str">
        <f t="shared" si="368"/>
        <v>PA_Alleg_2019g</v>
      </c>
      <c r="AG942">
        <v>1</v>
      </c>
      <c r="AH942" s="272">
        <v>3212</v>
      </c>
      <c r="AI942" s="273">
        <v>1566</v>
      </c>
      <c r="AJ942" s="274">
        <v>1454</v>
      </c>
      <c r="AK942" s="339">
        <v>112</v>
      </c>
      <c r="AL942" s="340" t="s">
        <v>2316</v>
      </c>
      <c r="AM942" s="358">
        <f t="shared" si="369"/>
        <v>4.1507923566123602E-4</v>
      </c>
      <c r="AN942" s="361" t="s">
        <v>6910</v>
      </c>
      <c r="AO942" s="362" t="s">
        <v>6510</v>
      </c>
      <c r="AP942" s="23">
        <f t="shared" si="373"/>
        <v>0</v>
      </c>
      <c r="AQ942" s="392">
        <f t="shared" si="375"/>
        <v>0</v>
      </c>
      <c r="AR942" s="392">
        <f t="shared" si="376"/>
        <v>0</v>
      </c>
      <c r="AS942" s="392">
        <f t="shared" si="376"/>
        <v>0</v>
      </c>
    </row>
    <row r="943" spans="1:45">
      <c r="A943" t="str">
        <f t="shared" si="374"/>
        <v>CA_Orang_2020g~city of irvine member, city council (vote 1)</v>
      </c>
      <c r="B943" s="55" t="s">
        <v>3536</v>
      </c>
      <c r="D943" s="55" t="s">
        <v>3848</v>
      </c>
      <c r="E943" s="55" t="s">
        <v>3856</v>
      </c>
      <c r="G943" s="60">
        <v>14837</v>
      </c>
      <c r="H943"/>
      <c r="J943">
        <v>129954</v>
      </c>
      <c r="N943">
        <v>93402</v>
      </c>
      <c r="O943">
        <f t="shared" si="355"/>
        <v>8</v>
      </c>
      <c r="P943" s="57">
        <f t="shared" si="356"/>
        <v>1</v>
      </c>
      <c r="Q943" s="267">
        <f t="shared" si="357"/>
        <v>61047</v>
      </c>
      <c r="R943" s="23" t="str">
        <f t="shared" si="358"/>
        <v/>
      </c>
      <c r="S943" s="23">
        <f t="shared" si="359"/>
        <v>14837</v>
      </c>
      <c r="T943" s="23" t="str">
        <f t="shared" si="360"/>
        <v/>
      </c>
      <c r="U943" t="str">
        <f t="shared" si="361"/>
        <v/>
      </c>
      <c r="W943" s="290">
        <f t="shared" si="362"/>
        <v>115</v>
      </c>
      <c r="X943" s="298">
        <f t="shared" si="371"/>
        <v>169.27878787878788</v>
      </c>
      <c r="Y943" s="322">
        <f t="shared" si="363"/>
        <v>169.27878787878788</v>
      </c>
      <c r="Z943" s="299">
        <f t="shared" si="372"/>
        <v>51.683047358620136</v>
      </c>
      <c r="AA943" s="300">
        <f t="shared" si="364"/>
        <v>0.51683047358620138</v>
      </c>
      <c r="AB943" s="301">
        <f t="shared" si="365"/>
        <v>5396.56</v>
      </c>
      <c r="AC943" s="301">
        <f t="shared" si="366"/>
        <v>269828</v>
      </c>
      <c r="AD943" s="8">
        <f t="shared" si="370"/>
        <v>1349.14</v>
      </c>
      <c r="AE943" s="301" t="str">
        <f t="shared" si="367"/>
        <v/>
      </c>
      <c r="AF943" s="22" t="str">
        <f t="shared" si="368"/>
        <v>PA_Alleg_2019g</v>
      </c>
      <c r="AG943">
        <v>2</v>
      </c>
      <c r="AH943" s="272">
        <v>901</v>
      </c>
      <c r="AI943" s="273">
        <v>569</v>
      </c>
      <c r="AJ943" s="274">
        <v>536</v>
      </c>
      <c r="AK943" s="339">
        <v>33</v>
      </c>
      <c r="AL943" s="340" t="s">
        <v>2312</v>
      </c>
      <c r="AM943" s="353">
        <f t="shared" si="369"/>
        <v>1.2230013193589991E-4</v>
      </c>
      <c r="AN943" s="361" t="s">
        <v>6938</v>
      </c>
      <c r="AO943" s="362" t="s">
        <v>6510</v>
      </c>
      <c r="AP943" s="23">
        <f t="shared" si="373"/>
        <v>0</v>
      </c>
      <c r="AQ943" s="392">
        <f t="shared" si="375"/>
        <v>0</v>
      </c>
      <c r="AR943" s="392">
        <f t="shared" si="376"/>
        <v>0</v>
      </c>
      <c r="AS943" s="392">
        <f t="shared" si="376"/>
        <v>0</v>
      </c>
    </row>
    <row r="944" spans="1:45">
      <c r="A944" t="str">
        <f t="shared" si="374"/>
        <v>CA_Orang_2020g~city of irvine member, city council (vote 1)</v>
      </c>
      <c r="B944" s="55" t="s">
        <v>3536</v>
      </c>
      <c r="D944" s="55" t="s">
        <v>3848</v>
      </c>
      <c r="E944" s="55" t="s">
        <v>3855</v>
      </c>
      <c r="G944" s="60">
        <v>10305</v>
      </c>
      <c r="H944"/>
      <c r="J944">
        <v>129954</v>
      </c>
      <c r="N944">
        <v>93402</v>
      </c>
      <c r="O944">
        <f t="shared" si="355"/>
        <v>9</v>
      </c>
      <c r="P944" s="57">
        <f t="shared" si="356"/>
        <v>1</v>
      </c>
      <c r="Q944" s="267">
        <f t="shared" si="357"/>
        <v>46210</v>
      </c>
      <c r="R944" s="23" t="str">
        <f t="shared" si="358"/>
        <v/>
      </c>
      <c r="S944" s="23">
        <f t="shared" si="359"/>
        <v>10305</v>
      </c>
      <c r="T944" s="23" t="str">
        <f t="shared" si="360"/>
        <v/>
      </c>
      <c r="U944" t="str">
        <f t="shared" si="361"/>
        <v/>
      </c>
      <c r="W944" s="290">
        <f t="shared" si="362"/>
        <v>116</v>
      </c>
      <c r="X944" s="298">
        <f t="shared" si="371"/>
        <v>164.27759036144579</v>
      </c>
      <c r="Y944" s="322">
        <f t="shared" si="363"/>
        <v>164.27759036144579</v>
      </c>
      <c r="Z944" s="299">
        <f t="shared" si="372"/>
        <v>19.009043180985167</v>
      </c>
      <c r="AA944" s="300">
        <f t="shared" si="364"/>
        <v>0.19009043180985166</v>
      </c>
      <c r="AB944" s="301">
        <f t="shared" si="365"/>
        <v>5396.56</v>
      </c>
      <c r="AC944" s="301">
        <f t="shared" si="366"/>
        <v>269828</v>
      </c>
      <c r="AD944" s="8">
        <f t="shared" si="370"/>
        <v>1349.14</v>
      </c>
      <c r="AE944" s="301" t="str">
        <f t="shared" si="367"/>
        <v/>
      </c>
      <c r="AF944" s="22" t="str">
        <f t="shared" si="368"/>
        <v>PA_Alleg_2019g</v>
      </c>
      <c r="AG944" s="302">
        <v>5</v>
      </c>
      <c r="AH944" s="301">
        <v>2199.1999999999998</v>
      </c>
      <c r="AI944" s="303">
        <v>1429</v>
      </c>
      <c r="AJ944" s="303">
        <v>1346</v>
      </c>
      <c r="AK944" s="342">
        <v>83</v>
      </c>
      <c r="AL944" s="343" t="s">
        <v>2297</v>
      </c>
      <c r="AM944" s="358">
        <f t="shared" si="369"/>
        <v>3.0760336214180888E-4</v>
      </c>
      <c r="AN944" s="361" t="s">
        <v>6917</v>
      </c>
      <c r="AO944" s="362" t="s">
        <v>6510</v>
      </c>
      <c r="AP944" s="23">
        <f t="shared" si="373"/>
        <v>0</v>
      </c>
      <c r="AQ944" s="392">
        <f t="shared" si="375"/>
        <v>0</v>
      </c>
      <c r="AR944" s="392">
        <f t="shared" si="376"/>
        <v>0</v>
      </c>
      <c r="AS944" s="392">
        <f t="shared" si="376"/>
        <v>0</v>
      </c>
    </row>
    <row r="945" spans="1:45">
      <c r="A945" t="str">
        <f t="shared" si="374"/>
        <v>CA_Orang_2020g~city of irvine member, city council (vote 1)</v>
      </c>
      <c r="B945" s="55" t="s">
        <v>3536</v>
      </c>
      <c r="D945" s="55" t="s">
        <v>3848</v>
      </c>
      <c r="E945" s="55" t="s">
        <v>3857</v>
      </c>
      <c r="G945" s="60">
        <v>8814</v>
      </c>
      <c r="H945"/>
      <c r="J945">
        <v>129954</v>
      </c>
      <c r="N945">
        <v>93402</v>
      </c>
      <c r="O945">
        <f t="shared" si="355"/>
        <v>10</v>
      </c>
      <c r="P945" s="57">
        <f t="shared" si="356"/>
        <v>1</v>
      </c>
      <c r="Q945" s="267">
        <f t="shared" si="357"/>
        <v>35905</v>
      </c>
      <c r="R945" s="23" t="str">
        <f t="shared" si="358"/>
        <v/>
      </c>
      <c r="S945" s="23">
        <f t="shared" si="359"/>
        <v>8814</v>
      </c>
      <c r="T945" s="23" t="str">
        <f t="shared" si="360"/>
        <v/>
      </c>
      <c r="U945" t="str">
        <f t="shared" si="361"/>
        <v/>
      </c>
      <c r="W945" s="290">
        <f t="shared" si="362"/>
        <v>117</v>
      </c>
      <c r="X945" s="298">
        <f t="shared" si="371"/>
        <v>155.44285714285715</v>
      </c>
      <c r="Y945" s="322">
        <f t="shared" si="363"/>
        <v>155.44285714285715</v>
      </c>
      <c r="Z945" s="299">
        <f t="shared" si="372"/>
        <v>75.577825135848471</v>
      </c>
      <c r="AA945" s="300">
        <f t="shared" si="364"/>
        <v>0.75577825135848475</v>
      </c>
      <c r="AB945" s="301">
        <f t="shared" si="365"/>
        <v>5396.56</v>
      </c>
      <c r="AC945" s="301">
        <f t="shared" si="366"/>
        <v>269828</v>
      </c>
      <c r="AD945" s="8">
        <f t="shared" si="370"/>
        <v>1349.14</v>
      </c>
      <c r="AE945" s="301" t="str">
        <f t="shared" si="367"/>
        <v/>
      </c>
      <c r="AF945" s="22" t="str">
        <f t="shared" si="368"/>
        <v>PA_Alleg_2019g</v>
      </c>
      <c r="AG945">
        <v>1</v>
      </c>
      <c r="AH945" s="272">
        <v>351</v>
      </c>
      <c r="AI945" s="273">
        <v>180</v>
      </c>
      <c r="AJ945" s="274">
        <v>166</v>
      </c>
      <c r="AK945" s="339">
        <v>14</v>
      </c>
      <c r="AL945" s="340" t="s">
        <v>2296</v>
      </c>
      <c r="AM945" s="353">
        <f t="shared" si="369"/>
        <v>5.1884904457654503E-5</v>
      </c>
      <c r="AN945" s="361" t="s">
        <v>6947</v>
      </c>
      <c r="AO945" s="362" t="s">
        <v>6510</v>
      </c>
      <c r="AP945" s="23">
        <f t="shared" si="373"/>
        <v>0</v>
      </c>
      <c r="AQ945" s="392">
        <f t="shared" si="375"/>
        <v>0</v>
      </c>
      <c r="AR945" s="392">
        <f t="shared" si="376"/>
        <v>0</v>
      </c>
      <c r="AS945" s="392">
        <f t="shared" si="376"/>
        <v>0</v>
      </c>
    </row>
    <row r="946" spans="1:45">
      <c r="A946" t="str">
        <f t="shared" si="374"/>
        <v>CA_Orang_2020g~city of irvine member, city council (vote 1)</v>
      </c>
      <c r="B946" s="55" t="s">
        <v>3536</v>
      </c>
      <c r="D946" s="55" t="s">
        <v>3848</v>
      </c>
      <c r="E946" s="55" t="s">
        <v>3850</v>
      </c>
      <c r="G946" s="60">
        <v>8321</v>
      </c>
      <c r="H946"/>
      <c r="J946">
        <v>129954</v>
      </c>
      <c r="N946">
        <v>93402</v>
      </c>
      <c r="O946">
        <f t="shared" si="355"/>
        <v>11</v>
      </c>
      <c r="P946" s="57">
        <f t="shared" si="356"/>
        <v>1</v>
      </c>
      <c r="Q946" s="267">
        <f t="shared" si="357"/>
        <v>27091</v>
      </c>
      <c r="R946" s="23" t="str">
        <f t="shared" si="358"/>
        <v/>
      </c>
      <c r="S946" s="23">
        <f t="shared" si="359"/>
        <v>8321</v>
      </c>
      <c r="T946" s="23" t="str">
        <f t="shared" si="360"/>
        <v/>
      </c>
      <c r="U946" t="str">
        <f t="shared" si="361"/>
        <v/>
      </c>
      <c r="W946" s="290">
        <f t="shared" si="362"/>
        <v>118</v>
      </c>
      <c r="X946" s="298">
        <f t="shared" si="371"/>
        <v>134.1985507246377</v>
      </c>
      <c r="Y946" s="322">
        <f t="shared" si="363"/>
        <v>412.20600000000002</v>
      </c>
      <c r="Z946" s="299">
        <f t="shared" si="372"/>
        <v>0.39945471579584796</v>
      </c>
      <c r="AA946" s="300">
        <f t="shared" si="364"/>
        <v>3.9945471579584798E-3</v>
      </c>
      <c r="AB946" s="301">
        <f t="shared" si="365"/>
        <v>5396.56</v>
      </c>
      <c r="AC946" s="301">
        <f t="shared" si="366"/>
        <v>269828</v>
      </c>
      <c r="AD946" s="8">
        <f t="shared" si="370"/>
        <v>1349.14</v>
      </c>
      <c r="AE946" s="301" t="str">
        <f t="shared" si="367"/>
        <v/>
      </c>
      <c r="AF946" s="22" t="str">
        <f t="shared" si="368"/>
        <v>PA_Alleg_2019g</v>
      </c>
      <c r="AG946">
        <v>1</v>
      </c>
      <c r="AH946" s="272">
        <v>5974</v>
      </c>
      <c r="AI946" s="273">
        <v>3102</v>
      </c>
      <c r="AJ946" s="274">
        <v>2826</v>
      </c>
      <c r="AK946" s="339">
        <v>276</v>
      </c>
      <c r="AL946" s="340" t="s">
        <v>2321</v>
      </c>
      <c r="AM946" s="358">
        <f t="shared" si="369"/>
        <v>1.0228738307366174E-3</v>
      </c>
      <c r="AN946" s="361" t="s">
        <v>6888</v>
      </c>
      <c r="AO946" s="362" t="s">
        <v>6510</v>
      </c>
      <c r="AP946" s="23">
        <f t="shared" si="373"/>
        <v>0</v>
      </c>
      <c r="AQ946" s="392">
        <f t="shared" si="375"/>
        <v>0</v>
      </c>
      <c r="AR946" s="392">
        <f t="shared" si="376"/>
        <v>0</v>
      </c>
      <c r="AS946" s="392">
        <f t="shared" si="376"/>
        <v>0</v>
      </c>
    </row>
    <row r="947" spans="1:45">
      <c r="A947" t="str">
        <f t="shared" si="374"/>
        <v>CA_Orang_2020g~city of irvine member, city council (vote 1)</v>
      </c>
      <c r="B947" s="55" t="s">
        <v>3536</v>
      </c>
      <c r="D947" s="55" t="s">
        <v>3848</v>
      </c>
      <c r="E947" s="55" t="s">
        <v>3858</v>
      </c>
      <c r="G947" s="60">
        <v>6420</v>
      </c>
      <c r="H947"/>
      <c r="J947">
        <v>129954</v>
      </c>
      <c r="N947">
        <v>93402</v>
      </c>
      <c r="O947">
        <f t="shared" si="355"/>
        <v>12</v>
      </c>
      <c r="P947" s="57">
        <f t="shared" si="356"/>
        <v>1</v>
      </c>
      <c r="Q947" s="267">
        <f t="shared" si="357"/>
        <v>18770</v>
      </c>
      <c r="R947" s="23" t="str">
        <f t="shared" si="358"/>
        <v/>
      </c>
      <c r="S947" s="23">
        <f t="shared" si="359"/>
        <v>6420</v>
      </c>
      <c r="T947" s="23" t="str">
        <f t="shared" si="360"/>
        <v/>
      </c>
      <c r="U947" t="str">
        <f t="shared" si="361"/>
        <v/>
      </c>
      <c r="W947" s="290">
        <f t="shared" si="362"/>
        <v>119</v>
      </c>
      <c r="X947" s="298">
        <f t="shared" si="371"/>
        <v>119.68043956043957</v>
      </c>
      <c r="Y947" s="322">
        <f t="shared" si="363"/>
        <v>121.2054</v>
      </c>
      <c r="Z947" s="299">
        <f t="shared" si="372"/>
        <v>16.197602180914391</v>
      </c>
      <c r="AA947" s="300">
        <f t="shared" si="364"/>
        <v>0.16197602180914392</v>
      </c>
      <c r="AB947" s="301">
        <f t="shared" si="365"/>
        <v>5396.56</v>
      </c>
      <c r="AC947" s="301">
        <f t="shared" si="366"/>
        <v>269828</v>
      </c>
      <c r="AD947" s="8">
        <f t="shared" si="370"/>
        <v>1349.14</v>
      </c>
      <c r="AE947" s="301" t="str">
        <f t="shared" si="367"/>
        <v/>
      </c>
      <c r="AF947" s="22" t="str">
        <f t="shared" si="368"/>
        <v>PA_Alleg_2019g</v>
      </c>
      <c r="AG947">
        <v>5</v>
      </c>
      <c r="AH947" s="272">
        <v>1756.6</v>
      </c>
      <c r="AI947" s="273">
        <v>1078</v>
      </c>
      <c r="AJ947" s="274">
        <v>987</v>
      </c>
      <c r="AK947" s="339">
        <v>91</v>
      </c>
      <c r="AL947" s="340" t="s">
        <v>2314</v>
      </c>
      <c r="AM947" s="358">
        <f t="shared" si="369"/>
        <v>3.3725187897475431E-4</v>
      </c>
      <c r="AN947" s="361" t="s">
        <v>6914</v>
      </c>
      <c r="AO947" s="362" t="s">
        <v>6510</v>
      </c>
      <c r="AP947" s="23">
        <f t="shared" si="373"/>
        <v>0</v>
      </c>
      <c r="AQ947" s="392">
        <f t="shared" si="375"/>
        <v>0</v>
      </c>
      <c r="AR947" s="392">
        <f t="shared" si="376"/>
        <v>0</v>
      </c>
      <c r="AS947" s="392">
        <f t="shared" si="376"/>
        <v>0</v>
      </c>
    </row>
    <row r="948" spans="1:45">
      <c r="A948" t="str">
        <f t="shared" si="374"/>
        <v>CA_Orang_2020g~city of irvine member, city council (vote 1)</v>
      </c>
      <c r="B948" s="55" t="s">
        <v>3536</v>
      </c>
      <c r="D948" s="55" t="s">
        <v>3848</v>
      </c>
      <c r="E948" s="55" t="s">
        <v>3851</v>
      </c>
      <c r="G948" s="60">
        <v>6406</v>
      </c>
      <c r="H948"/>
      <c r="J948">
        <v>129954</v>
      </c>
      <c r="N948">
        <v>93402</v>
      </c>
      <c r="O948">
        <f t="shared" si="355"/>
        <v>13</v>
      </c>
      <c r="P948" s="57">
        <f t="shared" si="356"/>
        <v>1</v>
      </c>
      <c r="Q948" s="267">
        <f t="shared" si="357"/>
        <v>12350</v>
      </c>
      <c r="R948" s="23" t="str">
        <f t="shared" si="358"/>
        <v/>
      </c>
      <c r="S948" s="23">
        <f t="shared" si="359"/>
        <v>6406</v>
      </c>
      <c r="T948" s="23" t="str">
        <f t="shared" si="360"/>
        <v/>
      </c>
      <c r="U948" t="str">
        <f t="shared" si="361"/>
        <v/>
      </c>
      <c r="W948" s="290">
        <f t="shared" si="362"/>
        <v>120</v>
      </c>
      <c r="X948" s="298">
        <f t="shared" si="371"/>
        <v>111.18666666666667</v>
      </c>
      <c r="Y948" s="322">
        <f t="shared" si="363"/>
        <v>111.18666666666667</v>
      </c>
      <c r="Z948" s="299">
        <f t="shared" si="372"/>
        <v>22.308364129519891</v>
      </c>
      <c r="AA948" s="300">
        <f t="shared" si="364"/>
        <v>0.22308364129519892</v>
      </c>
      <c r="AB948" s="301">
        <f t="shared" si="365"/>
        <v>5396.56</v>
      </c>
      <c r="AC948" s="301">
        <f t="shared" si="366"/>
        <v>269828</v>
      </c>
      <c r="AD948" s="8">
        <f t="shared" si="370"/>
        <v>1349.14</v>
      </c>
      <c r="AE948" s="301" t="str">
        <f t="shared" si="367"/>
        <v/>
      </c>
      <c r="AF948" s="22" t="str">
        <f t="shared" si="368"/>
        <v>PA_Alleg_2019g</v>
      </c>
      <c r="AG948">
        <v>1</v>
      </c>
      <c r="AH948" s="272">
        <v>1345</v>
      </c>
      <c r="AI948" s="273">
        <v>708</v>
      </c>
      <c r="AJ948" s="274">
        <v>633</v>
      </c>
      <c r="AK948" s="339">
        <v>75</v>
      </c>
      <c r="AL948" s="340" t="s">
        <v>2309</v>
      </c>
      <c r="AM948" s="353">
        <f t="shared" si="369"/>
        <v>2.7795484530886345E-4</v>
      </c>
      <c r="AN948" s="361" t="s">
        <v>6920</v>
      </c>
      <c r="AO948" s="362" t="s">
        <v>6510</v>
      </c>
      <c r="AP948" s="23">
        <f t="shared" si="373"/>
        <v>0</v>
      </c>
      <c r="AQ948" s="392">
        <f t="shared" si="375"/>
        <v>0</v>
      </c>
      <c r="AR948" s="392">
        <f t="shared" si="376"/>
        <v>0</v>
      </c>
      <c r="AS948" s="392">
        <f t="shared" si="376"/>
        <v>0</v>
      </c>
    </row>
    <row r="949" spans="1:45">
      <c r="A949" t="str">
        <f t="shared" si="374"/>
        <v>CA_Orang_2020g~city of irvine member, city council (vote 1)</v>
      </c>
      <c r="B949" s="55" t="s">
        <v>3536</v>
      </c>
      <c r="D949" s="55" t="s">
        <v>3848</v>
      </c>
      <c r="E949" s="55" t="s">
        <v>3854</v>
      </c>
      <c r="G949" s="60">
        <v>5944</v>
      </c>
      <c r="H949"/>
      <c r="J949">
        <v>129954</v>
      </c>
      <c r="N949">
        <v>93402</v>
      </c>
      <c r="O949">
        <f t="shared" si="355"/>
        <v>14</v>
      </c>
      <c r="P949" s="57">
        <f t="shared" si="356"/>
        <v>1</v>
      </c>
      <c r="Q949" s="267">
        <f t="shared" si="357"/>
        <v>5944</v>
      </c>
      <c r="R949" s="23" t="str">
        <f t="shared" si="358"/>
        <v/>
      </c>
      <c r="S949" s="23">
        <f t="shared" si="359"/>
        <v>5944</v>
      </c>
      <c r="T949" s="23" t="str">
        <f t="shared" si="360"/>
        <v/>
      </c>
      <c r="U949" t="str">
        <f t="shared" si="361"/>
        <v/>
      </c>
      <c r="W949" s="290">
        <f t="shared" si="362"/>
        <v>121</v>
      </c>
      <c r="X949" s="298">
        <f t="shared" si="371"/>
        <v>87.787610619469035</v>
      </c>
      <c r="Y949" s="322">
        <f t="shared" si="363"/>
        <v>110.4</v>
      </c>
      <c r="Z949" s="299">
        <f t="shared" si="372"/>
        <v>10.430110114512523</v>
      </c>
      <c r="AA949" s="300">
        <f t="shared" si="364"/>
        <v>0.10430110114512522</v>
      </c>
      <c r="AB949" s="301">
        <f t="shared" si="365"/>
        <v>5396.56</v>
      </c>
      <c r="AC949" s="301">
        <f t="shared" si="366"/>
        <v>269828</v>
      </c>
      <c r="AD949" s="8">
        <f t="shared" si="370"/>
        <v>1349.14</v>
      </c>
      <c r="AE949" s="301" t="str">
        <f t="shared" si="367"/>
        <v/>
      </c>
      <c r="AF949" s="22" t="str">
        <f t="shared" si="368"/>
        <v>PA_Alleg_2019g</v>
      </c>
      <c r="AG949">
        <v>5</v>
      </c>
      <c r="AH949" s="272">
        <v>1600</v>
      </c>
      <c r="AI949" s="273">
        <v>1160</v>
      </c>
      <c r="AJ949" s="274">
        <v>1047</v>
      </c>
      <c r="AK949" s="339">
        <v>113</v>
      </c>
      <c r="AL949" s="340" t="s">
        <v>2292</v>
      </c>
      <c r="AM949" s="358">
        <f t="shared" si="369"/>
        <v>4.1878530026535422E-4</v>
      </c>
      <c r="AN949" s="361" t="s">
        <v>6909</v>
      </c>
      <c r="AO949" s="362" t="s">
        <v>6510</v>
      </c>
      <c r="AP949" s="23">
        <f t="shared" si="373"/>
        <v>0</v>
      </c>
      <c r="AQ949" s="392">
        <f t="shared" si="375"/>
        <v>0</v>
      </c>
      <c r="AR949" s="392">
        <f t="shared" si="376"/>
        <v>0</v>
      </c>
      <c r="AS949" s="392">
        <f t="shared" si="376"/>
        <v>0</v>
      </c>
    </row>
    <row r="950" spans="1:45">
      <c r="A950" t="str">
        <f t="shared" si="374"/>
        <v>CA_Orang_2020g~city of la habra member, city council (vote 1)</v>
      </c>
      <c r="B950" s="55" t="s">
        <v>3536</v>
      </c>
      <c r="D950" s="55" t="s">
        <v>3890</v>
      </c>
      <c r="E950" s="55" t="s">
        <v>3894</v>
      </c>
      <c r="G950" s="60">
        <v>15461</v>
      </c>
      <c r="H950"/>
      <c r="J950">
        <v>27764</v>
      </c>
      <c r="N950">
        <v>29295</v>
      </c>
      <c r="O950">
        <f t="shared" si="355"/>
        <v>1</v>
      </c>
      <c r="P950" s="57">
        <f t="shared" si="356"/>
        <v>1</v>
      </c>
      <c r="Q950" s="267">
        <f t="shared" si="357"/>
        <v>53707</v>
      </c>
      <c r="R950" s="23">
        <f t="shared" si="358"/>
        <v>15461</v>
      </c>
      <c r="S950" s="23">
        <f t="shared" si="359"/>
        <v>12340</v>
      </c>
      <c r="T950" s="23">
        <f t="shared" si="360"/>
        <v>3121</v>
      </c>
      <c r="U950" t="str">
        <f t="shared" si="361"/>
        <v>CA_Orang_2020g~city of la habra member, city council (vote 1)</v>
      </c>
      <c r="W950" s="1">
        <f t="shared" si="362"/>
        <v>122</v>
      </c>
      <c r="X950" s="73">
        <f t="shared" si="371"/>
        <v>74.705454545454558</v>
      </c>
      <c r="Y950" s="322">
        <f t="shared" si="363"/>
        <v>567.01440000000002</v>
      </c>
      <c r="Z950" s="43">
        <f t="shared" si="372"/>
        <v>1.1714515967241657E-4</v>
      </c>
      <c r="AA950" s="52">
        <f t="shared" si="364"/>
        <v>1.1714515967241656E-6</v>
      </c>
      <c r="AB950" s="8">
        <f t="shared" si="365"/>
        <v>5396.56</v>
      </c>
      <c r="AC950" s="8">
        <f t="shared" si="366"/>
        <v>269828</v>
      </c>
      <c r="AD950" s="8">
        <f t="shared" si="370"/>
        <v>1349.14</v>
      </c>
      <c r="AE950" s="8" t="str">
        <f t="shared" si="367"/>
        <v/>
      </c>
      <c r="AF950" s="22" t="str">
        <f t="shared" si="368"/>
        <v>PA_Alleg_2019g</v>
      </c>
      <c r="AG950">
        <v>5</v>
      </c>
      <c r="AH950" s="272">
        <v>8217.6</v>
      </c>
      <c r="AI950" s="273">
        <v>4738</v>
      </c>
      <c r="AJ950" s="274">
        <v>4056</v>
      </c>
      <c r="AK950" s="339">
        <v>682</v>
      </c>
      <c r="AL950" s="23" t="s">
        <v>2306</v>
      </c>
      <c r="AM950" s="358">
        <f t="shared" si="369"/>
        <v>2.5275360600085983E-3</v>
      </c>
      <c r="AN950" s="361" t="s">
        <v>6878</v>
      </c>
      <c r="AO950" s="362" t="s">
        <v>6510</v>
      </c>
      <c r="AP950" s="23">
        <f t="shared" si="373"/>
        <v>0</v>
      </c>
      <c r="AQ950" s="392">
        <f t="shared" si="375"/>
        <v>0</v>
      </c>
      <c r="AR950" s="392">
        <f t="shared" si="376"/>
        <v>0</v>
      </c>
      <c r="AS950" s="392">
        <f t="shared" si="376"/>
        <v>0</v>
      </c>
    </row>
    <row r="951" spans="1:45">
      <c r="A951" t="str">
        <f t="shared" si="374"/>
        <v>CA_Orang_2020g~city of la habra member, city council (vote 1)</v>
      </c>
      <c r="B951" s="55" t="s">
        <v>3536</v>
      </c>
      <c r="D951" s="55" t="s">
        <v>3890</v>
      </c>
      <c r="E951" s="55" t="s">
        <v>3893</v>
      </c>
      <c r="G951" s="60">
        <v>12340</v>
      </c>
      <c r="H951"/>
      <c r="J951">
        <v>27764</v>
      </c>
      <c r="N951">
        <v>29295</v>
      </c>
      <c r="O951">
        <f t="shared" si="355"/>
        <v>2</v>
      </c>
      <c r="P951" s="57">
        <f t="shared" si="356"/>
        <v>1</v>
      </c>
      <c r="Q951" s="267">
        <f t="shared" si="357"/>
        <v>38246</v>
      </c>
      <c r="R951" s="23" t="str">
        <f t="shared" si="358"/>
        <v/>
      </c>
      <c r="S951" s="23">
        <f t="shared" si="359"/>
        <v>12340</v>
      </c>
      <c r="T951" s="23" t="str">
        <f t="shared" si="360"/>
        <v/>
      </c>
      <c r="U951" t="str">
        <f t="shared" si="361"/>
        <v/>
      </c>
      <c r="W951" s="290">
        <f t="shared" si="362"/>
        <v>123</v>
      </c>
      <c r="X951" s="298">
        <f t="shared" si="371"/>
        <v>65.03961995249405</v>
      </c>
      <c r="Y951" s="322">
        <f t="shared" si="363"/>
        <v>304.73160000000001</v>
      </c>
      <c r="Z951" s="299">
        <f t="shared" si="372"/>
        <v>2.1897006948815464E-2</v>
      </c>
      <c r="AA951" s="300">
        <f t="shared" si="364"/>
        <v>2.1897006948815462E-4</v>
      </c>
      <c r="AB951" s="301">
        <f t="shared" si="365"/>
        <v>5396.56</v>
      </c>
      <c r="AC951" s="301">
        <f t="shared" si="366"/>
        <v>269828</v>
      </c>
      <c r="AD951" s="8">
        <f t="shared" si="370"/>
        <v>1349.14</v>
      </c>
      <c r="AE951" s="301" t="str">
        <f t="shared" si="367"/>
        <v/>
      </c>
      <c r="AF951" s="22" t="str">
        <f t="shared" si="368"/>
        <v>PA_Alleg_2019g</v>
      </c>
      <c r="AG951" s="23">
        <v>5</v>
      </c>
      <c r="AH951" s="8">
        <v>4416.3999999999996</v>
      </c>
      <c r="AI951" s="273">
        <v>2769</v>
      </c>
      <c r="AJ951" s="274">
        <v>2348</v>
      </c>
      <c r="AK951" s="339">
        <v>421</v>
      </c>
      <c r="AL951" s="344" t="s">
        <v>2315</v>
      </c>
      <c r="AM951" s="358">
        <f t="shared" si="369"/>
        <v>1.5602531983337534E-3</v>
      </c>
      <c r="AN951" s="361" t="s">
        <v>6884</v>
      </c>
      <c r="AO951" s="362" t="s">
        <v>6510</v>
      </c>
      <c r="AP951" s="23">
        <f t="shared" si="373"/>
        <v>0</v>
      </c>
      <c r="AQ951" s="392">
        <f t="shared" si="375"/>
        <v>0</v>
      </c>
      <c r="AR951" s="392">
        <f t="shared" si="376"/>
        <v>0</v>
      </c>
      <c r="AS951" s="392">
        <f t="shared" si="376"/>
        <v>0</v>
      </c>
    </row>
    <row r="952" spans="1:45">
      <c r="A952" t="str">
        <f t="shared" si="374"/>
        <v>CA_Orang_2020g~city of la habra member, city council (vote 1)</v>
      </c>
      <c r="B952" s="55" t="s">
        <v>3536</v>
      </c>
      <c r="D952" s="55" t="s">
        <v>3890</v>
      </c>
      <c r="E952" s="55" t="s">
        <v>3891</v>
      </c>
      <c r="G952" s="60">
        <v>11980</v>
      </c>
      <c r="H952"/>
      <c r="J952">
        <v>27764</v>
      </c>
      <c r="N952">
        <v>29295</v>
      </c>
      <c r="O952">
        <f t="shared" si="355"/>
        <v>3</v>
      </c>
      <c r="P952" s="57">
        <f t="shared" si="356"/>
        <v>1</v>
      </c>
      <c r="Q952" s="267">
        <f t="shared" si="357"/>
        <v>25906</v>
      </c>
      <c r="R952" s="23" t="str">
        <f t="shared" si="358"/>
        <v/>
      </c>
      <c r="S952" s="23">
        <f t="shared" si="359"/>
        <v>11980</v>
      </c>
      <c r="T952" s="23" t="str">
        <f t="shared" si="360"/>
        <v/>
      </c>
      <c r="U952" t="str">
        <f t="shared" si="361"/>
        <v/>
      </c>
      <c r="W952" s="290">
        <f t="shared" si="362"/>
        <v>124</v>
      </c>
      <c r="X952" s="298">
        <f t="shared" si="371"/>
        <v>62.54316239316239</v>
      </c>
      <c r="Y952" s="322">
        <f t="shared" si="363"/>
        <v>162.87450000000001</v>
      </c>
      <c r="Z952" s="299">
        <f t="shared" si="372"/>
        <v>0.92601922729154129</v>
      </c>
      <c r="AA952" s="300">
        <f t="shared" si="364"/>
        <v>9.2601922729154129E-3</v>
      </c>
      <c r="AB952" s="301">
        <f t="shared" si="365"/>
        <v>5396.56</v>
      </c>
      <c r="AC952" s="301">
        <f t="shared" si="366"/>
        <v>269828</v>
      </c>
      <c r="AD952" s="8">
        <f t="shared" si="370"/>
        <v>1349.14</v>
      </c>
      <c r="AE952" s="301" t="str">
        <f t="shared" si="367"/>
        <v/>
      </c>
      <c r="AF952" s="22" t="str">
        <f t="shared" si="368"/>
        <v>PA_Alleg_2019g</v>
      </c>
      <c r="AG952">
        <v>2</v>
      </c>
      <c r="AH952" s="272">
        <v>2360.5</v>
      </c>
      <c r="AI952" s="273">
        <v>1440</v>
      </c>
      <c r="AJ952" s="274">
        <v>1206</v>
      </c>
      <c r="AK952" s="339">
        <v>234</v>
      </c>
      <c r="AL952" s="340" t="s">
        <v>2302</v>
      </c>
      <c r="AM952" s="358">
        <f t="shared" si="369"/>
        <v>8.6721911736365386E-4</v>
      </c>
      <c r="AN952" s="361" t="s">
        <v>6891</v>
      </c>
      <c r="AO952" s="362" t="s">
        <v>6510</v>
      </c>
      <c r="AP952" s="23">
        <f t="shared" si="373"/>
        <v>0</v>
      </c>
      <c r="AQ952" s="392">
        <f t="shared" si="375"/>
        <v>0</v>
      </c>
      <c r="AR952" s="392">
        <f t="shared" si="376"/>
        <v>0</v>
      </c>
      <c r="AS952" s="392">
        <f t="shared" si="376"/>
        <v>0</v>
      </c>
    </row>
    <row r="953" spans="1:45">
      <c r="A953" t="str">
        <f t="shared" si="374"/>
        <v>CA_Orang_2020g~city of la habra member, city council (vote 1)</v>
      </c>
      <c r="B953" s="55" t="s">
        <v>3536</v>
      </c>
      <c r="D953" s="55" t="s">
        <v>3890</v>
      </c>
      <c r="E953" s="55" t="s">
        <v>3892</v>
      </c>
      <c r="G953" s="60">
        <v>8087</v>
      </c>
      <c r="H953"/>
      <c r="J953">
        <v>27764</v>
      </c>
      <c r="N953">
        <v>29295</v>
      </c>
      <c r="O953">
        <f t="shared" si="355"/>
        <v>4</v>
      </c>
      <c r="P953" s="57">
        <f t="shared" si="356"/>
        <v>1</v>
      </c>
      <c r="Q953" s="267">
        <f t="shared" si="357"/>
        <v>13926</v>
      </c>
      <c r="R953" s="23" t="str">
        <f t="shared" si="358"/>
        <v/>
      </c>
      <c r="S953" s="23">
        <f t="shared" si="359"/>
        <v>8087</v>
      </c>
      <c r="T953" s="23" t="str">
        <f t="shared" si="360"/>
        <v/>
      </c>
      <c r="U953" t="str">
        <f t="shared" si="361"/>
        <v/>
      </c>
      <c r="W953" s="1">
        <f t="shared" si="362"/>
        <v>125</v>
      </c>
      <c r="X953" s="73">
        <f t="shared" si="371"/>
        <v>50.218351063829786</v>
      </c>
      <c r="Y953" s="322">
        <f t="shared" si="363"/>
        <v>420.27900000000005</v>
      </c>
      <c r="Z953" s="43">
        <f t="shared" si="372"/>
        <v>2.8780088585901658E-5</v>
      </c>
      <c r="AA953" s="52">
        <f t="shared" si="364"/>
        <v>2.8780088585901656E-7</v>
      </c>
      <c r="AB953" s="8">
        <f t="shared" si="365"/>
        <v>5396.56</v>
      </c>
      <c r="AC953" s="8">
        <f t="shared" si="366"/>
        <v>269828</v>
      </c>
      <c r="AD953" s="8">
        <f t="shared" si="370"/>
        <v>1349.14</v>
      </c>
      <c r="AE953" s="8" t="str">
        <f t="shared" si="367"/>
        <v/>
      </c>
      <c r="AF953" s="22" t="str">
        <f t="shared" si="368"/>
        <v>PA_Alleg_2019g</v>
      </c>
      <c r="AG953">
        <v>1</v>
      </c>
      <c r="AH953" s="272">
        <v>6091</v>
      </c>
      <c r="AI953" s="273">
        <v>3415</v>
      </c>
      <c r="AJ953" s="274">
        <v>2663</v>
      </c>
      <c r="AK953" s="339">
        <v>752</v>
      </c>
      <c r="AL953" s="340" t="s">
        <v>2303</v>
      </c>
      <c r="AM953" s="358">
        <f t="shared" si="369"/>
        <v>2.7869605822968707E-3</v>
      </c>
      <c r="AN953" s="361" t="s">
        <v>6877</v>
      </c>
      <c r="AO953" s="362" t="s">
        <v>6510</v>
      </c>
      <c r="AP953" s="23">
        <f t="shared" si="373"/>
        <v>0</v>
      </c>
      <c r="AQ953" s="392">
        <f t="shared" si="375"/>
        <v>0</v>
      </c>
      <c r="AR953" s="392">
        <f t="shared" si="376"/>
        <v>0</v>
      </c>
      <c r="AS953" s="392">
        <f t="shared" si="376"/>
        <v>0</v>
      </c>
    </row>
    <row r="954" spans="1:45">
      <c r="A954" t="str">
        <f t="shared" si="374"/>
        <v>CA_Orang_2020g~city of la habra member, city council (vote 1)</v>
      </c>
      <c r="B954" s="55" t="s">
        <v>3536</v>
      </c>
      <c r="D954" s="55" t="s">
        <v>3890</v>
      </c>
      <c r="E954" s="55" t="s">
        <v>3450</v>
      </c>
      <c r="G954" s="60">
        <v>5839</v>
      </c>
      <c r="H954"/>
      <c r="J954">
        <v>27764</v>
      </c>
      <c r="N954">
        <v>29295</v>
      </c>
      <c r="O954">
        <f t="shared" si="355"/>
        <v>5</v>
      </c>
      <c r="P954" s="57">
        <f t="shared" si="356"/>
        <v>1</v>
      </c>
      <c r="Q954" s="267">
        <f t="shared" si="357"/>
        <v>5839</v>
      </c>
      <c r="R954" s="23" t="str">
        <f t="shared" si="358"/>
        <v/>
      </c>
      <c r="S954" s="23">
        <f t="shared" si="359"/>
        <v>5839</v>
      </c>
      <c r="T954" s="23" t="str">
        <f t="shared" si="360"/>
        <v/>
      </c>
      <c r="U954" t="str">
        <f t="shared" si="361"/>
        <v/>
      </c>
      <c r="W954" s="290">
        <f t="shared" si="362"/>
        <v>126</v>
      </c>
      <c r="X954" s="298">
        <f t="shared" si="371"/>
        <v>47.303304347826085</v>
      </c>
      <c r="Y954" s="322">
        <f t="shared" si="363"/>
        <v>181.62180000000001</v>
      </c>
      <c r="Z954" s="299">
        <f t="shared" si="372"/>
        <v>0.100334595720144</v>
      </c>
      <c r="AA954" s="300">
        <f t="shared" si="364"/>
        <v>1.00334595720144E-3</v>
      </c>
      <c r="AB954" s="301">
        <f t="shared" si="365"/>
        <v>5396.56</v>
      </c>
      <c r="AC954" s="301">
        <f t="shared" si="366"/>
        <v>269828</v>
      </c>
      <c r="AD954" s="8">
        <f t="shared" si="370"/>
        <v>1349.14</v>
      </c>
      <c r="AE954" s="301" t="str">
        <f t="shared" si="367"/>
        <v/>
      </c>
      <c r="AF954" s="22" t="str">
        <f t="shared" si="368"/>
        <v>PA_Alleg_2019g</v>
      </c>
      <c r="AG954">
        <v>5</v>
      </c>
      <c r="AH954" s="272">
        <v>2632.2</v>
      </c>
      <c r="AI954" s="273">
        <v>1951</v>
      </c>
      <c r="AJ954" s="274">
        <v>1606</v>
      </c>
      <c r="AK954" s="339">
        <v>345</v>
      </c>
      <c r="AL954" s="340" t="s">
        <v>2300</v>
      </c>
      <c r="AM954" s="358">
        <f t="shared" si="369"/>
        <v>1.2785922884207717E-3</v>
      </c>
      <c r="AN954" s="361" t="s">
        <v>6886</v>
      </c>
      <c r="AO954" s="362" t="s">
        <v>6510</v>
      </c>
      <c r="AP954" s="23">
        <f t="shared" si="373"/>
        <v>0</v>
      </c>
      <c r="AQ954" s="392">
        <f t="shared" si="375"/>
        <v>0</v>
      </c>
      <c r="AR954" s="392">
        <f t="shared" si="376"/>
        <v>0</v>
      </c>
      <c r="AS954" s="392">
        <f t="shared" si="376"/>
        <v>0</v>
      </c>
    </row>
    <row r="955" spans="1:45">
      <c r="A955" t="str">
        <f t="shared" si="374"/>
        <v>CA_Orang_2020g~city of la palma member, city council (vote 1)</v>
      </c>
      <c r="B955" s="55" t="s">
        <v>3536</v>
      </c>
      <c r="D955" s="55" t="s">
        <v>3908</v>
      </c>
      <c r="E955" s="55" t="s">
        <v>3910</v>
      </c>
      <c r="G955" s="60">
        <v>4696</v>
      </c>
      <c r="H955"/>
      <c r="J955">
        <v>8431</v>
      </c>
      <c r="N955">
        <v>7746</v>
      </c>
      <c r="O955">
        <f t="shared" si="355"/>
        <v>1</v>
      </c>
      <c r="P955" s="57">
        <f t="shared" si="356"/>
        <v>1</v>
      </c>
      <c r="Q955" s="267">
        <f t="shared" si="357"/>
        <v>17471</v>
      </c>
      <c r="R955" s="23">
        <f t="shared" si="358"/>
        <v>4696</v>
      </c>
      <c r="S955" s="23">
        <f t="shared" si="359"/>
        <v>3595</v>
      </c>
      <c r="T955" s="23">
        <f t="shared" si="360"/>
        <v>1101</v>
      </c>
      <c r="U955" t="str">
        <f t="shared" si="361"/>
        <v>CA_Orang_2020g~city of la palma member, city council (vote 1)</v>
      </c>
      <c r="W955" s="1">
        <f t="shared" si="362"/>
        <v>127</v>
      </c>
      <c r="X955" s="73">
        <f t="shared" si="371"/>
        <v>43.330905472636822</v>
      </c>
      <c r="Y955" s="322">
        <f t="shared" si="363"/>
        <v>484.64220000000006</v>
      </c>
      <c r="Z955" s="43">
        <f t="shared" si="372"/>
        <v>1.7963205807758083E-7</v>
      </c>
      <c r="AA955" s="52">
        <f t="shared" si="364"/>
        <v>1.7963205807758083E-9</v>
      </c>
      <c r="AB955" s="8">
        <f t="shared" si="365"/>
        <v>5396.56</v>
      </c>
      <c r="AC955" s="8">
        <f t="shared" si="366"/>
        <v>269828</v>
      </c>
      <c r="AD955" s="8">
        <f t="shared" si="370"/>
        <v>1349.14</v>
      </c>
      <c r="AE955" s="8" t="str">
        <f t="shared" si="367"/>
        <v/>
      </c>
      <c r="AF955" s="22" t="str">
        <f t="shared" si="368"/>
        <v>PA_Alleg_2019g</v>
      </c>
      <c r="AG955">
        <v>5</v>
      </c>
      <c r="AH955" s="272">
        <v>7023.8</v>
      </c>
      <c r="AI955" s="273">
        <v>5508</v>
      </c>
      <c r="AJ955" s="274">
        <v>4503</v>
      </c>
      <c r="AK955" s="339">
        <v>1005</v>
      </c>
      <c r="AL955" s="340" t="s">
        <v>2308</v>
      </c>
      <c r="AM955" s="358">
        <f t="shared" si="369"/>
        <v>3.7245949271387697E-3</v>
      </c>
      <c r="AN955" s="361" t="s">
        <v>6519</v>
      </c>
      <c r="AO955" s="362" t="s">
        <v>6510</v>
      </c>
      <c r="AP955" s="23">
        <f t="shared" si="373"/>
        <v>0</v>
      </c>
      <c r="AQ955" s="392">
        <f t="shared" si="375"/>
        <v>0</v>
      </c>
      <c r="AR955" s="392">
        <f t="shared" si="376"/>
        <v>0</v>
      </c>
      <c r="AS955" s="392">
        <f t="shared" si="376"/>
        <v>0</v>
      </c>
    </row>
    <row r="956" spans="1:45">
      <c r="A956" t="str">
        <f t="shared" si="374"/>
        <v>CA_Orang_2020g~city of la palma member, city council (vote 1)</v>
      </c>
      <c r="B956" s="55" t="s">
        <v>3536</v>
      </c>
      <c r="D956" s="55" t="s">
        <v>3908</v>
      </c>
      <c r="E956" s="55" t="s">
        <v>3913</v>
      </c>
      <c r="G956" s="60">
        <v>3595</v>
      </c>
      <c r="H956"/>
      <c r="J956">
        <v>8431</v>
      </c>
      <c r="N956">
        <v>7746</v>
      </c>
      <c r="O956">
        <f t="shared" si="355"/>
        <v>2</v>
      </c>
      <c r="P956" s="57">
        <f t="shared" si="356"/>
        <v>1</v>
      </c>
      <c r="Q956" s="267">
        <f t="shared" si="357"/>
        <v>12775</v>
      </c>
      <c r="R956" s="23" t="str">
        <f t="shared" si="358"/>
        <v/>
      </c>
      <c r="S956" s="23">
        <f t="shared" si="359"/>
        <v>3595</v>
      </c>
      <c r="T956" s="23" t="str">
        <f t="shared" si="360"/>
        <v/>
      </c>
      <c r="U956" t="str">
        <f t="shared" si="361"/>
        <v/>
      </c>
      <c r="W956" s="1">
        <f t="shared" si="362"/>
        <v>128</v>
      </c>
      <c r="X956" s="73">
        <f t="shared" si="371"/>
        <v>23.761662631154156</v>
      </c>
      <c r="Y956" s="322">
        <f t="shared" si="363"/>
        <v>218.43100000000001</v>
      </c>
      <c r="Z956" s="43">
        <f t="shared" si="372"/>
        <v>6.5230589684806621E-6</v>
      </c>
      <c r="AA956" s="52">
        <f t="shared" si="364"/>
        <v>6.5230589684806618E-8</v>
      </c>
      <c r="AB956" s="8">
        <f t="shared" si="365"/>
        <v>5396.56</v>
      </c>
      <c r="AC956" s="8">
        <f t="shared" si="366"/>
        <v>269828</v>
      </c>
      <c r="AD956" s="8">
        <f t="shared" si="370"/>
        <v>1349.14</v>
      </c>
      <c r="AE956" s="8" t="str">
        <f t="shared" si="367"/>
        <v/>
      </c>
      <c r="AF956" s="22" t="str">
        <f t="shared" si="368"/>
        <v>PA_Alleg_2019g</v>
      </c>
      <c r="AG956">
        <v>3</v>
      </c>
      <c r="AH956" s="272">
        <v>3165.6666666666665</v>
      </c>
      <c r="AI956" s="273">
        <v>2254</v>
      </c>
      <c r="AJ956" s="274">
        <v>1428</v>
      </c>
      <c r="AK956" s="339">
        <v>826</v>
      </c>
      <c r="AL956" s="340" t="s">
        <v>2223</v>
      </c>
      <c r="AM956" s="358">
        <f t="shared" si="369"/>
        <v>3.0612093630016158E-3</v>
      </c>
      <c r="AN956" s="361" t="s">
        <v>6873</v>
      </c>
      <c r="AO956" s="362" t="s">
        <v>6510</v>
      </c>
      <c r="AP956" s="23">
        <f t="shared" si="373"/>
        <v>0</v>
      </c>
      <c r="AQ956" s="392">
        <f t="shared" si="375"/>
        <v>0</v>
      </c>
      <c r="AR956" s="392">
        <f t="shared" si="376"/>
        <v>0</v>
      </c>
      <c r="AS956" s="392">
        <f t="shared" si="376"/>
        <v>0</v>
      </c>
    </row>
    <row r="957" spans="1:45">
      <c r="A957" t="str">
        <f t="shared" si="374"/>
        <v>CA_Orang_2020g~city of la palma member, city council (vote 1)</v>
      </c>
      <c r="B957" s="55" t="s">
        <v>3536</v>
      </c>
      <c r="D957" s="55" t="s">
        <v>3908</v>
      </c>
      <c r="E957" s="55" t="s">
        <v>3911</v>
      </c>
      <c r="G957" s="60">
        <v>3214</v>
      </c>
      <c r="H957"/>
      <c r="J957">
        <v>8431</v>
      </c>
      <c r="N957">
        <v>7746</v>
      </c>
      <c r="O957">
        <f t="shared" si="355"/>
        <v>3</v>
      </c>
      <c r="P957" s="57">
        <f t="shared" si="356"/>
        <v>1</v>
      </c>
      <c r="Q957" s="267">
        <f t="shared" si="357"/>
        <v>9180</v>
      </c>
      <c r="R957" s="23" t="str">
        <f t="shared" si="358"/>
        <v/>
      </c>
      <c r="S957" s="23">
        <f t="shared" si="359"/>
        <v>3214</v>
      </c>
      <c r="T957" s="23" t="str">
        <f t="shared" si="360"/>
        <v/>
      </c>
      <c r="U957" t="str">
        <f t="shared" si="361"/>
        <v/>
      </c>
      <c r="W957" s="1">
        <f t="shared" si="362"/>
        <v>129</v>
      </c>
      <c r="X957" s="73">
        <f t="shared" si="371"/>
        <v>23.744648910411623</v>
      </c>
      <c r="Y957" s="322">
        <f t="shared" si="363"/>
        <v>218.27460000000002</v>
      </c>
      <c r="Z957" s="43">
        <f t="shared" si="372"/>
        <v>6.5230589684806621E-6</v>
      </c>
      <c r="AA957" s="52">
        <f t="shared" si="364"/>
        <v>6.5230589684806618E-8</v>
      </c>
      <c r="AB957" s="8">
        <f t="shared" si="365"/>
        <v>5396.56</v>
      </c>
      <c r="AC957" s="8">
        <f t="shared" si="366"/>
        <v>269828</v>
      </c>
      <c r="AD957" s="8">
        <f t="shared" si="370"/>
        <v>1349.14</v>
      </c>
      <c r="AE957" s="8" t="str">
        <f t="shared" si="367"/>
        <v/>
      </c>
      <c r="AF957" s="22" t="str">
        <f t="shared" si="368"/>
        <v>PA_Alleg_2019g</v>
      </c>
      <c r="AG957">
        <v>5</v>
      </c>
      <c r="AH957" s="272">
        <v>3163.4</v>
      </c>
      <c r="AI957" s="273">
        <v>2375</v>
      </c>
      <c r="AJ957" s="274">
        <v>1549</v>
      </c>
      <c r="AK957" s="339">
        <v>826</v>
      </c>
      <c r="AL957" s="340" t="s">
        <v>2317</v>
      </c>
      <c r="AM957" s="358">
        <f t="shared" si="369"/>
        <v>3.0612093630016158E-3</v>
      </c>
      <c r="AN957" s="361" t="s">
        <v>6874</v>
      </c>
      <c r="AO957" s="362" t="s">
        <v>6510</v>
      </c>
      <c r="AP957" s="23">
        <f t="shared" si="373"/>
        <v>0</v>
      </c>
      <c r="AQ957" s="392">
        <f t="shared" si="375"/>
        <v>0</v>
      </c>
      <c r="AR957" s="392">
        <f t="shared" si="376"/>
        <v>0</v>
      </c>
      <c r="AS957" s="392">
        <f t="shared" si="376"/>
        <v>0</v>
      </c>
    </row>
    <row r="958" spans="1:45">
      <c r="A958" t="str">
        <f t="shared" si="374"/>
        <v>CA_Orang_2020g~city of la palma member, city council (vote 1)</v>
      </c>
      <c r="B958" s="55" t="s">
        <v>3536</v>
      </c>
      <c r="D958" s="55" t="s">
        <v>3908</v>
      </c>
      <c r="E958" s="55" t="s">
        <v>3914</v>
      </c>
      <c r="G958" s="60">
        <v>2556</v>
      </c>
      <c r="H958"/>
      <c r="J958">
        <v>8431</v>
      </c>
      <c r="N958">
        <v>7746</v>
      </c>
      <c r="O958">
        <f t="shared" si="355"/>
        <v>4</v>
      </c>
      <c r="P958" s="57">
        <f t="shared" si="356"/>
        <v>1</v>
      </c>
      <c r="Q958" s="267">
        <f t="shared" si="357"/>
        <v>5966</v>
      </c>
      <c r="R958" s="23" t="str">
        <f t="shared" si="358"/>
        <v/>
      </c>
      <c r="S958" s="23">
        <f t="shared" si="359"/>
        <v>2556</v>
      </c>
      <c r="T958" s="23" t="str">
        <f t="shared" si="360"/>
        <v/>
      </c>
      <c r="U958" t="str">
        <f t="shared" si="361"/>
        <v/>
      </c>
      <c r="W958" s="1">
        <f t="shared" si="362"/>
        <v>130</v>
      </c>
      <c r="X958" s="73">
        <f t="shared" si="371"/>
        <v>23.451589023611998</v>
      </c>
      <c r="Y958" s="322">
        <f t="shared" si="363"/>
        <v>408.97680000000003</v>
      </c>
      <c r="Z958" s="43">
        <f t="shared" si="372"/>
        <v>2.2363284313312363E-12</v>
      </c>
      <c r="AA958" s="52">
        <f t="shared" si="364"/>
        <v>2.2363284313312363E-14</v>
      </c>
      <c r="AB958" s="8">
        <f t="shared" si="365"/>
        <v>5396.56</v>
      </c>
      <c r="AC958" s="8">
        <f t="shared" si="366"/>
        <v>269828</v>
      </c>
      <c r="AD958" s="8">
        <f t="shared" si="370"/>
        <v>1349.14</v>
      </c>
      <c r="AE958" s="8" t="str">
        <f t="shared" si="367"/>
        <v/>
      </c>
      <c r="AF958" s="22" t="str">
        <f t="shared" si="368"/>
        <v>PA_Alleg_2019g</v>
      </c>
      <c r="AG958">
        <v>5</v>
      </c>
      <c r="AH958" s="272">
        <v>5927.2</v>
      </c>
      <c r="AI958" s="273">
        <v>4343</v>
      </c>
      <c r="AJ958" s="274">
        <v>2776</v>
      </c>
      <c r="AK958" s="339">
        <v>1567</v>
      </c>
      <c r="AL958" s="340" t="s">
        <v>2293</v>
      </c>
      <c r="AM958" s="358">
        <f t="shared" si="369"/>
        <v>5.8074032346531867E-3</v>
      </c>
      <c r="AN958" s="361" t="s">
        <v>6869</v>
      </c>
      <c r="AO958" s="362" t="s">
        <v>6510</v>
      </c>
      <c r="AP958" s="23">
        <f t="shared" si="373"/>
        <v>0</v>
      </c>
      <c r="AQ958" s="392">
        <f t="shared" si="375"/>
        <v>0</v>
      </c>
      <c r="AR958" s="392">
        <f t="shared" si="376"/>
        <v>0</v>
      </c>
      <c r="AS958" s="392">
        <f t="shared" si="376"/>
        <v>0</v>
      </c>
    </row>
    <row r="959" spans="1:45">
      <c r="A959" t="str">
        <f t="shared" si="374"/>
        <v>CA_Orang_2020g~city of la palma member, city council (vote 1)</v>
      </c>
      <c r="B959" s="55" t="s">
        <v>3536</v>
      </c>
      <c r="D959" s="55" t="s">
        <v>3908</v>
      </c>
      <c r="E959" s="55" t="s">
        <v>3909</v>
      </c>
      <c r="G959" s="60">
        <v>1818</v>
      </c>
      <c r="H959"/>
      <c r="J959">
        <v>8431</v>
      </c>
      <c r="N959">
        <v>7746</v>
      </c>
      <c r="O959">
        <f t="shared" si="355"/>
        <v>5</v>
      </c>
      <c r="P959" s="57">
        <f t="shared" si="356"/>
        <v>1</v>
      </c>
      <c r="Q959" s="267">
        <f t="shared" si="357"/>
        <v>3410</v>
      </c>
      <c r="R959" s="23" t="str">
        <f t="shared" si="358"/>
        <v/>
      </c>
      <c r="S959" s="23">
        <f t="shared" si="359"/>
        <v>1818</v>
      </c>
      <c r="T959" s="23" t="str">
        <f t="shared" si="360"/>
        <v/>
      </c>
      <c r="U959" t="str">
        <f t="shared" si="361"/>
        <v/>
      </c>
      <c r="W959" s="1">
        <f t="shared" si="362"/>
        <v>131</v>
      </c>
      <c r="X959" s="73">
        <f t="shared" si="371"/>
        <v>21.260027137042062</v>
      </c>
      <c r="Y959" s="322">
        <f t="shared" si="363"/>
        <v>523.13040000000012</v>
      </c>
      <c r="Z959" s="43">
        <f t="shared" si="372"/>
        <v>5.2045554858101836E-18</v>
      </c>
      <c r="AA959" s="52">
        <f t="shared" si="364"/>
        <v>5.2045554858101834E-20</v>
      </c>
      <c r="AB959" s="8">
        <f t="shared" si="365"/>
        <v>5396.56</v>
      </c>
      <c r="AC959" s="8">
        <f t="shared" si="366"/>
        <v>269828</v>
      </c>
      <c r="AD959" s="8">
        <f t="shared" si="370"/>
        <v>1349.14</v>
      </c>
      <c r="AE959" s="8" t="str">
        <f t="shared" si="367"/>
        <v/>
      </c>
      <c r="AF959" s="22" t="str">
        <f t="shared" si="368"/>
        <v>PA_Alleg_2019g</v>
      </c>
      <c r="AG959">
        <v>5</v>
      </c>
      <c r="AH959" s="272">
        <v>7581.6</v>
      </c>
      <c r="AI959" s="273">
        <v>5612</v>
      </c>
      <c r="AJ959" s="274">
        <v>3401</v>
      </c>
      <c r="AK959" s="339">
        <v>2211</v>
      </c>
      <c r="AL959" s="340" t="s">
        <v>2294</v>
      </c>
      <c r="AM959" s="358">
        <f t="shared" si="369"/>
        <v>8.1941088397052934E-3</v>
      </c>
      <c r="AN959" s="361" t="s">
        <v>6515</v>
      </c>
      <c r="AO959" s="362" t="s">
        <v>6510</v>
      </c>
      <c r="AP959" s="23">
        <f t="shared" si="373"/>
        <v>0</v>
      </c>
      <c r="AQ959" s="392">
        <f t="shared" si="375"/>
        <v>0</v>
      </c>
      <c r="AR959" s="392">
        <f t="shared" si="376"/>
        <v>0</v>
      </c>
      <c r="AS959" s="392">
        <f t="shared" si="376"/>
        <v>0</v>
      </c>
    </row>
    <row r="960" spans="1:45">
      <c r="A960" t="str">
        <f t="shared" si="374"/>
        <v>CA_Orang_2020g~city of la palma member, city council (vote 1)</v>
      </c>
      <c r="B960" s="55" t="s">
        <v>3536</v>
      </c>
      <c r="D960" s="55" t="s">
        <v>3908</v>
      </c>
      <c r="E960" s="55" t="s">
        <v>3912</v>
      </c>
      <c r="G960" s="60">
        <v>1592</v>
      </c>
      <c r="H960"/>
      <c r="J960">
        <v>8431</v>
      </c>
      <c r="N960">
        <v>7746</v>
      </c>
      <c r="O960">
        <f t="shared" si="355"/>
        <v>6</v>
      </c>
      <c r="P960" s="57">
        <f t="shared" si="356"/>
        <v>1</v>
      </c>
      <c r="Q960" s="267">
        <f t="shared" si="357"/>
        <v>1592</v>
      </c>
      <c r="R960" s="23" t="str">
        <f t="shared" si="358"/>
        <v/>
      </c>
      <c r="S960" s="23">
        <f t="shared" si="359"/>
        <v>1592</v>
      </c>
      <c r="T960" s="23" t="str">
        <f t="shared" si="360"/>
        <v/>
      </c>
      <c r="U960" t="str">
        <f t="shared" si="361"/>
        <v/>
      </c>
      <c r="W960" s="1">
        <f t="shared" si="362"/>
        <v>132</v>
      </c>
      <c r="X960" s="73">
        <f t="shared" si="371"/>
        <v>20.571662468513857</v>
      </c>
      <c r="Y960" s="322">
        <f t="shared" si="363"/>
        <v>181.78050000000002</v>
      </c>
      <c r="Z960" s="43">
        <f t="shared" si="372"/>
        <v>1.2394718348270099E-5</v>
      </c>
      <c r="AA960" s="52">
        <f t="shared" si="364"/>
        <v>1.2394718348270099E-7</v>
      </c>
      <c r="AB960" s="8">
        <f t="shared" si="365"/>
        <v>5396.56</v>
      </c>
      <c r="AC960" s="8">
        <f t="shared" si="366"/>
        <v>269828</v>
      </c>
      <c r="AD960" s="8">
        <f t="shared" si="370"/>
        <v>1349.14</v>
      </c>
      <c r="AE960" s="8" t="str">
        <f t="shared" si="367"/>
        <v/>
      </c>
      <c r="AF960" s="22" t="str">
        <f t="shared" si="368"/>
        <v>PA_Alleg_2019g</v>
      </c>
      <c r="AG960">
        <v>2</v>
      </c>
      <c r="AH960" s="272">
        <v>2634.5</v>
      </c>
      <c r="AI960" s="273">
        <v>2006</v>
      </c>
      <c r="AJ960" s="274">
        <v>1212</v>
      </c>
      <c r="AK960" s="339">
        <v>794</v>
      </c>
      <c r="AL960" s="340" t="s">
        <v>2319</v>
      </c>
      <c r="AM960" s="358">
        <f t="shared" si="369"/>
        <v>2.9426152956698341E-3</v>
      </c>
      <c r="AN960" s="361" t="s">
        <v>6876</v>
      </c>
      <c r="AO960" s="362" t="s">
        <v>6510</v>
      </c>
      <c r="AP960" s="23">
        <f t="shared" si="373"/>
        <v>0</v>
      </c>
      <c r="AQ960" s="392">
        <f t="shared" si="375"/>
        <v>0</v>
      </c>
      <c r="AR960" s="392">
        <f t="shared" si="376"/>
        <v>0</v>
      </c>
      <c r="AS960" s="392">
        <f t="shared" si="376"/>
        <v>0</v>
      </c>
    </row>
    <row r="961" spans="1:45">
      <c r="A961" t="str">
        <f t="shared" si="374"/>
        <v>CA_Orang_2020g~city of laguna beach city clerk (vote 1)</v>
      </c>
      <c r="B961" s="55" t="s">
        <v>3536</v>
      </c>
      <c r="D961" s="55" t="s">
        <v>3866</v>
      </c>
      <c r="E961" s="55" t="s">
        <v>3867</v>
      </c>
      <c r="G961" s="60">
        <v>6626</v>
      </c>
      <c r="H961"/>
      <c r="J961">
        <v>16667</v>
      </c>
      <c r="N961">
        <v>3785</v>
      </c>
      <c r="O961">
        <f t="shared" si="355"/>
        <v>1</v>
      </c>
      <c r="P961" s="57">
        <f t="shared" si="356"/>
        <v>1</v>
      </c>
      <c r="Q961" s="267">
        <f t="shared" si="357"/>
        <v>12832</v>
      </c>
      <c r="R961" s="23">
        <f t="shared" si="358"/>
        <v>6626</v>
      </c>
      <c r="S961" s="23">
        <f t="shared" si="359"/>
        <v>6206</v>
      </c>
      <c r="T961" s="23">
        <f t="shared" si="360"/>
        <v>420</v>
      </c>
      <c r="U961" t="str">
        <f t="shared" si="361"/>
        <v>CA_Orang_2020g~city of laguna beach city clerk (vote 1)</v>
      </c>
      <c r="W961" s="290">
        <f t="shared" si="362"/>
        <v>133</v>
      </c>
      <c r="X961" s="291">
        <f t="shared" si="371"/>
        <v>16.275000000000002</v>
      </c>
      <c r="Y961" s="322">
        <f t="shared" si="363"/>
        <v>16.275000000000002</v>
      </c>
      <c r="Z961" s="292">
        <f t="shared" si="372"/>
        <v>72.614214747649058</v>
      </c>
      <c r="AA961" s="293">
        <f t="shared" si="364"/>
        <v>0.72614214747649064</v>
      </c>
      <c r="AB961" s="294">
        <f t="shared" si="365"/>
        <v>5396.56</v>
      </c>
      <c r="AC961" s="294">
        <f t="shared" si="366"/>
        <v>269828</v>
      </c>
      <c r="AD961" s="8">
        <f t="shared" si="370"/>
        <v>1349.14</v>
      </c>
      <c r="AE961" s="294" t="str">
        <f t="shared" si="367"/>
        <v/>
      </c>
      <c r="AF961" s="22" t="str">
        <f t="shared" si="368"/>
        <v>PA_Alleg_2019g</v>
      </c>
      <c r="AG961">
        <v>5</v>
      </c>
      <c r="AH961" s="272">
        <v>42</v>
      </c>
      <c r="AI961" s="273">
        <v>34</v>
      </c>
      <c r="AJ961" s="274">
        <v>18</v>
      </c>
      <c r="AK961" s="339">
        <v>16</v>
      </c>
      <c r="AL961" s="340" t="s">
        <v>2301</v>
      </c>
      <c r="AM961" s="353">
        <f t="shared" si="369"/>
        <v>5.9297033665890861E-5</v>
      </c>
      <c r="AN961" s="361" t="s">
        <v>6943</v>
      </c>
      <c r="AO961" s="362" t="s">
        <v>6510</v>
      </c>
      <c r="AP961" s="23">
        <f t="shared" si="373"/>
        <v>0</v>
      </c>
      <c r="AQ961" s="392">
        <f t="shared" si="375"/>
        <v>0</v>
      </c>
      <c r="AR961" s="392">
        <f t="shared" si="376"/>
        <v>0</v>
      </c>
      <c r="AS961" s="392">
        <f t="shared" si="376"/>
        <v>0</v>
      </c>
    </row>
    <row r="962" spans="1:45">
      <c r="A962" t="str">
        <f t="shared" si="374"/>
        <v>CA_Orang_2020g~city of laguna beach city clerk (vote 1)</v>
      </c>
      <c r="B962" s="55" t="s">
        <v>3536</v>
      </c>
      <c r="D962" s="55" t="s">
        <v>3866</v>
      </c>
      <c r="E962" s="55" t="s">
        <v>3868</v>
      </c>
      <c r="G962" s="60">
        <v>6206</v>
      </c>
      <c r="H962"/>
      <c r="J962">
        <v>16667</v>
      </c>
      <c r="N962">
        <v>3785</v>
      </c>
      <c r="O962">
        <f t="shared" ref="O962:O1025" si="377">IF(OR(LOWER(LEFT(E962,8))="write-in",LOWER(LEFT(E962,8))="not qual"),IF(A962=A961,-ABS(O961),0),IF(A962=A961,ABS(O961)+1,1))</f>
        <v>2</v>
      </c>
      <c r="P962" s="57">
        <f t="shared" ref="P962:P1025" si="378">1*LEFT(RIGHT(A962,2),1)</f>
        <v>1</v>
      </c>
      <c r="Q962" s="267">
        <f t="shared" ref="Q962:Q1025" si="379">IF(A962&lt;&gt;A963,G962,IF(A962=A961,G962+Q963,MAX(G962,(G962+Q963)/P962)))</f>
        <v>6206</v>
      </c>
      <c r="R962" s="23" t="str">
        <f t="shared" ref="R962:R1025" si="380">IF(O962&gt;P962,"",IF(O962=P962,G962,IF(A962=A963,R963,IF(O962&lt;=0,1,G962))))</f>
        <v/>
      </c>
      <c r="S962" s="23">
        <f t="shared" ref="S962:S1025" si="381">IF(AND(O962&gt;P962,LOWER(LEFT(E962,8))&lt;&gt;"write-in",LOWER(LEFT(E962,8))&lt;&gt;"not qual"),G962,IF(A962=A963,S963,0))</f>
        <v>6206</v>
      </c>
      <c r="T962" s="23" t="str">
        <f t="shared" ref="T962:T1025" si="382">IF(OR(A962=A961,S962=0),"",R962-ABS(S962))</f>
        <v/>
      </c>
      <c r="U962" t="str">
        <f t="shared" ref="U962:U1025" si="383">IF(A962=A961,"",A962)</f>
        <v/>
      </c>
      <c r="W962" s="1">
        <f t="shared" ref="W962:W1025" si="384">IF(AF962=AF961,W961+1,1)</f>
        <v>134</v>
      </c>
      <c r="X962" s="73">
        <f t="shared" si="371"/>
        <v>15.807514318442154</v>
      </c>
      <c r="Y962" s="322">
        <f t="shared" ref="Y962:Y1025" si="385">MAX(X962,0.069*AH962)</f>
        <v>153.58020000000002</v>
      </c>
      <c r="Z962" s="43">
        <f t="shared" si="372"/>
        <v>2.5405349781438665E-6</v>
      </c>
      <c r="AA962" s="52">
        <f t="shared" ref="AA962:AA1025" si="386">(1-AK962/AC962)^AB962</f>
        <v>2.5405349781438666E-8</v>
      </c>
      <c r="AB962" s="8">
        <f t="shared" ref="AB962:AB1025" si="387">INDEX(BA$2:BA$76,MATCH($AF962,$AU$2:$AU$76,0))+IF(AE962="",0,INDEX(BA$2:BA$76,AE962))</f>
        <v>5396.56</v>
      </c>
      <c r="AC962" s="8">
        <f t="shared" ref="AC962:AC1025" si="388">INDEX(AX$2:AX$76,MATCH(AF962,AU$2:AU$76,0))+IF(AE962="",0,INDEX(AX$2:AX$76,AE962))</f>
        <v>269828</v>
      </c>
      <c r="AD962" s="8">
        <f t="shared" si="370"/>
        <v>1349.14</v>
      </c>
      <c r="AE962" s="8" t="str">
        <f t="shared" ref="AE962:AE1025" si="389">IF(MID(AL962,16,2)&lt;&gt;"w/","",MATCH(CONCATENATE("CO_",MID(AL962,18,5),"_2020g"),AU$2:AU$76,0))</f>
        <v/>
      </c>
      <c r="AF962" s="22" t="str">
        <f t="shared" ref="AF962:AF1025" si="390">LEFT(AL962,14)</f>
        <v>PA_Alleg_2019g</v>
      </c>
      <c r="AG962">
        <v>5</v>
      </c>
      <c r="AH962" s="272">
        <v>2225.8000000000002</v>
      </c>
      <c r="AI962" s="273">
        <v>1875</v>
      </c>
      <c r="AJ962" s="274">
        <v>1002</v>
      </c>
      <c r="AK962" s="339">
        <v>873</v>
      </c>
      <c r="AL962" s="340" t="s">
        <v>2295</v>
      </c>
      <c r="AM962" s="358">
        <f t="shared" ref="AM962:AM969" si="391">AK962/AC962</f>
        <v>3.2353943993951701E-3</v>
      </c>
      <c r="AN962" s="361" t="s">
        <v>6871</v>
      </c>
      <c r="AO962" s="362" t="s">
        <v>6510</v>
      </c>
      <c r="AP962" s="23">
        <f t="shared" si="373"/>
        <v>0</v>
      </c>
      <c r="AQ962" s="392">
        <f t="shared" si="375"/>
        <v>0</v>
      </c>
      <c r="AR962" s="392">
        <f t="shared" si="376"/>
        <v>0</v>
      </c>
      <c r="AS962" s="392">
        <f t="shared" si="376"/>
        <v>0</v>
      </c>
    </row>
    <row r="963" spans="1:45">
      <c r="A963" t="str">
        <f t="shared" si="374"/>
        <v>CA_Orang_2020g~city of laguna beach city treasurer (vote 1)</v>
      </c>
      <c r="B963" s="55" t="s">
        <v>3536</v>
      </c>
      <c r="D963" s="55" t="s">
        <v>3869</v>
      </c>
      <c r="E963" s="55" t="s">
        <v>3870</v>
      </c>
      <c r="G963" s="60">
        <v>11454</v>
      </c>
      <c r="H963"/>
      <c r="J963">
        <v>16667</v>
      </c>
      <c r="N963">
        <v>5026</v>
      </c>
      <c r="O963">
        <f t="shared" si="377"/>
        <v>1</v>
      </c>
      <c r="P963" s="57">
        <f t="shared" si="378"/>
        <v>1</v>
      </c>
      <c r="Q963" s="267">
        <f t="shared" si="379"/>
        <v>11454</v>
      </c>
      <c r="R963" s="23">
        <f t="shared" si="380"/>
        <v>11454</v>
      </c>
      <c r="S963" s="23">
        <f t="shared" si="381"/>
        <v>0</v>
      </c>
      <c r="T963" s="23" t="str">
        <f t="shared" si="382"/>
        <v/>
      </c>
      <c r="U963" t="str">
        <f t="shared" si="383"/>
        <v>CA_Orang_2020g~city of laguna beach city treasurer (vote 1)</v>
      </c>
      <c r="W963" s="290">
        <f t="shared" si="384"/>
        <v>135</v>
      </c>
      <c r="X963" s="298">
        <f t="shared" si="371"/>
        <v>12.912396694214875</v>
      </c>
      <c r="Y963" s="322">
        <f t="shared" si="385"/>
        <v>17.388000000000002</v>
      </c>
      <c r="Z963" s="299">
        <f t="shared" si="372"/>
        <v>8.887336681874956</v>
      </c>
      <c r="AA963" s="300">
        <f t="shared" si="386"/>
        <v>8.8873366818749563E-2</v>
      </c>
      <c r="AB963" s="301">
        <f t="shared" si="387"/>
        <v>5396.56</v>
      </c>
      <c r="AC963" s="301">
        <f t="shared" si="388"/>
        <v>269828</v>
      </c>
      <c r="AD963" s="8">
        <f t="shared" ref="AD963:AD1026" si="392">AC963/RIGHT(AD$1,4)</f>
        <v>1349.14</v>
      </c>
      <c r="AE963" s="301" t="str">
        <f t="shared" si="389"/>
        <v/>
      </c>
      <c r="AF963" s="22" t="str">
        <f t="shared" si="390"/>
        <v>PA_Alleg_2019g</v>
      </c>
      <c r="AG963" s="302">
        <v>1</v>
      </c>
      <c r="AH963" s="301">
        <v>252</v>
      </c>
      <c r="AI963" s="303">
        <v>186</v>
      </c>
      <c r="AJ963" s="303">
        <v>65</v>
      </c>
      <c r="AK963" s="342">
        <v>121</v>
      </c>
      <c r="AL963" s="343" t="s">
        <v>2299</v>
      </c>
      <c r="AM963" s="358">
        <f t="shared" si="391"/>
        <v>4.4843381709829965E-4</v>
      </c>
      <c r="AN963" s="361" t="s">
        <v>6908</v>
      </c>
      <c r="AO963" s="362" t="s">
        <v>6510</v>
      </c>
      <c r="AP963" s="23">
        <f t="shared" si="373"/>
        <v>0</v>
      </c>
      <c r="AQ963" s="392">
        <f t="shared" si="375"/>
        <v>0</v>
      </c>
      <c r="AR963" s="392">
        <f t="shared" si="376"/>
        <v>0</v>
      </c>
      <c r="AS963" s="392">
        <f t="shared" si="376"/>
        <v>0</v>
      </c>
    </row>
    <row r="964" spans="1:45">
      <c r="A964" t="str">
        <f t="shared" si="374"/>
        <v>CA_Orang_2020g~city of laguna beach member, city council (vote 1)</v>
      </c>
      <c r="B964" s="55" t="s">
        <v>3536</v>
      </c>
      <c r="D964" s="55" t="s">
        <v>3860</v>
      </c>
      <c r="E964" s="55" t="s">
        <v>3863</v>
      </c>
      <c r="G964" s="60">
        <v>6442</v>
      </c>
      <c r="H964"/>
      <c r="J964">
        <v>16667</v>
      </c>
      <c r="N964">
        <v>7051</v>
      </c>
      <c r="O964">
        <f t="shared" si="377"/>
        <v>1</v>
      </c>
      <c r="P964" s="57">
        <f t="shared" si="378"/>
        <v>1</v>
      </c>
      <c r="Q964" s="267">
        <f t="shared" si="379"/>
        <v>26197</v>
      </c>
      <c r="R964" s="23">
        <f t="shared" si="380"/>
        <v>6442</v>
      </c>
      <c r="S964" s="23">
        <f t="shared" si="381"/>
        <v>5665</v>
      </c>
      <c r="T964" s="23">
        <f t="shared" si="382"/>
        <v>777</v>
      </c>
      <c r="U964" t="str">
        <f t="shared" si="383"/>
        <v>CA_Orang_2020g~city of laguna beach member, city council (vote 1)</v>
      </c>
      <c r="W964" s="1">
        <f t="shared" si="384"/>
        <v>136</v>
      </c>
      <c r="X964" s="73">
        <f t="shared" si="371"/>
        <v>9.6022450288646581</v>
      </c>
      <c r="Y964" s="322">
        <f t="shared" si="385"/>
        <v>666.40200000000004</v>
      </c>
      <c r="Z964" s="43">
        <f t="shared" si="372"/>
        <v>1.5815094190903741E-53</v>
      </c>
      <c r="AA964" s="52">
        <f t="shared" si="386"/>
        <v>1.5815094190903741E-55</v>
      </c>
      <c r="AB964" s="8">
        <f t="shared" si="387"/>
        <v>5396.56</v>
      </c>
      <c r="AC964" s="8">
        <f t="shared" si="388"/>
        <v>269828</v>
      </c>
      <c r="AD964" s="8">
        <f t="shared" si="392"/>
        <v>1349.14</v>
      </c>
      <c r="AE964" s="8" t="str">
        <f t="shared" si="389"/>
        <v/>
      </c>
      <c r="AF964" s="22" t="str">
        <f t="shared" si="390"/>
        <v>PA_Alleg_2019g</v>
      </c>
      <c r="AG964">
        <v>1</v>
      </c>
      <c r="AH964" s="272">
        <v>9658</v>
      </c>
      <c r="AI964" s="273">
        <v>7939</v>
      </c>
      <c r="AJ964" s="274">
        <v>1703</v>
      </c>
      <c r="AK964" s="339">
        <v>6236</v>
      </c>
      <c r="AL964" s="340" t="s">
        <v>2298</v>
      </c>
      <c r="AM964" s="358">
        <f t="shared" si="391"/>
        <v>2.3111018871280965E-2</v>
      </c>
      <c r="AN964" s="359" t="s">
        <v>6864</v>
      </c>
      <c r="AO964" s="360" t="s">
        <v>6510</v>
      </c>
      <c r="AP964" s="23">
        <f t="shared" si="373"/>
        <v>15</v>
      </c>
      <c r="AQ964" s="392">
        <f t="shared" si="375"/>
        <v>0.14555783375384579</v>
      </c>
      <c r="AR964" s="392">
        <f t="shared" si="376"/>
        <v>0.54159432836750809</v>
      </c>
      <c r="AS964" s="392">
        <f t="shared" si="376"/>
        <v>0.96559552820431405</v>
      </c>
    </row>
    <row r="965" spans="1:45">
      <c r="A965" t="str">
        <f t="shared" si="374"/>
        <v>CA_Orang_2020g~city of laguna beach member, city council (vote 1)</v>
      </c>
      <c r="B965" s="55" t="s">
        <v>3536</v>
      </c>
      <c r="D965" s="55" t="s">
        <v>3860</v>
      </c>
      <c r="E965" s="55" t="s">
        <v>3861</v>
      </c>
      <c r="G965" s="60">
        <v>5665</v>
      </c>
      <c r="H965"/>
      <c r="J965">
        <v>16667</v>
      </c>
      <c r="N965">
        <v>7051</v>
      </c>
      <c r="O965">
        <f t="shared" si="377"/>
        <v>2</v>
      </c>
      <c r="P965" s="57">
        <f t="shared" si="378"/>
        <v>1</v>
      </c>
      <c r="Q965" s="267">
        <f t="shared" si="379"/>
        <v>19755</v>
      </c>
      <c r="R965" s="23" t="str">
        <f t="shared" si="380"/>
        <v/>
      </c>
      <c r="S965" s="23">
        <f t="shared" si="381"/>
        <v>5665</v>
      </c>
      <c r="T965" s="23" t="str">
        <f t="shared" si="382"/>
        <v/>
      </c>
      <c r="U965" t="str">
        <f t="shared" si="383"/>
        <v/>
      </c>
      <c r="W965" s="1">
        <f t="shared" si="384"/>
        <v>137</v>
      </c>
      <c r="X965" s="73">
        <f t="shared" si="371"/>
        <v>8.8892057920140406</v>
      </c>
      <c r="Y965" s="322">
        <f t="shared" si="385"/>
        <v>225.45750000000001</v>
      </c>
      <c r="Z965" s="43">
        <f t="shared" si="372"/>
        <v>1.3206499453677182E-18</v>
      </c>
      <c r="AA965" s="52">
        <f t="shared" si="386"/>
        <v>1.3206499453677183E-20</v>
      </c>
      <c r="AB965" s="8">
        <f t="shared" si="387"/>
        <v>5396.56</v>
      </c>
      <c r="AC965" s="8">
        <f t="shared" si="388"/>
        <v>269828</v>
      </c>
      <c r="AD965" s="8">
        <f t="shared" si="392"/>
        <v>1349.14</v>
      </c>
      <c r="AE965" s="8" t="str">
        <f t="shared" si="389"/>
        <v/>
      </c>
      <c r="AF965" s="22" t="str">
        <f t="shared" si="390"/>
        <v>PA_Alleg_2019g</v>
      </c>
      <c r="AG965">
        <v>2</v>
      </c>
      <c r="AH965" s="8">
        <v>3267.5</v>
      </c>
      <c r="AI965" s="273">
        <v>2886</v>
      </c>
      <c r="AJ965" s="274">
        <v>607</v>
      </c>
      <c r="AK965" s="339">
        <v>2279</v>
      </c>
      <c r="AL965" s="340" t="s">
        <v>2320</v>
      </c>
      <c r="AM965" s="358">
        <f t="shared" si="391"/>
        <v>8.4461212327853301E-3</v>
      </c>
      <c r="AN965" s="361" t="s">
        <v>6865</v>
      </c>
      <c r="AO965" s="362" t="s">
        <v>6510</v>
      </c>
      <c r="AP965" s="23">
        <f t="shared" si="373"/>
        <v>0</v>
      </c>
      <c r="AQ965" s="392">
        <f t="shared" si="375"/>
        <v>0</v>
      </c>
      <c r="AR965" s="392">
        <f t="shared" si="376"/>
        <v>0</v>
      </c>
      <c r="AS965" s="392">
        <f t="shared" si="376"/>
        <v>0</v>
      </c>
    </row>
    <row r="966" spans="1:45">
      <c r="A966" t="str">
        <f t="shared" si="374"/>
        <v>CA_Orang_2020g~city of laguna beach member, city council (vote 1)</v>
      </c>
      <c r="B966" s="55" t="s">
        <v>3536</v>
      </c>
      <c r="D966" s="55" t="s">
        <v>3860</v>
      </c>
      <c r="E966" s="55" t="s">
        <v>3865</v>
      </c>
      <c r="G966" s="60">
        <v>5534</v>
      </c>
      <c r="H966"/>
      <c r="J966">
        <v>16667</v>
      </c>
      <c r="N966">
        <v>7051</v>
      </c>
      <c r="O966">
        <f t="shared" si="377"/>
        <v>3</v>
      </c>
      <c r="P966" s="57">
        <f t="shared" si="378"/>
        <v>1</v>
      </c>
      <c r="Q966" s="267">
        <f t="shared" si="379"/>
        <v>14090</v>
      </c>
      <c r="R966" s="23" t="str">
        <f t="shared" si="380"/>
        <v/>
      </c>
      <c r="S966" s="23">
        <f t="shared" si="381"/>
        <v>5534</v>
      </c>
      <c r="T966" s="23" t="str">
        <f t="shared" si="382"/>
        <v/>
      </c>
      <c r="U966" t="str">
        <f t="shared" si="383"/>
        <v/>
      </c>
      <c r="W966" s="1">
        <f t="shared" si="384"/>
        <v>138</v>
      </c>
      <c r="X966" s="73">
        <f t="shared" si="371"/>
        <v>8.4188828472565511</v>
      </c>
      <c r="Y966" s="322">
        <f t="shared" si="385"/>
        <v>189.54300000000001</v>
      </c>
      <c r="Z966" s="43">
        <f t="shared" si="372"/>
        <v>2.3027349470640954E-16</v>
      </c>
      <c r="AA966" s="52">
        <f t="shared" si="386"/>
        <v>2.3027349470640956E-18</v>
      </c>
      <c r="AB966" s="8">
        <f t="shared" si="387"/>
        <v>5396.56</v>
      </c>
      <c r="AC966" s="8">
        <f t="shared" si="388"/>
        <v>269828</v>
      </c>
      <c r="AD966" s="8">
        <f t="shared" si="392"/>
        <v>1349.14</v>
      </c>
      <c r="AE966" s="8" t="str">
        <f t="shared" si="389"/>
        <v/>
      </c>
      <c r="AF966" s="22" t="str">
        <f t="shared" si="390"/>
        <v>PA_Alleg_2019g</v>
      </c>
      <c r="AG966">
        <v>5</v>
      </c>
      <c r="AH966" s="272">
        <v>2747</v>
      </c>
      <c r="AI966" s="273">
        <v>2401</v>
      </c>
      <c r="AJ966" s="274">
        <v>378</v>
      </c>
      <c r="AK966" s="339">
        <v>2023</v>
      </c>
      <c r="AL966" s="340" t="s">
        <v>2318</v>
      </c>
      <c r="AM966" s="358">
        <f t="shared" si="391"/>
        <v>7.4973686941310763E-3</v>
      </c>
      <c r="AN966" s="361" t="s">
        <v>6866</v>
      </c>
      <c r="AO966" s="362" t="s">
        <v>6510</v>
      </c>
      <c r="AP966" s="23">
        <f t="shared" si="373"/>
        <v>0</v>
      </c>
      <c r="AQ966" s="392">
        <f t="shared" si="375"/>
        <v>0</v>
      </c>
      <c r="AR966" s="392">
        <f t="shared" si="376"/>
        <v>0</v>
      </c>
      <c r="AS966" s="392">
        <f t="shared" si="376"/>
        <v>0</v>
      </c>
    </row>
    <row r="967" spans="1:45">
      <c r="A967" t="str">
        <f t="shared" si="374"/>
        <v>CA_Orang_2020g~city of laguna beach member, city council (vote 1)</v>
      </c>
      <c r="B967" s="55" t="s">
        <v>3536</v>
      </c>
      <c r="D967" s="55" t="s">
        <v>3860</v>
      </c>
      <c r="E967" s="55" t="s">
        <v>3862</v>
      </c>
      <c r="G967" s="60">
        <v>5016</v>
      </c>
      <c r="H967"/>
      <c r="J967">
        <v>16667</v>
      </c>
      <c r="N967">
        <v>7051</v>
      </c>
      <c r="O967">
        <f t="shared" si="377"/>
        <v>4</v>
      </c>
      <c r="P967" s="57">
        <f t="shared" si="378"/>
        <v>1</v>
      </c>
      <c r="Q967" s="267">
        <f t="shared" si="379"/>
        <v>8556</v>
      </c>
      <c r="R967" s="23" t="str">
        <f t="shared" si="380"/>
        <v/>
      </c>
      <c r="S967" s="23">
        <f t="shared" si="381"/>
        <v>5016</v>
      </c>
      <c r="T967" s="23" t="str">
        <f t="shared" si="382"/>
        <v/>
      </c>
      <c r="U967" t="str">
        <f t="shared" si="383"/>
        <v/>
      </c>
      <c r="W967" s="290">
        <f t="shared" si="384"/>
        <v>139</v>
      </c>
      <c r="X967" s="298">
        <f t="shared" si="371"/>
        <v>5</v>
      </c>
      <c r="Y967" s="322">
        <f t="shared" si="385"/>
        <v>5</v>
      </c>
      <c r="Z967" s="299">
        <f t="shared" si="372"/>
        <v>98.019863698000833</v>
      </c>
      <c r="AA967" s="300">
        <f t="shared" si="386"/>
        <v>0.98019863698000831</v>
      </c>
      <c r="AB967" s="301">
        <f t="shared" si="387"/>
        <v>5396.56</v>
      </c>
      <c r="AC967" s="301">
        <f t="shared" si="388"/>
        <v>269828</v>
      </c>
      <c r="AD967" s="8">
        <f t="shared" si="392"/>
        <v>1349.14</v>
      </c>
      <c r="AE967" s="301" t="str">
        <f t="shared" si="389"/>
        <v/>
      </c>
      <c r="AF967" s="22" t="str">
        <f t="shared" si="390"/>
        <v>PA_Alleg_2019g</v>
      </c>
      <c r="AG967" s="302">
        <v>5</v>
      </c>
      <c r="AH967" s="301">
        <v>5</v>
      </c>
      <c r="AI967" s="303">
        <v>3</v>
      </c>
      <c r="AJ967" s="303">
        <v>2</v>
      </c>
      <c r="AK967" s="342">
        <v>1</v>
      </c>
      <c r="AL967" s="343" t="s">
        <v>2307</v>
      </c>
      <c r="AM967" s="353">
        <f t="shared" si="391"/>
        <v>3.7060646041181788E-6</v>
      </c>
      <c r="AN967" s="361" t="s">
        <v>6963</v>
      </c>
      <c r="AO967" s="362" t="s">
        <v>6510</v>
      </c>
      <c r="AP967" s="23">
        <f t="shared" si="373"/>
        <v>0</v>
      </c>
      <c r="AQ967" s="392">
        <f t="shared" si="375"/>
        <v>0</v>
      </c>
      <c r="AR967" s="392">
        <f t="shared" si="376"/>
        <v>0</v>
      </c>
      <c r="AS967" s="392">
        <f t="shared" si="376"/>
        <v>0</v>
      </c>
    </row>
    <row r="968" spans="1:45">
      <c r="A968" t="str">
        <f t="shared" si="374"/>
        <v>CA_Orang_2020g~city of laguna beach member, city council (vote 1)</v>
      </c>
      <c r="B968" s="55" t="s">
        <v>3536</v>
      </c>
      <c r="D968" s="55" t="s">
        <v>3860</v>
      </c>
      <c r="E968" s="55" t="s">
        <v>3864</v>
      </c>
      <c r="G968" s="60">
        <v>3540</v>
      </c>
      <c r="H968"/>
      <c r="J968">
        <v>16667</v>
      </c>
      <c r="N968">
        <v>7051</v>
      </c>
      <c r="O968">
        <f t="shared" si="377"/>
        <v>5</v>
      </c>
      <c r="P968" s="57">
        <f t="shared" si="378"/>
        <v>1</v>
      </c>
      <c r="Q968" s="267">
        <f t="shared" si="379"/>
        <v>3540</v>
      </c>
      <c r="R968" s="23" t="str">
        <f t="shared" si="380"/>
        <v/>
      </c>
      <c r="S968" s="23">
        <f t="shared" si="381"/>
        <v>3540</v>
      </c>
      <c r="T968" s="23" t="str">
        <f t="shared" si="382"/>
        <v/>
      </c>
      <c r="U968" t="str">
        <f t="shared" si="383"/>
        <v/>
      </c>
      <c r="W968" s="290">
        <f t="shared" si="384"/>
        <v>140</v>
      </c>
      <c r="X968" s="298">
        <f t="shared" si="371"/>
        <v>324.07283018867923</v>
      </c>
      <c r="Y968" s="322">
        <f t="shared" si="385"/>
        <v>382.30140000000006</v>
      </c>
      <c r="Z968" s="299">
        <f t="shared" si="372"/>
        <v>11.998164304729329</v>
      </c>
      <c r="AA968" s="300">
        <f t="shared" si="386"/>
        <v>0.11998164304729329</v>
      </c>
      <c r="AB968" s="301">
        <f t="shared" si="387"/>
        <v>5396.56</v>
      </c>
      <c r="AC968" s="301">
        <f t="shared" si="388"/>
        <v>269828</v>
      </c>
      <c r="AD968" s="8">
        <f t="shared" si="392"/>
        <v>1349.14</v>
      </c>
      <c r="AE968" s="301" t="str">
        <f t="shared" si="389"/>
        <v/>
      </c>
      <c r="AF968" s="22" t="str">
        <f t="shared" si="390"/>
        <v>PA_Alleg_2019g</v>
      </c>
      <c r="AG968">
        <v>5</v>
      </c>
      <c r="AH968" s="272">
        <v>5540.6</v>
      </c>
      <c r="AI968" s="273">
        <v>2760</v>
      </c>
      <c r="AJ968" s="274">
        <v>2654</v>
      </c>
      <c r="AK968" s="339">
        <v>106</v>
      </c>
      <c r="AL968" s="340" t="s">
        <v>2311</v>
      </c>
      <c r="AM968" s="358">
        <f t="shared" si="391"/>
        <v>3.9284284803652698E-4</v>
      </c>
      <c r="AN968" s="359" t="s">
        <v>6912</v>
      </c>
      <c r="AO968" s="360" t="s">
        <v>6525</v>
      </c>
      <c r="AP968" s="23">
        <f t="shared" si="373"/>
        <v>0</v>
      </c>
      <c r="AQ968" s="392">
        <f t="shared" si="375"/>
        <v>0</v>
      </c>
      <c r="AR968" s="392">
        <f t="shared" si="376"/>
        <v>0</v>
      </c>
      <c r="AS968" s="392">
        <f t="shared" si="376"/>
        <v>0</v>
      </c>
    </row>
    <row r="969" spans="1:45">
      <c r="A969" t="str">
        <f t="shared" si="374"/>
        <v>CA_Orang_2020g~city of laguna hills member, city council (vote 1)</v>
      </c>
      <c r="B969" s="55" t="s">
        <v>3536</v>
      </c>
      <c r="D969" s="55" t="s">
        <v>3871</v>
      </c>
      <c r="E969" s="55" t="s">
        <v>3873</v>
      </c>
      <c r="G969" s="60">
        <v>9484</v>
      </c>
      <c r="H969"/>
      <c r="J969">
        <v>17836</v>
      </c>
      <c r="N969">
        <v>14404</v>
      </c>
      <c r="O969">
        <f t="shared" si="377"/>
        <v>1</v>
      </c>
      <c r="P969" s="57">
        <f t="shared" si="378"/>
        <v>1</v>
      </c>
      <c r="Q969" s="267">
        <f t="shared" si="379"/>
        <v>21103</v>
      </c>
      <c r="R969" s="23">
        <f t="shared" si="380"/>
        <v>9484</v>
      </c>
      <c r="S969" s="23">
        <f t="shared" si="381"/>
        <v>8936</v>
      </c>
      <c r="T969" s="23">
        <f t="shared" si="382"/>
        <v>548</v>
      </c>
      <c r="U969" t="str">
        <f t="shared" si="383"/>
        <v>CA_Orang_2020g~city of laguna hills member, city council (vote 1)</v>
      </c>
      <c r="W969" s="1">
        <f t="shared" si="384"/>
        <v>141</v>
      </c>
      <c r="X969" s="73">
        <f t="shared" si="371"/>
        <v>15.925032232070912</v>
      </c>
      <c r="Y969" s="322">
        <f t="shared" si="385"/>
        <v>17595.414000000001</v>
      </c>
      <c r="Z969" s="43">
        <f t="shared" si="372"/>
        <v>0</v>
      </c>
      <c r="AA969" s="52">
        <f t="shared" si="386"/>
        <v>0</v>
      </c>
      <c r="AB969" s="8">
        <f t="shared" si="387"/>
        <v>5396.56</v>
      </c>
      <c r="AC969" s="8">
        <f t="shared" si="388"/>
        <v>269828</v>
      </c>
      <c r="AD969" s="8">
        <f t="shared" si="392"/>
        <v>1349.14</v>
      </c>
      <c r="AE969" s="8" t="str">
        <f t="shared" si="389"/>
        <v/>
      </c>
      <c r="AF969" s="22" t="str">
        <f t="shared" si="390"/>
        <v>PA_Alleg_2019g</v>
      </c>
      <c r="AG969">
        <v>1</v>
      </c>
      <c r="AH969" s="272">
        <v>255006</v>
      </c>
      <c r="AI969" s="273">
        <v>177143</v>
      </c>
      <c r="AJ969" s="274">
        <v>77863</v>
      </c>
      <c r="AK969" s="339">
        <v>99280</v>
      </c>
      <c r="AL969" s="340" t="s">
        <v>2214</v>
      </c>
      <c r="AM969" s="358">
        <f t="shared" si="391"/>
        <v>0.36793809389685284</v>
      </c>
      <c r="AN969" s="359" t="s">
        <v>6522</v>
      </c>
      <c r="AO969" s="360" t="s">
        <v>5310</v>
      </c>
      <c r="AP969" s="23">
        <f t="shared" si="373"/>
        <v>406</v>
      </c>
      <c r="AQ969" s="392">
        <f t="shared" si="375"/>
        <v>0.99353929510203776</v>
      </c>
      <c r="AR969" s="392">
        <f t="shared" si="376"/>
        <v>0.99999999998750277</v>
      </c>
      <c r="AS969" s="392">
        <f t="shared" si="376"/>
        <v>1</v>
      </c>
    </row>
    <row r="970" spans="1:45">
      <c r="A970" t="str">
        <f t="shared" si="374"/>
        <v>CA_Orang_2020g~city of laguna hills member, city council (vote 1)</v>
      </c>
      <c r="B970" s="55" t="s">
        <v>3536</v>
      </c>
      <c r="D970" s="55" t="s">
        <v>3871</v>
      </c>
      <c r="E970" s="55" t="s">
        <v>3872</v>
      </c>
      <c r="G970" s="60">
        <v>8936</v>
      </c>
      <c r="H970"/>
      <c r="J970">
        <v>17836</v>
      </c>
      <c r="N970">
        <v>14404</v>
      </c>
      <c r="O970">
        <f t="shared" si="377"/>
        <v>2</v>
      </c>
      <c r="P970" s="57">
        <f t="shared" si="378"/>
        <v>1</v>
      </c>
      <c r="Q970" s="267">
        <f t="shared" si="379"/>
        <v>11619</v>
      </c>
      <c r="R970" s="23" t="str">
        <f t="shared" si="380"/>
        <v/>
      </c>
      <c r="S970" s="23">
        <f t="shared" si="381"/>
        <v>8936</v>
      </c>
      <c r="T970" s="23" t="str">
        <f t="shared" si="382"/>
        <v/>
      </c>
      <c r="U970" t="str">
        <f t="shared" si="383"/>
        <v/>
      </c>
      <c r="W970" s="1">
        <f t="shared" si="384"/>
        <v>1</v>
      </c>
      <c r="X970" s="73">
        <f t="shared" si="371"/>
        <v>778.33333333333337</v>
      </c>
      <c r="Y970" s="322">
        <f t="shared" si="385"/>
        <v>778.33333333333337</v>
      </c>
      <c r="Z970" s="43">
        <f t="shared" si="372"/>
        <v>100</v>
      </c>
      <c r="AA970" s="52">
        <f t="shared" si="386"/>
        <v>1</v>
      </c>
      <c r="AB970" s="8">
        <f t="shared" si="387"/>
        <v>3145.28</v>
      </c>
      <c r="AC970" s="8">
        <f t="shared" si="388"/>
        <v>157264</v>
      </c>
      <c r="AD970" s="8">
        <f t="shared" si="392"/>
        <v>786.32</v>
      </c>
      <c r="AE970" s="8" t="str">
        <f t="shared" si="389"/>
        <v/>
      </c>
      <c r="AF970" s="22" t="str">
        <f t="shared" si="390"/>
        <v>PA_Alleg_2019p</v>
      </c>
      <c r="AG970">
        <v>3</v>
      </c>
      <c r="AH970" s="272">
        <v>778.33333333333337</v>
      </c>
      <c r="AI970" s="273">
        <v>334</v>
      </c>
      <c r="AJ970" s="274">
        <v>334</v>
      </c>
      <c r="AK970" s="339">
        <v>0</v>
      </c>
      <c r="AL970" s="340" t="s">
        <v>2467</v>
      </c>
      <c r="AO970" s="355" t="s">
        <v>6486</v>
      </c>
      <c r="AP970" s="23">
        <f t="shared" si="373"/>
        <v>0</v>
      </c>
      <c r="AQ970" s="392">
        <f t="shared" si="375"/>
        <v>0</v>
      </c>
      <c r="AR970" s="392">
        <f t="shared" si="376"/>
        <v>0</v>
      </c>
      <c r="AS970" s="392">
        <f t="shared" si="376"/>
        <v>0</v>
      </c>
    </row>
    <row r="971" spans="1:45">
      <c r="A971" t="str">
        <f t="shared" si="374"/>
        <v>CA_Orang_2020g~city of laguna hills member, city council (vote 1)</v>
      </c>
      <c r="B971" s="55" t="s">
        <v>3536</v>
      </c>
      <c r="D971" s="55" t="s">
        <v>3871</v>
      </c>
      <c r="E971" s="55" t="s">
        <v>3874</v>
      </c>
      <c r="G971" s="60">
        <v>2683</v>
      </c>
      <c r="H971"/>
      <c r="J971">
        <v>17836</v>
      </c>
      <c r="N971">
        <v>14404</v>
      </c>
      <c r="O971">
        <f t="shared" si="377"/>
        <v>3</v>
      </c>
      <c r="P971" s="57">
        <f t="shared" si="378"/>
        <v>1</v>
      </c>
      <c r="Q971" s="267">
        <f t="shared" si="379"/>
        <v>2683</v>
      </c>
      <c r="R971" s="23" t="str">
        <f t="shared" si="380"/>
        <v/>
      </c>
      <c r="S971" s="23">
        <f t="shared" si="381"/>
        <v>2683</v>
      </c>
      <c r="T971" s="23" t="str">
        <f t="shared" si="382"/>
        <v/>
      </c>
      <c r="U971" t="str">
        <f t="shared" si="383"/>
        <v/>
      </c>
      <c r="W971" s="1">
        <f t="shared" si="384"/>
        <v>2</v>
      </c>
      <c r="X971" s="73">
        <f t="shared" si="371"/>
        <v>341</v>
      </c>
      <c r="Y971" s="322">
        <f t="shared" si="385"/>
        <v>341</v>
      </c>
      <c r="Z971" s="43">
        <f t="shared" si="372"/>
        <v>98.019861097829448</v>
      </c>
      <c r="AA971" s="52">
        <f t="shared" si="386"/>
        <v>0.98019861097829453</v>
      </c>
      <c r="AB971" s="8">
        <f t="shared" si="387"/>
        <v>3145.28</v>
      </c>
      <c r="AC971" s="8">
        <f t="shared" si="388"/>
        <v>157264</v>
      </c>
      <c r="AD971" s="8">
        <f t="shared" si="392"/>
        <v>786.32</v>
      </c>
      <c r="AE971" s="8" t="str">
        <f t="shared" si="389"/>
        <v/>
      </c>
      <c r="AF971" s="22" t="str">
        <f t="shared" si="390"/>
        <v>PA_Alleg_2019p</v>
      </c>
      <c r="AG971">
        <v>1</v>
      </c>
      <c r="AH971" s="272">
        <v>341</v>
      </c>
      <c r="AI971" s="273">
        <v>160</v>
      </c>
      <c r="AJ971" s="274">
        <v>159</v>
      </c>
      <c r="AK971" s="339">
        <v>1</v>
      </c>
      <c r="AL971" s="340" t="s">
        <v>2428</v>
      </c>
      <c r="AO971" s="355" t="s">
        <v>6483</v>
      </c>
      <c r="AP971" s="23">
        <f t="shared" si="373"/>
        <v>0</v>
      </c>
      <c r="AQ971" s="392">
        <f t="shared" si="375"/>
        <v>0</v>
      </c>
      <c r="AR971" s="392">
        <f t="shared" si="376"/>
        <v>0</v>
      </c>
      <c r="AS971" s="392">
        <f t="shared" si="376"/>
        <v>0</v>
      </c>
    </row>
    <row r="972" spans="1:45">
      <c r="A972" t="str">
        <f t="shared" si="374"/>
        <v>CA_Orang_2020g~city of laguna niguel member, city council (vote 1)</v>
      </c>
      <c r="B972" s="55" t="s">
        <v>3536</v>
      </c>
      <c r="D972" s="55" t="s">
        <v>3875</v>
      </c>
      <c r="E972" s="55" t="s">
        <v>3878</v>
      </c>
      <c r="G972" s="60">
        <v>16791</v>
      </c>
      <c r="H972"/>
      <c r="J972">
        <v>40504</v>
      </c>
      <c r="N972">
        <v>39121</v>
      </c>
      <c r="O972">
        <f t="shared" si="377"/>
        <v>1</v>
      </c>
      <c r="P972" s="57">
        <f t="shared" si="378"/>
        <v>1</v>
      </c>
      <c r="Q972" s="267">
        <f t="shared" si="379"/>
        <v>82041</v>
      </c>
      <c r="R972" s="23">
        <f t="shared" si="380"/>
        <v>16791</v>
      </c>
      <c r="S972" s="23">
        <f t="shared" si="381"/>
        <v>15657</v>
      </c>
      <c r="T972" s="23">
        <f t="shared" si="382"/>
        <v>1134</v>
      </c>
      <c r="U972" t="str">
        <f t="shared" si="383"/>
        <v>CA_Orang_2020g~city of laguna niguel member, city council (vote 1)</v>
      </c>
      <c r="W972" s="1">
        <f t="shared" si="384"/>
        <v>3</v>
      </c>
      <c r="X972" s="73">
        <f t="shared" ref="X972:X1035" si="393">IF(AK972=0,AH972,MIN(AH972,6.2/(AK972/AH972)))</f>
        <v>115</v>
      </c>
      <c r="Y972" s="322">
        <f t="shared" si="385"/>
        <v>115</v>
      </c>
      <c r="Z972" s="43">
        <f t="shared" ref="Z972:Z1035" si="394">AA972*100</f>
        <v>98.019861097829448</v>
      </c>
      <c r="AA972" s="52">
        <f t="shared" si="386"/>
        <v>0.98019861097829453</v>
      </c>
      <c r="AB972" s="8">
        <f t="shared" si="387"/>
        <v>3145.28</v>
      </c>
      <c r="AC972" s="8">
        <f t="shared" si="388"/>
        <v>157264</v>
      </c>
      <c r="AD972" s="8">
        <f t="shared" si="392"/>
        <v>786.32</v>
      </c>
      <c r="AE972" s="8" t="str">
        <f t="shared" si="389"/>
        <v/>
      </c>
      <c r="AF972" s="22" t="str">
        <f t="shared" si="390"/>
        <v>PA_Alleg_2019p</v>
      </c>
      <c r="AG972">
        <v>1</v>
      </c>
      <c r="AH972" s="272">
        <v>115</v>
      </c>
      <c r="AI972" s="273">
        <v>57</v>
      </c>
      <c r="AJ972" s="274">
        <v>56</v>
      </c>
      <c r="AK972" s="339">
        <v>1</v>
      </c>
      <c r="AL972" s="344" t="s">
        <v>2434</v>
      </c>
      <c r="AO972" s="355" t="s">
        <v>6483</v>
      </c>
      <c r="AP972" s="23">
        <f t="shared" si="373"/>
        <v>0</v>
      </c>
      <c r="AQ972" s="392">
        <f t="shared" si="375"/>
        <v>0</v>
      </c>
      <c r="AR972" s="392">
        <f t="shared" si="376"/>
        <v>0</v>
      </c>
      <c r="AS972" s="392">
        <f t="shared" si="376"/>
        <v>0</v>
      </c>
    </row>
    <row r="973" spans="1:45">
      <c r="A973" t="str">
        <f t="shared" si="374"/>
        <v>CA_Orang_2020g~city of laguna niguel member, city council (vote 1)</v>
      </c>
      <c r="B973" s="55" t="s">
        <v>3536</v>
      </c>
      <c r="D973" s="55" t="s">
        <v>3875</v>
      </c>
      <c r="E973" s="55" t="s">
        <v>3876</v>
      </c>
      <c r="G973" s="60">
        <v>15657</v>
      </c>
      <c r="H973"/>
      <c r="J973">
        <v>40504</v>
      </c>
      <c r="N973">
        <v>39121</v>
      </c>
      <c r="O973">
        <f t="shared" si="377"/>
        <v>2</v>
      </c>
      <c r="P973" s="57">
        <f t="shared" si="378"/>
        <v>1</v>
      </c>
      <c r="Q973" s="267">
        <f t="shared" si="379"/>
        <v>65250</v>
      </c>
      <c r="R973" s="23" t="str">
        <f t="shared" si="380"/>
        <v/>
      </c>
      <c r="S973" s="23">
        <f t="shared" si="381"/>
        <v>15657</v>
      </c>
      <c r="T973" s="23" t="str">
        <f t="shared" si="382"/>
        <v/>
      </c>
      <c r="U973" t="str">
        <f t="shared" si="383"/>
        <v/>
      </c>
      <c r="W973" s="1">
        <f t="shared" si="384"/>
        <v>4</v>
      </c>
      <c r="X973" s="73">
        <f t="shared" si="393"/>
        <v>289.33333333333331</v>
      </c>
      <c r="Y973" s="322">
        <f t="shared" si="385"/>
        <v>289.33333333333331</v>
      </c>
      <c r="Z973" s="43">
        <f t="shared" si="394"/>
        <v>96.078919477415099</v>
      </c>
      <c r="AA973" s="52">
        <f t="shared" si="386"/>
        <v>0.96078919477415103</v>
      </c>
      <c r="AB973" s="8">
        <f t="shared" si="387"/>
        <v>3145.28</v>
      </c>
      <c r="AC973" s="8">
        <f t="shared" si="388"/>
        <v>157264</v>
      </c>
      <c r="AD973" s="8">
        <f t="shared" si="392"/>
        <v>786.32</v>
      </c>
      <c r="AE973" s="8" t="str">
        <f t="shared" si="389"/>
        <v/>
      </c>
      <c r="AF973" s="22" t="str">
        <f t="shared" si="390"/>
        <v>PA_Alleg_2019p</v>
      </c>
      <c r="AG973">
        <v>3</v>
      </c>
      <c r="AH973" s="8">
        <v>289.33333333333331</v>
      </c>
      <c r="AI973" s="273">
        <v>144</v>
      </c>
      <c r="AJ973" s="274">
        <v>142</v>
      </c>
      <c r="AK973" s="339">
        <v>2</v>
      </c>
      <c r="AL973" s="23" t="s">
        <v>2371</v>
      </c>
      <c r="AM973" s="353">
        <f>AK973/AC973</f>
        <v>1.2717468715026961E-5</v>
      </c>
      <c r="AO973" s="355" t="s">
        <v>6483</v>
      </c>
      <c r="AP973" s="23">
        <f t="shared" ref="AP973:AP1036" si="395">MIN(AD973, MAX(0,ROUNDUP(AD973*(0.5*AK973/AC973-0.005)/(RIGHT(AP$1,3)-0.005),0)))</f>
        <v>0</v>
      </c>
      <c r="AQ973" s="392">
        <f t="shared" si="375"/>
        <v>0</v>
      </c>
      <c r="AR973" s="392">
        <f t="shared" si="376"/>
        <v>0</v>
      </c>
      <c r="AS973" s="392">
        <f t="shared" si="376"/>
        <v>0</v>
      </c>
    </row>
    <row r="974" spans="1:45">
      <c r="A974" t="str">
        <f t="shared" si="374"/>
        <v>CA_Orang_2020g~city of laguna niguel member, city council (vote 1)</v>
      </c>
      <c r="B974" s="55" t="s">
        <v>3536</v>
      </c>
      <c r="D974" s="55" t="s">
        <v>3875</v>
      </c>
      <c r="E974" s="55" t="s">
        <v>3877</v>
      </c>
      <c r="G974" s="60">
        <v>15313</v>
      </c>
      <c r="H974"/>
      <c r="J974">
        <v>40504</v>
      </c>
      <c r="N974">
        <v>39121</v>
      </c>
      <c r="O974">
        <f t="shared" si="377"/>
        <v>3</v>
      </c>
      <c r="P974" s="57">
        <f t="shared" si="378"/>
        <v>1</v>
      </c>
      <c r="Q974" s="267">
        <f t="shared" si="379"/>
        <v>49593</v>
      </c>
      <c r="R974" s="23" t="str">
        <f t="shared" si="380"/>
        <v/>
      </c>
      <c r="S974" s="23">
        <f t="shared" si="381"/>
        <v>15313</v>
      </c>
      <c r="T974" s="23" t="str">
        <f t="shared" si="382"/>
        <v/>
      </c>
      <c r="U974" t="str">
        <f t="shared" si="383"/>
        <v/>
      </c>
      <c r="W974" s="1">
        <f t="shared" si="384"/>
        <v>5</v>
      </c>
      <c r="X974" s="73">
        <f t="shared" si="393"/>
        <v>171</v>
      </c>
      <c r="Y974" s="322">
        <f t="shared" si="385"/>
        <v>171</v>
      </c>
      <c r="Z974" s="43">
        <f t="shared" si="394"/>
        <v>96.078919477415099</v>
      </c>
      <c r="AA974" s="52">
        <f t="shared" si="386"/>
        <v>0.96078919477415103</v>
      </c>
      <c r="AB974" s="8">
        <f t="shared" si="387"/>
        <v>3145.28</v>
      </c>
      <c r="AC974" s="8">
        <f t="shared" si="388"/>
        <v>157264</v>
      </c>
      <c r="AD974" s="8">
        <f t="shared" si="392"/>
        <v>786.32</v>
      </c>
      <c r="AE974" s="8" t="str">
        <f t="shared" si="389"/>
        <v/>
      </c>
      <c r="AF974" s="22" t="str">
        <f t="shared" si="390"/>
        <v>PA_Alleg_2019p</v>
      </c>
      <c r="AG974">
        <v>1</v>
      </c>
      <c r="AH974" s="272">
        <v>171</v>
      </c>
      <c r="AI974" s="273">
        <v>86</v>
      </c>
      <c r="AJ974" s="274">
        <v>84</v>
      </c>
      <c r="AK974" s="339">
        <v>2</v>
      </c>
      <c r="AL974" s="340" t="s">
        <v>2333</v>
      </c>
      <c r="AO974" s="355" t="s">
        <v>6483</v>
      </c>
      <c r="AP974" s="23">
        <f t="shared" si="395"/>
        <v>0</v>
      </c>
      <c r="AQ974" s="392">
        <f t="shared" si="375"/>
        <v>0</v>
      </c>
      <c r="AR974" s="392">
        <f t="shared" si="376"/>
        <v>0</v>
      </c>
      <c r="AS974" s="392">
        <f t="shared" si="376"/>
        <v>0</v>
      </c>
    </row>
    <row r="975" spans="1:45">
      <c r="A975" t="str">
        <f t="shared" si="374"/>
        <v>CA_Orang_2020g~city of laguna niguel member, city council (vote 1)</v>
      </c>
      <c r="B975" s="55" t="s">
        <v>3536</v>
      </c>
      <c r="D975" s="55" t="s">
        <v>3875</v>
      </c>
      <c r="E975" s="55" t="s">
        <v>3881</v>
      </c>
      <c r="G975" s="60">
        <v>11360</v>
      </c>
      <c r="H975"/>
      <c r="J975">
        <v>40504</v>
      </c>
      <c r="N975">
        <v>39121</v>
      </c>
      <c r="O975">
        <f t="shared" si="377"/>
        <v>4</v>
      </c>
      <c r="P975" s="57">
        <f t="shared" si="378"/>
        <v>1</v>
      </c>
      <c r="Q975" s="267">
        <f t="shared" si="379"/>
        <v>34280</v>
      </c>
      <c r="R975" s="23" t="str">
        <f t="shared" si="380"/>
        <v/>
      </c>
      <c r="S975" s="23">
        <f t="shared" si="381"/>
        <v>11360</v>
      </c>
      <c r="T975" s="23" t="str">
        <f t="shared" si="382"/>
        <v/>
      </c>
      <c r="U975" t="str">
        <f t="shared" si="383"/>
        <v/>
      </c>
      <c r="W975" s="1">
        <f t="shared" si="384"/>
        <v>6</v>
      </c>
      <c r="X975" s="73">
        <f t="shared" si="393"/>
        <v>102.75</v>
      </c>
      <c r="Y975" s="322">
        <f t="shared" si="385"/>
        <v>102.75</v>
      </c>
      <c r="Z975" s="43">
        <f t="shared" si="394"/>
        <v>96.078919477415099</v>
      </c>
      <c r="AA975" s="52">
        <f t="shared" si="386"/>
        <v>0.96078919477415103</v>
      </c>
      <c r="AB975" s="8">
        <f t="shared" si="387"/>
        <v>3145.28</v>
      </c>
      <c r="AC975" s="8">
        <f t="shared" si="388"/>
        <v>157264</v>
      </c>
      <c r="AD975" s="8">
        <f t="shared" si="392"/>
        <v>786.32</v>
      </c>
      <c r="AE975" s="8" t="str">
        <f t="shared" si="389"/>
        <v/>
      </c>
      <c r="AF975" s="22" t="str">
        <f t="shared" si="390"/>
        <v>PA_Alleg_2019p</v>
      </c>
      <c r="AG975">
        <v>4</v>
      </c>
      <c r="AH975" s="8">
        <v>102.75</v>
      </c>
      <c r="AI975" s="273">
        <v>53</v>
      </c>
      <c r="AJ975" s="274">
        <v>51</v>
      </c>
      <c r="AK975" s="339">
        <v>2</v>
      </c>
      <c r="AL975" s="23" t="s">
        <v>2389</v>
      </c>
      <c r="AO975" s="355" t="s">
        <v>6483</v>
      </c>
      <c r="AP975" s="23">
        <f t="shared" si="395"/>
        <v>0</v>
      </c>
      <c r="AQ975" s="392">
        <f t="shared" si="375"/>
        <v>0</v>
      </c>
      <c r="AR975" s="392">
        <f t="shared" si="376"/>
        <v>0</v>
      </c>
      <c r="AS975" s="392">
        <f t="shared" si="376"/>
        <v>0</v>
      </c>
    </row>
    <row r="976" spans="1:45">
      <c r="A976" t="str">
        <f t="shared" si="374"/>
        <v>CA_Orang_2020g~city of laguna niguel member, city council (vote 1)</v>
      </c>
      <c r="B976" s="55" t="s">
        <v>3536</v>
      </c>
      <c r="D976" s="55" t="s">
        <v>3875</v>
      </c>
      <c r="E976" s="55" t="s">
        <v>3882</v>
      </c>
      <c r="G976" s="60">
        <v>10978</v>
      </c>
      <c r="H976"/>
      <c r="J976">
        <v>40504</v>
      </c>
      <c r="N976">
        <v>39121</v>
      </c>
      <c r="O976">
        <f t="shared" si="377"/>
        <v>5</v>
      </c>
      <c r="P976" s="57">
        <f t="shared" si="378"/>
        <v>1</v>
      </c>
      <c r="Q976" s="267">
        <f t="shared" si="379"/>
        <v>22920</v>
      </c>
      <c r="R976" s="23" t="str">
        <f t="shared" si="380"/>
        <v/>
      </c>
      <c r="S976" s="23">
        <f t="shared" si="381"/>
        <v>10978</v>
      </c>
      <c r="T976" s="23" t="str">
        <f t="shared" si="382"/>
        <v/>
      </c>
      <c r="U976" t="str">
        <f t="shared" si="383"/>
        <v/>
      </c>
      <c r="W976" s="1">
        <f t="shared" si="384"/>
        <v>7</v>
      </c>
      <c r="X976" s="73">
        <f t="shared" si="393"/>
        <v>84</v>
      </c>
      <c r="Y976" s="322">
        <f t="shared" si="385"/>
        <v>84</v>
      </c>
      <c r="Z976" s="43">
        <f t="shared" si="394"/>
        <v>96.078919477415099</v>
      </c>
      <c r="AA976" s="52">
        <f t="shared" si="386"/>
        <v>0.96078919477415103</v>
      </c>
      <c r="AB976" s="8">
        <f t="shared" si="387"/>
        <v>3145.28</v>
      </c>
      <c r="AC976" s="8">
        <f t="shared" si="388"/>
        <v>157264</v>
      </c>
      <c r="AD976" s="8">
        <f t="shared" si="392"/>
        <v>786.32</v>
      </c>
      <c r="AE976" s="8" t="str">
        <f t="shared" si="389"/>
        <v/>
      </c>
      <c r="AF976" s="22" t="str">
        <f t="shared" si="390"/>
        <v>PA_Alleg_2019p</v>
      </c>
      <c r="AG976">
        <v>1</v>
      </c>
      <c r="AH976" s="272">
        <v>84</v>
      </c>
      <c r="AI976" s="273">
        <v>43</v>
      </c>
      <c r="AJ976" s="274">
        <v>41</v>
      </c>
      <c r="AK976" s="339">
        <v>2</v>
      </c>
      <c r="AL976" s="340" t="s">
        <v>2330</v>
      </c>
      <c r="AO976" s="355" t="s">
        <v>6483</v>
      </c>
      <c r="AP976" s="23">
        <f t="shared" si="395"/>
        <v>0</v>
      </c>
      <c r="AQ976" s="392">
        <f t="shared" si="375"/>
        <v>0</v>
      </c>
      <c r="AR976" s="392">
        <f t="shared" si="376"/>
        <v>0</v>
      </c>
      <c r="AS976" s="392">
        <f t="shared" si="376"/>
        <v>0</v>
      </c>
    </row>
    <row r="977" spans="1:45">
      <c r="A977" t="str">
        <f t="shared" si="374"/>
        <v>CA_Orang_2020g~city of laguna niguel member, city council (vote 1)</v>
      </c>
      <c r="B977" s="55" t="s">
        <v>3536</v>
      </c>
      <c r="D977" s="55" t="s">
        <v>3875</v>
      </c>
      <c r="E977" s="55" t="s">
        <v>3879</v>
      </c>
      <c r="G977" s="60">
        <v>5297</v>
      </c>
      <c r="H977"/>
      <c r="J977">
        <v>40504</v>
      </c>
      <c r="N977">
        <v>39121</v>
      </c>
      <c r="O977">
        <f t="shared" si="377"/>
        <v>6</v>
      </c>
      <c r="P977" s="57">
        <f t="shared" si="378"/>
        <v>1</v>
      </c>
      <c r="Q977" s="267">
        <f t="shared" si="379"/>
        <v>11942</v>
      </c>
      <c r="R977" s="23" t="str">
        <f t="shared" si="380"/>
        <v/>
      </c>
      <c r="S977" s="23">
        <f t="shared" si="381"/>
        <v>5297</v>
      </c>
      <c r="T977" s="23" t="str">
        <f t="shared" si="382"/>
        <v/>
      </c>
      <c r="U977" t="str">
        <f t="shared" si="383"/>
        <v/>
      </c>
      <c r="W977" s="1">
        <f t="shared" si="384"/>
        <v>8</v>
      </c>
      <c r="X977" s="73">
        <f t="shared" si="393"/>
        <v>227</v>
      </c>
      <c r="Y977" s="322">
        <f t="shared" si="385"/>
        <v>227</v>
      </c>
      <c r="Z977" s="43">
        <f t="shared" si="394"/>
        <v>94.176399461889417</v>
      </c>
      <c r="AA977" s="52">
        <f t="shared" si="386"/>
        <v>0.94176399461889415</v>
      </c>
      <c r="AB977" s="8">
        <f t="shared" si="387"/>
        <v>3145.28</v>
      </c>
      <c r="AC977" s="8">
        <f t="shared" si="388"/>
        <v>157264</v>
      </c>
      <c r="AD977" s="8">
        <f t="shared" si="392"/>
        <v>786.32</v>
      </c>
      <c r="AE977" s="8" t="str">
        <f t="shared" si="389"/>
        <v/>
      </c>
      <c r="AF977" s="22" t="str">
        <f t="shared" si="390"/>
        <v>PA_Alleg_2019p</v>
      </c>
      <c r="AG977">
        <v>1</v>
      </c>
      <c r="AH977" s="272">
        <v>227</v>
      </c>
      <c r="AI977" s="273">
        <v>115</v>
      </c>
      <c r="AJ977" s="274">
        <v>112</v>
      </c>
      <c r="AK977" s="339">
        <v>3</v>
      </c>
      <c r="AL977" s="340" t="s">
        <v>2436</v>
      </c>
      <c r="AM977" s="353">
        <f t="shared" ref="AM977:AM1008" si="396">AK977/AC977</f>
        <v>1.9076203072540441E-5</v>
      </c>
      <c r="AO977" s="355" t="s">
        <v>6483</v>
      </c>
      <c r="AP977" s="23">
        <f t="shared" si="395"/>
        <v>0</v>
      </c>
      <c r="AQ977" s="392">
        <f t="shared" si="375"/>
        <v>0</v>
      </c>
      <c r="AR977" s="392">
        <f t="shared" si="376"/>
        <v>0</v>
      </c>
      <c r="AS977" s="392">
        <f t="shared" si="376"/>
        <v>0</v>
      </c>
    </row>
    <row r="978" spans="1:45">
      <c r="A978" t="str">
        <f t="shared" si="374"/>
        <v>CA_Orang_2020g~city of laguna niguel member, city council (vote 1)</v>
      </c>
      <c r="B978" s="55" t="s">
        <v>3536</v>
      </c>
      <c r="D978" s="55" t="s">
        <v>3875</v>
      </c>
      <c r="E978" s="55" t="s">
        <v>3883</v>
      </c>
      <c r="G978" s="60">
        <v>3780</v>
      </c>
      <c r="H978"/>
      <c r="J978">
        <v>40504</v>
      </c>
      <c r="N978">
        <v>39121</v>
      </c>
      <c r="O978">
        <f t="shared" si="377"/>
        <v>7</v>
      </c>
      <c r="P978" s="57">
        <f t="shared" si="378"/>
        <v>1</v>
      </c>
      <c r="Q978" s="267">
        <f t="shared" si="379"/>
        <v>6645</v>
      </c>
      <c r="R978" s="23" t="str">
        <f t="shared" si="380"/>
        <v/>
      </c>
      <c r="S978" s="23">
        <f t="shared" si="381"/>
        <v>3780</v>
      </c>
      <c r="T978" s="23" t="str">
        <f t="shared" si="382"/>
        <v/>
      </c>
      <c r="U978" t="str">
        <f t="shared" si="383"/>
        <v/>
      </c>
      <c r="W978" s="1">
        <f t="shared" si="384"/>
        <v>9</v>
      </c>
      <c r="X978" s="73">
        <f t="shared" si="393"/>
        <v>112</v>
      </c>
      <c r="Y978" s="322">
        <f t="shared" si="385"/>
        <v>112</v>
      </c>
      <c r="Z978" s="43">
        <f t="shared" si="394"/>
        <v>94.176399461889417</v>
      </c>
      <c r="AA978" s="52">
        <f t="shared" si="386"/>
        <v>0.94176399461889415</v>
      </c>
      <c r="AB978" s="8">
        <f t="shared" si="387"/>
        <v>3145.28</v>
      </c>
      <c r="AC978" s="8">
        <f t="shared" si="388"/>
        <v>157264</v>
      </c>
      <c r="AD978" s="8">
        <f t="shared" si="392"/>
        <v>786.32</v>
      </c>
      <c r="AE978" s="8" t="str">
        <f t="shared" si="389"/>
        <v/>
      </c>
      <c r="AF978" s="22" t="str">
        <f t="shared" si="390"/>
        <v>PA_Alleg_2019p</v>
      </c>
      <c r="AG978">
        <v>1</v>
      </c>
      <c r="AH978" s="272">
        <v>112</v>
      </c>
      <c r="AI978" s="273">
        <v>39</v>
      </c>
      <c r="AJ978" s="274">
        <v>36</v>
      </c>
      <c r="AK978" s="339">
        <v>3</v>
      </c>
      <c r="AL978" s="340" t="s">
        <v>2435</v>
      </c>
      <c r="AM978" s="353">
        <f t="shared" si="396"/>
        <v>1.9076203072540441E-5</v>
      </c>
      <c r="AO978" s="355" t="s">
        <v>6483</v>
      </c>
      <c r="AP978" s="23">
        <f t="shared" si="395"/>
        <v>0</v>
      </c>
      <c r="AQ978" s="392">
        <f t="shared" si="375"/>
        <v>0</v>
      </c>
      <c r="AR978" s="392">
        <f t="shared" si="376"/>
        <v>0</v>
      </c>
      <c r="AS978" s="392">
        <f t="shared" si="376"/>
        <v>0</v>
      </c>
    </row>
    <row r="979" spans="1:45">
      <c r="A979" t="str">
        <f t="shared" si="374"/>
        <v>CA_Orang_2020g~city of laguna niguel member, city council (vote 1)</v>
      </c>
      <c r="B979" s="55" t="s">
        <v>3536</v>
      </c>
      <c r="D979" s="55" t="s">
        <v>3875</v>
      </c>
      <c r="E979" s="55" t="s">
        <v>3880</v>
      </c>
      <c r="G979" s="60">
        <v>2865</v>
      </c>
      <c r="H979"/>
      <c r="J979">
        <v>40504</v>
      </c>
      <c r="N979">
        <v>39121</v>
      </c>
      <c r="O979">
        <f t="shared" si="377"/>
        <v>8</v>
      </c>
      <c r="P979" s="57">
        <f t="shared" si="378"/>
        <v>1</v>
      </c>
      <c r="Q979" s="267">
        <f t="shared" si="379"/>
        <v>2865</v>
      </c>
      <c r="R979" s="23" t="str">
        <f t="shared" si="380"/>
        <v/>
      </c>
      <c r="S979" s="23">
        <f t="shared" si="381"/>
        <v>2865</v>
      </c>
      <c r="T979" s="23" t="str">
        <f t="shared" si="382"/>
        <v/>
      </c>
      <c r="U979" t="str">
        <f t="shared" si="383"/>
        <v/>
      </c>
      <c r="W979" s="1">
        <f t="shared" si="384"/>
        <v>10</v>
      </c>
      <c r="X979" s="73">
        <f t="shared" si="393"/>
        <v>52</v>
      </c>
      <c r="Y979" s="322">
        <f t="shared" si="385"/>
        <v>52</v>
      </c>
      <c r="Z979" s="43">
        <f t="shared" si="394"/>
        <v>94.176399461889417</v>
      </c>
      <c r="AA979" s="52">
        <f t="shared" si="386"/>
        <v>0.94176399461889415</v>
      </c>
      <c r="AB979" s="8">
        <f t="shared" si="387"/>
        <v>3145.28</v>
      </c>
      <c r="AC979" s="8">
        <f t="shared" si="388"/>
        <v>157264</v>
      </c>
      <c r="AD979" s="8">
        <f t="shared" si="392"/>
        <v>786.32</v>
      </c>
      <c r="AE979" s="8" t="str">
        <f t="shared" si="389"/>
        <v/>
      </c>
      <c r="AF979" s="22" t="str">
        <f t="shared" si="390"/>
        <v>PA_Alleg_2019p</v>
      </c>
      <c r="AG979">
        <v>1</v>
      </c>
      <c r="AH979" s="272">
        <v>52</v>
      </c>
      <c r="AI979" s="273">
        <v>11</v>
      </c>
      <c r="AJ979" s="274">
        <v>8</v>
      </c>
      <c r="AK979" s="339">
        <v>3</v>
      </c>
      <c r="AL979" s="340" t="s">
        <v>2443</v>
      </c>
      <c r="AM979" s="353">
        <f t="shared" si="396"/>
        <v>1.9076203072540441E-5</v>
      </c>
      <c r="AO979" s="355" t="s">
        <v>6483</v>
      </c>
      <c r="AP979" s="23">
        <f t="shared" si="395"/>
        <v>0</v>
      </c>
      <c r="AQ979" s="392">
        <f t="shared" si="375"/>
        <v>0</v>
      </c>
      <c r="AR979" s="392">
        <f t="shared" si="376"/>
        <v>0</v>
      </c>
      <c r="AS979" s="392">
        <f t="shared" si="376"/>
        <v>0</v>
      </c>
    </row>
    <row r="980" spans="1:45">
      <c r="A980" t="str">
        <f t="shared" si="374"/>
        <v>CA_Orang_2020g~city of laguna woods member, city council (vote 1)</v>
      </c>
      <c r="B980" s="55" t="s">
        <v>3536</v>
      </c>
      <c r="D980" s="55" t="s">
        <v>3884</v>
      </c>
      <c r="E980" s="55" t="s">
        <v>3885</v>
      </c>
      <c r="G980" s="60">
        <v>6343</v>
      </c>
      <c r="H980"/>
      <c r="J980">
        <v>13862</v>
      </c>
      <c r="N980">
        <v>15445</v>
      </c>
      <c r="O980">
        <f t="shared" si="377"/>
        <v>1</v>
      </c>
      <c r="P980" s="57">
        <f t="shared" si="378"/>
        <v>1</v>
      </c>
      <c r="Q980" s="267">
        <f t="shared" si="379"/>
        <v>25995</v>
      </c>
      <c r="R980" s="23">
        <f t="shared" si="380"/>
        <v>6343</v>
      </c>
      <c r="S980" s="23">
        <f t="shared" si="381"/>
        <v>5916</v>
      </c>
      <c r="T980" s="23">
        <f t="shared" si="382"/>
        <v>427</v>
      </c>
      <c r="U980" t="str">
        <f t="shared" si="383"/>
        <v>CA_Orang_2020g~city of laguna woods member, city council (vote 1)</v>
      </c>
      <c r="W980" s="1">
        <f t="shared" si="384"/>
        <v>11</v>
      </c>
      <c r="X980" s="73">
        <f t="shared" si="393"/>
        <v>680</v>
      </c>
      <c r="Y980" s="322">
        <f t="shared" si="385"/>
        <v>680</v>
      </c>
      <c r="Z980" s="43">
        <f t="shared" si="394"/>
        <v>92.311540719504535</v>
      </c>
      <c r="AA980" s="52">
        <f t="shared" si="386"/>
        <v>0.92311540719504537</v>
      </c>
      <c r="AB980" s="8">
        <f t="shared" si="387"/>
        <v>3145.28</v>
      </c>
      <c r="AC980" s="8">
        <f t="shared" si="388"/>
        <v>157264</v>
      </c>
      <c r="AD980" s="8">
        <f t="shared" si="392"/>
        <v>786.32</v>
      </c>
      <c r="AE980" s="8" t="str">
        <f t="shared" si="389"/>
        <v/>
      </c>
      <c r="AF980" s="22" t="str">
        <f t="shared" si="390"/>
        <v>PA_Alleg_2019p</v>
      </c>
      <c r="AG980">
        <v>5</v>
      </c>
      <c r="AH980" s="272">
        <v>680</v>
      </c>
      <c r="AI980" s="273">
        <v>510</v>
      </c>
      <c r="AJ980" s="274">
        <v>506</v>
      </c>
      <c r="AK980" s="339">
        <v>4</v>
      </c>
      <c r="AL980" s="340" t="s">
        <v>2413</v>
      </c>
      <c r="AM980" s="353">
        <f t="shared" si="396"/>
        <v>2.5434937430053922E-5</v>
      </c>
      <c r="AO980" s="355" t="s">
        <v>6483</v>
      </c>
      <c r="AP980" s="23">
        <f t="shared" si="395"/>
        <v>0</v>
      </c>
      <c r="AQ980" s="392">
        <f t="shared" si="375"/>
        <v>0</v>
      </c>
      <c r="AR980" s="392">
        <f t="shared" si="376"/>
        <v>0</v>
      </c>
      <c r="AS980" s="392">
        <f t="shared" si="376"/>
        <v>0</v>
      </c>
    </row>
    <row r="981" spans="1:45">
      <c r="A981" t="str">
        <f t="shared" si="374"/>
        <v>CA_Orang_2020g~city of laguna woods member, city council (vote 1)</v>
      </c>
      <c r="B981" s="55" t="s">
        <v>3536</v>
      </c>
      <c r="D981" s="55" t="s">
        <v>3884</v>
      </c>
      <c r="E981" s="55" t="s">
        <v>3886</v>
      </c>
      <c r="G981" s="60">
        <v>5916</v>
      </c>
      <c r="H981"/>
      <c r="J981">
        <v>13862</v>
      </c>
      <c r="N981">
        <v>15445</v>
      </c>
      <c r="O981">
        <f t="shared" si="377"/>
        <v>2</v>
      </c>
      <c r="P981" s="57">
        <f t="shared" si="378"/>
        <v>1</v>
      </c>
      <c r="Q981" s="267">
        <f t="shared" si="379"/>
        <v>19652</v>
      </c>
      <c r="R981" s="23" t="str">
        <f t="shared" si="380"/>
        <v/>
      </c>
      <c r="S981" s="23">
        <f t="shared" si="381"/>
        <v>5916</v>
      </c>
      <c r="T981" s="23" t="str">
        <f t="shared" si="382"/>
        <v/>
      </c>
      <c r="U981" t="str">
        <f t="shared" si="383"/>
        <v/>
      </c>
      <c r="W981" s="1">
        <f t="shared" si="384"/>
        <v>12</v>
      </c>
      <c r="X981" s="73">
        <f t="shared" si="393"/>
        <v>589</v>
      </c>
      <c r="Y981" s="322">
        <f t="shared" si="385"/>
        <v>589</v>
      </c>
      <c r="Z981" s="43">
        <f t="shared" si="394"/>
        <v>92.311540719504535</v>
      </c>
      <c r="AA981" s="52">
        <f t="shared" si="386"/>
        <v>0.92311540719504537</v>
      </c>
      <c r="AB981" s="8">
        <f t="shared" si="387"/>
        <v>3145.28</v>
      </c>
      <c r="AC981" s="8">
        <f t="shared" si="388"/>
        <v>157264</v>
      </c>
      <c r="AD981" s="8">
        <f t="shared" si="392"/>
        <v>786.32</v>
      </c>
      <c r="AE981" s="8" t="str">
        <f t="shared" si="389"/>
        <v/>
      </c>
      <c r="AF981" s="22" t="str">
        <f t="shared" si="390"/>
        <v>PA_Alleg_2019p</v>
      </c>
      <c r="AG981">
        <v>1</v>
      </c>
      <c r="AH981" s="272">
        <v>589</v>
      </c>
      <c r="AI981" s="273">
        <v>294</v>
      </c>
      <c r="AJ981" s="274">
        <v>290</v>
      </c>
      <c r="AK981" s="339">
        <v>4</v>
      </c>
      <c r="AL981" s="340" t="s">
        <v>2365</v>
      </c>
      <c r="AM981" s="353">
        <f t="shared" si="396"/>
        <v>2.5434937430053922E-5</v>
      </c>
      <c r="AO981" s="355" t="s">
        <v>6483</v>
      </c>
      <c r="AP981" s="23">
        <f t="shared" si="395"/>
        <v>0</v>
      </c>
      <c r="AQ981" s="392">
        <f t="shared" si="375"/>
        <v>0</v>
      </c>
      <c r="AR981" s="392">
        <f t="shared" si="376"/>
        <v>0</v>
      </c>
      <c r="AS981" s="392">
        <f t="shared" si="376"/>
        <v>0</v>
      </c>
    </row>
    <row r="982" spans="1:45">
      <c r="A982" t="str">
        <f t="shared" si="374"/>
        <v>CA_Orang_2020g~city of laguna woods member, city council (vote 1)</v>
      </c>
      <c r="B982" s="55" t="s">
        <v>3536</v>
      </c>
      <c r="D982" s="55" t="s">
        <v>3884</v>
      </c>
      <c r="E982" s="55" t="s">
        <v>3887</v>
      </c>
      <c r="G982" s="60">
        <v>5792</v>
      </c>
      <c r="H982"/>
      <c r="J982">
        <v>13862</v>
      </c>
      <c r="N982">
        <v>15445</v>
      </c>
      <c r="O982">
        <f t="shared" si="377"/>
        <v>3</v>
      </c>
      <c r="P982" s="57">
        <f t="shared" si="378"/>
        <v>1</v>
      </c>
      <c r="Q982" s="267">
        <f t="shared" si="379"/>
        <v>13736</v>
      </c>
      <c r="R982" s="23" t="str">
        <f t="shared" si="380"/>
        <v/>
      </c>
      <c r="S982" s="23">
        <f t="shared" si="381"/>
        <v>5792</v>
      </c>
      <c r="T982" s="23" t="str">
        <f t="shared" si="382"/>
        <v/>
      </c>
      <c r="U982" t="str">
        <f t="shared" si="383"/>
        <v/>
      </c>
      <c r="W982" s="1">
        <f t="shared" si="384"/>
        <v>13</v>
      </c>
      <c r="X982" s="73">
        <f t="shared" si="393"/>
        <v>461</v>
      </c>
      <c r="Y982" s="322">
        <f t="shared" si="385"/>
        <v>461</v>
      </c>
      <c r="Z982" s="43">
        <f t="shared" si="394"/>
        <v>92.311540719504535</v>
      </c>
      <c r="AA982" s="52">
        <f t="shared" si="386"/>
        <v>0.92311540719504537</v>
      </c>
      <c r="AB982" s="8">
        <f t="shared" si="387"/>
        <v>3145.28</v>
      </c>
      <c r="AC982" s="8">
        <f t="shared" si="388"/>
        <v>157264</v>
      </c>
      <c r="AD982" s="8">
        <f t="shared" si="392"/>
        <v>786.32</v>
      </c>
      <c r="AE982" s="8" t="str">
        <f t="shared" si="389"/>
        <v/>
      </c>
      <c r="AF982" s="22" t="str">
        <f t="shared" si="390"/>
        <v>PA_Alleg_2019p</v>
      </c>
      <c r="AG982">
        <v>3</v>
      </c>
      <c r="AH982" s="272">
        <v>461</v>
      </c>
      <c r="AI982" s="273">
        <v>272</v>
      </c>
      <c r="AJ982" s="274">
        <v>268</v>
      </c>
      <c r="AK982" s="339">
        <v>4</v>
      </c>
      <c r="AL982" s="340" t="s">
        <v>2439</v>
      </c>
      <c r="AM982" s="353">
        <f t="shared" si="396"/>
        <v>2.5434937430053922E-5</v>
      </c>
      <c r="AO982" s="355" t="s">
        <v>6483</v>
      </c>
      <c r="AP982" s="23">
        <f t="shared" si="395"/>
        <v>0</v>
      </c>
      <c r="AQ982" s="392">
        <f t="shared" si="375"/>
        <v>0</v>
      </c>
      <c r="AR982" s="392">
        <f t="shared" si="376"/>
        <v>0</v>
      </c>
      <c r="AS982" s="392">
        <f t="shared" si="376"/>
        <v>0</v>
      </c>
    </row>
    <row r="983" spans="1:45">
      <c r="A983" t="str">
        <f t="shared" si="374"/>
        <v>CA_Orang_2020g~city of laguna woods member, city council (vote 1)</v>
      </c>
      <c r="B983" s="55" t="s">
        <v>3536</v>
      </c>
      <c r="D983" s="55" t="s">
        <v>3884</v>
      </c>
      <c r="E983" s="55" t="s">
        <v>3888</v>
      </c>
      <c r="G983" s="60">
        <v>3984</v>
      </c>
      <c r="H983"/>
      <c r="J983">
        <v>13862</v>
      </c>
      <c r="N983">
        <v>15445</v>
      </c>
      <c r="O983">
        <f t="shared" si="377"/>
        <v>4</v>
      </c>
      <c r="P983" s="57">
        <f t="shared" si="378"/>
        <v>1</v>
      </c>
      <c r="Q983" s="267">
        <f t="shared" si="379"/>
        <v>7944</v>
      </c>
      <c r="R983" s="23" t="str">
        <f t="shared" si="380"/>
        <v/>
      </c>
      <c r="S983" s="23">
        <f t="shared" si="381"/>
        <v>3984</v>
      </c>
      <c r="T983" s="23" t="str">
        <f t="shared" si="382"/>
        <v/>
      </c>
      <c r="U983" t="str">
        <f t="shared" si="383"/>
        <v/>
      </c>
      <c r="W983" s="1">
        <f t="shared" si="384"/>
        <v>14</v>
      </c>
      <c r="X983" s="73">
        <f t="shared" si="393"/>
        <v>419</v>
      </c>
      <c r="Y983" s="322">
        <f t="shared" si="385"/>
        <v>419</v>
      </c>
      <c r="Z983" s="43">
        <f t="shared" si="394"/>
        <v>92.311540719504535</v>
      </c>
      <c r="AA983" s="52">
        <f t="shared" si="386"/>
        <v>0.92311540719504537</v>
      </c>
      <c r="AB983" s="8">
        <f t="shared" si="387"/>
        <v>3145.28</v>
      </c>
      <c r="AC983" s="8">
        <f t="shared" si="388"/>
        <v>157264</v>
      </c>
      <c r="AD983" s="8">
        <f t="shared" si="392"/>
        <v>786.32</v>
      </c>
      <c r="AE983" s="8" t="str">
        <f t="shared" si="389"/>
        <v/>
      </c>
      <c r="AF983" s="22" t="str">
        <f t="shared" si="390"/>
        <v>PA_Alleg_2019p</v>
      </c>
      <c r="AG983">
        <v>1</v>
      </c>
      <c r="AH983" s="272">
        <v>419</v>
      </c>
      <c r="AI983" s="273">
        <v>210</v>
      </c>
      <c r="AJ983" s="274">
        <v>206</v>
      </c>
      <c r="AK983" s="339">
        <v>4</v>
      </c>
      <c r="AL983" s="340" t="s">
        <v>2437</v>
      </c>
      <c r="AM983" s="353">
        <f t="shared" si="396"/>
        <v>2.5434937430053922E-5</v>
      </c>
      <c r="AO983" s="355" t="s">
        <v>6483</v>
      </c>
      <c r="AP983" s="23">
        <f t="shared" si="395"/>
        <v>0</v>
      </c>
      <c r="AQ983" s="392">
        <f t="shared" si="375"/>
        <v>0</v>
      </c>
      <c r="AR983" s="392">
        <f t="shared" si="376"/>
        <v>0</v>
      </c>
      <c r="AS983" s="392">
        <f t="shared" si="376"/>
        <v>0</v>
      </c>
    </row>
    <row r="984" spans="1:45">
      <c r="A984" t="str">
        <f t="shared" si="374"/>
        <v>CA_Orang_2020g~city of laguna woods member, city council (vote 1)</v>
      </c>
      <c r="B984" s="55" t="s">
        <v>3536</v>
      </c>
      <c r="D984" s="55" t="s">
        <v>3884</v>
      </c>
      <c r="E984" s="55" t="s">
        <v>3889</v>
      </c>
      <c r="G984" s="60">
        <v>3960</v>
      </c>
      <c r="H984"/>
      <c r="J984">
        <v>13862</v>
      </c>
      <c r="N984">
        <v>15445</v>
      </c>
      <c r="O984">
        <f t="shared" si="377"/>
        <v>5</v>
      </c>
      <c r="P984" s="57">
        <f t="shared" si="378"/>
        <v>1</v>
      </c>
      <c r="Q984" s="267">
        <f t="shared" si="379"/>
        <v>3960</v>
      </c>
      <c r="R984" s="23" t="str">
        <f t="shared" si="380"/>
        <v/>
      </c>
      <c r="S984" s="23">
        <f t="shared" si="381"/>
        <v>3960</v>
      </c>
      <c r="T984" s="23" t="str">
        <f t="shared" si="382"/>
        <v/>
      </c>
      <c r="U984" t="str">
        <f t="shared" si="383"/>
        <v/>
      </c>
      <c r="W984" s="1">
        <f t="shared" si="384"/>
        <v>15</v>
      </c>
      <c r="X984" s="73">
        <f t="shared" si="393"/>
        <v>287.33333333333331</v>
      </c>
      <c r="Y984" s="322">
        <f t="shared" si="385"/>
        <v>287.33333333333331</v>
      </c>
      <c r="Z984" s="43">
        <f t="shared" si="394"/>
        <v>92.311540719504535</v>
      </c>
      <c r="AA984" s="52">
        <f t="shared" si="386"/>
        <v>0.92311540719504537</v>
      </c>
      <c r="AB984" s="8">
        <f t="shared" si="387"/>
        <v>3145.28</v>
      </c>
      <c r="AC984" s="8">
        <f t="shared" si="388"/>
        <v>157264</v>
      </c>
      <c r="AD984" s="8">
        <f t="shared" si="392"/>
        <v>786.32</v>
      </c>
      <c r="AE984" s="8" t="str">
        <f t="shared" si="389"/>
        <v/>
      </c>
      <c r="AF984" s="22" t="str">
        <f t="shared" si="390"/>
        <v>PA_Alleg_2019p</v>
      </c>
      <c r="AG984">
        <v>3</v>
      </c>
      <c r="AH984" s="272">
        <v>287.33333333333331</v>
      </c>
      <c r="AI984" s="273">
        <v>161</v>
      </c>
      <c r="AJ984" s="274">
        <v>157</v>
      </c>
      <c r="AK984" s="339">
        <v>4</v>
      </c>
      <c r="AL984" s="340" t="s">
        <v>2383</v>
      </c>
      <c r="AM984" s="353">
        <f t="shared" si="396"/>
        <v>2.5434937430053922E-5</v>
      </c>
      <c r="AO984" s="355" t="s">
        <v>6483</v>
      </c>
      <c r="AP984" s="23">
        <f t="shared" si="395"/>
        <v>0</v>
      </c>
      <c r="AQ984" s="392">
        <f t="shared" si="375"/>
        <v>0</v>
      </c>
      <c r="AR984" s="392">
        <f t="shared" si="376"/>
        <v>0</v>
      </c>
      <c r="AS984" s="392">
        <f t="shared" si="376"/>
        <v>0</v>
      </c>
    </row>
    <row r="985" spans="1:45">
      <c r="A985" t="str">
        <f t="shared" si="374"/>
        <v>CA_Orang_2020g~city of lake forest member, city council, district 1 (vote 1)</v>
      </c>
      <c r="B985" s="55" t="s">
        <v>3536</v>
      </c>
      <c r="D985" s="55" t="s">
        <v>3895</v>
      </c>
      <c r="E985" s="55" t="s">
        <v>3899</v>
      </c>
      <c r="G985" s="60">
        <v>1976</v>
      </c>
      <c r="H985"/>
      <c r="J985">
        <v>10043</v>
      </c>
      <c r="N985">
        <v>1428</v>
      </c>
      <c r="O985">
        <f t="shared" si="377"/>
        <v>1</v>
      </c>
      <c r="P985" s="57">
        <f t="shared" si="378"/>
        <v>1</v>
      </c>
      <c r="Q985" s="267">
        <f t="shared" si="379"/>
        <v>8575</v>
      </c>
      <c r="R985" s="23">
        <f t="shared" si="380"/>
        <v>1976</v>
      </c>
      <c r="S985" s="23">
        <f t="shared" si="381"/>
        <v>1954</v>
      </c>
      <c r="T985" s="23">
        <f t="shared" si="382"/>
        <v>22</v>
      </c>
      <c r="U985" t="str">
        <f t="shared" si="383"/>
        <v>CA_Orang_2020g~city of lake forest member, city council, district 1 (vote 1)</v>
      </c>
      <c r="W985" s="1">
        <f t="shared" si="384"/>
        <v>16</v>
      </c>
      <c r="X985" s="73">
        <f t="shared" si="393"/>
        <v>121</v>
      </c>
      <c r="Y985" s="322">
        <f t="shared" si="385"/>
        <v>121</v>
      </c>
      <c r="Z985" s="43">
        <f t="shared" si="394"/>
        <v>92.311540719504535</v>
      </c>
      <c r="AA985" s="52">
        <f t="shared" si="386"/>
        <v>0.92311540719504537</v>
      </c>
      <c r="AB985" s="8">
        <f t="shared" si="387"/>
        <v>3145.28</v>
      </c>
      <c r="AC985" s="8">
        <f t="shared" si="388"/>
        <v>157264</v>
      </c>
      <c r="AD985" s="8">
        <f t="shared" si="392"/>
        <v>786.32</v>
      </c>
      <c r="AE985" s="8" t="str">
        <f t="shared" si="389"/>
        <v/>
      </c>
      <c r="AF985" s="22" t="str">
        <f t="shared" si="390"/>
        <v>PA_Alleg_2019p</v>
      </c>
      <c r="AG985" s="23">
        <v>2</v>
      </c>
      <c r="AH985" s="8">
        <v>121</v>
      </c>
      <c r="AI985" s="273">
        <v>81</v>
      </c>
      <c r="AJ985" s="274">
        <v>77</v>
      </c>
      <c r="AK985" s="339">
        <v>4</v>
      </c>
      <c r="AL985" s="340" t="s">
        <v>2375</v>
      </c>
      <c r="AM985" s="353">
        <f t="shared" si="396"/>
        <v>2.5434937430053922E-5</v>
      </c>
      <c r="AO985" s="355" t="s">
        <v>6483</v>
      </c>
      <c r="AP985" s="23">
        <f t="shared" si="395"/>
        <v>0</v>
      </c>
      <c r="AQ985" s="392">
        <f t="shared" si="375"/>
        <v>0</v>
      </c>
      <c r="AR985" s="392">
        <f t="shared" si="376"/>
        <v>0</v>
      </c>
      <c r="AS985" s="392">
        <f t="shared" si="376"/>
        <v>0</v>
      </c>
    </row>
    <row r="986" spans="1:45">
      <c r="A986" t="str">
        <f t="shared" si="374"/>
        <v>CA_Orang_2020g~city of lake forest member, city council, district 1 (vote 1)</v>
      </c>
      <c r="B986" s="55" t="s">
        <v>3536</v>
      </c>
      <c r="D986" s="55" t="s">
        <v>3895</v>
      </c>
      <c r="E986" s="55" t="s">
        <v>3900</v>
      </c>
      <c r="G986" s="60">
        <v>1954</v>
      </c>
      <c r="H986"/>
      <c r="J986">
        <v>10043</v>
      </c>
      <c r="N986">
        <v>1428</v>
      </c>
      <c r="O986">
        <f t="shared" si="377"/>
        <v>2</v>
      </c>
      <c r="P986" s="57">
        <f t="shared" si="378"/>
        <v>1</v>
      </c>
      <c r="Q986" s="267">
        <f t="shared" si="379"/>
        <v>6599</v>
      </c>
      <c r="R986" s="23" t="str">
        <f t="shared" si="380"/>
        <v/>
      </c>
      <c r="S986" s="23">
        <f t="shared" si="381"/>
        <v>1954</v>
      </c>
      <c r="T986" s="23" t="str">
        <f t="shared" si="382"/>
        <v/>
      </c>
      <c r="U986" t="str">
        <f t="shared" si="383"/>
        <v/>
      </c>
      <c r="W986" s="1">
        <f t="shared" si="384"/>
        <v>17</v>
      </c>
      <c r="X986" s="73">
        <f t="shared" si="393"/>
        <v>302.2</v>
      </c>
      <c r="Y986" s="322">
        <f t="shared" si="385"/>
        <v>302.2</v>
      </c>
      <c r="Z986" s="43">
        <f t="shared" si="394"/>
        <v>90.483597960156388</v>
      </c>
      <c r="AA986" s="52">
        <f t="shared" si="386"/>
        <v>0.90483597960156392</v>
      </c>
      <c r="AB986" s="8">
        <f t="shared" si="387"/>
        <v>3145.28</v>
      </c>
      <c r="AC986" s="8">
        <f t="shared" si="388"/>
        <v>157264</v>
      </c>
      <c r="AD986" s="8">
        <f t="shared" si="392"/>
        <v>786.32</v>
      </c>
      <c r="AE986" s="8" t="str">
        <f t="shared" si="389"/>
        <v/>
      </c>
      <c r="AF986" s="22" t="str">
        <f t="shared" si="390"/>
        <v>PA_Alleg_2019p</v>
      </c>
      <c r="AG986">
        <v>5</v>
      </c>
      <c r="AH986" s="272">
        <v>302.2</v>
      </c>
      <c r="AI986" s="273">
        <v>185</v>
      </c>
      <c r="AJ986" s="274">
        <v>180</v>
      </c>
      <c r="AK986" s="339">
        <v>5</v>
      </c>
      <c r="AL986" s="340" t="s">
        <v>2444</v>
      </c>
      <c r="AM986" s="353">
        <f t="shared" si="396"/>
        <v>3.17936717875674E-5</v>
      </c>
      <c r="AO986" s="355" t="s">
        <v>6483</v>
      </c>
      <c r="AP986" s="23">
        <f t="shared" si="395"/>
        <v>0</v>
      </c>
      <c r="AQ986" s="392">
        <f t="shared" si="375"/>
        <v>0</v>
      </c>
      <c r="AR986" s="392">
        <f t="shared" si="376"/>
        <v>0</v>
      </c>
      <c r="AS986" s="392">
        <f t="shared" si="376"/>
        <v>0</v>
      </c>
    </row>
    <row r="987" spans="1:45">
      <c r="A987" t="str">
        <f t="shared" si="374"/>
        <v>CA_Orang_2020g~city of lake forest member, city council, district 1 (vote 1)</v>
      </c>
      <c r="B987" s="55" t="s">
        <v>3536</v>
      </c>
      <c r="D987" s="55" t="s">
        <v>3895</v>
      </c>
      <c r="E987" s="55" t="s">
        <v>3897</v>
      </c>
      <c r="G987" s="60">
        <v>1678</v>
      </c>
      <c r="H987"/>
      <c r="J987">
        <v>10043</v>
      </c>
      <c r="N987">
        <v>1428</v>
      </c>
      <c r="O987">
        <f t="shared" si="377"/>
        <v>3</v>
      </c>
      <c r="P987" s="57">
        <f t="shared" si="378"/>
        <v>1</v>
      </c>
      <c r="Q987" s="267">
        <f t="shared" si="379"/>
        <v>4645</v>
      </c>
      <c r="R987" s="23" t="str">
        <f t="shared" si="380"/>
        <v/>
      </c>
      <c r="S987" s="23">
        <f t="shared" si="381"/>
        <v>1678</v>
      </c>
      <c r="T987" s="23" t="str">
        <f t="shared" si="382"/>
        <v/>
      </c>
      <c r="U987" t="str">
        <f t="shared" si="383"/>
        <v/>
      </c>
      <c r="W987" s="1">
        <f t="shared" si="384"/>
        <v>18</v>
      </c>
      <c r="X987" s="73">
        <f t="shared" si="393"/>
        <v>252.33333333333334</v>
      </c>
      <c r="Y987" s="322">
        <f t="shared" si="385"/>
        <v>252.33333333333334</v>
      </c>
      <c r="Z987" s="43">
        <f t="shared" si="394"/>
        <v>90.483597960156388</v>
      </c>
      <c r="AA987" s="52">
        <f t="shared" si="386"/>
        <v>0.90483597960156392</v>
      </c>
      <c r="AB987" s="8">
        <f t="shared" si="387"/>
        <v>3145.28</v>
      </c>
      <c r="AC987" s="8">
        <f t="shared" si="388"/>
        <v>157264</v>
      </c>
      <c r="AD987" s="8">
        <f t="shared" si="392"/>
        <v>786.32</v>
      </c>
      <c r="AE987" s="8" t="str">
        <f t="shared" si="389"/>
        <v/>
      </c>
      <c r="AF987" s="22" t="str">
        <f t="shared" si="390"/>
        <v>PA_Alleg_2019p</v>
      </c>
      <c r="AG987">
        <v>3</v>
      </c>
      <c r="AH987" s="272">
        <v>252.33333333333334</v>
      </c>
      <c r="AI987" s="273">
        <v>150</v>
      </c>
      <c r="AJ987" s="274">
        <v>145</v>
      </c>
      <c r="AK987" s="339">
        <v>5</v>
      </c>
      <c r="AL987" s="340" t="s">
        <v>2370</v>
      </c>
      <c r="AM987" s="353">
        <f t="shared" si="396"/>
        <v>3.17936717875674E-5</v>
      </c>
      <c r="AO987" s="355" t="s">
        <v>6483</v>
      </c>
      <c r="AP987" s="23">
        <f t="shared" si="395"/>
        <v>0</v>
      </c>
      <c r="AQ987" s="392">
        <f t="shared" si="375"/>
        <v>0</v>
      </c>
      <c r="AR987" s="392">
        <f t="shared" si="376"/>
        <v>0</v>
      </c>
      <c r="AS987" s="392">
        <f t="shared" si="376"/>
        <v>0</v>
      </c>
    </row>
    <row r="988" spans="1:45">
      <c r="A988" t="str">
        <f t="shared" si="374"/>
        <v>CA_Orang_2020g~city of lake forest member, city council, district 1 (vote 1)</v>
      </c>
      <c r="B988" s="55" t="s">
        <v>3536</v>
      </c>
      <c r="D988" s="55" t="s">
        <v>3895</v>
      </c>
      <c r="E988" s="55" t="s">
        <v>3898</v>
      </c>
      <c r="G988" s="60">
        <v>1604</v>
      </c>
      <c r="H988"/>
      <c r="J988">
        <v>10043</v>
      </c>
      <c r="N988">
        <v>1428</v>
      </c>
      <c r="O988">
        <f t="shared" si="377"/>
        <v>4</v>
      </c>
      <c r="P988" s="57">
        <f t="shared" si="378"/>
        <v>1</v>
      </c>
      <c r="Q988" s="267">
        <f t="shared" si="379"/>
        <v>2967</v>
      </c>
      <c r="R988" s="23" t="str">
        <f t="shared" si="380"/>
        <v/>
      </c>
      <c r="S988" s="23">
        <f t="shared" si="381"/>
        <v>1604</v>
      </c>
      <c r="T988" s="23" t="str">
        <f t="shared" si="382"/>
        <v/>
      </c>
      <c r="U988" t="str">
        <f t="shared" si="383"/>
        <v/>
      </c>
      <c r="W988" s="1">
        <f t="shared" si="384"/>
        <v>19</v>
      </c>
      <c r="X988" s="73">
        <f t="shared" si="393"/>
        <v>113</v>
      </c>
      <c r="Y988" s="322">
        <f t="shared" si="385"/>
        <v>113</v>
      </c>
      <c r="Z988" s="43">
        <f t="shared" si="394"/>
        <v>90.483597960156388</v>
      </c>
      <c r="AA988" s="52">
        <f t="shared" si="386"/>
        <v>0.90483597960156392</v>
      </c>
      <c r="AB988" s="8">
        <f t="shared" si="387"/>
        <v>3145.28</v>
      </c>
      <c r="AC988" s="8">
        <f t="shared" si="388"/>
        <v>157264</v>
      </c>
      <c r="AD988" s="8">
        <f t="shared" si="392"/>
        <v>786.32</v>
      </c>
      <c r="AE988" s="8" t="str">
        <f t="shared" si="389"/>
        <v/>
      </c>
      <c r="AF988" s="22" t="str">
        <f t="shared" si="390"/>
        <v>PA_Alleg_2019p</v>
      </c>
      <c r="AG988" s="23">
        <v>2</v>
      </c>
      <c r="AH988" s="8">
        <v>113</v>
      </c>
      <c r="AI988" s="273">
        <v>73</v>
      </c>
      <c r="AJ988" s="274">
        <v>68</v>
      </c>
      <c r="AK988" s="339">
        <v>5</v>
      </c>
      <c r="AL988" s="340" t="s">
        <v>2429</v>
      </c>
      <c r="AM988" s="353">
        <f t="shared" si="396"/>
        <v>3.17936717875674E-5</v>
      </c>
      <c r="AO988" s="355" t="s">
        <v>6483</v>
      </c>
      <c r="AP988" s="23">
        <f t="shared" si="395"/>
        <v>0</v>
      </c>
      <c r="AQ988" s="392">
        <f t="shared" si="375"/>
        <v>0</v>
      </c>
      <c r="AR988" s="392">
        <f t="shared" si="376"/>
        <v>0</v>
      </c>
      <c r="AS988" s="392">
        <f t="shared" si="376"/>
        <v>0</v>
      </c>
    </row>
    <row r="989" spans="1:45">
      <c r="A989" t="str">
        <f t="shared" si="374"/>
        <v>CA_Orang_2020g~city of lake forest member, city council, district 1 (vote 1)</v>
      </c>
      <c r="B989" s="55" t="s">
        <v>3536</v>
      </c>
      <c r="D989" s="55" t="s">
        <v>3895</v>
      </c>
      <c r="E989" s="55" t="s">
        <v>3896</v>
      </c>
      <c r="G989" s="60">
        <v>985</v>
      </c>
      <c r="H989"/>
      <c r="J989">
        <v>10043</v>
      </c>
      <c r="N989">
        <v>1428</v>
      </c>
      <c r="O989">
        <f t="shared" si="377"/>
        <v>5</v>
      </c>
      <c r="P989" s="57">
        <f t="shared" si="378"/>
        <v>1</v>
      </c>
      <c r="Q989" s="267">
        <f t="shared" si="379"/>
        <v>1363</v>
      </c>
      <c r="R989" s="23" t="str">
        <f t="shared" si="380"/>
        <v/>
      </c>
      <c r="S989" s="23">
        <f t="shared" si="381"/>
        <v>985</v>
      </c>
      <c r="T989" s="23" t="str">
        <f t="shared" si="382"/>
        <v/>
      </c>
      <c r="U989" t="str">
        <f t="shared" si="383"/>
        <v/>
      </c>
      <c r="W989" s="1">
        <f t="shared" si="384"/>
        <v>20</v>
      </c>
      <c r="X989" s="73">
        <f t="shared" si="393"/>
        <v>550.6</v>
      </c>
      <c r="Y989" s="322">
        <f t="shared" si="385"/>
        <v>550.6</v>
      </c>
      <c r="Z989" s="43">
        <f t="shared" si="394"/>
        <v>88.691840637877647</v>
      </c>
      <c r="AA989" s="52">
        <f t="shared" si="386"/>
        <v>0.8869184063787765</v>
      </c>
      <c r="AB989" s="8">
        <f t="shared" si="387"/>
        <v>3145.28</v>
      </c>
      <c r="AC989" s="8">
        <f t="shared" si="388"/>
        <v>157264</v>
      </c>
      <c r="AD989" s="8">
        <f t="shared" si="392"/>
        <v>786.32</v>
      </c>
      <c r="AE989" s="8" t="str">
        <f t="shared" si="389"/>
        <v/>
      </c>
      <c r="AF989" s="22" t="str">
        <f t="shared" si="390"/>
        <v>PA_Alleg_2019p</v>
      </c>
      <c r="AG989">
        <v>5</v>
      </c>
      <c r="AH989" s="272">
        <v>550.6</v>
      </c>
      <c r="AI989" s="273">
        <v>438</v>
      </c>
      <c r="AJ989" s="274">
        <v>432</v>
      </c>
      <c r="AK989" s="339">
        <v>6</v>
      </c>
      <c r="AL989" s="340" t="s">
        <v>2448</v>
      </c>
      <c r="AM989" s="353">
        <f t="shared" si="396"/>
        <v>3.8152406145080881E-5</v>
      </c>
      <c r="AO989" s="355" t="s">
        <v>6483</v>
      </c>
      <c r="AP989" s="23">
        <f t="shared" si="395"/>
        <v>0</v>
      </c>
      <c r="AQ989" s="392">
        <f t="shared" si="375"/>
        <v>0</v>
      </c>
      <c r="AR989" s="392">
        <f t="shared" si="376"/>
        <v>0</v>
      </c>
      <c r="AS989" s="392">
        <f t="shared" si="376"/>
        <v>0</v>
      </c>
    </row>
    <row r="990" spans="1:45">
      <c r="A990" t="str">
        <f t="shared" si="374"/>
        <v>CA_Orang_2020g~city of lake forest member, city council, district 1 (vote 1)</v>
      </c>
      <c r="B990" s="55" t="s">
        <v>3536</v>
      </c>
      <c r="D990" s="55" t="s">
        <v>3895</v>
      </c>
      <c r="E990" s="55" t="s">
        <v>3901</v>
      </c>
      <c r="G990" s="60">
        <v>378</v>
      </c>
      <c r="H990"/>
      <c r="J990">
        <v>10043</v>
      </c>
      <c r="N990">
        <v>1428</v>
      </c>
      <c r="O990">
        <f t="shared" si="377"/>
        <v>6</v>
      </c>
      <c r="P990" s="57">
        <f t="shared" si="378"/>
        <v>1</v>
      </c>
      <c r="Q990" s="267">
        <f t="shared" si="379"/>
        <v>378</v>
      </c>
      <c r="R990" s="23" t="str">
        <f t="shared" si="380"/>
        <v/>
      </c>
      <c r="S990" s="23">
        <f t="shared" si="381"/>
        <v>378</v>
      </c>
      <c r="T990" s="23" t="str">
        <f t="shared" si="382"/>
        <v/>
      </c>
      <c r="U990" t="str">
        <f t="shared" si="383"/>
        <v/>
      </c>
      <c r="W990" s="1">
        <f t="shared" si="384"/>
        <v>21</v>
      </c>
      <c r="X990" s="73">
        <f t="shared" si="393"/>
        <v>588.5</v>
      </c>
      <c r="Y990" s="322">
        <f t="shared" si="385"/>
        <v>588.5</v>
      </c>
      <c r="Z990" s="43">
        <f t="shared" si="394"/>
        <v>88.691840637877647</v>
      </c>
      <c r="AA990" s="52">
        <f t="shared" si="386"/>
        <v>0.8869184063787765</v>
      </c>
      <c r="AB990" s="8">
        <f t="shared" si="387"/>
        <v>3145.28</v>
      </c>
      <c r="AC990" s="8">
        <f t="shared" si="388"/>
        <v>157264</v>
      </c>
      <c r="AD990" s="8">
        <f t="shared" si="392"/>
        <v>786.32</v>
      </c>
      <c r="AE990" s="8" t="str">
        <f t="shared" si="389"/>
        <v/>
      </c>
      <c r="AF990" s="22" t="str">
        <f t="shared" si="390"/>
        <v>PA_Alleg_2019p</v>
      </c>
      <c r="AG990">
        <v>2</v>
      </c>
      <c r="AH990" s="272">
        <v>588.5</v>
      </c>
      <c r="AI990" s="273">
        <v>307</v>
      </c>
      <c r="AJ990" s="274">
        <v>301</v>
      </c>
      <c r="AK990" s="339">
        <v>6</v>
      </c>
      <c r="AL990" s="340" t="s">
        <v>2450</v>
      </c>
      <c r="AM990" s="353">
        <f t="shared" si="396"/>
        <v>3.8152406145080881E-5</v>
      </c>
      <c r="AO990" s="355" t="s">
        <v>6483</v>
      </c>
      <c r="AP990" s="23">
        <f t="shared" si="395"/>
        <v>0</v>
      </c>
      <c r="AQ990" s="392">
        <f t="shared" si="375"/>
        <v>0</v>
      </c>
      <c r="AR990" s="392">
        <f t="shared" si="376"/>
        <v>0</v>
      </c>
      <c r="AS990" s="392">
        <f t="shared" si="376"/>
        <v>0</v>
      </c>
    </row>
    <row r="991" spans="1:45">
      <c r="A991" t="str">
        <f t="shared" si="374"/>
        <v>CA_Orang_2020g~city of lake forest member, city council, district 5 (vote 1)</v>
      </c>
      <c r="B991" s="55" t="s">
        <v>3536</v>
      </c>
      <c r="D991" s="55" t="s">
        <v>3902</v>
      </c>
      <c r="E991" s="55" t="s">
        <v>3903</v>
      </c>
      <c r="G991" s="60">
        <v>3133</v>
      </c>
      <c r="H991"/>
      <c r="J991">
        <v>6275</v>
      </c>
      <c r="N991">
        <v>688</v>
      </c>
      <c r="O991">
        <f t="shared" si="377"/>
        <v>1</v>
      </c>
      <c r="P991" s="57">
        <f t="shared" si="378"/>
        <v>1</v>
      </c>
      <c r="Q991" s="267">
        <f t="shared" si="379"/>
        <v>5562</v>
      </c>
      <c r="R991" s="23">
        <f t="shared" si="380"/>
        <v>3133</v>
      </c>
      <c r="S991" s="23">
        <f t="shared" si="381"/>
        <v>1000</v>
      </c>
      <c r="T991" s="23">
        <f t="shared" si="382"/>
        <v>2133</v>
      </c>
      <c r="U991" t="str">
        <f t="shared" si="383"/>
        <v>CA_Orang_2020g~city of lake forest member, city council, district 5 (vote 1)</v>
      </c>
      <c r="W991" s="1">
        <f t="shared" si="384"/>
        <v>22</v>
      </c>
      <c r="X991" s="73">
        <f t="shared" si="393"/>
        <v>92</v>
      </c>
      <c r="Y991" s="322">
        <f t="shared" si="385"/>
        <v>92</v>
      </c>
      <c r="Z991" s="43">
        <f t="shared" si="394"/>
        <v>88.691840637877647</v>
      </c>
      <c r="AA991" s="52">
        <f t="shared" si="386"/>
        <v>0.8869184063787765</v>
      </c>
      <c r="AB991" s="8">
        <f t="shared" si="387"/>
        <v>3145.28</v>
      </c>
      <c r="AC991" s="8">
        <f t="shared" si="388"/>
        <v>157264</v>
      </c>
      <c r="AD991" s="8">
        <f t="shared" si="392"/>
        <v>786.32</v>
      </c>
      <c r="AE991" s="8" t="str">
        <f t="shared" si="389"/>
        <v/>
      </c>
      <c r="AF991" s="22" t="str">
        <f t="shared" si="390"/>
        <v>PA_Alleg_2019p</v>
      </c>
      <c r="AG991">
        <v>1</v>
      </c>
      <c r="AH991" s="8">
        <v>92</v>
      </c>
      <c r="AI991" s="273">
        <v>49</v>
      </c>
      <c r="AJ991" s="274">
        <v>43</v>
      </c>
      <c r="AK991" s="339">
        <v>6</v>
      </c>
      <c r="AL991" s="23" t="s">
        <v>2336</v>
      </c>
      <c r="AM991" s="353">
        <f t="shared" si="396"/>
        <v>3.8152406145080881E-5</v>
      </c>
      <c r="AO991" s="355" t="s">
        <v>6483</v>
      </c>
      <c r="AP991" s="23">
        <f t="shared" si="395"/>
        <v>0</v>
      </c>
      <c r="AQ991" s="392">
        <f t="shared" si="375"/>
        <v>0</v>
      </c>
      <c r="AR991" s="392">
        <f t="shared" si="376"/>
        <v>0</v>
      </c>
      <c r="AS991" s="392">
        <f t="shared" si="376"/>
        <v>0</v>
      </c>
    </row>
    <row r="992" spans="1:45">
      <c r="A992" t="str">
        <f t="shared" si="374"/>
        <v>CA_Orang_2020g~city of lake forest member, city council, district 5 (vote 1)</v>
      </c>
      <c r="B992" s="55" t="s">
        <v>3536</v>
      </c>
      <c r="D992" s="55" t="s">
        <v>3902</v>
      </c>
      <c r="E992" s="55" t="s">
        <v>3904</v>
      </c>
      <c r="G992" s="60">
        <v>1000</v>
      </c>
      <c r="H992"/>
      <c r="J992">
        <v>6275</v>
      </c>
      <c r="N992">
        <v>688</v>
      </c>
      <c r="O992">
        <f t="shared" si="377"/>
        <v>2</v>
      </c>
      <c r="P992" s="57">
        <f t="shared" si="378"/>
        <v>1</v>
      </c>
      <c r="Q992" s="267">
        <f t="shared" si="379"/>
        <v>2429</v>
      </c>
      <c r="R992" s="23" t="str">
        <f t="shared" si="380"/>
        <v/>
      </c>
      <c r="S992" s="23">
        <f t="shared" si="381"/>
        <v>1000</v>
      </c>
      <c r="T992" s="23" t="str">
        <f t="shared" si="382"/>
        <v/>
      </c>
      <c r="U992" t="str">
        <f t="shared" si="383"/>
        <v/>
      </c>
      <c r="W992" s="1">
        <f t="shared" si="384"/>
        <v>23</v>
      </c>
      <c r="X992" s="73">
        <f t="shared" si="393"/>
        <v>140.82857142857145</v>
      </c>
      <c r="Y992" s="322">
        <f t="shared" si="385"/>
        <v>140.82857142857145</v>
      </c>
      <c r="Z992" s="43">
        <f t="shared" si="394"/>
        <v>86.935552659367531</v>
      </c>
      <c r="AA992" s="52">
        <f t="shared" si="386"/>
        <v>0.86935552659367532</v>
      </c>
      <c r="AB992" s="8">
        <f t="shared" si="387"/>
        <v>3145.28</v>
      </c>
      <c r="AC992" s="8">
        <f t="shared" si="388"/>
        <v>157264</v>
      </c>
      <c r="AD992" s="8">
        <f t="shared" si="392"/>
        <v>786.32</v>
      </c>
      <c r="AE992" s="8" t="str">
        <f t="shared" si="389"/>
        <v/>
      </c>
      <c r="AF992" s="22" t="str">
        <f t="shared" si="390"/>
        <v>PA_Alleg_2019p</v>
      </c>
      <c r="AG992">
        <v>2</v>
      </c>
      <c r="AH992" s="272">
        <v>159</v>
      </c>
      <c r="AI992" s="273">
        <v>72</v>
      </c>
      <c r="AJ992" s="274">
        <v>65</v>
      </c>
      <c r="AK992" s="339">
        <v>7</v>
      </c>
      <c r="AL992" s="340" t="s">
        <v>2461</v>
      </c>
      <c r="AM992" s="353">
        <f t="shared" si="396"/>
        <v>4.4511140502594363E-5</v>
      </c>
      <c r="AO992" s="355" t="s">
        <v>6483</v>
      </c>
      <c r="AP992" s="23">
        <f t="shared" si="395"/>
        <v>0</v>
      </c>
      <c r="AQ992" s="392">
        <f t="shared" si="375"/>
        <v>0</v>
      </c>
      <c r="AR992" s="392">
        <f t="shared" si="376"/>
        <v>0</v>
      </c>
      <c r="AS992" s="392">
        <f t="shared" si="376"/>
        <v>0</v>
      </c>
    </row>
    <row r="993" spans="1:45">
      <c r="A993" t="str">
        <f t="shared" si="374"/>
        <v>CA_Orang_2020g~city of lake forest member, city council, district 5 (vote 1)</v>
      </c>
      <c r="B993" s="55" t="s">
        <v>3536</v>
      </c>
      <c r="D993" s="55" t="s">
        <v>3902</v>
      </c>
      <c r="E993" s="55" t="s">
        <v>3905</v>
      </c>
      <c r="G993" s="60">
        <v>738</v>
      </c>
      <c r="H993"/>
      <c r="J993">
        <v>6275</v>
      </c>
      <c r="N993">
        <v>688</v>
      </c>
      <c r="O993">
        <f t="shared" si="377"/>
        <v>3</v>
      </c>
      <c r="P993" s="57">
        <f t="shared" si="378"/>
        <v>1</v>
      </c>
      <c r="Q993" s="267">
        <f t="shared" si="379"/>
        <v>1429</v>
      </c>
      <c r="R993" s="23" t="str">
        <f t="shared" si="380"/>
        <v/>
      </c>
      <c r="S993" s="23">
        <f t="shared" si="381"/>
        <v>738</v>
      </c>
      <c r="T993" s="23" t="str">
        <f t="shared" si="382"/>
        <v/>
      </c>
      <c r="U993" t="str">
        <f t="shared" si="383"/>
        <v/>
      </c>
      <c r="W993" s="1">
        <f t="shared" si="384"/>
        <v>24</v>
      </c>
      <c r="X993" s="73">
        <f t="shared" si="393"/>
        <v>203.4375</v>
      </c>
      <c r="Y993" s="322">
        <f t="shared" si="385"/>
        <v>203.4375</v>
      </c>
      <c r="Z993" s="43">
        <f t="shared" si="394"/>
        <v>85.21403209797441</v>
      </c>
      <c r="AA993" s="52">
        <f t="shared" si="386"/>
        <v>0.85214032097974413</v>
      </c>
      <c r="AB993" s="8">
        <f t="shared" si="387"/>
        <v>3145.28</v>
      </c>
      <c r="AC993" s="8">
        <f t="shared" si="388"/>
        <v>157264</v>
      </c>
      <c r="AD993" s="8">
        <f t="shared" si="392"/>
        <v>786.32</v>
      </c>
      <c r="AE993" s="8" t="str">
        <f t="shared" si="389"/>
        <v/>
      </c>
      <c r="AF993" s="22" t="str">
        <f t="shared" si="390"/>
        <v>PA_Alleg_2019p</v>
      </c>
      <c r="AG993">
        <v>2</v>
      </c>
      <c r="AH993" s="272">
        <v>262.5</v>
      </c>
      <c r="AI993" s="273">
        <v>172</v>
      </c>
      <c r="AJ993" s="274">
        <v>164</v>
      </c>
      <c r="AK993" s="339">
        <v>8</v>
      </c>
      <c r="AL993" s="340" t="s">
        <v>2449</v>
      </c>
      <c r="AM993" s="353">
        <f t="shared" si="396"/>
        <v>5.0869874860107844E-5</v>
      </c>
      <c r="AO993" s="355" t="s">
        <v>6483</v>
      </c>
      <c r="AP993" s="23">
        <f t="shared" si="395"/>
        <v>0</v>
      </c>
      <c r="AQ993" s="392">
        <f t="shared" si="375"/>
        <v>0</v>
      </c>
      <c r="AR993" s="392">
        <f t="shared" si="376"/>
        <v>0</v>
      </c>
      <c r="AS993" s="392">
        <f t="shared" si="376"/>
        <v>0</v>
      </c>
    </row>
    <row r="994" spans="1:45">
      <c r="A994" t="str">
        <f t="shared" si="374"/>
        <v>CA_Orang_2020g~city of lake forest member, city council, district 5 (vote 1)</v>
      </c>
      <c r="B994" s="55" t="s">
        <v>3536</v>
      </c>
      <c r="D994" s="55" t="s">
        <v>3902</v>
      </c>
      <c r="E994" s="55" t="s">
        <v>3906</v>
      </c>
      <c r="G994" s="60">
        <v>422</v>
      </c>
      <c r="H994"/>
      <c r="J994">
        <v>6275</v>
      </c>
      <c r="N994">
        <v>688</v>
      </c>
      <c r="O994">
        <f t="shared" si="377"/>
        <v>4</v>
      </c>
      <c r="P994" s="57">
        <f t="shared" si="378"/>
        <v>1</v>
      </c>
      <c r="Q994" s="267">
        <f t="shared" si="379"/>
        <v>691</v>
      </c>
      <c r="R994" s="23" t="str">
        <f t="shared" si="380"/>
        <v/>
      </c>
      <c r="S994" s="23">
        <f t="shared" si="381"/>
        <v>422</v>
      </c>
      <c r="T994" s="23" t="str">
        <f t="shared" si="382"/>
        <v/>
      </c>
      <c r="U994" t="str">
        <f t="shared" si="383"/>
        <v/>
      </c>
      <c r="W994" s="1">
        <f t="shared" si="384"/>
        <v>25</v>
      </c>
      <c r="X994" s="73">
        <f t="shared" si="393"/>
        <v>691.64444444444439</v>
      </c>
      <c r="Y994" s="322">
        <f t="shared" si="385"/>
        <v>691.64444444444439</v>
      </c>
      <c r="Z994" s="43">
        <f t="shared" si="394"/>
        <v>83.526590913643005</v>
      </c>
      <c r="AA994" s="52">
        <f t="shared" si="386"/>
        <v>0.83526590913643006</v>
      </c>
      <c r="AB994" s="8">
        <f t="shared" si="387"/>
        <v>3145.28</v>
      </c>
      <c r="AC994" s="8">
        <f t="shared" si="388"/>
        <v>157264</v>
      </c>
      <c r="AD994" s="8">
        <f t="shared" si="392"/>
        <v>786.32</v>
      </c>
      <c r="AE994" s="8" t="str">
        <f t="shared" si="389"/>
        <v/>
      </c>
      <c r="AF994" s="22" t="str">
        <f t="shared" si="390"/>
        <v>PA_Alleg_2019p</v>
      </c>
      <c r="AG994">
        <v>5</v>
      </c>
      <c r="AH994" s="8">
        <v>1004</v>
      </c>
      <c r="AI994" s="273">
        <v>472</v>
      </c>
      <c r="AJ994" s="274">
        <v>463</v>
      </c>
      <c r="AK994" s="339">
        <v>9</v>
      </c>
      <c r="AL994" s="23" t="s">
        <v>2419</v>
      </c>
      <c r="AM994" s="353">
        <f t="shared" si="396"/>
        <v>5.7228609217621325E-5</v>
      </c>
      <c r="AO994" s="355" t="s">
        <v>6483</v>
      </c>
      <c r="AP994" s="23">
        <f t="shared" si="395"/>
        <v>0</v>
      </c>
      <c r="AQ994" s="392">
        <f t="shared" si="375"/>
        <v>0</v>
      </c>
      <c r="AR994" s="392">
        <f t="shared" si="376"/>
        <v>0</v>
      </c>
      <c r="AS994" s="392">
        <f t="shared" si="376"/>
        <v>0</v>
      </c>
    </row>
    <row r="995" spans="1:45">
      <c r="A995" t="str">
        <f t="shared" si="374"/>
        <v>CA_Orang_2020g~city of lake forest member, city council, district 5 (vote 1)</v>
      </c>
      <c r="B995" s="55" t="s">
        <v>3536</v>
      </c>
      <c r="D995" s="55" t="s">
        <v>3902</v>
      </c>
      <c r="E995" s="55" t="s">
        <v>3907</v>
      </c>
      <c r="G995" s="60">
        <v>269</v>
      </c>
      <c r="H995"/>
      <c r="J995">
        <v>6275</v>
      </c>
      <c r="N995">
        <v>688</v>
      </c>
      <c r="O995">
        <f t="shared" si="377"/>
        <v>5</v>
      </c>
      <c r="P995" s="57">
        <f t="shared" si="378"/>
        <v>1</v>
      </c>
      <c r="Q995" s="267">
        <f t="shared" si="379"/>
        <v>269</v>
      </c>
      <c r="R995" s="23" t="str">
        <f t="shared" si="380"/>
        <v/>
      </c>
      <c r="S995" s="23">
        <f t="shared" si="381"/>
        <v>269</v>
      </c>
      <c r="T995" s="23" t="str">
        <f t="shared" si="382"/>
        <v/>
      </c>
      <c r="U995" t="str">
        <f t="shared" si="383"/>
        <v/>
      </c>
      <c r="W995" s="1">
        <f t="shared" si="384"/>
        <v>26</v>
      </c>
      <c r="X995" s="73">
        <f t="shared" si="393"/>
        <v>112.22000000000001</v>
      </c>
      <c r="Y995" s="322">
        <f t="shared" si="385"/>
        <v>112.22000000000001</v>
      </c>
      <c r="Z995" s="43">
        <f t="shared" si="394"/>
        <v>81.87255467824366</v>
      </c>
      <c r="AA995" s="52">
        <f t="shared" si="386"/>
        <v>0.81872554678243659</v>
      </c>
      <c r="AB995" s="8">
        <f t="shared" si="387"/>
        <v>3145.28</v>
      </c>
      <c r="AC995" s="8">
        <f t="shared" si="388"/>
        <v>157264</v>
      </c>
      <c r="AD995" s="8">
        <f t="shared" si="392"/>
        <v>786.32</v>
      </c>
      <c r="AE995" s="8" t="str">
        <f t="shared" si="389"/>
        <v/>
      </c>
      <c r="AF995" s="22" t="str">
        <f t="shared" si="390"/>
        <v>PA_Alleg_2019p</v>
      </c>
      <c r="AG995">
        <v>1</v>
      </c>
      <c r="AH995" s="272">
        <v>181</v>
      </c>
      <c r="AI995" s="273">
        <v>95</v>
      </c>
      <c r="AJ995" s="274">
        <v>85</v>
      </c>
      <c r="AK995" s="339">
        <v>10</v>
      </c>
      <c r="AL995" s="340" t="s">
        <v>2455</v>
      </c>
      <c r="AM995" s="363">
        <f t="shared" si="396"/>
        <v>6.35873435751348E-5</v>
      </c>
      <c r="AO995" s="355" t="s">
        <v>6483</v>
      </c>
      <c r="AP995" s="23">
        <f t="shared" si="395"/>
        <v>0</v>
      </c>
      <c r="AQ995" s="392">
        <f t="shared" si="375"/>
        <v>0</v>
      </c>
      <c r="AR995" s="392">
        <f t="shared" si="376"/>
        <v>0</v>
      </c>
      <c r="AS995" s="392">
        <f t="shared" si="376"/>
        <v>0</v>
      </c>
    </row>
    <row r="996" spans="1:45">
      <c r="A996" t="str">
        <f t="shared" si="374"/>
        <v>CA_Orang_2020g~city of los alamitos member, city council, district 1 (vote 1)</v>
      </c>
      <c r="B996" s="55" t="s">
        <v>3536</v>
      </c>
      <c r="D996" s="55" t="s">
        <v>3915</v>
      </c>
      <c r="E996" s="55" t="s">
        <v>3916</v>
      </c>
      <c r="G996" s="60">
        <v>517</v>
      </c>
      <c r="H996"/>
      <c r="J996">
        <v>1121</v>
      </c>
      <c r="N996">
        <v>99</v>
      </c>
      <c r="O996">
        <f t="shared" si="377"/>
        <v>1</v>
      </c>
      <c r="P996" s="57">
        <f t="shared" si="378"/>
        <v>1</v>
      </c>
      <c r="Q996" s="267">
        <f t="shared" si="379"/>
        <v>1018</v>
      </c>
      <c r="R996" s="23">
        <f t="shared" si="380"/>
        <v>517</v>
      </c>
      <c r="S996" s="23">
        <f t="shared" si="381"/>
        <v>501</v>
      </c>
      <c r="T996" s="23">
        <f t="shared" si="382"/>
        <v>16</v>
      </c>
      <c r="U996" t="str">
        <f t="shared" si="383"/>
        <v>CA_Orang_2020g~city of los alamitos member, city council, district 1 (vote 1)</v>
      </c>
      <c r="W996" s="1">
        <f t="shared" si="384"/>
        <v>27</v>
      </c>
      <c r="X996" s="73">
        <f t="shared" si="393"/>
        <v>80.036363636363646</v>
      </c>
      <c r="Y996" s="322">
        <f t="shared" si="385"/>
        <v>80.036363636363646</v>
      </c>
      <c r="Z996" s="43">
        <f t="shared" si="394"/>
        <v>80.251262306363103</v>
      </c>
      <c r="AA996" s="52">
        <f t="shared" si="386"/>
        <v>0.80251262306363103</v>
      </c>
      <c r="AB996" s="8">
        <f t="shared" si="387"/>
        <v>3145.28</v>
      </c>
      <c r="AC996" s="8">
        <f t="shared" si="388"/>
        <v>157264</v>
      </c>
      <c r="AD996" s="8">
        <f t="shared" si="392"/>
        <v>786.32</v>
      </c>
      <c r="AE996" s="8" t="str">
        <f t="shared" si="389"/>
        <v/>
      </c>
      <c r="AF996" s="22" t="str">
        <f t="shared" si="390"/>
        <v>PA_Alleg_2019p</v>
      </c>
      <c r="AG996">
        <v>3</v>
      </c>
      <c r="AH996" s="272">
        <v>142</v>
      </c>
      <c r="AI996" s="273">
        <v>85</v>
      </c>
      <c r="AJ996" s="274">
        <v>74</v>
      </c>
      <c r="AK996" s="339">
        <v>11</v>
      </c>
      <c r="AL996" s="340" t="s">
        <v>2338</v>
      </c>
      <c r="AM996" s="363">
        <f t="shared" si="396"/>
        <v>6.9946077932648288E-5</v>
      </c>
      <c r="AO996" s="355" t="s">
        <v>6483</v>
      </c>
      <c r="AP996" s="23">
        <f t="shared" si="395"/>
        <v>0</v>
      </c>
      <c r="AQ996" s="392">
        <f t="shared" si="375"/>
        <v>0</v>
      </c>
      <c r="AR996" s="392">
        <f t="shared" si="376"/>
        <v>0</v>
      </c>
      <c r="AS996" s="392">
        <f t="shared" si="376"/>
        <v>0</v>
      </c>
    </row>
    <row r="997" spans="1:45">
      <c r="A997" t="str">
        <f t="shared" si="374"/>
        <v>CA_Orang_2020g~city of los alamitos member, city council, district 1 (vote 1)</v>
      </c>
      <c r="B997" s="55" t="s">
        <v>3536</v>
      </c>
      <c r="D997" s="55" t="s">
        <v>3915</v>
      </c>
      <c r="E997" s="55" t="s">
        <v>3917</v>
      </c>
      <c r="G997" s="60">
        <v>501</v>
      </c>
      <c r="H997"/>
      <c r="J997">
        <v>1121</v>
      </c>
      <c r="N997">
        <v>99</v>
      </c>
      <c r="O997">
        <f t="shared" si="377"/>
        <v>2</v>
      </c>
      <c r="P997" s="57">
        <f t="shared" si="378"/>
        <v>1</v>
      </c>
      <c r="Q997" s="267">
        <f t="shared" si="379"/>
        <v>501</v>
      </c>
      <c r="R997" s="23" t="str">
        <f t="shared" si="380"/>
        <v/>
      </c>
      <c r="S997" s="23">
        <f t="shared" si="381"/>
        <v>501</v>
      </c>
      <c r="T997" s="23" t="str">
        <f t="shared" si="382"/>
        <v/>
      </c>
      <c r="U997" t="str">
        <f t="shared" si="383"/>
        <v/>
      </c>
      <c r="W997" s="1">
        <f t="shared" si="384"/>
        <v>28</v>
      </c>
      <c r="X997" s="73">
        <f t="shared" si="393"/>
        <v>158.96111111111111</v>
      </c>
      <c r="Y997" s="322">
        <f t="shared" si="385"/>
        <v>158.96111111111111</v>
      </c>
      <c r="Z997" s="43">
        <f t="shared" si="394"/>
        <v>78.662065791417859</v>
      </c>
      <c r="AA997" s="52">
        <f t="shared" si="386"/>
        <v>0.78662065791417857</v>
      </c>
      <c r="AB997" s="8">
        <f t="shared" si="387"/>
        <v>3145.28</v>
      </c>
      <c r="AC997" s="8">
        <f t="shared" si="388"/>
        <v>157264</v>
      </c>
      <c r="AD997" s="8">
        <f t="shared" si="392"/>
        <v>786.32</v>
      </c>
      <c r="AE997" s="8" t="str">
        <f t="shared" si="389"/>
        <v/>
      </c>
      <c r="AF997" s="22" t="str">
        <f t="shared" si="390"/>
        <v>PA_Alleg_2019p</v>
      </c>
      <c r="AG997">
        <v>3</v>
      </c>
      <c r="AH997" s="272">
        <v>307.66666666666669</v>
      </c>
      <c r="AI997" s="273">
        <v>158</v>
      </c>
      <c r="AJ997" s="274">
        <v>146</v>
      </c>
      <c r="AK997" s="339">
        <v>12</v>
      </c>
      <c r="AL997" s="340" t="s">
        <v>2379</v>
      </c>
      <c r="AM997" s="363">
        <f t="shared" si="396"/>
        <v>7.6304812290161762E-5</v>
      </c>
      <c r="AO997" s="355" t="s">
        <v>6483</v>
      </c>
      <c r="AP997" s="23">
        <f t="shared" si="395"/>
        <v>0</v>
      </c>
      <c r="AQ997" s="392">
        <f t="shared" si="375"/>
        <v>0</v>
      </c>
      <c r="AR997" s="392">
        <f t="shared" si="376"/>
        <v>0</v>
      </c>
      <c r="AS997" s="392">
        <f t="shared" si="376"/>
        <v>0</v>
      </c>
    </row>
    <row r="998" spans="1:45">
      <c r="A998" t="str">
        <f t="shared" ref="A998:A1061" si="397">CONCATENATE(B998,"~",LOWER(D998),IF(RIGHT(D998,1)=")",""," (vote 1)"))</f>
        <v>CA_Orang_2020g~city of los alamitos member, city council, district 2 (vote 1)</v>
      </c>
      <c r="B998" s="55" t="s">
        <v>3536</v>
      </c>
      <c r="D998" s="55" t="s">
        <v>3918</v>
      </c>
      <c r="E998" s="55" t="s">
        <v>3920</v>
      </c>
      <c r="G998" s="60">
        <v>750</v>
      </c>
      <c r="H998"/>
      <c r="J998">
        <v>1220</v>
      </c>
      <c r="N998">
        <v>103</v>
      </c>
      <c r="O998">
        <f t="shared" si="377"/>
        <v>1</v>
      </c>
      <c r="P998" s="57">
        <f t="shared" si="378"/>
        <v>1</v>
      </c>
      <c r="Q998" s="267">
        <f t="shared" si="379"/>
        <v>1113</v>
      </c>
      <c r="R998" s="23">
        <f t="shared" si="380"/>
        <v>750</v>
      </c>
      <c r="S998" s="23">
        <f t="shared" si="381"/>
        <v>363</v>
      </c>
      <c r="T998" s="23">
        <f t="shared" si="382"/>
        <v>387</v>
      </c>
      <c r="U998" t="str">
        <f t="shared" si="383"/>
        <v>CA_Orang_2020g~city of los alamitos member, city council, district 2 (vote 1)</v>
      </c>
      <c r="W998" s="1">
        <f t="shared" si="384"/>
        <v>29</v>
      </c>
      <c r="X998" s="73">
        <f t="shared" si="393"/>
        <v>133.81666666666669</v>
      </c>
      <c r="Y998" s="322">
        <f t="shared" si="385"/>
        <v>133.81666666666669</v>
      </c>
      <c r="Z998" s="43">
        <f t="shared" si="394"/>
        <v>78.662065791417859</v>
      </c>
      <c r="AA998" s="52">
        <f t="shared" si="386"/>
        <v>0.78662065791417857</v>
      </c>
      <c r="AB998" s="8">
        <f t="shared" si="387"/>
        <v>3145.28</v>
      </c>
      <c r="AC998" s="8">
        <f t="shared" si="388"/>
        <v>157264</v>
      </c>
      <c r="AD998" s="8">
        <f t="shared" si="392"/>
        <v>786.32</v>
      </c>
      <c r="AE998" s="8" t="str">
        <f t="shared" si="389"/>
        <v/>
      </c>
      <c r="AF998" s="22" t="str">
        <f t="shared" si="390"/>
        <v>PA_Alleg_2019p</v>
      </c>
      <c r="AG998">
        <v>1</v>
      </c>
      <c r="AH998" s="272">
        <v>259</v>
      </c>
      <c r="AI998" s="273">
        <v>133</v>
      </c>
      <c r="AJ998" s="274">
        <v>121</v>
      </c>
      <c r="AK998" s="339">
        <v>12</v>
      </c>
      <c r="AL998" s="340" t="s">
        <v>2447</v>
      </c>
      <c r="AM998" s="364">
        <f t="shared" si="396"/>
        <v>7.6304812290161762E-5</v>
      </c>
      <c r="AO998" s="355" t="s">
        <v>6483</v>
      </c>
      <c r="AP998" s="23">
        <f t="shared" si="395"/>
        <v>0</v>
      </c>
      <c r="AQ998" s="392">
        <f t="shared" si="375"/>
        <v>0</v>
      </c>
      <c r="AR998" s="392">
        <f t="shared" si="376"/>
        <v>0</v>
      </c>
      <c r="AS998" s="392">
        <f t="shared" si="376"/>
        <v>0</v>
      </c>
    </row>
    <row r="999" spans="1:45">
      <c r="A999" t="str">
        <f t="shared" si="397"/>
        <v>CA_Orang_2020g~city of los alamitos member, city council, district 2 (vote 1)</v>
      </c>
      <c r="B999" s="55" t="s">
        <v>3536</v>
      </c>
      <c r="D999" s="55" t="s">
        <v>3918</v>
      </c>
      <c r="E999" s="55" t="s">
        <v>3919</v>
      </c>
      <c r="G999" s="60">
        <v>363</v>
      </c>
      <c r="H999"/>
      <c r="J999">
        <v>1220</v>
      </c>
      <c r="N999">
        <v>103</v>
      </c>
      <c r="O999">
        <f t="shared" si="377"/>
        <v>2</v>
      </c>
      <c r="P999" s="57">
        <f t="shared" si="378"/>
        <v>1</v>
      </c>
      <c r="Q999" s="267">
        <f t="shared" si="379"/>
        <v>363</v>
      </c>
      <c r="R999" s="23" t="str">
        <f t="shared" si="380"/>
        <v/>
      </c>
      <c r="S999" s="23">
        <f t="shared" si="381"/>
        <v>363</v>
      </c>
      <c r="T999" s="23" t="str">
        <f t="shared" si="382"/>
        <v/>
      </c>
      <c r="U999" t="str">
        <f t="shared" si="383"/>
        <v/>
      </c>
      <c r="W999" s="1">
        <f t="shared" si="384"/>
        <v>30</v>
      </c>
      <c r="X999" s="73">
        <f t="shared" si="393"/>
        <v>47.215384615384615</v>
      </c>
      <c r="Y999" s="322">
        <f t="shared" si="385"/>
        <v>47.215384615384615</v>
      </c>
      <c r="Z999" s="43">
        <f t="shared" si="394"/>
        <v>77.104329946985047</v>
      </c>
      <c r="AA999" s="52">
        <f t="shared" si="386"/>
        <v>0.77104329946985051</v>
      </c>
      <c r="AB999" s="8">
        <f t="shared" si="387"/>
        <v>3145.28</v>
      </c>
      <c r="AC999" s="8">
        <f t="shared" si="388"/>
        <v>157264</v>
      </c>
      <c r="AD999" s="8">
        <f t="shared" si="392"/>
        <v>786.32</v>
      </c>
      <c r="AE999" s="8" t="str">
        <f t="shared" si="389"/>
        <v/>
      </c>
      <c r="AF999" s="22" t="str">
        <f t="shared" si="390"/>
        <v>PA_Alleg_2019p</v>
      </c>
      <c r="AG999" s="89">
        <v>3</v>
      </c>
      <c r="AH999" s="274">
        <v>99</v>
      </c>
      <c r="AI999" s="279">
        <v>64</v>
      </c>
      <c r="AJ999" s="280">
        <v>51</v>
      </c>
      <c r="AK999" s="92">
        <v>13</v>
      </c>
      <c r="AL999" s="23" t="s">
        <v>2430</v>
      </c>
      <c r="AM999" s="363">
        <f t="shared" si="396"/>
        <v>8.2663546647675251E-5</v>
      </c>
      <c r="AO999" s="355" t="s">
        <v>6483</v>
      </c>
      <c r="AP999" s="23">
        <f t="shared" si="395"/>
        <v>0</v>
      </c>
      <c r="AQ999" s="392">
        <f t="shared" si="375"/>
        <v>0</v>
      </c>
      <c r="AR999" s="392">
        <f t="shared" si="376"/>
        <v>0</v>
      </c>
      <c r="AS999" s="392">
        <f t="shared" si="376"/>
        <v>0</v>
      </c>
    </row>
    <row r="1000" spans="1:45">
      <c r="A1000" t="str">
        <f t="shared" si="397"/>
        <v>CA_Orang_2020g~city of los alamitos member, city council, district 3 (vote 1)</v>
      </c>
      <c r="B1000" s="55" t="s">
        <v>3536</v>
      </c>
      <c r="D1000" s="55" t="s">
        <v>3921</v>
      </c>
      <c r="E1000" s="55" t="s">
        <v>3922</v>
      </c>
      <c r="G1000" s="60">
        <v>821</v>
      </c>
      <c r="H1000"/>
      <c r="J1000">
        <v>1276</v>
      </c>
      <c r="N1000">
        <v>405</v>
      </c>
      <c r="O1000">
        <f t="shared" si="377"/>
        <v>1</v>
      </c>
      <c r="P1000" s="57">
        <f t="shared" si="378"/>
        <v>1</v>
      </c>
      <c r="Q1000" s="267">
        <f t="shared" si="379"/>
        <v>821</v>
      </c>
      <c r="R1000" s="23">
        <f t="shared" si="380"/>
        <v>821</v>
      </c>
      <c r="S1000" s="23">
        <f t="shared" si="381"/>
        <v>0</v>
      </c>
      <c r="T1000" s="23" t="str">
        <f t="shared" si="382"/>
        <v/>
      </c>
      <c r="U1000" t="str">
        <f t="shared" si="383"/>
        <v>CA_Orang_2020g~city of los alamitos member, city council, district 3 (vote 1)</v>
      </c>
      <c r="W1000" s="1">
        <f t="shared" si="384"/>
        <v>31</v>
      </c>
      <c r="X1000" s="73">
        <f t="shared" si="393"/>
        <v>459.59714285714284</v>
      </c>
      <c r="Y1000" s="322">
        <f t="shared" si="385"/>
        <v>459.59714285714284</v>
      </c>
      <c r="Z1000" s="43">
        <f t="shared" si="394"/>
        <v>75.577432153247486</v>
      </c>
      <c r="AA1000" s="52">
        <f t="shared" si="386"/>
        <v>0.75577432153247492</v>
      </c>
      <c r="AB1000" s="8">
        <f t="shared" si="387"/>
        <v>3145.28</v>
      </c>
      <c r="AC1000" s="8">
        <f t="shared" si="388"/>
        <v>157264</v>
      </c>
      <c r="AD1000" s="8">
        <f t="shared" si="392"/>
        <v>786.32</v>
      </c>
      <c r="AE1000" s="8" t="str">
        <f t="shared" si="389"/>
        <v/>
      </c>
      <c r="AF1000" s="22" t="str">
        <f t="shared" si="390"/>
        <v>PA_Alleg_2019p</v>
      </c>
      <c r="AG1000">
        <v>5</v>
      </c>
      <c r="AH1000" s="272">
        <v>1037.8</v>
      </c>
      <c r="AI1000" s="273">
        <v>373</v>
      </c>
      <c r="AJ1000" s="274">
        <v>359</v>
      </c>
      <c r="AK1000" s="339">
        <v>14</v>
      </c>
      <c r="AL1000" s="340" t="s">
        <v>2445</v>
      </c>
      <c r="AM1000" s="363">
        <f t="shared" si="396"/>
        <v>8.9022281005188725E-5</v>
      </c>
      <c r="AO1000" s="355" t="s">
        <v>6483</v>
      </c>
      <c r="AP1000" s="23">
        <f t="shared" si="395"/>
        <v>0</v>
      </c>
      <c r="AQ1000" s="392">
        <f t="shared" si="375"/>
        <v>0</v>
      </c>
      <c r="AR1000" s="392">
        <f t="shared" si="376"/>
        <v>0</v>
      </c>
      <c r="AS1000" s="392">
        <f t="shared" si="376"/>
        <v>0</v>
      </c>
    </row>
    <row r="1001" spans="1:45">
      <c r="A1001" t="str">
        <f t="shared" si="397"/>
        <v>CA_Orang_2020g~city of mission viejo member, city council, two-year term (vote 1)</v>
      </c>
      <c r="B1001" s="55" t="s">
        <v>3536</v>
      </c>
      <c r="D1001" s="55" t="s">
        <v>3923</v>
      </c>
      <c r="E1001" s="55" t="s">
        <v>3927</v>
      </c>
      <c r="G1001" s="60">
        <v>25865</v>
      </c>
      <c r="H1001"/>
      <c r="J1001">
        <v>58981</v>
      </c>
      <c r="N1001">
        <v>30488</v>
      </c>
      <c r="O1001">
        <f t="shared" si="377"/>
        <v>1</v>
      </c>
      <c r="P1001" s="57">
        <f t="shared" si="378"/>
        <v>1</v>
      </c>
      <c r="Q1001" s="267">
        <f t="shared" si="379"/>
        <v>87007</v>
      </c>
      <c r="R1001" s="23">
        <f t="shared" si="380"/>
        <v>25865</v>
      </c>
      <c r="S1001" s="23">
        <f t="shared" si="381"/>
        <v>24856</v>
      </c>
      <c r="T1001" s="23">
        <f t="shared" si="382"/>
        <v>1009</v>
      </c>
      <c r="U1001" t="str">
        <f t="shared" si="383"/>
        <v>CA_Orang_2020g~city of mission viejo member, city council, two-year term (vote 1)</v>
      </c>
      <c r="W1001" s="1">
        <f t="shared" si="384"/>
        <v>32</v>
      </c>
      <c r="X1001" s="73">
        <f t="shared" si="393"/>
        <v>207.99523809523811</v>
      </c>
      <c r="Y1001" s="322">
        <f t="shared" si="385"/>
        <v>207.99523809523811</v>
      </c>
      <c r="Z1001" s="43">
        <f t="shared" si="394"/>
        <v>75.577432153247486</v>
      </c>
      <c r="AA1001" s="52">
        <f t="shared" si="386"/>
        <v>0.75577432153247492</v>
      </c>
      <c r="AB1001" s="8">
        <f t="shared" si="387"/>
        <v>3145.28</v>
      </c>
      <c r="AC1001" s="8">
        <f t="shared" si="388"/>
        <v>157264</v>
      </c>
      <c r="AD1001" s="8">
        <f t="shared" si="392"/>
        <v>786.32</v>
      </c>
      <c r="AE1001" s="8" t="str">
        <f t="shared" si="389"/>
        <v/>
      </c>
      <c r="AF1001" s="22" t="str">
        <f t="shared" si="390"/>
        <v>PA_Alleg_2019p</v>
      </c>
      <c r="AG1001">
        <v>3</v>
      </c>
      <c r="AH1001" s="272">
        <v>469.66666666666669</v>
      </c>
      <c r="AI1001" s="273">
        <v>332</v>
      </c>
      <c r="AJ1001" s="274">
        <v>318</v>
      </c>
      <c r="AK1001" s="339">
        <v>14</v>
      </c>
      <c r="AL1001" s="340" t="s">
        <v>2356</v>
      </c>
      <c r="AM1001" s="363">
        <f t="shared" si="396"/>
        <v>8.9022281005188725E-5</v>
      </c>
      <c r="AO1001" s="355" t="s">
        <v>6483</v>
      </c>
      <c r="AP1001" s="23">
        <f t="shared" si="395"/>
        <v>0</v>
      </c>
      <c r="AQ1001" s="392">
        <f t="shared" ref="AQ1001:AQ1064" si="398">IF($AP1001=$AD1001,1,IF($AP1001=0,0, 1-HYPGEOMDIST(0, ROUNDUP(RIGHT(AQ$1,4)*$AD1001,0),$AP1001, $AD1001)))</f>
        <v>0</v>
      </c>
      <c r="AR1001" s="392">
        <f t="shared" ref="AR1001:AS1064" si="399">IF($AP1001=$AD1001,1,IF($AP1001=0,0, 1-HYPGEOMDIST(0, ROUNDUP(RIGHT(AR$1,4)*$AD1001,0),$AP1001, $AD1001)))</f>
        <v>0</v>
      </c>
      <c r="AS1001" s="392">
        <f t="shared" si="399"/>
        <v>0</v>
      </c>
    </row>
    <row r="1002" spans="1:45">
      <c r="A1002" t="str">
        <f t="shared" si="397"/>
        <v>CA_Orang_2020g~city of mission viejo member, city council, two-year term (vote 1)</v>
      </c>
      <c r="B1002" s="55" t="s">
        <v>3536</v>
      </c>
      <c r="D1002" s="55" t="s">
        <v>3923</v>
      </c>
      <c r="E1002" s="55" t="s">
        <v>3929</v>
      </c>
      <c r="G1002" s="60">
        <v>24856</v>
      </c>
      <c r="H1002"/>
      <c r="J1002">
        <v>58981</v>
      </c>
      <c r="N1002">
        <v>30488</v>
      </c>
      <c r="O1002">
        <f t="shared" si="377"/>
        <v>2</v>
      </c>
      <c r="P1002" s="57">
        <f t="shared" si="378"/>
        <v>1</v>
      </c>
      <c r="Q1002" s="267">
        <f t="shared" si="379"/>
        <v>61142</v>
      </c>
      <c r="R1002" s="23" t="str">
        <f t="shared" si="380"/>
        <v/>
      </c>
      <c r="S1002" s="23">
        <f t="shared" si="381"/>
        <v>24856</v>
      </c>
      <c r="T1002" s="23" t="str">
        <f t="shared" si="382"/>
        <v/>
      </c>
      <c r="U1002" t="str">
        <f t="shared" si="383"/>
        <v/>
      </c>
      <c r="W1002" s="1">
        <f t="shared" si="384"/>
        <v>33</v>
      </c>
      <c r="X1002" s="73">
        <f t="shared" si="393"/>
        <v>66.960000000000008</v>
      </c>
      <c r="Y1002" s="322">
        <f t="shared" si="385"/>
        <v>66.960000000000008</v>
      </c>
      <c r="Z1002" s="43">
        <f t="shared" si="394"/>
        <v>74.080762108452021</v>
      </c>
      <c r="AA1002" s="52">
        <f t="shared" si="386"/>
        <v>0.74080762108452014</v>
      </c>
      <c r="AB1002" s="8">
        <f t="shared" si="387"/>
        <v>3145.28</v>
      </c>
      <c r="AC1002" s="8">
        <f t="shared" si="388"/>
        <v>157264</v>
      </c>
      <c r="AD1002" s="8">
        <f t="shared" si="392"/>
        <v>786.32</v>
      </c>
      <c r="AE1002" s="8" t="str">
        <f t="shared" si="389"/>
        <v/>
      </c>
      <c r="AF1002" s="22" t="str">
        <f t="shared" si="390"/>
        <v>PA_Alleg_2019p</v>
      </c>
      <c r="AG1002">
        <v>1</v>
      </c>
      <c r="AH1002" s="272">
        <v>162</v>
      </c>
      <c r="AI1002" s="273">
        <v>74</v>
      </c>
      <c r="AJ1002" s="274">
        <v>59</v>
      </c>
      <c r="AK1002" s="339">
        <v>15</v>
      </c>
      <c r="AL1002" s="340" t="s">
        <v>2397</v>
      </c>
      <c r="AM1002" s="363">
        <f t="shared" si="396"/>
        <v>9.5381015362702213E-5</v>
      </c>
      <c r="AO1002" s="355" t="s">
        <v>6483</v>
      </c>
      <c r="AP1002" s="23">
        <f t="shared" si="395"/>
        <v>0</v>
      </c>
      <c r="AQ1002" s="392">
        <f t="shared" si="398"/>
        <v>0</v>
      </c>
      <c r="AR1002" s="392">
        <f t="shared" si="399"/>
        <v>0</v>
      </c>
      <c r="AS1002" s="392">
        <f t="shared" si="399"/>
        <v>0</v>
      </c>
    </row>
    <row r="1003" spans="1:45">
      <c r="A1003" t="str">
        <f t="shared" si="397"/>
        <v>CA_Orang_2020g~city of mission viejo member, city council, two-year term (vote 1)</v>
      </c>
      <c r="B1003" s="55" t="s">
        <v>3536</v>
      </c>
      <c r="D1003" s="55" t="s">
        <v>3923</v>
      </c>
      <c r="E1003" s="55" t="s">
        <v>3930</v>
      </c>
      <c r="G1003" s="60">
        <v>9532</v>
      </c>
      <c r="H1003"/>
      <c r="J1003">
        <v>58981</v>
      </c>
      <c r="N1003">
        <v>30488</v>
      </c>
      <c r="O1003">
        <f t="shared" si="377"/>
        <v>3</v>
      </c>
      <c r="P1003" s="57">
        <f t="shared" si="378"/>
        <v>1</v>
      </c>
      <c r="Q1003" s="267">
        <f t="shared" si="379"/>
        <v>36286</v>
      </c>
      <c r="R1003" s="23" t="str">
        <f t="shared" si="380"/>
        <v/>
      </c>
      <c r="S1003" s="23">
        <f t="shared" si="381"/>
        <v>9532</v>
      </c>
      <c r="T1003" s="23" t="str">
        <f t="shared" si="382"/>
        <v/>
      </c>
      <c r="U1003" t="str">
        <f t="shared" si="383"/>
        <v/>
      </c>
      <c r="W1003" s="1">
        <f t="shared" si="384"/>
        <v>34</v>
      </c>
      <c r="X1003" s="73">
        <f t="shared" si="393"/>
        <v>11.625</v>
      </c>
      <c r="Y1003" s="322">
        <f t="shared" si="385"/>
        <v>11.625</v>
      </c>
      <c r="Z1003" s="43">
        <f t="shared" si="394"/>
        <v>72.61372158528178</v>
      </c>
      <c r="AA1003" s="52">
        <f t="shared" si="386"/>
        <v>0.72613721585281787</v>
      </c>
      <c r="AB1003" s="8">
        <f t="shared" si="387"/>
        <v>3145.28</v>
      </c>
      <c r="AC1003" s="8">
        <f t="shared" si="388"/>
        <v>157264</v>
      </c>
      <c r="AD1003" s="8">
        <f t="shared" si="392"/>
        <v>786.32</v>
      </c>
      <c r="AE1003" s="8" t="str">
        <f t="shared" si="389"/>
        <v/>
      </c>
      <c r="AF1003" s="22" t="str">
        <f t="shared" si="390"/>
        <v>PA_Alleg_2019p</v>
      </c>
      <c r="AG1003">
        <v>1</v>
      </c>
      <c r="AH1003" s="272">
        <v>30</v>
      </c>
      <c r="AI1003" s="273">
        <v>23</v>
      </c>
      <c r="AJ1003" s="274">
        <v>7</v>
      </c>
      <c r="AK1003" s="339">
        <v>16</v>
      </c>
      <c r="AL1003" s="340" t="s">
        <v>2346</v>
      </c>
      <c r="AM1003" s="363">
        <f t="shared" si="396"/>
        <v>1.0173974972021569E-4</v>
      </c>
      <c r="AO1003" s="355" t="s">
        <v>6483</v>
      </c>
      <c r="AP1003" s="23">
        <f t="shared" si="395"/>
        <v>0</v>
      </c>
      <c r="AQ1003" s="392">
        <f t="shared" si="398"/>
        <v>0</v>
      </c>
      <c r="AR1003" s="392">
        <f t="shared" si="399"/>
        <v>0</v>
      </c>
      <c r="AS1003" s="392">
        <f t="shared" si="399"/>
        <v>0</v>
      </c>
    </row>
    <row r="1004" spans="1:45">
      <c r="A1004" t="str">
        <f t="shared" si="397"/>
        <v>CA_Orang_2020g~city of mission viejo member, city council, two-year term (vote 1)</v>
      </c>
      <c r="B1004" s="55" t="s">
        <v>3536</v>
      </c>
      <c r="D1004" s="55" t="s">
        <v>3923</v>
      </c>
      <c r="E1004" s="55" t="s">
        <v>3926</v>
      </c>
      <c r="G1004" s="60">
        <v>8420</v>
      </c>
      <c r="H1004"/>
      <c r="J1004">
        <v>58981</v>
      </c>
      <c r="N1004">
        <v>30488</v>
      </c>
      <c r="O1004">
        <f t="shared" si="377"/>
        <v>4</v>
      </c>
      <c r="P1004" s="57">
        <f t="shared" si="378"/>
        <v>1</v>
      </c>
      <c r="Q1004" s="267">
        <f t="shared" si="379"/>
        <v>26754</v>
      </c>
      <c r="R1004" s="23" t="str">
        <f t="shared" si="380"/>
        <v/>
      </c>
      <c r="S1004" s="23">
        <f t="shared" si="381"/>
        <v>8420</v>
      </c>
      <c r="T1004" s="23" t="str">
        <f t="shared" si="382"/>
        <v/>
      </c>
      <c r="U1004" t="str">
        <f t="shared" si="383"/>
        <v/>
      </c>
      <c r="W1004" s="1">
        <f t="shared" si="384"/>
        <v>35</v>
      </c>
      <c r="X1004" s="73">
        <f t="shared" si="393"/>
        <v>117.28941176470589</v>
      </c>
      <c r="Y1004" s="322">
        <f t="shared" si="385"/>
        <v>117.28941176470589</v>
      </c>
      <c r="Z1004" s="43">
        <f t="shared" si="394"/>
        <v>71.175724192020922</v>
      </c>
      <c r="AA1004" s="52">
        <f t="shared" si="386"/>
        <v>0.71175724192020928</v>
      </c>
      <c r="AB1004" s="8">
        <f t="shared" si="387"/>
        <v>3145.28</v>
      </c>
      <c r="AC1004" s="8">
        <f t="shared" si="388"/>
        <v>157264</v>
      </c>
      <c r="AD1004" s="8">
        <f t="shared" si="392"/>
        <v>786.32</v>
      </c>
      <c r="AE1004" s="8" t="str">
        <f t="shared" si="389"/>
        <v/>
      </c>
      <c r="AF1004" s="22" t="str">
        <f t="shared" si="390"/>
        <v>PA_Alleg_2019p</v>
      </c>
      <c r="AG1004">
        <v>5</v>
      </c>
      <c r="AH1004" s="272">
        <v>321.60000000000002</v>
      </c>
      <c r="AI1004" s="273">
        <v>167</v>
      </c>
      <c r="AJ1004" s="274">
        <v>150</v>
      </c>
      <c r="AK1004" s="339">
        <v>17</v>
      </c>
      <c r="AL1004" s="340" t="s">
        <v>2463</v>
      </c>
      <c r="AM1004" s="364">
        <f t="shared" si="396"/>
        <v>1.0809848407772916E-4</v>
      </c>
      <c r="AO1004" s="355" t="s">
        <v>6483</v>
      </c>
      <c r="AP1004" s="23">
        <f t="shared" si="395"/>
        <v>0</v>
      </c>
      <c r="AQ1004" s="392">
        <f t="shared" si="398"/>
        <v>0</v>
      </c>
      <c r="AR1004" s="392">
        <f t="shared" si="399"/>
        <v>0</v>
      </c>
      <c r="AS1004" s="392">
        <f t="shared" si="399"/>
        <v>0</v>
      </c>
    </row>
    <row r="1005" spans="1:45">
      <c r="A1005" t="str">
        <f t="shared" si="397"/>
        <v>CA_Orang_2020g~city of mission viejo member, city council, two-year term (vote 1)</v>
      </c>
      <c r="B1005" s="55" t="s">
        <v>3536</v>
      </c>
      <c r="D1005" s="55" t="s">
        <v>3923</v>
      </c>
      <c r="E1005" s="55" t="s">
        <v>3928</v>
      </c>
      <c r="G1005" s="60">
        <v>5696</v>
      </c>
      <c r="H1005"/>
      <c r="J1005">
        <v>58981</v>
      </c>
      <c r="N1005">
        <v>30488</v>
      </c>
      <c r="O1005">
        <f t="shared" si="377"/>
        <v>5</v>
      </c>
      <c r="P1005" s="57">
        <f t="shared" si="378"/>
        <v>1</v>
      </c>
      <c r="Q1005" s="267">
        <f t="shared" si="379"/>
        <v>18334</v>
      </c>
      <c r="R1005" s="23" t="str">
        <f t="shared" si="380"/>
        <v/>
      </c>
      <c r="S1005" s="23">
        <f t="shared" si="381"/>
        <v>5696</v>
      </c>
      <c r="T1005" s="23" t="str">
        <f t="shared" si="382"/>
        <v/>
      </c>
      <c r="U1005" t="str">
        <f t="shared" si="383"/>
        <v/>
      </c>
      <c r="W1005" s="1">
        <f t="shared" si="384"/>
        <v>36</v>
      </c>
      <c r="X1005" s="73">
        <f t="shared" si="393"/>
        <v>88.258823529411771</v>
      </c>
      <c r="Y1005" s="322">
        <f t="shared" si="385"/>
        <v>88.258823529411771</v>
      </c>
      <c r="Z1005" s="43">
        <f t="shared" si="394"/>
        <v>71.175724192020922</v>
      </c>
      <c r="AA1005" s="52">
        <f t="shared" si="386"/>
        <v>0.71175724192020928</v>
      </c>
      <c r="AB1005" s="8">
        <f t="shared" si="387"/>
        <v>3145.28</v>
      </c>
      <c r="AC1005" s="8">
        <f t="shared" si="388"/>
        <v>157264</v>
      </c>
      <c r="AD1005" s="8">
        <f t="shared" si="392"/>
        <v>786.32</v>
      </c>
      <c r="AE1005" s="8" t="str">
        <f t="shared" si="389"/>
        <v/>
      </c>
      <c r="AF1005" s="22" t="str">
        <f t="shared" si="390"/>
        <v>PA_Alleg_2019p</v>
      </c>
      <c r="AG1005">
        <v>2</v>
      </c>
      <c r="AH1005" s="272">
        <v>242</v>
      </c>
      <c r="AI1005" s="273">
        <v>147</v>
      </c>
      <c r="AJ1005" s="274">
        <v>130</v>
      </c>
      <c r="AK1005" s="339">
        <v>17</v>
      </c>
      <c r="AL1005" s="340" t="s">
        <v>2417</v>
      </c>
      <c r="AM1005" s="363">
        <f t="shared" si="396"/>
        <v>1.0809848407772916E-4</v>
      </c>
      <c r="AO1005" s="355" t="s">
        <v>6483</v>
      </c>
      <c r="AP1005" s="23">
        <f t="shared" si="395"/>
        <v>0</v>
      </c>
      <c r="AQ1005" s="392">
        <f t="shared" si="398"/>
        <v>0</v>
      </c>
      <c r="AR1005" s="392">
        <f t="shared" si="399"/>
        <v>0</v>
      </c>
      <c r="AS1005" s="392">
        <f t="shared" si="399"/>
        <v>0</v>
      </c>
    </row>
    <row r="1006" spans="1:45">
      <c r="A1006" t="str">
        <f t="shared" si="397"/>
        <v>CA_Orang_2020g~city of mission viejo member, city council, two-year term (vote 1)</v>
      </c>
      <c r="B1006" s="55" t="s">
        <v>3536</v>
      </c>
      <c r="D1006" s="55" t="s">
        <v>3923</v>
      </c>
      <c r="E1006" s="55" t="s">
        <v>3925</v>
      </c>
      <c r="G1006" s="60">
        <v>4384</v>
      </c>
      <c r="H1006"/>
      <c r="J1006">
        <v>58981</v>
      </c>
      <c r="N1006">
        <v>30488</v>
      </c>
      <c r="O1006">
        <f t="shared" si="377"/>
        <v>6</v>
      </c>
      <c r="P1006" s="57">
        <f t="shared" si="378"/>
        <v>1</v>
      </c>
      <c r="Q1006" s="267">
        <f t="shared" si="379"/>
        <v>12638</v>
      </c>
      <c r="R1006" s="23" t="str">
        <f t="shared" si="380"/>
        <v/>
      </c>
      <c r="S1006" s="23">
        <f t="shared" si="381"/>
        <v>4384</v>
      </c>
      <c r="T1006" s="23" t="str">
        <f t="shared" si="382"/>
        <v/>
      </c>
      <c r="U1006" t="str">
        <f t="shared" si="383"/>
        <v/>
      </c>
      <c r="W1006" s="1">
        <f t="shared" si="384"/>
        <v>37</v>
      </c>
      <c r="X1006" s="73">
        <f t="shared" si="393"/>
        <v>133.85111111111112</v>
      </c>
      <c r="Y1006" s="322">
        <f t="shared" si="385"/>
        <v>133.85111111111112</v>
      </c>
      <c r="Z1006" s="43">
        <f t="shared" si="394"/>
        <v>69.76619513856555</v>
      </c>
      <c r="AA1006" s="52">
        <f t="shared" si="386"/>
        <v>0.69766195138565557</v>
      </c>
      <c r="AB1006" s="8">
        <f t="shared" si="387"/>
        <v>3145.28</v>
      </c>
      <c r="AC1006" s="8">
        <f t="shared" si="388"/>
        <v>157264</v>
      </c>
      <c r="AD1006" s="8">
        <f t="shared" si="392"/>
        <v>786.32</v>
      </c>
      <c r="AE1006" s="8" t="str">
        <f t="shared" si="389"/>
        <v/>
      </c>
      <c r="AF1006" s="22" t="str">
        <f t="shared" si="390"/>
        <v>PA_Alleg_2019p</v>
      </c>
      <c r="AG1006">
        <v>5</v>
      </c>
      <c r="AH1006" s="272">
        <v>388.6</v>
      </c>
      <c r="AI1006" s="273">
        <v>237</v>
      </c>
      <c r="AJ1006" s="274">
        <v>219</v>
      </c>
      <c r="AK1006" s="339">
        <v>18</v>
      </c>
      <c r="AL1006" s="340" t="s">
        <v>2464</v>
      </c>
      <c r="AM1006" s="363">
        <f t="shared" si="396"/>
        <v>1.1445721843524265E-4</v>
      </c>
      <c r="AO1006" s="355" t="s">
        <v>6483</v>
      </c>
      <c r="AP1006" s="23">
        <f t="shared" si="395"/>
        <v>0</v>
      </c>
      <c r="AQ1006" s="392">
        <f t="shared" si="398"/>
        <v>0</v>
      </c>
      <c r="AR1006" s="392">
        <f t="shared" si="399"/>
        <v>0</v>
      </c>
      <c r="AS1006" s="392">
        <f t="shared" si="399"/>
        <v>0</v>
      </c>
    </row>
    <row r="1007" spans="1:45">
      <c r="A1007" t="str">
        <f t="shared" si="397"/>
        <v>CA_Orang_2020g~city of mission viejo member, city council, two-year term (vote 1)</v>
      </c>
      <c r="B1007" s="55" t="s">
        <v>3536</v>
      </c>
      <c r="D1007" s="55" t="s">
        <v>3923</v>
      </c>
      <c r="E1007" s="55" t="s">
        <v>3924</v>
      </c>
      <c r="G1007" s="60">
        <v>4340</v>
      </c>
      <c r="H1007"/>
      <c r="J1007">
        <v>58981</v>
      </c>
      <c r="N1007">
        <v>30488</v>
      </c>
      <c r="O1007">
        <f t="shared" si="377"/>
        <v>7</v>
      </c>
      <c r="P1007" s="57">
        <f t="shared" si="378"/>
        <v>1</v>
      </c>
      <c r="Q1007" s="267">
        <f t="shared" si="379"/>
        <v>8254</v>
      </c>
      <c r="R1007" s="23" t="str">
        <f t="shared" si="380"/>
        <v/>
      </c>
      <c r="S1007" s="23">
        <f t="shared" si="381"/>
        <v>4340</v>
      </c>
      <c r="T1007" s="23" t="str">
        <f t="shared" si="382"/>
        <v/>
      </c>
      <c r="U1007" t="str">
        <f t="shared" si="383"/>
        <v/>
      </c>
      <c r="W1007" s="1">
        <f t="shared" si="384"/>
        <v>38</v>
      </c>
      <c r="X1007" s="73">
        <f t="shared" si="393"/>
        <v>120.21111111111111</v>
      </c>
      <c r="Y1007" s="322">
        <f t="shared" si="385"/>
        <v>120.21111111111111</v>
      </c>
      <c r="Z1007" s="43">
        <f t="shared" si="394"/>
        <v>69.76619513856555</v>
      </c>
      <c r="AA1007" s="52">
        <f t="shared" si="386"/>
        <v>0.69766195138565557</v>
      </c>
      <c r="AB1007" s="8">
        <f t="shared" si="387"/>
        <v>3145.28</v>
      </c>
      <c r="AC1007" s="8">
        <f t="shared" si="388"/>
        <v>157264</v>
      </c>
      <c r="AD1007" s="8">
        <f t="shared" si="392"/>
        <v>786.32</v>
      </c>
      <c r="AE1007" s="8" t="str">
        <f t="shared" si="389"/>
        <v/>
      </c>
      <c r="AF1007" s="22" t="str">
        <f t="shared" si="390"/>
        <v>PA_Alleg_2019p</v>
      </c>
      <c r="AG1007">
        <v>1</v>
      </c>
      <c r="AH1007" s="272">
        <v>349</v>
      </c>
      <c r="AI1007" s="273">
        <v>182</v>
      </c>
      <c r="AJ1007" s="274">
        <v>164</v>
      </c>
      <c r="AK1007" s="339">
        <v>18</v>
      </c>
      <c r="AL1007" s="340" t="s">
        <v>2332</v>
      </c>
      <c r="AM1007" s="363">
        <f t="shared" si="396"/>
        <v>1.1445721843524265E-4</v>
      </c>
      <c r="AO1007" s="355" t="s">
        <v>6483</v>
      </c>
      <c r="AP1007" s="23">
        <f t="shared" si="395"/>
        <v>0</v>
      </c>
      <c r="AQ1007" s="392">
        <f t="shared" si="398"/>
        <v>0</v>
      </c>
      <c r="AR1007" s="392">
        <f t="shared" si="399"/>
        <v>0</v>
      </c>
      <c r="AS1007" s="392">
        <f t="shared" si="399"/>
        <v>0</v>
      </c>
    </row>
    <row r="1008" spans="1:45">
      <c r="A1008" t="str">
        <f t="shared" si="397"/>
        <v>CA_Orang_2020g~city of mission viejo member, city council, two-year term (vote 1)</v>
      </c>
      <c r="B1008" s="55" t="s">
        <v>3536</v>
      </c>
      <c r="D1008" s="55" t="s">
        <v>3923</v>
      </c>
      <c r="E1008" s="55" t="s">
        <v>3931</v>
      </c>
      <c r="G1008" s="60">
        <v>3914</v>
      </c>
      <c r="H1008"/>
      <c r="J1008">
        <v>58981</v>
      </c>
      <c r="N1008">
        <v>30488</v>
      </c>
      <c r="O1008">
        <f t="shared" si="377"/>
        <v>8</v>
      </c>
      <c r="P1008" s="57">
        <f t="shared" si="378"/>
        <v>1</v>
      </c>
      <c r="Q1008" s="267">
        <f t="shared" si="379"/>
        <v>3914</v>
      </c>
      <c r="R1008" s="23" t="str">
        <f t="shared" si="380"/>
        <v/>
      </c>
      <c r="S1008" s="23">
        <f t="shared" si="381"/>
        <v>3914</v>
      </c>
      <c r="T1008" s="23" t="str">
        <f t="shared" si="382"/>
        <v/>
      </c>
      <c r="U1008" t="str">
        <f t="shared" si="383"/>
        <v/>
      </c>
      <c r="W1008" s="1">
        <f t="shared" si="384"/>
        <v>39</v>
      </c>
      <c r="X1008" s="73">
        <f t="shared" si="393"/>
        <v>35.133333333333333</v>
      </c>
      <c r="Y1008" s="322">
        <f t="shared" si="385"/>
        <v>35.133333333333333</v>
      </c>
      <c r="Z1008" s="43">
        <f t="shared" si="394"/>
        <v>69.76619513856555</v>
      </c>
      <c r="AA1008" s="52">
        <f t="shared" si="386"/>
        <v>0.69766195138565557</v>
      </c>
      <c r="AB1008" s="8">
        <f t="shared" si="387"/>
        <v>3145.28</v>
      </c>
      <c r="AC1008" s="8">
        <f t="shared" si="388"/>
        <v>157264</v>
      </c>
      <c r="AD1008" s="8">
        <f t="shared" si="392"/>
        <v>786.32</v>
      </c>
      <c r="AE1008" s="8" t="str">
        <f t="shared" si="389"/>
        <v/>
      </c>
      <c r="AF1008" s="22" t="str">
        <f t="shared" si="390"/>
        <v>PA_Alleg_2019p</v>
      </c>
      <c r="AG1008">
        <v>1</v>
      </c>
      <c r="AH1008" s="272">
        <v>102</v>
      </c>
      <c r="AI1008" s="273">
        <v>60</v>
      </c>
      <c r="AJ1008" s="274">
        <v>42</v>
      </c>
      <c r="AK1008" s="339">
        <v>18</v>
      </c>
      <c r="AL1008" s="340" t="s">
        <v>2354</v>
      </c>
      <c r="AM1008" s="363">
        <f t="shared" si="396"/>
        <v>1.1445721843524265E-4</v>
      </c>
      <c r="AO1008" s="355" t="s">
        <v>6483</v>
      </c>
      <c r="AP1008" s="23">
        <f t="shared" si="395"/>
        <v>0</v>
      </c>
      <c r="AQ1008" s="392">
        <f t="shared" si="398"/>
        <v>0</v>
      </c>
      <c r="AR1008" s="392">
        <f t="shared" si="399"/>
        <v>0</v>
      </c>
      <c r="AS1008" s="392">
        <f t="shared" si="399"/>
        <v>0</v>
      </c>
    </row>
    <row r="1009" spans="1:45">
      <c r="A1009" t="str">
        <f t="shared" si="397"/>
        <v>CA_Orang_2020g~city of newport beach member, city council, district 2 (vote 1)</v>
      </c>
      <c r="B1009" s="55" t="s">
        <v>3536</v>
      </c>
      <c r="D1009" s="55" t="s">
        <v>3932</v>
      </c>
      <c r="E1009" s="55" t="s">
        <v>3934</v>
      </c>
      <c r="G1009" s="60">
        <v>28538</v>
      </c>
      <c r="H1009"/>
      <c r="J1009">
        <v>55826</v>
      </c>
      <c r="N1009">
        <v>7900</v>
      </c>
      <c r="O1009">
        <f t="shared" si="377"/>
        <v>1</v>
      </c>
      <c r="P1009" s="57">
        <f t="shared" si="378"/>
        <v>1</v>
      </c>
      <c r="Q1009" s="267">
        <f t="shared" si="379"/>
        <v>47697</v>
      </c>
      <c r="R1009" s="23">
        <f t="shared" si="380"/>
        <v>28538</v>
      </c>
      <c r="S1009" s="23">
        <f t="shared" si="381"/>
        <v>19159</v>
      </c>
      <c r="T1009" s="23">
        <f t="shared" si="382"/>
        <v>9379</v>
      </c>
      <c r="U1009" t="str">
        <f t="shared" si="383"/>
        <v>CA_Orang_2020g~city of newport beach member, city council, district 2 (vote 1)</v>
      </c>
      <c r="W1009" s="1">
        <f t="shared" si="384"/>
        <v>40</v>
      </c>
      <c r="X1009" s="73">
        <f t="shared" si="393"/>
        <v>280.46842105263158</v>
      </c>
      <c r="Y1009" s="322">
        <f t="shared" si="385"/>
        <v>280.46842105263158</v>
      </c>
      <c r="Z1009" s="43">
        <f t="shared" si="394"/>
        <v>68.384571006812749</v>
      </c>
      <c r="AA1009" s="52">
        <f t="shared" si="386"/>
        <v>0.68384571006812744</v>
      </c>
      <c r="AB1009" s="8">
        <f t="shared" si="387"/>
        <v>3145.28</v>
      </c>
      <c r="AC1009" s="8">
        <f t="shared" si="388"/>
        <v>157264</v>
      </c>
      <c r="AD1009" s="8">
        <f t="shared" si="392"/>
        <v>786.32</v>
      </c>
      <c r="AE1009" s="8" t="str">
        <f t="shared" si="389"/>
        <v/>
      </c>
      <c r="AF1009" s="22" t="str">
        <f t="shared" si="390"/>
        <v>PA_Alleg_2019p</v>
      </c>
      <c r="AG1009">
        <v>2</v>
      </c>
      <c r="AH1009" s="272">
        <v>859.5</v>
      </c>
      <c r="AI1009" s="273">
        <v>519</v>
      </c>
      <c r="AJ1009" s="274">
        <v>500</v>
      </c>
      <c r="AK1009" s="339">
        <v>19</v>
      </c>
      <c r="AL1009" s="340" t="s">
        <v>2438</v>
      </c>
      <c r="AM1009" s="363">
        <f t="shared" ref="AM1009:AM1040" si="400">AK1009/AC1009</f>
        <v>1.2081595279275612E-4</v>
      </c>
      <c r="AO1009" s="355" t="s">
        <v>6483</v>
      </c>
      <c r="AP1009" s="23">
        <f t="shared" si="395"/>
        <v>0</v>
      </c>
      <c r="AQ1009" s="392">
        <f t="shared" si="398"/>
        <v>0</v>
      </c>
      <c r="AR1009" s="392">
        <f t="shared" si="399"/>
        <v>0</v>
      </c>
      <c r="AS1009" s="392">
        <f t="shared" si="399"/>
        <v>0</v>
      </c>
    </row>
    <row r="1010" spans="1:45">
      <c r="A1010" t="str">
        <f t="shared" si="397"/>
        <v>CA_Orang_2020g~city of newport beach member, city council, district 2 (vote 1)</v>
      </c>
      <c r="B1010" s="55" t="s">
        <v>3536</v>
      </c>
      <c r="D1010" s="55" t="s">
        <v>3932</v>
      </c>
      <c r="E1010" s="55" t="s">
        <v>3933</v>
      </c>
      <c r="G1010" s="60">
        <v>19159</v>
      </c>
      <c r="H1010"/>
      <c r="J1010">
        <v>55826</v>
      </c>
      <c r="N1010">
        <v>7900</v>
      </c>
      <c r="O1010">
        <f t="shared" si="377"/>
        <v>2</v>
      </c>
      <c r="P1010" s="57">
        <f t="shared" si="378"/>
        <v>1</v>
      </c>
      <c r="Q1010" s="267">
        <f t="shared" si="379"/>
        <v>19159</v>
      </c>
      <c r="R1010" s="23" t="str">
        <f t="shared" si="380"/>
        <v/>
      </c>
      <c r="S1010" s="23">
        <f t="shared" si="381"/>
        <v>19159</v>
      </c>
      <c r="T1010" s="23" t="str">
        <f t="shared" si="382"/>
        <v/>
      </c>
      <c r="U1010" t="str">
        <f t="shared" si="383"/>
        <v/>
      </c>
      <c r="W1010" s="1">
        <f t="shared" si="384"/>
        <v>41</v>
      </c>
      <c r="X1010" s="73">
        <f t="shared" si="393"/>
        <v>106.05263157894737</v>
      </c>
      <c r="Y1010" s="322">
        <f t="shared" si="385"/>
        <v>106.05263157894737</v>
      </c>
      <c r="Z1010" s="43">
        <f t="shared" si="394"/>
        <v>68.384571006812749</v>
      </c>
      <c r="AA1010" s="52">
        <f t="shared" si="386"/>
        <v>0.68384571006812744</v>
      </c>
      <c r="AB1010" s="8">
        <f t="shared" si="387"/>
        <v>3145.28</v>
      </c>
      <c r="AC1010" s="8">
        <f t="shared" si="388"/>
        <v>157264</v>
      </c>
      <c r="AD1010" s="8">
        <f t="shared" si="392"/>
        <v>786.32</v>
      </c>
      <c r="AE1010" s="8" t="str">
        <f t="shared" si="389"/>
        <v/>
      </c>
      <c r="AF1010" s="22" t="str">
        <f t="shared" si="390"/>
        <v>PA_Alleg_2019p</v>
      </c>
      <c r="AG1010">
        <v>1</v>
      </c>
      <c r="AH1010" s="272">
        <v>325</v>
      </c>
      <c r="AI1010" s="273">
        <v>171</v>
      </c>
      <c r="AJ1010" s="274">
        <v>152</v>
      </c>
      <c r="AK1010" s="339">
        <v>19</v>
      </c>
      <c r="AL1010" s="340" t="s">
        <v>2442</v>
      </c>
      <c r="AM1010" s="363">
        <f t="shared" si="400"/>
        <v>1.2081595279275612E-4</v>
      </c>
      <c r="AO1010" s="355" t="s">
        <v>6483</v>
      </c>
      <c r="AP1010" s="23">
        <f t="shared" si="395"/>
        <v>0</v>
      </c>
      <c r="AQ1010" s="392">
        <f t="shared" si="398"/>
        <v>0</v>
      </c>
      <c r="AR1010" s="392">
        <f t="shared" si="399"/>
        <v>0</v>
      </c>
      <c r="AS1010" s="392">
        <f t="shared" si="399"/>
        <v>0</v>
      </c>
    </row>
    <row r="1011" spans="1:45">
      <c r="A1011" t="str">
        <f t="shared" si="397"/>
        <v>CA_Orang_2020g~city of newport beach member, city council, district 5 (vote 1)</v>
      </c>
      <c r="B1011" s="55" t="s">
        <v>3536</v>
      </c>
      <c r="D1011" s="55" t="s">
        <v>3935</v>
      </c>
      <c r="E1011" s="55" t="s">
        <v>3937</v>
      </c>
      <c r="G1011" s="60">
        <v>28470</v>
      </c>
      <c r="H1011"/>
      <c r="J1011">
        <v>55826</v>
      </c>
      <c r="N1011">
        <v>7801</v>
      </c>
      <c r="O1011">
        <f t="shared" si="377"/>
        <v>1</v>
      </c>
      <c r="P1011" s="57">
        <f t="shared" si="378"/>
        <v>1</v>
      </c>
      <c r="Q1011" s="267">
        <f t="shared" si="379"/>
        <v>47760</v>
      </c>
      <c r="R1011" s="23">
        <f t="shared" si="380"/>
        <v>28470</v>
      </c>
      <c r="S1011" s="23">
        <f t="shared" si="381"/>
        <v>19290</v>
      </c>
      <c r="T1011" s="23">
        <f t="shared" si="382"/>
        <v>9180</v>
      </c>
      <c r="U1011" t="str">
        <f t="shared" si="383"/>
        <v>CA_Orang_2020g~city of newport beach member, city council, district 5 (vote 1)</v>
      </c>
      <c r="W1011" s="1">
        <f t="shared" si="384"/>
        <v>42</v>
      </c>
      <c r="X1011" s="73">
        <f t="shared" si="393"/>
        <v>229.58600000000001</v>
      </c>
      <c r="Y1011" s="322">
        <f t="shared" si="385"/>
        <v>229.58600000000001</v>
      </c>
      <c r="Z1011" s="43">
        <f t="shared" si="394"/>
        <v>67.030299525838004</v>
      </c>
      <c r="AA1011" s="52">
        <f t="shared" si="386"/>
        <v>0.67030299525838</v>
      </c>
      <c r="AB1011" s="8">
        <f t="shared" si="387"/>
        <v>3145.28</v>
      </c>
      <c r="AC1011" s="8">
        <f t="shared" si="388"/>
        <v>157264</v>
      </c>
      <c r="AD1011" s="8">
        <f t="shared" si="392"/>
        <v>786.32</v>
      </c>
      <c r="AE1011" s="8" t="str">
        <f t="shared" si="389"/>
        <v/>
      </c>
      <c r="AF1011" s="22" t="str">
        <f t="shared" si="390"/>
        <v>PA_Alleg_2019p</v>
      </c>
      <c r="AG1011">
        <v>5</v>
      </c>
      <c r="AH1011" s="272">
        <v>740.6</v>
      </c>
      <c r="AI1011" s="273">
        <v>460</v>
      </c>
      <c r="AJ1011" s="274">
        <v>440</v>
      </c>
      <c r="AK1011" s="339">
        <v>20</v>
      </c>
      <c r="AL1011" s="340" t="s">
        <v>2452</v>
      </c>
      <c r="AM1011" s="363">
        <f t="shared" si="400"/>
        <v>1.271746871502696E-4</v>
      </c>
      <c r="AO1011" s="355" t="s">
        <v>6483</v>
      </c>
      <c r="AP1011" s="23">
        <f t="shared" si="395"/>
        <v>0</v>
      </c>
      <c r="AQ1011" s="392">
        <f t="shared" si="398"/>
        <v>0</v>
      </c>
      <c r="AR1011" s="392">
        <f t="shared" si="399"/>
        <v>0</v>
      </c>
      <c r="AS1011" s="392">
        <f t="shared" si="399"/>
        <v>0</v>
      </c>
    </row>
    <row r="1012" spans="1:45">
      <c r="A1012" t="str">
        <f t="shared" si="397"/>
        <v>CA_Orang_2020g~city of newport beach member, city council, district 5 (vote 1)</v>
      </c>
      <c r="B1012" s="55" t="s">
        <v>3536</v>
      </c>
      <c r="D1012" s="55" t="s">
        <v>3935</v>
      </c>
      <c r="E1012" s="55" t="s">
        <v>3936</v>
      </c>
      <c r="G1012" s="60">
        <v>19290</v>
      </c>
      <c r="H1012"/>
      <c r="J1012">
        <v>55826</v>
      </c>
      <c r="N1012">
        <v>7801</v>
      </c>
      <c r="O1012">
        <f t="shared" si="377"/>
        <v>2</v>
      </c>
      <c r="P1012" s="57">
        <f t="shared" si="378"/>
        <v>1</v>
      </c>
      <c r="Q1012" s="267">
        <f t="shared" si="379"/>
        <v>19290</v>
      </c>
      <c r="R1012" s="23" t="str">
        <f t="shared" si="380"/>
        <v/>
      </c>
      <c r="S1012" s="23">
        <f t="shared" si="381"/>
        <v>19290</v>
      </c>
      <c r="T1012" s="23" t="str">
        <f t="shared" si="382"/>
        <v/>
      </c>
      <c r="U1012" t="str">
        <f t="shared" si="383"/>
        <v/>
      </c>
      <c r="W1012" s="1">
        <f t="shared" si="384"/>
        <v>43</v>
      </c>
      <c r="X1012" s="73">
        <f t="shared" si="393"/>
        <v>75.285714285714292</v>
      </c>
      <c r="Y1012" s="322">
        <f t="shared" si="385"/>
        <v>75.285714285714292</v>
      </c>
      <c r="Z1012" s="43">
        <f t="shared" si="394"/>
        <v>65.702839351393749</v>
      </c>
      <c r="AA1012" s="52">
        <f t="shared" si="386"/>
        <v>0.65702839351393749</v>
      </c>
      <c r="AB1012" s="8">
        <f t="shared" si="387"/>
        <v>3145.28</v>
      </c>
      <c r="AC1012" s="8">
        <f t="shared" si="388"/>
        <v>157264</v>
      </c>
      <c r="AD1012" s="8">
        <f t="shared" si="392"/>
        <v>786.32</v>
      </c>
      <c r="AE1012" s="8" t="str">
        <f t="shared" si="389"/>
        <v/>
      </c>
      <c r="AF1012" s="22" t="str">
        <f t="shared" si="390"/>
        <v>PA_Alleg_2019p</v>
      </c>
      <c r="AG1012">
        <v>1</v>
      </c>
      <c r="AH1012" s="272">
        <v>255</v>
      </c>
      <c r="AI1012" s="273">
        <v>131</v>
      </c>
      <c r="AJ1012" s="274">
        <v>110</v>
      </c>
      <c r="AK1012" s="339">
        <v>21</v>
      </c>
      <c r="AL1012" s="340" t="s">
        <v>2369</v>
      </c>
      <c r="AM1012" s="353">
        <f t="shared" si="400"/>
        <v>1.335334215077831E-4</v>
      </c>
      <c r="AO1012" s="355" t="s">
        <v>6483</v>
      </c>
      <c r="AP1012" s="23">
        <f t="shared" si="395"/>
        <v>0</v>
      </c>
      <c r="AQ1012" s="392">
        <f t="shared" si="398"/>
        <v>0</v>
      </c>
      <c r="AR1012" s="392">
        <f t="shared" si="399"/>
        <v>0</v>
      </c>
      <c r="AS1012" s="392">
        <f t="shared" si="399"/>
        <v>0</v>
      </c>
    </row>
    <row r="1013" spans="1:45">
      <c r="A1013" t="str">
        <f t="shared" si="397"/>
        <v>CA_Orang_2020g~city of newport beach member, city council, district 7 (vote 1)</v>
      </c>
      <c r="B1013" s="55" t="s">
        <v>3536</v>
      </c>
      <c r="D1013" s="55" t="s">
        <v>3938</v>
      </c>
      <c r="E1013" s="55" t="s">
        <v>3939</v>
      </c>
      <c r="G1013" s="60">
        <v>40971</v>
      </c>
      <c r="H1013"/>
      <c r="J1013">
        <v>55826</v>
      </c>
      <c r="N1013">
        <v>13116</v>
      </c>
      <c r="O1013">
        <f t="shared" si="377"/>
        <v>1</v>
      </c>
      <c r="P1013" s="57">
        <f t="shared" si="378"/>
        <v>1</v>
      </c>
      <c r="Q1013" s="267">
        <f t="shared" si="379"/>
        <v>40971</v>
      </c>
      <c r="R1013" s="23">
        <f t="shared" si="380"/>
        <v>40971</v>
      </c>
      <c r="S1013" s="23">
        <f t="shared" si="381"/>
        <v>0</v>
      </c>
      <c r="T1013" s="23" t="str">
        <f t="shared" si="382"/>
        <v/>
      </c>
      <c r="U1013" t="str">
        <f t="shared" si="383"/>
        <v>CA_Orang_2020g~city of newport beach member, city council, district 7 (vote 1)</v>
      </c>
      <c r="W1013" s="1">
        <f t="shared" si="384"/>
        <v>44</v>
      </c>
      <c r="X1013" s="73">
        <f t="shared" si="393"/>
        <v>51.814285714285717</v>
      </c>
      <c r="Y1013" s="322">
        <f t="shared" si="385"/>
        <v>51.814285714285717</v>
      </c>
      <c r="Z1013" s="43">
        <f t="shared" si="394"/>
        <v>65.702839351393749</v>
      </c>
      <c r="AA1013" s="52">
        <f t="shared" si="386"/>
        <v>0.65702839351393749</v>
      </c>
      <c r="AB1013" s="8">
        <f t="shared" si="387"/>
        <v>3145.28</v>
      </c>
      <c r="AC1013" s="8">
        <f t="shared" si="388"/>
        <v>157264</v>
      </c>
      <c r="AD1013" s="8">
        <f t="shared" si="392"/>
        <v>786.32</v>
      </c>
      <c r="AE1013" s="8" t="str">
        <f t="shared" si="389"/>
        <v/>
      </c>
      <c r="AF1013" s="22" t="str">
        <f t="shared" si="390"/>
        <v>PA_Alleg_2019p</v>
      </c>
      <c r="AG1013">
        <v>2</v>
      </c>
      <c r="AH1013" s="272">
        <v>175.5</v>
      </c>
      <c r="AI1013" s="273">
        <v>107</v>
      </c>
      <c r="AJ1013" s="274">
        <v>86</v>
      </c>
      <c r="AK1013" s="339">
        <v>21</v>
      </c>
      <c r="AL1013" s="340" t="s">
        <v>2349</v>
      </c>
      <c r="AM1013" s="353">
        <f t="shared" si="400"/>
        <v>1.335334215077831E-4</v>
      </c>
      <c r="AO1013" s="355" t="s">
        <v>6483</v>
      </c>
      <c r="AP1013" s="23">
        <f t="shared" si="395"/>
        <v>0</v>
      </c>
      <c r="AQ1013" s="392">
        <f t="shared" si="398"/>
        <v>0</v>
      </c>
      <c r="AR1013" s="392">
        <f t="shared" si="399"/>
        <v>0</v>
      </c>
      <c r="AS1013" s="392">
        <f t="shared" si="399"/>
        <v>0</v>
      </c>
    </row>
    <row r="1014" spans="1:45">
      <c r="A1014" t="str">
        <f t="shared" si="397"/>
        <v>CA_Orang_2020g~city of orange city clerk (vote 1)</v>
      </c>
      <c r="B1014" s="55" t="s">
        <v>3536</v>
      </c>
      <c r="D1014" s="55" t="s">
        <v>3959</v>
      </c>
      <c r="E1014" s="55" t="s">
        <v>3960</v>
      </c>
      <c r="G1014" s="60">
        <v>51239</v>
      </c>
      <c r="H1014"/>
      <c r="J1014">
        <v>67671</v>
      </c>
      <c r="N1014">
        <v>15680</v>
      </c>
      <c r="O1014">
        <f t="shared" si="377"/>
        <v>1</v>
      </c>
      <c r="P1014" s="57">
        <f t="shared" si="378"/>
        <v>1</v>
      </c>
      <c r="Q1014" s="267">
        <f t="shared" si="379"/>
        <v>51239</v>
      </c>
      <c r="R1014" s="23">
        <f t="shared" si="380"/>
        <v>51239</v>
      </c>
      <c r="S1014" s="23">
        <f t="shared" si="381"/>
        <v>0</v>
      </c>
      <c r="T1014" s="23" t="str">
        <f t="shared" si="382"/>
        <v/>
      </c>
      <c r="U1014" t="str">
        <f t="shared" si="383"/>
        <v>CA_Orang_2020g~city of orange city clerk (vote 1)</v>
      </c>
      <c r="W1014" s="1">
        <f t="shared" si="384"/>
        <v>45</v>
      </c>
      <c r="X1014" s="73">
        <f t="shared" si="393"/>
        <v>776.24</v>
      </c>
      <c r="Y1014" s="322">
        <f t="shared" si="385"/>
        <v>776.24</v>
      </c>
      <c r="Z1014" s="43">
        <f t="shared" si="394"/>
        <v>64.401659849792523</v>
      </c>
      <c r="AA1014" s="52">
        <f t="shared" si="386"/>
        <v>0.64401659849792525</v>
      </c>
      <c r="AB1014" s="8">
        <f t="shared" si="387"/>
        <v>3145.28</v>
      </c>
      <c r="AC1014" s="8">
        <f t="shared" si="388"/>
        <v>157264</v>
      </c>
      <c r="AD1014" s="8">
        <f t="shared" si="392"/>
        <v>786.32</v>
      </c>
      <c r="AE1014" s="8" t="str">
        <f t="shared" si="389"/>
        <v/>
      </c>
      <c r="AF1014" s="22" t="str">
        <f t="shared" si="390"/>
        <v>PA_Alleg_2019p</v>
      </c>
      <c r="AG1014">
        <v>5</v>
      </c>
      <c r="AH1014" s="272">
        <v>2754.4</v>
      </c>
      <c r="AI1014" s="273">
        <v>1150</v>
      </c>
      <c r="AJ1014" s="274">
        <v>1128</v>
      </c>
      <c r="AK1014" s="339">
        <v>22</v>
      </c>
      <c r="AL1014" s="340" t="s">
        <v>2395</v>
      </c>
      <c r="AM1014" s="353">
        <f t="shared" si="400"/>
        <v>1.3989215586529658E-4</v>
      </c>
      <c r="AO1014" s="355" t="s">
        <v>6483</v>
      </c>
      <c r="AP1014" s="23">
        <f t="shared" si="395"/>
        <v>0</v>
      </c>
      <c r="AQ1014" s="392">
        <f t="shared" si="398"/>
        <v>0</v>
      </c>
      <c r="AR1014" s="392">
        <f t="shared" si="399"/>
        <v>0</v>
      </c>
      <c r="AS1014" s="392">
        <f t="shared" si="399"/>
        <v>0</v>
      </c>
    </row>
    <row r="1015" spans="1:45">
      <c r="A1015" t="str">
        <f t="shared" si="397"/>
        <v>CA_Orang_2020g~city of orange city treasurer (vote 1)</v>
      </c>
      <c r="B1015" s="55" t="s">
        <v>3536</v>
      </c>
      <c r="D1015" s="55" t="s">
        <v>3961</v>
      </c>
      <c r="E1015" s="55" t="s">
        <v>3962</v>
      </c>
      <c r="G1015" s="60">
        <v>50497</v>
      </c>
      <c r="H1015"/>
      <c r="J1015">
        <v>67671</v>
      </c>
      <c r="N1015">
        <v>16380</v>
      </c>
      <c r="O1015">
        <f t="shared" si="377"/>
        <v>1</v>
      </c>
      <c r="P1015" s="57">
        <f t="shared" si="378"/>
        <v>1</v>
      </c>
      <c r="Q1015" s="267">
        <f t="shared" si="379"/>
        <v>50497</v>
      </c>
      <c r="R1015" s="23">
        <f t="shared" si="380"/>
        <v>50497</v>
      </c>
      <c r="S1015" s="23">
        <f t="shared" si="381"/>
        <v>0</v>
      </c>
      <c r="T1015" s="23" t="str">
        <f t="shared" si="382"/>
        <v/>
      </c>
      <c r="U1015" t="str">
        <f t="shared" si="383"/>
        <v>CA_Orang_2020g~city of orange city treasurer (vote 1)</v>
      </c>
      <c r="W1015" s="1">
        <f t="shared" si="384"/>
        <v>46</v>
      </c>
      <c r="X1015" s="73">
        <f t="shared" si="393"/>
        <v>318.03304347826082</v>
      </c>
      <c r="Y1015" s="322">
        <f t="shared" si="385"/>
        <v>318.03304347826082</v>
      </c>
      <c r="Z1015" s="43">
        <f t="shared" si="394"/>
        <v>63.126240886063357</v>
      </c>
      <c r="AA1015" s="52">
        <f t="shared" si="386"/>
        <v>0.63126240886063356</v>
      </c>
      <c r="AB1015" s="8">
        <f t="shared" si="387"/>
        <v>3145.28</v>
      </c>
      <c r="AC1015" s="8">
        <f t="shared" si="388"/>
        <v>157264</v>
      </c>
      <c r="AD1015" s="8">
        <f t="shared" si="392"/>
        <v>786.32</v>
      </c>
      <c r="AE1015" s="8" t="str">
        <f t="shared" si="389"/>
        <v/>
      </c>
      <c r="AF1015" s="22" t="str">
        <f t="shared" si="390"/>
        <v>PA_Alleg_2019p</v>
      </c>
      <c r="AG1015">
        <v>5</v>
      </c>
      <c r="AH1015" s="272">
        <v>1179.8</v>
      </c>
      <c r="AI1015" s="273">
        <v>724</v>
      </c>
      <c r="AJ1015" s="274">
        <v>701</v>
      </c>
      <c r="AK1015" s="339">
        <v>23</v>
      </c>
      <c r="AL1015" s="340" t="s">
        <v>2465</v>
      </c>
      <c r="AM1015" s="353">
        <f t="shared" si="400"/>
        <v>1.4625089022281005E-4</v>
      </c>
      <c r="AO1015" s="355" t="s">
        <v>6483</v>
      </c>
      <c r="AP1015" s="23">
        <f t="shared" si="395"/>
        <v>0</v>
      </c>
      <c r="AQ1015" s="392">
        <f t="shared" si="398"/>
        <v>0</v>
      </c>
      <c r="AR1015" s="392">
        <f t="shared" si="399"/>
        <v>0</v>
      </c>
      <c r="AS1015" s="392">
        <f t="shared" si="399"/>
        <v>0</v>
      </c>
    </row>
    <row r="1016" spans="1:45">
      <c r="A1016" t="str">
        <f t="shared" si="397"/>
        <v>CA_Orang_2020g~city of orange mayor (vote 1)</v>
      </c>
      <c r="B1016" s="55" t="s">
        <v>3536</v>
      </c>
      <c r="D1016" s="55" t="s">
        <v>3940</v>
      </c>
      <c r="E1016" s="55" t="s">
        <v>3942</v>
      </c>
      <c r="G1016" s="60">
        <v>36299</v>
      </c>
      <c r="H1016"/>
      <c r="J1016">
        <v>67671</v>
      </c>
      <c r="N1016">
        <v>6264</v>
      </c>
      <c r="O1016">
        <f t="shared" si="377"/>
        <v>1</v>
      </c>
      <c r="P1016" s="57">
        <f t="shared" si="378"/>
        <v>1</v>
      </c>
      <c r="Q1016" s="267">
        <f t="shared" si="379"/>
        <v>61145</v>
      </c>
      <c r="R1016" s="23">
        <f t="shared" si="380"/>
        <v>36299</v>
      </c>
      <c r="S1016" s="23">
        <f t="shared" si="381"/>
        <v>24846</v>
      </c>
      <c r="T1016" s="23">
        <f t="shared" si="382"/>
        <v>11453</v>
      </c>
      <c r="U1016" t="str">
        <f t="shared" si="383"/>
        <v>CA_Orang_2020g~city of orange mayor (vote 1)</v>
      </c>
      <c r="W1016" s="1">
        <f t="shared" si="384"/>
        <v>47</v>
      </c>
      <c r="X1016" s="73">
        <f t="shared" si="393"/>
        <v>143.94782608695652</v>
      </c>
      <c r="Y1016" s="322">
        <f t="shared" si="385"/>
        <v>143.94782608695652</v>
      </c>
      <c r="Z1016" s="43">
        <f t="shared" si="394"/>
        <v>63.126240886063357</v>
      </c>
      <c r="AA1016" s="52">
        <f t="shared" si="386"/>
        <v>0.63126240886063356</v>
      </c>
      <c r="AB1016" s="8">
        <f t="shared" si="387"/>
        <v>3145.28</v>
      </c>
      <c r="AC1016" s="8">
        <f t="shared" si="388"/>
        <v>157264</v>
      </c>
      <c r="AD1016" s="8">
        <f t="shared" si="392"/>
        <v>786.32</v>
      </c>
      <c r="AE1016" s="8" t="str">
        <f t="shared" si="389"/>
        <v/>
      </c>
      <c r="AF1016" s="22" t="str">
        <f t="shared" si="390"/>
        <v>PA_Alleg_2019p</v>
      </c>
      <c r="AG1016">
        <v>1</v>
      </c>
      <c r="AH1016" s="272">
        <v>534</v>
      </c>
      <c r="AI1016" s="273">
        <v>273</v>
      </c>
      <c r="AJ1016" s="274">
        <v>250</v>
      </c>
      <c r="AK1016" s="339">
        <v>23</v>
      </c>
      <c r="AL1016" s="340" t="s">
        <v>2451</v>
      </c>
      <c r="AM1016" s="353">
        <f t="shared" si="400"/>
        <v>1.4625089022281005E-4</v>
      </c>
      <c r="AO1016" s="355" t="s">
        <v>6483</v>
      </c>
      <c r="AP1016" s="23">
        <f t="shared" si="395"/>
        <v>0</v>
      </c>
      <c r="AQ1016" s="392">
        <f t="shared" si="398"/>
        <v>0</v>
      </c>
      <c r="AR1016" s="392">
        <f t="shared" si="399"/>
        <v>0</v>
      </c>
      <c r="AS1016" s="392">
        <f t="shared" si="399"/>
        <v>0</v>
      </c>
    </row>
    <row r="1017" spans="1:45">
      <c r="A1017" t="str">
        <f t="shared" si="397"/>
        <v>CA_Orang_2020g~city of orange mayor (vote 1)</v>
      </c>
      <c r="B1017" s="55" t="s">
        <v>3536</v>
      </c>
      <c r="D1017" s="55" t="s">
        <v>3940</v>
      </c>
      <c r="E1017" s="55" t="s">
        <v>3941</v>
      </c>
      <c r="G1017" s="60">
        <v>24846</v>
      </c>
      <c r="H1017"/>
      <c r="J1017">
        <v>67671</v>
      </c>
      <c r="N1017">
        <v>6264</v>
      </c>
      <c r="O1017">
        <f t="shared" si="377"/>
        <v>2</v>
      </c>
      <c r="P1017" s="57">
        <f t="shared" si="378"/>
        <v>1</v>
      </c>
      <c r="Q1017" s="267">
        <f t="shared" si="379"/>
        <v>24846</v>
      </c>
      <c r="R1017" s="23" t="str">
        <f t="shared" si="380"/>
        <v/>
      </c>
      <c r="S1017" s="23">
        <f t="shared" si="381"/>
        <v>24846</v>
      </c>
      <c r="T1017" s="23" t="str">
        <f t="shared" si="382"/>
        <v/>
      </c>
      <c r="U1017" t="str">
        <f t="shared" si="383"/>
        <v/>
      </c>
      <c r="W1017" s="1">
        <f t="shared" si="384"/>
        <v>48</v>
      </c>
      <c r="X1017" s="73">
        <f t="shared" si="393"/>
        <v>66.463999999999999</v>
      </c>
      <c r="Y1017" s="322">
        <f t="shared" si="385"/>
        <v>66.463999999999999</v>
      </c>
      <c r="Z1017" s="43">
        <f t="shared" si="394"/>
        <v>60.650655284096679</v>
      </c>
      <c r="AA1017" s="52">
        <f t="shared" si="386"/>
        <v>0.60650655284096677</v>
      </c>
      <c r="AB1017" s="8">
        <f t="shared" si="387"/>
        <v>3145.28</v>
      </c>
      <c r="AC1017" s="8">
        <f t="shared" si="388"/>
        <v>157264</v>
      </c>
      <c r="AD1017" s="8">
        <f t="shared" si="392"/>
        <v>786.32</v>
      </c>
      <c r="AE1017" s="8" t="str">
        <f t="shared" si="389"/>
        <v/>
      </c>
      <c r="AF1017" s="22" t="str">
        <f t="shared" si="390"/>
        <v>PA_Alleg_2019p</v>
      </c>
      <c r="AG1017">
        <v>1</v>
      </c>
      <c r="AH1017" s="272">
        <v>268</v>
      </c>
      <c r="AI1017" s="273">
        <v>110</v>
      </c>
      <c r="AJ1017" s="274">
        <v>85</v>
      </c>
      <c r="AK1017" s="339">
        <v>25</v>
      </c>
      <c r="AL1017" s="340" t="s">
        <v>2414</v>
      </c>
      <c r="AM1017" s="353">
        <f t="shared" si="400"/>
        <v>1.58968358937837E-4</v>
      </c>
      <c r="AO1017" s="355" t="s">
        <v>6483</v>
      </c>
      <c r="AP1017" s="23">
        <f t="shared" si="395"/>
        <v>0</v>
      </c>
      <c r="AQ1017" s="392">
        <f t="shared" si="398"/>
        <v>0</v>
      </c>
      <c r="AR1017" s="392">
        <f t="shared" si="399"/>
        <v>0</v>
      </c>
      <c r="AS1017" s="392">
        <f t="shared" si="399"/>
        <v>0</v>
      </c>
    </row>
    <row r="1018" spans="1:45">
      <c r="A1018" t="str">
        <f t="shared" si="397"/>
        <v>CA_Orang_2020g~city of orange member, city council, district 1 (vote 1)</v>
      </c>
      <c r="B1018" s="55" t="s">
        <v>3536</v>
      </c>
      <c r="D1018" s="55" t="s">
        <v>3943</v>
      </c>
      <c r="E1018" s="55" t="s">
        <v>3945</v>
      </c>
      <c r="G1018" s="60">
        <v>4096</v>
      </c>
      <c r="H1018"/>
      <c r="J1018">
        <v>11435</v>
      </c>
      <c r="N1018">
        <v>1324</v>
      </c>
      <c r="O1018">
        <f t="shared" si="377"/>
        <v>1</v>
      </c>
      <c r="P1018" s="57">
        <f t="shared" si="378"/>
        <v>1</v>
      </c>
      <c r="Q1018" s="267">
        <f t="shared" si="379"/>
        <v>10062</v>
      </c>
      <c r="R1018" s="23">
        <f t="shared" si="380"/>
        <v>4096</v>
      </c>
      <c r="S1018" s="23">
        <f t="shared" si="381"/>
        <v>2611</v>
      </c>
      <c r="T1018" s="23">
        <f t="shared" si="382"/>
        <v>1485</v>
      </c>
      <c r="U1018" t="str">
        <f t="shared" si="383"/>
        <v>CA_Orang_2020g~city of orange member, city council, district 1 (vote 1)</v>
      </c>
      <c r="W1018" s="1">
        <f t="shared" si="384"/>
        <v>49</v>
      </c>
      <c r="X1018" s="73">
        <f t="shared" si="393"/>
        <v>58.096296296296302</v>
      </c>
      <c r="Y1018" s="322">
        <f t="shared" si="385"/>
        <v>58.096296296296302</v>
      </c>
      <c r="Z1018" s="43">
        <f t="shared" si="394"/>
        <v>58.272123651172137</v>
      </c>
      <c r="AA1018" s="52">
        <f t="shared" si="386"/>
        <v>0.58272123651172136</v>
      </c>
      <c r="AB1018" s="8">
        <f t="shared" si="387"/>
        <v>3145.28</v>
      </c>
      <c r="AC1018" s="8">
        <f t="shared" si="388"/>
        <v>157264</v>
      </c>
      <c r="AD1018" s="8">
        <f t="shared" si="392"/>
        <v>786.32</v>
      </c>
      <c r="AE1018" s="8" t="str">
        <f t="shared" si="389"/>
        <v/>
      </c>
      <c r="AF1018" s="22" t="str">
        <f t="shared" si="390"/>
        <v>PA_Alleg_2019p</v>
      </c>
      <c r="AG1018">
        <v>1</v>
      </c>
      <c r="AH1018" s="272">
        <v>253</v>
      </c>
      <c r="AI1018" s="273">
        <v>139</v>
      </c>
      <c r="AJ1018" s="274">
        <v>112</v>
      </c>
      <c r="AK1018" s="339">
        <v>27</v>
      </c>
      <c r="AL1018" s="340" t="s">
        <v>2352</v>
      </c>
      <c r="AM1018" s="353">
        <f t="shared" si="400"/>
        <v>1.7168582765286398E-4</v>
      </c>
      <c r="AO1018" s="355" t="s">
        <v>6483</v>
      </c>
      <c r="AP1018" s="23">
        <f t="shared" si="395"/>
        <v>0</v>
      </c>
      <c r="AQ1018" s="392">
        <f t="shared" si="398"/>
        <v>0</v>
      </c>
      <c r="AR1018" s="392">
        <f t="shared" si="399"/>
        <v>0</v>
      </c>
      <c r="AS1018" s="392">
        <f t="shared" si="399"/>
        <v>0</v>
      </c>
    </row>
    <row r="1019" spans="1:45">
      <c r="A1019" t="str">
        <f t="shared" si="397"/>
        <v>CA_Orang_2020g~city of orange member, city council, district 1 (vote 1)</v>
      </c>
      <c r="B1019" s="55" t="s">
        <v>3536</v>
      </c>
      <c r="D1019" s="55" t="s">
        <v>3943</v>
      </c>
      <c r="E1019" s="55" t="s">
        <v>3946</v>
      </c>
      <c r="G1019" s="60">
        <v>2611</v>
      </c>
      <c r="H1019"/>
      <c r="J1019">
        <v>11435</v>
      </c>
      <c r="N1019">
        <v>1324</v>
      </c>
      <c r="O1019">
        <f t="shared" si="377"/>
        <v>2</v>
      </c>
      <c r="P1019" s="57">
        <f t="shared" si="378"/>
        <v>1</v>
      </c>
      <c r="Q1019" s="267">
        <f t="shared" si="379"/>
        <v>5966</v>
      </c>
      <c r="R1019" s="23" t="str">
        <f t="shared" si="380"/>
        <v/>
      </c>
      <c r="S1019" s="23">
        <f t="shared" si="381"/>
        <v>2611</v>
      </c>
      <c r="T1019" s="23" t="str">
        <f t="shared" si="382"/>
        <v/>
      </c>
      <c r="U1019" t="str">
        <f t="shared" si="383"/>
        <v/>
      </c>
      <c r="W1019" s="1">
        <f t="shared" si="384"/>
        <v>50</v>
      </c>
      <c r="X1019" s="73">
        <f t="shared" si="393"/>
        <v>279.96444444444444</v>
      </c>
      <c r="Y1019" s="322">
        <f t="shared" si="385"/>
        <v>279.96444444444444</v>
      </c>
      <c r="Z1019" s="43">
        <f t="shared" si="394"/>
        <v>54.878022527140303</v>
      </c>
      <c r="AA1019" s="52">
        <f t="shared" si="386"/>
        <v>0.54878022527140302</v>
      </c>
      <c r="AB1019" s="8">
        <f t="shared" si="387"/>
        <v>3145.28</v>
      </c>
      <c r="AC1019" s="8">
        <f t="shared" si="388"/>
        <v>157264</v>
      </c>
      <c r="AD1019" s="8">
        <f t="shared" si="392"/>
        <v>786.32</v>
      </c>
      <c r="AE1019" s="8" t="str">
        <f t="shared" si="389"/>
        <v/>
      </c>
      <c r="AF1019" s="22" t="str">
        <f t="shared" si="390"/>
        <v>PA_Alleg_2019p</v>
      </c>
      <c r="AG1019">
        <v>3</v>
      </c>
      <c r="AH1019" s="8">
        <v>1354.6666666666667</v>
      </c>
      <c r="AI1019" s="273">
        <v>656</v>
      </c>
      <c r="AJ1019" s="274">
        <v>626</v>
      </c>
      <c r="AK1019" s="339">
        <v>30</v>
      </c>
      <c r="AL1019" s="23" t="s">
        <v>2374</v>
      </c>
      <c r="AM1019" s="353">
        <f t="shared" si="400"/>
        <v>1.9076203072540443E-4</v>
      </c>
      <c r="AO1019" s="355" t="s">
        <v>6483</v>
      </c>
      <c r="AP1019" s="23">
        <f t="shared" si="395"/>
        <v>0</v>
      </c>
      <c r="AQ1019" s="392">
        <f t="shared" si="398"/>
        <v>0</v>
      </c>
      <c r="AR1019" s="392">
        <f t="shared" si="399"/>
        <v>0</v>
      </c>
      <c r="AS1019" s="392">
        <f t="shared" si="399"/>
        <v>0</v>
      </c>
    </row>
    <row r="1020" spans="1:45">
      <c r="A1020" t="str">
        <f t="shared" si="397"/>
        <v>CA_Orang_2020g~city of orange member, city council, district 1 (vote 1)</v>
      </c>
      <c r="B1020" s="55" t="s">
        <v>3536</v>
      </c>
      <c r="D1020" s="55" t="s">
        <v>3943</v>
      </c>
      <c r="E1020" s="55" t="s">
        <v>3385</v>
      </c>
      <c r="G1020" s="60">
        <v>1828</v>
      </c>
      <c r="H1020"/>
      <c r="J1020">
        <v>11435</v>
      </c>
      <c r="N1020">
        <v>1324</v>
      </c>
      <c r="O1020">
        <f t="shared" si="377"/>
        <v>3</v>
      </c>
      <c r="P1020" s="57">
        <f t="shared" si="378"/>
        <v>1</v>
      </c>
      <c r="Q1020" s="267">
        <f t="shared" si="379"/>
        <v>3355</v>
      </c>
      <c r="R1020" s="23" t="str">
        <f t="shared" si="380"/>
        <v/>
      </c>
      <c r="S1020" s="23">
        <f t="shared" si="381"/>
        <v>1828</v>
      </c>
      <c r="T1020" s="23" t="str">
        <f t="shared" si="382"/>
        <v/>
      </c>
      <c r="U1020" t="str">
        <f t="shared" si="383"/>
        <v/>
      </c>
      <c r="W1020" s="1">
        <f t="shared" si="384"/>
        <v>51</v>
      </c>
      <c r="X1020" s="73">
        <f t="shared" si="393"/>
        <v>58.569333333333333</v>
      </c>
      <c r="Y1020" s="322">
        <f t="shared" si="385"/>
        <v>58.569333333333333</v>
      </c>
      <c r="Z1020" s="43">
        <f t="shared" si="394"/>
        <v>54.878022527140303</v>
      </c>
      <c r="AA1020" s="52">
        <f t="shared" si="386"/>
        <v>0.54878022527140302</v>
      </c>
      <c r="AB1020" s="8">
        <f t="shared" si="387"/>
        <v>3145.28</v>
      </c>
      <c r="AC1020" s="8">
        <f t="shared" si="388"/>
        <v>157264</v>
      </c>
      <c r="AD1020" s="8">
        <f t="shared" si="392"/>
        <v>786.32</v>
      </c>
      <c r="AE1020" s="8" t="str">
        <f t="shared" si="389"/>
        <v/>
      </c>
      <c r="AF1020" s="22" t="str">
        <f t="shared" si="390"/>
        <v>PA_Alleg_2019p</v>
      </c>
      <c r="AG1020">
        <v>5</v>
      </c>
      <c r="AH1020" s="272">
        <v>283.39999999999998</v>
      </c>
      <c r="AI1020" s="273">
        <v>193</v>
      </c>
      <c r="AJ1020" s="274">
        <v>163</v>
      </c>
      <c r="AK1020" s="339">
        <v>30</v>
      </c>
      <c r="AL1020" s="340" t="s">
        <v>2462</v>
      </c>
      <c r="AM1020" s="353">
        <f t="shared" si="400"/>
        <v>1.9076203072540443E-4</v>
      </c>
      <c r="AO1020" s="355" t="s">
        <v>6483</v>
      </c>
      <c r="AP1020" s="23">
        <f t="shared" si="395"/>
        <v>0</v>
      </c>
      <c r="AQ1020" s="392">
        <f t="shared" si="398"/>
        <v>0</v>
      </c>
      <c r="AR1020" s="392">
        <f t="shared" si="399"/>
        <v>0</v>
      </c>
      <c r="AS1020" s="392">
        <f t="shared" si="399"/>
        <v>0</v>
      </c>
    </row>
    <row r="1021" spans="1:45">
      <c r="A1021" t="str">
        <f t="shared" si="397"/>
        <v>CA_Orang_2020g~city of orange member, city council, district 1 (vote 1)</v>
      </c>
      <c r="B1021" s="55" t="s">
        <v>3536</v>
      </c>
      <c r="D1021" s="55" t="s">
        <v>3943</v>
      </c>
      <c r="E1021" s="55" t="s">
        <v>3944</v>
      </c>
      <c r="G1021" s="60">
        <v>1527</v>
      </c>
      <c r="H1021"/>
      <c r="J1021">
        <v>11435</v>
      </c>
      <c r="N1021">
        <v>1324</v>
      </c>
      <c r="O1021">
        <f t="shared" si="377"/>
        <v>4</v>
      </c>
      <c r="P1021" s="57">
        <f t="shared" si="378"/>
        <v>1</v>
      </c>
      <c r="Q1021" s="267">
        <f t="shared" si="379"/>
        <v>1527</v>
      </c>
      <c r="R1021" s="23" t="str">
        <f t="shared" si="380"/>
        <v/>
      </c>
      <c r="S1021" s="23">
        <f t="shared" si="381"/>
        <v>1527</v>
      </c>
      <c r="T1021" s="23" t="str">
        <f t="shared" si="382"/>
        <v/>
      </c>
      <c r="U1021" t="str">
        <f t="shared" si="383"/>
        <v/>
      </c>
      <c r="W1021" s="1">
        <f t="shared" si="384"/>
        <v>52</v>
      </c>
      <c r="X1021" s="73">
        <f t="shared" si="393"/>
        <v>36.373333333333335</v>
      </c>
      <c r="Y1021" s="322">
        <f t="shared" si="385"/>
        <v>36.373333333333335</v>
      </c>
      <c r="Z1021" s="43">
        <f t="shared" si="394"/>
        <v>54.878022527140303</v>
      </c>
      <c r="AA1021" s="52">
        <f t="shared" si="386"/>
        <v>0.54878022527140302</v>
      </c>
      <c r="AB1021" s="8">
        <f t="shared" si="387"/>
        <v>3145.28</v>
      </c>
      <c r="AC1021" s="8">
        <f t="shared" si="388"/>
        <v>157264</v>
      </c>
      <c r="AD1021" s="8">
        <f t="shared" si="392"/>
        <v>786.32</v>
      </c>
      <c r="AE1021" s="8" t="str">
        <f t="shared" si="389"/>
        <v/>
      </c>
      <c r="AF1021" s="22" t="str">
        <f t="shared" si="390"/>
        <v>PA_Alleg_2019p</v>
      </c>
      <c r="AG1021">
        <v>1</v>
      </c>
      <c r="AH1021" s="272">
        <v>176</v>
      </c>
      <c r="AI1021" s="273">
        <v>103</v>
      </c>
      <c r="AJ1021" s="274">
        <v>73</v>
      </c>
      <c r="AK1021" s="339">
        <v>30</v>
      </c>
      <c r="AL1021" s="340" t="s">
        <v>2401</v>
      </c>
      <c r="AM1021" s="353">
        <f t="shared" si="400"/>
        <v>1.9076203072540443E-4</v>
      </c>
      <c r="AO1021" s="355" t="s">
        <v>6483</v>
      </c>
      <c r="AP1021" s="23">
        <f t="shared" si="395"/>
        <v>0</v>
      </c>
      <c r="AQ1021" s="392">
        <f t="shared" si="398"/>
        <v>0</v>
      </c>
      <c r="AR1021" s="392">
        <f t="shared" si="399"/>
        <v>0</v>
      </c>
      <c r="AS1021" s="392">
        <f t="shared" si="399"/>
        <v>0</v>
      </c>
    </row>
    <row r="1022" spans="1:45">
      <c r="A1022" t="str">
        <f t="shared" si="397"/>
        <v>CA_Orang_2020g~city of orange member, city council, district 2 (vote 1)</v>
      </c>
      <c r="B1022" s="55" t="s">
        <v>3536</v>
      </c>
      <c r="D1022" s="55" t="s">
        <v>3947</v>
      </c>
      <c r="E1022" s="55" t="s">
        <v>3949</v>
      </c>
      <c r="G1022" s="60">
        <v>2654</v>
      </c>
      <c r="H1022"/>
      <c r="J1022">
        <v>7397</v>
      </c>
      <c r="N1022">
        <v>950</v>
      </c>
      <c r="O1022">
        <f t="shared" si="377"/>
        <v>1</v>
      </c>
      <c r="P1022" s="57">
        <f t="shared" si="378"/>
        <v>1</v>
      </c>
      <c r="Q1022" s="267">
        <f t="shared" si="379"/>
        <v>6420</v>
      </c>
      <c r="R1022" s="23">
        <f t="shared" si="380"/>
        <v>2654</v>
      </c>
      <c r="S1022" s="23">
        <f t="shared" si="381"/>
        <v>1430</v>
      </c>
      <c r="T1022" s="23">
        <f t="shared" si="382"/>
        <v>1224</v>
      </c>
      <c r="U1022" t="str">
        <f t="shared" si="383"/>
        <v>CA_Orang_2020g~city of orange member, city council, district 2 (vote 1)</v>
      </c>
      <c r="W1022" s="1">
        <f t="shared" si="384"/>
        <v>53</v>
      </c>
      <c r="X1022" s="73">
        <f t="shared" si="393"/>
        <v>41.333333333333336</v>
      </c>
      <c r="Y1022" s="322">
        <f t="shared" si="385"/>
        <v>41.333333333333336</v>
      </c>
      <c r="Z1022" s="43">
        <f t="shared" si="394"/>
        <v>54.878022527140303</v>
      </c>
      <c r="AA1022" s="52">
        <f t="shared" si="386"/>
        <v>0.54878022527140302</v>
      </c>
      <c r="AB1022" s="8">
        <f t="shared" si="387"/>
        <v>3145.28</v>
      </c>
      <c r="AC1022" s="8">
        <f t="shared" si="388"/>
        <v>157264</v>
      </c>
      <c r="AD1022" s="8">
        <f t="shared" si="392"/>
        <v>786.32</v>
      </c>
      <c r="AE1022" s="8" t="str">
        <f t="shared" si="389"/>
        <v/>
      </c>
      <c r="AF1022" s="22" t="str">
        <f t="shared" si="390"/>
        <v>PA_Alleg_2019p</v>
      </c>
      <c r="AG1022">
        <v>1</v>
      </c>
      <c r="AH1022" s="272">
        <v>200</v>
      </c>
      <c r="AI1022" s="273">
        <v>88</v>
      </c>
      <c r="AJ1022" s="274">
        <v>58</v>
      </c>
      <c r="AK1022" s="339">
        <v>30</v>
      </c>
      <c r="AL1022" s="340" t="s">
        <v>2459</v>
      </c>
      <c r="AM1022" s="353">
        <f t="shared" si="400"/>
        <v>1.9076203072540443E-4</v>
      </c>
      <c r="AO1022" s="355" t="s">
        <v>6483</v>
      </c>
      <c r="AP1022" s="23">
        <f t="shared" si="395"/>
        <v>0</v>
      </c>
      <c r="AQ1022" s="392">
        <f t="shared" si="398"/>
        <v>0</v>
      </c>
      <c r="AR1022" s="392">
        <f t="shared" si="399"/>
        <v>0</v>
      </c>
      <c r="AS1022" s="392">
        <f t="shared" si="399"/>
        <v>0</v>
      </c>
    </row>
    <row r="1023" spans="1:45">
      <c r="A1023" t="str">
        <f t="shared" si="397"/>
        <v>CA_Orang_2020g~city of orange member, city council, district 2 (vote 1)</v>
      </c>
      <c r="B1023" s="55" t="s">
        <v>3536</v>
      </c>
      <c r="D1023" s="55" t="s">
        <v>3947</v>
      </c>
      <c r="E1023" s="55" t="s">
        <v>3950</v>
      </c>
      <c r="G1023" s="60">
        <v>1430</v>
      </c>
      <c r="H1023"/>
      <c r="J1023">
        <v>7397</v>
      </c>
      <c r="N1023">
        <v>950</v>
      </c>
      <c r="O1023">
        <f t="shared" si="377"/>
        <v>2</v>
      </c>
      <c r="P1023" s="57">
        <f t="shared" si="378"/>
        <v>1</v>
      </c>
      <c r="Q1023" s="267">
        <f t="shared" si="379"/>
        <v>3766</v>
      </c>
      <c r="R1023" s="23" t="str">
        <f t="shared" si="380"/>
        <v/>
      </c>
      <c r="S1023" s="23">
        <f t="shared" si="381"/>
        <v>1430</v>
      </c>
      <c r="T1023" s="23" t="str">
        <f t="shared" si="382"/>
        <v/>
      </c>
      <c r="U1023" t="str">
        <f t="shared" si="383"/>
        <v/>
      </c>
      <c r="W1023" s="1">
        <f t="shared" si="384"/>
        <v>54</v>
      </c>
      <c r="X1023" s="73">
        <f t="shared" si="393"/>
        <v>13.600000000000001</v>
      </c>
      <c r="Y1023" s="322">
        <f t="shared" si="385"/>
        <v>13.600000000000001</v>
      </c>
      <c r="Z1023" s="43">
        <f t="shared" si="394"/>
        <v>53.791156187280855</v>
      </c>
      <c r="AA1023" s="52">
        <f t="shared" si="386"/>
        <v>0.53791156187280853</v>
      </c>
      <c r="AB1023" s="8">
        <f t="shared" si="387"/>
        <v>3145.28</v>
      </c>
      <c r="AC1023" s="8">
        <f t="shared" si="388"/>
        <v>157264</v>
      </c>
      <c r="AD1023" s="8">
        <f t="shared" si="392"/>
        <v>786.32</v>
      </c>
      <c r="AE1023" s="8" t="str">
        <f t="shared" si="389"/>
        <v/>
      </c>
      <c r="AF1023" s="22" t="str">
        <f t="shared" si="390"/>
        <v>PA_Alleg_2019p</v>
      </c>
      <c r="AG1023">
        <v>1</v>
      </c>
      <c r="AH1023" s="272">
        <v>68</v>
      </c>
      <c r="AI1023" s="273">
        <v>49</v>
      </c>
      <c r="AJ1023" s="274">
        <v>18</v>
      </c>
      <c r="AK1023" s="339">
        <v>31</v>
      </c>
      <c r="AL1023" s="340" t="s">
        <v>2355</v>
      </c>
      <c r="AM1023" s="353">
        <f t="shared" si="400"/>
        <v>1.971207650829179E-4</v>
      </c>
      <c r="AO1023" s="355" t="s">
        <v>6483</v>
      </c>
      <c r="AP1023" s="23">
        <f t="shared" si="395"/>
        <v>0</v>
      </c>
      <c r="AQ1023" s="392">
        <f t="shared" si="398"/>
        <v>0</v>
      </c>
      <c r="AR1023" s="392">
        <f t="shared" si="399"/>
        <v>0</v>
      </c>
      <c r="AS1023" s="392">
        <f t="shared" si="399"/>
        <v>0</v>
      </c>
    </row>
    <row r="1024" spans="1:45">
      <c r="A1024" t="str">
        <f t="shared" si="397"/>
        <v>CA_Orang_2020g~city of orange member, city council, district 2 (vote 1)</v>
      </c>
      <c r="B1024" s="55" t="s">
        <v>3536</v>
      </c>
      <c r="D1024" s="55" t="s">
        <v>3947</v>
      </c>
      <c r="E1024" s="55" t="s">
        <v>3951</v>
      </c>
      <c r="G1024" s="60">
        <v>1251</v>
      </c>
      <c r="H1024"/>
      <c r="J1024">
        <v>7397</v>
      </c>
      <c r="N1024">
        <v>950</v>
      </c>
      <c r="O1024">
        <f t="shared" si="377"/>
        <v>3</v>
      </c>
      <c r="P1024" s="57">
        <f t="shared" si="378"/>
        <v>1</v>
      </c>
      <c r="Q1024" s="267">
        <f t="shared" si="379"/>
        <v>2336</v>
      </c>
      <c r="R1024" s="23" t="str">
        <f t="shared" si="380"/>
        <v/>
      </c>
      <c r="S1024" s="23">
        <f t="shared" si="381"/>
        <v>1251</v>
      </c>
      <c r="T1024" s="23" t="str">
        <f t="shared" si="382"/>
        <v/>
      </c>
      <c r="U1024" t="str">
        <f t="shared" si="383"/>
        <v/>
      </c>
      <c r="W1024" s="1">
        <f t="shared" si="384"/>
        <v>55</v>
      </c>
      <c r="X1024" s="73">
        <f t="shared" si="393"/>
        <v>61.354166666666671</v>
      </c>
      <c r="Y1024" s="322">
        <f t="shared" si="385"/>
        <v>61.354166666666671</v>
      </c>
      <c r="Z1024" s="43">
        <f t="shared" si="394"/>
        <v>52.725808667939219</v>
      </c>
      <c r="AA1024" s="52">
        <f t="shared" si="386"/>
        <v>0.52725808667939222</v>
      </c>
      <c r="AB1024" s="8">
        <f t="shared" si="387"/>
        <v>3145.28</v>
      </c>
      <c r="AC1024" s="8">
        <f t="shared" si="388"/>
        <v>157264</v>
      </c>
      <c r="AD1024" s="8">
        <f t="shared" si="392"/>
        <v>786.32</v>
      </c>
      <c r="AE1024" s="8" t="str">
        <f t="shared" si="389"/>
        <v/>
      </c>
      <c r="AF1024" s="22" t="str">
        <f t="shared" si="390"/>
        <v>PA_Alleg_2019p</v>
      </c>
      <c r="AG1024">
        <v>3</v>
      </c>
      <c r="AH1024" s="8">
        <v>316.66666666666669</v>
      </c>
      <c r="AI1024" s="273">
        <v>207</v>
      </c>
      <c r="AJ1024" s="274">
        <v>175</v>
      </c>
      <c r="AK1024" s="339">
        <v>32</v>
      </c>
      <c r="AL1024" s="23" t="s">
        <v>2384</v>
      </c>
      <c r="AM1024" s="353">
        <f t="shared" si="400"/>
        <v>2.0347949944043138E-4</v>
      </c>
      <c r="AO1024" s="355" t="s">
        <v>6483</v>
      </c>
      <c r="AP1024" s="23">
        <f t="shared" si="395"/>
        <v>0</v>
      </c>
      <c r="AQ1024" s="392">
        <f t="shared" si="398"/>
        <v>0</v>
      </c>
      <c r="AR1024" s="392">
        <f t="shared" si="399"/>
        <v>0</v>
      </c>
      <c r="AS1024" s="392">
        <f t="shared" si="399"/>
        <v>0</v>
      </c>
    </row>
    <row r="1025" spans="1:45">
      <c r="A1025" t="str">
        <f t="shared" si="397"/>
        <v>CA_Orang_2020g~city of orange member, city council, district 2 (vote 1)</v>
      </c>
      <c r="B1025" s="55" t="s">
        <v>3536</v>
      </c>
      <c r="D1025" s="55" t="s">
        <v>3947</v>
      </c>
      <c r="E1025" s="55" t="s">
        <v>3948</v>
      </c>
      <c r="G1025" s="60">
        <v>1085</v>
      </c>
      <c r="H1025"/>
      <c r="J1025">
        <v>7397</v>
      </c>
      <c r="N1025">
        <v>950</v>
      </c>
      <c r="O1025">
        <f t="shared" si="377"/>
        <v>4</v>
      </c>
      <c r="P1025" s="57">
        <f t="shared" si="378"/>
        <v>1</v>
      </c>
      <c r="Q1025" s="267">
        <f t="shared" si="379"/>
        <v>1085</v>
      </c>
      <c r="R1025" s="23" t="str">
        <f t="shared" si="380"/>
        <v/>
      </c>
      <c r="S1025" s="23">
        <f t="shared" si="381"/>
        <v>1085</v>
      </c>
      <c r="T1025" s="23" t="str">
        <f t="shared" si="382"/>
        <v/>
      </c>
      <c r="U1025" t="str">
        <f t="shared" si="383"/>
        <v/>
      </c>
      <c r="W1025" s="1">
        <f t="shared" si="384"/>
        <v>56</v>
      </c>
      <c r="X1025" s="73">
        <f t="shared" si="393"/>
        <v>33.06666666666667</v>
      </c>
      <c r="Y1025" s="322">
        <f t="shared" si="385"/>
        <v>33.06666666666667</v>
      </c>
      <c r="Z1025" s="43">
        <f t="shared" si="394"/>
        <v>52.725808667939219</v>
      </c>
      <c r="AA1025" s="52">
        <f t="shared" si="386"/>
        <v>0.52725808667939222</v>
      </c>
      <c r="AB1025" s="8">
        <f t="shared" si="387"/>
        <v>3145.28</v>
      </c>
      <c r="AC1025" s="8">
        <f t="shared" si="388"/>
        <v>157264</v>
      </c>
      <c r="AD1025" s="8">
        <f t="shared" si="392"/>
        <v>786.32</v>
      </c>
      <c r="AE1025" s="8" t="str">
        <f t="shared" si="389"/>
        <v/>
      </c>
      <c r="AF1025" s="22" t="str">
        <f t="shared" si="390"/>
        <v>PA_Alleg_2019p</v>
      </c>
      <c r="AG1025">
        <v>3</v>
      </c>
      <c r="AH1025" s="8">
        <v>170.66666666666666</v>
      </c>
      <c r="AI1025" s="273">
        <v>123</v>
      </c>
      <c r="AJ1025" s="274">
        <v>91</v>
      </c>
      <c r="AK1025" s="339">
        <v>32</v>
      </c>
      <c r="AL1025" s="23" t="s">
        <v>2353</v>
      </c>
      <c r="AM1025" s="353">
        <f t="shared" si="400"/>
        <v>2.0347949944043138E-4</v>
      </c>
      <c r="AO1025" s="355" t="s">
        <v>6483</v>
      </c>
      <c r="AP1025" s="23">
        <f t="shared" si="395"/>
        <v>0</v>
      </c>
      <c r="AQ1025" s="392">
        <f t="shared" si="398"/>
        <v>0</v>
      </c>
      <c r="AR1025" s="392">
        <f t="shared" si="399"/>
        <v>0</v>
      </c>
      <c r="AS1025" s="392">
        <f t="shared" si="399"/>
        <v>0</v>
      </c>
    </row>
    <row r="1026" spans="1:45">
      <c r="A1026" t="str">
        <f t="shared" si="397"/>
        <v>CA_Orang_2020g~city of orange member, city council, district 3 (vote 1)</v>
      </c>
      <c r="B1026" s="55" t="s">
        <v>3536</v>
      </c>
      <c r="D1026" s="55" t="s">
        <v>3952</v>
      </c>
      <c r="E1026" s="55" t="s">
        <v>3953</v>
      </c>
      <c r="G1026" s="60">
        <v>5482</v>
      </c>
      <c r="H1026"/>
      <c r="J1026">
        <v>12395</v>
      </c>
      <c r="N1026">
        <v>1556</v>
      </c>
      <c r="O1026">
        <f t="shared" ref="O1026:O1089" si="401">IF(OR(LOWER(LEFT(E1026,8))="write-in",LOWER(LEFT(E1026,8))="not qual"),IF(A1026=A1025,-ABS(O1025),0),IF(A1026=A1025,ABS(O1025)+1,1))</f>
        <v>1</v>
      </c>
      <c r="P1026" s="57">
        <f t="shared" ref="P1026:P1089" si="402">1*LEFT(RIGHT(A1026,2),1)</f>
        <v>1</v>
      </c>
      <c r="Q1026" s="267">
        <f t="shared" ref="Q1026:Q1089" si="403">IF(A1026&lt;&gt;A1027,G1026,IF(A1026=A1025,G1026+Q1027,MAX(G1026,(G1026+Q1027)/P1026)))</f>
        <v>10790</v>
      </c>
      <c r="R1026" s="23">
        <f t="shared" ref="R1026:R1089" si="404">IF(O1026&gt;P1026,"",IF(O1026=P1026,G1026,IF(A1026=A1027,R1027,IF(O1026&lt;=0,1,G1026))))</f>
        <v>5482</v>
      </c>
      <c r="S1026" s="23">
        <f t="shared" ref="S1026:S1089" si="405">IF(AND(O1026&gt;P1026,LOWER(LEFT(E1026,8))&lt;&gt;"write-in",LOWER(LEFT(E1026,8))&lt;&gt;"not qual"),G1026,IF(A1026=A1027,S1027,0))</f>
        <v>2893</v>
      </c>
      <c r="T1026" s="23">
        <f t="shared" ref="T1026:T1089" si="406">IF(OR(A1026=A1025,S1026=0),"",R1026-ABS(S1026))</f>
        <v>2589</v>
      </c>
      <c r="U1026" t="str">
        <f t="shared" ref="U1026:U1089" si="407">IF(A1026=A1025,"",A1026)</f>
        <v>CA_Orang_2020g~city of orange member, city council, district 3 (vote 1)</v>
      </c>
      <c r="W1026" s="1">
        <f t="shared" ref="W1026:W1089" si="408">IF(AF1026=AF1025,W1025+1,1)</f>
        <v>57</v>
      </c>
      <c r="X1026" s="73">
        <f t="shared" si="393"/>
        <v>25.768750000000001</v>
      </c>
      <c r="Y1026" s="322">
        <f t="shared" ref="Y1026:Y1089" si="409">MAX(X1026,0.069*AH1026)</f>
        <v>25.768750000000001</v>
      </c>
      <c r="Z1026" s="43">
        <f t="shared" si="394"/>
        <v>52.725808667939219</v>
      </c>
      <c r="AA1026" s="52">
        <f t="shared" ref="AA1026:AA1089" si="410">(1-AK1026/AC1026)^AB1026</f>
        <v>0.52725808667939222</v>
      </c>
      <c r="AB1026" s="8">
        <f t="shared" ref="AB1026:AB1089" si="411">INDEX(BA$2:BA$76,MATCH($AF1026,$AU$2:$AU$76,0))+IF(AE1026="",0,INDEX(BA$2:BA$76,AE1026))</f>
        <v>3145.28</v>
      </c>
      <c r="AC1026" s="8">
        <f t="shared" ref="AC1026:AC1089" si="412">INDEX(AX$2:AX$76,MATCH(AF1026,AU$2:AU$76,0))+IF(AE1026="",0,INDEX(AX$2:AX$76,AE1026))</f>
        <v>157264</v>
      </c>
      <c r="AD1026" s="8">
        <f t="shared" si="392"/>
        <v>786.32</v>
      </c>
      <c r="AE1026" s="8" t="str">
        <f t="shared" ref="AE1026:AE1089" si="413">IF(MID(AL1026,16,2)&lt;&gt;"w/","",MATCH(CONCATENATE("CO_",MID(AL1026,18,5),"_2020g"),AU$2:AU$76,0))</f>
        <v/>
      </c>
      <c r="AF1026" s="22" t="str">
        <f t="shared" ref="AF1026:AF1089" si="414">LEFT(AL1026,14)</f>
        <v>PA_Alleg_2019p</v>
      </c>
      <c r="AG1026">
        <v>1</v>
      </c>
      <c r="AH1026" s="272">
        <v>133</v>
      </c>
      <c r="AI1026" s="273">
        <v>76</v>
      </c>
      <c r="AJ1026" s="274">
        <v>44</v>
      </c>
      <c r="AK1026" s="339">
        <v>32</v>
      </c>
      <c r="AL1026" s="340" t="s">
        <v>2382</v>
      </c>
      <c r="AM1026" s="353">
        <f t="shared" si="400"/>
        <v>2.0347949944043138E-4</v>
      </c>
      <c r="AO1026" s="355" t="s">
        <v>6483</v>
      </c>
      <c r="AP1026" s="23">
        <f t="shared" si="395"/>
        <v>0</v>
      </c>
      <c r="AQ1026" s="392">
        <f t="shared" si="398"/>
        <v>0</v>
      </c>
      <c r="AR1026" s="392">
        <f t="shared" si="399"/>
        <v>0</v>
      </c>
      <c r="AS1026" s="392">
        <f t="shared" si="399"/>
        <v>0</v>
      </c>
    </row>
    <row r="1027" spans="1:45">
      <c r="A1027" t="str">
        <f t="shared" si="397"/>
        <v>CA_Orang_2020g~city of orange member, city council, district 3 (vote 1)</v>
      </c>
      <c r="B1027" s="55" t="s">
        <v>3536</v>
      </c>
      <c r="D1027" s="55" t="s">
        <v>3952</v>
      </c>
      <c r="E1027" s="55" t="s">
        <v>3955</v>
      </c>
      <c r="G1027" s="60">
        <v>2893</v>
      </c>
      <c r="H1027"/>
      <c r="J1027">
        <v>12395</v>
      </c>
      <c r="N1027">
        <v>1556</v>
      </c>
      <c r="O1027">
        <f t="shared" si="401"/>
        <v>2</v>
      </c>
      <c r="P1027" s="57">
        <f t="shared" si="402"/>
        <v>1</v>
      </c>
      <c r="Q1027" s="267">
        <f t="shared" si="403"/>
        <v>5308</v>
      </c>
      <c r="R1027" s="23" t="str">
        <f t="shared" si="404"/>
        <v/>
      </c>
      <c r="S1027" s="23">
        <f t="shared" si="405"/>
        <v>2893</v>
      </c>
      <c r="T1027" s="23" t="str">
        <f t="shared" si="406"/>
        <v/>
      </c>
      <c r="U1027" t="str">
        <f t="shared" si="407"/>
        <v/>
      </c>
      <c r="W1027" s="1">
        <f t="shared" si="408"/>
        <v>58</v>
      </c>
      <c r="X1027" s="73">
        <f t="shared" si="393"/>
        <v>111.52484848484849</v>
      </c>
      <c r="Y1027" s="322">
        <f t="shared" si="409"/>
        <v>111.52484848484849</v>
      </c>
      <c r="Z1027" s="43">
        <f t="shared" si="394"/>
        <v>51.681554051715352</v>
      </c>
      <c r="AA1027" s="52">
        <f t="shared" si="410"/>
        <v>0.5168155405171535</v>
      </c>
      <c r="AB1027" s="8">
        <f t="shared" si="411"/>
        <v>3145.28</v>
      </c>
      <c r="AC1027" s="8">
        <f t="shared" si="412"/>
        <v>157264</v>
      </c>
      <c r="AD1027" s="8">
        <f t="shared" ref="AD1027:AD1090" si="415">AC1027/RIGHT(AD$1,4)</f>
        <v>786.32</v>
      </c>
      <c r="AE1027" s="8" t="str">
        <f t="shared" si="413"/>
        <v/>
      </c>
      <c r="AF1027" s="22" t="str">
        <f t="shared" si="414"/>
        <v>PA_Alleg_2019p</v>
      </c>
      <c r="AG1027">
        <v>5</v>
      </c>
      <c r="AH1027" s="272">
        <v>593.6</v>
      </c>
      <c r="AI1027" s="273">
        <v>410</v>
      </c>
      <c r="AJ1027" s="274">
        <v>377</v>
      </c>
      <c r="AK1027" s="339">
        <v>33</v>
      </c>
      <c r="AL1027" s="340" t="s">
        <v>2393</v>
      </c>
      <c r="AM1027" s="353">
        <f t="shared" si="400"/>
        <v>2.0983823379794485E-4</v>
      </c>
      <c r="AO1027" s="355" t="s">
        <v>6483</v>
      </c>
      <c r="AP1027" s="23">
        <f t="shared" si="395"/>
        <v>0</v>
      </c>
      <c r="AQ1027" s="392">
        <f t="shared" si="398"/>
        <v>0</v>
      </c>
      <c r="AR1027" s="392">
        <f t="shared" si="399"/>
        <v>0</v>
      </c>
      <c r="AS1027" s="392">
        <f t="shared" si="399"/>
        <v>0</v>
      </c>
    </row>
    <row r="1028" spans="1:45">
      <c r="A1028" t="str">
        <f t="shared" si="397"/>
        <v>CA_Orang_2020g~city of orange member, city council, district 3 (vote 1)</v>
      </c>
      <c r="B1028" s="55" t="s">
        <v>3536</v>
      </c>
      <c r="D1028" s="55" t="s">
        <v>3952</v>
      </c>
      <c r="E1028" s="55" t="s">
        <v>3954</v>
      </c>
      <c r="G1028" s="60">
        <v>2415</v>
      </c>
      <c r="H1028"/>
      <c r="J1028">
        <v>12395</v>
      </c>
      <c r="N1028">
        <v>1556</v>
      </c>
      <c r="O1028">
        <f t="shared" si="401"/>
        <v>3</v>
      </c>
      <c r="P1028" s="57">
        <f t="shared" si="402"/>
        <v>1</v>
      </c>
      <c r="Q1028" s="267">
        <f t="shared" si="403"/>
        <v>2415</v>
      </c>
      <c r="R1028" s="23" t="str">
        <f t="shared" si="404"/>
        <v/>
      </c>
      <c r="S1028" s="23">
        <f t="shared" si="405"/>
        <v>2415</v>
      </c>
      <c r="T1028" s="23" t="str">
        <f t="shared" si="406"/>
        <v/>
      </c>
      <c r="U1028" t="str">
        <f t="shared" si="407"/>
        <v/>
      </c>
      <c r="W1028" s="1">
        <f t="shared" si="408"/>
        <v>59</v>
      </c>
      <c r="X1028" s="73">
        <f t="shared" si="393"/>
        <v>182.58162162162162</v>
      </c>
      <c r="Y1028" s="322">
        <f t="shared" si="409"/>
        <v>182.58162162162162</v>
      </c>
      <c r="Z1028" s="43">
        <f t="shared" si="394"/>
        <v>47.707237753531849</v>
      </c>
      <c r="AA1028" s="52">
        <f t="shared" si="410"/>
        <v>0.4770723775353185</v>
      </c>
      <c r="AB1028" s="8">
        <f t="shared" si="411"/>
        <v>3145.28</v>
      </c>
      <c r="AC1028" s="8">
        <f t="shared" si="412"/>
        <v>157264</v>
      </c>
      <c r="AD1028" s="8">
        <f t="shared" si="415"/>
        <v>786.32</v>
      </c>
      <c r="AE1028" s="8" t="str">
        <f t="shared" si="413"/>
        <v/>
      </c>
      <c r="AF1028" s="22" t="str">
        <f t="shared" si="414"/>
        <v>PA_Alleg_2019p</v>
      </c>
      <c r="AG1028">
        <v>5</v>
      </c>
      <c r="AH1028" s="272">
        <v>1089.5999999999999</v>
      </c>
      <c r="AI1028" s="273">
        <v>730</v>
      </c>
      <c r="AJ1028" s="274">
        <v>693</v>
      </c>
      <c r="AK1028" s="339">
        <v>37</v>
      </c>
      <c r="AL1028" s="340" t="s">
        <v>2422</v>
      </c>
      <c r="AM1028" s="353">
        <f t="shared" si="400"/>
        <v>2.3527317122799878E-4</v>
      </c>
      <c r="AO1028" s="355" t="s">
        <v>6483</v>
      </c>
      <c r="AP1028" s="23">
        <f t="shared" si="395"/>
        <v>0</v>
      </c>
      <c r="AQ1028" s="392">
        <f t="shared" si="398"/>
        <v>0</v>
      </c>
      <c r="AR1028" s="392">
        <f t="shared" si="399"/>
        <v>0</v>
      </c>
      <c r="AS1028" s="392">
        <f t="shared" si="399"/>
        <v>0</v>
      </c>
    </row>
    <row r="1029" spans="1:45">
      <c r="A1029" t="str">
        <f t="shared" si="397"/>
        <v>CA_Orang_2020g~city of orange member, city council, district 5 (vote 1)</v>
      </c>
      <c r="B1029" s="55" t="s">
        <v>3536</v>
      </c>
      <c r="D1029" s="55" t="s">
        <v>3956</v>
      </c>
      <c r="E1029" s="55" t="s">
        <v>3957</v>
      </c>
      <c r="G1029" s="60">
        <v>4448</v>
      </c>
      <c r="H1029"/>
      <c r="J1029">
        <v>9451</v>
      </c>
      <c r="N1029">
        <v>1011</v>
      </c>
      <c r="O1029">
        <f t="shared" si="401"/>
        <v>1</v>
      </c>
      <c r="P1029" s="57">
        <f t="shared" si="402"/>
        <v>1</v>
      </c>
      <c r="Q1029" s="267">
        <f t="shared" si="403"/>
        <v>8410</v>
      </c>
      <c r="R1029" s="23">
        <f t="shared" si="404"/>
        <v>4448</v>
      </c>
      <c r="S1029" s="23">
        <f t="shared" si="405"/>
        <v>3962</v>
      </c>
      <c r="T1029" s="23">
        <f t="shared" si="406"/>
        <v>486</v>
      </c>
      <c r="U1029" t="str">
        <f t="shared" si="407"/>
        <v>CA_Orang_2020g~city of orange member, city council, district 5 (vote 1)</v>
      </c>
      <c r="W1029" s="1">
        <f t="shared" si="408"/>
        <v>60</v>
      </c>
      <c r="X1029" s="73">
        <f t="shared" si="393"/>
        <v>54.45945945945946</v>
      </c>
      <c r="Y1029" s="322">
        <f t="shared" si="409"/>
        <v>54.45945945945946</v>
      </c>
      <c r="Z1029" s="43">
        <f t="shared" si="394"/>
        <v>47.707237753531849</v>
      </c>
      <c r="AA1029" s="52">
        <f t="shared" si="410"/>
        <v>0.4770723775353185</v>
      </c>
      <c r="AB1029" s="8">
        <f t="shared" si="411"/>
        <v>3145.28</v>
      </c>
      <c r="AC1029" s="8">
        <f t="shared" si="412"/>
        <v>157264</v>
      </c>
      <c r="AD1029" s="8">
        <f t="shared" si="415"/>
        <v>786.32</v>
      </c>
      <c r="AE1029" s="8" t="str">
        <f t="shared" si="413"/>
        <v/>
      </c>
      <c r="AF1029" s="22" t="str">
        <f t="shared" si="414"/>
        <v>PA_Alleg_2019p</v>
      </c>
      <c r="AG1029">
        <v>1</v>
      </c>
      <c r="AH1029" s="272">
        <v>325</v>
      </c>
      <c r="AI1029" s="273">
        <v>180</v>
      </c>
      <c r="AJ1029" s="274">
        <v>143</v>
      </c>
      <c r="AK1029" s="339">
        <v>37</v>
      </c>
      <c r="AL1029" s="340" t="s">
        <v>2378</v>
      </c>
      <c r="AM1029" s="353">
        <f t="shared" si="400"/>
        <v>2.3527317122799878E-4</v>
      </c>
      <c r="AO1029" s="355" t="s">
        <v>6483</v>
      </c>
      <c r="AP1029" s="23">
        <f t="shared" si="395"/>
        <v>0</v>
      </c>
      <c r="AQ1029" s="392">
        <f t="shared" si="398"/>
        <v>0</v>
      </c>
      <c r="AR1029" s="392">
        <f t="shared" si="399"/>
        <v>0</v>
      </c>
      <c r="AS1029" s="392">
        <f t="shared" si="399"/>
        <v>0</v>
      </c>
    </row>
    <row r="1030" spans="1:45">
      <c r="A1030" t="str">
        <f t="shared" si="397"/>
        <v>CA_Orang_2020g~city of orange member, city council, district 5 (vote 1)</v>
      </c>
      <c r="B1030" s="55" t="s">
        <v>3536</v>
      </c>
      <c r="D1030" s="55" t="s">
        <v>3956</v>
      </c>
      <c r="E1030" s="55" t="s">
        <v>3958</v>
      </c>
      <c r="G1030" s="60">
        <v>3962</v>
      </c>
      <c r="H1030"/>
      <c r="J1030">
        <v>9451</v>
      </c>
      <c r="N1030">
        <v>1011</v>
      </c>
      <c r="O1030">
        <f t="shared" si="401"/>
        <v>2</v>
      </c>
      <c r="P1030" s="57">
        <f t="shared" si="402"/>
        <v>1</v>
      </c>
      <c r="Q1030" s="267">
        <f t="shared" si="403"/>
        <v>3962</v>
      </c>
      <c r="R1030" s="23" t="str">
        <f t="shared" si="404"/>
        <v/>
      </c>
      <c r="S1030" s="23">
        <f t="shared" si="405"/>
        <v>3962</v>
      </c>
      <c r="T1030" s="23" t="str">
        <f t="shared" si="406"/>
        <v/>
      </c>
      <c r="U1030" t="str">
        <f t="shared" si="407"/>
        <v/>
      </c>
      <c r="W1030" s="1">
        <f t="shared" si="408"/>
        <v>61</v>
      </c>
      <c r="X1030" s="73">
        <f t="shared" si="393"/>
        <v>46.583783783783787</v>
      </c>
      <c r="Y1030" s="322">
        <f t="shared" si="409"/>
        <v>46.583783783783787</v>
      </c>
      <c r="Z1030" s="43">
        <f t="shared" si="394"/>
        <v>47.707237753531849</v>
      </c>
      <c r="AA1030" s="52">
        <f t="shared" si="410"/>
        <v>0.4770723775353185</v>
      </c>
      <c r="AB1030" s="8">
        <f t="shared" si="411"/>
        <v>3145.28</v>
      </c>
      <c r="AC1030" s="8">
        <f t="shared" si="412"/>
        <v>157264</v>
      </c>
      <c r="AD1030" s="8">
        <f t="shared" si="415"/>
        <v>786.32</v>
      </c>
      <c r="AE1030" s="8" t="str">
        <f t="shared" si="413"/>
        <v/>
      </c>
      <c r="AF1030" s="22" t="str">
        <f t="shared" si="414"/>
        <v>PA_Alleg_2019p</v>
      </c>
      <c r="AG1030">
        <v>1</v>
      </c>
      <c r="AH1030" s="272">
        <v>278</v>
      </c>
      <c r="AI1030" s="273">
        <v>156</v>
      </c>
      <c r="AJ1030" s="274">
        <v>119</v>
      </c>
      <c r="AK1030" s="339">
        <v>37</v>
      </c>
      <c r="AL1030" s="340" t="s">
        <v>2348</v>
      </c>
      <c r="AM1030" s="353">
        <f t="shared" si="400"/>
        <v>2.3527317122799878E-4</v>
      </c>
      <c r="AO1030" s="355" t="s">
        <v>6483</v>
      </c>
      <c r="AP1030" s="23">
        <f t="shared" si="395"/>
        <v>0</v>
      </c>
      <c r="AQ1030" s="392">
        <f t="shared" si="398"/>
        <v>0</v>
      </c>
      <c r="AR1030" s="392">
        <f t="shared" si="399"/>
        <v>0</v>
      </c>
      <c r="AS1030" s="392">
        <f t="shared" si="399"/>
        <v>0</v>
      </c>
    </row>
    <row r="1031" spans="1:45">
      <c r="A1031" t="str">
        <f t="shared" si="397"/>
        <v>CA_Orang_2020g~city of placentia city clerk, short term (vote 1)</v>
      </c>
      <c r="B1031" s="55" t="s">
        <v>3536</v>
      </c>
      <c r="D1031" s="55" t="s">
        <v>3971</v>
      </c>
      <c r="E1031" s="55" t="s">
        <v>3972</v>
      </c>
      <c r="G1031" s="60">
        <v>20615</v>
      </c>
      <c r="H1031"/>
      <c r="J1031">
        <v>26704</v>
      </c>
      <c r="N1031">
        <v>5779</v>
      </c>
      <c r="O1031">
        <f t="shared" si="401"/>
        <v>1</v>
      </c>
      <c r="P1031" s="57">
        <f t="shared" si="402"/>
        <v>1</v>
      </c>
      <c r="Q1031" s="267">
        <f t="shared" si="403"/>
        <v>20615</v>
      </c>
      <c r="R1031" s="23">
        <f t="shared" si="404"/>
        <v>20615</v>
      </c>
      <c r="S1031" s="23">
        <f t="shared" si="405"/>
        <v>0</v>
      </c>
      <c r="T1031" s="23" t="str">
        <f t="shared" si="406"/>
        <v/>
      </c>
      <c r="U1031" t="str">
        <f t="shared" si="407"/>
        <v>CA_Orang_2020g~city of placentia city clerk, short term (vote 1)</v>
      </c>
      <c r="W1031" s="1">
        <f t="shared" si="408"/>
        <v>62</v>
      </c>
      <c r="X1031" s="73">
        <f t="shared" si="393"/>
        <v>45.357894736842105</v>
      </c>
      <c r="Y1031" s="322">
        <f t="shared" si="409"/>
        <v>45.357894736842105</v>
      </c>
      <c r="Z1031" s="43">
        <f t="shared" si="394"/>
        <v>46.762348087405648</v>
      </c>
      <c r="AA1031" s="52">
        <f t="shared" si="410"/>
        <v>0.46762348087405647</v>
      </c>
      <c r="AB1031" s="8">
        <f t="shared" si="411"/>
        <v>3145.28</v>
      </c>
      <c r="AC1031" s="8">
        <f t="shared" si="412"/>
        <v>157264</v>
      </c>
      <c r="AD1031" s="8">
        <f t="shared" si="415"/>
        <v>786.32</v>
      </c>
      <c r="AE1031" s="8" t="str">
        <f t="shared" si="413"/>
        <v/>
      </c>
      <c r="AF1031" s="22" t="str">
        <f t="shared" si="414"/>
        <v>PA_Alleg_2019p</v>
      </c>
      <c r="AG1031">
        <v>1</v>
      </c>
      <c r="AH1031" s="272">
        <v>278</v>
      </c>
      <c r="AI1031" s="273">
        <v>141</v>
      </c>
      <c r="AJ1031" s="274">
        <v>103</v>
      </c>
      <c r="AK1031" s="339">
        <v>38</v>
      </c>
      <c r="AL1031" s="340" t="s">
        <v>2345</v>
      </c>
      <c r="AM1031" s="353">
        <f t="shared" si="400"/>
        <v>2.4163190558551225E-4</v>
      </c>
      <c r="AO1031" s="355" t="s">
        <v>6483</v>
      </c>
      <c r="AP1031" s="23">
        <f t="shared" si="395"/>
        <v>0</v>
      </c>
      <c r="AQ1031" s="392">
        <f t="shared" si="398"/>
        <v>0</v>
      </c>
      <c r="AR1031" s="392">
        <f t="shared" si="399"/>
        <v>0</v>
      </c>
      <c r="AS1031" s="392">
        <f t="shared" si="399"/>
        <v>0</v>
      </c>
    </row>
    <row r="1032" spans="1:45">
      <c r="A1032" t="str">
        <f t="shared" si="397"/>
        <v>CA_Orang_2020g~city of placentia city treasurer (vote 1)</v>
      </c>
      <c r="B1032" s="55" t="s">
        <v>3536</v>
      </c>
      <c r="D1032" s="55" t="s">
        <v>3973</v>
      </c>
      <c r="E1032" s="55" t="s">
        <v>3974</v>
      </c>
      <c r="G1032" s="60">
        <v>20363</v>
      </c>
      <c r="H1032"/>
      <c r="J1032">
        <v>26704</v>
      </c>
      <c r="N1032">
        <v>5984</v>
      </c>
      <c r="O1032">
        <f t="shared" si="401"/>
        <v>1</v>
      </c>
      <c r="P1032" s="57">
        <f t="shared" si="402"/>
        <v>1</v>
      </c>
      <c r="Q1032" s="267">
        <f t="shared" si="403"/>
        <v>20363</v>
      </c>
      <c r="R1032" s="23">
        <f t="shared" si="404"/>
        <v>20363</v>
      </c>
      <c r="S1032" s="23">
        <f t="shared" si="405"/>
        <v>0</v>
      </c>
      <c r="T1032" s="23" t="str">
        <f t="shared" si="406"/>
        <v/>
      </c>
      <c r="U1032" t="str">
        <f t="shared" si="407"/>
        <v>CA_Orang_2020g~city of placentia city treasurer (vote 1)</v>
      </c>
      <c r="W1032" s="1">
        <f t="shared" si="408"/>
        <v>63</v>
      </c>
      <c r="X1032" s="73">
        <f t="shared" si="393"/>
        <v>99.122500000000016</v>
      </c>
      <c r="Y1032" s="322">
        <f t="shared" si="409"/>
        <v>99.122500000000016</v>
      </c>
      <c r="Z1032" s="43">
        <f t="shared" si="394"/>
        <v>44.928324407388772</v>
      </c>
      <c r="AA1032" s="52">
        <f t="shared" si="410"/>
        <v>0.4492832440738877</v>
      </c>
      <c r="AB1032" s="8">
        <f t="shared" si="411"/>
        <v>3145.28</v>
      </c>
      <c r="AC1032" s="8">
        <f t="shared" si="412"/>
        <v>157264</v>
      </c>
      <c r="AD1032" s="8">
        <f t="shared" si="415"/>
        <v>786.32</v>
      </c>
      <c r="AE1032" s="8" t="str">
        <f t="shared" si="413"/>
        <v/>
      </c>
      <c r="AF1032" s="22" t="str">
        <f t="shared" si="414"/>
        <v>PA_Alleg_2019p</v>
      </c>
      <c r="AG1032">
        <v>2</v>
      </c>
      <c r="AH1032" s="272">
        <v>639.5</v>
      </c>
      <c r="AI1032" s="273">
        <v>328</v>
      </c>
      <c r="AJ1032" s="274">
        <v>288</v>
      </c>
      <c r="AK1032" s="339">
        <v>40</v>
      </c>
      <c r="AL1032" s="340" t="s">
        <v>2386</v>
      </c>
      <c r="AM1032" s="353">
        <f t="shared" si="400"/>
        <v>2.543493743005392E-4</v>
      </c>
      <c r="AO1032" s="355" t="s">
        <v>6483</v>
      </c>
      <c r="AP1032" s="23">
        <f t="shared" si="395"/>
        <v>0</v>
      </c>
      <c r="AQ1032" s="392">
        <f t="shared" si="398"/>
        <v>0</v>
      </c>
      <c r="AR1032" s="392">
        <f t="shared" si="399"/>
        <v>0</v>
      </c>
      <c r="AS1032" s="392">
        <f t="shared" si="399"/>
        <v>0</v>
      </c>
    </row>
    <row r="1033" spans="1:45">
      <c r="A1033" t="str">
        <f t="shared" si="397"/>
        <v>CA_Orang_2020g~city of placentia member, city council, district 1 (vote 1)</v>
      </c>
      <c r="B1033" s="55" t="s">
        <v>3536</v>
      </c>
      <c r="D1033" s="55" t="s">
        <v>3963</v>
      </c>
      <c r="E1033" s="55" t="s">
        <v>3965</v>
      </c>
      <c r="G1033" s="60">
        <v>1311</v>
      </c>
      <c r="H1033"/>
      <c r="J1033">
        <v>2669</v>
      </c>
      <c r="N1033">
        <v>194</v>
      </c>
      <c r="O1033">
        <f t="shared" si="401"/>
        <v>1</v>
      </c>
      <c r="P1033" s="57">
        <f t="shared" si="402"/>
        <v>1</v>
      </c>
      <c r="Q1033" s="267">
        <f t="shared" si="403"/>
        <v>2462</v>
      </c>
      <c r="R1033" s="23">
        <f t="shared" si="404"/>
        <v>1311</v>
      </c>
      <c r="S1033" s="23">
        <f t="shared" si="405"/>
        <v>1151</v>
      </c>
      <c r="T1033" s="23">
        <f t="shared" si="406"/>
        <v>160</v>
      </c>
      <c r="U1033" t="str">
        <f t="shared" si="407"/>
        <v>CA_Orang_2020g~city of placentia member, city council, district 1 (vote 1)</v>
      </c>
      <c r="W1033" s="1">
        <f t="shared" si="408"/>
        <v>64</v>
      </c>
      <c r="X1033" s="73">
        <f t="shared" si="393"/>
        <v>46.655000000000001</v>
      </c>
      <c r="Y1033" s="322">
        <f t="shared" si="409"/>
        <v>46.655000000000001</v>
      </c>
      <c r="Z1033" s="43">
        <f t="shared" si="394"/>
        <v>44.928324407388772</v>
      </c>
      <c r="AA1033" s="52">
        <f t="shared" si="410"/>
        <v>0.4492832440738877</v>
      </c>
      <c r="AB1033" s="8">
        <f t="shared" si="411"/>
        <v>3145.28</v>
      </c>
      <c r="AC1033" s="8">
        <f t="shared" si="412"/>
        <v>157264</v>
      </c>
      <c r="AD1033" s="8">
        <f t="shared" si="415"/>
        <v>786.32</v>
      </c>
      <c r="AE1033" s="8" t="str">
        <f t="shared" si="413"/>
        <v/>
      </c>
      <c r="AF1033" s="22" t="str">
        <f t="shared" si="414"/>
        <v>PA_Alleg_2019p</v>
      </c>
      <c r="AG1033">
        <v>1</v>
      </c>
      <c r="AH1033" s="272">
        <v>301</v>
      </c>
      <c r="AI1033" s="273">
        <v>121</v>
      </c>
      <c r="AJ1033" s="274">
        <v>81</v>
      </c>
      <c r="AK1033" s="339">
        <v>40</v>
      </c>
      <c r="AL1033" s="340" t="s">
        <v>2427</v>
      </c>
      <c r="AM1033" s="353">
        <f t="shared" si="400"/>
        <v>2.543493743005392E-4</v>
      </c>
      <c r="AO1033" s="355" t="s">
        <v>6483</v>
      </c>
      <c r="AP1033" s="23">
        <f t="shared" si="395"/>
        <v>0</v>
      </c>
      <c r="AQ1033" s="392">
        <f t="shared" si="398"/>
        <v>0</v>
      </c>
      <c r="AR1033" s="392">
        <f t="shared" si="399"/>
        <v>0</v>
      </c>
      <c r="AS1033" s="392">
        <f t="shared" si="399"/>
        <v>0</v>
      </c>
    </row>
    <row r="1034" spans="1:45">
      <c r="A1034" t="str">
        <f t="shared" si="397"/>
        <v>CA_Orang_2020g~city of placentia member, city council, district 1 (vote 1)</v>
      </c>
      <c r="B1034" s="55" t="s">
        <v>3536</v>
      </c>
      <c r="D1034" s="55" t="s">
        <v>3963</v>
      </c>
      <c r="E1034" s="55" t="s">
        <v>3964</v>
      </c>
      <c r="G1034" s="60">
        <v>1151</v>
      </c>
      <c r="H1034"/>
      <c r="J1034">
        <v>2669</v>
      </c>
      <c r="N1034">
        <v>194</v>
      </c>
      <c r="O1034">
        <f t="shared" si="401"/>
        <v>2</v>
      </c>
      <c r="P1034" s="57">
        <f t="shared" si="402"/>
        <v>1</v>
      </c>
      <c r="Q1034" s="267">
        <f t="shared" si="403"/>
        <v>1151</v>
      </c>
      <c r="R1034" s="23" t="str">
        <f t="shared" si="404"/>
        <v/>
      </c>
      <c r="S1034" s="23">
        <f t="shared" si="405"/>
        <v>1151</v>
      </c>
      <c r="T1034" s="23" t="str">
        <f t="shared" si="406"/>
        <v/>
      </c>
      <c r="U1034" t="str">
        <f t="shared" si="407"/>
        <v/>
      </c>
      <c r="W1034" s="1">
        <f t="shared" si="408"/>
        <v>65</v>
      </c>
      <c r="X1034" s="73">
        <f t="shared" si="393"/>
        <v>25.42</v>
      </c>
      <c r="Y1034" s="322">
        <f t="shared" si="409"/>
        <v>25.42</v>
      </c>
      <c r="Z1034" s="43">
        <f t="shared" si="394"/>
        <v>44.928324407388772</v>
      </c>
      <c r="AA1034" s="52">
        <f t="shared" si="410"/>
        <v>0.4492832440738877</v>
      </c>
      <c r="AB1034" s="8">
        <f t="shared" si="411"/>
        <v>3145.28</v>
      </c>
      <c r="AC1034" s="8">
        <f t="shared" si="412"/>
        <v>157264</v>
      </c>
      <c r="AD1034" s="8">
        <f t="shared" si="415"/>
        <v>786.32</v>
      </c>
      <c r="AE1034" s="8" t="str">
        <f t="shared" si="413"/>
        <v/>
      </c>
      <c r="AF1034" s="22" t="str">
        <f t="shared" si="414"/>
        <v>PA_Alleg_2019p</v>
      </c>
      <c r="AG1034">
        <v>1</v>
      </c>
      <c r="AH1034" s="272">
        <v>164</v>
      </c>
      <c r="AI1034" s="273">
        <v>102</v>
      </c>
      <c r="AJ1034" s="274">
        <v>62</v>
      </c>
      <c r="AK1034" s="339">
        <v>40</v>
      </c>
      <c r="AL1034" s="340" t="s">
        <v>2335</v>
      </c>
      <c r="AM1034" s="353">
        <f t="shared" si="400"/>
        <v>2.543493743005392E-4</v>
      </c>
      <c r="AO1034" s="355" t="s">
        <v>6483</v>
      </c>
      <c r="AP1034" s="23">
        <f t="shared" si="395"/>
        <v>0</v>
      </c>
      <c r="AQ1034" s="392">
        <f t="shared" si="398"/>
        <v>0</v>
      </c>
      <c r="AR1034" s="392">
        <f t="shared" si="399"/>
        <v>0</v>
      </c>
      <c r="AS1034" s="392">
        <f t="shared" si="399"/>
        <v>0</v>
      </c>
    </row>
    <row r="1035" spans="1:45">
      <c r="A1035" t="str">
        <f t="shared" si="397"/>
        <v>CA_Orang_2020g~city of placentia member, city council, district 3 (vote 1)</v>
      </c>
      <c r="B1035" s="55" t="s">
        <v>3536</v>
      </c>
      <c r="D1035" s="55" t="s">
        <v>3966</v>
      </c>
      <c r="E1035" s="55" t="s">
        <v>3967</v>
      </c>
      <c r="G1035" s="60">
        <v>4670</v>
      </c>
      <c r="H1035"/>
      <c r="J1035">
        <v>5983</v>
      </c>
      <c r="N1035">
        <v>1208</v>
      </c>
      <c r="O1035">
        <f t="shared" si="401"/>
        <v>1</v>
      </c>
      <c r="P1035" s="57">
        <f t="shared" si="402"/>
        <v>1</v>
      </c>
      <c r="Q1035" s="267">
        <f t="shared" si="403"/>
        <v>4670</v>
      </c>
      <c r="R1035" s="23">
        <f t="shared" si="404"/>
        <v>4670</v>
      </c>
      <c r="S1035" s="23">
        <f t="shared" si="405"/>
        <v>0</v>
      </c>
      <c r="T1035" s="23" t="str">
        <f t="shared" si="406"/>
        <v/>
      </c>
      <c r="U1035" t="str">
        <f t="shared" si="407"/>
        <v>CA_Orang_2020g~city of placentia member, city council, district 3 (vote 1)</v>
      </c>
      <c r="W1035" s="1">
        <f t="shared" si="408"/>
        <v>66</v>
      </c>
      <c r="X1035" s="73">
        <f t="shared" si="393"/>
        <v>328.81170731707317</v>
      </c>
      <c r="Y1035" s="322">
        <f t="shared" si="409"/>
        <v>328.81170731707317</v>
      </c>
      <c r="Z1035" s="43">
        <f t="shared" si="394"/>
        <v>44.038457095634755</v>
      </c>
      <c r="AA1035" s="52">
        <f t="shared" si="410"/>
        <v>0.44038457095634753</v>
      </c>
      <c r="AB1035" s="8">
        <f t="shared" si="411"/>
        <v>3145.28</v>
      </c>
      <c r="AC1035" s="8">
        <f t="shared" si="412"/>
        <v>157264</v>
      </c>
      <c r="AD1035" s="8">
        <f t="shared" si="415"/>
        <v>786.32</v>
      </c>
      <c r="AE1035" s="8" t="str">
        <f t="shared" si="413"/>
        <v/>
      </c>
      <c r="AF1035" s="22" t="str">
        <f t="shared" si="414"/>
        <v>PA_Alleg_2019p</v>
      </c>
      <c r="AG1035">
        <v>5</v>
      </c>
      <c r="AH1035" s="272">
        <v>2174.4</v>
      </c>
      <c r="AI1035" s="273">
        <v>1100</v>
      </c>
      <c r="AJ1035" s="274">
        <v>1059</v>
      </c>
      <c r="AK1035" s="339">
        <v>41</v>
      </c>
      <c r="AL1035" s="340" t="s">
        <v>2446</v>
      </c>
      <c r="AM1035" s="353">
        <f t="shared" si="400"/>
        <v>2.6070810865805273E-4</v>
      </c>
      <c r="AO1035" s="355" t="s">
        <v>6483</v>
      </c>
      <c r="AP1035" s="23">
        <f t="shared" si="395"/>
        <v>0</v>
      </c>
      <c r="AQ1035" s="392">
        <f t="shared" si="398"/>
        <v>0</v>
      </c>
      <c r="AR1035" s="392">
        <f t="shared" si="399"/>
        <v>0</v>
      </c>
      <c r="AS1035" s="392">
        <f t="shared" si="399"/>
        <v>0</v>
      </c>
    </row>
    <row r="1036" spans="1:45">
      <c r="A1036" t="str">
        <f t="shared" si="397"/>
        <v>CA_Orang_2020g~city of placentia member, city council, district 5 (vote 1)</v>
      </c>
      <c r="B1036" s="55" t="s">
        <v>3536</v>
      </c>
      <c r="D1036" s="55" t="s">
        <v>3968</v>
      </c>
      <c r="E1036" s="55" t="s">
        <v>3970</v>
      </c>
      <c r="G1036" s="60">
        <v>3768</v>
      </c>
      <c r="H1036"/>
      <c r="J1036">
        <v>6632</v>
      </c>
      <c r="N1036">
        <v>1034</v>
      </c>
      <c r="O1036">
        <f t="shared" si="401"/>
        <v>1</v>
      </c>
      <c r="P1036" s="57">
        <f t="shared" si="402"/>
        <v>1</v>
      </c>
      <c r="Q1036" s="267">
        <f t="shared" si="403"/>
        <v>5555</v>
      </c>
      <c r="R1036" s="23">
        <f t="shared" si="404"/>
        <v>3768</v>
      </c>
      <c r="S1036" s="23">
        <f t="shared" si="405"/>
        <v>1787</v>
      </c>
      <c r="T1036" s="23">
        <f t="shared" si="406"/>
        <v>1981</v>
      </c>
      <c r="U1036" t="str">
        <f t="shared" si="407"/>
        <v>CA_Orang_2020g~city of placentia member, city council, district 5 (vote 1)</v>
      </c>
      <c r="W1036" s="1">
        <f t="shared" si="408"/>
        <v>67</v>
      </c>
      <c r="X1036" s="73">
        <f t="shared" ref="X1036:X1086" si="416">IF(AK1036=0,AH1036,MIN(AH1036,6.2/(AK1036/AH1036)))</f>
        <v>38.712195121951218</v>
      </c>
      <c r="Y1036" s="322">
        <f t="shared" si="409"/>
        <v>38.712195121951218</v>
      </c>
      <c r="Z1036" s="43">
        <f t="shared" ref="Z1036:Z1086" si="417">AA1036*100</f>
        <v>44.038457095634755</v>
      </c>
      <c r="AA1036" s="52">
        <f t="shared" si="410"/>
        <v>0.44038457095634753</v>
      </c>
      <c r="AB1036" s="8">
        <f t="shared" si="411"/>
        <v>3145.28</v>
      </c>
      <c r="AC1036" s="8">
        <f t="shared" si="412"/>
        <v>157264</v>
      </c>
      <c r="AD1036" s="8">
        <f t="shared" si="415"/>
        <v>786.32</v>
      </c>
      <c r="AE1036" s="8" t="str">
        <f t="shared" si="413"/>
        <v/>
      </c>
      <c r="AF1036" s="22" t="str">
        <f t="shared" si="414"/>
        <v>PA_Alleg_2019p</v>
      </c>
      <c r="AG1036">
        <v>1</v>
      </c>
      <c r="AH1036" s="272">
        <v>256</v>
      </c>
      <c r="AI1036" s="273">
        <v>133</v>
      </c>
      <c r="AJ1036" s="274">
        <v>92</v>
      </c>
      <c r="AK1036" s="339">
        <v>41</v>
      </c>
      <c r="AL1036" s="340" t="s">
        <v>2350</v>
      </c>
      <c r="AM1036" s="353">
        <f t="shared" si="400"/>
        <v>2.6070810865805273E-4</v>
      </c>
      <c r="AO1036" s="355" t="s">
        <v>6483</v>
      </c>
      <c r="AP1036" s="23">
        <f t="shared" si="395"/>
        <v>0</v>
      </c>
      <c r="AQ1036" s="392">
        <f t="shared" si="398"/>
        <v>0</v>
      </c>
      <c r="AR1036" s="392">
        <f t="shared" si="399"/>
        <v>0</v>
      </c>
      <c r="AS1036" s="392">
        <f t="shared" si="399"/>
        <v>0</v>
      </c>
    </row>
    <row r="1037" spans="1:45">
      <c r="A1037" t="str">
        <f t="shared" si="397"/>
        <v>CA_Orang_2020g~city of placentia member, city council, district 5 (vote 1)</v>
      </c>
      <c r="B1037" s="55" t="s">
        <v>3536</v>
      </c>
      <c r="D1037" s="55" t="s">
        <v>3968</v>
      </c>
      <c r="E1037" s="55" t="s">
        <v>3969</v>
      </c>
      <c r="G1037" s="60">
        <v>1787</v>
      </c>
      <c r="H1037"/>
      <c r="J1037">
        <v>6632</v>
      </c>
      <c r="N1037">
        <v>1034</v>
      </c>
      <c r="O1037">
        <f t="shared" si="401"/>
        <v>2</v>
      </c>
      <c r="P1037" s="57">
        <f t="shared" si="402"/>
        <v>1</v>
      </c>
      <c r="Q1037" s="267">
        <f t="shared" si="403"/>
        <v>1787</v>
      </c>
      <c r="R1037" s="23" t="str">
        <f t="shared" si="404"/>
        <v/>
      </c>
      <c r="S1037" s="23">
        <f t="shared" si="405"/>
        <v>1787</v>
      </c>
      <c r="T1037" s="23" t="str">
        <f t="shared" si="406"/>
        <v/>
      </c>
      <c r="U1037" t="str">
        <f t="shared" si="407"/>
        <v/>
      </c>
      <c r="W1037" s="1">
        <f t="shared" si="408"/>
        <v>68</v>
      </c>
      <c r="X1037" s="73">
        <f t="shared" si="416"/>
        <v>85.284444444444446</v>
      </c>
      <c r="Y1037" s="322">
        <f t="shared" si="409"/>
        <v>85.284444444444446</v>
      </c>
      <c r="Z1037" s="43">
        <f t="shared" si="417"/>
        <v>40.651730143701641</v>
      </c>
      <c r="AA1037" s="52">
        <f t="shared" si="410"/>
        <v>0.40651730143701642</v>
      </c>
      <c r="AB1037" s="8">
        <f t="shared" si="411"/>
        <v>3145.28</v>
      </c>
      <c r="AC1037" s="8">
        <f t="shared" si="412"/>
        <v>157264</v>
      </c>
      <c r="AD1037" s="8">
        <f t="shared" si="415"/>
        <v>786.32</v>
      </c>
      <c r="AE1037" s="8" t="str">
        <f t="shared" si="413"/>
        <v/>
      </c>
      <c r="AF1037" s="22" t="str">
        <f t="shared" si="414"/>
        <v>PA_Alleg_2019p</v>
      </c>
      <c r="AG1037">
        <v>3</v>
      </c>
      <c r="AH1037" s="272">
        <v>619</v>
      </c>
      <c r="AI1037" s="273">
        <v>368</v>
      </c>
      <c r="AJ1037" s="274">
        <v>323</v>
      </c>
      <c r="AK1037" s="339">
        <v>45</v>
      </c>
      <c r="AL1037" s="340" t="s">
        <v>2339</v>
      </c>
      <c r="AM1037" s="353">
        <f t="shared" si="400"/>
        <v>2.8614304608810663E-4</v>
      </c>
      <c r="AO1037" s="355" t="s">
        <v>6483</v>
      </c>
      <c r="AP1037" s="23">
        <f t="shared" ref="AP1037:AP1100" si="418">MIN(AD1037, MAX(0,ROUNDUP(AD1037*(0.5*AK1037/AC1037-0.005)/(RIGHT(AP$1,3)-0.005),0)))</f>
        <v>0</v>
      </c>
      <c r="AQ1037" s="392">
        <f t="shared" si="398"/>
        <v>0</v>
      </c>
      <c r="AR1037" s="392">
        <f t="shared" si="399"/>
        <v>0</v>
      </c>
      <c r="AS1037" s="392">
        <f t="shared" si="399"/>
        <v>0</v>
      </c>
    </row>
    <row r="1038" spans="1:45">
      <c r="A1038" t="str">
        <f t="shared" si="397"/>
        <v>CA_Orang_2020g~city of san clemente city clerk (vote 1)</v>
      </c>
      <c r="B1038" s="55" t="s">
        <v>3536</v>
      </c>
      <c r="D1038" s="55" t="s">
        <v>3996</v>
      </c>
      <c r="E1038" s="55" t="s">
        <v>3997</v>
      </c>
      <c r="G1038" s="60">
        <v>26040</v>
      </c>
      <c r="H1038"/>
      <c r="J1038">
        <v>40150</v>
      </c>
      <c r="N1038">
        <v>13749</v>
      </c>
      <c r="O1038">
        <f t="shared" si="401"/>
        <v>1</v>
      </c>
      <c r="P1038" s="57">
        <f t="shared" si="402"/>
        <v>1</v>
      </c>
      <c r="Q1038" s="267">
        <f t="shared" si="403"/>
        <v>26040</v>
      </c>
      <c r="R1038" s="23">
        <f t="shared" si="404"/>
        <v>26040</v>
      </c>
      <c r="S1038" s="23">
        <f t="shared" si="405"/>
        <v>0</v>
      </c>
      <c r="T1038" s="23" t="str">
        <f t="shared" si="406"/>
        <v/>
      </c>
      <c r="U1038" t="str">
        <f t="shared" si="407"/>
        <v>CA_Orang_2020g~city of san clemente city clerk (vote 1)</v>
      </c>
      <c r="W1038" s="1">
        <f t="shared" si="408"/>
        <v>69</v>
      </c>
      <c r="X1038" s="73">
        <f t="shared" si="416"/>
        <v>20.666666666666668</v>
      </c>
      <c r="Y1038" s="322">
        <f t="shared" si="409"/>
        <v>20.666666666666668</v>
      </c>
      <c r="Z1038" s="43">
        <f t="shared" si="417"/>
        <v>40.651730143701641</v>
      </c>
      <c r="AA1038" s="52">
        <f t="shared" si="410"/>
        <v>0.40651730143701642</v>
      </c>
      <c r="AB1038" s="8">
        <f t="shared" si="411"/>
        <v>3145.28</v>
      </c>
      <c r="AC1038" s="8">
        <f t="shared" si="412"/>
        <v>157264</v>
      </c>
      <c r="AD1038" s="8">
        <f t="shared" si="415"/>
        <v>786.32</v>
      </c>
      <c r="AE1038" s="8" t="str">
        <f t="shared" si="413"/>
        <v/>
      </c>
      <c r="AF1038" s="22" t="str">
        <f t="shared" si="414"/>
        <v>PA_Alleg_2019p</v>
      </c>
      <c r="AG1038">
        <v>1</v>
      </c>
      <c r="AH1038" s="272">
        <v>150</v>
      </c>
      <c r="AI1038" s="273">
        <v>97</v>
      </c>
      <c r="AJ1038" s="274">
        <v>52</v>
      </c>
      <c r="AK1038" s="339">
        <v>45</v>
      </c>
      <c r="AL1038" s="340" t="s">
        <v>2366</v>
      </c>
      <c r="AM1038" s="353">
        <f t="shared" si="400"/>
        <v>2.8614304608810663E-4</v>
      </c>
      <c r="AO1038" s="355" t="s">
        <v>6483</v>
      </c>
      <c r="AP1038" s="23">
        <f t="shared" si="418"/>
        <v>0</v>
      </c>
      <c r="AQ1038" s="392">
        <f t="shared" si="398"/>
        <v>0</v>
      </c>
      <c r="AR1038" s="392">
        <f t="shared" si="399"/>
        <v>0</v>
      </c>
      <c r="AS1038" s="392">
        <f t="shared" si="399"/>
        <v>0</v>
      </c>
    </row>
    <row r="1039" spans="1:45">
      <c r="A1039" t="str">
        <f t="shared" si="397"/>
        <v>CA_Orang_2020g~city of san clemente city treasurer (vote 1)</v>
      </c>
      <c r="B1039" s="55" t="s">
        <v>3536</v>
      </c>
      <c r="D1039" s="55" t="s">
        <v>3998</v>
      </c>
      <c r="E1039" s="55" t="s">
        <v>3999</v>
      </c>
      <c r="G1039" s="60">
        <v>26841</v>
      </c>
      <c r="H1039"/>
      <c r="J1039">
        <v>40150</v>
      </c>
      <c r="N1039">
        <v>12889</v>
      </c>
      <c r="O1039">
        <f t="shared" si="401"/>
        <v>1</v>
      </c>
      <c r="P1039" s="57">
        <f t="shared" si="402"/>
        <v>1</v>
      </c>
      <c r="Q1039" s="267">
        <f t="shared" si="403"/>
        <v>26841</v>
      </c>
      <c r="R1039" s="23">
        <f t="shared" si="404"/>
        <v>26841</v>
      </c>
      <c r="S1039" s="23">
        <f t="shared" si="405"/>
        <v>0</v>
      </c>
      <c r="T1039" s="23" t="str">
        <f t="shared" si="406"/>
        <v/>
      </c>
      <c r="U1039" t="str">
        <f t="shared" si="407"/>
        <v>CA_Orang_2020g~city of san clemente city treasurer (vote 1)</v>
      </c>
      <c r="W1039" s="1">
        <f t="shared" si="408"/>
        <v>70</v>
      </c>
      <c r="X1039" s="73">
        <f t="shared" si="416"/>
        <v>147.76666666666665</v>
      </c>
      <c r="Y1039" s="322">
        <f t="shared" si="409"/>
        <v>147.76666666666665</v>
      </c>
      <c r="Z1039" s="43">
        <f t="shared" si="417"/>
        <v>39.846541317133436</v>
      </c>
      <c r="AA1039" s="52">
        <f t="shared" si="410"/>
        <v>0.39846541317133438</v>
      </c>
      <c r="AB1039" s="8">
        <f t="shared" si="411"/>
        <v>3145.28</v>
      </c>
      <c r="AC1039" s="8">
        <f t="shared" si="412"/>
        <v>157264</v>
      </c>
      <c r="AD1039" s="8">
        <f t="shared" si="415"/>
        <v>786.32</v>
      </c>
      <c r="AE1039" s="8" t="str">
        <f t="shared" si="413"/>
        <v/>
      </c>
      <c r="AF1039" s="22" t="str">
        <f t="shared" si="414"/>
        <v>PA_Alleg_2019p</v>
      </c>
      <c r="AG1039">
        <v>3</v>
      </c>
      <c r="AH1039" s="272">
        <v>1096.3333333333333</v>
      </c>
      <c r="AI1039" s="273">
        <v>692</v>
      </c>
      <c r="AJ1039" s="274">
        <v>646</v>
      </c>
      <c r="AK1039" s="339">
        <v>46</v>
      </c>
      <c r="AL1039" s="340" t="s">
        <v>2381</v>
      </c>
      <c r="AM1039" s="353">
        <f t="shared" si="400"/>
        <v>2.925017804456201E-4</v>
      </c>
      <c r="AO1039" s="355" t="s">
        <v>6483</v>
      </c>
      <c r="AP1039" s="23">
        <f t="shared" si="418"/>
        <v>0</v>
      </c>
      <c r="AQ1039" s="392">
        <f t="shared" si="398"/>
        <v>0</v>
      </c>
      <c r="AR1039" s="392">
        <f t="shared" si="399"/>
        <v>0</v>
      </c>
      <c r="AS1039" s="392">
        <f t="shared" si="399"/>
        <v>0</v>
      </c>
    </row>
    <row r="1040" spans="1:45">
      <c r="A1040" t="str">
        <f t="shared" si="397"/>
        <v>CA_Orang_2020g~city of san clemente member, city council, full term (vote 1)</v>
      </c>
      <c r="B1040" s="55" t="s">
        <v>3536</v>
      </c>
      <c r="D1040" s="55" t="s">
        <v>3985</v>
      </c>
      <c r="E1040" s="55" t="s">
        <v>3992</v>
      </c>
      <c r="G1040" s="60">
        <v>10901</v>
      </c>
      <c r="H1040"/>
      <c r="J1040">
        <v>40150</v>
      </c>
      <c r="N1040">
        <v>21672</v>
      </c>
      <c r="O1040">
        <f t="shared" si="401"/>
        <v>1</v>
      </c>
      <c r="P1040" s="57">
        <f t="shared" si="402"/>
        <v>1</v>
      </c>
      <c r="Q1040" s="267">
        <f t="shared" si="403"/>
        <v>58280</v>
      </c>
      <c r="R1040" s="23">
        <f t="shared" si="404"/>
        <v>10901</v>
      </c>
      <c r="S1040" s="23">
        <f t="shared" si="405"/>
        <v>10693</v>
      </c>
      <c r="T1040" s="23">
        <f t="shared" si="406"/>
        <v>208</v>
      </c>
      <c r="U1040" t="str">
        <f t="shared" si="407"/>
        <v>CA_Orang_2020g~city of san clemente member, city council, full term (vote 1)</v>
      </c>
      <c r="W1040" s="1">
        <f t="shared" si="408"/>
        <v>71</v>
      </c>
      <c r="X1040" s="73">
        <f t="shared" si="416"/>
        <v>50.919148936170217</v>
      </c>
      <c r="Y1040" s="322">
        <f t="shared" si="409"/>
        <v>50.919148936170217</v>
      </c>
      <c r="Z1040" s="43">
        <f t="shared" si="417"/>
        <v>39.057295895797104</v>
      </c>
      <c r="AA1040" s="52">
        <f t="shared" si="410"/>
        <v>0.39057295895797101</v>
      </c>
      <c r="AB1040" s="8">
        <f t="shared" si="411"/>
        <v>3145.28</v>
      </c>
      <c r="AC1040" s="8">
        <f t="shared" si="412"/>
        <v>157264</v>
      </c>
      <c r="AD1040" s="8">
        <f t="shared" si="415"/>
        <v>786.32</v>
      </c>
      <c r="AE1040" s="8" t="str">
        <f t="shared" si="413"/>
        <v/>
      </c>
      <c r="AF1040" s="22" t="str">
        <f t="shared" si="414"/>
        <v>PA_Alleg_2019p</v>
      </c>
      <c r="AG1040">
        <v>1</v>
      </c>
      <c r="AH1040" s="272">
        <v>386</v>
      </c>
      <c r="AI1040" s="273">
        <v>216</v>
      </c>
      <c r="AJ1040" s="274">
        <v>169</v>
      </c>
      <c r="AK1040" s="339">
        <v>47</v>
      </c>
      <c r="AL1040" s="340" t="s">
        <v>2373</v>
      </c>
      <c r="AM1040" s="353">
        <f t="shared" si="400"/>
        <v>2.9886051480313358E-4</v>
      </c>
      <c r="AO1040" s="355" t="s">
        <v>6483</v>
      </c>
      <c r="AP1040" s="23">
        <f t="shared" si="418"/>
        <v>0</v>
      </c>
      <c r="AQ1040" s="392">
        <f t="shared" si="398"/>
        <v>0</v>
      </c>
      <c r="AR1040" s="392">
        <f t="shared" si="399"/>
        <v>0</v>
      </c>
      <c r="AS1040" s="392">
        <f t="shared" si="399"/>
        <v>0</v>
      </c>
    </row>
    <row r="1041" spans="1:45">
      <c r="A1041" t="str">
        <f t="shared" si="397"/>
        <v>CA_Orang_2020g~city of san clemente member, city council, full term (vote 1)</v>
      </c>
      <c r="B1041" s="55" t="s">
        <v>3536</v>
      </c>
      <c r="D1041" s="55" t="s">
        <v>3985</v>
      </c>
      <c r="E1041" s="55" t="s">
        <v>3988</v>
      </c>
      <c r="G1041" s="60">
        <v>10693</v>
      </c>
      <c r="H1041"/>
      <c r="J1041">
        <v>40150</v>
      </c>
      <c r="N1041">
        <v>21672</v>
      </c>
      <c r="O1041">
        <f t="shared" si="401"/>
        <v>2</v>
      </c>
      <c r="P1041" s="57">
        <f t="shared" si="402"/>
        <v>1</v>
      </c>
      <c r="Q1041" s="267">
        <f t="shared" si="403"/>
        <v>47379</v>
      </c>
      <c r="R1041" s="23" t="str">
        <f t="shared" si="404"/>
        <v/>
      </c>
      <c r="S1041" s="23">
        <f t="shared" si="405"/>
        <v>10693</v>
      </c>
      <c r="T1041" s="23" t="str">
        <f t="shared" si="406"/>
        <v/>
      </c>
      <c r="U1041" t="str">
        <f t="shared" si="407"/>
        <v/>
      </c>
      <c r="W1041" s="1">
        <f t="shared" si="408"/>
        <v>72</v>
      </c>
      <c r="X1041" s="73">
        <f t="shared" si="416"/>
        <v>242.32679738562092</v>
      </c>
      <c r="Y1041" s="322">
        <f t="shared" si="409"/>
        <v>242.32679738562092</v>
      </c>
      <c r="Z1041" s="43">
        <f t="shared" si="417"/>
        <v>36.053529316726021</v>
      </c>
      <c r="AA1041" s="52">
        <f t="shared" si="410"/>
        <v>0.36053529316726024</v>
      </c>
      <c r="AB1041" s="8">
        <f t="shared" si="411"/>
        <v>3145.28</v>
      </c>
      <c r="AC1041" s="8">
        <f t="shared" si="412"/>
        <v>157264</v>
      </c>
      <c r="AD1041" s="8">
        <f t="shared" si="415"/>
        <v>786.32</v>
      </c>
      <c r="AE1041" s="8" t="str">
        <f t="shared" si="413"/>
        <v/>
      </c>
      <c r="AF1041" s="22" t="str">
        <f t="shared" si="414"/>
        <v>PA_Alleg_2019p</v>
      </c>
      <c r="AG1041">
        <v>3</v>
      </c>
      <c r="AH1041" s="8">
        <v>1993.3333333333333</v>
      </c>
      <c r="AI1041" s="273">
        <v>1120</v>
      </c>
      <c r="AJ1041" s="274">
        <v>1069</v>
      </c>
      <c r="AK1041" s="339">
        <v>51</v>
      </c>
      <c r="AL1041" s="23" t="s">
        <v>2385</v>
      </c>
      <c r="AM1041" s="353">
        <f t="shared" ref="AM1041:AM1072" si="419">AK1041/AC1041</f>
        <v>3.2429545223318753E-4</v>
      </c>
      <c r="AO1041" s="355" t="s">
        <v>6483</v>
      </c>
      <c r="AP1041" s="23">
        <f t="shared" si="418"/>
        <v>0</v>
      </c>
      <c r="AQ1041" s="392">
        <f t="shared" si="398"/>
        <v>0</v>
      </c>
      <c r="AR1041" s="392">
        <f t="shared" si="399"/>
        <v>0</v>
      </c>
      <c r="AS1041" s="392">
        <f t="shared" si="399"/>
        <v>0</v>
      </c>
    </row>
    <row r="1042" spans="1:45">
      <c r="A1042" t="str">
        <f t="shared" si="397"/>
        <v>CA_Orang_2020g~city of san clemente member, city council, full term (vote 1)</v>
      </c>
      <c r="B1042" s="55" t="s">
        <v>3536</v>
      </c>
      <c r="D1042" s="55" t="s">
        <v>3985</v>
      </c>
      <c r="E1042" s="55" t="s">
        <v>3986</v>
      </c>
      <c r="G1042" s="60">
        <v>9721</v>
      </c>
      <c r="H1042"/>
      <c r="J1042">
        <v>40150</v>
      </c>
      <c r="N1042">
        <v>21672</v>
      </c>
      <c r="O1042">
        <f t="shared" si="401"/>
        <v>3</v>
      </c>
      <c r="P1042" s="57">
        <f t="shared" si="402"/>
        <v>1</v>
      </c>
      <c r="Q1042" s="267">
        <f t="shared" si="403"/>
        <v>36686</v>
      </c>
      <c r="R1042" s="23" t="str">
        <f t="shared" si="404"/>
        <v/>
      </c>
      <c r="S1042" s="23">
        <f t="shared" si="405"/>
        <v>9721</v>
      </c>
      <c r="T1042" s="23" t="str">
        <f t="shared" si="406"/>
        <v/>
      </c>
      <c r="U1042" t="str">
        <f t="shared" si="407"/>
        <v/>
      </c>
      <c r="W1042" s="1">
        <f t="shared" si="408"/>
        <v>73</v>
      </c>
      <c r="X1042" s="73">
        <f t="shared" si="416"/>
        <v>69.304727272727263</v>
      </c>
      <c r="Y1042" s="322">
        <f t="shared" si="409"/>
        <v>69.304727272727263</v>
      </c>
      <c r="Z1042" s="43">
        <f t="shared" si="417"/>
        <v>33.28070466025931</v>
      </c>
      <c r="AA1042" s="52">
        <f t="shared" si="410"/>
        <v>0.33280704660259314</v>
      </c>
      <c r="AB1042" s="8">
        <f t="shared" si="411"/>
        <v>3145.28</v>
      </c>
      <c r="AC1042" s="8">
        <f t="shared" si="412"/>
        <v>157264</v>
      </c>
      <c r="AD1042" s="8">
        <f t="shared" si="415"/>
        <v>786.32</v>
      </c>
      <c r="AE1042" s="8" t="str">
        <f t="shared" si="413"/>
        <v/>
      </c>
      <c r="AF1042" s="22" t="str">
        <f t="shared" si="414"/>
        <v>PA_Alleg_2019p</v>
      </c>
      <c r="AG1042">
        <v>5</v>
      </c>
      <c r="AH1042" s="272">
        <v>614.79999999999995</v>
      </c>
      <c r="AI1042" s="273">
        <v>391</v>
      </c>
      <c r="AJ1042" s="274">
        <v>336</v>
      </c>
      <c r="AK1042" s="339">
        <v>55</v>
      </c>
      <c r="AL1042" s="340" t="s">
        <v>2407</v>
      </c>
      <c r="AM1042" s="353">
        <f t="shared" si="419"/>
        <v>3.4973038966324143E-4</v>
      </c>
      <c r="AO1042" s="355" t="s">
        <v>6483</v>
      </c>
      <c r="AP1042" s="23">
        <f t="shared" si="418"/>
        <v>0</v>
      </c>
      <c r="AQ1042" s="392">
        <f t="shared" si="398"/>
        <v>0</v>
      </c>
      <c r="AR1042" s="392">
        <f t="shared" si="399"/>
        <v>0</v>
      </c>
      <c r="AS1042" s="392">
        <f t="shared" si="399"/>
        <v>0</v>
      </c>
    </row>
    <row r="1043" spans="1:45">
      <c r="A1043" t="str">
        <f t="shared" si="397"/>
        <v>CA_Orang_2020g~city of san clemente member, city council, full term (vote 1)</v>
      </c>
      <c r="B1043" s="55" t="s">
        <v>3536</v>
      </c>
      <c r="D1043" s="55" t="s">
        <v>3985</v>
      </c>
      <c r="E1043" s="55" t="s">
        <v>3991</v>
      </c>
      <c r="G1043" s="60">
        <v>8016</v>
      </c>
      <c r="H1043"/>
      <c r="J1043">
        <v>40150</v>
      </c>
      <c r="N1043">
        <v>21672</v>
      </c>
      <c r="O1043">
        <f t="shared" si="401"/>
        <v>4</v>
      </c>
      <c r="P1043" s="57">
        <f t="shared" si="402"/>
        <v>1</v>
      </c>
      <c r="Q1043" s="267">
        <f t="shared" si="403"/>
        <v>26965</v>
      </c>
      <c r="R1043" s="23" t="str">
        <f t="shared" si="404"/>
        <v/>
      </c>
      <c r="S1043" s="23">
        <f t="shared" si="405"/>
        <v>8016</v>
      </c>
      <c r="T1043" s="23" t="str">
        <f t="shared" si="406"/>
        <v/>
      </c>
      <c r="U1043" t="str">
        <f t="shared" si="407"/>
        <v/>
      </c>
      <c r="W1043" s="1">
        <f t="shared" si="408"/>
        <v>74</v>
      </c>
      <c r="X1043" s="73">
        <f t="shared" si="416"/>
        <v>15.781818181818183</v>
      </c>
      <c r="Y1043" s="322">
        <f t="shared" si="409"/>
        <v>15.781818181818183</v>
      </c>
      <c r="Z1043" s="43">
        <f t="shared" si="417"/>
        <v>33.28070466025931</v>
      </c>
      <c r="AA1043" s="52">
        <f t="shared" si="410"/>
        <v>0.33280704660259314</v>
      </c>
      <c r="AB1043" s="8">
        <f t="shared" si="411"/>
        <v>3145.28</v>
      </c>
      <c r="AC1043" s="8">
        <f t="shared" si="412"/>
        <v>157264</v>
      </c>
      <c r="AD1043" s="8">
        <f t="shared" si="415"/>
        <v>786.32</v>
      </c>
      <c r="AE1043" s="8" t="str">
        <f t="shared" si="413"/>
        <v/>
      </c>
      <c r="AF1043" s="22" t="str">
        <f t="shared" si="414"/>
        <v>PA_Alleg_2019p</v>
      </c>
      <c r="AG1043" s="23">
        <v>1</v>
      </c>
      <c r="AH1043" s="8">
        <v>140</v>
      </c>
      <c r="AI1043" s="273">
        <v>97</v>
      </c>
      <c r="AJ1043" s="274">
        <v>42</v>
      </c>
      <c r="AK1043" s="339">
        <v>55</v>
      </c>
      <c r="AL1043" s="344" t="s">
        <v>2367</v>
      </c>
      <c r="AM1043" s="353">
        <f t="shared" si="419"/>
        <v>3.4973038966324143E-4</v>
      </c>
      <c r="AO1043" s="355" t="s">
        <v>6483</v>
      </c>
      <c r="AP1043" s="23">
        <f t="shared" si="418"/>
        <v>0</v>
      </c>
      <c r="AQ1043" s="392">
        <f t="shared" si="398"/>
        <v>0</v>
      </c>
      <c r="AR1043" s="392">
        <f t="shared" si="399"/>
        <v>0</v>
      </c>
      <c r="AS1043" s="392">
        <f t="shared" si="399"/>
        <v>0</v>
      </c>
    </row>
    <row r="1044" spans="1:45">
      <c r="A1044" t="str">
        <f t="shared" si="397"/>
        <v>CA_Orang_2020g~city of san clemente member, city council, full term (vote 1)</v>
      </c>
      <c r="B1044" s="55" t="s">
        <v>3536</v>
      </c>
      <c r="D1044" s="55" t="s">
        <v>3985</v>
      </c>
      <c r="E1044" s="55" t="s">
        <v>3990</v>
      </c>
      <c r="G1044" s="60">
        <v>7093</v>
      </c>
      <c r="H1044"/>
      <c r="J1044">
        <v>40150</v>
      </c>
      <c r="N1044">
        <v>21672</v>
      </c>
      <c r="O1044">
        <f t="shared" si="401"/>
        <v>5</v>
      </c>
      <c r="P1044" s="57">
        <f t="shared" si="402"/>
        <v>1</v>
      </c>
      <c r="Q1044" s="267">
        <f t="shared" si="403"/>
        <v>18949</v>
      </c>
      <c r="R1044" s="23" t="str">
        <f t="shared" si="404"/>
        <v/>
      </c>
      <c r="S1044" s="23">
        <f t="shared" si="405"/>
        <v>7093</v>
      </c>
      <c r="T1044" s="23" t="str">
        <f t="shared" si="406"/>
        <v/>
      </c>
      <c r="U1044" t="str">
        <f t="shared" si="407"/>
        <v/>
      </c>
      <c r="W1044" s="1">
        <f t="shared" si="408"/>
        <v>75</v>
      </c>
      <c r="X1044" s="73">
        <f t="shared" si="416"/>
        <v>77.880701754385967</v>
      </c>
      <c r="Y1044" s="322">
        <f t="shared" si="409"/>
        <v>77.880701754385967</v>
      </c>
      <c r="Z1044" s="43">
        <f t="shared" si="417"/>
        <v>31.975293957451157</v>
      </c>
      <c r="AA1044" s="52">
        <f t="shared" si="410"/>
        <v>0.31975293957451156</v>
      </c>
      <c r="AB1044" s="8">
        <f t="shared" si="411"/>
        <v>3145.28</v>
      </c>
      <c r="AC1044" s="8">
        <f t="shared" si="412"/>
        <v>157264</v>
      </c>
      <c r="AD1044" s="8">
        <f t="shared" si="415"/>
        <v>786.32</v>
      </c>
      <c r="AE1044" s="8" t="str">
        <f t="shared" si="413"/>
        <v/>
      </c>
      <c r="AF1044" s="22" t="str">
        <f t="shared" si="414"/>
        <v>PA_Alleg_2019p</v>
      </c>
      <c r="AG1044">
        <v>2</v>
      </c>
      <c r="AH1044" s="272">
        <v>716</v>
      </c>
      <c r="AI1044" s="273">
        <v>442</v>
      </c>
      <c r="AJ1044" s="274">
        <v>385</v>
      </c>
      <c r="AK1044" s="339">
        <v>57</v>
      </c>
      <c r="AL1044" s="340" t="s">
        <v>2403</v>
      </c>
      <c r="AM1044" s="353">
        <f t="shared" si="419"/>
        <v>3.6244785837826837E-4</v>
      </c>
      <c r="AO1044" s="355" t="s">
        <v>6483</v>
      </c>
      <c r="AP1044" s="23">
        <f t="shared" si="418"/>
        <v>0</v>
      </c>
      <c r="AQ1044" s="392">
        <f t="shared" si="398"/>
        <v>0</v>
      </c>
      <c r="AR1044" s="392">
        <f t="shared" si="399"/>
        <v>0</v>
      </c>
      <c r="AS1044" s="392">
        <f t="shared" si="399"/>
        <v>0</v>
      </c>
    </row>
    <row r="1045" spans="1:45">
      <c r="A1045" t="str">
        <f t="shared" si="397"/>
        <v>CA_Orang_2020g~city of san clemente member, city council, full term (vote 1)</v>
      </c>
      <c r="B1045" s="55" t="s">
        <v>3536</v>
      </c>
      <c r="D1045" s="55" t="s">
        <v>3985</v>
      </c>
      <c r="E1045" s="55" t="s">
        <v>3994</v>
      </c>
      <c r="G1045" s="60">
        <v>3139</v>
      </c>
      <c r="H1045"/>
      <c r="J1045">
        <v>40150</v>
      </c>
      <c r="N1045">
        <v>21672</v>
      </c>
      <c r="O1045">
        <f t="shared" si="401"/>
        <v>6</v>
      </c>
      <c r="P1045" s="57">
        <f t="shared" si="402"/>
        <v>1</v>
      </c>
      <c r="Q1045" s="267">
        <f t="shared" si="403"/>
        <v>11856</v>
      </c>
      <c r="R1045" s="23" t="str">
        <f t="shared" si="404"/>
        <v/>
      </c>
      <c r="S1045" s="23">
        <f t="shared" si="405"/>
        <v>3139</v>
      </c>
      <c r="T1045" s="23" t="str">
        <f t="shared" si="406"/>
        <v/>
      </c>
      <c r="U1045" t="str">
        <f t="shared" si="407"/>
        <v/>
      </c>
      <c r="W1045" s="1">
        <f t="shared" si="408"/>
        <v>76</v>
      </c>
      <c r="X1045" s="73">
        <f t="shared" si="416"/>
        <v>28.755172413793105</v>
      </c>
      <c r="Y1045" s="322">
        <f t="shared" si="409"/>
        <v>28.755172413793105</v>
      </c>
      <c r="Z1045" s="43">
        <f t="shared" si="417"/>
        <v>31.341911441896514</v>
      </c>
      <c r="AA1045" s="52">
        <f t="shared" si="410"/>
        <v>0.31341911441896514</v>
      </c>
      <c r="AB1045" s="8">
        <f t="shared" si="411"/>
        <v>3145.28</v>
      </c>
      <c r="AC1045" s="8">
        <f t="shared" si="412"/>
        <v>157264</v>
      </c>
      <c r="AD1045" s="8">
        <f t="shared" si="415"/>
        <v>786.32</v>
      </c>
      <c r="AE1045" s="8" t="str">
        <f t="shared" si="413"/>
        <v/>
      </c>
      <c r="AF1045" s="22" t="str">
        <f t="shared" si="414"/>
        <v>PA_Alleg_2019p</v>
      </c>
      <c r="AG1045">
        <v>3</v>
      </c>
      <c r="AH1045" s="272">
        <v>269</v>
      </c>
      <c r="AI1045" s="273">
        <v>191</v>
      </c>
      <c r="AJ1045" s="274">
        <v>133</v>
      </c>
      <c r="AK1045" s="339">
        <v>58</v>
      </c>
      <c r="AL1045" s="340" t="s">
        <v>2380</v>
      </c>
      <c r="AM1045" s="353">
        <f t="shared" si="419"/>
        <v>3.6880659273578185E-4</v>
      </c>
      <c r="AO1045" s="355" t="s">
        <v>6483</v>
      </c>
      <c r="AP1045" s="23">
        <f t="shared" si="418"/>
        <v>0</v>
      </c>
      <c r="AQ1045" s="392">
        <f t="shared" si="398"/>
        <v>0</v>
      </c>
      <c r="AR1045" s="392">
        <f t="shared" si="399"/>
        <v>0</v>
      </c>
      <c r="AS1045" s="392">
        <f t="shared" si="399"/>
        <v>0</v>
      </c>
    </row>
    <row r="1046" spans="1:45">
      <c r="A1046" t="str">
        <f t="shared" si="397"/>
        <v>CA_Orang_2020g~city of san clemente member, city council, full term (vote 1)</v>
      </c>
      <c r="B1046" s="55" t="s">
        <v>3536</v>
      </c>
      <c r="D1046" s="55" t="s">
        <v>3985</v>
      </c>
      <c r="E1046" s="55" t="s">
        <v>3989</v>
      </c>
      <c r="G1046" s="60">
        <v>2518</v>
      </c>
      <c r="H1046"/>
      <c r="J1046">
        <v>40150</v>
      </c>
      <c r="N1046">
        <v>21672</v>
      </c>
      <c r="O1046">
        <f t="shared" si="401"/>
        <v>7</v>
      </c>
      <c r="P1046" s="57">
        <f t="shared" si="402"/>
        <v>1</v>
      </c>
      <c r="Q1046" s="267">
        <f t="shared" si="403"/>
        <v>8717</v>
      </c>
      <c r="R1046" s="23" t="str">
        <f t="shared" si="404"/>
        <v/>
      </c>
      <c r="S1046" s="23">
        <f t="shared" si="405"/>
        <v>2518</v>
      </c>
      <c r="T1046" s="23" t="str">
        <f t="shared" si="406"/>
        <v/>
      </c>
      <c r="U1046" t="str">
        <f t="shared" si="407"/>
        <v/>
      </c>
      <c r="W1046" s="1">
        <f t="shared" si="408"/>
        <v>77</v>
      </c>
      <c r="X1046" s="73">
        <f t="shared" si="416"/>
        <v>24.8</v>
      </c>
      <c r="Y1046" s="322">
        <f t="shared" si="409"/>
        <v>24.8</v>
      </c>
      <c r="Z1046" s="43">
        <f t="shared" si="417"/>
        <v>31.341911441896514</v>
      </c>
      <c r="AA1046" s="52">
        <f t="shared" si="410"/>
        <v>0.31341911441896514</v>
      </c>
      <c r="AB1046" s="8">
        <f t="shared" si="411"/>
        <v>3145.28</v>
      </c>
      <c r="AC1046" s="8">
        <f t="shared" si="412"/>
        <v>157264</v>
      </c>
      <c r="AD1046" s="8">
        <f t="shared" si="415"/>
        <v>786.32</v>
      </c>
      <c r="AE1046" s="8" t="str">
        <f t="shared" si="413"/>
        <v/>
      </c>
      <c r="AF1046" s="22" t="str">
        <f t="shared" si="414"/>
        <v>PA_Alleg_2019p</v>
      </c>
      <c r="AG1046">
        <v>1</v>
      </c>
      <c r="AH1046" s="272">
        <v>232</v>
      </c>
      <c r="AI1046" s="273">
        <v>145</v>
      </c>
      <c r="AJ1046" s="274">
        <v>87</v>
      </c>
      <c r="AK1046" s="339">
        <v>58</v>
      </c>
      <c r="AL1046" s="340" t="s">
        <v>2357</v>
      </c>
      <c r="AM1046" s="353">
        <f t="shared" si="419"/>
        <v>3.6880659273578185E-4</v>
      </c>
      <c r="AO1046" s="355" t="s">
        <v>6483</v>
      </c>
      <c r="AP1046" s="23">
        <f t="shared" si="418"/>
        <v>0</v>
      </c>
      <c r="AQ1046" s="392">
        <f t="shared" si="398"/>
        <v>0</v>
      </c>
      <c r="AR1046" s="392">
        <f t="shared" si="399"/>
        <v>0</v>
      </c>
      <c r="AS1046" s="392">
        <f t="shared" si="399"/>
        <v>0</v>
      </c>
    </row>
    <row r="1047" spans="1:45">
      <c r="A1047" t="str">
        <f t="shared" si="397"/>
        <v>CA_Orang_2020g~city of san clemente member, city council, full term (vote 1)</v>
      </c>
      <c r="B1047" s="55" t="s">
        <v>3536</v>
      </c>
      <c r="D1047" s="55" t="s">
        <v>3985</v>
      </c>
      <c r="E1047" s="55" t="s">
        <v>3995</v>
      </c>
      <c r="G1047" s="60">
        <v>2499</v>
      </c>
      <c r="H1047"/>
      <c r="J1047">
        <v>40150</v>
      </c>
      <c r="N1047">
        <v>21672</v>
      </c>
      <c r="O1047">
        <f t="shared" si="401"/>
        <v>8</v>
      </c>
      <c r="P1047" s="57">
        <f t="shared" si="402"/>
        <v>1</v>
      </c>
      <c r="Q1047" s="267">
        <f t="shared" si="403"/>
        <v>6199</v>
      </c>
      <c r="R1047" s="23" t="str">
        <f t="shared" si="404"/>
        <v/>
      </c>
      <c r="S1047" s="23">
        <f t="shared" si="405"/>
        <v>2499</v>
      </c>
      <c r="T1047" s="23" t="str">
        <f t="shared" si="406"/>
        <v/>
      </c>
      <c r="U1047" t="str">
        <f t="shared" si="407"/>
        <v/>
      </c>
      <c r="W1047" s="1">
        <f t="shared" si="408"/>
        <v>78</v>
      </c>
      <c r="X1047" s="73">
        <f t="shared" si="416"/>
        <v>257.61</v>
      </c>
      <c r="Y1047" s="322">
        <f t="shared" si="409"/>
        <v>257.61</v>
      </c>
      <c r="Z1047" s="43">
        <f t="shared" si="417"/>
        <v>30.112525456199528</v>
      </c>
      <c r="AA1047" s="52">
        <f t="shared" si="410"/>
        <v>0.30112525456199529</v>
      </c>
      <c r="AB1047" s="8">
        <f t="shared" si="411"/>
        <v>3145.28</v>
      </c>
      <c r="AC1047" s="8">
        <f t="shared" si="412"/>
        <v>157264</v>
      </c>
      <c r="AD1047" s="8">
        <f t="shared" si="415"/>
        <v>786.32</v>
      </c>
      <c r="AE1047" s="8" t="str">
        <f t="shared" si="413"/>
        <v/>
      </c>
      <c r="AF1047" s="22" t="str">
        <f t="shared" si="414"/>
        <v>PA_Alleg_2019p</v>
      </c>
      <c r="AG1047">
        <v>5</v>
      </c>
      <c r="AH1047" s="8">
        <v>2493</v>
      </c>
      <c r="AI1047" s="273">
        <v>979</v>
      </c>
      <c r="AJ1047" s="274">
        <v>919</v>
      </c>
      <c r="AK1047" s="339">
        <v>60</v>
      </c>
      <c r="AL1047" s="23" t="s">
        <v>2411</v>
      </c>
      <c r="AM1047" s="353">
        <f t="shared" si="419"/>
        <v>3.8152406145080885E-4</v>
      </c>
      <c r="AO1047" s="355" t="s">
        <v>6483</v>
      </c>
      <c r="AP1047" s="23">
        <f t="shared" si="418"/>
        <v>0</v>
      </c>
      <c r="AQ1047" s="392">
        <f t="shared" si="398"/>
        <v>0</v>
      </c>
      <c r="AR1047" s="392">
        <f t="shared" si="399"/>
        <v>0</v>
      </c>
      <c r="AS1047" s="392">
        <f t="shared" si="399"/>
        <v>0</v>
      </c>
    </row>
    <row r="1048" spans="1:45">
      <c r="A1048" t="str">
        <f t="shared" si="397"/>
        <v>CA_Orang_2020g~city of san clemente member, city council, full term (vote 1)</v>
      </c>
      <c r="B1048" s="55" t="s">
        <v>3536</v>
      </c>
      <c r="D1048" s="55" t="s">
        <v>3985</v>
      </c>
      <c r="E1048" s="55" t="s">
        <v>3993</v>
      </c>
      <c r="G1048" s="60">
        <v>2117</v>
      </c>
      <c r="H1048"/>
      <c r="J1048">
        <v>40150</v>
      </c>
      <c r="N1048">
        <v>21672</v>
      </c>
      <c r="O1048">
        <f t="shared" si="401"/>
        <v>9</v>
      </c>
      <c r="P1048" s="57">
        <f t="shared" si="402"/>
        <v>1</v>
      </c>
      <c r="Q1048" s="267">
        <f t="shared" si="403"/>
        <v>3700</v>
      </c>
      <c r="R1048" s="23" t="str">
        <f t="shared" si="404"/>
        <v/>
      </c>
      <c r="S1048" s="23">
        <f t="shared" si="405"/>
        <v>2117</v>
      </c>
      <c r="T1048" s="23" t="str">
        <f t="shared" si="406"/>
        <v/>
      </c>
      <c r="U1048" t="str">
        <f t="shared" si="407"/>
        <v/>
      </c>
      <c r="W1048" s="1">
        <f t="shared" si="408"/>
        <v>79</v>
      </c>
      <c r="X1048" s="73">
        <f t="shared" si="416"/>
        <v>90.21</v>
      </c>
      <c r="Y1048" s="322">
        <f t="shared" si="409"/>
        <v>90.21</v>
      </c>
      <c r="Z1048" s="43">
        <f t="shared" si="417"/>
        <v>30.112525456199528</v>
      </c>
      <c r="AA1048" s="52">
        <f t="shared" si="410"/>
        <v>0.30112525456199529</v>
      </c>
      <c r="AB1048" s="8">
        <f t="shared" si="411"/>
        <v>3145.28</v>
      </c>
      <c r="AC1048" s="8">
        <f t="shared" si="412"/>
        <v>157264</v>
      </c>
      <c r="AD1048" s="8">
        <f t="shared" si="415"/>
        <v>786.32</v>
      </c>
      <c r="AE1048" s="8" t="str">
        <f t="shared" si="413"/>
        <v/>
      </c>
      <c r="AF1048" s="22" t="str">
        <f t="shared" si="414"/>
        <v>PA_Alleg_2019p</v>
      </c>
      <c r="AG1048">
        <v>1</v>
      </c>
      <c r="AH1048" s="8">
        <v>873</v>
      </c>
      <c r="AI1048" s="273">
        <v>408</v>
      </c>
      <c r="AJ1048" s="274">
        <v>348</v>
      </c>
      <c r="AK1048" s="339">
        <v>60</v>
      </c>
      <c r="AL1048" s="23" t="s">
        <v>2388</v>
      </c>
      <c r="AM1048" s="353">
        <f t="shared" si="419"/>
        <v>3.8152406145080885E-4</v>
      </c>
      <c r="AO1048" s="355" t="s">
        <v>6483</v>
      </c>
      <c r="AP1048" s="23">
        <f t="shared" si="418"/>
        <v>0</v>
      </c>
      <c r="AQ1048" s="392">
        <f t="shared" si="398"/>
        <v>0</v>
      </c>
      <c r="AR1048" s="392">
        <f t="shared" si="399"/>
        <v>0</v>
      </c>
      <c r="AS1048" s="392">
        <f t="shared" si="399"/>
        <v>0</v>
      </c>
    </row>
    <row r="1049" spans="1:45">
      <c r="A1049" t="str">
        <f t="shared" si="397"/>
        <v>CA_Orang_2020g~city of san clemente member, city council, full term (vote 1)</v>
      </c>
      <c r="B1049" s="55" t="s">
        <v>3536</v>
      </c>
      <c r="D1049" s="55" t="s">
        <v>3985</v>
      </c>
      <c r="E1049" s="55" t="s">
        <v>3987</v>
      </c>
      <c r="G1049" s="60">
        <v>1583</v>
      </c>
      <c r="H1049"/>
      <c r="J1049">
        <v>40150</v>
      </c>
      <c r="N1049">
        <v>21672</v>
      </c>
      <c r="O1049">
        <f t="shared" si="401"/>
        <v>10</v>
      </c>
      <c r="P1049" s="57">
        <f t="shared" si="402"/>
        <v>1</v>
      </c>
      <c r="Q1049" s="267">
        <f t="shared" si="403"/>
        <v>1583</v>
      </c>
      <c r="R1049" s="23" t="str">
        <f t="shared" si="404"/>
        <v/>
      </c>
      <c r="S1049" s="23">
        <f t="shared" si="405"/>
        <v>1583</v>
      </c>
      <c r="T1049" s="23" t="str">
        <f t="shared" si="406"/>
        <v/>
      </c>
      <c r="U1049" t="str">
        <f t="shared" si="407"/>
        <v/>
      </c>
      <c r="W1049" s="1">
        <f t="shared" si="408"/>
        <v>80</v>
      </c>
      <c r="X1049" s="73">
        <f t="shared" si="416"/>
        <v>19.324923076923078</v>
      </c>
      <c r="Y1049" s="322">
        <f t="shared" si="409"/>
        <v>19.324923076923078</v>
      </c>
      <c r="Z1049" s="43">
        <f t="shared" si="417"/>
        <v>27.245856524784585</v>
      </c>
      <c r="AA1049" s="52">
        <f t="shared" si="410"/>
        <v>0.27245856524784584</v>
      </c>
      <c r="AB1049" s="8">
        <f t="shared" si="411"/>
        <v>3145.28</v>
      </c>
      <c r="AC1049" s="8">
        <f t="shared" si="412"/>
        <v>157264</v>
      </c>
      <c r="AD1049" s="8">
        <f t="shared" si="415"/>
        <v>786.32</v>
      </c>
      <c r="AE1049" s="8" t="str">
        <f t="shared" si="413"/>
        <v/>
      </c>
      <c r="AF1049" s="22" t="str">
        <f t="shared" si="414"/>
        <v>PA_Alleg_2019p</v>
      </c>
      <c r="AG1049">
        <v>5</v>
      </c>
      <c r="AH1049" s="272">
        <v>202.6</v>
      </c>
      <c r="AI1049" s="273">
        <v>162</v>
      </c>
      <c r="AJ1049" s="274">
        <v>97</v>
      </c>
      <c r="AK1049" s="339">
        <v>65</v>
      </c>
      <c r="AL1049" s="340" t="s">
        <v>2458</v>
      </c>
      <c r="AM1049" s="353">
        <f t="shared" si="419"/>
        <v>4.1331773323837623E-4</v>
      </c>
      <c r="AO1049" s="355" t="s">
        <v>6483</v>
      </c>
      <c r="AP1049" s="23">
        <f t="shared" si="418"/>
        <v>0</v>
      </c>
      <c r="AQ1049" s="392">
        <f t="shared" si="398"/>
        <v>0</v>
      </c>
      <c r="AR1049" s="392">
        <f t="shared" si="399"/>
        <v>0</v>
      </c>
      <c r="AS1049" s="392">
        <f t="shared" si="399"/>
        <v>0</v>
      </c>
    </row>
    <row r="1050" spans="1:45">
      <c r="A1050" t="str">
        <f t="shared" si="397"/>
        <v>CA_Orang_2020g~city of san clemente member, city council, short term (vote 1)</v>
      </c>
      <c r="B1050" s="55" t="s">
        <v>3536</v>
      </c>
      <c r="D1050" s="55" t="s">
        <v>4000</v>
      </c>
      <c r="E1050" s="55" t="s">
        <v>4002</v>
      </c>
      <c r="G1050" s="60">
        <v>8040</v>
      </c>
      <c r="H1050"/>
      <c r="J1050">
        <v>40150</v>
      </c>
      <c r="N1050">
        <v>5493</v>
      </c>
      <c r="O1050">
        <f t="shared" si="401"/>
        <v>1</v>
      </c>
      <c r="P1050" s="57">
        <f t="shared" si="402"/>
        <v>1</v>
      </c>
      <c r="Q1050" s="267">
        <f t="shared" si="403"/>
        <v>34004</v>
      </c>
      <c r="R1050" s="23">
        <f t="shared" si="404"/>
        <v>8040</v>
      </c>
      <c r="S1050" s="23">
        <f t="shared" si="405"/>
        <v>7358</v>
      </c>
      <c r="T1050" s="23">
        <f t="shared" si="406"/>
        <v>682</v>
      </c>
      <c r="U1050" t="str">
        <f t="shared" si="407"/>
        <v>CA_Orang_2020g~city of san clemente member, city council, short term (vote 1)</v>
      </c>
      <c r="W1050" s="1">
        <f t="shared" si="408"/>
        <v>81</v>
      </c>
      <c r="X1050" s="73">
        <f t="shared" si="416"/>
        <v>26.650746268656718</v>
      </c>
      <c r="Y1050" s="322">
        <f t="shared" si="409"/>
        <v>26.650746268656718</v>
      </c>
      <c r="Z1050" s="43">
        <f t="shared" si="417"/>
        <v>26.177091585096779</v>
      </c>
      <c r="AA1050" s="52">
        <f t="shared" si="410"/>
        <v>0.26177091585096779</v>
      </c>
      <c r="AB1050" s="8">
        <f t="shared" si="411"/>
        <v>3145.28</v>
      </c>
      <c r="AC1050" s="8">
        <f t="shared" si="412"/>
        <v>157264</v>
      </c>
      <c r="AD1050" s="8">
        <f t="shared" si="415"/>
        <v>786.32</v>
      </c>
      <c r="AE1050" s="8" t="str">
        <f t="shared" si="413"/>
        <v/>
      </c>
      <c r="AF1050" s="22" t="str">
        <f t="shared" si="414"/>
        <v>PA_Alleg_2019p</v>
      </c>
      <c r="AG1050">
        <v>1</v>
      </c>
      <c r="AH1050" s="272">
        <v>288</v>
      </c>
      <c r="AI1050" s="273">
        <v>175</v>
      </c>
      <c r="AJ1050" s="274">
        <v>108</v>
      </c>
      <c r="AK1050" s="339">
        <v>67</v>
      </c>
      <c r="AL1050" s="340" t="s">
        <v>2358</v>
      </c>
      <c r="AM1050" s="353">
        <f t="shared" si="419"/>
        <v>4.2603520195340317E-4</v>
      </c>
      <c r="AO1050" s="355" t="s">
        <v>6483</v>
      </c>
      <c r="AP1050" s="23">
        <f t="shared" si="418"/>
        <v>0</v>
      </c>
      <c r="AQ1050" s="392">
        <f t="shared" si="398"/>
        <v>0</v>
      </c>
      <c r="AR1050" s="392">
        <f t="shared" si="399"/>
        <v>0</v>
      </c>
      <c r="AS1050" s="392">
        <f t="shared" si="399"/>
        <v>0</v>
      </c>
    </row>
    <row r="1051" spans="1:45">
      <c r="A1051" t="str">
        <f t="shared" si="397"/>
        <v>CA_Orang_2020g~city of san clemente member, city council, short term (vote 1)</v>
      </c>
      <c r="B1051" s="55" t="s">
        <v>3536</v>
      </c>
      <c r="D1051" s="55" t="s">
        <v>4000</v>
      </c>
      <c r="E1051" s="55" t="s">
        <v>4007</v>
      </c>
      <c r="G1051" s="60">
        <v>7358</v>
      </c>
      <c r="H1051"/>
      <c r="J1051">
        <v>40150</v>
      </c>
      <c r="N1051">
        <v>5493</v>
      </c>
      <c r="O1051">
        <f t="shared" si="401"/>
        <v>2</v>
      </c>
      <c r="P1051" s="57">
        <f t="shared" si="402"/>
        <v>1</v>
      </c>
      <c r="Q1051" s="267">
        <f t="shared" si="403"/>
        <v>25964</v>
      </c>
      <c r="R1051" s="23" t="str">
        <f t="shared" si="404"/>
        <v/>
      </c>
      <c r="S1051" s="23">
        <f t="shared" si="405"/>
        <v>7358</v>
      </c>
      <c r="T1051" s="23" t="str">
        <f t="shared" si="406"/>
        <v/>
      </c>
      <c r="U1051" t="str">
        <f t="shared" si="407"/>
        <v/>
      </c>
      <c r="W1051" s="1">
        <f t="shared" si="408"/>
        <v>82</v>
      </c>
      <c r="X1051" s="73">
        <f t="shared" si="416"/>
        <v>71.903013698630147</v>
      </c>
      <c r="Y1051" s="322">
        <f t="shared" si="409"/>
        <v>71.903013698630147</v>
      </c>
      <c r="Z1051" s="43">
        <f t="shared" si="417"/>
        <v>23.215756883171888</v>
      </c>
      <c r="AA1051" s="52">
        <f t="shared" si="410"/>
        <v>0.2321575688317189</v>
      </c>
      <c r="AB1051" s="8">
        <f t="shared" si="411"/>
        <v>3145.28</v>
      </c>
      <c r="AC1051" s="8">
        <f t="shared" si="412"/>
        <v>157264</v>
      </c>
      <c r="AD1051" s="8">
        <f t="shared" si="415"/>
        <v>786.32</v>
      </c>
      <c r="AE1051" s="8" t="str">
        <f t="shared" si="413"/>
        <v/>
      </c>
      <c r="AF1051" s="22" t="str">
        <f t="shared" si="414"/>
        <v>PA_Alleg_2019p</v>
      </c>
      <c r="AG1051">
        <v>5</v>
      </c>
      <c r="AH1051" s="272">
        <v>846.6</v>
      </c>
      <c r="AI1051" s="273">
        <v>687</v>
      </c>
      <c r="AJ1051" s="274">
        <v>614</v>
      </c>
      <c r="AK1051" s="339">
        <v>73</v>
      </c>
      <c r="AL1051" s="340" t="s">
        <v>2402</v>
      </c>
      <c r="AM1051" s="353">
        <f t="shared" si="419"/>
        <v>4.6418760809848408E-4</v>
      </c>
      <c r="AO1051" s="355" t="s">
        <v>6483</v>
      </c>
      <c r="AP1051" s="23">
        <f t="shared" si="418"/>
        <v>0</v>
      </c>
      <c r="AQ1051" s="392">
        <f t="shared" si="398"/>
        <v>0</v>
      </c>
      <c r="AR1051" s="392">
        <f t="shared" si="399"/>
        <v>0</v>
      </c>
      <c r="AS1051" s="392">
        <f t="shared" si="399"/>
        <v>0</v>
      </c>
    </row>
    <row r="1052" spans="1:45">
      <c r="A1052" t="str">
        <f t="shared" si="397"/>
        <v>CA_Orang_2020g~city of san clemente member, city council, short term (vote 1)</v>
      </c>
      <c r="B1052" s="55" t="s">
        <v>3536</v>
      </c>
      <c r="D1052" s="55" t="s">
        <v>4000</v>
      </c>
      <c r="E1052" s="55" t="s">
        <v>4004</v>
      </c>
      <c r="G1052" s="60">
        <v>6222</v>
      </c>
      <c r="H1052"/>
      <c r="J1052">
        <v>40150</v>
      </c>
      <c r="N1052">
        <v>5493</v>
      </c>
      <c r="O1052">
        <f t="shared" si="401"/>
        <v>3</v>
      </c>
      <c r="P1052" s="57">
        <f t="shared" si="402"/>
        <v>1</v>
      </c>
      <c r="Q1052" s="267">
        <f t="shared" si="403"/>
        <v>18606</v>
      </c>
      <c r="R1052" s="23" t="str">
        <f t="shared" si="404"/>
        <v/>
      </c>
      <c r="S1052" s="23">
        <f t="shared" si="405"/>
        <v>6222</v>
      </c>
      <c r="T1052" s="23" t="str">
        <f t="shared" si="406"/>
        <v/>
      </c>
      <c r="U1052" t="str">
        <f t="shared" si="407"/>
        <v/>
      </c>
      <c r="W1052" s="1">
        <f t="shared" si="408"/>
        <v>83</v>
      </c>
      <c r="X1052" s="73">
        <f t="shared" si="416"/>
        <v>34.31232876712329</v>
      </c>
      <c r="Y1052" s="322">
        <f t="shared" si="409"/>
        <v>34.31232876712329</v>
      </c>
      <c r="Z1052" s="43">
        <f t="shared" si="417"/>
        <v>23.215756883171888</v>
      </c>
      <c r="AA1052" s="52">
        <f t="shared" si="410"/>
        <v>0.2321575688317189</v>
      </c>
      <c r="AB1052" s="8">
        <f t="shared" si="411"/>
        <v>3145.28</v>
      </c>
      <c r="AC1052" s="8">
        <f t="shared" si="412"/>
        <v>157264</v>
      </c>
      <c r="AD1052" s="8">
        <f t="shared" si="415"/>
        <v>786.32</v>
      </c>
      <c r="AE1052" s="8" t="str">
        <f t="shared" si="413"/>
        <v/>
      </c>
      <c r="AF1052" s="22" t="str">
        <f t="shared" si="414"/>
        <v>PA_Alleg_2019p</v>
      </c>
      <c r="AG1052">
        <v>1</v>
      </c>
      <c r="AH1052" s="272">
        <v>404</v>
      </c>
      <c r="AI1052" s="273">
        <v>237</v>
      </c>
      <c r="AJ1052" s="274">
        <v>164</v>
      </c>
      <c r="AK1052" s="339">
        <v>73</v>
      </c>
      <c r="AL1052" s="340" t="s">
        <v>2337</v>
      </c>
      <c r="AM1052" s="353">
        <f t="shared" si="419"/>
        <v>4.6418760809848408E-4</v>
      </c>
      <c r="AO1052" s="355" t="s">
        <v>6483</v>
      </c>
      <c r="AP1052" s="23">
        <f t="shared" si="418"/>
        <v>0</v>
      </c>
      <c r="AQ1052" s="392">
        <f t="shared" si="398"/>
        <v>0</v>
      </c>
      <c r="AR1052" s="392">
        <f t="shared" si="399"/>
        <v>0</v>
      </c>
      <c r="AS1052" s="392">
        <f t="shared" si="399"/>
        <v>0</v>
      </c>
    </row>
    <row r="1053" spans="1:45">
      <c r="A1053" t="str">
        <f t="shared" si="397"/>
        <v>CA_Orang_2020g~city of san clemente member, city council, short term (vote 1)</v>
      </c>
      <c r="B1053" s="55" t="s">
        <v>3536</v>
      </c>
      <c r="D1053" s="55" t="s">
        <v>4000</v>
      </c>
      <c r="E1053" s="55" t="s">
        <v>4003</v>
      </c>
      <c r="G1053" s="60">
        <v>5916</v>
      </c>
      <c r="H1053"/>
      <c r="J1053">
        <v>40150</v>
      </c>
      <c r="N1053">
        <v>5493</v>
      </c>
      <c r="O1053">
        <f t="shared" si="401"/>
        <v>4</v>
      </c>
      <c r="P1053" s="57">
        <f t="shared" si="402"/>
        <v>1</v>
      </c>
      <c r="Q1053" s="267">
        <f t="shared" si="403"/>
        <v>12384</v>
      </c>
      <c r="R1053" s="23" t="str">
        <f t="shared" si="404"/>
        <v/>
      </c>
      <c r="S1053" s="23">
        <f t="shared" si="405"/>
        <v>5916</v>
      </c>
      <c r="T1053" s="23" t="str">
        <f t="shared" si="406"/>
        <v/>
      </c>
      <c r="U1053" t="str">
        <f t="shared" si="407"/>
        <v/>
      </c>
      <c r="W1053" s="1">
        <f t="shared" si="408"/>
        <v>84</v>
      </c>
      <c r="X1053" s="73">
        <f t="shared" si="416"/>
        <v>75.134210526315798</v>
      </c>
      <c r="Y1053" s="322">
        <f t="shared" si="409"/>
        <v>75.134210526315798</v>
      </c>
      <c r="Z1053" s="43">
        <f t="shared" si="417"/>
        <v>21.863154721172691</v>
      </c>
      <c r="AA1053" s="52">
        <f t="shared" si="410"/>
        <v>0.21863154721172692</v>
      </c>
      <c r="AB1053" s="8">
        <f t="shared" si="411"/>
        <v>3145.28</v>
      </c>
      <c r="AC1053" s="8">
        <f t="shared" si="412"/>
        <v>157264</v>
      </c>
      <c r="AD1053" s="8">
        <f t="shared" si="415"/>
        <v>786.32</v>
      </c>
      <c r="AE1053" s="8" t="str">
        <f t="shared" si="413"/>
        <v/>
      </c>
      <c r="AF1053" s="22" t="str">
        <f t="shared" si="414"/>
        <v>PA_Alleg_2019p</v>
      </c>
      <c r="AG1053" s="23">
        <v>1</v>
      </c>
      <c r="AH1053" s="8">
        <v>921</v>
      </c>
      <c r="AI1053" s="273">
        <v>426</v>
      </c>
      <c r="AJ1053" s="274">
        <v>350</v>
      </c>
      <c r="AK1053" s="339">
        <v>76</v>
      </c>
      <c r="AL1053" s="344" t="s">
        <v>2423</v>
      </c>
      <c r="AM1053" s="353">
        <f t="shared" si="419"/>
        <v>4.832638111710245E-4</v>
      </c>
      <c r="AO1053" s="355" t="s">
        <v>6483</v>
      </c>
      <c r="AP1053" s="23">
        <f t="shared" si="418"/>
        <v>0</v>
      </c>
      <c r="AQ1053" s="392">
        <f t="shared" si="398"/>
        <v>0</v>
      </c>
      <c r="AR1053" s="392">
        <f t="shared" si="399"/>
        <v>0</v>
      </c>
      <c r="AS1053" s="392">
        <f t="shared" si="399"/>
        <v>0</v>
      </c>
    </row>
    <row r="1054" spans="1:45">
      <c r="A1054" t="str">
        <f t="shared" si="397"/>
        <v>CA_Orang_2020g~city of san clemente member, city council, short term (vote 1)</v>
      </c>
      <c r="B1054" s="55" t="s">
        <v>3536</v>
      </c>
      <c r="D1054" s="55" t="s">
        <v>4000</v>
      </c>
      <c r="E1054" s="55" t="s">
        <v>4005</v>
      </c>
      <c r="G1054" s="60">
        <v>4043</v>
      </c>
      <c r="H1054"/>
      <c r="J1054">
        <v>40150</v>
      </c>
      <c r="N1054">
        <v>5493</v>
      </c>
      <c r="O1054">
        <f t="shared" si="401"/>
        <v>5</v>
      </c>
      <c r="P1054" s="57">
        <f t="shared" si="402"/>
        <v>1</v>
      </c>
      <c r="Q1054" s="267">
        <f t="shared" si="403"/>
        <v>6468</v>
      </c>
      <c r="R1054" s="23" t="str">
        <f t="shared" si="404"/>
        <v/>
      </c>
      <c r="S1054" s="23">
        <f t="shared" si="405"/>
        <v>4043</v>
      </c>
      <c r="T1054" s="23" t="str">
        <f t="shared" si="406"/>
        <v/>
      </c>
      <c r="U1054" t="str">
        <f t="shared" si="407"/>
        <v/>
      </c>
      <c r="W1054" s="1">
        <f t="shared" si="408"/>
        <v>85</v>
      </c>
      <c r="X1054" s="73">
        <f t="shared" si="416"/>
        <v>18.293827160493827</v>
      </c>
      <c r="Y1054" s="322">
        <f t="shared" si="409"/>
        <v>18.293827160493827</v>
      </c>
      <c r="Z1054" s="43">
        <f t="shared" si="417"/>
        <v>19.781612529815245</v>
      </c>
      <c r="AA1054" s="52">
        <f t="shared" si="410"/>
        <v>0.19781612529815246</v>
      </c>
      <c r="AB1054" s="8">
        <f t="shared" si="411"/>
        <v>3145.28</v>
      </c>
      <c r="AC1054" s="8">
        <f t="shared" si="412"/>
        <v>157264</v>
      </c>
      <c r="AD1054" s="8">
        <f t="shared" si="415"/>
        <v>786.32</v>
      </c>
      <c r="AE1054" s="8" t="str">
        <f t="shared" si="413"/>
        <v/>
      </c>
      <c r="AF1054" s="22" t="str">
        <f t="shared" si="414"/>
        <v>PA_Alleg_2019p</v>
      </c>
      <c r="AG1054">
        <v>1</v>
      </c>
      <c r="AH1054" s="272">
        <v>239</v>
      </c>
      <c r="AI1054" s="273">
        <v>160</v>
      </c>
      <c r="AJ1054" s="274">
        <v>79</v>
      </c>
      <c r="AK1054" s="339">
        <v>81</v>
      </c>
      <c r="AL1054" s="340" t="s">
        <v>2431</v>
      </c>
      <c r="AM1054" s="353">
        <f t="shared" si="419"/>
        <v>5.1505748295859193E-4</v>
      </c>
      <c r="AO1054" s="355" t="s">
        <v>6483</v>
      </c>
      <c r="AP1054" s="23">
        <f t="shared" si="418"/>
        <v>0</v>
      </c>
      <c r="AQ1054" s="392">
        <f t="shared" si="398"/>
        <v>0</v>
      </c>
      <c r="AR1054" s="392">
        <f t="shared" si="399"/>
        <v>0</v>
      </c>
      <c r="AS1054" s="392">
        <f t="shared" si="399"/>
        <v>0</v>
      </c>
    </row>
    <row r="1055" spans="1:45">
      <c r="A1055" t="str">
        <f t="shared" si="397"/>
        <v>CA_Orang_2020g~city of san clemente member, city council, short term (vote 1)</v>
      </c>
      <c r="B1055" s="55" t="s">
        <v>3536</v>
      </c>
      <c r="D1055" s="55" t="s">
        <v>4000</v>
      </c>
      <c r="E1055" s="55" t="s">
        <v>4008</v>
      </c>
      <c r="G1055" s="60">
        <v>859</v>
      </c>
      <c r="H1055"/>
      <c r="J1055">
        <v>40150</v>
      </c>
      <c r="N1055">
        <v>5493</v>
      </c>
      <c r="O1055">
        <f t="shared" si="401"/>
        <v>6</v>
      </c>
      <c r="P1055" s="57">
        <f t="shared" si="402"/>
        <v>1</v>
      </c>
      <c r="Q1055" s="267">
        <f t="shared" si="403"/>
        <v>2425</v>
      </c>
      <c r="R1055" s="23" t="str">
        <f t="shared" si="404"/>
        <v/>
      </c>
      <c r="S1055" s="23">
        <f t="shared" si="405"/>
        <v>859</v>
      </c>
      <c r="T1055" s="23" t="str">
        <f t="shared" si="406"/>
        <v/>
      </c>
      <c r="U1055" t="str">
        <f t="shared" si="407"/>
        <v/>
      </c>
      <c r="W1055" s="1">
        <f t="shared" si="408"/>
        <v>86</v>
      </c>
      <c r="X1055" s="73">
        <f t="shared" si="416"/>
        <v>43.599540229885058</v>
      </c>
      <c r="Y1055" s="322">
        <f t="shared" si="409"/>
        <v>43.599540229885058</v>
      </c>
      <c r="Z1055" s="43">
        <f t="shared" si="417"/>
        <v>17.543591311866209</v>
      </c>
      <c r="AA1055" s="52">
        <f t="shared" si="410"/>
        <v>0.17543591311866208</v>
      </c>
      <c r="AB1055" s="8">
        <f t="shared" si="411"/>
        <v>3145.28</v>
      </c>
      <c r="AC1055" s="8">
        <f t="shared" si="412"/>
        <v>157264</v>
      </c>
      <c r="AD1055" s="8">
        <f t="shared" si="415"/>
        <v>786.32</v>
      </c>
      <c r="AE1055" s="8" t="str">
        <f t="shared" si="413"/>
        <v/>
      </c>
      <c r="AF1055" s="22" t="str">
        <f t="shared" si="414"/>
        <v>PA_Alleg_2019p</v>
      </c>
      <c r="AG1055">
        <v>5</v>
      </c>
      <c r="AH1055" s="272">
        <v>611.79999999999995</v>
      </c>
      <c r="AI1055" s="273">
        <v>411</v>
      </c>
      <c r="AJ1055" s="274">
        <v>324</v>
      </c>
      <c r="AK1055" s="339">
        <v>87</v>
      </c>
      <c r="AL1055" s="340" t="s">
        <v>2420</v>
      </c>
      <c r="AM1055" s="353">
        <f t="shared" si="419"/>
        <v>5.5320988910367277E-4</v>
      </c>
      <c r="AO1055" s="355" t="s">
        <v>6483</v>
      </c>
      <c r="AP1055" s="23">
        <f t="shared" si="418"/>
        <v>0</v>
      </c>
      <c r="AQ1055" s="392">
        <f t="shared" si="398"/>
        <v>0</v>
      </c>
      <c r="AR1055" s="392">
        <f t="shared" si="399"/>
        <v>0</v>
      </c>
      <c r="AS1055" s="392">
        <f t="shared" si="399"/>
        <v>0</v>
      </c>
    </row>
    <row r="1056" spans="1:45">
      <c r="A1056" t="str">
        <f t="shared" si="397"/>
        <v>CA_Orang_2020g~city of san clemente member, city council, short term (vote 1)</v>
      </c>
      <c r="B1056" s="55" t="s">
        <v>3536</v>
      </c>
      <c r="D1056" s="55" t="s">
        <v>4000</v>
      </c>
      <c r="E1056" s="55" t="s">
        <v>4001</v>
      </c>
      <c r="G1056" s="60">
        <v>802</v>
      </c>
      <c r="H1056"/>
      <c r="J1056">
        <v>40150</v>
      </c>
      <c r="N1056">
        <v>5493</v>
      </c>
      <c r="O1056">
        <f t="shared" si="401"/>
        <v>7</v>
      </c>
      <c r="P1056" s="57">
        <f t="shared" si="402"/>
        <v>1</v>
      </c>
      <c r="Q1056" s="267">
        <f t="shared" si="403"/>
        <v>1566</v>
      </c>
      <c r="R1056" s="23" t="str">
        <f t="shared" si="404"/>
        <v/>
      </c>
      <c r="S1056" s="23">
        <f t="shared" si="405"/>
        <v>802</v>
      </c>
      <c r="T1056" s="23" t="str">
        <f t="shared" si="406"/>
        <v/>
      </c>
      <c r="U1056" t="str">
        <f t="shared" si="407"/>
        <v/>
      </c>
      <c r="W1056" s="1">
        <f t="shared" si="408"/>
        <v>87</v>
      </c>
      <c r="X1056" s="73">
        <f t="shared" si="416"/>
        <v>99.530898876404493</v>
      </c>
      <c r="Y1056" s="322">
        <f t="shared" si="409"/>
        <v>99.530898876404493</v>
      </c>
      <c r="Z1056" s="43">
        <f t="shared" si="417"/>
        <v>16.85531977346151</v>
      </c>
      <c r="AA1056" s="52">
        <f t="shared" si="410"/>
        <v>0.16855319773461508</v>
      </c>
      <c r="AB1056" s="8">
        <f t="shared" si="411"/>
        <v>3145.28</v>
      </c>
      <c r="AC1056" s="8">
        <f t="shared" si="412"/>
        <v>157264</v>
      </c>
      <c r="AD1056" s="8">
        <f t="shared" si="415"/>
        <v>786.32</v>
      </c>
      <c r="AE1056" s="8" t="str">
        <f t="shared" si="413"/>
        <v/>
      </c>
      <c r="AF1056" s="22" t="str">
        <f t="shared" si="414"/>
        <v>PA_Alleg_2019p</v>
      </c>
      <c r="AG1056" s="314">
        <v>4</v>
      </c>
      <c r="AH1056" s="313">
        <v>1428.75</v>
      </c>
      <c r="AI1056" s="315">
        <v>870</v>
      </c>
      <c r="AJ1056" s="315">
        <v>781</v>
      </c>
      <c r="AK1056" s="345">
        <v>89</v>
      </c>
      <c r="AL1056" s="346" t="s">
        <v>2372</v>
      </c>
      <c r="AM1056" s="353">
        <f t="shared" si="419"/>
        <v>5.6592735781869972E-4</v>
      </c>
      <c r="AO1056" s="355" t="s">
        <v>6483</v>
      </c>
      <c r="AP1056" s="23">
        <f t="shared" si="418"/>
        <v>0</v>
      </c>
      <c r="AQ1056" s="392">
        <f t="shared" si="398"/>
        <v>0</v>
      </c>
      <c r="AR1056" s="392">
        <f t="shared" si="399"/>
        <v>0</v>
      </c>
      <c r="AS1056" s="392">
        <f t="shared" si="399"/>
        <v>0</v>
      </c>
    </row>
    <row r="1057" spans="1:45">
      <c r="A1057" t="str">
        <f t="shared" si="397"/>
        <v>CA_Orang_2020g~city of san clemente member, city council, short term (vote 1)</v>
      </c>
      <c r="B1057" s="55" t="s">
        <v>3536</v>
      </c>
      <c r="D1057" s="55" t="s">
        <v>4000</v>
      </c>
      <c r="E1057" s="55" t="s">
        <v>4006</v>
      </c>
      <c r="G1057" s="60">
        <v>764</v>
      </c>
      <c r="H1057"/>
      <c r="J1057">
        <v>40150</v>
      </c>
      <c r="N1057">
        <v>5493</v>
      </c>
      <c r="O1057">
        <f t="shared" si="401"/>
        <v>8</v>
      </c>
      <c r="P1057" s="57">
        <f t="shared" si="402"/>
        <v>1</v>
      </c>
      <c r="Q1057" s="267">
        <f t="shared" si="403"/>
        <v>764</v>
      </c>
      <c r="R1057" s="23" t="str">
        <f t="shared" si="404"/>
        <v/>
      </c>
      <c r="S1057" s="23">
        <f t="shared" si="405"/>
        <v>764</v>
      </c>
      <c r="T1057" s="23" t="str">
        <f t="shared" si="406"/>
        <v/>
      </c>
      <c r="U1057" t="str">
        <f t="shared" si="407"/>
        <v/>
      </c>
      <c r="W1057" s="1">
        <f t="shared" si="408"/>
        <v>88</v>
      </c>
      <c r="X1057" s="73">
        <f t="shared" si="416"/>
        <v>127.66938775510205</v>
      </c>
      <c r="Y1057" s="322">
        <f t="shared" si="409"/>
        <v>139.24200000000002</v>
      </c>
      <c r="Z1057" s="43">
        <f t="shared" si="417"/>
        <v>14.077239022047058</v>
      </c>
      <c r="AA1057" s="52">
        <f t="shared" si="410"/>
        <v>0.14077239022047058</v>
      </c>
      <c r="AB1057" s="8">
        <f t="shared" si="411"/>
        <v>3145.28</v>
      </c>
      <c r="AC1057" s="8">
        <f t="shared" si="412"/>
        <v>157264</v>
      </c>
      <c r="AD1057" s="8">
        <f t="shared" si="415"/>
        <v>786.32</v>
      </c>
      <c r="AE1057" s="8" t="str">
        <f t="shared" si="413"/>
        <v/>
      </c>
      <c r="AF1057" s="22" t="str">
        <f t="shared" si="414"/>
        <v>PA_Alleg_2019p</v>
      </c>
      <c r="AG1057">
        <v>5</v>
      </c>
      <c r="AH1057" s="272">
        <v>2018</v>
      </c>
      <c r="AI1057" s="273">
        <v>1302</v>
      </c>
      <c r="AJ1057" s="274">
        <v>1204</v>
      </c>
      <c r="AK1057" s="339">
        <v>98</v>
      </c>
      <c r="AL1057" s="340" t="s">
        <v>2410</v>
      </c>
      <c r="AM1057" s="353">
        <f t="shared" si="419"/>
        <v>6.2315596703632105E-4</v>
      </c>
      <c r="AO1057" s="355" t="s">
        <v>6483</v>
      </c>
      <c r="AP1057" s="23">
        <f t="shared" si="418"/>
        <v>0</v>
      </c>
      <c r="AQ1057" s="392">
        <f t="shared" si="398"/>
        <v>0</v>
      </c>
      <c r="AR1057" s="392">
        <f t="shared" si="399"/>
        <v>0</v>
      </c>
      <c r="AS1057" s="392">
        <f t="shared" si="399"/>
        <v>0</v>
      </c>
    </row>
    <row r="1058" spans="1:45">
      <c r="A1058" t="str">
        <f t="shared" si="397"/>
        <v>CA_Orang_2020g~city of san juan capistrano member, city council, district 5 (vote 1)</v>
      </c>
      <c r="B1058" s="55" t="s">
        <v>3536</v>
      </c>
      <c r="D1058" s="55" t="s">
        <v>4009</v>
      </c>
      <c r="E1058" s="55" t="s">
        <v>4011</v>
      </c>
      <c r="G1058" s="60">
        <v>3262</v>
      </c>
      <c r="H1058"/>
      <c r="J1058">
        <v>5668</v>
      </c>
      <c r="N1058">
        <v>700</v>
      </c>
      <c r="O1058">
        <f t="shared" si="401"/>
        <v>1</v>
      </c>
      <c r="P1058" s="57">
        <f t="shared" si="402"/>
        <v>1</v>
      </c>
      <c r="Q1058" s="267">
        <f t="shared" si="403"/>
        <v>4938</v>
      </c>
      <c r="R1058" s="23">
        <f t="shared" si="404"/>
        <v>3262</v>
      </c>
      <c r="S1058" s="23">
        <f t="shared" si="405"/>
        <v>1676</v>
      </c>
      <c r="T1058" s="23">
        <f t="shared" si="406"/>
        <v>1586</v>
      </c>
      <c r="U1058" t="str">
        <f t="shared" si="407"/>
        <v>CA_Orang_2020g~city of san juan capistrano member, city council, district 5 (vote 1)</v>
      </c>
      <c r="W1058" s="1">
        <f t="shared" si="408"/>
        <v>89</v>
      </c>
      <c r="X1058" s="73">
        <f t="shared" si="416"/>
        <v>194.83030303030301</v>
      </c>
      <c r="Y1058" s="322">
        <f t="shared" si="409"/>
        <v>214.65900000000002</v>
      </c>
      <c r="Z1058" s="43">
        <f t="shared" si="417"/>
        <v>13.79831805633679</v>
      </c>
      <c r="AA1058" s="52">
        <f t="shared" si="410"/>
        <v>0.13798318056336789</v>
      </c>
      <c r="AB1058" s="8">
        <f t="shared" si="411"/>
        <v>3145.28</v>
      </c>
      <c r="AC1058" s="8">
        <f t="shared" si="412"/>
        <v>157264</v>
      </c>
      <c r="AD1058" s="8">
        <f t="shared" si="415"/>
        <v>786.32</v>
      </c>
      <c r="AE1058" s="8" t="str">
        <f t="shared" si="413"/>
        <v/>
      </c>
      <c r="AF1058" s="22" t="str">
        <f t="shared" si="414"/>
        <v>PA_Alleg_2019p</v>
      </c>
      <c r="AG1058">
        <v>1</v>
      </c>
      <c r="AH1058" s="8">
        <v>3111</v>
      </c>
      <c r="AI1058" s="273">
        <v>1588</v>
      </c>
      <c r="AJ1058" s="274">
        <v>1489</v>
      </c>
      <c r="AK1058" s="339">
        <v>99</v>
      </c>
      <c r="AL1058" s="23" t="s">
        <v>2426</v>
      </c>
      <c r="AM1058" s="353">
        <f t="shared" si="419"/>
        <v>6.2951470139383458E-4</v>
      </c>
      <c r="AO1058" s="355" t="s">
        <v>6483</v>
      </c>
      <c r="AP1058" s="23">
        <f t="shared" si="418"/>
        <v>0</v>
      </c>
      <c r="AQ1058" s="392">
        <f t="shared" si="398"/>
        <v>0</v>
      </c>
      <c r="AR1058" s="392">
        <f t="shared" si="399"/>
        <v>0</v>
      </c>
      <c r="AS1058" s="392">
        <f t="shared" si="399"/>
        <v>0</v>
      </c>
    </row>
    <row r="1059" spans="1:45">
      <c r="A1059" t="str">
        <f t="shared" si="397"/>
        <v>CA_Orang_2020g~city of san juan capistrano member, city council, district 5 (vote 1)</v>
      </c>
      <c r="B1059" s="55" t="s">
        <v>3536</v>
      </c>
      <c r="D1059" s="55" t="s">
        <v>4009</v>
      </c>
      <c r="E1059" s="55" t="s">
        <v>4010</v>
      </c>
      <c r="G1059" s="60">
        <v>1676</v>
      </c>
      <c r="H1059"/>
      <c r="J1059">
        <v>5668</v>
      </c>
      <c r="N1059">
        <v>700</v>
      </c>
      <c r="O1059">
        <f t="shared" si="401"/>
        <v>2</v>
      </c>
      <c r="P1059" s="57">
        <f t="shared" si="402"/>
        <v>1</v>
      </c>
      <c r="Q1059" s="267">
        <f t="shared" si="403"/>
        <v>1676</v>
      </c>
      <c r="R1059" s="23" t="str">
        <f t="shared" si="404"/>
        <v/>
      </c>
      <c r="S1059" s="23">
        <f t="shared" si="405"/>
        <v>1676</v>
      </c>
      <c r="T1059" s="23" t="str">
        <f t="shared" si="406"/>
        <v/>
      </c>
      <c r="U1059" t="str">
        <f t="shared" si="407"/>
        <v/>
      </c>
      <c r="W1059" s="1">
        <f t="shared" si="408"/>
        <v>90</v>
      </c>
      <c r="X1059" s="73">
        <f t="shared" si="416"/>
        <v>102.982</v>
      </c>
      <c r="Y1059" s="322">
        <f t="shared" si="409"/>
        <v>114.60900000000001</v>
      </c>
      <c r="Z1059" s="43">
        <f t="shared" si="417"/>
        <v>13.524921800495724</v>
      </c>
      <c r="AA1059" s="52">
        <f t="shared" si="410"/>
        <v>0.13524921800495723</v>
      </c>
      <c r="AB1059" s="8">
        <f t="shared" si="411"/>
        <v>3145.28</v>
      </c>
      <c r="AC1059" s="8">
        <f t="shared" si="412"/>
        <v>157264</v>
      </c>
      <c r="AD1059" s="8">
        <f t="shared" si="415"/>
        <v>786.32</v>
      </c>
      <c r="AE1059" s="8" t="str">
        <f t="shared" si="413"/>
        <v/>
      </c>
      <c r="AF1059" s="22" t="str">
        <f t="shared" si="414"/>
        <v>PA_Alleg_2019p</v>
      </c>
      <c r="AG1059">
        <v>5</v>
      </c>
      <c r="AH1059" s="272">
        <v>1661</v>
      </c>
      <c r="AI1059" s="273">
        <v>715</v>
      </c>
      <c r="AJ1059" s="274">
        <v>615</v>
      </c>
      <c r="AK1059" s="339">
        <v>100</v>
      </c>
      <c r="AL1059" s="340" t="s">
        <v>2416</v>
      </c>
      <c r="AM1059" s="353">
        <f t="shared" si="419"/>
        <v>6.35873435751348E-4</v>
      </c>
      <c r="AO1059" s="355" t="s">
        <v>6483</v>
      </c>
      <c r="AP1059" s="23">
        <f t="shared" si="418"/>
        <v>0</v>
      </c>
      <c r="AQ1059" s="392">
        <f t="shared" si="398"/>
        <v>0</v>
      </c>
      <c r="AR1059" s="392">
        <f t="shared" si="399"/>
        <v>0</v>
      </c>
      <c r="AS1059" s="392">
        <f t="shared" si="399"/>
        <v>0</v>
      </c>
    </row>
    <row r="1060" spans="1:45">
      <c r="A1060" t="str">
        <f t="shared" si="397"/>
        <v>CA_Orang_2020g~city of santa ana mayor (vote 1)</v>
      </c>
      <c r="B1060" s="55" t="s">
        <v>3536</v>
      </c>
      <c r="D1060" s="55" t="s">
        <v>4012</v>
      </c>
      <c r="E1060" s="55" t="s">
        <v>4014</v>
      </c>
      <c r="G1060" s="60">
        <v>29493</v>
      </c>
      <c r="H1060"/>
      <c r="J1060">
        <v>95571</v>
      </c>
      <c r="N1060">
        <v>5913</v>
      </c>
      <c r="O1060">
        <f t="shared" si="401"/>
        <v>1</v>
      </c>
      <c r="P1060" s="57">
        <f t="shared" si="402"/>
        <v>1</v>
      </c>
      <c r="Q1060" s="267">
        <f t="shared" si="403"/>
        <v>89205</v>
      </c>
      <c r="R1060" s="23">
        <f t="shared" si="404"/>
        <v>29493</v>
      </c>
      <c r="S1060" s="23">
        <f t="shared" si="405"/>
        <v>19247</v>
      </c>
      <c r="T1060" s="23">
        <f t="shared" si="406"/>
        <v>10246</v>
      </c>
      <c r="U1060" t="str">
        <f t="shared" si="407"/>
        <v>CA_Orang_2020g~city of santa ana mayor (vote 1)</v>
      </c>
      <c r="W1060" s="282">
        <f t="shared" si="408"/>
        <v>91</v>
      </c>
      <c r="X1060" s="284">
        <f t="shared" si="416"/>
        <v>15.530693069306929</v>
      </c>
      <c r="Y1060" s="322">
        <f t="shared" si="409"/>
        <v>17.457000000000001</v>
      </c>
      <c r="Z1060" s="285">
        <f t="shared" si="417"/>
        <v>13.256940858285699</v>
      </c>
      <c r="AA1060" s="286">
        <f t="shared" si="410"/>
        <v>0.13256940858285698</v>
      </c>
      <c r="AB1060" s="287">
        <f t="shared" si="411"/>
        <v>3145.28</v>
      </c>
      <c r="AC1060" s="287">
        <f t="shared" si="412"/>
        <v>157264</v>
      </c>
      <c r="AD1060" s="8">
        <f t="shared" si="415"/>
        <v>786.32</v>
      </c>
      <c r="AE1060" s="287" t="str">
        <f t="shared" si="413"/>
        <v/>
      </c>
      <c r="AF1060" s="22" t="str">
        <f t="shared" si="414"/>
        <v>PA_Alleg_2019p</v>
      </c>
      <c r="AG1060">
        <v>1</v>
      </c>
      <c r="AH1060" s="272">
        <v>253</v>
      </c>
      <c r="AI1060" s="273">
        <v>175</v>
      </c>
      <c r="AJ1060" s="274">
        <v>74</v>
      </c>
      <c r="AK1060" s="339">
        <v>101</v>
      </c>
      <c r="AL1060" s="340" t="s">
        <v>2331</v>
      </c>
      <c r="AM1060" s="353">
        <f t="shared" si="419"/>
        <v>6.4223217010886153E-4</v>
      </c>
      <c r="AO1060" s="355" t="s">
        <v>6483</v>
      </c>
      <c r="AP1060" s="23">
        <f t="shared" si="418"/>
        <v>0</v>
      </c>
      <c r="AQ1060" s="392">
        <f t="shared" si="398"/>
        <v>0</v>
      </c>
      <c r="AR1060" s="392">
        <f t="shared" si="399"/>
        <v>0</v>
      </c>
      <c r="AS1060" s="392">
        <f t="shared" si="399"/>
        <v>0</v>
      </c>
    </row>
    <row r="1061" spans="1:45">
      <c r="A1061" t="str">
        <f t="shared" si="397"/>
        <v>CA_Orang_2020g~city of santa ana mayor (vote 1)</v>
      </c>
      <c r="B1061" s="55" t="s">
        <v>3536</v>
      </c>
      <c r="D1061" s="55" t="s">
        <v>4012</v>
      </c>
      <c r="E1061" s="55" t="s">
        <v>4013</v>
      </c>
      <c r="G1061" s="60">
        <v>19247</v>
      </c>
      <c r="H1061"/>
      <c r="J1061">
        <v>95571</v>
      </c>
      <c r="N1061">
        <v>5913</v>
      </c>
      <c r="O1061">
        <f t="shared" si="401"/>
        <v>2</v>
      </c>
      <c r="P1061" s="57">
        <f t="shared" si="402"/>
        <v>1</v>
      </c>
      <c r="Q1061" s="267">
        <f t="shared" si="403"/>
        <v>59712</v>
      </c>
      <c r="R1061" s="23" t="str">
        <f t="shared" si="404"/>
        <v/>
      </c>
      <c r="S1061" s="23">
        <f t="shared" si="405"/>
        <v>19247</v>
      </c>
      <c r="T1061" s="23" t="str">
        <f t="shared" si="406"/>
        <v/>
      </c>
      <c r="U1061" t="str">
        <f t="shared" si="407"/>
        <v/>
      </c>
      <c r="W1061" s="282">
        <f t="shared" si="408"/>
        <v>92</v>
      </c>
      <c r="X1061" s="284">
        <f t="shared" si="416"/>
        <v>28.406730769230769</v>
      </c>
      <c r="Y1061" s="322">
        <f t="shared" si="409"/>
        <v>32.878500000000003</v>
      </c>
      <c r="Z1061" s="285">
        <f t="shared" si="417"/>
        <v>12.484428177410033</v>
      </c>
      <c r="AA1061" s="286">
        <f t="shared" si="410"/>
        <v>0.12484428177410033</v>
      </c>
      <c r="AB1061" s="287">
        <f t="shared" si="411"/>
        <v>3145.28</v>
      </c>
      <c r="AC1061" s="287">
        <f t="shared" si="412"/>
        <v>157264</v>
      </c>
      <c r="AD1061" s="8">
        <f t="shared" si="415"/>
        <v>786.32</v>
      </c>
      <c r="AE1061" s="287" t="str">
        <f t="shared" si="413"/>
        <v/>
      </c>
      <c r="AF1061" s="22" t="str">
        <f t="shared" si="414"/>
        <v>PA_Alleg_2019p</v>
      </c>
      <c r="AG1061">
        <v>2</v>
      </c>
      <c r="AH1061" s="272">
        <v>476.5</v>
      </c>
      <c r="AI1061" s="273">
        <v>299</v>
      </c>
      <c r="AJ1061" s="274">
        <v>195</v>
      </c>
      <c r="AK1061" s="339">
        <v>104</v>
      </c>
      <c r="AL1061" s="340" t="s">
        <v>2363</v>
      </c>
      <c r="AM1061" s="353">
        <f t="shared" si="419"/>
        <v>6.61308373181402E-4</v>
      </c>
      <c r="AO1061" s="355" t="s">
        <v>6483</v>
      </c>
      <c r="AP1061" s="23">
        <f t="shared" si="418"/>
        <v>0</v>
      </c>
      <c r="AQ1061" s="392">
        <f t="shared" si="398"/>
        <v>0</v>
      </c>
      <c r="AR1061" s="392">
        <f t="shared" si="399"/>
        <v>0</v>
      </c>
      <c r="AS1061" s="392">
        <f t="shared" si="399"/>
        <v>0</v>
      </c>
    </row>
    <row r="1062" spans="1:45">
      <c r="A1062" t="str">
        <f t="shared" ref="A1062:A1125" si="420">CONCATENATE(B1062,"~",LOWER(D1062),IF(RIGHT(D1062,1)=")",""," (vote 1)"))</f>
        <v>CA_Orang_2020g~city of santa ana mayor (vote 1)</v>
      </c>
      <c r="B1062" s="55" t="s">
        <v>3536</v>
      </c>
      <c r="D1062" s="55" t="s">
        <v>4012</v>
      </c>
      <c r="E1062" s="55" t="s">
        <v>3486</v>
      </c>
      <c r="G1062" s="60">
        <v>18713</v>
      </c>
      <c r="H1062"/>
      <c r="J1062">
        <v>95571</v>
      </c>
      <c r="N1062">
        <v>5913</v>
      </c>
      <c r="O1062">
        <f t="shared" si="401"/>
        <v>3</v>
      </c>
      <c r="P1062" s="57">
        <f t="shared" si="402"/>
        <v>1</v>
      </c>
      <c r="Q1062" s="267">
        <f t="shared" si="403"/>
        <v>40465</v>
      </c>
      <c r="R1062" s="23" t="str">
        <f t="shared" si="404"/>
        <v/>
      </c>
      <c r="S1062" s="23">
        <f t="shared" si="405"/>
        <v>18713</v>
      </c>
      <c r="T1062" s="23" t="str">
        <f t="shared" si="406"/>
        <v/>
      </c>
      <c r="U1062" t="str">
        <f t="shared" si="407"/>
        <v/>
      </c>
      <c r="W1062" s="282">
        <f t="shared" si="408"/>
        <v>93</v>
      </c>
      <c r="X1062" s="284">
        <f t="shared" si="416"/>
        <v>110.76152380952381</v>
      </c>
      <c r="Y1062" s="322">
        <f t="shared" si="409"/>
        <v>129.43020000000001</v>
      </c>
      <c r="Z1062" s="285">
        <f t="shared" si="417"/>
        <v>12.23705719978269</v>
      </c>
      <c r="AA1062" s="286">
        <f t="shared" si="410"/>
        <v>0.1223705719978269</v>
      </c>
      <c r="AB1062" s="287">
        <f t="shared" si="411"/>
        <v>3145.28</v>
      </c>
      <c r="AC1062" s="287">
        <f t="shared" si="412"/>
        <v>157264</v>
      </c>
      <c r="AD1062" s="8">
        <f t="shared" si="415"/>
        <v>786.32</v>
      </c>
      <c r="AE1062" s="287" t="str">
        <f t="shared" si="413"/>
        <v/>
      </c>
      <c r="AF1062" s="22" t="str">
        <f t="shared" si="414"/>
        <v>PA_Alleg_2019p</v>
      </c>
      <c r="AG1062">
        <v>5</v>
      </c>
      <c r="AH1062" s="272">
        <v>1875.8</v>
      </c>
      <c r="AI1062" s="273">
        <v>1224</v>
      </c>
      <c r="AJ1062" s="274">
        <v>1119</v>
      </c>
      <c r="AK1062" s="339">
        <v>105</v>
      </c>
      <c r="AL1062" s="340" t="s">
        <v>2424</v>
      </c>
      <c r="AM1062" s="353">
        <f t="shared" si="419"/>
        <v>6.6766710753891542E-4</v>
      </c>
      <c r="AO1062" s="355" t="s">
        <v>6483</v>
      </c>
      <c r="AP1062" s="23">
        <f t="shared" si="418"/>
        <v>0</v>
      </c>
      <c r="AQ1062" s="392">
        <f t="shared" si="398"/>
        <v>0</v>
      </c>
      <c r="AR1062" s="392">
        <f t="shared" si="399"/>
        <v>0</v>
      </c>
      <c r="AS1062" s="392">
        <f t="shared" si="399"/>
        <v>0</v>
      </c>
    </row>
    <row r="1063" spans="1:45">
      <c r="A1063" t="str">
        <f t="shared" si="420"/>
        <v>CA_Orang_2020g~city of santa ana mayor (vote 1)</v>
      </c>
      <c r="B1063" s="55" t="s">
        <v>3536</v>
      </c>
      <c r="D1063" s="55" t="s">
        <v>4012</v>
      </c>
      <c r="E1063" s="55" t="s">
        <v>4016</v>
      </c>
      <c r="G1063" s="60">
        <v>14585</v>
      </c>
      <c r="H1063"/>
      <c r="J1063">
        <v>95571</v>
      </c>
      <c r="N1063">
        <v>5913</v>
      </c>
      <c r="O1063">
        <f t="shared" si="401"/>
        <v>4</v>
      </c>
      <c r="P1063" s="57">
        <f t="shared" si="402"/>
        <v>1</v>
      </c>
      <c r="Q1063" s="267">
        <f t="shared" si="403"/>
        <v>21752</v>
      </c>
      <c r="R1063" s="23" t="str">
        <f t="shared" si="404"/>
        <v/>
      </c>
      <c r="S1063" s="23">
        <f t="shared" si="405"/>
        <v>14585</v>
      </c>
      <c r="T1063" s="23" t="str">
        <f t="shared" si="406"/>
        <v/>
      </c>
      <c r="U1063" t="str">
        <f t="shared" si="407"/>
        <v/>
      </c>
      <c r="W1063" s="282">
        <f t="shared" si="408"/>
        <v>94</v>
      </c>
      <c r="X1063" s="284">
        <f t="shared" si="416"/>
        <v>49.307547169811315</v>
      </c>
      <c r="Y1063" s="322">
        <f t="shared" si="409"/>
        <v>58.167000000000002</v>
      </c>
      <c r="Z1063" s="285">
        <f t="shared" si="417"/>
        <v>11.994586192774985</v>
      </c>
      <c r="AA1063" s="286">
        <f t="shared" si="410"/>
        <v>0.11994586192774985</v>
      </c>
      <c r="AB1063" s="287">
        <f t="shared" si="411"/>
        <v>3145.28</v>
      </c>
      <c r="AC1063" s="287">
        <f t="shared" si="412"/>
        <v>157264</v>
      </c>
      <c r="AD1063" s="8">
        <f t="shared" si="415"/>
        <v>786.32</v>
      </c>
      <c r="AE1063" s="287" t="str">
        <f t="shared" si="413"/>
        <v/>
      </c>
      <c r="AF1063" s="22" t="str">
        <f t="shared" si="414"/>
        <v>PA_Alleg_2019p</v>
      </c>
      <c r="AG1063">
        <v>1</v>
      </c>
      <c r="AH1063" s="272">
        <v>843</v>
      </c>
      <c r="AI1063" s="273">
        <v>267</v>
      </c>
      <c r="AJ1063" s="274">
        <v>161</v>
      </c>
      <c r="AK1063" s="339">
        <v>106</v>
      </c>
      <c r="AL1063" s="340" t="s">
        <v>2387</v>
      </c>
      <c r="AM1063" s="353">
        <f t="shared" si="419"/>
        <v>6.7402584189642895E-4</v>
      </c>
      <c r="AO1063" s="355" t="s">
        <v>6483</v>
      </c>
      <c r="AP1063" s="23">
        <f t="shared" si="418"/>
        <v>0</v>
      </c>
      <c r="AQ1063" s="392">
        <f t="shared" si="398"/>
        <v>0</v>
      </c>
      <c r="AR1063" s="392">
        <f t="shared" si="399"/>
        <v>0</v>
      </c>
      <c r="AS1063" s="392">
        <f t="shared" si="399"/>
        <v>0</v>
      </c>
    </row>
    <row r="1064" spans="1:45">
      <c r="A1064" t="str">
        <f t="shared" si="420"/>
        <v>CA_Orang_2020g~city of santa ana mayor (vote 1)</v>
      </c>
      <c r="B1064" s="55" t="s">
        <v>3536</v>
      </c>
      <c r="D1064" s="55" t="s">
        <v>4012</v>
      </c>
      <c r="E1064" s="55" t="s">
        <v>4015</v>
      </c>
      <c r="G1064" s="60">
        <v>5217</v>
      </c>
      <c r="H1064"/>
      <c r="J1064">
        <v>95571</v>
      </c>
      <c r="N1064">
        <v>5913</v>
      </c>
      <c r="O1064">
        <f t="shared" si="401"/>
        <v>5</v>
      </c>
      <c r="P1064" s="57">
        <f t="shared" si="402"/>
        <v>1</v>
      </c>
      <c r="Q1064" s="267">
        <f t="shared" si="403"/>
        <v>7167</v>
      </c>
      <c r="R1064" s="23" t="str">
        <f t="shared" si="404"/>
        <v/>
      </c>
      <c r="S1064" s="23">
        <f t="shared" si="405"/>
        <v>5217</v>
      </c>
      <c r="T1064" s="23" t="str">
        <f t="shared" si="406"/>
        <v/>
      </c>
      <c r="U1064" t="str">
        <f t="shared" si="407"/>
        <v/>
      </c>
      <c r="W1064" s="282">
        <f t="shared" si="408"/>
        <v>95</v>
      </c>
      <c r="X1064" s="284">
        <f t="shared" si="416"/>
        <v>33.601785714285711</v>
      </c>
      <c r="Y1064" s="322">
        <f t="shared" si="409"/>
        <v>41.883000000000003</v>
      </c>
      <c r="Z1064" s="285">
        <f t="shared" si="417"/>
        <v>10.637358240734244</v>
      </c>
      <c r="AA1064" s="286">
        <f t="shared" si="410"/>
        <v>0.10637358240734243</v>
      </c>
      <c r="AB1064" s="287">
        <f t="shared" si="411"/>
        <v>3145.28</v>
      </c>
      <c r="AC1064" s="287">
        <f t="shared" si="412"/>
        <v>157264</v>
      </c>
      <c r="AD1064" s="8">
        <f t="shared" si="415"/>
        <v>786.32</v>
      </c>
      <c r="AE1064" s="287" t="str">
        <f t="shared" si="413"/>
        <v/>
      </c>
      <c r="AF1064" s="22" t="str">
        <f t="shared" si="414"/>
        <v>PA_Alleg_2019p</v>
      </c>
      <c r="AG1064">
        <v>1</v>
      </c>
      <c r="AH1064" s="272">
        <v>607</v>
      </c>
      <c r="AI1064" s="273">
        <v>276</v>
      </c>
      <c r="AJ1064" s="274">
        <v>164</v>
      </c>
      <c r="AK1064" s="339">
        <v>112</v>
      </c>
      <c r="AL1064" s="340" t="s">
        <v>2466</v>
      </c>
      <c r="AM1064" s="353">
        <f t="shared" si="419"/>
        <v>7.121782480415098E-4</v>
      </c>
      <c r="AO1064" s="355" t="s">
        <v>6483</v>
      </c>
      <c r="AP1064" s="23">
        <f t="shared" si="418"/>
        <v>0</v>
      </c>
      <c r="AQ1064" s="392">
        <f t="shared" si="398"/>
        <v>0</v>
      </c>
      <c r="AR1064" s="392">
        <f t="shared" si="399"/>
        <v>0</v>
      </c>
      <c r="AS1064" s="392">
        <f t="shared" si="399"/>
        <v>0</v>
      </c>
    </row>
    <row r="1065" spans="1:45">
      <c r="A1065" t="str">
        <f t="shared" si="420"/>
        <v>CA_Orang_2020g~city of santa ana mayor (vote 1)</v>
      </c>
      <c r="B1065" s="55" t="s">
        <v>3536</v>
      </c>
      <c r="D1065" s="55" t="s">
        <v>4012</v>
      </c>
      <c r="E1065" s="55" t="s">
        <v>4017</v>
      </c>
      <c r="G1065" s="60">
        <v>1950</v>
      </c>
      <c r="H1065"/>
      <c r="J1065">
        <v>95571</v>
      </c>
      <c r="N1065">
        <v>5913</v>
      </c>
      <c r="O1065">
        <f t="shared" si="401"/>
        <v>6</v>
      </c>
      <c r="P1065" s="57">
        <f t="shared" si="402"/>
        <v>1</v>
      </c>
      <c r="Q1065" s="267">
        <f t="shared" si="403"/>
        <v>1950</v>
      </c>
      <c r="R1065" s="23" t="str">
        <f t="shared" si="404"/>
        <v/>
      </c>
      <c r="S1065" s="23">
        <f t="shared" si="405"/>
        <v>1950</v>
      </c>
      <c r="T1065" s="23" t="str">
        <f t="shared" si="406"/>
        <v/>
      </c>
      <c r="U1065" t="str">
        <f t="shared" si="407"/>
        <v/>
      </c>
      <c r="W1065" s="282">
        <f t="shared" si="408"/>
        <v>96</v>
      </c>
      <c r="X1065" s="284">
        <f t="shared" si="416"/>
        <v>83.4</v>
      </c>
      <c r="Y1065" s="322">
        <f t="shared" si="409"/>
        <v>115.09200000000001</v>
      </c>
      <c r="Z1065" s="285">
        <f t="shared" si="417"/>
        <v>8.3661345240694871</v>
      </c>
      <c r="AA1065" s="286">
        <f t="shared" si="410"/>
        <v>8.3661345240694879E-2</v>
      </c>
      <c r="AB1065" s="287">
        <f t="shared" si="411"/>
        <v>3145.28</v>
      </c>
      <c r="AC1065" s="287">
        <f t="shared" si="412"/>
        <v>157264</v>
      </c>
      <c r="AD1065" s="8">
        <f t="shared" si="415"/>
        <v>786.32</v>
      </c>
      <c r="AE1065" s="287" t="str">
        <f t="shared" si="413"/>
        <v/>
      </c>
      <c r="AF1065" s="22" t="str">
        <f t="shared" si="414"/>
        <v>PA_Alleg_2019p</v>
      </c>
      <c r="AG1065">
        <v>1</v>
      </c>
      <c r="AH1065" s="272">
        <v>1668</v>
      </c>
      <c r="AI1065" s="273">
        <v>695</v>
      </c>
      <c r="AJ1065" s="274">
        <v>571</v>
      </c>
      <c r="AK1065" s="339">
        <v>124</v>
      </c>
      <c r="AL1065" s="340" t="s">
        <v>2433</v>
      </c>
      <c r="AM1065" s="353">
        <f t="shared" si="419"/>
        <v>7.884830603316716E-4</v>
      </c>
      <c r="AO1065" s="355" t="s">
        <v>6483</v>
      </c>
      <c r="AP1065" s="23">
        <f t="shared" si="418"/>
        <v>0</v>
      </c>
      <c r="AQ1065" s="392">
        <f t="shared" ref="AQ1065:AQ1128" si="421">IF($AP1065=$AD1065,1,IF($AP1065=0,0, 1-HYPGEOMDIST(0, ROUNDUP(RIGHT(AQ$1,4)*$AD1065,0),$AP1065, $AD1065)))</f>
        <v>0</v>
      </c>
      <c r="AR1065" s="392">
        <f t="shared" ref="AR1065:AS1128" si="422">IF($AP1065=$AD1065,1,IF($AP1065=0,0, 1-HYPGEOMDIST(0, ROUNDUP(RIGHT(AR$1,4)*$AD1065,0),$AP1065, $AD1065)))</f>
        <v>0</v>
      </c>
      <c r="AS1065" s="392">
        <f t="shared" si="422"/>
        <v>0</v>
      </c>
    </row>
    <row r="1066" spans="1:45">
      <c r="A1066" t="str">
        <f t="shared" si="420"/>
        <v>CA_Orang_2020g~city of santa ana member, city council, ward 1 (vote 1)</v>
      </c>
      <c r="B1066" s="55" t="s">
        <v>3536</v>
      </c>
      <c r="D1066" s="55" t="s">
        <v>4018</v>
      </c>
      <c r="E1066" s="55" t="s">
        <v>3396</v>
      </c>
      <c r="G1066" s="60">
        <v>6909</v>
      </c>
      <c r="H1066"/>
      <c r="J1066">
        <v>18968</v>
      </c>
      <c r="N1066">
        <v>1672</v>
      </c>
      <c r="O1066">
        <f t="shared" si="401"/>
        <v>1</v>
      </c>
      <c r="P1066" s="57">
        <f t="shared" si="402"/>
        <v>1</v>
      </c>
      <c r="Q1066" s="267">
        <f t="shared" si="403"/>
        <v>17219</v>
      </c>
      <c r="R1066" s="23">
        <f t="shared" si="404"/>
        <v>6909</v>
      </c>
      <c r="S1066" s="23">
        <f t="shared" si="405"/>
        <v>4945</v>
      </c>
      <c r="T1066" s="23">
        <f t="shared" si="406"/>
        <v>1964</v>
      </c>
      <c r="U1066" t="str">
        <f t="shared" si="407"/>
        <v>CA_Orang_2020g~city of santa ana member, city council, ward 1 (vote 1)</v>
      </c>
      <c r="W1066" s="282">
        <f t="shared" si="408"/>
        <v>97</v>
      </c>
      <c r="X1066" s="284">
        <f t="shared" si="416"/>
        <v>120.15600000000001</v>
      </c>
      <c r="Y1066" s="322">
        <f t="shared" si="409"/>
        <v>173.83860000000001</v>
      </c>
      <c r="Z1066" s="285">
        <f t="shared" si="417"/>
        <v>7.4193760793153221</v>
      </c>
      <c r="AA1066" s="286">
        <f t="shared" si="410"/>
        <v>7.4193760793153221E-2</v>
      </c>
      <c r="AB1066" s="287">
        <f t="shared" si="411"/>
        <v>3145.28</v>
      </c>
      <c r="AC1066" s="287">
        <f t="shared" si="412"/>
        <v>157264</v>
      </c>
      <c r="AD1066" s="8">
        <f t="shared" si="415"/>
        <v>786.32</v>
      </c>
      <c r="AE1066" s="287" t="str">
        <f t="shared" si="413"/>
        <v/>
      </c>
      <c r="AF1066" s="22" t="str">
        <f t="shared" si="414"/>
        <v>PA_Alleg_2019p</v>
      </c>
      <c r="AG1066">
        <v>5</v>
      </c>
      <c r="AH1066" s="272">
        <v>2519.4</v>
      </c>
      <c r="AI1066" s="273">
        <v>1470</v>
      </c>
      <c r="AJ1066" s="274">
        <v>1340</v>
      </c>
      <c r="AK1066" s="339">
        <v>130</v>
      </c>
      <c r="AL1066" s="340" t="s">
        <v>2396</v>
      </c>
      <c r="AM1066" s="353">
        <f t="shared" si="419"/>
        <v>8.2663546647675245E-4</v>
      </c>
      <c r="AO1066" s="355" t="s">
        <v>6483</v>
      </c>
      <c r="AP1066" s="23">
        <f t="shared" si="418"/>
        <v>0</v>
      </c>
      <c r="AQ1066" s="392">
        <f t="shared" si="421"/>
        <v>0</v>
      </c>
      <c r="AR1066" s="392">
        <f t="shared" si="422"/>
        <v>0</v>
      </c>
      <c r="AS1066" s="392">
        <f t="shared" si="422"/>
        <v>0</v>
      </c>
    </row>
    <row r="1067" spans="1:45">
      <c r="A1067" t="str">
        <f t="shared" si="420"/>
        <v>CA_Orang_2020g~city of santa ana member, city council, ward 1 (vote 1)</v>
      </c>
      <c r="B1067" s="55" t="s">
        <v>3536</v>
      </c>
      <c r="D1067" s="55" t="s">
        <v>4018</v>
      </c>
      <c r="E1067" s="55" t="s">
        <v>4020</v>
      </c>
      <c r="G1067" s="60">
        <v>4945</v>
      </c>
      <c r="H1067"/>
      <c r="J1067">
        <v>18968</v>
      </c>
      <c r="N1067">
        <v>1672</v>
      </c>
      <c r="O1067">
        <f t="shared" si="401"/>
        <v>2</v>
      </c>
      <c r="P1067" s="57">
        <f t="shared" si="402"/>
        <v>1</v>
      </c>
      <c r="Q1067" s="267">
        <f t="shared" si="403"/>
        <v>10310</v>
      </c>
      <c r="R1067" s="23" t="str">
        <f t="shared" si="404"/>
        <v/>
      </c>
      <c r="S1067" s="23">
        <f t="shared" si="405"/>
        <v>4945</v>
      </c>
      <c r="T1067" s="23" t="str">
        <f t="shared" si="406"/>
        <v/>
      </c>
      <c r="U1067" t="str">
        <f t="shared" si="407"/>
        <v/>
      </c>
      <c r="W1067" s="282">
        <f t="shared" si="408"/>
        <v>98</v>
      </c>
      <c r="X1067" s="310">
        <f t="shared" si="416"/>
        <v>16.392424242424241</v>
      </c>
      <c r="Y1067" s="322">
        <f t="shared" si="409"/>
        <v>24.081000000000003</v>
      </c>
      <c r="Z1067" s="311">
        <f t="shared" si="417"/>
        <v>7.1282204694761191</v>
      </c>
      <c r="AA1067" s="312">
        <f t="shared" si="410"/>
        <v>7.1282204694761195E-2</v>
      </c>
      <c r="AB1067" s="313">
        <f t="shared" si="411"/>
        <v>3145.28</v>
      </c>
      <c r="AC1067" s="313">
        <f t="shared" si="412"/>
        <v>157264</v>
      </c>
      <c r="AD1067" s="8">
        <f t="shared" si="415"/>
        <v>786.32</v>
      </c>
      <c r="AE1067" s="313" t="str">
        <f t="shared" si="413"/>
        <v/>
      </c>
      <c r="AF1067" s="22" t="str">
        <f t="shared" si="414"/>
        <v>PA_Alleg_2019p</v>
      </c>
      <c r="AG1067">
        <v>1</v>
      </c>
      <c r="AH1067" s="272">
        <v>349</v>
      </c>
      <c r="AI1067" s="273">
        <v>239</v>
      </c>
      <c r="AJ1067" s="274">
        <v>107</v>
      </c>
      <c r="AK1067" s="339">
        <v>132</v>
      </c>
      <c r="AL1067" s="340" t="s">
        <v>2440</v>
      </c>
      <c r="AM1067" s="353">
        <f t="shared" si="419"/>
        <v>8.393529351917794E-4</v>
      </c>
      <c r="AO1067" s="355" t="s">
        <v>6483</v>
      </c>
      <c r="AP1067" s="23">
        <f t="shared" si="418"/>
        <v>0</v>
      </c>
      <c r="AQ1067" s="392">
        <f t="shared" si="421"/>
        <v>0</v>
      </c>
      <c r="AR1067" s="392">
        <f t="shared" si="422"/>
        <v>0</v>
      </c>
      <c r="AS1067" s="392">
        <f t="shared" si="422"/>
        <v>0</v>
      </c>
    </row>
    <row r="1068" spans="1:45">
      <c r="A1068" t="str">
        <f t="shared" si="420"/>
        <v>CA_Orang_2020g~city of santa ana member, city council, ward 1 (vote 1)</v>
      </c>
      <c r="B1068" s="55" t="s">
        <v>3536</v>
      </c>
      <c r="D1068" s="55" t="s">
        <v>4018</v>
      </c>
      <c r="E1068" s="55" t="s">
        <v>4019</v>
      </c>
      <c r="G1068" s="60">
        <v>3278</v>
      </c>
      <c r="H1068"/>
      <c r="J1068">
        <v>18968</v>
      </c>
      <c r="N1068">
        <v>1672</v>
      </c>
      <c r="O1068">
        <f t="shared" si="401"/>
        <v>3</v>
      </c>
      <c r="P1068" s="57">
        <f t="shared" si="402"/>
        <v>1</v>
      </c>
      <c r="Q1068" s="267">
        <f t="shared" si="403"/>
        <v>5365</v>
      </c>
      <c r="R1068" s="23" t="str">
        <f t="shared" si="404"/>
        <v/>
      </c>
      <c r="S1068" s="23">
        <f t="shared" si="405"/>
        <v>3278</v>
      </c>
      <c r="T1068" s="23" t="str">
        <f t="shared" si="406"/>
        <v/>
      </c>
      <c r="U1068" t="str">
        <f t="shared" si="407"/>
        <v/>
      </c>
      <c r="W1068" s="282">
        <f t="shared" si="408"/>
        <v>99</v>
      </c>
      <c r="X1068" s="310">
        <f t="shared" si="416"/>
        <v>25.45893719806763</v>
      </c>
      <c r="Y1068" s="322">
        <f t="shared" si="409"/>
        <v>39.1</v>
      </c>
      <c r="Z1068" s="311">
        <f t="shared" si="417"/>
        <v>6.3215126301557234</v>
      </c>
      <c r="AA1068" s="312">
        <f t="shared" si="410"/>
        <v>6.3215126301557234E-2</v>
      </c>
      <c r="AB1068" s="313">
        <f t="shared" si="411"/>
        <v>3145.28</v>
      </c>
      <c r="AC1068" s="313">
        <f t="shared" si="412"/>
        <v>157264</v>
      </c>
      <c r="AD1068" s="8">
        <f t="shared" si="415"/>
        <v>786.32</v>
      </c>
      <c r="AE1068" s="313" t="str">
        <f t="shared" si="413"/>
        <v/>
      </c>
      <c r="AF1068" s="22" t="str">
        <f t="shared" si="414"/>
        <v>PA_Alleg_2019p</v>
      </c>
      <c r="AG1068">
        <v>3</v>
      </c>
      <c r="AH1068" s="272">
        <v>566.66666666666663</v>
      </c>
      <c r="AI1068" s="273">
        <v>362</v>
      </c>
      <c r="AJ1068" s="274">
        <v>224</v>
      </c>
      <c r="AK1068" s="339">
        <v>138</v>
      </c>
      <c r="AL1068" s="340" t="s">
        <v>2376</v>
      </c>
      <c r="AM1068" s="353">
        <f t="shared" si="419"/>
        <v>8.7750534133686036E-4</v>
      </c>
      <c r="AO1068" s="355" t="s">
        <v>6483</v>
      </c>
      <c r="AP1068" s="23">
        <f t="shared" si="418"/>
        <v>0</v>
      </c>
      <c r="AQ1068" s="392">
        <f t="shared" si="421"/>
        <v>0</v>
      </c>
      <c r="AR1068" s="392">
        <f t="shared" si="422"/>
        <v>0</v>
      </c>
      <c r="AS1068" s="392">
        <f t="shared" si="422"/>
        <v>0</v>
      </c>
    </row>
    <row r="1069" spans="1:45">
      <c r="A1069" t="str">
        <f t="shared" si="420"/>
        <v>CA_Orang_2020g~city of santa ana member, city council, ward 1 (vote 1)</v>
      </c>
      <c r="B1069" s="55" t="s">
        <v>3536</v>
      </c>
      <c r="D1069" s="55" t="s">
        <v>4018</v>
      </c>
      <c r="E1069" s="55" t="s">
        <v>3483</v>
      </c>
      <c r="G1069" s="60">
        <v>2087</v>
      </c>
      <c r="H1069"/>
      <c r="J1069">
        <v>18968</v>
      </c>
      <c r="N1069">
        <v>1672</v>
      </c>
      <c r="O1069">
        <f t="shared" si="401"/>
        <v>4</v>
      </c>
      <c r="P1069" s="57">
        <f t="shared" si="402"/>
        <v>1</v>
      </c>
      <c r="Q1069" s="267">
        <f t="shared" si="403"/>
        <v>2087</v>
      </c>
      <c r="R1069" s="23" t="str">
        <f t="shared" si="404"/>
        <v/>
      </c>
      <c r="S1069" s="23">
        <f t="shared" si="405"/>
        <v>2087</v>
      </c>
      <c r="T1069" s="23" t="str">
        <f t="shared" si="406"/>
        <v/>
      </c>
      <c r="U1069" t="str">
        <f t="shared" si="407"/>
        <v/>
      </c>
      <c r="W1069" s="282">
        <f t="shared" si="408"/>
        <v>100</v>
      </c>
      <c r="X1069" s="310">
        <f t="shared" si="416"/>
        <v>29.497218543046358</v>
      </c>
      <c r="Y1069" s="322">
        <f t="shared" si="409"/>
        <v>49.569600000000001</v>
      </c>
      <c r="Z1069" s="311">
        <f t="shared" si="417"/>
        <v>4.8730469679862862</v>
      </c>
      <c r="AA1069" s="312">
        <f t="shared" si="410"/>
        <v>4.8730469679862866E-2</v>
      </c>
      <c r="AB1069" s="313">
        <f t="shared" si="411"/>
        <v>3145.28</v>
      </c>
      <c r="AC1069" s="313">
        <f t="shared" si="412"/>
        <v>157264</v>
      </c>
      <c r="AD1069" s="8">
        <f t="shared" si="415"/>
        <v>786.32</v>
      </c>
      <c r="AE1069" s="313" t="str">
        <f t="shared" si="413"/>
        <v/>
      </c>
      <c r="AF1069" s="22" t="str">
        <f t="shared" si="414"/>
        <v>PA_Alleg_2019p</v>
      </c>
      <c r="AG1069" s="295">
        <v>5</v>
      </c>
      <c r="AH1069" s="294">
        <v>718.4</v>
      </c>
      <c r="AI1069" s="279">
        <v>512</v>
      </c>
      <c r="AJ1069" s="279">
        <v>361</v>
      </c>
      <c r="AK1069" s="339">
        <v>151</v>
      </c>
      <c r="AL1069" s="341" t="s">
        <v>2418</v>
      </c>
      <c r="AM1069" s="353">
        <f t="shared" si="419"/>
        <v>9.6016888798453558E-4</v>
      </c>
      <c r="AO1069" s="355" t="s">
        <v>6483</v>
      </c>
      <c r="AP1069" s="23">
        <f t="shared" si="418"/>
        <v>0</v>
      </c>
      <c r="AQ1069" s="392">
        <f t="shared" si="421"/>
        <v>0</v>
      </c>
      <c r="AR1069" s="392">
        <f t="shared" si="422"/>
        <v>0</v>
      </c>
      <c r="AS1069" s="392">
        <f t="shared" si="422"/>
        <v>0</v>
      </c>
    </row>
    <row r="1070" spans="1:45">
      <c r="A1070" t="str">
        <f t="shared" si="420"/>
        <v>CA_Orang_2020g~city of santa ana member, city council, ward 3 (vote 1)</v>
      </c>
      <c r="B1070" s="55" t="s">
        <v>3536</v>
      </c>
      <c r="D1070" s="55" t="s">
        <v>4021</v>
      </c>
      <c r="E1070" s="55" t="s">
        <v>3393</v>
      </c>
      <c r="G1070" s="60">
        <v>6786</v>
      </c>
      <c r="H1070"/>
      <c r="J1070">
        <v>22031</v>
      </c>
      <c r="N1070">
        <v>2052</v>
      </c>
      <c r="O1070">
        <f t="shared" si="401"/>
        <v>1</v>
      </c>
      <c r="P1070" s="57">
        <f t="shared" si="402"/>
        <v>1</v>
      </c>
      <c r="Q1070" s="267">
        <f t="shared" si="403"/>
        <v>19887</v>
      </c>
      <c r="R1070" s="23">
        <f t="shared" si="404"/>
        <v>6786</v>
      </c>
      <c r="S1070" s="23">
        <f t="shared" si="405"/>
        <v>5242</v>
      </c>
      <c r="T1070" s="23">
        <f t="shared" si="406"/>
        <v>1544</v>
      </c>
      <c r="U1070" t="str">
        <f t="shared" si="407"/>
        <v>CA_Orang_2020g~city of santa ana member, city council, ward 3 (vote 1)</v>
      </c>
      <c r="W1070" s="282">
        <f t="shared" si="408"/>
        <v>101</v>
      </c>
      <c r="X1070" s="310">
        <f t="shared" si="416"/>
        <v>161.78758169934642</v>
      </c>
      <c r="Y1070" s="322">
        <f t="shared" si="409"/>
        <v>275.48250000000002</v>
      </c>
      <c r="Z1070" s="311">
        <f t="shared" si="417"/>
        <v>4.6817908815043152</v>
      </c>
      <c r="AA1070" s="312">
        <f t="shared" si="410"/>
        <v>4.6817908815043149E-2</v>
      </c>
      <c r="AB1070" s="313">
        <f t="shared" si="411"/>
        <v>3145.28</v>
      </c>
      <c r="AC1070" s="313">
        <f t="shared" si="412"/>
        <v>157264</v>
      </c>
      <c r="AD1070" s="8">
        <f t="shared" si="415"/>
        <v>786.32</v>
      </c>
      <c r="AE1070" s="313" t="str">
        <f t="shared" si="413"/>
        <v/>
      </c>
      <c r="AF1070" s="22" t="str">
        <f t="shared" si="414"/>
        <v>PA_Alleg_2019p</v>
      </c>
      <c r="AG1070">
        <v>2</v>
      </c>
      <c r="AH1070" s="272">
        <v>3992.5</v>
      </c>
      <c r="AI1070" s="273">
        <v>1493</v>
      </c>
      <c r="AJ1070" s="274">
        <v>1340</v>
      </c>
      <c r="AK1070" s="339">
        <v>153</v>
      </c>
      <c r="AL1070" s="340" t="s">
        <v>2377</v>
      </c>
      <c r="AM1070" s="353">
        <f t="shared" si="419"/>
        <v>9.7288635669956253E-4</v>
      </c>
      <c r="AO1070" s="355" t="s">
        <v>6483</v>
      </c>
      <c r="AP1070" s="23">
        <f t="shared" si="418"/>
        <v>0</v>
      </c>
      <c r="AQ1070" s="392">
        <f t="shared" si="421"/>
        <v>0</v>
      </c>
      <c r="AR1070" s="392">
        <f t="shared" si="422"/>
        <v>0</v>
      </c>
      <c r="AS1070" s="392">
        <f t="shared" si="422"/>
        <v>0</v>
      </c>
    </row>
    <row r="1071" spans="1:45">
      <c r="A1071" t="str">
        <f t="shared" si="420"/>
        <v>CA_Orang_2020g~city of santa ana member, city council, ward 3 (vote 1)</v>
      </c>
      <c r="B1071" s="55" t="s">
        <v>3536</v>
      </c>
      <c r="D1071" s="55" t="s">
        <v>4021</v>
      </c>
      <c r="E1071" s="55" t="s">
        <v>4023</v>
      </c>
      <c r="G1071" s="60">
        <v>5242</v>
      </c>
      <c r="H1071"/>
      <c r="J1071">
        <v>22031</v>
      </c>
      <c r="N1071">
        <v>2052</v>
      </c>
      <c r="O1071">
        <f t="shared" si="401"/>
        <v>2</v>
      </c>
      <c r="P1071" s="57">
        <f t="shared" si="402"/>
        <v>1</v>
      </c>
      <c r="Q1071" s="267">
        <f t="shared" si="403"/>
        <v>13101</v>
      </c>
      <c r="R1071" s="23" t="str">
        <f t="shared" si="404"/>
        <v/>
      </c>
      <c r="S1071" s="23">
        <f t="shared" si="405"/>
        <v>5242</v>
      </c>
      <c r="T1071" s="23" t="str">
        <f t="shared" si="406"/>
        <v/>
      </c>
      <c r="U1071" t="str">
        <f t="shared" si="407"/>
        <v/>
      </c>
      <c r="W1071" s="282">
        <f t="shared" si="408"/>
        <v>102</v>
      </c>
      <c r="X1071" s="310">
        <f t="shared" si="416"/>
        <v>25.732026143790851</v>
      </c>
      <c r="Y1071" s="322">
        <f t="shared" si="409"/>
        <v>43.815000000000005</v>
      </c>
      <c r="Z1071" s="311">
        <f t="shared" si="417"/>
        <v>4.6817908815043152</v>
      </c>
      <c r="AA1071" s="312">
        <f t="shared" si="410"/>
        <v>4.6817908815043149E-2</v>
      </c>
      <c r="AB1071" s="313">
        <f t="shared" si="411"/>
        <v>3145.28</v>
      </c>
      <c r="AC1071" s="313">
        <f t="shared" si="412"/>
        <v>157264</v>
      </c>
      <c r="AD1071" s="8">
        <f t="shared" si="415"/>
        <v>786.32</v>
      </c>
      <c r="AE1071" s="313" t="str">
        <f t="shared" si="413"/>
        <v/>
      </c>
      <c r="AF1071" s="22" t="str">
        <f t="shared" si="414"/>
        <v>PA_Alleg_2019p</v>
      </c>
      <c r="AG1071">
        <v>3</v>
      </c>
      <c r="AH1071" s="272">
        <v>635</v>
      </c>
      <c r="AI1071" s="273">
        <v>452</v>
      </c>
      <c r="AJ1071" s="274">
        <v>299</v>
      </c>
      <c r="AK1071" s="339">
        <v>153</v>
      </c>
      <c r="AL1071" s="340" t="s">
        <v>2368</v>
      </c>
      <c r="AM1071" s="353">
        <f t="shared" si="419"/>
        <v>9.7288635669956253E-4</v>
      </c>
      <c r="AO1071" s="355" t="s">
        <v>6483</v>
      </c>
      <c r="AP1071" s="23">
        <f t="shared" si="418"/>
        <v>0</v>
      </c>
      <c r="AQ1071" s="392">
        <f t="shared" si="421"/>
        <v>0</v>
      </c>
      <c r="AR1071" s="392">
        <f t="shared" si="422"/>
        <v>0</v>
      </c>
      <c r="AS1071" s="392">
        <f t="shared" si="422"/>
        <v>0</v>
      </c>
    </row>
    <row r="1072" spans="1:45">
      <c r="A1072" t="str">
        <f t="shared" si="420"/>
        <v>CA_Orang_2020g~city of santa ana member, city council, ward 3 (vote 1)</v>
      </c>
      <c r="B1072" s="55" t="s">
        <v>3536</v>
      </c>
      <c r="D1072" s="55" t="s">
        <v>4021</v>
      </c>
      <c r="E1072" s="55" t="s">
        <v>4024</v>
      </c>
      <c r="G1072" s="60">
        <v>4116</v>
      </c>
      <c r="H1072"/>
      <c r="J1072">
        <v>22031</v>
      </c>
      <c r="N1072">
        <v>2052</v>
      </c>
      <c r="O1072">
        <f t="shared" si="401"/>
        <v>3</v>
      </c>
      <c r="P1072" s="57">
        <f t="shared" si="402"/>
        <v>1</v>
      </c>
      <c r="Q1072" s="267">
        <f t="shared" si="403"/>
        <v>7859</v>
      </c>
      <c r="R1072" s="23" t="str">
        <f t="shared" si="404"/>
        <v/>
      </c>
      <c r="S1072" s="23">
        <f t="shared" si="405"/>
        <v>4116</v>
      </c>
      <c r="T1072" s="23" t="str">
        <f t="shared" si="406"/>
        <v/>
      </c>
      <c r="U1072" t="str">
        <f t="shared" si="407"/>
        <v/>
      </c>
      <c r="W1072" s="282">
        <f t="shared" si="408"/>
        <v>103</v>
      </c>
      <c r="X1072" s="310">
        <f t="shared" si="416"/>
        <v>76.123116883116879</v>
      </c>
      <c r="Y1072" s="322">
        <f t="shared" si="409"/>
        <v>130.46520000000001</v>
      </c>
      <c r="Z1072" s="311">
        <f t="shared" si="417"/>
        <v>4.5889955391243236</v>
      </c>
      <c r="AA1072" s="312">
        <f t="shared" si="410"/>
        <v>4.5889955391243235E-2</v>
      </c>
      <c r="AB1072" s="313">
        <f t="shared" si="411"/>
        <v>3145.28</v>
      </c>
      <c r="AC1072" s="313">
        <f t="shared" si="412"/>
        <v>157264</v>
      </c>
      <c r="AD1072" s="8">
        <f t="shared" si="415"/>
        <v>786.32</v>
      </c>
      <c r="AE1072" s="313" t="str">
        <f t="shared" si="413"/>
        <v/>
      </c>
      <c r="AF1072" s="22" t="str">
        <f t="shared" si="414"/>
        <v>PA_Alleg_2019p</v>
      </c>
      <c r="AG1072">
        <v>5</v>
      </c>
      <c r="AH1072" s="272">
        <v>1890.8</v>
      </c>
      <c r="AI1072" s="273">
        <v>1257</v>
      </c>
      <c r="AJ1072" s="274">
        <v>1103</v>
      </c>
      <c r="AK1072" s="339">
        <v>154</v>
      </c>
      <c r="AL1072" s="340" t="s">
        <v>2406</v>
      </c>
      <c r="AM1072" s="353">
        <f t="shared" si="419"/>
        <v>9.7924509105707606E-4</v>
      </c>
      <c r="AO1072" s="355" t="s">
        <v>6483</v>
      </c>
      <c r="AP1072" s="23">
        <f t="shared" si="418"/>
        <v>0</v>
      </c>
      <c r="AQ1072" s="392">
        <f t="shared" si="421"/>
        <v>0</v>
      </c>
      <c r="AR1072" s="392">
        <f t="shared" si="422"/>
        <v>0</v>
      </c>
      <c r="AS1072" s="392">
        <f t="shared" si="422"/>
        <v>0</v>
      </c>
    </row>
    <row r="1073" spans="1:45">
      <c r="A1073" t="str">
        <f t="shared" si="420"/>
        <v>CA_Orang_2020g~city of santa ana member, city council, ward 3 (vote 1)</v>
      </c>
      <c r="B1073" s="55" t="s">
        <v>3536</v>
      </c>
      <c r="D1073" s="55" t="s">
        <v>4021</v>
      </c>
      <c r="E1073" s="55" t="s">
        <v>4022</v>
      </c>
      <c r="G1073" s="60">
        <v>2322</v>
      </c>
      <c r="H1073"/>
      <c r="J1073">
        <v>22031</v>
      </c>
      <c r="N1073">
        <v>2052</v>
      </c>
      <c r="O1073">
        <f t="shared" si="401"/>
        <v>4</v>
      </c>
      <c r="P1073" s="57">
        <f t="shared" si="402"/>
        <v>1</v>
      </c>
      <c r="Q1073" s="267">
        <f t="shared" si="403"/>
        <v>3743</v>
      </c>
      <c r="R1073" s="23" t="str">
        <f t="shared" si="404"/>
        <v/>
      </c>
      <c r="S1073" s="23">
        <f t="shared" si="405"/>
        <v>2322</v>
      </c>
      <c r="T1073" s="23" t="str">
        <f t="shared" si="406"/>
        <v/>
      </c>
      <c r="U1073" t="str">
        <f t="shared" si="407"/>
        <v/>
      </c>
      <c r="W1073" s="282">
        <f t="shared" si="408"/>
        <v>104</v>
      </c>
      <c r="X1073" s="305">
        <f t="shared" si="416"/>
        <v>15.323417721518988</v>
      </c>
      <c r="Y1073" s="322">
        <f t="shared" si="409"/>
        <v>26.944500000000001</v>
      </c>
      <c r="Z1073" s="306">
        <f t="shared" si="417"/>
        <v>4.2358403049064162</v>
      </c>
      <c r="AA1073" s="307">
        <f t="shared" si="410"/>
        <v>4.2358403049064165E-2</v>
      </c>
      <c r="AB1073" s="241">
        <f t="shared" si="411"/>
        <v>3145.28</v>
      </c>
      <c r="AC1073" s="241">
        <f t="shared" si="412"/>
        <v>157264</v>
      </c>
      <c r="AD1073" s="8">
        <f t="shared" si="415"/>
        <v>786.32</v>
      </c>
      <c r="AE1073" s="241" t="str">
        <f t="shared" si="413"/>
        <v/>
      </c>
      <c r="AF1073" s="22" t="str">
        <f t="shared" si="414"/>
        <v>PA_Alleg_2019p</v>
      </c>
      <c r="AG1073">
        <v>2</v>
      </c>
      <c r="AH1073" s="272">
        <v>390.5</v>
      </c>
      <c r="AI1073" s="273">
        <v>295</v>
      </c>
      <c r="AJ1073" s="274">
        <v>137</v>
      </c>
      <c r="AK1073" s="339">
        <v>158</v>
      </c>
      <c r="AL1073" s="340" t="s">
        <v>2454</v>
      </c>
      <c r="AM1073" s="353">
        <f t="shared" ref="AM1073:AM1108" si="423">AK1073/AC1073</f>
        <v>1.00468002848713E-3</v>
      </c>
      <c r="AO1073" s="355" t="s">
        <v>6483</v>
      </c>
      <c r="AP1073" s="23">
        <f t="shared" si="418"/>
        <v>0</v>
      </c>
      <c r="AQ1073" s="392">
        <f t="shared" si="421"/>
        <v>0</v>
      </c>
      <c r="AR1073" s="392">
        <f t="shared" si="422"/>
        <v>0</v>
      </c>
      <c r="AS1073" s="392">
        <f t="shared" si="422"/>
        <v>0</v>
      </c>
    </row>
    <row r="1074" spans="1:45">
      <c r="A1074" t="str">
        <f t="shared" si="420"/>
        <v>CA_Orang_2020g~city of santa ana member, city council, ward 3 (vote 1)</v>
      </c>
      <c r="B1074" s="55" t="s">
        <v>3536</v>
      </c>
      <c r="D1074" s="55" t="s">
        <v>4021</v>
      </c>
      <c r="E1074" s="55" t="s">
        <v>4025</v>
      </c>
      <c r="G1074" s="60">
        <v>1421</v>
      </c>
      <c r="H1074"/>
      <c r="J1074">
        <v>22031</v>
      </c>
      <c r="N1074">
        <v>2052</v>
      </c>
      <c r="O1074">
        <f t="shared" si="401"/>
        <v>5</v>
      </c>
      <c r="P1074" s="57">
        <f t="shared" si="402"/>
        <v>1</v>
      </c>
      <c r="Q1074" s="267">
        <f t="shared" si="403"/>
        <v>1421</v>
      </c>
      <c r="R1074" s="23" t="str">
        <f t="shared" si="404"/>
        <v/>
      </c>
      <c r="S1074" s="23">
        <f t="shared" si="405"/>
        <v>1421</v>
      </c>
      <c r="T1074" s="23" t="str">
        <f t="shared" si="406"/>
        <v/>
      </c>
      <c r="U1074" t="str">
        <f t="shared" si="407"/>
        <v/>
      </c>
      <c r="W1074" s="282">
        <f t="shared" si="408"/>
        <v>105</v>
      </c>
      <c r="X1074" s="310">
        <f t="shared" si="416"/>
        <v>25.182716049382716</v>
      </c>
      <c r="Y1074" s="322">
        <f t="shared" si="409"/>
        <v>45.402000000000001</v>
      </c>
      <c r="Z1074" s="311">
        <f t="shared" si="417"/>
        <v>3.9098548589271775</v>
      </c>
      <c r="AA1074" s="312">
        <f t="shared" si="410"/>
        <v>3.9098548589271774E-2</v>
      </c>
      <c r="AB1074" s="313">
        <f t="shared" si="411"/>
        <v>3145.28</v>
      </c>
      <c r="AC1074" s="313">
        <f t="shared" si="412"/>
        <v>157264</v>
      </c>
      <c r="AD1074" s="8">
        <f t="shared" si="415"/>
        <v>786.32</v>
      </c>
      <c r="AE1074" s="313" t="str">
        <f t="shared" si="413"/>
        <v/>
      </c>
      <c r="AF1074" s="22" t="str">
        <f t="shared" si="414"/>
        <v>PA_Alleg_2019p</v>
      </c>
      <c r="AG1074" s="295">
        <v>2</v>
      </c>
      <c r="AH1074" s="294">
        <v>658</v>
      </c>
      <c r="AI1074" s="279">
        <v>453</v>
      </c>
      <c r="AJ1074" s="279">
        <v>291</v>
      </c>
      <c r="AK1074" s="339">
        <v>162</v>
      </c>
      <c r="AL1074" s="341" t="s">
        <v>2408</v>
      </c>
      <c r="AM1074" s="353">
        <f t="shared" si="423"/>
        <v>1.0301149659171839E-3</v>
      </c>
      <c r="AO1074" s="355" t="s">
        <v>6483</v>
      </c>
      <c r="AP1074" s="23">
        <f t="shared" si="418"/>
        <v>0</v>
      </c>
      <c r="AQ1074" s="392">
        <f t="shared" si="421"/>
        <v>0</v>
      </c>
      <c r="AR1074" s="392">
        <f t="shared" si="422"/>
        <v>0</v>
      </c>
      <c r="AS1074" s="392">
        <f t="shared" si="422"/>
        <v>0</v>
      </c>
    </row>
    <row r="1075" spans="1:45">
      <c r="A1075" t="str">
        <f t="shared" si="420"/>
        <v>CA_Orang_2020g~city of santa ana member, city council, ward 5 (vote 1)</v>
      </c>
      <c r="B1075" s="55" t="s">
        <v>3536</v>
      </c>
      <c r="D1075" s="55" t="s">
        <v>4026</v>
      </c>
      <c r="E1075" s="55" t="s">
        <v>4029</v>
      </c>
      <c r="G1075" s="60">
        <v>4179</v>
      </c>
      <c r="H1075"/>
      <c r="J1075">
        <v>11185</v>
      </c>
      <c r="N1075">
        <v>965</v>
      </c>
      <c r="O1075">
        <f t="shared" si="401"/>
        <v>1</v>
      </c>
      <c r="P1075" s="57">
        <f t="shared" si="402"/>
        <v>1</v>
      </c>
      <c r="Q1075" s="267">
        <f t="shared" si="403"/>
        <v>10114</v>
      </c>
      <c r="R1075" s="23">
        <f t="shared" si="404"/>
        <v>4179</v>
      </c>
      <c r="S1075" s="23">
        <f t="shared" si="405"/>
        <v>3263</v>
      </c>
      <c r="T1075" s="23">
        <f t="shared" si="406"/>
        <v>916</v>
      </c>
      <c r="U1075" t="str">
        <f t="shared" si="407"/>
        <v>CA_Orang_2020g~city of santa ana member, city council, ward 5 (vote 1)</v>
      </c>
      <c r="W1075" s="282">
        <f t="shared" si="408"/>
        <v>106</v>
      </c>
      <c r="X1075" s="310">
        <f t="shared" si="416"/>
        <v>26.835542168674699</v>
      </c>
      <c r="Y1075" s="322">
        <f t="shared" si="409"/>
        <v>49.576500000000003</v>
      </c>
      <c r="Z1075" s="311">
        <f t="shared" si="417"/>
        <v>3.6089495229983823</v>
      </c>
      <c r="AA1075" s="312">
        <f t="shared" si="410"/>
        <v>3.6089495229983823E-2</v>
      </c>
      <c r="AB1075" s="313">
        <f t="shared" si="411"/>
        <v>3145.28</v>
      </c>
      <c r="AC1075" s="313">
        <f t="shared" si="412"/>
        <v>157264</v>
      </c>
      <c r="AD1075" s="8">
        <f t="shared" si="415"/>
        <v>786.32</v>
      </c>
      <c r="AE1075" s="313" t="str">
        <f t="shared" si="413"/>
        <v/>
      </c>
      <c r="AF1075" s="22" t="str">
        <f t="shared" si="414"/>
        <v>PA_Alleg_2019p</v>
      </c>
      <c r="AG1075">
        <v>2</v>
      </c>
      <c r="AH1075" s="272">
        <v>718.5</v>
      </c>
      <c r="AI1075" s="273">
        <v>516</v>
      </c>
      <c r="AJ1075" s="274">
        <v>350</v>
      </c>
      <c r="AK1075" s="339">
        <v>166</v>
      </c>
      <c r="AL1075" s="340" t="s">
        <v>2404</v>
      </c>
      <c r="AM1075" s="353">
        <f t="shared" si="423"/>
        <v>1.0555499033472378E-3</v>
      </c>
      <c r="AO1075" s="355" t="s">
        <v>6483</v>
      </c>
      <c r="AP1075" s="23">
        <f t="shared" si="418"/>
        <v>0</v>
      </c>
      <c r="AQ1075" s="392">
        <f t="shared" si="421"/>
        <v>0</v>
      </c>
      <c r="AR1075" s="392">
        <f t="shared" si="422"/>
        <v>0</v>
      </c>
      <c r="AS1075" s="392">
        <f t="shared" si="422"/>
        <v>0</v>
      </c>
    </row>
    <row r="1076" spans="1:45">
      <c r="A1076" t="str">
        <f t="shared" si="420"/>
        <v>CA_Orang_2020g~city of santa ana member, city council, ward 5 (vote 1)</v>
      </c>
      <c r="B1076" s="55" t="s">
        <v>3536</v>
      </c>
      <c r="D1076" s="55" t="s">
        <v>4026</v>
      </c>
      <c r="E1076" s="55" t="s">
        <v>4027</v>
      </c>
      <c r="G1076" s="60">
        <v>3263</v>
      </c>
      <c r="H1076"/>
      <c r="J1076">
        <v>11185</v>
      </c>
      <c r="N1076">
        <v>965</v>
      </c>
      <c r="O1076">
        <f t="shared" si="401"/>
        <v>2</v>
      </c>
      <c r="P1076" s="57">
        <f t="shared" si="402"/>
        <v>1</v>
      </c>
      <c r="Q1076" s="267">
        <f t="shared" si="403"/>
        <v>5935</v>
      </c>
      <c r="R1076" s="23" t="str">
        <f t="shared" si="404"/>
        <v/>
      </c>
      <c r="S1076" s="23">
        <f t="shared" si="405"/>
        <v>3263</v>
      </c>
      <c r="T1076" s="23" t="str">
        <f t="shared" si="406"/>
        <v/>
      </c>
      <c r="U1076" t="str">
        <f t="shared" si="407"/>
        <v/>
      </c>
      <c r="W1076" s="282">
        <f t="shared" si="408"/>
        <v>107</v>
      </c>
      <c r="X1076" s="310">
        <f t="shared" si="416"/>
        <v>22.745783132530121</v>
      </c>
      <c r="Y1076" s="322">
        <f t="shared" si="409"/>
        <v>42.021000000000001</v>
      </c>
      <c r="Z1076" s="311">
        <f t="shared" si="417"/>
        <v>3.6089495229983823</v>
      </c>
      <c r="AA1076" s="312">
        <f t="shared" si="410"/>
        <v>3.6089495229983823E-2</v>
      </c>
      <c r="AB1076" s="313">
        <f t="shared" si="411"/>
        <v>3145.28</v>
      </c>
      <c r="AC1076" s="313">
        <f t="shared" si="412"/>
        <v>157264</v>
      </c>
      <c r="AD1076" s="8">
        <f t="shared" si="415"/>
        <v>786.32</v>
      </c>
      <c r="AE1076" s="313" t="str">
        <f t="shared" si="413"/>
        <v/>
      </c>
      <c r="AF1076" s="22" t="str">
        <f t="shared" si="414"/>
        <v>PA_Alleg_2019p</v>
      </c>
      <c r="AG1076">
        <v>1</v>
      </c>
      <c r="AH1076" s="272">
        <v>609</v>
      </c>
      <c r="AI1076" s="273">
        <v>381</v>
      </c>
      <c r="AJ1076" s="274">
        <v>215</v>
      </c>
      <c r="AK1076" s="339">
        <v>166</v>
      </c>
      <c r="AL1076" s="340" t="s">
        <v>2421</v>
      </c>
      <c r="AM1076" s="353">
        <f t="shared" si="423"/>
        <v>1.0555499033472378E-3</v>
      </c>
      <c r="AO1076" s="355" t="s">
        <v>6483</v>
      </c>
      <c r="AP1076" s="23">
        <f t="shared" si="418"/>
        <v>0</v>
      </c>
      <c r="AQ1076" s="392">
        <f t="shared" si="421"/>
        <v>0</v>
      </c>
      <c r="AR1076" s="392">
        <f t="shared" si="422"/>
        <v>0</v>
      </c>
      <c r="AS1076" s="392">
        <f t="shared" si="422"/>
        <v>0</v>
      </c>
    </row>
    <row r="1077" spans="1:45">
      <c r="A1077" t="str">
        <f t="shared" si="420"/>
        <v>CA_Orang_2020g~city of santa ana member, city council, ward 5 (vote 1)</v>
      </c>
      <c r="B1077" s="55" t="s">
        <v>3536</v>
      </c>
      <c r="D1077" s="55" t="s">
        <v>4026</v>
      </c>
      <c r="E1077" s="55" t="s">
        <v>4030</v>
      </c>
      <c r="G1077" s="60">
        <v>2011</v>
      </c>
      <c r="H1077"/>
      <c r="J1077">
        <v>11185</v>
      </c>
      <c r="N1077">
        <v>965</v>
      </c>
      <c r="O1077">
        <f t="shared" si="401"/>
        <v>3</v>
      </c>
      <c r="P1077" s="57">
        <f t="shared" si="402"/>
        <v>1</v>
      </c>
      <c r="Q1077" s="267">
        <f t="shared" si="403"/>
        <v>2672</v>
      </c>
      <c r="R1077" s="23" t="str">
        <f t="shared" si="404"/>
        <v/>
      </c>
      <c r="S1077" s="23">
        <f t="shared" si="405"/>
        <v>2011</v>
      </c>
      <c r="T1077" s="23" t="str">
        <f t="shared" si="406"/>
        <v/>
      </c>
      <c r="U1077" t="str">
        <f t="shared" si="407"/>
        <v/>
      </c>
      <c r="W1077" s="282">
        <f t="shared" si="408"/>
        <v>108</v>
      </c>
      <c r="X1077" s="310">
        <f t="shared" si="416"/>
        <v>13.285714285714286</v>
      </c>
      <c r="Y1077" s="322">
        <f t="shared" si="409"/>
        <v>24.840000000000003</v>
      </c>
      <c r="Z1077" s="311">
        <f t="shared" si="417"/>
        <v>3.4672931504905824</v>
      </c>
      <c r="AA1077" s="312">
        <f t="shared" si="410"/>
        <v>3.4672931504905823E-2</v>
      </c>
      <c r="AB1077" s="313">
        <f t="shared" si="411"/>
        <v>3145.28</v>
      </c>
      <c r="AC1077" s="313">
        <f t="shared" si="412"/>
        <v>157264</v>
      </c>
      <c r="AD1077" s="8">
        <f t="shared" si="415"/>
        <v>786.32</v>
      </c>
      <c r="AE1077" s="313" t="str">
        <f t="shared" si="413"/>
        <v/>
      </c>
      <c r="AF1077" s="22" t="str">
        <f t="shared" si="414"/>
        <v>PA_Alleg_2019p</v>
      </c>
      <c r="AG1077">
        <v>1</v>
      </c>
      <c r="AH1077" s="272">
        <v>360</v>
      </c>
      <c r="AI1077" s="273">
        <v>262</v>
      </c>
      <c r="AJ1077" s="274">
        <v>94</v>
      </c>
      <c r="AK1077" s="339">
        <v>168</v>
      </c>
      <c r="AL1077" s="340" t="s">
        <v>2334</v>
      </c>
      <c r="AM1077" s="353">
        <f t="shared" si="423"/>
        <v>1.0682673720622648E-3</v>
      </c>
      <c r="AO1077" s="355" t="s">
        <v>6483</v>
      </c>
      <c r="AP1077" s="23">
        <f t="shared" si="418"/>
        <v>0</v>
      </c>
      <c r="AQ1077" s="392">
        <f t="shared" si="421"/>
        <v>0</v>
      </c>
      <c r="AR1077" s="392">
        <f t="shared" si="422"/>
        <v>0</v>
      </c>
      <c r="AS1077" s="392">
        <f t="shared" si="422"/>
        <v>0</v>
      </c>
    </row>
    <row r="1078" spans="1:45">
      <c r="A1078" t="str">
        <f t="shared" si="420"/>
        <v>CA_Orang_2020g~city of santa ana member, city council, ward 5 (vote 1)</v>
      </c>
      <c r="B1078" s="55" t="s">
        <v>3536</v>
      </c>
      <c r="D1078" s="55" t="s">
        <v>4026</v>
      </c>
      <c r="E1078" s="55" t="s">
        <v>4028</v>
      </c>
      <c r="G1078" s="60">
        <v>661</v>
      </c>
      <c r="H1078"/>
      <c r="J1078">
        <v>11185</v>
      </c>
      <c r="N1078">
        <v>965</v>
      </c>
      <c r="O1078">
        <f t="shared" si="401"/>
        <v>4</v>
      </c>
      <c r="P1078" s="57">
        <f t="shared" si="402"/>
        <v>1</v>
      </c>
      <c r="Q1078" s="267">
        <f t="shared" si="403"/>
        <v>661</v>
      </c>
      <c r="R1078" s="23" t="str">
        <f t="shared" si="404"/>
        <v/>
      </c>
      <c r="S1078" s="23">
        <f t="shared" si="405"/>
        <v>661</v>
      </c>
      <c r="T1078" s="23" t="str">
        <f t="shared" si="406"/>
        <v/>
      </c>
      <c r="U1078" t="str">
        <f t="shared" si="407"/>
        <v/>
      </c>
      <c r="W1078" s="282">
        <f t="shared" si="408"/>
        <v>109</v>
      </c>
      <c r="X1078" s="310">
        <f t="shared" si="416"/>
        <v>18.026589595375722</v>
      </c>
      <c r="Y1078" s="322">
        <f t="shared" si="409"/>
        <v>34.707000000000001</v>
      </c>
      <c r="Z1078" s="311">
        <f t="shared" si="417"/>
        <v>3.1369960923446607</v>
      </c>
      <c r="AA1078" s="312">
        <f t="shared" si="410"/>
        <v>3.1369960923446606E-2</v>
      </c>
      <c r="AB1078" s="313">
        <f t="shared" si="411"/>
        <v>3145.28</v>
      </c>
      <c r="AC1078" s="313">
        <f t="shared" si="412"/>
        <v>157264</v>
      </c>
      <c r="AD1078" s="8">
        <f t="shared" si="415"/>
        <v>786.32</v>
      </c>
      <c r="AE1078" s="313" t="str">
        <f t="shared" si="413"/>
        <v/>
      </c>
      <c r="AF1078" s="22" t="str">
        <f t="shared" si="414"/>
        <v>PA_Alleg_2019p</v>
      </c>
      <c r="AG1078">
        <v>1</v>
      </c>
      <c r="AH1078" s="272">
        <v>503</v>
      </c>
      <c r="AI1078" s="273">
        <v>337</v>
      </c>
      <c r="AJ1078" s="274">
        <v>164</v>
      </c>
      <c r="AK1078" s="339">
        <v>173</v>
      </c>
      <c r="AL1078" s="340" t="s">
        <v>2409</v>
      </c>
      <c r="AM1078" s="353">
        <f t="shared" si="423"/>
        <v>1.1000610438498322E-3</v>
      </c>
      <c r="AO1078" s="355" t="s">
        <v>6483</v>
      </c>
      <c r="AP1078" s="23">
        <f t="shared" si="418"/>
        <v>0</v>
      </c>
      <c r="AQ1078" s="392">
        <f t="shared" si="421"/>
        <v>0</v>
      </c>
      <c r="AR1078" s="392">
        <f t="shared" si="422"/>
        <v>0</v>
      </c>
      <c r="AS1078" s="392">
        <f t="shared" si="422"/>
        <v>0</v>
      </c>
    </row>
    <row r="1079" spans="1:45">
      <c r="A1079" t="str">
        <f t="shared" si="420"/>
        <v>CA_Orang_2020g~city of seal beach member, city council, district 2 (vote 1)</v>
      </c>
      <c r="B1079" s="55" t="s">
        <v>3536</v>
      </c>
      <c r="D1079" s="55" t="s">
        <v>4031</v>
      </c>
      <c r="E1079" s="55" t="s">
        <v>4032</v>
      </c>
      <c r="G1079" s="60">
        <v>2292</v>
      </c>
      <c r="H1079"/>
      <c r="J1079">
        <v>3703</v>
      </c>
      <c r="N1079">
        <v>385</v>
      </c>
      <c r="O1079">
        <f t="shared" si="401"/>
        <v>1</v>
      </c>
      <c r="P1079" s="57">
        <f t="shared" si="402"/>
        <v>1</v>
      </c>
      <c r="Q1079" s="267">
        <f t="shared" si="403"/>
        <v>3314</v>
      </c>
      <c r="R1079" s="23">
        <f t="shared" si="404"/>
        <v>2292</v>
      </c>
      <c r="S1079" s="23">
        <f t="shared" si="405"/>
        <v>1022</v>
      </c>
      <c r="T1079" s="23">
        <f t="shared" si="406"/>
        <v>1270</v>
      </c>
      <c r="U1079" t="str">
        <f t="shared" si="407"/>
        <v>CA_Orang_2020g~city of seal beach member, city council, district 2 (vote 1)</v>
      </c>
      <c r="W1079" s="282">
        <f t="shared" si="408"/>
        <v>110</v>
      </c>
      <c r="X1079" s="310">
        <f t="shared" si="416"/>
        <v>46.790734463276841</v>
      </c>
      <c r="Y1079" s="322">
        <f t="shared" si="409"/>
        <v>92.170200000000008</v>
      </c>
      <c r="Z1079" s="311">
        <f t="shared" si="417"/>
        <v>2.8955543038746043</v>
      </c>
      <c r="AA1079" s="312">
        <f t="shared" si="410"/>
        <v>2.8955543038746045E-2</v>
      </c>
      <c r="AB1079" s="313">
        <f t="shared" si="411"/>
        <v>3145.28</v>
      </c>
      <c r="AC1079" s="313">
        <f t="shared" si="412"/>
        <v>157264</v>
      </c>
      <c r="AD1079" s="8">
        <f t="shared" si="415"/>
        <v>786.32</v>
      </c>
      <c r="AE1079" s="313" t="str">
        <f t="shared" si="413"/>
        <v/>
      </c>
      <c r="AF1079" s="22" t="str">
        <f t="shared" si="414"/>
        <v>PA_Alleg_2019p</v>
      </c>
      <c r="AG1079">
        <v>5</v>
      </c>
      <c r="AH1079" s="272">
        <v>1335.8</v>
      </c>
      <c r="AI1079" s="273">
        <v>734</v>
      </c>
      <c r="AJ1079" s="274">
        <v>557</v>
      </c>
      <c r="AK1079" s="339">
        <v>177</v>
      </c>
      <c r="AL1079" s="340" t="s">
        <v>2460</v>
      </c>
      <c r="AM1079" s="353">
        <f t="shared" si="423"/>
        <v>1.1254959812798861E-3</v>
      </c>
      <c r="AO1079" s="355" t="s">
        <v>6483</v>
      </c>
      <c r="AP1079" s="23">
        <f t="shared" si="418"/>
        <v>0</v>
      </c>
      <c r="AQ1079" s="392">
        <f t="shared" si="421"/>
        <v>0</v>
      </c>
      <c r="AR1079" s="392">
        <f t="shared" si="422"/>
        <v>0</v>
      </c>
      <c r="AS1079" s="392">
        <f t="shared" si="422"/>
        <v>0</v>
      </c>
    </row>
    <row r="1080" spans="1:45">
      <c r="A1080" t="str">
        <f t="shared" si="420"/>
        <v>CA_Orang_2020g~city of seal beach member, city council, district 2 (vote 1)</v>
      </c>
      <c r="B1080" s="55" t="s">
        <v>3536</v>
      </c>
      <c r="D1080" s="55" t="s">
        <v>4031</v>
      </c>
      <c r="E1080" s="55" t="s">
        <v>4033</v>
      </c>
      <c r="G1080" s="60">
        <v>1022</v>
      </c>
      <c r="H1080"/>
      <c r="J1080">
        <v>3703</v>
      </c>
      <c r="N1080">
        <v>385</v>
      </c>
      <c r="O1080">
        <f t="shared" si="401"/>
        <v>2</v>
      </c>
      <c r="P1080" s="57">
        <f t="shared" si="402"/>
        <v>1</v>
      </c>
      <c r="Q1080" s="267">
        <f t="shared" si="403"/>
        <v>1022</v>
      </c>
      <c r="R1080" s="23" t="str">
        <f t="shared" si="404"/>
        <v/>
      </c>
      <c r="S1080" s="23">
        <f t="shared" si="405"/>
        <v>1022</v>
      </c>
      <c r="T1080" s="23" t="str">
        <f t="shared" si="406"/>
        <v/>
      </c>
      <c r="U1080" t="str">
        <f t="shared" si="407"/>
        <v/>
      </c>
      <c r="W1080" s="282">
        <f t="shared" si="408"/>
        <v>111</v>
      </c>
      <c r="X1080" s="310">
        <f t="shared" si="416"/>
        <v>8.7787610619469021</v>
      </c>
      <c r="Y1080" s="322">
        <f t="shared" si="409"/>
        <v>22.080000000000002</v>
      </c>
      <c r="Z1080" s="311">
        <f t="shared" si="417"/>
        <v>1.0853681996380065</v>
      </c>
      <c r="AA1080" s="312">
        <f t="shared" si="410"/>
        <v>1.0853681996380066E-2</v>
      </c>
      <c r="AB1080" s="313">
        <f t="shared" si="411"/>
        <v>3145.28</v>
      </c>
      <c r="AC1080" s="313">
        <f t="shared" si="412"/>
        <v>157264</v>
      </c>
      <c r="AD1080" s="8">
        <f t="shared" si="415"/>
        <v>786.32</v>
      </c>
      <c r="AE1080" s="313" t="str">
        <f t="shared" si="413"/>
        <v/>
      </c>
      <c r="AF1080" s="22" t="str">
        <f t="shared" si="414"/>
        <v>PA_Alleg_2019p</v>
      </c>
      <c r="AG1080">
        <v>1</v>
      </c>
      <c r="AH1080" s="272">
        <v>320</v>
      </c>
      <c r="AI1080" s="273">
        <v>272</v>
      </c>
      <c r="AJ1080" s="274">
        <v>46</v>
      </c>
      <c r="AK1080" s="339">
        <v>226</v>
      </c>
      <c r="AL1080" s="340" t="s">
        <v>2441</v>
      </c>
      <c r="AM1080" s="353">
        <f t="shared" si="423"/>
        <v>1.4370739647980467E-3</v>
      </c>
      <c r="AO1080" s="355" t="s">
        <v>6483</v>
      </c>
      <c r="AP1080" s="23">
        <f t="shared" si="418"/>
        <v>0</v>
      </c>
      <c r="AQ1080" s="392">
        <f t="shared" si="421"/>
        <v>0</v>
      </c>
      <c r="AR1080" s="392">
        <f t="shared" si="422"/>
        <v>0</v>
      </c>
      <c r="AS1080" s="392">
        <f t="shared" si="422"/>
        <v>0</v>
      </c>
    </row>
    <row r="1081" spans="1:45">
      <c r="A1081" t="str">
        <f t="shared" si="420"/>
        <v>CA_Orang_2020g~city of seal beach member, city council, district 4 (vote 1)</v>
      </c>
      <c r="B1081" s="55" t="s">
        <v>3536</v>
      </c>
      <c r="D1081" s="55" t="s">
        <v>4034</v>
      </c>
      <c r="E1081" s="55" t="s">
        <v>4035</v>
      </c>
      <c r="G1081" s="60">
        <v>2739</v>
      </c>
      <c r="H1081"/>
      <c r="J1081">
        <v>3583</v>
      </c>
      <c r="N1081">
        <v>740</v>
      </c>
      <c r="O1081">
        <f t="shared" si="401"/>
        <v>1</v>
      </c>
      <c r="P1081" s="57">
        <f t="shared" si="402"/>
        <v>1</v>
      </c>
      <c r="Q1081" s="267">
        <f t="shared" si="403"/>
        <v>2739</v>
      </c>
      <c r="R1081" s="23">
        <f t="shared" si="404"/>
        <v>2739</v>
      </c>
      <c r="S1081" s="23">
        <f t="shared" si="405"/>
        <v>0</v>
      </c>
      <c r="T1081" s="23" t="str">
        <f t="shared" si="406"/>
        <v/>
      </c>
      <c r="U1081" t="str">
        <f t="shared" si="407"/>
        <v>CA_Orang_2020g~city of seal beach member, city council, district 4 (vote 1)</v>
      </c>
      <c r="W1081" s="282">
        <f t="shared" si="408"/>
        <v>112</v>
      </c>
      <c r="X1081" s="305">
        <f t="shared" si="416"/>
        <v>31.787011070110701</v>
      </c>
      <c r="Y1081" s="322">
        <f t="shared" si="409"/>
        <v>95.868600000000015</v>
      </c>
      <c r="Z1081" s="306">
        <f t="shared" si="417"/>
        <v>0.44064967635455699</v>
      </c>
      <c r="AA1081" s="307">
        <f t="shared" si="410"/>
        <v>4.4064967635455699E-3</v>
      </c>
      <c r="AB1081" s="241">
        <f t="shared" si="411"/>
        <v>3145.28</v>
      </c>
      <c r="AC1081" s="241">
        <f t="shared" si="412"/>
        <v>157264</v>
      </c>
      <c r="AD1081" s="8">
        <f t="shared" si="415"/>
        <v>786.32</v>
      </c>
      <c r="AE1081" s="241" t="str">
        <f t="shared" si="413"/>
        <v/>
      </c>
      <c r="AF1081" s="22" t="str">
        <f t="shared" si="414"/>
        <v>PA_Alleg_2019p</v>
      </c>
      <c r="AG1081">
        <v>5</v>
      </c>
      <c r="AH1081" s="272">
        <v>1389.4</v>
      </c>
      <c r="AI1081" s="273">
        <v>905</v>
      </c>
      <c r="AJ1081" s="274">
        <v>634</v>
      </c>
      <c r="AK1081" s="339">
        <v>271</v>
      </c>
      <c r="AL1081" s="340" t="s">
        <v>2457</v>
      </c>
      <c r="AM1081" s="353">
        <f t="shared" si="423"/>
        <v>1.7232170108861533E-3</v>
      </c>
      <c r="AO1081" s="355" t="s">
        <v>6483</v>
      </c>
      <c r="AP1081" s="23">
        <f t="shared" si="418"/>
        <v>0</v>
      </c>
      <c r="AQ1081" s="392">
        <f t="shared" si="421"/>
        <v>0</v>
      </c>
      <c r="AR1081" s="392">
        <f t="shared" si="422"/>
        <v>0</v>
      </c>
      <c r="AS1081" s="392">
        <f t="shared" si="422"/>
        <v>0</v>
      </c>
    </row>
    <row r="1082" spans="1:45">
      <c r="A1082" t="str">
        <f t="shared" si="420"/>
        <v>CA_Orang_2020g~city of stanton member, city council, district 2 (vote 1)</v>
      </c>
      <c r="B1082" s="55" t="s">
        <v>3536</v>
      </c>
      <c r="D1082" s="55" t="s">
        <v>4036</v>
      </c>
      <c r="E1082" s="55" t="s">
        <v>4037</v>
      </c>
      <c r="G1082" s="60">
        <v>1437</v>
      </c>
      <c r="H1082"/>
      <c r="J1082">
        <v>2990</v>
      </c>
      <c r="N1082">
        <v>200</v>
      </c>
      <c r="O1082">
        <f t="shared" si="401"/>
        <v>1</v>
      </c>
      <c r="P1082" s="57">
        <f t="shared" si="402"/>
        <v>1</v>
      </c>
      <c r="Q1082" s="267">
        <f t="shared" si="403"/>
        <v>2776</v>
      </c>
      <c r="R1082" s="23">
        <f t="shared" si="404"/>
        <v>1437</v>
      </c>
      <c r="S1082" s="23">
        <f t="shared" si="405"/>
        <v>1339</v>
      </c>
      <c r="T1082" s="23">
        <f t="shared" si="406"/>
        <v>98</v>
      </c>
      <c r="U1082" t="str">
        <f t="shared" si="407"/>
        <v>CA_Orang_2020g~city of stanton member, city council, district 2 (vote 1)</v>
      </c>
      <c r="W1082" s="282">
        <f t="shared" si="408"/>
        <v>113</v>
      </c>
      <c r="X1082" s="310">
        <f t="shared" si="416"/>
        <v>107.64014598540147</v>
      </c>
      <c r="Y1082" s="322">
        <f t="shared" si="409"/>
        <v>328.233</v>
      </c>
      <c r="Z1082" s="311">
        <f t="shared" si="417"/>
        <v>0.41494501990809929</v>
      </c>
      <c r="AA1082" s="312">
        <f t="shared" si="410"/>
        <v>4.1494501990809929E-3</v>
      </c>
      <c r="AB1082" s="313">
        <f t="shared" si="411"/>
        <v>3145.28</v>
      </c>
      <c r="AC1082" s="313">
        <f t="shared" si="412"/>
        <v>157264</v>
      </c>
      <c r="AD1082" s="8">
        <f t="shared" si="415"/>
        <v>786.32</v>
      </c>
      <c r="AE1082" s="313" t="str">
        <f t="shared" si="413"/>
        <v/>
      </c>
      <c r="AF1082" s="22" t="str">
        <f t="shared" si="414"/>
        <v>PA_Alleg_2019p</v>
      </c>
      <c r="AG1082">
        <v>1</v>
      </c>
      <c r="AH1082" s="272">
        <v>4757</v>
      </c>
      <c r="AI1082" s="273">
        <v>2503</v>
      </c>
      <c r="AJ1082" s="274">
        <v>2229</v>
      </c>
      <c r="AK1082" s="339">
        <v>274</v>
      </c>
      <c r="AL1082" s="340" t="s">
        <v>2347</v>
      </c>
      <c r="AM1082" s="353">
        <f t="shared" si="423"/>
        <v>1.7422932139586937E-3</v>
      </c>
      <c r="AO1082" s="355" t="s">
        <v>6483</v>
      </c>
      <c r="AP1082" s="23">
        <f t="shared" si="418"/>
        <v>0</v>
      </c>
      <c r="AQ1082" s="392">
        <f t="shared" si="421"/>
        <v>0</v>
      </c>
      <c r="AR1082" s="392">
        <f t="shared" si="422"/>
        <v>0</v>
      </c>
      <c r="AS1082" s="392">
        <f t="shared" si="422"/>
        <v>0</v>
      </c>
    </row>
    <row r="1083" spans="1:45">
      <c r="A1083" t="str">
        <f t="shared" si="420"/>
        <v>CA_Orang_2020g~city of stanton member, city council, district 2 (vote 1)</v>
      </c>
      <c r="B1083" s="55" t="s">
        <v>3536</v>
      </c>
      <c r="D1083" s="55" t="s">
        <v>4036</v>
      </c>
      <c r="E1083" s="55" t="s">
        <v>3463</v>
      </c>
      <c r="G1083" s="60">
        <v>1339</v>
      </c>
      <c r="H1083"/>
      <c r="J1083">
        <v>2990</v>
      </c>
      <c r="N1083">
        <v>200</v>
      </c>
      <c r="O1083">
        <f t="shared" si="401"/>
        <v>2</v>
      </c>
      <c r="P1083" s="57">
        <f t="shared" si="402"/>
        <v>1</v>
      </c>
      <c r="Q1083" s="267">
        <f t="shared" si="403"/>
        <v>1339</v>
      </c>
      <c r="R1083" s="23" t="str">
        <f t="shared" si="404"/>
        <v/>
      </c>
      <c r="S1083" s="23">
        <f t="shared" si="405"/>
        <v>1339</v>
      </c>
      <c r="T1083" s="23" t="str">
        <f t="shared" si="406"/>
        <v/>
      </c>
      <c r="U1083" t="str">
        <f t="shared" si="407"/>
        <v/>
      </c>
      <c r="W1083" s="282">
        <f t="shared" si="408"/>
        <v>114</v>
      </c>
      <c r="X1083" s="310">
        <f t="shared" si="416"/>
        <v>40.37890909090909</v>
      </c>
      <c r="Y1083" s="322">
        <f t="shared" si="409"/>
        <v>123.57900000000001</v>
      </c>
      <c r="Z1083" s="311">
        <f t="shared" si="417"/>
        <v>0.40671433476020302</v>
      </c>
      <c r="AA1083" s="312">
        <f t="shared" si="410"/>
        <v>4.0671433476020301E-3</v>
      </c>
      <c r="AB1083" s="313">
        <f t="shared" si="411"/>
        <v>3145.28</v>
      </c>
      <c r="AC1083" s="313">
        <f t="shared" si="412"/>
        <v>157264</v>
      </c>
      <c r="AD1083" s="8">
        <f t="shared" si="415"/>
        <v>786.32</v>
      </c>
      <c r="AE1083" s="313" t="str">
        <f t="shared" si="413"/>
        <v/>
      </c>
      <c r="AF1083" s="22" t="str">
        <f t="shared" si="414"/>
        <v>PA_Alleg_2019p</v>
      </c>
      <c r="AG1083">
        <v>1</v>
      </c>
      <c r="AH1083" s="8">
        <v>1791</v>
      </c>
      <c r="AI1083" s="273">
        <v>1030</v>
      </c>
      <c r="AJ1083" s="274">
        <v>755</v>
      </c>
      <c r="AK1083" s="339">
        <v>275</v>
      </c>
      <c r="AL1083" s="23" t="s">
        <v>2415</v>
      </c>
      <c r="AM1083" s="353">
        <f t="shared" si="423"/>
        <v>1.7486519483162072E-3</v>
      </c>
      <c r="AO1083" s="355" t="s">
        <v>6483</v>
      </c>
      <c r="AP1083" s="23">
        <f t="shared" si="418"/>
        <v>0</v>
      </c>
      <c r="AQ1083" s="392">
        <f t="shared" si="421"/>
        <v>0</v>
      </c>
      <c r="AR1083" s="392">
        <f t="shared" si="422"/>
        <v>0</v>
      </c>
      <c r="AS1083" s="392">
        <f t="shared" si="422"/>
        <v>0</v>
      </c>
    </row>
    <row r="1084" spans="1:45">
      <c r="A1084" t="str">
        <f t="shared" si="420"/>
        <v>CA_Orang_2020g~city of stanton member, city council, district 4 (vote 1)</v>
      </c>
      <c r="B1084" s="55" t="s">
        <v>3536</v>
      </c>
      <c r="D1084" s="55" t="s">
        <v>4038</v>
      </c>
      <c r="E1084" s="55" t="s">
        <v>4039</v>
      </c>
      <c r="G1084" s="60">
        <v>1469</v>
      </c>
      <c r="H1084"/>
      <c r="J1084">
        <v>3281</v>
      </c>
      <c r="N1084">
        <v>330</v>
      </c>
      <c r="O1084">
        <f t="shared" si="401"/>
        <v>1</v>
      </c>
      <c r="P1084" s="57">
        <f t="shared" si="402"/>
        <v>1</v>
      </c>
      <c r="Q1084" s="267">
        <f t="shared" si="403"/>
        <v>2925</v>
      </c>
      <c r="R1084" s="23">
        <f t="shared" si="404"/>
        <v>1469</v>
      </c>
      <c r="S1084" s="23">
        <f t="shared" si="405"/>
        <v>947</v>
      </c>
      <c r="T1084" s="23">
        <f t="shared" si="406"/>
        <v>522</v>
      </c>
      <c r="U1084" t="str">
        <f t="shared" si="407"/>
        <v>CA_Orang_2020g~city of stanton member, city council, district 4 (vote 1)</v>
      </c>
      <c r="W1084" s="1">
        <f t="shared" si="408"/>
        <v>115</v>
      </c>
      <c r="X1084" s="73">
        <f t="shared" si="416"/>
        <v>51.423046357615902</v>
      </c>
      <c r="Y1084" s="322">
        <f t="shared" si="409"/>
        <v>172.83120000000002</v>
      </c>
      <c r="Z1084" s="43">
        <f t="shared" si="417"/>
        <v>0.2367769620444376</v>
      </c>
      <c r="AA1084" s="52">
        <f t="shared" si="410"/>
        <v>2.367769620444376E-3</v>
      </c>
      <c r="AB1084" s="8">
        <f t="shared" si="411"/>
        <v>3145.28</v>
      </c>
      <c r="AC1084" s="8">
        <f t="shared" si="412"/>
        <v>157264</v>
      </c>
      <c r="AD1084" s="8">
        <f t="shared" si="415"/>
        <v>786.32</v>
      </c>
      <c r="AE1084" s="8" t="str">
        <f t="shared" si="413"/>
        <v/>
      </c>
      <c r="AF1084" s="22" t="str">
        <f t="shared" si="414"/>
        <v>PA_Alleg_2019p</v>
      </c>
      <c r="AG1084">
        <v>5</v>
      </c>
      <c r="AH1084" s="272">
        <v>2504.8000000000002</v>
      </c>
      <c r="AI1084" s="273">
        <v>1444</v>
      </c>
      <c r="AJ1084" s="274">
        <v>1142</v>
      </c>
      <c r="AK1084" s="339">
        <v>302</v>
      </c>
      <c r="AL1084" s="340" t="s">
        <v>2412</v>
      </c>
      <c r="AM1084" s="353">
        <f t="shared" si="423"/>
        <v>1.9203377759690712E-3</v>
      </c>
      <c r="AO1084" s="355" t="s">
        <v>6483</v>
      </c>
      <c r="AP1084" s="23">
        <f t="shared" si="418"/>
        <v>0</v>
      </c>
      <c r="AQ1084" s="392">
        <f t="shared" si="421"/>
        <v>0</v>
      </c>
      <c r="AR1084" s="392">
        <f t="shared" si="422"/>
        <v>0</v>
      </c>
      <c r="AS1084" s="392">
        <f t="shared" si="422"/>
        <v>0</v>
      </c>
    </row>
    <row r="1085" spans="1:45">
      <c r="A1085" t="str">
        <f t="shared" si="420"/>
        <v>CA_Orang_2020g~city of stanton member, city council, district 4 (vote 1)</v>
      </c>
      <c r="B1085" s="55" t="s">
        <v>3536</v>
      </c>
      <c r="D1085" s="55" t="s">
        <v>4038</v>
      </c>
      <c r="E1085" s="55" t="s">
        <v>4040</v>
      </c>
      <c r="G1085" s="60">
        <v>947</v>
      </c>
      <c r="H1085"/>
      <c r="J1085">
        <v>3281</v>
      </c>
      <c r="N1085">
        <v>330</v>
      </c>
      <c r="O1085">
        <f t="shared" si="401"/>
        <v>2</v>
      </c>
      <c r="P1085" s="57">
        <f t="shared" si="402"/>
        <v>1</v>
      </c>
      <c r="Q1085" s="267">
        <f t="shared" si="403"/>
        <v>1456</v>
      </c>
      <c r="R1085" s="23" t="str">
        <f t="shared" si="404"/>
        <v/>
      </c>
      <c r="S1085" s="23">
        <f t="shared" si="405"/>
        <v>947</v>
      </c>
      <c r="T1085" s="23" t="str">
        <f t="shared" si="406"/>
        <v/>
      </c>
      <c r="U1085" t="str">
        <f t="shared" si="407"/>
        <v/>
      </c>
      <c r="W1085" s="1">
        <f t="shared" si="408"/>
        <v>116</v>
      </c>
      <c r="X1085" s="73">
        <f t="shared" si="416"/>
        <v>15.113962264150945</v>
      </c>
      <c r="Y1085" s="322">
        <f t="shared" si="409"/>
        <v>53.488800000000005</v>
      </c>
      <c r="Z1085" s="43">
        <f t="shared" si="417"/>
        <v>0.17182672857041756</v>
      </c>
      <c r="AA1085" s="52">
        <f t="shared" si="410"/>
        <v>1.7182672857041757E-3</v>
      </c>
      <c r="AB1085" s="8">
        <f t="shared" si="411"/>
        <v>3145.28</v>
      </c>
      <c r="AC1085" s="8">
        <f t="shared" si="412"/>
        <v>157264</v>
      </c>
      <c r="AD1085" s="8">
        <f t="shared" si="415"/>
        <v>786.32</v>
      </c>
      <c r="AE1085" s="8" t="str">
        <f t="shared" si="413"/>
        <v/>
      </c>
      <c r="AF1085" s="22" t="str">
        <f t="shared" si="414"/>
        <v>PA_Alleg_2019p</v>
      </c>
      <c r="AG1085">
        <v>5</v>
      </c>
      <c r="AH1085" s="272">
        <v>775.2</v>
      </c>
      <c r="AI1085" s="273">
        <v>633</v>
      </c>
      <c r="AJ1085" s="274">
        <v>315</v>
      </c>
      <c r="AK1085" s="339">
        <v>318</v>
      </c>
      <c r="AL1085" s="340" t="s">
        <v>2453</v>
      </c>
      <c r="AM1085" s="353">
        <f t="shared" si="423"/>
        <v>2.022077525689287E-3</v>
      </c>
      <c r="AO1085" s="355" t="s">
        <v>6483</v>
      </c>
      <c r="AP1085" s="23">
        <f t="shared" si="418"/>
        <v>0</v>
      </c>
      <c r="AQ1085" s="392">
        <f t="shared" si="421"/>
        <v>0</v>
      </c>
      <c r="AR1085" s="392">
        <f t="shared" si="422"/>
        <v>0</v>
      </c>
      <c r="AS1085" s="392">
        <f t="shared" si="422"/>
        <v>0</v>
      </c>
    </row>
    <row r="1086" spans="1:45">
      <c r="A1086" t="str">
        <f t="shared" si="420"/>
        <v>CA_Orang_2020g~city of stanton member, city council, district 4 (vote 1)</v>
      </c>
      <c r="B1086" s="55" t="s">
        <v>3536</v>
      </c>
      <c r="D1086" s="55" t="s">
        <v>4038</v>
      </c>
      <c r="E1086" s="55" t="s">
        <v>4041</v>
      </c>
      <c r="G1086" s="60">
        <v>509</v>
      </c>
      <c r="H1086"/>
      <c r="J1086">
        <v>3281</v>
      </c>
      <c r="N1086">
        <v>330</v>
      </c>
      <c r="O1086">
        <f t="shared" si="401"/>
        <v>3</v>
      </c>
      <c r="P1086" s="57">
        <f t="shared" si="402"/>
        <v>1</v>
      </c>
      <c r="Q1086" s="267">
        <f t="shared" si="403"/>
        <v>509</v>
      </c>
      <c r="R1086" s="23" t="str">
        <f t="shared" si="404"/>
        <v/>
      </c>
      <c r="S1086" s="23">
        <f t="shared" si="405"/>
        <v>509</v>
      </c>
      <c r="T1086" s="23" t="str">
        <f t="shared" si="406"/>
        <v/>
      </c>
      <c r="U1086" t="str">
        <f t="shared" si="407"/>
        <v/>
      </c>
      <c r="W1086" s="1">
        <f t="shared" si="408"/>
        <v>117</v>
      </c>
      <c r="X1086" s="73">
        <f t="shared" si="416"/>
        <v>61.887613293051359</v>
      </c>
      <c r="Y1086" s="322">
        <f t="shared" si="409"/>
        <v>227.97600000000003</v>
      </c>
      <c r="Z1086" s="43">
        <f t="shared" si="417"/>
        <v>0.13241606608234216</v>
      </c>
      <c r="AA1086" s="52">
        <f t="shared" si="410"/>
        <v>1.3241606608234216E-3</v>
      </c>
      <c r="AB1086" s="8">
        <f t="shared" si="411"/>
        <v>3145.28</v>
      </c>
      <c r="AC1086" s="8">
        <f t="shared" si="412"/>
        <v>157264</v>
      </c>
      <c r="AD1086" s="8">
        <f t="shared" si="415"/>
        <v>786.32</v>
      </c>
      <c r="AE1086" s="8" t="str">
        <f t="shared" si="413"/>
        <v/>
      </c>
      <c r="AF1086" s="22" t="str">
        <f t="shared" si="414"/>
        <v>PA_Alleg_2019p</v>
      </c>
      <c r="AG1086" s="89">
        <v>1</v>
      </c>
      <c r="AH1086" s="274">
        <v>3304</v>
      </c>
      <c r="AI1086" s="279">
        <v>1812</v>
      </c>
      <c r="AJ1086" s="280">
        <v>1481</v>
      </c>
      <c r="AK1086" s="92">
        <v>331</v>
      </c>
      <c r="AL1086" s="23" t="s">
        <v>2400</v>
      </c>
      <c r="AM1086" s="353">
        <f t="shared" si="423"/>
        <v>2.1047410723369622E-3</v>
      </c>
      <c r="AO1086" s="355" t="s">
        <v>6483</v>
      </c>
      <c r="AP1086" s="23">
        <f t="shared" si="418"/>
        <v>0</v>
      </c>
      <c r="AQ1086" s="392">
        <f t="shared" si="421"/>
        <v>0</v>
      </c>
      <c r="AR1086" s="392">
        <f t="shared" si="422"/>
        <v>0</v>
      </c>
      <c r="AS1086" s="392">
        <f t="shared" si="422"/>
        <v>0</v>
      </c>
    </row>
    <row r="1087" spans="1:45">
      <c r="A1087" t="str">
        <f t="shared" si="420"/>
        <v>CA_Orang_2020g~city of tustin member, city council (vote 1)</v>
      </c>
      <c r="B1087" s="55" t="s">
        <v>3536</v>
      </c>
      <c r="D1087" s="55" t="s">
        <v>4042</v>
      </c>
      <c r="E1087" s="55" t="s">
        <v>4043</v>
      </c>
      <c r="G1087" s="60">
        <v>15685</v>
      </c>
      <c r="H1087"/>
      <c r="J1087">
        <v>35282</v>
      </c>
      <c r="N1087">
        <v>29117</v>
      </c>
      <c r="O1087">
        <f t="shared" si="401"/>
        <v>1</v>
      </c>
      <c r="P1087" s="57">
        <f t="shared" si="402"/>
        <v>1</v>
      </c>
      <c r="Q1087" s="267">
        <f t="shared" si="403"/>
        <v>76478</v>
      </c>
      <c r="R1087" s="23">
        <f t="shared" si="404"/>
        <v>15685</v>
      </c>
      <c r="S1087" s="23">
        <f t="shared" si="405"/>
        <v>12780</v>
      </c>
      <c r="T1087" s="23">
        <f t="shared" si="406"/>
        <v>2905</v>
      </c>
      <c r="U1087" t="str">
        <f t="shared" si="407"/>
        <v>CA_Orang_2020g~city of tustin member, city council (vote 1)</v>
      </c>
      <c r="W1087" s="1">
        <f t="shared" si="408"/>
        <v>118</v>
      </c>
      <c r="X1087" s="73">
        <f t="shared" ref="X1087:X1102" si="424">IF(AK1087=0,AH1087,MIN(AH1087,6.2/(AK1087/AH1087)))</f>
        <v>47.43</v>
      </c>
      <c r="Y1087" s="322">
        <f t="shared" si="409"/>
        <v>179.46900000000002</v>
      </c>
      <c r="Z1087" s="43">
        <f t="shared" ref="Z1087:Z1102" si="425">AA1087*100</f>
        <v>0.11056064082629394</v>
      </c>
      <c r="AA1087" s="52">
        <f t="shared" si="410"/>
        <v>1.1056064082629394E-3</v>
      </c>
      <c r="AB1087" s="8">
        <f t="shared" si="411"/>
        <v>3145.28</v>
      </c>
      <c r="AC1087" s="8">
        <f t="shared" si="412"/>
        <v>157264</v>
      </c>
      <c r="AD1087" s="8">
        <f t="shared" si="415"/>
        <v>786.32</v>
      </c>
      <c r="AE1087" s="8" t="str">
        <f t="shared" si="413"/>
        <v/>
      </c>
      <c r="AF1087" s="22" t="str">
        <f t="shared" si="414"/>
        <v>PA_Alleg_2019p</v>
      </c>
      <c r="AG1087">
        <v>1</v>
      </c>
      <c r="AH1087" s="272">
        <v>2601</v>
      </c>
      <c r="AI1087" s="273">
        <v>1183</v>
      </c>
      <c r="AJ1087" s="274">
        <v>843</v>
      </c>
      <c r="AK1087" s="339">
        <v>340</v>
      </c>
      <c r="AL1087" s="340" t="s">
        <v>2343</v>
      </c>
      <c r="AM1087" s="353">
        <f t="shared" si="423"/>
        <v>2.1619696815545833E-3</v>
      </c>
      <c r="AO1087" s="355" t="s">
        <v>6483</v>
      </c>
      <c r="AP1087" s="23">
        <f t="shared" si="418"/>
        <v>0</v>
      </c>
      <c r="AQ1087" s="392">
        <f t="shared" si="421"/>
        <v>0</v>
      </c>
      <c r="AR1087" s="392">
        <f t="shared" si="422"/>
        <v>0</v>
      </c>
      <c r="AS1087" s="392">
        <f t="shared" si="422"/>
        <v>0</v>
      </c>
    </row>
    <row r="1088" spans="1:45">
      <c r="A1088" t="str">
        <f t="shared" si="420"/>
        <v>CA_Orang_2020g~city of tustin member, city council (vote 1)</v>
      </c>
      <c r="B1088" s="55" t="s">
        <v>3536</v>
      </c>
      <c r="D1088" s="55" t="s">
        <v>4042</v>
      </c>
      <c r="E1088" s="55" t="s">
        <v>3316</v>
      </c>
      <c r="G1088" s="60">
        <v>12780</v>
      </c>
      <c r="H1088"/>
      <c r="J1088">
        <v>35282</v>
      </c>
      <c r="N1088">
        <v>29117</v>
      </c>
      <c r="O1088">
        <f t="shared" si="401"/>
        <v>2</v>
      </c>
      <c r="P1088" s="57">
        <f t="shared" si="402"/>
        <v>1</v>
      </c>
      <c r="Q1088" s="267">
        <f t="shared" si="403"/>
        <v>60793</v>
      </c>
      <c r="R1088" s="23" t="str">
        <f t="shared" si="404"/>
        <v/>
      </c>
      <c r="S1088" s="23">
        <f t="shared" si="405"/>
        <v>12780</v>
      </c>
      <c r="T1088" s="23" t="str">
        <f t="shared" si="406"/>
        <v/>
      </c>
      <c r="U1088" t="str">
        <f t="shared" si="407"/>
        <v/>
      </c>
      <c r="W1088" s="1">
        <f t="shared" si="408"/>
        <v>119</v>
      </c>
      <c r="X1088" s="73">
        <f t="shared" si="424"/>
        <v>86.939849624060159</v>
      </c>
      <c r="Y1088" s="322">
        <f t="shared" si="409"/>
        <v>386.05500000000001</v>
      </c>
      <c r="Z1088" s="43">
        <f t="shared" si="425"/>
        <v>3.387865401805213E-2</v>
      </c>
      <c r="AA1088" s="52">
        <f t="shared" si="410"/>
        <v>3.3878654018052129E-4</v>
      </c>
      <c r="AB1088" s="8">
        <f t="shared" si="411"/>
        <v>3145.28</v>
      </c>
      <c r="AC1088" s="8">
        <f t="shared" si="412"/>
        <v>157264</v>
      </c>
      <c r="AD1088" s="8">
        <f t="shared" si="415"/>
        <v>786.32</v>
      </c>
      <c r="AE1088" s="8" t="str">
        <f t="shared" si="413"/>
        <v/>
      </c>
      <c r="AF1088" s="22" t="str">
        <f t="shared" si="414"/>
        <v>PA_Alleg_2019p</v>
      </c>
      <c r="AG1088">
        <v>1</v>
      </c>
      <c r="AH1088" s="272">
        <v>5595</v>
      </c>
      <c r="AI1088" s="273">
        <v>1887</v>
      </c>
      <c r="AJ1088" s="274">
        <v>1488</v>
      </c>
      <c r="AK1088" s="339">
        <v>399</v>
      </c>
      <c r="AL1088" s="340" t="s">
        <v>2398</v>
      </c>
      <c r="AM1088" s="353">
        <f t="shared" si="423"/>
        <v>2.5371350086478787E-3</v>
      </c>
      <c r="AO1088" s="355" t="s">
        <v>6483</v>
      </c>
      <c r="AP1088" s="23">
        <f t="shared" si="418"/>
        <v>0</v>
      </c>
      <c r="AQ1088" s="392">
        <f t="shared" si="421"/>
        <v>0</v>
      </c>
      <c r="AR1088" s="392">
        <f t="shared" si="422"/>
        <v>0</v>
      </c>
      <c r="AS1088" s="392">
        <f t="shared" si="422"/>
        <v>0</v>
      </c>
    </row>
    <row r="1089" spans="1:45">
      <c r="A1089" t="str">
        <f t="shared" si="420"/>
        <v>CA_Orang_2020g~city of tustin member, city council (vote 1)</v>
      </c>
      <c r="B1089" s="55" t="s">
        <v>3536</v>
      </c>
      <c r="D1089" s="55" t="s">
        <v>4042</v>
      </c>
      <c r="E1089" s="55" t="s">
        <v>4047</v>
      </c>
      <c r="G1089" s="60">
        <v>12075</v>
      </c>
      <c r="H1089"/>
      <c r="J1089">
        <v>35282</v>
      </c>
      <c r="N1089">
        <v>29117</v>
      </c>
      <c r="O1089">
        <f t="shared" si="401"/>
        <v>3</v>
      </c>
      <c r="P1089" s="57">
        <f t="shared" si="402"/>
        <v>1</v>
      </c>
      <c r="Q1089" s="267">
        <f t="shared" si="403"/>
        <v>48013</v>
      </c>
      <c r="R1089" s="23" t="str">
        <f t="shared" si="404"/>
        <v/>
      </c>
      <c r="S1089" s="23">
        <f t="shared" si="405"/>
        <v>12075</v>
      </c>
      <c r="T1089" s="23" t="str">
        <f t="shared" si="406"/>
        <v/>
      </c>
      <c r="U1089" t="str">
        <f t="shared" si="407"/>
        <v/>
      </c>
      <c r="W1089" s="1">
        <f t="shared" si="408"/>
        <v>120</v>
      </c>
      <c r="X1089" s="73">
        <f t="shared" si="424"/>
        <v>21.885999999999999</v>
      </c>
      <c r="Y1089" s="322">
        <f t="shared" si="409"/>
        <v>97.428000000000011</v>
      </c>
      <c r="Z1089" s="43">
        <f t="shared" si="425"/>
        <v>3.3206120302501058E-2</v>
      </c>
      <c r="AA1089" s="52">
        <f t="shared" si="410"/>
        <v>3.3206120302501057E-4</v>
      </c>
      <c r="AB1089" s="8">
        <f t="shared" si="411"/>
        <v>3145.28</v>
      </c>
      <c r="AC1089" s="8">
        <f t="shared" si="412"/>
        <v>157264</v>
      </c>
      <c r="AD1089" s="8">
        <f t="shared" si="415"/>
        <v>786.32</v>
      </c>
      <c r="AE1089" s="8" t="str">
        <f t="shared" si="413"/>
        <v/>
      </c>
      <c r="AF1089" s="22" t="str">
        <f t="shared" si="414"/>
        <v>PA_Alleg_2019p</v>
      </c>
      <c r="AG1089">
        <v>3</v>
      </c>
      <c r="AH1089" s="272">
        <v>1412</v>
      </c>
      <c r="AI1089" s="273">
        <v>1112</v>
      </c>
      <c r="AJ1089" s="274">
        <v>712</v>
      </c>
      <c r="AK1089" s="339">
        <v>400</v>
      </c>
      <c r="AL1089" s="340" t="s">
        <v>2351</v>
      </c>
      <c r="AM1089" s="353">
        <f t="shared" si="423"/>
        <v>2.543493743005392E-3</v>
      </c>
      <c r="AO1089" s="355" t="s">
        <v>6483</v>
      </c>
      <c r="AP1089" s="23">
        <f t="shared" si="418"/>
        <v>0</v>
      </c>
      <c r="AQ1089" s="392">
        <f t="shared" si="421"/>
        <v>0</v>
      </c>
      <c r="AR1089" s="392">
        <f t="shared" si="422"/>
        <v>0</v>
      </c>
      <c r="AS1089" s="392">
        <f t="shared" si="422"/>
        <v>0</v>
      </c>
    </row>
    <row r="1090" spans="1:45">
      <c r="A1090" t="str">
        <f t="shared" si="420"/>
        <v>CA_Orang_2020g~city of tustin member, city council (vote 1)</v>
      </c>
      <c r="B1090" s="55" t="s">
        <v>3536</v>
      </c>
      <c r="D1090" s="55" t="s">
        <v>4042</v>
      </c>
      <c r="E1090" s="55" t="s">
        <v>4046</v>
      </c>
      <c r="G1090" s="60">
        <v>11577</v>
      </c>
      <c r="H1090"/>
      <c r="J1090">
        <v>35282</v>
      </c>
      <c r="N1090">
        <v>29117</v>
      </c>
      <c r="O1090">
        <f t="shared" ref="O1090:O1153" si="426">IF(OR(LOWER(LEFT(E1090,8))="write-in",LOWER(LEFT(E1090,8))="not qual"),IF(A1090=A1089,-ABS(O1089),0),IF(A1090=A1089,ABS(O1089)+1,1))</f>
        <v>4</v>
      </c>
      <c r="P1090" s="57">
        <f t="shared" ref="P1090:P1153" si="427">1*LEFT(RIGHT(A1090,2),1)</f>
        <v>1</v>
      </c>
      <c r="Q1090" s="267">
        <f t="shared" ref="Q1090:Q1153" si="428">IF(A1090&lt;&gt;A1091,G1090,IF(A1090=A1089,G1090+Q1091,MAX(G1090,(G1090+Q1091)/P1090)))</f>
        <v>35938</v>
      </c>
      <c r="R1090" s="23" t="str">
        <f t="shared" ref="R1090:R1153" si="429">IF(O1090&gt;P1090,"",IF(O1090=P1090,G1090,IF(A1090=A1091,R1091,IF(O1090&lt;=0,1,G1090))))</f>
        <v/>
      </c>
      <c r="S1090" s="23">
        <f t="shared" ref="S1090:S1153" si="430">IF(AND(O1090&gt;P1090,LOWER(LEFT(E1090,8))&lt;&gt;"write-in",LOWER(LEFT(E1090,8))&lt;&gt;"not qual"),G1090,IF(A1090=A1091,S1091,0))</f>
        <v>11577</v>
      </c>
      <c r="T1090" s="23" t="str">
        <f t="shared" ref="T1090:T1153" si="431">IF(OR(A1090=A1089,S1090=0),"",R1090-ABS(S1090))</f>
        <v/>
      </c>
      <c r="U1090" t="str">
        <f t="shared" ref="U1090:U1153" si="432">IF(A1090=A1089,"",A1090)</f>
        <v/>
      </c>
      <c r="W1090" s="1">
        <f t="shared" ref="W1090:W1153" si="433">IF(AF1090=AF1089,W1089+1,1)</f>
        <v>121</v>
      </c>
      <c r="X1090" s="73">
        <f t="shared" si="424"/>
        <v>75.163546798029557</v>
      </c>
      <c r="Y1090" s="322">
        <f t="shared" ref="Y1090:Y1153" si="434">MAX(X1090,0.069*AH1090)</f>
        <v>339.61800000000005</v>
      </c>
      <c r="Z1090" s="43">
        <f t="shared" si="425"/>
        <v>2.9442108364821487E-2</v>
      </c>
      <c r="AA1090" s="52">
        <f t="shared" ref="AA1090:AA1153" si="435">(1-AK1090/AC1090)^AB1090</f>
        <v>2.9442108364821488E-4</v>
      </c>
      <c r="AB1090" s="8">
        <f t="shared" ref="AB1090:AB1153" si="436">INDEX(BA$2:BA$76,MATCH($AF1090,$AU$2:$AU$76,0))+IF(AE1090="",0,INDEX(BA$2:BA$76,AE1090))</f>
        <v>3145.28</v>
      </c>
      <c r="AC1090" s="8">
        <f t="shared" ref="AC1090:AC1153" si="437">INDEX(AX$2:AX$76,MATCH(AF1090,AU$2:AU$76,0))+IF(AE1090="",0,INDEX(AX$2:AX$76,AE1090))</f>
        <v>157264</v>
      </c>
      <c r="AD1090" s="8">
        <f t="shared" si="415"/>
        <v>786.32</v>
      </c>
      <c r="AE1090" s="8" t="str">
        <f t="shared" ref="AE1090:AE1153" si="438">IF(MID(AL1090,16,2)&lt;&gt;"w/","",MATCH(CONCATENATE("CO_",MID(AL1090,18,5),"_2020g"),AU$2:AU$76,0))</f>
        <v/>
      </c>
      <c r="AF1090" s="22" t="str">
        <f t="shared" ref="AF1090:AF1151" si="439">LEFT(AL1090,14)</f>
        <v>PA_Alleg_2019p</v>
      </c>
      <c r="AG1090">
        <v>1</v>
      </c>
      <c r="AH1090" s="272">
        <v>4922</v>
      </c>
      <c r="AI1090" s="273">
        <v>2661</v>
      </c>
      <c r="AJ1090" s="274">
        <v>2255</v>
      </c>
      <c r="AK1090" s="339">
        <v>406</v>
      </c>
      <c r="AL1090" s="340" t="s">
        <v>2399</v>
      </c>
      <c r="AM1090" s="353">
        <f t="shared" si="423"/>
        <v>2.5816461491504732E-3</v>
      </c>
      <c r="AO1090" s="355" t="s">
        <v>6483</v>
      </c>
      <c r="AP1090" s="23">
        <f t="shared" si="418"/>
        <v>0</v>
      </c>
      <c r="AQ1090" s="392">
        <f t="shared" si="421"/>
        <v>0</v>
      </c>
      <c r="AR1090" s="392">
        <f t="shared" si="422"/>
        <v>0</v>
      </c>
      <c r="AS1090" s="392">
        <f t="shared" si="422"/>
        <v>0</v>
      </c>
    </row>
    <row r="1091" spans="1:45">
      <c r="A1091" t="str">
        <f t="shared" si="420"/>
        <v>CA_Orang_2020g~city of tustin member, city council (vote 1)</v>
      </c>
      <c r="B1091" s="55" t="s">
        <v>3536</v>
      </c>
      <c r="D1091" s="55" t="s">
        <v>4042</v>
      </c>
      <c r="E1091" s="55" t="s">
        <v>4048</v>
      </c>
      <c r="G1091" s="60">
        <v>8997</v>
      </c>
      <c r="H1091"/>
      <c r="J1091">
        <v>35282</v>
      </c>
      <c r="N1091">
        <v>29117</v>
      </c>
      <c r="O1091">
        <f t="shared" si="426"/>
        <v>5</v>
      </c>
      <c r="P1091" s="57">
        <f t="shared" si="427"/>
        <v>1</v>
      </c>
      <c r="Q1091" s="267">
        <f t="shared" si="428"/>
        <v>24361</v>
      </c>
      <c r="R1091" s="23" t="str">
        <f t="shared" si="429"/>
        <v/>
      </c>
      <c r="S1091" s="23">
        <f t="shared" si="430"/>
        <v>8997</v>
      </c>
      <c r="T1091" s="23" t="str">
        <f t="shared" si="431"/>
        <v/>
      </c>
      <c r="U1091" t="str">
        <f t="shared" si="432"/>
        <v/>
      </c>
      <c r="W1091" s="1">
        <f t="shared" si="433"/>
        <v>122</v>
      </c>
      <c r="X1091" s="73">
        <f t="shared" si="424"/>
        <v>14.585897435897436</v>
      </c>
      <c r="Y1091" s="322">
        <f t="shared" si="434"/>
        <v>75.969000000000008</v>
      </c>
      <c r="Z1091" s="43">
        <f t="shared" si="425"/>
        <v>8.4906929656114374E-3</v>
      </c>
      <c r="AA1091" s="52">
        <f t="shared" si="435"/>
        <v>8.4906929656114368E-5</v>
      </c>
      <c r="AB1091" s="8">
        <f t="shared" si="436"/>
        <v>3145.28</v>
      </c>
      <c r="AC1091" s="8">
        <f t="shared" si="437"/>
        <v>157264</v>
      </c>
      <c r="AD1091" s="8">
        <f t="shared" ref="AD1091:AD1154" si="440">AC1091/RIGHT(AD$1,4)</f>
        <v>786.32</v>
      </c>
      <c r="AE1091" s="8" t="str">
        <f t="shared" si="438"/>
        <v/>
      </c>
      <c r="AF1091" s="22" t="str">
        <f t="shared" si="439"/>
        <v>PA_Alleg_2019p</v>
      </c>
      <c r="AG1091">
        <v>1</v>
      </c>
      <c r="AH1091" s="272">
        <v>1101</v>
      </c>
      <c r="AI1091" s="273">
        <v>783</v>
      </c>
      <c r="AJ1091" s="274">
        <v>315</v>
      </c>
      <c r="AK1091" s="339">
        <v>468</v>
      </c>
      <c r="AL1091" s="340" t="s">
        <v>2405</v>
      </c>
      <c r="AM1091" s="353">
        <f t="shared" si="423"/>
        <v>2.9758876793163089E-3</v>
      </c>
      <c r="AO1091" s="355" t="s">
        <v>6483</v>
      </c>
      <c r="AP1091" s="23">
        <f t="shared" si="418"/>
        <v>0</v>
      </c>
      <c r="AQ1091" s="392">
        <f t="shared" si="421"/>
        <v>0</v>
      </c>
      <c r="AR1091" s="392">
        <f t="shared" si="422"/>
        <v>0</v>
      </c>
      <c r="AS1091" s="392">
        <f t="shared" si="422"/>
        <v>0</v>
      </c>
    </row>
    <row r="1092" spans="1:45">
      <c r="A1092" t="str">
        <f t="shared" si="420"/>
        <v>CA_Orang_2020g~city of tustin member, city council (vote 1)</v>
      </c>
      <c r="B1092" s="55" t="s">
        <v>3536</v>
      </c>
      <c r="D1092" s="55" t="s">
        <v>4042</v>
      </c>
      <c r="E1092" s="55" t="s">
        <v>4045</v>
      </c>
      <c r="G1092" s="60">
        <v>7419</v>
      </c>
      <c r="H1092"/>
      <c r="J1092">
        <v>35282</v>
      </c>
      <c r="N1092">
        <v>29117</v>
      </c>
      <c r="O1092">
        <f t="shared" si="426"/>
        <v>6</v>
      </c>
      <c r="P1092" s="57">
        <f t="shared" si="427"/>
        <v>1</v>
      </c>
      <c r="Q1092" s="267">
        <f t="shared" si="428"/>
        <v>15364</v>
      </c>
      <c r="R1092" s="23" t="str">
        <f t="shared" si="429"/>
        <v/>
      </c>
      <c r="S1092" s="23">
        <f t="shared" si="430"/>
        <v>7419</v>
      </c>
      <c r="T1092" s="23" t="str">
        <f t="shared" si="431"/>
        <v/>
      </c>
      <c r="U1092" t="str">
        <f t="shared" si="432"/>
        <v/>
      </c>
      <c r="W1092" s="1">
        <f t="shared" si="433"/>
        <v>123</v>
      </c>
      <c r="X1092" s="73">
        <f t="shared" si="424"/>
        <v>10.780971659919029</v>
      </c>
      <c r="Y1092" s="322">
        <f t="shared" si="434"/>
        <v>59.271000000000008</v>
      </c>
      <c r="Z1092" s="43">
        <f t="shared" si="425"/>
        <v>5.0398448161586415E-3</v>
      </c>
      <c r="AA1092" s="52">
        <f t="shared" si="435"/>
        <v>5.0398448161586415E-5</v>
      </c>
      <c r="AB1092" s="8">
        <f t="shared" si="436"/>
        <v>3145.28</v>
      </c>
      <c r="AC1092" s="8">
        <f t="shared" si="437"/>
        <v>157264</v>
      </c>
      <c r="AD1092" s="8">
        <f t="shared" si="440"/>
        <v>786.32</v>
      </c>
      <c r="AE1092" s="8" t="str">
        <f t="shared" si="438"/>
        <v/>
      </c>
      <c r="AF1092" s="22" t="str">
        <f t="shared" si="439"/>
        <v>PA_Alleg_2019p</v>
      </c>
      <c r="AG1092">
        <v>3</v>
      </c>
      <c r="AH1092" s="272">
        <v>859</v>
      </c>
      <c r="AI1092" s="273">
        <v>708</v>
      </c>
      <c r="AJ1092" s="274">
        <v>214</v>
      </c>
      <c r="AK1092" s="339">
        <v>494</v>
      </c>
      <c r="AL1092" s="340" t="s">
        <v>2364</v>
      </c>
      <c r="AM1092" s="353">
        <f t="shared" si="423"/>
        <v>3.1412147726116594E-3</v>
      </c>
      <c r="AO1092" s="355" t="s">
        <v>6483</v>
      </c>
      <c r="AP1092" s="23">
        <f t="shared" si="418"/>
        <v>0</v>
      </c>
      <c r="AQ1092" s="392">
        <f t="shared" si="421"/>
        <v>0</v>
      </c>
      <c r="AR1092" s="392">
        <f t="shared" si="422"/>
        <v>0</v>
      </c>
      <c r="AS1092" s="392">
        <f t="shared" si="422"/>
        <v>0</v>
      </c>
    </row>
    <row r="1093" spans="1:45">
      <c r="A1093" t="str">
        <f t="shared" si="420"/>
        <v>CA_Orang_2020g~city of tustin member, city council (vote 1)</v>
      </c>
      <c r="B1093" s="55" t="s">
        <v>3536</v>
      </c>
      <c r="D1093" s="55" t="s">
        <v>4042</v>
      </c>
      <c r="E1093" s="55" t="s">
        <v>4044</v>
      </c>
      <c r="G1093" s="60">
        <v>3850</v>
      </c>
      <c r="H1093"/>
      <c r="J1093">
        <v>35282</v>
      </c>
      <c r="N1093">
        <v>29117</v>
      </c>
      <c r="O1093">
        <f t="shared" si="426"/>
        <v>7</v>
      </c>
      <c r="P1093" s="57">
        <f t="shared" si="427"/>
        <v>1</v>
      </c>
      <c r="Q1093" s="267">
        <f t="shared" si="428"/>
        <v>7945</v>
      </c>
      <c r="R1093" s="23" t="str">
        <f t="shared" si="429"/>
        <v/>
      </c>
      <c r="S1093" s="23">
        <f t="shared" si="430"/>
        <v>3850</v>
      </c>
      <c r="T1093" s="23" t="str">
        <f t="shared" si="431"/>
        <v/>
      </c>
      <c r="U1093" t="str">
        <f t="shared" si="432"/>
        <v/>
      </c>
      <c r="W1093" s="1">
        <f t="shared" si="433"/>
        <v>124</v>
      </c>
      <c r="X1093" s="73">
        <f t="shared" si="424"/>
        <v>61.813182674199631</v>
      </c>
      <c r="Y1093" s="322">
        <f t="shared" si="434"/>
        <v>365.28600000000006</v>
      </c>
      <c r="Z1093" s="43">
        <f t="shared" si="425"/>
        <v>2.398769393479726E-3</v>
      </c>
      <c r="AA1093" s="52">
        <f t="shared" si="435"/>
        <v>2.3987693934797261E-5</v>
      </c>
      <c r="AB1093" s="8">
        <f t="shared" si="436"/>
        <v>3145.28</v>
      </c>
      <c r="AC1093" s="8">
        <f t="shared" si="437"/>
        <v>157264</v>
      </c>
      <c r="AD1093" s="8">
        <f t="shared" si="440"/>
        <v>786.32</v>
      </c>
      <c r="AE1093" s="8" t="str">
        <f t="shared" si="438"/>
        <v/>
      </c>
      <c r="AF1093" s="22" t="str">
        <f t="shared" si="439"/>
        <v>PA_Alleg_2019p</v>
      </c>
      <c r="AG1093">
        <v>1</v>
      </c>
      <c r="AH1093" s="272">
        <v>5294</v>
      </c>
      <c r="AI1093" s="273">
        <v>2049</v>
      </c>
      <c r="AJ1093" s="274">
        <v>1518</v>
      </c>
      <c r="AK1093" s="339">
        <v>531</v>
      </c>
      <c r="AL1093" s="340" t="s">
        <v>2362</v>
      </c>
      <c r="AM1093" s="353">
        <f t="shared" si="423"/>
        <v>3.376487943839658E-3</v>
      </c>
      <c r="AO1093" s="355" t="s">
        <v>6483</v>
      </c>
      <c r="AP1093" s="23">
        <f t="shared" si="418"/>
        <v>0</v>
      </c>
      <c r="AQ1093" s="392">
        <f t="shared" si="421"/>
        <v>0</v>
      </c>
      <c r="AR1093" s="392">
        <f t="shared" si="422"/>
        <v>0</v>
      </c>
      <c r="AS1093" s="392">
        <f t="shared" si="422"/>
        <v>0</v>
      </c>
    </row>
    <row r="1094" spans="1:45">
      <c r="A1094" t="str">
        <f t="shared" si="420"/>
        <v>CA_Orang_2020g~city of tustin member, city council (vote 1)</v>
      </c>
      <c r="B1094" s="55" t="s">
        <v>3536</v>
      </c>
      <c r="D1094" s="55" t="s">
        <v>4042</v>
      </c>
      <c r="E1094" s="55" t="s">
        <v>4050</v>
      </c>
      <c r="G1094" s="60">
        <v>2607</v>
      </c>
      <c r="H1094"/>
      <c r="J1094">
        <v>35282</v>
      </c>
      <c r="N1094">
        <v>29117</v>
      </c>
      <c r="O1094">
        <f t="shared" si="426"/>
        <v>8</v>
      </c>
      <c r="P1094" s="57">
        <f t="shared" si="427"/>
        <v>1</v>
      </c>
      <c r="Q1094" s="267">
        <f t="shared" si="428"/>
        <v>4095</v>
      </c>
      <c r="R1094" s="23" t="str">
        <f t="shared" si="429"/>
        <v/>
      </c>
      <c r="S1094" s="23">
        <f t="shared" si="430"/>
        <v>2607</v>
      </c>
      <c r="T1094" s="23" t="str">
        <f t="shared" si="431"/>
        <v/>
      </c>
      <c r="U1094" t="str">
        <f t="shared" si="432"/>
        <v/>
      </c>
      <c r="W1094" s="1">
        <f t="shared" si="433"/>
        <v>125</v>
      </c>
      <c r="X1094" s="73">
        <f t="shared" si="424"/>
        <v>30.005724770642203</v>
      </c>
      <c r="Y1094" s="322">
        <f t="shared" si="434"/>
        <v>181.99440000000001</v>
      </c>
      <c r="Z1094" s="43">
        <f t="shared" si="425"/>
        <v>1.8112091937160476E-3</v>
      </c>
      <c r="AA1094" s="52">
        <f t="shared" si="435"/>
        <v>1.8112091937160476E-5</v>
      </c>
      <c r="AB1094" s="8">
        <f t="shared" si="436"/>
        <v>3145.28</v>
      </c>
      <c r="AC1094" s="8">
        <f t="shared" si="437"/>
        <v>157264</v>
      </c>
      <c r="AD1094" s="8">
        <f t="shared" si="440"/>
        <v>786.32</v>
      </c>
      <c r="AE1094" s="8" t="str">
        <f t="shared" si="438"/>
        <v/>
      </c>
      <c r="AF1094" s="22" t="str">
        <f t="shared" si="439"/>
        <v>PA_Alleg_2019p</v>
      </c>
      <c r="AG1094">
        <v>5</v>
      </c>
      <c r="AH1094" s="272">
        <v>2637.6</v>
      </c>
      <c r="AI1094" s="273">
        <v>1774</v>
      </c>
      <c r="AJ1094" s="274">
        <v>1229</v>
      </c>
      <c r="AK1094" s="339">
        <v>545</v>
      </c>
      <c r="AL1094" s="340" t="s">
        <v>2456</v>
      </c>
      <c r="AM1094" s="353">
        <f t="shared" si="423"/>
        <v>3.4655102248448469E-3</v>
      </c>
      <c r="AO1094" s="355" t="s">
        <v>6483</v>
      </c>
      <c r="AP1094" s="23">
        <f t="shared" si="418"/>
        <v>0</v>
      </c>
      <c r="AQ1094" s="392">
        <f t="shared" si="421"/>
        <v>0</v>
      </c>
      <c r="AR1094" s="392">
        <f t="shared" si="422"/>
        <v>0</v>
      </c>
      <c r="AS1094" s="392">
        <f t="shared" si="422"/>
        <v>0</v>
      </c>
    </row>
    <row r="1095" spans="1:45">
      <c r="A1095" t="str">
        <f t="shared" si="420"/>
        <v>CA_Orang_2020g~city of tustin member, city council (vote 1)</v>
      </c>
      <c r="B1095" s="55" t="s">
        <v>3536</v>
      </c>
      <c r="D1095" s="55" t="s">
        <v>4042</v>
      </c>
      <c r="E1095" s="55" t="s">
        <v>4049</v>
      </c>
      <c r="G1095" s="60">
        <v>1488</v>
      </c>
      <c r="H1095"/>
      <c r="J1095">
        <v>35282</v>
      </c>
      <c r="N1095">
        <v>29117</v>
      </c>
      <c r="O1095">
        <f t="shared" si="426"/>
        <v>9</v>
      </c>
      <c r="P1095" s="57">
        <f t="shared" si="427"/>
        <v>1</v>
      </c>
      <c r="Q1095" s="267">
        <f t="shared" si="428"/>
        <v>1488</v>
      </c>
      <c r="R1095" s="23" t="str">
        <f t="shared" si="429"/>
        <v/>
      </c>
      <c r="S1095" s="23">
        <f t="shared" si="430"/>
        <v>1488</v>
      </c>
      <c r="T1095" s="23" t="str">
        <f t="shared" si="431"/>
        <v/>
      </c>
      <c r="U1095" t="str">
        <f t="shared" si="432"/>
        <v/>
      </c>
      <c r="W1095" s="1">
        <f t="shared" si="433"/>
        <v>126</v>
      </c>
      <c r="X1095" s="73">
        <f t="shared" si="424"/>
        <v>16.242358604091454</v>
      </c>
      <c r="Y1095" s="322">
        <f t="shared" si="434"/>
        <v>100.14200000000001</v>
      </c>
      <c r="Z1095" s="43">
        <f t="shared" si="425"/>
        <v>1.5118945560689515E-3</v>
      </c>
      <c r="AA1095" s="52">
        <f t="shared" si="435"/>
        <v>1.5118945560689514E-5</v>
      </c>
      <c r="AB1095" s="8">
        <f t="shared" si="436"/>
        <v>3145.28</v>
      </c>
      <c r="AC1095" s="8">
        <f t="shared" si="437"/>
        <v>157264</v>
      </c>
      <c r="AD1095" s="8">
        <f t="shared" si="440"/>
        <v>786.32</v>
      </c>
      <c r="AE1095" s="8" t="str">
        <f t="shared" si="438"/>
        <v/>
      </c>
      <c r="AF1095" s="22" t="str">
        <f t="shared" si="439"/>
        <v>PA_Alleg_2019p</v>
      </c>
      <c r="AG1095">
        <v>3</v>
      </c>
      <c r="AH1095" s="272">
        <v>1451.3333333333333</v>
      </c>
      <c r="AI1095" s="273">
        <v>1222</v>
      </c>
      <c r="AJ1095" s="274">
        <v>668</v>
      </c>
      <c r="AK1095" s="339">
        <v>554</v>
      </c>
      <c r="AL1095" s="340" t="s">
        <v>2394</v>
      </c>
      <c r="AM1095" s="353">
        <f t="shared" si="423"/>
        <v>3.522738834062468E-3</v>
      </c>
      <c r="AO1095" s="355" t="s">
        <v>6483</v>
      </c>
      <c r="AP1095" s="23">
        <f t="shared" si="418"/>
        <v>0</v>
      </c>
      <c r="AQ1095" s="392">
        <f t="shared" si="421"/>
        <v>0</v>
      </c>
      <c r="AR1095" s="392">
        <f t="shared" si="422"/>
        <v>0</v>
      </c>
      <c r="AS1095" s="392">
        <f t="shared" si="422"/>
        <v>0</v>
      </c>
    </row>
    <row r="1096" spans="1:45">
      <c r="A1096" t="str">
        <f t="shared" si="420"/>
        <v>CA_Orang_2020g~city of westminster member, city council, district 2 (vote 1)</v>
      </c>
      <c r="B1096" s="55" t="s">
        <v>3536</v>
      </c>
      <c r="D1096" s="55" t="s">
        <v>4051</v>
      </c>
      <c r="E1096" s="55" t="s">
        <v>4052</v>
      </c>
      <c r="G1096" s="60">
        <v>3439</v>
      </c>
      <c r="H1096"/>
      <c r="J1096">
        <v>8413</v>
      </c>
      <c r="N1096">
        <v>803</v>
      </c>
      <c r="O1096">
        <f t="shared" si="426"/>
        <v>1</v>
      </c>
      <c r="P1096" s="57">
        <f t="shared" si="427"/>
        <v>1</v>
      </c>
      <c r="Q1096" s="267">
        <f t="shared" si="428"/>
        <v>7541</v>
      </c>
      <c r="R1096" s="23">
        <f t="shared" si="429"/>
        <v>3439</v>
      </c>
      <c r="S1096" s="23">
        <f t="shared" si="430"/>
        <v>2639</v>
      </c>
      <c r="T1096" s="23">
        <f t="shared" si="431"/>
        <v>800</v>
      </c>
      <c r="U1096" t="str">
        <f t="shared" si="432"/>
        <v>CA_Orang_2020g~city of westminster member, city council, district 2 (vote 1)</v>
      </c>
      <c r="W1096" s="1">
        <f t="shared" si="433"/>
        <v>127</v>
      </c>
      <c r="X1096" s="73">
        <f t="shared" si="424"/>
        <v>30.237433155080215</v>
      </c>
      <c r="Y1096" s="322">
        <f t="shared" si="434"/>
        <v>188.78400000000002</v>
      </c>
      <c r="Z1096" s="43">
        <f t="shared" si="425"/>
        <v>1.3137235008656297E-3</v>
      </c>
      <c r="AA1096" s="52">
        <f t="shared" si="435"/>
        <v>1.3137235008656298E-5</v>
      </c>
      <c r="AB1096" s="8">
        <f t="shared" si="436"/>
        <v>3145.28</v>
      </c>
      <c r="AC1096" s="8">
        <f t="shared" si="437"/>
        <v>157264</v>
      </c>
      <c r="AD1096" s="8">
        <f t="shared" si="440"/>
        <v>786.32</v>
      </c>
      <c r="AE1096" s="8" t="str">
        <f t="shared" si="438"/>
        <v/>
      </c>
      <c r="AF1096" s="22" t="str">
        <f t="shared" si="439"/>
        <v>PA_Alleg_2019p</v>
      </c>
      <c r="AG1096">
        <v>1</v>
      </c>
      <c r="AH1096" s="272">
        <v>2736</v>
      </c>
      <c r="AI1096" s="273">
        <v>1493</v>
      </c>
      <c r="AJ1096" s="274">
        <v>932</v>
      </c>
      <c r="AK1096" s="339">
        <v>561</v>
      </c>
      <c r="AL1096" s="340" t="s">
        <v>2360</v>
      </c>
      <c r="AM1096" s="353">
        <f t="shared" si="423"/>
        <v>3.5672499745650625E-3</v>
      </c>
      <c r="AO1096" s="355" t="s">
        <v>6483</v>
      </c>
      <c r="AP1096" s="23">
        <f t="shared" si="418"/>
        <v>0</v>
      </c>
      <c r="AQ1096" s="392">
        <f t="shared" si="421"/>
        <v>0</v>
      </c>
      <c r="AR1096" s="392">
        <f t="shared" si="422"/>
        <v>0</v>
      </c>
      <c r="AS1096" s="392">
        <f t="shared" si="422"/>
        <v>0</v>
      </c>
    </row>
    <row r="1097" spans="1:45">
      <c r="A1097" t="str">
        <f t="shared" si="420"/>
        <v>CA_Orang_2020g~city of westminster member, city council, district 2 (vote 1)</v>
      </c>
      <c r="B1097" s="55" t="s">
        <v>3536</v>
      </c>
      <c r="D1097" s="55" t="s">
        <v>4051</v>
      </c>
      <c r="E1097" s="55" t="s">
        <v>4053</v>
      </c>
      <c r="G1097" s="60">
        <v>2639</v>
      </c>
      <c r="H1097"/>
      <c r="J1097">
        <v>8413</v>
      </c>
      <c r="N1097">
        <v>803</v>
      </c>
      <c r="O1097">
        <f t="shared" si="426"/>
        <v>2</v>
      </c>
      <c r="P1097" s="57">
        <f t="shared" si="427"/>
        <v>1</v>
      </c>
      <c r="Q1097" s="267">
        <f t="shared" si="428"/>
        <v>4102</v>
      </c>
      <c r="R1097" s="23" t="str">
        <f t="shared" si="429"/>
        <v/>
      </c>
      <c r="S1097" s="23">
        <f t="shared" si="430"/>
        <v>2639</v>
      </c>
      <c r="T1097" s="23" t="str">
        <f t="shared" si="431"/>
        <v/>
      </c>
      <c r="U1097" t="str">
        <f t="shared" si="432"/>
        <v/>
      </c>
      <c r="W1097" s="1">
        <f t="shared" si="433"/>
        <v>128</v>
      </c>
      <c r="X1097" s="73">
        <f t="shared" si="424"/>
        <v>16.247449768160742</v>
      </c>
      <c r="Y1097" s="322">
        <f t="shared" si="434"/>
        <v>116.98950000000001</v>
      </c>
      <c r="Z1097" s="43">
        <f t="shared" si="425"/>
        <v>2.3368855724158265E-4</v>
      </c>
      <c r="AA1097" s="52">
        <f t="shared" si="435"/>
        <v>2.3368855724158265E-6</v>
      </c>
      <c r="AB1097" s="8">
        <f t="shared" si="436"/>
        <v>3145.28</v>
      </c>
      <c r="AC1097" s="8">
        <f t="shared" si="437"/>
        <v>157264</v>
      </c>
      <c r="AD1097" s="8">
        <f t="shared" si="440"/>
        <v>786.32</v>
      </c>
      <c r="AE1097" s="8" t="str">
        <f t="shared" si="438"/>
        <v/>
      </c>
      <c r="AF1097" s="22" t="str">
        <f t="shared" si="439"/>
        <v>PA_Alleg_2019p</v>
      </c>
      <c r="AG1097">
        <v>2</v>
      </c>
      <c r="AH1097" s="272">
        <v>1695.5</v>
      </c>
      <c r="AI1097" s="273">
        <v>1315</v>
      </c>
      <c r="AJ1097" s="274">
        <v>668</v>
      </c>
      <c r="AK1097" s="339">
        <v>647</v>
      </c>
      <c r="AL1097" s="340" t="s">
        <v>2425</v>
      </c>
      <c r="AM1097" s="353">
        <f t="shared" si="423"/>
        <v>4.1141011293112217E-3</v>
      </c>
      <c r="AO1097" s="355" t="s">
        <v>6483</v>
      </c>
      <c r="AP1097" s="23">
        <f t="shared" si="418"/>
        <v>0</v>
      </c>
      <c r="AQ1097" s="392">
        <f t="shared" si="421"/>
        <v>0</v>
      </c>
      <c r="AR1097" s="392">
        <f t="shared" si="422"/>
        <v>0</v>
      </c>
      <c r="AS1097" s="392">
        <f t="shared" si="422"/>
        <v>0</v>
      </c>
    </row>
    <row r="1098" spans="1:45">
      <c r="A1098" t="str">
        <f t="shared" si="420"/>
        <v>CA_Orang_2020g~city of westminster member, city council, district 2 (vote 1)</v>
      </c>
      <c r="B1098" s="55" t="s">
        <v>3536</v>
      </c>
      <c r="D1098" s="55" t="s">
        <v>4051</v>
      </c>
      <c r="E1098" s="55" t="s">
        <v>4054</v>
      </c>
      <c r="G1098" s="60">
        <v>1463</v>
      </c>
      <c r="H1098"/>
      <c r="J1098">
        <v>8413</v>
      </c>
      <c r="N1098">
        <v>803</v>
      </c>
      <c r="O1098">
        <f t="shared" si="426"/>
        <v>3</v>
      </c>
      <c r="P1098" s="57">
        <f t="shared" si="427"/>
        <v>1</v>
      </c>
      <c r="Q1098" s="267">
        <f t="shared" si="428"/>
        <v>1463</v>
      </c>
      <c r="R1098" s="23" t="str">
        <f t="shared" si="429"/>
        <v/>
      </c>
      <c r="S1098" s="23">
        <f t="shared" si="430"/>
        <v>1463</v>
      </c>
      <c r="T1098" s="23" t="str">
        <f t="shared" si="431"/>
        <v/>
      </c>
      <c r="U1098" t="str">
        <f t="shared" si="432"/>
        <v/>
      </c>
      <c r="W1098" s="1">
        <f t="shared" si="433"/>
        <v>129</v>
      </c>
      <c r="X1098" s="73">
        <f t="shared" si="424"/>
        <v>11.557932692307693</v>
      </c>
      <c r="Y1098" s="322">
        <f t="shared" si="434"/>
        <v>107.01900000000001</v>
      </c>
      <c r="Z1098" s="43">
        <f t="shared" si="425"/>
        <v>5.6774840981649105E-6</v>
      </c>
      <c r="AA1098" s="52">
        <f t="shared" si="435"/>
        <v>5.6774840981649107E-8</v>
      </c>
      <c r="AB1098" s="8">
        <f t="shared" si="436"/>
        <v>3145.28</v>
      </c>
      <c r="AC1098" s="8">
        <f t="shared" si="437"/>
        <v>157264</v>
      </c>
      <c r="AD1098" s="8">
        <f t="shared" si="440"/>
        <v>786.32</v>
      </c>
      <c r="AE1098" s="8" t="str">
        <f t="shared" si="438"/>
        <v/>
      </c>
      <c r="AF1098" s="22" t="str">
        <f t="shared" si="439"/>
        <v>PA_Alleg_2019p</v>
      </c>
      <c r="AG1098">
        <v>1</v>
      </c>
      <c r="AH1098" s="272">
        <v>1551</v>
      </c>
      <c r="AI1098" s="273">
        <v>1156</v>
      </c>
      <c r="AJ1098" s="274">
        <v>324</v>
      </c>
      <c r="AK1098" s="339">
        <v>832</v>
      </c>
      <c r="AL1098" s="340" t="s">
        <v>2329</v>
      </c>
      <c r="AM1098" s="353">
        <f t="shared" si="423"/>
        <v>5.290466985451216E-3</v>
      </c>
      <c r="AO1098" s="355" t="s">
        <v>6483</v>
      </c>
      <c r="AP1098" s="23">
        <f t="shared" si="418"/>
        <v>0</v>
      </c>
      <c r="AQ1098" s="392">
        <f t="shared" si="421"/>
        <v>0</v>
      </c>
      <c r="AR1098" s="392">
        <f t="shared" si="422"/>
        <v>0</v>
      </c>
      <c r="AS1098" s="392">
        <f t="shared" si="422"/>
        <v>0</v>
      </c>
    </row>
    <row r="1099" spans="1:45">
      <c r="A1099" t="str">
        <f t="shared" si="420"/>
        <v>CA_Orang_2020g~city of westminster member, city council, district 3 (vote 1)</v>
      </c>
      <c r="B1099" s="55" t="s">
        <v>3536</v>
      </c>
      <c r="D1099" s="55" t="s">
        <v>4055</v>
      </c>
      <c r="E1099" s="55" t="s">
        <v>4056</v>
      </c>
      <c r="G1099" s="60">
        <v>6285</v>
      </c>
      <c r="H1099"/>
      <c r="J1099">
        <v>10927</v>
      </c>
      <c r="N1099">
        <v>1102</v>
      </c>
      <c r="O1099">
        <f t="shared" si="426"/>
        <v>1</v>
      </c>
      <c r="P1099" s="57">
        <f t="shared" si="427"/>
        <v>1</v>
      </c>
      <c r="Q1099" s="267">
        <f t="shared" si="428"/>
        <v>9708</v>
      </c>
      <c r="R1099" s="23">
        <f t="shared" si="429"/>
        <v>6285</v>
      </c>
      <c r="S1099" s="23">
        <f t="shared" si="430"/>
        <v>3423</v>
      </c>
      <c r="T1099" s="23">
        <f t="shared" si="431"/>
        <v>2862</v>
      </c>
      <c r="U1099" t="str">
        <f t="shared" si="432"/>
        <v>CA_Orang_2020g~city of westminster member, city council, district 3 (vote 1)</v>
      </c>
      <c r="W1099" s="1">
        <f t="shared" si="433"/>
        <v>130</v>
      </c>
      <c r="X1099" s="73">
        <f t="shared" si="424"/>
        <v>15.048687350835323</v>
      </c>
      <c r="Y1099" s="322">
        <f t="shared" si="434"/>
        <v>140.346</v>
      </c>
      <c r="Z1099" s="43">
        <f t="shared" si="425"/>
        <v>5.0322522531289959E-6</v>
      </c>
      <c r="AA1099" s="52">
        <f t="shared" si="435"/>
        <v>5.0322522531289961E-8</v>
      </c>
      <c r="AB1099" s="8">
        <f t="shared" si="436"/>
        <v>3145.28</v>
      </c>
      <c r="AC1099" s="8">
        <f t="shared" si="437"/>
        <v>157264</v>
      </c>
      <c r="AD1099" s="8">
        <f t="shared" si="440"/>
        <v>786.32</v>
      </c>
      <c r="AE1099" s="8" t="str">
        <f t="shared" si="438"/>
        <v/>
      </c>
      <c r="AF1099" s="22" t="str">
        <f t="shared" si="439"/>
        <v>PA_Alleg_2019p</v>
      </c>
      <c r="AG1099">
        <v>1</v>
      </c>
      <c r="AH1099" s="272">
        <v>2034</v>
      </c>
      <c r="AI1099" s="273">
        <v>1432</v>
      </c>
      <c r="AJ1099" s="274">
        <v>594</v>
      </c>
      <c r="AK1099" s="339">
        <v>838</v>
      </c>
      <c r="AL1099" s="340" t="s">
        <v>2344</v>
      </c>
      <c r="AM1099" s="353">
        <f t="shared" si="423"/>
        <v>5.3286193915962968E-3</v>
      </c>
      <c r="AO1099" s="355" t="s">
        <v>6483</v>
      </c>
      <c r="AP1099" s="23">
        <f t="shared" si="418"/>
        <v>0</v>
      </c>
      <c r="AQ1099" s="392">
        <f t="shared" si="421"/>
        <v>0</v>
      </c>
      <c r="AR1099" s="392">
        <f t="shared" si="422"/>
        <v>0</v>
      </c>
      <c r="AS1099" s="392">
        <f t="shared" si="422"/>
        <v>0</v>
      </c>
    </row>
    <row r="1100" spans="1:45">
      <c r="A1100" t="str">
        <f t="shared" si="420"/>
        <v>CA_Orang_2020g~city of westminster member, city council, district 3 (vote 1)</v>
      </c>
      <c r="B1100" s="55" t="s">
        <v>3536</v>
      </c>
      <c r="D1100" s="55" t="s">
        <v>4055</v>
      </c>
      <c r="E1100" s="55" t="s">
        <v>4057</v>
      </c>
      <c r="G1100" s="60">
        <v>3423</v>
      </c>
      <c r="H1100"/>
      <c r="J1100">
        <v>10927</v>
      </c>
      <c r="N1100">
        <v>1102</v>
      </c>
      <c r="O1100">
        <f t="shared" si="426"/>
        <v>2</v>
      </c>
      <c r="P1100" s="57">
        <f t="shared" si="427"/>
        <v>1</v>
      </c>
      <c r="Q1100" s="267">
        <f t="shared" si="428"/>
        <v>3423</v>
      </c>
      <c r="R1100" s="23" t="str">
        <f t="shared" si="429"/>
        <v/>
      </c>
      <c r="S1100" s="23">
        <f t="shared" si="430"/>
        <v>3423</v>
      </c>
      <c r="T1100" s="23" t="str">
        <f t="shared" si="431"/>
        <v/>
      </c>
      <c r="U1100" t="str">
        <f t="shared" si="432"/>
        <v/>
      </c>
      <c r="W1100" s="1">
        <f t="shared" si="433"/>
        <v>131</v>
      </c>
      <c r="X1100" s="73">
        <f t="shared" si="424"/>
        <v>35.884302325581395</v>
      </c>
      <c r="Y1100" s="322">
        <f t="shared" si="434"/>
        <v>412.13700000000006</v>
      </c>
      <c r="Z1100" s="43">
        <f t="shared" si="425"/>
        <v>1.0153628670260731E-7</v>
      </c>
      <c r="AA1100" s="52">
        <f t="shared" si="435"/>
        <v>1.0153628670260732E-9</v>
      </c>
      <c r="AB1100" s="8">
        <f t="shared" si="436"/>
        <v>3145.28</v>
      </c>
      <c r="AC1100" s="8">
        <f t="shared" si="437"/>
        <v>157264</v>
      </c>
      <c r="AD1100" s="8">
        <f t="shared" si="440"/>
        <v>786.32</v>
      </c>
      <c r="AE1100" s="8" t="str">
        <f t="shared" si="438"/>
        <v/>
      </c>
      <c r="AF1100" s="22" t="str">
        <f t="shared" si="439"/>
        <v>PA_Alleg_2019p</v>
      </c>
      <c r="AG1100">
        <v>1</v>
      </c>
      <c r="AH1100" s="272">
        <v>5973</v>
      </c>
      <c r="AI1100" s="273">
        <v>3497</v>
      </c>
      <c r="AJ1100" s="274">
        <v>2465</v>
      </c>
      <c r="AK1100" s="339">
        <v>1032</v>
      </c>
      <c r="AL1100" s="340" t="s">
        <v>2361</v>
      </c>
      <c r="AM1100" s="353">
        <f t="shared" si="423"/>
        <v>6.5622138569539122E-3</v>
      </c>
      <c r="AO1100" s="355" t="s">
        <v>6483</v>
      </c>
      <c r="AP1100" s="23">
        <f t="shared" si="418"/>
        <v>0</v>
      </c>
      <c r="AQ1100" s="392">
        <f t="shared" si="421"/>
        <v>0</v>
      </c>
      <c r="AR1100" s="392">
        <f t="shared" si="422"/>
        <v>0</v>
      </c>
      <c r="AS1100" s="392">
        <f t="shared" si="422"/>
        <v>0</v>
      </c>
    </row>
    <row r="1101" spans="1:45">
      <c r="A1101" t="str">
        <f t="shared" si="420"/>
        <v>CA_Orang_2020g~coast community college district governing board member, trustee area 2 (vote 1)</v>
      </c>
      <c r="B1101" s="55" t="s">
        <v>3536</v>
      </c>
      <c r="D1101" s="55" t="s">
        <v>3572</v>
      </c>
      <c r="E1101" s="55" t="s">
        <v>3573</v>
      </c>
      <c r="G1101" s="60">
        <v>24420</v>
      </c>
      <c r="H1101"/>
      <c r="J1101">
        <v>55635</v>
      </c>
      <c r="N1101">
        <v>7267</v>
      </c>
      <c r="O1101">
        <f t="shared" si="426"/>
        <v>1</v>
      </c>
      <c r="P1101" s="57">
        <f t="shared" si="427"/>
        <v>1</v>
      </c>
      <c r="Q1101" s="267">
        <f t="shared" si="428"/>
        <v>47972</v>
      </c>
      <c r="R1101" s="23">
        <f t="shared" si="429"/>
        <v>24420</v>
      </c>
      <c r="S1101" s="23">
        <f t="shared" si="430"/>
        <v>13459</v>
      </c>
      <c r="T1101" s="23">
        <f t="shared" si="431"/>
        <v>10961</v>
      </c>
      <c r="U1101" t="str">
        <f t="shared" si="432"/>
        <v>CA_Orang_2020g~coast community college district governing board member, trustee area 2 (vote 1)</v>
      </c>
      <c r="W1101" s="1">
        <f t="shared" si="433"/>
        <v>132</v>
      </c>
      <c r="X1101" s="73">
        <f t="shared" si="424"/>
        <v>26.084530386740333</v>
      </c>
      <c r="Y1101" s="322">
        <f t="shared" si="434"/>
        <v>315.26100000000002</v>
      </c>
      <c r="Z1101" s="43">
        <f t="shared" si="425"/>
        <v>3.4229721333634575E-8</v>
      </c>
      <c r="AA1101" s="52">
        <f t="shared" si="435"/>
        <v>3.4229721333634576E-10</v>
      </c>
      <c r="AB1101" s="8">
        <f t="shared" si="436"/>
        <v>3145.28</v>
      </c>
      <c r="AC1101" s="8">
        <f t="shared" si="437"/>
        <v>157264</v>
      </c>
      <c r="AD1101" s="8">
        <f t="shared" si="440"/>
        <v>786.32</v>
      </c>
      <c r="AE1101" s="8" t="str">
        <f t="shared" si="438"/>
        <v/>
      </c>
      <c r="AF1101" s="22" t="str">
        <f t="shared" si="439"/>
        <v>PA_Alleg_2019p</v>
      </c>
      <c r="AG1101">
        <v>1</v>
      </c>
      <c r="AH1101" s="272">
        <v>4569</v>
      </c>
      <c r="AI1101" s="273">
        <v>2572</v>
      </c>
      <c r="AJ1101" s="274">
        <v>1486</v>
      </c>
      <c r="AK1101" s="339">
        <v>1086</v>
      </c>
      <c r="AL1101" s="340" t="s">
        <v>2359</v>
      </c>
      <c r="AM1101" s="353">
        <f t="shared" si="423"/>
        <v>6.9055855122596398E-3</v>
      </c>
      <c r="AO1101" s="355" t="s">
        <v>6483</v>
      </c>
      <c r="AP1101" s="23">
        <f t="shared" ref="AP1101:AP1164" si="441">MIN(AD1101, MAX(0,ROUNDUP(AD1101*(0.5*AK1101/AC1101-0.005)/(RIGHT(AP$1,3)-0.005),0)))</f>
        <v>0</v>
      </c>
      <c r="AQ1101" s="392">
        <f t="shared" si="421"/>
        <v>0</v>
      </c>
      <c r="AR1101" s="392">
        <f t="shared" si="422"/>
        <v>0</v>
      </c>
      <c r="AS1101" s="392">
        <f t="shared" si="422"/>
        <v>0</v>
      </c>
    </row>
    <row r="1102" spans="1:45">
      <c r="A1102" t="str">
        <f t="shared" si="420"/>
        <v>CA_Orang_2020g~coast community college district governing board member, trustee area 2 (vote 1)</v>
      </c>
      <c r="B1102" s="55" t="s">
        <v>3536</v>
      </c>
      <c r="D1102" s="55" t="s">
        <v>3572</v>
      </c>
      <c r="E1102" s="55" t="s">
        <v>3575</v>
      </c>
      <c r="G1102" s="60">
        <v>13459</v>
      </c>
      <c r="H1102"/>
      <c r="J1102">
        <v>55635</v>
      </c>
      <c r="N1102">
        <v>7267</v>
      </c>
      <c r="O1102">
        <f t="shared" si="426"/>
        <v>2</v>
      </c>
      <c r="P1102" s="57">
        <f t="shared" si="427"/>
        <v>1</v>
      </c>
      <c r="Q1102" s="267">
        <f t="shared" si="428"/>
        <v>23552</v>
      </c>
      <c r="R1102" s="23" t="str">
        <f t="shared" si="429"/>
        <v/>
      </c>
      <c r="S1102" s="23">
        <f t="shared" si="430"/>
        <v>13459</v>
      </c>
      <c r="T1102" s="23" t="str">
        <f t="shared" si="431"/>
        <v/>
      </c>
      <c r="U1102" t="str">
        <f t="shared" si="432"/>
        <v/>
      </c>
      <c r="W1102" s="1">
        <f t="shared" si="433"/>
        <v>133</v>
      </c>
      <c r="X1102" s="73">
        <f t="shared" si="424"/>
        <v>37.076753175041418</v>
      </c>
      <c r="Y1102" s="322">
        <f t="shared" si="434"/>
        <v>747.2700000000001</v>
      </c>
      <c r="Z1102" s="43">
        <f t="shared" si="425"/>
        <v>1.5086236321436302E-14</v>
      </c>
      <c r="AA1102" s="52">
        <f t="shared" si="435"/>
        <v>1.5086236321436302E-16</v>
      </c>
      <c r="AB1102" s="8">
        <f t="shared" si="436"/>
        <v>3145.28</v>
      </c>
      <c r="AC1102" s="8">
        <f t="shared" si="437"/>
        <v>157264</v>
      </c>
      <c r="AD1102" s="8">
        <f t="shared" si="440"/>
        <v>786.32</v>
      </c>
      <c r="AE1102" s="8" t="str">
        <f t="shared" si="438"/>
        <v/>
      </c>
      <c r="AF1102" s="22" t="str">
        <f t="shared" si="439"/>
        <v>PA_Alleg_2019p</v>
      </c>
      <c r="AG1102">
        <v>1</v>
      </c>
      <c r="AH1102" s="272">
        <v>10830</v>
      </c>
      <c r="AI1102" s="273">
        <v>6298</v>
      </c>
      <c r="AJ1102" s="274">
        <v>4487</v>
      </c>
      <c r="AK1102" s="339">
        <v>1811</v>
      </c>
      <c r="AL1102" s="340" t="s">
        <v>2391</v>
      </c>
      <c r="AM1102" s="353">
        <f t="shared" si="423"/>
        <v>1.1515667921456913E-2</v>
      </c>
      <c r="AO1102" s="355" t="s">
        <v>6483</v>
      </c>
      <c r="AP1102" s="23">
        <f t="shared" si="441"/>
        <v>2</v>
      </c>
      <c r="AQ1102" s="392">
        <f t="shared" si="421"/>
        <v>2.0265473817280388E-2</v>
      </c>
      <c r="AR1102" s="392">
        <f t="shared" si="422"/>
        <v>9.9252848414126404E-2</v>
      </c>
      <c r="AS1102" s="392">
        <f t="shared" si="422"/>
        <v>0.36183206106870225</v>
      </c>
    </row>
    <row r="1103" spans="1:45">
      <c r="A1103" t="str">
        <f t="shared" si="420"/>
        <v>CA_Orang_2020g~coast community college district governing board member, trustee area 2 (vote 1)</v>
      </c>
      <c r="B1103" s="55" t="s">
        <v>3536</v>
      </c>
      <c r="D1103" s="55" t="s">
        <v>3572</v>
      </c>
      <c r="E1103" s="55" t="s">
        <v>3574</v>
      </c>
      <c r="G1103" s="60">
        <v>10093</v>
      </c>
      <c r="H1103"/>
      <c r="J1103">
        <v>55635</v>
      </c>
      <c r="N1103">
        <v>7267</v>
      </c>
      <c r="O1103">
        <f t="shared" si="426"/>
        <v>3</v>
      </c>
      <c r="P1103" s="57">
        <f t="shared" si="427"/>
        <v>1</v>
      </c>
      <c r="Q1103" s="267">
        <f t="shared" si="428"/>
        <v>10093</v>
      </c>
      <c r="R1103" s="23" t="str">
        <f t="shared" si="429"/>
        <v/>
      </c>
      <c r="S1103" s="23">
        <f t="shared" si="430"/>
        <v>10093</v>
      </c>
      <c r="T1103" s="23" t="str">
        <f t="shared" si="431"/>
        <v/>
      </c>
      <c r="U1103" t="str">
        <f t="shared" si="432"/>
        <v/>
      </c>
      <c r="W1103" s="1">
        <f t="shared" si="433"/>
        <v>134</v>
      </c>
      <c r="X1103" s="73">
        <f t="shared" ref="X1103:X1151" si="442">IF(AK1103=0,AH1103,MIN(AH1103,6.2/(AK1103/AH1103)))</f>
        <v>90.345879265091867</v>
      </c>
      <c r="Y1103" s="322">
        <f t="shared" si="434"/>
        <v>1915.4055000000001</v>
      </c>
      <c r="Z1103" s="43">
        <f t="shared" ref="Z1103:Z1151" si="443">AA1103*100</f>
        <v>2.2508454500362804E-15</v>
      </c>
      <c r="AA1103" s="52">
        <f t="shared" si="435"/>
        <v>2.2508454500362804E-17</v>
      </c>
      <c r="AB1103" s="8">
        <f t="shared" si="436"/>
        <v>3145.28</v>
      </c>
      <c r="AC1103" s="8">
        <f t="shared" si="437"/>
        <v>157264</v>
      </c>
      <c r="AD1103" s="8">
        <f t="shared" si="440"/>
        <v>786.32</v>
      </c>
      <c r="AE1103" s="8" t="str">
        <f t="shared" si="438"/>
        <v/>
      </c>
      <c r="AF1103" s="22" t="str">
        <f t="shared" si="439"/>
        <v>PA_Alleg_2019p</v>
      </c>
      <c r="AG1103">
        <v>2</v>
      </c>
      <c r="AH1103" s="272">
        <v>27759.5</v>
      </c>
      <c r="AI1103" s="273">
        <v>17773</v>
      </c>
      <c r="AJ1103" s="274">
        <v>15868</v>
      </c>
      <c r="AK1103" s="339">
        <v>1905</v>
      </c>
      <c r="AL1103" s="340" t="s">
        <v>2432</v>
      </c>
      <c r="AM1103" s="353">
        <f t="shared" si="423"/>
        <v>1.2113388951063181E-2</v>
      </c>
      <c r="AO1103" s="355" t="s">
        <v>6485</v>
      </c>
      <c r="AP1103" s="23">
        <f t="shared" si="441"/>
        <v>2</v>
      </c>
      <c r="AQ1103" s="392">
        <f t="shared" si="421"/>
        <v>2.0265473817280388E-2</v>
      </c>
      <c r="AR1103" s="392">
        <f t="shared" si="422"/>
        <v>9.9252848414126404E-2</v>
      </c>
      <c r="AS1103" s="392">
        <f t="shared" si="422"/>
        <v>0.36183206106870225</v>
      </c>
    </row>
    <row r="1104" spans="1:45">
      <c r="A1104" t="str">
        <f t="shared" si="420"/>
        <v>CA_Orang_2020g~coast community college district governing board member, trustee area 4 (vote 1)</v>
      </c>
      <c r="B1104" s="55" t="s">
        <v>3536</v>
      </c>
      <c r="D1104" s="55" t="s">
        <v>3576</v>
      </c>
      <c r="E1104" s="55" t="s">
        <v>3578</v>
      </c>
      <c r="G1104" s="60">
        <v>39047</v>
      </c>
      <c r="H1104"/>
      <c r="J1104">
        <v>67497</v>
      </c>
      <c r="N1104">
        <v>13378</v>
      </c>
      <c r="O1104">
        <f t="shared" si="426"/>
        <v>1</v>
      </c>
      <c r="P1104" s="57">
        <f t="shared" si="427"/>
        <v>1</v>
      </c>
      <c r="Q1104" s="267">
        <f t="shared" si="428"/>
        <v>53775</v>
      </c>
      <c r="R1104" s="23">
        <f t="shared" si="429"/>
        <v>39047</v>
      </c>
      <c r="S1104" s="23">
        <f t="shared" si="430"/>
        <v>14728</v>
      </c>
      <c r="T1104" s="23">
        <f t="shared" si="431"/>
        <v>24319</v>
      </c>
      <c r="U1104" t="str">
        <f t="shared" si="432"/>
        <v>CA_Orang_2020g~coast community college district governing board member, trustee area 4 (vote 1)</v>
      </c>
      <c r="W1104" s="1">
        <f t="shared" si="433"/>
        <v>135</v>
      </c>
      <c r="X1104" s="73">
        <f t="shared" si="442"/>
        <v>19.740330969267138</v>
      </c>
      <c r="Y1104" s="322">
        <f t="shared" si="434"/>
        <v>464.64600000000002</v>
      </c>
      <c r="Z1104" s="43">
        <f t="shared" si="443"/>
        <v>3.1966392640212946E-17</v>
      </c>
      <c r="AA1104" s="52">
        <f t="shared" si="435"/>
        <v>3.1966392640212943E-19</v>
      </c>
      <c r="AB1104" s="8">
        <f t="shared" si="436"/>
        <v>3145.28</v>
      </c>
      <c r="AC1104" s="8">
        <f t="shared" si="437"/>
        <v>157264</v>
      </c>
      <c r="AD1104" s="8">
        <f t="shared" si="440"/>
        <v>786.32</v>
      </c>
      <c r="AE1104" s="8" t="str">
        <f t="shared" si="438"/>
        <v/>
      </c>
      <c r="AF1104" s="22" t="str">
        <f t="shared" si="439"/>
        <v>PA_Alleg_2019p</v>
      </c>
      <c r="AG1104">
        <v>1</v>
      </c>
      <c r="AH1104" s="272">
        <v>6734</v>
      </c>
      <c r="AI1104" s="273">
        <v>4402</v>
      </c>
      <c r="AJ1104" s="274">
        <v>2287</v>
      </c>
      <c r="AK1104" s="339">
        <v>2115</v>
      </c>
      <c r="AL1104" s="340" t="s">
        <v>2392</v>
      </c>
      <c r="AM1104" s="353">
        <f t="shared" si="423"/>
        <v>1.3448723166141012E-2</v>
      </c>
      <c r="AO1104" s="355" t="s">
        <v>6483</v>
      </c>
      <c r="AP1104" s="23">
        <f t="shared" si="441"/>
        <v>3</v>
      </c>
      <c r="AQ1104" s="392">
        <f t="shared" si="421"/>
        <v>3.0262764900777506E-2</v>
      </c>
      <c r="AR1104" s="392">
        <f t="shared" si="422"/>
        <v>0.14520933573993655</v>
      </c>
      <c r="AS1104" s="392">
        <f t="shared" si="422"/>
        <v>0.49044243651659125</v>
      </c>
    </row>
    <row r="1105" spans="1:51">
      <c r="A1105" t="str">
        <f t="shared" si="420"/>
        <v>CA_Orang_2020g~coast community college district governing board member, trustee area 4 (vote 1)</v>
      </c>
      <c r="B1105" s="55" t="s">
        <v>3536</v>
      </c>
      <c r="D1105" s="55" t="s">
        <v>3576</v>
      </c>
      <c r="E1105" s="55" t="s">
        <v>3577</v>
      </c>
      <c r="G1105" s="60">
        <v>14728</v>
      </c>
      <c r="H1105"/>
      <c r="J1105">
        <v>67497</v>
      </c>
      <c r="N1105">
        <v>13378</v>
      </c>
      <c r="O1105">
        <f t="shared" si="426"/>
        <v>2</v>
      </c>
      <c r="P1105" s="57">
        <f t="shared" si="427"/>
        <v>1</v>
      </c>
      <c r="Q1105" s="267">
        <f t="shared" si="428"/>
        <v>14728</v>
      </c>
      <c r="R1105" s="23" t="str">
        <f t="shared" si="429"/>
        <v/>
      </c>
      <c r="S1105" s="23">
        <f t="shared" si="430"/>
        <v>14728</v>
      </c>
      <c r="T1105" s="23" t="str">
        <f t="shared" si="431"/>
        <v/>
      </c>
      <c r="U1105" t="str">
        <f t="shared" si="432"/>
        <v/>
      </c>
      <c r="W1105" s="1">
        <f t="shared" si="433"/>
        <v>136</v>
      </c>
      <c r="X1105" s="73">
        <f t="shared" si="442"/>
        <v>87.178517520215635</v>
      </c>
      <c r="Y1105" s="322">
        <f t="shared" si="434"/>
        <v>7198.9770000000008</v>
      </c>
      <c r="Z1105" s="43">
        <f t="shared" si="443"/>
        <v>9.5653032119290837E-65</v>
      </c>
      <c r="AA1105" s="52">
        <f t="shared" si="435"/>
        <v>9.5653032119290842E-67</v>
      </c>
      <c r="AB1105" s="8">
        <f t="shared" si="436"/>
        <v>3145.28</v>
      </c>
      <c r="AC1105" s="8">
        <f t="shared" si="437"/>
        <v>157264</v>
      </c>
      <c r="AD1105" s="8">
        <f t="shared" si="440"/>
        <v>786.32</v>
      </c>
      <c r="AE1105" s="8" t="str">
        <f t="shared" si="438"/>
        <v/>
      </c>
      <c r="AF1105" s="22" t="str">
        <f t="shared" si="439"/>
        <v>PA_Alleg_2019p</v>
      </c>
      <c r="AG1105">
        <v>1</v>
      </c>
      <c r="AH1105" s="272">
        <v>104333</v>
      </c>
      <c r="AI1105" s="273">
        <v>55695</v>
      </c>
      <c r="AJ1105" s="274">
        <v>48275</v>
      </c>
      <c r="AK1105" s="339">
        <v>7420</v>
      </c>
      <c r="AL1105" s="340" t="s">
        <v>2390</v>
      </c>
      <c r="AM1105" s="353">
        <f t="shared" si="423"/>
        <v>4.7181808932750029E-2</v>
      </c>
      <c r="AO1105" s="355" t="s">
        <v>6485</v>
      </c>
      <c r="AP1105" s="23">
        <f t="shared" si="441"/>
        <v>25</v>
      </c>
      <c r="AQ1105" s="392">
        <f t="shared" si="421"/>
        <v>0.22876748995902274</v>
      </c>
      <c r="AR1105" s="392">
        <f t="shared" si="422"/>
        <v>0.73464656462902189</v>
      </c>
      <c r="AS1105" s="392">
        <f t="shared" si="422"/>
        <v>0.9966831868512871</v>
      </c>
    </row>
    <row r="1106" spans="1:51">
      <c r="A1106" t="str">
        <f t="shared" si="420"/>
        <v>CA_Orang_2020g~costa mesa sanitary district director, division 2 (vote 1)</v>
      </c>
      <c r="B1106" s="55" t="s">
        <v>3536</v>
      </c>
      <c r="D1106" s="55" t="s">
        <v>4071</v>
      </c>
      <c r="E1106" s="55" t="s">
        <v>4073</v>
      </c>
      <c r="G1106" s="60">
        <v>6332</v>
      </c>
      <c r="H1106"/>
      <c r="J1106">
        <v>14003</v>
      </c>
      <c r="N1106">
        <v>2232</v>
      </c>
      <c r="O1106">
        <f t="shared" si="426"/>
        <v>1</v>
      </c>
      <c r="P1106" s="57">
        <f t="shared" si="427"/>
        <v>1</v>
      </c>
      <c r="Q1106" s="267">
        <f t="shared" si="428"/>
        <v>11708</v>
      </c>
      <c r="R1106" s="23">
        <f t="shared" si="429"/>
        <v>6332</v>
      </c>
      <c r="S1106" s="23">
        <f t="shared" si="430"/>
        <v>5376</v>
      </c>
      <c r="T1106" s="23">
        <f t="shared" si="431"/>
        <v>956</v>
      </c>
      <c r="U1106" t="str">
        <f t="shared" si="432"/>
        <v>CA_Orang_2020g~costa mesa sanitary district director, division 2 (vote 1)</v>
      </c>
      <c r="W1106" s="1">
        <f t="shared" si="433"/>
        <v>137</v>
      </c>
      <c r="X1106" s="73">
        <f t="shared" si="442"/>
        <v>33.818735570074175</v>
      </c>
      <c r="Y1106" s="322">
        <f t="shared" si="434"/>
        <v>7661.76</v>
      </c>
      <c r="Z1106" s="43">
        <f t="shared" si="443"/>
        <v>4.3915777578231162E-188</v>
      </c>
      <c r="AA1106" s="52">
        <f t="shared" si="435"/>
        <v>4.3915777578231164E-190</v>
      </c>
      <c r="AB1106" s="8">
        <f t="shared" si="436"/>
        <v>3145.28</v>
      </c>
      <c r="AC1106" s="8">
        <f t="shared" si="437"/>
        <v>157264</v>
      </c>
      <c r="AD1106" s="8">
        <f t="shared" si="440"/>
        <v>786.32</v>
      </c>
      <c r="AE1106" s="8" t="str">
        <f t="shared" si="438"/>
        <v/>
      </c>
      <c r="AF1106" s="22" t="str">
        <f t="shared" si="439"/>
        <v>PA_Alleg_2019p</v>
      </c>
      <c r="AG1106">
        <v>1</v>
      </c>
      <c r="AH1106" s="272">
        <v>111040</v>
      </c>
      <c r="AI1106" s="273">
        <v>65581</v>
      </c>
      <c r="AJ1106" s="274">
        <v>45224</v>
      </c>
      <c r="AK1106" s="339">
        <v>20357</v>
      </c>
      <c r="AL1106" s="344" t="s">
        <v>2340</v>
      </c>
      <c r="AM1106" s="353">
        <f t="shared" si="423"/>
        <v>0.12944475531590191</v>
      </c>
      <c r="AO1106" s="355" t="s">
        <v>6485</v>
      </c>
      <c r="AP1106" s="23">
        <f t="shared" si="441"/>
        <v>79</v>
      </c>
      <c r="AQ1106" s="392">
        <f t="shared" si="421"/>
        <v>0.57319007365316987</v>
      </c>
      <c r="AR1106" s="392">
        <f t="shared" si="422"/>
        <v>0.98711920200497272</v>
      </c>
      <c r="AS1106" s="392">
        <f t="shared" si="422"/>
        <v>0.99999999312880195</v>
      </c>
    </row>
    <row r="1107" spans="1:51">
      <c r="A1107" t="str">
        <f t="shared" si="420"/>
        <v>CA_Orang_2020g~costa mesa sanitary district director, division 2 (vote 1)</v>
      </c>
      <c r="B1107" s="55" t="s">
        <v>3536</v>
      </c>
      <c r="D1107" s="55" t="s">
        <v>4071</v>
      </c>
      <c r="E1107" s="55" t="s">
        <v>4072</v>
      </c>
      <c r="G1107" s="60">
        <v>5376</v>
      </c>
      <c r="H1107"/>
      <c r="J1107">
        <v>14003</v>
      </c>
      <c r="N1107">
        <v>2232</v>
      </c>
      <c r="O1107">
        <f t="shared" si="426"/>
        <v>2</v>
      </c>
      <c r="P1107" s="57">
        <f t="shared" si="427"/>
        <v>1</v>
      </c>
      <c r="Q1107" s="267">
        <f t="shared" si="428"/>
        <v>5376</v>
      </c>
      <c r="R1107" s="23" t="str">
        <f t="shared" si="429"/>
        <v/>
      </c>
      <c r="S1107" s="23">
        <f t="shared" si="430"/>
        <v>5376</v>
      </c>
      <c r="T1107" s="23" t="str">
        <f t="shared" si="431"/>
        <v/>
      </c>
      <c r="U1107" t="str">
        <f t="shared" si="432"/>
        <v/>
      </c>
      <c r="W1107" s="1">
        <f t="shared" si="433"/>
        <v>138</v>
      </c>
      <c r="X1107" s="73">
        <f t="shared" si="442"/>
        <v>9.9385178122880031</v>
      </c>
      <c r="Y1107" s="322">
        <f t="shared" si="434"/>
        <v>6032.5665000000008</v>
      </c>
      <c r="Z1107" s="43">
        <f t="shared" si="443"/>
        <v>0</v>
      </c>
      <c r="AA1107" s="52">
        <f t="shared" si="435"/>
        <v>0</v>
      </c>
      <c r="AB1107" s="8">
        <f t="shared" si="436"/>
        <v>3145.28</v>
      </c>
      <c r="AC1107" s="8">
        <f t="shared" si="437"/>
        <v>157264</v>
      </c>
      <c r="AD1107" s="8">
        <f t="shared" si="440"/>
        <v>786.32</v>
      </c>
      <c r="AE1107" s="8" t="str">
        <f t="shared" si="438"/>
        <v/>
      </c>
      <c r="AF1107" s="22" t="str">
        <f t="shared" si="439"/>
        <v>PA_Alleg_2019p</v>
      </c>
      <c r="AG1107" s="89">
        <v>2</v>
      </c>
      <c r="AH1107" s="274">
        <v>87428.5</v>
      </c>
      <c r="AI1107" s="279">
        <v>75148</v>
      </c>
      <c r="AJ1107" s="280">
        <v>20607</v>
      </c>
      <c r="AK1107" s="92">
        <v>54541</v>
      </c>
      <c r="AL1107" s="23" t="s">
        <v>2342</v>
      </c>
      <c r="AM1107" s="353">
        <f t="shared" si="423"/>
        <v>0.34681173059314274</v>
      </c>
      <c r="AO1107" s="355" t="s">
        <v>6485</v>
      </c>
      <c r="AP1107" s="23">
        <f t="shared" si="441"/>
        <v>223</v>
      </c>
      <c r="AQ1107" s="392">
        <f t="shared" si="421"/>
        <v>0.93168568507994587</v>
      </c>
      <c r="AR1107" s="392">
        <f t="shared" si="422"/>
        <v>0.99999893941329798</v>
      </c>
      <c r="AS1107" s="392">
        <f t="shared" si="422"/>
        <v>1</v>
      </c>
    </row>
    <row r="1108" spans="1:51">
      <c r="A1108" t="str">
        <f t="shared" si="420"/>
        <v>CA_Orang_2020g~costa mesa sanitary district director, division 4 (vote 1)</v>
      </c>
      <c r="B1108" s="55" t="s">
        <v>3536</v>
      </c>
      <c r="D1108" s="55" t="s">
        <v>4074</v>
      </c>
      <c r="E1108" s="55" t="s">
        <v>4075</v>
      </c>
      <c r="G1108" s="60">
        <v>5623</v>
      </c>
      <c r="H1108"/>
      <c r="J1108">
        <v>9216</v>
      </c>
      <c r="N1108">
        <v>1145</v>
      </c>
      <c r="O1108">
        <f t="shared" si="426"/>
        <v>1</v>
      </c>
      <c r="P1108" s="57">
        <f t="shared" si="427"/>
        <v>1</v>
      </c>
      <c r="Q1108" s="267">
        <f t="shared" si="428"/>
        <v>8043</v>
      </c>
      <c r="R1108" s="23">
        <f t="shared" si="429"/>
        <v>5623</v>
      </c>
      <c r="S1108" s="23">
        <f t="shared" si="430"/>
        <v>2420</v>
      </c>
      <c r="T1108" s="23">
        <f t="shared" si="431"/>
        <v>3203</v>
      </c>
      <c r="U1108" t="str">
        <f t="shared" si="432"/>
        <v>CA_Orang_2020g~costa mesa sanitary district director, division 4 (vote 1)</v>
      </c>
      <c r="W1108" s="1">
        <f t="shared" si="433"/>
        <v>139</v>
      </c>
      <c r="X1108" s="73">
        <f t="shared" si="442"/>
        <v>9.3379856279882052</v>
      </c>
      <c r="Y1108" s="322">
        <f t="shared" si="434"/>
        <v>7259.8350000000009</v>
      </c>
      <c r="Z1108" s="43">
        <f t="shared" si="443"/>
        <v>0</v>
      </c>
      <c r="AA1108" s="52">
        <f t="shared" si="435"/>
        <v>0</v>
      </c>
      <c r="AB1108" s="8">
        <f t="shared" si="436"/>
        <v>3145.28</v>
      </c>
      <c r="AC1108" s="8">
        <f t="shared" si="437"/>
        <v>157264</v>
      </c>
      <c r="AD1108" s="8">
        <f t="shared" si="440"/>
        <v>786.32</v>
      </c>
      <c r="AE1108" s="8" t="str">
        <f t="shared" si="438"/>
        <v/>
      </c>
      <c r="AF1108" s="22" t="str">
        <f t="shared" si="439"/>
        <v>PA_Alleg_2019p</v>
      </c>
      <c r="AG1108">
        <v>1</v>
      </c>
      <c r="AH1108" s="272">
        <v>105215</v>
      </c>
      <c r="AI1108" s="273">
        <v>79444</v>
      </c>
      <c r="AJ1108" s="274">
        <v>9586</v>
      </c>
      <c r="AK1108" s="339">
        <v>69858</v>
      </c>
      <c r="AL1108" s="340" t="s">
        <v>2341</v>
      </c>
      <c r="AM1108" s="353">
        <f t="shared" si="423"/>
        <v>0.44420846474717673</v>
      </c>
      <c r="AO1108" s="355" t="s">
        <v>6486</v>
      </c>
      <c r="AP1108" s="23">
        <f t="shared" si="441"/>
        <v>287</v>
      </c>
      <c r="AQ1108" s="392">
        <f t="shared" si="421"/>
        <v>0.97415049395194875</v>
      </c>
      <c r="AR1108" s="392">
        <f t="shared" si="422"/>
        <v>0.99999999295320019</v>
      </c>
      <c r="AS1108" s="392">
        <f t="shared" si="422"/>
        <v>1</v>
      </c>
    </row>
    <row r="1109" spans="1:51">
      <c r="A1109" t="str">
        <f t="shared" si="420"/>
        <v>CA_Orang_2020g~costa mesa sanitary district director, division 4 (vote 1)</v>
      </c>
      <c r="B1109" s="55" t="s">
        <v>3536</v>
      </c>
      <c r="D1109" s="55" t="s">
        <v>4074</v>
      </c>
      <c r="E1109" s="55" t="s">
        <v>4076</v>
      </c>
      <c r="G1109" s="60">
        <v>2420</v>
      </c>
      <c r="H1109"/>
      <c r="J1109">
        <v>9216</v>
      </c>
      <c r="N1109">
        <v>1145</v>
      </c>
      <c r="O1109">
        <f t="shared" si="426"/>
        <v>2</v>
      </c>
      <c r="P1109" s="57">
        <f t="shared" si="427"/>
        <v>1</v>
      </c>
      <c r="Q1109" s="267">
        <f t="shared" si="428"/>
        <v>2420</v>
      </c>
      <c r="R1109" s="23" t="str">
        <f t="shared" si="429"/>
        <v/>
      </c>
      <c r="S1109" s="23">
        <f t="shared" si="430"/>
        <v>2420</v>
      </c>
      <c r="T1109" s="23" t="str">
        <f t="shared" si="431"/>
        <v/>
      </c>
      <c r="U1109" t="str">
        <f t="shared" si="432"/>
        <v/>
      </c>
      <c r="W1109" s="1">
        <f t="shared" si="433"/>
        <v>1</v>
      </c>
      <c r="X1109" s="73">
        <f t="shared" si="442"/>
        <v>31.468277945619338</v>
      </c>
      <c r="Y1109" s="322">
        <f t="shared" si="434"/>
        <v>115.92000000000002</v>
      </c>
      <c r="Z1109" s="43">
        <f t="shared" si="443"/>
        <v>0.13314162368277874</v>
      </c>
      <c r="AA1109" s="52">
        <f t="shared" si="435"/>
        <v>1.3314162368277874E-3</v>
      </c>
      <c r="AB1109" s="8">
        <f t="shared" si="436"/>
        <v>14496</v>
      </c>
      <c r="AC1109" s="8">
        <f t="shared" si="437"/>
        <v>724800</v>
      </c>
      <c r="AD1109" s="8">
        <f t="shared" si="440"/>
        <v>3624</v>
      </c>
      <c r="AE1109" s="8" t="str">
        <f t="shared" si="438"/>
        <v/>
      </c>
      <c r="AF1109" s="22" t="str">
        <f t="shared" si="439"/>
        <v>PA_Alleg_2020g</v>
      </c>
      <c r="AG1109">
        <v>1</v>
      </c>
      <c r="AH1109" s="272">
        <v>1680</v>
      </c>
      <c r="AI1109" s="273">
        <v>1004</v>
      </c>
      <c r="AJ1109" s="274">
        <v>673</v>
      </c>
      <c r="AK1109" s="339">
        <v>331</v>
      </c>
      <c r="AL1109" s="340" t="s">
        <v>2474</v>
      </c>
      <c r="AN1109" s="365"/>
      <c r="AO1109" s="366" t="s">
        <v>6505</v>
      </c>
      <c r="AP1109" s="23">
        <f t="shared" si="441"/>
        <v>0</v>
      </c>
      <c r="AQ1109" s="392">
        <f t="shared" si="421"/>
        <v>0</v>
      </c>
      <c r="AR1109" s="392">
        <f t="shared" si="422"/>
        <v>0</v>
      </c>
      <c r="AS1109" s="392">
        <f t="shared" si="422"/>
        <v>0</v>
      </c>
    </row>
    <row r="1110" spans="1:51">
      <c r="A1110" t="str">
        <f t="shared" si="420"/>
        <v>CA_Orang_2020g~county supervisor, 1st district (vote 1)</v>
      </c>
      <c r="B1110" s="55" t="s">
        <v>3536</v>
      </c>
      <c r="D1110" s="55" t="s">
        <v>3723</v>
      </c>
      <c r="E1110" s="55" t="s">
        <v>3724</v>
      </c>
      <c r="G1110" s="60">
        <v>106252</v>
      </c>
      <c r="H1110"/>
      <c r="J1110">
        <v>222965</v>
      </c>
      <c r="N1110">
        <v>17183</v>
      </c>
      <c r="O1110">
        <f t="shared" si="426"/>
        <v>1</v>
      </c>
      <c r="P1110" s="57">
        <f t="shared" si="427"/>
        <v>1</v>
      </c>
      <c r="Q1110" s="267">
        <f t="shared" si="428"/>
        <v>204945</v>
      </c>
      <c r="R1110" s="23">
        <f t="shared" si="429"/>
        <v>106252</v>
      </c>
      <c r="S1110" s="23">
        <f t="shared" si="430"/>
        <v>98693</v>
      </c>
      <c r="T1110" s="23">
        <f t="shared" si="431"/>
        <v>7559</v>
      </c>
      <c r="U1110" t="str">
        <f t="shared" si="432"/>
        <v>CA_Orang_2020g~county supervisor, 1st district (vote 1)</v>
      </c>
      <c r="W1110" s="1">
        <f t="shared" si="433"/>
        <v>2</v>
      </c>
      <c r="X1110" s="73">
        <f t="shared" si="442"/>
        <v>157.45884861407248</v>
      </c>
      <c r="Y1110" s="322">
        <f t="shared" si="434"/>
        <v>1643.7180000000001</v>
      </c>
      <c r="Z1110" s="43">
        <f t="shared" si="443"/>
        <v>7.036537561253469E-7</v>
      </c>
      <c r="AA1110" s="52">
        <f t="shared" si="435"/>
        <v>7.036537561253469E-9</v>
      </c>
      <c r="AB1110" s="8">
        <f t="shared" si="436"/>
        <v>14496</v>
      </c>
      <c r="AC1110" s="8">
        <f t="shared" si="437"/>
        <v>724800</v>
      </c>
      <c r="AD1110" s="8">
        <f t="shared" si="440"/>
        <v>3624</v>
      </c>
      <c r="AE1110" s="8" t="str">
        <f t="shared" si="438"/>
        <v/>
      </c>
      <c r="AF1110" s="22" t="str">
        <f t="shared" si="439"/>
        <v>PA_Alleg_2020g</v>
      </c>
      <c r="AG1110">
        <v>1</v>
      </c>
      <c r="AH1110" s="272">
        <v>23822</v>
      </c>
      <c r="AI1110" s="273">
        <v>12359</v>
      </c>
      <c r="AJ1110" s="274">
        <v>11421</v>
      </c>
      <c r="AK1110" s="339">
        <v>938</v>
      </c>
      <c r="AL1110" s="340" t="s">
        <v>2480</v>
      </c>
      <c r="AN1110" s="365"/>
      <c r="AO1110" s="366" t="s">
        <v>6505</v>
      </c>
      <c r="AP1110" s="23">
        <f t="shared" si="441"/>
        <v>0</v>
      </c>
      <c r="AQ1110" s="392">
        <f t="shared" si="421"/>
        <v>0</v>
      </c>
      <c r="AR1110" s="392">
        <f t="shared" si="422"/>
        <v>0</v>
      </c>
      <c r="AS1110" s="392">
        <f t="shared" si="422"/>
        <v>0</v>
      </c>
    </row>
    <row r="1111" spans="1:51">
      <c r="A1111" t="str">
        <f t="shared" si="420"/>
        <v>CA_Orang_2020g~county supervisor, 1st district (vote 1)</v>
      </c>
      <c r="B1111" s="55" t="s">
        <v>3536</v>
      </c>
      <c r="D1111" s="55" t="s">
        <v>3723</v>
      </c>
      <c r="E1111" s="55" t="s">
        <v>3328</v>
      </c>
      <c r="G1111" s="60">
        <v>98693</v>
      </c>
      <c r="H1111"/>
      <c r="J1111">
        <v>222965</v>
      </c>
      <c r="N1111">
        <v>17183</v>
      </c>
      <c r="O1111">
        <f t="shared" si="426"/>
        <v>2</v>
      </c>
      <c r="P1111" s="57">
        <f t="shared" si="427"/>
        <v>1</v>
      </c>
      <c r="Q1111" s="267">
        <f t="shared" si="428"/>
        <v>98693</v>
      </c>
      <c r="R1111" s="23" t="str">
        <f t="shared" si="429"/>
        <v/>
      </c>
      <c r="S1111" s="23">
        <f t="shared" si="430"/>
        <v>98693</v>
      </c>
      <c r="T1111" s="23" t="str">
        <f t="shared" si="431"/>
        <v/>
      </c>
      <c r="U1111" t="str">
        <f t="shared" si="432"/>
        <v/>
      </c>
      <c r="W1111" s="1">
        <f t="shared" si="433"/>
        <v>3</v>
      </c>
      <c r="X1111" s="73">
        <f t="shared" si="442"/>
        <v>357.07972876516772</v>
      </c>
      <c r="Y1111" s="322">
        <f t="shared" si="434"/>
        <v>11135.013000000001</v>
      </c>
      <c r="Z1111" s="43">
        <f t="shared" si="443"/>
        <v>4.1207079731647855E-23</v>
      </c>
      <c r="AA1111" s="52">
        <f t="shared" si="435"/>
        <v>4.1207079731647857E-25</v>
      </c>
      <c r="AB1111" s="8">
        <f t="shared" si="436"/>
        <v>14496</v>
      </c>
      <c r="AC1111" s="8">
        <f t="shared" si="437"/>
        <v>724800</v>
      </c>
      <c r="AD1111" s="8">
        <f t="shared" si="440"/>
        <v>3624</v>
      </c>
      <c r="AE1111" s="8" t="str">
        <f t="shared" si="438"/>
        <v/>
      </c>
      <c r="AF1111" s="22" t="str">
        <f t="shared" si="439"/>
        <v>PA_Alleg_2020g</v>
      </c>
      <c r="AG1111" s="23">
        <v>1</v>
      </c>
      <c r="AH1111" s="8">
        <v>161377</v>
      </c>
      <c r="AI1111" s="273">
        <v>82022</v>
      </c>
      <c r="AJ1111" s="274">
        <v>79220</v>
      </c>
      <c r="AK1111" s="339">
        <v>2802</v>
      </c>
      <c r="AL1111" s="344" t="s">
        <v>2489</v>
      </c>
      <c r="AN1111" s="367"/>
      <c r="AO1111" s="368" t="s">
        <v>6504</v>
      </c>
      <c r="AP1111" s="23">
        <f t="shared" si="441"/>
        <v>0</v>
      </c>
      <c r="AQ1111" s="392">
        <f t="shared" si="421"/>
        <v>0</v>
      </c>
      <c r="AR1111" s="392">
        <f t="shared" si="422"/>
        <v>0</v>
      </c>
      <c r="AS1111" s="392">
        <f t="shared" si="422"/>
        <v>0</v>
      </c>
    </row>
    <row r="1112" spans="1:51">
      <c r="A1112" t="str">
        <f t="shared" si="420"/>
        <v>CA_Orang_2020g~dd-city of westminster, term limits (vote 1)</v>
      </c>
      <c r="B1112" s="55" t="s">
        <v>3536</v>
      </c>
      <c r="D1112" s="55" t="s">
        <v>4168</v>
      </c>
      <c r="E1112" s="55" t="s">
        <v>1393</v>
      </c>
      <c r="G1112" s="60">
        <v>29576</v>
      </c>
      <c r="H1112"/>
      <c r="J1112">
        <v>42422</v>
      </c>
      <c r="N1112">
        <v>3771</v>
      </c>
      <c r="O1112">
        <f t="shared" si="426"/>
        <v>1</v>
      </c>
      <c r="P1112" s="57">
        <f t="shared" si="427"/>
        <v>1</v>
      </c>
      <c r="Q1112" s="267">
        <f t="shared" si="428"/>
        <v>38607</v>
      </c>
      <c r="R1112" s="23">
        <f t="shared" si="429"/>
        <v>29576</v>
      </c>
      <c r="S1112" s="23">
        <f t="shared" si="430"/>
        <v>9031</v>
      </c>
      <c r="T1112" s="23">
        <f t="shared" si="431"/>
        <v>20545</v>
      </c>
      <c r="U1112" t="str">
        <f t="shared" si="432"/>
        <v>CA_Orang_2020g~dd-city of westminster, term limits (vote 1)</v>
      </c>
      <c r="W1112" s="1">
        <f t="shared" si="433"/>
        <v>4</v>
      </c>
      <c r="X1112" s="73">
        <f t="shared" si="442"/>
        <v>83.382751290616469</v>
      </c>
      <c r="Y1112" s="322">
        <f t="shared" si="434"/>
        <v>3055.8030000000003</v>
      </c>
      <c r="Z1112" s="43">
        <f t="shared" si="443"/>
        <v>2.1487824685694723E-27</v>
      </c>
      <c r="AA1112" s="52">
        <f t="shared" si="435"/>
        <v>2.1487824685694722E-29</v>
      </c>
      <c r="AB1112" s="8">
        <f t="shared" si="436"/>
        <v>14496</v>
      </c>
      <c r="AC1112" s="8">
        <f t="shared" si="437"/>
        <v>724800</v>
      </c>
      <c r="AD1112" s="8">
        <f t="shared" si="440"/>
        <v>3624</v>
      </c>
      <c r="AE1112" s="8" t="str">
        <f t="shared" si="438"/>
        <v/>
      </c>
      <c r="AF1112" s="22" t="str">
        <f t="shared" si="439"/>
        <v>PA_Alleg_2020g</v>
      </c>
      <c r="AG1112">
        <v>1</v>
      </c>
      <c r="AH1112" s="272">
        <v>44287</v>
      </c>
      <c r="AI1112" s="273">
        <v>23770</v>
      </c>
      <c r="AJ1112" s="274">
        <v>20477</v>
      </c>
      <c r="AK1112" s="339">
        <v>3293</v>
      </c>
      <c r="AL1112" s="340" t="s">
        <v>2478</v>
      </c>
      <c r="AN1112" s="365"/>
      <c r="AO1112" s="366" t="s">
        <v>6505</v>
      </c>
      <c r="AP1112" s="23">
        <f t="shared" si="441"/>
        <v>0</v>
      </c>
      <c r="AQ1112" s="392">
        <f t="shared" si="421"/>
        <v>0</v>
      </c>
      <c r="AR1112" s="392">
        <f t="shared" si="422"/>
        <v>0</v>
      </c>
      <c r="AS1112" s="392">
        <f t="shared" si="422"/>
        <v>0</v>
      </c>
    </row>
    <row r="1113" spans="1:51">
      <c r="A1113" t="str">
        <f t="shared" si="420"/>
        <v>CA_Orang_2020g~dd-city of westminster, term limits (vote 1)</v>
      </c>
      <c r="B1113" s="55" t="s">
        <v>3536</v>
      </c>
      <c r="D1113" s="55" t="s">
        <v>4168</v>
      </c>
      <c r="E1113" s="55" t="s">
        <v>1394</v>
      </c>
      <c r="G1113" s="60">
        <v>9031</v>
      </c>
      <c r="H1113"/>
      <c r="J1113">
        <v>42422</v>
      </c>
      <c r="N1113">
        <v>3771</v>
      </c>
      <c r="O1113">
        <f t="shared" si="426"/>
        <v>2</v>
      </c>
      <c r="P1113" s="57">
        <f t="shared" si="427"/>
        <v>1</v>
      </c>
      <c r="Q1113" s="267">
        <f t="shared" si="428"/>
        <v>9031</v>
      </c>
      <c r="R1113" s="23" t="str">
        <f t="shared" si="429"/>
        <v/>
      </c>
      <c r="S1113" s="23">
        <f t="shared" si="430"/>
        <v>9031</v>
      </c>
      <c r="T1113" s="23" t="str">
        <f t="shared" si="431"/>
        <v/>
      </c>
      <c r="U1113" t="str">
        <f t="shared" si="432"/>
        <v/>
      </c>
      <c r="W1113" s="1">
        <f t="shared" si="433"/>
        <v>5</v>
      </c>
      <c r="X1113" s="73">
        <f t="shared" si="442"/>
        <v>37.401141483929109</v>
      </c>
      <c r="Y1113" s="322">
        <f t="shared" si="434"/>
        <v>1385.6580000000001</v>
      </c>
      <c r="Z1113" s="43">
        <f t="shared" si="443"/>
        <v>1.0424745074403987E-27</v>
      </c>
      <c r="AA1113" s="52">
        <f t="shared" si="435"/>
        <v>1.0424745074403987E-29</v>
      </c>
      <c r="AB1113" s="8">
        <f t="shared" si="436"/>
        <v>14496</v>
      </c>
      <c r="AC1113" s="8">
        <f t="shared" si="437"/>
        <v>724800</v>
      </c>
      <c r="AD1113" s="8">
        <f t="shared" si="440"/>
        <v>3624</v>
      </c>
      <c r="AE1113" s="8" t="str">
        <f t="shared" si="438"/>
        <v/>
      </c>
      <c r="AF1113" s="22" t="str">
        <f t="shared" si="439"/>
        <v>PA_Alleg_2020g</v>
      </c>
      <c r="AG1113" s="23">
        <v>1</v>
      </c>
      <c r="AH1113" s="8">
        <v>20082</v>
      </c>
      <c r="AI1113" s="273">
        <v>11694</v>
      </c>
      <c r="AJ1113" s="274">
        <v>8365</v>
      </c>
      <c r="AK1113" s="339">
        <v>3329</v>
      </c>
      <c r="AL1113" s="344" t="s">
        <v>2488</v>
      </c>
      <c r="AN1113" s="365"/>
      <c r="AO1113" s="366" t="s">
        <v>6505</v>
      </c>
      <c r="AP1113" s="23">
        <f t="shared" si="441"/>
        <v>0</v>
      </c>
      <c r="AQ1113" s="392">
        <f t="shared" si="421"/>
        <v>0</v>
      </c>
      <c r="AR1113" s="392">
        <f t="shared" si="422"/>
        <v>0</v>
      </c>
      <c r="AS1113" s="392">
        <f t="shared" si="422"/>
        <v>0</v>
      </c>
    </row>
    <row r="1114" spans="1:51">
      <c r="A1114" t="str">
        <f t="shared" si="420"/>
        <v>CA_Orang_2020g~east orange county water district director (vote 1)</v>
      </c>
      <c r="B1114" s="55" t="s">
        <v>3536</v>
      </c>
      <c r="D1114" s="55" t="s">
        <v>4099</v>
      </c>
      <c r="E1114" s="55" t="s">
        <v>4101</v>
      </c>
      <c r="G1114" s="60">
        <v>17347</v>
      </c>
      <c r="H1114"/>
      <c r="J1114">
        <v>45588</v>
      </c>
      <c r="N1114">
        <v>38258</v>
      </c>
      <c r="O1114">
        <f t="shared" si="426"/>
        <v>1</v>
      </c>
      <c r="P1114" s="57">
        <f t="shared" si="427"/>
        <v>1</v>
      </c>
      <c r="Q1114" s="267">
        <f t="shared" si="428"/>
        <v>52644</v>
      </c>
      <c r="R1114" s="23">
        <f t="shared" si="429"/>
        <v>17347</v>
      </c>
      <c r="S1114" s="23">
        <f t="shared" si="430"/>
        <v>15567</v>
      </c>
      <c r="T1114" s="23">
        <f t="shared" si="431"/>
        <v>1780</v>
      </c>
      <c r="U1114" t="str">
        <f t="shared" si="432"/>
        <v>CA_Orang_2020g~east orange county water district director (vote 1)</v>
      </c>
      <c r="W1114" s="1">
        <f t="shared" si="433"/>
        <v>6</v>
      </c>
      <c r="X1114" s="73">
        <f t="shared" si="442"/>
        <v>45.131272539927878</v>
      </c>
      <c r="Y1114" s="322">
        <f t="shared" si="434"/>
        <v>1949.8020000000001</v>
      </c>
      <c r="Z1114" s="43">
        <f t="shared" si="443"/>
        <v>1.5515111439284827E-32</v>
      </c>
      <c r="AA1114" s="52">
        <f t="shared" si="435"/>
        <v>1.5515111439284827E-34</v>
      </c>
      <c r="AB1114" s="8">
        <f t="shared" si="436"/>
        <v>14496</v>
      </c>
      <c r="AC1114" s="8">
        <f t="shared" si="437"/>
        <v>724800</v>
      </c>
      <c r="AD1114" s="8">
        <f t="shared" si="440"/>
        <v>3624</v>
      </c>
      <c r="AE1114" s="8" t="str">
        <f t="shared" si="438"/>
        <v/>
      </c>
      <c r="AF1114" s="22" t="str">
        <f t="shared" si="439"/>
        <v>PA_Alleg_2020g</v>
      </c>
      <c r="AG1114">
        <v>1</v>
      </c>
      <c r="AH1114" s="272">
        <v>28258</v>
      </c>
      <c r="AI1114" s="273">
        <v>16062</v>
      </c>
      <c r="AJ1114" s="274">
        <v>12180</v>
      </c>
      <c r="AK1114" s="339">
        <v>3882</v>
      </c>
      <c r="AL1114" s="340" t="s">
        <v>2484</v>
      </c>
      <c r="AN1114" s="365"/>
      <c r="AO1114" s="366" t="s">
        <v>6505</v>
      </c>
      <c r="AP1114" s="23">
        <f t="shared" si="441"/>
        <v>0</v>
      </c>
      <c r="AQ1114" s="392">
        <f t="shared" si="421"/>
        <v>0</v>
      </c>
      <c r="AR1114" s="392">
        <f t="shared" si="422"/>
        <v>0</v>
      </c>
      <c r="AS1114" s="392">
        <f t="shared" si="422"/>
        <v>0</v>
      </c>
      <c r="AU1114" s="262" t="s">
        <v>6496</v>
      </c>
      <c r="AV1114" s="28"/>
      <c r="AW1114" s="264"/>
      <c r="AX1114" s="263" t="s">
        <v>6497</v>
      </c>
      <c r="AY1114" s="263"/>
    </row>
    <row r="1115" spans="1:51">
      <c r="A1115" t="str">
        <f t="shared" si="420"/>
        <v>CA_Orang_2020g~east orange county water district director (vote 1)</v>
      </c>
      <c r="B1115" s="55" t="s">
        <v>3536</v>
      </c>
      <c r="D1115" s="55" t="s">
        <v>4099</v>
      </c>
      <c r="E1115" s="55" t="s">
        <v>4100</v>
      </c>
      <c r="G1115" s="60">
        <v>15567</v>
      </c>
      <c r="H1115"/>
      <c r="J1115">
        <v>45588</v>
      </c>
      <c r="N1115">
        <v>38258</v>
      </c>
      <c r="O1115">
        <f t="shared" si="426"/>
        <v>2</v>
      </c>
      <c r="P1115" s="57">
        <f t="shared" si="427"/>
        <v>1</v>
      </c>
      <c r="Q1115" s="267">
        <f t="shared" si="428"/>
        <v>35297</v>
      </c>
      <c r="R1115" s="23" t="str">
        <f t="shared" si="429"/>
        <v/>
      </c>
      <c r="S1115" s="23">
        <f t="shared" si="430"/>
        <v>15567</v>
      </c>
      <c r="T1115" s="23" t="str">
        <f t="shared" si="431"/>
        <v/>
      </c>
      <c r="U1115" t="str">
        <f t="shared" si="432"/>
        <v/>
      </c>
      <c r="W1115" s="1">
        <f t="shared" si="433"/>
        <v>7</v>
      </c>
      <c r="X1115" s="73">
        <f t="shared" si="442"/>
        <v>62.757085427135678</v>
      </c>
      <c r="Y1115" s="322">
        <f t="shared" si="434"/>
        <v>2779.7340000000004</v>
      </c>
      <c r="Z1115" s="43">
        <f t="shared" si="443"/>
        <v>2.1622002164302897E-33</v>
      </c>
      <c r="AA1115" s="52">
        <f t="shared" si="435"/>
        <v>2.1622002164302898E-35</v>
      </c>
      <c r="AB1115" s="8">
        <f t="shared" si="436"/>
        <v>14496</v>
      </c>
      <c r="AC1115" s="8">
        <f t="shared" si="437"/>
        <v>724800</v>
      </c>
      <c r="AD1115" s="8">
        <f t="shared" si="440"/>
        <v>3624</v>
      </c>
      <c r="AE1115" s="8" t="str">
        <f t="shared" si="438"/>
        <v/>
      </c>
      <c r="AF1115" s="22" t="str">
        <f t="shared" si="439"/>
        <v>PA_Alleg_2020g</v>
      </c>
      <c r="AG1115">
        <v>1</v>
      </c>
      <c r="AH1115" s="272">
        <v>40286</v>
      </c>
      <c r="AI1115" s="273">
        <v>22106</v>
      </c>
      <c r="AJ1115" s="274">
        <v>18126</v>
      </c>
      <c r="AK1115" s="339">
        <v>3980</v>
      </c>
      <c r="AL1115" s="344" t="s">
        <v>2486</v>
      </c>
      <c r="AN1115" s="365"/>
      <c r="AO1115" s="366" t="s">
        <v>6505</v>
      </c>
      <c r="AP1115" s="23">
        <f t="shared" si="441"/>
        <v>0</v>
      </c>
      <c r="AQ1115" s="392">
        <f t="shared" si="421"/>
        <v>0</v>
      </c>
      <c r="AR1115" s="392">
        <f t="shared" si="422"/>
        <v>0</v>
      </c>
      <c r="AS1115" s="392">
        <f t="shared" si="422"/>
        <v>0</v>
      </c>
      <c r="AU1115" s="260"/>
      <c r="AV1115" s="28"/>
      <c r="AW1115" s="265"/>
      <c r="AX1115" s="266"/>
      <c r="AY1115" s="266"/>
    </row>
    <row r="1116" spans="1:51">
      <c r="A1116" t="str">
        <f t="shared" si="420"/>
        <v>CA_Orang_2020g~east orange county water district director (vote 1)</v>
      </c>
      <c r="B1116" s="55" t="s">
        <v>3536</v>
      </c>
      <c r="D1116" s="55" t="s">
        <v>4099</v>
      </c>
      <c r="E1116" s="55" t="s">
        <v>4103</v>
      </c>
      <c r="G1116" s="60">
        <v>12849</v>
      </c>
      <c r="H1116"/>
      <c r="J1116">
        <v>45588</v>
      </c>
      <c r="N1116">
        <v>38258</v>
      </c>
      <c r="O1116">
        <f t="shared" si="426"/>
        <v>3</v>
      </c>
      <c r="P1116" s="57">
        <f t="shared" si="427"/>
        <v>1</v>
      </c>
      <c r="Q1116" s="267">
        <f t="shared" si="428"/>
        <v>19730</v>
      </c>
      <c r="R1116" s="23" t="str">
        <f t="shared" si="429"/>
        <v/>
      </c>
      <c r="S1116" s="23">
        <f t="shared" si="430"/>
        <v>12849</v>
      </c>
      <c r="T1116" s="23" t="str">
        <f t="shared" si="431"/>
        <v/>
      </c>
      <c r="U1116" t="str">
        <f t="shared" si="432"/>
        <v/>
      </c>
      <c r="W1116" s="1">
        <f t="shared" si="433"/>
        <v>8</v>
      </c>
      <c r="X1116" s="73">
        <f t="shared" si="442"/>
        <v>64.5</v>
      </c>
      <c r="Y1116" s="322">
        <f t="shared" si="434"/>
        <v>2937.3300000000004</v>
      </c>
      <c r="Z1116" s="43">
        <f t="shared" si="443"/>
        <v>2.2731539572779626E-34</v>
      </c>
      <c r="AA1116" s="52">
        <f t="shared" si="435"/>
        <v>2.2731539572779627E-36</v>
      </c>
      <c r="AB1116" s="8">
        <f t="shared" si="436"/>
        <v>14496</v>
      </c>
      <c r="AC1116" s="8">
        <f t="shared" si="437"/>
        <v>724800</v>
      </c>
      <c r="AD1116" s="8">
        <f t="shared" si="440"/>
        <v>3624</v>
      </c>
      <c r="AE1116" s="8" t="str">
        <f t="shared" si="438"/>
        <v/>
      </c>
      <c r="AF1116" s="22" t="str">
        <f t="shared" si="439"/>
        <v>PA_Alleg_2020g</v>
      </c>
      <c r="AG1116">
        <v>1</v>
      </c>
      <c r="AH1116" s="272">
        <v>42570</v>
      </c>
      <c r="AI1116" s="273">
        <v>23309</v>
      </c>
      <c r="AJ1116" s="274">
        <v>19217</v>
      </c>
      <c r="AK1116" s="339">
        <v>4092</v>
      </c>
      <c r="AL1116" s="340" t="s">
        <v>2479</v>
      </c>
      <c r="AN1116" s="365"/>
      <c r="AO1116" s="366" t="s">
        <v>6505</v>
      </c>
      <c r="AP1116" s="23">
        <f t="shared" si="441"/>
        <v>0</v>
      </c>
      <c r="AQ1116" s="392">
        <f t="shared" si="421"/>
        <v>0</v>
      </c>
      <c r="AR1116" s="392">
        <f t="shared" si="422"/>
        <v>0</v>
      </c>
      <c r="AS1116" s="392">
        <f t="shared" si="422"/>
        <v>0</v>
      </c>
      <c r="AU1116" s="260"/>
      <c r="AV1116" s="28"/>
      <c r="AW1116" s="265"/>
      <c r="AX1116" s="266"/>
      <c r="AY1116" s="266"/>
    </row>
    <row r="1117" spans="1:51">
      <c r="A1117" t="str">
        <f t="shared" si="420"/>
        <v>CA_Orang_2020g~east orange county water district director (vote 1)</v>
      </c>
      <c r="B1117" s="55" t="s">
        <v>3536</v>
      </c>
      <c r="D1117" s="55" t="s">
        <v>4099</v>
      </c>
      <c r="E1117" s="55" t="s">
        <v>4102</v>
      </c>
      <c r="G1117" s="60">
        <v>6881</v>
      </c>
      <c r="H1117"/>
      <c r="J1117">
        <v>45588</v>
      </c>
      <c r="N1117">
        <v>38258</v>
      </c>
      <c r="O1117">
        <f t="shared" si="426"/>
        <v>4</v>
      </c>
      <c r="P1117" s="57">
        <f t="shared" si="427"/>
        <v>1</v>
      </c>
      <c r="Q1117" s="267">
        <f t="shared" si="428"/>
        <v>6881</v>
      </c>
      <c r="R1117" s="23" t="str">
        <f t="shared" si="429"/>
        <v/>
      </c>
      <c r="S1117" s="23">
        <f t="shared" si="430"/>
        <v>6881</v>
      </c>
      <c r="T1117" s="23" t="str">
        <f t="shared" si="431"/>
        <v/>
      </c>
      <c r="U1117" t="str">
        <f t="shared" si="432"/>
        <v/>
      </c>
      <c r="W1117" s="1">
        <f t="shared" si="433"/>
        <v>9</v>
      </c>
      <c r="X1117" s="73">
        <f t="shared" si="442"/>
        <v>50.975440976933513</v>
      </c>
      <c r="Y1117" s="322">
        <f t="shared" si="434"/>
        <v>2508.6330000000003</v>
      </c>
      <c r="Z1117" s="43">
        <f t="shared" si="443"/>
        <v>2.9740669093282761E-37</v>
      </c>
      <c r="AA1117" s="52">
        <f t="shared" si="435"/>
        <v>2.9740669093282762E-39</v>
      </c>
      <c r="AB1117" s="8">
        <f t="shared" si="436"/>
        <v>14496</v>
      </c>
      <c r="AC1117" s="8">
        <f t="shared" si="437"/>
        <v>724800</v>
      </c>
      <c r="AD1117" s="8">
        <f t="shared" si="440"/>
        <v>3624</v>
      </c>
      <c r="AE1117" s="8" t="str">
        <f t="shared" si="438"/>
        <v/>
      </c>
      <c r="AF1117" s="22" t="str">
        <f t="shared" si="439"/>
        <v>PA_Alleg_2020g</v>
      </c>
      <c r="AG1117">
        <v>1</v>
      </c>
      <c r="AH1117" s="272">
        <v>36357</v>
      </c>
      <c r="AI1117" s="273">
        <v>20352</v>
      </c>
      <c r="AJ1117" s="274">
        <v>15930</v>
      </c>
      <c r="AK1117" s="339">
        <v>4422</v>
      </c>
      <c r="AL1117" s="340" t="s">
        <v>2482</v>
      </c>
      <c r="AN1117" s="365"/>
      <c r="AO1117" s="366" t="s">
        <v>6505</v>
      </c>
      <c r="AP1117" s="23">
        <f t="shared" si="441"/>
        <v>0</v>
      </c>
      <c r="AQ1117" s="392">
        <f t="shared" si="421"/>
        <v>0</v>
      </c>
      <c r="AR1117" s="392">
        <f t="shared" si="422"/>
        <v>0</v>
      </c>
      <c r="AS1117" s="392">
        <f t="shared" si="422"/>
        <v>0</v>
      </c>
      <c r="AU1117" s="260">
        <v>0.1</v>
      </c>
      <c r="AV1117" s="28"/>
      <c r="AW1117" s="265">
        <f t="shared" ref="AW1117:AW1124" si="444">1-AU1117^(1/$AB$323)</f>
        <v>1.4887225881909938E-4</v>
      </c>
      <c r="AX1117" s="266">
        <v>140</v>
      </c>
      <c r="AY1117" s="266"/>
    </row>
    <row r="1118" spans="1:51">
      <c r="A1118" t="str">
        <f t="shared" si="420"/>
        <v>CA_Orang_2020g~fountain valley school district governing board member (vote 1)</v>
      </c>
      <c r="B1118" s="55" t="s">
        <v>3536</v>
      </c>
      <c r="D1118" s="55" t="s">
        <v>3708</v>
      </c>
      <c r="E1118" s="55" t="s">
        <v>3710</v>
      </c>
      <c r="G1118" s="60">
        <v>16386</v>
      </c>
      <c r="H1118"/>
      <c r="J1118">
        <v>33482</v>
      </c>
      <c r="N1118">
        <v>22171</v>
      </c>
      <c r="O1118">
        <f t="shared" si="426"/>
        <v>1</v>
      </c>
      <c r="P1118" s="57">
        <f t="shared" si="427"/>
        <v>1</v>
      </c>
      <c r="Q1118" s="267">
        <f t="shared" si="428"/>
        <v>44610</v>
      </c>
      <c r="R1118" s="23">
        <f t="shared" si="429"/>
        <v>16386</v>
      </c>
      <c r="S1118" s="23">
        <f t="shared" si="430"/>
        <v>12239</v>
      </c>
      <c r="T1118" s="23">
        <f t="shared" si="431"/>
        <v>4147</v>
      </c>
      <c r="U1118" t="str">
        <f t="shared" si="432"/>
        <v>CA_Orang_2020g~fountain valley school district governing board member (vote 1)</v>
      </c>
      <c r="W1118" s="1">
        <f t="shared" si="433"/>
        <v>10</v>
      </c>
      <c r="X1118" s="73">
        <f t="shared" si="442"/>
        <v>37.324022346368714</v>
      </c>
      <c r="Y1118" s="322">
        <f t="shared" si="434"/>
        <v>2304.9450000000002</v>
      </c>
      <c r="Z1118" s="43">
        <f t="shared" si="443"/>
        <v>4.1357246920908086E-47</v>
      </c>
      <c r="AA1118" s="52">
        <f t="shared" si="435"/>
        <v>4.1357246920908088E-49</v>
      </c>
      <c r="AB1118" s="8">
        <f t="shared" si="436"/>
        <v>14496</v>
      </c>
      <c r="AC1118" s="8">
        <f t="shared" si="437"/>
        <v>724800</v>
      </c>
      <c r="AD1118" s="8">
        <f t="shared" si="440"/>
        <v>3624</v>
      </c>
      <c r="AE1118" s="8" t="str">
        <f t="shared" si="438"/>
        <v/>
      </c>
      <c r="AF1118" s="22" t="str">
        <f t="shared" si="439"/>
        <v>PA_Alleg_2020g</v>
      </c>
      <c r="AG1118">
        <v>1</v>
      </c>
      <c r="AH1118" s="272">
        <v>33405</v>
      </c>
      <c r="AI1118" s="273">
        <v>19445</v>
      </c>
      <c r="AJ1118" s="274">
        <v>13896</v>
      </c>
      <c r="AK1118" s="339">
        <v>5549</v>
      </c>
      <c r="AL1118" s="340" t="s">
        <v>2477</v>
      </c>
      <c r="AN1118" s="365"/>
      <c r="AO1118" s="366" t="s">
        <v>6505</v>
      </c>
      <c r="AP1118" s="23">
        <f t="shared" si="441"/>
        <v>0</v>
      </c>
      <c r="AQ1118" s="392">
        <f t="shared" si="421"/>
        <v>0</v>
      </c>
      <c r="AR1118" s="392">
        <f t="shared" si="422"/>
        <v>0</v>
      </c>
      <c r="AS1118" s="392">
        <f t="shared" si="422"/>
        <v>0</v>
      </c>
      <c r="AU1118" s="260">
        <v>0.1</v>
      </c>
      <c r="AV1118" s="28"/>
      <c r="AW1118" s="265">
        <f t="shared" si="444"/>
        <v>1.4887225881909938E-4</v>
      </c>
      <c r="AX1118" s="266">
        <v>0</v>
      </c>
      <c r="AY1118" s="266"/>
    </row>
    <row r="1119" spans="1:51">
      <c r="A1119" t="str">
        <f t="shared" si="420"/>
        <v>CA_Orang_2020g~fountain valley school district governing board member (vote 1)</v>
      </c>
      <c r="B1119" s="55" t="s">
        <v>3536</v>
      </c>
      <c r="D1119" s="55" t="s">
        <v>3708</v>
      </c>
      <c r="E1119" s="55" t="s">
        <v>3709</v>
      </c>
      <c r="G1119" s="60">
        <v>12239</v>
      </c>
      <c r="H1119"/>
      <c r="J1119">
        <v>33482</v>
      </c>
      <c r="N1119">
        <v>22171</v>
      </c>
      <c r="O1119">
        <f t="shared" si="426"/>
        <v>2</v>
      </c>
      <c r="P1119" s="57">
        <f t="shared" si="427"/>
        <v>1</v>
      </c>
      <c r="Q1119" s="267">
        <f t="shared" si="428"/>
        <v>28224</v>
      </c>
      <c r="R1119" s="23" t="str">
        <f t="shared" si="429"/>
        <v/>
      </c>
      <c r="S1119" s="23">
        <f t="shared" si="430"/>
        <v>12239</v>
      </c>
      <c r="T1119" s="23" t="str">
        <f t="shared" si="431"/>
        <v/>
      </c>
      <c r="U1119" t="str">
        <f t="shared" si="432"/>
        <v/>
      </c>
      <c r="W1119" s="1">
        <f t="shared" si="433"/>
        <v>11</v>
      </c>
      <c r="X1119" s="73">
        <f t="shared" si="442"/>
        <v>109.10843915769169</v>
      </c>
      <c r="Y1119" s="322">
        <f t="shared" si="434"/>
        <v>7553.9820000000009</v>
      </c>
      <c r="Z1119" s="43">
        <f t="shared" si="443"/>
        <v>5.3932761294465419E-53</v>
      </c>
      <c r="AA1119" s="52">
        <f t="shared" si="435"/>
        <v>5.3932761294465423E-55</v>
      </c>
      <c r="AB1119" s="8">
        <f t="shared" si="436"/>
        <v>14496</v>
      </c>
      <c r="AC1119" s="8">
        <f t="shared" si="437"/>
        <v>724800</v>
      </c>
      <c r="AD1119" s="8">
        <f t="shared" si="440"/>
        <v>3624</v>
      </c>
      <c r="AE1119" s="8" t="str">
        <f t="shared" si="438"/>
        <v/>
      </c>
      <c r="AF1119" s="22" t="str">
        <f t="shared" si="439"/>
        <v>PA_Alleg_2020g</v>
      </c>
      <c r="AG1119" s="23">
        <v>1</v>
      </c>
      <c r="AH1119" s="8">
        <v>109478</v>
      </c>
      <c r="AI1119" s="273">
        <v>57782</v>
      </c>
      <c r="AJ1119" s="274">
        <v>51561</v>
      </c>
      <c r="AK1119" s="339">
        <v>6221</v>
      </c>
      <c r="AL1119" s="344" t="s">
        <v>2490</v>
      </c>
      <c r="AN1119" s="367"/>
      <c r="AO1119" s="368" t="s">
        <v>6504</v>
      </c>
      <c r="AP1119" s="23">
        <f t="shared" si="441"/>
        <v>0</v>
      </c>
      <c r="AQ1119" s="392">
        <f t="shared" si="421"/>
        <v>0</v>
      </c>
      <c r="AR1119" s="392">
        <f t="shared" si="422"/>
        <v>0</v>
      </c>
      <c r="AS1119" s="392">
        <f t="shared" si="422"/>
        <v>0</v>
      </c>
      <c r="AU1119" s="260">
        <f>AU1117*2</f>
        <v>0.2</v>
      </c>
      <c r="AV1119" s="28"/>
      <c r="AW1119" s="265">
        <f t="shared" si="444"/>
        <v>1.040595752063167E-4</v>
      </c>
      <c r="AX1119" s="266">
        <v>0</v>
      </c>
      <c r="AY1119" s="266"/>
    </row>
    <row r="1120" spans="1:51">
      <c r="A1120" t="str">
        <f t="shared" si="420"/>
        <v>CA_Orang_2020g~fountain valley school district governing board member (vote 1)</v>
      </c>
      <c r="B1120" s="55" t="s">
        <v>3536</v>
      </c>
      <c r="D1120" s="55" t="s">
        <v>3708</v>
      </c>
      <c r="E1120" s="55" t="s">
        <v>3711</v>
      </c>
      <c r="G1120" s="60">
        <v>8816</v>
      </c>
      <c r="H1120"/>
      <c r="J1120">
        <v>33482</v>
      </c>
      <c r="N1120">
        <v>22171</v>
      </c>
      <c r="O1120">
        <f t="shared" si="426"/>
        <v>3</v>
      </c>
      <c r="P1120" s="57">
        <f t="shared" si="427"/>
        <v>1</v>
      </c>
      <c r="Q1120" s="267">
        <f t="shared" si="428"/>
        <v>15985</v>
      </c>
      <c r="R1120" s="23" t="str">
        <f t="shared" si="429"/>
        <v/>
      </c>
      <c r="S1120" s="23">
        <f t="shared" si="430"/>
        <v>8816</v>
      </c>
      <c r="T1120" s="23" t="str">
        <f t="shared" si="431"/>
        <v/>
      </c>
      <c r="U1120" t="str">
        <f t="shared" si="432"/>
        <v/>
      </c>
      <c r="W1120" s="1">
        <f t="shared" si="433"/>
        <v>12</v>
      </c>
      <c r="X1120" s="73">
        <f t="shared" si="442"/>
        <v>26.656486996949006</v>
      </c>
      <c r="Y1120" s="322">
        <f t="shared" si="434"/>
        <v>2041.9170000000001</v>
      </c>
      <c r="Z1120" s="43">
        <f t="shared" si="443"/>
        <v>8.4984580040592415E-59</v>
      </c>
      <c r="AA1120" s="52">
        <f t="shared" si="435"/>
        <v>8.4984580040592421E-61</v>
      </c>
      <c r="AB1120" s="8">
        <f t="shared" si="436"/>
        <v>14496</v>
      </c>
      <c r="AC1120" s="8">
        <f t="shared" si="437"/>
        <v>724800</v>
      </c>
      <c r="AD1120" s="8">
        <f t="shared" si="440"/>
        <v>3624</v>
      </c>
      <c r="AE1120" s="8" t="str">
        <f t="shared" si="438"/>
        <v/>
      </c>
      <c r="AF1120" s="22" t="str">
        <f t="shared" si="439"/>
        <v>PA_Alleg_2020g</v>
      </c>
      <c r="AG1120">
        <v>1</v>
      </c>
      <c r="AH1120" s="272">
        <v>29593</v>
      </c>
      <c r="AI1120" s="273">
        <v>18218</v>
      </c>
      <c r="AJ1120" s="274">
        <v>11335</v>
      </c>
      <c r="AK1120" s="339">
        <v>6883</v>
      </c>
      <c r="AL1120" s="340" t="s">
        <v>2483</v>
      </c>
      <c r="AN1120" s="365"/>
      <c r="AO1120" s="366" t="s">
        <v>6505</v>
      </c>
      <c r="AP1120" s="23">
        <f t="shared" si="441"/>
        <v>0</v>
      </c>
      <c r="AQ1120" s="392">
        <f t="shared" si="421"/>
        <v>0</v>
      </c>
      <c r="AR1120" s="392">
        <f t="shared" si="422"/>
        <v>0</v>
      </c>
      <c r="AS1120" s="392">
        <f t="shared" si="422"/>
        <v>0</v>
      </c>
      <c r="AU1120" s="260">
        <f t="shared" ref="AU1120:AU1122" si="445">AU1118*2</f>
        <v>0.2</v>
      </c>
      <c r="AV1120" s="28"/>
      <c r="AW1120" s="265">
        <f t="shared" si="444"/>
        <v>1.040595752063167E-4</v>
      </c>
      <c r="AX1120" s="266">
        <v>140</v>
      </c>
      <c r="AY1120" s="266"/>
    </row>
    <row r="1121" spans="1:51">
      <c r="A1121" t="str">
        <f t="shared" si="420"/>
        <v>CA_Orang_2020g~fountain valley school district governing board member (vote 1)</v>
      </c>
      <c r="B1121" s="55" t="s">
        <v>3536</v>
      </c>
      <c r="D1121" s="55" t="s">
        <v>3708</v>
      </c>
      <c r="E1121" s="55" t="s">
        <v>3712</v>
      </c>
      <c r="G1121" s="60">
        <v>7169</v>
      </c>
      <c r="H1121"/>
      <c r="J1121">
        <v>33482</v>
      </c>
      <c r="N1121">
        <v>22171</v>
      </c>
      <c r="O1121">
        <f t="shared" si="426"/>
        <v>4</v>
      </c>
      <c r="P1121" s="57">
        <f t="shared" si="427"/>
        <v>1</v>
      </c>
      <c r="Q1121" s="267">
        <f t="shared" si="428"/>
        <v>7169</v>
      </c>
      <c r="R1121" s="23" t="str">
        <f t="shared" si="429"/>
        <v/>
      </c>
      <c r="S1121" s="23">
        <f t="shared" si="430"/>
        <v>7169</v>
      </c>
      <c r="T1121" s="23" t="str">
        <f t="shared" si="431"/>
        <v/>
      </c>
      <c r="U1121" t="str">
        <f t="shared" si="432"/>
        <v/>
      </c>
      <c r="W1121" s="1">
        <f t="shared" si="433"/>
        <v>13</v>
      </c>
      <c r="X1121" s="73">
        <f t="shared" si="442"/>
        <v>24.620534388916379</v>
      </c>
      <c r="Y1121" s="322">
        <f t="shared" si="434"/>
        <v>2215.038</v>
      </c>
      <c r="Z1121" s="43">
        <f t="shared" si="443"/>
        <v>2.4476738981385891E-69</v>
      </c>
      <c r="AA1121" s="52">
        <f t="shared" si="435"/>
        <v>2.4476738981385891E-71</v>
      </c>
      <c r="AB1121" s="8">
        <f t="shared" si="436"/>
        <v>14496</v>
      </c>
      <c r="AC1121" s="8">
        <f t="shared" si="437"/>
        <v>724800</v>
      </c>
      <c r="AD1121" s="8">
        <f t="shared" si="440"/>
        <v>3624</v>
      </c>
      <c r="AE1121" s="8" t="str">
        <f t="shared" si="438"/>
        <v/>
      </c>
      <c r="AF1121" s="22" t="str">
        <f t="shared" si="439"/>
        <v>PA_Alleg_2020g</v>
      </c>
      <c r="AG1121">
        <v>1</v>
      </c>
      <c r="AH1121" s="272">
        <v>32102</v>
      </c>
      <c r="AI1121" s="273">
        <v>20064</v>
      </c>
      <c r="AJ1121" s="274">
        <v>11980</v>
      </c>
      <c r="AK1121" s="339">
        <v>8084</v>
      </c>
      <c r="AL1121" s="340" t="s">
        <v>2481</v>
      </c>
      <c r="AN1121" s="365"/>
      <c r="AO1121" s="366" t="s">
        <v>6505</v>
      </c>
      <c r="AP1121" s="23">
        <f t="shared" si="441"/>
        <v>4</v>
      </c>
      <c r="AQ1121" s="392">
        <f t="shared" si="421"/>
        <v>4.0234070263438948E-2</v>
      </c>
      <c r="AR1121" s="392">
        <f t="shared" si="422"/>
        <v>0.18632183259527113</v>
      </c>
      <c r="AS1121" s="392">
        <f t="shared" si="422"/>
        <v>0.59068264846625274</v>
      </c>
      <c r="AU1121" s="260">
        <f t="shared" si="445"/>
        <v>0.4</v>
      </c>
      <c r="AV1121" s="74"/>
      <c r="AW1121" s="265">
        <f t="shared" si="444"/>
        <v>5.9244883117925973E-5</v>
      </c>
      <c r="AX1121" s="266">
        <v>140</v>
      </c>
      <c r="AY1121" s="266"/>
    </row>
    <row r="1122" spans="1:51">
      <c r="A1122" t="str">
        <f t="shared" si="420"/>
        <v>CA_Orang_2020g~garden grove unified school district governing board member, trustee area 1 (vote 1)</v>
      </c>
      <c r="B1122" s="55" t="s">
        <v>3536</v>
      </c>
      <c r="D1122" s="55" t="s">
        <v>3613</v>
      </c>
      <c r="E1122" s="55" t="s">
        <v>3615</v>
      </c>
      <c r="G1122" s="60">
        <v>13392</v>
      </c>
      <c r="H1122"/>
      <c r="J1122">
        <v>27467</v>
      </c>
      <c r="N1122">
        <v>3215</v>
      </c>
      <c r="O1122">
        <f t="shared" si="426"/>
        <v>1</v>
      </c>
      <c r="P1122" s="57">
        <f t="shared" si="427"/>
        <v>1</v>
      </c>
      <c r="Q1122" s="267">
        <f t="shared" si="428"/>
        <v>24075</v>
      </c>
      <c r="R1122" s="23">
        <f t="shared" si="429"/>
        <v>13392</v>
      </c>
      <c r="S1122" s="23">
        <f t="shared" si="430"/>
        <v>10683</v>
      </c>
      <c r="T1122" s="23">
        <f t="shared" si="431"/>
        <v>2709</v>
      </c>
      <c r="U1122" t="str">
        <f t="shared" si="432"/>
        <v>CA_Orang_2020g~garden grove unified school district governing board member, trustee area 1 (vote 1)</v>
      </c>
      <c r="W1122" s="1">
        <f t="shared" si="433"/>
        <v>14</v>
      </c>
      <c r="X1122" s="73">
        <f t="shared" si="442"/>
        <v>26.511652053530227</v>
      </c>
      <c r="Y1122" s="322">
        <f t="shared" si="434"/>
        <v>2557.4850000000001</v>
      </c>
      <c r="Z1122" s="43">
        <f t="shared" si="443"/>
        <v>1.806709790169792E-74</v>
      </c>
      <c r="AA1122" s="52">
        <f t="shared" si="435"/>
        <v>1.8067097901697921E-76</v>
      </c>
      <c r="AB1122" s="8">
        <f t="shared" si="436"/>
        <v>14496</v>
      </c>
      <c r="AC1122" s="8">
        <f t="shared" si="437"/>
        <v>724800</v>
      </c>
      <c r="AD1122" s="8">
        <f t="shared" si="440"/>
        <v>3624</v>
      </c>
      <c r="AE1122" s="8" t="str">
        <f t="shared" si="438"/>
        <v/>
      </c>
      <c r="AF1122" s="22" t="str">
        <f t="shared" si="439"/>
        <v>PA_Alleg_2020g</v>
      </c>
      <c r="AG1122" s="23">
        <v>1</v>
      </c>
      <c r="AH1122" s="8">
        <v>37065</v>
      </c>
      <c r="AI1122" s="273">
        <v>22833</v>
      </c>
      <c r="AJ1122" s="274">
        <v>14165</v>
      </c>
      <c r="AK1122" s="339">
        <v>8668</v>
      </c>
      <c r="AL1122" s="344" t="s">
        <v>2487</v>
      </c>
      <c r="AN1122" s="365"/>
      <c r="AO1122" s="366" t="s">
        <v>6505</v>
      </c>
      <c r="AP1122" s="23">
        <f t="shared" si="441"/>
        <v>6</v>
      </c>
      <c r="AQ1122" s="392">
        <f t="shared" si="421"/>
        <v>5.9756012190608443E-2</v>
      </c>
      <c r="AR1122" s="392">
        <f t="shared" si="422"/>
        <v>0.26609319602418746</v>
      </c>
      <c r="AS1122" s="392">
        <f t="shared" si="422"/>
        <v>0.73823589264109213</v>
      </c>
      <c r="AU1122" s="260">
        <f t="shared" si="445"/>
        <v>0.4</v>
      </c>
      <c r="AV1122" s="28"/>
      <c r="AW1122" s="265">
        <f t="shared" si="444"/>
        <v>5.9244883117925973E-5</v>
      </c>
      <c r="AX1122" s="266">
        <v>0</v>
      </c>
      <c r="AY1122" s="266"/>
    </row>
    <row r="1123" spans="1:51">
      <c r="A1123" t="str">
        <f t="shared" si="420"/>
        <v>CA_Orang_2020g~garden grove unified school district governing board member, trustee area 1 (vote 1)</v>
      </c>
      <c r="B1123" s="55" t="s">
        <v>3536</v>
      </c>
      <c r="D1123" s="55" t="s">
        <v>3613</v>
      </c>
      <c r="E1123" s="55" t="s">
        <v>3614</v>
      </c>
      <c r="G1123" s="60">
        <v>10683</v>
      </c>
      <c r="H1123"/>
      <c r="J1123">
        <v>27467</v>
      </c>
      <c r="N1123">
        <v>3215</v>
      </c>
      <c r="O1123">
        <f t="shared" si="426"/>
        <v>2</v>
      </c>
      <c r="P1123" s="57">
        <f t="shared" si="427"/>
        <v>1</v>
      </c>
      <c r="Q1123" s="267">
        <f t="shared" si="428"/>
        <v>10683</v>
      </c>
      <c r="R1123" s="23" t="str">
        <f t="shared" si="429"/>
        <v/>
      </c>
      <c r="S1123" s="23">
        <f t="shared" si="430"/>
        <v>10683</v>
      </c>
      <c r="T1123" s="23" t="str">
        <f t="shared" si="431"/>
        <v/>
      </c>
      <c r="U1123" t="str">
        <f t="shared" si="432"/>
        <v/>
      </c>
      <c r="W1123" s="1">
        <f t="shared" si="433"/>
        <v>15</v>
      </c>
      <c r="X1123" s="73">
        <f t="shared" si="442"/>
        <v>18.960033712600087</v>
      </c>
      <c r="Y1123" s="322">
        <f t="shared" si="434"/>
        <v>2503.596</v>
      </c>
      <c r="Z1123" s="43">
        <f t="shared" si="443"/>
        <v>1.22762877220134E-102</v>
      </c>
      <c r="AA1123" s="52">
        <f t="shared" si="435"/>
        <v>1.22762877220134E-104</v>
      </c>
      <c r="AB1123" s="8">
        <f t="shared" si="436"/>
        <v>14496</v>
      </c>
      <c r="AC1123" s="8">
        <f t="shared" si="437"/>
        <v>724800</v>
      </c>
      <c r="AD1123" s="8">
        <f t="shared" si="440"/>
        <v>3624</v>
      </c>
      <c r="AE1123" s="8" t="str">
        <f t="shared" si="438"/>
        <v/>
      </c>
      <c r="AF1123" s="22" t="str">
        <f t="shared" si="439"/>
        <v>PA_Alleg_2020g</v>
      </c>
      <c r="AG1123">
        <v>1</v>
      </c>
      <c r="AH1123" s="272">
        <v>36284</v>
      </c>
      <c r="AI1123" s="273">
        <v>24035</v>
      </c>
      <c r="AJ1123" s="274">
        <v>12170</v>
      </c>
      <c r="AK1123" s="339">
        <v>11865</v>
      </c>
      <c r="AL1123" s="340" t="s">
        <v>2475</v>
      </c>
      <c r="AN1123" s="365"/>
      <c r="AO1123" s="366" t="s">
        <v>6505</v>
      </c>
      <c r="AP1123" s="23">
        <f t="shared" si="441"/>
        <v>20</v>
      </c>
      <c r="AQ1123" s="392">
        <f t="shared" si="421"/>
        <v>0.18599319198332687</v>
      </c>
      <c r="AR1123" s="392">
        <f t="shared" si="422"/>
        <v>0.64416789211072834</v>
      </c>
      <c r="AS1123" s="392">
        <f t="shared" si="422"/>
        <v>0.98863725783922818</v>
      </c>
      <c r="AU1123" s="260">
        <f t="shared" ref="AU1123:AU1124" si="446">AU1121*2</f>
        <v>0.8</v>
      </c>
      <c r="AV1123" s="28"/>
      <c r="AW1123" s="265">
        <f t="shared" si="444"/>
        <v>1.4428182463888106E-5</v>
      </c>
      <c r="AX1123" s="266">
        <f t="shared" ref="AX1123:AX1124" si="447">AX1121</f>
        <v>140</v>
      </c>
      <c r="AY1123" s="266"/>
    </row>
    <row r="1124" spans="1:51">
      <c r="A1124" t="str">
        <f t="shared" si="420"/>
        <v>CA_Orang_2020g~garden grove unified school district governing board member, trustee area 5 (vote 1)</v>
      </c>
      <c r="B1124" s="55" t="s">
        <v>3536</v>
      </c>
      <c r="D1124" s="55" t="s">
        <v>3616</v>
      </c>
      <c r="E1124" s="55" t="s">
        <v>3617</v>
      </c>
      <c r="G1124" s="60">
        <v>12884</v>
      </c>
      <c r="H1124"/>
      <c r="J1124">
        <v>23602</v>
      </c>
      <c r="N1124">
        <v>2739</v>
      </c>
      <c r="O1124">
        <f t="shared" si="426"/>
        <v>1</v>
      </c>
      <c r="P1124" s="57">
        <f t="shared" si="427"/>
        <v>1</v>
      </c>
      <c r="Q1124" s="267">
        <f t="shared" si="428"/>
        <v>20699</v>
      </c>
      <c r="R1124" s="23">
        <f t="shared" si="429"/>
        <v>12884</v>
      </c>
      <c r="S1124" s="23">
        <f t="shared" si="430"/>
        <v>3937</v>
      </c>
      <c r="T1124" s="23">
        <f t="shared" si="431"/>
        <v>8947</v>
      </c>
      <c r="U1124" t="str">
        <f t="shared" si="432"/>
        <v>CA_Orang_2020g~garden grove unified school district governing board member, trustee area 5 (vote 1)</v>
      </c>
      <c r="W1124" s="1">
        <f t="shared" si="433"/>
        <v>16</v>
      </c>
      <c r="X1124" s="73">
        <f t="shared" si="442"/>
        <v>16.805641769398115</v>
      </c>
      <c r="Y1124" s="322">
        <f t="shared" si="434"/>
        <v>2579.1510000000003</v>
      </c>
      <c r="Z1124" s="43">
        <f t="shared" si="443"/>
        <v>1.1680767053070151E-119</v>
      </c>
      <c r="AA1124" s="52">
        <f t="shared" si="435"/>
        <v>1.1680767053070151E-121</v>
      </c>
      <c r="AB1124" s="8">
        <f t="shared" si="436"/>
        <v>14496</v>
      </c>
      <c r="AC1124" s="8">
        <f t="shared" si="437"/>
        <v>724800</v>
      </c>
      <c r="AD1124" s="8">
        <f t="shared" si="440"/>
        <v>3624</v>
      </c>
      <c r="AE1124" s="8" t="str">
        <f t="shared" si="438"/>
        <v/>
      </c>
      <c r="AF1124" s="22" t="str">
        <f t="shared" si="439"/>
        <v>PA_Alleg_2020g</v>
      </c>
      <c r="AG1124">
        <v>1</v>
      </c>
      <c r="AH1124" s="272">
        <v>37379</v>
      </c>
      <c r="AI1124" s="273">
        <v>25552</v>
      </c>
      <c r="AJ1124" s="274">
        <v>11762</v>
      </c>
      <c r="AK1124" s="339">
        <v>13790</v>
      </c>
      <c r="AL1124" s="340" t="s">
        <v>2485</v>
      </c>
      <c r="AN1124" s="365"/>
      <c r="AO1124" s="366" t="s">
        <v>6505</v>
      </c>
      <c r="AP1124" s="23">
        <f t="shared" si="441"/>
        <v>28</v>
      </c>
      <c r="AQ1124" s="392">
        <f t="shared" si="421"/>
        <v>0.2505552778648199</v>
      </c>
      <c r="AR1124" s="392">
        <f t="shared" si="422"/>
        <v>0.76502199716692987</v>
      </c>
      <c r="AS1124" s="392">
        <f t="shared" si="422"/>
        <v>0.99811943994996233</v>
      </c>
      <c r="AU1124" s="260">
        <f t="shared" si="446"/>
        <v>0.8</v>
      </c>
      <c r="AV1124" s="28"/>
      <c r="AW1124" s="265">
        <f t="shared" si="444"/>
        <v>1.4428182463888106E-5</v>
      </c>
      <c r="AX1124" s="266">
        <f t="shared" si="447"/>
        <v>0</v>
      </c>
      <c r="AY1124" s="266"/>
    </row>
    <row r="1125" spans="1:51">
      <c r="A1125" t="str">
        <f t="shared" si="420"/>
        <v>CA_Orang_2020g~garden grove unified school district governing board member, trustee area 5 (vote 1)</v>
      </c>
      <c r="B1125" s="55" t="s">
        <v>3536</v>
      </c>
      <c r="D1125" s="55" t="s">
        <v>3616</v>
      </c>
      <c r="E1125" s="55" t="s">
        <v>3619</v>
      </c>
      <c r="G1125" s="60">
        <v>3937</v>
      </c>
      <c r="H1125"/>
      <c r="J1125">
        <v>23602</v>
      </c>
      <c r="N1125">
        <v>2739</v>
      </c>
      <c r="O1125">
        <f t="shared" si="426"/>
        <v>2</v>
      </c>
      <c r="P1125" s="57">
        <f t="shared" si="427"/>
        <v>1</v>
      </c>
      <c r="Q1125" s="267">
        <f t="shared" si="428"/>
        <v>7815</v>
      </c>
      <c r="R1125" s="23" t="str">
        <f t="shared" si="429"/>
        <v/>
      </c>
      <c r="S1125" s="23">
        <f t="shared" si="430"/>
        <v>3937</v>
      </c>
      <c r="T1125" s="23" t="str">
        <f t="shared" si="431"/>
        <v/>
      </c>
      <c r="U1125" t="str">
        <f t="shared" si="432"/>
        <v/>
      </c>
      <c r="W1125" s="1">
        <f t="shared" si="433"/>
        <v>17</v>
      </c>
      <c r="X1125" s="73">
        <f t="shared" si="442"/>
        <v>8.8407238933724628</v>
      </c>
      <c r="Y1125" s="322">
        <f t="shared" si="434"/>
        <v>2011.5570000000002</v>
      </c>
      <c r="Z1125" s="43">
        <f t="shared" si="443"/>
        <v>7.3156982121785488E-179</v>
      </c>
      <c r="AA1125" s="52">
        <f t="shared" si="435"/>
        <v>7.3156982121785487E-181</v>
      </c>
      <c r="AB1125" s="8">
        <f t="shared" si="436"/>
        <v>14496</v>
      </c>
      <c r="AC1125" s="8">
        <f t="shared" si="437"/>
        <v>724800</v>
      </c>
      <c r="AD1125" s="8">
        <f t="shared" si="440"/>
        <v>3624</v>
      </c>
      <c r="AE1125" s="8" t="str">
        <f t="shared" si="438"/>
        <v/>
      </c>
      <c r="AF1125" s="22" t="str">
        <f t="shared" si="439"/>
        <v>PA_Alleg_2020g</v>
      </c>
      <c r="AG1125">
        <v>1</v>
      </c>
      <c r="AH1125" s="272">
        <v>29153</v>
      </c>
      <c r="AI1125" s="273">
        <v>24642</v>
      </c>
      <c r="AJ1125" s="274">
        <v>4197</v>
      </c>
      <c r="AK1125" s="339">
        <v>20445</v>
      </c>
      <c r="AL1125" s="340" t="s">
        <v>2476</v>
      </c>
      <c r="AN1125" s="365"/>
      <c r="AO1125" s="366" t="s">
        <v>6505</v>
      </c>
      <c r="AP1125" s="23">
        <f t="shared" si="441"/>
        <v>56</v>
      </c>
      <c r="AQ1125" s="392">
        <f t="shared" si="421"/>
        <v>0.43960391201888793</v>
      </c>
      <c r="AR1125" s="392">
        <f t="shared" si="422"/>
        <v>0.94542320177718575</v>
      </c>
      <c r="AS1125" s="392">
        <f t="shared" si="422"/>
        <v>0.9999966528848766</v>
      </c>
    </row>
    <row r="1126" spans="1:51">
      <c r="A1126" t="str">
        <f t="shared" ref="A1126:A1189" si="448">CONCATENATE(B1126,"~",LOWER(D1126),IF(RIGHT(D1126,1)=")",""," (vote 1)"))</f>
        <v>CA_Orang_2020g~garden grove unified school district governing board member, trustee area 5 (vote 1)</v>
      </c>
      <c r="B1126" s="55" t="s">
        <v>3536</v>
      </c>
      <c r="D1126" s="55" t="s">
        <v>3616</v>
      </c>
      <c r="E1126" s="55" t="s">
        <v>3618</v>
      </c>
      <c r="G1126" s="60">
        <v>3878</v>
      </c>
      <c r="H1126"/>
      <c r="J1126">
        <v>23602</v>
      </c>
      <c r="N1126">
        <v>2739</v>
      </c>
      <c r="O1126">
        <f t="shared" si="426"/>
        <v>3</v>
      </c>
      <c r="P1126" s="57">
        <f t="shared" si="427"/>
        <v>1</v>
      </c>
      <c r="Q1126" s="267">
        <f t="shared" si="428"/>
        <v>3878</v>
      </c>
      <c r="R1126" s="23" t="str">
        <f t="shared" si="429"/>
        <v/>
      </c>
      <c r="S1126" s="23">
        <f t="shared" si="430"/>
        <v>3878</v>
      </c>
      <c r="T1126" s="23" t="str">
        <f t="shared" si="431"/>
        <v/>
      </c>
      <c r="U1126" t="str">
        <f t="shared" si="432"/>
        <v/>
      </c>
      <c r="W1126" s="1">
        <f t="shared" si="433"/>
        <v>18</v>
      </c>
      <c r="X1126" s="73">
        <f t="shared" si="442"/>
        <v>76.141924629878872</v>
      </c>
      <c r="Y1126" s="322">
        <f t="shared" si="434"/>
        <v>22665.879000000001</v>
      </c>
      <c r="Z1126" s="43">
        <f t="shared" si="443"/>
        <v>1.8810142802337367E-235</v>
      </c>
      <c r="AA1126" s="52">
        <f t="shared" si="435"/>
        <v>1.8810142802337367E-237</v>
      </c>
      <c r="AB1126" s="8">
        <f t="shared" si="436"/>
        <v>14496</v>
      </c>
      <c r="AC1126" s="8">
        <f t="shared" si="437"/>
        <v>724800</v>
      </c>
      <c r="AD1126" s="8">
        <f t="shared" si="440"/>
        <v>3624</v>
      </c>
      <c r="AE1126" s="8" t="str">
        <f t="shared" si="438"/>
        <v/>
      </c>
      <c r="AF1126" s="22" t="str">
        <f t="shared" si="439"/>
        <v>PA_Alleg_2020g</v>
      </c>
      <c r="AG1126">
        <v>1</v>
      </c>
      <c r="AH1126" s="272">
        <v>328491</v>
      </c>
      <c r="AI1126" s="273">
        <v>177474</v>
      </c>
      <c r="AJ1126" s="274">
        <v>150726</v>
      </c>
      <c r="AK1126" s="339">
        <v>26748</v>
      </c>
      <c r="AL1126" s="340" t="s">
        <v>2472</v>
      </c>
      <c r="AN1126" s="369"/>
      <c r="AO1126" s="370" t="s">
        <v>6503</v>
      </c>
      <c r="AP1126" s="23">
        <f t="shared" si="441"/>
        <v>82</v>
      </c>
      <c r="AQ1126" s="392">
        <f t="shared" si="421"/>
        <v>0.57305370825770385</v>
      </c>
      <c r="AR1126" s="392">
        <f t="shared" si="422"/>
        <v>0.98607849814535442</v>
      </c>
      <c r="AS1126" s="392">
        <f t="shared" si="422"/>
        <v>0.99999999109404458</v>
      </c>
    </row>
    <row r="1127" spans="1:51">
      <c r="A1127" t="str">
        <f t="shared" si="448"/>
        <v>CA_Orang_2020g~huntington beach city school district governing board member, trustee area 1 (vote 1)</v>
      </c>
      <c r="B1127" s="55" t="s">
        <v>3536</v>
      </c>
      <c r="D1127" s="55" t="s">
        <v>3713</v>
      </c>
      <c r="E1127" s="55" t="s">
        <v>3714</v>
      </c>
      <c r="G1127" s="60">
        <v>5947</v>
      </c>
      <c r="H1127"/>
      <c r="J1127">
        <v>11448</v>
      </c>
      <c r="N1127">
        <v>3410</v>
      </c>
      <c r="O1127">
        <f t="shared" si="426"/>
        <v>1</v>
      </c>
      <c r="P1127" s="57">
        <f t="shared" si="427"/>
        <v>1</v>
      </c>
      <c r="Q1127" s="267">
        <f t="shared" si="428"/>
        <v>7978</v>
      </c>
      <c r="R1127" s="23">
        <f t="shared" si="429"/>
        <v>5947</v>
      </c>
      <c r="S1127" s="23">
        <f t="shared" si="430"/>
        <v>2031</v>
      </c>
      <c r="T1127" s="23">
        <f t="shared" si="431"/>
        <v>3916</v>
      </c>
      <c r="U1127" t="str">
        <f t="shared" si="432"/>
        <v>CA_Orang_2020g~huntington beach city school district governing board member, trustee area 1 (vote 1)</v>
      </c>
      <c r="W1127" s="1">
        <f t="shared" si="433"/>
        <v>19</v>
      </c>
      <c r="X1127" s="73">
        <f t="shared" si="442"/>
        <v>10.943219211650213</v>
      </c>
      <c r="Y1127" s="322">
        <f t="shared" si="434"/>
        <v>10436.94</v>
      </c>
      <c r="Z1127" s="43">
        <f t="shared" si="443"/>
        <v>0</v>
      </c>
      <c r="AA1127" s="52">
        <f t="shared" si="435"/>
        <v>0</v>
      </c>
      <c r="AB1127" s="8">
        <f t="shared" si="436"/>
        <v>14496</v>
      </c>
      <c r="AC1127" s="8">
        <f t="shared" si="437"/>
        <v>724800</v>
      </c>
      <c r="AD1127" s="8">
        <f t="shared" si="440"/>
        <v>3624</v>
      </c>
      <c r="AE1127" s="8" t="str">
        <f t="shared" si="438"/>
        <v/>
      </c>
      <c r="AF1127" s="22" t="str">
        <f t="shared" si="439"/>
        <v>PA_Alleg_2020g</v>
      </c>
      <c r="AG1127">
        <v>1</v>
      </c>
      <c r="AH1127" s="272">
        <v>151260</v>
      </c>
      <c r="AI1127" s="273">
        <v>118479</v>
      </c>
      <c r="AJ1127" s="274">
        <v>32781</v>
      </c>
      <c r="AK1127" s="339">
        <v>85698</v>
      </c>
      <c r="AL1127" s="340" t="s">
        <v>2470</v>
      </c>
      <c r="AN1127" s="369"/>
      <c r="AO1127" s="370" t="s">
        <v>6506</v>
      </c>
      <c r="AP1127" s="23">
        <f t="shared" si="441"/>
        <v>330</v>
      </c>
      <c r="AQ1127" s="392">
        <f t="shared" si="421"/>
        <v>0.97130822542061379</v>
      </c>
      <c r="AR1127" s="392">
        <f t="shared" si="422"/>
        <v>0.99999998227935383</v>
      </c>
      <c r="AS1127" s="392">
        <f t="shared" si="422"/>
        <v>1</v>
      </c>
    </row>
    <row r="1128" spans="1:51">
      <c r="A1128" t="str">
        <f t="shared" si="448"/>
        <v>CA_Orang_2020g~huntington beach city school district governing board member, trustee area 1 (vote 1)</v>
      </c>
      <c r="B1128" s="55" t="s">
        <v>3536</v>
      </c>
      <c r="D1128" s="55" t="s">
        <v>3713</v>
      </c>
      <c r="E1128" s="55" t="s">
        <v>3715</v>
      </c>
      <c r="G1128" s="60">
        <v>2031</v>
      </c>
      <c r="H1128"/>
      <c r="J1128">
        <v>11448</v>
      </c>
      <c r="N1128">
        <v>3410</v>
      </c>
      <c r="O1128">
        <f t="shared" si="426"/>
        <v>2</v>
      </c>
      <c r="P1128" s="57">
        <f t="shared" si="427"/>
        <v>1</v>
      </c>
      <c r="Q1128" s="267">
        <f t="shared" si="428"/>
        <v>2031</v>
      </c>
      <c r="R1128" s="23" t="str">
        <f t="shared" si="429"/>
        <v/>
      </c>
      <c r="S1128" s="23">
        <f t="shared" si="430"/>
        <v>2031</v>
      </c>
      <c r="T1128" s="23" t="str">
        <f t="shared" si="431"/>
        <v/>
      </c>
      <c r="U1128" t="str">
        <f t="shared" si="432"/>
        <v/>
      </c>
      <c r="W1128" s="1">
        <f t="shared" si="433"/>
        <v>20</v>
      </c>
      <c r="X1128" s="73">
        <f t="shared" si="442"/>
        <v>35.993747268964718</v>
      </c>
      <c r="Y1128" s="322">
        <f t="shared" si="434"/>
        <v>48586.212000000007</v>
      </c>
      <c r="Z1128" s="43">
        <f t="shared" si="443"/>
        <v>0</v>
      </c>
      <c r="AA1128" s="52">
        <f t="shared" si="435"/>
        <v>0</v>
      </c>
      <c r="AB1128" s="8">
        <f t="shared" si="436"/>
        <v>14496</v>
      </c>
      <c r="AC1128" s="8">
        <f t="shared" si="437"/>
        <v>724800</v>
      </c>
      <c r="AD1128" s="8">
        <f t="shared" si="440"/>
        <v>3624</v>
      </c>
      <c r="AE1128" s="8" t="str">
        <f t="shared" si="438"/>
        <v/>
      </c>
      <c r="AF1128" s="22" t="str">
        <f t="shared" si="439"/>
        <v>PA_Alleg_2020g</v>
      </c>
      <c r="AG1128">
        <v>1</v>
      </c>
      <c r="AH1128" s="272">
        <v>704148</v>
      </c>
      <c r="AI1128" s="273">
        <v>396868</v>
      </c>
      <c r="AJ1128" s="274">
        <v>275577</v>
      </c>
      <c r="AK1128" s="339">
        <v>121291</v>
      </c>
      <c r="AL1128" s="340" t="s">
        <v>2469</v>
      </c>
      <c r="AN1128" s="369"/>
      <c r="AO1128" s="370" t="s">
        <v>5310</v>
      </c>
      <c r="AP1128" s="23">
        <f t="shared" si="441"/>
        <v>480</v>
      </c>
      <c r="AQ1128" s="392">
        <f t="shared" si="421"/>
        <v>0.99493456198866437</v>
      </c>
      <c r="AR1128" s="392">
        <f t="shared" si="422"/>
        <v>0.99999999999713629</v>
      </c>
      <c r="AS1128" s="392">
        <f t="shared" si="422"/>
        <v>1</v>
      </c>
    </row>
    <row r="1129" spans="1:51">
      <c r="A1129" t="str">
        <f t="shared" si="448"/>
        <v>CA_Orang_2020g~huntington beach union high school district governing board member (vote 1)</v>
      </c>
      <c r="B1129" s="55" t="s">
        <v>3536</v>
      </c>
      <c r="D1129" s="55" t="s">
        <v>3695</v>
      </c>
      <c r="E1129" s="55" t="s">
        <v>3696</v>
      </c>
      <c r="G1129" s="60">
        <v>64844</v>
      </c>
      <c r="H1129"/>
      <c r="J1129">
        <v>179925</v>
      </c>
      <c r="N1129">
        <v>105917</v>
      </c>
      <c r="O1129">
        <f t="shared" si="426"/>
        <v>1</v>
      </c>
      <c r="P1129" s="57">
        <f t="shared" si="427"/>
        <v>1</v>
      </c>
      <c r="Q1129" s="267">
        <f t="shared" si="428"/>
        <v>252565</v>
      </c>
      <c r="R1129" s="23">
        <f t="shared" si="429"/>
        <v>64844</v>
      </c>
      <c r="S1129" s="23">
        <f t="shared" si="430"/>
        <v>57920</v>
      </c>
      <c r="T1129" s="23">
        <f t="shared" si="431"/>
        <v>6924</v>
      </c>
      <c r="U1129" t="str">
        <f t="shared" si="432"/>
        <v>CA_Orang_2020g~huntington beach union high school district governing board member (vote 1)</v>
      </c>
      <c r="W1129" s="1">
        <f t="shared" si="433"/>
        <v>21</v>
      </c>
      <c r="X1129" s="73">
        <f t="shared" si="442"/>
        <v>32.73564045551516</v>
      </c>
      <c r="Y1129" s="322">
        <f t="shared" si="434"/>
        <v>48499.203000000001</v>
      </c>
      <c r="Z1129" s="43">
        <f t="shared" si="443"/>
        <v>0</v>
      </c>
      <c r="AA1129" s="52">
        <f t="shared" si="435"/>
        <v>0</v>
      </c>
      <c r="AB1129" s="8">
        <f t="shared" si="436"/>
        <v>14496</v>
      </c>
      <c r="AC1129" s="8">
        <f t="shared" si="437"/>
        <v>724800</v>
      </c>
      <c r="AD1129" s="8">
        <f t="shared" si="440"/>
        <v>3624</v>
      </c>
      <c r="AE1129" s="8" t="str">
        <f t="shared" si="438"/>
        <v/>
      </c>
      <c r="AF1129" s="22" t="str">
        <f t="shared" si="439"/>
        <v>PA_Alleg_2020g</v>
      </c>
      <c r="AG1129">
        <v>1</v>
      </c>
      <c r="AH1129" s="272">
        <v>702887</v>
      </c>
      <c r="AI1129" s="273">
        <v>403803</v>
      </c>
      <c r="AJ1129" s="274">
        <v>270679</v>
      </c>
      <c r="AK1129" s="339">
        <v>133124</v>
      </c>
      <c r="AL1129" s="340" t="s">
        <v>2491</v>
      </c>
      <c r="AN1129" s="369"/>
      <c r="AO1129" s="370" t="s">
        <v>5310</v>
      </c>
      <c r="AP1129" s="23">
        <f t="shared" si="441"/>
        <v>529</v>
      </c>
      <c r="AQ1129" s="392">
        <f t="shared" ref="AQ1129:AQ1192" si="449">IF($AP1129=$AD1129,1,IF($AP1129=0,0, 1-HYPGEOMDIST(0, ROUNDUP(RIGHT(AQ$1,4)*$AD1129,0),$AP1129, $AD1129)))</f>
        <v>0.99717681504605182</v>
      </c>
      <c r="AR1129" s="392">
        <f t="shared" ref="AR1129:AS1192" si="450">IF($AP1129=$AD1129,1,IF($AP1129=0,0, 1-HYPGEOMDIST(0, ROUNDUP(RIGHT(AR$1,4)*$AD1129,0),$AP1129, $AD1129)))</f>
        <v>0.99999999999984934</v>
      </c>
      <c r="AS1129" s="392">
        <f t="shared" si="450"/>
        <v>1</v>
      </c>
    </row>
    <row r="1130" spans="1:51">
      <c r="A1130" t="str">
        <f t="shared" si="448"/>
        <v>CA_Orang_2020g~huntington beach union high school district governing board member (vote 1)</v>
      </c>
      <c r="B1130" s="55" t="s">
        <v>3536</v>
      </c>
      <c r="D1130" s="55" t="s">
        <v>3695</v>
      </c>
      <c r="E1130" s="55" t="s">
        <v>3697</v>
      </c>
      <c r="G1130" s="60">
        <v>57920</v>
      </c>
      <c r="H1130"/>
      <c r="J1130">
        <v>179925</v>
      </c>
      <c r="N1130">
        <v>105917</v>
      </c>
      <c r="O1130">
        <f t="shared" si="426"/>
        <v>2</v>
      </c>
      <c r="P1130" s="57">
        <f t="shared" si="427"/>
        <v>1</v>
      </c>
      <c r="Q1130" s="267">
        <f t="shared" si="428"/>
        <v>187721</v>
      </c>
      <c r="R1130" s="23" t="str">
        <f t="shared" si="429"/>
        <v/>
      </c>
      <c r="S1130" s="23">
        <f t="shared" si="430"/>
        <v>57920</v>
      </c>
      <c r="T1130" s="23" t="str">
        <f t="shared" si="431"/>
        <v/>
      </c>
      <c r="U1130" t="str">
        <f t="shared" si="432"/>
        <v/>
      </c>
      <c r="W1130" s="1">
        <f t="shared" si="433"/>
        <v>22</v>
      </c>
      <c r="X1130" s="73">
        <f t="shared" si="442"/>
        <v>30.394870338054464</v>
      </c>
      <c r="Y1130" s="322">
        <f t="shared" si="434"/>
        <v>50011.200000000004</v>
      </c>
      <c r="Z1130" s="43">
        <f t="shared" si="443"/>
        <v>0</v>
      </c>
      <c r="AA1130" s="52">
        <f t="shared" si="435"/>
        <v>0</v>
      </c>
      <c r="AB1130" s="8">
        <f t="shared" si="436"/>
        <v>14496</v>
      </c>
      <c r="AC1130" s="8">
        <f t="shared" si="437"/>
        <v>724800</v>
      </c>
      <c r="AD1130" s="8">
        <f t="shared" si="440"/>
        <v>3624</v>
      </c>
      <c r="AE1130" s="8" t="str">
        <f t="shared" si="438"/>
        <v/>
      </c>
      <c r="AF1130" s="22" t="str">
        <f t="shared" si="439"/>
        <v>PA_Alleg_2020g</v>
      </c>
      <c r="AG1130">
        <v>1</v>
      </c>
      <c r="AH1130" s="272">
        <v>724800</v>
      </c>
      <c r="AI1130" s="273">
        <v>430759</v>
      </c>
      <c r="AJ1130" s="274">
        <v>282913</v>
      </c>
      <c r="AK1130" s="339">
        <v>147846</v>
      </c>
      <c r="AL1130" s="340" t="s">
        <v>2471</v>
      </c>
      <c r="AN1130" s="369"/>
      <c r="AO1130" s="370" t="s">
        <v>5310</v>
      </c>
      <c r="AP1130" s="23">
        <f t="shared" si="441"/>
        <v>591</v>
      </c>
      <c r="AQ1130" s="392">
        <f t="shared" si="449"/>
        <v>0.99867062147271579</v>
      </c>
      <c r="AR1130" s="392">
        <f t="shared" si="450"/>
        <v>0.99999999999999667</v>
      </c>
      <c r="AS1130" s="392">
        <f t="shared" si="450"/>
        <v>1</v>
      </c>
    </row>
    <row r="1131" spans="1:51">
      <c r="A1131" t="str">
        <f t="shared" si="448"/>
        <v>CA_Orang_2020g~huntington beach union high school district governing board member (vote 1)</v>
      </c>
      <c r="B1131" s="55" t="s">
        <v>3536</v>
      </c>
      <c r="D1131" s="55" t="s">
        <v>3695</v>
      </c>
      <c r="E1131" s="55" t="s">
        <v>3700</v>
      </c>
      <c r="G1131" s="60">
        <v>37661</v>
      </c>
      <c r="H1131"/>
      <c r="J1131">
        <v>179925</v>
      </c>
      <c r="N1131">
        <v>105917</v>
      </c>
      <c r="O1131">
        <f t="shared" si="426"/>
        <v>3</v>
      </c>
      <c r="P1131" s="57">
        <f t="shared" si="427"/>
        <v>1</v>
      </c>
      <c r="Q1131" s="267">
        <f t="shared" si="428"/>
        <v>129801</v>
      </c>
      <c r="R1131" s="23" t="str">
        <f t="shared" si="429"/>
        <v/>
      </c>
      <c r="S1131" s="23">
        <f t="shared" si="430"/>
        <v>37661</v>
      </c>
      <c r="T1131" s="23" t="str">
        <f t="shared" si="431"/>
        <v/>
      </c>
      <c r="U1131" t="str">
        <f t="shared" si="432"/>
        <v/>
      </c>
      <c r="W1131" s="1">
        <f t="shared" si="433"/>
        <v>23</v>
      </c>
      <c r="X1131" s="73">
        <f t="shared" si="442"/>
        <v>16.139506898952821</v>
      </c>
      <c r="Y1131" s="322">
        <f t="shared" si="434"/>
        <v>26569.140000000003</v>
      </c>
      <c r="Z1131" s="43">
        <f t="shared" si="443"/>
        <v>0</v>
      </c>
      <c r="AA1131" s="52">
        <f t="shared" si="435"/>
        <v>0</v>
      </c>
      <c r="AB1131" s="8">
        <f t="shared" si="436"/>
        <v>14496</v>
      </c>
      <c r="AC1131" s="8">
        <f t="shared" si="437"/>
        <v>724800</v>
      </c>
      <c r="AD1131" s="8">
        <f t="shared" si="440"/>
        <v>3624</v>
      </c>
      <c r="AE1131" s="8" t="str">
        <f t="shared" si="438"/>
        <v/>
      </c>
      <c r="AF1131" s="22" t="str">
        <f t="shared" si="439"/>
        <v>PA_Alleg_2020g</v>
      </c>
      <c r="AG1131">
        <v>1</v>
      </c>
      <c r="AH1131" s="272">
        <v>385060</v>
      </c>
      <c r="AI1131" s="273">
        <v>266084</v>
      </c>
      <c r="AJ1131" s="274">
        <v>118163</v>
      </c>
      <c r="AK1131" s="339">
        <v>147921</v>
      </c>
      <c r="AL1131" s="340" t="s">
        <v>2473</v>
      </c>
      <c r="AN1131" s="369"/>
      <c r="AO1131" s="370" t="s">
        <v>5310</v>
      </c>
      <c r="AP1131" s="23">
        <f t="shared" si="441"/>
        <v>592</v>
      </c>
      <c r="AQ1131" s="392">
        <f t="shared" si="449"/>
        <v>0.99868683875115616</v>
      </c>
      <c r="AR1131" s="392">
        <f t="shared" si="450"/>
        <v>0.99999999999999678</v>
      </c>
      <c r="AS1131" s="392">
        <f t="shared" si="450"/>
        <v>1</v>
      </c>
    </row>
    <row r="1132" spans="1:51">
      <c r="A1132" t="str">
        <f t="shared" si="448"/>
        <v>CA_Orang_2020g~huntington beach union high school district governing board member (vote 1)</v>
      </c>
      <c r="B1132" s="55" t="s">
        <v>3536</v>
      </c>
      <c r="D1132" s="55" t="s">
        <v>3695</v>
      </c>
      <c r="E1132" s="55" t="s">
        <v>3699</v>
      </c>
      <c r="G1132" s="60">
        <v>37460</v>
      </c>
      <c r="H1132"/>
      <c r="J1132">
        <v>179925</v>
      </c>
      <c r="N1132">
        <v>105917</v>
      </c>
      <c r="O1132">
        <f t="shared" si="426"/>
        <v>4</v>
      </c>
      <c r="P1132" s="57">
        <f t="shared" si="427"/>
        <v>1</v>
      </c>
      <c r="Q1132" s="267">
        <f t="shared" si="428"/>
        <v>92140</v>
      </c>
      <c r="R1132" s="23" t="str">
        <f t="shared" si="429"/>
        <v/>
      </c>
      <c r="S1132" s="23">
        <f t="shared" si="430"/>
        <v>37460</v>
      </c>
      <c r="T1132" s="23" t="str">
        <f t="shared" si="431"/>
        <v/>
      </c>
      <c r="U1132" t="str">
        <f t="shared" si="432"/>
        <v/>
      </c>
      <c r="W1132" s="1">
        <f t="shared" si="433"/>
        <v>24</v>
      </c>
      <c r="X1132" s="73">
        <f t="shared" si="442"/>
        <v>22.439149268966499</v>
      </c>
      <c r="Y1132" s="322">
        <f t="shared" si="434"/>
        <v>49174.299000000006</v>
      </c>
      <c r="Z1132" s="43">
        <f t="shared" si="443"/>
        <v>0</v>
      </c>
      <c r="AA1132" s="52">
        <f t="shared" si="435"/>
        <v>0</v>
      </c>
      <c r="AB1132" s="8">
        <f t="shared" si="436"/>
        <v>14496</v>
      </c>
      <c r="AC1132" s="8">
        <f t="shared" si="437"/>
        <v>724800</v>
      </c>
      <c r="AD1132" s="8">
        <f t="shared" si="440"/>
        <v>3624</v>
      </c>
      <c r="AE1132" s="8" t="str">
        <f t="shared" si="438"/>
        <v/>
      </c>
      <c r="AF1132" s="22" t="str">
        <f t="shared" si="439"/>
        <v>PA_Alleg_2020g</v>
      </c>
      <c r="AG1132">
        <v>1</v>
      </c>
      <c r="AH1132" s="272">
        <v>712671</v>
      </c>
      <c r="AI1132" s="273">
        <v>443166</v>
      </c>
      <c r="AJ1132" s="274">
        <v>246253</v>
      </c>
      <c r="AK1132" s="339">
        <v>196913</v>
      </c>
      <c r="AL1132" s="340" t="s">
        <v>2468</v>
      </c>
      <c r="AN1132" s="369"/>
      <c r="AO1132" s="370" t="s">
        <v>5310</v>
      </c>
      <c r="AP1132" s="23">
        <f t="shared" si="441"/>
        <v>797</v>
      </c>
      <c r="AQ1132" s="392">
        <f t="shared" si="449"/>
        <v>0.99990307920236943</v>
      </c>
      <c r="AR1132" s="392">
        <f t="shared" si="450"/>
        <v>1</v>
      </c>
      <c r="AS1132" s="392">
        <f t="shared" si="450"/>
        <v>1</v>
      </c>
    </row>
    <row r="1133" spans="1:51">
      <c r="A1133" t="str">
        <f t="shared" si="448"/>
        <v>CA_Orang_2020g~huntington beach union high school district governing board member (vote 1)</v>
      </c>
      <c r="B1133" s="55" t="s">
        <v>3536</v>
      </c>
      <c r="D1133" s="55" t="s">
        <v>3695</v>
      </c>
      <c r="E1133" s="55" t="s">
        <v>3698</v>
      </c>
      <c r="G1133" s="60">
        <v>34361</v>
      </c>
      <c r="H1133"/>
      <c r="J1133">
        <v>179925</v>
      </c>
      <c r="N1133">
        <v>105917</v>
      </c>
      <c r="O1133">
        <f t="shared" si="426"/>
        <v>5</v>
      </c>
      <c r="P1133" s="57">
        <f t="shared" si="427"/>
        <v>1</v>
      </c>
      <c r="Q1133" s="267">
        <f t="shared" si="428"/>
        <v>54680</v>
      </c>
      <c r="R1133" s="23" t="str">
        <f t="shared" si="429"/>
        <v/>
      </c>
      <c r="S1133" s="23">
        <f t="shared" si="430"/>
        <v>34361</v>
      </c>
      <c r="T1133" s="23" t="str">
        <f t="shared" si="431"/>
        <v/>
      </c>
      <c r="U1133" t="str">
        <f t="shared" si="432"/>
        <v/>
      </c>
      <c r="W1133" s="1">
        <f t="shared" si="433"/>
        <v>1</v>
      </c>
      <c r="X1133" s="73">
        <f t="shared" si="442"/>
        <v>20.34375</v>
      </c>
      <c r="Y1133" s="322">
        <f t="shared" si="434"/>
        <v>20.34375</v>
      </c>
      <c r="Z1133" s="43">
        <f t="shared" si="443"/>
        <v>27.77634340736752</v>
      </c>
      <c r="AA1133" s="52">
        <f t="shared" si="435"/>
        <v>0.27776343407367521</v>
      </c>
      <c r="AB1133" s="8">
        <f t="shared" si="436"/>
        <v>832.12</v>
      </c>
      <c r="AC1133" s="8">
        <f t="shared" si="437"/>
        <v>41606</v>
      </c>
      <c r="AD1133" s="8">
        <f t="shared" si="440"/>
        <v>208.03</v>
      </c>
      <c r="AE1133" s="8" t="str">
        <f t="shared" si="438"/>
        <v/>
      </c>
      <c r="AF1133" s="22" t="str">
        <f t="shared" si="439"/>
        <v>PA_Merce_2018g</v>
      </c>
      <c r="AG1133">
        <v>1</v>
      </c>
      <c r="AH1133" s="272">
        <v>210</v>
      </c>
      <c r="AI1133" s="273">
        <v>137</v>
      </c>
      <c r="AJ1133" s="274">
        <v>73</v>
      </c>
      <c r="AK1133" s="339">
        <v>64</v>
      </c>
      <c r="AL1133" s="340" t="s">
        <v>2566</v>
      </c>
      <c r="AP1133" s="23">
        <f t="shared" si="441"/>
        <v>0</v>
      </c>
      <c r="AQ1133" s="392">
        <f t="shared" si="449"/>
        <v>0</v>
      </c>
      <c r="AR1133" s="392">
        <f t="shared" si="450"/>
        <v>0</v>
      </c>
      <c r="AS1133" s="392">
        <f t="shared" si="450"/>
        <v>0</v>
      </c>
    </row>
    <row r="1134" spans="1:51">
      <c r="A1134" t="str">
        <f t="shared" si="448"/>
        <v>CA_Orang_2020g~huntington beach union high school district governing board member (vote 1)</v>
      </c>
      <c r="B1134" s="55" t="s">
        <v>3536</v>
      </c>
      <c r="D1134" s="55" t="s">
        <v>3695</v>
      </c>
      <c r="E1134" s="55" t="s">
        <v>3701</v>
      </c>
      <c r="G1134" s="60">
        <v>20319</v>
      </c>
      <c r="H1134"/>
      <c r="J1134">
        <v>179925</v>
      </c>
      <c r="N1134">
        <v>105917</v>
      </c>
      <c r="O1134">
        <f t="shared" si="426"/>
        <v>6</v>
      </c>
      <c r="P1134" s="57">
        <f t="shared" si="427"/>
        <v>1</v>
      </c>
      <c r="Q1134" s="267">
        <f t="shared" si="428"/>
        <v>20319</v>
      </c>
      <c r="R1134" s="23" t="str">
        <f t="shared" si="429"/>
        <v/>
      </c>
      <c r="S1134" s="23">
        <f t="shared" si="430"/>
        <v>20319</v>
      </c>
      <c r="T1134" s="23" t="str">
        <f t="shared" si="431"/>
        <v/>
      </c>
      <c r="U1134" t="str">
        <f t="shared" si="432"/>
        <v/>
      </c>
      <c r="W1134" s="1">
        <f t="shared" si="433"/>
        <v>2</v>
      </c>
      <c r="X1134" s="73">
        <f t="shared" si="442"/>
        <v>63.56429818000499</v>
      </c>
      <c r="Y1134" s="322">
        <f t="shared" si="434"/>
        <v>2837.4180000000001</v>
      </c>
      <c r="Z1134" s="43">
        <f t="shared" si="443"/>
        <v>2.3184002560896351E-35</v>
      </c>
      <c r="AA1134" s="52">
        <f t="shared" si="435"/>
        <v>2.318400256089635E-37</v>
      </c>
      <c r="AB1134" s="8">
        <f t="shared" si="436"/>
        <v>832.12</v>
      </c>
      <c r="AC1134" s="8">
        <f t="shared" si="437"/>
        <v>41606</v>
      </c>
      <c r="AD1134" s="8">
        <f t="shared" si="440"/>
        <v>208.03</v>
      </c>
      <c r="AE1134" s="8" t="str">
        <f t="shared" si="438"/>
        <v/>
      </c>
      <c r="AF1134" s="22" t="str">
        <f t="shared" si="439"/>
        <v>PA_Merce_2018g</v>
      </c>
      <c r="AG1134">
        <v>1</v>
      </c>
      <c r="AH1134" s="272">
        <v>41122</v>
      </c>
      <c r="AI1134" s="273">
        <v>22211</v>
      </c>
      <c r="AJ1134" s="274">
        <v>18200</v>
      </c>
      <c r="AK1134" s="339">
        <v>4011</v>
      </c>
      <c r="AL1134" s="340" t="s">
        <v>2575</v>
      </c>
      <c r="AP1134" s="23">
        <f t="shared" si="441"/>
        <v>16</v>
      </c>
      <c r="AQ1134" s="392">
        <f t="shared" si="449"/>
        <v>0.21442564751978022</v>
      </c>
      <c r="AR1134" s="392">
        <f t="shared" si="450"/>
        <v>0.59477356036525209</v>
      </c>
      <c r="AS1134" s="392">
        <f t="shared" si="450"/>
        <v>0.97679750964396517</v>
      </c>
    </row>
    <row r="1135" spans="1:51">
      <c r="A1135" t="str">
        <f t="shared" si="448"/>
        <v>CA_Orang_2020g~irvine ranch water district director, division 4 (vote 1)</v>
      </c>
      <c r="B1135" s="55" t="s">
        <v>3536</v>
      </c>
      <c r="D1135" s="55" t="s">
        <v>4091</v>
      </c>
      <c r="E1135" s="55" t="s">
        <v>4093</v>
      </c>
      <c r="G1135" s="60">
        <v>16596</v>
      </c>
      <c r="H1135"/>
      <c r="J1135">
        <v>38826</v>
      </c>
      <c r="N1135">
        <v>7946</v>
      </c>
      <c r="O1135">
        <f t="shared" si="426"/>
        <v>1</v>
      </c>
      <c r="P1135" s="57">
        <f t="shared" si="427"/>
        <v>1</v>
      </c>
      <c r="Q1135" s="267">
        <f t="shared" si="428"/>
        <v>30757</v>
      </c>
      <c r="R1135" s="23">
        <f t="shared" si="429"/>
        <v>16596</v>
      </c>
      <c r="S1135" s="23">
        <f t="shared" si="430"/>
        <v>12054</v>
      </c>
      <c r="T1135" s="23">
        <f t="shared" si="431"/>
        <v>4542</v>
      </c>
      <c r="U1135" t="str">
        <f t="shared" si="432"/>
        <v>CA_Orang_2020g~irvine ranch water district director, division 4 (vote 1)</v>
      </c>
      <c r="W1135" s="1">
        <f t="shared" si="433"/>
        <v>3</v>
      </c>
      <c r="X1135" s="73">
        <f t="shared" si="442"/>
        <v>61.359701492537319</v>
      </c>
      <c r="Y1135" s="322">
        <f t="shared" si="434"/>
        <v>2836.6590000000001</v>
      </c>
      <c r="Z1135" s="43">
        <f t="shared" si="443"/>
        <v>9.7267525131454422E-37</v>
      </c>
      <c r="AA1135" s="52">
        <f t="shared" si="435"/>
        <v>9.7267525131454421E-39</v>
      </c>
      <c r="AB1135" s="8">
        <f t="shared" si="436"/>
        <v>832.12</v>
      </c>
      <c r="AC1135" s="8">
        <f t="shared" si="437"/>
        <v>41606</v>
      </c>
      <c r="AD1135" s="8">
        <f t="shared" si="440"/>
        <v>208.03</v>
      </c>
      <c r="AE1135" s="8" t="str">
        <f t="shared" si="438"/>
        <v/>
      </c>
      <c r="AF1135" s="22" t="str">
        <f t="shared" si="439"/>
        <v>PA_Merce_2018g</v>
      </c>
      <c r="AG1135">
        <v>1</v>
      </c>
      <c r="AH1135" s="272">
        <v>41111</v>
      </c>
      <c r="AI1135" s="273">
        <v>22290</v>
      </c>
      <c r="AJ1135" s="274">
        <v>18136</v>
      </c>
      <c r="AK1135" s="339">
        <v>4154</v>
      </c>
      <c r="AL1135" s="340" t="s">
        <v>2594</v>
      </c>
      <c r="AP1135" s="23">
        <f t="shared" si="441"/>
        <v>16</v>
      </c>
      <c r="AQ1135" s="392">
        <f t="shared" si="449"/>
        <v>0.21442564751978022</v>
      </c>
      <c r="AR1135" s="392">
        <f t="shared" si="450"/>
        <v>0.59477356036525209</v>
      </c>
      <c r="AS1135" s="392">
        <f t="shared" si="450"/>
        <v>0.97679750964396517</v>
      </c>
    </row>
    <row r="1136" spans="1:51">
      <c r="A1136" t="str">
        <f t="shared" si="448"/>
        <v>CA_Orang_2020g~irvine ranch water district director, division 4 (vote 1)</v>
      </c>
      <c r="B1136" s="55" t="s">
        <v>3536</v>
      </c>
      <c r="D1136" s="55" t="s">
        <v>4091</v>
      </c>
      <c r="E1136" s="55" t="s">
        <v>4092</v>
      </c>
      <c r="G1136" s="60">
        <v>12054</v>
      </c>
      <c r="H1136"/>
      <c r="J1136">
        <v>38826</v>
      </c>
      <c r="N1136">
        <v>7946</v>
      </c>
      <c r="O1136">
        <f t="shared" si="426"/>
        <v>2</v>
      </c>
      <c r="P1136" s="57">
        <f t="shared" si="427"/>
        <v>1</v>
      </c>
      <c r="Q1136" s="267">
        <f t="shared" si="428"/>
        <v>14161</v>
      </c>
      <c r="R1136" s="23" t="str">
        <f t="shared" si="429"/>
        <v/>
      </c>
      <c r="S1136" s="23">
        <f t="shared" si="430"/>
        <v>12054</v>
      </c>
      <c r="T1136" s="23" t="str">
        <f t="shared" si="431"/>
        <v/>
      </c>
      <c r="U1136" t="str">
        <f t="shared" si="432"/>
        <v/>
      </c>
      <c r="W1136" s="1">
        <f t="shared" si="433"/>
        <v>4</v>
      </c>
      <c r="X1136" s="73">
        <f t="shared" si="442"/>
        <v>51.504902158563652</v>
      </c>
      <c r="Y1136" s="322">
        <f t="shared" si="434"/>
        <v>2841.3510000000001</v>
      </c>
      <c r="Z1136" s="43">
        <f t="shared" si="443"/>
        <v>1.4299387486930169E-44</v>
      </c>
      <c r="AA1136" s="52">
        <f t="shared" si="435"/>
        <v>1.4299387486930169E-46</v>
      </c>
      <c r="AB1136" s="8">
        <f t="shared" si="436"/>
        <v>832.12</v>
      </c>
      <c r="AC1136" s="8">
        <f t="shared" si="437"/>
        <v>41606</v>
      </c>
      <c r="AD1136" s="8">
        <f t="shared" si="440"/>
        <v>208.03</v>
      </c>
      <c r="AE1136" s="8" t="str">
        <f t="shared" si="438"/>
        <v/>
      </c>
      <c r="AF1136" s="22" t="str">
        <f t="shared" si="439"/>
        <v>PA_Merce_2018g</v>
      </c>
      <c r="AG1136">
        <v>1</v>
      </c>
      <c r="AH1136" s="272">
        <v>41179</v>
      </c>
      <c r="AI1136" s="273">
        <v>22799</v>
      </c>
      <c r="AJ1136" s="274">
        <v>17842</v>
      </c>
      <c r="AK1136" s="339">
        <v>4957</v>
      </c>
      <c r="AL1136" s="340" t="s">
        <v>2590</v>
      </c>
      <c r="AO1136" s="370" t="s">
        <v>5310</v>
      </c>
      <c r="AP1136" s="23">
        <f t="shared" si="441"/>
        <v>20</v>
      </c>
      <c r="AQ1136" s="392">
        <f t="shared" si="449"/>
        <v>0.26275557143011741</v>
      </c>
      <c r="AR1136" s="392">
        <f t="shared" si="450"/>
        <v>0.68057280631289396</v>
      </c>
      <c r="AS1136" s="392">
        <f t="shared" si="450"/>
        <v>0.99143275518460716</v>
      </c>
    </row>
    <row r="1137" spans="1:45">
      <c r="A1137" t="str">
        <f t="shared" si="448"/>
        <v>CA_Orang_2020g~irvine ranch water district director, division 4 (vote 1)</v>
      </c>
      <c r="B1137" s="55" t="s">
        <v>3536</v>
      </c>
      <c r="D1137" s="55" t="s">
        <v>4091</v>
      </c>
      <c r="E1137" s="55" t="s">
        <v>3443</v>
      </c>
      <c r="G1137" s="60">
        <v>2107</v>
      </c>
      <c r="H1137"/>
      <c r="J1137">
        <v>38826</v>
      </c>
      <c r="N1137">
        <v>7946</v>
      </c>
      <c r="O1137">
        <f t="shared" si="426"/>
        <v>3</v>
      </c>
      <c r="P1137" s="57">
        <f t="shared" si="427"/>
        <v>1</v>
      </c>
      <c r="Q1137" s="267">
        <f t="shared" si="428"/>
        <v>2107</v>
      </c>
      <c r="R1137" s="23" t="str">
        <f t="shared" si="429"/>
        <v/>
      </c>
      <c r="S1137" s="23">
        <f t="shared" si="430"/>
        <v>2107</v>
      </c>
      <c r="T1137" s="23" t="str">
        <f t="shared" si="431"/>
        <v/>
      </c>
      <c r="U1137" t="str">
        <f t="shared" si="432"/>
        <v/>
      </c>
      <c r="W1137" s="1">
        <f t="shared" si="433"/>
        <v>5</v>
      </c>
      <c r="X1137" s="73">
        <f t="shared" si="442"/>
        <v>14.466666666666669</v>
      </c>
      <c r="Y1137" s="322">
        <f t="shared" si="434"/>
        <v>897.4140000000001</v>
      </c>
      <c r="Z1137" s="43">
        <f t="shared" si="443"/>
        <v>1.0458372304364457E-50</v>
      </c>
      <c r="AA1137" s="52">
        <f t="shared" si="435"/>
        <v>1.0458372304364457E-52</v>
      </c>
      <c r="AB1137" s="8">
        <f t="shared" si="436"/>
        <v>832.12</v>
      </c>
      <c r="AC1137" s="8">
        <f t="shared" si="437"/>
        <v>41606</v>
      </c>
      <c r="AD1137" s="8">
        <f t="shared" si="440"/>
        <v>208.03</v>
      </c>
      <c r="AE1137" s="8" t="str">
        <f t="shared" si="438"/>
        <v/>
      </c>
      <c r="AF1137" s="22" t="str">
        <f t="shared" si="439"/>
        <v>PA_Merce_2018g</v>
      </c>
      <c r="AG1137">
        <v>1</v>
      </c>
      <c r="AH1137" s="272">
        <v>13006</v>
      </c>
      <c r="AI1137" s="273">
        <v>9282</v>
      </c>
      <c r="AJ1137" s="274">
        <v>3708</v>
      </c>
      <c r="AK1137" s="339">
        <v>5574</v>
      </c>
      <c r="AL1137" s="340" t="s">
        <v>2584</v>
      </c>
      <c r="AO1137" s="370" t="s">
        <v>5310</v>
      </c>
      <c r="AP1137" s="23">
        <f t="shared" si="441"/>
        <v>22</v>
      </c>
      <c r="AQ1137" s="392">
        <f t="shared" si="449"/>
        <v>0.28615882499377632</v>
      </c>
      <c r="AR1137" s="392">
        <f t="shared" si="450"/>
        <v>0.71695312499315267</v>
      </c>
      <c r="AS1137" s="392">
        <f t="shared" si="450"/>
        <v>0.99484103502270271</v>
      </c>
    </row>
    <row r="1138" spans="1:45">
      <c r="A1138" t="str">
        <f t="shared" si="448"/>
        <v>CA_Orang_2020g~irvine unified school district governing board member, trustee area 3 (vote 1)</v>
      </c>
      <c r="B1138" s="55" t="s">
        <v>3536</v>
      </c>
      <c r="D1138" s="55" t="s">
        <v>3620</v>
      </c>
      <c r="E1138" s="55" t="s">
        <v>3623</v>
      </c>
      <c r="G1138" s="60">
        <v>6359</v>
      </c>
      <c r="H1138"/>
      <c r="J1138">
        <v>17147</v>
      </c>
      <c r="N1138">
        <v>3080</v>
      </c>
      <c r="O1138">
        <f t="shared" si="426"/>
        <v>1</v>
      </c>
      <c r="P1138" s="57">
        <f t="shared" si="427"/>
        <v>1</v>
      </c>
      <c r="Q1138" s="267">
        <f t="shared" si="428"/>
        <v>14004</v>
      </c>
      <c r="R1138" s="23">
        <f t="shared" si="429"/>
        <v>6359</v>
      </c>
      <c r="S1138" s="23">
        <f t="shared" si="430"/>
        <v>3198</v>
      </c>
      <c r="T1138" s="23">
        <f t="shared" si="431"/>
        <v>3161</v>
      </c>
      <c r="U1138" t="str">
        <f t="shared" si="432"/>
        <v>CA_Orang_2020g~irvine unified school district governing board member, trustee area 3 (vote 1)</v>
      </c>
      <c r="W1138" s="1">
        <f t="shared" si="433"/>
        <v>6</v>
      </c>
      <c r="X1138" s="73">
        <f t="shared" si="442"/>
        <v>23.344184767665659</v>
      </c>
      <c r="Y1138" s="322">
        <f t="shared" si="434"/>
        <v>2834.6580000000004</v>
      </c>
      <c r="Z1138" s="43">
        <f t="shared" si="443"/>
        <v>1.2208472222700816E-108</v>
      </c>
      <c r="AA1138" s="52">
        <f t="shared" si="435"/>
        <v>1.2208472222700815E-110</v>
      </c>
      <c r="AB1138" s="8">
        <f t="shared" si="436"/>
        <v>832.12</v>
      </c>
      <c r="AC1138" s="8">
        <f t="shared" si="437"/>
        <v>41606</v>
      </c>
      <c r="AD1138" s="8">
        <f t="shared" si="440"/>
        <v>208.03</v>
      </c>
      <c r="AE1138" s="8" t="str">
        <f t="shared" si="438"/>
        <v/>
      </c>
      <c r="AF1138" s="22" t="str">
        <f t="shared" si="439"/>
        <v>PA_Merce_2018g</v>
      </c>
      <c r="AG1138">
        <v>1</v>
      </c>
      <c r="AH1138" s="272">
        <v>41082</v>
      </c>
      <c r="AI1138" s="273">
        <v>25980</v>
      </c>
      <c r="AJ1138" s="274">
        <v>15069</v>
      </c>
      <c r="AK1138" s="339">
        <v>10911</v>
      </c>
      <c r="AL1138" s="340" t="s">
        <v>2587</v>
      </c>
      <c r="AO1138" s="370" t="s">
        <v>5310</v>
      </c>
      <c r="AP1138" s="23">
        <f t="shared" si="441"/>
        <v>45</v>
      </c>
      <c r="AQ1138" s="392">
        <f t="shared" si="449"/>
        <v>0.52067774458551153</v>
      </c>
      <c r="AR1138" s="392">
        <f t="shared" si="450"/>
        <v>0.93655547750094237</v>
      </c>
      <c r="AS1138" s="392">
        <f t="shared" si="450"/>
        <v>0.99999075282450178</v>
      </c>
    </row>
    <row r="1139" spans="1:45">
      <c r="A1139" t="str">
        <f t="shared" si="448"/>
        <v>CA_Orang_2020g~irvine unified school district governing board member, trustee area 3 (vote 1)</v>
      </c>
      <c r="B1139" s="55" t="s">
        <v>3536</v>
      </c>
      <c r="D1139" s="55" t="s">
        <v>3620</v>
      </c>
      <c r="E1139" s="55" t="s">
        <v>3624</v>
      </c>
      <c r="G1139" s="60">
        <v>3198</v>
      </c>
      <c r="H1139"/>
      <c r="J1139">
        <v>17147</v>
      </c>
      <c r="N1139">
        <v>3080</v>
      </c>
      <c r="O1139">
        <f t="shared" si="426"/>
        <v>2</v>
      </c>
      <c r="P1139" s="57">
        <f t="shared" si="427"/>
        <v>1</v>
      </c>
      <c r="Q1139" s="267">
        <f t="shared" si="428"/>
        <v>7645</v>
      </c>
      <c r="R1139" s="23" t="str">
        <f t="shared" si="429"/>
        <v/>
      </c>
      <c r="S1139" s="23">
        <f t="shared" si="430"/>
        <v>3198</v>
      </c>
      <c r="T1139" s="23" t="str">
        <f t="shared" si="431"/>
        <v/>
      </c>
      <c r="U1139" t="str">
        <f t="shared" si="432"/>
        <v/>
      </c>
      <c r="W1139" s="1">
        <f t="shared" si="433"/>
        <v>1</v>
      </c>
      <c r="X1139" s="73">
        <f t="shared" si="442"/>
        <v>32</v>
      </c>
      <c r="Y1139" s="322">
        <f t="shared" si="434"/>
        <v>32</v>
      </c>
      <c r="Z1139" s="43">
        <f t="shared" si="443"/>
        <v>100</v>
      </c>
      <c r="AA1139" s="52">
        <f t="shared" si="435"/>
        <v>1</v>
      </c>
      <c r="AB1139" s="8">
        <f t="shared" si="436"/>
        <v>270.24</v>
      </c>
      <c r="AC1139" s="8">
        <f t="shared" si="437"/>
        <v>13512</v>
      </c>
      <c r="AD1139" s="8">
        <f t="shared" si="440"/>
        <v>67.56</v>
      </c>
      <c r="AE1139" s="8" t="str">
        <f t="shared" si="438"/>
        <v/>
      </c>
      <c r="AF1139" s="22" t="str">
        <f t="shared" si="439"/>
        <v>PA_Merce_2018p</v>
      </c>
      <c r="AG1139">
        <v>1</v>
      </c>
      <c r="AH1139" s="8">
        <v>32</v>
      </c>
      <c r="AI1139" s="273">
        <v>16</v>
      </c>
      <c r="AJ1139" s="274">
        <v>16</v>
      </c>
      <c r="AK1139" s="339">
        <v>0</v>
      </c>
      <c r="AL1139" s="340" t="s">
        <v>2746</v>
      </c>
      <c r="AP1139" s="23">
        <f t="shared" si="441"/>
        <v>0</v>
      </c>
      <c r="AQ1139" s="392">
        <f t="shared" si="449"/>
        <v>0</v>
      </c>
      <c r="AR1139" s="392">
        <f t="shared" si="450"/>
        <v>0</v>
      </c>
      <c r="AS1139" s="392">
        <f t="shared" si="450"/>
        <v>0</v>
      </c>
    </row>
    <row r="1140" spans="1:45">
      <c r="A1140" t="str">
        <f t="shared" si="448"/>
        <v>CA_Orang_2020g~irvine unified school district governing board member, trustee area 3 (vote 1)</v>
      </c>
      <c r="B1140" s="55" t="s">
        <v>3536</v>
      </c>
      <c r="D1140" s="55" t="s">
        <v>3620</v>
      </c>
      <c r="E1140" s="55" t="s">
        <v>3622</v>
      </c>
      <c r="G1140" s="60">
        <v>2346</v>
      </c>
      <c r="H1140"/>
      <c r="J1140">
        <v>17147</v>
      </c>
      <c r="N1140">
        <v>3080</v>
      </c>
      <c r="O1140">
        <f t="shared" si="426"/>
        <v>3</v>
      </c>
      <c r="P1140" s="57">
        <f t="shared" si="427"/>
        <v>1</v>
      </c>
      <c r="Q1140" s="267">
        <f t="shared" si="428"/>
        <v>4447</v>
      </c>
      <c r="R1140" s="23" t="str">
        <f t="shared" si="429"/>
        <v/>
      </c>
      <c r="S1140" s="23">
        <f t="shared" si="430"/>
        <v>2346</v>
      </c>
      <c r="T1140" s="23" t="str">
        <f t="shared" si="431"/>
        <v/>
      </c>
      <c r="U1140" t="str">
        <f t="shared" si="432"/>
        <v/>
      </c>
      <c r="W1140" s="1">
        <f t="shared" si="433"/>
        <v>2</v>
      </c>
      <c r="X1140" s="73">
        <f t="shared" si="442"/>
        <v>482.42857142857144</v>
      </c>
      <c r="Y1140" s="322">
        <f t="shared" si="434"/>
        <v>482.42857142857144</v>
      </c>
      <c r="Z1140" s="43">
        <f t="shared" si="443"/>
        <v>94.175825982213837</v>
      </c>
      <c r="AA1140" s="52">
        <f t="shared" si="435"/>
        <v>0.94175825982213834</v>
      </c>
      <c r="AB1140" s="8">
        <f t="shared" si="436"/>
        <v>270.24</v>
      </c>
      <c r="AC1140" s="8">
        <f t="shared" si="437"/>
        <v>13512</v>
      </c>
      <c r="AD1140" s="8">
        <f t="shared" si="440"/>
        <v>67.56</v>
      </c>
      <c r="AE1140" s="8" t="str">
        <f t="shared" si="438"/>
        <v/>
      </c>
      <c r="AF1140" s="22" t="str">
        <f t="shared" si="439"/>
        <v>PA_Merce_2018p</v>
      </c>
      <c r="AG1140">
        <v>7</v>
      </c>
      <c r="AH1140" s="272">
        <v>482.42857142857144</v>
      </c>
      <c r="AI1140" s="273">
        <v>264</v>
      </c>
      <c r="AJ1140" s="274">
        <v>261</v>
      </c>
      <c r="AK1140" s="339">
        <v>3</v>
      </c>
      <c r="AL1140" s="340" t="s">
        <v>2894</v>
      </c>
      <c r="AP1140" s="23">
        <f t="shared" si="441"/>
        <v>0</v>
      </c>
      <c r="AQ1140" s="392">
        <f t="shared" si="449"/>
        <v>0</v>
      </c>
      <c r="AR1140" s="392">
        <f t="shared" si="450"/>
        <v>0</v>
      </c>
      <c r="AS1140" s="392">
        <f t="shared" si="450"/>
        <v>0</v>
      </c>
    </row>
    <row r="1141" spans="1:45">
      <c r="A1141" t="str">
        <f t="shared" si="448"/>
        <v>CA_Orang_2020g~irvine unified school district governing board member, trustee area 3 (vote 1)</v>
      </c>
      <c r="B1141" s="55" t="s">
        <v>3536</v>
      </c>
      <c r="D1141" s="55" t="s">
        <v>3620</v>
      </c>
      <c r="E1141" s="55" t="s">
        <v>3621</v>
      </c>
      <c r="G1141" s="60">
        <v>2101</v>
      </c>
      <c r="H1141"/>
      <c r="J1141">
        <v>17147</v>
      </c>
      <c r="N1141">
        <v>3080</v>
      </c>
      <c r="O1141">
        <f t="shared" si="426"/>
        <v>4</v>
      </c>
      <c r="P1141" s="57">
        <f t="shared" si="427"/>
        <v>1</v>
      </c>
      <c r="Q1141" s="267">
        <f t="shared" si="428"/>
        <v>2101</v>
      </c>
      <c r="R1141" s="23" t="str">
        <f t="shared" si="429"/>
        <v/>
      </c>
      <c r="S1141" s="23">
        <f t="shared" si="430"/>
        <v>2101</v>
      </c>
      <c r="T1141" s="23" t="str">
        <f t="shared" si="431"/>
        <v/>
      </c>
      <c r="U1141" t="str">
        <f t="shared" si="432"/>
        <v/>
      </c>
      <c r="W1141" s="1">
        <f t="shared" si="433"/>
        <v>3</v>
      </c>
      <c r="X1141" s="73">
        <f t="shared" si="442"/>
        <v>32</v>
      </c>
      <c r="Y1141" s="322">
        <f t="shared" si="434"/>
        <v>32</v>
      </c>
      <c r="Z1141" s="43">
        <f t="shared" si="443"/>
        <v>88.689679982746028</v>
      </c>
      <c r="AA1141" s="52">
        <f t="shared" si="435"/>
        <v>0.88689679982746028</v>
      </c>
      <c r="AB1141" s="8">
        <f t="shared" si="436"/>
        <v>270.24</v>
      </c>
      <c r="AC1141" s="8">
        <f t="shared" si="437"/>
        <v>13512</v>
      </c>
      <c r="AD1141" s="8">
        <f t="shared" si="440"/>
        <v>67.56</v>
      </c>
      <c r="AE1141" s="8" t="str">
        <f t="shared" si="438"/>
        <v/>
      </c>
      <c r="AF1141" s="22" t="str">
        <f t="shared" si="439"/>
        <v>PA_Merce_2018p</v>
      </c>
      <c r="AG1141">
        <v>1</v>
      </c>
      <c r="AH1141" s="272">
        <v>32</v>
      </c>
      <c r="AI1141" s="273">
        <v>19</v>
      </c>
      <c r="AJ1141" s="274">
        <v>13</v>
      </c>
      <c r="AK1141" s="339">
        <v>6</v>
      </c>
      <c r="AL1141" s="340" t="s">
        <v>2613</v>
      </c>
      <c r="AP1141" s="23">
        <f t="shared" si="441"/>
        <v>0</v>
      </c>
      <c r="AQ1141" s="392">
        <f t="shared" si="449"/>
        <v>0</v>
      </c>
      <c r="AR1141" s="392">
        <f t="shared" si="450"/>
        <v>0</v>
      </c>
      <c r="AS1141" s="392">
        <f t="shared" si="450"/>
        <v>0</v>
      </c>
    </row>
    <row r="1142" spans="1:45">
      <c r="A1142" t="str">
        <f t="shared" si="448"/>
        <v>CA_Orang_2020g~irvine unified school district governing board member, trustee area 5 (vote 1)</v>
      </c>
      <c r="B1142" s="55" t="s">
        <v>3536</v>
      </c>
      <c r="D1142" s="55" t="s">
        <v>3625</v>
      </c>
      <c r="E1142" s="55" t="s">
        <v>3626</v>
      </c>
      <c r="G1142" s="60">
        <v>11074</v>
      </c>
      <c r="H1142"/>
      <c r="J1142">
        <v>18803</v>
      </c>
      <c r="N1142">
        <v>3060</v>
      </c>
      <c r="O1142">
        <f t="shared" si="426"/>
        <v>1</v>
      </c>
      <c r="P1142" s="57">
        <f t="shared" si="427"/>
        <v>1</v>
      </c>
      <c r="Q1142" s="267">
        <f t="shared" si="428"/>
        <v>15661</v>
      </c>
      <c r="R1142" s="23">
        <f t="shared" si="429"/>
        <v>11074</v>
      </c>
      <c r="S1142" s="23">
        <f t="shared" si="430"/>
        <v>4587</v>
      </c>
      <c r="T1142" s="23">
        <f t="shared" si="431"/>
        <v>6487</v>
      </c>
      <c r="U1142" t="str">
        <f t="shared" si="432"/>
        <v>CA_Orang_2020g~irvine unified school district governing board member, trustee area 5 (vote 1)</v>
      </c>
      <c r="W1142" s="1">
        <f t="shared" si="433"/>
        <v>4</v>
      </c>
      <c r="X1142" s="73">
        <f t="shared" si="442"/>
        <v>23.25</v>
      </c>
      <c r="Y1142" s="322">
        <f t="shared" si="434"/>
        <v>23.25</v>
      </c>
      <c r="Z1142" s="43">
        <f t="shared" si="443"/>
        <v>72.601136434112547</v>
      </c>
      <c r="AA1142" s="52">
        <f t="shared" si="435"/>
        <v>0.72601136434112545</v>
      </c>
      <c r="AB1142" s="8">
        <f t="shared" si="436"/>
        <v>270.24</v>
      </c>
      <c r="AC1142" s="8">
        <f t="shared" si="437"/>
        <v>13512</v>
      </c>
      <c r="AD1142" s="8">
        <f t="shared" si="440"/>
        <v>67.56</v>
      </c>
      <c r="AE1142" s="8" t="str">
        <f t="shared" si="438"/>
        <v/>
      </c>
      <c r="AF1142" s="22" t="str">
        <f t="shared" si="439"/>
        <v>PA_Merce_2018p</v>
      </c>
      <c r="AG1142">
        <v>1</v>
      </c>
      <c r="AH1142" s="272">
        <v>60</v>
      </c>
      <c r="AI1142" s="273">
        <v>38</v>
      </c>
      <c r="AJ1142" s="274">
        <v>22</v>
      </c>
      <c r="AK1142" s="339">
        <v>16</v>
      </c>
      <c r="AL1142" s="340" t="s">
        <v>2785</v>
      </c>
      <c r="AP1142" s="23">
        <f t="shared" si="441"/>
        <v>0</v>
      </c>
      <c r="AQ1142" s="392">
        <f t="shared" si="449"/>
        <v>0</v>
      </c>
      <c r="AR1142" s="392">
        <f t="shared" si="450"/>
        <v>0</v>
      </c>
      <c r="AS1142" s="392">
        <f t="shared" si="450"/>
        <v>0</v>
      </c>
    </row>
    <row r="1143" spans="1:45">
      <c r="A1143" t="str">
        <f t="shared" si="448"/>
        <v>CA_Orang_2020g~irvine unified school district governing board member, trustee area 5 (vote 1)</v>
      </c>
      <c r="B1143" s="55" t="s">
        <v>3536</v>
      </c>
      <c r="D1143" s="55" t="s">
        <v>3625</v>
      </c>
      <c r="E1143" s="55" t="s">
        <v>3627</v>
      </c>
      <c r="G1143" s="60">
        <v>4587</v>
      </c>
      <c r="H1143"/>
      <c r="J1143">
        <v>18803</v>
      </c>
      <c r="N1143">
        <v>3060</v>
      </c>
      <c r="O1143">
        <f t="shared" si="426"/>
        <v>2</v>
      </c>
      <c r="P1143" s="57">
        <f t="shared" si="427"/>
        <v>1</v>
      </c>
      <c r="Q1143" s="267">
        <f t="shared" si="428"/>
        <v>4587</v>
      </c>
      <c r="R1143" s="23" t="str">
        <f t="shared" si="429"/>
        <v/>
      </c>
      <c r="S1143" s="23">
        <f t="shared" si="430"/>
        <v>4587</v>
      </c>
      <c r="T1143" s="23" t="str">
        <f t="shared" si="431"/>
        <v/>
      </c>
      <c r="U1143" t="str">
        <f t="shared" si="432"/>
        <v/>
      </c>
      <c r="W1143" s="1">
        <f t="shared" si="433"/>
        <v>5</v>
      </c>
      <c r="X1143" s="73">
        <f t="shared" si="442"/>
        <v>18.895238095238096</v>
      </c>
      <c r="Y1143" s="322">
        <f t="shared" si="434"/>
        <v>18.895238095238096</v>
      </c>
      <c r="Z1143" s="43">
        <f t="shared" si="443"/>
        <v>43.114612127680324</v>
      </c>
      <c r="AA1143" s="52">
        <f t="shared" si="435"/>
        <v>0.43114612127680324</v>
      </c>
      <c r="AB1143" s="8">
        <f t="shared" si="436"/>
        <v>270.24</v>
      </c>
      <c r="AC1143" s="8">
        <f t="shared" si="437"/>
        <v>13512</v>
      </c>
      <c r="AD1143" s="8">
        <f t="shared" si="440"/>
        <v>67.56</v>
      </c>
      <c r="AE1143" s="8" t="str">
        <f t="shared" si="438"/>
        <v/>
      </c>
      <c r="AF1143" s="22" t="str">
        <f t="shared" si="439"/>
        <v>PA_Merce_2018p</v>
      </c>
      <c r="AG1143">
        <v>1</v>
      </c>
      <c r="AH1143" s="272">
        <v>128</v>
      </c>
      <c r="AI1143" s="273">
        <v>85</v>
      </c>
      <c r="AJ1143" s="274">
        <v>43</v>
      </c>
      <c r="AK1143" s="339">
        <v>42</v>
      </c>
      <c r="AL1143" s="340" t="s">
        <v>2653</v>
      </c>
      <c r="AP1143" s="23">
        <f t="shared" si="441"/>
        <v>0</v>
      </c>
      <c r="AQ1143" s="392">
        <f t="shared" si="449"/>
        <v>0</v>
      </c>
      <c r="AR1143" s="392">
        <f t="shared" si="450"/>
        <v>0</v>
      </c>
      <c r="AS1143" s="392">
        <f t="shared" si="450"/>
        <v>0</v>
      </c>
    </row>
    <row r="1144" spans="1:45">
      <c r="A1144" t="str">
        <f t="shared" si="448"/>
        <v>CA_Orang_2020g~la habra city school district governing board member, full term (vote 1)</v>
      </c>
      <c r="B1144" s="55" t="s">
        <v>3536</v>
      </c>
      <c r="D1144" s="55" t="s">
        <v>3716</v>
      </c>
      <c r="E1144" s="55" t="s">
        <v>3718</v>
      </c>
      <c r="G1144" s="60">
        <v>10199</v>
      </c>
      <c r="H1144"/>
      <c r="J1144">
        <v>22787</v>
      </c>
      <c r="N1144">
        <v>17917</v>
      </c>
      <c r="O1144">
        <f t="shared" si="426"/>
        <v>1</v>
      </c>
      <c r="P1144" s="57">
        <f t="shared" si="427"/>
        <v>1</v>
      </c>
      <c r="Q1144" s="267">
        <f t="shared" si="428"/>
        <v>27519</v>
      </c>
      <c r="R1144" s="23">
        <f t="shared" si="429"/>
        <v>10199</v>
      </c>
      <c r="S1144" s="23">
        <f t="shared" si="430"/>
        <v>10043</v>
      </c>
      <c r="T1144" s="23">
        <f t="shared" si="431"/>
        <v>156</v>
      </c>
      <c r="U1144" t="str">
        <f t="shared" si="432"/>
        <v>CA_Orang_2020g~la habra city school district governing board member, full term (vote 1)</v>
      </c>
      <c r="W1144" s="1">
        <f t="shared" si="433"/>
        <v>6</v>
      </c>
      <c r="X1144" s="73">
        <f t="shared" si="442"/>
        <v>16.662500000000001</v>
      </c>
      <c r="Y1144" s="322">
        <f t="shared" si="434"/>
        <v>16.662500000000001</v>
      </c>
      <c r="Z1144" s="43">
        <f t="shared" si="443"/>
        <v>38.223900441446311</v>
      </c>
      <c r="AA1144" s="52">
        <f t="shared" si="435"/>
        <v>0.38223900441446312</v>
      </c>
      <c r="AB1144" s="8">
        <f t="shared" si="436"/>
        <v>270.24</v>
      </c>
      <c r="AC1144" s="8">
        <f t="shared" si="437"/>
        <v>13512</v>
      </c>
      <c r="AD1144" s="8">
        <f t="shared" si="440"/>
        <v>67.56</v>
      </c>
      <c r="AE1144" s="8" t="str">
        <f t="shared" si="438"/>
        <v/>
      </c>
      <c r="AF1144" s="22" t="str">
        <f t="shared" si="439"/>
        <v>PA_Merce_2018p</v>
      </c>
      <c r="AG1144">
        <v>1</v>
      </c>
      <c r="AH1144" s="272">
        <v>129</v>
      </c>
      <c r="AI1144" s="273">
        <v>88</v>
      </c>
      <c r="AJ1144" s="274">
        <v>40</v>
      </c>
      <c r="AK1144" s="339">
        <v>48</v>
      </c>
      <c r="AL1144" s="340" t="s">
        <v>2862</v>
      </c>
      <c r="AP1144" s="23">
        <f t="shared" si="441"/>
        <v>0</v>
      </c>
      <c r="AQ1144" s="392">
        <f t="shared" si="449"/>
        <v>0</v>
      </c>
      <c r="AR1144" s="392">
        <f t="shared" si="450"/>
        <v>0</v>
      </c>
      <c r="AS1144" s="392">
        <f t="shared" si="450"/>
        <v>0</v>
      </c>
    </row>
    <row r="1145" spans="1:45">
      <c r="A1145" t="str">
        <f t="shared" si="448"/>
        <v>CA_Orang_2020g~la habra city school district governing board member, full term (vote 1)</v>
      </c>
      <c r="B1145" s="55" t="s">
        <v>3536</v>
      </c>
      <c r="D1145" s="55" t="s">
        <v>3716</v>
      </c>
      <c r="E1145" s="55" t="s">
        <v>3719</v>
      </c>
      <c r="G1145" s="60">
        <v>10043</v>
      </c>
      <c r="H1145"/>
      <c r="J1145">
        <v>22787</v>
      </c>
      <c r="N1145">
        <v>17917</v>
      </c>
      <c r="O1145">
        <f t="shared" si="426"/>
        <v>2</v>
      </c>
      <c r="P1145" s="57">
        <f t="shared" si="427"/>
        <v>1</v>
      </c>
      <c r="Q1145" s="267">
        <f t="shared" si="428"/>
        <v>17320</v>
      </c>
      <c r="R1145" s="23" t="str">
        <f t="shared" si="429"/>
        <v/>
      </c>
      <c r="S1145" s="23">
        <f t="shared" si="430"/>
        <v>10043</v>
      </c>
      <c r="T1145" s="23" t="str">
        <f t="shared" si="431"/>
        <v/>
      </c>
      <c r="U1145" t="str">
        <f t="shared" si="432"/>
        <v/>
      </c>
      <c r="W1145" s="1">
        <f t="shared" si="433"/>
        <v>7</v>
      </c>
      <c r="X1145" s="73">
        <f t="shared" si="442"/>
        <v>535.18400000000008</v>
      </c>
      <c r="Y1145" s="322">
        <f t="shared" si="434"/>
        <v>535.18400000000008</v>
      </c>
      <c r="Z1145" s="43">
        <f t="shared" si="443"/>
        <v>22.219977033610409</v>
      </c>
      <c r="AA1145" s="52">
        <f t="shared" si="435"/>
        <v>0.22219977033610408</v>
      </c>
      <c r="AB1145" s="8">
        <f t="shared" si="436"/>
        <v>270.24</v>
      </c>
      <c r="AC1145" s="8">
        <f t="shared" si="437"/>
        <v>13512</v>
      </c>
      <c r="AD1145" s="8">
        <f t="shared" si="440"/>
        <v>67.56</v>
      </c>
      <c r="AE1145" s="8" t="str">
        <f t="shared" si="438"/>
        <v/>
      </c>
      <c r="AF1145" s="22" t="str">
        <f t="shared" si="439"/>
        <v>PA_Merce_2018p</v>
      </c>
      <c r="AG1145">
        <v>1</v>
      </c>
      <c r="AH1145" s="272">
        <v>6474</v>
      </c>
      <c r="AI1145" s="273">
        <v>2280</v>
      </c>
      <c r="AJ1145" s="274">
        <v>2205</v>
      </c>
      <c r="AK1145" s="339">
        <v>75</v>
      </c>
      <c r="AL1145" s="340" t="s">
        <v>2910</v>
      </c>
      <c r="AP1145" s="23">
        <f t="shared" si="441"/>
        <v>0</v>
      </c>
      <c r="AQ1145" s="392">
        <f t="shared" si="449"/>
        <v>0</v>
      </c>
      <c r="AR1145" s="392">
        <f t="shared" si="450"/>
        <v>0</v>
      </c>
      <c r="AS1145" s="392">
        <f t="shared" si="450"/>
        <v>0</v>
      </c>
    </row>
    <row r="1146" spans="1:45">
      <c r="A1146" t="str">
        <f t="shared" si="448"/>
        <v>CA_Orang_2020g~la habra city school district governing board member, full term (vote 1)</v>
      </c>
      <c r="B1146" s="55" t="s">
        <v>3536</v>
      </c>
      <c r="D1146" s="55" t="s">
        <v>3716</v>
      </c>
      <c r="E1146" s="55" t="s">
        <v>3717</v>
      </c>
      <c r="G1146" s="60">
        <v>7277</v>
      </c>
      <c r="H1146"/>
      <c r="J1146">
        <v>22787</v>
      </c>
      <c r="N1146">
        <v>17917</v>
      </c>
      <c r="O1146">
        <f t="shared" si="426"/>
        <v>3</v>
      </c>
      <c r="P1146" s="57">
        <f t="shared" si="427"/>
        <v>1</v>
      </c>
      <c r="Q1146" s="267">
        <f t="shared" si="428"/>
        <v>7277</v>
      </c>
      <c r="R1146" s="23" t="str">
        <f t="shared" si="429"/>
        <v/>
      </c>
      <c r="S1146" s="23">
        <f t="shared" si="430"/>
        <v>7277</v>
      </c>
      <c r="T1146" s="23" t="str">
        <f t="shared" si="431"/>
        <v/>
      </c>
      <c r="U1146" t="str">
        <f t="shared" si="432"/>
        <v/>
      </c>
      <c r="W1146" s="1">
        <f t="shared" si="433"/>
        <v>8</v>
      </c>
      <c r="X1146" s="73">
        <f t="shared" si="442"/>
        <v>11.625</v>
      </c>
      <c r="Y1146" s="322">
        <f t="shared" si="434"/>
        <v>41.400000000000006</v>
      </c>
      <c r="Z1146" s="43">
        <f t="shared" si="443"/>
        <v>0.15384149134077388</v>
      </c>
      <c r="AA1146" s="52">
        <f t="shared" si="435"/>
        <v>1.5384149134077387E-3</v>
      </c>
      <c r="AB1146" s="8">
        <f t="shared" si="436"/>
        <v>270.24</v>
      </c>
      <c r="AC1146" s="8">
        <f t="shared" si="437"/>
        <v>13512</v>
      </c>
      <c r="AD1146" s="8">
        <f t="shared" si="440"/>
        <v>67.56</v>
      </c>
      <c r="AE1146" s="8" t="str">
        <f t="shared" si="438"/>
        <v/>
      </c>
      <c r="AF1146" s="22" t="str">
        <f t="shared" si="439"/>
        <v>PA_Merce_2018p</v>
      </c>
      <c r="AG1146">
        <v>1</v>
      </c>
      <c r="AH1146" s="272">
        <v>600</v>
      </c>
      <c r="AI1146" s="273">
        <v>460</v>
      </c>
      <c r="AJ1146" s="274">
        <v>140</v>
      </c>
      <c r="AK1146" s="339">
        <v>320</v>
      </c>
      <c r="AL1146" s="340" t="s">
        <v>2893</v>
      </c>
      <c r="AP1146" s="23">
        <f t="shared" si="441"/>
        <v>1</v>
      </c>
      <c r="AQ1146" s="392">
        <f t="shared" si="449"/>
        <v>1.4925373134328512E-2</v>
      </c>
      <c r="AR1146" s="392">
        <f t="shared" si="450"/>
        <v>5.9701492537313716E-2</v>
      </c>
      <c r="AS1146" s="392">
        <f t="shared" si="450"/>
        <v>0.20895522388059695</v>
      </c>
    </row>
    <row r="1147" spans="1:45">
      <c r="A1147" t="str">
        <f t="shared" si="448"/>
        <v>CA_Orang_2020g~laguna beach unified school district governing board member (vote 1)</v>
      </c>
      <c r="B1147" s="55" t="s">
        <v>3536</v>
      </c>
      <c r="D1147" s="55" t="s">
        <v>3628</v>
      </c>
      <c r="E1147" s="55" t="s">
        <v>3632</v>
      </c>
      <c r="G1147" s="60">
        <v>8365</v>
      </c>
      <c r="H1147"/>
      <c r="J1147">
        <v>20084</v>
      </c>
      <c r="N1147">
        <v>12971</v>
      </c>
      <c r="O1147">
        <f t="shared" si="426"/>
        <v>1</v>
      </c>
      <c r="P1147" s="57">
        <f t="shared" si="427"/>
        <v>1</v>
      </c>
      <c r="Q1147" s="267">
        <f t="shared" si="428"/>
        <v>27093</v>
      </c>
      <c r="R1147" s="23">
        <f t="shared" si="429"/>
        <v>8365</v>
      </c>
      <c r="S1147" s="23">
        <f t="shared" si="430"/>
        <v>6183</v>
      </c>
      <c r="T1147" s="23">
        <f t="shared" si="431"/>
        <v>2182</v>
      </c>
      <c r="U1147" t="str">
        <f t="shared" si="432"/>
        <v>CA_Orang_2020g~laguna beach unified school district governing board member (vote 1)</v>
      </c>
      <c r="W1147" s="1">
        <f t="shared" si="433"/>
        <v>9</v>
      </c>
      <c r="X1147" s="73">
        <f t="shared" si="442"/>
        <v>44.123179791976227</v>
      </c>
      <c r="Y1147" s="322">
        <f t="shared" si="434"/>
        <v>330.47550000000001</v>
      </c>
      <c r="Z1147" s="43">
        <f t="shared" si="443"/>
        <v>1.0087803047960756E-4</v>
      </c>
      <c r="AA1147" s="52">
        <f t="shared" si="435"/>
        <v>1.0087803047960756E-6</v>
      </c>
      <c r="AB1147" s="8">
        <f t="shared" si="436"/>
        <v>270.24</v>
      </c>
      <c r="AC1147" s="8">
        <f t="shared" si="437"/>
        <v>13512</v>
      </c>
      <c r="AD1147" s="8">
        <f t="shared" si="440"/>
        <v>67.56</v>
      </c>
      <c r="AE1147" s="8" t="str">
        <f t="shared" si="438"/>
        <v/>
      </c>
      <c r="AF1147" s="22" t="str">
        <f t="shared" si="439"/>
        <v>PA_Merce_2018p</v>
      </c>
      <c r="AG1147">
        <v>2</v>
      </c>
      <c r="AH1147" s="272">
        <v>4789.5</v>
      </c>
      <c r="AI1147" s="273">
        <v>2922</v>
      </c>
      <c r="AJ1147" s="274">
        <v>2249</v>
      </c>
      <c r="AK1147" s="339">
        <v>673</v>
      </c>
      <c r="AL1147" s="340" t="s">
        <v>2879</v>
      </c>
      <c r="AP1147" s="23">
        <f t="shared" si="441"/>
        <v>3</v>
      </c>
      <c r="AQ1147" s="392">
        <f t="shared" si="449"/>
        <v>4.4776119402985204E-2</v>
      </c>
      <c r="AR1147" s="392">
        <f t="shared" si="450"/>
        <v>0.17104686358417709</v>
      </c>
      <c r="AS1147" s="392">
        <f t="shared" si="450"/>
        <v>0.51099050203527807</v>
      </c>
    </row>
    <row r="1148" spans="1:45">
      <c r="A1148" t="str">
        <f t="shared" si="448"/>
        <v>CA_Orang_2020g~laguna beach unified school district governing board member (vote 1)</v>
      </c>
      <c r="B1148" s="55" t="s">
        <v>3536</v>
      </c>
      <c r="D1148" s="55" t="s">
        <v>3628</v>
      </c>
      <c r="E1148" s="55" t="s">
        <v>3630</v>
      </c>
      <c r="G1148" s="60">
        <v>6183</v>
      </c>
      <c r="H1148"/>
      <c r="J1148">
        <v>20084</v>
      </c>
      <c r="N1148">
        <v>12971</v>
      </c>
      <c r="O1148">
        <f t="shared" si="426"/>
        <v>2</v>
      </c>
      <c r="P1148" s="57">
        <f t="shared" si="427"/>
        <v>1</v>
      </c>
      <c r="Q1148" s="267">
        <f t="shared" si="428"/>
        <v>18728</v>
      </c>
      <c r="R1148" s="23" t="str">
        <f t="shared" si="429"/>
        <v/>
      </c>
      <c r="S1148" s="23">
        <f t="shared" si="430"/>
        <v>6183</v>
      </c>
      <c r="T1148" s="23" t="str">
        <f t="shared" si="431"/>
        <v/>
      </c>
      <c r="U1148" t="str">
        <f t="shared" si="432"/>
        <v/>
      </c>
      <c r="W1148" s="1">
        <f t="shared" si="433"/>
        <v>10</v>
      </c>
      <c r="X1148" s="73">
        <f t="shared" si="442"/>
        <v>36.670036764705884</v>
      </c>
      <c r="Y1148" s="322">
        <f t="shared" si="434"/>
        <v>444.01500000000004</v>
      </c>
      <c r="Z1148" s="43">
        <f t="shared" si="443"/>
        <v>1.404551590956667E-8</v>
      </c>
      <c r="AA1148" s="52">
        <f t="shared" si="435"/>
        <v>1.404551590956667E-10</v>
      </c>
      <c r="AB1148" s="8">
        <f t="shared" si="436"/>
        <v>270.24</v>
      </c>
      <c r="AC1148" s="8">
        <f t="shared" si="437"/>
        <v>13512</v>
      </c>
      <c r="AD1148" s="8">
        <f t="shared" si="440"/>
        <v>67.56</v>
      </c>
      <c r="AE1148" s="8" t="str">
        <f t="shared" si="438"/>
        <v/>
      </c>
      <c r="AF1148" s="22" t="str">
        <f t="shared" si="439"/>
        <v>PA_Merce_2018p</v>
      </c>
      <c r="AG1148">
        <v>1</v>
      </c>
      <c r="AH1148" s="8">
        <v>6435</v>
      </c>
      <c r="AI1148" s="273">
        <v>3746</v>
      </c>
      <c r="AJ1148" s="274">
        <v>2658</v>
      </c>
      <c r="AK1148" s="339">
        <v>1088</v>
      </c>
      <c r="AL1148" s="23" t="s">
        <v>3160</v>
      </c>
      <c r="AP1148" s="23">
        <f t="shared" si="441"/>
        <v>5</v>
      </c>
      <c r="AQ1148" s="392">
        <f t="shared" si="449"/>
        <v>7.4626865671641784E-2</v>
      </c>
      <c r="AR1148" s="392">
        <f t="shared" si="450"/>
        <v>0.27219888320634578</v>
      </c>
      <c r="AS1148" s="392">
        <f t="shared" si="450"/>
        <v>0.70285881200060296</v>
      </c>
    </row>
    <row r="1149" spans="1:45">
      <c r="A1149" t="str">
        <f t="shared" si="448"/>
        <v>CA_Orang_2020g~laguna beach unified school district governing board member (vote 1)</v>
      </c>
      <c r="B1149" s="55" t="s">
        <v>3536</v>
      </c>
      <c r="D1149" s="55" t="s">
        <v>3628</v>
      </c>
      <c r="E1149" s="55" t="s">
        <v>3629</v>
      </c>
      <c r="G1149" s="60">
        <v>5357</v>
      </c>
      <c r="H1149"/>
      <c r="J1149">
        <v>20084</v>
      </c>
      <c r="N1149">
        <v>12971</v>
      </c>
      <c r="O1149">
        <f t="shared" si="426"/>
        <v>3</v>
      </c>
      <c r="P1149" s="57">
        <f t="shared" si="427"/>
        <v>1</v>
      </c>
      <c r="Q1149" s="267">
        <f t="shared" si="428"/>
        <v>12545</v>
      </c>
      <c r="R1149" s="23" t="str">
        <f t="shared" si="429"/>
        <v/>
      </c>
      <c r="S1149" s="23">
        <f t="shared" si="430"/>
        <v>5357</v>
      </c>
      <c r="T1149" s="23" t="str">
        <f t="shared" si="431"/>
        <v/>
      </c>
      <c r="U1149" t="str">
        <f t="shared" si="432"/>
        <v/>
      </c>
      <c r="W1149" s="1">
        <f t="shared" si="433"/>
        <v>11</v>
      </c>
      <c r="X1149" s="73">
        <f t="shared" si="442"/>
        <v>24.810671256454391</v>
      </c>
      <c r="Y1149" s="322">
        <f t="shared" si="434"/>
        <v>481.27500000000003</v>
      </c>
      <c r="Z1149" s="43">
        <f t="shared" si="443"/>
        <v>6.1799488364235318E-15</v>
      </c>
      <c r="AA1149" s="52">
        <f t="shared" si="435"/>
        <v>6.1799488364235314E-17</v>
      </c>
      <c r="AB1149" s="8">
        <f t="shared" si="436"/>
        <v>270.24</v>
      </c>
      <c r="AC1149" s="8">
        <f t="shared" si="437"/>
        <v>13512</v>
      </c>
      <c r="AD1149" s="8">
        <f t="shared" si="440"/>
        <v>67.56</v>
      </c>
      <c r="AE1149" s="8" t="str">
        <f t="shared" si="438"/>
        <v/>
      </c>
      <c r="AF1149" s="22" t="str">
        <f t="shared" si="439"/>
        <v>PA_Merce_2018p</v>
      </c>
      <c r="AG1149">
        <v>1</v>
      </c>
      <c r="AH1149" s="272">
        <v>6975</v>
      </c>
      <c r="AI1149" s="273">
        <v>3833</v>
      </c>
      <c r="AJ1149" s="274">
        <v>2090</v>
      </c>
      <c r="AK1149" s="339">
        <v>1743</v>
      </c>
      <c r="AL1149" s="340" t="s">
        <v>2906</v>
      </c>
      <c r="AP1149" s="23">
        <f t="shared" si="441"/>
        <v>7</v>
      </c>
      <c r="AQ1149" s="392">
        <f t="shared" si="449"/>
        <v>0.10447761194029903</v>
      </c>
      <c r="AR1149" s="392">
        <f t="shared" si="450"/>
        <v>0.36379944682183507</v>
      </c>
      <c r="AS1149" s="392">
        <f t="shared" si="450"/>
        <v>0.82275237437159188</v>
      </c>
    </row>
    <row r="1150" spans="1:45">
      <c r="A1150" t="str">
        <f t="shared" si="448"/>
        <v>CA_Orang_2020g~laguna beach unified school district governing board member (vote 1)</v>
      </c>
      <c r="B1150" s="55" t="s">
        <v>3536</v>
      </c>
      <c r="D1150" s="55" t="s">
        <v>3628</v>
      </c>
      <c r="E1150" s="55" t="s">
        <v>3631</v>
      </c>
      <c r="G1150" s="60">
        <v>4612</v>
      </c>
      <c r="H1150"/>
      <c r="J1150">
        <v>20084</v>
      </c>
      <c r="N1150">
        <v>12971</v>
      </c>
      <c r="O1150">
        <f t="shared" si="426"/>
        <v>4</v>
      </c>
      <c r="P1150" s="57">
        <f t="shared" si="427"/>
        <v>1</v>
      </c>
      <c r="Q1150" s="267">
        <f t="shared" si="428"/>
        <v>7188</v>
      </c>
      <c r="R1150" s="23" t="str">
        <f t="shared" si="429"/>
        <v/>
      </c>
      <c r="S1150" s="23">
        <f t="shared" si="430"/>
        <v>4612</v>
      </c>
      <c r="T1150" s="23" t="str">
        <f t="shared" si="431"/>
        <v/>
      </c>
      <c r="U1150" t="str">
        <f t="shared" si="432"/>
        <v/>
      </c>
      <c r="W1150" s="1">
        <f t="shared" si="433"/>
        <v>12</v>
      </c>
      <c r="X1150" s="73">
        <f t="shared" si="442"/>
        <v>18.007087378640776</v>
      </c>
      <c r="Y1150" s="322">
        <f t="shared" si="434"/>
        <v>412.82700000000006</v>
      </c>
      <c r="Z1150" s="43">
        <f t="shared" si="443"/>
        <v>3.8585005016840636E-18</v>
      </c>
      <c r="AA1150" s="52">
        <f t="shared" si="435"/>
        <v>3.8585005016840634E-20</v>
      </c>
      <c r="AB1150" s="8">
        <f t="shared" si="436"/>
        <v>270.24</v>
      </c>
      <c r="AC1150" s="8">
        <f t="shared" si="437"/>
        <v>13512</v>
      </c>
      <c r="AD1150" s="8">
        <f t="shared" si="440"/>
        <v>67.56</v>
      </c>
      <c r="AE1150" s="8" t="str">
        <f t="shared" si="438"/>
        <v/>
      </c>
      <c r="AF1150" s="22" t="str">
        <f t="shared" si="439"/>
        <v>PA_Merce_2018p</v>
      </c>
      <c r="AG1150">
        <v>1</v>
      </c>
      <c r="AH1150" s="272">
        <v>5983</v>
      </c>
      <c r="AI1150" s="273">
        <v>3386</v>
      </c>
      <c r="AJ1150" s="274">
        <v>1326</v>
      </c>
      <c r="AK1150" s="339">
        <v>2060</v>
      </c>
      <c r="AL1150" s="340" t="s">
        <v>2887</v>
      </c>
      <c r="AP1150" s="23">
        <f t="shared" si="441"/>
        <v>9</v>
      </c>
      <c r="AQ1150" s="392">
        <f t="shared" si="449"/>
        <v>0.13432835820895539</v>
      </c>
      <c r="AR1150" s="392">
        <f t="shared" si="450"/>
        <v>0.44646957520091868</v>
      </c>
      <c r="AS1150" s="392">
        <f t="shared" si="450"/>
        <v>0.89635520196304941</v>
      </c>
    </row>
    <row r="1151" spans="1:45">
      <c r="A1151" t="str">
        <f t="shared" si="448"/>
        <v>CA_Orang_2020g~laguna beach unified school district governing board member (vote 1)</v>
      </c>
      <c r="B1151" s="55" t="s">
        <v>3536</v>
      </c>
      <c r="D1151" s="55" t="s">
        <v>3628</v>
      </c>
      <c r="E1151" s="55" t="s">
        <v>3633</v>
      </c>
      <c r="G1151" s="60">
        <v>2576</v>
      </c>
      <c r="H1151"/>
      <c r="J1151">
        <v>20084</v>
      </c>
      <c r="N1151">
        <v>12971</v>
      </c>
      <c r="O1151">
        <f t="shared" si="426"/>
        <v>5</v>
      </c>
      <c r="P1151" s="57">
        <f t="shared" si="427"/>
        <v>1</v>
      </c>
      <c r="Q1151" s="267">
        <f t="shared" si="428"/>
        <v>2576</v>
      </c>
      <c r="R1151" s="23" t="str">
        <f t="shared" si="429"/>
        <v/>
      </c>
      <c r="S1151" s="23">
        <f t="shared" si="430"/>
        <v>2576</v>
      </c>
      <c r="T1151" s="23" t="str">
        <f t="shared" si="431"/>
        <v/>
      </c>
      <c r="U1151" t="str">
        <f t="shared" si="432"/>
        <v/>
      </c>
      <c r="W1151" s="1">
        <f t="shared" si="433"/>
        <v>13</v>
      </c>
      <c r="X1151" s="73">
        <f t="shared" si="442"/>
        <v>13.653005244050021</v>
      </c>
      <c r="Y1151" s="322">
        <f t="shared" si="434"/>
        <v>376.67100000000005</v>
      </c>
      <c r="Z1151" s="43">
        <f t="shared" si="443"/>
        <v>1.6287288598849497E-22</v>
      </c>
      <c r="AA1151" s="52">
        <f t="shared" si="435"/>
        <v>1.6287288598849498E-24</v>
      </c>
      <c r="AB1151" s="8">
        <f t="shared" si="436"/>
        <v>270.24</v>
      </c>
      <c r="AC1151" s="8">
        <f t="shared" si="437"/>
        <v>13512</v>
      </c>
      <c r="AD1151" s="8">
        <f t="shared" si="440"/>
        <v>67.56</v>
      </c>
      <c r="AE1151" s="8" t="str">
        <f t="shared" si="438"/>
        <v/>
      </c>
      <c r="AF1151" s="22" t="str">
        <f t="shared" si="439"/>
        <v>PA_Merce_2018p</v>
      </c>
      <c r="AG1151">
        <v>1</v>
      </c>
      <c r="AH1151" s="272">
        <v>5459</v>
      </c>
      <c r="AI1151" s="273">
        <v>3512</v>
      </c>
      <c r="AJ1151" s="274">
        <v>1033</v>
      </c>
      <c r="AK1151" s="339">
        <v>2479</v>
      </c>
      <c r="AL1151" s="340" t="s">
        <v>2601</v>
      </c>
      <c r="AP1151" s="23">
        <f t="shared" si="441"/>
        <v>10</v>
      </c>
      <c r="AQ1151" s="392">
        <f t="shared" si="449"/>
        <v>0.1492537313432839</v>
      </c>
      <c r="AR1151" s="392">
        <f t="shared" si="450"/>
        <v>0.48464408725602737</v>
      </c>
      <c r="AS1151" s="392">
        <f t="shared" si="450"/>
        <v>0.92137291183403747</v>
      </c>
    </row>
    <row r="1152" spans="1:45">
      <c r="A1152" t="str">
        <f t="shared" si="448"/>
        <v>CA_Orang_2020g~los alamitos unified school district governing board member, trustee area 2 (vote 1)</v>
      </c>
      <c r="B1152" s="55" t="s">
        <v>3536</v>
      </c>
      <c r="D1152" s="55" t="s">
        <v>3634</v>
      </c>
      <c r="E1152" s="55" t="s">
        <v>3636</v>
      </c>
      <c r="G1152" s="60">
        <v>2580</v>
      </c>
      <c r="H1152"/>
      <c r="J1152">
        <v>6838</v>
      </c>
      <c r="N1152">
        <v>884</v>
      </c>
      <c r="O1152">
        <f t="shared" si="426"/>
        <v>1</v>
      </c>
      <c r="P1152" s="57">
        <f t="shared" si="427"/>
        <v>1</v>
      </c>
      <c r="Q1152" s="267">
        <f t="shared" si="428"/>
        <v>5914</v>
      </c>
      <c r="R1152" s="23">
        <f t="shared" si="429"/>
        <v>2580</v>
      </c>
      <c r="S1152" s="23">
        <f t="shared" si="430"/>
        <v>2265</v>
      </c>
      <c r="T1152" s="23">
        <f t="shared" si="431"/>
        <v>315</v>
      </c>
      <c r="U1152" t="str">
        <f t="shared" si="432"/>
        <v>CA_Orang_2020g~los alamitos unified school district governing board member, trustee area 2 (vote 1)</v>
      </c>
      <c r="W1152" s="1">
        <f t="shared" si="433"/>
        <v>1</v>
      </c>
      <c r="X1152" s="73">
        <f t="shared" ref="X1152:X1215" si="451">IF(AK1152=0,AH1152,MIN(AH1152,6.2/(AK1152/AH1152)))</f>
        <v>1160.3124528301885</v>
      </c>
      <c r="Y1152" s="322">
        <f t="shared" si="434"/>
        <v>1160.3124528301885</v>
      </c>
      <c r="Z1152" s="43" t="e">
        <f t="shared" ref="Z1152:Z1215" si="452">AA1152*100</f>
        <v>#N/A</v>
      </c>
      <c r="AA1152" s="52" t="e">
        <f t="shared" si="435"/>
        <v>#N/A</v>
      </c>
      <c r="AB1152" s="8" t="e">
        <f t="shared" si="436"/>
        <v>#N/A</v>
      </c>
      <c r="AC1152" s="8" t="e">
        <f t="shared" si="437"/>
        <v>#N/A</v>
      </c>
      <c r="AD1152" s="8" t="e">
        <f t="shared" si="440"/>
        <v>#N/A</v>
      </c>
      <c r="AE1152" s="8" t="str">
        <f t="shared" si="438"/>
        <v/>
      </c>
      <c r="AF1152" s="22" t="str">
        <f t="shared" ref="AF1152:AF1183" si="453">LEFT(AL1152,14)</f>
        <v>MD_2020g~Cnty2</v>
      </c>
      <c r="AG1152">
        <v>5</v>
      </c>
      <c r="AH1152" s="272">
        <v>9918.7999999999993</v>
      </c>
      <c r="AI1152" s="273">
        <v>4770</v>
      </c>
      <c r="AJ1152" s="274">
        <v>4717</v>
      </c>
      <c r="AK1152" s="339">
        <v>53</v>
      </c>
      <c r="AL1152" s="340" t="s">
        <v>8063</v>
      </c>
      <c r="AM1152" s="377">
        <f t="shared" ref="AM1152:AM1183" si="454">AK1152/AH1152</f>
        <v>5.3433883131023922E-3</v>
      </c>
      <c r="AN1152" s="357" t="str">
        <f t="shared" ref="AN1152:AN1183" si="455">IF(X1152&lt;=0.01*AH1152,1,"")</f>
        <v/>
      </c>
      <c r="AP1152" s="23" t="e">
        <f t="shared" si="441"/>
        <v>#N/A</v>
      </c>
      <c r="AQ1152" s="392" t="e">
        <f t="shared" si="449"/>
        <v>#N/A</v>
      </c>
      <c r="AR1152" s="392" t="e">
        <f t="shared" si="450"/>
        <v>#N/A</v>
      </c>
      <c r="AS1152" s="392" t="e">
        <f t="shared" si="450"/>
        <v>#N/A</v>
      </c>
    </row>
    <row r="1153" spans="1:45">
      <c r="A1153" t="str">
        <f t="shared" si="448"/>
        <v>CA_Orang_2020g~los alamitos unified school district governing board member, trustee area 2 (vote 1)</v>
      </c>
      <c r="B1153" s="55" t="s">
        <v>3536</v>
      </c>
      <c r="D1153" s="55" t="s">
        <v>3634</v>
      </c>
      <c r="E1153" s="55" t="s">
        <v>3635</v>
      </c>
      <c r="G1153" s="60">
        <v>2265</v>
      </c>
      <c r="H1153"/>
      <c r="J1153">
        <v>6838</v>
      </c>
      <c r="N1153">
        <v>884</v>
      </c>
      <c r="O1153">
        <f t="shared" si="426"/>
        <v>2</v>
      </c>
      <c r="P1153" s="57">
        <f t="shared" si="427"/>
        <v>1</v>
      </c>
      <c r="Q1153" s="267">
        <f t="shared" si="428"/>
        <v>3334</v>
      </c>
      <c r="R1153" s="23" t="str">
        <f t="shared" si="429"/>
        <v/>
      </c>
      <c r="S1153" s="23">
        <f t="shared" si="430"/>
        <v>2265</v>
      </c>
      <c r="T1153" s="23" t="str">
        <f t="shared" si="431"/>
        <v/>
      </c>
      <c r="U1153" t="str">
        <f t="shared" si="432"/>
        <v/>
      </c>
      <c r="W1153" s="1">
        <f t="shared" si="433"/>
        <v>1</v>
      </c>
      <c r="X1153" s="73">
        <f t="shared" si="451"/>
        <v>388.17076023391809</v>
      </c>
      <c r="Y1153" s="322">
        <f t="shared" si="434"/>
        <v>1477.4280000000001</v>
      </c>
      <c r="Z1153" s="43" t="e">
        <f t="shared" si="452"/>
        <v>#N/A</v>
      </c>
      <c r="AA1153" s="52" t="e">
        <f t="shared" si="435"/>
        <v>#N/A</v>
      </c>
      <c r="AB1153" s="8" t="e">
        <f t="shared" si="436"/>
        <v>#N/A</v>
      </c>
      <c r="AC1153" s="8" t="e">
        <f t="shared" si="437"/>
        <v>#N/A</v>
      </c>
      <c r="AD1153" s="8" t="e">
        <f t="shared" si="440"/>
        <v>#N/A</v>
      </c>
      <c r="AE1153" s="8" t="str">
        <f t="shared" si="438"/>
        <v/>
      </c>
      <c r="AF1153" s="22" t="str">
        <f t="shared" si="453"/>
        <v>MD_2020g~Cnty1</v>
      </c>
      <c r="AG1153">
        <v>3</v>
      </c>
      <c r="AH1153" s="272">
        <v>21412</v>
      </c>
      <c r="AI1153" s="273">
        <v>10756</v>
      </c>
      <c r="AJ1153" s="274">
        <v>10414</v>
      </c>
      <c r="AK1153" s="339">
        <v>342</v>
      </c>
      <c r="AL1153" s="340" t="s">
        <v>7987</v>
      </c>
      <c r="AM1153" s="377">
        <f t="shared" si="454"/>
        <v>1.5972351952176351E-2</v>
      </c>
      <c r="AN1153" s="357" t="str">
        <f t="shared" si="455"/>
        <v/>
      </c>
      <c r="AP1153" s="23" t="e">
        <f t="shared" si="441"/>
        <v>#N/A</v>
      </c>
      <c r="AQ1153" s="392" t="e">
        <f t="shared" si="449"/>
        <v>#N/A</v>
      </c>
      <c r="AR1153" s="392" t="e">
        <f t="shared" si="450"/>
        <v>#N/A</v>
      </c>
      <c r="AS1153" s="392" t="e">
        <f t="shared" si="450"/>
        <v>#N/A</v>
      </c>
    </row>
    <row r="1154" spans="1:45">
      <c r="A1154" t="str">
        <f t="shared" si="448"/>
        <v>CA_Orang_2020g~los alamitos unified school district governing board member, trustee area 2 (vote 1)</v>
      </c>
      <c r="B1154" s="55" t="s">
        <v>3536</v>
      </c>
      <c r="D1154" s="55" t="s">
        <v>3634</v>
      </c>
      <c r="E1154" s="55" t="s">
        <v>3637</v>
      </c>
      <c r="G1154" s="60">
        <v>1069</v>
      </c>
      <c r="H1154"/>
      <c r="J1154">
        <v>6838</v>
      </c>
      <c r="N1154">
        <v>884</v>
      </c>
      <c r="O1154">
        <f t="shared" ref="O1154:O1217" si="456">IF(OR(LOWER(LEFT(E1154,8))="write-in",LOWER(LEFT(E1154,8))="not qual"),IF(A1154=A1153,-ABS(O1153),0),IF(A1154=A1153,ABS(O1153)+1,1))</f>
        <v>3</v>
      </c>
      <c r="P1154" s="57">
        <f t="shared" ref="P1154:P1217" si="457">1*LEFT(RIGHT(A1154,2),1)</f>
        <v>1</v>
      </c>
      <c r="Q1154" s="267">
        <f t="shared" ref="Q1154:Q1217" si="458">IF(A1154&lt;&gt;A1155,G1154,IF(A1154=A1153,G1154+Q1155,MAX(G1154,(G1154+Q1155)/P1154)))</f>
        <v>1069</v>
      </c>
      <c r="R1154" s="23" t="str">
        <f t="shared" ref="R1154:R1217" si="459">IF(O1154&gt;P1154,"",IF(O1154=P1154,G1154,IF(A1154=A1155,R1155,IF(O1154&lt;=0,1,G1154))))</f>
        <v/>
      </c>
      <c r="S1154" s="23">
        <f t="shared" ref="S1154:S1217" si="460">IF(AND(O1154&gt;P1154,LOWER(LEFT(E1154,8))&lt;&gt;"write-in",LOWER(LEFT(E1154,8))&lt;&gt;"not qual"),G1154,IF(A1154=A1155,S1155,0))</f>
        <v>1069</v>
      </c>
      <c r="T1154" s="23" t="str">
        <f t="shared" ref="T1154:T1217" si="461">IF(OR(A1154=A1153,S1154=0),"",R1154-ABS(S1154))</f>
        <v/>
      </c>
      <c r="U1154" t="str">
        <f t="shared" ref="U1154:U1217" si="462">IF(A1154=A1153,"",A1154)</f>
        <v/>
      </c>
      <c r="W1154" s="1">
        <f t="shared" ref="W1154:W1217" si="463">IF(AF1154=AF1153,W1153+1,1)</f>
        <v>2</v>
      </c>
      <c r="X1154" s="73">
        <f t="shared" si="451"/>
        <v>359.50921293471634</v>
      </c>
      <c r="Y1154" s="322">
        <f t="shared" ref="Y1154:Y1217" si="464">MAX(X1154,0.069*AH1154)</f>
        <v>6557.6220000000003</v>
      </c>
      <c r="Z1154" s="43" t="e">
        <f t="shared" si="452"/>
        <v>#N/A</v>
      </c>
      <c r="AA1154" s="52" t="e">
        <f t="shared" ref="AA1154:AA1217" si="465">(1-AK1154/AC1154)^AB1154</f>
        <v>#N/A</v>
      </c>
      <c r="AB1154" s="8" t="e">
        <f t="shared" ref="AB1154:AB1217" si="466">INDEX(BA$2:BA$76,MATCH($AF1154,$AU$2:$AU$76,0))+IF(AE1154="",0,INDEX(BA$2:BA$76,AE1154))</f>
        <v>#N/A</v>
      </c>
      <c r="AC1154" s="8" t="e">
        <f t="shared" ref="AC1154:AC1217" si="467">INDEX(AX$2:AX$76,MATCH(AF1154,AU$2:AU$76,0))+IF(AE1154="",0,INDEX(AX$2:AX$76,AE1154))</f>
        <v>#N/A</v>
      </c>
      <c r="AD1154" s="8" t="e">
        <f t="shared" si="440"/>
        <v>#N/A</v>
      </c>
      <c r="AE1154" s="8" t="str">
        <f t="shared" ref="AE1154:AE1217" si="468">IF(MID(AL1154,16,2)&lt;&gt;"w/","",MATCH(CONCATENATE("CO_",MID(AL1154,18,5),"_2020g"),AU$2:AU$76,0))</f>
        <v/>
      </c>
      <c r="AF1154" s="22" t="str">
        <f t="shared" si="453"/>
        <v>MD_2020g~Cnty1</v>
      </c>
      <c r="AG1154">
        <v>3</v>
      </c>
      <c r="AH1154" s="8">
        <v>95038</v>
      </c>
      <c r="AI1154" s="273">
        <v>43262</v>
      </c>
      <c r="AJ1154" s="274">
        <v>41623</v>
      </c>
      <c r="AK1154" s="339">
        <v>1639</v>
      </c>
      <c r="AL1154" s="23" t="s">
        <v>8029</v>
      </c>
      <c r="AM1154" s="377">
        <f t="shared" si="454"/>
        <v>1.7245733285633114E-2</v>
      </c>
      <c r="AN1154" s="357">
        <f t="shared" si="455"/>
        <v>1</v>
      </c>
      <c r="AP1154" s="23" t="e">
        <f t="shared" si="441"/>
        <v>#N/A</v>
      </c>
      <c r="AQ1154" s="392" t="e">
        <f t="shared" si="449"/>
        <v>#N/A</v>
      </c>
      <c r="AR1154" s="392" t="e">
        <f t="shared" si="450"/>
        <v>#N/A</v>
      </c>
      <c r="AS1154" s="392" t="e">
        <f t="shared" si="450"/>
        <v>#N/A</v>
      </c>
    </row>
    <row r="1155" spans="1:45">
      <c r="A1155" t="str">
        <f t="shared" si="448"/>
        <v>CA_Orang_2020g~los alamitos unified school district governing board member, trustee area 5 (vote 1)</v>
      </c>
      <c r="B1155" s="55" t="s">
        <v>3536</v>
      </c>
      <c r="D1155" s="55" t="s">
        <v>3638</v>
      </c>
      <c r="E1155" s="55" t="s">
        <v>3639</v>
      </c>
      <c r="G1155" s="60">
        <v>3698</v>
      </c>
      <c r="H1155"/>
      <c r="J1155">
        <v>7242</v>
      </c>
      <c r="N1155">
        <v>1278</v>
      </c>
      <c r="O1155">
        <f t="shared" si="456"/>
        <v>1</v>
      </c>
      <c r="P1155" s="57">
        <f t="shared" si="457"/>
        <v>1</v>
      </c>
      <c r="Q1155" s="267">
        <f t="shared" si="458"/>
        <v>5927</v>
      </c>
      <c r="R1155" s="23">
        <f t="shared" si="459"/>
        <v>3698</v>
      </c>
      <c r="S1155" s="23">
        <f t="shared" si="460"/>
        <v>2229</v>
      </c>
      <c r="T1155" s="23">
        <f t="shared" si="461"/>
        <v>1469</v>
      </c>
      <c r="U1155" t="str">
        <f t="shared" si="462"/>
        <v>CA_Orang_2020g~los alamitos unified school district governing board member, trustee area 5 (vote 1)</v>
      </c>
      <c r="W1155" s="1">
        <f t="shared" si="463"/>
        <v>3</v>
      </c>
      <c r="X1155" s="73">
        <f t="shared" si="451"/>
        <v>355.17307068366159</v>
      </c>
      <c r="Y1155" s="322">
        <f t="shared" si="464"/>
        <v>20467.249200000002</v>
      </c>
      <c r="Z1155" s="43" t="e">
        <f t="shared" si="452"/>
        <v>#N/A</v>
      </c>
      <c r="AA1155" s="52" t="e">
        <f t="shared" si="465"/>
        <v>#N/A</v>
      </c>
      <c r="AB1155" s="8" t="e">
        <f t="shared" si="466"/>
        <v>#N/A</v>
      </c>
      <c r="AC1155" s="8" t="e">
        <f t="shared" si="467"/>
        <v>#N/A</v>
      </c>
      <c r="AD1155" s="8" t="e">
        <f t="shared" ref="AD1155:AD1218" si="469">AC1155/RIGHT(AD$1,4)</f>
        <v>#N/A</v>
      </c>
      <c r="AE1155" s="8" t="str">
        <f t="shared" si="468"/>
        <v/>
      </c>
      <c r="AF1155" s="22" t="str">
        <f t="shared" si="453"/>
        <v>MD_2020g~Cnty1</v>
      </c>
      <c r="AG1155">
        <v>5</v>
      </c>
      <c r="AH1155" s="272">
        <v>296626.8</v>
      </c>
      <c r="AI1155" s="273">
        <v>206096</v>
      </c>
      <c r="AJ1155" s="274">
        <v>200918</v>
      </c>
      <c r="AK1155" s="339">
        <v>5178</v>
      </c>
      <c r="AL1155" s="340" t="s">
        <v>8048</v>
      </c>
      <c r="AM1155" s="377">
        <f t="shared" si="454"/>
        <v>1.7456278394265119E-2</v>
      </c>
      <c r="AN1155" s="357">
        <f t="shared" si="455"/>
        <v>1</v>
      </c>
      <c r="AP1155" s="23" t="e">
        <f t="shared" si="441"/>
        <v>#N/A</v>
      </c>
      <c r="AQ1155" s="392" t="e">
        <f t="shared" si="449"/>
        <v>#N/A</v>
      </c>
      <c r="AR1155" s="392" t="e">
        <f t="shared" si="450"/>
        <v>#N/A</v>
      </c>
      <c r="AS1155" s="392" t="e">
        <f t="shared" si="450"/>
        <v>#N/A</v>
      </c>
    </row>
    <row r="1156" spans="1:45">
      <c r="A1156" t="str">
        <f t="shared" si="448"/>
        <v>CA_Orang_2020g~los alamitos unified school district governing board member, trustee area 5 (vote 1)</v>
      </c>
      <c r="B1156" s="55" t="s">
        <v>3536</v>
      </c>
      <c r="D1156" s="55" t="s">
        <v>3638</v>
      </c>
      <c r="E1156" s="55" t="s">
        <v>3640</v>
      </c>
      <c r="G1156" s="60">
        <v>2229</v>
      </c>
      <c r="H1156"/>
      <c r="J1156">
        <v>7242</v>
      </c>
      <c r="N1156">
        <v>1278</v>
      </c>
      <c r="O1156">
        <f t="shared" si="456"/>
        <v>2</v>
      </c>
      <c r="P1156" s="57">
        <f t="shared" si="457"/>
        <v>1</v>
      </c>
      <c r="Q1156" s="267">
        <f t="shared" si="458"/>
        <v>2229</v>
      </c>
      <c r="R1156" s="23" t="str">
        <f t="shared" si="459"/>
        <v/>
      </c>
      <c r="S1156" s="23">
        <f t="shared" si="460"/>
        <v>2229</v>
      </c>
      <c r="T1156" s="23" t="str">
        <f t="shared" si="461"/>
        <v/>
      </c>
      <c r="U1156" t="str">
        <f t="shared" si="462"/>
        <v/>
      </c>
      <c r="W1156" s="1">
        <f t="shared" si="463"/>
        <v>4</v>
      </c>
      <c r="X1156" s="73">
        <f t="shared" si="451"/>
        <v>148.87622666815693</v>
      </c>
      <c r="Y1156" s="322">
        <f t="shared" si="464"/>
        <v>29647.644000000004</v>
      </c>
      <c r="Z1156" s="43" t="e">
        <f t="shared" si="452"/>
        <v>#N/A</v>
      </c>
      <c r="AA1156" s="52" t="e">
        <f t="shared" si="465"/>
        <v>#N/A</v>
      </c>
      <c r="AB1156" s="8" t="e">
        <f t="shared" si="466"/>
        <v>#N/A</v>
      </c>
      <c r="AC1156" s="8" t="e">
        <f t="shared" si="467"/>
        <v>#N/A</v>
      </c>
      <c r="AD1156" s="8" t="e">
        <f t="shared" si="469"/>
        <v>#N/A</v>
      </c>
      <c r="AE1156" s="8" t="str">
        <f t="shared" si="468"/>
        <v/>
      </c>
      <c r="AF1156" s="22" t="str">
        <f t="shared" si="453"/>
        <v>MD_2020g~Cnty1</v>
      </c>
      <c r="AG1156">
        <v>1</v>
      </c>
      <c r="AH1156" s="272">
        <v>429676</v>
      </c>
      <c r="AI1156" s="273">
        <v>221533</v>
      </c>
      <c r="AJ1156" s="274">
        <v>203639</v>
      </c>
      <c r="AK1156" s="339">
        <v>17894</v>
      </c>
      <c r="AL1156" s="340" t="s">
        <v>8041</v>
      </c>
      <c r="AM1156" s="377">
        <f t="shared" si="454"/>
        <v>4.1645332762360474E-2</v>
      </c>
      <c r="AN1156" s="357">
        <f t="shared" si="455"/>
        <v>1</v>
      </c>
      <c r="AP1156" s="23" t="e">
        <f t="shared" si="441"/>
        <v>#N/A</v>
      </c>
      <c r="AQ1156" s="392" t="e">
        <f t="shared" si="449"/>
        <v>#N/A</v>
      </c>
      <c r="AR1156" s="392" t="e">
        <f t="shared" si="450"/>
        <v>#N/A</v>
      </c>
      <c r="AS1156" s="392" t="e">
        <f t="shared" si="450"/>
        <v>#N/A</v>
      </c>
    </row>
    <row r="1157" spans="1:45">
      <c r="A1157" t="str">
        <f t="shared" si="448"/>
        <v>CA_Orang_2020g~member of the state assembly 55th district (vote 1)</v>
      </c>
      <c r="B1157" s="55" t="s">
        <v>3536</v>
      </c>
      <c r="D1157" s="55" t="s">
        <v>3282</v>
      </c>
      <c r="E1157" s="55" t="s">
        <v>3558</v>
      </c>
      <c r="F1157" t="s">
        <v>1296</v>
      </c>
      <c r="G1157" s="60">
        <v>70684</v>
      </c>
      <c r="H1157"/>
      <c r="J1157">
        <v>125859</v>
      </c>
      <c r="N1157">
        <v>5242</v>
      </c>
      <c r="O1157">
        <f t="shared" si="456"/>
        <v>1</v>
      </c>
      <c r="P1157" s="57">
        <f t="shared" si="457"/>
        <v>1</v>
      </c>
      <c r="Q1157" s="267">
        <f t="shared" si="458"/>
        <v>120598</v>
      </c>
      <c r="R1157" s="23">
        <f t="shared" si="459"/>
        <v>70684</v>
      </c>
      <c r="S1157" s="23">
        <f t="shared" si="460"/>
        <v>49914</v>
      </c>
      <c r="T1157" s="23">
        <f t="shared" si="461"/>
        <v>20770</v>
      </c>
      <c r="U1157" t="str">
        <f t="shared" si="462"/>
        <v>CA_Orang_2020g~member of the state assembly 55th district (vote 1)</v>
      </c>
      <c r="W1157" s="1">
        <f t="shared" si="463"/>
        <v>5</v>
      </c>
      <c r="X1157" s="73">
        <f t="shared" si="451"/>
        <v>145.63270622286541</v>
      </c>
      <c r="Y1157" s="322">
        <f t="shared" si="464"/>
        <v>2239.8780000000002</v>
      </c>
      <c r="Z1157" s="43" t="e">
        <f t="shared" si="452"/>
        <v>#N/A</v>
      </c>
      <c r="AA1157" s="52" t="e">
        <f t="shared" si="465"/>
        <v>#N/A</v>
      </c>
      <c r="AB1157" s="8" t="e">
        <f t="shared" si="466"/>
        <v>#N/A</v>
      </c>
      <c r="AC1157" s="8" t="e">
        <f t="shared" si="467"/>
        <v>#N/A</v>
      </c>
      <c r="AD1157" s="8" t="e">
        <f t="shared" si="469"/>
        <v>#N/A</v>
      </c>
      <c r="AE1157" s="8" t="str">
        <f t="shared" si="468"/>
        <v/>
      </c>
      <c r="AF1157" s="22" t="str">
        <f t="shared" si="453"/>
        <v>MD_2020g~Cnty1</v>
      </c>
      <c r="AG1157">
        <v>1</v>
      </c>
      <c r="AH1157" s="272">
        <v>32462</v>
      </c>
      <c r="AI1157" s="273">
        <v>16747</v>
      </c>
      <c r="AJ1157" s="274">
        <v>15365</v>
      </c>
      <c r="AK1157" s="339">
        <v>1382</v>
      </c>
      <c r="AL1157" s="340" t="s">
        <v>8035</v>
      </c>
      <c r="AM1157" s="377">
        <f t="shared" si="454"/>
        <v>4.2572854414392215E-2</v>
      </c>
      <c r="AN1157" s="357">
        <f t="shared" si="455"/>
        <v>1</v>
      </c>
      <c r="AP1157" s="23" t="e">
        <f t="shared" si="441"/>
        <v>#N/A</v>
      </c>
      <c r="AQ1157" s="392" t="e">
        <f t="shared" si="449"/>
        <v>#N/A</v>
      </c>
      <c r="AR1157" s="392" t="e">
        <f t="shared" si="450"/>
        <v>#N/A</v>
      </c>
      <c r="AS1157" s="392" t="e">
        <f t="shared" si="450"/>
        <v>#N/A</v>
      </c>
    </row>
    <row r="1158" spans="1:45">
      <c r="A1158" t="str">
        <f t="shared" si="448"/>
        <v>CA_Orang_2020g~member of the state assembly 55th district (vote 1)</v>
      </c>
      <c r="B1158" s="55" t="s">
        <v>3536</v>
      </c>
      <c r="D1158" s="55" t="s">
        <v>3282</v>
      </c>
      <c r="E1158" s="55" t="s">
        <v>3284</v>
      </c>
      <c r="F1158" t="s">
        <v>1294</v>
      </c>
      <c r="G1158" s="60">
        <v>49914</v>
      </c>
      <c r="H1158"/>
      <c r="J1158">
        <v>125859</v>
      </c>
      <c r="N1158">
        <v>5242</v>
      </c>
      <c r="O1158">
        <f t="shared" si="456"/>
        <v>2</v>
      </c>
      <c r="P1158" s="57">
        <f t="shared" si="457"/>
        <v>1</v>
      </c>
      <c r="Q1158" s="267">
        <f t="shared" si="458"/>
        <v>49914</v>
      </c>
      <c r="R1158" s="23" t="str">
        <f t="shared" si="459"/>
        <v/>
      </c>
      <c r="S1158" s="23">
        <f t="shared" si="460"/>
        <v>49914</v>
      </c>
      <c r="T1158" s="23" t="str">
        <f t="shared" si="461"/>
        <v/>
      </c>
      <c r="U1158" t="str">
        <f t="shared" si="462"/>
        <v/>
      </c>
      <c r="W1158" s="1">
        <f t="shared" si="463"/>
        <v>1</v>
      </c>
      <c r="X1158" s="73">
        <f t="shared" si="451"/>
        <v>137.83076923076922</v>
      </c>
      <c r="Y1158" s="322">
        <f t="shared" si="464"/>
        <v>319.05600000000004</v>
      </c>
      <c r="Z1158" s="43" t="e">
        <f t="shared" si="452"/>
        <v>#N/A</v>
      </c>
      <c r="AA1158" s="52" t="e">
        <f t="shared" si="465"/>
        <v>#N/A</v>
      </c>
      <c r="AB1158" s="8" t="e">
        <f t="shared" si="466"/>
        <v>#N/A</v>
      </c>
      <c r="AC1158" s="8" t="e">
        <f t="shared" si="467"/>
        <v>#N/A</v>
      </c>
      <c r="AD1158" s="8" t="e">
        <f t="shared" si="469"/>
        <v>#N/A</v>
      </c>
      <c r="AE1158" s="8" t="str">
        <f t="shared" si="468"/>
        <v/>
      </c>
      <c r="AF1158" s="22" t="str">
        <f t="shared" si="453"/>
        <v>MD_2020g~Cnty6</v>
      </c>
      <c r="AG1158">
        <v>1</v>
      </c>
      <c r="AH1158" s="272">
        <v>4624</v>
      </c>
      <c r="AI1158" s="273">
        <v>2387</v>
      </c>
      <c r="AJ1158" s="274">
        <v>2179</v>
      </c>
      <c r="AK1158" s="339">
        <v>208</v>
      </c>
      <c r="AL1158" s="340" t="s">
        <v>8017</v>
      </c>
      <c r="AM1158" s="377">
        <f t="shared" si="454"/>
        <v>4.4982698961937718E-2</v>
      </c>
      <c r="AN1158" s="357" t="str">
        <f t="shared" si="455"/>
        <v/>
      </c>
      <c r="AP1158" s="23" t="e">
        <f t="shared" si="441"/>
        <v>#N/A</v>
      </c>
      <c r="AQ1158" s="392" t="e">
        <f t="shared" si="449"/>
        <v>#N/A</v>
      </c>
      <c r="AR1158" s="392" t="e">
        <f t="shared" si="450"/>
        <v>#N/A</v>
      </c>
      <c r="AS1158" s="392" t="e">
        <f t="shared" si="450"/>
        <v>#N/A</v>
      </c>
    </row>
    <row r="1159" spans="1:45">
      <c r="A1159" t="str">
        <f t="shared" si="448"/>
        <v>CA_Orang_2020g~member of the state assembly 65th district (vote 1)</v>
      </c>
      <c r="B1159" s="55" t="s">
        <v>3536</v>
      </c>
      <c r="D1159" s="55" t="s">
        <v>3285</v>
      </c>
      <c r="E1159" s="55" t="s">
        <v>3559</v>
      </c>
      <c r="F1159" t="s">
        <v>1294</v>
      </c>
      <c r="G1159" s="60">
        <v>112333</v>
      </c>
      <c r="H1159"/>
      <c r="J1159">
        <v>201948</v>
      </c>
      <c r="N1159">
        <v>9135</v>
      </c>
      <c r="O1159">
        <f t="shared" si="456"/>
        <v>1</v>
      </c>
      <c r="P1159" s="57">
        <f t="shared" si="457"/>
        <v>1</v>
      </c>
      <c r="Q1159" s="267">
        <f t="shared" si="458"/>
        <v>192801</v>
      </c>
      <c r="R1159" s="23">
        <f t="shared" si="459"/>
        <v>112333</v>
      </c>
      <c r="S1159" s="23">
        <f t="shared" si="460"/>
        <v>80468</v>
      </c>
      <c r="T1159" s="23">
        <f t="shared" si="461"/>
        <v>31865</v>
      </c>
      <c r="U1159" t="str">
        <f t="shared" si="462"/>
        <v>CA_Orang_2020g~member of the state assembly 65th district (vote 1)</v>
      </c>
      <c r="W1159" s="1">
        <f t="shared" si="463"/>
        <v>1</v>
      </c>
      <c r="X1159" s="73">
        <f t="shared" si="451"/>
        <v>134.95447604002106</v>
      </c>
      <c r="Y1159" s="322">
        <f t="shared" si="464"/>
        <v>2852.1322500000001</v>
      </c>
      <c r="Z1159" s="43" t="e">
        <f t="shared" si="452"/>
        <v>#N/A</v>
      </c>
      <c r="AA1159" s="52" t="e">
        <f t="shared" si="465"/>
        <v>#N/A</v>
      </c>
      <c r="AB1159" s="8" t="e">
        <f t="shared" si="466"/>
        <v>#N/A</v>
      </c>
      <c r="AC1159" s="8" t="e">
        <f t="shared" si="467"/>
        <v>#N/A</v>
      </c>
      <c r="AD1159" s="8" t="e">
        <f t="shared" si="469"/>
        <v>#N/A</v>
      </c>
      <c r="AE1159" s="8" t="str">
        <f t="shared" si="468"/>
        <v/>
      </c>
      <c r="AF1159" s="22" t="str">
        <f t="shared" si="453"/>
        <v>MD_2020g~Cnty2</v>
      </c>
      <c r="AG1159">
        <v>4</v>
      </c>
      <c r="AH1159" s="272">
        <v>41335.25</v>
      </c>
      <c r="AI1159" s="273">
        <v>24287</v>
      </c>
      <c r="AJ1159" s="274">
        <v>22388</v>
      </c>
      <c r="AK1159" s="339">
        <v>1899</v>
      </c>
      <c r="AL1159" s="340" t="s">
        <v>8062</v>
      </c>
      <c r="AM1159" s="377">
        <f t="shared" si="454"/>
        <v>4.5941418039082867E-2</v>
      </c>
      <c r="AN1159" s="357">
        <f t="shared" si="455"/>
        <v>1</v>
      </c>
      <c r="AP1159" s="23" t="e">
        <f t="shared" si="441"/>
        <v>#N/A</v>
      </c>
      <c r="AQ1159" s="392" t="e">
        <f t="shared" si="449"/>
        <v>#N/A</v>
      </c>
      <c r="AR1159" s="392" t="e">
        <f t="shared" si="450"/>
        <v>#N/A</v>
      </c>
      <c r="AS1159" s="392" t="e">
        <f t="shared" si="450"/>
        <v>#N/A</v>
      </c>
    </row>
    <row r="1160" spans="1:45">
      <c r="A1160" t="str">
        <f t="shared" si="448"/>
        <v>CA_Orang_2020g~member of the state assembly 65th district (vote 1)</v>
      </c>
      <c r="B1160" s="55" t="s">
        <v>3536</v>
      </c>
      <c r="D1160" s="55" t="s">
        <v>3285</v>
      </c>
      <c r="E1160" s="55" t="s">
        <v>3287</v>
      </c>
      <c r="F1160" t="s">
        <v>1296</v>
      </c>
      <c r="G1160" s="60">
        <v>80468</v>
      </c>
      <c r="H1160"/>
      <c r="J1160">
        <v>201948</v>
      </c>
      <c r="N1160">
        <v>9135</v>
      </c>
      <c r="O1160">
        <f t="shared" si="456"/>
        <v>2</v>
      </c>
      <c r="P1160" s="57">
        <f t="shared" si="457"/>
        <v>1</v>
      </c>
      <c r="Q1160" s="267">
        <f t="shared" si="458"/>
        <v>80468</v>
      </c>
      <c r="R1160" s="23" t="str">
        <f t="shared" si="459"/>
        <v/>
      </c>
      <c r="S1160" s="23">
        <f t="shared" si="460"/>
        <v>80468</v>
      </c>
      <c r="T1160" s="23" t="str">
        <f t="shared" si="461"/>
        <v/>
      </c>
      <c r="U1160" t="str">
        <f t="shared" si="462"/>
        <v/>
      </c>
      <c r="W1160" s="1">
        <f t="shared" si="463"/>
        <v>2</v>
      </c>
      <c r="X1160" s="73">
        <f t="shared" si="451"/>
        <v>122.46396396396396</v>
      </c>
      <c r="Y1160" s="322">
        <f t="shared" si="464"/>
        <v>2723.085</v>
      </c>
      <c r="Z1160" s="43" t="e">
        <f t="shared" si="452"/>
        <v>#N/A</v>
      </c>
      <c r="AA1160" s="52" t="e">
        <f t="shared" si="465"/>
        <v>#N/A</v>
      </c>
      <c r="AB1160" s="8" t="e">
        <f t="shared" si="466"/>
        <v>#N/A</v>
      </c>
      <c r="AC1160" s="8" t="e">
        <f t="shared" si="467"/>
        <v>#N/A</v>
      </c>
      <c r="AD1160" s="8" t="e">
        <f t="shared" si="469"/>
        <v>#N/A</v>
      </c>
      <c r="AE1160" s="8" t="str">
        <f t="shared" si="468"/>
        <v/>
      </c>
      <c r="AF1160" s="22" t="str">
        <f t="shared" si="453"/>
        <v>MD_2020g~Cnty2</v>
      </c>
      <c r="AG1160">
        <v>1</v>
      </c>
      <c r="AH1160" s="272">
        <v>39465</v>
      </c>
      <c r="AI1160" s="273">
        <v>20642</v>
      </c>
      <c r="AJ1160" s="274">
        <v>18644</v>
      </c>
      <c r="AK1160" s="339">
        <v>1998</v>
      </c>
      <c r="AL1160" s="340" t="s">
        <v>7990</v>
      </c>
      <c r="AM1160" s="377">
        <f t="shared" si="454"/>
        <v>5.0627137970353481E-2</v>
      </c>
      <c r="AN1160" s="357">
        <f t="shared" si="455"/>
        <v>1</v>
      </c>
      <c r="AP1160" s="23" t="e">
        <f t="shared" si="441"/>
        <v>#N/A</v>
      </c>
      <c r="AQ1160" s="392" t="e">
        <f t="shared" si="449"/>
        <v>#N/A</v>
      </c>
      <c r="AR1160" s="392" t="e">
        <f t="shared" si="450"/>
        <v>#N/A</v>
      </c>
      <c r="AS1160" s="392" t="e">
        <f t="shared" si="450"/>
        <v>#N/A</v>
      </c>
    </row>
    <row r="1161" spans="1:45">
      <c r="A1161" t="str">
        <f t="shared" si="448"/>
        <v>CA_Orang_2020g~member of the state assembly 68th district (vote 1)</v>
      </c>
      <c r="B1161" s="55" t="s">
        <v>3536</v>
      </c>
      <c r="D1161" s="55" t="s">
        <v>3288</v>
      </c>
      <c r="E1161" s="55" t="s">
        <v>3560</v>
      </c>
      <c r="F1161" t="s">
        <v>1296</v>
      </c>
      <c r="G1161" s="60">
        <v>136841</v>
      </c>
      <c r="H1161"/>
      <c r="J1161">
        <v>269190</v>
      </c>
      <c r="N1161">
        <v>11364</v>
      </c>
      <c r="O1161">
        <f t="shared" si="456"/>
        <v>1</v>
      </c>
      <c r="P1161" s="57">
        <f t="shared" si="457"/>
        <v>1</v>
      </c>
      <c r="Q1161" s="267">
        <f t="shared" si="458"/>
        <v>257806</v>
      </c>
      <c r="R1161" s="23">
        <f t="shared" si="459"/>
        <v>136841</v>
      </c>
      <c r="S1161" s="23">
        <f t="shared" si="460"/>
        <v>120965</v>
      </c>
      <c r="T1161" s="23">
        <f t="shared" si="461"/>
        <v>15876</v>
      </c>
      <c r="U1161" t="str">
        <f t="shared" si="462"/>
        <v>CA_Orang_2020g~member of the state assembly 68th district (vote 1)</v>
      </c>
      <c r="W1161" s="1">
        <f t="shared" si="463"/>
        <v>1</v>
      </c>
      <c r="X1161" s="73">
        <f t="shared" si="451"/>
        <v>96.661845688350994</v>
      </c>
      <c r="Y1161" s="322">
        <f t="shared" si="464"/>
        <v>10666.089000000002</v>
      </c>
      <c r="Z1161" s="43" t="e">
        <f t="shared" si="452"/>
        <v>#N/A</v>
      </c>
      <c r="AA1161" s="52" t="e">
        <f t="shared" si="465"/>
        <v>#N/A</v>
      </c>
      <c r="AB1161" s="8" t="e">
        <f t="shared" si="466"/>
        <v>#N/A</v>
      </c>
      <c r="AC1161" s="8" t="e">
        <f t="shared" si="467"/>
        <v>#N/A</v>
      </c>
      <c r="AD1161" s="8" t="e">
        <f t="shared" si="469"/>
        <v>#N/A</v>
      </c>
      <c r="AE1161" s="8" t="str">
        <f t="shared" si="468"/>
        <v/>
      </c>
      <c r="AF1161" s="22" t="str">
        <f t="shared" si="453"/>
        <v>MD_2020g~Cnty1</v>
      </c>
      <c r="AG1161">
        <v>1</v>
      </c>
      <c r="AH1161" s="272">
        <v>154581</v>
      </c>
      <c r="AI1161" s="273">
        <v>81970</v>
      </c>
      <c r="AJ1161" s="274">
        <v>72055</v>
      </c>
      <c r="AK1161" s="339">
        <v>9915</v>
      </c>
      <c r="AL1161" s="340" t="s">
        <v>8037</v>
      </c>
      <c r="AM1161" s="377">
        <f t="shared" si="454"/>
        <v>6.4141129893065765E-2</v>
      </c>
      <c r="AN1161" s="357">
        <f t="shared" si="455"/>
        <v>1</v>
      </c>
      <c r="AP1161" s="23" t="e">
        <f t="shared" si="441"/>
        <v>#N/A</v>
      </c>
      <c r="AQ1161" s="392" t="e">
        <f t="shared" si="449"/>
        <v>#N/A</v>
      </c>
      <c r="AR1161" s="392" t="e">
        <f t="shared" si="450"/>
        <v>#N/A</v>
      </c>
      <c r="AS1161" s="392" t="e">
        <f t="shared" si="450"/>
        <v>#N/A</v>
      </c>
    </row>
    <row r="1162" spans="1:45">
      <c r="A1162" t="str">
        <f t="shared" si="448"/>
        <v>CA_Orang_2020g~member of the state assembly 68th district (vote 1)</v>
      </c>
      <c r="B1162" s="55" t="s">
        <v>3536</v>
      </c>
      <c r="D1162" s="55" t="s">
        <v>3288</v>
      </c>
      <c r="E1162" s="55" t="s">
        <v>3292</v>
      </c>
      <c r="F1162" t="s">
        <v>1294</v>
      </c>
      <c r="G1162" s="60">
        <v>120965</v>
      </c>
      <c r="H1162"/>
      <c r="J1162">
        <v>269190</v>
      </c>
      <c r="N1162">
        <v>11364</v>
      </c>
      <c r="O1162">
        <f t="shared" si="456"/>
        <v>2</v>
      </c>
      <c r="P1162" s="57">
        <f t="shared" si="457"/>
        <v>1</v>
      </c>
      <c r="Q1162" s="267">
        <f t="shared" si="458"/>
        <v>120965</v>
      </c>
      <c r="R1162" s="23" t="str">
        <f t="shared" si="459"/>
        <v/>
      </c>
      <c r="S1162" s="23">
        <f t="shared" si="460"/>
        <v>120965</v>
      </c>
      <c r="T1162" s="23" t="str">
        <f t="shared" si="461"/>
        <v/>
      </c>
      <c r="U1162" t="str">
        <f t="shared" si="462"/>
        <v/>
      </c>
      <c r="W1162" s="1">
        <f t="shared" si="463"/>
        <v>2</v>
      </c>
      <c r="X1162" s="73">
        <f t="shared" si="451"/>
        <v>96.039257476796152</v>
      </c>
      <c r="Y1162" s="322">
        <f t="shared" si="464"/>
        <v>3109.2090000000003</v>
      </c>
      <c r="Z1162" s="43" t="e">
        <f t="shared" si="452"/>
        <v>#N/A</v>
      </c>
      <c r="AA1162" s="52" t="e">
        <f t="shared" si="465"/>
        <v>#N/A</v>
      </c>
      <c r="AB1162" s="8" t="e">
        <f t="shared" si="466"/>
        <v>#N/A</v>
      </c>
      <c r="AC1162" s="8" t="e">
        <f t="shared" si="467"/>
        <v>#N/A</v>
      </c>
      <c r="AD1162" s="8" t="e">
        <f t="shared" si="469"/>
        <v>#N/A</v>
      </c>
      <c r="AE1162" s="8" t="str">
        <f t="shared" si="468"/>
        <v/>
      </c>
      <c r="AF1162" s="22" t="str">
        <f t="shared" si="453"/>
        <v>MD_2020g~Cnty1</v>
      </c>
      <c r="AG1162">
        <v>1</v>
      </c>
      <c r="AH1162" s="272">
        <v>45061</v>
      </c>
      <c r="AI1162" s="273">
        <v>23894</v>
      </c>
      <c r="AJ1162" s="274">
        <v>20985</v>
      </c>
      <c r="AK1162" s="339">
        <v>2909</v>
      </c>
      <c r="AL1162" s="340" t="s">
        <v>8053</v>
      </c>
      <c r="AM1162" s="377">
        <f t="shared" si="454"/>
        <v>6.4556933934000582E-2</v>
      </c>
      <c r="AN1162" s="357">
        <f t="shared" si="455"/>
        <v>1</v>
      </c>
      <c r="AP1162" s="23" t="e">
        <f t="shared" si="441"/>
        <v>#N/A</v>
      </c>
      <c r="AQ1162" s="392" t="e">
        <f t="shared" si="449"/>
        <v>#N/A</v>
      </c>
      <c r="AR1162" s="392" t="e">
        <f t="shared" si="450"/>
        <v>#N/A</v>
      </c>
      <c r="AS1162" s="392" t="e">
        <f t="shared" si="450"/>
        <v>#N/A</v>
      </c>
    </row>
    <row r="1163" spans="1:45">
      <c r="A1163" t="str">
        <f t="shared" si="448"/>
        <v>CA_Orang_2020g~member of the state assembly 69th district (vote 1)</v>
      </c>
      <c r="B1163" s="55" t="s">
        <v>3536</v>
      </c>
      <c r="D1163" s="55" t="s">
        <v>3293</v>
      </c>
      <c r="E1163" s="55" t="s">
        <v>3561</v>
      </c>
      <c r="F1163" t="s">
        <v>1294</v>
      </c>
      <c r="G1163" s="60">
        <v>99731</v>
      </c>
      <c r="H1163"/>
      <c r="J1163">
        <v>142153</v>
      </c>
      <c r="N1163">
        <v>5349</v>
      </c>
      <c r="O1163">
        <f t="shared" si="456"/>
        <v>1</v>
      </c>
      <c r="P1163" s="57">
        <f t="shared" si="457"/>
        <v>1</v>
      </c>
      <c r="Q1163" s="267">
        <f t="shared" si="458"/>
        <v>136796</v>
      </c>
      <c r="R1163" s="23">
        <f t="shared" si="459"/>
        <v>99731</v>
      </c>
      <c r="S1163" s="23">
        <f t="shared" si="460"/>
        <v>37065</v>
      </c>
      <c r="T1163" s="23">
        <f t="shared" si="461"/>
        <v>62666</v>
      </c>
      <c r="U1163" t="str">
        <f t="shared" si="462"/>
        <v>CA_Orang_2020g~member of the state assembly 69th district (vote 1)</v>
      </c>
      <c r="W1163" s="1">
        <f t="shared" si="463"/>
        <v>1</v>
      </c>
      <c r="X1163" s="73">
        <f t="shared" si="451"/>
        <v>89.725575447570336</v>
      </c>
      <c r="Y1163" s="322">
        <f t="shared" si="464"/>
        <v>780.87300000000005</v>
      </c>
      <c r="Z1163" s="43" t="e">
        <f t="shared" si="452"/>
        <v>#N/A</v>
      </c>
      <c r="AA1163" s="52" t="e">
        <f t="shared" si="465"/>
        <v>#N/A</v>
      </c>
      <c r="AB1163" s="8" t="e">
        <f t="shared" si="466"/>
        <v>#N/A</v>
      </c>
      <c r="AC1163" s="8" t="e">
        <f t="shared" si="467"/>
        <v>#N/A</v>
      </c>
      <c r="AD1163" s="8" t="e">
        <f t="shared" si="469"/>
        <v>#N/A</v>
      </c>
      <c r="AE1163" s="8" t="str">
        <f t="shared" si="468"/>
        <v/>
      </c>
      <c r="AF1163" s="22" t="str">
        <f t="shared" si="453"/>
        <v>MD_2020g~Cnty2</v>
      </c>
      <c r="AG1163">
        <v>1</v>
      </c>
      <c r="AH1163" s="272">
        <v>11317</v>
      </c>
      <c r="AI1163" s="273">
        <v>6038</v>
      </c>
      <c r="AJ1163" s="274">
        <v>5256</v>
      </c>
      <c r="AK1163" s="339">
        <v>782</v>
      </c>
      <c r="AL1163" s="340" t="s">
        <v>8067</v>
      </c>
      <c r="AM1163" s="377">
        <f t="shared" si="454"/>
        <v>6.9099584695590702E-2</v>
      </c>
      <c r="AN1163" s="357">
        <f t="shared" si="455"/>
        <v>1</v>
      </c>
      <c r="AP1163" s="23" t="e">
        <f t="shared" si="441"/>
        <v>#N/A</v>
      </c>
      <c r="AQ1163" s="392" t="e">
        <f t="shared" si="449"/>
        <v>#N/A</v>
      </c>
      <c r="AR1163" s="392" t="e">
        <f t="shared" si="450"/>
        <v>#N/A</v>
      </c>
      <c r="AS1163" s="392" t="e">
        <f t="shared" si="450"/>
        <v>#N/A</v>
      </c>
    </row>
    <row r="1164" spans="1:45">
      <c r="A1164" t="str">
        <f t="shared" si="448"/>
        <v>CA_Orang_2020g~member of the state assembly 69th district (vote 1)</v>
      </c>
      <c r="B1164" s="55" t="s">
        <v>3536</v>
      </c>
      <c r="D1164" s="55" t="s">
        <v>3293</v>
      </c>
      <c r="E1164" s="55" t="s">
        <v>3294</v>
      </c>
      <c r="F1164" t="s">
        <v>1296</v>
      </c>
      <c r="G1164" s="60">
        <v>37065</v>
      </c>
      <c r="H1164"/>
      <c r="J1164">
        <v>142153</v>
      </c>
      <c r="N1164">
        <v>5349</v>
      </c>
      <c r="O1164">
        <f t="shared" si="456"/>
        <v>2</v>
      </c>
      <c r="P1164" s="57">
        <f t="shared" si="457"/>
        <v>1</v>
      </c>
      <c r="Q1164" s="267">
        <f t="shared" si="458"/>
        <v>37065</v>
      </c>
      <c r="R1164" s="23" t="str">
        <f t="shared" si="459"/>
        <v/>
      </c>
      <c r="S1164" s="23">
        <f t="shared" si="460"/>
        <v>37065</v>
      </c>
      <c r="T1164" s="23" t="str">
        <f t="shared" si="461"/>
        <v/>
      </c>
      <c r="U1164" t="str">
        <f t="shared" si="462"/>
        <v/>
      </c>
      <c r="W1164" s="1">
        <f t="shared" si="463"/>
        <v>2</v>
      </c>
      <c r="X1164" s="73">
        <f t="shared" si="451"/>
        <v>72.023333333333326</v>
      </c>
      <c r="Y1164" s="322">
        <f t="shared" si="464"/>
        <v>96.186000000000007</v>
      </c>
      <c r="Z1164" s="43" t="e">
        <f t="shared" si="452"/>
        <v>#N/A</v>
      </c>
      <c r="AA1164" s="52" t="e">
        <f t="shared" si="465"/>
        <v>#N/A</v>
      </c>
      <c r="AB1164" s="8" t="e">
        <f t="shared" si="466"/>
        <v>#N/A</v>
      </c>
      <c r="AC1164" s="8" t="e">
        <f t="shared" si="467"/>
        <v>#N/A</v>
      </c>
      <c r="AD1164" s="8" t="e">
        <f t="shared" si="469"/>
        <v>#N/A</v>
      </c>
      <c r="AE1164" s="8" t="str">
        <f t="shared" si="468"/>
        <v/>
      </c>
      <c r="AF1164" s="22" t="str">
        <f t="shared" si="453"/>
        <v>MD_2020g~Cnty2</v>
      </c>
      <c r="AG1164">
        <v>1</v>
      </c>
      <c r="AH1164" s="272">
        <v>1394</v>
      </c>
      <c r="AI1164" s="273">
        <v>752</v>
      </c>
      <c r="AJ1164" s="274">
        <v>632</v>
      </c>
      <c r="AK1164" s="339">
        <v>120</v>
      </c>
      <c r="AL1164" s="340" t="s">
        <v>8057</v>
      </c>
      <c r="AM1164" s="377">
        <f t="shared" si="454"/>
        <v>8.608321377331421E-2</v>
      </c>
      <c r="AN1164" s="357" t="str">
        <f t="shared" si="455"/>
        <v/>
      </c>
      <c r="AP1164" s="23" t="e">
        <f t="shared" si="441"/>
        <v>#N/A</v>
      </c>
      <c r="AQ1164" s="392" t="e">
        <f t="shared" si="449"/>
        <v>#N/A</v>
      </c>
      <c r="AR1164" s="392" t="e">
        <f t="shared" si="450"/>
        <v>#N/A</v>
      </c>
      <c r="AS1164" s="392" t="e">
        <f t="shared" si="450"/>
        <v>#N/A</v>
      </c>
    </row>
    <row r="1165" spans="1:45">
      <c r="A1165" t="str">
        <f t="shared" si="448"/>
        <v>CA_Orang_2020g~member of the state assembly 72nd district (vote 1)</v>
      </c>
      <c r="B1165" s="55" t="s">
        <v>3536</v>
      </c>
      <c r="D1165" s="55" t="s">
        <v>3296</v>
      </c>
      <c r="E1165" s="55" t="s">
        <v>3300</v>
      </c>
      <c r="F1165" t="s">
        <v>1296</v>
      </c>
      <c r="G1165" s="60">
        <v>122483</v>
      </c>
      <c r="H1165"/>
      <c r="J1165">
        <v>239301</v>
      </c>
      <c r="N1165">
        <v>13064</v>
      </c>
      <c r="O1165">
        <f t="shared" si="456"/>
        <v>1</v>
      </c>
      <c r="P1165" s="57">
        <f t="shared" si="457"/>
        <v>1</v>
      </c>
      <c r="Q1165" s="267">
        <f t="shared" si="458"/>
        <v>226190</v>
      </c>
      <c r="R1165" s="23">
        <f t="shared" si="459"/>
        <v>122483</v>
      </c>
      <c r="S1165" s="23">
        <f t="shared" si="460"/>
        <v>103707</v>
      </c>
      <c r="T1165" s="23">
        <f t="shared" si="461"/>
        <v>18776</v>
      </c>
      <c r="U1165" t="str">
        <f t="shared" si="462"/>
        <v>CA_Orang_2020g~member of the state assembly 72nd district (vote 1)</v>
      </c>
      <c r="W1165" s="1">
        <f t="shared" si="463"/>
        <v>1</v>
      </c>
      <c r="X1165" s="73">
        <f t="shared" si="451"/>
        <v>63.064613778705642</v>
      </c>
      <c r="Y1165" s="322">
        <f t="shared" si="464"/>
        <v>2689.4820000000004</v>
      </c>
      <c r="Z1165" s="43" t="e">
        <f t="shared" si="452"/>
        <v>#N/A</v>
      </c>
      <c r="AA1165" s="52" t="e">
        <f t="shared" si="465"/>
        <v>#N/A</v>
      </c>
      <c r="AB1165" s="8" t="e">
        <f t="shared" si="466"/>
        <v>#N/A</v>
      </c>
      <c r="AC1165" s="8" t="e">
        <f t="shared" si="467"/>
        <v>#N/A</v>
      </c>
      <c r="AD1165" s="8" t="e">
        <f t="shared" si="469"/>
        <v>#N/A</v>
      </c>
      <c r="AE1165" s="8" t="str">
        <f t="shared" si="468"/>
        <v/>
      </c>
      <c r="AF1165" s="22" t="str">
        <f t="shared" si="453"/>
        <v>MD_2020g~Cnty5</v>
      </c>
      <c r="AG1165">
        <v>1</v>
      </c>
      <c r="AH1165" s="272">
        <v>38978</v>
      </c>
      <c r="AI1165" s="273">
        <v>20666</v>
      </c>
      <c r="AJ1165" s="274">
        <v>16834</v>
      </c>
      <c r="AK1165" s="339">
        <v>3832</v>
      </c>
      <c r="AL1165" s="340" t="s">
        <v>8013</v>
      </c>
      <c r="AM1165" s="377">
        <f t="shared" si="454"/>
        <v>9.8311868233362409E-2</v>
      </c>
      <c r="AN1165" s="357">
        <f t="shared" si="455"/>
        <v>1</v>
      </c>
      <c r="AP1165" s="23" t="e">
        <f t="shared" ref="AP1165:AP1228" si="470">MIN(AD1165, MAX(0,ROUNDUP(AD1165*(0.5*AK1165/AC1165-0.005)/(RIGHT(AP$1,3)-0.005),0)))</f>
        <v>#N/A</v>
      </c>
      <c r="AQ1165" s="392" t="e">
        <f t="shared" si="449"/>
        <v>#N/A</v>
      </c>
      <c r="AR1165" s="392" t="e">
        <f t="shared" si="450"/>
        <v>#N/A</v>
      </c>
      <c r="AS1165" s="392" t="e">
        <f t="shared" si="450"/>
        <v>#N/A</v>
      </c>
    </row>
    <row r="1166" spans="1:45">
      <c r="A1166" t="str">
        <f t="shared" si="448"/>
        <v>CA_Orang_2020g~member of the state assembly 72nd district (vote 1)</v>
      </c>
      <c r="B1166" s="55" t="s">
        <v>3536</v>
      </c>
      <c r="D1166" s="55" t="s">
        <v>3296</v>
      </c>
      <c r="E1166" s="55" t="s">
        <v>3298</v>
      </c>
      <c r="F1166" t="s">
        <v>1294</v>
      </c>
      <c r="G1166" s="60">
        <v>103707</v>
      </c>
      <c r="H1166"/>
      <c r="J1166">
        <v>239301</v>
      </c>
      <c r="N1166">
        <v>13064</v>
      </c>
      <c r="O1166">
        <f t="shared" si="456"/>
        <v>2</v>
      </c>
      <c r="P1166" s="57">
        <f t="shared" si="457"/>
        <v>1</v>
      </c>
      <c r="Q1166" s="267">
        <f t="shared" si="458"/>
        <v>103707</v>
      </c>
      <c r="R1166" s="23" t="str">
        <f t="shared" si="459"/>
        <v/>
      </c>
      <c r="S1166" s="23">
        <f t="shared" si="460"/>
        <v>103707</v>
      </c>
      <c r="T1166" s="23" t="str">
        <f t="shared" si="461"/>
        <v/>
      </c>
      <c r="U1166" t="str">
        <f t="shared" si="462"/>
        <v/>
      </c>
      <c r="W1166" s="1">
        <f t="shared" si="463"/>
        <v>1</v>
      </c>
      <c r="X1166" s="73">
        <f t="shared" si="451"/>
        <v>61.375526695526695</v>
      </c>
      <c r="Y1166" s="322">
        <f t="shared" si="464"/>
        <v>2366.7690000000002</v>
      </c>
      <c r="Z1166" s="43" t="e">
        <f t="shared" si="452"/>
        <v>#N/A</v>
      </c>
      <c r="AA1166" s="52" t="e">
        <f t="shared" si="465"/>
        <v>#N/A</v>
      </c>
      <c r="AB1166" s="8" t="e">
        <f t="shared" si="466"/>
        <v>#N/A</v>
      </c>
      <c r="AC1166" s="8" t="e">
        <f t="shared" si="467"/>
        <v>#N/A</v>
      </c>
      <c r="AD1166" s="8" t="e">
        <f t="shared" si="469"/>
        <v>#N/A</v>
      </c>
      <c r="AE1166" s="8" t="str">
        <f t="shared" si="468"/>
        <v/>
      </c>
      <c r="AF1166" s="22" t="str">
        <f t="shared" si="453"/>
        <v>MD_2020g~Cnty2</v>
      </c>
      <c r="AG1166">
        <v>1</v>
      </c>
      <c r="AH1166" s="272">
        <v>34301</v>
      </c>
      <c r="AI1166" s="273">
        <v>18748</v>
      </c>
      <c r="AJ1166" s="274">
        <v>15283</v>
      </c>
      <c r="AK1166" s="339">
        <v>3465</v>
      </c>
      <c r="AL1166" s="340" t="s">
        <v>7991</v>
      </c>
      <c r="AM1166" s="377">
        <f t="shared" si="454"/>
        <v>0.10101746304772456</v>
      </c>
      <c r="AN1166" s="357">
        <f t="shared" si="455"/>
        <v>1</v>
      </c>
      <c r="AP1166" s="23" t="e">
        <f t="shared" si="470"/>
        <v>#N/A</v>
      </c>
      <c r="AQ1166" s="392" t="e">
        <f t="shared" si="449"/>
        <v>#N/A</v>
      </c>
      <c r="AR1166" s="392" t="e">
        <f t="shared" si="450"/>
        <v>#N/A</v>
      </c>
      <c r="AS1166" s="392" t="e">
        <f t="shared" si="450"/>
        <v>#N/A</v>
      </c>
    </row>
    <row r="1167" spans="1:45">
      <c r="A1167" t="str">
        <f t="shared" si="448"/>
        <v>CA_Orang_2020g~member of the state assembly 73rd district (vote 1)</v>
      </c>
      <c r="B1167" s="55" t="s">
        <v>3536</v>
      </c>
      <c r="D1167" s="55" t="s">
        <v>3301</v>
      </c>
      <c r="E1167" s="55" t="s">
        <v>3303</v>
      </c>
      <c r="F1167" t="s">
        <v>1296</v>
      </c>
      <c r="G1167" s="60">
        <v>161650</v>
      </c>
      <c r="H1167"/>
      <c r="J1167">
        <v>290555</v>
      </c>
      <c r="N1167">
        <v>14298</v>
      </c>
      <c r="O1167">
        <f t="shared" si="456"/>
        <v>1</v>
      </c>
      <c r="P1167" s="57">
        <f t="shared" si="457"/>
        <v>1</v>
      </c>
      <c r="Q1167" s="267">
        <f t="shared" si="458"/>
        <v>276228</v>
      </c>
      <c r="R1167" s="23">
        <f t="shared" si="459"/>
        <v>161650</v>
      </c>
      <c r="S1167" s="23">
        <f t="shared" si="460"/>
        <v>114578</v>
      </c>
      <c r="T1167" s="23">
        <f t="shared" si="461"/>
        <v>47072</v>
      </c>
      <c r="U1167" t="str">
        <f t="shared" si="462"/>
        <v>CA_Orang_2020g~member of the state assembly 73rd district (vote 1)</v>
      </c>
      <c r="W1167" s="1">
        <f t="shared" si="463"/>
        <v>1</v>
      </c>
      <c r="X1167" s="73">
        <f t="shared" si="451"/>
        <v>55.814649218466009</v>
      </c>
      <c r="Y1167" s="322">
        <f t="shared" si="464"/>
        <v>5126.4585000000006</v>
      </c>
      <c r="Z1167" s="43" t="e">
        <f t="shared" si="452"/>
        <v>#N/A</v>
      </c>
      <c r="AA1167" s="52" t="e">
        <f t="shared" si="465"/>
        <v>#N/A</v>
      </c>
      <c r="AB1167" s="8" t="e">
        <f t="shared" si="466"/>
        <v>#N/A</v>
      </c>
      <c r="AC1167" s="8" t="e">
        <f t="shared" si="467"/>
        <v>#N/A</v>
      </c>
      <c r="AD1167" s="8" t="e">
        <f t="shared" si="469"/>
        <v>#N/A</v>
      </c>
      <c r="AE1167" s="8" t="str">
        <f t="shared" si="468"/>
        <v/>
      </c>
      <c r="AF1167" s="22" t="str">
        <f t="shared" si="453"/>
        <v>MD_2020g~Cnty7</v>
      </c>
      <c r="AG1167">
        <v>2</v>
      </c>
      <c r="AH1167" s="272">
        <v>74296.5</v>
      </c>
      <c r="AI1167" s="273">
        <v>41643</v>
      </c>
      <c r="AJ1167" s="274">
        <v>33390</v>
      </c>
      <c r="AK1167" s="339">
        <v>8253</v>
      </c>
      <c r="AL1167" s="340" t="s">
        <v>8018</v>
      </c>
      <c r="AM1167" s="377">
        <f t="shared" si="454"/>
        <v>0.11108194867860532</v>
      </c>
      <c r="AN1167" s="357">
        <f t="shared" si="455"/>
        <v>1</v>
      </c>
      <c r="AP1167" s="23" t="e">
        <f t="shared" si="470"/>
        <v>#N/A</v>
      </c>
      <c r="AQ1167" s="392" t="e">
        <f t="shared" si="449"/>
        <v>#N/A</v>
      </c>
      <c r="AR1167" s="392" t="e">
        <f t="shared" si="450"/>
        <v>#N/A</v>
      </c>
      <c r="AS1167" s="392" t="e">
        <f t="shared" si="450"/>
        <v>#N/A</v>
      </c>
    </row>
    <row r="1168" spans="1:45">
      <c r="A1168" t="str">
        <f t="shared" si="448"/>
        <v>CA_Orang_2020g~member of the state assembly 73rd district (vote 1)</v>
      </c>
      <c r="B1168" s="55" t="s">
        <v>3536</v>
      </c>
      <c r="D1168" s="55" t="s">
        <v>3301</v>
      </c>
      <c r="E1168" s="55" t="s">
        <v>3302</v>
      </c>
      <c r="F1168" t="s">
        <v>1294</v>
      </c>
      <c r="G1168" s="60">
        <v>114578</v>
      </c>
      <c r="H1168"/>
      <c r="J1168">
        <v>290555</v>
      </c>
      <c r="N1168">
        <v>14298</v>
      </c>
      <c r="O1168">
        <f t="shared" si="456"/>
        <v>2</v>
      </c>
      <c r="P1168" s="57">
        <f t="shared" si="457"/>
        <v>1</v>
      </c>
      <c r="Q1168" s="267">
        <f t="shared" si="458"/>
        <v>114578</v>
      </c>
      <c r="R1168" s="23" t="str">
        <f t="shared" si="459"/>
        <v/>
      </c>
      <c r="S1168" s="23">
        <f t="shared" si="460"/>
        <v>114578</v>
      </c>
      <c r="T1168" s="23" t="str">
        <f t="shared" si="461"/>
        <v/>
      </c>
      <c r="U1168" t="str">
        <f t="shared" si="462"/>
        <v/>
      </c>
      <c r="W1168" s="1">
        <f t="shared" si="463"/>
        <v>1</v>
      </c>
      <c r="X1168" s="73">
        <f t="shared" si="451"/>
        <v>53.435177865612651</v>
      </c>
      <c r="Y1168" s="322">
        <f t="shared" si="464"/>
        <v>300.90900000000005</v>
      </c>
      <c r="Z1168" s="43" t="e">
        <f t="shared" si="452"/>
        <v>#N/A</v>
      </c>
      <c r="AA1168" s="52" t="e">
        <f t="shared" si="465"/>
        <v>#N/A</v>
      </c>
      <c r="AB1168" s="8" t="e">
        <f t="shared" si="466"/>
        <v>#N/A</v>
      </c>
      <c r="AC1168" s="8" t="e">
        <f t="shared" si="467"/>
        <v>#N/A</v>
      </c>
      <c r="AD1168" s="8" t="e">
        <f t="shared" si="469"/>
        <v>#N/A</v>
      </c>
      <c r="AE1168" s="8" t="str">
        <f t="shared" si="468"/>
        <v/>
      </c>
      <c r="AF1168" s="22" t="str">
        <f t="shared" si="453"/>
        <v>MD_2020g~Cnty6</v>
      </c>
      <c r="AG1168">
        <v>1</v>
      </c>
      <c r="AH1168" s="272">
        <v>4361</v>
      </c>
      <c r="AI1168" s="273">
        <v>2403</v>
      </c>
      <c r="AJ1168" s="274">
        <v>1897</v>
      </c>
      <c r="AK1168" s="339">
        <v>506</v>
      </c>
      <c r="AL1168" s="340" t="s">
        <v>8016</v>
      </c>
      <c r="AM1168" s="377">
        <f t="shared" si="454"/>
        <v>0.11602843384544829</v>
      </c>
      <c r="AN1168" s="357" t="str">
        <f t="shared" si="455"/>
        <v/>
      </c>
      <c r="AP1168" s="23" t="e">
        <f t="shared" si="470"/>
        <v>#N/A</v>
      </c>
      <c r="AQ1168" s="392" t="e">
        <f t="shared" si="449"/>
        <v>#N/A</v>
      </c>
      <c r="AR1168" s="392" t="e">
        <f t="shared" si="450"/>
        <v>#N/A</v>
      </c>
      <c r="AS1168" s="392" t="e">
        <f t="shared" si="450"/>
        <v>#N/A</v>
      </c>
    </row>
    <row r="1169" spans="1:45">
      <c r="A1169" t="str">
        <f t="shared" si="448"/>
        <v>CA_Orang_2020g~member of the state assembly 74th district (vote 1)</v>
      </c>
      <c r="B1169" s="55" t="s">
        <v>3536</v>
      </c>
      <c r="D1169" s="55" t="s">
        <v>3307</v>
      </c>
      <c r="E1169" s="55" t="s">
        <v>3562</v>
      </c>
      <c r="F1169" t="s">
        <v>1294</v>
      </c>
      <c r="G1169" s="60">
        <v>133607</v>
      </c>
      <c r="H1169"/>
      <c r="J1169">
        <v>277564</v>
      </c>
      <c r="N1169">
        <v>12900</v>
      </c>
      <c r="O1169">
        <f t="shared" si="456"/>
        <v>1</v>
      </c>
      <c r="P1169" s="57">
        <f t="shared" si="457"/>
        <v>1</v>
      </c>
      <c r="Q1169" s="267">
        <f t="shared" si="458"/>
        <v>264630</v>
      </c>
      <c r="R1169" s="23">
        <f t="shared" si="459"/>
        <v>133607</v>
      </c>
      <c r="S1169" s="23">
        <f t="shared" si="460"/>
        <v>131023</v>
      </c>
      <c r="T1169" s="23">
        <f t="shared" si="461"/>
        <v>2584</v>
      </c>
      <c r="U1169" t="str">
        <f t="shared" si="462"/>
        <v>CA_Orang_2020g~member of the state assembly 74th district (vote 1)</v>
      </c>
      <c r="W1169" s="1">
        <f t="shared" si="463"/>
        <v>1</v>
      </c>
      <c r="X1169" s="73">
        <f t="shared" si="451"/>
        <v>52.367952013710365</v>
      </c>
      <c r="Y1169" s="322">
        <f t="shared" si="464"/>
        <v>680.13300000000004</v>
      </c>
      <c r="Z1169" s="43" t="e">
        <f t="shared" si="452"/>
        <v>#N/A</v>
      </c>
      <c r="AA1169" s="52" t="e">
        <f t="shared" si="465"/>
        <v>#N/A</v>
      </c>
      <c r="AB1169" s="8" t="e">
        <f t="shared" si="466"/>
        <v>#N/A</v>
      </c>
      <c r="AC1169" s="8" t="e">
        <f t="shared" si="467"/>
        <v>#N/A</v>
      </c>
      <c r="AD1169" s="8" t="e">
        <f t="shared" si="469"/>
        <v>#N/A</v>
      </c>
      <c r="AE1169" s="8" t="str">
        <f t="shared" si="468"/>
        <v/>
      </c>
      <c r="AF1169" s="22" t="str">
        <f t="shared" si="453"/>
        <v>MD_2020g~Cnty1</v>
      </c>
      <c r="AG1169">
        <v>1</v>
      </c>
      <c r="AH1169" s="272">
        <v>9857</v>
      </c>
      <c r="AI1169" s="273">
        <v>4353</v>
      </c>
      <c r="AJ1169" s="274">
        <v>3186</v>
      </c>
      <c r="AK1169" s="339">
        <v>1167</v>
      </c>
      <c r="AL1169" s="340" t="s">
        <v>8051</v>
      </c>
      <c r="AM1169" s="377">
        <f t="shared" si="454"/>
        <v>0.11839302018869839</v>
      </c>
      <c r="AN1169" s="357">
        <f t="shared" si="455"/>
        <v>1</v>
      </c>
      <c r="AP1169" s="23" t="e">
        <f t="shared" si="470"/>
        <v>#N/A</v>
      </c>
      <c r="AQ1169" s="392" t="e">
        <f t="shared" si="449"/>
        <v>#N/A</v>
      </c>
      <c r="AR1169" s="392" t="e">
        <f t="shared" si="450"/>
        <v>#N/A</v>
      </c>
      <c r="AS1169" s="392" t="e">
        <f t="shared" si="450"/>
        <v>#N/A</v>
      </c>
    </row>
    <row r="1170" spans="1:45">
      <c r="A1170" t="str">
        <f t="shared" si="448"/>
        <v>CA_Orang_2020g~member of the state assembly 74th district (vote 1)</v>
      </c>
      <c r="B1170" s="55" t="s">
        <v>3536</v>
      </c>
      <c r="D1170" s="55" t="s">
        <v>3307</v>
      </c>
      <c r="E1170" s="55" t="s">
        <v>3308</v>
      </c>
      <c r="F1170" t="s">
        <v>1296</v>
      </c>
      <c r="G1170" s="60">
        <v>131023</v>
      </c>
      <c r="H1170"/>
      <c r="J1170">
        <v>277564</v>
      </c>
      <c r="N1170">
        <v>12900</v>
      </c>
      <c r="O1170">
        <f t="shared" si="456"/>
        <v>2</v>
      </c>
      <c r="P1170" s="57">
        <f t="shared" si="457"/>
        <v>1</v>
      </c>
      <c r="Q1170" s="267">
        <f t="shared" si="458"/>
        <v>131023</v>
      </c>
      <c r="R1170" s="23" t="str">
        <f t="shared" si="459"/>
        <v/>
      </c>
      <c r="S1170" s="23">
        <f t="shared" si="460"/>
        <v>131023</v>
      </c>
      <c r="T1170" s="23" t="str">
        <f t="shared" si="461"/>
        <v/>
      </c>
      <c r="U1170" t="str">
        <f t="shared" si="462"/>
        <v/>
      </c>
      <c r="W1170" s="1">
        <f t="shared" si="463"/>
        <v>1</v>
      </c>
      <c r="X1170" s="73">
        <f t="shared" si="451"/>
        <v>49.274612202688736</v>
      </c>
      <c r="Y1170" s="322">
        <f t="shared" si="464"/>
        <v>2121.1290000000004</v>
      </c>
      <c r="Z1170" s="43" t="e">
        <f t="shared" si="452"/>
        <v>#N/A</v>
      </c>
      <c r="AA1170" s="52" t="e">
        <f t="shared" si="465"/>
        <v>#N/A</v>
      </c>
      <c r="AB1170" s="8" t="e">
        <f t="shared" si="466"/>
        <v>#N/A</v>
      </c>
      <c r="AC1170" s="8" t="e">
        <f t="shared" si="467"/>
        <v>#N/A</v>
      </c>
      <c r="AD1170" s="8" t="e">
        <f t="shared" si="469"/>
        <v>#N/A</v>
      </c>
      <c r="AE1170" s="8" t="str">
        <f t="shared" si="468"/>
        <v/>
      </c>
      <c r="AF1170" s="22" t="str">
        <f t="shared" si="453"/>
        <v>MD_2020g~Cnty2</v>
      </c>
      <c r="AG1170">
        <v>1</v>
      </c>
      <c r="AH1170" s="272">
        <v>30741</v>
      </c>
      <c r="AI1170" s="273">
        <v>17190</v>
      </c>
      <c r="AJ1170" s="274">
        <v>13322</v>
      </c>
      <c r="AK1170" s="339">
        <v>3868</v>
      </c>
      <c r="AL1170" s="340" t="s">
        <v>7989</v>
      </c>
      <c r="AM1170" s="377">
        <f t="shared" si="454"/>
        <v>0.12582544484564587</v>
      </c>
      <c r="AN1170" s="357">
        <f t="shared" si="455"/>
        <v>1</v>
      </c>
      <c r="AP1170" s="23" t="e">
        <f t="shared" si="470"/>
        <v>#N/A</v>
      </c>
      <c r="AQ1170" s="392" t="e">
        <f t="shared" si="449"/>
        <v>#N/A</v>
      </c>
      <c r="AR1170" s="392" t="e">
        <f t="shared" si="450"/>
        <v>#N/A</v>
      </c>
      <c r="AS1170" s="392" t="e">
        <f t="shared" si="450"/>
        <v>#N/A</v>
      </c>
    </row>
    <row r="1171" spans="1:45">
      <c r="A1171" t="str">
        <f t="shared" si="448"/>
        <v>CA_Orang_2020g~mesa water district director, division 2 (vote 1)</v>
      </c>
      <c r="B1171" s="55" t="s">
        <v>3536</v>
      </c>
      <c r="D1171" s="55" t="s">
        <v>4104</v>
      </c>
      <c r="E1171" s="55" t="s">
        <v>4105</v>
      </c>
      <c r="G1171" s="60">
        <v>5158</v>
      </c>
      <c r="H1171"/>
      <c r="J1171">
        <v>10425</v>
      </c>
      <c r="N1171">
        <v>1380</v>
      </c>
      <c r="O1171">
        <f t="shared" si="456"/>
        <v>1</v>
      </c>
      <c r="P1171" s="57">
        <f t="shared" si="457"/>
        <v>1</v>
      </c>
      <c r="Q1171" s="267">
        <f t="shared" si="458"/>
        <v>9008</v>
      </c>
      <c r="R1171" s="23">
        <f t="shared" si="459"/>
        <v>5158</v>
      </c>
      <c r="S1171" s="23">
        <f t="shared" si="460"/>
        <v>3850</v>
      </c>
      <c r="T1171" s="23">
        <f t="shared" si="461"/>
        <v>1308</v>
      </c>
      <c r="U1171" t="str">
        <f t="shared" si="462"/>
        <v>CA_Orang_2020g~mesa water district director, division 2 (vote 1)</v>
      </c>
      <c r="W1171" s="1">
        <f t="shared" si="463"/>
        <v>1</v>
      </c>
      <c r="X1171" s="73">
        <f t="shared" si="451"/>
        <v>43.02971082971083</v>
      </c>
      <c r="Y1171" s="322">
        <f t="shared" si="464"/>
        <v>2533.7490000000003</v>
      </c>
      <c r="Z1171" s="43" t="e">
        <f t="shared" si="452"/>
        <v>#N/A</v>
      </c>
      <c r="AA1171" s="52" t="e">
        <f t="shared" si="465"/>
        <v>#N/A</v>
      </c>
      <c r="AB1171" s="8" t="e">
        <f t="shared" si="466"/>
        <v>#N/A</v>
      </c>
      <c r="AC1171" s="8" t="e">
        <f t="shared" si="467"/>
        <v>#N/A</v>
      </c>
      <c r="AD1171" s="8" t="e">
        <f t="shared" si="469"/>
        <v>#N/A</v>
      </c>
      <c r="AE1171" s="8" t="str">
        <f t="shared" si="468"/>
        <v/>
      </c>
      <c r="AF1171" s="22" t="str">
        <f t="shared" si="453"/>
        <v>MD_2020g~Cnty8</v>
      </c>
      <c r="AG1171">
        <v>1</v>
      </c>
      <c r="AH1171" s="272">
        <v>36721</v>
      </c>
      <c r="AI1171" s="273">
        <v>20887</v>
      </c>
      <c r="AJ1171" s="274">
        <v>15596</v>
      </c>
      <c r="AK1171" s="339">
        <v>5291</v>
      </c>
      <c r="AL1171" s="340" t="s">
        <v>8020</v>
      </c>
      <c r="AM1171" s="377">
        <f t="shared" si="454"/>
        <v>0.14408649001933499</v>
      </c>
      <c r="AN1171" s="357">
        <f t="shared" si="455"/>
        <v>1</v>
      </c>
      <c r="AP1171" s="23" t="e">
        <f t="shared" si="470"/>
        <v>#N/A</v>
      </c>
      <c r="AQ1171" s="392" t="e">
        <f t="shared" si="449"/>
        <v>#N/A</v>
      </c>
      <c r="AR1171" s="392" t="e">
        <f t="shared" si="450"/>
        <v>#N/A</v>
      </c>
      <c r="AS1171" s="392" t="e">
        <f t="shared" si="450"/>
        <v>#N/A</v>
      </c>
    </row>
    <row r="1172" spans="1:45">
      <c r="A1172" t="str">
        <f t="shared" si="448"/>
        <v>CA_Orang_2020g~mesa water district director, division 2 (vote 1)</v>
      </c>
      <c r="B1172" s="55" t="s">
        <v>3536</v>
      </c>
      <c r="D1172" s="55" t="s">
        <v>4104</v>
      </c>
      <c r="E1172" s="55" t="s">
        <v>4106</v>
      </c>
      <c r="G1172" s="60">
        <v>3850</v>
      </c>
      <c r="H1172"/>
      <c r="J1172">
        <v>10425</v>
      </c>
      <c r="N1172">
        <v>1380</v>
      </c>
      <c r="O1172">
        <f t="shared" si="456"/>
        <v>2</v>
      </c>
      <c r="P1172" s="57">
        <f t="shared" si="457"/>
        <v>1</v>
      </c>
      <c r="Q1172" s="267">
        <f t="shared" si="458"/>
        <v>3850</v>
      </c>
      <c r="R1172" s="23" t="str">
        <f t="shared" si="459"/>
        <v/>
      </c>
      <c r="S1172" s="23">
        <f t="shared" si="460"/>
        <v>3850</v>
      </c>
      <c r="T1172" s="23" t="str">
        <f t="shared" si="461"/>
        <v/>
      </c>
      <c r="U1172" t="str">
        <f t="shared" si="462"/>
        <v/>
      </c>
      <c r="W1172" s="1">
        <f t="shared" si="463"/>
        <v>1</v>
      </c>
      <c r="X1172" s="73">
        <f t="shared" si="451"/>
        <v>41.43866432337434</v>
      </c>
      <c r="Y1172" s="322">
        <f t="shared" si="464"/>
        <v>2624.07</v>
      </c>
      <c r="Z1172" s="43" t="e">
        <f t="shared" si="452"/>
        <v>#N/A</v>
      </c>
      <c r="AA1172" s="52" t="e">
        <f t="shared" si="465"/>
        <v>#N/A</v>
      </c>
      <c r="AB1172" s="8" t="e">
        <f t="shared" si="466"/>
        <v>#N/A</v>
      </c>
      <c r="AC1172" s="8" t="e">
        <f t="shared" si="467"/>
        <v>#N/A</v>
      </c>
      <c r="AD1172" s="8" t="e">
        <f t="shared" si="469"/>
        <v>#N/A</v>
      </c>
      <c r="AE1172" s="8" t="str">
        <f t="shared" si="468"/>
        <v/>
      </c>
      <c r="AF1172" s="22" t="str">
        <f t="shared" si="453"/>
        <v>MD_2020g~Cnty5</v>
      </c>
      <c r="AG1172">
        <v>1</v>
      </c>
      <c r="AH1172" s="272">
        <v>38030</v>
      </c>
      <c r="AI1172" s="273">
        <v>21719</v>
      </c>
      <c r="AJ1172" s="274">
        <v>16029</v>
      </c>
      <c r="AK1172" s="339">
        <v>5690</v>
      </c>
      <c r="AL1172" s="340" t="s">
        <v>8012</v>
      </c>
      <c r="AM1172" s="377">
        <f t="shared" si="454"/>
        <v>0.14961872206153037</v>
      </c>
      <c r="AN1172" s="357">
        <f t="shared" si="455"/>
        <v>1</v>
      </c>
      <c r="AP1172" s="23" t="e">
        <f t="shared" si="470"/>
        <v>#N/A</v>
      </c>
      <c r="AQ1172" s="392" t="e">
        <f t="shared" si="449"/>
        <v>#N/A</v>
      </c>
      <c r="AR1172" s="392" t="e">
        <f t="shared" si="450"/>
        <v>#N/A</v>
      </c>
      <c r="AS1172" s="392" t="e">
        <f t="shared" si="450"/>
        <v>#N/A</v>
      </c>
    </row>
    <row r="1173" spans="1:45">
      <c r="A1173" t="str">
        <f t="shared" si="448"/>
        <v>CA_Orang_2020g~midway city sanitary district director (vote 1)</v>
      </c>
      <c r="B1173" s="55" t="s">
        <v>3536</v>
      </c>
      <c r="D1173" s="55" t="s">
        <v>4077</v>
      </c>
      <c r="E1173" s="55" t="s">
        <v>4079</v>
      </c>
      <c r="G1173" s="60">
        <v>19426</v>
      </c>
      <c r="H1173"/>
      <c r="J1173">
        <v>45763</v>
      </c>
      <c r="N1173">
        <v>30153</v>
      </c>
      <c r="O1173">
        <f t="shared" si="456"/>
        <v>1</v>
      </c>
      <c r="P1173" s="57">
        <f t="shared" si="457"/>
        <v>1</v>
      </c>
      <c r="Q1173" s="267">
        <f t="shared" si="458"/>
        <v>61104</v>
      </c>
      <c r="R1173" s="23">
        <f t="shared" si="459"/>
        <v>19426</v>
      </c>
      <c r="S1173" s="23">
        <f t="shared" si="460"/>
        <v>15551</v>
      </c>
      <c r="T1173" s="23">
        <f t="shared" si="461"/>
        <v>3875</v>
      </c>
      <c r="U1173" t="str">
        <f t="shared" si="462"/>
        <v>CA_Orang_2020g~midway city sanitary district director (vote 1)</v>
      </c>
      <c r="W1173" s="1">
        <f t="shared" si="463"/>
        <v>1</v>
      </c>
      <c r="X1173" s="73">
        <f t="shared" si="451"/>
        <v>38.708108108108114</v>
      </c>
      <c r="Y1173" s="322">
        <f t="shared" si="464"/>
        <v>159.39000000000001</v>
      </c>
      <c r="Z1173" s="43" t="e">
        <f t="shared" si="452"/>
        <v>#N/A</v>
      </c>
      <c r="AA1173" s="52" t="e">
        <f t="shared" si="465"/>
        <v>#N/A</v>
      </c>
      <c r="AB1173" s="8" t="e">
        <f t="shared" si="466"/>
        <v>#N/A</v>
      </c>
      <c r="AC1173" s="8" t="e">
        <f t="shared" si="467"/>
        <v>#N/A</v>
      </c>
      <c r="AD1173" s="8" t="e">
        <f t="shared" si="469"/>
        <v>#N/A</v>
      </c>
      <c r="AE1173" s="8" t="str">
        <f t="shared" si="468"/>
        <v/>
      </c>
      <c r="AF1173" s="22" t="str">
        <f t="shared" si="453"/>
        <v>MD_2020g~Cnty2</v>
      </c>
      <c r="AG1173">
        <v>1</v>
      </c>
      <c r="AH1173" s="272">
        <v>2310</v>
      </c>
      <c r="AI1173" s="273">
        <v>1334</v>
      </c>
      <c r="AJ1173" s="274">
        <v>964</v>
      </c>
      <c r="AK1173" s="339">
        <v>370</v>
      </c>
      <c r="AL1173" s="340" t="s">
        <v>8058</v>
      </c>
      <c r="AM1173" s="377">
        <f t="shared" si="454"/>
        <v>0.16017316017316016</v>
      </c>
      <c r="AN1173" s="357" t="str">
        <f t="shared" si="455"/>
        <v/>
      </c>
      <c r="AP1173" s="23" t="e">
        <f t="shared" si="470"/>
        <v>#N/A</v>
      </c>
      <c r="AQ1173" s="392" t="e">
        <f t="shared" si="449"/>
        <v>#N/A</v>
      </c>
      <c r="AR1173" s="392" t="e">
        <f t="shared" si="450"/>
        <v>#N/A</v>
      </c>
      <c r="AS1173" s="392" t="e">
        <f t="shared" si="450"/>
        <v>#N/A</v>
      </c>
    </row>
    <row r="1174" spans="1:45">
      <c r="A1174" t="str">
        <f t="shared" si="448"/>
        <v>CA_Orang_2020g~midway city sanitary district director (vote 1)</v>
      </c>
      <c r="B1174" s="55" t="s">
        <v>3536</v>
      </c>
      <c r="D1174" s="55" t="s">
        <v>4077</v>
      </c>
      <c r="E1174" s="55" t="s">
        <v>4081</v>
      </c>
      <c r="G1174" s="60">
        <v>15551</v>
      </c>
      <c r="H1174"/>
      <c r="J1174">
        <v>45763</v>
      </c>
      <c r="N1174">
        <v>30153</v>
      </c>
      <c r="O1174">
        <f t="shared" si="456"/>
        <v>2</v>
      </c>
      <c r="P1174" s="57">
        <f t="shared" si="457"/>
        <v>1</v>
      </c>
      <c r="Q1174" s="267">
        <f t="shared" si="458"/>
        <v>41678</v>
      </c>
      <c r="R1174" s="23" t="str">
        <f t="shared" si="459"/>
        <v/>
      </c>
      <c r="S1174" s="23">
        <f t="shared" si="460"/>
        <v>15551</v>
      </c>
      <c r="T1174" s="23" t="str">
        <f t="shared" si="461"/>
        <v/>
      </c>
      <c r="U1174" t="str">
        <f t="shared" si="462"/>
        <v/>
      </c>
      <c r="W1174" s="1">
        <f t="shared" si="463"/>
        <v>1</v>
      </c>
      <c r="X1174" s="73">
        <f t="shared" si="451"/>
        <v>37.756191524490916</v>
      </c>
      <c r="Y1174" s="322">
        <f t="shared" si="464"/>
        <v>763.48500000000001</v>
      </c>
      <c r="Z1174" s="43" t="e">
        <f t="shared" si="452"/>
        <v>#N/A</v>
      </c>
      <c r="AA1174" s="52" t="e">
        <f t="shared" si="465"/>
        <v>#N/A</v>
      </c>
      <c r="AB1174" s="8" t="e">
        <f t="shared" si="466"/>
        <v>#N/A</v>
      </c>
      <c r="AC1174" s="8" t="e">
        <f t="shared" si="467"/>
        <v>#N/A</v>
      </c>
      <c r="AD1174" s="8" t="e">
        <f t="shared" si="469"/>
        <v>#N/A</v>
      </c>
      <c r="AE1174" s="8" t="str">
        <f t="shared" si="468"/>
        <v/>
      </c>
      <c r="AF1174" s="22" t="str">
        <f t="shared" si="453"/>
        <v>MD_2020g~Cnty1</v>
      </c>
      <c r="AG1174">
        <v>2</v>
      </c>
      <c r="AH1174" s="272">
        <v>11065</v>
      </c>
      <c r="AI1174" s="273">
        <v>7932</v>
      </c>
      <c r="AJ1174" s="274">
        <v>6115</v>
      </c>
      <c r="AK1174" s="339">
        <v>1817</v>
      </c>
      <c r="AL1174" s="340" t="s">
        <v>8031</v>
      </c>
      <c r="AM1174" s="377">
        <f t="shared" si="454"/>
        <v>0.16421147763217353</v>
      </c>
      <c r="AN1174" s="357">
        <f t="shared" si="455"/>
        <v>1</v>
      </c>
      <c r="AP1174" s="23" t="e">
        <f t="shared" si="470"/>
        <v>#N/A</v>
      </c>
      <c r="AQ1174" s="392" t="e">
        <f t="shared" si="449"/>
        <v>#N/A</v>
      </c>
      <c r="AR1174" s="392" t="e">
        <f t="shared" si="450"/>
        <v>#N/A</v>
      </c>
      <c r="AS1174" s="392" t="e">
        <f t="shared" si="450"/>
        <v>#N/A</v>
      </c>
    </row>
    <row r="1175" spans="1:45">
      <c r="A1175" t="str">
        <f t="shared" si="448"/>
        <v>CA_Orang_2020g~midway city sanitary district director (vote 1)</v>
      </c>
      <c r="B1175" s="55" t="s">
        <v>3536</v>
      </c>
      <c r="D1175" s="55" t="s">
        <v>4077</v>
      </c>
      <c r="E1175" s="55" t="s">
        <v>4080</v>
      </c>
      <c r="G1175" s="60">
        <v>14172</v>
      </c>
      <c r="H1175"/>
      <c r="J1175">
        <v>45763</v>
      </c>
      <c r="N1175">
        <v>30153</v>
      </c>
      <c r="O1175">
        <f t="shared" si="456"/>
        <v>3</v>
      </c>
      <c r="P1175" s="57">
        <f t="shared" si="457"/>
        <v>1</v>
      </c>
      <c r="Q1175" s="267">
        <f t="shared" si="458"/>
        <v>26127</v>
      </c>
      <c r="R1175" s="23" t="str">
        <f t="shared" si="459"/>
        <v/>
      </c>
      <c r="S1175" s="23">
        <f t="shared" si="460"/>
        <v>14172</v>
      </c>
      <c r="T1175" s="23" t="str">
        <f t="shared" si="461"/>
        <v/>
      </c>
      <c r="U1175" t="str">
        <f t="shared" si="462"/>
        <v/>
      </c>
      <c r="W1175" s="1">
        <f t="shared" si="463"/>
        <v>1</v>
      </c>
      <c r="X1175" s="73">
        <f t="shared" si="451"/>
        <v>36.46919022520364</v>
      </c>
      <c r="Y1175" s="322">
        <f t="shared" si="464"/>
        <v>5929.3080000000009</v>
      </c>
      <c r="Z1175" s="43" t="e">
        <f t="shared" si="452"/>
        <v>#N/A</v>
      </c>
      <c r="AA1175" s="52" t="e">
        <f t="shared" si="465"/>
        <v>#N/A</v>
      </c>
      <c r="AB1175" s="8" t="e">
        <f t="shared" si="466"/>
        <v>#N/A</v>
      </c>
      <c r="AC1175" s="8" t="e">
        <f t="shared" si="467"/>
        <v>#N/A</v>
      </c>
      <c r="AD1175" s="8" t="e">
        <f t="shared" si="469"/>
        <v>#N/A</v>
      </c>
      <c r="AE1175" s="8" t="str">
        <f t="shared" si="468"/>
        <v/>
      </c>
      <c r="AF1175" s="22" t="str">
        <f t="shared" si="453"/>
        <v>MD_2020g~Cnty9</v>
      </c>
      <c r="AG1175">
        <v>1</v>
      </c>
      <c r="AH1175" s="272">
        <v>85932</v>
      </c>
      <c r="AI1175" s="273">
        <v>50200</v>
      </c>
      <c r="AJ1175" s="274">
        <v>35591</v>
      </c>
      <c r="AK1175" s="339">
        <v>14609</v>
      </c>
      <c r="AL1175" s="340" t="s">
        <v>8025</v>
      </c>
      <c r="AM1175" s="377">
        <f t="shared" si="454"/>
        <v>0.17000651678071033</v>
      </c>
      <c r="AN1175" s="357">
        <f t="shared" si="455"/>
        <v>1</v>
      </c>
      <c r="AP1175" s="23" t="e">
        <f t="shared" si="470"/>
        <v>#N/A</v>
      </c>
      <c r="AQ1175" s="392" t="e">
        <f t="shared" si="449"/>
        <v>#N/A</v>
      </c>
      <c r="AR1175" s="392" t="e">
        <f t="shared" si="450"/>
        <v>#N/A</v>
      </c>
      <c r="AS1175" s="392" t="e">
        <f t="shared" si="450"/>
        <v>#N/A</v>
      </c>
    </row>
    <row r="1176" spans="1:45">
      <c r="A1176" t="str">
        <f t="shared" si="448"/>
        <v>CA_Orang_2020g~midway city sanitary district director (vote 1)</v>
      </c>
      <c r="B1176" s="55" t="s">
        <v>3536</v>
      </c>
      <c r="D1176" s="55" t="s">
        <v>4077</v>
      </c>
      <c r="E1176" s="55" t="s">
        <v>4057</v>
      </c>
      <c r="G1176" s="60">
        <v>7991</v>
      </c>
      <c r="H1176"/>
      <c r="J1176">
        <v>45763</v>
      </c>
      <c r="N1176">
        <v>30153</v>
      </c>
      <c r="O1176">
        <f t="shared" si="456"/>
        <v>4</v>
      </c>
      <c r="P1176" s="57">
        <f t="shared" si="457"/>
        <v>1</v>
      </c>
      <c r="Q1176" s="267">
        <f t="shared" si="458"/>
        <v>11955</v>
      </c>
      <c r="R1176" s="23" t="str">
        <f t="shared" si="459"/>
        <v/>
      </c>
      <c r="S1176" s="23">
        <f t="shared" si="460"/>
        <v>7991</v>
      </c>
      <c r="T1176" s="23" t="str">
        <f t="shared" si="461"/>
        <v/>
      </c>
      <c r="U1176" t="str">
        <f t="shared" si="462"/>
        <v/>
      </c>
      <c r="W1176" s="1">
        <f t="shared" si="463"/>
        <v>1</v>
      </c>
      <c r="X1176" s="73">
        <f t="shared" si="451"/>
        <v>32.455356314731802</v>
      </c>
      <c r="Y1176" s="322">
        <f t="shared" si="464"/>
        <v>28038.978000000003</v>
      </c>
      <c r="Z1176" s="43" t="e">
        <f t="shared" si="452"/>
        <v>#N/A</v>
      </c>
      <c r="AA1176" s="52" t="e">
        <f t="shared" si="465"/>
        <v>#N/A</v>
      </c>
      <c r="AB1176" s="8" t="e">
        <f t="shared" si="466"/>
        <v>#N/A</v>
      </c>
      <c r="AC1176" s="8" t="e">
        <f t="shared" si="467"/>
        <v>#N/A</v>
      </c>
      <c r="AD1176" s="8" t="e">
        <f t="shared" si="469"/>
        <v>#N/A</v>
      </c>
      <c r="AE1176" s="8" t="str">
        <f t="shared" si="468"/>
        <v/>
      </c>
      <c r="AF1176" s="22" t="str">
        <f t="shared" si="453"/>
        <v>MD_2020g~Cnty1</v>
      </c>
      <c r="AG1176">
        <v>1</v>
      </c>
      <c r="AH1176" s="272">
        <v>406362</v>
      </c>
      <c r="AI1176" s="273">
        <v>240474</v>
      </c>
      <c r="AJ1176" s="274">
        <v>162846</v>
      </c>
      <c r="AK1176" s="339">
        <v>77628</v>
      </c>
      <c r="AL1176" s="340" t="s">
        <v>8039</v>
      </c>
      <c r="AM1176" s="377">
        <f t="shared" si="454"/>
        <v>0.19103164173815465</v>
      </c>
      <c r="AN1176" s="357">
        <f t="shared" si="455"/>
        <v>1</v>
      </c>
      <c r="AP1176" s="23" t="e">
        <f t="shared" si="470"/>
        <v>#N/A</v>
      </c>
      <c r="AQ1176" s="392" t="e">
        <f t="shared" si="449"/>
        <v>#N/A</v>
      </c>
      <c r="AR1176" s="392" t="e">
        <f t="shared" si="450"/>
        <v>#N/A</v>
      </c>
      <c r="AS1176" s="392" t="e">
        <f t="shared" si="450"/>
        <v>#N/A</v>
      </c>
    </row>
    <row r="1177" spans="1:45">
      <c r="A1177" t="str">
        <f t="shared" si="448"/>
        <v>CA_Orang_2020g~midway city sanitary district director (vote 1)</v>
      </c>
      <c r="B1177" s="55" t="s">
        <v>3536</v>
      </c>
      <c r="D1177" s="55" t="s">
        <v>4077</v>
      </c>
      <c r="E1177" s="55" t="s">
        <v>4078</v>
      </c>
      <c r="G1177" s="60">
        <v>3964</v>
      </c>
      <c r="H1177"/>
      <c r="J1177">
        <v>45763</v>
      </c>
      <c r="N1177">
        <v>30153</v>
      </c>
      <c r="O1177">
        <f t="shared" si="456"/>
        <v>5</v>
      </c>
      <c r="P1177" s="57">
        <f t="shared" si="457"/>
        <v>1</v>
      </c>
      <c r="Q1177" s="267">
        <f t="shared" si="458"/>
        <v>3964</v>
      </c>
      <c r="R1177" s="23" t="str">
        <f t="shared" si="459"/>
        <v/>
      </c>
      <c r="S1177" s="23">
        <f t="shared" si="460"/>
        <v>3964</v>
      </c>
      <c r="T1177" s="23" t="str">
        <f t="shared" si="461"/>
        <v/>
      </c>
      <c r="U1177" t="str">
        <f t="shared" si="462"/>
        <v/>
      </c>
      <c r="W1177" s="1">
        <f t="shared" si="463"/>
        <v>1</v>
      </c>
      <c r="X1177" s="73">
        <f t="shared" si="451"/>
        <v>31.579916876329214</v>
      </c>
      <c r="Y1177" s="322">
        <f t="shared" si="464"/>
        <v>25283.946000000004</v>
      </c>
      <c r="Z1177" s="43" t="e">
        <f t="shared" si="452"/>
        <v>#N/A</v>
      </c>
      <c r="AA1177" s="52" t="e">
        <f t="shared" si="465"/>
        <v>#N/A</v>
      </c>
      <c r="AB1177" s="8" t="e">
        <f t="shared" si="466"/>
        <v>#N/A</v>
      </c>
      <c r="AC1177" s="8" t="e">
        <f t="shared" si="467"/>
        <v>#N/A</v>
      </c>
      <c r="AD1177" s="8" t="e">
        <f t="shared" si="469"/>
        <v>#N/A</v>
      </c>
      <c r="AE1177" s="8" t="str">
        <f t="shared" si="468"/>
        <v/>
      </c>
      <c r="AF1177" s="22" t="str">
        <f t="shared" si="453"/>
        <v>MD_2020g~Cnty0</v>
      </c>
      <c r="AG1177">
        <v>1</v>
      </c>
      <c r="AH1177" s="272">
        <v>366434</v>
      </c>
      <c r="AI1177" s="273">
        <v>215540</v>
      </c>
      <c r="AJ1177" s="274">
        <v>143599</v>
      </c>
      <c r="AK1177" s="339">
        <v>71941</v>
      </c>
      <c r="AL1177" s="340" t="s">
        <v>7984</v>
      </c>
      <c r="AM1177" s="377">
        <f t="shared" si="454"/>
        <v>0.19632730587227168</v>
      </c>
      <c r="AN1177" s="357">
        <f t="shared" si="455"/>
        <v>1</v>
      </c>
      <c r="AP1177" s="23" t="e">
        <f t="shared" si="470"/>
        <v>#N/A</v>
      </c>
      <c r="AQ1177" s="392" t="e">
        <f t="shared" si="449"/>
        <v>#N/A</v>
      </c>
      <c r="AR1177" s="392" t="e">
        <f t="shared" si="450"/>
        <v>#N/A</v>
      </c>
      <c r="AS1177" s="392" t="e">
        <f t="shared" si="450"/>
        <v>#N/A</v>
      </c>
    </row>
    <row r="1178" spans="1:45">
      <c r="A1178" t="str">
        <f t="shared" si="448"/>
        <v>CA_Orang_2020g~municipal water district of orange county director, division 1, short term (vote 1)</v>
      </c>
      <c r="B1178" s="55" t="s">
        <v>3536</v>
      </c>
      <c r="D1178" s="55" t="s">
        <v>4120</v>
      </c>
      <c r="E1178" s="55" t="s">
        <v>4121</v>
      </c>
      <c r="G1178" s="60">
        <v>82669</v>
      </c>
      <c r="H1178"/>
      <c r="J1178">
        <v>168986</v>
      </c>
      <c r="N1178">
        <v>31376</v>
      </c>
      <c r="O1178">
        <f t="shared" si="456"/>
        <v>1</v>
      </c>
      <c r="P1178" s="57">
        <f t="shared" si="457"/>
        <v>1</v>
      </c>
      <c r="Q1178" s="267">
        <f t="shared" si="458"/>
        <v>136430</v>
      </c>
      <c r="R1178" s="23">
        <f t="shared" si="459"/>
        <v>82669</v>
      </c>
      <c r="S1178" s="23">
        <f t="shared" si="460"/>
        <v>27408</v>
      </c>
      <c r="T1178" s="23">
        <f t="shared" si="461"/>
        <v>55261</v>
      </c>
      <c r="U1178" t="str">
        <f t="shared" si="462"/>
        <v>CA_Orang_2020g~municipal water district of orange county director, division 1, short term (vote 1)</v>
      </c>
      <c r="W1178" s="1">
        <f t="shared" si="463"/>
        <v>1</v>
      </c>
      <c r="X1178" s="73">
        <f t="shared" si="451"/>
        <v>30.314067715784457</v>
      </c>
      <c r="Y1178" s="322">
        <f t="shared" si="464"/>
        <v>707.45700000000011</v>
      </c>
      <c r="Z1178" s="43" t="e">
        <f t="shared" si="452"/>
        <v>#N/A</v>
      </c>
      <c r="AA1178" s="52" t="e">
        <f t="shared" si="465"/>
        <v>#N/A</v>
      </c>
      <c r="AB1178" s="8" t="e">
        <f t="shared" si="466"/>
        <v>#N/A</v>
      </c>
      <c r="AC1178" s="8" t="e">
        <f t="shared" si="467"/>
        <v>#N/A</v>
      </c>
      <c r="AD1178" s="8" t="e">
        <f t="shared" si="469"/>
        <v>#N/A</v>
      </c>
      <c r="AE1178" s="8" t="str">
        <f t="shared" si="468"/>
        <v/>
      </c>
      <c r="AF1178" s="22" t="str">
        <f t="shared" si="453"/>
        <v>MD_2020g~Cnty1</v>
      </c>
      <c r="AG1178">
        <v>1</v>
      </c>
      <c r="AH1178" s="272">
        <v>10253</v>
      </c>
      <c r="AI1178" s="273">
        <v>5047</v>
      </c>
      <c r="AJ1178" s="274">
        <v>2950</v>
      </c>
      <c r="AK1178" s="339">
        <v>2097</v>
      </c>
      <c r="AL1178" s="340" t="s">
        <v>8050</v>
      </c>
      <c r="AM1178" s="377">
        <f t="shared" si="454"/>
        <v>0.20452550473032283</v>
      </c>
      <c r="AN1178" s="357">
        <f t="shared" si="455"/>
        <v>1</v>
      </c>
      <c r="AP1178" s="23" t="e">
        <f t="shared" si="470"/>
        <v>#N/A</v>
      </c>
      <c r="AQ1178" s="392" t="e">
        <f t="shared" si="449"/>
        <v>#N/A</v>
      </c>
      <c r="AR1178" s="392" t="e">
        <f t="shared" si="450"/>
        <v>#N/A</v>
      </c>
      <c r="AS1178" s="392" t="e">
        <f t="shared" si="450"/>
        <v>#N/A</v>
      </c>
    </row>
    <row r="1179" spans="1:45">
      <c r="A1179" t="str">
        <f t="shared" si="448"/>
        <v>CA_Orang_2020g~municipal water district of orange county director, division 1, short term (vote 1)</v>
      </c>
      <c r="B1179" s="55" t="s">
        <v>3536</v>
      </c>
      <c r="D1179" s="55" t="s">
        <v>4120</v>
      </c>
      <c r="E1179" s="55" t="s">
        <v>4122</v>
      </c>
      <c r="G1179" s="60">
        <v>27408</v>
      </c>
      <c r="H1179"/>
      <c r="J1179">
        <v>168986</v>
      </c>
      <c r="N1179">
        <v>31376</v>
      </c>
      <c r="O1179">
        <f t="shared" si="456"/>
        <v>2</v>
      </c>
      <c r="P1179" s="57">
        <f t="shared" si="457"/>
        <v>1</v>
      </c>
      <c r="Q1179" s="267">
        <f t="shared" si="458"/>
        <v>53761</v>
      </c>
      <c r="R1179" s="23" t="str">
        <f t="shared" si="459"/>
        <v/>
      </c>
      <c r="S1179" s="23">
        <f t="shared" si="460"/>
        <v>27408</v>
      </c>
      <c r="T1179" s="23" t="str">
        <f t="shared" si="461"/>
        <v/>
      </c>
      <c r="U1179" t="str">
        <f t="shared" si="462"/>
        <v/>
      </c>
      <c r="W1179" s="1">
        <f t="shared" si="463"/>
        <v>2</v>
      </c>
      <c r="X1179" s="73">
        <f t="shared" si="451"/>
        <v>29.73135172413793</v>
      </c>
      <c r="Y1179" s="322">
        <f t="shared" si="464"/>
        <v>25188.329250000003</v>
      </c>
      <c r="Z1179" s="43" t="e">
        <f t="shared" si="452"/>
        <v>#N/A</v>
      </c>
      <c r="AA1179" s="52" t="e">
        <f t="shared" si="465"/>
        <v>#N/A</v>
      </c>
      <c r="AB1179" s="8" t="e">
        <f t="shared" si="466"/>
        <v>#N/A</v>
      </c>
      <c r="AC1179" s="8" t="e">
        <f t="shared" si="467"/>
        <v>#N/A</v>
      </c>
      <c r="AD1179" s="8" t="e">
        <f t="shared" si="469"/>
        <v>#N/A</v>
      </c>
      <c r="AE1179" s="8" t="str">
        <f t="shared" si="468"/>
        <v/>
      </c>
      <c r="AF1179" s="22" t="str">
        <f t="shared" si="453"/>
        <v>MD_2020g~Cnty1</v>
      </c>
      <c r="AG1179">
        <v>4</v>
      </c>
      <c r="AH1179" s="272">
        <v>365048.25</v>
      </c>
      <c r="AI1179" s="273">
        <v>291224</v>
      </c>
      <c r="AJ1179" s="274">
        <v>215099</v>
      </c>
      <c r="AK1179" s="339">
        <v>76125</v>
      </c>
      <c r="AL1179" s="340" t="s">
        <v>8042</v>
      </c>
      <c r="AM1179" s="377">
        <f t="shared" si="454"/>
        <v>0.20853407734457022</v>
      </c>
      <c r="AN1179" s="357">
        <f t="shared" si="455"/>
        <v>1</v>
      </c>
      <c r="AP1179" s="23" t="e">
        <f t="shared" si="470"/>
        <v>#N/A</v>
      </c>
      <c r="AQ1179" s="392" t="e">
        <f t="shared" si="449"/>
        <v>#N/A</v>
      </c>
      <c r="AR1179" s="392" t="e">
        <f t="shared" si="450"/>
        <v>#N/A</v>
      </c>
      <c r="AS1179" s="392" t="e">
        <f t="shared" si="450"/>
        <v>#N/A</v>
      </c>
    </row>
    <row r="1180" spans="1:45">
      <c r="A1180" t="str">
        <f t="shared" si="448"/>
        <v>CA_Orang_2020g~municipal water district of orange county director, division 1, short term (vote 1)</v>
      </c>
      <c r="B1180" s="55" t="s">
        <v>3536</v>
      </c>
      <c r="D1180" s="55" t="s">
        <v>4120</v>
      </c>
      <c r="E1180" s="55" t="s">
        <v>4123</v>
      </c>
      <c r="G1180" s="60">
        <v>26353</v>
      </c>
      <c r="H1180"/>
      <c r="J1180">
        <v>168986</v>
      </c>
      <c r="N1180">
        <v>31376</v>
      </c>
      <c r="O1180">
        <f t="shared" si="456"/>
        <v>3</v>
      </c>
      <c r="P1180" s="57">
        <f t="shared" si="457"/>
        <v>1</v>
      </c>
      <c r="Q1180" s="267">
        <f t="shared" si="458"/>
        <v>26353</v>
      </c>
      <c r="R1180" s="23" t="str">
        <f t="shared" si="459"/>
        <v/>
      </c>
      <c r="S1180" s="23">
        <f t="shared" si="460"/>
        <v>26353</v>
      </c>
      <c r="T1180" s="23" t="str">
        <f t="shared" si="461"/>
        <v/>
      </c>
      <c r="U1180" t="str">
        <f t="shared" si="462"/>
        <v/>
      </c>
      <c r="W1180" s="1">
        <f t="shared" si="463"/>
        <v>1</v>
      </c>
      <c r="X1180" s="73">
        <f t="shared" si="451"/>
        <v>26.205668016194334</v>
      </c>
      <c r="Y1180" s="322">
        <f t="shared" si="464"/>
        <v>936.46800000000007</v>
      </c>
      <c r="Z1180" s="43" t="e">
        <f t="shared" si="452"/>
        <v>#N/A</v>
      </c>
      <c r="AA1180" s="52" t="e">
        <f t="shared" si="465"/>
        <v>#N/A</v>
      </c>
      <c r="AB1180" s="8" t="e">
        <f t="shared" si="466"/>
        <v>#N/A</v>
      </c>
      <c r="AC1180" s="8" t="e">
        <f t="shared" si="467"/>
        <v>#N/A</v>
      </c>
      <c r="AD1180" s="8" t="e">
        <f t="shared" si="469"/>
        <v>#N/A</v>
      </c>
      <c r="AE1180" s="8" t="str">
        <f t="shared" si="468"/>
        <v/>
      </c>
      <c r="AF1180" s="22" t="str">
        <f t="shared" si="453"/>
        <v>MD_2020g~Cnty3</v>
      </c>
      <c r="AG1180">
        <v>1</v>
      </c>
      <c r="AH1180" s="272">
        <v>13572</v>
      </c>
      <c r="AI1180" s="273">
        <v>8079</v>
      </c>
      <c r="AJ1180" s="274">
        <v>4868</v>
      </c>
      <c r="AK1180" s="339">
        <v>3211</v>
      </c>
      <c r="AL1180" s="340" t="s">
        <v>8007</v>
      </c>
      <c r="AM1180" s="377">
        <f t="shared" si="454"/>
        <v>0.23659003831417624</v>
      </c>
      <c r="AN1180" s="357">
        <f t="shared" si="455"/>
        <v>1</v>
      </c>
      <c r="AP1180" s="23" t="e">
        <f t="shared" si="470"/>
        <v>#N/A</v>
      </c>
      <c r="AQ1180" s="392" t="e">
        <f t="shared" si="449"/>
        <v>#N/A</v>
      </c>
      <c r="AR1180" s="392" t="e">
        <f t="shared" si="450"/>
        <v>#N/A</v>
      </c>
      <c r="AS1180" s="392" t="e">
        <f t="shared" si="450"/>
        <v>#N/A</v>
      </c>
    </row>
    <row r="1181" spans="1:45">
      <c r="A1181" t="str">
        <f t="shared" si="448"/>
        <v>CA_Orang_2020g~municipal water district of orange county director, division 3 (vote 1)</v>
      </c>
      <c r="B1181" s="55" t="s">
        <v>3536</v>
      </c>
      <c r="D1181" s="55" t="s">
        <v>4124</v>
      </c>
      <c r="E1181" s="55" t="s">
        <v>4125</v>
      </c>
      <c r="G1181" s="60">
        <v>60918</v>
      </c>
      <c r="H1181"/>
      <c r="J1181">
        <v>157228</v>
      </c>
      <c r="N1181">
        <v>22901</v>
      </c>
      <c r="O1181">
        <f t="shared" si="456"/>
        <v>1</v>
      </c>
      <c r="P1181" s="57">
        <f t="shared" si="457"/>
        <v>1</v>
      </c>
      <c r="Q1181" s="267">
        <f t="shared" si="458"/>
        <v>133328</v>
      </c>
      <c r="R1181" s="23">
        <f t="shared" si="459"/>
        <v>60918</v>
      </c>
      <c r="S1181" s="23">
        <f t="shared" si="460"/>
        <v>37946</v>
      </c>
      <c r="T1181" s="23">
        <f t="shared" si="461"/>
        <v>22972</v>
      </c>
      <c r="U1181" t="str">
        <f t="shared" si="462"/>
        <v>CA_Orang_2020g~municipal water district of orange county director, division 3 (vote 1)</v>
      </c>
      <c r="W1181" s="1">
        <f t="shared" si="463"/>
        <v>1</v>
      </c>
      <c r="X1181" s="73">
        <f t="shared" si="451"/>
        <v>25.515891826192647</v>
      </c>
      <c r="Y1181" s="322">
        <f t="shared" si="464"/>
        <v>934.53600000000006</v>
      </c>
      <c r="Z1181" s="43" t="e">
        <f t="shared" si="452"/>
        <v>#N/A</v>
      </c>
      <c r="AA1181" s="52" t="e">
        <f t="shared" si="465"/>
        <v>#N/A</v>
      </c>
      <c r="AB1181" s="8" t="e">
        <f t="shared" si="466"/>
        <v>#N/A</v>
      </c>
      <c r="AC1181" s="8" t="e">
        <f t="shared" si="467"/>
        <v>#N/A</v>
      </c>
      <c r="AD1181" s="8" t="e">
        <f t="shared" si="469"/>
        <v>#N/A</v>
      </c>
      <c r="AE1181" s="8" t="str">
        <f t="shared" si="468"/>
        <v/>
      </c>
      <c r="AF1181" s="22" t="str">
        <f t="shared" si="453"/>
        <v>MD_2020g~Cnty2</v>
      </c>
      <c r="AG1181">
        <v>1</v>
      </c>
      <c r="AH1181" s="272">
        <v>13544</v>
      </c>
      <c r="AI1181" s="273">
        <v>8374</v>
      </c>
      <c r="AJ1181" s="274">
        <v>5083</v>
      </c>
      <c r="AK1181" s="339">
        <v>3291</v>
      </c>
      <c r="AL1181" s="340" t="s">
        <v>8065</v>
      </c>
      <c r="AM1181" s="377">
        <f t="shared" si="454"/>
        <v>0.24298582398109864</v>
      </c>
      <c r="AN1181" s="357">
        <f t="shared" si="455"/>
        <v>1</v>
      </c>
      <c r="AP1181" s="23" t="e">
        <f t="shared" si="470"/>
        <v>#N/A</v>
      </c>
      <c r="AQ1181" s="392" t="e">
        <f t="shared" si="449"/>
        <v>#N/A</v>
      </c>
      <c r="AR1181" s="392" t="e">
        <f t="shared" si="450"/>
        <v>#N/A</v>
      </c>
      <c r="AS1181" s="392" t="e">
        <f t="shared" si="450"/>
        <v>#N/A</v>
      </c>
    </row>
    <row r="1182" spans="1:45">
      <c r="A1182" t="str">
        <f t="shared" si="448"/>
        <v>CA_Orang_2020g~municipal water district of orange county director, division 3 (vote 1)</v>
      </c>
      <c r="B1182" s="55" t="s">
        <v>3536</v>
      </c>
      <c r="D1182" s="55" t="s">
        <v>4124</v>
      </c>
      <c r="E1182" s="55" t="s">
        <v>4081</v>
      </c>
      <c r="G1182" s="60">
        <v>37946</v>
      </c>
      <c r="H1182"/>
      <c r="J1182">
        <v>157228</v>
      </c>
      <c r="N1182">
        <v>22901</v>
      </c>
      <c r="O1182">
        <f t="shared" si="456"/>
        <v>2</v>
      </c>
      <c r="P1182" s="57">
        <f t="shared" si="457"/>
        <v>1</v>
      </c>
      <c r="Q1182" s="267">
        <f t="shared" si="458"/>
        <v>72410</v>
      </c>
      <c r="R1182" s="23" t="str">
        <f t="shared" si="459"/>
        <v/>
      </c>
      <c r="S1182" s="23">
        <f t="shared" si="460"/>
        <v>37946</v>
      </c>
      <c r="T1182" s="23" t="str">
        <f t="shared" si="461"/>
        <v/>
      </c>
      <c r="U1182" t="str">
        <f t="shared" si="462"/>
        <v/>
      </c>
      <c r="W1182" s="1">
        <f t="shared" si="463"/>
        <v>1</v>
      </c>
      <c r="X1182" s="73">
        <f t="shared" si="451"/>
        <v>24.960093896713616</v>
      </c>
      <c r="Y1182" s="322">
        <f t="shared" si="464"/>
        <v>236.67000000000002</v>
      </c>
      <c r="Z1182" s="43" t="e">
        <f t="shared" si="452"/>
        <v>#N/A</v>
      </c>
      <c r="AA1182" s="52" t="e">
        <f t="shared" si="465"/>
        <v>#N/A</v>
      </c>
      <c r="AB1182" s="8" t="e">
        <f t="shared" si="466"/>
        <v>#N/A</v>
      </c>
      <c r="AC1182" s="8" t="e">
        <f t="shared" si="467"/>
        <v>#N/A</v>
      </c>
      <c r="AD1182" s="8" t="e">
        <f t="shared" si="469"/>
        <v>#N/A</v>
      </c>
      <c r="AE1182" s="8" t="str">
        <f t="shared" si="468"/>
        <v/>
      </c>
      <c r="AF1182" s="22" t="str">
        <f t="shared" si="453"/>
        <v>MD_2020g~Cnty1</v>
      </c>
      <c r="AG1182">
        <v>1</v>
      </c>
      <c r="AH1182" s="8">
        <v>3430</v>
      </c>
      <c r="AI1182" s="273">
        <v>2135</v>
      </c>
      <c r="AJ1182" s="274">
        <v>1283</v>
      </c>
      <c r="AK1182" s="339">
        <v>852</v>
      </c>
      <c r="AL1182" s="23" t="s">
        <v>8026</v>
      </c>
      <c r="AM1182" s="377">
        <f t="shared" si="454"/>
        <v>0.24839650145772596</v>
      </c>
      <c r="AN1182" s="357">
        <f t="shared" si="455"/>
        <v>1</v>
      </c>
      <c r="AP1182" s="23" t="e">
        <f t="shared" si="470"/>
        <v>#N/A</v>
      </c>
      <c r="AQ1182" s="392" t="e">
        <f t="shared" si="449"/>
        <v>#N/A</v>
      </c>
      <c r="AR1182" s="392" t="e">
        <f t="shared" si="450"/>
        <v>#N/A</v>
      </c>
      <c r="AS1182" s="392" t="e">
        <f t="shared" si="450"/>
        <v>#N/A</v>
      </c>
    </row>
    <row r="1183" spans="1:45">
      <c r="A1183" t="str">
        <f t="shared" si="448"/>
        <v>CA_Orang_2020g~municipal water district of orange county director, division 3 (vote 1)</v>
      </c>
      <c r="B1183" s="55" t="s">
        <v>3536</v>
      </c>
      <c r="D1183" s="55" t="s">
        <v>4124</v>
      </c>
      <c r="E1183" s="55" t="s">
        <v>4127</v>
      </c>
      <c r="G1183" s="60">
        <v>17557</v>
      </c>
      <c r="H1183"/>
      <c r="J1183">
        <v>157228</v>
      </c>
      <c r="N1183">
        <v>22901</v>
      </c>
      <c r="O1183">
        <f t="shared" si="456"/>
        <v>3</v>
      </c>
      <c r="P1183" s="57">
        <f t="shared" si="457"/>
        <v>1</v>
      </c>
      <c r="Q1183" s="267">
        <f t="shared" si="458"/>
        <v>34464</v>
      </c>
      <c r="R1183" s="23" t="str">
        <f t="shared" si="459"/>
        <v/>
      </c>
      <c r="S1183" s="23">
        <f t="shared" si="460"/>
        <v>17557</v>
      </c>
      <c r="T1183" s="23" t="str">
        <f t="shared" si="461"/>
        <v/>
      </c>
      <c r="U1183" t="str">
        <f t="shared" si="462"/>
        <v/>
      </c>
      <c r="W1183" s="1">
        <f t="shared" si="463"/>
        <v>1</v>
      </c>
      <c r="X1183" s="73">
        <f t="shared" si="451"/>
        <v>24.791744340878825</v>
      </c>
      <c r="Y1183" s="322">
        <f t="shared" si="464"/>
        <v>207.20700000000002</v>
      </c>
      <c r="Z1183" s="43" t="e">
        <f t="shared" si="452"/>
        <v>#N/A</v>
      </c>
      <c r="AA1183" s="52" t="e">
        <f t="shared" si="465"/>
        <v>#N/A</v>
      </c>
      <c r="AB1183" s="8" t="e">
        <f t="shared" si="466"/>
        <v>#N/A</v>
      </c>
      <c r="AC1183" s="8" t="e">
        <f t="shared" si="467"/>
        <v>#N/A</v>
      </c>
      <c r="AD1183" s="8" t="e">
        <f t="shared" si="469"/>
        <v>#N/A</v>
      </c>
      <c r="AE1183" s="8" t="str">
        <f t="shared" si="468"/>
        <v/>
      </c>
      <c r="AF1183" s="22" t="str">
        <f t="shared" si="453"/>
        <v>MD_2020g~Cnty2</v>
      </c>
      <c r="AG1183">
        <v>1</v>
      </c>
      <c r="AH1183" s="272">
        <v>3003</v>
      </c>
      <c r="AI1183" s="273">
        <v>1863</v>
      </c>
      <c r="AJ1183" s="274">
        <v>1112</v>
      </c>
      <c r="AK1183" s="339">
        <v>751</v>
      </c>
      <c r="AL1183" s="340" t="s">
        <v>8068</v>
      </c>
      <c r="AM1183" s="377">
        <f t="shared" si="454"/>
        <v>0.25008325008325011</v>
      </c>
      <c r="AN1183" s="357">
        <f t="shared" si="455"/>
        <v>1</v>
      </c>
      <c r="AP1183" s="23" t="e">
        <f t="shared" si="470"/>
        <v>#N/A</v>
      </c>
      <c r="AQ1183" s="392" t="e">
        <f t="shared" si="449"/>
        <v>#N/A</v>
      </c>
      <c r="AR1183" s="392" t="e">
        <f t="shared" si="450"/>
        <v>#N/A</v>
      </c>
      <c r="AS1183" s="392" t="e">
        <f t="shared" si="450"/>
        <v>#N/A</v>
      </c>
    </row>
    <row r="1184" spans="1:45">
      <c r="A1184" t="str">
        <f t="shared" si="448"/>
        <v>CA_Orang_2020g~municipal water district of orange county director, division 3 (vote 1)</v>
      </c>
      <c r="B1184" s="55" t="s">
        <v>3536</v>
      </c>
      <c r="D1184" s="55" t="s">
        <v>4124</v>
      </c>
      <c r="E1184" s="55" t="s">
        <v>4126</v>
      </c>
      <c r="G1184" s="60">
        <v>16907</v>
      </c>
      <c r="H1184"/>
      <c r="J1184">
        <v>157228</v>
      </c>
      <c r="N1184">
        <v>22901</v>
      </c>
      <c r="O1184">
        <f t="shared" si="456"/>
        <v>4</v>
      </c>
      <c r="P1184" s="57">
        <f t="shared" si="457"/>
        <v>1</v>
      </c>
      <c r="Q1184" s="267">
        <f t="shared" si="458"/>
        <v>16907</v>
      </c>
      <c r="R1184" s="23" t="str">
        <f t="shared" si="459"/>
        <v/>
      </c>
      <c r="S1184" s="23">
        <f t="shared" si="460"/>
        <v>16907</v>
      </c>
      <c r="T1184" s="23" t="str">
        <f t="shared" si="461"/>
        <v/>
      </c>
      <c r="U1184" t="str">
        <f t="shared" si="462"/>
        <v/>
      </c>
      <c r="W1184" s="1">
        <f t="shared" si="463"/>
        <v>1</v>
      </c>
      <c r="X1184" s="73">
        <f t="shared" si="451"/>
        <v>23.552585567010311</v>
      </c>
      <c r="Y1184" s="322">
        <f t="shared" si="464"/>
        <v>6356.3490000000002</v>
      </c>
      <c r="Z1184" s="43" t="e">
        <f t="shared" si="452"/>
        <v>#N/A</v>
      </c>
      <c r="AA1184" s="52" t="e">
        <f t="shared" si="465"/>
        <v>#N/A</v>
      </c>
      <c r="AB1184" s="8" t="e">
        <f t="shared" si="466"/>
        <v>#N/A</v>
      </c>
      <c r="AC1184" s="8" t="e">
        <f t="shared" si="467"/>
        <v>#N/A</v>
      </c>
      <c r="AD1184" s="8" t="e">
        <f t="shared" si="469"/>
        <v>#N/A</v>
      </c>
      <c r="AE1184" s="8" t="str">
        <f t="shared" si="468"/>
        <v/>
      </c>
      <c r="AF1184" s="22" t="str">
        <f t="shared" ref="AF1184:AF1215" si="471">LEFT(AL1184,14)</f>
        <v>MD_2020g~Cnty7</v>
      </c>
      <c r="AG1184">
        <v>1</v>
      </c>
      <c r="AH1184" s="272">
        <v>92121</v>
      </c>
      <c r="AI1184" s="273">
        <v>58088</v>
      </c>
      <c r="AJ1184" s="274">
        <v>33838</v>
      </c>
      <c r="AK1184" s="339">
        <v>24250</v>
      </c>
      <c r="AL1184" s="340" t="s">
        <v>8019</v>
      </c>
      <c r="AM1184" s="377">
        <f t="shared" ref="AM1184:AM1215" si="472">AK1184/AH1184</f>
        <v>0.26324073772538292</v>
      </c>
      <c r="AN1184" s="357">
        <f t="shared" ref="AN1184:AN1215" si="473">IF(X1184&lt;=0.01*AH1184,1,"")</f>
        <v>1</v>
      </c>
      <c r="AP1184" s="23" t="e">
        <f t="shared" si="470"/>
        <v>#N/A</v>
      </c>
      <c r="AQ1184" s="392" t="e">
        <f t="shared" si="449"/>
        <v>#N/A</v>
      </c>
      <c r="AR1184" s="392" t="e">
        <f t="shared" si="450"/>
        <v>#N/A</v>
      </c>
      <c r="AS1184" s="392" t="e">
        <f t="shared" si="450"/>
        <v>#N/A</v>
      </c>
    </row>
    <row r="1185" spans="1:45">
      <c r="A1185" t="str">
        <f t="shared" si="448"/>
        <v>CA_Orang_2020g~municipal water district of orange county director, division 4 (vote 1)</v>
      </c>
      <c r="B1185" s="55" t="s">
        <v>3536</v>
      </c>
      <c r="D1185" s="55" t="s">
        <v>4128</v>
      </c>
      <c r="E1185" s="55" t="s">
        <v>4129</v>
      </c>
      <c r="G1185" s="60">
        <v>59829</v>
      </c>
      <c r="H1185"/>
      <c r="J1185">
        <v>189445</v>
      </c>
      <c r="N1185">
        <v>40615</v>
      </c>
      <c r="O1185">
        <f t="shared" si="456"/>
        <v>1</v>
      </c>
      <c r="P1185" s="57">
        <f t="shared" si="457"/>
        <v>1</v>
      </c>
      <c r="Q1185" s="267">
        <f t="shared" si="458"/>
        <v>147306</v>
      </c>
      <c r="R1185" s="23">
        <f t="shared" si="459"/>
        <v>59829</v>
      </c>
      <c r="S1185" s="23">
        <f t="shared" si="460"/>
        <v>46619</v>
      </c>
      <c r="T1185" s="23">
        <f t="shared" si="461"/>
        <v>13210</v>
      </c>
      <c r="U1185" t="str">
        <f t="shared" si="462"/>
        <v>CA_Orang_2020g~municipal water district of orange county director, division 4 (vote 1)</v>
      </c>
      <c r="W1185" s="1">
        <f t="shared" si="463"/>
        <v>1</v>
      </c>
      <c r="X1185" s="73">
        <f t="shared" si="451"/>
        <v>23.22565877029545</v>
      </c>
      <c r="Y1185" s="322">
        <f t="shared" si="464"/>
        <v>2913.3180000000002</v>
      </c>
      <c r="Z1185" s="43" t="e">
        <f t="shared" si="452"/>
        <v>#N/A</v>
      </c>
      <c r="AA1185" s="52" t="e">
        <f t="shared" si="465"/>
        <v>#N/A</v>
      </c>
      <c r="AB1185" s="8" t="e">
        <f t="shared" si="466"/>
        <v>#N/A</v>
      </c>
      <c r="AC1185" s="8" t="e">
        <f t="shared" si="467"/>
        <v>#N/A</v>
      </c>
      <c r="AD1185" s="8" t="e">
        <f t="shared" si="469"/>
        <v>#N/A</v>
      </c>
      <c r="AE1185" s="8" t="str">
        <f t="shared" si="468"/>
        <v/>
      </c>
      <c r="AF1185" s="22" t="str">
        <f t="shared" si="471"/>
        <v>MD_2020g~Cnty1</v>
      </c>
      <c r="AG1185">
        <v>1</v>
      </c>
      <c r="AH1185" s="272">
        <v>42222</v>
      </c>
      <c r="AI1185" s="273">
        <v>26670</v>
      </c>
      <c r="AJ1185" s="274">
        <v>15399</v>
      </c>
      <c r="AK1185" s="339">
        <v>11271</v>
      </c>
      <c r="AL1185" s="340" t="s">
        <v>8046</v>
      </c>
      <c r="AM1185" s="377">
        <f t="shared" si="472"/>
        <v>0.26694614182179904</v>
      </c>
      <c r="AN1185" s="357">
        <f t="shared" si="473"/>
        <v>1</v>
      </c>
      <c r="AP1185" s="23" t="e">
        <f t="shared" si="470"/>
        <v>#N/A</v>
      </c>
      <c r="AQ1185" s="392" t="e">
        <f t="shared" si="449"/>
        <v>#N/A</v>
      </c>
      <c r="AR1185" s="392" t="e">
        <f t="shared" si="450"/>
        <v>#N/A</v>
      </c>
      <c r="AS1185" s="392" t="e">
        <f t="shared" si="450"/>
        <v>#N/A</v>
      </c>
    </row>
    <row r="1186" spans="1:45">
      <c r="A1186" t="str">
        <f t="shared" si="448"/>
        <v>CA_Orang_2020g~municipal water district of orange county director, division 4 (vote 1)</v>
      </c>
      <c r="B1186" s="55" t="s">
        <v>3536</v>
      </c>
      <c r="D1186" s="55" t="s">
        <v>4128</v>
      </c>
      <c r="E1186" s="55" t="s">
        <v>4132</v>
      </c>
      <c r="G1186" s="60">
        <v>46619</v>
      </c>
      <c r="H1186"/>
      <c r="J1186">
        <v>189445</v>
      </c>
      <c r="N1186">
        <v>40615</v>
      </c>
      <c r="O1186">
        <f t="shared" si="456"/>
        <v>2</v>
      </c>
      <c r="P1186" s="57">
        <f t="shared" si="457"/>
        <v>1</v>
      </c>
      <c r="Q1186" s="267">
        <f t="shared" si="458"/>
        <v>87477</v>
      </c>
      <c r="R1186" s="23" t="str">
        <f t="shared" si="459"/>
        <v/>
      </c>
      <c r="S1186" s="23">
        <f t="shared" si="460"/>
        <v>46619</v>
      </c>
      <c r="T1186" s="23" t="str">
        <f t="shared" si="461"/>
        <v/>
      </c>
      <c r="U1186" t="str">
        <f t="shared" si="462"/>
        <v/>
      </c>
      <c r="W1186" s="1">
        <f t="shared" si="463"/>
        <v>1</v>
      </c>
      <c r="X1186" s="73">
        <f t="shared" si="451"/>
        <v>22.913073703094636</v>
      </c>
      <c r="Y1186" s="322">
        <f t="shared" si="464"/>
        <v>27291.156000000003</v>
      </c>
      <c r="Z1186" s="43" t="e">
        <f t="shared" si="452"/>
        <v>#N/A</v>
      </c>
      <c r="AA1186" s="52" t="e">
        <f t="shared" si="465"/>
        <v>#N/A</v>
      </c>
      <c r="AB1186" s="8" t="e">
        <f t="shared" si="466"/>
        <v>#N/A</v>
      </c>
      <c r="AC1186" s="8" t="e">
        <f t="shared" si="467"/>
        <v>#N/A</v>
      </c>
      <c r="AD1186" s="8" t="e">
        <f t="shared" si="469"/>
        <v>#N/A</v>
      </c>
      <c r="AE1186" s="8" t="str">
        <f t="shared" si="468"/>
        <v/>
      </c>
      <c r="AF1186" s="22" t="str">
        <f t="shared" si="471"/>
        <v>MD_2020g~Cnty0</v>
      </c>
      <c r="AG1186">
        <v>1</v>
      </c>
      <c r="AH1186" s="272">
        <v>395524</v>
      </c>
      <c r="AI1186" s="273">
        <v>250901</v>
      </c>
      <c r="AJ1186" s="274">
        <v>143877</v>
      </c>
      <c r="AK1186" s="339">
        <v>107024</v>
      </c>
      <c r="AL1186" s="340" t="s">
        <v>7979</v>
      </c>
      <c r="AM1186" s="377">
        <f t="shared" si="472"/>
        <v>0.27058787835883535</v>
      </c>
      <c r="AN1186" s="357">
        <f t="shared" si="473"/>
        <v>1</v>
      </c>
      <c r="AP1186" s="23" t="e">
        <f t="shared" si="470"/>
        <v>#N/A</v>
      </c>
      <c r="AQ1186" s="392" t="e">
        <f t="shared" si="449"/>
        <v>#N/A</v>
      </c>
      <c r="AR1186" s="392" t="e">
        <f t="shared" si="450"/>
        <v>#N/A</v>
      </c>
      <c r="AS1186" s="392" t="e">
        <f t="shared" si="450"/>
        <v>#N/A</v>
      </c>
    </row>
    <row r="1187" spans="1:45">
      <c r="A1187" t="str">
        <f t="shared" si="448"/>
        <v>CA_Orang_2020g~municipal water district of orange county director, division 4 (vote 1)</v>
      </c>
      <c r="B1187" s="55" t="s">
        <v>3536</v>
      </c>
      <c r="D1187" s="55" t="s">
        <v>4128</v>
      </c>
      <c r="E1187" s="55" t="s">
        <v>4133</v>
      </c>
      <c r="G1187" s="60">
        <v>31104</v>
      </c>
      <c r="H1187"/>
      <c r="J1187">
        <v>189445</v>
      </c>
      <c r="N1187">
        <v>40615</v>
      </c>
      <c r="O1187">
        <f t="shared" si="456"/>
        <v>3</v>
      </c>
      <c r="P1187" s="57">
        <f t="shared" si="457"/>
        <v>1</v>
      </c>
      <c r="Q1187" s="267">
        <f t="shared" si="458"/>
        <v>40858</v>
      </c>
      <c r="R1187" s="23" t="str">
        <f t="shared" si="459"/>
        <v/>
      </c>
      <c r="S1187" s="23">
        <f t="shared" si="460"/>
        <v>31104</v>
      </c>
      <c r="T1187" s="23" t="str">
        <f t="shared" si="461"/>
        <v/>
      </c>
      <c r="U1187" t="str">
        <f t="shared" si="462"/>
        <v/>
      </c>
      <c r="W1187" s="1">
        <f t="shared" si="463"/>
        <v>1</v>
      </c>
      <c r="X1187" s="73">
        <f t="shared" si="451"/>
        <v>22.826318335752298</v>
      </c>
      <c r="Y1187" s="322">
        <f t="shared" si="464"/>
        <v>3150.5400000000004</v>
      </c>
      <c r="Z1187" s="43" t="e">
        <f t="shared" si="452"/>
        <v>#N/A</v>
      </c>
      <c r="AA1187" s="52" t="e">
        <f t="shared" si="465"/>
        <v>#N/A</v>
      </c>
      <c r="AB1187" s="8" t="e">
        <f t="shared" si="466"/>
        <v>#N/A</v>
      </c>
      <c r="AC1187" s="8" t="e">
        <f t="shared" si="467"/>
        <v>#N/A</v>
      </c>
      <c r="AD1187" s="8" t="e">
        <f t="shared" si="469"/>
        <v>#N/A</v>
      </c>
      <c r="AE1187" s="8" t="str">
        <f t="shared" si="468"/>
        <v/>
      </c>
      <c r="AF1187" s="22" t="str">
        <f t="shared" si="471"/>
        <v>MD_2020g~Cnty8</v>
      </c>
      <c r="AG1187">
        <v>1</v>
      </c>
      <c r="AH1187" s="272">
        <v>45660</v>
      </c>
      <c r="AI1187" s="273">
        <v>28966</v>
      </c>
      <c r="AJ1187" s="274">
        <v>16564</v>
      </c>
      <c r="AK1187" s="339">
        <v>12402</v>
      </c>
      <c r="AL1187" s="344" t="s">
        <v>8024</v>
      </c>
      <c r="AM1187" s="377">
        <f t="shared" si="472"/>
        <v>0.2716162943495401</v>
      </c>
      <c r="AN1187" s="357">
        <f t="shared" si="473"/>
        <v>1</v>
      </c>
      <c r="AP1187" s="23" t="e">
        <f t="shared" si="470"/>
        <v>#N/A</v>
      </c>
      <c r="AQ1187" s="392" t="e">
        <f t="shared" si="449"/>
        <v>#N/A</v>
      </c>
      <c r="AR1187" s="392" t="e">
        <f t="shared" si="450"/>
        <v>#N/A</v>
      </c>
      <c r="AS1187" s="392" t="e">
        <f t="shared" si="450"/>
        <v>#N/A</v>
      </c>
    </row>
    <row r="1188" spans="1:45">
      <c r="A1188" t="str">
        <f t="shared" si="448"/>
        <v>CA_Orang_2020g~municipal water district of orange county director, division 4 (vote 1)</v>
      </c>
      <c r="B1188" s="55" t="s">
        <v>3536</v>
      </c>
      <c r="D1188" s="55" t="s">
        <v>4128</v>
      </c>
      <c r="E1188" s="55" t="s">
        <v>4130</v>
      </c>
      <c r="G1188" s="60">
        <v>6978</v>
      </c>
      <c r="H1188"/>
      <c r="J1188">
        <v>189445</v>
      </c>
      <c r="N1188">
        <v>40615</v>
      </c>
      <c r="O1188">
        <f t="shared" si="456"/>
        <v>4</v>
      </c>
      <c r="P1188" s="57">
        <f t="shared" si="457"/>
        <v>1</v>
      </c>
      <c r="Q1188" s="267">
        <f t="shared" si="458"/>
        <v>9754</v>
      </c>
      <c r="R1188" s="23" t="str">
        <f t="shared" si="459"/>
        <v/>
      </c>
      <c r="S1188" s="23">
        <f t="shared" si="460"/>
        <v>6978</v>
      </c>
      <c r="T1188" s="23" t="str">
        <f t="shared" si="461"/>
        <v/>
      </c>
      <c r="U1188" t="str">
        <f t="shared" si="462"/>
        <v/>
      </c>
      <c r="W1188" s="1">
        <f t="shared" si="463"/>
        <v>1</v>
      </c>
      <c r="X1188" s="73">
        <f t="shared" si="451"/>
        <v>22.481806775407779</v>
      </c>
      <c r="Y1188" s="322">
        <f t="shared" si="464"/>
        <v>199.41000000000003</v>
      </c>
      <c r="Z1188" s="43" t="e">
        <f t="shared" si="452"/>
        <v>#N/A</v>
      </c>
      <c r="AA1188" s="52" t="e">
        <f t="shared" si="465"/>
        <v>#N/A</v>
      </c>
      <c r="AB1188" s="8" t="e">
        <f t="shared" si="466"/>
        <v>#N/A</v>
      </c>
      <c r="AC1188" s="8" t="e">
        <f t="shared" si="467"/>
        <v>#N/A</v>
      </c>
      <c r="AD1188" s="8" t="e">
        <f t="shared" si="469"/>
        <v>#N/A</v>
      </c>
      <c r="AE1188" s="8" t="str">
        <f t="shared" si="468"/>
        <v/>
      </c>
      <c r="AF1188" s="22" t="str">
        <f t="shared" si="471"/>
        <v>MD_2020g~Cnty1</v>
      </c>
      <c r="AG1188">
        <v>1</v>
      </c>
      <c r="AH1188" s="8">
        <v>2890</v>
      </c>
      <c r="AI1188" s="273">
        <v>1836</v>
      </c>
      <c r="AJ1188" s="274">
        <v>1039</v>
      </c>
      <c r="AK1188" s="339">
        <v>797</v>
      </c>
      <c r="AL1188" s="23" t="s">
        <v>8028</v>
      </c>
      <c r="AM1188" s="377">
        <f t="shared" si="472"/>
        <v>0.27577854671280277</v>
      </c>
      <c r="AN1188" s="357">
        <f t="shared" si="473"/>
        <v>1</v>
      </c>
      <c r="AP1188" s="23" t="e">
        <f t="shared" si="470"/>
        <v>#N/A</v>
      </c>
      <c r="AQ1188" s="392" t="e">
        <f t="shared" si="449"/>
        <v>#N/A</v>
      </c>
      <c r="AR1188" s="392" t="e">
        <f t="shared" si="450"/>
        <v>#N/A</v>
      </c>
      <c r="AS1188" s="392" t="e">
        <f t="shared" si="450"/>
        <v>#N/A</v>
      </c>
    </row>
    <row r="1189" spans="1:45">
      <c r="A1189" t="str">
        <f t="shared" si="448"/>
        <v>CA_Orang_2020g~municipal water district of orange county director, division 4 (vote 1)</v>
      </c>
      <c r="B1189" s="55" t="s">
        <v>3536</v>
      </c>
      <c r="D1189" s="55" t="s">
        <v>4128</v>
      </c>
      <c r="E1189" s="55" t="s">
        <v>4131</v>
      </c>
      <c r="G1189" s="60">
        <v>2776</v>
      </c>
      <c r="H1189"/>
      <c r="J1189">
        <v>189445</v>
      </c>
      <c r="N1189">
        <v>40615</v>
      </c>
      <c r="O1189">
        <f t="shared" si="456"/>
        <v>5</v>
      </c>
      <c r="P1189" s="57">
        <f t="shared" si="457"/>
        <v>1</v>
      </c>
      <c r="Q1189" s="267">
        <f t="shared" si="458"/>
        <v>2776</v>
      </c>
      <c r="R1189" s="23" t="str">
        <f t="shared" si="459"/>
        <v/>
      </c>
      <c r="S1189" s="23">
        <f t="shared" si="460"/>
        <v>2776</v>
      </c>
      <c r="T1189" s="23" t="str">
        <f t="shared" si="461"/>
        <v/>
      </c>
      <c r="U1189" t="str">
        <f t="shared" si="462"/>
        <v/>
      </c>
      <c r="W1189" s="1">
        <f t="shared" si="463"/>
        <v>2</v>
      </c>
      <c r="X1189" s="73">
        <f t="shared" si="451"/>
        <v>21.968978224455615</v>
      </c>
      <c r="Y1189" s="322">
        <f t="shared" si="464"/>
        <v>2189.4390000000003</v>
      </c>
      <c r="Z1189" s="43" t="e">
        <f t="shared" si="452"/>
        <v>#N/A</v>
      </c>
      <c r="AA1189" s="52" t="e">
        <f t="shared" si="465"/>
        <v>#N/A</v>
      </c>
      <c r="AB1189" s="8" t="e">
        <f t="shared" si="466"/>
        <v>#N/A</v>
      </c>
      <c r="AC1189" s="8" t="e">
        <f t="shared" si="467"/>
        <v>#N/A</v>
      </c>
      <c r="AD1189" s="8" t="e">
        <f t="shared" si="469"/>
        <v>#N/A</v>
      </c>
      <c r="AE1189" s="8" t="str">
        <f t="shared" si="468"/>
        <v/>
      </c>
      <c r="AF1189" s="22" t="str">
        <f t="shared" si="471"/>
        <v>MD_2020g~Cnty1</v>
      </c>
      <c r="AG1189">
        <v>1</v>
      </c>
      <c r="AH1189" s="272">
        <v>31731</v>
      </c>
      <c r="AI1189" s="273">
        <v>20262</v>
      </c>
      <c r="AJ1189" s="274">
        <v>11307</v>
      </c>
      <c r="AK1189" s="339">
        <v>8955</v>
      </c>
      <c r="AL1189" s="340" t="s">
        <v>8032</v>
      </c>
      <c r="AM1189" s="377">
        <f t="shared" si="472"/>
        <v>0.28221612933724116</v>
      </c>
      <c r="AN1189" s="357">
        <f t="shared" si="473"/>
        <v>1</v>
      </c>
      <c r="AP1189" s="23" t="e">
        <f t="shared" si="470"/>
        <v>#N/A</v>
      </c>
      <c r="AQ1189" s="392" t="e">
        <f t="shared" si="449"/>
        <v>#N/A</v>
      </c>
      <c r="AR1189" s="392" t="e">
        <f t="shared" si="450"/>
        <v>#N/A</v>
      </c>
      <c r="AS1189" s="392" t="e">
        <f t="shared" si="450"/>
        <v>#N/A</v>
      </c>
    </row>
    <row r="1190" spans="1:45">
      <c r="A1190" t="str">
        <f t="shared" ref="A1190:A1253" si="474">CONCATENATE(B1190,"~",LOWER(D1190),IF(RIGHT(D1190,1)=")",""," (vote 1)"))</f>
        <v>CA_Orang_2020g~municipal water district of orange county director, division 7 (vote 1)</v>
      </c>
      <c r="B1190" s="55" t="s">
        <v>3536</v>
      </c>
      <c r="D1190" s="55" t="s">
        <v>4134</v>
      </c>
      <c r="E1190" s="55" t="s">
        <v>4135</v>
      </c>
      <c r="G1190" s="60">
        <v>80109</v>
      </c>
      <c r="H1190"/>
      <c r="J1190">
        <v>191499</v>
      </c>
      <c r="N1190">
        <v>50940</v>
      </c>
      <c r="O1190">
        <f t="shared" si="456"/>
        <v>1</v>
      </c>
      <c r="P1190" s="57">
        <f t="shared" si="457"/>
        <v>1</v>
      </c>
      <c r="Q1190" s="267">
        <f t="shared" si="458"/>
        <v>139554</v>
      </c>
      <c r="R1190" s="23">
        <f t="shared" si="459"/>
        <v>80109</v>
      </c>
      <c r="S1190" s="23">
        <f t="shared" si="460"/>
        <v>59445</v>
      </c>
      <c r="T1190" s="23">
        <f t="shared" si="461"/>
        <v>20664</v>
      </c>
      <c r="U1190" t="str">
        <f t="shared" si="462"/>
        <v>CA_Orang_2020g~municipal water district of orange county director, division 7 (vote 1)</v>
      </c>
      <c r="W1190" s="1">
        <f t="shared" si="463"/>
        <v>3</v>
      </c>
      <c r="X1190" s="73">
        <f t="shared" si="451"/>
        <v>20.765004739336494</v>
      </c>
      <c r="Y1190" s="322">
        <f t="shared" si="464"/>
        <v>2438.0460000000003</v>
      </c>
      <c r="Z1190" s="43" t="e">
        <f t="shared" si="452"/>
        <v>#N/A</v>
      </c>
      <c r="AA1190" s="52" t="e">
        <f t="shared" si="465"/>
        <v>#N/A</v>
      </c>
      <c r="AB1190" s="8" t="e">
        <f t="shared" si="466"/>
        <v>#N/A</v>
      </c>
      <c r="AC1190" s="8" t="e">
        <f t="shared" si="467"/>
        <v>#N/A</v>
      </c>
      <c r="AD1190" s="8" t="e">
        <f t="shared" si="469"/>
        <v>#N/A</v>
      </c>
      <c r="AE1190" s="8" t="str">
        <f t="shared" si="468"/>
        <v/>
      </c>
      <c r="AF1190" s="22" t="str">
        <f t="shared" si="471"/>
        <v>MD_2020g~Cnty1</v>
      </c>
      <c r="AG1190">
        <v>1</v>
      </c>
      <c r="AH1190" s="272">
        <v>35334</v>
      </c>
      <c r="AI1190" s="273">
        <v>22871</v>
      </c>
      <c r="AJ1190" s="274">
        <v>12321</v>
      </c>
      <c r="AK1190" s="339">
        <v>10550</v>
      </c>
      <c r="AL1190" s="340" t="s">
        <v>8036</v>
      </c>
      <c r="AM1190" s="377">
        <f t="shared" si="472"/>
        <v>0.29857927208920587</v>
      </c>
      <c r="AN1190" s="357">
        <f t="shared" si="473"/>
        <v>1</v>
      </c>
      <c r="AP1190" s="23" t="e">
        <f t="shared" si="470"/>
        <v>#N/A</v>
      </c>
      <c r="AQ1190" s="392" t="e">
        <f t="shared" si="449"/>
        <v>#N/A</v>
      </c>
      <c r="AR1190" s="392" t="e">
        <f t="shared" si="450"/>
        <v>#N/A</v>
      </c>
      <c r="AS1190" s="392" t="e">
        <f t="shared" si="450"/>
        <v>#N/A</v>
      </c>
    </row>
    <row r="1191" spans="1:45">
      <c r="A1191" t="str">
        <f t="shared" si="474"/>
        <v>CA_Orang_2020g~municipal water district of orange county director, division 7 (vote 1)</v>
      </c>
      <c r="B1191" s="55" t="s">
        <v>3536</v>
      </c>
      <c r="D1191" s="55" t="s">
        <v>4134</v>
      </c>
      <c r="E1191" s="55" t="s">
        <v>4136</v>
      </c>
      <c r="G1191" s="60">
        <v>59445</v>
      </c>
      <c r="H1191"/>
      <c r="J1191">
        <v>191499</v>
      </c>
      <c r="N1191">
        <v>50940</v>
      </c>
      <c r="O1191">
        <f t="shared" si="456"/>
        <v>2</v>
      </c>
      <c r="P1191" s="57">
        <f t="shared" si="457"/>
        <v>1</v>
      </c>
      <c r="Q1191" s="267">
        <f t="shared" si="458"/>
        <v>59445</v>
      </c>
      <c r="R1191" s="23" t="str">
        <f t="shared" si="459"/>
        <v/>
      </c>
      <c r="S1191" s="23">
        <f t="shared" si="460"/>
        <v>59445</v>
      </c>
      <c r="T1191" s="23" t="str">
        <f t="shared" si="461"/>
        <v/>
      </c>
      <c r="U1191" t="str">
        <f t="shared" si="462"/>
        <v/>
      </c>
      <c r="W1191" s="1">
        <f t="shared" si="463"/>
        <v>4</v>
      </c>
      <c r="X1191" s="73">
        <f t="shared" si="451"/>
        <v>18.723154305200339</v>
      </c>
      <c r="Y1191" s="322">
        <f t="shared" si="464"/>
        <v>2444.1870000000004</v>
      </c>
      <c r="Z1191" s="43" t="e">
        <f t="shared" si="452"/>
        <v>#N/A</v>
      </c>
      <c r="AA1191" s="52" t="e">
        <f t="shared" si="465"/>
        <v>#N/A</v>
      </c>
      <c r="AB1191" s="8" t="e">
        <f t="shared" si="466"/>
        <v>#N/A</v>
      </c>
      <c r="AC1191" s="8" t="e">
        <f t="shared" si="467"/>
        <v>#N/A</v>
      </c>
      <c r="AD1191" s="8" t="e">
        <f t="shared" si="469"/>
        <v>#N/A</v>
      </c>
      <c r="AE1191" s="8" t="str">
        <f t="shared" si="468"/>
        <v/>
      </c>
      <c r="AF1191" s="22" t="str">
        <f t="shared" si="471"/>
        <v>MD_2020g~Cnty1</v>
      </c>
      <c r="AG1191">
        <v>1</v>
      </c>
      <c r="AH1191" s="272">
        <v>35423</v>
      </c>
      <c r="AI1191" s="273">
        <v>23514</v>
      </c>
      <c r="AJ1191" s="274">
        <v>11784</v>
      </c>
      <c r="AK1191" s="339">
        <v>11730</v>
      </c>
      <c r="AL1191" s="340" t="s">
        <v>8044</v>
      </c>
      <c r="AM1191" s="377">
        <f t="shared" si="472"/>
        <v>0.33114078423623072</v>
      </c>
      <c r="AN1191" s="357">
        <f t="shared" si="473"/>
        <v>1</v>
      </c>
      <c r="AP1191" s="23" t="e">
        <f t="shared" si="470"/>
        <v>#N/A</v>
      </c>
      <c r="AQ1191" s="392" t="e">
        <f t="shared" si="449"/>
        <v>#N/A</v>
      </c>
      <c r="AR1191" s="392" t="e">
        <f t="shared" si="450"/>
        <v>#N/A</v>
      </c>
      <c r="AS1191" s="392" t="e">
        <f t="shared" si="450"/>
        <v>#N/A</v>
      </c>
    </row>
    <row r="1192" spans="1:45">
      <c r="A1192" t="str">
        <f t="shared" si="474"/>
        <v>CA_Orang_2020g~newport-mesa unified school district governing board member, trustee area 1 (vote 1)</v>
      </c>
      <c r="B1192" s="55" t="s">
        <v>3536</v>
      </c>
      <c r="D1192" s="55" t="s">
        <v>3641</v>
      </c>
      <c r="E1192" s="55" t="s">
        <v>3643</v>
      </c>
      <c r="G1192" s="60">
        <v>6689</v>
      </c>
      <c r="H1192"/>
      <c r="J1192">
        <v>14618</v>
      </c>
      <c r="N1192">
        <v>1898</v>
      </c>
      <c r="O1192">
        <f t="shared" si="456"/>
        <v>1</v>
      </c>
      <c r="P1192" s="57">
        <f t="shared" si="457"/>
        <v>1</v>
      </c>
      <c r="Q1192" s="267">
        <f t="shared" si="458"/>
        <v>12665</v>
      </c>
      <c r="R1192" s="23">
        <f t="shared" si="459"/>
        <v>6689</v>
      </c>
      <c r="S1192" s="23">
        <f t="shared" si="460"/>
        <v>5976</v>
      </c>
      <c r="T1192" s="23">
        <f t="shared" si="461"/>
        <v>713</v>
      </c>
      <c r="U1192" t="str">
        <f t="shared" si="462"/>
        <v>CA_Orang_2020g~newport-mesa unified school district governing board member, trustee area 1 (vote 1)</v>
      </c>
      <c r="W1192" s="1">
        <f t="shared" si="463"/>
        <v>1</v>
      </c>
      <c r="X1192" s="73">
        <f t="shared" si="451"/>
        <v>18.668871881968137</v>
      </c>
      <c r="Y1192" s="322">
        <f t="shared" si="464"/>
        <v>209555.13900000002</v>
      </c>
      <c r="Z1192" s="43" t="e">
        <f t="shared" si="452"/>
        <v>#N/A</v>
      </c>
      <c r="AA1192" s="52" t="e">
        <f t="shared" si="465"/>
        <v>#N/A</v>
      </c>
      <c r="AB1192" s="8" t="e">
        <f t="shared" si="466"/>
        <v>#N/A</v>
      </c>
      <c r="AC1192" s="8" t="e">
        <f t="shared" si="467"/>
        <v>#N/A</v>
      </c>
      <c r="AD1192" s="8" t="e">
        <f t="shared" si="469"/>
        <v>#N/A</v>
      </c>
      <c r="AE1192" s="8" t="str">
        <f t="shared" si="468"/>
        <v/>
      </c>
      <c r="AF1192" s="22" t="str">
        <f t="shared" si="471"/>
        <v>MD_2020g~Cnty0</v>
      </c>
      <c r="AG1192">
        <v>1</v>
      </c>
      <c r="AH1192" s="8">
        <v>3037031</v>
      </c>
      <c r="AI1192" s="273">
        <v>1985023</v>
      </c>
      <c r="AJ1192" s="274">
        <v>976414</v>
      </c>
      <c r="AK1192" s="339">
        <v>1008609</v>
      </c>
      <c r="AL1192" s="23" t="s">
        <v>7978</v>
      </c>
      <c r="AM1192" s="377">
        <f t="shared" si="472"/>
        <v>0.33210362357183709</v>
      </c>
      <c r="AN1192" s="357">
        <f t="shared" si="473"/>
        <v>1</v>
      </c>
      <c r="AO1192" s="356"/>
      <c r="AP1192" s="23" t="e">
        <f t="shared" si="470"/>
        <v>#N/A</v>
      </c>
      <c r="AQ1192" s="392" t="e">
        <f t="shared" si="449"/>
        <v>#N/A</v>
      </c>
      <c r="AR1192" s="392" t="e">
        <f t="shared" si="450"/>
        <v>#N/A</v>
      </c>
      <c r="AS1192" s="392" t="e">
        <f t="shared" si="450"/>
        <v>#N/A</v>
      </c>
    </row>
    <row r="1193" spans="1:45">
      <c r="A1193" t="str">
        <f t="shared" si="474"/>
        <v>CA_Orang_2020g~newport-mesa unified school district governing board member, trustee area 1 (vote 1)</v>
      </c>
      <c r="B1193" s="55" t="s">
        <v>3536</v>
      </c>
      <c r="D1193" s="55" t="s">
        <v>3641</v>
      </c>
      <c r="E1193" s="55" t="s">
        <v>3642</v>
      </c>
      <c r="G1193" s="60">
        <v>5976</v>
      </c>
      <c r="H1193"/>
      <c r="J1193">
        <v>14618</v>
      </c>
      <c r="N1193">
        <v>1898</v>
      </c>
      <c r="O1193">
        <f t="shared" si="456"/>
        <v>2</v>
      </c>
      <c r="P1193" s="57">
        <f t="shared" si="457"/>
        <v>1</v>
      </c>
      <c r="Q1193" s="267">
        <f t="shared" si="458"/>
        <v>5976</v>
      </c>
      <c r="R1193" s="23" t="str">
        <f t="shared" si="459"/>
        <v/>
      </c>
      <c r="S1193" s="23">
        <f t="shared" si="460"/>
        <v>5976</v>
      </c>
      <c r="T1193" s="23" t="str">
        <f t="shared" si="461"/>
        <v/>
      </c>
      <c r="U1193" t="str">
        <f t="shared" si="462"/>
        <v/>
      </c>
      <c r="W1193" s="1">
        <f t="shared" si="463"/>
        <v>1</v>
      </c>
      <c r="X1193" s="73">
        <f t="shared" si="451"/>
        <v>18.372580563638596</v>
      </c>
      <c r="Y1193" s="322">
        <f t="shared" si="464"/>
        <v>28317.531000000003</v>
      </c>
      <c r="Z1193" s="43" t="e">
        <f t="shared" si="452"/>
        <v>#N/A</v>
      </c>
      <c r="AA1193" s="52" t="e">
        <f t="shared" si="465"/>
        <v>#N/A</v>
      </c>
      <c r="AB1193" s="8" t="e">
        <f t="shared" si="466"/>
        <v>#N/A</v>
      </c>
      <c r="AC1193" s="8" t="e">
        <f t="shared" si="467"/>
        <v>#N/A</v>
      </c>
      <c r="AD1193" s="8" t="e">
        <f t="shared" si="469"/>
        <v>#N/A</v>
      </c>
      <c r="AE1193" s="8" t="str">
        <f t="shared" si="468"/>
        <v/>
      </c>
      <c r="AF1193" s="22" t="str">
        <f t="shared" si="471"/>
        <v>MD_2020g~Cnty1</v>
      </c>
      <c r="AG1193">
        <v>1</v>
      </c>
      <c r="AH1193" s="272">
        <v>410399</v>
      </c>
      <c r="AI1193" s="273">
        <v>273241</v>
      </c>
      <c r="AJ1193" s="274">
        <v>134748</v>
      </c>
      <c r="AK1193" s="339">
        <v>138493</v>
      </c>
      <c r="AL1193" s="340" t="s">
        <v>8040</v>
      </c>
      <c r="AM1193" s="377">
        <f t="shared" si="472"/>
        <v>0.33745939926754209</v>
      </c>
      <c r="AN1193" s="357">
        <f t="shared" si="473"/>
        <v>1</v>
      </c>
      <c r="AP1193" s="23" t="e">
        <f t="shared" si="470"/>
        <v>#N/A</v>
      </c>
      <c r="AQ1193" s="392" t="e">
        <f t="shared" ref="AQ1193:AQ1256" si="475">IF($AP1193=$AD1193,1,IF($AP1193=0,0, 1-HYPGEOMDIST(0, ROUNDUP(RIGHT(AQ$1,4)*$AD1193,0),$AP1193, $AD1193)))</f>
        <v>#N/A</v>
      </c>
      <c r="AR1193" s="392" t="e">
        <f t="shared" ref="AR1193:AS1256" si="476">IF($AP1193=$AD1193,1,IF($AP1193=0,0, 1-HYPGEOMDIST(0, ROUNDUP(RIGHT(AR$1,4)*$AD1193,0),$AP1193, $AD1193)))</f>
        <v>#N/A</v>
      </c>
      <c r="AS1193" s="392" t="e">
        <f t="shared" si="476"/>
        <v>#N/A</v>
      </c>
    </row>
    <row r="1194" spans="1:45">
      <c r="A1194" t="str">
        <f t="shared" si="474"/>
        <v>CA_Orang_2020g~newport-mesa unified school district governing board member, trustee area 3 (vote 1)</v>
      </c>
      <c r="B1194" s="55" t="s">
        <v>3536</v>
      </c>
      <c r="D1194" s="55" t="s">
        <v>3644</v>
      </c>
      <c r="E1194" s="55" t="s">
        <v>3645</v>
      </c>
      <c r="G1194" s="60">
        <v>9814</v>
      </c>
      <c r="H1194"/>
      <c r="J1194">
        <v>18307</v>
      </c>
      <c r="N1194">
        <v>3108</v>
      </c>
      <c r="O1194">
        <f t="shared" si="456"/>
        <v>1</v>
      </c>
      <c r="P1194" s="57">
        <f t="shared" si="457"/>
        <v>1</v>
      </c>
      <c r="Q1194" s="267">
        <f t="shared" si="458"/>
        <v>15109</v>
      </c>
      <c r="R1194" s="23">
        <f t="shared" si="459"/>
        <v>9814</v>
      </c>
      <c r="S1194" s="23">
        <f t="shared" si="460"/>
        <v>5295</v>
      </c>
      <c r="T1194" s="23">
        <f t="shared" si="461"/>
        <v>4519</v>
      </c>
      <c r="U1194" t="str">
        <f t="shared" si="462"/>
        <v>CA_Orang_2020g~newport-mesa unified school district governing board member, trustee area 3 (vote 1)</v>
      </c>
      <c r="W1194" s="1">
        <f t="shared" si="463"/>
        <v>1</v>
      </c>
      <c r="X1194" s="73">
        <f t="shared" si="451"/>
        <v>17.374610275065201</v>
      </c>
      <c r="Y1194" s="322">
        <f t="shared" si="464"/>
        <v>22909.794000000002</v>
      </c>
      <c r="Z1194" s="43" t="e">
        <f t="shared" si="452"/>
        <v>#N/A</v>
      </c>
      <c r="AA1194" s="52" t="e">
        <f t="shared" si="465"/>
        <v>#N/A</v>
      </c>
      <c r="AB1194" s="8" t="e">
        <f t="shared" si="466"/>
        <v>#N/A</v>
      </c>
      <c r="AC1194" s="8" t="e">
        <f t="shared" si="467"/>
        <v>#N/A</v>
      </c>
      <c r="AD1194" s="8" t="e">
        <f t="shared" si="469"/>
        <v>#N/A</v>
      </c>
      <c r="AE1194" s="8" t="str">
        <f t="shared" si="468"/>
        <v/>
      </c>
      <c r="AF1194" s="22" t="str">
        <f t="shared" si="471"/>
        <v>MD_2020g~Cnty0</v>
      </c>
      <c r="AG1194">
        <v>1</v>
      </c>
      <c r="AH1194" s="272">
        <v>332026</v>
      </c>
      <c r="AI1194" s="273">
        <v>224836</v>
      </c>
      <c r="AJ1194" s="274">
        <v>106355</v>
      </c>
      <c r="AK1194" s="339">
        <v>118481</v>
      </c>
      <c r="AL1194" s="340" t="s">
        <v>7980</v>
      </c>
      <c r="AM1194" s="377">
        <f t="shared" si="472"/>
        <v>0.35684253642787012</v>
      </c>
      <c r="AN1194" s="357">
        <f t="shared" si="473"/>
        <v>1</v>
      </c>
      <c r="AP1194" s="23" t="e">
        <f t="shared" si="470"/>
        <v>#N/A</v>
      </c>
      <c r="AQ1194" s="392" t="e">
        <f t="shared" si="475"/>
        <v>#N/A</v>
      </c>
      <c r="AR1194" s="392" t="e">
        <f t="shared" si="476"/>
        <v>#N/A</v>
      </c>
      <c r="AS1194" s="392" t="e">
        <f t="shared" si="476"/>
        <v>#N/A</v>
      </c>
    </row>
    <row r="1195" spans="1:45">
      <c r="A1195" t="str">
        <f t="shared" si="474"/>
        <v>CA_Orang_2020g~newport-mesa unified school district governing board member, trustee area 3 (vote 1)</v>
      </c>
      <c r="B1195" s="55" t="s">
        <v>3536</v>
      </c>
      <c r="D1195" s="55" t="s">
        <v>3644</v>
      </c>
      <c r="E1195" s="55" t="s">
        <v>3646</v>
      </c>
      <c r="G1195" s="60">
        <v>5295</v>
      </c>
      <c r="H1195"/>
      <c r="J1195">
        <v>18307</v>
      </c>
      <c r="N1195">
        <v>3108</v>
      </c>
      <c r="O1195">
        <f t="shared" si="456"/>
        <v>2</v>
      </c>
      <c r="P1195" s="57">
        <f t="shared" si="457"/>
        <v>1</v>
      </c>
      <c r="Q1195" s="267">
        <f t="shared" si="458"/>
        <v>5295</v>
      </c>
      <c r="R1195" s="23" t="str">
        <f t="shared" si="459"/>
        <v/>
      </c>
      <c r="S1195" s="23">
        <f t="shared" si="460"/>
        <v>5295</v>
      </c>
      <c r="T1195" s="23" t="str">
        <f t="shared" si="461"/>
        <v/>
      </c>
      <c r="U1195" t="str">
        <f t="shared" si="462"/>
        <v/>
      </c>
      <c r="W1195" s="1">
        <f t="shared" si="463"/>
        <v>2</v>
      </c>
      <c r="X1195" s="73">
        <f t="shared" si="451"/>
        <v>16.916669264497592</v>
      </c>
      <c r="Y1195" s="322">
        <f t="shared" si="464"/>
        <v>27780.366000000002</v>
      </c>
      <c r="Z1195" s="43" t="e">
        <f t="shared" si="452"/>
        <v>#N/A</v>
      </c>
      <c r="AA1195" s="52" t="e">
        <f t="shared" si="465"/>
        <v>#N/A</v>
      </c>
      <c r="AB1195" s="8" t="e">
        <f t="shared" si="466"/>
        <v>#N/A</v>
      </c>
      <c r="AC1195" s="8" t="e">
        <f t="shared" si="467"/>
        <v>#N/A</v>
      </c>
      <c r="AD1195" s="8" t="e">
        <f t="shared" si="469"/>
        <v>#N/A</v>
      </c>
      <c r="AE1195" s="8" t="str">
        <f t="shared" si="468"/>
        <v/>
      </c>
      <c r="AF1195" s="22" t="str">
        <f t="shared" si="471"/>
        <v>MD_2020g~Cnty0</v>
      </c>
      <c r="AG1195">
        <v>1</v>
      </c>
      <c r="AH1195" s="272">
        <v>402614</v>
      </c>
      <c r="AI1195" s="273">
        <v>274716</v>
      </c>
      <c r="AJ1195" s="274">
        <v>127157</v>
      </c>
      <c r="AK1195" s="339">
        <v>147559</v>
      </c>
      <c r="AL1195" s="340" t="s">
        <v>7986</v>
      </c>
      <c r="AM1195" s="377">
        <f t="shared" si="472"/>
        <v>0.36650240677174661</v>
      </c>
      <c r="AN1195" s="357">
        <f t="shared" si="473"/>
        <v>1</v>
      </c>
      <c r="AP1195" s="23" t="e">
        <f t="shared" si="470"/>
        <v>#N/A</v>
      </c>
      <c r="AQ1195" s="392" t="e">
        <f t="shared" si="475"/>
        <v>#N/A</v>
      </c>
      <c r="AR1195" s="392" t="e">
        <f t="shared" si="476"/>
        <v>#N/A</v>
      </c>
      <c r="AS1195" s="392" t="e">
        <f t="shared" si="476"/>
        <v>#N/A</v>
      </c>
    </row>
    <row r="1196" spans="1:45">
      <c r="A1196" t="str">
        <f t="shared" si="474"/>
        <v>CA_Orang_2020g~newport-mesa unified school district governing board member, trustee area 6 (vote 1)</v>
      </c>
      <c r="B1196" s="55" t="s">
        <v>3536</v>
      </c>
      <c r="D1196" s="55" t="s">
        <v>3647</v>
      </c>
      <c r="E1196" s="55" t="s">
        <v>3648</v>
      </c>
      <c r="G1196" s="60">
        <v>7279</v>
      </c>
      <c r="H1196"/>
      <c r="J1196">
        <v>17046</v>
      </c>
      <c r="N1196">
        <v>2454</v>
      </c>
      <c r="O1196">
        <f t="shared" si="456"/>
        <v>1</v>
      </c>
      <c r="P1196" s="57">
        <f t="shared" si="457"/>
        <v>1</v>
      </c>
      <c r="Q1196" s="267">
        <f t="shared" si="458"/>
        <v>14515</v>
      </c>
      <c r="R1196" s="23">
        <f t="shared" si="459"/>
        <v>7279</v>
      </c>
      <c r="S1196" s="23">
        <f t="shared" si="460"/>
        <v>5502</v>
      </c>
      <c r="T1196" s="23">
        <f t="shared" si="461"/>
        <v>1777</v>
      </c>
      <c r="U1196" t="str">
        <f t="shared" si="462"/>
        <v>CA_Orang_2020g~newport-mesa unified school district governing board member, trustee area 6 (vote 1)</v>
      </c>
      <c r="W1196" s="1">
        <f t="shared" si="463"/>
        <v>3</v>
      </c>
      <c r="X1196" s="73">
        <f t="shared" si="451"/>
        <v>16.410404486179779</v>
      </c>
      <c r="Y1196" s="322">
        <f t="shared" si="464"/>
        <v>27519.891000000003</v>
      </c>
      <c r="Z1196" s="43" t="e">
        <f t="shared" si="452"/>
        <v>#N/A</v>
      </c>
      <c r="AA1196" s="52" t="e">
        <f t="shared" si="465"/>
        <v>#N/A</v>
      </c>
      <c r="AB1196" s="8" t="e">
        <f t="shared" si="466"/>
        <v>#N/A</v>
      </c>
      <c r="AC1196" s="8" t="e">
        <f t="shared" si="467"/>
        <v>#N/A</v>
      </c>
      <c r="AD1196" s="8" t="e">
        <f t="shared" si="469"/>
        <v>#N/A</v>
      </c>
      <c r="AE1196" s="8" t="str">
        <f t="shared" si="468"/>
        <v/>
      </c>
      <c r="AF1196" s="22" t="str">
        <f t="shared" si="471"/>
        <v>MD_2020g~Cnty0</v>
      </c>
      <c r="AG1196">
        <v>1</v>
      </c>
      <c r="AH1196" s="272">
        <v>398839</v>
      </c>
      <c r="AI1196" s="273">
        <v>274210</v>
      </c>
      <c r="AJ1196" s="274">
        <v>123525</v>
      </c>
      <c r="AK1196" s="339">
        <v>150685</v>
      </c>
      <c r="AL1196" s="340" t="s">
        <v>7983</v>
      </c>
      <c r="AM1196" s="377">
        <f t="shared" si="472"/>
        <v>0.37780909088629749</v>
      </c>
      <c r="AN1196" s="357">
        <f t="shared" si="473"/>
        <v>1</v>
      </c>
      <c r="AP1196" s="23" t="e">
        <f t="shared" si="470"/>
        <v>#N/A</v>
      </c>
      <c r="AQ1196" s="392" t="e">
        <f t="shared" si="475"/>
        <v>#N/A</v>
      </c>
      <c r="AR1196" s="392" t="e">
        <f t="shared" si="476"/>
        <v>#N/A</v>
      </c>
      <c r="AS1196" s="392" t="e">
        <f t="shared" si="476"/>
        <v>#N/A</v>
      </c>
    </row>
    <row r="1197" spans="1:45">
      <c r="A1197" t="str">
        <f t="shared" si="474"/>
        <v>CA_Orang_2020g~newport-mesa unified school district governing board member, trustee area 6 (vote 1)</v>
      </c>
      <c r="B1197" s="55" t="s">
        <v>3536</v>
      </c>
      <c r="D1197" s="55" t="s">
        <v>3647</v>
      </c>
      <c r="E1197" s="55" t="s">
        <v>3649</v>
      </c>
      <c r="G1197" s="60">
        <v>5502</v>
      </c>
      <c r="H1197"/>
      <c r="J1197">
        <v>17046</v>
      </c>
      <c r="N1197">
        <v>2454</v>
      </c>
      <c r="O1197">
        <f t="shared" si="456"/>
        <v>2</v>
      </c>
      <c r="P1197" s="57">
        <f t="shared" si="457"/>
        <v>1</v>
      </c>
      <c r="Q1197" s="267">
        <f t="shared" si="458"/>
        <v>7236</v>
      </c>
      <c r="R1197" s="23" t="str">
        <f t="shared" si="459"/>
        <v/>
      </c>
      <c r="S1197" s="23">
        <f t="shared" si="460"/>
        <v>5502</v>
      </c>
      <c r="T1197" s="23" t="str">
        <f t="shared" si="461"/>
        <v/>
      </c>
      <c r="U1197" t="str">
        <f t="shared" si="462"/>
        <v/>
      </c>
      <c r="W1197" s="1">
        <f t="shared" si="463"/>
        <v>1</v>
      </c>
      <c r="X1197" s="73">
        <f t="shared" si="451"/>
        <v>15.75552099533437</v>
      </c>
      <c r="Y1197" s="322">
        <f t="shared" si="464"/>
        <v>225.49200000000002</v>
      </c>
      <c r="Z1197" s="43" t="e">
        <f t="shared" si="452"/>
        <v>#N/A</v>
      </c>
      <c r="AA1197" s="52" t="e">
        <f t="shared" si="465"/>
        <v>#N/A</v>
      </c>
      <c r="AB1197" s="8" t="e">
        <f t="shared" si="466"/>
        <v>#N/A</v>
      </c>
      <c r="AC1197" s="8" t="e">
        <f t="shared" si="467"/>
        <v>#N/A</v>
      </c>
      <c r="AD1197" s="8" t="e">
        <f t="shared" si="469"/>
        <v>#N/A</v>
      </c>
      <c r="AE1197" s="8" t="str">
        <f t="shared" si="468"/>
        <v/>
      </c>
      <c r="AF1197" s="22" t="str">
        <f t="shared" si="471"/>
        <v>MD_2020g~Cnty1</v>
      </c>
      <c r="AG1197">
        <v>1</v>
      </c>
      <c r="AH1197" s="8">
        <v>3268</v>
      </c>
      <c r="AI1197" s="273">
        <v>2267</v>
      </c>
      <c r="AJ1197" s="274">
        <v>981</v>
      </c>
      <c r="AK1197" s="339">
        <v>1286</v>
      </c>
      <c r="AL1197" s="23" t="s">
        <v>8027</v>
      </c>
      <c r="AM1197" s="377">
        <f t="shared" si="472"/>
        <v>0.39351285189718482</v>
      </c>
      <c r="AN1197" s="357">
        <f t="shared" si="473"/>
        <v>1</v>
      </c>
      <c r="AP1197" s="23" t="e">
        <f t="shared" si="470"/>
        <v>#N/A</v>
      </c>
      <c r="AQ1197" s="392" t="e">
        <f t="shared" si="475"/>
        <v>#N/A</v>
      </c>
      <c r="AR1197" s="392" t="e">
        <f t="shared" si="476"/>
        <v>#N/A</v>
      </c>
      <c r="AS1197" s="392" t="e">
        <f t="shared" si="476"/>
        <v>#N/A</v>
      </c>
    </row>
    <row r="1198" spans="1:45">
      <c r="A1198" t="str">
        <f t="shared" si="474"/>
        <v>CA_Orang_2020g~newport-mesa unified school district governing board member, trustee area 6 (vote 1)</v>
      </c>
      <c r="B1198" s="55" t="s">
        <v>3536</v>
      </c>
      <c r="D1198" s="55" t="s">
        <v>3647</v>
      </c>
      <c r="E1198" s="55" t="s">
        <v>3650</v>
      </c>
      <c r="G1198" s="60">
        <v>1123</v>
      </c>
      <c r="H1198"/>
      <c r="J1198">
        <v>17046</v>
      </c>
      <c r="N1198">
        <v>2454</v>
      </c>
      <c r="O1198">
        <f t="shared" si="456"/>
        <v>3</v>
      </c>
      <c r="P1198" s="57">
        <f t="shared" si="457"/>
        <v>1</v>
      </c>
      <c r="Q1198" s="267">
        <f t="shared" si="458"/>
        <v>1734</v>
      </c>
      <c r="R1198" s="23" t="str">
        <f t="shared" si="459"/>
        <v/>
      </c>
      <c r="S1198" s="23">
        <f t="shared" si="460"/>
        <v>1123</v>
      </c>
      <c r="T1198" s="23" t="str">
        <f t="shared" si="461"/>
        <v/>
      </c>
      <c r="U1198" t="str">
        <f t="shared" si="462"/>
        <v/>
      </c>
      <c r="W1198" s="1">
        <f t="shared" si="463"/>
        <v>1</v>
      </c>
      <c r="X1198" s="73">
        <f t="shared" si="451"/>
        <v>15.608888229302286</v>
      </c>
      <c r="Y1198" s="322">
        <f t="shared" si="464"/>
        <v>25751.214000000004</v>
      </c>
      <c r="Z1198" s="43" t="e">
        <f t="shared" si="452"/>
        <v>#N/A</v>
      </c>
      <c r="AA1198" s="52" t="e">
        <f t="shared" si="465"/>
        <v>#N/A</v>
      </c>
      <c r="AB1198" s="8" t="e">
        <f t="shared" si="466"/>
        <v>#N/A</v>
      </c>
      <c r="AC1198" s="8" t="e">
        <f t="shared" si="467"/>
        <v>#N/A</v>
      </c>
      <c r="AD1198" s="8" t="e">
        <f t="shared" si="469"/>
        <v>#N/A</v>
      </c>
      <c r="AE1198" s="8" t="str">
        <f t="shared" si="468"/>
        <v/>
      </c>
      <c r="AF1198" s="22" t="str">
        <f t="shared" si="471"/>
        <v>MD_2020g~Cnty0</v>
      </c>
      <c r="AG1198">
        <v>1</v>
      </c>
      <c r="AH1198" s="272">
        <v>373206</v>
      </c>
      <c r="AI1198" s="273">
        <v>260358</v>
      </c>
      <c r="AJ1198" s="274">
        <v>112117</v>
      </c>
      <c r="AK1198" s="339">
        <v>148241</v>
      </c>
      <c r="AL1198" s="340" t="s">
        <v>7981</v>
      </c>
      <c r="AM1198" s="377">
        <f t="shared" si="472"/>
        <v>0.39720958398310852</v>
      </c>
      <c r="AN1198" s="357">
        <f t="shared" si="473"/>
        <v>1</v>
      </c>
      <c r="AP1198" s="23" t="e">
        <f t="shared" si="470"/>
        <v>#N/A</v>
      </c>
      <c r="AQ1198" s="392" t="e">
        <f t="shared" si="475"/>
        <v>#N/A</v>
      </c>
      <c r="AR1198" s="392" t="e">
        <f t="shared" si="476"/>
        <v>#N/A</v>
      </c>
      <c r="AS1198" s="392" t="e">
        <f t="shared" si="476"/>
        <v>#N/A</v>
      </c>
    </row>
    <row r="1199" spans="1:45">
      <c r="A1199" t="str">
        <f t="shared" si="474"/>
        <v>CA_Orang_2020g~newport-mesa unified school district governing board member, trustee area 6 (vote 1)</v>
      </c>
      <c r="B1199" s="55" t="s">
        <v>3536</v>
      </c>
      <c r="D1199" s="55" t="s">
        <v>3647</v>
      </c>
      <c r="E1199" s="55" t="s">
        <v>3651</v>
      </c>
      <c r="G1199" s="60">
        <v>611</v>
      </c>
      <c r="H1199"/>
      <c r="J1199">
        <v>17046</v>
      </c>
      <c r="N1199">
        <v>2454</v>
      </c>
      <c r="O1199">
        <f t="shared" si="456"/>
        <v>4</v>
      </c>
      <c r="P1199" s="57">
        <f t="shared" si="457"/>
        <v>1</v>
      </c>
      <c r="Q1199" s="267">
        <f t="shared" si="458"/>
        <v>611</v>
      </c>
      <c r="R1199" s="23" t="str">
        <f t="shared" si="459"/>
        <v/>
      </c>
      <c r="S1199" s="23">
        <f t="shared" si="460"/>
        <v>611</v>
      </c>
      <c r="T1199" s="23" t="str">
        <f t="shared" si="461"/>
        <v/>
      </c>
      <c r="U1199" t="str">
        <f t="shared" si="462"/>
        <v/>
      </c>
      <c r="W1199" s="1">
        <f t="shared" si="463"/>
        <v>2</v>
      </c>
      <c r="X1199" s="73">
        <f t="shared" si="451"/>
        <v>14.225716246473356</v>
      </c>
      <c r="Y1199" s="322">
        <f t="shared" si="464"/>
        <v>22838.862000000001</v>
      </c>
      <c r="Z1199" s="43" t="e">
        <f t="shared" si="452"/>
        <v>#N/A</v>
      </c>
      <c r="AA1199" s="52" t="e">
        <f t="shared" si="465"/>
        <v>#N/A</v>
      </c>
      <c r="AB1199" s="8" t="e">
        <f t="shared" si="466"/>
        <v>#N/A</v>
      </c>
      <c r="AC1199" s="8" t="e">
        <f t="shared" si="467"/>
        <v>#N/A</v>
      </c>
      <c r="AD1199" s="8" t="e">
        <f t="shared" si="469"/>
        <v>#N/A</v>
      </c>
      <c r="AE1199" s="8" t="str">
        <f t="shared" si="468"/>
        <v/>
      </c>
      <c r="AF1199" s="22" t="str">
        <f t="shared" si="471"/>
        <v>MD_2020g~Cnty0</v>
      </c>
      <c r="AG1199">
        <v>1</v>
      </c>
      <c r="AH1199" s="272">
        <v>330998</v>
      </c>
      <c r="AI1199" s="273">
        <v>237084</v>
      </c>
      <c r="AJ1199" s="274">
        <v>92825</v>
      </c>
      <c r="AK1199" s="339">
        <v>144259</v>
      </c>
      <c r="AL1199" s="340" t="s">
        <v>7985</v>
      </c>
      <c r="AM1199" s="377">
        <f t="shared" si="472"/>
        <v>0.43583042797841681</v>
      </c>
      <c r="AN1199" s="357">
        <f t="shared" si="473"/>
        <v>1</v>
      </c>
      <c r="AP1199" s="23" t="e">
        <f t="shared" si="470"/>
        <v>#N/A</v>
      </c>
      <c r="AQ1199" s="392" t="e">
        <f t="shared" si="475"/>
        <v>#N/A</v>
      </c>
      <c r="AR1199" s="392" t="e">
        <f t="shared" si="476"/>
        <v>#N/A</v>
      </c>
      <c r="AS1199" s="392" t="e">
        <f t="shared" si="476"/>
        <v>#N/A</v>
      </c>
    </row>
    <row r="1200" spans="1:45">
      <c r="A1200" t="str">
        <f t="shared" si="474"/>
        <v>CA_Orang_2020g~north orange county community college district governing board member, trustee area 4 (vote 1)</v>
      </c>
      <c r="B1200" s="55" t="s">
        <v>3536</v>
      </c>
      <c r="D1200" s="55" t="s">
        <v>3563</v>
      </c>
      <c r="E1200" s="55" t="s">
        <v>3565</v>
      </c>
      <c r="G1200" s="60">
        <v>26023</v>
      </c>
      <c r="H1200"/>
      <c r="J1200">
        <v>53996</v>
      </c>
      <c r="N1200">
        <v>8108</v>
      </c>
      <c r="O1200">
        <f t="shared" si="456"/>
        <v>1</v>
      </c>
      <c r="P1200" s="57">
        <f t="shared" si="457"/>
        <v>1</v>
      </c>
      <c r="Q1200" s="267">
        <f t="shared" si="458"/>
        <v>45520</v>
      </c>
      <c r="R1200" s="23">
        <f t="shared" si="459"/>
        <v>26023</v>
      </c>
      <c r="S1200" s="23">
        <f t="shared" si="460"/>
        <v>19497</v>
      </c>
      <c r="T1200" s="23">
        <f t="shared" si="461"/>
        <v>6526</v>
      </c>
      <c r="U1200" t="str">
        <f t="shared" si="462"/>
        <v>CA_Orang_2020g~north orange county community college district governing board member, trustee area 4 (vote 1)</v>
      </c>
      <c r="W1200" s="1">
        <f t="shared" si="463"/>
        <v>1</v>
      </c>
      <c r="X1200" s="73">
        <f t="shared" si="451"/>
        <v>13.780643748631487</v>
      </c>
      <c r="Y1200" s="322">
        <f t="shared" si="464"/>
        <v>2101.2570000000001</v>
      </c>
      <c r="Z1200" s="43" t="e">
        <f t="shared" si="452"/>
        <v>#N/A</v>
      </c>
      <c r="AA1200" s="52" t="e">
        <f t="shared" si="465"/>
        <v>#N/A</v>
      </c>
      <c r="AB1200" s="8" t="e">
        <f t="shared" si="466"/>
        <v>#N/A</v>
      </c>
      <c r="AC1200" s="8" t="e">
        <f t="shared" si="467"/>
        <v>#N/A</v>
      </c>
      <c r="AD1200" s="8" t="e">
        <f t="shared" si="469"/>
        <v>#N/A</v>
      </c>
      <c r="AE1200" s="8" t="str">
        <f t="shared" si="468"/>
        <v/>
      </c>
      <c r="AF1200" s="22" t="str">
        <f t="shared" si="471"/>
        <v>MD_2020g~Cnty1</v>
      </c>
      <c r="AG1200">
        <v>1</v>
      </c>
      <c r="AH1200" s="272">
        <v>30453</v>
      </c>
      <c r="AI1200" s="273">
        <v>21968</v>
      </c>
      <c r="AJ1200" s="274">
        <v>8267</v>
      </c>
      <c r="AK1200" s="339">
        <v>13701</v>
      </c>
      <c r="AL1200" s="340" t="s">
        <v>8033</v>
      </c>
      <c r="AM1200" s="377">
        <f t="shared" si="472"/>
        <v>0.4499064131612649</v>
      </c>
      <c r="AN1200" s="357">
        <f t="shared" si="473"/>
        <v>1</v>
      </c>
      <c r="AP1200" s="23" t="e">
        <f t="shared" si="470"/>
        <v>#N/A</v>
      </c>
      <c r="AQ1200" s="392" t="e">
        <f t="shared" si="475"/>
        <v>#N/A</v>
      </c>
      <c r="AR1200" s="392" t="e">
        <f t="shared" si="476"/>
        <v>#N/A</v>
      </c>
      <c r="AS1200" s="392" t="e">
        <f t="shared" si="476"/>
        <v>#N/A</v>
      </c>
    </row>
    <row r="1201" spans="1:45">
      <c r="A1201" t="str">
        <f t="shared" si="474"/>
        <v>CA_Orang_2020g~north orange county community college district governing board member, trustee area 4 (vote 1)</v>
      </c>
      <c r="B1201" s="55" t="s">
        <v>3536</v>
      </c>
      <c r="D1201" s="55" t="s">
        <v>3563</v>
      </c>
      <c r="E1201" s="55" t="s">
        <v>3564</v>
      </c>
      <c r="G1201" s="60">
        <v>19497</v>
      </c>
      <c r="H1201"/>
      <c r="J1201">
        <v>53996</v>
      </c>
      <c r="N1201">
        <v>8108</v>
      </c>
      <c r="O1201">
        <f t="shared" si="456"/>
        <v>2</v>
      </c>
      <c r="P1201" s="57">
        <f t="shared" si="457"/>
        <v>1</v>
      </c>
      <c r="Q1201" s="267">
        <f t="shared" si="458"/>
        <v>19497</v>
      </c>
      <c r="R1201" s="23" t="str">
        <f t="shared" si="459"/>
        <v/>
      </c>
      <c r="S1201" s="23">
        <f t="shared" si="460"/>
        <v>19497</v>
      </c>
      <c r="T1201" s="23" t="str">
        <f t="shared" si="461"/>
        <v/>
      </c>
      <c r="U1201" t="str">
        <f t="shared" si="462"/>
        <v/>
      </c>
      <c r="W1201" s="1">
        <f t="shared" si="463"/>
        <v>1</v>
      </c>
      <c r="X1201" s="73">
        <f t="shared" si="451"/>
        <v>13.215621788283659</v>
      </c>
      <c r="Y1201" s="322">
        <f t="shared" si="464"/>
        <v>286.21200000000005</v>
      </c>
      <c r="Z1201" s="43" t="e">
        <f t="shared" si="452"/>
        <v>#N/A</v>
      </c>
      <c r="AA1201" s="52" t="e">
        <f t="shared" si="465"/>
        <v>#N/A</v>
      </c>
      <c r="AB1201" s="8" t="e">
        <f t="shared" si="466"/>
        <v>#N/A</v>
      </c>
      <c r="AC1201" s="8" t="e">
        <f t="shared" si="467"/>
        <v>#N/A</v>
      </c>
      <c r="AD1201" s="8" t="e">
        <f t="shared" si="469"/>
        <v>#N/A</v>
      </c>
      <c r="AE1201" s="8" t="str">
        <f t="shared" si="468"/>
        <v/>
      </c>
      <c r="AF1201" s="22" t="str">
        <f t="shared" si="471"/>
        <v>MD_2020g~Cnty2</v>
      </c>
      <c r="AG1201">
        <v>1</v>
      </c>
      <c r="AH1201" s="272">
        <v>4148</v>
      </c>
      <c r="AI1201" s="273">
        <v>3039</v>
      </c>
      <c r="AJ1201" s="274">
        <v>1093</v>
      </c>
      <c r="AK1201" s="339">
        <v>1946</v>
      </c>
      <c r="AL1201" s="340" t="s">
        <v>8069</v>
      </c>
      <c r="AM1201" s="377">
        <f t="shared" si="472"/>
        <v>0.4691417550626808</v>
      </c>
      <c r="AN1201" s="357">
        <f t="shared" si="473"/>
        <v>1</v>
      </c>
      <c r="AP1201" s="23" t="e">
        <f t="shared" si="470"/>
        <v>#N/A</v>
      </c>
      <c r="AQ1201" s="392" t="e">
        <f t="shared" si="475"/>
        <v>#N/A</v>
      </c>
      <c r="AR1201" s="392" t="e">
        <f t="shared" si="476"/>
        <v>#N/A</v>
      </c>
      <c r="AS1201" s="392" t="e">
        <f t="shared" si="476"/>
        <v>#N/A</v>
      </c>
    </row>
    <row r="1202" spans="1:45">
      <c r="A1202" t="str">
        <f t="shared" si="474"/>
        <v>CA_Orang_2020g~north orange county community college district governing board member, trustee area 5 (vote 1)</v>
      </c>
      <c r="B1202" s="55" t="s">
        <v>3536</v>
      </c>
      <c r="D1202" s="55" t="s">
        <v>3566</v>
      </c>
      <c r="E1202" s="55" t="s">
        <v>3567</v>
      </c>
      <c r="G1202" s="60">
        <v>25278</v>
      </c>
      <c r="H1202"/>
      <c r="J1202">
        <v>46402</v>
      </c>
      <c r="N1202">
        <v>6620</v>
      </c>
      <c r="O1202">
        <f t="shared" si="456"/>
        <v>1</v>
      </c>
      <c r="P1202" s="57">
        <f t="shared" si="457"/>
        <v>1</v>
      </c>
      <c r="Q1202" s="267">
        <f t="shared" si="458"/>
        <v>39424</v>
      </c>
      <c r="R1202" s="23">
        <f t="shared" si="459"/>
        <v>25278</v>
      </c>
      <c r="S1202" s="23">
        <f t="shared" si="460"/>
        <v>14146</v>
      </c>
      <c r="T1202" s="23">
        <f t="shared" si="461"/>
        <v>11132</v>
      </c>
      <c r="U1202" t="str">
        <f t="shared" si="462"/>
        <v>CA_Orang_2020g~north orange county community college district governing board member, trustee area 5 (vote 1)</v>
      </c>
      <c r="W1202" s="1">
        <f t="shared" si="463"/>
        <v>1</v>
      </c>
      <c r="X1202" s="73">
        <f t="shared" si="451"/>
        <v>12.741869158878504</v>
      </c>
      <c r="Y1202" s="322">
        <f t="shared" si="464"/>
        <v>379.32750000000004</v>
      </c>
      <c r="Z1202" s="43" t="e">
        <f t="shared" si="452"/>
        <v>#N/A</v>
      </c>
      <c r="AA1202" s="52" t="e">
        <f t="shared" si="465"/>
        <v>#N/A</v>
      </c>
      <c r="AB1202" s="8" t="e">
        <f t="shared" si="466"/>
        <v>#N/A</v>
      </c>
      <c r="AC1202" s="8" t="e">
        <f t="shared" si="467"/>
        <v>#N/A</v>
      </c>
      <c r="AD1202" s="8" t="e">
        <f t="shared" si="469"/>
        <v>#N/A</v>
      </c>
      <c r="AE1202" s="8" t="str">
        <f t="shared" si="468"/>
        <v/>
      </c>
      <c r="AF1202" s="22" t="str">
        <f t="shared" si="471"/>
        <v>MD_2020g~Cnty1</v>
      </c>
      <c r="AG1202">
        <v>2</v>
      </c>
      <c r="AH1202" s="8">
        <v>5497.5</v>
      </c>
      <c r="AI1202" s="273">
        <v>3854</v>
      </c>
      <c r="AJ1202" s="274">
        <v>1179</v>
      </c>
      <c r="AK1202" s="339">
        <v>2675</v>
      </c>
      <c r="AL1202" s="23" t="s">
        <v>7988</v>
      </c>
      <c r="AM1202" s="377">
        <f t="shared" si="472"/>
        <v>0.48658481127785358</v>
      </c>
      <c r="AN1202" s="357">
        <f t="shared" si="473"/>
        <v>1</v>
      </c>
      <c r="AP1202" s="23" t="e">
        <f t="shared" si="470"/>
        <v>#N/A</v>
      </c>
      <c r="AQ1202" s="392" t="e">
        <f t="shared" si="475"/>
        <v>#N/A</v>
      </c>
      <c r="AR1202" s="392" t="e">
        <f t="shared" si="476"/>
        <v>#N/A</v>
      </c>
      <c r="AS1202" s="392" t="e">
        <f t="shared" si="476"/>
        <v>#N/A</v>
      </c>
    </row>
    <row r="1203" spans="1:45">
      <c r="A1203" t="str">
        <f t="shared" si="474"/>
        <v>CA_Orang_2020g~north orange county community college district governing board member, trustee area 5 (vote 1)</v>
      </c>
      <c r="B1203" s="55" t="s">
        <v>3536</v>
      </c>
      <c r="D1203" s="55" t="s">
        <v>3566</v>
      </c>
      <c r="E1203" s="55" t="s">
        <v>3568</v>
      </c>
      <c r="G1203" s="60">
        <v>14146</v>
      </c>
      <c r="H1203"/>
      <c r="J1203">
        <v>46402</v>
      </c>
      <c r="N1203">
        <v>6620</v>
      </c>
      <c r="O1203">
        <f t="shared" si="456"/>
        <v>2</v>
      </c>
      <c r="P1203" s="57">
        <f t="shared" si="457"/>
        <v>1</v>
      </c>
      <c r="Q1203" s="267">
        <f t="shared" si="458"/>
        <v>14146</v>
      </c>
      <c r="R1203" s="23" t="str">
        <f t="shared" si="459"/>
        <v/>
      </c>
      <c r="S1203" s="23">
        <f t="shared" si="460"/>
        <v>14146</v>
      </c>
      <c r="T1203" s="23" t="str">
        <f t="shared" si="461"/>
        <v/>
      </c>
      <c r="U1203" t="str">
        <f t="shared" si="462"/>
        <v/>
      </c>
      <c r="W1203" s="1">
        <f t="shared" si="463"/>
        <v>1</v>
      </c>
      <c r="X1203" s="73">
        <f t="shared" si="451"/>
        <v>12.337041895967152</v>
      </c>
      <c r="Y1203" s="322">
        <f t="shared" si="464"/>
        <v>16117.020000000002</v>
      </c>
      <c r="Z1203" s="43" t="e">
        <f t="shared" si="452"/>
        <v>#N/A</v>
      </c>
      <c r="AA1203" s="52" t="e">
        <f t="shared" si="465"/>
        <v>#N/A</v>
      </c>
      <c r="AB1203" s="8" t="e">
        <f t="shared" si="466"/>
        <v>#N/A</v>
      </c>
      <c r="AC1203" s="8" t="e">
        <f t="shared" si="467"/>
        <v>#N/A</v>
      </c>
      <c r="AD1203" s="8" t="e">
        <f t="shared" si="469"/>
        <v>#N/A</v>
      </c>
      <c r="AE1203" s="8" t="str">
        <f t="shared" si="468"/>
        <v/>
      </c>
      <c r="AF1203" s="22" t="str">
        <f t="shared" si="471"/>
        <v>MD_2020g~Cnty3</v>
      </c>
      <c r="AG1203">
        <v>1</v>
      </c>
      <c r="AH1203" s="272">
        <v>233580</v>
      </c>
      <c r="AI1203" s="273">
        <v>164661</v>
      </c>
      <c r="AJ1203" s="274">
        <v>47275</v>
      </c>
      <c r="AK1203" s="339">
        <v>117386</v>
      </c>
      <c r="AL1203" s="340" t="s">
        <v>7995</v>
      </c>
      <c r="AM1203" s="377">
        <f t="shared" si="472"/>
        <v>0.50255158832091784</v>
      </c>
      <c r="AN1203" s="357">
        <f t="shared" si="473"/>
        <v>1</v>
      </c>
      <c r="AO1203" s="356"/>
      <c r="AP1203" s="23" t="e">
        <f t="shared" si="470"/>
        <v>#N/A</v>
      </c>
      <c r="AQ1203" s="392" t="e">
        <f t="shared" si="475"/>
        <v>#N/A</v>
      </c>
      <c r="AR1203" s="392" t="e">
        <f t="shared" si="476"/>
        <v>#N/A</v>
      </c>
      <c r="AS1203" s="392" t="e">
        <f t="shared" si="476"/>
        <v>#N/A</v>
      </c>
    </row>
    <row r="1204" spans="1:45">
      <c r="A1204" t="str">
        <f t="shared" si="474"/>
        <v>CA_Orang_2020g~north orange county community college district governing board member, trustee area 7 (vote 1)</v>
      </c>
      <c r="B1204" s="55" t="s">
        <v>3536</v>
      </c>
      <c r="D1204" s="55" t="s">
        <v>3569</v>
      </c>
      <c r="E1204" s="55" t="s">
        <v>3570</v>
      </c>
      <c r="G1204" s="60">
        <v>36941</v>
      </c>
      <c r="H1204"/>
      <c r="J1204">
        <v>79661</v>
      </c>
      <c r="N1204">
        <v>12473</v>
      </c>
      <c r="O1204">
        <f t="shared" si="456"/>
        <v>1</v>
      </c>
      <c r="P1204" s="57">
        <f t="shared" si="457"/>
        <v>1</v>
      </c>
      <c r="Q1204" s="267">
        <f t="shared" si="458"/>
        <v>66817</v>
      </c>
      <c r="R1204" s="23">
        <f t="shared" si="459"/>
        <v>36941</v>
      </c>
      <c r="S1204" s="23">
        <f t="shared" si="460"/>
        <v>29876</v>
      </c>
      <c r="T1204" s="23">
        <f t="shared" si="461"/>
        <v>7065</v>
      </c>
      <c r="U1204" t="str">
        <f t="shared" si="462"/>
        <v>CA_Orang_2020g~north orange county community college district governing board member, trustee area 7 (vote 1)</v>
      </c>
      <c r="W1204" s="1">
        <f t="shared" si="463"/>
        <v>1</v>
      </c>
      <c r="X1204" s="73">
        <f t="shared" si="451"/>
        <v>10.863109452736317</v>
      </c>
      <c r="Y1204" s="322">
        <f t="shared" si="464"/>
        <v>1944.0060000000001</v>
      </c>
      <c r="Z1204" s="43" t="e">
        <f t="shared" si="452"/>
        <v>#N/A</v>
      </c>
      <c r="AA1204" s="52" t="e">
        <f t="shared" si="465"/>
        <v>#N/A</v>
      </c>
      <c r="AB1204" s="8" t="e">
        <f t="shared" si="466"/>
        <v>#N/A</v>
      </c>
      <c r="AC1204" s="8" t="e">
        <f t="shared" si="467"/>
        <v>#N/A</v>
      </c>
      <c r="AD1204" s="8" t="e">
        <f t="shared" si="469"/>
        <v>#N/A</v>
      </c>
      <c r="AE1204" s="8" t="str">
        <f t="shared" si="468"/>
        <v/>
      </c>
      <c r="AF1204" s="22" t="str">
        <f t="shared" si="471"/>
        <v>MD_2020g~Cnty1</v>
      </c>
      <c r="AG1204">
        <v>1</v>
      </c>
      <c r="AH1204" s="272">
        <v>28174</v>
      </c>
      <c r="AI1204" s="273">
        <v>22015</v>
      </c>
      <c r="AJ1204" s="274">
        <v>5935</v>
      </c>
      <c r="AK1204" s="339">
        <v>16080</v>
      </c>
      <c r="AL1204" s="340" t="s">
        <v>8034</v>
      </c>
      <c r="AM1204" s="377">
        <f t="shared" si="472"/>
        <v>0.57073897920068151</v>
      </c>
      <c r="AN1204" s="357">
        <f t="shared" si="473"/>
        <v>1</v>
      </c>
      <c r="AP1204" s="23" t="e">
        <f t="shared" si="470"/>
        <v>#N/A</v>
      </c>
      <c r="AQ1204" s="392" t="e">
        <f t="shared" si="475"/>
        <v>#N/A</v>
      </c>
      <c r="AR1204" s="392" t="e">
        <f t="shared" si="476"/>
        <v>#N/A</v>
      </c>
      <c r="AS1204" s="392" t="e">
        <f t="shared" si="476"/>
        <v>#N/A</v>
      </c>
    </row>
    <row r="1205" spans="1:45">
      <c r="A1205" t="str">
        <f t="shared" si="474"/>
        <v>CA_Orang_2020g~north orange county community college district governing board member, trustee area 7 (vote 1)</v>
      </c>
      <c r="B1205" s="55" t="s">
        <v>3536</v>
      </c>
      <c r="D1205" s="55" t="s">
        <v>3569</v>
      </c>
      <c r="E1205" s="55" t="s">
        <v>3571</v>
      </c>
      <c r="G1205" s="60">
        <v>29876</v>
      </c>
      <c r="H1205"/>
      <c r="J1205">
        <v>79661</v>
      </c>
      <c r="N1205">
        <v>12473</v>
      </c>
      <c r="O1205">
        <f t="shared" si="456"/>
        <v>2</v>
      </c>
      <c r="P1205" s="57">
        <f t="shared" si="457"/>
        <v>1</v>
      </c>
      <c r="Q1205" s="267">
        <f t="shared" si="458"/>
        <v>29876</v>
      </c>
      <c r="R1205" s="23" t="str">
        <f t="shared" si="459"/>
        <v/>
      </c>
      <c r="S1205" s="23">
        <f t="shared" si="460"/>
        <v>29876</v>
      </c>
      <c r="T1205" s="23" t="str">
        <f t="shared" si="461"/>
        <v/>
      </c>
      <c r="U1205" t="str">
        <f t="shared" si="462"/>
        <v/>
      </c>
      <c r="W1205" s="1">
        <f t="shared" si="463"/>
        <v>1</v>
      </c>
      <c r="X1205" s="73">
        <f t="shared" si="451"/>
        <v>10.740229508196723</v>
      </c>
      <c r="Y1205" s="322">
        <f t="shared" si="464"/>
        <v>729.12300000000005</v>
      </c>
      <c r="Z1205" s="43" t="e">
        <f t="shared" si="452"/>
        <v>#N/A</v>
      </c>
      <c r="AA1205" s="52" t="e">
        <f t="shared" si="465"/>
        <v>#N/A</v>
      </c>
      <c r="AB1205" s="8" t="e">
        <f t="shared" si="466"/>
        <v>#N/A</v>
      </c>
      <c r="AC1205" s="8" t="e">
        <f t="shared" si="467"/>
        <v>#N/A</v>
      </c>
      <c r="AD1205" s="8" t="e">
        <f t="shared" si="469"/>
        <v>#N/A</v>
      </c>
      <c r="AE1205" s="8" t="str">
        <f t="shared" si="468"/>
        <v/>
      </c>
      <c r="AF1205" s="22" t="str">
        <f t="shared" si="471"/>
        <v>MD_2020g~Cnty3</v>
      </c>
      <c r="AG1205">
        <v>1</v>
      </c>
      <c r="AH1205" s="272">
        <v>10567</v>
      </c>
      <c r="AI1205" s="273">
        <v>8313</v>
      </c>
      <c r="AJ1205" s="274">
        <v>2213</v>
      </c>
      <c r="AK1205" s="339">
        <v>6100</v>
      </c>
      <c r="AL1205" s="340" t="s">
        <v>8005</v>
      </c>
      <c r="AM1205" s="377">
        <f t="shared" si="472"/>
        <v>0.57726885587205445</v>
      </c>
      <c r="AN1205" s="357">
        <f t="shared" si="473"/>
        <v>1</v>
      </c>
      <c r="AP1205" s="23" t="e">
        <f t="shared" si="470"/>
        <v>#N/A</v>
      </c>
      <c r="AQ1205" s="392" t="e">
        <f t="shared" si="475"/>
        <v>#N/A</v>
      </c>
      <c r="AR1205" s="392" t="e">
        <f t="shared" si="476"/>
        <v>#N/A</v>
      </c>
      <c r="AS1205" s="392" t="e">
        <f t="shared" si="476"/>
        <v>#N/A</v>
      </c>
    </row>
    <row r="1206" spans="1:45">
      <c r="A1206" t="str">
        <f t="shared" si="474"/>
        <v>CA_Orang_2020g~orange county water district director, division 4 (vote 1)</v>
      </c>
      <c r="B1206" s="55" t="s">
        <v>3536</v>
      </c>
      <c r="D1206" s="55" t="s">
        <v>4107</v>
      </c>
      <c r="E1206" s="55" t="s">
        <v>4108</v>
      </c>
      <c r="G1206" s="60">
        <v>45913</v>
      </c>
      <c r="H1206"/>
      <c r="J1206">
        <v>119719</v>
      </c>
      <c r="N1206">
        <v>19811</v>
      </c>
      <c r="O1206">
        <f t="shared" si="456"/>
        <v>1</v>
      </c>
      <c r="P1206" s="57">
        <f t="shared" si="457"/>
        <v>1</v>
      </c>
      <c r="Q1206" s="267">
        <f t="shared" si="458"/>
        <v>98948</v>
      </c>
      <c r="R1206" s="23">
        <f t="shared" si="459"/>
        <v>45913</v>
      </c>
      <c r="S1206" s="23">
        <f t="shared" si="460"/>
        <v>23678</v>
      </c>
      <c r="T1206" s="23">
        <f t="shared" si="461"/>
        <v>22235</v>
      </c>
      <c r="U1206" t="str">
        <f t="shared" si="462"/>
        <v>CA_Orang_2020g~orange county water district director, division 4 (vote 1)</v>
      </c>
      <c r="W1206" s="1">
        <f t="shared" si="463"/>
        <v>1</v>
      </c>
      <c r="X1206" s="73">
        <f t="shared" si="451"/>
        <v>10.541860015630384</v>
      </c>
      <c r="Y1206" s="322">
        <f t="shared" si="464"/>
        <v>27922.092000000001</v>
      </c>
      <c r="Z1206" s="43" t="e">
        <f t="shared" si="452"/>
        <v>#N/A</v>
      </c>
      <c r="AA1206" s="52" t="e">
        <f t="shared" si="465"/>
        <v>#N/A</v>
      </c>
      <c r="AB1206" s="8" t="e">
        <f t="shared" si="466"/>
        <v>#N/A</v>
      </c>
      <c r="AC1206" s="8" t="e">
        <f t="shared" si="467"/>
        <v>#N/A</v>
      </c>
      <c r="AD1206" s="8" t="e">
        <f t="shared" si="469"/>
        <v>#N/A</v>
      </c>
      <c r="AE1206" s="8" t="str">
        <f t="shared" si="468"/>
        <v/>
      </c>
      <c r="AF1206" s="22" t="str">
        <f t="shared" si="471"/>
        <v>MD_2020g~Cnty0</v>
      </c>
      <c r="AG1206">
        <v>1</v>
      </c>
      <c r="AH1206" s="8">
        <v>404668</v>
      </c>
      <c r="AI1206" s="273">
        <v>321333</v>
      </c>
      <c r="AJ1206" s="274">
        <v>83335</v>
      </c>
      <c r="AK1206" s="339">
        <v>237998</v>
      </c>
      <c r="AL1206" s="23" t="s">
        <v>7972</v>
      </c>
      <c r="AM1206" s="377">
        <f t="shared" si="472"/>
        <v>0.58813150533276659</v>
      </c>
      <c r="AN1206" s="357">
        <f t="shared" si="473"/>
        <v>1</v>
      </c>
      <c r="AP1206" s="23" t="e">
        <f t="shared" si="470"/>
        <v>#N/A</v>
      </c>
      <c r="AQ1206" s="392" t="e">
        <f t="shared" si="475"/>
        <v>#N/A</v>
      </c>
      <c r="AR1206" s="392" t="e">
        <f t="shared" si="476"/>
        <v>#N/A</v>
      </c>
      <c r="AS1206" s="392" t="e">
        <f t="shared" si="476"/>
        <v>#N/A</v>
      </c>
    </row>
    <row r="1207" spans="1:45">
      <c r="A1207" t="str">
        <f t="shared" si="474"/>
        <v>CA_Orang_2020g~orange county water district director, division 4 (vote 1)</v>
      </c>
      <c r="B1207" s="55" t="s">
        <v>3536</v>
      </c>
      <c r="D1207" s="55" t="s">
        <v>4107</v>
      </c>
      <c r="E1207" s="55" t="s">
        <v>4109</v>
      </c>
      <c r="G1207" s="60">
        <v>23678</v>
      </c>
      <c r="H1207"/>
      <c r="J1207">
        <v>119719</v>
      </c>
      <c r="N1207">
        <v>19811</v>
      </c>
      <c r="O1207">
        <f t="shared" si="456"/>
        <v>2</v>
      </c>
      <c r="P1207" s="57">
        <f t="shared" si="457"/>
        <v>1</v>
      </c>
      <c r="Q1207" s="267">
        <f t="shared" si="458"/>
        <v>53035</v>
      </c>
      <c r="R1207" s="23" t="str">
        <f t="shared" si="459"/>
        <v/>
      </c>
      <c r="S1207" s="23">
        <f t="shared" si="460"/>
        <v>23678</v>
      </c>
      <c r="T1207" s="23" t="str">
        <f t="shared" si="461"/>
        <v/>
      </c>
      <c r="U1207" t="str">
        <f t="shared" si="462"/>
        <v/>
      </c>
      <c r="W1207" s="1">
        <f t="shared" si="463"/>
        <v>2</v>
      </c>
      <c r="X1207" s="73">
        <f t="shared" si="451"/>
        <v>10.444764502394891</v>
      </c>
      <c r="Y1207" s="322">
        <f t="shared" si="464"/>
        <v>24462.501000000004</v>
      </c>
      <c r="Z1207" s="43" t="e">
        <f t="shared" si="452"/>
        <v>#N/A</v>
      </c>
      <c r="AA1207" s="52" t="e">
        <f t="shared" si="465"/>
        <v>#N/A</v>
      </c>
      <c r="AB1207" s="8" t="e">
        <f t="shared" si="466"/>
        <v>#N/A</v>
      </c>
      <c r="AC1207" s="8" t="e">
        <f t="shared" si="467"/>
        <v>#N/A</v>
      </c>
      <c r="AD1207" s="8" t="e">
        <f t="shared" si="469"/>
        <v>#N/A</v>
      </c>
      <c r="AE1207" s="8" t="str">
        <f t="shared" si="468"/>
        <v/>
      </c>
      <c r="AF1207" s="22" t="str">
        <f t="shared" si="471"/>
        <v>MD_2020g~Cnty0</v>
      </c>
      <c r="AG1207">
        <v>1</v>
      </c>
      <c r="AH1207" s="272">
        <v>354529</v>
      </c>
      <c r="AI1207" s="273">
        <v>282119</v>
      </c>
      <c r="AJ1207" s="274">
        <v>71671</v>
      </c>
      <c r="AK1207" s="339">
        <v>210448</v>
      </c>
      <c r="AL1207" s="340" t="s">
        <v>7982</v>
      </c>
      <c r="AM1207" s="377">
        <f t="shared" si="472"/>
        <v>0.59359883112523937</v>
      </c>
      <c r="AN1207" s="357">
        <f t="shared" si="473"/>
        <v>1</v>
      </c>
      <c r="AP1207" s="23" t="e">
        <f t="shared" si="470"/>
        <v>#N/A</v>
      </c>
      <c r="AQ1207" s="392" t="e">
        <f t="shared" si="475"/>
        <v>#N/A</v>
      </c>
      <c r="AR1207" s="392" t="e">
        <f t="shared" si="476"/>
        <v>#N/A</v>
      </c>
      <c r="AS1207" s="392" t="e">
        <f t="shared" si="476"/>
        <v>#N/A</v>
      </c>
    </row>
    <row r="1208" spans="1:45">
      <c r="A1208" t="str">
        <f t="shared" si="474"/>
        <v>CA_Orang_2020g~orange county water district director, division 4 (vote 1)</v>
      </c>
      <c r="B1208" s="55" t="s">
        <v>3536</v>
      </c>
      <c r="D1208" s="55" t="s">
        <v>4107</v>
      </c>
      <c r="E1208" s="55" t="s">
        <v>4110</v>
      </c>
      <c r="G1208" s="60">
        <v>13875</v>
      </c>
      <c r="H1208"/>
      <c r="J1208">
        <v>119719</v>
      </c>
      <c r="N1208">
        <v>19811</v>
      </c>
      <c r="O1208">
        <f t="shared" si="456"/>
        <v>3</v>
      </c>
      <c r="P1208" s="57">
        <f t="shared" si="457"/>
        <v>1</v>
      </c>
      <c r="Q1208" s="267">
        <f t="shared" si="458"/>
        <v>29357</v>
      </c>
      <c r="R1208" s="23" t="str">
        <f t="shared" si="459"/>
        <v/>
      </c>
      <c r="S1208" s="23">
        <f t="shared" si="460"/>
        <v>13875</v>
      </c>
      <c r="T1208" s="23" t="str">
        <f t="shared" si="461"/>
        <v/>
      </c>
      <c r="U1208" t="str">
        <f t="shared" si="462"/>
        <v/>
      </c>
      <c r="W1208" s="1">
        <f t="shared" si="463"/>
        <v>1</v>
      </c>
      <c r="X1208" s="73">
        <f t="shared" si="451"/>
        <v>10.238081448761953</v>
      </c>
      <c r="Y1208" s="322">
        <f t="shared" si="464"/>
        <v>15502.782000000001</v>
      </c>
      <c r="Z1208" s="43" t="e">
        <f t="shared" si="452"/>
        <v>#N/A</v>
      </c>
      <c r="AA1208" s="52" t="e">
        <f t="shared" si="465"/>
        <v>#N/A</v>
      </c>
      <c r="AB1208" s="8" t="e">
        <f t="shared" si="466"/>
        <v>#N/A</v>
      </c>
      <c r="AC1208" s="8" t="e">
        <f t="shared" si="467"/>
        <v>#N/A</v>
      </c>
      <c r="AD1208" s="8" t="e">
        <f t="shared" si="469"/>
        <v>#N/A</v>
      </c>
      <c r="AE1208" s="8" t="str">
        <f t="shared" si="468"/>
        <v/>
      </c>
      <c r="AF1208" s="22" t="str">
        <f t="shared" si="471"/>
        <v>MD_2020g~Cnty3</v>
      </c>
      <c r="AG1208">
        <v>1</v>
      </c>
      <c r="AH1208" s="272">
        <v>224678</v>
      </c>
      <c r="AI1208" s="273">
        <v>178689</v>
      </c>
      <c r="AJ1208" s="274">
        <v>42628</v>
      </c>
      <c r="AK1208" s="339">
        <v>136061</v>
      </c>
      <c r="AL1208" s="340" t="s">
        <v>8010</v>
      </c>
      <c r="AM1208" s="377">
        <f t="shared" si="472"/>
        <v>0.60558221098638942</v>
      </c>
      <c r="AN1208" s="357">
        <f t="shared" si="473"/>
        <v>1</v>
      </c>
      <c r="AP1208" s="23" t="e">
        <f t="shared" si="470"/>
        <v>#N/A</v>
      </c>
      <c r="AQ1208" s="392" t="e">
        <f t="shared" si="475"/>
        <v>#N/A</v>
      </c>
      <c r="AR1208" s="392" t="e">
        <f t="shared" si="476"/>
        <v>#N/A</v>
      </c>
      <c r="AS1208" s="392" t="e">
        <f t="shared" si="476"/>
        <v>#N/A</v>
      </c>
    </row>
    <row r="1209" spans="1:45">
      <c r="A1209" t="str">
        <f t="shared" si="474"/>
        <v>CA_Orang_2020g~orange county water district director, division 4 (vote 1)</v>
      </c>
      <c r="B1209" s="55" t="s">
        <v>3536</v>
      </c>
      <c r="D1209" s="55" t="s">
        <v>4107</v>
      </c>
      <c r="E1209" s="55" t="s">
        <v>4057</v>
      </c>
      <c r="G1209" s="60">
        <v>10304</v>
      </c>
      <c r="H1209"/>
      <c r="J1209">
        <v>119719</v>
      </c>
      <c r="N1209">
        <v>19811</v>
      </c>
      <c r="O1209">
        <f t="shared" si="456"/>
        <v>4</v>
      </c>
      <c r="P1209" s="57">
        <f t="shared" si="457"/>
        <v>1</v>
      </c>
      <c r="Q1209" s="267">
        <f t="shared" si="458"/>
        <v>15482</v>
      </c>
      <c r="R1209" s="23" t="str">
        <f t="shared" si="459"/>
        <v/>
      </c>
      <c r="S1209" s="23">
        <f t="shared" si="460"/>
        <v>10304</v>
      </c>
      <c r="T1209" s="23" t="str">
        <f t="shared" si="461"/>
        <v/>
      </c>
      <c r="U1209" t="str">
        <f t="shared" si="462"/>
        <v/>
      </c>
      <c r="W1209" s="1">
        <f t="shared" si="463"/>
        <v>1</v>
      </c>
      <c r="X1209" s="73">
        <f t="shared" si="451"/>
        <v>9.3221981342793327</v>
      </c>
      <c r="Y1209" s="322">
        <f t="shared" si="464"/>
        <v>3158.4750000000004</v>
      </c>
      <c r="Z1209" s="43" t="e">
        <f t="shared" si="452"/>
        <v>#N/A</v>
      </c>
      <c r="AA1209" s="52" t="e">
        <f t="shared" si="465"/>
        <v>#N/A</v>
      </c>
      <c r="AB1209" s="8" t="e">
        <f t="shared" si="466"/>
        <v>#N/A</v>
      </c>
      <c r="AC1209" s="8" t="e">
        <f t="shared" si="467"/>
        <v>#N/A</v>
      </c>
      <c r="AD1209" s="8" t="e">
        <f t="shared" si="469"/>
        <v>#N/A</v>
      </c>
      <c r="AE1209" s="8" t="str">
        <f t="shared" si="468"/>
        <v/>
      </c>
      <c r="AF1209" s="22" t="str">
        <f t="shared" si="471"/>
        <v>MD_2020g~Cnty1</v>
      </c>
      <c r="AG1209">
        <v>1</v>
      </c>
      <c r="AH1209" s="272">
        <v>45775</v>
      </c>
      <c r="AI1209" s="273">
        <v>37973</v>
      </c>
      <c r="AJ1209" s="274">
        <v>7529</v>
      </c>
      <c r="AK1209" s="339">
        <v>30444</v>
      </c>
      <c r="AL1209" s="340" t="s">
        <v>8055</v>
      </c>
      <c r="AM1209" s="377">
        <f t="shared" si="472"/>
        <v>0.66507919169852536</v>
      </c>
      <c r="AN1209" s="357">
        <f t="shared" si="473"/>
        <v>1</v>
      </c>
      <c r="AP1209" s="23" t="e">
        <f t="shared" si="470"/>
        <v>#N/A</v>
      </c>
      <c r="AQ1209" s="392" t="e">
        <f t="shared" si="475"/>
        <v>#N/A</v>
      </c>
      <c r="AR1209" s="392" t="e">
        <f t="shared" si="476"/>
        <v>#N/A</v>
      </c>
      <c r="AS1209" s="392" t="e">
        <f t="shared" si="476"/>
        <v>#N/A</v>
      </c>
    </row>
    <row r="1210" spans="1:45">
      <c r="A1210" t="str">
        <f t="shared" si="474"/>
        <v>CA_Orang_2020g~orange county water district director, division 4 (vote 1)</v>
      </c>
      <c r="B1210" s="55" t="s">
        <v>3536</v>
      </c>
      <c r="D1210" s="55" t="s">
        <v>4107</v>
      </c>
      <c r="E1210" s="55" t="s">
        <v>3619</v>
      </c>
      <c r="G1210" s="60">
        <v>5178</v>
      </c>
      <c r="H1210"/>
      <c r="J1210">
        <v>119719</v>
      </c>
      <c r="N1210">
        <v>19811</v>
      </c>
      <c r="O1210">
        <f t="shared" si="456"/>
        <v>5</v>
      </c>
      <c r="P1210" s="57">
        <f t="shared" si="457"/>
        <v>1</v>
      </c>
      <c r="Q1210" s="267">
        <f t="shared" si="458"/>
        <v>5178</v>
      </c>
      <c r="R1210" s="23" t="str">
        <f t="shared" si="459"/>
        <v/>
      </c>
      <c r="S1210" s="23">
        <f t="shared" si="460"/>
        <v>5178</v>
      </c>
      <c r="T1210" s="23" t="str">
        <f t="shared" si="461"/>
        <v/>
      </c>
      <c r="U1210" t="str">
        <f t="shared" si="462"/>
        <v/>
      </c>
      <c r="W1210" s="1">
        <f t="shared" si="463"/>
        <v>1</v>
      </c>
      <c r="X1210" s="73">
        <f t="shared" si="451"/>
        <v>9.2502093249072779</v>
      </c>
      <c r="Y1210" s="322">
        <f t="shared" si="464"/>
        <v>12934.326000000001</v>
      </c>
      <c r="Z1210" s="43" t="e">
        <f t="shared" si="452"/>
        <v>#N/A</v>
      </c>
      <c r="AA1210" s="52" t="e">
        <f t="shared" si="465"/>
        <v>#N/A</v>
      </c>
      <c r="AB1210" s="8" t="e">
        <f t="shared" si="466"/>
        <v>#N/A</v>
      </c>
      <c r="AC1210" s="8" t="e">
        <f t="shared" si="467"/>
        <v>#N/A</v>
      </c>
      <c r="AD1210" s="8" t="e">
        <f t="shared" si="469"/>
        <v>#N/A</v>
      </c>
      <c r="AE1210" s="8" t="str">
        <f t="shared" si="468"/>
        <v/>
      </c>
      <c r="AF1210" s="22" t="str">
        <f t="shared" si="471"/>
        <v>MD_2020g~Cnty0</v>
      </c>
      <c r="AG1210">
        <v>1</v>
      </c>
      <c r="AH1210" s="8">
        <v>187454</v>
      </c>
      <c r="AI1210" s="273">
        <v>156548</v>
      </c>
      <c r="AJ1210" s="274">
        <v>30906</v>
      </c>
      <c r="AK1210" s="339">
        <v>125642</v>
      </c>
      <c r="AL1210" s="23" t="s">
        <v>7971</v>
      </c>
      <c r="AM1210" s="377">
        <f t="shared" si="472"/>
        <v>0.67025510258516752</v>
      </c>
      <c r="AN1210" s="357">
        <f t="shared" si="473"/>
        <v>1</v>
      </c>
      <c r="AP1210" s="23" t="e">
        <f t="shared" si="470"/>
        <v>#N/A</v>
      </c>
      <c r="AQ1210" s="392" t="e">
        <f t="shared" si="475"/>
        <v>#N/A</v>
      </c>
      <c r="AR1210" s="392" t="e">
        <f t="shared" si="476"/>
        <v>#N/A</v>
      </c>
      <c r="AS1210" s="392" t="e">
        <f t="shared" si="476"/>
        <v>#N/A</v>
      </c>
    </row>
    <row r="1211" spans="1:45">
      <c r="A1211" t="str">
        <f t="shared" si="474"/>
        <v>CA_Orang_2020g~orange county water district director, division 6 (vote 1)</v>
      </c>
      <c r="B1211" s="55" t="s">
        <v>3536</v>
      </c>
      <c r="D1211" s="55" t="s">
        <v>4111</v>
      </c>
      <c r="E1211" s="55" t="s">
        <v>4112</v>
      </c>
      <c r="G1211" s="60">
        <v>66290</v>
      </c>
      <c r="H1211"/>
      <c r="J1211">
        <v>136190</v>
      </c>
      <c r="N1211">
        <v>25992</v>
      </c>
      <c r="O1211">
        <f t="shared" si="456"/>
        <v>1</v>
      </c>
      <c r="P1211" s="57">
        <f t="shared" si="457"/>
        <v>1</v>
      </c>
      <c r="Q1211" s="267">
        <f t="shared" si="458"/>
        <v>109796</v>
      </c>
      <c r="R1211" s="23">
        <f t="shared" si="459"/>
        <v>66290</v>
      </c>
      <c r="S1211" s="23">
        <f t="shared" si="460"/>
        <v>43506</v>
      </c>
      <c r="T1211" s="23">
        <f t="shared" si="461"/>
        <v>22784</v>
      </c>
      <c r="U1211" t="str">
        <f t="shared" si="462"/>
        <v>CA_Orang_2020g~orange county water district director, division 6 (vote 1)</v>
      </c>
      <c r="W1211" s="1">
        <f t="shared" si="463"/>
        <v>1</v>
      </c>
      <c r="X1211" s="73">
        <f t="shared" si="451"/>
        <v>9.1742021498208484</v>
      </c>
      <c r="Y1211" s="322">
        <f t="shared" si="464"/>
        <v>1225.3020000000001</v>
      </c>
      <c r="Z1211" s="43" t="e">
        <f t="shared" si="452"/>
        <v>#N/A</v>
      </c>
      <c r="AA1211" s="52" t="e">
        <f t="shared" si="465"/>
        <v>#N/A</v>
      </c>
      <c r="AB1211" s="8" t="e">
        <f t="shared" si="466"/>
        <v>#N/A</v>
      </c>
      <c r="AC1211" s="8" t="e">
        <f t="shared" si="467"/>
        <v>#N/A</v>
      </c>
      <c r="AD1211" s="8" t="e">
        <f t="shared" si="469"/>
        <v>#N/A</v>
      </c>
      <c r="AE1211" s="8" t="str">
        <f t="shared" si="468"/>
        <v/>
      </c>
      <c r="AF1211" s="22" t="str">
        <f t="shared" si="471"/>
        <v>MD_2020g~Cnty3</v>
      </c>
      <c r="AG1211">
        <v>1</v>
      </c>
      <c r="AH1211" s="272">
        <v>17758</v>
      </c>
      <c r="AI1211" s="273">
        <v>14802</v>
      </c>
      <c r="AJ1211" s="274">
        <v>2801</v>
      </c>
      <c r="AK1211" s="339">
        <v>12001</v>
      </c>
      <c r="AL1211" s="340" t="s">
        <v>7998</v>
      </c>
      <c r="AM1211" s="377">
        <f t="shared" si="472"/>
        <v>0.67580808649622703</v>
      </c>
      <c r="AN1211" s="357">
        <f t="shared" si="473"/>
        <v>1</v>
      </c>
      <c r="AP1211" s="23" t="e">
        <f t="shared" si="470"/>
        <v>#N/A</v>
      </c>
      <c r="AQ1211" s="392" t="e">
        <f t="shared" si="475"/>
        <v>#N/A</v>
      </c>
      <c r="AR1211" s="392" t="e">
        <f t="shared" si="476"/>
        <v>#N/A</v>
      </c>
      <c r="AS1211" s="392" t="e">
        <f t="shared" si="476"/>
        <v>#N/A</v>
      </c>
    </row>
    <row r="1212" spans="1:45">
      <c r="A1212" t="str">
        <f t="shared" si="474"/>
        <v>CA_Orang_2020g~orange county water district director, division 6 (vote 1)</v>
      </c>
      <c r="B1212" s="55" t="s">
        <v>3536</v>
      </c>
      <c r="D1212" s="55" t="s">
        <v>4111</v>
      </c>
      <c r="E1212" s="55" t="s">
        <v>4113</v>
      </c>
      <c r="G1212" s="60">
        <v>43506</v>
      </c>
      <c r="H1212"/>
      <c r="J1212">
        <v>136190</v>
      </c>
      <c r="N1212">
        <v>25992</v>
      </c>
      <c r="O1212">
        <f t="shared" si="456"/>
        <v>2</v>
      </c>
      <c r="P1212" s="57">
        <f t="shared" si="457"/>
        <v>1</v>
      </c>
      <c r="Q1212" s="267">
        <f t="shared" si="458"/>
        <v>43506</v>
      </c>
      <c r="R1212" s="23" t="str">
        <f t="shared" si="459"/>
        <v/>
      </c>
      <c r="S1212" s="23">
        <f t="shared" si="460"/>
        <v>43506</v>
      </c>
      <c r="T1212" s="23" t="str">
        <f t="shared" si="461"/>
        <v/>
      </c>
      <c r="U1212" t="str">
        <f t="shared" si="462"/>
        <v/>
      </c>
      <c r="W1212" s="1">
        <f t="shared" si="463"/>
        <v>1</v>
      </c>
      <c r="X1212" s="73">
        <f t="shared" si="451"/>
        <v>9.0897627139979864</v>
      </c>
      <c r="Y1212" s="322">
        <f t="shared" si="464"/>
        <v>12857.874000000002</v>
      </c>
      <c r="Z1212" s="43" t="e">
        <f t="shared" si="452"/>
        <v>#N/A</v>
      </c>
      <c r="AA1212" s="52" t="e">
        <f t="shared" si="465"/>
        <v>#N/A</v>
      </c>
      <c r="AB1212" s="8" t="e">
        <f t="shared" si="466"/>
        <v>#N/A</v>
      </c>
      <c r="AC1212" s="8" t="e">
        <f t="shared" si="467"/>
        <v>#N/A</v>
      </c>
      <c r="AD1212" s="8" t="e">
        <f t="shared" si="469"/>
        <v>#N/A</v>
      </c>
      <c r="AE1212" s="8" t="str">
        <f t="shared" si="468"/>
        <v/>
      </c>
      <c r="AF1212" s="22" t="str">
        <f t="shared" si="471"/>
        <v>MD_2020g~Cnty0</v>
      </c>
      <c r="AG1212">
        <v>1</v>
      </c>
      <c r="AH1212" s="8">
        <v>186346</v>
      </c>
      <c r="AI1212" s="273">
        <v>156725</v>
      </c>
      <c r="AJ1212" s="274">
        <v>29621</v>
      </c>
      <c r="AK1212" s="339">
        <v>127104</v>
      </c>
      <c r="AL1212" s="23" t="s">
        <v>7974</v>
      </c>
      <c r="AM1212" s="377">
        <f t="shared" si="472"/>
        <v>0.68208601204211516</v>
      </c>
      <c r="AN1212" s="357">
        <f t="shared" si="473"/>
        <v>1</v>
      </c>
      <c r="AP1212" s="23" t="e">
        <f t="shared" si="470"/>
        <v>#N/A</v>
      </c>
      <c r="AQ1212" s="392" t="e">
        <f t="shared" si="475"/>
        <v>#N/A</v>
      </c>
      <c r="AR1212" s="392" t="e">
        <f t="shared" si="476"/>
        <v>#N/A</v>
      </c>
      <c r="AS1212" s="392" t="e">
        <f t="shared" si="476"/>
        <v>#N/A</v>
      </c>
    </row>
    <row r="1213" spans="1:45">
      <c r="A1213" t="str">
        <f t="shared" si="474"/>
        <v>CA_Orang_2020g~orange unified school district governing board member, trustee area 2 (vote 1)</v>
      </c>
      <c r="B1213" s="55" t="s">
        <v>3536</v>
      </c>
      <c r="D1213" s="55" t="s">
        <v>3652</v>
      </c>
      <c r="E1213" s="55" t="s">
        <v>3653</v>
      </c>
      <c r="G1213" s="60">
        <v>51529</v>
      </c>
      <c r="H1213"/>
      <c r="J1213">
        <v>113353</v>
      </c>
      <c r="N1213">
        <v>17913</v>
      </c>
      <c r="O1213">
        <f t="shared" si="456"/>
        <v>1</v>
      </c>
      <c r="P1213" s="57">
        <f t="shared" si="457"/>
        <v>1</v>
      </c>
      <c r="Q1213" s="267">
        <f t="shared" si="458"/>
        <v>94942</v>
      </c>
      <c r="R1213" s="23">
        <f t="shared" si="459"/>
        <v>51529</v>
      </c>
      <c r="S1213" s="23">
        <f t="shared" si="460"/>
        <v>43413</v>
      </c>
      <c r="T1213" s="23">
        <f t="shared" si="461"/>
        <v>8116</v>
      </c>
      <c r="U1213" t="str">
        <f t="shared" si="462"/>
        <v>CA_Orang_2020g~orange unified school district governing board member, trustee area 2 (vote 1)</v>
      </c>
      <c r="W1213" s="1">
        <f t="shared" si="463"/>
        <v>2</v>
      </c>
      <c r="X1213" s="73">
        <f t="shared" si="451"/>
        <v>8.8285016959133618</v>
      </c>
      <c r="Y1213" s="322">
        <f t="shared" si="464"/>
        <v>170850.21000000002</v>
      </c>
      <c r="Z1213" s="43" t="e">
        <f t="shared" si="452"/>
        <v>#N/A</v>
      </c>
      <c r="AA1213" s="52" t="e">
        <f t="shared" si="465"/>
        <v>#N/A</v>
      </c>
      <c r="AB1213" s="8" t="e">
        <f t="shared" si="466"/>
        <v>#N/A</v>
      </c>
      <c r="AC1213" s="8" t="e">
        <f t="shared" si="467"/>
        <v>#N/A</v>
      </c>
      <c r="AD1213" s="8" t="e">
        <f t="shared" si="469"/>
        <v>#N/A</v>
      </c>
      <c r="AE1213" s="8" t="str">
        <f t="shared" si="468"/>
        <v/>
      </c>
      <c r="AF1213" s="22" t="str">
        <f t="shared" si="471"/>
        <v>MD_2020g~Cnty0</v>
      </c>
      <c r="AG1213">
        <v>1</v>
      </c>
      <c r="AH1213" s="8">
        <v>2476090</v>
      </c>
      <c r="AI1213" s="273">
        <v>2107488</v>
      </c>
      <c r="AJ1213" s="274">
        <v>368602</v>
      </c>
      <c r="AK1213" s="339">
        <v>1738886</v>
      </c>
      <c r="AL1213" s="23" t="s">
        <v>7977</v>
      </c>
      <c r="AM1213" s="377">
        <f t="shared" si="472"/>
        <v>0.70227091906998529</v>
      </c>
      <c r="AN1213" s="357">
        <f t="shared" si="473"/>
        <v>1</v>
      </c>
      <c r="AP1213" s="23" t="e">
        <f t="shared" si="470"/>
        <v>#N/A</v>
      </c>
      <c r="AQ1213" s="392" t="e">
        <f t="shared" si="475"/>
        <v>#N/A</v>
      </c>
      <c r="AR1213" s="392" t="e">
        <f t="shared" si="476"/>
        <v>#N/A</v>
      </c>
      <c r="AS1213" s="392" t="e">
        <f t="shared" si="476"/>
        <v>#N/A</v>
      </c>
    </row>
    <row r="1214" spans="1:45">
      <c r="A1214" t="str">
        <f t="shared" si="474"/>
        <v>CA_Orang_2020g~orange unified school district governing board member, trustee area 2 (vote 1)</v>
      </c>
      <c r="B1214" s="55" t="s">
        <v>3536</v>
      </c>
      <c r="D1214" s="55" t="s">
        <v>3652</v>
      </c>
      <c r="E1214" s="55" t="s">
        <v>3654</v>
      </c>
      <c r="G1214" s="60">
        <v>43413</v>
      </c>
      <c r="H1214"/>
      <c r="J1214">
        <v>113353</v>
      </c>
      <c r="N1214">
        <v>17913</v>
      </c>
      <c r="O1214">
        <f t="shared" si="456"/>
        <v>2</v>
      </c>
      <c r="P1214" s="57">
        <f t="shared" si="457"/>
        <v>1</v>
      </c>
      <c r="Q1214" s="267">
        <f t="shared" si="458"/>
        <v>43413</v>
      </c>
      <c r="R1214" s="23" t="str">
        <f t="shared" si="459"/>
        <v/>
      </c>
      <c r="S1214" s="23">
        <f t="shared" si="460"/>
        <v>43413</v>
      </c>
      <c r="T1214" s="23" t="str">
        <f t="shared" si="461"/>
        <v/>
      </c>
      <c r="U1214" t="str">
        <f t="shared" si="462"/>
        <v/>
      </c>
      <c r="W1214" s="1">
        <f t="shared" si="463"/>
        <v>3</v>
      </c>
      <c r="X1214" s="73">
        <f t="shared" si="451"/>
        <v>8.7192416657091751</v>
      </c>
      <c r="Y1214" s="322">
        <f t="shared" si="464"/>
        <v>29558.841000000004</v>
      </c>
      <c r="Z1214" s="43" t="e">
        <f t="shared" si="452"/>
        <v>#N/A</v>
      </c>
      <c r="AA1214" s="52" t="e">
        <f t="shared" si="465"/>
        <v>#N/A</v>
      </c>
      <c r="AB1214" s="8" t="e">
        <f t="shared" si="466"/>
        <v>#N/A</v>
      </c>
      <c r="AC1214" s="8" t="e">
        <f t="shared" si="467"/>
        <v>#N/A</v>
      </c>
      <c r="AD1214" s="8" t="e">
        <f t="shared" si="469"/>
        <v>#N/A</v>
      </c>
      <c r="AE1214" s="8" t="str">
        <f t="shared" si="468"/>
        <v/>
      </c>
      <c r="AF1214" s="22" t="str">
        <f t="shared" si="471"/>
        <v>MD_2020g~Cnty0</v>
      </c>
      <c r="AG1214">
        <v>1</v>
      </c>
      <c r="AH1214" s="8">
        <v>428389</v>
      </c>
      <c r="AI1214" s="273">
        <v>366502</v>
      </c>
      <c r="AJ1214" s="274">
        <v>61887</v>
      </c>
      <c r="AK1214" s="339">
        <v>304615</v>
      </c>
      <c r="AL1214" s="23" t="s">
        <v>7975</v>
      </c>
      <c r="AM1214" s="377">
        <f t="shared" si="472"/>
        <v>0.71107101256101346</v>
      </c>
      <c r="AN1214" s="357">
        <f t="shared" si="473"/>
        <v>1</v>
      </c>
      <c r="AP1214" s="23" t="e">
        <f t="shared" si="470"/>
        <v>#N/A</v>
      </c>
      <c r="AQ1214" s="392" t="e">
        <f t="shared" si="475"/>
        <v>#N/A</v>
      </c>
      <c r="AR1214" s="392" t="e">
        <f t="shared" si="476"/>
        <v>#N/A</v>
      </c>
      <c r="AS1214" s="392" t="e">
        <f t="shared" si="476"/>
        <v>#N/A</v>
      </c>
    </row>
    <row r="1215" spans="1:45">
      <c r="A1215" t="str">
        <f t="shared" si="474"/>
        <v>CA_Orang_2020g~orange unified school district governing board member, trustee area 3 (vote 1)</v>
      </c>
      <c r="B1215" s="55" t="s">
        <v>3536</v>
      </c>
      <c r="D1215" s="55" t="s">
        <v>3655</v>
      </c>
      <c r="E1215" s="55" t="s">
        <v>3657</v>
      </c>
      <c r="G1215" s="60">
        <v>54061</v>
      </c>
      <c r="H1215"/>
      <c r="J1215">
        <v>113353</v>
      </c>
      <c r="N1215">
        <v>19375</v>
      </c>
      <c r="O1215">
        <f t="shared" si="456"/>
        <v>1</v>
      </c>
      <c r="P1215" s="57">
        <f t="shared" si="457"/>
        <v>1</v>
      </c>
      <c r="Q1215" s="267">
        <f t="shared" si="458"/>
        <v>93452</v>
      </c>
      <c r="R1215" s="23">
        <f t="shared" si="459"/>
        <v>54061</v>
      </c>
      <c r="S1215" s="23">
        <f t="shared" si="460"/>
        <v>39391</v>
      </c>
      <c r="T1215" s="23">
        <f t="shared" si="461"/>
        <v>14670</v>
      </c>
      <c r="U1215" t="str">
        <f t="shared" si="462"/>
        <v>CA_Orang_2020g~orange unified school district governing board member, trustee area 3 (vote 1)</v>
      </c>
      <c r="W1215" s="1">
        <f t="shared" si="463"/>
        <v>4</v>
      </c>
      <c r="X1215" s="73">
        <f t="shared" si="451"/>
        <v>8.6087633492461997</v>
      </c>
      <c r="Y1215" s="322">
        <f t="shared" si="464"/>
        <v>29461.482000000004</v>
      </c>
      <c r="Z1215" s="43" t="e">
        <f t="shared" si="452"/>
        <v>#N/A</v>
      </c>
      <c r="AA1215" s="52" t="e">
        <f t="shared" si="465"/>
        <v>#N/A</v>
      </c>
      <c r="AB1215" s="8" t="e">
        <f t="shared" si="466"/>
        <v>#N/A</v>
      </c>
      <c r="AC1215" s="8" t="e">
        <f t="shared" si="467"/>
        <v>#N/A</v>
      </c>
      <c r="AD1215" s="8" t="e">
        <f t="shared" si="469"/>
        <v>#N/A</v>
      </c>
      <c r="AE1215" s="8" t="str">
        <f t="shared" si="468"/>
        <v/>
      </c>
      <c r="AF1215" s="22" t="str">
        <f t="shared" si="471"/>
        <v>MD_2020g~Cnty0</v>
      </c>
      <c r="AG1215">
        <v>1</v>
      </c>
      <c r="AH1215" s="8">
        <v>426978</v>
      </c>
      <c r="AI1215" s="273">
        <v>367243</v>
      </c>
      <c r="AJ1215" s="274">
        <v>59735</v>
      </c>
      <c r="AK1215" s="339">
        <v>307508</v>
      </c>
      <c r="AL1215" s="23" t="s">
        <v>7976</v>
      </c>
      <c r="AM1215" s="377">
        <f t="shared" si="472"/>
        <v>0.72019635672095517</v>
      </c>
      <c r="AN1215" s="357">
        <f t="shared" si="473"/>
        <v>1</v>
      </c>
      <c r="AP1215" s="23" t="e">
        <f t="shared" si="470"/>
        <v>#N/A</v>
      </c>
      <c r="AQ1215" s="392" t="e">
        <f t="shared" si="475"/>
        <v>#N/A</v>
      </c>
      <c r="AR1215" s="392" t="e">
        <f t="shared" si="476"/>
        <v>#N/A</v>
      </c>
      <c r="AS1215" s="392" t="e">
        <f t="shared" si="476"/>
        <v>#N/A</v>
      </c>
    </row>
    <row r="1216" spans="1:45">
      <c r="A1216" t="str">
        <f t="shared" si="474"/>
        <v>CA_Orang_2020g~orange unified school district governing board member, trustee area 3 (vote 1)</v>
      </c>
      <c r="B1216" s="55" t="s">
        <v>3536</v>
      </c>
      <c r="D1216" s="55" t="s">
        <v>3655</v>
      </c>
      <c r="E1216" s="55" t="s">
        <v>3656</v>
      </c>
      <c r="G1216" s="60">
        <v>39391</v>
      </c>
      <c r="H1216"/>
      <c r="J1216">
        <v>113353</v>
      </c>
      <c r="N1216">
        <v>19375</v>
      </c>
      <c r="O1216">
        <f t="shared" si="456"/>
        <v>2</v>
      </c>
      <c r="P1216" s="57">
        <f t="shared" si="457"/>
        <v>1</v>
      </c>
      <c r="Q1216" s="267">
        <f t="shared" si="458"/>
        <v>39391</v>
      </c>
      <c r="R1216" s="23" t="str">
        <f t="shared" si="459"/>
        <v/>
      </c>
      <c r="S1216" s="23">
        <f t="shared" si="460"/>
        <v>39391</v>
      </c>
      <c r="T1216" s="23" t="str">
        <f t="shared" si="461"/>
        <v/>
      </c>
      <c r="U1216" t="str">
        <f t="shared" si="462"/>
        <v/>
      </c>
      <c r="W1216" s="1">
        <f t="shared" si="463"/>
        <v>1</v>
      </c>
      <c r="X1216" s="73">
        <f t="shared" ref="X1216:X1251" si="477">IF(AK1216=0,AH1216,MIN(AH1216,6.2/(AK1216/AH1216)))</f>
        <v>8.520667145578912</v>
      </c>
      <c r="Y1216" s="322">
        <f t="shared" si="464"/>
        <v>3036.0690000000004</v>
      </c>
      <c r="Z1216" s="43" t="e">
        <f t="shared" ref="Z1216:Z1251" si="478">AA1216*100</f>
        <v>#N/A</v>
      </c>
      <c r="AA1216" s="52" t="e">
        <f t="shared" si="465"/>
        <v>#N/A</v>
      </c>
      <c r="AB1216" s="8" t="e">
        <f t="shared" si="466"/>
        <v>#N/A</v>
      </c>
      <c r="AC1216" s="8" t="e">
        <f t="shared" si="467"/>
        <v>#N/A</v>
      </c>
      <c r="AD1216" s="8" t="e">
        <f t="shared" si="469"/>
        <v>#N/A</v>
      </c>
      <c r="AE1216" s="8" t="str">
        <f t="shared" si="468"/>
        <v/>
      </c>
      <c r="AF1216" s="22" t="str">
        <f t="shared" ref="AF1216:AF1274" si="479">LEFT(AL1216,14)</f>
        <v>MD_2020g~Cnty1</v>
      </c>
      <c r="AG1216">
        <v>1</v>
      </c>
      <c r="AH1216" s="272">
        <v>44001</v>
      </c>
      <c r="AI1216" s="273">
        <v>37838</v>
      </c>
      <c r="AJ1216" s="274">
        <v>5821</v>
      </c>
      <c r="AK1216" s="339">
        <v>32017</v>
      </c>
      <c r="AL1216" s="340" t="s">
        <v>8047</v>
      </c>
      <c r="AM1216" s="377">
        <f t="shared" ref="AM1216:AM1251" si="480">AK1216/AH1216</f>
        <v>0.72764255357832774</v>
      </c>
      <c r="AN1216" s="357">
        <f t="shared" ref="AN1216:AN1251" si="481">IF(X1216&lt;=0.01*AH1216,1,"")</f>
        <v>1</v>
      </c>
      <c r="AP1216" s="23" t="e">
        <f t="shared" si="470"/>
        <v>#N/A</v>
      </c>
      <c r="AQ1216" s="392" t="e">
        <f t="shared" si="475"/>
        <v>#N/A</v>
      </c>
      <c r="AR1216" s="392" t="e">
        <f t="shared" si="476"/>
        <v>#N/A</v>
      </c>
      <c r="AS1216" s="392" t="e">
        <f t="shared" si="476"/>
        <v>#N/A</v>
      </c>
    </row>
    <row r="1217" spans="1:45">
      <c r="A1217" t="str">
        <f t="shared" si="474"/>
        <v>CA_Orang_2020g~orange unified school district governing board member, trustee area 6 (vote 1)</v>
      </c>
      <c r="B1217" s="55" t="s">
        <v>3536</v>
      </c>
      <c r="D1217" s="55" t="s">
        <v>3658</v>
      </c>
      <c r="E1217" s="55" t="s">
        <v>3662</v>
      </c>
      <c r="G1217" s="60">
        <v>42987</v>
      </c>
      <c r="H1217"/>
      <c r="J1217">
        <v>113353</v>
      </c>
      <c r="N1217">
        <v>19840</v>
      </c>
      <c r="O1217">
        <f t="shared" si="456"/>
        <v>1</v>
      </c>
      <c r="P1217" s="57">
        <f t="shared" si="457"/>
        <v>1</v>
      </c>
      <c r="Q1217" s="267">
        <f t="shared" si="458"/>
        <v>92998</v>
      </c>
      <c r="R1217" s="23">
        <f t="shared" si="459"/>
        <v>42987</v>
      </c>
      <c r="S1217" s="23">
        <f t="shared" si="460"/>
        <v>35112</v>
      </c>
      <c r="T1217" s="23">
        <f t="shared" si="461"/>
        <v>7875</v>
      </c>
      <c r="U1217" t="str">
        <f t="shared" si="462"/>
        <v>CA_Orang_2020g~orange unified school district governing board member, trustee area 6 (vote 1)</v>
      </c>
      <c r="W1217" s="1">
        <f t="shared" si="463"/>
        <v>1</v>
      </c>
      <c r="X1217" s="73">
        <f t="shared" si="477"/>
        <v>8.469213905418103</v>
      </c>
      <c r="Y1217" s="322">
        <f t="shared" si="464"/>
        <v>9329.5590000000011</v>
      </c>
      <c r="Z1217" s="43" t="e">
        <f t="shared" si="478"/>
        <v>#N/A</v>
      </c>
      <c r="AA1217" s="52" t="e">
        <f t="shared" si="465"/>
        <v>#N/A</v>
      </c>
      <c r="AB1217" s="8" t="e">
        <f t="shared" si="466"/>
        <v>#N/A</v>
      </c>
      <c r="AC1217" s="8" t="e">
        <f t="shared" si="467"/>
        <v>#N/A</v>
      </c>
      <c r="AD1217" s="8" t="e">
        <f t="shared" si="469"/>
        <v>#N/A</v>
      </c>
      <c r="AE1217" s="8" t="str">
        <f t="shared" si="468"/>
        <v/>
      </c>
      <c r="AF1217" s="22" t="str">
        <f t="shared" si="479"/>
        <v>MD_2020g~Cnty3</v>
      </c>
      <c r="AG1217">
        <v>5</v>
      </c>
      <c r="AH1217" s="272">
        <v>135211</v>
      </c>
      <c r="AI1217" s="273">
        <v>104084</v>
      </c>
      <c r="AJ1217" s="274">
        <v>5101</v>
      </c>
      <c r="AK1217" s="339">
        <v>98983</v>
      </c>
      <c r="AL1217" s="340" t="s">
        <v>7994</v>
      </c>
      <c r="AM1217" s="377">
        <f t="shared" si="480"/>
        <v>0.73206321970845567</v>
      </c>
      <c r="AN1217" s="357">
        <f t="shared" si="481"/>
        <v>1</v>
      </c>
      <c r="AP1217" s="23" t="e">
        <f t="shared" si="470"/>
        <v>#N/A</v>
      </c>
      <c r="AQ1217" s="392" t="e">
        <f t="shared" si="475"/>
        <v>#N/A</v>
      </c>
      <c r="AR1217" s="392" t="e">
        <f t="shared" si="476"/>
        <v>#N/A</v>
      </c>
      <c r="AS1217" s="392" t="e">
        <f t="shared" si="476"/>
        <v>#N/A</v>
      </c>
    </row>
    <row r="1218" spans="1:45">
      <c r="A1218" t="str">
        <f t="shared" si="474"/>
        <v>CA_Orang_2020g~orange unified school district governing board member, trustee area 6 (vote 1)</v>
      </c>
      <c r="B1218" s="55" t="s">
        <v>3536</v>
      </c>
      <c r="D1218" s="55" t="s">
        <v>3658</v>
      </c>
      <c r="E1218" s="55" t="s">
        <v>3659</v>
      </c>
      <c r="G1218" s="60">
        <v>35112</v>
      </c>
      <c r="H1218"/>
      <c r="J1218">
        <v>113353</v>
      </c>
      <c r="N1218">
        <v>19840</v>
      </c>
      <c r="O1218">
        <f t="shared" ref="O1218:O1281" si="482">IF(OR(LOWER(LEFT(E1218,8))="write-in",LOWER(LEFT(E1218,8))="not qual"),IF(A1218=A1217,-ABS(O1217),0),IF(A1218=A1217,ABS(O1217)+1,1))</f>
        <v>2</v>
      </c>
      <c r="P1218" s="57">
        <f t="shared" ref="P1218:P1281" si="483">1*LEFT(RIGHT(A1218,2),1)</f>
        <v>1</v>
      </c>
      <c r="Q1218" s="267">
        <f t="shared" ref="Q1218:Q1281" si="484">IF(A1218&lt;&gt;A1219,G1218,IF(A1218=A1217,G1218+Q1219,MAX(G1218,(G1218+Q1219)/P1218)))</f>
        <v>50011</v>
      </c>
      <c r="R1218" s="23" t="str">
        <f t="shared" ref="R1218:R1281" si="485">IF(O1218&gt;P1218,"",IF(O1218=P1218,G1218,IF(A1218=A1219,R1219,IF(O1218&lt;=0,1,G1218))))</f>
        <v/>
      </c>
      <c r="S1218" s="23">
        <f t="shared" ref="S1218:S1281" si="486">IF(AND(O1218&gt;P1218,LOWER(LEFT(E1218,8))&lt;&gt;"write-in",LOWER(LEFT(E1218,8))&lt;&gt;"not qual"),G1218,IF(A1218=A1219,S1219,0))</f>
        <v>35112</v>
      </c>
      <c r="T1218" s="23" t="str">
        <f t="shared" ref="T1218:T1281" si="487">IF(OR(A1218=A1217,S1218=0),"",R1218-ABS(S1218))</f>
        <v/>
      </c>
      <c r="U1218" t="str">
        <f t="shared" ref="U1218:U1281" si="488">IF(A1218=A1217,"",A1218)</f>
        <v/>
      </c>
      <c r="W1218" s="1">
        <f t="shared" ref="W1218:W1251" si="489">IF(AF1218=AF1217,W1217+1,1)</f>
        <v>1</v>
      </c>
      <c r="X1218" s="73">
        <f t="shared" si="477"/>
        <v>8.4447478161625913</v>
      </c>
      <c r="Y1218" s="322">
        <f t="shared" ref="Y1218:Y1251" si="490">MAX(X1218,0.069*AH1218)</f>
        <v>2141.0010000000002</v>
      </c>
      <c r="Z1218" s="43" t="e">
        <f t="shared" si="478"/>
        <v>#N/A</v>
      </c>
      <c r="AA1218" s="52" t="e">
        <f t="shared" ref="AA1218:AA1251" si="491">(1-AK1218/AC1218)^AB1218</f>
        <v>#N/A</v>
      </c>
      <c r="AB1218" s="8" t="e">
        <f t="shared" ref="AB1218:AB1251" si="492">INDEX(BA$2:BA$76,MATCH($AF1218,$AU$2:$AU$76,0))+IF(AE1218="",0,INDEX(BA$2:BA$76,AE1218))</f>
        <v>#N/A</v>
      </c>
      <c r="AC1218" s="8" t="e">
        <f t="shared" ref="AC1218:AC1251" si="493">INDEX(AX$2:AX$76,MATCH(AF1218,AU$2:AU$76,0))+IF(AE1218="",0,INDEX(AX$2:AX$76,AE1218))</f>
        <v>#N/A</v>
      </c>
      <c r="AD1218" s="8" t="e">
        <f t="shared" si="469"/>
        <v>#N/A</v>
      </c>
      <c r="AE1218" s="8" t="str">
        <f t="shared" ref="AE1218:AE1251" si="494">IF(MID(AL1218,16,2)&lt;&gt;"w/","",MATCH(CONCATENATE("CO_",MID(AL1218,18,5),"_2020g"),AU$2:AU$76,0))</f>
        <v/>
      </c>
      <c r="AF1218" s="22" t="str">
        <f t="shared" si="479"/>
        <v>MD_2020g~Cnty5</v>
      </c>
      <c r="AG1218">
        <v>2</v>
      </c>
      <c r="AH1218" s="272">
        <v>31029</v>
      </c>
      <c r="AI1218" s="273">
        <v>23123</v>
      </c>
      <c r="AJ1218" s="274">
        <v>342</v>
      </c>
      <c r="AK1218" s="339">
        <v>22781</v>
      </c>
      <c r="AL1218" s="340" t="s">
        <v>8015</v>
      </c>
      <c r="AM1218" s="377">
        <f t="shared" si="480"/>
        <v>0.73418415031099937</v>
      </c>
      <c r="AN1218" s="357">
        <f t="shared" si="481"/>
        <v>1</v>
      </c>
      <c r="AP1218" s="23" t="e">
        <f t="shared" si="470"/>
        <v>#N/A</v>
      </c>
      <c r="AQ1218" s="392" t="e">
        <f t="shared" si="475"/>
        <v>#N/A</v>
      </c>
      <c r="AR1218" s="392" t="e">
        <f t="shared" si="476"/>
        <v>#N/A</v>
      </c>
      <c r="AS1218" s="392" t="e">
        <f t="shared" si="476"/>
        <v>#N/A</v>
      </c>
    </row>
    <row r="1219" spans="1:45">
      <c r="A1219" t="str">
        <f t="shared" si="474"/>
        <v>CA_Orang_2020g~orange unified school district governing board member, trustee area 6 (vote 1)</v>
      </c>
      <c r="B1219" s="55" t="s">
        <v>3536</v>
      </c>
      <c r="D1219" s="55" t="s">
        <v>3658</v>
      </c>
      <c r="E1219" s="55" t="s">
        <v>3660</v>
      </c>
      <c r="G1219" s="60">
        <v>7895</v>
      </c>
      <c r="H1219"/>
      <c r="J1219">
        <v>113353</v>
      </c>
      <c r="N1219">
        <v>19840</v>
      </c>
      <c r="O1219">
        <f t="shared" si="482"/>
        <v>3</v>
      </c>
      <c r="P1219" s="57">
        <f t="shared" si="483"/>
        <v>1</v>
      </c>
      <c r="Q1219" s="267">
        <f t="shared" si="484"/>
        <v>14899</v>
      </c>
      <c r="R1219" s="23" t="str">
        <f t="shared" si="485"/>
        <v/>
      </c>
      <c r="S1219" s="23">
        <f t="shared" si="486"/>
        <v>7895</v>
      </c>
      <c r="T1219" s="23" t="str">
        <f t="shared" si="487"/>
        <v/>
      </c>
      <c r="U1219" t="str">
        <f t="shared" si="488"/>
        <v/>
      </c>
      <c r="W1219" s="1">
        <f t="shared" si="489"/>
        <v>1</v>
      </c>
      <c r="X1219" s="73">
        <f t="shared" si="477"/>
        <v>8.2607202022844195</v>
      </c>
      <c r="Y1219" s="322">
        <f t="shared" si="490"/>
        <v>1054.3890000000001</v>
      </c>
      <c r="Z1219" s="43" t="e">
        <f t="shared" si="478"/>
        <v>#N/A</v>
      </c>
      <c r="AA1219" s="52" t="e">
        <f t="shared" si="491"/>
        <v>#N/A</v>
      </c>
      <c r="AB1219" s="8" t="e">
        <f t="shared" si="492"/>
        <v>#N/A</v>
      </c>
      <c r="AC1219" s="8" t="e">
        <f t="shared" si="493"/>
        <v>#N/A</v>
      </c>
      <c r="AD1219" s="8" t="e">
        <f t="shared" ref="AD1219:AD1252" si="495">AC1219/RIGHT(AD$1,4)</f>
        <v>#N/A</v>
      </c>
      <c r="AE1219" s="8" t="str">
        <f t="shared" si="494"/>
        <v/>
      </c>
      <c r="AF1219" s="22" t="str">
        <f t="shared" si="479"/>
        <v>MD_2020g~Cnty3</v>
      </c>
      <c r="AG1219">
        <v>1</v>
      </c>
      <c r="AH1219" s="272">
        <v>15281</v>
      </c>
      <c r="AI1219" s="273">
        <v>13353</v>
      </c>
      <c r="AJ1219" s="274">
        <v>1884</v>
      </c>
      <c r="AK1219" s="339">
        <v>11469</v>
      </c>
      <c r="AL1219" s="340" t="s">
        <v>7997</v>
      </c>
      <c r="AM1219" s="377">
        <f t="shared" si="480"/>
        <v>0.75053988613310652</v>
      </c>
      <c r="AN1219" s="357">
        <f t="shared" si="481"/>
        <v>1</v>
      </c>
      <c r="AP1219" s="23" t="e">
        <f t="shared" si="470"/>
        <v>#N/A</v>
      </c>
      <c r="AQ1219" s="392" t="e">
        <f t="shared" si="475"/>
        <v>#N/A</v>
      </c>
      <c r="AR1219" s="392" t="e">
        <f t="shared" si="476"/>
        <v>#N/A</v>
      </c>
      <c r="AS1219" s="392" t="e">
        <f t="shared" si="476"/>
        <v>#N/A</v>
      </c>
    </row>
    <row r="1220" spans="1:45">
      <c r="A1220" t="str">
        <f t="shared" si="474"/>
        <v>CA_Orang_2020g~orange unified school district governing board member, trustee area 6 (vote 1)</v>
      </c>
      <c r="B1220" s="55" t="s">
        <v>3536</v>
      </c>
      <c r="D1220" s="55" t="s">
        <v>3658</v>
      </c>
      <c r="E1220" s="55" t="s">
        <v>3661</v>
      </c>
      <c r="G1220" s="60">
        <v>7004</v>
      </c>
      <c r="H1220"/>
      <c r="J1220">
        <v>113353</v>
      </c>
      <c r="N1220">
        <v>19840</v>
      </c>
      <c r="O1220">
        <f t="shared" si="482"/>
        <v>4</v>
      </c>
      <c r="P1220" s="57">
        <f t="shared" si="483"/>
        <v>1</v>
      </c>
      <c r="Q1220" s="267">
        <f t="shared" si="484"/>
        <v>7004</v>
      </c>
      <c r="R1220" s="23" t="str">
        <f t="shared" si="485"/>
        <v/>
      </c>
      <c r="S1220" s="23">
        <f t="shared" si="486"/>
        <v>7004</v>
      </c>
      <c r="T1220" s="23" t="str">
        <f t="shared" si="487"/>
        <v/>
      </c>
      <c r="U1220" t="str">
        <f t="shared" si="488"/>
        <v/>
      </c>
      <c r="W1220" s="1">
        <f t="shared" si="489"/>
        <v>2</v>
      </c>
      <c r="X1220" s="73">
        <f t="shared" si="477"/>
        <v>7.9754103943873043</v>
      </c>
      <c r="Y1220" s="322">
        <f t="shared" si="490"/>
        <v>1303.0650000000001</v>
      </c>
      <c r="Z1220" s="43" t="e">
        <f t="shared" si="478"/>
        <v>#N/A</v>
      </c>
      <c r="AA1220" s="52" t="e">
        <f t="shared" si="491"/>
        <v>#N/A</v>
      </c>
      <c r="AB1220" s="8" t="e">
        <f t="shared" si="492"/>
        <v>#N/A</v>
      </c>
      <c r="AC1220" s="8" t="e">
        <f t="shared" si="493"/>
        <v>#N/A</v>
      </c>
      <c r="AD1220" s="8" t="e">
        <f t="shared" si="495"/>
        <v>#N/A</v>
      </c>
      <c r="AE1220" s="8" t="str">
        <f t="shared" si="494"/>
        <v/>
      </c>
      <c r="AF1220" s="22" t="str">
        <f t="shared" si="479"/>
        <v>MD_2020g~Cnty3</v>
      </c>
      <c r="AG1220">
        <v>1</v>
      </c>
      <c r="AH1220" s="272">
        <v>18885</v>
      </c>
      <c r="AI1220" s="273">
        <v>16688</v>
      </c>
      <c r="AJ1220" s="274">
        <v>2007</v>
      </c>
      <c r="AK1220" s="339">
        <v>14681</v>
      </c>
      <c r="AL1220" s="340" t="s">
        <v>8000</v>
      </c>
      <c r="AM1220" s="377">
        <f t="shared" si="480"/>
        <v>0.77738946253640451</v>
      </c>
      <c r="AN1220" s="357">
        <f t="shared" si="481"/>
        <v>1</v>
      </c>
      <c r="AP1220" s="23" t="e">
        <f t="shared" si="470"/>
        <v>#N/A</v>
      </c>
      <c r="AQ1220" s="392" t="e">
        <f t="shared" si="475"/>
        <v>#N/A</v>
      </c>
      <c r="AR1220" s="392" t="e">
        <f t="shared" si="476"/>
        <v>#N/A</v>
      </c>
      <c r="AS1220" s="392" t="e">
        <f t="shared" si="476"/>
        <v>#N/A</v>
      </c>
    </row>
    <row r="1221" spans="1:45">
      <c r="A1221" t="str">
        <f t="shared" si="474"/>
        <v>CA_Orang_2020g~p-city of cypress, amend city charter to update noticing, election procedures, and process for filling a council vacancy (vote 1)</v>
      </c>
      <c r="B1221" s="55" t="s">
        <v>3536</v>
      </c>
      <c r="D1221" s="55" t="s">
        <v>4156</v>
      </c>
      <c r="E1221" s="55" t="s">
        <v>1393</v>
      </c>
      <c r="G1221" s="60">
        <v>16050</v>
      </c>
      <c r="H1221"/>
      <c r="J1221">
        <v>26387</v>
      </c>
      <c r="N1221">
        <v>3166</v>
      </c>
      <c r="O1221">
        <f t="shared" si="482"/>
        <v>1</v>
      </c>
      <c r="P1221" s="57">
        <f t="shared" si="483"/>
        <v>1</v>
      </c>
      <c r="Q1221" s="267">
        <f t="shared" si="484"/>
        <v>23205</v>
      </c>
      <c r="R1221" s="23">
        <f t="shared" si="485"/>
        <v>16050</v>
      </c>
      <c r="S1221" s="23">
        <f t="shared" si="486"/>
        <v>7155</v>
      </c>
      <c r="T1221" s="23">
        <f t="shared" si="487"/>
        <v>8895</v>
      </c>
      <c r="U1221" t="str">
        <f t="shared" si="488"/>
        <v>CA_Orang_2020g~p-city of cypress, amend city charter to update noticing, election procedures, and process for filling a council vacancy (vote 1)</v>
      </c>
      <c r="W1221" s="1">
        <f t="shared" si="489"/>
        <v>3</v>
      </c>
      <c r="X1221" s="73">
        <f t="shared" si="477"/>
        <v>7.7287671232876711</v>
      </c>
      <c r="Y1221" s="322">
        <f t="shared" si="490"/>
        <v>1017.1980000000001</v>
      </c>
      <c r="Z1221" s="43" t="e">
        <f t="shared" si="478"/>
        <v>#N/A</v>
      </c>
      <c r="AA1221" s="52" t="e">
        <f t="shared" si="491"/>
        <v>#N/A</v>
      </c>
      <c r="AB1221" s="8" t="e">
        <f t="shared" si="492"/>
        <v>#N/A</v>
      </c>
      <c r="AC1221" s="8" t="e">
        <f t="shared" si="493"/>
        <v>#N/A</v>
      </c>
      <c r="AD1221" s="8" t="e">
        <f t="shared" si="495"/>
        <v>#N/A</v>
      </c>
      <c r="AE1221" s="8" t="str">
        <f t="shared" si="494"/>
        <v/>
      </c>
      <c r="AF1221" s="22" t="str">
        <f t="shared" si="479"/>
        <v>MD_2020g~Cnty3</v>
      </c>
      <c r="AG1221">
        <v>1</v>
      </c>
      <c r="AH1221" s="272">
        <v>14742</v>
      </c>
      <c r="AI1221" s="273">
        <v>13247</v>
      </c>
      <c r="AJ1221" s="274">
        <v>1421</v>
      </c>
      <c r="AK1221" s="339">
        <v>11826</v>
      </c>
      <c r="AL1221" s="340" t="s">
        <v>8001</v>
      </c>
      <c r="AM1221" s="377">
        <f t="shared" si="480"/>
        <v>0.80219780219780223</v>
      </c>
      <c r="AN1221" s="357">
        <f t="shared" si="481"/>
        <v>1</v>
      </c>
      <c r="AP1221" s="23" t="e">
        <f t="shared" si="470"/>
        <v>#N/A</v>
      </c>
      <c r="AQ1221" s="392" t="e">
        <f t="shared" si="475"/>
        <v>#N/A</v>
      </c>
      <c r="AR1221" s="392" t="e">
        <f t="shared" si="476"/>
        <v>#N/A</v>
      </c>
      <c r="AS1221" s="392" t="e">
        <f t="shared" si="476"/>
        <v>#N/A</v>
      </c>
    </row>
    <row r="1222" spans="1:45">
      <c r="A1222" t="str">
        <f t="shared" si="474"/>
        <v>CA_Orang_2020g~p-city of cypress, amend city charter to update noticing, election procedures, and process for filling a council vacancy (vote 1)</v>
      </c>
      <c r="B1222" s="55" t="s">
        <v>3536</v>
      </c>
      <c r="D1222" s="55" t="s">
        <v>4156</v>
      </c>
      <c r="E1222" s="55" t="s">
        <v>1394</v>
      </c>
      <c r="G1222" s="60">
        <v>7155</v>
      </c>
      <c r="H1222"/>
      <c r="J1222">
        <v>26387</v>
      </c>
      <c r="N1222">
        <v>3166</v>
      </c>
      <c r="O1222">
        <f t="shared" si="482"/>
        <v>2</v>
      </c>
      <c r="P1222" s="57">
        <f t="shared" si="483"/>
        <v>1</v>
      </c>
      <c r="Q1222" s="267">
        <f t="shared" si="484"/>
        <v>7155</v>
      </c>
      <c r="R1222" s="23" t="str">
        <f t="shared" si="485"/>
        <v/>
      </c>
      <c r="S1222" s="23">
        <f t="shared" si="486"/>
        <v>7155</v>
      </c>
      <c r="T1222" s="23" t="str">
        <f t="shared" si="487"/>
        <v/>
      </c>
      <c r="U1222" t="str">
        <f t="shared" si="488"/>
        <v/>
      </c>
      <c r="W1222" s="1">
        <f t="shared" si="489"/>
        <v>1</v>
      </c>
      <c r="X1222" s="73">
        <f t="shared" si="477"/>
        <v>7.7153748278349834</v>
      </c>
      <c r="Y1222" s="322">
        <f t="shared" si="490"/>
        <v>13091.784000000001</v>
      </c>
      <c r="Z1222" s="43" t="e">
        <f t="shared" si="478"/>
        <v>#N/A</v>
      </c>
      <c r="AA1222" s="52" t="e">
        <f t="shared" si="491"/>
        <v>#N/A</v>
      </c>
      <c r="AB1222" s="8" t="e">
        <f t="shared" si="492"/>
        <v>#N/A</v>
      </c>
      <c r="AC1222" s="8" t="e">
        <f t="shared" si="493"/>
        <v>#N/A</v>
      </c>
      <c r="AD1222" s="8" t="e">
        <f t="shared" si="495"/>
        <v>#N/A</v>
      </c>
      <c r="AE1222" s="8" t="str">
        <f t="shared" si="494"/>
        <v/>
      </c>
      <c r="AF1222" s="22" t="str">
        <f t="shared" si="479"/>
        <v>MD_2020g~Cnty2</v>
      </c>
      <c r="AG1222">
        <v>4</v>
      </c>
      <c r="AH1222" s="272">
        <v>189736</v>
      </c>
      <c r="AI1222" s="273">
        <v>157667</v>
      </c>
      <c r="AJ1222" s="274">
        <v>5197</v>
      </c>
      <c r="AK1222" s="339">
        <v>152470</v>
      </c>
      <c r="AL1222" s="340" t="s">
        <v>7992</v>
      </c>
      <c r="AM1222" s="377">
        <f t="shared" si="480"/>
        <v>0.80359025171817688</v>
      </c>
      <c r="AN1222" s="357">
        <f t="shared" si="481"/>
        <v>1</v>
      </c>
      <c r="AP1222" s="23" t="e">
        <f t="shared" si="470"/>
        <v>#N/A</v>
      </c>
      <c r="AQ1222" s="392" t="e">
        <f t="shared" si="475"/>
        <v>#N/A</v>
      </c>
      <c r="AR1222" s="392" t="e">
        <f t="shared" si="476"/>
        <v>#N/A</v>
      </c>
      <c r="AS1222" s="392" t="e">
        <f t="shared" si="476"/>
        <v>#N/A</v>
      </c>
    </row>
    <row r="1223" spans="1:45">
      <c r="A1223" t="str">
        <f t="shared" si="474"/>
        <v>CA_Orang_2020g~placentia-yorba linda unified school district governing board member, trustee area 1 (vote 1)</v>
      </c>
      <c r="B1223" s="55" t="s">
        <v>3536</v>
      </c>
      <c r="D1223" s="55" t="s">
        <v>3663</v>
      </c>
      <c r="E1223" s="55" t="s">
        <v>3666</v>
      </c>
      <c r="G1223" s="60">
        <v>7679</v>
      </c>
      <c r="H1223"/>
      <c r="J1223">
        <v>19982</v>
      </c>
      <c r="N1223">
        <v>2747</v>
      </c>
      <c r="O1223">
        <f t="shared" si="482"/>
        <v>1</v>
      </c>
      <c r="P1223" s="57">
        <f t="shared" si="483"/>
        <v>1</v>
      </c>
      <c r="Q1223" s="267">
        <f t="shared" si="484"/>
        <v>17150</v>
      </c>
      <c r="R1223" s="23">
        <f t="shared" si="485"/>
        <v>7679</v>
      </c>
      <c r="S1223" s="23">
        <f t="shared" si="486"/>
        <v>6837</v>
      </c>
      <c r="T1223" s="23">
        <f t="shared" si="487"/>
        <v>842</v>
      </c>
      <c r="U1223" t="str">
        <f t="shared" si="488"/>
        <v>CA_Orang_2020g~placentia-yorba linda unified school district governing board member, trustee area 1 (vote 1)</v>
      </c>
      <c r="W1223" s="1">
        <f t="shared" si="489"/>
        <v>1</v>
      </c>
      <c r="X1223" s="73">
        <f t="shared" si="477"/>
        <v>7.6952321130959858</v>
      </c>
      <c r="Y1223" s="322">
        <f t="shared" si="490"/>
        <v>30677.193000000003</v>
      </c>
      <c r="Z1223" s="43" t="e">
        <f t="shared" si="478"/>
        <v>#N/A</v>
      </c>
      <c r="AA1223" s="52" t="e">
        <f t="shared" si="491"/>
        <v>#N/A</v>
      </c>
      <c r="AB1223" s="8" t="e">
        <f t="shared" si="492"/>
        <v>#N/A</v>
      </c>
      <c r="AC1223" s="8" t="e">
        <f t="shared" si="493"/>
        <v>#N/A</v>
      </c>
      <c r="AD1223" s="8" t="e">
        <f t="shared" si="495"/>
        <v>#N/A</v>
      </c>
      <c r="AE1223" s="8" t="str">
        <f t="shared" si="494"/>
        <v/>
      </c>
      <c r="AF1223" s="22" t="str">
        <f t="shared" si="479"/>
        <v>MD_2020g~Cnty0</v>
      </c>
      <c r="AG1223">
        <v>1</v>
      </c>
      <c r="AH1223" s="8">
        <v>444597</v>
      </c>
      <c r="AI1223" s="273">
        <v>401403</v>
      </c>
      <c r="AJ1223" s="274">
        <v>43194</v>
      </c>
      <c r="AK1223" s="339">
        <v>358209</v>
      </c>
      <c r="AL1223" s="23" t="s">
        <v>7973</v>
      </c>
      <c r="AM1223" s="377">
        <f t="shared" si="480"/>
        <v>0.80569369563897197</v>
      </c>
      <c r="AN1223" s="357">
        <f t="shared" si="481"/>
        <v>1</v>
      </c>
      <c r="AP1223" s="23" t="e">
        <f t="shared" si="470"/>
        <v>#N/A</v>
      </c>
      <c r="AQ1223" s="392" t="e">
        <f t="shared" si="475"/>
        <v>#N/A</v>
      </c>
      <c r="AR1223" s="392" t="e">
        <f t="shared" si="476"/>
        <v>#N/A</v>
      </c>
      <c r="AS1223" s="392" t="e">
        <f t="shared" si="476"/>
        <v>#N/A</v>
      </c>
    </row>
    <row r="1224" spans="1:45">
      <c r="A1224" t="str">
        <f t="shared" si="474"/>
        <v>CA_Orang_2020g~placentia-yorba linda unified school district governing board member, trustee area 1 (vote 1)</v>
      </c>
      <c r="B1224" s="55" t="s">
        <v>3536</v>
      </c>
      <c r="D1224" s="55" t="s">
        <v>3663</v>
      </c>
      <c r="E1224" s="55" t="s">
        <v>3664</v>
      </c>
      <c r="G1224" s="60">
        <v>6837</v>
      </c>
      <c r="H1224"/>
      <c r="J1224">
        <v>19982</v>
      </c>
      <c r="N1224">
        <v>2747</v>
      </c>
      <c r="O1224">
        <f t="shared" si="482"/>
        <v>2</v>
      </c>
      <c r="P1224" s="57">
        <f t="shared" si="483"/>
        <v>1</v>
      </c>
      <c r="Q1224" s="267">
        <f t="shared" si="484"/>
        <v>9471</v>
      </c>
      <c r="R1224" s="23" t="str">
        <f t="shared" si="485"/>
        <v/>
      </c>
      <c r="S1224" s="23">
        <f t="shared" si="486"/>
        <v>6837</v>
      </c>
      <c r="T1224" s="23" t="str">
        <f t="shared" si="487"/>
        <v/>
      </c>
      <c r="U1224" t="str">
        <f t="shared" si="488"/>
        <v/>
      </c>
      <c r="W1224" s="1">
        <f t="shared" si="489"/>
        <v>1</v>
      </c>
      <c r="X1224" s="73">
        <f t="shared" si="477"/>
        <v>7.6929782875870547</v>
      </c>
      <c r="Y1224" s="322">
        <f t="shared" si="490"/>
        <v>1044.9360000000001</v>
      </c>
      <c r="Z1224" s="43" t="e">
        <f t="shared" si="478"/>
        <v>#N/A</v>
      </c>
      <c r="AA1224" s="52" t="e">
        <f t="shared" si="491"/>
        <v>#N/A</v>
      </c>
      <c r="AB1224" s="8" t="e">
        <f t="shared" si="492"/>
        <v>#N/A</v>
      </c>
      <c r="AC1224" s="8" t="e">
        <f t="shared" si="493"/>
        <v>#N/A</v>
      </c>
      <c r="AD1224" s="8" t="e">
        <f t="shared" si="495"/>
        <v>#N/A</v>
      </c>
      <c r="AE1224" s="8" t="str">
        <f t="shared" si="494"/>
        <v/>
      </c>
      <c r="AF1224" s="22" t="str">
        <f t="shared" si="479"/>
        <v>MD_2020g~Cnty3</v>
      </c>
      <c r="AG1224">
        <v>1</v>
      </c>
      <c r="AH1224" s="272">
        <v>15144</v>
      </c>
      <c r="AI1224" s="273">
        <v>13643</v>
      </c>
      <c r="AJ1224" s="274">
        <v>1438</v>
      </c>
      <c r="AK1224" s="339">
        <v>12205</v>
      </c>
      <c r="AL1224" s="344" t="s">
        <v>8002</v>
      </c>
      <c r="AM1224" s="377">
        <f t="shared" si="480"/>
        <v>0.8059297411516112</v>
      </c>
      <c r="AN1224" s="357">
        <f t="shared" si="481"/>
        <v>1</v>
      </c>
      <c r="AP1224" s="23" t="e">
        <f t="shared" si="470"/>
        <v>#N/A</v>
      </c>
      <c r="AQ1224" s="392" t="e">
        <f t="shared" si="475"/>
        <v>#N/A</v>
      </c>
      <c r="AR1224" s="392" t="e">
        <f t="shared" si="476"/>
        <v>#N/A</v>
      </c>
      <c r="AS1224" s="392" t="e">
        <f t="shared" si="476"/>
        <v>#N/A</v>
      </c>
    </row>
    <row r="1225" spans="1:45">
      <c r="A1225" t="str">
        <f t="shared" si="474"/>
        <v>CA_Orang_2020g~placentia-yorba linda unified school district governing board member, trustee area 1 (vote 1)</v>
      </c>
      <c r="B1225" s="55" t="s">
        <v>3536</v>
      </c>
      <c r="D1225" s="55" t="s">
        <v>3663</v>
      </c>
      <c r="E1225" s="55" t="s">
        <v>3665</v>
      </c>
      <c r="G1225" s="60">
        <v>2634</v>
      </c>
      <c r="H1225"/>
      <c r="J1225">
        <v>19982</v>
      </c>
      <c r="N1225">
        <v>2747</v>
      </c>
      <c r="O1225">
        <f t="shared" si="482"/>
        <v>3</v>
      </c>
      <c r="P1225" s="57">
        <f t="shared" si="483"/>
        <v>1</v>
      </c>
      <c r="Q1225" s="267">
        <f t="shared" si="484"/>
        <v>2634</v>
      </c>
      <c r="R1225" s="23" t="str">
        <f t="shared" si="485"/>
        <v/>
      </c>
      <c r="S1225" s="23">
        <f t="shared" si="486"/>
        <v>2634</v>
      </c>
      <c r="T1225" s="23" t="str">
        <f t="shared" si="487"/>
        <v/>
      </c>
      <c r="U1225" t="str">
        <f t="shared" si="488"/>
        <v/>
      </c>
      <c r="W1225" s="1">
        <f t="shared" si="489"/>
        <v>1</v>
      </c>
      <c r="X1225" s="73">
        <f t="shared" si="477"/>
        <v>7.5829628152726549</v>
      </c>
      <c r="Y1225" s="322">
        <f t="shared" si="490"/>
        <v>18623.583000000002</v>
      </c>
      <c r="Z1225" s="43" t="e">
        <f t="shared" si="478"/>
        <v>#N/A</v>
      </c>
      <c r="AA1225" s="52" t="e">
        <f t="shared" si="491"/>
        <v>#N/A</v>
      </c>
      <c r="AB1225" s="8" t="e">
        <f t="shared" si="492"/>
        <v>#N/A</v>
      </c>
      <c r="AC1225" s="8" t="e">
        <f t="shared" si="493"/>
        <v>#N/A</v>
      </c>
      <c r="AD1225" s="8" t="e">
        <f t="shared" si="495"/>
        <v>#N/A</v>
      </c>
      <c r="AE1225" s="8" t="str">
        <f t="shared" si="494"/>
        <v/>
      </c>
      <c r="AF1225" s="22" t="str">
        <f t="shared" si="479"/>
        <v>MD_2020g~Cnty4</v>
      </c>
      <c r="AG1225">
        <v>2</v>
      </c>
      <c r="AH1225" s="272">
        <v>269907</v>
      </c>
      <c r="AI1225" s="273">
        <v>224726</v>
      </c>
      <c r="AJ1225" s="274">
        <v>4044</v>
      </c>
      <c r="AK1225" s="339">
        <v>220682</v>
      </c>
      <c r="AL1225" s="340" t="s">
        <v>8011</v>
      </c>
      <c r="AM1225" s="377">
        <f t="shared" si="480"/>
        <v>0.81762236622243956</v>
      </c>
      <c r="AN1225" s="357">
        <f t="shared" si="481"/>
        <v>1</v>
      </c>
      <c r="AP1225" s="23" t="e">
        <f t="shared" si="470"/>
        <v>#N/A</v>
      </c>
      <c r="AQ1225" s="392" t="e">
        <f t="shared" si="475"/>
        <v>#N/A</v>
      </c>
      <c r="AR1225" s="392" t="e">
        <f t="shared" si="476"/>
        <v>#N/A</v>
      </c>
      <c r="AS1225" s="392" t="e">
        <f t="shared" si="476"/>
        <v>#N/A</v>
      </c>
    </row>
    <row r="1226" spans="1:45">
      <c r="A1226" t="str">
        <f t="shared" si="474"/>
        <v>CA_Orang_2020g~placentia-yorba linda unified school district governing board member, trustee area 2 (vote 1)</v>
      </c>
      <c r="B1226" s="55" t="s">
        <v>3536</v>
      </c>
      <c r="D1226" s="55" t="s">
        <v>3667</v>
      </c>
      <c r="E1226" s="55" t="s">
        <v>3670</v>
      </c>
      <c r="G1226" s="60">
        <v>2949</v>
      </c>
      <c r="H1226"/>
      <c r="J1226">
        <v>8822</v>
      </c>
      <c r="N1226">
        <v>1022</v>
      </c>
      <c r="O1226">
        <f t="shared" si="482"/>
        <v>1</v>
      </c>
      <c r="P1226" s="57">
        <f t="shared" si="483"/>
        <v>1</v>
      </c>
      <c r="Q1226" s="267">
        <f t="shared" si="484"/>
        <v>7737</v>
      </c>
      <c r="R1226" s="23">
        <f t="shared" si="485"/>
        <v>2949</v>
      </c>
      <c r="S1226" s="23">
        <f t="shared" si="486"/>
        <v>2637</v>
      </c>
      <c r="T1226" s="23">
        <f t="shared" si="487"/>
        <v>312</v>
      </c>
      <c r="U1226" t="str">
        <f t="shared" si="488"/>
        <v>CA_Orang_2020g~placentia-yorba linda unified school district governing board member, trustee area 2 (vote 1)</v>
      </c>
      <c r="W1226" s="1">
        <f t="shared" si="489"/>
        <v>1</v>
      </c>
      <c r="X1226" s="73">
        <f t="shared" si="477"/>
        <v>7.5238312271251981</v>
      </c>
      <c r="Y1226" s="322">
        <f t="shared" si="490"/>
        <v>1212.537</v>
      </c>
      <c r="Z1226" s="43" t="e">
        <f t="shared" si="478"/>
        <v>#N/A</v>
      </c>
      <c r="AA1226" s="52" t="e">
        <f t="shared" si="491"/>
        <v>#N/A</v>
      </c>
      <c r="AB1226" s="8" t="e">
        <f t="shared" si="492"/>
        <v>#N/A</v>
      </c>
      <c r="AC1226" s="8" t="e">
        <f t="shared" si="493"/>
        <v>#N/A</v>
      </c>
      <c r="AD1226" s="8" t="e">
        <f t="shared" si="495"/>
        <v>#N/A</v>
      </c>
      <c r="AE1226" s="8" t="str">
        <f t="shared" si="494"/>
        <v/>
      </c>
      <c r="AF1226" s="22" t="str">
        <f t="shared" si="479"/>
        <v>MD_2020g~Cnty3</v>
      </c>
      <c r="AG1226">
        <v>1</v>
      </c>
      <c r="AH1226" s="272">
        <v>17573</v>
      </c>
      <c r="AI1226" s="273">
        <v>15983</v>
      </c>
      <c r="AJ1226" s="274">
        <v>1502</v>
      </c>
      <c r="AK1226" s="339">
        <v>14481</v>
      </c>
      <c r="AL1226" s="340" t="s">
        <v>8009</v>
      </c>
      <c r="AM1226" s="377">
        <f t="shared" si="480"/>
        <v>0.82404825584703811</v>
      </c>
      <c r="AN1226" s="357">
        <f t="shared" si="481"/>
        <v>1</v>
      </c>
      <c r="AO1226" s="356"/>
      <c r="AP1226" s="23" t="e">
        <f t="shared" si="470"/>
        <v>#N/A</v>
      </c>
      <c r="AQ1226" s="392" t="e">
        <f t="shared" si="475"/>
        <v>#N/A</v>
      </c>
      <c r="AR1226" s="392" t="e">
        <f t="shared" si="476"/>
        <v>#N/A</v>
      </c>
      <c r="AS1226" s="392" t="e">
        <f t="shared" si="476"/>
        <v>#N/A</v>
      </c>
    </row>
    <row r="1227" spans="1:45">
      <c r="A1227" t="str">
        <f t="shared" si="474"/>
        <v>CA_Orang_2020g~placentia-yorba linda unified school district governing board member, trustee area 2 (vote 1)</v>
      </c>
      <c r="B1227" s="55" t="s">
        <v>3536</v>
      </c>
      <c r="D1227" s="55" t="s">
        <v>3667</v>
      </c>
      <c r="E1227" s="55" t="s">
        <v>3668</v>
      </c>
      <c r="G1227" s="60">
        <v>2637</v>
      </c>
      <c r="H1227"/>
      <c r="J1227">
        <v>8822</v>
      </c>
      <c r="N1227">
        <v>1022</v>
      </c>
      <c r="O1227">
        <f t="shared" si="482"/>
        <v>2</v>
      </c>
      <c r="P1227" s="57">
        <f t="shared" si="483"/>
        <v>1</v>
      </c>
      <c r="Q1227" s="267">
        <f t="shared" si="484"/>
        <v>4788</v>
      </c>
      <c r="R1227" s="23" t="str">
        <f t="shared" si="485"/>
        <v/>
      </c>
      <c r="S1227" s="23">
        <f t="shared" si="486"/>
        <v>2637</v>
      </c>
      <c r="T1227" s="23" t="str">
        <f t="shared" si="487"/>
        <v/>
      </c>
      <c r="U1227" t="str">
        <f t="shared" si="488"/>
        <v/>
      </c>
      <c r="W1227" s="1">
        <f t="shared" si="489"/>
        <v>1</v>
      </c>
      <c r="X1227" s="73">
        <f t="shared" si="477"/>
        <v>7.2811933410252188</v>
      </c>
      <c r="Y1227" s="322">
        <f t="shared" si="490"/>
        <v>491.62500000000006</v>
      </c>
      <c r="Z1227" s="43" t="e">
        <f t="shared" si="478"/>
        <v>#N/A</v>
      </c>
      <c r="AA1227" s="52" t="e">
        <f t="shared" si="491"/>
        <v>#N/A</v>
      </c>
      <c r="AB1227" s="8" t="e">
        <f t="shared" si="492"/>
        <v>#N/A</v>
      </c>
      <c r="AC1227" s="8" t="e">
        <f t="shared" si="493"/>
        <v>#N/A</v>
      </c>
      <c r="AD1227" s="8" t="e">
        <f t="shared" si="495"/>
        <v>#N/A</v>
      </c>
      <c r="AE1227" s="8" t="str">
        <f t="shared" si="494"/>
        <v/>
      </c>
      <c r="AF1227" s="22" t="str">
        <f t="shared" si="479"/>
        <v>MD_2020g~Cnty1</v>
      </c>
      <c r="AG1227">
        <v>2</v>
      </c>
      <c r="AH1227" s="272">
        <v>7125</v>
      </c>
      <c r="AI1227" s="273">
        <v>6238</v>
      </c>
      <c r="AJ1227" s="274">
        <v>171</v>
      </c>
      <c r="AK1227" s="339">
        <v>6067</v>
      </c>
      <c r="AL1227" s="340" t="s">
        <v>8038</v>
      </c>
      <c r="AM1227" s="377">
        <f t="shared" si="480"/>
        <v>0.85150877192982455</v>
      </c>
      <c r="AN1227" s="357">
        <f t="shared" si="481"/>
        <v>1</v>
      </c>
      <c r="AP1227" s="23" t="e">
        <f t="shared" si="470"/>
        <v>#N/A</v>
      </c>
      <c r="AQ1227" s="392" t="e">
        <f t="shared" si="475"/>
        <v>#N/A</v>
      </c>
      <c r="AR1227" s="392" t="e">
        <f t="shared" si="476"/>
        <v>#N/A</v>
      </c>
      <c r="AS1227" s="392" t="e">
        <f t="shared" si="476"/>
        <v>#N/A</v>
      </c>
    </row>
    <row r="1228" spans="1:45">
      <c r="A1228" t="str">
        <f t="shared" si="474"/>
        <v>CA_Orang_2020g~placentia-yorba linda unified school district governing board member, trustee area 2 (vote 1)</v>
      </c>
      <c r="B1228" s="55" t="s">
        <v>3536</v>
      </c>
      <c r="D1228" s="55" t="s">
        <v>3667</v>
      </c>
      <c r="E1228" s="55" t="s">
        <v>3669</v>
      </c>
      <c r="G1228" s="60">
        <v>2151</v>
      </c>
      <c r="H1228"/>
      <c r="J1228">
        <v>8822</v>
      </c>
      <c r="N1228">
        <v>1022</v>
      </c>
      <c r="O1228">
        <f t="shared" si="482"/>
        <v>3</v>
      </c>
      <c r="P1228" s="57">
        <f t="shared" si="483"/>
        <v>1</v>
      </c>
      <c r="Q1228" s="267">
        <f t="shared" si="484"/>
        <v>2151</v>
      </c>
      <c r="R1228" s="23" t="str">
        <f t="shared" si="485"/>
        <v/>
      </c>
      <c r="S1228" s="23">
        <f t="shared" si="486"/>
        <v>2151</v>
      </c>
      <c r="T1228" s="23" t="str">
        <f t="shared" si="487"/>
        <v/>
      </c>
      <c r="U1228" t="str">
        <f t="shared" si="488"/>
        <v/>
      </c>
      <c r="W1228" s="1">
        <f t="shared" si="489"/>
        <v>2</v>
      </c>
      <c r="X1228" s="73">
        <f t="shared" si="477"/>
        <v>7.021913647211977</v>
      </c>
      <c r="Y1228" s="322">
        <f t="shared" si="490"/>
        <v>1440.72</v>
      </c>
      <c r="Z1228" s="43" t="e">
        <f t="shared" si="478"/>
        <v>#N/A</v>
      </c>
      <c r="AA1228" s="52" t="e">
        <f t="shared" si="491"/>
        <v>#N/A</v>
      </c>
      <c r="AB1228" s="8" t="e">
        <f t="shared" si="492"/>
        <v>#N/A</v>
      </c>
      <c r="AC1228" s="8" t="e">
        <f t="shared" si="493"/>
        <v>#N/A</v>
      </c>
      <c r="AD1228" s="8" t="e">
        <f t="shared" si="495"/>
        <v>#N/A</v>
      </c>
      <c r="AE1228" s="8" t="str">
        <f t="shared" si="494"/>
        <v/>
      </c>
      <c r="AF1228" s="22" t="str">
        <f t="shared" si="479"/>
        <v>MD_2020g~Cnty1</v>
      </c>
      <c r="AG1228">
        <v>1</v>
      </c>
      <c r="AH1228" s="272">
        <v>20880</v>
      </c>
      <c r="AI1228" s="273">
        <v>19658</v>
      </c>
      <c r="AJ1228" s="274">
        <v>1222</v>
      </c>
      <c r="AK1228" s="339">
        <v>18436</v>
      </c>
      <c r="AL1228" s="340" t="s">
        <v>8049</v>
      </c>
      <c r="AM1228" s="377">
        <f t="shared" si="480"/>
        <v>0.88295019157088117</v>
      </c>
      <c r="AN1228" s="357">
        <f t="shared" si="481"/>
        <v>1</v>
      </c>
      <c r="AP1228" s="23" t="e">
        <f t="shared" si="470"/>
        <v>#N/A</v>
      </c>
      <c r="AQ1228" s="392" t="e">
        <f t="shared" si="475"/>
        <v>#N/A</v>
      </c>
      <c r="AR1228" s="392" t="e">
        <f t="shared" si="476"/>
        <v>#N/A</v>
      </c>
      <c r="AS1228" s="392" t="e">
        <f t="shared" si="476"/>
        <v>#N/A</v>
      </c>
    </row>
    <row r="1229" spans="1:45">
      <c r="A1229" t="str">
        <f t="shared" si="474"/>
        <v>CA_Orang_2020g~placentia-yorba linda unified school district governing board member, trustee area 3 (vote 1)</v>
      </c>
      <c r="B1229" s="55" t="s">
        <v>3536</v>
      </c>
      <c r="D1229" s="55" t="s">
        <v>3671</v>
      </c>
      <c r="E1229" s="55" t="s">
        <v>3675</v>
      </c>
      <c r="G1229" s="60">
        <v>7459</v>
      </c>
      <c r="H1229"/>
      <c r="J1229">
        <v>21733</v>
      </c>
      <c r="N1229">
        <v>2324</v>
      </c>
      <c r="O1229">
        <f t="shared" si="482"/>
        <v>1</v>
      </c>
      <c r="P1229" s="57">
        <f t="shared" si="483"/>
        <v>1</v>
      </c>
      <c r="Q1229" s="267">
        <f t="shared" si="484"/>
        <v>19293</v>
      </c>
      <c r="R1229" s="23">
        <f t="shared" si="485"/>
        <v>7459</v>
      </c>
      <c r="S1229" s="23">
        <f t="shared" si="486"/>
        <v>6518</v>
      </c>
      <c r="T1229" s="23">
        <f t="shared" si="487"/>
        <v>941</v>
      </c>
      <c r="U1229" t="str">
        <f t="shared" si="488"/>
        <v>CA_Orang_2020g~placentia-yorba linda unified school district governing board member, trustee area 3 (vote 1)</v>
      </c>
      <c r="W1229" s="1">
        <f t="shared" si="489"/>
        <v>1</v>
      </c>
      <c r="X1229" s="73">
        <f t="shared" si="477"/>
        <v>6.8178647885575998</v>
      </c>
      <c r="Y1229" s="322">
        <f t="shared" si="490"/>
        <v>2445.567</v>
      </c>
      <c r="Z1229" s="43" t="e">
        <f t="shared" si="478"/>
        <v>#N/A</v>
      </c>
      <c r="AA1229" s="52" t="e">
        <f t="shared" si="491"/>
        <v>#N/A</v>
      </c>
      <c r="AB1229" s="8" t="e">
        <f t="shared" si="492"/>
        <v>#N/A</v>
      </c>
      <c r="AC1229" s="8" t="e">
        <f t="shared" si="493"/>
        <v>#N/A</v>
      </c>
      <c r="AD1229" s="8" t="e">
        <f t="shared" si="495"/>
        <v>#N/A</v>
      </c>
      <c r="AE1229" s="8" t="str">
        <f t="shared" si="494"/>
        <v/>
      </c>
      <c r="AF1229" s="22" t="str">
        <f t="shared" si="479"/>
        <v>MD_2020g~Cnty5</v>
      </c>
      <c r="AG1229">
        <v>1</v>
      </c>
      <c r="AH1229" s="272">
        <v>35443</v>
      </c>
      <c r="AI1229" s="273">
        <v>33591</v>
      </c>
      <c r="AJ1229" s="274">
        <v>1360</v>
      </c>
      <c r="AK1229" s="339">
        <v>32231</v>
      </c>
      <c r="AL1229" s="340" t="s">
        <v>8014</v>
      </c>
      <c r="AM1229" s="377">
        <f t="shared" si="480"/>
        <v>0.90937561718816129</v>
      </c>
      <c r="AN1229" s="357">
        <f t="shared" si="481"/>
        <v>1</v>
      </c>
      <c r="AP1229" s="23" t="e">
        <f t="shared" ref="AP1229:AP1251" si="496">MIN(AD1229, MAX(0,ROUNDUP(AD1229*(0.5*AK1229/AC1229-0.005)/(RIGHT(AP$1,3)-0.005),0)))</f>
        <v>#N/A</v>
      </c>
      <c r="AQ1229" s="392" t="e">
        <f t="shared" si="475"/>
        <v>#N/A</v>
      </c>
      <c r="AR1229" s="392" t="e">
        <f t="shared" si="476"/>
        <v>#N/A</v>
      </c>
      <c r="AS1229" s="392" t="e">
        <f t="shared" si="476"/>
        <v>#N/A</v>
      </c>
    </row>
    <row r="1230" spans="1:45">
      <c r="A1230" t="str">
        <f t="shared" si="474"/>
        <v>CA_Orang_2020g~placentia-yorba linda unified school district governing board member, trustee area 3 (vote 1)</v>
      </c>
      <c r="B1230" s="55" t="s">
        <v>3536</v>
      </c>
      <c r="D1230" s="55" t="s">
        <v>3671</v>
      </c>
      <c r="E1230" s="55" t="s">
        <v>3673</v>
      </c>
      <c r="G1230" s="60">
        <v>6518</v>
      </c>
      <c r="H1230"/>
      <c r="J1230">
        <v>21733</v>
      </c>
      <c r="N1230">
        <v>2324</v>
      </c>
      <c r="O1230">
        <f t="shared" si="482"/>
        <v>2</v>
      </c>
      <c r="P1230" s="57">
        <f t="shared" si="483"/>
        <v>1</v>
      </c>
      <c r="Q1230" s="267">
        <f t="shared" si="484"/>
        <v>11834</v>
      </c>
      <c r="R1230" s="23" t="str">
        <f t="shared" si="485"/>
        <v/>
      </c>
      <c r="S1230" s="23">
        <f t="shared" si="486"/>
        <v>6518</v>
      </c>
      <c r="T1230" s="23" t="str">
        <f t="shared" si="487"/>
        <v/>
      </c>
      <c r="U1230" t="str">
        <f t="shared" si="488"/>
        <v/>
      </c>
      <c r="W1230" s="1">
        <f t="shared" si="489"/>
        <v>1</v>
      </c>
      <c r="X1230" s="73">
        <f t="shared" si="477"/>
        <v>6.7600686228111693</v>
      </c>
      <c r="Y1230" s="322">
        <f t="shared" si="490"/>
        <v>1271.739</v>
      </c>
      <c r="Z1230" s="43" t="e">
        <f t="shared" si="478"/>
        <v>#N/A</v>
      </c>
      <c r="AA1230" s="52" t="e">
        <f t="shared" si="491"/>
        <v>#N/A</v>
      </c>
      <c r="AB1230" s="8" t="e">
        <f t="shared" si="492"/>
        <v>#N/A</v>
      </c>
      <c r="AC1230" s="8" t="e">
        <f t="shared" si="493"/>
        <v>#N/A</v>
      </c>
      <c r="AD1230" s="8" t="e">
        <f t="shared" si="495"/>
        <v>#N/A</v>
      </c>
      <c r="AE1230" s="8" t="str">
        <f t="shared" si="494"/>
        <v/>
      </c>
      <c r="AF1230" s="22" t="str">
        <f t="shared" si="479"/>
        <v>MD_2020g~Cnty3</v>
      </c>
      <c r="AG1230">
        <v>1</v>
      </c>
      <c r="AH1230" s="272">
        <v>18431</v>
      </c>
      <c r="AI1230" s="273">
        <v>17588</v>
      </c>
      <c r="AJ1230" s="274">
        <v>684</v>
      </c>
      <c r="AK1230" s="339">
        <v>16904</v>
      </c>
      <c r="AL1230" s="340" t="s">
        <v>7996</v>
      </c>
      <c r="AM1230" s="377">
        <f t="shared" si="480"/>
        <v>0.91715045304107212</v>
      </c>
      <c r="AN1230" s="357">
        <f t="shared" si="481"/>
        <v>1</v>
      </c>
      <c r="AP1230" s="23" t="e">
        <f t="shared" si="496"/>
        <v>#N/A</v>
      </c>
      <c r="AQ1230" s="392" t="e">
        <f t="shared" si="475"/>
        <v>#N/A</v>
      </c>
      <c r="AR1230" s="392" t="e">
        <f t="shared" si="476"/>
        <v>#N/A</v>
      </c>
      <c r="AS1230" s="392" t="e">
        <f t="shared" si="476"/>
        <v>#N/A</v>
      </c>
    </row>
    <row r="1231" spans="1:45">
      <c r="A1231" t="str">
        <f t="shared" si="474"/>
        <v>CA_Orang_2020g~placentia-yorba linda unified school district governing board member, trustee area 3 (vote 1)</v>
      </c>
      <c r="B1231" s="55" t="s">
        <v>3536</v>
      </c>
      <c r="D1231" s="55" t="s">
        <v>3671</v>
      </c>
      <c r="E1231" s="55" t="s">
        <v>3672</v>
      </c>
      <c r="G1231" s="60">
        <v>3559</v>
      </c>
      <c r="H1231"/>
      <c r="J1231">
        <v>21733</v>
      </c>
      <c r="N1231">
        <v>2324</v>
      </c>
      <c r="O1231">
        <f t="shared" si="482"/>
        <v>3</v>
      </c>
      <c r="P1231" s="57">
        <f t="shared" si="483"/>
        <v>1</v>
      </c>
      <c r="Q1231" s="267">
        <f t="shared" si="484"/>
        <v>5316</v>
      </c>
      <c r="R1231" s="23" t="str">
        <f t="shared" si="485"/>
        <v/>
      </c>
      <c r="S1231" s="23">
        <f t="shared" si="486"/>
        <v>3559</v>
      </c>
      <c r="T1231" s="23" t="str">
        <f t="shared" si="487"/>
        <v/>
      </c>
      <c r="U1231" t="str">
        <f t="shared" si="488"/>
        <v/>
      </c>
      <c r="W1231" s="1">
        <f t="shared" si="489"/>
        <v>1</v>
      </c>
      <c r="X1231" s="73">
        <f t="shared" si="477"/>
        <v>6.6399723831537241</v>
      </c>
      <c r="Y1231" s="322">
        <f t="shared" si="490"/>
        <v>2461.7130000000002</v>
      </c>
      <c r="Z1231" s="43" t="e">
        <f t="shared" si="478"/>
        <v>#N/A</v>
      </c>
      <c r="AA1231" s="52" t="e">
        <f t="shared" si="491"/>
        <v>#N/A</v>
      </c>
      <c r="AB1231" s="8" t="e">
        <f t="shared" si="492"/>
        <v>#N/A</v>
      </c>
      <c r="AC1231" s="8" t="e">
        <f t="shared" si="493"/>
        <v>#N/A</v>
      </c>
      <c r="AD1231" s="8" t="e">
        <f t="shared" si="495"/>
        <v>#N/A</v>
      </c>
      <c r="AE1231" s="8" t="str">
        <f t="shared" si="494"/>
        <v/>
      </c>
      <c r="AF1231" s="22" t="str">
        <f t="shared" si="479"/>
        <v>MD_2020g~Cnty8</v>
      </c>
      <c r="AG1231">
        <v>1</v>
      </c>
      <c r="AH1231" s="272">
        <v>35677</v>
      </c>
      <c r="AI1231" s="273">
        <v>34495</v>
      </c>
      <c r="AJ1231" s="274">
        <v>1182</v>
      </c>
      <c r="AK1231" s="339">
        <v>33313</v>
      </c>
      <c r="AL1231" s="344" t="s">
        <v>8023</v>
      </c>
      <c r="AM1231" s="377">
        <f t="shared" si="480"/>
        <v>0.93373882333155811</v>
      </c>
      <c r="AN1231" s="357">
        <f t="shared" si="481"/>
        <v>1</v>
      </c>
      <c r="AP1231" s="23" t="e">
        <f t="shared" si="496"/>
        <v>#N/A</v>
      </c>
      <c r="AQ1231" s="392" t="e">
        <f t="shared" si="475"/>
        <v>#N/A</v>
      </c>
      <c r="AR1231" s="392" t="e">
        <f t="shared" si="476"/>
        <v>#N/A</v>
      </c>
      <c r="AS1231" s="392" t="e">
        <f t="shared" si="476"/>
        <v>#N/A</v>
      </c>
    </row>
    <row r="1232" spans="1:45">
      <c r="A1232" t="str">
        <f t="shared" si="474"/>
        <v>CA_Orang_2020g~placentia-yorba linda unified school district governing board member, trustee area 3 (vote 1)</v>
      </c>
      <c r="B1232" s="55" t="s">
        <v>3536</v>
      </c>
      <c r="D1232" s="55" t="s">
        <v>3671</v>
      </c>
      <c r="E1232" s="55" t="s">
        <v>3674</v>
      </c>
      <c r="G1232" s="60">
        <v>1757</v>
      </c>
      <c r="H1232"/>
      <c r="J1232">
        <v>21733</v>
      </c>
      <c r="N1232">
        <v>2324</v>
      </c>
      <c r="O1232">
        <f t="shared" si="482"/>
        <v>4</v>
      </c>
      <c r="P1232" s="57">
        <f t="shared" si="483"/>
        <v>1</v>
      </c>
      <c r="Q1232" s="267">
        <f t="shared" si="484"/>
        <v>1757</v>
      </c>
      <c r="R1232" s="23" t="str">
        <f t="shared" si="485"/>
        <v/>
      </c>
      <c r="S1232" s="23">
        <f t="shared" si="486"/>
        <v>1757</v>
      </c>
      <c r="T1232" s="23" t="str">
        <f t="shared" si="487"/>
        <v/>
      </c>
      <c r="U1232" t="str">
        <f t="shared" si="488"/>
        <v/>
      </c>
      <c r="W1232" s="1">
        <f t="shared" si="489"/>
        <v>1</v>
      </c>
      <c r="X1232" s="73">
        <f t="shared" si="477"/>
        <v>6.6008663039459092</v>
      </c>
      <c r="Y1232" s="322">
        <f t="shared" si="490"/>
        <v>1390.6950000000002</v>
      </c>
      <c r="Z1232" s="43" t="e">
        <f t="shared" si="478"/>
        <v>#N/A</v>
      </c>
      <c r="AA1232" s="52" t="e">
        <f t="shared" si="491"/>
        <v>#N/A</v>
      </c>
      <c r="AB1232" s="8" t="e">
        <f t="shared" si="492"/>
        <v>#N/A</v>
      </c>
      <c r="AC1232" s="8" t="e">
        <f t="shared" si="493"/>
        <v>#N/A</v>
      </c>
      <c r="AD1232" s="8" t="e">
        <f t="shared" si="495"/>
        <v>#N/A</v>
      </c>
      <c r="AE1232" s="8" t="str">
        <f t="shared" si="494"/>
        <v/>
      </c>
      <c r="AF1232" s="22" t="str">
        <f t="shared" si="479"/>
        <v>MD_2020g~Cnty3</v>
      </c>
      <c r="AG1232">
        <v>1</v>
      </c>
      <c r="AH1232" s="272">
        <v>20155</v>
      </c>
      <c r="AI1232" s="273">
        <v>19543</v>
      </c>
      <c r="AJ1232" s="274">
        <v>612</v>
      </c>
      <c r="AK1232" s="339">
        <v>18931</v>
      </c>
      <c r="AL1232" s="340" t="s">
        <v>8006</v>
      </c>
      <c r="AM1232" s="377">
        <f t="shared" si="480"/>
        <v>0.93927065244356234</v>
      </c>
      <c r="AN1232" s="357">
        <f t="shared" si="481"/>
        <v>1</v>
      </c>
      <c r="AP1232" s="23" t="e">
        <f t="shared" si="496"/>
        <v>#N/A</v>
      </c>
      <c r="AQ1232" s="392" t="e">
        <f t="shared" si="475"/>
        <v>#N/A</v>
      </c>
      <c r="AR1232" s="392" t="e">
        <f t="shared" si="476"/>
        <v>#N/A</v>
      </c>
      <c r="AS1232" s="392" t="e">
        <f t="shared" si="476"/>
        <v>#N/A</v>
      </c>
    </row>
    <row r="1233" spans="1:45">
      <c r="A1233" t="str">
        <f t="shared" si="474"/>
        <v>CA_Orang_2020g~president and vice president (vote 1)</v>
      </c>
      <c r="B1233" s="55" t="s">
        <v>3536</v>
      </c>
      <c r="D1233" s="55" t="s">
        <v>3537</v>
      </c>
      <c r="E1233" s="55" t="s">
        <v>3538</v>
      </c>
      <c r="F1233" t="s">
        <v>1294</v>
      </c>
      <c r="G1233" s="60">
        <v>814009</v>
      </c>
      <c r="H1233"/>
      <c r="J1233">
        <v>1546570</v>
      </c>
      <c r="N1233">
        <v>14778</v>
      </c>
      <c r="O1233">
        <f t="shared" si="482"/>
        <v>1</v>
      </c>
      <c r="P1233" s="57">
        <f t="shared" si="483"/>
        <v>1</v>
      </c>
      <c r="Q1233" s="267">
        <f t="shared" si="484"/>
        <v>1522113</v>
      </c>
      <c r="R1233" s="23">
        <f t="shared" si="485"/>
        <v>814009</v>
      </c>
      <c r="S1233" s="23">
        <f t="shared" si="486"/>
        <v>676498</v>
      </c>
      <c r="T1233" s="23">
        <f t="shared" si="487"/>
        <v>137511</v>
      </c>
      <c r="U1233" t="str">
        <f t="shared" si="488"/>
        <v>CA_Orang_2020g~president and vice president (vote 1)</v>
      </c>
      <c r="W1233" s="1">
        <f t="shared" si="489"/>
        <v>1</v>
      </c>
      <c r="X1233" s="73">
        <f t="shared" si="477"/>
        <v>6.5885854341736696</v>
      </c>
      <c r="Y1233" s="322">
        <f t="shared" si="490"/>
        <v>2512.98</v>
      </c>
      <c r="Z1233" s="43" t="e">
        <f t="shared" si="478"/>
        <v>#N/A</v>
      </c>
      <c r="AA1233" s="52" t="e">
        <f t="shared" si="491"/>
        <v>#N/A</v>
      </c>
      <c r="AB1233" s="8" t="e">
        <f t="shared" si="492"/>
        <v>#N/A</v>
      </c>
      <c r="AC1233" s="8" t="e">
        <f t="shared" si="493"/>
        <v>#N/A</v>
      </c>
      <c r="AD1233" s="8" t="e">
        <f t="shared" si="495"/>
        <v>#N/A</v>
      </c>
      <c r="AE1233" s="8" t="str">
        <f t="shared" si="494"/>
        <v/>
      </c>
      <c r="AF1233" s="22" t="str">
        <f t="shared" si="479"/>
        <v>MD_2020g~Cnty8</v>
      </c>
      <c r="AG1233">
        <v>1</v>
      </c>
      <c r="AH1233" s="272">
        <v>36420</v>
      </c>
      <c r="AI1233" s="273">
        <v>35346</v>
      </c>
      <c r="AJ1233" s="274">
        <v>1074</v>
      </c>
      <c r="AK1233" s="339">
        <v>34272</v>
      </c>
      <c r="AL1233" s="340" t="s">
        <v>8022</v>
      </c>
      <c r="AM1233" s="377">
        <f t="shared" si="480"/>
        <v>0.9410214168039539</v>
      </c>
      <c r="AN1233" s="357">
        <f t="shared" si="481"/>
        <v>1</v>
      </c>
      <c r="AP1233" s="23" t="e">
        <f t="shared" si="496"/>
        <v>#N/A</v>
      </c>
      <c r="AQ1233" s="392" t="e">
        <f t="shared" si="475"/>
        <v>#N/A</v>
      </c>
      <c r="AR1233" s="392" t="e">
        <f t="shared" si="476"/>
        <v>#N/A</v>
      </c>
      <c r="AS1233" s="392" t="e">
        <f t="shared" si="476"/>
        <v>#N/A</v>
      </c>
    </row>
    <row r="1234" spans="1:45">
      <c r="A1234" t="str">
        <f t="shared" si="474"/>
        <v>CA_Orang_2020g~president and vice president (vote 1)</v>
      </c>
      <c r="B1234" s="55" t="s">
        <v>3536</v>
      </c>
      <c r="D1234" s="55" t="s">
        <v>3537</v>
      </c>
      <c r="E1234" s="55" t="s">
        <v>3539</v>
      </c>
      <c r="F1234" t="s">
        <v>1296</v>
      </c>
      <c r="G1234" s="60">
        <v>676498</v>
      </c>
      <c r="H1234"/>
      <c r="J1234">
        <v>1546570</v>
      </c>
      <c r="N1234">
        <v>14778</v>
      </c>
      <c r="O1234">
        <f t="shared" si="482"/>
        <v>2</v>
      </c>
      <c r="P1234" s="57">
        <f t="shared" si="483"/>
        <v>1</v>
      </c>
      <c r="Q1234" s="267">
        <f t="shared" si="484"/>
        <v>708104</v>
      </c>
      <c r="R1234" s="23" t="str">
        <f t="shared" si="485"/>
        <v/>
      </c>
      <c r="S1234" s="23">
        <f t="shared" si="486"/>
        <v>676498</v>
      </c>
      <c r="T1234" s="23" t="str">
        <f t="shared" si="487"/>
        <v/>
      </c>
      <c r="U1234" t="str">
        <f t="shared" si="488"/>
        <v/>
      </c>
      <c r="W1234" s="1">
        <f t="shared" si="489"/>
        <v>1</v>
      </c>
      <c r="X1234" s="73">
        <f t="shared" si="477"/>
        <v>6.5691113028472827</v>
      </c>
      <c r="Y1234" s="322">
        <f t="shared" si="490"/>
        <v>169.46400000000003</v>
      </c>
      <c r="Z1234" s="43" t="e">
        <f t="shared" si="478"/>
        <v>#N/A</v>
      </c>
      <c r="AA1234" s="52" t="e">
        <f t="shared" si="491"/>
        <v>#N/A</v>
      </c>
      <c r="AB1234" s="8" t="e">
        <f t="shared" si="492"/>
        <v>#N/A</v>
      </c>
      <c r="AC1234" s="8" t="e">
        <f t="shared" si="493"/>
        <v>#N/A</v>
      </c>
      <c r="AD1234" s="8" t="e">
        <f t="shared" si="495"/>
        <v>#N/A</v>
      </c>
      <c r="AE1234" s="8" t="str">
        <f t="shared" si="494"/>
        <v/>
      </c>
      <c r="AF1234" s="22" t="str">
        <f t="shared" si="479"/>
        <v>MD_2020g~Cnty2</v>
      </c>
      <c r="AG1234">
        <v>1</v>
      </c>
      <c r="AH1234" s="272">
        <v>2456</v>
      </c>
      <c r="AI1234" s="273">
        <v>2387</v>
      </c>
      <c r="AJ1234" s="274">
        <v>69</v>
      </c>
      <c r="AK1234" s="339">
        <v>2318</v>
      </c>
      <c r="AL1234" s="340" t="s">
        <v>8060</v>
      </c>
      <c r="AM1234" s="377">
        <f t="shared" si="480"/>
        <v>0.94381107491856675</v>
      </c>
      <c r="AN1234" s="357">
        <f t="shared" si="481"/>
        <v>1</v>
      </c>
      <c r="AP1234" s="23" t="e">
        <f t="shared" si="496"/>
        <v>#N/A</v>
      </c>
      <c r="AQ1234" s="392" t="e">
        <f t="shared" si="475"/>
        <v>#N/A</v>
      </c>
      <c r="AR1234" s="392" t="e">
        <f t="shared" si="476"/>
        <v>#N/A</v>
      </c>
      <c r="AS1234" s="392" t="e">
        <f t="shared" si="476"/>
        <v>#N/A</v>
      </c>
    </row>
    <row r="1235" spans="1:45">
      <c r="A1235" t="str">
        <f t="shared" si="474"/>
        <v>CA_Orang_2020g~president and vice president (vote 1)</v>
      </c>
      <c r="B1235" s="55" t="s">
        <v>3536</v>
      </c>
      <c r="D1235" s="55" t="s">
        <v>3537</v>
      </c>
      <c r="E1235" s="55" t="s">
        <v>3542</v>
      </c>
      <c r="F1235" t="s">
        <v>1298</v>
      </c>
      <c r="G1235" s="60">
        <v>17325</v>
      </c>
      <c r="H1235"/>
      <c r="J1235">
        <v>1546570</v>
      </c>
      <c r="N1235">
        <v>14778</v>
      </c>
      <c r="O1235">
        <f t="shared" si="482"/>
        <v>3</v>
      </c>
      <c r="P1235" s="57">
        <f t="shared" si="483"/>
        <v>1</v>
      </c>
      <c r="Q1235" s="267">
        <f t="shared" si="484"/>
        <v>31606</v>
      </c>
      <c r="R1235" s="23" t="str">
        <f t="shared" si="485"/>
        <v/>
      </c>
      <c r="S1235" s="23">
        <f t="shared" si="486"/>
        <v>17325</v>
      </c>
      <c r="T1235" s="23" t="str">
        <f t="shared" si="487"/>
        <v/>
      </c>
      <c r="U1235" t="str">
        <f t="shared" si="488"/>
        <v/>
      </c>
      <c r="W1235" s="1">
        <f t="shared" si="489"/>
        <v>1</v>
      </c>
      <c r="X1235" s="73">
        <f t="shared" si="477"/>
        <v>6.4949679780420864</v>
      </c>
      <c r="Y1235" s="322">
        <f t="shared" si="490"/>
        <v>7189.4550000000008</v>
      </c>
      <c r="Z1235" s="43" t="e">
        <f t="shared" si="478"/>
        <v>#N/A</v>
      </c>
      <c r="AA1235" s="52" t="e">
        <f t="shared" si="491"/>
        <v>#N/A</v>
      </c>
      <c r="AB1235" s="8" t="e">
        <f t="shared" si="492"/>
        <v>#N/A</v>
      </c>
      <c r="AC1235" s="8" t="e">
        <f t="shared" si="493"/>
        <v>#N/A</v>
      </c>
      <c r="AD1235" s="8" t="e">
        <f t="shared" si="495"/>
        <v>#N/A</v>
      </c>
      <c r="AE1235" s="8" t="str">
        <f t="shared" si="494"/>
        <v/>
      </c>
      <c r="AF1235" s="22" t="str">
        <f t="shared" si="479"/>
        <v>MD_2020g~Cnty1</v>
      </c>
      <c r="AG1235">
        <v>1</v>
      </c>
      <c r="AH1235" s="272">
        <v>104195</v>
      </c>
      <c r="AI1235" s="273">
        <v>101829</v>
      </c>
      <c r="AJ1235" s="274">
        <v>2366</v>
      </c>
      <c r="AK1235" s="339">
        <v>99463</v>
      </c>
      <c r="AL1235" s="340" t="s">
        <v>8030</v>
      </c>
      <c r="AM1235" s="377">
        <f t="shared" si="480"/>
        <v>0.95458515283842793</v>
      </c>
      <c r="AN1235" s="357">
        <f t="shared" si="481"/>
        <v>1</v>
      </c>
      <c r="AP1235" s="23" t="e">
        <f t="shared" si="496"/>
        <v>#N/A</v>
      </c>
      <c r="AQ1235" s="392" t="e">
        <f t="shared" si="475"/>
        <v>#N/A</v>
      </c>
      <c r="AR1235" s="392" t="e">
        <f t="shared" si="476"/>
        <v>#N/A</v>
      </c>
      <c r="AS1235" s="392" t="e">
        <f t="shared" si="476"/>
        <v>#N/A</v>
      </c>
    </row>
    <row r="1236" spans="1:45">
      <c r="A1236" t="str">
        <f t="shared" si="474"/>
        <v>CA_Orang_2020g~president and vice president (vote 1)</v>
      </c>
      <c r="B1236" s="55" t="s">
        <v>3536</v>
      </c>
      <c r="D1236" s="55" t="s">
        <v>3537</v>
      </c>
      <c r="E1236" s="55" t="s">
        <v>3541</v>
      </c>
      <c r="F1236" t="s">
        <v>1306</v>
      </c>
      <c r="G1236" s="60">
        <v>5819</v>
      </c>
      <c r="H1236"/>
      <c r="J1236">
        <v>1546570</v>
      </c>
      <c r="N1236">
        <v>14778</v>
      </c>
      <c r="O1236">
        <f t="shared" si="482"/>
        <v>4</v>
      </c>
      <c r="P1236" s="57">
        <f t="shared" si="483"/>
        <v>1</v>
      </c>
      <c r="Q1236" s="267">
        <f t="shared" si="484"/>
        <v>14281</v>
      </c>
      <c r="R1236" s="23" t="str">
        <f t="shared" si="485"/>
        <v/>
      </c>
      <c r="S1236" s="23">
        <f t="shared" si="486"/>
        <v>5819</v>
      </c>
      <c r="T1236" s="23" t="str">
        <f t="shared" si="487"/>
        <v/>
      </c>
      <c r="U1236" t="str">
        <f t="shared" si="488"/>
        <v/>
      </c>
      <c r="W1236" s="1">
        <f t="shared" si="489"/>
        <v>1</v>
      </c>
      <c r="X1236" s="73">
        <f t="shared" si="477"/>
        <v>6.4886247027906396</v>
      </c>
      <c r="Y1236" s="322">
        <f t="shared" si="490"/>
        <v>577.04700000000003</v>
      </c>
      <c r="Z1236" s="43" t="e">
        <f t="shared" si="478"/>
        <v>#N/A</v>
      </c>
      <c r="AA1236" s="52" t="e">
        <f t="shared" si="491"/>
        <v>#N/A</v>
      </c>
      <c r="AB1236" s="8" t="e">
        <f t="shared" si="492"/>
        <v>#N/A</v>
      </c>
      <c r="AC1236" s="8" t="e">
        <f t="shared" si="493"/>
        <v>#N/A</v>
      </c>
      <c r="AD1236" s="8" t="e">
        <f t="shared" si="495"/>
        <v>#N/A</v>
      </c>
      <c r="AE1236" s="8" t="str">
        <f t="shared" si="494"/>
        <v/>
      </c>
      <c r="AF1236" s="22" t="str">
        <f t="shared" si="479"/>
        <v>MD_2020g~Cnty2</v>
      </c>
      <c r="AG1236">
        <v>1</v>
      </c>
      <c r="AH1236" s="272">
        <v>8363</v>
      </c>
      <c r="AI1236" s="273">
        <v>8177</v>
      </c>
      <c r="AJ1236" s="274">
        <v>186</v>
      </c>
      <c r="AK1236" s="339">
        <v>7991</v>
      </c>
      <c r="AL1236" s="340" t="s">
        <v>8066</v>
      </c>
      <c r="AM1236" s="377">
        <f t="shared" si="480"/>
        <v>0.95551835465741963</v>
      </c>
      <c r="AN1236" s="357">
        <f t="shared" si="481"/>
        <v>1</v>
      </c>
      <c r="AP1236" s="23" t="e">
        <f t="shared" si="496"/>
        <v>#N/A</v>
      </c>
      <c r="AQ1236" s="392" t="e">
        <f t="shared" si="475"/>
        <v>#N/A</v>
      </c>
      <c r="AR1236" s="392" t="e">
        <f t="shared" si="476"/>
        <v>#N/A</v>
      </c>
      <c r="AS1236" s="392" t="e">
        <f t="shared" si="476"/>
        <v>#N/A</v>
      </c>
    </row>
    <row r="1237" spans="1:45">
      <c r="A1237" t="str">
        <f t="shared" si="474"/>
        <v>CA_Orang_2020g~president and vice president (vote 1)</v>
      </c>
      <c r="B1237" s="55" t="s">
        <v>3536</v>
      </c>
      <c r="D1237" s="55" t="s">
        <v>3537</v>
      </c>
      <c r="E1237" s="55" t="s">
        <v>3540</v>
      </c>
      <c r="F1237" t="s">
        <v>3204</v>
      </c>
      <c r="G1237" s="60">
        <v>4642</v>
      </c>
      <c r="H1237"/>
      <c r="J1237">
        <v>1546570</v>
      </c>
      <c r="N1237">
        <v>14778</v>
      </c>
      <c r="O1237">
        <f t="shared" si="482"/>
        <v>5</v>
      </c>
      <c r="P1237" s="57">
        <f t="shared" si="483"/>
        <v>1</v>
      </c>
      <c r="Q1237" s="267">
        <f t="shared" si="484"/>
        <v>8462</v>
      </c>
      <c r="R1237" s="23" t="str">
        <f t="shared" si="485"/>
        <v/>
      </c>
      <c r="S1237" s="23">
        <f t="shared" si="486"/>
        <v>4642</v>
      </c>
      <c r="T1237" s="23" t="str">
        <f t="shared" si="487"/>
        <v/>
      </c>
      <c r="U1237" t="str">
        <f t="shared" si="488"/>
        <v/>
      </c>
      <c r="W1237" s="1">
        <f t="shared" si="489"/>
        <v>1</v>
      </c>
      <c r="X1237" s="73">
        <f t="shared" si="477"/>
        <v>6.4328931745403519</v>
      </c>
      <c r="Y1237" s="322">
        <f t="shared" si="490"/>
        <v>3979.5060000000003</v>
      </c>
      <c r="Z1237" s="43" t="e">
        <f t="shared" si="478"/>
        <v>#N/A</v>
      </c>
      <c r="AA1237" s="52" t="e">
        <f t="shared" si="491"/>
        <v>#N/A</v>
      </c>
      <c r="AB1237" s="8" t="e">
        <f t="shared" si="492"/>
        <v>#N/A</v>
      </c>
      <c r="AC1237" s="8" t="e">
        <f t="shared" si="493"/>
        <v>#N/A</v>
      </c>
      <c r="AD1237" s="8" t="e">
        <f t="shared" si="495"/>
        <v>#N/A</v>
      </c>
      <c r="AE1237" s="8" t="str">
        <f t="shared" si="494"/>
        <v/>
      </c>
      <c r="AF1237" s="22" t="str">
        <f t="shared" si="479"/>
        <v>MD_2020g~Cnty1</v>
      </c>
      <c r="AG1237">
        <v>1</v>
      </c>
      <c r="AH1237" s="272">
        <v>57674</v>
      </c>
      <c r="AI1237" s="273">
        <v>56630</v>
      </c>
      <c r="AJ1237" s="274">
        <v>1044</v>
      </c>
      <c r="AK1237" s="339">
        <v>55586</v>
      </c>
      <c r="AL1237" s="340" t="s">
        <v>8045</v>
      </c>
      <c r="AM1237" s="377">
        <f t="shared" si="480"/>
        <v>0.96379651142629263</v>
      </c>
      <c r="AN1237" s="357">
        <f t="shared" si="481"/>
        <v>1</v>
      </c>
      <c r="AP1237" s="23" t="e">
        <f t="shared" si="496"/>
        <v>#N/A</v>
      </c>
      <c r="AQ1237" s="392" t="e">
        <f t="shared" si="475"/>
        <v>#N/A</v>
      </c>
      <c r="AR1237" s="392" t="e">
        <f t="shared" si="476"/>
        <v>#N/A</v>
      </c>
      <c r="AS1237" s="392" t="e">
        <f t="shared" si="476"/>
        <v>#N/A</v>
      </c>
    </row>
    <row r="1238" spans="1:45">
      <c r="A1238" t="str">
        <f t="shared" si="474"/>
        <v>CA_Orang_2020g~president and vice president (vote 1)</v>
      </c>
      <c r="B1238" s="55" t="s">
        <v>3536</v>
      </c>
      <c r="D1238" s="55" t="s">
        <v>3537</v>
      </c>
      <c r="E1238" s="55" t="s">
        <v>3543</v>
      </c>
      <c r="F1238" t="s">
        <v>3234</v>
      </c>
      <c r="G1238" s="60">
        <v>3432</v>
      </c>
      <c r="H1238"/>
      <c r="J1238">
        <v>1546570</v>
      </c>
      <c r="N1238">
        <v>14778</v>
      </c>
      <c r="O1238">
        <f t="shared" si="482"/>
        <v>6</v>
      </c>
      <c r="P1238" s="57">
        <f t="shared" si="483"/>
        <v>1</v>
      </c>
      <c r="Q1238" s="267">
        <f t="shared" si="484"/>
        <v>3820</v>
      </c>
      <c r="R1238" s="23" t="str">
        <f t="shared" si="485"/>
        <v/>
      </c>
      <c r="S1238" s="23">
        <f t="shared" si="486"/>
        <v>3432</v>
      </c>
      <c r="T1238" s="23" t="str">
        <f t="shared" si="487"/>
        <v/>
      </c>
      <c r="U1238" t="str">
        <f t="shared" si="488"/>
        <v/>
      </c>
      <c r="W1238" s="1">
        <f t="shared" si="489"/>
        <v>1</v>
      </c>
      <c r="X1238" s="73">
        <f t="shared" si="477"/>
        <v>6.4151957671957671</v>
      </c>
      <c r="Y1238" s="322">
        <f t="shared" si="490"/>
        <v>674.68200000000002</v>
      </c>
      <c r="Z1238" s="43" t="e">
        <f t="shared" si="478"/>
        <v>#N/A</v>
      </c>
      <c r="AA1238" s="52" t="e">
        <f t="shared" si="491"/>
        <v>#N/A</v>
      </c>
      <c r="AB1238" s="8" t="e">
        <f t="shared" si="492"/>
        <v>#N/A</v>
      </c>
      <c r="AC1238" s="8" t="e">
        <f t="shared" si="493"/>
        <v>#N/A</v>
      </c>
      <c r="AD1238" s="8" t="e">
        <f t="shared" si="495"/>
        <v>#N/A</v>
      </c>
      <c r="AE1238" s="8" t="str">
        <f t="shared" si="494"/>
        <v/>
      </c>
      <c r="AF1238" s="22" t="str">
        <f t="shared" si="479"/>
        <v>MD_2020g~Cnty3</v>
      </c>
      <c r="AG1238">
        <v>1</v>
      </c>
      <c r="AH1238" s="272">
        <v>9778</v>
      </c>
      <c r="AI1238" s="273">
        <v>9614</v>
      </c>
      <c r="AJ1238" s="274">
        <v>164</v>
      </c>
      <c r="AK1238" s="339">
        <v>9450</v>
      </c>
      <c r="AL1238" s="340" t="s">
        <v>8004</v>
      </c>
      <c r="AM1238" s="377">
        <f t="shared" si="480"/>
        <v>0.96645530783391287</v>
      </c>
      <c r="AN1238" s="357">
        <f t="shared" si="481"/>
        <v>1</v>
      </c>
      <c r="AP1238" s="23" t="e">
        <f t="shared" si="496"/>
        <v>#N/A</v>
      </c>
      <c r="AQ1238" s="392" t="e">
        <f t="shared" si="475"/>
        <v>#N/A</v>
      </c>
      <c r="AR1238" s="392" t="e">
        <f t="shared" si="476"/>
        <v>#N/A</v>
      </c>
      <c r="AS1238" s="392" t="e">
        <f t="shared" si="476"/>
        <v>#N/A</v>
      </c>
    </row>
    <row r="1239" spans="1:45">
      <c r="A1239" t="str">
        <f t="shared" si="474"/>
        <v>CA_Orang_2020g~president and vice president (vote 1)</v>
      </c>
      <c r="B1239" s="55" t="s">
        <v>3536</v>
      </c>
      <c r="D1239" s="55" t="s">
        <v>3537</v>
      </c>
      <c r="E1239" s="55" t="s">
        <v>3544</v>
      </c>
      <c r="G1239" s="60">
        <v>297</v>
      </c>
      <c r="H1239"/>
      <c r="J1239">
        <v>1546570</v>
      </c>
      <c r="N1239">
        <v>14778</v>
      </c>
      <c r="O1239">
        <f t="shared" si="482"/>
        <v>7</v>
      </c>
      <c r="P1239" s="57">
        <f t="shared" si="483"/>
        <v>1</v>
      </c>
      <c r="Q1239" s="267">
        <f t="shared" si="484"/>
        <v>388</v>
      </c>
      <c r="R1239" s="23" t="str">
        <f t="shared" si="485"/>
        <v/>
      </c>
      <c r="S1239" s="23">
        <f t="shared" si="486"/>
        <v>297</v>
      </c>
      <c r="T1239" s="23" t="str">
        <f t="shared" si="487"/>
        <v/>
      </c>
      <c r="U1239" t="str">
        <f t="shared" si="488"/>
        <v/>
      </c>
      <c r="W1239" s="1">
        <f t="shared" si="489"/>
        <v>1</v>
      </c>
      <c r="X1239" s="73">
        <f t="shared" si="477"/>
        <v>6.4067415730337078</v>
      </c>
      <c r="Y1239" s="322">
        <f t="shared" si="490"/>
        <v>196.71900000000002</v>
      </c>
      <c r="Z1239" s="43" t="e">
        <f t="shared" si="478"/>
        <v>#N/A</v>
      </c>
      <c r="AA1239" s="52" t="e">
        <f t="shared" si="491"/>
        <v>#N/A</v>
      </c>
      <c r="AB1239" s="8" t="e">
        <f t="shared" si="492"/>
        <v>#N/A</v>
      </c>
      <c r="AC1239" s="8" t="e">
        <f t="shared" si="493"/>
        <v>#N/A</v>
      </c>
      <c r="AD1239" s="8" t="e">
        <f t="shared" si="495"/>
        <v>#N/A</v>
      </c>
      <c r="AE1239" s="8" t="str">
        <f t="shared" si="494"/>
        <v/>
      </c>
      <c r="AF1239" s="22" t="str">
        <f t="shared" si="479"/>
        <v>MD_2020g~Cnty2</v>
      </c>
      <c r="AG1239">
        <v>1</v>
      </c>
      <c r="AH1239" s="272">
        <v>2851</v>
      </c>
      <c r="AI1239" s="273">
        <v>2805</v>
      </c>
      <c r="AJ1239" s="274">
        <v>46</v>
      </c>
      <c r="AK1239" s="339">
        <v>2759</v>
      </c>
      <c r="AL1239" s="340" t="s">
        <v>8061</v>
      </c>
      <c r="AM1239" s="377">
        <f t="shared" si="480"/>
        <v>0.96773062083479477</v>
      </c>
      <c r="AN1239" s="357">
        <f t="shared" si="481"/>
        <v>1</v>
      </c>
      <c r="AP1239" s="23" t="e">
        <f t="shared" si="496"/>
        <v>#N/A</v>
      </c>
      <c r="AQ1239" s="392" t="e">
        <f t="shared" si="475"/>
        <v>#N/A</v>
      </c>
      <c r="AR1239" s="392" t="e">
        <f t="shared" si="476"/>
        <v>#N/A</v>
      </c>
      <c r="AS1239" s="392" t="e">
        <f t="shared" si="476"/>
        <v>#N/A</v>
      </c>
    </row>
    <row r="1240" spans="1:45">
      <c r="A1240" t="str">
        <f t="shared" si="474"/>
        <v>CA_Orang_2020g~president and vice president (vote 1)</v>
      </c>
      <c r="B1240" s="55" t="s">
        <v>3536</v>
      </c>
      <c r="D1240" s="55" t="s">
        <v>3537</v>
      </c>
      <c r="E1240" s="55" t="s">
        <v>3545</v>
      </c>
      <c r="G1240" s="60">
        <v>44</v>
      </c>
      <c r="H1240"/>
      <c r="J1240">
        <v>1546570</v>
      </c>
      <c r="N1240">
        <v>14778</v>
      </c>
      <c r="O1240">
        <f t="shared" si="482"/>
        <v>8</v>
      </c>
      <c r="P1240" s="57">
        <f t="shared" si="483"/>
        <v>1</v>
      </c>
      <c r="Q1240" s="267">
        <f t="shared" si="484"/>
        <v>91</v>
      </c>
      <c r="R1240" s="23" t="str">
        <f t="shared" si="485"/>
        <v/>
      </c>
      <c r="S1240" s="23">
        <f t="shared" si="486"/>
        <v>44</v>
      </c>
      <c r="T1240" s="23" t="str">
        <f t="shared" si="487"/>
        <v/>
      </c>
      <c r="U1240" t="str">
        <f t="shared" si="488"/>
        <v/>
      </c>
      <c r="W1240" s="1">
        <f t="shared" si="489"/>
        <v>1</v>
      </c>
      <c r="X1240" s="73">
        <f t="shared" si="477"/>
        <v>6.3963258399806628</v>
      </c>
      <c r="Y1240" s="322">
        <f t="shared" si="490"/>
        <v>2944.92</v>
      </c>
      <c r="Z1240" s="43" t="e">
        <f t="shared" si="478"/>
        <v>#N/A</v>
      </c>
      <c r="AA1240" s="52" t="e">
        <f t="shared" si="491"/>
        <v>#N/A</v>
      </c>
      <c r="AB1240" s="8" t="e">
        <f t="shared" si="492"/>
        <v>#N/A</v>
      </c>
      <c r="AC1240" s="8" t="e">
        <f t="shared" si="493"/>
        <v>#N/A</v>
      </c>
      <c r="AD1240" s="8" t="e">
        <f t="shared" si="495"/>
        <v>#N/A</v>
      </c>
      <c r="AE1240" s="8" t="str">
        <f t="shared" si="494"/>
        <v/>
      </c>
      <c r="AF1240" s="22" t="str">
        <f t="shared" si="479"/>
        <v>MD_2020g~Cnty1</v>
      </c>
      <c r="AG1240">
        <v>1</v>
      </c>
      <c r="AH1240" s="272">
        <v>42680</v>
      </c>
      <c r="AI1240" s="273">
        <v>42025</v>
      </c>
      <c r="AJ1240" s="274">
        <v>655</v>
      </c>
      <c r="AK1240" s="339">
        <v>41370</v>
      </c>
      <c r="AL1240" s="340" t="s">
        <v>8054</v>
      </c>
      <c r="AM1240" s="377">
        <f t="shared" si="480"/>
        <v>0.96930646672914711</v>
      </c>
      <c r="AN1240" s="357">
        <f t="shared" si="481"/>
        <v>1</v>
      </c>
      <c r="AP1240" s="23" t="e">
        <f t="shared" si="496"/>
        <v>#N/A</v>
      </c>
      <c r="AQ1240" s="392" t="e">
        <f t="shared" si="475"/>
        <v>#N/A</v>
      </c>
      <c r="AR1240" s="392" t="e">
        <f t="shared" si="476"/>
        <v>#N/A</v>
      </c>
      <c r="AS1240" s="392" t="e">
        <f t="shared" si="476"/>
        <v>#N/A</v>
      </c>
    </row>
    <row r="1241" spans="1:45">
      <c r="A1241" t="str">
        <f t="shared" si="474"/>
        <v>CA_Orang_2020g~president and vice president (vote 1)</v>
      </c>
      <c r="B1241" s="55" t="s">
        <v>3536</v>
      </c>
      <c r="D1241" s="55" t="s">
        <v>3537</v>
      </c>
      <c r="E1241" s="55" t="s">
        <v>3548</v>
      </c>
      <c r="G1241" s="60">
        <v>30</v>
      </c>
      <c r="H1241"/>
      <c r="J1241">
        <v>1546570</v>
      </c>
      <c r="N1241">
        <v>14778</v>
      </c>
      <c r="O1241">
        <f t="shared" si="482"/>
        <v>9</v>
      </c>
      <c r="P1241" s="57">
        <f t="shared" si="483"/>
        <v>1</v>
      </c>
      <c r="Q1241" s="267">
        <f t="shared" si="484"/>
        <v>47</v>
      </c>
      <c r="R1241" s="23" t="str">
        <f t="shared" si="485"/>
        <v/>
      </c>
      <c r="S1241" s="23">
        <f t="shared" si="486"/>
        <v>30</v>
      </c>
      <c r="T1241" s="23" t="str">
        <f t="shared" si="487"/>
        <v/>
      </c>
      <c r="U1241" t="str">
        <f t="shared" si="488"/>
        <v/>
      </c>
      <c r="W1241" s="1">
        <f t="shared" si="489"/>
        <v>2</v>
      </c>
      <c r="X1241" s="73">
        <f t="shared" si="477"/>
        <v>6.3813709794789695</v>
      </c>
      <c r="Y1241" s="322">
        <f t="shared" si="490"/>
        <v>2927.8080000000004</v>
      </c>
      <c r="Z1241" s="43" t="e">
        <f t="shared" si="478"/>
        <v>#N/A</v>
      </c>
      <c r="AA1241" s="52" t="e">
        <f t="shared" si="491"/>
        <v>#N/A</v>
      </c>
      <c r="AB1241" s="8" t="e">
        <f t="shared" si="492"/>
        <v>#N/A</v>
      </c>
      <c r="AC1241" s="8" t="e">
        <f t="shared" si="493"/>
        <v>#N/A</v>
      </c>
      <c r="AD1241" s="8" t="e">
        <f t="shared" si="495"/>
        <v>#N/A</v>
      </c>
      <c r="AE1241" s="8" t="str">
        <f t="shared" si="494"/>
        <v/>
      </c>
      <c r="AF1241" s="22" t="str">
        <f t="shared" si="479"/>
        <v>MD_2020g~Cnty1</v>
      </c>
      <c r="AG1241">
        <v>1</v>
      </c>
      <c r="AH1241" s="272">
        <v>42432</v>
      </c>
      <c r="AI1241" s="273">
        <v>41829</v>
      </c>
      <c r="AJ1241" s="274">
        <v>603</v>
      </c>
      <c r="AK1241" s="339">
        <v>41226</v>
      </c>
      <c r="AL1241" s="340" t="s">
        <v>8056</v>
      </c>
      <c r="AM1241" s="377">
        <f t="shared" si="480"/>
        <v>0.97157805429864252</v>
      </c>
      <c r="AN1241" s="357">
        <f t="shared" si="481"/>
        <v>1</v>
      </c>
      <c r="AP1241" s="23" t="e">
        <f t="shared" si="496"/>
        <v>#N/A</v>
      </c>
      <c r="AQ1241" s="392" t="e">
        <f t="shared" si="475"/>
        <v>#N/A</v>
      </c>
      <c r="AR1241" s="392" t="e">
        <f t="shared" si="476"/>
        <v>#N/A</v>
      </c>
      <c r="AS1241" s="392" t="e">
        <f t="shared" si="476"/>
        <v>#N/A</v>
      </c>
    </row>
    <row r="1242" spans="1:45">
      <c r="A1242" t="str">
        <f t="shared" si="474"/>
        <v>CA_Orang_2020g~president and vice president (vote 1)</v>
      </c>
      <c r="B1242" s="55" t="s">
        <v>3536</v>
      </c>
      <c r="D1242" s="55" t="s">
        <v>3537</v>
      </c>
      <c r="E1242" s="55" t="s">
        <v>3546</v>
      </c>
      <c r="G1242" s="60">
        <v>12</v>
      </c>
      <c r="H1242"/>
      <c r="J1242">
        <v>1546570</v>
      </c>
      <c r="N1242">
        <v>14778</v>
      </c>
      <c r="O1242">
        <f t="shared" si="482"/>
        <v>10</v>
      </c>
      <c r="P1242" s="57">
        <f t="shared" si="483"/>
        <v>1</v>
      </c>
      <c r="Q1242" s="267">
        <f t="shared" si="484"/>
        <v>17</v>
      </c>
      <c r="R1242" s="23" t="str">
        <f t="shared" si="485"/>
        <v/>
      </c>
      <c r="S1242" s="23">
        <f t="shared" si="486"/>
        <v>12</v>
      </c>
      <c r="T1242" s="23" t="str">
        <f t="shared" si="487"/>
        <v/>
      </c>
      <c r="U1242" t="str">
        <f t="shared" si="488"/>
        <v/>
      </c>
      <c r="W1242" s="1">
        <f t="shared" si="489"/>
        <v>3</v>
      </c>
      <c r="X1242" s="73">
        <f t="shared" si="477"/>
        <v>6.3759031586911288</v>
      </c>
      <c r="Y1242" s="322">
        <f t="shared" si="490"/>
        <v>2626.0710000000004</v>
      </c>
      <c r="Z1242" s="43" t="e">
        <f t="shared" si="478"/>
        <v>#N/A</v>
      </c>
      <c r="AA1242" s="52" t="e">
        <f t="shared" si="491"/>
        <v>#N/A</v>
      </c>
      <c r="AB1242" s="8" t="e">
        <f t="shared" si="492"/>
        <v>#N/A</v>
      </c>
      <c r="AC1242" s="8" t="e">
        <f t="shared" si="493"/>
        <v>#N/A</v>
      </c>
      <c r="AD1242" s="8" t="e">
        <f t="shared" si="495"/>
        <v>#N/A</v>
      </c>
      <c r="AE1242" s="8" t="str">
        <f t="shared" si="494"/>
        <v/>
      </c>
      <c r="AF1242" s="22" t="str">
        <f t="shared" si="479"/>
        <v>MD_2020g~Cnty1</v>
      </c>
      <c r="AG1242">
        <v>1</v>
      </c>
      <c r="AH1242" s="272">
        <v>38059</v>
      </c>
      <c r="AI1242" s="273">
        <v>37534</v>
      </c>
      <c r="AJ1242" s="274">
        <v>525</v>
      </c>
      <c r="AK1242" s="339">
        <v>37009</v>
      </c>
      <c r="AL1242" s="340" t="s">
        <v>8043</v>
      </c>
      <c r="AM1242" s="377">
        <f t="shared" si="480"/>
        <v>0.97241125620746738</v>
      </c>
      <c r="AN1242" s="357">
        <f t="shared" si="481"/>
        <v>1</v>
      </c>
      <c r="AP1242" s="23" t="e">
        <f t="shared" si="496"/>
        <v>#N/A</v>
      </c>
      <c r="AQ1242" s="392" t="e">
        <f t="shared" si="475"/>
        <v>#N/A</v>
      </c>
      <c r="AR1242" s="392" t="e">
        <f t="shared" si="476"/>
        <v>#N/A</v>
      </c>
      <c r="AS1242" s="392" t="e">
        <f t="shared" si="476"/>
        <v>#N/A</v>
      </c>
    </row>
    <row r="1243" spans="1:45">
      <c r="A1243" t="str">
        <f t="shared" si="474"/>
        <v>CA_Orang_2020g~president and vice president (vote 1)</v>
      </c>
      <c r="B1243" s="55" t="s">
        <v>3536</v>
      </c>
      <c r="D1243" s="55" t="s">
        <v>3537</v>
      </c>
      <c r="E1243" s="55" t="s">
        <v>3547</v>
      </c>
      <c r="G1243" s="60">
        <v>5</v>
      </c>
      <c r="H1243"/>
      <c r="J1243">
        <v>1546570</v>
      </c>
      <c r="N1243">
        <v>14778</v>
      </c>
      <c r="O1243">
        <f t="shared" si="482"/>
        <v>11</v>
      </c>
      <c r="P1243" s="57">
        <f t="shared" si="483"/>
        <v>1</v>
      </c>
      <c r="Q1243" s="267">
        <f t="shared" si="484"/>
        <v>5</v>
      </c>
      <c r="R1243" s="23" t="str">
        <f t="shared" si="485"/>
        <v/>
      </c>
      <c r="S1243" s="23">
        <f t="shared" si="486"/>
        <v>5</v>
      </c>
      <c r="T1243" s="23" t="str">
        <f t="shared" si="487"/>
        <v/>
      </c>
      <c r="U1243" t="str">
        <f t="shared" si="488"/>
        <v/>
      </c>
      <c r="W1243" s="1">
        <f t="shared" si="489"/>
        <v>1</v>
      </c>
      <c r="X1243" s="73">
        <f t="shared" si="477"/>
        <v>6.3745150247242304</v>
      </c>
      <c r="Y1243" s="322">
        <f t="shared" si="490"/>
        <v>186.50700000000001</v>
      </c>
      <c r="Z1243" s="43" t="e">
        <f t="shared" si="478"/>
        <v>#N/A</v>
      </c>
      <c r="AA1243" s="52" t="e">
        <f t="shared" si="491"/>
        <v>#N/A</v>
      </c>
      <c r="AB1243" s="8" t="e">
        <f t="shared" si="492"/>
        <v>#N/A</v>
      </c>
      <c r="AC1243" s="8" t="e">
        <f t="shared" si="493"/>
        <v>#N/A</v>
      </c>
      <c r="AD1243" s="8" t="e">
        <f t="shared" si="495"/>
        <v>#N/A</v>
      </c>
      <c r="AE1243" s="8" t="str">
        <f t="shared" si="494"/>
        <v/>
      </c>
      <c r="AF1243" s="22" t="str">
        <f t="shared" si="479"/>
        <v>MD_2020g~Cnty2</v>
      </c>
      <c r="AG1243">
        <v>1</v>
      </c>
      <c r="AH1243" s="272">
        <v>2703</v>
      </c>
      <c r="AI1243" s="273">
        <v>2666</v>
      </c>
      <c r="AJ1243" s="274">
        <v>37</v>
      </c>
      <c r="AK1243" s="339">
        <v>2629</v>
      </c>
      <c r="AL1243" s="340" t="s">
        <v>8059</v>
      </c>
      <c r="AM1243" s="377">
        <f t="shared" si="480"/>
        <v>0.97262301146873842</v>
      </c>
      <c r="AN1243" s="357">
        <f t="shared" si="481"/>
        <v>1</v>
      </c>
      <c r="AP1243" s="23" t="e">
        <f t="shared" si="496"/>
        <v>#N/A</v>
      </c>
      <c r="AQ1243" s="392" t="e">
        <f t="shared" si="475"/>
        <v>#N/A</v>
      </c>
      <c r="AR1243" s="392" t="e">
        <f t="shared" si="476"/>
        <v>#N/A</v>
      </c>
      <c r="AS1243" s="392" t="e">
        <f t="shared" si="476"/>
        <v>#N/A</v>
      </c>
    </row>
    <row r="1244" spans="1:45">
      <c r="A1244" t="str">
        <f t="shared" si="474"/>
        <v>CA_Orang_2020g~proposition 14 - authorizes bonds continuing stem cell research (vote 1)</v>
      </c>
      <c r="B1244" s="55" t="s">
        <v>3536</v>
      </c>
      <c r="D1244" s="55" t="s">
        <v>4144</v>
      </c>
      <c r="E1244" s="55" t="s">
        <v>1394</v>
      </c>
      <c r="G1244" s="60">
        <v>795327</v>
      </c>
      <c r="H1244"/>
      <c r="J1244">
        <v>1546570</v>
      </c>
      <c r="N1244">
        <v>73810</v>
      </c>
      <c r="O1244">
        <f t="shared" si="482"/>
        <v>1</v>
      </c>
      <c r="P1244" s="57">
        <f t="shared" si="483"/>
        <v>1</v>
      </c>
      <c r="Q1244" s="267">
        <f t="shared" si="484"/>
        <v>1472509</v>
      </c>
      <c r="R1244" s="23">
        <f t="shared" si="485"/>
        <v>795327</v>
      </c>
      <c r="S1244" s="23">
        <f t="shared" si="486"/>
        <v>677182</v>
      </c>
      <c r="T1244" s="23">
        <f t="shared" si="487"/>
        <v>118145</v>
      </c>
      <c r="U1244" t="str">
        <f t="shared" si="488"/>
        <v>CA_Orang_2020g~proposition 14 - authorizes bonds continuing stem cell research (vote 1)</v>
      </c>
      <c r="W1244" s="1">
        <f t="shared" si="489"/>
        <v>1</v>
      </c>
      <c r="X1244" s="73">
        <f t="shared" si="477"/>
        <v>6.3629573775307859</v>
      </c>
      <c r="Y1244" s="322">
        <f t="shared" si="490"/>
        <v>14462.607000000002</v>
      </c>
      <c r="Z1244" s="43" t="e">
        <f t="shared" si="478"/>
        <v>#N/A</v>
      </c>
      <c r="AA1244" s="52" t="e">
        <f t="shared" si="491"/>
        <v>#N/A</v>
      </c>
      <c r="AB1244" s="8" t="e">
        <f t="shared" si="492"/>
        <v>#N/A</v>
      </c>
      <c r="AC1244" s="8" t="e">
        <f t="shared" si="493"/>
        <v>#N/A</v>
      </c>
      <c r="AD1244" s="8" t="e">
        <f t="shared" si="495"/>
        <v>#N/A</v>
      </c>
      <c r="AE1244" s="8" t="str">
        <f t="shared" si="494"/>
        <v/>
      </c>
      <c r="AF1244" s="22" t="str">
        <f t="shared" si="479"/>
        <v>MD_2020g~Cnty3</v>
      </c>
      <c r="AG1244">
        <v>1</v>
      </c>
      <c r="AH1244" s="272">
        <v>209603</v>
      </c>
      <c r="AI1244" s="273">
        <v>206919</v>
      </c>
      <c r="AJ1244" s="274">
        <v>2684</v>
      </c>
      <c r="AK1244" s="339">
        <v>204235</v>
      </c>
      <c r="AL1244" s="340" t="s">
        <v>7993</v>
      </c>
      <c r="AM1244" s="377">
        <f t="shared" si="480"/>
        <v>0.97438967953702948</v>
      </c>
      <c r="AN1244" s="357">
        <f t="shared" si="481"/>
        <v>1</v>
      </c>
      <c r="AP1244" s="23" t="e">
        <f t="shared" si="496"/>
        <v>#N/A</v>
      </c>
      <c r="AQ1244" s="392" t="e">
        <f t="shared" si="475"/>
        <v>#N/A</v>
      </c>
      <c r="AR1244" s="392" t="e">
        <f t="shared" si="476"/>
        <v>#N/A</v>
      </c>
      <c r="AS1244" s="392" t="e">
        <f t="shared" si="476"/>
        <v>#N/A</v>
      </c>
    </row>
    <row r="1245" spans="1:45">
      <c r="A1245" t="str">
        <f t="shared" si="474"/>
        <v>CA_Orang_2020g~proposition 14 - authorizes bonds continuing stem cell research (vote 1)</v>
      </c>
      <c r="B1245" s="55" t="s">
        <v>3536</v>
      </c>
      <c r="D1245" s="55" t="s">
        <v>4144</v>
      </c>
      <c r="E1245" s="55" t="s">
        <v>1393</v>
      </c>
      <c r="G1245" s="60">
        <v>677182</v>
      </c>
      <c r="H1245"/>
      <c r="J1245">
        <v>1546570</v>
      </c>
      <c r="N1245">
        <v>73810</v>
      </c>
      <c r="O1245">
        <f t="shared" si="482"/>
        <v>2</v>
      </c>
      <c r="P1245" s="57">
        <f t="shared" si="483"/>
        <v>1</v>
      </c>
      <c r="Q1245" s="267">
        <f t="shared" si="484"/>
        <v>677182</v>
      </c>
      <c r="R1245" s="23" t="str">
        <f t="shared" si="485"/>
        <v/>
      </c>
      <c r="S1245" s="23">
        <f t="shared" si="486"/>
        <v>677182</v>
      </c>
      <c r="T1245" s="23" t="str">
        <f t="shared" si="487"/>
        <v/>
      </c>
      <c r="U1245" t="str">
        <f t="shared" si="488"/>
        <v/>
      </c>
      <c r="W1245" s="1">
        <f t="shared" si="489"/>
        <v>2</v>
      </c>
      <c r="X1245" s="73">
        <f t="shared" si="477"/>
        <v>6.3601924447612257</v>
      </c>
      <c r="Y1245" s="322">
        <f t="shared" si="490"/>
        <v>794.46600000000012</v>
      </c>
      <c r="Z1245" s="43" t="e">
        <f t="shared" si="478"/>
        <v>#N/A</v>
      </c>
      <c r="AA1245" s="52" t="e">
        <f t="shared" si="491"/>
        <v>#N/A</v>
      </c>
      <c r="AB1245" s="8" t="e">
        <f t="shared" si="492"/>
        <v>#N/A</v>
      </c>
      <c r="AC1245" s="8" t="e">
        <f t="shared" si="493"/>
        <v>#N/A</v>
      </c>
      <c r="AD1245" s="8" t="e">
        <f t="shared" si="495"/>
        <v>#N/A</v>
      </c>
      <c r="AE1245" s="8" t="str">
        <f t="shared" si="494"/>
        <v/>
      </c>
      <c r="AF1245" s="22" t="str">
        <f t="shared" si="479"/>
        <v>MD_2020g~Cnty3</v>
      </c>
      <c r="AG1245">
        <v>1</v>
      </c>
      <c r="AH1245" s="272">
        <v>11514</v>
      </c>
      <c r="AI1245" s="273">
        <v>11369</v>
      </c>
      <c r="AJ1245" s="274">
        <v>145</v>
      </c>
      <c r="AK1245" s="339">
        <v>11224</v>
      </c>
      <c r="AL1245" s="340" t="s">
        <v>8008</v>
      </c>
      <c r="AM1245" s="377">
        <f t="shared" si="480"/>
        <v>0.9748132708007643</v>
      </c>
      <c r="AN1245" s="357">
        <f t="shared" si="481"/>
        <v>1</v>
      </c>
      <c r="AP1245" s="23" t="e">
        <f t="shared" si="496"/>
        <v>#N/A</v>
      </c>
      <c r="AQ1245" s="392" t="e">
        <f t="shared" si="475"/>
        <v>#N/A</v>
      </c>
      <c r="AR1245" s="392" t="e">
        <f t="shared" si="476"/>
        <v>#N/A</v>
      </c>
      <c r="AS1245" s="392" t="e">
        <f t="shared" si="476"/>
        <v>#N/A</v>
      </c>
    </row>
    <row r="1246" spans="1:45">
      <c r="A1246" t="str">
        <f t="shared" si="474"/>
        <v>CA_Orang_2020g~proposition 15 - increases funding sources for public schools, community colleges, and local government services  (vote 1)</v>
      </c>
      <c r="B1246" s="55" t="s">
        <v>3536</v>
      </c>
      <c r="D1246" s="55" t="s">
        <v>4145</v>
      </c>
      <c r="E1246" s="55" t="s">
        <v>1394</v>
      </c>
      <c r="G1246" s="60">
        <v>904209</v>
      </c>
      <c r="H1246"/>
      <c r="J1246">
        <v>1546570</v>
      </c>
      <c r="N1246">
        <v>51935</v>
      </c>
      <c r="O1246">
        <f t="shared" si="482"/>
        <v>1</v>
      </c>
      <c r="P1246" s="57">
        <f t="shared" si="483"/>
        <v>1</v>
      </c>
      <c r="Q1246" s="267">
        <f t="shared" si="484"/>
        <v>1494285</v>
      </c>
      <c r="R1246" s="23">
        <f t="shared" si="485"/>
        <v>904209</v>
      </c>
      <c r="S1246" s="23">
        <f t="shared" si="486"/>
        <v>590076</v>
      </c>
      <c r="T1246" s="23">
        <f t="shared" si="487"/>
        <v>314133</v>
      </c>
      <c r="U1246" t="str">
        <f t="shared" si="488"/>
        <v>CA_Orang_2020g~proposition 15 - increases funding sources for public schools, community colleges, and local government services  (vote 1)</v>
      </c>
      <c r="W1246" s="1">
        <f t="shared" si="489"/>
        <v>1</v>
      </c>
      <c r="X1246" s="73">
        <f t="shared" si="477"/>
        <v>6.3590705077192426</v>
      </c>
      <c r="Y1246" s="322">
        <f t="shared" si="490"/>
        <v>2223.2490000000003</v>
      </c>
      <c r="Z1246" s="43" t="e">
        <f t="shared" si="478"/>
        <v>#N/A</v>
      </c>
      <c r="AA1246" s="52" t="e">
        <f t="shared" si="491"/>
        <v>#N/A</v>
      </c>
      <c r="AB1246" s="8" t="e">
        <f t="shared" si="492"/>
        <v>#N/A</v>
      </c>
      <c r="AC1246" s="8" t="e">
        <f t="shared" si="493"/>
        <v>#N/A</v>
      </c>
      <c r="AD1246" s="8" t="e">
        <f t="shared" si="495"/>
        <v>#N/A</v>
      </c>
      <c r="AE1246" s="8" t="str">
        <f t="shared" si="494"/>
        <v/>
      </c>
      <c r="AF1246" s="22" t="str">
        <f t="shared" si="479"/>
        <v>MD_2020g~Cnty8</v>
      </c>
      <c r="AG1246">
        <v>1</v>
      </c>
      <c r="AH1246" s="272">
        <v>32221</v>
      </c>
      <c r="AI1246" s="273">
        <v>31818</v>
      </c>
      <c r="AJ1246" s="274">
        <v>403</v>
      </c>
      <c r="AK1246" s="339">
        <v>31415</v>
      </c>
      <c r="AL1246" s="340" t="s">
        <v>8021</v>
      </c>
      <c r="AM1246" s="377">
        <f t="shared" si="480"/>
        <v>0.97498525806151271</v>
      </c>
      <c r="AN1246" s="357">
        <f t="shared" si="481"/>
        <v>1</v>
      </c>
      <c r="AP1246" s="23" t="e">
        <f t="shared" si="496"/>
        <v>#N/A</v>
      </c>
      <c r="AQ1246" s="392" t="e">
        <f t="shared" si="475"/>
        <v>#N/A</v>
      </c>
      <c r="AR1246" s="392" t="e">
        <f t="shared" si="476"/>
        <v>#N/A</v>
      </c>
      <c r="AS1246" s="392" t="e">
        <f t="shared" si="476"/>
        <v>#N/A</v>
      </c>
    </row>
    <row r="1247" spans="1:45">
      <c r="A1247" t="str">
        <f t="shared" si="474"/>
        <v>CA_Orang_2020g~proposition 15 - increases funding sources for public schools, community colleges, and local government services  (vote 1)</v>
      </c>
      <c r="B1247" s="55" t="s">
        <v>3536</v>
      </c>
      <c r="D1247" s="55" t="s">
        <v>4145</v>
      </c>
      <c r="E1247" s="55" t="s">
        <v>1393</v>
      </c>
      <c r="G1247" s="60">
        <v>590076</v>
      </c>
      <c r="H1247"/>
      <c r="J1247">
        <v>1546570</v>
      </c>
      <c r="N1247">
        <v>51935</v>
      </c>
      <c r="O1247">
        <f t="shared" si="482"/>
        <v>2</v>
      </c>
      <c r="P1247" s="57">
        <f t="shared" si="483"/>
        <v>1</v>
      </c>
      <c r="Q1247" s="267">
        <f t="shared" si="484"/>
        <v>590076</v>
      </c>
      <c r="R1247" s="23" t="str">
        <f t="shared" si="485"/>
        <v/>
      </c>
      <c r="S1247" s="23">
        <f t="shared" si="486"/>
        <v>590076</v>
      </c>
      <c r="T1247" s="23" t="str">
        <f t="shared" si="487"/>
        <v/>
      </c>
      <c r="U1247" t="str">
        <f t="shared" si="488"/>
        <v/>
      </c>
      <c r="W1247" s="1">
        <f t="shared" si="489"/>
        <v>1</v>
      </c>
      <c r="X1247" s="73">
        <f t="shared" si="477"/>
        <v>6.3523341523341523</v>
      </c>
      <c r="Y1247" s="322">
        <f t="shared" si="490"/>
        <v>287.73</v>
      </c>
      <c r="Z1247" s="43" t="e">
        <f t="shared" si="478"/>
        <v>#N/A</v>
      </c>
      <c r="AA1247" s="52" t="e">
        <f t="shared" si="491"/>
        <v>#N/A</v>
      </c>
      <c r="AB1247" s="8" t="e">
        <f t="shared" si="492"/>
        <v>#N/A</v>
      </c>
      <c r="AC1247" s="8" t="e">
        <f t="shared" si="493"/>
        <v>#N/A</v>
      </c>
      <c r="AD1247" s="8" t="e">
        <f t="shared" si="495"/>
        <v>#N/A</v>
      </c>
      <c r="AE1247" s="8" t="str">
        <f t="shared" si="494"/>
        <v/>
      </c>
      <c r="AF1247" s="22" t="str">
        <f t="shared" si="479"/>
        <v>MD_2020g~Cnty2</v>
      </c>
      <c r="AG1247">
        <v>1</v>
      </c>
      <c r="AH1247" s="272">
        <v>4170</v>
      </c>
      <c r="AI1247" s="273">
        <v>4120</v>
      </c>
      <c r="AJ1247" s="274">
        <v>50</v>
      </c>
      <c r="AK1247" s="339">
        <v>4070</v>
      </c>
      <c r="AL1247" s="340" t="s">
        <v>8070</v>
      </c>
      <c r="AM1247" s="377">
        <f t="shared" si="480"/>
        <v>0.97601918465227822</v>
      </c>
      <c r="AN1247" s="357">
        <f t="shared" si="481"/>
        <v>1</v>
      </c>
      <c r="AP1247" s="23" t="e">
        <f t="shared" si="496"/>
        <v>#N/A</v>
      </c>
      <c r="AQ1247" s="392" t="e">
        <f t="shared" si="475"/>
        <v>#N/A</v>
      </c>
      <c r="AR1247" s="392" t="e">
        <f t="shared" si="476"/>
        <v>#N/A</v>
      </c>
      <c r="AS1247" s="392" t="e">
        <f t="shared" si="476"/>
        <v>#N/A</v>
      </c>
    </row>
    <row r="1248" spans="1:45">
      <c r="A1248" t="str">
        <f t="shared" si="474"/>
        <v>CA_Orang_2020g~proposition 16 - allows diversity as a factor in public employment, education, and contracting decisions (vote 1)</v>
      </c>
      <c r="B1248" s="55" t="s">
        <v>3536</v>
      </c>
      <c r="D1248" s="55" t="s">
        <v>4146</v>
      </c>
      <c r="E1248" s="55" t="s">
        <v>1394</v>
      </c>
      <c r="G1248" s="60">
        <v>964110</v>
      </c>
      <c r="H1248"/>
      <c r="J1248">
        <v>1546570</v>
      </c>
      <c r="N1248">
        <v>70867</v>
      </c>
      <c r="O1248">
        <f t="shared" si="482"/>
        <v>1</v>
      </c>
      <c r="P1248" s="57">
        <f t="shared" si="483"/>
        <v>1</v>
      </c>
      <c r="Q1248" s="267">
        <f t="shared" si="484"/>
        <v>1475430</v>
      </c>
      <c r="R1248" s="23">
        <f t="shared" si="485"/>
        <v>964110</v>
      </c>
      <c r="S1248" s="23">
        <f t="shared" si="486"/>
        <v>511320</v>
      </c>
      <c r="T1248" s="23">
        <f t="shared" si="487"/>
        <v>452790</v>
      </c>
      <c r="U1248" t="str">
        <f t="shared" si="488"/>
        <v>CA_Orang_2020g~proposition 16 - allows diversity as a factor in public employment, education, and contracting decisions (vote 1)</v>
      </c>
      <c r="W1248" s="1">
        <f t="shared" si="489"/>
        <v>1</v>
      </c>
      <c r="X1248" s="73">
        <f t="shared" si="477"/>
        <v>6.3478010686395399</v>
      </c>
      <c r="Y1248" s="322">
        <f t="shared" si="490"/>
        <v>1546.9110000000001</v>
      </c>
      <c r="Z1248" s="43" t="e">
        <f t="shared" si="478"/>
        <v>#N/A</v>
      </c>
      <c r="AA1248" s="52" t="e">
        <f t="shared" si="491"/>
        <v>#N/A</v>
      </c>
      <c r="AB1248" s="8" t="e">
        <f t="shared" si="492"/>
        <v>#N/A</v>
      </c>
      <c r="AC1248" s="8" t="e">
        <f t="shared" si="493"/>
        <v>#N/A</v>
      </c>
      <c r="AD1248" s="8" t="e">
        <f t="shared" si="495"/>
        <v>#N/A</v>
      </c>
      <c r="AE1248" s="8" t="str">
        <f t="shared" si="494"/>
        <v/>
      </c>
      <c r="AF1248" s="22" t="str">
        <f t="shared" si="479"/>
        <v>MD_2020g~Cnty1</v>
      </c>
      <c r="AG1248">
        <v>1</v>
      </c>
      <c r="AH1248" s="272">
        <v>22419</v>
      </c>
      <c r="AI1248" s="273">
        <v>22158</v>
      </c>
      <c r="AJ1248" s="274">
        <v>261</v>
      </c>
      <c r="AK1248" s="339">
        <v>21897</v>
      </c>
      <c r="AL1248" s="340" t="s">
        <v>8052</v>
      </c>
      <c r="AM1248" s="377">
        <f t="shared" si="480"/>
        <v>0.97671617824167001</v>
      </c>
      <c r="AN1248" s="357">
        <f t="shared" si="481"/>
        <v>1</v>
      </c>
      <c r="AO1248" s="356"/>
      <c r="AP1248" s="23" t="e">
        <f t="shared" si="496"/>
        <v>#N/A</v>
      </c>
      <c r="AQ1248" s="392" t="e">
        <f t="shared" si="475"/>
        <v>#N/A</v>
      </c>
      <c r="AR1248" s="392" t="e">
        <f t="shared" si="476"/>
        <v>#N/A</v>
      </c>
      <c r="AS1248" s="392" t="e">
        <f t="shared" si="476"/>
        <v>#N/A</v>
      </c>
    </row>
    <row r="1249" spans="1:45">
      <c r="A1249" t="str">
        <f t="shared" si="474"/>
        <v>CA_Orang_2020g~proposition 16 - allows diversity as a factor in public employment, education, and contracting decisions (vote 1)</v>
      </c>
      <c r="B1249" s="55" t="s">
        <v>3536</v>
      </c>
      <c r="D1249" s="55" t="s">
        <v>4146</v>
      </c>
      <c r="E1249" s="55" t="s">
        <v>1393</v>
      </c>
      <c r="G1249" s="60">
        <v>511320</v>
      </c>
      <c r="H1249"/>
      <c r="J1249">
        <v>1546570</v>
      </c>
      <c r="N1249">
        <v>70867</v>
      </c>
      <c r="O1249">
        <f t="shared" si="482"/>
        <v>2</v>
      </c>
      <c r="P1249" s="57">
        <f t="shared" si="483"/>
        <v>1</v>
      </c>
      <c r="Q1249" s="267">
        <f t="shared" si="484"/>
        <v>511320</v>
      </c>
      <c r="R1249" s="23" t="str">
        <f t="shared" si="485"/>
        <v/>
      </c>
      <c r="S1249" s="23">
        <f t="shared" si="486"/>
        <v>511320</v>
      </c>
      <c r="T1249" s="23" t="str">
        <f t="shared" si="487"/>
        <v/>
      </c>
      <c r="U1249" t="str">
        <f t="shared" si="488"/>
        <v/>
      </c>
      <c r="W1249" s="1">
        <f t="shared" si="489"/>
        <v>1</v>
      </c>
      <c r="X1249" s="73">
        <f t="shared" si="477"/>
        <v>6.3363815201192253</v>
      </c>
      <c r="Y1249" s="322">
        <f t="shared" si="490"/>
        <v>1182.9360000000001</v>
      </c>
      <c r="Z1249" s="43" t="e">
        <f t="shared" si="478"/>
        <v>#N/A</v>
      </c>
      <c r="AA1249" s="52" t="e">
        <f t="shared" si="491"/>
        <v>#N/A</v>
      </c>
      <c r="AB1249" s="8" t="e">
        <f t="shared" si="492"/>
        <v>#N/A</v>
      </c>
      <c r="AC1249" s="8" t="e">
        <f t="shared" si="493"/>
        <v>#N/A</v>
      </c>
      <c r="AD1249" s="8" t="e">
        <f t="shared" si="495"/>
        <v>#N/A</v>
      </c>
      <c r="AE1249" s="8" t="str">
        <f t="shared" si="494"/>
        <v/>
      </c>
      <c r="AF1249" s="22" t="str">
        <f t="shared" si="479"/>
        <v>MD_2020g~Cnty3</v>
      </c>
      <c r="AG1249">
        <v>1</v>
      </c>
      <c r="AH1249" s="272">
        <v>17144</v>
      </c>
      <c r="AI1249" s="273">
        <v>16958</v>
      </c>
      <c r="AJ1249" s="274">
        <v>183</v>
      </c>
      <c r="AK1249" s="339">
        <v>16775</v>
      </c>
      <c r="AL1249" s="340" t="s">
        <v>7999</v>
      </c>
      <c r="AM1249" s="377">
        <f t="shared" si="480"/>
        <v>0.97847643490433966</v>
      </c>
      <c r="AN1249" s="357">
        <f t="shared" si="481"/>
        <v>1</v>
      </c>
      <c r="AP1249" s="23" t="e">
        <f t="shared" si="496"/>
        <v>#N/A</v>
      </c>
      <c r="AQ1249" s="392" t="e">
        <f t="shared" si="475"/>
        <v>#N/A</v>
      </c>
      <c r="AR1249" s="392" t="e">
        <f t="shared" si="476"/>
        <v>#N/A</v>
      </c>
      <c r="AS1249" s="392" t="e">
        <f t="shared" si="476"/>
        <v>#N/A</v>
      </c>
    </row>
    <row r="1250" spans="1:45">
      <c r="A1250" t="str">
        <f t="shared" si="474"/>
        <v>CA_Orang_2020g~proposition 17 - restores right to vote after completion of prison term (vote 1)</v>
      </c>
      <c r="B1250" s="55" t="s">
        <v>3536</v>
      </c>
      <c r="D1250" s="55" t="s">
        <v>4147</v>
      </c>
      <c r="E1250" s="55" t="s">
        <v>1394</v>
      </c>
      <c r="G1250" s="60">
        <v>746652</v>
      </c>
      <c r="H1250"/>
      <c r="J1250">
        <v>1546570</v>
      </c>
      <c r="N1250">
        <v>59487</v>
      </c>
      <c r="O1250">
        <f t="shared" si="482"/>
        <v>1</v>
      </c>
      <c r="P1250" s="57">
        <f t="shared" si="483"/>
        <v>1</v>
      </c>
      <c r="Q1250" s="267">
        <f t="shared" si="484"/>
        <v>1486729</v>
      </c>
      <c r="R1250" s="23">
        <f t="shared" si="485"/>
        <v>746652</v>
      </c>
      <c r="S1250" s="23">
        <f t="shared" si="486"/>
        <v>740077</v>
      </c>
      <c r="T1250" s="23">
        <f t="shared" si="487"/>
        <v>6575</v>
      </c>
      <c r="U1250" t="str">
        <f t="shared" si="488"/>
        <v>CA_Orang_2020g~proposition 17 - restores right to vote after completion of prison term (vote 1)</v>
      </c>
      <c r="W1250" s="1">
        <f t="shared" si="489"/>
        <v>1</v>
      </c>
      <c r="X1250" s="73">
        <f t="shared" si="477"/>
        <v>6.3306239316239319</v>
      </c>
      <c r="Y1250" s="322">
        <f t="shared" si="490"/>
        <v>3297.2340000000004</v>
      </c>
      <c r="Z1250" s="43" t="e">
        <f t="shared" si="478"/>
        <v>#N/A</v>
      </c>
      <c r="AA1250" s="52" t="e">
        <f t="shared" si="491"/>
        <v>#N/A</v>
      </c>
      <c r="AB1250" s="8" t="e">
        <f t="shared" si="492"/>
        <v>#N/A</v>
      </c>
      <c r="AC1250" s="8" t="e">
        <f t="shared" si="493"/>
        <v>#N/A</v>
      </c>
      <c r="AD1250" s="8" t="e">
        <f t="shared" si="495"/>
        <v>#N/A</v>
      </c>
      <c r="AE1250" s="8" t="str">
        <f t="shared" si="494"/>
        <v/>
      </c>
      <c r="AF1250" s="22" t="str">
        <f t="shared" si="479"/>
        <v>MD_2020g~Cnty2</v>
      </c>
      <c r="AG1250">
        <v>1</v>
      </c>
      <c r="AH1250" s="272">
        <v>47786</v>
      </c>
      <c r="AI1250" s="273">
        <v>47293</v>
      </c>
      <c r="AJ1250" s="274">
        <v>493</v>
      </c>
      <c r="AK1250" s="339">
        <v>46800</v>
      </c>
      <c r="AL1250" s="340" t="s">
        <v>8064</v>
      </c>
      <c r="AM1250" s="377">
        <f t="shared" si="480"/>
        <v>0.97936634160632818</v>
      </c>
      <c r="AN1250" s="357">
        <f t="shared" si="481"/>
        <v>1</v>
      </c>
      <c r="AP1250" s="23" t="e">
        <f t="shared" si="496"/>
        <v>#N/A</v>
      </c>
      <c r="AQ1250" s="392" t="e">
        <f t="shared" si="475"/>
        <v>#N/A</v>
      </c>
      <c r="AR1250" s="392" t="e">
        <f t="shared" si="476"/>
        <v>#N/A</v>
      </c>
      <c r="AS1250" s="392" t="e">
        <f t="shared" si="476"/>
        <v>#N/A</v>
      </c>
    </row>
    <row r="1251" spans="1:45">
      <c r="A1251" t="str">
        <f t="shared" si="474"/>
        <v>CA_Orang_2020g~proposition 17 - restores right to vote after completion of prison term (vote 1)</v>
      </c>
      <c r="B1251" s="55" t="s">
        <v>3536</v>
      </c>
      <c r="D1251" s="55" t="s">
        <v>4147</v>
      </c>
      <c r="E1251" s="55" t="s">
        <v>1393</v>
      </c>
      <c r="G1251" s="60">
        <v>740077</v>
      </c>
      <c r="H1251"/>
      <c r="J1251">
        <v>1546570</v>
      </c>
      <c r="N1251">
        <v>59487</v>
      </c>
      <c r="O1251">
        <f t="shared" si="482"/>
        <v>2</v>
      </c>
      <c r="P1251" s="57">
        <f t="shared" si="483"/>
        <v>1</v>
      </c>
      <c r="Q1251" s="267">
        <f t="shared" si="484"/>
        <v>740077</v>
      </c>
      <c r="R1251" s="23" t="str">
        <f t="shared" si="485"/>
        <v/>
      </c>
      <c r="S1251" s="23">
        <f t="shared" si="486"/>
        <v>740077</v>
      </c>
      <c r="T1251" s="23" t="str">
        <f t="shared" si="487"/>
        <v/>
      </c>
      <c r="U1251" t="str">
        <f t="shared" si="488"/>
        <v/>
      </c>
      <c r="W1251" s="1">
        <f t="shared" si="489"/>
        <v>1</v>
      </c>
      <c r="X1251" s="73">
        <f t="shared" si="477"/>
        <v>6.2948012232415902</v>
      </c>
      <c r="Y1251" s="322">
        <f t="shared" si="490"/>
        <v>1099.5840000000001</v>
      </c>
      <c r="Z1251" s="43" t="e">
        <f t="shared" si="478"/>
        <v>#N/A</v>
      </c>
      <c r="AA1251" s="52" t="e">
        <f t="shared" si="491"/>
        <v>#N/A</v>
      </c>
      <c r="AB1251" s="8" t="e">
        <f t="shared" si="492"/>
        <v>#N/A</v>
      </c>
      <c r="AC1251" s="8" t="e">
        <f t="shared" si="493"/>
        <v>#N/A</v>
      </c>
      <c r="AD1251" s="8" t="e">
        <f t="shared" si="495"/>
        <v>#N/A</v>
      </c>
      <c r="AE1251" s="8" t="str">
        <f t="shared" si="494"/>
        <v/>
      </c>
      <c r="AF1251" s="22" t="str">
        <f t="shared" si="479"/>
        <v>MD_2020g~Cnty3</v>
      </c>
      <c r="AG1251">
        <v>1</v>
      </c>
      <c r="AH1251" s="272">
        <v>15936</v>
      </c>
      <c r="AI1251" s="273">
        <v>15816</v>
      </c>
      <c r="AJ1251" s="274">
        <v>120</v>
      </c>
      <c r="AK1251" s="339">
        <v>15696</v>
      </c>
      <c r="AL1251" s="340" t="s">
        <v>8003</v>
      </c>
      <c r="AM1251" s="377">
        <f t="shared" si="480"/>
        <v>0.98493975903614461</v>
      </c>
      <c r="AN1251" s="357">
        <f t="shared" si="481"/>
        <v>1</v>
      </c>
      <c r="AP1251" s="23" t="e">
        <f t="shared" si="496"/>
        <v>#N/A</v>
      </c>
      <c r="AQ1251" s="392" t="e">
        <f t="shared" si="475"/>
        <v>#N/A</v>
      </c>
      <c r="AR1251" s="392" t="e">
        <f t="shared" si="476"/>
        <v>#N/A</v>
      </c>
      <c r="AS1251" s="392" t="e">
        <f t="shared" si="476"/>
        <v>#N/A</v>
      </c>
    </row>
    <row r="1252" spans="1:45">
      <c r="A1252" t="str">
        <f t="shared" si="474"/>
        <v>CA_Orang_2020g~proposition 18 - amends california constitution to permit 17- year-olds to vote in primary and special elections (vote 1)</v>
      </c>
      <c r="B1252" s="55" t="s">
        <v>3536</v>
      </c>
      <c r="D1252" s="55" t="s">
        <v>4148</v>
      </c>
      <c r="E1252" s="55" t="s">
        <v>1394</v>
      </c>
      <c r="G1252" s="60">
        <v>957192</v>
      </c>
      <c r="H1252"/>
      <c r="J1252">
        <v>1546570</v>
      </c>
      <c r="N1252">
        <v>57181</v>
      </c>
      <c r="O1252">
        <f t="shared" si="482"/>
        <v>1</v>
      </c>
      <c r="P1252" s="57">
        <f t="shared" si="483"/>
        <v>1</v>
      </c>
      <c r="Q1252" s="267">
        <f t="shared" si="484"/>
        <v>1489042</v>
      </c>
      <c r="R1252" s="23">
        <f t="shared" si="485"/>
        <v>957192</v>
      </c>
      <c r="S1252" s="23">
        <f t="shared" si="486"/>
        <v>531850</v>
      </c>
      <c r="T1252" s="23">
        <f t="shared" si="487"/>
        <v>425342</v>
      </c>
      <c r="U1252" t="str">
        <f t="shared" si="488"/>
        <v>CA_Orang_2020g~proposition 18 - amends california constitution to permit 17- year-olds to vote in primary and special elections (vote 1)</v>
      </c>
      <c r="X1252" s="71"/>
      <c r="Z1252" s="44"/>
      <c r="AC1252">
        <v>37114</v>
      </c>
      <c r="AD1252" s="8">
        <f t="shared" si="495"/>
        <v>185.57</v>
      </c>
      <c r="AF1252" s="22" t="str">
        <f t="shared" si="479"/>
        <v>NY_Catta_2021g</v>
      </c>
      <c r="AG1252" s="20">
        <v>1</v>
      </c>
      <c r="AH1252" s="267">
        <v>11472</v>
      </c>
      <c r="AI1252" s="23">
        <v>9455</v>
      </c>
      <c r="AJ1252" s="23">
        <v>2017</v>
      </c>
      <c r="AK1252" s="23">
        <v>7438</v>
      </c>
      <c r="AL1252" t="s">
        <v>8412</v>
      </c>
      <c r="AN1252" s="378">
        <f>SUM(AN1152:AN1251)</f>
        <v>94</v>
      </c>
      <c r="AP1252" s="23">
        <f t="shared" ref="AP1252:AP1274" si="497">MIN(AD1252, MAX(0,ROUNDUP(AD1252*(0.5*AK1252/AC1252-0.005)/(RIGHT(AP$1,3)-0.005),0)))</f>
        <v>30</v>
      </c>
      <c r="AQ1252" s="392">
        <f t="shared" si="475"/>
        <v>0.2987661574618089</v>
      </c>
      <c r="AR1252" s="392">
        <f t="shared" si="476"/>
        <v>0.83768758412132027</v>
      </c>
      <c r="AS1252" s="392">
        <f t="shared" si="476"/>
        <v>0.99949456384730673</v>
      </c>
    </row>
    <row r="1253" spans="1:45">
      <c r="A1253" t="str">
        <f t="shared" si="474"/>
        <v>CA_Orang_2020g~proposition 18 - amends california constitution to permit 17- year-olds to vote in primary and special elections (vote 1)</v>
      </c>
      <c r="B1253" s="55" t="s">
        <v>3536</v>
      </c>
      <c r="D1253" s="55" t="s">
        <v>4148</v>
      </c>
      <c r="E1253" s="55" t="s">
        <v>1393</v>
      </c>
      <c r="G1253" s="60">
        <v>531850</v>
      </c>
      <c r="H1253"/>
      <c r="J1253">
        <v>1546570</v>
      </c>
      <c r="N1253">
        <v>57181</v>
      </c>
      <c r="O1253">
        <f t="shared" si="482"/>
        <v>2</v>
      </c>
      <c r="P1253" s="57">
        <f t="shared" si="483"/>
        <v>1</v>
      </c>
      <c r="Q1253" s="267">
        <f t="shared" si="484"/>
        <v>531850</v>
      </c>
      <c r="R1253" s="23" t="str">
        <f t="shared" si="485"/>
        <v/>
      </c>
      <c r="S1253" s="23">
        <f t="shared" si="486"/>
        <v>531850</v>
      </c>
      <c r="T1253" s="23" t="str">
        <f t="shared" si="487"/>
        <v/>
      </c>
      <c r="U1253" t="str">
        <f t="shared" si="488"/>
        <v/>
      </c>
      <c r="X1253" s="71"/>
      <c r="Z1253" s="44"/>
      <c r="AC1253">
        <v>37115</v>
      </c>
      <c r="AD1253" s="8">
        <f t="shared" ref="AD1253:AD1274" si="498">AC1253/RIGHT(AD$1,4)</f>
        <v>185.57499999999999</v>
      </c>
      <c r="AF1253" s="22" t="str">
        <f t="shared" si="479"/>
        <v>NY_Catta_2021g</v>
      </c>
      <c r="AG1253" s="20">
        <v>1</v>
      </c>
      <c r="AH1253" s="267">
        <v>11375</v>
      </c>
      <c r="AI1253" s="23">
        <v>9063</v>
      </c>
      <c r="AJ1253" s="23">
        <v>2312</v>
      </c>
      <c r="AK1253" s="23">
        <v>6751</v>
      </c>
      <c r="AL1253" t="s">
        <v>8411</v>
      </c>
      <c r="AP1253" s="23">
        <f t="shared" si="497"/>
        <v>27</v>
      </c>
      <c r="AQ1253" s="392">
        <f t="shared" si="475"/>
        <v>0.27126909518213804</v>
      </c>
      <c r="AR1253" s="392">
        <f t="shared" si="476"/>
        <v>0.80225697493851533</v>
      </c>
      <c r="AS1253" s="392">
        <f t="shared" si="476"/>
        <v>0.99883925338521418</v>
      </c>
    </row>
    <row r="1254" spans="1:45">
      <c r="A1254" t="str">
        <f t="shared" ref="A1254:A1317" si="499">CONCATENATE(B1254,"~",LOWER(D1254),IF(RIGHT(D1254,1)=")",""," (vote 1)"))</f>
        <v>CA_Orang_2020g~proposition 19 - changes certain property tax rules (vote 1)</v>
      </c>
      <c r="B1254" s="55" t="s">
        <v>3536</v>
      </c>
      <c r="D1254" s="55" t="s">
        <v>4149</v>
      </c>
      <c r="E1254" s="55" t="s">
        <v>1394</v>
      </c>
      <c r="G1254" s="60">
        <v>779400</v>
      </c>
      <c r="H1254"/>
      <c r="J1254">
        <v>1546570</v>
      </c>
      <c r="N1254">
        <v>84557</v>
      </c>
      <c r="O1254">
        <f t="shared" si="482"/>
        <v>1</v>
      </c>
      <c r="P1254" s="57">
        <f t="shared" si="483"/>
        <v>1</v>
      </c>
      <c r="Q1254" s="267">
        <f t="shared" si="484"/>
        <v>1461328</v>
      </c>
      <c r="R1254" s="23">
        <f t="shared" si="485"/>
        <v>779400</v>
      </c>
      <c r="S1254" s="23">
        <f t="shared" si="486"/>
        <v>681928</v>
      </c>
      <c r="T1254" s="23">
        <f t="shared" si="487"/>
        <v>97472</v>
      </c>
      <c r="U1254" t="str">
        <f t="shared" si="488"/>
        <v>CA_Orang_2020g~proposition 19 - changes certain property tax rules (vote 1)</v>
      </c>
      <c r="X1254" s="71"/>
      <c r="Z1254" s="44"/>
      <c r="AC1254">
        <v>37116</v>
      </c>
      <c r="AD1254" s="8">
        <f t="shared" si="498"/>
        <v>185.58</v>
      </c>
      <c r="AF1254" s="22" t="str">
        <f t="shared" si="479"/>
        <v>NY_Catta_2021g</v>
      </c>
      <c r="AG1254" s="20">
        <v>1</v>
      </c>
      <c r="AH1254" s="267">
        <v>11437</v>
      </c>
      <c r="AI1254" s="23">
        <v>9089</v>
      </c>
      <c r="AJ1254" s="23">
        <v>2348</v>
      </c>
      <c r="AK1254" s="23">
        <v>6741</v>
      </c>
      <c r="AL1254" t="s">
        <v>8410</v>
      </c>
      <c r="AP1254" s="23">
        <f t="shared" si="497"/>
        <v>27</v>
      </c>
      <c r="AQ1254" s="392">
        <f t="shared" si="475"/>
        <v>0.27126909518213804</v>
      </c>
      <c r="AR1254" s="392">
        <f t="shared" si="476"/>
        <v>0.80225697493851533</v>
      </c>
      <c r="AS1254" s="392">
        <f t="shared" si="476"/>
        <v>0.99883925338521418</v>
      </c>
    </row>
    <row r="1255" spans="1:45">
      <c r="A1255" t="str">
        <f t="shared" si="499"/>
        <v>CA_Orang_2020g~proposition 19 - changes certain property tax rules (vote 1)</v>
      </c>
      <c r="B1255" s="55" t="s">
        <v>3536</v>
      </c>
      <c r="D1255" s="55" t="s">
        <v>4149</v>
      </c>
      <c r="E1255" s="55" t="s">
        <v>1393</v>
      </c>
      <c r="G1255" s="60">
        <v>681928</v>
      </c>
      <c r="H1255"/>
      <c r="J1255">
        <v>1546570</v>
      </c>
      <c r="N1255">
        <v>84557</v>
      </c>
      <c r="O1255">
        <f t="shared" si="482"/>
        <v>2</v>
      </c>
      <c r="P1255" s="57">
        <f t="shared" si="483"/>
        <v>1</v>
      </c>
      <c r="Q1255" s="267">
        <f t="shared" si="484"/>
        <v>681928</v>
      </c>
      <c r="R1255" s="23" t="str">
        <f t="shared" si="485"/>
        <v/>
      </c>
      <c r="S1255" s="23">
        <f t="shared" si="486"/>
        <v>681928</v>
      </c>
      <c r="T1255" s="23" t="str">
        <f t="shared" si="487"/>
        <v/>
      </c>
      <c r="U1255" t="str">
        <f t="shared" si="488"/>
        <v/>
      </c>
      <c r="X1255" s="71"/>
      <c r="Z1255" s="44"/>
      <c r="AC1255">
        <v>37117</v>
      </c>
      <c r="AD1255" s="8">
        <f t="shared" si="498"/>
        <v>185.58500000000001</v>
      </c>
      <c r="AF1255" s="22" t="str">
        <f t="shared" si="479"/>
        <v>NY_Catta_2021g</v>
      </c>
      <c r="AG1255" s="20">
        <v>1</v>
      </c>
      <c r="AH1255" s="267">
        <v>10918</v>
      </c>
      <c r="AI1255" s="23">
        <v>6890</v>
      </c>
      <c r="AJ1255" s="23">
        <v>4028</v>
      </c>
      <c r="AK1255" s="23">
        <v>2862</v>
      </c>
      <c r="AL1255" t="s">
        <v>8409</v>
      </c>
      <c r="AP1255" s="23">
        <f t="shared" si="497"/>
        <v>11</v>
      </c>
      <c r="AQ1255" s="392">
        <f t="shared" si="475"/>
        <v>0.11568742655699094</v>
      </c>
      <c r="AR1255" s="392">
        <f t="shared" si="476"/>
        <v>0.46684775378609022</v>
      </c>
      <c r="AS1255" s="392">
        <f t="shared" si="476"/>
        <v>0.9264256314266951</v>
      </c>
    </row>
    <row r="1256" spans="1:45">
      <c r="A1256" t="str">
        <f t="shared" si="499"/>
        <v>CA_Orang_2020g~proposition 20 - restricts parole for certain offenses currently considered to be nonviolent (vote 1)</v>
      </c>
      <c r="B1256" s="55" t="s">
        <v>3536</v>
      </c>
      <c r="D1256" s="55" t="s">
        <v>4150</v>
      </c>
      <c r="E1256" s="55" t="s">
        <v>1394</v>
      </c>
      <c r="G1256" s="60">
        <v>845282</v>
      </c>
      <c r="H1256"/>
      <c r="J1256">
        <v>1546570</v>
      </c>
      <c r="N1256">
        <v>85718</v>
      </c>
      <c r="O1256">
        <f t="shared" si="482"/>
        <v>1</v>
      </c>
      <c r="P1256" s="57">
        <f t="shared" si="483"/>
        <v>1</v>
      </c>
      <c r="Q1256" s="267">
        <f t="shared" si="484"/>
        <v>1459866</v>
      </c>
      <c r="R1256" s="23">
        <f t="shared" si="485"/>
        <v>845282</v>
      </c>
      <c r="S1256" s="23">
        <f t="shared" si="486"/>
        <v>614584</v>
      </c>
      <c r="T1256" s="23">
        <f t="shared" si="487"/>
        <v>230698</v>
      </c>
      <c r="U1256" t="str">
        <f t="shared" si="488"/>
        <v>CA_Orang_2020g~proposition 20 - restricts parole for certain offenses currently considered to be nonviolent (vote 1)</v>
      </c>
      <c r="X1256" s="71"/>
      <c r="Z1256" s="44"/>
      <c r="AC1256">
        <v>37118</v>
      </c>
      <c r="AD1256" s="8">
        <f t="shared" si="498"/>
        <v>185.59</v>
      </c>
      <c r="AF1256" s="22" t="str">
        <f t="shared" si="479"/>
        <v>NY_Catta_2021g</v>
      </c>
      <c r="AG1256" s="134">
        <v>1</v>
      </c>
      <c r="AH1256" s="267">
        <v>1927</v>
      </c>
      <c r="AI1256" s="23">
        <v>1411</v>
      </c>
      <c r="AJ1256" s="23">
        <v>493</v>
      </c>
      <c r="AK1256" s="23">
        <v>918</v>
      </c>
      <c r="AL1256" t="s">
        <v>8408</v>
      </c>
      <c r="AP1256" s="23">
        <f t="shared" si="497"/>
        <v>3</v>
      </c>
      <c r="AQ1256" s="392">
        <f t="shared" si="475"/>
        <v>3.2256169212690367E-2</v>
      </c>
      <c r="AR1256" s="392">
        <f t="shared" si="476"/>
        <v>0.15434589971296997</v>
      </c>
      <c r="AS1256" s="392">
        <f t="shared" si="476"/>
        <v>0.50042861821193962</v>
      </c>
    </row>
    <row r="1257" spans="1:45">
      <c r="A1257" t="str">
        <f t="shared" si="499"/>
        <v>CA_Orang_2020g~proposition 20 - restricts parole for certain offenses currently considered to be nonviolent (vote 1)</v>
      </c>
      <c r="B1257" s="55" t="s">
        <v>3536</v>
      </c>
      <c r="D1257" s="55" t="s">
        <v>4150</v>
      </c>
      <c r="E1257" s="55" t="s">
        <v>1393</v>
      </c>
      <c r="G1257" s="60">
        <v>614584</v>
      </c>
      <c r="H1257"/>
      <c r="J1257">
        <v>1546570</v>
      </c>
      <c r="N1257">
        <v>85718</v>
      </c>
      <c r="O1257">
        <f t="shared" si="482"/>
        <v>2</v>
      </c>
      <c r="P1257" s="57">
        <f t="shared" si="483"/>
        <v>1</v>
      </c>
      <c r="Q1257" s="267">
        <f t="shared" si="484"/>
        <v>614584</v>
      </c>
      <c r="R1257" s="23" t="str">
        <f t="shared" si="485"/>
        <v/>
      </c>
      <c r="S1257" s="23">
        <f t="shared" si="486"/>
        <v>614584</v>
      </c>
      <c r="T1257" s="23" t="str">
        <f t="shared" si="487"/>
        <v/>
      </c>
      <c r="U1257" t="str">
        <f t="shared" si="488"/>
        <v/>
      </c>
      <c r="X1257" s="71"/>
      <c r="Z1257" s="44"/>
      <c r="AC1257">
        <v>37119</v>
      </c>
      <c r="AD1257" s="8">
        <f t="shared" si="498"/>
        <v>185.595</v>
      </c>
      <c r="AF1257" s="22" t="str">
        <f t="shared" si="479"/>
        <v>NY_Catta_2021g</v>
      </c>
      <c r="AG1257" s="20">
        <v>1</v>
      </c>
      <c r="AH1257" s="267">
        <v>11227</v>
      </c>
      <c r="AI1257" s="23">
        <v>6040</v>
      </c>
      <c r="AJ1257" s="23">
        <v>5187</v>
      </c>
      <c r="AK1257" s="23">
        <v>853</v>
      </c>
      <c r="AL1257" t="s">
        <v>8413</v>
      </c>
      <c r="AO1257" s="356"/>
      <c r="AP1257" s="23">
        <f t="shared" si="497"/>
        <v>3</v>
      </c>
      <c r="AQ1257" s="392">
        <f t="shared" ref="AQ1257:AQ1274" si="500">IF($AP1257=$AD1257,1,IF($AP1257=0,0, 1-HYPGEOMDIST(0, ROUNDUP(RIGHT(AQ$1,4)*$AD1257,0),$AP1257, $AD1257)))</f>
        <v>3.2256169212690367E-2</v>
      </c>
      <c r="AR1257" s="392">
        <f t="shared" ref="AR1257:AS1274" si="501">IF($AP1257=$AD1257,1,IF($AP1257=0,0, 1-HYPGEOMDIST(0, ROUNDUP(RIGHT(AR$1,4)*$AD1257,0),$AP1257, $AD1257)))</f>
        <v>0.15434589971296997</v>
      </c>
      <c r="AS1257" s="392">
        <f t="shared" si="501"/>
        <v>0.50042861821193962</v>
      </c>
    </row>
    <row r="1258" spans="1:45">
      <c r="A1258" t="str">
        <f t="shared" si="499"/>
        <v>CA_Orang_2020g~proposition 21 - expands local governments' authority to enact rent control on residential property (vote 1)</v>
      </c>
      <c r="B1258" s="55" t="s">
        <v>3536</v>
      </c>
      <c r="D1258" s="55" t="s">
        <v>4151</v>
      </c>
      <c r="E1258" s="55" t="s">
        <v>1394</v>
      </c>
      <c r="G1258" s="60">
        <v>973783</v>
      </c>
      <c r="H1258"/>
      <c r="J1258">
        <v>1546570</v>
      </c>
      <c r="N1258">
        <v>70265</v>
      </c>
      <c r="O1258">
        <f t="shared" si="482"/>
        <v>1</v>
      </c>
      <c r="P1258" s="57">
        <f t="shared" si="483"/>
        <v>1</v>
      </c>
      <c r="Q1258" s="267">
        <f t="shared" si="484"/>
        <v>1475245</v>
      </c>
      <c r="R1258" s="23">
        <f t="shared" si="485"/>
        <v>973783</v>
      </c>
      <c r="S1258" s="23">
        <f t="shared" si="486"/>
        <v>501462</v>
      </c>
      <c r="T1258" s="23">
        <f t="shared" si="487"/>
        <v>472321</v>
      </c>
      <c r="U1258" t="str">
        <f t="shared" si="488"/>
        <v>CA_Orang_2020g~proposition 21 - expands local governments' authority to enact rent control on residential property (vote 1)</v>
      </c>
      <c r="X1258" s="71"/>
      <c r="Z1258" s="44"/>
      <c r="AC1258">
        <v>37120</v>
      </c>
      <c r="AD1258" s="8">
        <f t="shared" si="498"/>
        <v>185.6</v>
      </c>
      <c r="AF1258" s="22" t="str">
        <f t="shared" si="479"/>
        <v>NY_Catta_2021g</v>
      </c>
      <c r="AG1258" s="20">
        <v>1</v>
      </c>
      <c r="AH1258" s="267">
        <v>475</v>
      </c>
      <c r="AI1258" s="23">
        <v>435</v>
      </c>
      <c r="AJ1258" s="23">
        <v>11</v>
      </c>
      <c r="AK1258" s="23">
        <v>424</v>
      </c>
      <c r="AL1258" t="s">
        <v>8400</v>
      </c>
      <c r="AP1258" s="23">
        <f t="shared" si="497"/>
        <v>1</v>
      </c>
      <c r="AQ1258" s="392">
        <f t="shared" si="500"/>
        <v>1.0810810810809812E-2</v>
      </c>
      <c r="AR1258" s="392">
        <f t="shared" si="501"/>
        <v>5.4054054054053724E-2</v>
      </c>
      <c r="AS1258" s="392">
        <f t="shared" si="501"/>
        <v>0.20540540540540519</v>
      </c>
    </row>
    <row r="1259" spans="1:45">
      <c r="A1259" t="str">
        <f t="shared" si="499"/>
        <v>CA_Orang_2020g~proposition 21 - expands local governments' authority to enact rent control on residential property (vote 1)</v>
      </c>
      <c r="B1259" s="55" t="s">
        <v>3536</v>
      </c>
      <c r="D1259" s="55" t="s">
        <v>4151</v>
      </c>
      <c r="E1259" s="55" t="s">
        <v>1393</v>
      </c>
      <c r="G1259" s="60">
        <v>501462</v>
      </c>
      <c r="H1259"/>
      <c r="J1259">
        <v>1546570</v>
      </c>
      <c r="N1259">
        <v>70265</v>
      </c>
      <c r="O1259">
        <f t="shared" si="482"/>
        <v>2</v>
      </c>
      <c r="P1259" s="57">
        <f t="shared" si="483"/>
        <v>1</v>
      </c>
      <c r="Q1259" s="267">
        <f t="shared" si="484"/>
        <v>501462</v>
      </c>
      <c r="R1259" s="23" t="str">
        <f t="shared" si="485"/>
        <v/>
      </c>
      <c r="S1259" s="23">
        <f t="shared" si="486"/>
        <v>501462</v>
      </c>
      <c r="T1259" s="23" t="str">
        <f t="shared" si="487"/>
        <v/>
      </c>
      <c r="U1259" t="str">
        <f t="shared" si="488"/>
        <v/>
      </c>
      <c r="X1259" s="71"/>
      <c r="Z1259" s="44"/>
      <c r="AC1259">
        <v>37121</v>
      </c>
      <c r="AD1259" s="8">
        <f t="shared" si="498"/>
        <v>185.60499999999999</v>
      </c>
      <c r="AF1259" s="22" t="str">
        <f t="shared" si="479"/>
        <v>NY_Catta_2021g</v>
      </c>
      <c r="AG1259" s="134">
        <v>1</v>
      </c>
      <c r="AH1259" s="267">
        <v>333</v>
      </c>
      <c r="AI1259" s="23">
        <v>246</v>
      </c>
      <c r="AJ1259" s="23">
        <v>82</v>
      </c>
      <c r="AK1259" s="23">
        <v>164</v>
      </c>
      <c r="AL1259" t="s">
        <v>8405</v>
      </c>
      <c r="AP1259" s="23">
        <f t="shared" si="497"/>
        <v>0</v>
      </c>
      <c r="AQ1259" s="392">
        <f t="shared" si="500"/>
        <v>0</v>
      </c>
      <c r="AR1259" s="392">
        <f t="shared" si="501"/>
        <v>0</v>
      </c>
      <c r="AS1259" s="392">
        <f t="shared" si="501"/>
        <v>0</v>
      </c>
    </row>
    <row r="1260" spans="1:45">
      <c r="A1260" t="str">
        <f t="shared" si="499"/>
        <v>CA_Orang_2020g~proposition 22 - exempts app-based transportation and delivery companies from providing employee benefits to certain drivers (vote 1)</v>
      </c>
      <c r="B1260" s="55" t="s">
        <v>3536</v>
      </c>
      <c r="D1260" s="55" t="s">
        <v>4152</v>
      </c>
      <c r="E1260" s="55" t="s">
        <v>1393</v>
      </c>
      <c r="G1260" s="60">
        <v>980065</v>
      </c>
      <c r="H1260"/>
      <c r="J1260">
        <v>1546570</v>
      </c>
      <c r="N1260">
        <v>58533</v>
      </c>
      <c r="O1260">
        <f t="shared" si="482"/>
        <v>1</v>
      </c>
      <c r="P1260" s="57">
        <f t="shared" si="483"/>
        <v>1</v>
      </c>
      <c r="Q1260" s="267">
        <f t="shared" si="484"/>
        <v>1486696</v>
      </c>
      <c r="R1260" s="23">
        <f t="shared" si="485"/>
        <v>980065</v>
      </c>
      <c r="S1260" s="23">
        <f t="shared" si="486"/>
        <v>506631</v>
      </c>
      <c r="T1260" s="23">
        <f t="shared" si="487"/>
        <v>473434</v>
      </c>
      <c r="U1260" t="str">
        <f t="shared" si="488"/>
        <v>CA_Orang_2020g~proposition 22 - exempts app-based transportation and delivery companies from providing employee benefits to certain drivers (vote 1)</v>
      </c>
      <c r="X1260" s="71"/>
      <c r="Z1260" s="44"/>
      <c r="AC1260">
        <v>37122</v>
      </c>
      <c r="AD1260" s="8">
        <f t="shared" si="498"/>
        <v>185.61</v>
      </c>
      <c r="AF1260" s="22" t="str">
        <f t="shared" si="479"/>
        <v>NY_Catta_2021g</v>
      </c>
      <c r="AG1260" s="20">
        <v>1</v>
      </c>
      <c r="AH1260" s="267">
        <v>337</v>
      </c>
      <c r="AI1260" s="23">
        <v>245</v>
      </c>
      <c r="AJ1260" s="23">
        <v>92</v>
      </c>
      <c r="AK1260" s="23">
        <v>153</v>
      </c>
      <c r="AL1260" t="s">
        <v>8401</v>
      </c>
      <c r="AP1260" s="23">
        <f t="shared" si="497"/>
        <v>0</v>
      </c>
      <c r="AQ1260" s="392">
        <f t="shared" si="500"/>
        <v>0</v>
      </c>
      <c r="AR1260" s="392">
        <f t="shared" si="501"/>
        <v>0</v>
      </c>
      <c r="AS1260" s="392">
        <f t="shared" si="501"/>
        <v>0</v>
      </c>
    </row>
    <row r="1261" spans="1:45">
      <c r="A1261" t="str">
        <f t="shared" si="499"/>
        <v>CA_Orang_2020g~proposition 22 - exempts app-based transportation and delivery companies from providing employee benefits to certain drivers (vote 1)</v>
      </c>
      <c r="B1261" s="55" t="s">
        <v>3536</v>
      </c>
      <c r="D1261" s="55" t="s">
        <v>4152</v>
      </c>
      <c r="E1261" s="55" t="s">
        <v>1394</v>
      </c>
      <c r="G1261" s="60">
        <v>506631</v>
      </c>
      <c r="H1261"/>
      <c r="J1261">
        <v>1546570</v>
      </c>
      <c r="N1261">
        <v>58533</v>
      </c>
      <c r="O1261">
        <f t="shared" si="482"/>
        <v>2</v>
      </c>
      <c r="P1261" s="57">
        <f t="shared" si="483"/>
        <v>1</v>
      </c>
      <c r="Q1261" s="267">
        <f t="shared" si="484"/>
        <v>506631</v>
      </c>
      <c r="R1261" s="23" t="str">
        <f t="shared" si="485"/>
        <v/>
      </c>
      <c r="S1261" s="23">
        <f t="shared" si="486"/>
        <v>506631</v>
      </c>
      <c r="T1261" s="23" t="str">
        <f t="shared" si="487"/>
        <v/>
      </c>
      <c r="U1261" t="str">
        <f t="shared" si="488"/>
        <v/>
      </c>
      <c r="X1261" s="71"/>
      <c r="Z1261" s="44"/>
      <c r="AC1261">
        <v>37123</v>
      </c>
      <c r="AD1261" s="8">
        <f t="shared" si="498"/>
        <v>185.61500000000001</v>
      </c>
      <c r="AF1261" s="22" t="str">
        <f t="shared" si="479"/>
        <v>NY_Catta_2021g</v>
      </c>
      <c r="AG1261" s="134">
        <v>2</v>
      </c>
      <c r="AH1261" s="267">
        <v>355.5</v>
      </c>
      <c r="AI1261" s="23">
        <v>256</v>
      </c>
      <c r="AJ1261" s="23">
        <v>126</v>
      </c>
      <c r="AK1261" s="23">
        <v>130</v>
      </c>
      <c r="AL1261" t="s">
        <v>8393</v>
      </c>
      <c r="AP1261" s="23">
        <f t="shared" si="497"/>
        <v>0</v>
      </c>
      <c r="AQ1261" s="392">
        <f t="shared" si="500"/>
        <v>0</v>
      </c>
      <c r="AR1261" s="392">
        <f t="shared" si="501"/>
        <v>0</v>
      </c>
      <c r="AS1261" s="392">
        <f t="shared" si="501"/>
        <v>0</v>
      </c>
    </row>
    <row r="1262" spans="1:45">
      <c r="A1262" t="str">
        <f t="shared" si="499"/>
        <v>CA_Orang_2020g~proposition 23 - establishes state requirements for kidney dialysis clinics (vote 1)</v>
      </c>
      <c r="B1262" s="55" t="s">
        <v>3536</v>
      </c>
      <c r="D1262" s="55" t="s">
        <v>4153</v>
      </c>
      <c r="E1262" s="55" t="s">
        <v>1394</v>
      </c>
      <c r="G1262" s="60">
        <v>984586</v>
      </c>
      <c r="H1262"/>
      <c r="J1262">
        <v>1546570</v>
      </c>
      <c r="N1262">
        <v>74005</v>
      </c>
      <c r="O1262">
        <f t="shared" si="482"/>
        <v>1</v>
      </c>
      <c r="P1262" s="57">
        <f t="shared" si="483"/>
        <v>1</v>
      </c>
      <c r="Q1262" s="267">
        <f t="shared" si="484"/>
        <v>1471310</v>
      </c>
      <c r="R1262" s="23">
        <f t="shared" si="485"/>
        <v>984586</v>
      </c>
      <c r="S1262" s="23">
        <f t="shared" si="486"/>
        <v>486724</v>
      </c>
      <c r="T1262" s="23">
        <f t="shared" si="487"/>
        <v>497862</v>
      </c>
      <c r="U1262" t="str">
        <f t="shared" si="488"/>
        <v>CA_Orang_2020g~proposition 23 - establishes state requirements for kidney dialysis clinics (vote 1)</v>
      </c>
      <c r="X1262" s="71"/>
      <c r="Z1262" s="44"/>
      <c r="AC1262">
        <v>37124</v>
      </c>
      <c r="AD1262" s="8">
        <f t="shared" si="498"/>
        <v>185.62</v>
      </c>
      <c r="AF1262" s="22" t="str">
        <f t="shared" si="479"/>
        <v>NY_Catta_2021g</v>
      </c>
      <c r="AG1262" s="134">
        <v>2</v>
      </c>
      <c r="AH1262" s="267">
        <v>561</v>
      </c>
      <c r="AI1262" s="23">
        <v>340</v>
      </c>
      <c r="AJ1262" s="23">
        <v>239</v>
      </c>
      <c r="AK1262" s="23">
        <v>101</v>
      </c>
      <c r="AL1262" t="s">
        <v>8396</v>
      </c>
      <c r="AP1262" s="23">
        <f t="shared" si="497"/>
        <v>0</v>
      </c>
      <c r="AQ1262" s="392">
        <f t="shared" si="500"/>
        <v>0</v>
      </c>
      <c r="AR1262" s="392">
        <f t="shared" si="501"/>
        <v>0</v>
      </c>
      <c r="AS1262" s="392">
        <f t="shared" si="501"/>
        <v>0</v>
      </c>
    </row>
    <row r="1263" spans="1:45">
      <c r="A1263" t="str">
        <f t="shared" si="499"/>
        <v>CA_Orang_2020g~proposition 23 - establishes state requirements for kidney dialysis clinics (vote 1)</v>
      </c>
      <c r="B1263" s="55" t="s">
        <v>3536</v>
      </c>
      <c r="D1263" s="55" t="s">
        <v>4153</v>
      </c>
      <c r="E1263" s="55" t="s">
        <v>1393</v>
      </c>
      <c r="G1263" s="60">
        <v>486724</v>
      </c>
      <c r="H1263"/>
      <c r="J1263">
        <v>1546570</v>
      </c>
      <c r="N1263">
        <v>74005</v>
      </c>
      <c r="O1263">
        <f t="shared" si="482"/>
        <v>2</v>
      </c>
      <c r="P1263" s="57">
        <f t="shared" si="483"/>
        <v>1</v>
      </c>
      <c r="Q1263" s="267">
        <f t="shared" si="484"/>
        <v>486724</v>
      </c>
      <c r="R1263" s="23" t="str">
        <f t="shared" si="485"/>
        <v/>
      </c>
      <c r="S1263" s="23">
        <f t="shared" si="486"/>
        <v>486724</v>
      </c>
      <c r="T1263" s="23" t="str">
        <f t="shared" si="487"/>
        <v/>
      </c>
      <c r="U1263" t="str">
        <f t="shared" si="488"/>
        <v/>
      </c>
      <c r="X1263" s="71"/>
      <c r="Z1263" s="44"/>
      <c r="AC1263">
        <v>37125</v>
      </c>
      <c r="AD1263" s="8">
        <f t="shared" si="498"/>
        <v>185.625</v>
      </c>
      <c r="AF1263" s="22" t="str">
        <f t="shared" si="479"/>
        <v>NY_Catta_2021g</v>
      </c>
      <c r="AG1263" s="134">
        <v>1</v>
      </c>
      <c r="AH1263" s="267">
        <v>327</v>
      </c>
      <c r="AI1263" s="23">
        <v>209</v>
      </c>
      <c r="AJ1263" s="23">
        <v>118</v>
      </c>
      <c r="AK1263" s="23">
        <v>91</v>
      </c>
      <c r="AL1263" t="s">
        <v>8399</v>
      </c>
      <c r="AP1263" s="23">
        <f t="shared" si="497"/>
        <v>0</v>
      </c>
      <c r="AQ1263" s="392">
        <f t="shared" si="500"/>
        <v>0</v>
      </c>
      <c r="AR1263" s="392">
        <f t="shared" si="501"/>
        <v>0</v>
      </c>
      <c r="AS1263" s="392">
        <f t="shared" si="501"/>
        <v>0</v>
      </c>
    </row>
    <row r="1264" spans="1:45">
      <c r="A1264" t="str">
        <f t="shared" si="499"/>
        <v>CA_Orang_2020g~proposition 24 - amends consumer privacy laws (vote 1)</v>
      </c>
      <c r="B1264" s="55" t="s">
        <v>3536</v>
      </c>
      <c r="D1264" s="55" t="s">
        <v>4154</v>
      </c>
      <c r="E1264" s="55" t="s">
        <v>1393</v>
      </c>
      <c r="G1264" s="60">
        <v>791668</v>
      </c>
      <c r="H1264"/>
      <c r="J1264">
        <v>1546570</v>
      </c>
      <c r="N1264">
        <v>79520</v>
      </c>
      <c r="O1264">
        <f t="shared" si="482"/>
        <v>1</v>
      </c>
      <c r="P1264" s="57">
        <f t="shared" si="483"/>
        <v>1</v>
      </c>
      <c r="Q1264" s="267">
        <f t="shared" si="484"/>
        <v>1465731</v>
      </c>
      <c r="R1264" s="23">
        <f t="shared" si="485"/>
        <v>791668</v>
      </c>
      <c r="S1264" s="23">
        <f t="shared" si="486"/>
        <v>674063</v>
      </c>
      <c r="T1264" s="23">
        <f t="shared" si="487"/>
        <v>117605</v>
      </c>
      <c r="U1264" t="str">
        <f t="shared" si="488"/>
        <v>CA_Orang_2020g~proposition 24 - amends consumer privacy laws (vote 1)</v>
      </c>
      <c r="X1264" s="71"/>
      <c r="Z1264" s="44"/>
      <c r="AC1264">
        <v>37126</v>
      </c>
      <c r="AD1264" s="8">
        <f t="shared" si="498"/>
        <v>185.63</v>
      </c>
      <c r="AF1264" s="22" t="str">
        <f t="shared" si="479"/>
        <v>NY_Catta_2021g</v>
      </c>
      <c r="AG1264" s="134">
        <v>1</v>
      </c>
      <c r="AH1264" s="267">
        <v>609</v>
      </c>
      <c r="AI1264" s="23">
        <v>335</v>
      </c>
      <c r="AJ1264" s="23">
        <v>274</v>
      </c>
      <c r="AK1264" s="23">
        <v>61</v>
      </c>
      <c r="AL1264" t="s">
        <v>8403</v>
      </c>
      <c r="AP1264" s="23">
        <f t="shared" si="497"/>
        <v>0</v>
      </c>
      <c r="AQ1264" s="392">
        <f t="shared" si="500"/>
        <v>0</v>
      </c>
      <c r="AR1264" s="392">
        <f t="shared" si="501"/>
        <v>0</v>
      </c>
      <c r="AS1264" s="392">
        <f t="shared" si="501"/>
        <v>0</v>
      </c>
    </row>
    <row r="1265" spans="1:45">
      <c r="A1265" t="str">
        <f t="shared" si="499"/>
        <v>CA_Orang_2020g~proposition 24 - amends consumer privacy laws (vote 1)</v>
      </c>
      <c r="B1265" s="55" t="s">
        <v>3536</v>
      </c>
      <c r="D1265" s="55" t="s">
        <v>4154</v>
      </c>
      <c r="E1265" s="55" t="s">
        <v>1394</v>
      </c>
      <c r="G1265" s="60">
        <v>674063</v>
      </c>
      <c r="H1265"/>
      <c r="J1265">
        <v>1546570</v>
      </c>
      <c r="N1265">
        <v>79520</v>
      </c>
      <c r="O1265">
        <f t="shared" si="482"/>
        <v>2</v>
      </c>
      <c r="P1265" s="57">
        <f t="shared" si="483"/>
        <v>1</v>
      </c>
      <c r="Q1265" s="267">
        <f t="shared" si="484"/>
        <v>674063</v>
      </c>
      <c r="R1265" s="23" t="str">
        <f t="shared" si="485"/>
        <v/>
      </c>
      <c r="S1265" s="23">
        <f t="shared" si="486"/>
        <v>674063</v>
      </c>
      <c r="T1265" s="23" t="str">
        <f t="shared" si="487"/>
        <v/>
      </c>
      <c r="U1265" t="str">
        <f t="shared" si="488"/>
        <v/>
      </c>
      <c r="X1265" s="71"/>
      <c r="Z1265" s="44"/>
      <c r="AC1265">
        <v>37127</v>
      </c>
      <c r="AD1265" s="8">
        <f t="shared" si="498"/>
        <v>185.63499999999999</v>
      </c>
      <c r="AF1265" s="22" t="str">
        <f t="shared" si="479"/>
        <v>NY_Catta_2021g</v>
      </c>
      <c r="AG1265" s="134">
        <v>1</v>
      </c>
      <c r="AH1265" s="267">
        <v>292</v>
      </c>
      <c r="AI1265" s="23">
        <v>165</v>
      </c>
      <c r="AJ1265" s="23">
        <v>119</v>
      </c>
      <c r="AK1265" s="23">
        <v>46</v>
      </c>
      <c r="AL1265" t="s">
        <v>8407</v>
      </c>
      <c r="AP1265" s="23">
        <f t="shared" si="497"/>
        <v>0</v>
      </c>
      <c r="AQ1265" s="392">
        <f t="shared" si="500"/>
        <v>0</v>
      </c>
      <c r="AR1265" s="392">
        <f t="shared" si="501"/>
        <v>0</v>
      </c>
      <c r="AS1265" s="392">
        <f t="shared" si="501"/>
        <v>0</v>
      </c>
    </row>
    <row r="1266" spans="1:45">
      <c r="A1266" t="str">
        <f t="shared" si="499"/>
        <v>CA_Orang_2020g~proposition 25 - referendum on law that replaced money bail with system based on public safety and flight risk (vote 1)</v>
      </c>
      <c r="B1266" s="55" t="s">
        <v>3536</v>
      </c>
      <c r="D1266" s="55" t="s">
        <v>4155</v>
      </c>
      <c r="E1266" s="55" t="s">
        <v>1394</v>
      </c>
      <c r="G1266" s="60">
        <v>886844</v>
      </c>
      <c r="H1266"/>
      <c r="J1266">
        <v>1546570</v>
      </c>
      <c r="N1266">
        <v>86632</v>
      </c>
      <c r="O1266">
        <f t="shared" si="482"/>
        <v>1</v>
      </c>
      <c r="P1266" s="57">
        <f t="shared" si="483"/>
        <v>1</v>
      </c>
      <c r="Q1266" s="267">
        <f t="shared" si="484"/>
        <v>1458658</v>
      </c>
      <c r="R1266" s="23">
        <f t="shared" si="485"/>
        <v>886844</v>
      </c>
      <c r="S1266" s="23">
        <f t="shared" si="486"/>
        <v>571814</v>
      </c>
      <c r="T1266" s="23">
        <f t="shared" si="487"/>
        <v>315030</v>
      </c>
      <c r="U1266" t="str">
        <f t="shared" si="488"/>
        <v>CA_Orang_2020g~proposition 25 - referendum on law that replaced money bail with system based on public safety and flight risk (vote 1)</v>
      </c>
      <c r="X1266" s="71"/>
      <c r="Z1266" s="44"/>
      <c r="AC1266">
        <v>37128</v>
      </c>
      <c r="AD1266" s="8">
        <f t="shared" si="498"/>
        <v>185.64</v>
      </c>
      <c r="AF1266" s="22" t="str">
        <f t="shared" si="479"/>
        <v>NY_Catta_2021g</v>
      </c>
      <c r="AG1266" s="20">
        <v>2</v>
      </c>
      <c r="AH1266" s="267">
        <v>296.5</v>
      </c>
      <c r="AI1266" s="23">
        <v>173</v>
      </c>
      <c r="AJ1266" s="23">
        <v>133</v>
      </c>
      <c r="AK1266" s="23">
        <v>40</v>
      </c>
      <c r="AL1266" t="s">
        <v>8392</v>
      </c>
      <c r="AP1266" s="23">
        <f t="shared" si="497"/>
        <v>0</v>
      </c>
      <c r="AQ1266" s="392">
        <f t="shared" si="500"/>
        <v>0</v>
      </c>
      <c r="AR1266" s="392">
        <f t="shared" si="501"/>
        <v>0</v>
      </c>
      <c r="AS1266" s="392">
        <f t="shared" si="501"/>
        <v>0</v>
      </c>
    </row>
    <row r="1267" spans="1:45">
      <c r="A1267" t="str">
        <f t="shared" si="499"/>
        <v>CA_Orang_2020g~proposition 25 - referendum on law that replaced money bail with system based on public safety and flight risk (vote 1)</v>
      </c>
      <c r="B1267" s="55" t="s">
        <v>3536</v>
      </c>
      <c r="D1267" s="55" t="s">
        <v>4155</v>
      </c>
      <c r="E1267" s="55" t="s">
        <v>1393</v>
      </c>
      <c r="G1267" s="60">
        <v>571814</v>
      </c>
      <c r="H1267"/>
      <c r="J1267">
        <v>1546570</v>
      </c>
      <c r="N1267">
        <v>86632</v>
      </c>
      <c r="O1267">
        <f t="shared" si="482"/>
        <v>2</v>
      </c>
      <c r="P1267" s="57">
        <f t="shared" si="483"/>
        <v>1</v>
      </c>
      <c r="Q1267" s="267">
        <f t="shared" si="484"/>
        <v>571814</v>
      </c>
      <c r="R1267" s="23" t="str">
        <f t="shared" si="485"/>
        <v/>
      </c>
      <c r="S1267" s="23">
        <f t="shared" si="486"/>
        <v>571814</v>
      </c>
      <c r="T1267" s="23" t="str">
        <f t="shared" si="487"/>
        <v/>
      </c>
      <c r="U1267" t="str">
        <f t="shared" si="488"/>
        <v/>
      </c>
      <c r="X1267" s="71"/>
      <c r="Z1267" s="44"/>
      <c r="AC1267">
        <v>37129</v>
      </c>
      <c r="AD1267" s="8">
        <f t="shared" si="498"/>
        <v>185.64500000000001</v>
      </c>
      <c r="AF1267" s="22" t="str">
        <f t="shared" si="479"/>
        <v>NY_Catta_2021g</v>
      </c>
      <c r="AG1267" s="134">
        <v>1</v>
      </c>
      <c r="AH1267" s="267">
        <v>247</v>
      </c>
      <c r="AI1267" s="23">
        <v>137</v>
      </c>
      <c r="AJ1267" s="23">
        <v>100</v>
      </c>
      <c r="AK1267" s="23">
        <v>37</v>
      </c>
      <c r="AL1267" t="s">
        <v>8406</v>
      </c>
      <c r="AP1267" s="23">
        <f t="shared" si="497"/>
        <v>0</v>
      </c>
      <c r="AQ1267" s="392">
        <f t="shared" si="500"/>
        <v>0</v>
      </c>
      <c r="AR1267" s="392">
        <f t="shared" si="501"/>
        <v>0</v>
      </c>
      <c r="AS1267" s="392">
        <f t="shared" si="501"/>
        <v>0</v>
      </c>
    </row>
    <row r="1268" spans="1:45">
      <c r="A1268" t="str">
        <f t="shared" si="499"/>
        <v>CA_Orang_2020g~q-city of costa mesa, retail cannabis tax and regulation measure (vote 1)</v>
      </c>
      <c r="B1268" s="55" t="s">
        <v>3536</v>
      </c>
      <c r="D1268" s="55" t="s">
        <v>4157</v>
      </c>
      <c r="E1268" s="55" t="s">
        <v>1393</v>
      </c>
      <c r="G1268" s="60">
        <v>33291</v>
      </c>
      <c r="H1268"/>
      <c r="J1268">
        <v>54122</v>
      </c>
      <c r="N1268">
        <v>2985</v>
      </c>
      <c r="O1268">
        <f t="shared" si="482"/>
        <v>1</v>
      </c>
      <c r="P1268" s="57">
        <f t="shared" si="483"/>
        <v>1</v>
      </c>
      <c r="Q1268" s="267">
        <f t="shared" si="484"/>
        <v>51084</v>
      </c>
      <c r="R1268" s="23">
        <f t="shared" si="485"/>
        <v>33291</v>
      </c>
      <c r="S1268" s="23">
        <f t="shared" si="486"/>
        <v>17793</v>
      </c>
      <c r="T1268" s="23">
        <f t="shared" si="487"/>
        <v>15498</v>
      </c>
      <c r="U1268" t="str">
        <f t="shared" si="488"/>
        <v>CA_Orang_2020g~q-city of costa mesa, retail cannabis tax and regulation measure (vote 1)</v>
      </c>
      <c r="X1268" s="71"/>
      <c r="Z1268" s="44"/>
      <c r="AC1268">
        <v>37130</v>
      </c>
      <c r="AD1268" s="8">
        <f t="shared" si="498"/>
        <v>185.65</v>
      </c>
      <c r="AF1268" s="22" t="str">
        <f t="shared" si="479"/>
        <v>NY_Catta_2021g</v>
      </c>
      <c r="AG1268" s="134">
        <v>2</v>
      </c>
      <c r="AH1268" s="267">
        <v>321.5</v>
      </c>
      <c r="AI1268" s="23">
        <v>179</v>
      </c>
      <c r="AJ1268" s="23">
        <v>148</v>
      </c>
      <c r="AK1268" s="23">
        <v>31</v>
      </c>
      <c r="AL1268" t="s">
        <v>8395</v>
      </c>
      <c r="AP1268" s="23">
        <f t="shared" si="497"/>
        <v>0</v>
      </c>
      <c r="AQ1268" s="392">
        <f t="shared" si="500"/>
        <v>0</v>
      </c>
      <c r="AR1268" s="392">
        <f t="shared" si="501"/>
        <v>0</v>
      </c>
      <c r="AS1268" s="392">
        <f t="shared" si="501"/>
        <v>0</v>
      </c>
    </row>
    <row r="1269" spans="1:45">
      <c r="A1269" t="str">
        <f t="shared" si="499"/>
        <v>CA_Orang_2020g~q-city of costa mesa, retail cannabis tax and regulation measure (vote 1)</v>
      </c>
      <c r="B1269" s="55" t="s">
        <v>3536</v>
      </c>
      <c r="D1269" s="55" t="s">
        <v>4157</v>
      </c>
      <c r="E1269" s="55" t="s">
        <v>1394</v>
      </c>
      <c r="G1269" s="60">
        <v>17793</v>
      </c>
      <c r="H1269"/>
      <c r="J1269">
        <v>54122</v>
      </c>
      <c r="N1269">
        <v>2985</v>
      </c>
      <c r="O1269">
        <f t="shared" si="482"/>
        <v>2</v>
      </c>
      <c r="P1269" s="57">
        <f t="shared" si="483"/>
        <v>1</v>
      </c>
      <c r="Q1269" s="267">
        <f t="shared" si="484"/>
        <v>17793</v>
      </c>
      <c r="R1269" s="23" t="str">
        <f t="shared" si="485"/>
        <v/>
      </c>
      <c r="S1269" s="23">
        <f t="shared" si="486"/>
        <v>17793</v>
      </c>
      <c r="T1269" s="23" t="str">
        <f t="shared" si="487"/>
        <v/>
      </c>
      <c r="U1269" t="str">
        <f t="shared" si="488"/>
        <v/>
      </c>
      <c r="X1269" s="71"/>
      <c r="Z1269" s="44"/>
      <c r="AC1269">
        <v>37131</v>
      </c>
      <c r="AD1269" s="8">
        <f t="shared" si="498"/>
        <v>185.655</v>
      </c>
      <c r="AF1269" s="22" t="str">
        <f t="shared" si="479"/>
        <v>NY_Catta_2021g</v>
      </c>
      <c r="AG1269" s="20">
        <v>1</v>
      </c>
      <c r="AH1269" s="267">
        <v>217</v>
      </c>
      <c r="AI1269" s="23">
        <v>119</v>
      </c>
      <c r="AJ1269" s="23">
        <v>97</v>
      </c>
      <c r="AK1269" s="23">
        <v>22</v>
      </c>
      <c r="AL1269" t="s">
        <v>8391</v>
      </c>
      <c r="AP1269" s="23">
        <f t="shared" si="497"/>
        <v>0</v>
      </c>
      <c r="AQ1269" s="392">
        <f t="shared" si="500"/>
        <v>0</v>
      </c>
      <c r="AR1269" s="392">
        <f t="shared" si="501"/>
        <v>0</v>
      </c>
      <c r="AS1269" s="392">
        <f t="shared" si="501"/>
        <v>0</v>
      </c>
    </row>
    <row r="1270" spans="1:45">
      <c r="A1270" t="str">
        <f t="shared" si="499"/>
        <v>CA_Orang_2020g~rancho santa margarita member, city council (vote 1)</v>
      </c>
      <c r="B1270" s="55" t="s">
        <v>3536</v>
      </c>
      <c r="D1270" s="55" t="s">
        <v>3975</v>
      </c>
      <c r="E1270" s="55" t="s">
        <v>3983</v>
      </c>
      <c r="G1270" s="60">
        <v>12223</v>
      </c>
      <c r="H1270"/>
      <c r="J1270">
        <v>28244</v>
      </c>
      <c r="N1270">
        <v>12029</v>
      </c>
      <c r="O1270">
        <f t="shared" si="482"/>
        <v>1</v>
      </c>
      <c r="P1270" s="57">
        <f t="shared" si="483"/>
        <v>1</v>
      </c>
      <c r="Q1270" s="267">
        <f t="shared" si="484"/>
        <v>44247</v>
      </c>
      <c r="R1270" s="23">
        <f t="shared" si="485"/>
        <v>12223</v>
      </c>
      <c r="S1270" s="23">
        <f t="shared" si="486"/>
        <v>8785</v>
      </c>
      <c r="T1270" s="23">
        <f t="shared" si="487"/>
        <v>3438</v>
      </c>
      <c r="U1270" t="str">
        <f t="shared" si="488"/>
        <v>CA_Orang_2020g~rancho santa margarita member, city council (vote 1)</v>
      </c>
      <c r="X1270" s="71"/>
      <c r="Z1270" s="44"/>
      <c r="AC1270">
        <v>37132</v>
      </c>
      <c r="AD1270" s="8">
        <f t="shared" si="498"/>
        <v>185.66</v>
      </c>
      <c r="AF1270" s="22" t="str">
        <f t="shared" si="479"/>
        <v>NY_Catta_2021g</v>
      </c>
      <c r="AG1270" s="20">
        <v>2</v>
      </c>
      <c r="AH1270" s="267">
        <v>259</v>
      </c>
      <c r="AI1270" s="23">
        <v>143</v>
      </c>
      <c r="AJ1270" s="23">
        <v>124</v>
      </c>
      <c r="AK1270" s="23">
        <v>19</v>
      </c>
      <c r="AL1270" t="s">
        <v>8397</v>
      </c>
      <c r="AP1270" s="23">
        <f t="shared" si="497"/>
        <v>0</v>
      </c>
      <c r="AQ1270" s="392">
        <f t="shared" si="500"/>
        <v>0</v>
      </c>
      <c r="AR1270" s="392">
        <f t="shared" si="501"/>
        <v>0</v>
      </c>
      <c r="AS1270" s="392">
        <f t="shared" si="501"/>
        <v>0</v>
      </c>
    </row>
    <row r="1271" spans="1:45">
      <c r="A1271" t="str">
        <f t="shared" si="499"/>
        <v>CA_Orang_2020g~rancho santa margarita member, city council (vote 1)</v>
      </c>
      <c r="B1271" s="55" t="s">
        <v>3536</v>
      </c>
      <c r="D1271" s="55" t="s">
        <v>3975</v>
      </c>
      <c r="E1271" s="55" t="s">
        <v>3978</v>
      </c>
      <c r="G1271" s="60">
        <v>8785</v>
      </c>
      <c r="H1271"/>
      <c r="J1271">
        <v>28244</v>
      </c>
      <c r="N1271">
        <v>12029</v>
      </c>
      <c r="O1271">
        <f t="shared" si="482"/>
        <v>2</v>
      </c>
      <c r="P1271" s="57">
        <f t="shared" si="483"/>
        <v>1</v>
      </c>
      <c r="Q1271" s="267">
        <f t="shared" si="484"/>
        <v>32024</v>
      </c>
      <c r="R1271" s="23" t="str">
        <f t="shared" si="485"/>
        <v/>
      </c>
      <c r="S1271" s="23">
        <f t="shared" si="486"/>
        <v>8785</v>
      </c>
      <c r="T1271" s="23" t="str">
        <f t="shared" si="487"/>
        <v/>
      </c>
      <c r="U1271" t="str">
        <f t="shared" si="488"/>
        <v/>
      </c>
      <c r="X1271" s="71"/>
      <c r="Z1271" s="44"/>
      <c r="AC1271">
        <v>37133</v>
      </c>
      <c r="AD1271" s="8">
        <f t="shared" si="498"/>
        <v>185.66499999999999</v>
      </c>
      <c r="AF1271" s="22" t="str">
        <f t="shared" si="479"/>
        <v>NY_Catta_2021g</v>
      </c>
      <c r="AG1271" s="20">
        <v>1</v>
      </c>
      <c r="AH1271" s="267">
        <v>216</v>
      </c>
      <c r="AI1271" s="23">
        <v>115</v>
      </c>
      <c r="AJ1271" s="23">
        <v>99</v>
      </c>
      <c r="AK1271" s="23">
        <v>16</v>
      </c>
      <c r="AL1271" t="s">
        <v>8404</v>
      </c>
      <c r="AP1271" s="23">
        <f t="shared" si="497"/>
        <v>0</v>
      </c>
      <c r="AQ1271" s="392">
        <f t="shared" si="500"/>
        <v>0</v>
      </c>
      <c r="AR1271" s="392">
        <f t="shared" si="501"/>
        <v>0</v>
      </c>
      <c r="AS1271" s="392">
        <f t="shared" si="501"/>
        <v>0</v>
      </c>
    </row>
    <row r="1272" spans="1:45">
      <c r="A1272" t="str">
        <f t="shared" si="499"/>
        <v>CA_Orang_2020g~rancho santa margarita member, city council (vote 1)</v>
      </c>
      <c r="B1272" s="55" t="s">
        <v>3536</v>
      </c>
      <c r="D1272" s="55" t="s">
        <v>3975</v>
      </c>
      <c r="E1272" s="55" t="s">
        <v>3976</v>
      </c>
      <c r="G1272" s="60">
        <v>6092</v>
      </c>
      <c r="H1272"/>
      <c r="J1272">
        <v>28244</v>
      </c>
      <c r="N1272">
        <v>12029</v>
      </c>
      <c r="O1272">
        <f t="shared" si="482"/>
        <v>3</v>
      </c>
      <c r="P1272" s="57">
        <f t="shared" si="483"/>
        <v>1</v>
      </c>
      <c r="Q1272" s="267">
        <f t="shared" si="484"/>
        <v>23239</v>
      </c>
      <c r="R1272" s="23" t="str">
        <f t="shared" si="485"/>
        <v/>
      </c>
      <c r="S1272" s="23">
        <f t="shared" si="486"/>
        <v>6092</v>
      </c>
      <c r="T1272" s="23" t="str">
        <f t="shared" si="487"/>
        <v/>
      </c>
      <c r="U1272" t="str">
        <f t="shared" si="488"/>
        <v/>
      </c>
      <c r="X1272" s="71"/>
      <c r="Z1272" s="44"/>
      <c r="AC1272">
        <v>37134</v>
      </c>
      <c r="AD1272" s="8">
        <f t="shared" si="498"/>
        <v>185.67</v>
      </c>
      <c r="AF1272" s="22" t="str">
        <f t="shared" si="479"/>
        <v>NY_Catta_2021g</v>
      </c>
      <c r="AG1272" s="20">
        <v>2</v>
      </c>
      <c r="AH1272" s="267">
        <v>214.5</v>
      </c>
      <c r="AI1272" s="23">
        <v>110</v>
      </c>
      <c r="AJ1272" s="23">
        <v>97</v>
      </c>
      <c r="AK1272" s="23">
        <v>13</v>
      </c>
      <c r="AL1272" t="s">
        <v>8398</v>
      </c>
      <c r="AP1272" s="23">
        <f t="shared" si="497"/>
        <v>0</v>
      </c>
      <c r="AQ1272" s="392">
        <f t="shared" si="500"/>
        <v>0</v>
      </c>
      <c r="AR1272" s="392">
        <f t="shared" si="501"/>
        <v>0</v>
      </c>
      <c r="AS1272" s="392">
        <f t="shared" si="501"/>
        <v>0</v>
      </c>
    </row>
    <row r="1273" spans="1:45">
      <c r="A1273" t="str">
        <f t="shared" si="499"/>
        <v>CA_Orang_2020g~rancho santa margarita member, city council (vote 1)</v>
      </c>
      <c r="B1273" s="55" t="s">
        <v>3536</v>
      </c>
      <c r="D1273" s="55" t="s">
        <v>3975</v>
      </c>
      <c r="E1273" s="55" t="s">
        <v>3980</v>
      </c>
      <c r="G1273" s="60">
        <v>5179</v>
      </c>
      <c r="H1273"/>
      <c r="J1273">
        <v>28244</v>
      </c>
      <c r="N1273">
        <v>12029</v>
      </c>
      <c r="O1273">
        <f t="shared" si="482"/>
        <v>4</v>
      </c>
      <c r="P1273" s="57">
        <f t="shared" si="483"/>
        <v>1</v>
      </c>
      <c r="Q1273" s="267">
        <f t="shared" si="484"/>
        <v>17147</v>
      </c>
      <c r="R1273" s="23" t="str">
        <f t="shared" si="485"/>
        <v/>
      </c>
      <c r="S1273" s="23">
        <f t="shared" si="486"/>
        <v>5179</v>
      </c>
      <c r="T1273" s="23" t="str">
        <f t="shared" si="487"/>
        <v/>
      </c>
      <c r="U1273" t="str">
        <f t="shared" si="488"/>
        <v/>
      </c>
      <c r="X1273" s="71"/>
      <c r="Z1273" s="44"/>
      <c r="AC1273">
        <v>37135</v>
      </c>
      <c r="AD1273" s="8">
        <f t="shared" si="498"/>
        <v>185.67500000000001</v>
      </c>
      <c r="AF1273" s="22" t="str">
        <f t="shared" si="479"/>
        <v>NY_Catta_2021g</v>
      </c>
      <c r="AG1273" s="20">
        <v>1</v>
      </c>
      <c r="AH1273" s="267">
        <v>220</v>
      </c>
      <c r="AI1273" s="23">
        <v>116</v>
      </c>
      <c r="AJ1273" s="23">
        <v>103</v>
      </c>
      <c r="AK1273" s="23">
        <v>13</v>
      </c>
      <c r="AL1273" t="s">
        <v>8402</v>
      </c>
      <c r="AP1273" s="23">
        <f t="shared" si="497"/>
        <v>0</v>
      </c>
      <c r="AQ1273" s="392">
        <f t="shared" si="500"/>
        <v>0</v>
      </c>
      <c r="AR1273" s="392">
        <f t="shared" si="501"/>
        <v>0</v>
      </c>
      <c r="AS1273" s="392">
        <f t="shared" si="501"/>
        <v>0</v>
      </c>
    </row>
    <row r="1274" spans="1:45">
      <c r="A1274" t="str">
        <f t="shared" si="499"/>
        <v>CA_Orang_2020g~rancho santa margarita member, city council (vote 1)</v>
      </c>
      <c r="B1274" s="55" t="s">
        <v>3536</v>
      </c>
      <c r="D1274" s="55" t="s">
        <v>3975</v>
      </c>
      <c r="E1274" s="55" t="s">
        <v>3977</v>
      </c>
      <c r="G1274" s="60">
        <v>3912</v>
      </c>
      <c r="H1274"/>
      <c r="J1274">
        <v>28244</v>
      </c>
      <c r="N1274">
        <v>12029</v>
      </c>
      <c r="O1274">
        <f t="shared" si="482"/>
        <v>5</v>
      </c>
      <c r="P1274" s="57">
        <f t="shared" si="483"/>
        <v>1</v>
      </c>
      <c r="Q1274" s="267">
        <f t="shared" si="484"/>
        <v>11968</v>
      </c>
      <c r="R1274" s="23" t="str">
        <f t="shared" si="485"/>
        <v/>
      </c>
      <c r="S1274" s="23">
        <f t="shared" si="486"/>
        <v>3912</v>
      </c>
      <c r="T1274" s="23" t="str">
        <f t="shared" si="487"/>
        <v/>
      </c>
      <c r="U1274" t="str">
        <f t="shared" si="488"/>
        <v/>
      </c>
      <c r="X1274" s="71"/>
      <c r="Z1274" s="44"/>
      <c r="AC1274">
        <v>37136</v>
      </c>
      <c r="AD1274" s="8">
        <f t="shared" si="498"/>
        <v>185.68</v>
      </c>
      <c r="AF1274" s="22" t="str">
        <f t="shared" si="479"/>
        <v>NY_Catta_2021g</v>
      </c>
      <c r="AG1274" s="134">
        <v>2</v>
      </c>
      <c r="AH1274" s="267">
        <v>273.5</v>
      </c>
      <c r="AI1274" s="23">
        <v>176</v>
      </c>
      <c r="AJ1274" s="23">
        <v>175</v>
      </c>
      <c r="AK1274" s="23">
        <v>1</v>
      </c>
      <c r="AL1274" t="s">
        <v>8394</v>
      </c>
      <c r="AP1274" s="23">
        <f t="shared" si="497"/>
        <v>0</v>
      </c>
      <c r="AQ1274" s="392">
        <f t="shared" si="500"/>
        <v>0</v>
      </c>
      <c r="AR1274" s="392">
        <f t="shared" si="501"/>
        <v>0</v>
      </c>
      <c r="AS1274" s="392">
        <f t="shared" si="501"/>
        <v>0</v>
      </c>
    </row>
    <row r="1275" spans="1:45">
      <c r="A1275" t="str">
        <f t="shared" si="499"/>
        <v>CA_Orang_2020g~rancho santa margarita member, city council (vote 1)</v>
      </c>
      <c r="B1275" s="55" t="s">
        <v>3536</v>
      </c>
      <c r="D1275" s="55" t="s">
        <v>3975</v>
      </c>
      <c r="E1275" s="55" t="s">
        <v>3981</v>
      </c>
      <c r="G1275" s="60">
        <v>2305</v>
      </c>
      <c r="H1275"/>
      <c r="J1275">
        <v>28244</v>
      </c>
      <c r="N1275">
        <v>12029</v>
      </c>
      <c r="O1275">
        <f t="shared" si="482"/>
        <v>6</v>
      </c>
      <c r="P1275" s="57">
        <f t="shared" si="483"/>
        <v>1</v>
      </c>
      <c r="Q1275" s="267">
        <f t="shared" si="484"/>
        <v>8056</v>
      </c>
      <c r="R1275" s="23" t="str">
        <f t="shared" si="485"/>
        <v/>
      </c>
      <c r="S1275" s="23">
        <f t="shared" si="486"/>
        <v>2305</v>
      </c>
      <c r="T1275" s="23" t="str">
        <f t="shared" si="487"/>
        <v/>
      </c>
      <c r="U1275" t="str">
        <f t="shared" si="488"/>
        <v/>
      </c>
      <c r="X1275" s="71"/>
      <c r="Z1275" s="44"/>
      <c r="AF1275" s="22"/>
    </row>
    <row r="1276" spans="1:45">
      <c r="A1276" t="str">
        <f t="shared" si="499"/>
        <v>CA_Orang_2020g~rancho santa margarita member, city council (vote 1)</v>
      </c>
      <c r="B1276" s="55" t="s">
        <v>3536</v>
      </c>
      <c r="D1276" s="55" t="s">
        <v>3975</v>
      </c>
      <c r="E1276" s="55" t="s">
        <v>3979</v>
      </c>
      <c r="G1276" s="60">
        <v>2115</v>
      </c>
      <c r="H1276"/>
      <c r="J1276">
        <v>28244</v>
      </c>
      <c r="N1276">
        <v>12029</v>
      </c>
      <c r="O1276">
        <f t="shared" si="482"/>
        <v>7</v>
      </c>
      <c r="P1276" s="57">
        <f t="shared" si="483"/>
        <v>1</v>
      </c>
      <c r="Q1276" s="267">
        <f t="shared" si="484"/>
        <v>5751</v>
      </c>
      <c r="R1276" s="23" t="str">
        <f t="shared" si="485"/>
        <v/>
      </c>
      <c r="S1276" s="23">
        <f t="shared" si="486"/>
        <v>2115</v>
      </c>
      <c r="T1276" s="23" t="str">
        <f t="shared" si="487"/>
        <v/>
      </c>
      <c r="U1276" t="str">
        <f t="shared" si="488"/>
        <v/>
      </c>
      <c r="X1276" s="71"/>
      <c r="Z1276" s="44"/>
      <c r="AF1276" s="22"/>
    </row>
    <row r="1277" spans="1:45">
      <c r="A1277" t="str">
        <f t="shared" si="499"/>
        <v>CA_Orang_2020g~rancho santa margarita member, city council (vote 1)</v>
      </c>
      <c r="B1277" s="55" t="s">
        <v>3536</v>
      </c>
      <c r="D1277" s="55" t="s">
        <v>3975</v>
      </c>
      <c r="E1277" s="55" t="s">
        <v>3984</v>
      </c>
      <c r="G1277" s="60">
        <v>2098</v>
      </c>
      <c r="H1277"/>
      <c r="J1277">
        <v>28244</v>
      </c>
      <c r="N1277">
        <v>12029</v>
      </c>
      <c r="O1277">
        <f t="shared" si="482"/>
        <v>8</v>
      </c>
      <c r="P1277" s="57">
        <f t="shared" si="483"/>
        <v>1</v>
      </c>
      <c r="Q1277" s="267">
        <f t="shared" si="484"/>
        <v>3636</v>
      </c>
      <c r="R1277" s="23" t="str">
        <f t="shared" si="485"/>
        <v/>
      </c>
      <c r="S1277" s="23">
        <f t="shared" si="486"/>
        <v>2098</v>
      </c>
      <c r="T1277" s="23" t="str">
        <f t="shared" si="487"/>
        <v/>
      </c>
      <c r="U1277" t="str">
        <f t="shared" si="488"/>
        <v/>
      </c>
      <c r="X1277" s="71"/>
      <c r="Z1277" s="44"/>
      <c r="AF1277" s="22"/>
    </row>
    <row r="1278" spans="1:45">
      <c r="A1278" t="str">
        <f t="shared" si="499"/>
        <v>CA_Orang_2020g~rancho santa margarita member, city council (vote 1)</v>
      </c>
      <c r="B1278" s="55" t="s">
        <v>3536</v>
      </c>
      <c r="D1278" s="55" t="s">
        <v>3975</v>
      </c>
      <c r="E1278" s="55" t="s">
        <v>3982</v>
      </c>
      <c r="G1278" s="60">
        <v>1538</v>
      </c>
      <c r="H1278"/>
      <c r="J1278">
        <v>28244</v>
      </c>
      <c r="N1278">
        <v>12029</v>
      </c>
      <c r="O1278">
        <f t="shared" si="482"/>
        <v>9</v>
      </c>
      <c r="P1278" s="57">
        <f t="shared" si="483"/>
        <v>1</v>
      </c>
      <c r="Q1278" s="267">
        <f t="shared" si="484"/>
        <v>1538</v>
      </c>
      <c r="R1278" s="23" t="str">
        <f t="shared" si="485"/>
        <v/>
      </c>
      <c r="S1278" s="23">
        <f t="shared" si="486"/>
        <v>1538</v>
      </c>
      <c r="T1278" s="23" t="str">
        <f t="shared" si="487"/>
        <v/>
      </c>
      <c r="U1278" t="str">
        <f t="shared" si="488"/>
        <v/>
      </c>
      <c r="X1278" s="71"/>
      <c r="Z1278" s="44"/>
      <c r="AF1278" s="22"/>
    </row>
    <row r="1279" spans="1:45">
      <c r="A1279" t="str">
        <f t="shared" si="499"/>
        <v>CA_Orang_2020g~rancho santiago community college district governing board member, trustee area 3 (vote 1)</v>
      </c>
      <c r="B1279" s="55" t="s">
        <v>3536</v>
      </c>
      <c r="D1279" s="55" t="s">
        <v>3579</v>
      </c>
      <c r="E1279" s="55" t="s">
        <v>3580</v>
      </c>
      <c r="G1279" s="60">
        <v>12182</v>
      </c>
      <c r="H1279"/>
      <c r="J1279">
        <v>21659</v>
      </c>
      <c r="N1279">
        <v>2211</v>
      </c>
      <c r="O1279">
        <f t="shared" si="482"/>
        <v>1</v>
      </c>
      <c r="P1279" s="57">
        <f t="shared" si="483"/>
        <v>1</v>
      </c>
      <c r="Q1279" s="267">
        <f t="shared" si="484"/>
        <v>19298</v>
      </c>
      <c r="R1279" s="23">
        <f t="shared" si="485"/>
        <v>12182</v>
      </c>
      <c r="S1279" s="23">
        <f t="shared" si="486"/>
        <v>7116</v>
      </c>
      <c r="T1279" s="23">
        <f t="shared" si="487"/>
        <v>5066</v>
      </c>
      <c r="U1279" t="str">
        <f t="shared" si="488"/>
        <v>CA_Orang_2020g~rancho santiago community college district governing board member, trustee area 3 (vote 1)</v>
      </c>
      <c r="X1279" s="71"/>
      <c r="Z1279" s="44"/>
      <c r="AF1279" s="22"/>
    </row>
    <row r="1280" spans="1:45">
      <c r="A1280" t="str">
        <f t="shared" si="499"/>
        <v>CA_Orang_2020g~rancho santiago community college district governing board member, trustee area 3 (vote 1)</v>
      </c>
      <c r="B1280" s="55" t="s">
        <v>3536</v>
      </c>
      <c r="D1280" s="55" t="s">
        <v>3579</v>
      </c>
      <c r="E1280" s="55" t="s">
        <v>3581</v>
      </c>
      <c r="G1280" s="60">
        <v>7116</v>
      </c>
      <c r="H1280"/>
      <c r="J1280">
        <v>21659</v>
      </c>
      <c r="N1280">
        <v>2211</v>
      </c>
      <c r="O1280">
        <f t="shared" si="482"/>
        <v>2</v>
      </c>
      <c r="P1280" s="57">
        <f t="shared" si="483"/>
        <v>1</v>
      </c>
      <c r="Q1280" s="267">
        <f t="shared" si="484"/>
        <v>7116</v>
      </c>
      <c r="R1280" s="23" t="str">
        <f t="shared" si="485"/>
        <v/>
      </c>
      <c r="S1280" s="23">
        <f t="shared" si="486"/>
        <v>7116</v>
      </c>
      <c r="T1280" s="23" t="str">
        <f t="shared" si="487"/>
        <v/>
      </c>
      <c r="U1280" t="str">
        <f t="shared" si="488"/>
        <v/>
      </c>
      <c r="X1280" s="71"/>
      <c r="Z1280" s="44"/>
      <c r="AF1280" s="22"/>
    </row>
    <row r="1281" spans="1:38">
      <c r="A1281" t="str">
        <f t="shared" si="499"/>
        <v>CA_Orang_2020g~rancho santiago community college district governing board member, trustee area 5 (vote 1)</v>
      </c>
      <c r="B1281" s="55" t="s">
        <v>3536</v>
      </c>
      <c r="D1281" s="55" t="s">
        <v>3582</v>
      </c>
      <c r="E1281" s="55" t="s">
        <v>3583</v>
      </c>
      <c r="G1281" s="60">
        <v>13056</v>
      </c>
      <c r="H1281"/>
      <c r="J1281">
        <v>29588</v>
      </c>
      <c r="N1281">
        <v>4092</v>
      </c>
      <c r="O1281">
        <f t="shared" si="482"/>
        <v>1</v>
      </c>
      <c r="P1281" s="57">
        <f t="shared" si="483"/>
        <v>1</v>
      </c>
      <c r="Q1281" s="267">
        <f t="shared" si="484"/>
        <v>25280</v>
      </c>
      <c r="R1281" s="23">
        <f t="shared" si="485"/>
        <v>13056</v>
      </c>
      <c r="S1281" s="23">
        <f t="shared" si="486"/>
        <v>8132</v>
      </c>
      <c r="T1281" s="23">
        <f t="shared" si="487"/>
        <v>4924</v>
      </c>
      <c r="U1281" t="str">
        <f t="shared" si="488"/>
        <v>CA_Orang_2020g~rancho santiago community college district governing board member, trustee area 5 (vote 1)</v>
      </c>
      <c r="X1281" s="71"/>
      <c r="Z1281" s="44"/>
      <c r="AF1281" s="22"/>
    </row>
    <row r="1282" spans="1:38">
      <c r="A1282" t="str">
        <f t="shared" si="499"/>
        <v>CA_Orang_2020g~rancho santiago community college district governing board member, trustee area 5 (vote 1)</v>
      </c>
      <c r="B1282" s="55" t="s">
        <v>3536</v>
      </c>
      <c r="D1282" s="55" t="s">
        <v>3582</v>
      </c>
      <c r="E1282" s="55" t="s">
        <v>3584</v>
      </c>
      <c r="G1282" s="60">
        <v>8132</v>
      </c>
      <c r="H1282"/>
      <c r="J1282">
        <v>29588</v>
      </c>
      <c r="N1282">
        <v>4092</v>
      </c>
      <c r="O1282">
        <f t="shared" ref="O1282:O1345" si="502">IF(OR(LOWER(LEFT(E1282,8))="write-in",LOWER(LEFT(E1282,8))="not qual"),IF(A1282=A1281,-ABS(O1281),0),IF(A1282=A1281,ABS(O1281)+1,1))</f>
        <v>2</v>
      </c>
      <c r="P1282" s="57">
        <f t="shared" ref="P1282:P1345" si="503">1*LEFT(RIGHT(A1282,2),1)</f>
        <v>1</v>
      </c>
      <c r="Q1282" s="267">
        <f t="shared" ref="Q1282:Q1345" si="504">IF(A1282&lt;&gt;A1283,G1282,IF(A1282=A1281,G1282+Q1283,MAX(G1282,(G1282+Q1283)/P1282)))</f>
        <v>12224</v>
      </c>
      <c r="R1282" s="23" t="str">
        <f t="shared" ref="R1282:R1345" si="505">IF(O1282&gt;P1282,"",IF(O1282=P1282,G1282,IF(A1282=A1283,R1283,IF(O1282&lt;=0,1,G1282))))</f>
        <v/>
      </c>
      <c r="S1282" s="23">
        <f t="shared" ref="S1282:S1345" si="506">IF(AND(O1282&gt;P1282,LOWER(LEFT(E1282,8))&lt;&gt;"write-in",LOWER(LEFT(E1282,8))&lt;&gt;"not qual"),G1282,IF(A1282=A1283,S1283,0))</f>
        <v>8132</v>
      </c>
      <c r="T1282" s="23" t="str">
        <f t="shared" ref="T1282:T1345" si="507">IF(OR(A1282=A1281,S1282=0),"",R1282-ABS(S1282))</f>
        <v/>
      </c>
      <c r="U1282" t="str">
        <f t="shared" ref="U1282:U1345" si="508">IF(A1282=A1281,"",A1282)</f>
        <v/>
      </c>
      <c r="X1282" s="71"/>
      <c r="Z1282" s="44"/>
      <c r="AF1282" s="22"/>
    </row>
    <row r="1283" spans="1:38">
      <c r="A1283" t="str">
        <f t="shared" si="499"/>
        <v>CA_Orang_2020g~rancho santiago community college district governing board member, trustee area 5 (vote 1)</v>
      </c>
      <c r="B1283" s="55" t="s">
        <v>3536</v>
      </c>
      <c r="D1283" s="55" t="s">
        <v>3582</v>
      </c>
      <c r="E1283" s="55" t="s">
        <v>3585</v>
      </c>
      <c r="G1283" s="60">
        <v>4092</v>
      </c>
      <c r="H1283"/>
      <c r="J1283">
        <v>29588</v>
      </c>
      <c r="N1283">
        <v>4092</v>
      </c>
      <c r="O1283">
        <f t="shared" si="502"/>
        <v>3</v>
      </c>
      <c r="P1283" s="57">
        <f t="shared" si="503"/>
        <v>1</v>
      </c>
      <c r="Q1283" s="267">
        <f t="shared" si="504"/>
        <v>4092</v>
      </c>
      <c r="R1283" s="23" t="str">
        <f t="shared" si="505"/>
        <v/>
      </c>
      <c r="S1283" s="23">
        <f t="shared" si="506"/>
        <v>4092</v>
      </c>
      <c r="T1283" s="23" t="str">
        <f t="shared" si="507"/>
        <v/>
      </c>
      <c r="U1283" t="str">
        <f t="shared" si="508"/>
        <v/>
      </c>
      <c r="X1283" s="71"/>
      <c r="Z1283" s="44"/>
      <c r="AF1283" s="22"/>
    </row>
    <row r="1284" spans="1:38">
      <c r="A1284" t="str">
        <f t="shared" si="499"/>
        <v>CA_Orang_2020g~rancho santiago community college district governing board member, trustee area 7 (vote 1)</v>
      </c>
      <c r="B1284" s="55" t="s">
        <v>3536</v>
      </c>
      <c r="D1284" s="55" t="s">
        <v>3586</v>
      </c>
      <c r="E1284" s="55" t="s">
        <v>3386</v>
      </c>
      <c r="G1284" s="60">
        <v>18983</v>
      </c>
      <c r="H1284"/>
      <c r="J1284">
        <v>40172</v>
      </c>
      <c r="N1284">
        <v>5102</v>
      </c>
      <c r="O1284">
        <f t="shared" si="502"/>
        <v>1</v>
      </c>
      <c r="P1284" s="57">
        <f t="shared" si="503"/>
        <v>1</v>
      </c>
      <c r="Q1284" s="267">
        <f t="shared" si="504"/>
        <v>34848</v>
      </c>
      <c r="R1284" s="23">
        <f t="shared" si="505"/>
        <v>18983</v>
      </c>
      <c r="S1284" s="23">
        <f t="shared" si="506"/>
        <v>15865</v>
      </c>
      <c r="T1284" s="23">
        <f t="shared" si="507"/>
        <v>3118</v>
      </c>
      <c r="U1284" t="str">
        <f t="shared" si="508"/>
        <v>CA_Orang_2020g~rancho santiago community college district governing board member, trustee area 7 (vote 1)</v>
      </c>
      <c r="X1284" s="71"/>
      <c r="Z1284" s="44"/>
      <c r="AF1284" s="22"/>
      <c r="AH1284" s="8"/>
      <c r="AL1284" s="23"/>
    </row>
    <row r="1285" spans="1:38">
      <c r="A1285" t="str">
        <f t="shared" si="499"/>
        <v>CA_Orang_2020g~rancho santiago community college district governing board member, trustee area 7 (vote 1)</v>
      </c>
      <c r="B1285" s="55" t="s">
        <v>3536</v>
      </c>
      <c r="D1285" s="55" t="s">
        <v>3586</v>
      </c>
      <c r="E1285" s="55" t="s">
        <v>3587</v>
      </c>
      <c r="G1285" s="60">
        <v>15865</v>
      </c>
      <c r="H1285"/>
      <c r="J1285">
        <v>40172</v>
      </c>
      <c r="N1285">
        <v>5102</v>
      </c>
      <c r="O1285">
        <f t="shared" si="502"/>
        <v>2</v>
      </c>
      <c r="P1285" s="57">
        <f t="shared" si="503"/>
        <v>1</v>
      </c>
      <c r="Q1285" s="267">
        <f t="shared" si="504"/>
        <v>15865</v>
      </c>
      <c r="R1285" s="23" t="str">
        <f t="shared" si="505"/>
        <v/>
      </c>
      <c r="S1285" s="23">
        <f t="shared" si="506"/>
        <v>15865</v>
      </c>
      <c r="T1285" s="23" t="str">
        <f t="shared" si="507"/>
        <v/>
      </c>
      <c r="U1285" t="str">
        <f t="shared" si="508"/>
        <v/>
      </c>
      <c r="X1285" s="71"/>
      <c r="Z1285" s="44"/>
      <c r="AF1285" s="22"/>
    </row>
    <row r="1286" spans="1:38">
      <c r="A1286" t="str">
        <f t="shared" si="499"/>
        <v>CA_Orang_2020g~rossmoor community services district director, full term (vote 1)</v>
      </c>
      <c r="B1286" s="55" t="s">
        <v>3536</v>
      </c>
      <c r="D1286" s="55" t="s">
        <v>4062</v>
      </c>
      <c r="E1286" s="55" t="s">
        <v>3493</v>
      </c>
      <c r="G1286" s="60">
        <v>3242</v>
      </c>
      <c r="H1286"/>
      <c r="J1286">
        <v>7260</v>
      </c>
      <c r="N1286">
        <v>8582</v>
      </c>
      <c r="O1286">
        <f t="shared" si="502"/>
        <v>1</v>
      </c>
      <c r="P1286" s="57">
        <f t="shared" si="503"/>
        <v>1</v>
      </c>
      <c r="Q1286" s="267">
        <f t="shared" si="504"/>
        <v>13122</v>
      </c>
      <c r="R1286" s="23">
        <f t="shared" si="505"/>
        <v>3242</v>
      </c>
      <c r="S1286" s="23">
        <f t="shared" si="506"/>
        <v>3101</v>
      </c>
      <c r="T1286" s="23">
        <f t="shared" si="507"/>
        <v>141</v>
      </c>
      <c r="U1286" t="str">
        <f t="shared" si="508"/>
        <v>CA_Orang_2020g~rossmoor community services district director, full term (vote 1)</v>
      </c>
      <c r="X1286" s="71"/>
      <c r="Z1286" s="44"/>
      <c r="AF1286" s="22"/>
    </row>
    <row r="1287" spans="1:38">
      <c r="A1287" t="str">
        <f t="shared" si="499"/>
        <v>CA_Orang_2020g~rossmoor community services district director, full term (vote 1)</v>
      </c>
      <c r="B1287" s="55" t="s">
        <v>3536</v>
      </c>
      <c r="D1287" s="55" t="s">
        <v>4062</v>
      </c>
      <c r="E1287" s="55" t="s">
        <v>4063</v>
      </c>
      <c r="G1287" s="60">
        <v>3101</v>
      </c>
      <c r="H1287"/>
      <c r="J1287">
        <v>7260</v>
      </c>
      <c r="N1287">
        <v>8582</v>
      </c>
      <c r="O1287">
        <f t="shared" si="502"/>
        <v>2</v>
      </c>
      <c r="P1287" s="57">
        <f t="shared" si="503"/>
        <v>1</v>
      </c>
      <c r="Q1287" s="267">
        <f t="shared" si="504"/>
        <v>9880</v>
      </c>
      <c r="R1287" s="23" t="str">
        <f t="shared" si="505"/>
        <v/>
      </c>
      <c r="S1287" s="23">
        <f t="shared" si="506"/>
        <v>3101</v>
      </c>
      <c r="T1287" s="23" t="str">
        <f t="shared" si="507"/>
        <v/>
      </c>
      <c r="U1287" t="str">
        <f t="shared" si="508"/>
        <v/>
      </c>
      <c r="X1287" s="71"/>
      <c r="Z1287" s="44"/>
      <c r="AF1287" s="22"/>
      <c r="AG1287" s="261"/>
      <c r="AH1287" s="257"/>
      <c r="AI1287" s="277"/>
      <c r="AJ1287" s="278"/>
    </row>
    <row r="1288" spans="1:38">
      <c r="A1288" t="str">
        <f t="shared" si="499"/>
        <v>CA_Orang_2020g~rossmoor community services district director, full term (vote 1)</v>
      </c>
      <c r="B1288" s="55" t="s">
        <v>3536</v>
      </c>
      <c r="D1288" s="55" t="s">
        <v>4062</v>
      </c>
      <c r="E1288" s="55" t="s">
        <v>4066</v>
      </c>
      <c r="G1288" s="60">
        <v>2929</v>
      </c>
      <c r="H1288"/>
      <c r="J1288">
        <v>7260</v>
      </c>
      <c r="N1288">
        <v>8582</v>
      </c>
      <c r="O1288">
        <f t="shared" si="502"/>
        <v>3</v>
      </c>
      <c r="P1288" s="57">
        <f t="shared" si="503"/>
        <v>1</v>
      </c>
      <c r="Q1288" s="267">
        <f t="shared" si="504"/>
        <v>6779</v>
      </c>
      <c r="R1288" s="23" t="str">
        <f t="shared" si="505"/>
        <v/>
      </c>
      <c r="S1288" s="23">
        <f t="shared" si="506"/>
        <v>2929</v>
      </c>
      <c r="T1288" s="23" t="str">
        <f t="shared" si="507"/>
        <v/>
      </c>
      <c r="U1288" t="str">
        <f t="shared" si="508"/>
        <v/>
      </c>
      <c r="X1288" s="71"/>
      <c r="Z1288" s="44"/>
      <c r="AF1288" s="22"/>
      <c r="AG1288" s="259"/>
      <c r="AH1288" s="276"/>
      <c r="AI1288" s="277"/>
      <c r="AJ1288" s="278"/>
    </row>
    <row r="1289" spans="1:38">
      <c r="A1289" t="str">
        <f t="shared" si="499"/>
        <v>CA_Orang_2020g~rossmoor community services district director, full term (vote 1)</v>
      </c>
      <c r="B1289" s="55" t="s">
        <v>3536</v>
      </c>
      <c r="D1289" s="55" t="s">
        <v>4062</v>
      </c>
      <c r="E1289" s="55" t="s">
        <v>4064</v>
      </c>
      <c r="G1289" s="60">
        <v>2647</v>
      </c>
      <c r="H1289"/>
      <c r="J1289">
        <v>7260</v>
      </c>
      <c r="N1289">
        <v>8582</v>
      </c>
      <c r="O1289">
        <f t="shared" si="502"/>
        <v>4</v>
      </c>
      <c r="P1289" s="57">
        <f t="shared" si="503"/>
        <v>1</v>
      </c>
      <c r="Q1289" s="267">
        <f t="shared" si="504"/>
        <v>3850</v>
      </c>
      <c r="R1289" s="23" t="str">
        <f t="shared" si="505"/>
        <v/>
      </c>
      <c r="S1289" s="23">
        <f t="shared" si="506"/>
        <v>2647</v>
      </c>
      <c r="T1289" s="23" t="str">
        <f t="shared" si="507"/>
        <v/>
      </c>
      <c r="U1289" t="str">
        <f t="shared" si="508"/>
        <v/>
      </c>
      <c r="X1289" s="71"/>
      <c r="Z1289" s="44"/>
      <c r="AF1289" s="22"/>
      <c r="AG1289" s="23"/>
      <c r="AH1289" s="8"/>
      <c r="AL1289" s="344"/>
    </row>
    <row r="1290" spans="1:38">
      <c r="A1290" t="str">
        <f t="shared" si="499"/>
        <v>CA_Orang_2020g~rossmoor community services district director, full term (vote 1)</v>
      </c>
      <c r="B1290" s="55" t="s">
        <v>3536</v>
      </c>
      <c r="D1290" s="55" t="s">
        <v>4062</v>
      </c>
      <c r="E1290" s="55" t="s">
        <v>4065</v>
      </c>
      <c r="G1290" s="60">
        <v>1203</v>
      </c>
      <c r="H1290"/>
      <c r="J1290">
        <v>7260</v>
      </c>
      <c r="N1290">
        <v>8582</v>
      </c>
      <c r="O1290">
        <f t="shared" si="502"/>
        <v>5</v>
      </c>
      <c r="P1290" s="57">
        <f t="shared" si="503"/>
        <v>1</v>
      </c>
      <c r="Q1290" s="267">
        <f t="shared" si="504"/>
        <v>1203</v>
      </c>
      <c r="R1290" s="23" t="str">
        <f t="shared" si="505"/>
        <v/>
      </c>
      <c r="S1290" s="23">
        <f t="shared" si="506"/>
        <v>1203</v>
      </c>
      <c r="T1290" s="23" t="str">
        <f t="shared" si="507"/>
        <v/>
      </c>
      <c r="U1290" t="str">
        <f t="shared" si="508"/>
        <v/>
      </c>
      <c r="X1290" s="71"/>
      <c r="Z1290" s="44"/>
      <c r="AF1290" s="22"/>
      <c r="AL1290" s="23"/>
    </row>
    <row r="1291" spans="1:38">
      <c r="A1291" t="str">
        <f t="shared" si="499"/>
        <v>CA_Orang_2020g~saddleback valley unified school district governing board member, trustee area 2 (vote 1)</v>
      </c>
      <c r="B1291" s="55" t="s">
        <v>3536</v>
      </c>
      <c r="D1291" s="55" t="s">
        <v>3676</v>
      </c>
      <c r="E1291" s="55" t="s">
        <v>3677</v>
      </c>
      <c r="G1291" s="60">
        <v>11024</v>
      </c>
      <c r="H1291"/>
      <c r="J1291">
        <v>25617</v>
      </c>
      <c r="N1291">
        <v>5122</v>
      </c>
      <c r="O1291">
        <f t="shared" si="502"/>
        <v>1</v>
      </c>
      <c r="P1291" s="57">
        <f t="shared" si="503"/>
        <v>1</v>
      </c>
      <c r="Q1291" s="267">
        <f t="shared" si="504"/>
        <v>20347</v>
      </c>
      <c r="R1291" s="23">
        <f t="shared" si="505"/>
        <v>11024</v>
      </c>
      <c r="S1291" s="23">
        <f t="shared" si="506"/>
        <v>9323</v>
      </c>
      <c r="T1291" s="23">
        <f t="shared" si="507"/>
        <v>1701</v>
      </c>
      <c r="U1291" t="str">
        <f t="shared" si="508"/>
        <v>CA_Orang_2020g~saddleback valley unified school district governing board member, trustee area 2 (vote 1)</v>
      </c>
      <c r="X1291" s="71"/>
      <c r="Z1291" s="44"/>
      <c r="AF1291" s="22"/>
    </row>
    <row r="1292" spans="1:38">
      <c r="A1292" t="str">
        <f t="shared" si="499"/>
        <v>CA_Orang_2020g~saddleback valley unified school district governing board member, trustee area 2 (vote 1)</v>
      </c>
      <c r="B1292" s="55" t="s">
        <v>3536</v>
      </c>
      <c r="D1292" s="55" t="s">
        <v>3676</v>
      </c>
      <c r="E1292" s="55" t="s">
        <v>3678</v>
      </c>
      <c r="G1292" s="60">
        <v>9323</v>
      </c>
      <c r="H1292"/>
      <c r="J1292">
        <v>25617</v>
      </c>
      <c r="N1292">
        <v>5122</v>
      </c>
      <c r="O1292">
        <f t="shared" si="502"/>
        <v>2</v>
      </c>
      <c r="P1292" s="57">
        <f t="shared" si="503"/>
        <v>1</v>
      </c>
      <c r="Q1292" s="267">
        <f t="shared" si="504"/>
        <v>9323</v>
      </c>
      <c r="R1292" s="23" t="str">
        <f t="shared" si="505"/>
        <v/>
      </c>
      <c r="S1292" s="23">
        <f t="shared" si="506"/>
        <v>9323</v>
      </c>
      <c r="T1292" s="23" t="str">
        <f t="shared" si="507"/>
        <v/>
      </c>
      <c r="U1292" t="str">
        <f t="shared" si="508"/>
        <v/>
      </c>
      <c r="X1292" s="71"/>
      <c r="Z1292" s="44"/>
      <c r="AF1292" s="22"/>
    </row>
    <row r="1293" spans="1:38">
      <c r="A1293" t="str">
        <f t="shared" si="499"/>
        <v>CA_Orang_2020g~saddleback valley unified school district governing board member, trustee area 4 (vote 1)</v>
      </c>
      <c r="B1293" s="55" t="s">
        <v>3536</v>
      </c>
      <c r="D1293" s="55" t="s">
        <v>3679</v>
      </c>
      <c r="E1293" s="55" t="s">
        <v>3680</v>
      </c>
      <c r="G1293" s="60">
        <v>13846</v>
      </c>
      <c r="H1293"/>
      <c r="J1293">
        <v>27818</v>
      </c>
      <c r="N1293">
        <v>5063</v>
      </c>
      <c r="O1293">
        <f t="shared" si="502"/>
        <v>1</v>
      </c>
      <c r="P1293" s="57">
        <f t="shared" si="503"/>
        <v>1</v>
      </c>
      <c r="Q1293" s="267">
        <f t="shared" si="504"/>
        <v>22610</v>
      </c>
      <c r="R1293" s="23">
        <f t="shared" si="505"/>
        <v>13846</v>
      </c>
      <c r="S1293" s="23">
        <f t="shared" si="506"/>
        <v>8764</v>
      </c>
      <c r="T1293" s="23">
        <f t="shared" si="507"/>
        <v>5082</v>
      </c>
      <c r="U1293" t="str">
        <f t="shared" si="508"/>
        <v>CA_Orang_2020g~saddleback valley unified school district governing board member, trustee area 4 (vote 1)</v>
      </c>
      <c r="X1293" s="71"/>
      <c r="Z1293" s="44"/>
      <c r="AF1293" s="22"/>
    </row>
    <row r="1294" spans="1:38">
      <c r="A1294" t="str">
        <f t="shared" si="499"/>
        <v>CA_Orang_2020g~saddleback valley unified school district governing board member, trustee area 4 (vote 1)</v>
      </c>
      <c r="B1294" s="55" t="s">
        <v>3536</v>
      </c>
      <c r="D1294" s="55" t="s">
        <v>3679</v>
      </c>
      <c r="E1294" s="55" t="s">
        <v>3476</v>
      </c>
      <c r="G1294" s="60">
        <v>8764</v>
      </c>
      <c r="H1294"/>
      <c r="J1294">
        <v>27818</v>
      </c>
      <c r="N1294">
        <v>5063</v>
      </c>
      <c r="O1294">
        <f t="shared" si="502"/>
        <v>2</v>
      </c>
      <c r="P1294" s="57">
        <f t="shared" si="503"/>
        <v>1</v>
      </c>
      <c r="Q1294" s="267">
        <f t="shared" si="504"/>
        <v>8764</v>
      </c>
      <c r="R1294" s="23" t="str">
        <f t="shared" si="505"/>
        <v/>
      </c>
      <c r="S1294" s="23">
        <f t="shared" si="506"/>
        <v>8764</v>
      </c>
      <c r="T1294" s="23" t="str">
        <f t="shared" si="507"/>
        <v/>
      </c>
      <c r="U1294" t="str">
        <f t="shared" si="508"/>
        <v/>
      </c>
      <c r="X1294" s="71"/>
      <c r="Z1294" s="44"/>
      <c r="AF1294" s="22"/>
    </row>
    <row r="1295" spans="1:38">
      <c r="A1295" t="str">
        <f t="shared" si="499"/>
        <v>CA_Orang_2020g~santa ana unified school district governing board member (vote 1)</v>
      </c>
      <c r="B1295" s="55" t="s">
        <v>3536</v>
      </c>
      <c r="D1295" s="55" t="s">
        <v>3681</v>
      </c>
      <c r="E1295" s="55" t="s">
        <v>3682</v>
      </c>
      <c r="G1295" s="60">
        <v>34452</v>
      </c>
      <c r="H1295"/>
      <c r="J1295">
        <v>73125</v>
      </c>
      <c r="N1295">
        <v>83890</v>
      </c>
      <c r="O1295">
        <f t="shared" si="502"/>
        <v>1</v>
      </c>
      <c r="P1295" s="57">
        <f t="shared" si="503"/>
        <v>1</v>
      </c>
      <c r="Q1295" s="267">
        <f t="shared" si="504"/>
        <v>134689</v>
      </c>
      <c r="R1295" s="23">
        <f t="shared" si="505"/>
        <v>34452</v>
      </c>
      <c r="S1295" s="23">
        <f t="shared" si="506"/>
        <v>29406</v>
      </c>
      <c r="T1295" s="23">
        <f t="shared" si="507"/>
        <v>5046</v>
      </c>
      <c r="U1295" t="str">
        <f t="shared" si="508"/>
        <v>CA_Orang_2020g~santa ana unified school district governing board member (vote 1)</v>
      </c>
      <c r="X1295" s="71"/>
      <c r="Z1295" s="44"/>
      <c r="AF1295" s="22"/>
    </row>
    <row r="1296" spans="1:38">
      <c r="A1296" t="str">
        <f t="shared" si="499"/>
        <v>CA_Orang_2020g~santa ana unified school district governing board member (vote 1)</v>
      </c>
      <c r="B1296" s="55" t="s">
        <v>3536</v>
      </c>
      <c r="D1296" s="55" t="s">
        <v>3681</v>
      </c>
      <c r="E1296" s="55" t="s">
        <v>3686</v>
      </c>
      <c r="G1296" s="60">
        <v>29406</v>
      </c>
      <c r="H1296"/>
      <c r="J1296">
        <v>73125</v>
      </c>
      <c r="N1296">
        <v>83890</v>
      </c>
      <c r="O1296">
        <f t="shared" si="502"/>
        <v>2</v>
      </c>
      <c r="P1296" s="57">
        <f t="shared" si="503"/>
        <v>1</v>
      </c>
      <c r="Q1296" s="267">
        <f t="shared" si="504"/>
        <v>100237</v>
      </c>
      <c r="R1296" s="23" t="str">
        <f t="shared" si="505"/>
        <v/>
      </c>
      <c r="S1296" s="23">
        <f t="shared" si="506"/>
        <v>29406</v>
      </c>
      <c r="T1296" s="23" t="str">
        <f t="shared" si="507"/>
        <v/>
      </c>
      <c r="U1296" t="str">
        <f t="shared" si="508"/>
        <v/>
      </c>
      <c r="X1296" s="71"/>
      <c r="Z1296" s="44"/>
      <c r="AF1296" s="22"/>
    </row>
    <row r="1297" spans="1:38">
      <c r="A1297" t="str">
        <f t="shared" si="499"/>
        <v>CA_Orang_2020g~santa ana unified school district governing board member (vote 1)</v>
      </c>
      <c r="B1297" s="55" t="s">
        <v>3536</v>
      </c>
      <c r="D1297" s="55" t="s">
        <v>3681</v>
      </c>
      <c r="E1297" s="55" t="s">
        <v>3685</v>
      </c>
      <c r="G1297" s="60">
        <v>22790</v>
      </c>
      <c r="H1297"/>
      <c r="J1297">
        <v>73125</v>
      </c>
      <c r="N1297">
        <v>83890</v>
      </c>
      <c r="O1297">
        <f t="shared" si="502"/>
        <v>3</v>
      </c>
      <c r="P1297" s="57">
        <f t="shared" si="503"/>
        <v>1</v>
      </c>
      <c r="Q1297" s="267">
        <f t="shared" si="504"/>
        <v>70831</v>
      </c>
      <c r="R1297" s="23" t="str">
        <f t="shared" si="505"/>
        <v/>
      </c>
      <c r="S1297" s="23">
        <f t="shared" si="506"/>
        <v>22790</v>
      </c>
      <c r="T1297" s="23" t="str">
        <f t="shared" si="507"/>
        <v/>
      </c>
      <c r="U1297" t="str">
        <f t="shared" si="508"/>
        <v/>
      </c>
      <c r="X1297" s="71"/>
      <c r="Z1297" s="44"/>
      <c r="AF1297" s="22"/>
    </row>
    <row r="1298" spans="1:38">
      <c r="A1298" t="str">
        <f t="shared" si="499"/>
        <v>CA_Orang_2020g~santa ana unified school district governing board member (vote 1)</v>
      </c>
      <c r="B1298" s="55" t="s">
        <v>3536</v>
      </c>
      <c r="D1298" s="55" t="s">
        <v>3681</v>
      </c>
      <c r="E1298" s="55" t="s">
        <v>3687</v>
      </c>
      <c r="G1298" s="60">
        <v>17762</v>
      </c>
      <c r="H1298"/>
      <c r="J1298">
        <v>73125</v>
      </c>
      <c r="N1298">
        <v>83890</v>
      </c>
      <c r="O1298">
        <f t="shared" si="502"/>
        <v>4</v>
      </c>
      <c r="P1298" s="57">
        <f t="shared" si="503"/>
        <v>1</v>
      </c>
      <c r="Q1298" s="267">
        <f t="shared" si="504"/>
        <v>48041</v>
      </c>
      <c r="R1298" s="23" t="str">
        <f t="shared" si="505"/>
        <v/>
      </c>
      <c r="S1298" s="23">
        <f t="shared" si="506"/>
        <v>17762</v>
      </c>
      <c r="T1298" s="23" t="str">
        <f t="shared" si="507"/>
        <v/>
      </c>
      <c r="U1298" t="str">
        <f t="shared" si="508"/>
        <v/>
      </c>
      <c r="X1298" s="71"/>
      <c r="Z1298" s="44"/>
      <c r="AF1298" s="22"/>
    </row>
    <row r="1299" spans="1:38">
      <c r="A1299" t="str">
        <f t="shared" si="499"/>
        <v>CA_Orang_2020g~santa ana unified school district governing board member (vote 1)</v>
      </c>
      <c r="B1299" s="55" t="s">
        <v>3536</v>
      </c>
      <c r="D1299" s="55" t="s">
        <v>3681</v>
      </c>
      <c r="E1299" s="55" t="s">
        <v>3684</v>
      </c>
      <c r="G1299" s="60">
        <v>15731</v>
      </c>
      <c r="H1299"/>
      <c r="J1299">
        <v>73125</v>
      </c>
      <c r="N1299">
        <v>83890</v>
      </c>
      <c r="O1299">
        <f t="shared" si="502"/>
        <v>5</v>
      </c>
      <c r="P1299" s="57">
        <f t="shared" si="503"/>
        <v>1</v>
      </c>
      <c r="Q1299" s="267">
        <f t="shared" si="504"/>
        <v>30279</v>
      </c>
      <c r="R1299" s="23" t="str">
        <f t="shared" si="505"/>
        <v/>
      </c>
      <c r="S1299" s="23">
        <f t="shared" si="506"/>
        <v>15731</v>
      </c>
      <c r="T1299" s="23" t="str">
        <f t="shared" si="507"/>
        <v/>
      </c>
      <c r="U1299" t="str">
        <f t="shared" si="508"/>
        <v/>
      </c>
      <c r="X1299" s="71"/>
      <c r="Z1299" s="44"/>
      <c r="AF1299" s="22"/>
    </row>
    <row r="1300" spans="1:38">
      <c r="A1300" t="str">
        <f t="shared" si="499"/>
        <v>CA_Orang_2020g~santa ana unified school district governing board member (vote 1)</v>
      </c>
      <c r="B1300" s="55" t="s">
        <v>3536</v>
      </c>
      <c r="D1300" s="55" t="s">
        <v>3681</v>
      </c>
      <c r="E1300" s="55" t="s">
        <v>3683</v>
      </c>
      <c r="G1300" s="60">
        <v>14548</v>
      </c>
      <c r="H1300"/>
      <c r="J1300">
        <v>73125</v>
      </c>
      <c r="N1300">
        <v>83890</v>
      </c>
      <c r="O1300">
        <f t="shared" si="502"/>
        <v>6</v>
      </c>
      <c r="P1300" s="57">
        <f t="shared" si="503"/>
        <v>1</v>
      </c>
      <c r="Q1300" s="267">
        <f t="shared" si="504"/>
        <v>14548</v>
      </c>
      <c r="R1300" s="23" t="str">
        <f t="shared" si="505"/>
        <v/>
      </c>
      <c r="S1300" s="23">
        <f t="shared" si="506"/>
        <v>14548</v>
      </c>
      <c r="T1300" s="23" t="str">
        <f t="shared" si="507"/>
        <v/>
      </c>
      <c r="U1300" t="str">
        <f t="shared" si="508"/>
        <v/>
      </c>
      <c r="X1300" s="71"/>
      <c r="Z1300" s="44"/>
      <c r="AF1300" s="22"/>
    </row>
    <row r="1301" spans="1:38">
      <c r="A1301" t="str">
        <f t="shared" si="499"/>
        <v>CA_Orang_2020g~santa margarita water district director (vote 1)</v>
      </c>
      <c r="B1301" s="55" t="s">
        <v>3536</v>
      </c>
      <c r="D1301" s="55" t="s">
        <v>4094</v>
      </c>
      <c r="E1301" s="55" t="s">
        <v>4095</v>
      </c>
      <c r="G1301" s="60">
        <v>47165</v>
      </c>
      <c r="H1301"/>
      <c r="J1301">
        <v>99232</v>
      </c>
      <c r="N1301">
        <v>137112</v>
      </c>
      <c r="O1301">
        <f t="shared" si="502"/>
        <v>1</v>
      </c>
      <c r="P1301" s="57">
        <f t="shared" si="503"/>
        <v>1</v>
      </c>
      <c r="Q1301" s="267">
        <f t="shared" si="504"/>
        <v>159777</v>
      </c>
      <c r="R1301" s="23">
        <f t="shared" si="505"/>
        <v>47165</v>
      </c>
      <c r="S1301" s="23">
        <f t="shared" si="506"/>
        <v>44563</v>
      </c>
      <c r="T1301" s="23">
        <f t="shared" si="507"/>
        <v>2602</v>
      </c>
      <c r="U1301" t="str">
        <f t="shared" si="508"/>
        <v>CA_Orang_2020g~santa margarita water district director (vote 1)</v>
      </c>
      <c r="X1301" s="71"/>
      <c r="Z1301" s="44"/>
      <c r="AF1301" s="22"/>
    </row>
    <row r="1302" spans="1:38">
      <c r="A1302" t="str">
        <f t="shared" si="499"/>
        <v>CA_Orang_2020g~santa margarita water district director (vote 1)</v>
      </c>
      <c r="B1302" s="55" t="s">
        <v>3536</v>
      </c>
      <c r="D1302" s="55" t="s">
        <v>4094</v>
      </c>
      <c r="E1302" s="55" t="s">
        <v>4096</v>
      </c>
      <c r="G1302" s="60">
        <v>44563</v>
      </c>
      <c r="H1302"/>
      <c r="J1302">
        <v>99232</v>
      </c>
      <c r="N1302">
        <v>137112</v>
      </c>
      <c r="O1302">
        <f t="shared" si="502"/>
        <v>2</v>
      </c>
      <c r="P1302" s="57">
        <f t="shared" si="503"/>
        <v>1</v>
      </c>
      <c r="Q1302" s="267">
        <f t="shared" si="504"/>
        <v>112612</v>
      </c>
      <c r="R1302" s="23" t="str">
        <f t="shared" si="505"/>
        <v/>
      </c>
      <c r="S1302" s="23">
        <f t="shared" si="506"/>
        <v>44563</v>
      </c>
      <c r="T1302" s="23" t="str">
        <f t="shared" si="507"/>
        <v/>
      </c>
      <c r="U1302" t="str">
        <f t="shared" si="508"/>
        <v/>
      </c>
      <c r="X1302" s="71"/>
      <c r="Z1302" s="44"/>
      <c r="AF1302" s="22"/>
    </row>
    <row r="1303" spans="1:38">
      <c r="A1303" t="str">
        <f t="shared" si="499"/>
        <v>CA_Orang_2020g~santa margarita water district director (vote 1)</v>
      </c>
      <c r="B1303" s="55" t="s">
        <v>3536</v>
      </c>
      <c r="D1303" s="55" t="s">
        <v>4094</v>
      </c>
      <c r="E1303" s="55" t="s">
        <v>4097</v>
      </c>
      <c r="G1303" s="60">
        <v>36910</v>
      </c>
      <c r="H1303"/>
      <c r="J1303">
        <v>99232</v>
      </c>
      <c r="N1303">
        <v>137112</v>
      </c>
      <c r="O1303">
        <f t="shared" si="502"/>
        <v>3</v>
      </c>
      <c r="P1303" s="57">
        <f t="shared" si="503"/>
        <v>1</v>
      </c>
      <c r="Q1303" s="267">
        <f t="shared" si="504"/>
        <v>68049</v>
      </c>
      <c r="R1303" s="23" t="str">
        <f t="shared" si="505"/>
        <v/>
      </c>
      <c r="S1303" s="23">
        <f t="shared" si="506"/>
        <v>36910</v>
      </c>
      <c r="T1303" s="23" t="str">
        <f t="shared" si="507"/>
        <v/>
      </c>
      <c r="U1303" t="str">
        <f t="shared" si="508"/>
        <v/>
      </c>
      <c r="X1303" s="71"/>
      <c r="Z1303" s="44"/>
      <c r="AF1303" s="22"/>
    </row>
    <row r="1304" spans="1:38">
      <c r="A1304" t="str">
        <f t="shared" si="499"/>
        <v>CA_Orang_2020g~santa margarita water district director (vote 1)</v>
      </c>
      <c r="B1304" s="55" t="s">
        <v>3536</v>
      </c>
      <c r="D1304" s="55" t="s">
        <v>4094</v>
      </c>
      <c r="E1304" s="55" t="s">
        <v>4098</v>
      </c>
      <c r="G1304" s="60">
        <v>31139</v>
      </c>
      <c r="H1304"/>
      <c r="J1304">
        <v>99232</v>
      </c>
      <c r="N1304">
        <v>137112</v>
      </c>
      <c r="O1304">
        <f t="shared" si="502"/>
        <v>4</v>
      </c>
      <c r="P1304" s="57">
        <f t="shared" si="503"/>
        <v>1</v>
      </c>
      <c r="Q1304" s="267">
        <f t="shared" si="504"/>
        <v>31139</v>
      </c>
      <c r="R1304" s="23" t="str">
        <f t="shared" si="505"/>
        <v/>
      </c>
      <c r="S1304" s="23">
        <f t="shared" si="506"/>
        <v>31139</v>
      </c>
      <c r="T1304" s="23" t="str">
        <f t="shared" si="507"/>
        <v/>
      </c>
      <c r="U1304" t="str">
        <f t="shared" si="508"/>
        <v/>
      </c>
      <c r="X1304" s="71"/>
      <c r="Z1304" s="44"/>
      <c r="AF1304" s="22"/>
    </row>
    <row r="1305" spans="1:38">
      <c r="A1305" t="str">
        <f t="shared" si="499"/>
        <v>CA_Orang_2020g~santiago geologic hazard abatement district director, full term (vote 1)</v>
      </c>
      <c r="B1305" s="55" t="s">
        <v>3536</v>
      </c>
      <c r="D1305" s="55" t="s">
        <v>4140</v>
      </c>
      <c r="E1305" s="55" t="s">
        <v>4141</v>
      </c>
      <c r="G1305" s="60">
        <v>248</v>
      </c>
      <c r="H1305"/>
      <c r="J1305">
        <v>568</v>
      </c>
      <c r="N1305">
        <v>487</v>
      </c>
      <c r="O1305">
        <f t="shared" si="502"/>
        <v>1</v>
      </c>
      <c r="P1305" s="57">
        <f t="shared" si="503"/>
        <v>1</v>
      </c>
      <c r="Q1305" s="267">
        <f t="shared" si="504"/>
        <v>640</v>
      </c>
      <c r="R1305" s="23">
        <f t="shared" si="505"/>
        <v>248</v>
      </c>
      <c r="S1305" s="23">
        <f t="shared" si="506"/>
        <v>205</v>
      </c>
      <c r="T1305" s="23">
        <f t="shared" si="507"/>
        <v>43</v>
      </c>
      <c r="U1305" t="str">
        <f t="shared" si="508"/>
        <v>CA_Orang_2020g~santiago geologic hazard abatement district director, full term (vote 1)</v>
      </c>
      <c r="X1305" s="71"/>
      <c r="Z1305" s="44"/>
      <c r="AF1305" s="22"/>
      <c r="AG1305" s="23"/>
      <c r="AH1305" s="8"/>
      <c r="AL1305" s="344"/>
    </row>
    <row r="1306" spans="1:38">
      <c r="A1306" t="str">
        <f t="shared" si="499"/>
        <v>CA_Orang_2020g~santiago geologic hazard abatement district director, full term (vote 1)</v>
      </c>
      <c r="B1306" s="55" t="s">
        <v>3536</v>
      </c>
      <c r="D1306" s="55" t="s">
        <v>4140</v>
      </c>
      <c r="E1306" s="55" t="s">
        <v>4142</v>
      </c>
      <c r="G1306" s="60">
        <v>205</v>
      </c>
      <c r="H1306"/>
      <c r="J1306">
        <v>568</v>
      </c>
      <c r="N1306">
        <v>487</v>
      </c>
      <c r="O1306">
        <f t="shared" si="502"/>
        <v>2</v>
      </c>
      <c r="P1306" s="57">
        <f t="shared" si="503"/>
        <v>1</v>
      </c>
      <c r="Q1306" s="267">
        <f t="shared" si="504"/>
        <v>392</v>
      </c>
      <c r="R1306" s="23" t="str">
        <f t="shared" si="505"/>
        <v/>
      </c>
      <c r="S1306" s="23">
        <f t="shared" si="506"/>
        <v>205</v>
      </c>
      <c r="T1306" s="23" t="str">
        <f t="shared" si="507"/>
        <v/>
      </c>
      <c r="U1306" t="str">
        <f t="shared" si="508"/>
        <v/>
      </c>
      <c r="X1306" s="71"/>
      <c r="Z1306" s="44"/>
      <c r="AF1306" s="22"/>
    </row>
    <row r="1307" spans="1:38">
      <c r="A1307" t="str">
        <f t="shared" si="499"/>
        <v>CA_Orang_2020g~santiago geologic hazard abatement district director, full term (vote 1)</v>
      </c>
      <c r="B1307" s="55" t="s">
        <v>3536</v>
      </c>
      <c r="D1307" s="55" t="s">
        <v>4140</v>
      </c>
      <c r="E1307" s="55" t="s">
        <v>4143</v>
      </c>
      <c r="G1307" s="60">
        <v>187</v>
      </c>
      <c r="H1307"/>
      <c r="J1307">
        <v>568</v>
      </c>
      <c r="N1307">
        <v>487</v>
      </c>
      <c r="O1307">
        <f t="shared" si="502"/>
        <v>3</v>
      </c>
      <c r="P1307" s="57">
        <f t="shared" si="503"/>
        <v>1</v>
      </c>
      <c r="Q1307" s="267">
        <f t="shared" si="504"/>
        <v>187</v>
      </c>
      <c r="R1307" s="23" t="str">
        <f t="shared" si="505"/>
        <v/>
      </c>
      <c r="S1307" s="23">
        <f t="shared" si="506"/>
        <v>187</v>
      </c>
      <c r="T1307" s="23" t="str">
        <f t="shared" si="507"/>
        <v/>
      </c>
      <c r="U1307" t="str">
        <f t="shared" si="508"/>
        <v/>
      </c>
      <c r="X1307" s="71"/>
      <c r="Z1307" s="44"/>
      <c r="AF1307" s="22"/>
      <c r="AH1307" s="8"/>
      <c r="AL1307" s="23"/>
    </row>
    <row r="1308" spans="1:38">
      <c r="A1308" t="str">
        <f t="shared" si="499"/>
        <v>CA_Orang_2020g~s-city of fullerton, community services, street repair, and emergency response measure (vote 1)</v>
      </c>
      <c r="B1308" s="55" t="s">
        <v>3536</v>
      </c>
      <c r="D1308" s="55" t="s">
        <v>4158</v>
      </c>
      <c r="E1308" s="55" t="s">
        <v>1394</v>
      </c>
      <c r="G1308" s="60">
        <v>35901</v>
      </c>
      <c r="H1308"/>
      <c r="J1308">
        <v>65048</v>
      </c>
      <c r="N1308">
        <v>2204</v>
      </c>
      <c r="O1308">
        <f t="shared" si="502"/>
        <v>1</v>
      </c>
      <c r="P1308" s="57">
        <f t="shared" si="503"/>
        <v>1</v>
      </c>
      <c r="Q1308" s="267">
        <f t="shared" si="504"/>
        <v>62804</v>
      </c>
      <c r="R1308" s="23">
        <f t="shared" si="505"/>
        <v>35901</v>
      </c>
      <c r="S1308" s="23">
        <f t="shared" si="506"/>
        <v>26903</v>
      </c>
      <c r="T1308" s="23">
        <f t="shared" si="507"/>
        <v>8998</v>
      </c>
      <c r="U1308" t="str">
        <f t="shared" si="508"/>
        <v>CA_Orang_2020g~s-city of fullerton, community services, street repair, and emergency response measure (vote 1)</v>
      </c>
      <c r="X1308" s="71"/>
      <c r="Z1308" s="44"/>
      <c r="AF1308" s="22"/>
      <c r="AG1308" s="23"/>
      <c r="AH1308" s="8"/>
      <c r="AL1308" s="344"/>
    </row>
    <row r="1309" spans="1:38">
      <c r="A1309" t="str">
        <f t="shared" si="499"/>
        <v>CA_Orang_2020g~s-city of fullerton, community services, street repair, and emergency response measure (vote 1)</v>
      </c>
      <c r="B1309" s="55" t="s">
        <v>3536</v>
      </c>
      <c r="D1309" s="55" t="s">
        <v>4158</v>
      </c>
      <c r="E1309" s="55" t="s">
        <v>1393</v>
      </c>
      <c r="G1309" s="60">
        <v>26903</v>
      </c>
      <c r="H1309"/>
      <c r="J1309">
        <v>65048</v>
      </c>
      <c r="N1309">
        <v>2204</v>
      </c>
      <c r="O1309">
        <f t="shared" si="502"/>
        <v>2</v>
      </c>
      <c r="P1309" s="57">
        <f t="shared" si="503"/>
        <v>1</v>
      </c>
      <c r="Q1309" s="267">
        <f t="shared" si="504"/>
        <v>26903</v>
      </c>
      <c r="R1309" s="23" t="str">
        <f t="shared" si="505"/>
        <v/>
      </c>
      <c r="S1309" s="23">
        <f t="shared" si="506"/>
        <v>26903</v>
      </c>
      <c r="T1309" s="23" t="str">
        <f t="shared" si="507"/>
        <v/>
      </c>
      <c r="U1309" t="str">
        <f t="shared" si="508"/>
        <v/>
      </c>
      <c r="X1309" s="71"/>
      <c r="Z1309" s="44"/>
      <c r="AF1309" s="22"/>
    </row>
    <row r="1310" spans="1:38">
      <c r="A1310" t="str">
        <f t="shared" si="499"/>
        <v>CA_Orang_2020g~silverado-modjeska recreation and park district director (vote 1)</v>
      </c>
      <c r="B1310" s="55" t="s">
        <v>3536</v>
      </c>
      <c r="D1310" s="55" t="s">
        <v>4067</v>
      </c>
      <c r="E1310" s="55" t="s">
        <v>4070</v>
      </c>
      <c r="G1310" s="60">
        <v>548</v>
      </c>
      <c r="H1310"/>
      <c r="J1310">
        <v>1170</v>
      </c>
      <c r="N1310">
        <v>806</v>
      </c>
      <c r="O1310">
        <f t="shared" si="502"/>
        <v>1</v>
      </c>
      <c r="P1310" s="57">
        <f t="shared" si="503"/>
        <v>1</v>
      </c>
      <c r="Q1310" s="267">
        <f t="shared" si="504"/>
        <v>1522</v>
      </c>
      <c r="R1310" s="23">
        <f t="shared" si="505"/>
        <v>548</v>
      </c>
      <c r="S1310" s="23">
        <f t="shared" si="506"/>
        <v>522</v>
      </c>
      <c r="T1310" s="23">
        <f t="shared" si="507"/>
        <v>26</v>
      </c>
      <c r="U1310" t="str">
        <f t="shared" si="508"/>
        <v>CA_Orang_2020g~silverado-modjeska recreation and park district director (vote 1)</v>
      </c>
      <c r="X1310" s="71"/>
      <c r="Z1310" s="44"/>
      <c r="AF1310" s="22"/>
      <c r="AG1310" s="23"/>
      <c r="AH1310" s="8"/>
      <c r="AL1310" s="344"/>
    </row>
    <row r="1311" spans="1:38">
      <c r="A1311" t="str">
        <f t="shared" si="499"/>
        <v>CA_Orang_2020g~silverado-modjeska recreation and park district director (vote 1)</v>
      </c>
      <c r="B1311" s="55" t="s">
        <v>3536</v>
      </c>
      <c r="D1311" s="55" t="s">
        <v>4067</v>
      </c>
      <c r="E1311" s="55" t="s">
        <v>4069</v>
      </c>
      <c r="G1311" s="60">
        <v>522</v>
      </c>
      <c r="H1311"/>
      <c r="J1311">
        <v>1170</v>
      </c>
      <c r="N1311">
        <v>806</v>
      </c>
      <c r="O1311">
        <f t="shared" si="502"/>
        <v>2</v>
      </c>
      <c r="P1311" s="57">
        <f t="shared" si="503"/>
        <v>1</v>
      </c>
      <c r="Q1311" s="267">
        <f t="shared" si="504"/>
        <v>974</v>
      </c>
      <c r="R1311" s="23" t="str">
        <f t="shared" si="505"/>
        <v/>
      </c>
      <c r="S1311" s="23">
        <f t="shared" si="506"/>
        <v>522</v>
      </c>
      <c r="T1311" s="23" t="str">
        <f t="shared" si="507"/>
        <v/>
      </c>
      <c r="U1311" t="str">
        <f t="shared" si="508"/>
        <v/>
      </c>
      <c r="X1311" s="71"/>
      <c r="Z1311" s="44"/>
      <c r="AF1311" s="22"/>
    </row>
    <row r="1312" spans="1:38">
      <c r="A1312" t="str">
        <f t="shared" si="499"/>
        <v>CA_Orang_2020g~silverado-modjeska recreation and park district director (vote 1)</v>
      </c>
      <c r="B1312" s="55" t="s">
        <v>3536</v>
      </c>
      <c r="D1312" s="55" t="s">
        <v>4067</v>
      </c>
      <c r="E1312" s="55" t="s">
        <v>4068</v>
      </c>
      <c r="G1312" s="60">
        <v>452</v>
      </c>
      <c r="H1312"/>
      <c r="J1312">
        <v>1170</v>
      </c>
      <c r="N1312">
        <v>806</v>
      </c>
      <c r="O1312">
        <f t="shared" si="502"/>
        <v>3</v>
      </c>
      <c r="P1312" s="57">
        <f t="shared" si="503"/>
        <v>1</v>
      </c>
      <c r="Q1312" s="267">
        <f t="shared" si="504"/>
        <v>452</v>
      </c>
      <c r="R1312" s="23" t="str">
        <f t="shared" si="505"/>
        <v/>
      </c>
      <c r="S1312" s="23">
        <f t="shared" si="506"/>
        <v>452</v>
      </c>
      <c r="T1312" s="23" t="str">
        <f t="shared" si="507"/>
        <v/>
      </c>
      <c r="U1312" t="str">
        <f t="shared" si="508"/>
        <v/>
      </c>
      <c r="X1312" s="71"/>
      <c r="Z1312" s="44"/>
      <c r="AF1312" s="22"/>
    </row>
    <row r="1313" spans="1:45">
      <c r="A1313" t="str">
        <f t="shared" si="499"/>
        <v>CA_Orang_2020g~south coast water district director (vote 1)</v>
      </c>
      <c r="B1313" s="55" t="s">
        <v>3536</v>
      </c>
      <c r="D1313" s="55" t="s">
        <v>4114</v>
      </c>
      <c r="E1313" s="55" t="s">
        <v>4117</v>
      </c>
      <c r="G1313" s="60">
        <v>8111</v>
      </c>
      <c r="H1313"/>
      <c r="J1313">
        <v>22046</v>
      </c>
      <c r="N1313">
        <v>31819</v>
      </c>
      <c r="O1313">
        <f t="shared" si="502"/>
        <v>1</v>
      </c>
      <c r="P1313" s="57">
        <f t="shared" si="503"/>
        <v>1</v>
      </c>
      <c r="Q1313" s="267">
        <f t="shared" si="504"/>
        <v>34123</v>
      </c>
      <c r="R1313" s="23">
        <f t="shared" si="505"/>
        <v>8111</v>
      </c>
      <c r="S1313" s="23">
        <f t="shared" si="506"/>
        <v>7022</v>
      </c>
      <c r="T1313" s="23">
        <f t="shared" si="507"/>
        <v>1089</v>
      </c>
      <c r="U1313" t="str">
        <f t="shared" si="508"/>
        <v>CA_Orang_2020g~south coast water district director (vote 1)</v>
      </c>
      <c r="X1313" s="71"/>
      <c r="Z1313" s="44"/>
      <c r="AF1313" s="22"/>
    </row>
    <row r="1314" spans="1:45">
      <c r="A1314" t="str">
        <f t="shared" si="499"/>
        <v>CA_Orang_2020g~south coast water district director (vote 1)</v>
      </c>
      <c r="B1314" s="55" t="s">
        <v>3536</v>
      </c>
      <c r="D1314" s="55" t="s">
        <v>4114</v>
      </c>
      <c r="E1314" s="55" t="s">
        <v>4116</v>
      </c>
      <c r="G1314" s="60">
        <v>7022</v>
      </c>
      <c r="H1314"/>
      <c r="J1314">
        <v>22046</v>
      </c>
      <c r="N1314">
        <v>31819</v>
      </c>
      <c r="O1314">
        <f t="shared" si="502"/>
        <v>2</v>
      </c>
      <c r="P1314" s="57">
        <f t="shared" si="503"/>
        <v>1</v>
      </c>
      <c r="Q1314" s="267">
        <f t="shared" si="504"/>
        <v>26012</v>
      </c>
      <c r="R1314" s="23" t="str">
        <f t="shared" si="505"/>
        <v/>
      </c>
      <c r="S1314" s="23">
        <f t="shared" si="506"/>
        <v>7022</v>
      </c>
      <c r="T1314" s="23" t="str">
        <f t="shared" si="507"/>
        <v/>
      </c>
      <c r="U1314" t="str">
        <f t="shared" si="508"/>
        <v/>
      </c>
      <c r="X1314" s="71"/>
      <c r="Z1314" s="44"/>
      <c r="AF1314" s="22"/>
      <c r="AH1314" s="8"/>
      <c r="AL1314" s="23"/>
    </row>
    <row r="1315" spans="1:45">
      <c r="A1315" t="str">
        <f t="shared" si="499"/>
        <v>CA_Orang_2020g~south coast water district director (vote 1)</v>
      </c>
      <c r="B1315" s="55" t="s">
        <v>3536</v>
      </c>
      <c r="D1315" s="55" t="s">
        <v>4114</v>
      </c>
      <c r="E1315" s="55" t="s">
        <v>4118</v>
      </c>
      <c r="G1315" s="60">
        <v>6613</v>
      </c>
      <c r="H1315"/>
      <c r="J1315">
        <v>22046</v>
      </c>
      <c r="N1315">
        <v>31819</v>
      </c>
      <c r="O1315">
        <f t="shared" si="502"/>
        <v>3</v>
      </c>
      <c r="P1315" s="57">
        <f t="shared" si="503"/>
        <v>1</v>
      </c>
      <c r="Q1315" s="267">
        <f t="shared" si="504"/>
        <v>18990</v>
      </c>
      <c r="R1315" s="23" t="str">
        <f t="shared" si="505"/>
        <v/>
      </c>
      <c r="S1315" s="23">
        <f t="shared" si="506"/>
        <v>6613</v>
      </c>
      <c r="T1315" s="23" t="str">
        <f t="shared" si="507"/>
        <v/>
      </c>
      <c r="U1315" t="str">
        <f t="shared" si="508"/>
        <v/>
      </c>
      <c r="X1315" s="71"/>
      <c r="Z1315" s="44"/>
      <c r="AF1315" s="22"/>
    </row>
    <row r="1316" spans="1:45">
      <c r="A1316" t="str">
        <f t="shared" si="499"/>
        <v>CA_Orang_2020g~south coast water district director (vote 1)</v>
      </c>
      <c r="B1316" s="55" t="s">
        <v>3536</v>
      </c>
      <c r="D1316" s="55" t="s">
        <v>4114</v>
      </c>
      <c r="E1316" s="55" t="s">
        <v>4119</v>
      </c>
      <c r="G1316" s="60">
        <v>6422</v>
      </c>
      <c r="H1316"/>
      <c r="J1316">
        <v>22046</v>
      </c>
      <c r="N1316">
        <v>31819</v>
      </c>
      <c r="O1316">
        <f t="shared" si="502"/>
        <v>4</v>
      </c>
      <c r="P1316" s="57">
        <f t="shared" si="503"/>
        <v>1</v>
      </c>
      <c r="Q1316" s="267">
        <f t="shared" si="504"/>
        <v>12377</v>
      </c>
      <c r="R1316" s="23" t="str">
        <f t="shared" si="505"/>
        <v/>
      </c>
      <c r="S1316" s="23">
        <f t="shared" si="506"/>
        <v>6422</v>
      </c>
      <c r="T1316" s="23" t="str">
        <f t="shared" si="507"/>
        <v/>
      </c>
      <c r="U1316" t="str">
        <f t="shared" si="508"/>
        <v/>
      </c>
      <c r="X1316" s="71"/>
      <c r="Z1316" s="44"/>
      <c r="AF1316" s="22"/>
    </row>
    <row r="1317" spans="1:45">
      <c r="A1317" t="str">
        <f t="shared" si="499"/>
        <v>CA_Orang_2020g~south coast water district director (vote 1)</v>
      </c>
      <c r="B1317" s="55" t="s">
        <v>3536</v>
      </c>
      <c r="D1317" s="55" t="s">
        <v>4114</v>
      </c>
      <c r="E1317" s="55" t="s">
        <v>4115</v>
      </c>
      <c r="G1317" s="60">
        <v>5955</v>
      </c>
      <c r="H1317"/>
      <c r="J1317">
        <v>22046</v>
      </c>
      <c r="N1317">
        <v>31819</v>
      </c>
      <c r="O1317">
        <f t="shared" si="502"/>
        <v>5</v>
      </c>
      <c r="P1317" s="57">
        <f t="shared" si="503"/>
        <v>1</v>
      </c>
      <c r="Q1317" s="267">
        <f t="shared" si="504"/>
        <v>5955</v>
      </c>
      <c r="R1317" s="23" t="str">
        <f t="shared" si="505"/>
        <v/>
      </c>
      <c r="S1317" s="23">
        <f t="shared" si="506"/>
        <v>5955</v>
      </c>
      <c r="T1317" s="23" t="str">
        <f t="shared" si="507"/>
        <v/>
      </c>
      <c r="U1317" t="str">
        <f t="shared" si="508"/>
        <v/>
      </c>
      <c r="X1317" s="71"/>
      <c r="Z1317" s="44"/>
      <c r="AF1317" s="22"/>
    </row>
    <row r="1318" spans="1:45">
      <c r="A1318" t="str">
        <f t="shared" ref="A1318:A1370" si="509">CONCATENATE(B1318,"~",LOWER(D1318),IF(RIGHT(D1318,1)=")",""," (vote 1)"))</f>
        <v>CA_Orang_2020g~south orange county community college district governing board member, trustee area 1 (vote 1)</v>
      </c>
      <c r="B1318" s="55" t="s">
        <v>3536</v>
      </c>
      <c r="D1318" s="55" t="s">
        <v>3588</v>
      </c>
      <c r="E1318" s="55" t="s">
        <v>3589</v>
      </c>
      <c r="G1318" s="60">
        <v>194719</v>
      </c>
      <c r="H1318"/>
      <c r="J1318">
        <v>557409</v>
      </c>
      <c r="N1318">
        <v>136309</v>
      </c>
      <c r="O1318">
        <f t="shared" si="502"/>
        <v>1</v>
      </c>
      <c r="P1318" s="57">
        <f t="shared" si="503"/>
        <v>1</v>
      </c>
      <c r="Q1318" s="267">
        <f t="shared" si="504"/>
        <v>418219</v>
      </c>
      <c r="R1318" s="23">
        <f t="shared" si="505"/>
        <v>194719</v>
      </c>
      <c r="S1318" s="23">
        <f t="shared" si="506"/>
        <v>121487</v>
      </c>
      <c r="T1318" s="23">
        <f t="shared" si="507"/>
        <v>73232</v>
      </c>
      <c r="U1318" t="str">
        <f t="shared" si="508"/>
        <v>CA_Orang_2020g~south orange county community college district governing board member, trustee area 1 (vote 1)</v>
      </c>
      <c r="X1318" s="71"/>
      <c r="Z1318" s="44"/>
      <c r="AF1318" s="22"/>
    </row>
    <row r="1319" spans="1:45">
      <c r="A1319" t="str">
        <f t="shared" si="509"/>
        <v>CA_Orang_2020g~south orange county community college district governing board member, trustee area 1 (vote 1)</v>
      </c>
      <c r="B1319" s="55" t="s">
        <v>3536</v>
      </c>
      <c r="D1319" s="55" t="s">
        <v>3588</v>
      </c>
      <c r="E1319" s="55" t="s">
        <v>3590</v>
      </c>
      <c r="G1319" s="60">
        <v>121487</v>
      </c>
      <c r="H1319"/>
      <c r="J1319">
        <v>557409</v>
      </c>
      <c r="N1319">
        <v>136309</v>
      </c>
      <c r="O1319">
        <f t="shared" si="502"/>
        <v>2</v>
      </c>
      <c r="P1319" s="57">
        <f t="shared" si="503"/>
        <v>1</v>
      </c>
      <c r="Q1319" s="267">
        <f t="shared" si="504"/>
        <v>223500</v>
      </c>
      <c r="R1319" s="23" t="str">
        <f t="shared" si="505"/>
        <v/>
      </c>
      <c r="S1319" s="23">
        <f t="shared" si="506"/>
        <v>121487</v>
      </c>
      <c r="T1319" s="23" t="str">
        <f t="shared" si="507"/>
        <v/>
      </c>
      <c r="U1319" t="str">
        <f t="shared" si="508"/>
        <v/>
      </c>
      <c r="X1319" s="71"/>
      <c r="Z1319" s="44"/>
      <c r="AF1319" s="22"/>
    </row>
    <row r="1320" spans="1:45">
      <c r="A1320" t="str">
        <f t="shared" si="509"/>
        <v>CA_Orang_2020g~south orange county community college district governing board member, trustee area 1 (vote 1)</v>
      </c>
      <c r="B1320" s="55" t="s">
        <v>3536</v>
      </c>
      <c r="D1320" s="55" t="s">
        <v>3588</v>
      </c>
      <c r="E1320" s="55" t="s">
        <v>3443</v>
      </c>
      <c r="G1320" s="60">
        <v>63076</v>
      </c>
      <c r="H1320"/>
      <c r="J1320">
        <v>557409</v>
      </c>
      <c r="N1320">
        <v>136309</v>
      </c>
      <c r="O1320">
        <f t="shared" si="502"/>
        <v>3</v>
      </c>
      <c r="P1320" s="57">
        <f t="shared" si="503"/>
        <v>1</v>
      </c>
      <c r="Q1320" s="267">
        <f t="shared" si="504"/>
        <v>102013</v>
      </c>
      <c r="R1320" s="23" t="str">
        <f t="shared" si="505"/>
        <v/>
      </c>
      <c r="S1320" s="23">
        <f t="shared" si="506"/>
        <v>63076</v>
      </c>
      <c r="T1320" s="23" t="str">
        <f t="shared" si="507"/>
        <v/>
      </c>
      <c r="U1320" t="str">
        <f t="shared" si="508"/>
        <v/>
      </c>
      <c r="X1320" s="71"/>
      <c r="Z1320" s="44"/>
      <c r="AF1320" s="22"/>
    </row>
    <row r="1321" spans="1:45">
      <c r="A1321" t="str">
        <f t="shared" si="509"/>
        <v>CA_Orang_2020g~south orange county community college district governing board member, trustee area 1 (vote 1)</v>
      </c>
      <c r="B1321" s="55" t="s">
        <v>3536</v>
      </c>
      <c r="D1321" s="55" t="s">
        <v>3588</v>
      </c>
      <c r="E1321" s="55" t="s">
        <v>3591</v>
      </c>
      <c r="G1321" s="60">
        <v>38937</v>
      </c>
      <c r="H1321"/>
      <c r="J1321">
        <v>557409</v>
      </c>
      <c r="N1321">
        <v>136309</v>
      </c>
      <c r="O1321">
        <f t="shared" si="502"/>
        <v>4</v>
      </c>
      <c r="P1321" s="57">
        <f t="shared" si="503"/>
        <v>1</v>
      </c>
      <c r="Q1321" s="267">
        <f t="shared" si="504"/>
        <v>38937</v>
      </c>
      <c r="R1321" s="23" t="str">
        <f t="shared" si="505"/>
        <v/>
      </c>
      <c r="S1321" s="23">
        <f t="shared" si="506"/>
        <v>38937</v>
      </c>
      <c r="T1321" s="23" t="str">
        <f t="shared" si="507"/>
        <v/>
      </c>
      <c r="U1321" t="str">
        <f t="shared" si="508"/>
        <v/>
      </c>
      <c r="X1321" s="71"/>
      <c r="Z1321" s="44"/>
      <c r="AF1321" s="22"/>
    </row>
    <row r="1322" spans="1:45">
      <c r="A1322" t="str">
        <f t="shared" si="509"/>
        <v>CA_Orang_2020g~south orange county community college district governing board member, trustee area 6 (vote 1)</v>
      </c>
      <c r="B1322" s="55" t="s">
        <v>3536</v>
      </c>
      <c r="D1322" s="55" t="s">
        <v>3592</v>
      </c>
      <c r="E1322" s="55" t="s">
        <v>3593</v>
      </c>
      <c r="G1322" s="60">
        <v>241398</v>
      </c>
      <c r="H1322"/>
      <c r="J1322">
        <v>557409</v>
      </c>
      <c r="N1322">
        <v>144214</v>
      </c>
      <c r="O1322">
        <f t="shared" si="502"/>
        <v>1</v>
      </c>
      <c r="P1322" s="57">
        <f t="shared" si="503"/>
        <v>1</v>
      </c>
      <c r="Q1322" s="267">
        <f t="shared" si="504"/>
        <v>410315</v>
      </c>
      <c r="R1322" s="23">
        <f t="shared" si="505"/>
        <v>241398</v>
      </c>
      <c r="S1322" s="23">
        <f t="shared" si="506"/>
        <v>168917</v>
      </c>
      <c r="T1322" s="23">
        <f t="shared" si="507"/>
        <v>72481</v>
      </c>
      <c r="U1322" t="str">
        <f t="shared" si="508"/>
        <v>CA_Orang_2020g~south orange county community college district governing board member, trustee area 6 (vote 1)</v>
      </c>
      <c r="X1322" s="71"/>
      <c r="Z1322" s="44"/>
      <c r="AF1322" s="22"/>
    </row>
    <row r="1323" spans="1:45">
      <c r="A1323" t="str">
        <f t="shared" si="509"/>
        <v>CA_Orang_2020g~south orange county community college district governing board member, trustee area 6 (vote 1)</v>
      </c>
      <c r="B1323" s="55" t="s">
        <v>3536</v>
      </c>
      <c r="D1323" s="55" t="s">
        <v>3592</v>
      </c>
      <c r="E1323" s="55" t="s">
        <v>3594</v>
      </c>
      <c r="G1323" s="60">
        <v>168917</v>
      </c>
      <c r="H1323"/>
      <c r="J1323">
        <v>557409</v>
      </c>
      <c r="N1323">
        <v>144214</v>
      </c>
      <c r="O1323">
        <f t="shared" si="502"/>
        <v>2</v>
      </c>
      <c r="P1323" s="57">
        <f t="shared" si="503"/>
        <v>1</v>
      </c>
      <c r="Q1323" s="267">
        <f t="shared" si="504"/>
        <v>168917</v>
      </c>
      <c r="R1323" s="23" t="str">
        <f t="shared" si="505"/>
        <v/>
      </c>
      <c r="S1323" s="23">
        <f t="shared" si="506"/>
        <v>168917</v>
      </c>
      <c r="T1323" s="23" t="str">
        <f t="shared" si="507"/>
        <v/>
      </c>
      <c r="U1323" t="str">
        <f t="shared" si="508"/>
        <v/>
      </c>
      <c r="X1323" s="71"/>
      <c r="Z1323" s="44"/>
      <c r="AF1323" s="22"/>
      <c r="AO1323" s="356"/>
      <c r="AP1323" s="356"/>
      <c r="AQ1323" s="394"/>
      <c r="AR1323" s="394"/>
      <c r="AS1323" s="394"/>
    </row>
    <row r="1324" spans="1:45">
      <c r="A1324" t="str">
        <f t="shared" si="509"/>
        <v>CA_Orang_2020g~south orange county community college district governing board member, trustee area 7 (vote 1)</v>
      </c>
      <c r="B1324" s="55" t="s">
        <v>3536</v>
      </c>
      <c r="D1324" s="55" t="s">
        <v>3595</v>
      </c>
      <c r="E1324" s="55" t="s">
        <v>3596</v>
      </c>
      <c r="G1324" s="60">
        <v>210367</v>
      </c>
      <c r="H1324"/>
      <c r="J1324">
        <v>557409</v>
      </c>
      <c r="N1324">
        <v>151285</v>
      </c>
      <c r="O1324">
        <f t="shared" si="502"/>
        <v>1</v>
      </c>
      <c r="P1324" s="57">
        <f t="shared" si="503"/>
        <v>1</v>
      </c>
      <c r="Q1324" s="267">
        <f t="shared" si="504"/>
        <v>403151</v>
      </c>
      <c r="R1324" s="23">
        <f t="shared" si="505"/>
        <v>210367</v>
      </c>
      <c r="S1324" s="23">
        <f t="shared" si="506"/>
        <v>119125</v>
      </c>
      <c r="T1324" s="23">
        <f t="shared" si="507"/>
        <v>91242</v>
      </c>
      <c r="U1324" t="str">
        <f t="shared" si="508"/>
        <v>CA_Orang_2020g~south orange county community college district governing board member, trustee area 7 (vote 1)</v>
      </c>
      <c r="X1324" s="71"/>
      <c r="Z1324" s="44"/>
      <c r="AF1324" s="22"/>
    </row>
    <row r="1325" spans="1:45">
      <c r="A1325" t="str">
        <f t="shared" si="509"/>
        <v>CA_Orang_2020g~south orange county community college district governing board member, trustee area 7 (vote 1)</v>
      </c>
      <c r="B1325" s="55" t="s">
        <v>3536</v>
      </c>
      <c r="D1325" s="55" t="s">
        <v>3595</v>
      </c>
      <c r="E1325" s="55" t="s">
        <v>3598</v>
      </c>
      <c r="G1325" s="60">
        <v>119125</v>
      </c>
      <c r="H1325"/>
      <c r="J1325">
        <v>557409</v>
      </c>
      <c r="N1325">
        <v>151285</v>
      </c>
      <c r="O1325">
        <f t="shared" si="502"/>
        <v>2</v>
      </c>
      <c r="P1325" s="57">
        <f t="shared" si="503"/>
        <v>1</v>
      </c>
      <c r="Q1325" s="267">
        <f t="shared" si="504"/>
        <v>192784</v>
      </c>
      <c r="R1325" s="23" t="str">
        <f t="shared" si="505"/>
        <v/>
      </c>
      <c r="S1325" s="23">
        <f t="shared" si="506"/>
        <v>119125</v>
      </c>
      <c r="T1325" s="23" t="str">
        <f t="shared" si="507"/>
        <v/>
      </c>
      <c r="U1325" t="str">
        <f t="shared" si="508"/>
        <v/>
      </c>
      <c r="X1325" s="71"/>
      <c r="Z1325" s="44"/>
      <c r="AF1325" s="22"/>
      <c r="AG1325" s="295"/>
      <c r="AH1325" s="294"/>
      <c r="AI1325" s="279"/>
      <c r="AJ1325" s="279"/>
      <c r="AL1325" s="341"/>
    </row>
    <row r="1326" spans="1:45">
      <c r="A1326" t="str">
        <f t="shared" si="509"/>
        <v>CA_Orang_2020g~south orange county community college district governing board member, trustee area 7 (vote 1)</v>
      </c>
      <c r="B1326" s="55" t="s">
        <v>3536</v>
      </c>
      <c r="D1326" s="55" t="s">
        <v>3595</v>
      </c>
      <c r="E1326" s="55" t="s">
        <v>3597</v>
      </c>
      <c r="G1326" s="60">
        <v>73659</v>
      </c>
      <c r="H1326"/>
      <c r="J1326">
        <v>557409</v>
      </c>
      <c r="N1326">
        <v>151285</v>
      </c>
      <c r="O1326">
        <f t="shared" si="502"/>
        <v>3</v>
      </c>
      <c r="P1326" s="57">
        <f t="shared" si="503"/>
        <v>1</v>
      </c>
      <c r="Q1326" s="267">
        <f t="shared" si="504"/>
        <v>73659</v>
      </c>
      <c r="R1326" s="23" t="str">
        <f t="shared" si="505"/>
        <v/>
      </c>
      <c r="S1326" s="23">
        <f t="shared" si="506"/>
        <v>73659</v>
      </c>
      <c r="T1326" s="23" t="str">
        <f t="shared" si="507"/>
        <v/>
      </c>
      <c r="U1326" t="str">
        <f t="shared" si="508"/>
        <v/>
      </c>
      <c r="X1326" s="71"/>
      <c r="Z1326" s="44"/>
      <c r="AF1326" s="22"/>
      <c r="AH1326" s="8"/>
    </row>
    <row r="1327" spans="1:45">
      <c r="A1327" t="str">
        <f t="shared" si="509"/>
        <v>CA_Orang_2020g~state senator 29th district (vote 1)</v>
      </c>
      <c r="B1327" s="55" t="s">
        <v>3536</v>
      </c>
      <c r="D1327" s="55" t="s">
        <v>3274</v>
      </c>
      <c r="E1327" s="55" t="s">
        <v>3275</v>
      </c>
      <c r="F1327" t="s">
        <v>1294</v>
      </c>
      <c r="G1327" s="60">
        <v>159845</v>
      </c>
      <c r="H1327"/>
      <c r="J1327">
        <v>321421</v>
      </c>
      <c r="N1327">
        <v>11490</v>
      </c>
      <c r="O1327">
        <f t="shared" si="502"/>
        <v>1</v>
      </c>
      <c r="P1327" s="57">
        <f t="shared" si="503"/>
        <v>1</v>
      </c>
      <c r="Q1327" s="267">
        <f t="shared" si="504"/>
        <v>309880</v>
      </c>
      <c r="R1327" s="23">
        <f t="shared" si="505"/>
        <v>159845</v>
      </c>
      <c r="S1327" s="23">
        <f t="shared" si="506"/>
        <v>150035</v>
      </c>
      <c r="T1327" s="23">
        <f t="shared" si="507"/>
        <v>9810</v>
      </c>
      <c r="U1327" t="str">
        <f t="shared" si="508"/>
        <v>CA_Orang_2020g~state senator 29th district (vote 1)</v>
      </c>
      <c r="X1327" s="71"/>
      <c r="Z1327" s="44"/>
      <c r="AF1327" s="22"/>
    </row>
    <row r="1328" spans="1:45">
      <c r="A1328" t="str">
        <f t="shared" si="509"/>
        <v>CA_Orang_2020g~state senator 29th district (vote 1)</v>
      </c>
      <c r="B1328" s="55" t="s">
        <v>3536</v>
      </c>
      <c r="D1328" s="55" t="s">
        <v>3274</v>
      </c>
      <c r="E1328" s="55" t="s">
        <v>3556</v>
      </c>
      <c r="F1328" t="s">
        <v>1296</v>
      </c>
      <c r="G1328" s="60">
        <v>150035</v>
      </c>
      <c r="H1328"/>
      <c r="J1328">
        <v>321421</v>
      </c>
      <c r="N1328">
        <v>11490</v>
      </c>
      <c r="O1328">
        <f t="shared" si="502"/>
        <v>2</v>
      </c>
      <c r="P1328" s="57">
        <f t="shared" si="503"/>
        <v>1</v>
      </c>
      <c r="Q1328" s="267">
        <f t="shared" si="504"/>
        <v>150035</v>
      </c>
      <c r="R1328" s="23" t="str">
        <f t="shared" si="505"/>
        <v/>
      </c>
      <c r="S1328" s="23">
        <f t="shared" si="506"/>
        <v>150035</v>
      </c>
      <c r="T1328" s="23" t="str">
        <f t="shared" si="507"/>
        <v/>
      </c>
      <c r="U1328" t="str">
        <f t="shared" si="508"/>
        <v/>
      </c>
      <c r="X1328" s="71"/>
      <c r="Z1328" s="44"/>
      <c r="AF1328" s="22"/>
      <c r="AG1328" s="259"/>
      <c r="AH1328" s="276"/>
      <c r="AI1328" s="277"/>
      <c r="AJ1328" s="278"/>
    </row>
    <row r="1329" spans="1:45">
      <c r="A1329" t="str">
        <f t="shared" si="509"/>
        <v>CA_Orang_2020g~state senator 37th district (vote 1)</v>
      </c>
      <c r="B1329" s="55" t="s">
        <v>3536</v>
      </c>
      <c r="D1329" s="55" t="s">
        <v>3278</v>
      </c>
      <c r="E1329" s="55" t="s">
        <v>3280</v>
      </c>
      <c r="F1329" t="s">
        <v>1294</v>
      </c>
      <c r="G1329" s="60">
        <v>270522</v>
      </c>
      <c r="H1329"/>
      <c r="J1329">
        <v>549775</v>
      </c>
      <c r="N1329">
        <v>20785</v>
      </c>
      <c r="O1329">
        <f t="shared" si="502"/>
        <v>1</v>
      </c>
      <c r="P1329" s="57">
        <f t="shared" si="503"/>
        <v>1</v>
      </c>
      <c r="Q1329" s="267">
        <f t="shared" si="504"/>
        <v>528943</v>
      </c>
      <c r="R1329" s="23">
        <f t="shared" si="505"/>
        <v>270522</v>
      </c>
      <c r="S1329" s="23">
        <f t="shared" si="506"/>
        <v>258421</v>
      </c>
      <c r="T1329" s="23">
        <f t="shared" si="507"/>
        <v>12101</v>
      </c>
      <c r="U1329" t="str">
        <f t="shared" si="508"/>
        <v>CA_Orang_2020g~state senator 37th district (vote 1)</v>
      </c>
      <c r="X1329" s="71"/>
      <c r="Z1329" s="44"/>
      <c r="AF1329" s="22"/>
    </row>
    <row r="1330" spans="1:45">
      <c r="A1330" t="str">
        <f t="shared" si="509"/>
        <v>CA_Orang_2020g~state senator 37th district (vote 1)</v>
      </c>
      <c r="B1330" s="55" t="s">
        <v>3536</v>
      </c>
      <c r="D1330" s="55" t="s">
        <v>3278</v>
      </c>
      <c r="E1330" s="55" t="s">
        <v>3557</v>
      </c>
      <c r="F1330" t="s">
        <v>1296</v>
      </c>
      <c r="G1330" s="60">
        <v>258421</v>
      </c>
      <c r="H1330"/>
      <c r="J1330">
        <v>549775</v>
      </c>
      <c r="N1330">
        <v>20785</v>
      </c>
      <c r="O1330">
        <f t="shared" si="502"/>
        <v>2</v>
      </c>
      <c r="P1330" s="57">
        <f t="shared" si="503"/>
        <v>1</v>
      </c>
      <c r="Q1330" s="267">
        <f t="shared" si="504"/>
        <v>258421</v>
      </c>
      <c r="R1330" s="23" t="str">
        <f t="shared" si="505"/>
        <v/>
      </c>
      <c r="S1330" s="23">
        <f t="shared" si="506"/>
        <v>258421</v>
      </c>
      <c r="T1330" s="23" t="str">
        <f t="shared" si="507"/>
        <v/>
      </c>
      <c r="U1330" t="str">
        <f t="shared" si="508"/>
        <v/>
      </c>
      <c r="X1330" s="71"/>
      <c r="Z1330" s="44"/>
      <c r="AF1330" s="22"/>
    </row>
    <row r="1331" spans="1:45">
      <c r="A1331" t="str">
        <f t="shared" si="509"/>
        <v>CA_Orang_2020g~sunset beach sanitary district director, full term (vote 1)</v>
      </c>
      <c r="B1331" s="55" t="s">
        <v>3536</v>
      </c>
      <c r="D1331" s="55" t="s">
        <v>4082</v>
      </c>
      <c r="E1331" s="55" t="s">
        <v>4083</v>
      </c>
      <c r="G1331" s="60">
        <v>492</v>
      </c>
      <c r="H1331"/>
      <c r="J1331">
        <v>895</v>
      </c>
      <c r="N1331">
        <v>1111</v>
      </c>
      <c r="O1331">
        <f t="shared" si="502"/>
        <v>1</v>
      </c>
      <c r="P1331" s="57">
        <f t="shared" si="503"/>
        <v>1</v>
      </c>
      <c r="Q1331" s="267">
        <f t="shared" si="504"/>
        <v>1567</v>
      </c>
      <c r="R1331" s="23">
        <f t="shared" si="505"/>
        <v>492</v>
      </c>
      <c r="S1331" s="23">
        <f t="shared" si="506"/>
        <v>430</v>
      </c>
      <c r="T1331" s="23">
        <f t="shared" si="507"/>
        <v>62</v>
      </c>
      <c r="U1331" t="str">
        <f t="shared" si="508"/>
        <v>CA_Orang_2020g~sunset beach sanitary district director, full term (vote 1)</v>
      </c>
      <c r="X1331" s="71"/>
      <c r="Z1331" s="44"/>
      <c r="AF1331" s="22"/>
    </row>
    <row r="1332" spans="1:45">
      <c r="A1332" t="str">
        <f t="shared" si="509"/>
        <v>CA_Orang_2020g~sunset beach sanitary district director, full term (vote 1)</v>
      </c>
      <c r="B1332" s="55" t="s">
        <v>3536</v>
      </c>
      <c r="D1332" s="55" t="s">
        <v>4082</v>
      </c>
      <c r="E1332" s="55" t="s">
        <v>4084</v>
      </c>
      <c r="G1332" s="60">
        <v>430</v>
      </c>
      <c r="H1332"/>
      <c r="J1332">
        <v>895</v>
      </c>
      <c r="N1332">
        <v>1111</v>
      </c>
      <c r="O1332">
        <f t="shared" si="502"/>
        <v>2</v>
      </c>
      <c r="P1332" s="57">
        <f t="shared" si="503"/>
        <v>1</v>
      </c>
      <c r="Q1332" s="267">
        <f t="shared" si="504"/>
        <v>1075</v>
      </c>
      <c r="R1332" s="23" t="str">
        <f t="shared" si="505"/>
        <v/>
      </c>
      <c r="S1332" s="23">
        <f t="shared" si="506"/>
        <v>430</v>
      </c>
      <c r="T1332" s="23" t="str">
        <f t="shared" si="507"/>
        <v/>
      </c>
      <c r="U1332" t="str">
        <f t="shared" si="508"/>
        <v/>
      </c>
      <c r="X1332" s="71"/>
      <c r="Z1332" s="44"/>
      <c r="AF1332" s="22"/>
    </row>
    <row r="1333" spans="1:45">
      <c r="A1333" t="str">
        <f t="shared" si="509"/>
        <v>CA_Orang_2020g~sunset beach sanitary district director, full term (vote 1)</v>
      </c>
      <c r="B1333" s="55" t="s">
        <v>3536</v>
      </c>
      <c r="D1333" s="55" t="s">
        <v>4082</v>
      </c>
      <c r="E1333" s="55" t="s">
        <v>4085</v>
      </c>
      <c r="G1333" s="60">
        <v>375</v>
      </c>
      <c r="H1333"/>
      <c r="J1333">
        <v>895</v>
      </c>
      <c r="N1333">
        <v>1111</v>
      </c>
      <c r="O1333">
        <f t="shared" si="502"/>
        <v>3</v>
      </c>
      <c r="P1333" s="57">
        <f t="shared" si="503"/>
        <v>1</v>
      </c>
      <c r="Q1333" s="267">
        <f t="shared" si="504"/>
        <v>645</v>
      </c>
      <c r="R1333" s="23" t="str">
        <f t="shared" si="505"/>
        <v/>
      </c>
      <c r="S1333" s="23">
        <f t="shared" si="506"/>
        <v>375</v>
      </c>
      <c r="T1333" s="23" t="str">
        <f t="shared" si="507"/>
        <v/>
      </c>
      <c r="U1333" t="str">
        <f t="shared" si="508"/>
        <v/>
      </c>
      <c r="X1333" s="71"/>
      <c r="Z1333" s="44"/>
      <c r="AF1333" s="22"/>
      <c r="AO1333" s="356"/>
      <c r="AP1333" s="356"/>
      <c r="AQ1333" s="394"/>
      <c r="AR1333" s="394"/>
      <c r="AS1333" s="394"/>
    </row>
    <row r="1334" spans="1:45">
      <c r="A1334" t="str">
        <f t="shared" si="509"/>
        <v>CA_Orang_2020g~sunset beach sanitary district director, full term (vote 1)</v>
      </c>
      <c r="B1334" s="55" t="s">
        <v>3536</v>
      </c>
      <c r="D1334" s="55" t="s">
        <v>4082</v>
      </c>
      <c r="E1334" s="55" t="s">
        <v>4086</v>
      </c>
      <c r="G1334" s="60">
        <v>270</v>
      </c>
      <c r="H1334"/>
      <c r="J1334">
        <v>895</v>
      </c>
      <c r="N1334">
        <v>1111</v>
      </c>
      <c r="O1334">
        <f t="shared" si="502"/>
        <v>4</v>
      </c>
      <c r="P1334" s="57">
        <f t="shared" si="503"/>
        <v>1</v>
      </c>
      <c r="Q1334" s="267">
        <f t="shared" si="504"/>
        <v>270</v>
      </c>
      <c r="R1334" s="23" t="str">
        <f t="shared" si="505"/>
        <v/>
      </c>
      <c r="S1334" s="23">
        <f t="shared" si="506"/>
        <v>270</v>
      </c>
      <c r="T1334" s="23" t="str">
        <f t="shared" si="507"/>
        <v/>
      </c>
      <c r="U1334" t="str">
        <f t="shared" si="508"/>
        <v/>
      </c>
      <c r="X1334" s="71"/>
      <c r="Z1334" s="44"/>
      <c r="AF1334" s="22"/>
    </row>
    <row r="1335" spans="1:45">
      <c r="A1335" t="str">
        <f t="shared" si="509"/>
        <v>CA_Orang_2020g~surfside colony storm water protection district trustee (vote 1)</v>
      </c>
      <c r="B1335" s="55" t="s">
        <v>3536</v>
      </c>
      <c r="D1335" s="55" t="s">
        <v>4087</v>
      </c>
      <c r="E1335" s="55" t="s">
        <v>4090</v>
      </c>
      <c r="G1335" s="60">
        <v>161</v>
      </c>
      <c r="H1335"/>
      <c r="J1335">
        <v>293</v>
      </c>
      <c r="N1335">
        <v>139</v>
      </c>
      <c r="O1335">
        <f t="shared" si="502"/>
        <v>1</v>
      </c>
      <c r="P1335" s="57">
        <f t="shared" si="503"/>
        <v>1</v>
      </c>
      <c r="Q1335" s="267">
        <f t="shared" si="504"/>
        <v>442</v>
      </c>
      <c r="R1335" s="23">
        <f t="shared" si="505"/>
        <v>161</v>
      </c>
      <c r="S1335" s="23">
        <f t="shared" si="506"/>
        <v>159</v>
      </c>
      <c r="T1335" s="23">
        <f t="shared" si="507"/>
        <v>2</v>
      </c>
      <c r="U1335" t="str">
        <f t="shared" si="508"/>
        <v>CA_Orang_2020g~surfside colony storm water protection district trustee (vote 1)</v>
      </c>
      <c r="X1335" s="71"/>
      <c r="Z1335" s="44"/>
      <c r="AF1335" s="22"/>
      <c r="AH1335" s="8"/>
      <c r="AL1335" s="23"/>
    </row>
    <row r="1336" spans="1:45">
      <c r="A1336" t="str">
        <f t="shared" si="509"/>
        <v>CA_Orang_2020g~surfside colony storm water protection district trustee (vote 1)</v>
      </c>
      <c r="B1336" s="55" t="s">
        <v>3536</v>
      </c>
      <c r="D1336" s="55" t="s">
        <v>4087</v>
      </c>
      <c r="E1336" s="55" t="s">
        <v>4088</v>
      </c>
      <c r="G1336" s="60">
        <v>159</v>
      </c>
      <c r="H1336"/>
      <c r="J1336">
        <v>293</v>
      </c>
      <c r="N1336">
        <v>139</v>
      </c>
      <c r="O1336">
        <f t="shared" si="502"/>
        <v>2</v>
      </c>
      <c r="P1336" s="57">
        <f t="shared" si="503"/>
        <v>1</v>
      </c>
      <c r="Q1336" s="267">
        <f t="shared" si="504"/>
        <v>281</v>
      </c>
      <c r="R1336" s="23" t="str">
        <f t="shared" si="505"/>
        <v/>
      </c>
      <c r="S1336" s="23">
        <f t="shared" si="506"/>
        <v>159</v>
      </c>
      <c r="T1336" s="23" t="str">
        <f t="shared" si="507"/>
        <v/>
      </c>
      <c r="U1336" t="str">
        <f t="shared" si="508"/>
        <v/>
      </c>
      <c r="X1336" s="71"/>
      <c r="Z1336" s="44"/>
      <c r="AF1336" s="22"/>
      <c r="AH1336" s="8"/>
      <c r="AL1336" s="23"/>
    </row>
    <row r="1337" spans="1:45">
      <c r="A1337" t="str">
        <f t="shared" si="509"/>
        <v>CA_Orang_2020g~surfside colony storm water protection district trustee (vote 1)</v>
      </c>
      <c r="B1337" s="55" t="s">
        <v>3536</v>
      </c>
      <c r="D1337" s="55" t="s">
        <v>4087</v>
      </c>
      <c r="E1337" s="55" t="s">
        <v>4089</v>
      </c>
      <c r="G1337" s="60">
        <v>122</v>
      </c>
      <c r="H1337"/>
      <c r="J1337">
        <v>293</v>
      </c>
      <c r="N1337">
        <v>139</v>
      </c>
      <c r="O1337">
        <f t="shared" si="502"/>
        <v>3</v>
      </c>
      <c r="P1337" s="57">
        <f t="shared" si="503"/>
        <v>1</v>
      </c>
      <c r="Q1337" s="267">
        <f t="shared" si="504"/>
        <v>122</v>
      </c>
      <c r="R1337" s="23" t="str">
        <f t="shared" si="505"/>
        <v/>
      </c>
      <c r="S1337" s="23">
        <f t="shared" si="506"/>
        <v>122</v>
      </c>
      <c r="T1337" s="23" t="str">
        <f t="shared" si="507"/>
        <v/>
      </c>
      <c r="U1337" t="str">
        <f t="shared" si="508"/>
        <v/>
      </c>
      <c r="X1337" s="71"/>
      <c r="Z1337" s="44"/>
      <c r="AF1337" s="22"/>
      <c r="AG1337" s="295"/>
      <c r="AH1337" s="294"/>
      <c r="AI1337" s="279"/>
      <c r="AJ1337" s="279"/>
      <c r="AL1337" s="341"/>
    </row>
    <row r="1338" spans="1:45">
      <c r="A1338" t="str">
        <f t="shared" si="509"/>
        <v>CA_Orang_2020g~tustin unified school district governing board member, trustee area 1 (vote 1)</v>
      </c>
      <c r="B1338" s="55" t="s">
        <v>3536</v>
      </c>
      <c r="D1338" s="55" t="s">
        <v>3688</v>
      </c>
      <c r="E1338" s="55" t="s">
        <v>3689</v>
      </c>
      <c r="G1338" s="60">
        <v>6297</v>
      </c>
      <c r="H1338"/>
      <c r="J1338">
        <v>15000</v>
      </c>
      <c r="N1338">
        <v>2087</v>
      </c>
      <c r="O1338">
        <f t="shared" si="502"/>
        <v>1</v>
      </c>
      <c r="P1338" s="57">
        <f t="shared" si="503"/>
        <v>1</v>
      </c>
      <c r="Q1338" s="267">
        <f t="shared" si="504"/>
        <v>12854</v>
      </c>
      <c r="R1338" s="23">
        <f t="shared" si="505"/>
        <v>6297</v>
      </c>
      <c r="S1338" s="23">
        <f t="shared" si="506"/>
        <v>5081</v>
      </c>
      <c r="T1338" s="23">
        <f t="shared" si="507"/>
        <v>1216</v>
      </c>
      <c r="U1338" t="str">
        <f t="shared" si="508"/>
        <v>CA_Orang_2020g~tustin unified school district governing board member, trustee area 1 (vote 1)</v>
      </c>
      <c r="X1338" s="71"/>
      <c r="Z1338" s="44"/>
      <c r="AF1338" s="22"/>
      <c r="AG1338" s="295"/>
      <c r="AH1338" s="294"/>
      <c r="AI1338" s="279"/>
      <c r="AJ1338" s="279"/>
      <c r="AL1338" s="341"/>
    </row>
    <row r="1339" spans="1:45">
      <c r="A1339" t="str">
        <f t="shared" si="509"/>
        <v>CA_Orang_2020g~tustin unified school district governing board member, trustee area 1 (vote 1)</v>
      </c>
      <c r="B1339" s="55" t="s">
        <v>3536</v>
      </c>
      <c r="D1339" s="55" t="s">
        <v>3688</v>
      </c>
      <c r="E1339" s="55" t="s">
        <v>3691</v>
      </c>
      <c r="G1339" s="60">
        <v>5081</v>
      </c>
      <c r="H1339"/>
      <c r="J1339">
        <v>15000</v>
      </c>
      <c r="N1339">
        <v>2087</v>
      </c>
      <c r="O1339">
        <f t="shared" si="502"/>
        <v>2</v>
      </c>
      <c r="P1339" s="57">
        <f t="shared" si="503"/>
        <v>1</v>
      </c>
      <c r="Q1339" s="267">
        <f t="shared" si="504"/>
        <v>6557</v>
      </c>
      <c r="R1339" s="23" t="str">
        <f t="shared" si="505"/>
        <v/>
      </c>
      <c r="S1339" s="23">
        <f t="shared" si="506"/>
        <v>5081</v>
      </c>
      <c r="T1339" s="23" t="str">
        <f t="shared" si="507"/>
        <v/>
      </c>
      <c r="U1339" t="str">
        <f t="shared" si="508"/>
        <v/>
      </c>
      <c r="X1339" s="71"/>
      <c r="Z1339" s="44"/>
      <c r="AF1339" s="22"/>
    </row>
    <row r="1340" spans="1:45">
      <c r="A1340" t="str">
        <f t="shared" si="509"/>
        <v>CA_Orang_2020g~tustin unified school district governing board member, trustee area 1 (vote 1)</v>
      </c>
      <c r="B1340" s="55" t="s">
        <v>3536</v>
      </c>
      <c r="D1340" s="55" t="s">
        <v>3688</v>
      </c>
      <c r="E1340" s="55" t="s">
        <v>3690</v>
      </c>
      <c r="G1340" s="60">
        <v>1476</v>
      </c>
      <c r="H1340"/>
      <c r="J1340">
        <v>15000</v>
      </c>
      <c r="N1340">
        <v>2087</v>
      </c>
      <c r="O1340">
        <f t="shared" si="502"/>
        <v>3</v>
      </c>
      <c r="P1340" s="57">
        <f t="shared" si="503"/>
        <v>1</v>
      </c>
      <c r="Q1340" s="267">
        <f t="shared" si="504"/>
        <v>1476</v>
      </c>
      <c r="R1340" s="23" t="str">
        <f t="shared" si="505"/>
        <v/>
      </c>
      <c r="S1340" s="23">
        <f t="shared" si="506"/>
        <v>1476</v>
      </c>
      <c r="T1340" s="23" t="str">
        <f t="shared" si="507"/>
        <v/>
      </c>
      <c r="U1340" t="str">
        <f t="shared" si="508"/>
        <v/>
      </c>
      <c r="X1340" s="71"/>
      <c r="Z1340" s="44"/>
      <c r="AF1340" s="22"/>
      <c r="AH1340" s="8"/>
      <c r="AL1340" s="23"/>
    </row>
    <row r="1341" spans="1:45">
      <c r="A1341" t="str">
        <f t="shared" si="509"/>
        <v>CA_Orang_2020g~tustin unified school district governing board member, trustee area 2 (vote 1)</v>
      </c>
      <c r="B1341" s="55" t="s">
        <v>3536</v>
      </c>
      <c r="D1341" s="55" t="s">
        <v>3692</v>
      </c>
      <c r="E1341" s="55" t="s">
        <v>3694</v>
      </c>
      <c r="G1341" s="60">
        <v>7562</v>
      </c>
      <c r="H1341"/>
      <c r="J1341">
        <v>15489</v>
      </c>
      <c r="N1341">
        <v>3401</v>
      </c>
      <c r="O1341">
        <f t="shared" si="502"/>
        <v>1</v>
      </c>
      <c r="P1341" s="57">
        <f t="shared" si="503"/>
        <v>1</v>
      </c>
      <c r="Q1341" s="267">
        <f t="shared" si="504"/>
        <v>11965</v>
      </c>
      <c r="R1341" s="23">
        <f t="shared" si="505"/>
        <v>7562</v>
      </c>
      <c r="S1341" s="23">
        <f t="shared" si="506"/>
        <v>4403</v>
      </c>
      <c r="T1341" s="23">
        <f t="shared" si="507"/>
        <v>3159</v>
      </c>
      <c r="U1341" t="str">
        <f t="shared" si="508"/>
        <v>CA_Orang_2020g~tustin unified school district governing board member, trustee area 2 (vote 1)</v>
      </c>
      <c r="X1341" s="71"/>
      <c r="Z1341" s="44"/>
      <c r="AF1341" s="22"/>
    </row>
    <row r="1342" spans="1:45">
      <c r="A1342" t="str">
        <f t="shared" si="509"/>
        <v>CA_Orang_2020g~tustin unified school district governing board member, trustee area 2 (vote 1)</v>
      </c>
      <c r="B1342" s="55" t="s">
        <v>3536</v>
      </c>
      <c r="D1342" s="55" t="s">
        <v>3692</v>
      </c>
      <c r="E1342" s="55" t="s">
        <v>3693</v>
      </c>
      <c r="G1342" s="60">
        <v>4403</v>
      </c>
      <c r="H1342"/>
      <c r="J1342">
        <v>15489</v>
      </c>
      <c r="N1342">
        <v>3401</v>
      </c>
      <c r="O1342">
        <f t="shared" si="502"/>
        <v>2</v>
      </c>
      <c r="P1342" s="57">
        <f t="shared" si="503"/>
        <v>1</v>
      </c>
      <c r="Q1342" s="267">
        <f t="shared" si="504"/>
        <v>4403</v>
      </c>
      <c r="R1342" s="23" t="str">
        <f t="shared" si="505"/>
        <v/>
      </c>
      <c r="S1342" s="23">
        <f t="shared" si="506"/>
        <v>4403</v>
      </c>
      <c r="T1342" s="23" t="str">
        <f t="shared" si="507"/>
        <v/>
      </c>
      <c r="U1342" t="str">
        <f t="shared" si="508"/>
        <v/>
      </c>
      <c r="X1342" s="71"/>
      <c r="Z1342" s="44"/>
      <c r="AF1342" s="22"/>
    </row>
    <row r="1343" spans="1:45">
      <c r="A1343" t="str">
        <f t="shared" si="509"/>
        <v>CA_Orang_2020g~u-city of fullerton, fireworks ballot measure (vote 1)</v>
      </c>
      <c r="B1343" s="55" t="s">
        <v>3536</v>
      </c>
      <c r="D1343" s="55" t="s">
        <v>4159</v>
      </c>
      <c r="E1343" s="55" t="s">
        <v>1394</v>
      </c>
      <c r="G1343" s="60">
        <v>37646</v>
      </c>
      <c r="H1343"/>
      <c r="J1343">
        <v>65048</v>
      </c>
      <c r="N1343">
        <v>2079</v>
      </c>
      <c r="O1343">
        <f t="shared" si="502"/>
        <v>1</v>
      </c>
      <c r="P1343" s="57">
        <f t="shared" si="503"/>
        <v>1</v>
      </c>
      <c r="Q1343" s="267">
        <f t="shared" si="504"/>
        <v>62922</v>
      </c>
      <c r="R1343" s="23">
        <f t="shared" si="505"/>
        <v>37646</v>
      </c>
      <c r="S1343" s="23">
        <f t="shared" si="506"/>
        <v>25276</v>
      </c>
      <c r="T1343" s="23">
        <f t="shared" si="507"/>
        <v>12370</v>
      </c>
      <c r="U1343" t="str">
        <f t="shared" si="508"/>
        <v>CA_Orang_2020g~u-city of fullerton, fireworks ballot measure (vote 1)</v>
      </c>
      <c r="X1343" s="71"/>
      <c r="Z1343" s="44"/>
      <c r="AF1343" s="22"/>
    </row>
    <row r="1344" spans="1:45">
      <c r="A1344" t="str">
        <f t="shared" si="509"/>
        <v>CA_Orang_2020g~u-city of fullerton, fireworks ballot measure (vote 1)</v>
      </c>
      <c r="B1344" s="55" t="s">
        <v>3536</v>
      </c>
      <c r="D1344" s="55" t="s">
        <v>4159</v>
      </c>
      <c r="E1344" s="55" t="s">
        <v>1393</v>
      </c>
      <c r="G1344" s="60">
        <v>25276</v>
      </c>
      <c r="H1344"/>
      <c r="J1344">
        <v>65048</v>
      </c>
      <c r="N1344">
        <v>2079</v>
      </c>
      <c r="O1344">
        <f t="shared" si="502"/>
        <v>2</v>
      </c>
      <c r="P1344" s="57">
        <f t="shared" si="503"/>
        <v>1</v>
      </c>
      <c r="Q1344" s="267">
        <f t="shared" si="504"/>
        <v>25276</v>
      </c>
      <c r="R1344" s="23" t="str">
        <f t="shared" si="505"/>
        <v/>
      </c>
      <c r="S1344" s="23">
        <f t="shared" si="506"/>
        <v>25276</v>
      </c>
      <c r="T1344" s="23" t="str">
        <f t="shared" si="507"/>
        <v/>
      </c>
      <c r="U1344" t="str">
        <f t="shared" si="508"/>
        <v/>
      </c>
      <c r="X1344" s="71"/>
      <c r="Z1344" s="44"/>
      <c r="AF1344" s="22"/>
      <c r="AG1344" s="295"/>
      <c r="AH1344" s="294"/>
      <c r="AI1344" s="279"/>
      <c r="AJ1344" s="279"/>
      <c r="AL1344" s="341"/>
    </row>
    <row r="1345" spans="1:38">
      <c r="A1345" t="str">
        <f t="shared" si="509"/>
        <v>CA_Orang_2020g~united states representative 38th district (vote 1)</v>
      </c>
      <c r="B1345" s="55" t="s">
        <v>3536</v>
      </c>
      <c r="D1345" s="55" t="s">
        <v>3236</v>
      </c>
      <c r="E1345" s="55" t="s">
        <v>3549</v>
      </c>
      <c r="F1345" t="s">
        <v>1294</v>
      </c>
      <c r="G1345" s="60">
        <v>4504</v>
      </c>
      <c r="H1345"/>
      <c r="J1345">
        <v>8431</v>
      </c>
      <c r="N1345">
        <v>1814</v>
      </c>
      <c r="O1345">
        <f t="shared" si="502"/>
        <v>1</v>
      </c>
      <c r="P1345" s="57">
        <f t="shared" si="503"/>
        <v>1</v>
      </c>
      <c r="Q1345" s="267">
        <f t="shared" si="504"/>
        <v>6615</v>
      </c>
      <c r="R1345" s="23">
        <f t="shared" si="505"/>
        <v>4504</v>
      </c>
      <c r="S1345" s="23">
        <f t="shared" si="506"/>
        <v>2111</v>
      </c>
      <c r="T1345" s="23">
        <f t="shared" si="507"/>
        <v>2393</v>
      </c>
      <c r="U1345" t="str">
        <f t="shared" si="508"/>
        <v>CA_Orang_2020g~united states representative 38th district (vote 1)</v>
      </c>
      <c r="X1345" s="71"/>
      <c r="Z1345" s="44"/>
      <c r="AF1345" s="22"/>
    </row>
    <row r="1346" spans="1:38">
      <c r="A1346" t="str">
        <f t="shared" si="509"/>
        <v>CA_Orang_2020g~united states representative 38th district (vote 1)</v>
      </c>
      <c r="B1346" s="55" t="s">
        <v>3536</v>
      </c>
      <c r="D1346" s="55" t="s">
        <v>3236</v>
      </c>
      <c r="E1346" s="55" t="s">
        <v>3238</v>
      </c>
      <c r="F1346" t="s">
        <v>1294</v>
      </c>
      <c r="G1346" s="60">
        <v>2111</v>
      </c>
      <c r="H1346"/>
      <c r="J1346">
        <v>8431</v>
      </c>
      <c r="N1346">
        <v>1814</v>
      </c>
      <c r="O1346">
        <f t="shared" ref="O1346:O1409" si="510">IF(OR(LOWER(LEFT(E1346,8))="write-in",LOWER(LEFT(E1346,8))="not qual"),IF(A1346=A1345,-ABS(O1345),0),IF(A1346=A1345,ABS(O1345)+1,1))</f>
        <v>2</v>
      </c>
      <c r="P1346" s="57">
        <f t="shared" ref="P1346:P1409" si="511">1*LEFT(RIGHT(A1346,2),1)</f>
        <v>1</v>
      </c>
      <c r="Q1346" s="267">
        <f t="shared" ref="Q1346:Q1409" si="512">IF(A1346&lt;&gt;A1347,G1346,IF(A1346=A1345,G1346+Q1347,MAX(G1346,(G1346+Q1347)/P1346)))</f>
        <v>2111</v>
      </c>
      <c r="R1346" s="23" t="str">
        <f t="shared" ref="R1346:R1409" si="513">IF(O1346&gt;P1346,"",IF(O1346=P1346,G1346,IF(A1346=A1347,R1347,IF(O1346&lt;=0,1,G1346))))</f>
        <v/>
      </c>
      <c r="S1346" s="23">
        <f t="shared" ref="S1346:S1409" si="514">IF(AND(O1346&gt;P1346,LOWER(LEFT(E1346,8))&lt;&gt;"write-in",LOWER(LEFT(E1346,8))&lt;&gt;"not qual"),G1346,IF(A1346=A1347,S1347,0))</f>
        <v>2111</v>
      </c>
      <c r="T1346" s="23" t="str">
        <f t="shared" ref="T1346:T1409" si="515">IF(OR(A1346=A1345,S1346=0),"",R1346-ABS(S1346))</f>
        <v/>
      </c>
      <c r="U1346" t="str">
        <f t="shared" ref="U1346:U1409" si="516">IF(A1346=A1345,"",A1346)</f>
        <v/>
      </c>
      <c r="X1346" s="71"/>
      <c r="Z1346" s="44"/>
      <c r="AF1346" s="22"/>
    </row>
    <row r="1347" spans="1:38">
      <c r="A1347" t="str">
        <f t="shared" si="509"/>
        <v>CA_Orang_2020g~united states representative 39th district (vote 1)</v>
      </c>
      <c r="B1347" s="55" t="s">
        <v>3536</v>
      </c>
      <c r="D1347" s="55" t="s">
        <v>3239</v>
      </c>
      <c r="E1347" s="55" t="s">
        <v>3240</v>
      </c>
      <c r="F1347" t="s">
        <v>1296</v>
      </c>
      <c r="G1347" s="60">
        <v>115034</v>
      </c>
      <c r="H1347"/>
      <c r="J1347">
        <v>225825</v>
      </c>
      <c r="N1347">
        <v>5626</v>
      </c>
      <c r="O1347">
        <f t="shared" si="510"/>
        <v>1</v>
      </c>
      <c r="P1347" s="57">
        <f t="shared" si="511"/>
        <v>1</v>
      </c>
      <c r="Q1347" s="267">
        <f t="shared" si="512"/>
        <v>220167</v>
      </c>
      <c r="R1347" s="23">
        <f t="shared" si="513"/>
        <v>115034</v>
      </c>
      <c r="S1347" s="23">
        <f t="shared" si="514"/>
        <v>105133</v>
      </c>
      <c r="T1347" s="23">
        <f t="shared" si="515"/>
        <v>9901</v>
      </c>
      <c r="U1347" t="str">
        <f t="shared" si="516"/>
        <v>CA_Orang_2020g~united states representative 39th district (vote 1)</v>
      </c>
      <c r="X1347" s="71"/>
      <c r="Z1347" s="44"/>
      <c r="AF1347" s="22"/>
      <c r="AG1347" s="89"/>
      <c r="AH1347" s="274"/>
      <c r="AI1347" s="279"/>
      <c r="AJ1347" s="280"/>
      <c r="AK1347" s="92"/>
      <c r="AL1347" s="23"/>
    </row>
    <row r="1348" spans="1:38">
      <c r="A1348" t="str">
        <f t="shared" si="509"/>
        <v>CA_Orang_2020g~united states representative 39th district (vote 1)</v>
      </c>
      <c r="B1348" s="55" t="s">
        <v>3536</v>
      </c>
      <c r="D1348" s="55" t="s">
        <v>3239</v>
      </c>
      <c r="E1348" s="55" t="s">
        <v>3550</v>
      </c>
      <c r="F1348" t="s">
        <v>1294</v>
      </c>
      <c r="G1348" s="60">
        <v>105133</v>
      </c>
      <c r="H1348"/>
      <c r="J1348">
        <v>225825</v>
      </c>
      <c r="N1348">
        <v>5626</v>
      </c>
      <c r="O1348">
        <f t="shared" si="510"/>
        <v>2</v>
      </c>
      <c r="P1348" s="57">
        <f t="shared" si="511"/>
        <v>1</v>
      </c>
      <c r="Q1348" s="267">
        <f t="shared" si="512"/>
        <v>105133</v>
      </c>
      <c r="R1348" s="23" t="str">
        <f t="shared" si="513"/>
        <v/>
      </c>
      <c r="S1348" s="23">
        <f t="shared" si="514"/>
        <v>105133</v>
      </c>
      <c r="T1348" s="23" t="str">
        <f t="shared" si="515"/>
        <v/>
      </c>
      <c r="U1348" t="str">
        <f t="shared" si="516"/>
        <v/>
      </c>
      <c r="X1348" s="71"/>
      <c r="Z1348" s="44"/>
      <c r="AF1348" s="22"/>
      <c r="AG1348" s="295"/>
      <c r="AH1348" s="294"/>
      <c r="AI1348" s="279"/>
      <c r="AJ1348" s="279"/>
      <c r="AL1348" s="341"/>
    </row>
    <row r="1349" spans="1:38">
      <c r="A1349" t="str">
        <f t="shared" si="509"/>
        <v>CA_Orang_2020g~united states representative 45th district (vote 1)</v>
      </c>
      <c r="B1349" s="55" t="s">
        <v>3536</v>
      </c>
      <c r="D1349" s="55" t="s">
        <v>3243</v>
      </c>
      <c r="E1349" s="55" t="s">
        <v>3551</v>
      </c>
      <c r="F1349" t="s">
        <v>1294</v>
      </c>
      <c r="G1349" s="60">
        <v>221843</v>
      </c>
      <c r="H1349"/>
      <c r="J1349">
        <v>426193</v>
      </c>
      <c r="N1349">
        <v>11214</v>
      </c>
      <c r="O1349">
        <f t="shared" si="510"/>
        <v>1</v>
      </c>
      <c r="P1349" s="57">
        <f t="shared" si="511"/>
        <v>1</v>
      </c>
      <c r="Q1349" s="267">
        <f t="shared" si="512"/>
        <v>414939</v>
      </c>
      <c r="R1349" s="23">
        <f t="shared" si="513"/>
        <v>221843</v>
      </c>
      <c r="S1349" s="23">
        <f t="shared" si="514"/>
        <v>193096</v>
      </c>
      <c r="T1349" s="23">
        <f t="shared" si="515"/>
        <v>28747</v>
      </c>
      <c r="U1349" t="str">
        <f t="shared" si="516"/>
        <v>CA_Orang_2020g~united states representative 45th district (vote 1)</v>
      </c>
      <c r="X1349" s="71"/>
      <c r="Z1349" s="44"/>
      <c r="AF1349" s="22"/>
    </row>
    <row r="1350" spans="1:38">
      <c r="A1350" t="str">
        <f t="shared" si="509"/>
        <v>CA_Orang_2020g~united states representative 45th district (vote 1)</v>
      </c>
      <c r="B1350" s="55" t="s">
        <v>3536</v>
      </c>
      <c r="D1350" s="55" t="s">
        <v>3243</v>
      </c>
      <c r="E1350" s="55" t="s">
        <v>3245</v>
      </c>
      <c r="F1350" t="s">
        <v>1296</v>
      </c>
      <c r="G1350" s="60">
        <v>193096</v>
      </c>
      <c r="H1350"/>
      <c r="J1350">
        <v>426193</v>
      </c>
      <c r="N1350">
        <v>11214</v>
      </c>
      <c r="O1350">
        <f t="shared" si="510"/>
        <v>2</v>
      </c>
      <c r="P1350" s="57">
        <f t="shared" si="511"/>
        <v>1</v>
      </c>
      <c r="Q1350" s="267">
        <f t="shared" si="512"/>
        <v>193096</v>
      </c>
      <c r="R1350" s="23" t="str">
        <f t="shared" si="513"/>
        <v/>
      </c>
      <c r="S1350" s="23">
        <f t="shared" si="514"/>
        <v>193096</v>
      </c>
      <c r="T1350" s="23" t="str">
        <f t="shared" si="515"/>
        <v/>
      </c>
      <c r="U1350" t="str">
        <f t="shared" si="516"/>
        <v/>
      </c>
      <c r="X1350" s="71"/>
      <c r="Z1350" s="44"/>
      <c r="AF1350" s="22"/>
    </row>
    <row r="1351" spans="1:38">
      <c r="A1351" t="str">
        <f t="shared" si="509"/>
        <v>CA_Orang_2020g~united states representative 46th district (vote 1)</v>
      </c>
      <c r="B1351" s="55" t="s">
        <v>3536</v>
      </c>
      <c r="D1351" s="55" t="s">
        <v>3552</v>
      </c>
      <c r="E1351" s="55" t="s">
        <v>3253</v>
      </c>
      <c r="F1351" t="s">
        <v>1294</v>
      </c>
      <c r="G1351" s="60">
        <v>157803</v>
      </c>
      <c r="H1351"/>
      <c r="J1351">
        <v>236539</v>
      </c>
      <c r="N1351">
        <v>6990</v>
      </c>
      <c r="O1351">
        <f t="shared" si="510"/>
        <v>1</v>
      </c>
      <c r="P1351" s="57">
        <f t="shared" si="511"/>
        <v>1</v>
      </c>
      <c r="Q1351" s="267">
        <f t="shared" si="512"/>
        <v>229519</v>
      </c>
      <c r="R1351" s="23">
        <f t="shared" si="513"/>
        <v>157803</v>
      </c>
      <c r="S1351" s="23">
        <f t="shared" si="514"/>
        <v>71716</v>
      </c>
      <c r="T1351" s="23">
        <f t="shared" si="515"/>
        <v>86087</v>
      </c>
      <c r="U1351" t="str">
        <f t="shared" si="516"/>
        <v>CA_Orang_2020g~united states representative 46th district (vote 1)</v>
      </c>
      <c r="X1351" s="71"/>
      <c r="Z1351" s="44"/>
      <c r="AF1351" s="22"/>
    </row>
    <row r="1352" spans="1:38">
      <c r="A1352" t="str">
        <f t="shared" si="509"/>
        <v>CA_Orang_2020g~united states representative 46th district (vote 1)</v>
      </c>
      <c r="B1352" s="55" t="s">
        <v>3536</v>
      </c>
      <c r="D1352" s="55" t="s">
        <v>3552</v>
      </c>
      <c r="E1352" s="55" t="s">
        <v>3255</v>
      </c>
      <c r="F1352" t="s">
        <v>1296</v>
      </c>
      <c r="G1352" s="60">
        <v>71716</v>
      </c>
      <c r="H1352"/>
      <c r="J1352">
        <v>236539</v>
      </c>
      <c r="N1352">
        <v>6990</v>
      </c>
      <c r="O1352">
        <f t="shared" si="510"/>
        <v>2</v>
      </c>
      <c r="P1352" s="57">
        <f t="shared" si="511"/>
        <v>1</v>
      </c>
      <c r="Q1352" s="267">
        <f t="shared" si="512"/>
        <v>71716</v>
      </c>
      <c r="R1352" s="23" t="str">
        <f t="shared" si="513"/>
        <v/>
      </c>
      <c r="S1352" s="23">
        <f t="shared" si="514"/>
        <v>71716</v>
      </c>
      <c r="T1352" s="23" t="str">
        <f t="shared" si="515"/>
        <v/>
      </c>
      <c r="U1352" t="str">
        <f t="shared" si="516"/>
        <v/>
      </c>
      <c r="X1352" s="71"/>
      <c r="Z1352" s="44"/>
      <c r="AF1352" s="22"/>
    </row>
    <row r="1353" spans="1:38">
      <c r="A1353" t="str">
        <f t="shared" si="509"/>
        <v>CA_Orang_2020g~united states representative 47th district (vote 1)</v>
      </c>
      <c r="B1353" s="55" t="s">
        <v>3536</v>
      </c>
      <c r="D1353" s="55" t="s">
        <v>3257</v>
      </c>
      <c r="E1353" s="55" t="s">
        <v>3553</v>
      </c>
      <c r="F1353" t="s">
        <v>1294</v>
      </c>
      <c r="G1353" s="60">
        <v>67043</v>
      </c>
      <c r="H1353"/>
      <c r="J1353">
        <v>135408</v>
      </c>
      <c r="N1353">
        <v>6136</v>
      </c>
      <c r="O1353">
        <f t="shared" si="510"/>
        <v>1</v>
      </c>
      <c r="P1353" s="57">
        <f t="shared" si="511"/>
        <v>1</v>
      </c>
      <c r="Q1353" s="267">
        <f t="shared" si="512"/>
        <v>129263</v>
      </c>
      <c r="R1353" s="23">
        <f t="shared" si="513"/>
        <v>67043</v>
      </c>
      <c r="S1353" s="23">
        <f t="shared" si="514"/>
        <v>62220</v>
      </c>
      <c r="T1353" s="23">
        <f t="shared" si="515"/>
        <v>4823</v>
      </c>
      <c r="U1353" t="str">
        <f t="shared" si="516"/>
        <v>CA_Orang_2020g~united states representative 47th district (vote 1)</v>
      </c>
      <c r="X1353" s="71"/>
      <c r="Z1353" s="44"/>
      <c r="AF1353" s="22"/>
    </row>
    <row r="1354" spans="1:38">
      <c r="A1354" t="str">
        <f t="shared" si="509"/>
        <v>CA_Orang_2020g~united states representative 47th district (vote 1)</v>
      </c>
      <c r="B1354" s="55" t="s">
        <v>3536</v>
      </c>
      <c r="D1354" s="55" t="s">
        <v>3257</v>
      </c>
      <c r="E1354" s="55" t="s">
        <v>3258</v>
      </c>
      <c r="F1354" t="s">
        <v>1296</v>
      </c>
      <c r="G1354" s="60">
        <v>62220</v>
      </c>
      <c r="H1354"/>
      <c r="J1354">
        <v>135408</v>
      </c>
      <c r="N1354">
        <v>6136</v>
      </c>
      <c r="O1354">
        <f t="shared" si="510"/>
        <v>2</v>
      </c>
      <c r="P1354" s="57">
        <f t="shared" si="511"/>
        <v>1</v>
      </c>
      <c r="Q1354" s="267">
        <f t="shared" si="512"/>
        <v>62220</v>
      </c>
      <c r="R1354" s="23" t="str">
        <f t="shared" si="513"/>
        <v/>
      </c>
      <c r="S1354" s="23">
        <f t="shared" si="514"/>
        <v>62220</v>
      </c>
      <c r="T1354" s="23" t="str">
        <f t="shared" si="515"/>
        <v/>
      </c>
      <c r="U1354" t="str">
        <f t="shared" si="516"/>
        <v/>
      </c>
      <c r="X1354" s="71"/>
      <c r="Z1354" s="44"/>
      <c r="AF1354" s="22"/>
    </row>
    <row r="1355" spans="1:38">
      <c r="A1355" t="str">
        <f t="shared" si="509"/>
        <v>CA_Orang_2020g~united states representative 48th district (vote 1)</v>
      </c>
      <c r="B1355" s="55" t="s">
        <v>3536</v>
      </c>
      <c r="D1355" s="55" t="s">
        <v>3264</v>
      </c>
      <c r="E1355" s="55" t="s">
        <v>3269</v>
      </c>
      <c r="F1355" t="s">
        <v>1296</v>
      </c>
      <c r="G1355" s="60">
        <v>201738</v>
      </c>
      <c r="H1355"/>
      <c r="J1355">
        <v>408436</v>
      </c>
      <c r="N1355">
        <v>13282</v>
      </c>
      <c r="O1355">
        <f t="shared" si="510"/>
        <v>1</v>
      </c>
      <c r="P1355" s="57">
        <f t="shared" si="511"/>
        <v>1</v>
      </c>
      <c r="Q1355" s="267">
        <f t="shared" si="512"/>
        <v>395100</v>
      </c>
      <c r="R1355" s="23">
        <f t="shared" si="513"/>
        <v>201738</v>
      </c>
      <c r="S1355" s="23">
        <f t="shared" si="514"/>
        <v>193362</v>
      </c>
      <c r="T1355" s="23">
        <f t="shared" si="515"/>
        <v>8376</v>
      </c>
      <c r="U1355" t="str">
        <f t="shared" si="516"/>
        <v>CA_Orang_2020g~united states representative 48th district (vote 1)</v>
      </c>
      <c r="X1355" s="71"/>
      <c r="Z1355" s="44"/>
      <c r="AF1355" s="22"/>
    </row>
    <row r="1356" spans="1:38">
      <c r="A1356" t="str">
        <f t="shared" si="509"/>
        <v>CA_Orang_2020g~united states representative 48th district (vote 1)</v>
      </c>
      <c r="B1356" s="55" t="s">
        <v>3536</v>
      </c>
      <c r="D1356" s="55" t="s">
        <v>3264</v>
      </c>
      <c r="E1356" s="55" t="s">
        <v>3554</v>
      </c>
      <c r="F1356" t="s">
        <v>1294</v>
      </c>
      <c r="G1356" s="60">
        <v>193362</v>
      </c>
      <c r="H1356"/>
      <c r="J1356">
        <v>408436</v>
      </c>
      <c r="N1356">
        <v>13282</v>
      </c>
      <c r="O1356">
        <f t="shared" si="510"/>
        <v>2</v>
      </c>
      <c r="P1356" s="57">
        <f t="shared" si="511"/>
        <v>1</v>
      </c>
      <c r="Q1356" s="267">
        <f t="shared" si="512"/>
        <v>193362</v>
      </c>
      <c r="R1356" s="23" t="str">
        <f t="shared" si="513"/>
        <v/>
      </c>
      <c r="S1356" s="23">
        <f t="shared" si="514"/>
        <v>193362</v>
      </c>
      <c r="T1356" s="23" t="str">
        <f t="shared" si="515"/>
        <v/>
      </c>
      <c r="U1356" t="str">
        <f t="shared" si="516"/>
        <v/>
      </c>
      <c r="X1356" s="71"/>
      <c r="Z1356" s="44"/>
      <c r="AF1356" s="22"/>
    </row>
    <row r="1357" spans="1:38">
      <c r="A1357" t="str">
        <f t="shared" si="509"/>
        <v>CA_Orang_2020g~united states representative 49th district (vote 1)</v>
      </c>
      <c r="B1357" s="55" t="s">
        <v>3536</v>
      </c>
      <c r="D1357" s="55" t="s">
        <v>3271</v>
      </c>
      <c r="E1357" s="55" t="s">
        <v>3272</v>
      </c>
      <c r="F1357" t="s">
        <v>1296</v>
      </c>
      <c r="G1357" s="60">
        <v>57423</v>
      </c>
      <c r="H1357"/>
      <c r="J1357">
        <v>105738</v>
      </c>
      <c r="N1357">
        <v>3449</v>
      </c>
      <c r="O1357">
        <f t="shared" si="510"/>
        <v>1</v>
      </c>
      <c r="P1357" s="57">
        <f t="shared" si="511"/>
        <v>1</v>
      </c>
      <c r="Q1357" s="267">
        <f t="shared" si="512"/>
        <v>102276</v>
      </c>
      <c r="R1357" s="23">
        <f t="shared" si="513"/>
        <v>57423</v>
      </c>
      <c r="S1357" s="23">
        <f t="shared" si="514"/>
        <v>44853</v>
      </c>
      <c r="T1357" s="23">
        <f t="shared" si="515"/>
        <v>12570</v>
      </c>
      <c r="U1357" t="str">
        <f t="shared" si="516"/>
        <v>CA_Orang_2020g~united states representative 49th district (vote 1)</v>
      </c>
      <c r="X1357" s="71"/>
      <c r="Z1357" s="44"/>
      <c r="AF1357" s="22"/>
    </row>
    <row r="1358" spans="1:38">
      <c r="A1358" t="str">
        <f t="shared" si="509"/>
        <v>CA_Orang_2020g~united states representative 49th district (vote 1)</v>
      </c>
      <c r="B1358" s="55" t="s">
        <v>3536</v>
      </c>
      <c r="D1358" s="55" t="s">
        <v>3271</v>
      </c>
      <c r="E1358" s="55" t="s">
        <v>3555</v>
      </c>
      <c r="F1358" t="s">
        <v>1294</v>
      </c>
      <c r="G1358" s="60">
        <v>44853</v>
      </c>
      <c r="H1358"/>
      <c r="J1358">
        <v>105738</v>
      </c>
      <c r="N1358">
        <v>3449</v>
      </c>
      <c r="O1358">
        <f t="shared" si="510"/>
        <v>2</v>
      </c>
      <c r="P1358" s="57">
        <f t="shared" si="511"/>
        <v>1</v>
      </c>
      <c r="Q1358" s="267">
        <f t="shared" si="512"/>
        <v>44853</v>
      </c>
      <c r="R1358" s="23" t="str">
        <f t="shared" si="513"/>
        <v/>
      </c>
      <c r="S1358" s="23">
        <f t="shared" si="514"/>
        <v>44853</v>
      </c>
      <c r="T1358" s="23" t="str">
        <f t="shared" si="515"/>
        <v/>
      </c>
      <c r="U1358" t="str">
        <f t="shared" si="516"/>
        <v/>
      </c>
      <c r="X1358" s="71"/>
      <c r="Z1358" s="44"/>
      <c r="AF1358" s="22"/>
    </row>
    <row r="1359" spans="1:38">
      <c r="A1359" t="str">
        <f t="shared" si="509"/>
        <v>CA_Orang_2020g~v-city of laguna woods, advisory measure on marijuana dispensaries (vote 1)</v>
      </c>
      <c r="B1359" s="55" t="s">
        <v>3536</v>
      </c>
      <c r="D1359" s="55" t="s">
        <v>4160</v>
      </c>
      <c r="E1359" s="55" t="s">
        <v>1393</v>
      </c>
      <c r="G1359" s="60">
        <v>6651</v>
      </c>
      <c r="H1359"/>
      <c r="J1359">
        <v>13862</v>
      </c>
      <c r="N1359">
        <v>771</v>
      </c>
      <c r="O1359">
        <f t="shared" si="510"/>
        <v>1</v>
      </c>
      <c r="P1359" s="57">
        <f t="shared" si="511"/>
        <v>1</v>
      </c>
      <c r="Q1359" s="267">
        <f t="shared" si="512"/>
        <v>13077</v>
      </c>
      <c r="R1359" s="23">
        <f t="shared" si="513"/>
        <v>6651</v>
      </c>
      <c r="S1359" s="23">
        <f t="shared" si="514"/>
        <v>6426</v>
      </c>
      <c r="T1359" s="23">
        <f t="shared" si="515"/>
        <v>225</v>
      </c>
      <c r="U1359" t="str">
        <f t="shared" si="516"/>
        <v>CA_Orang_2020g~v-city of laguna woods, advisory measure on marijuana dispensaries (vote 1)</v>
      </c>
      <c r="X1359" s="71"/>
      <c r="Z1359" s="44"/>
      <c r="AF1359" s="22"/>
    </row>
    <row r="1360" spans="1:38">
      <c r="A1360" t="str">
        <f t="shared" si="509"/>
        <v>CA_Orang_2020g~v-city of laguna woods, advisory measure on marijuana dispensaries (vote 1)</v>
      </c>
      <c r="B1360" s="55" t="s">
        <v>3536</v>
      </c>
      <c r="D1360" s="55" t="s">
        <v>4160</v>
      </c>
      <c r="E1360" s="55" t="s">
        <v>1394</v>
      </c>
      <c r="G1360" s="60">
        <v>6426</v>
      </c>
      <c r="H1360"/>
      <c r="J1360">
        <v>13862</v>
      </c>
      <c r="N1360">
        <v>771</v>
      </c>
      <c r="O1360">
        <f t="shared" si="510"/>
        <v>2</v>
      </c>
      <c r="P1360" s="57">
        <f t="shared" si="511"/>
        <v>1</v>
      </c>
      <c r="Q1360" s="267">
        <f t="shared" si="512"/>
        <v>6426</v>
      </c>
      <c r="R1360" s="23" t="str">
        <f t="shared" si="513"/>
        <v/>
      </c>
      <c r="S1360" s="23">
        <f t="shared" si="514"/>
        <v>6426</v>
      </c>
      <c r="T1360" s="23" t="str">
        <f t="shared" si="515"/>
        <v/>
      </c>
      <c r="U1360" t="str">
        <f t="shared" si="516"/>
        <v/>
      </c>
      <c r="X1360" s="71"/>
      <c r="Z1360" s="44"/>
      <c r="AF1360" s="22"/>
    </row>
    <row r="1361" spans="1:45">
      <c r="A1361" t="str">
        <f t="shared" si="509"/>
        <v>CA_Orang_2020g~w-city of la habra, cannabis business tax/regulation ordinance of 2020 (vote 1)</v>
      </c>
      <c r="B1361" s="55" t="s">
        <v>3536</v>
      </c>
      <c r="D1361" s="55" t="s">
        <v>4161</v>
      </c>
      <c r="E1361" s="55" t="s">
        <v>1393</v>
      </c>
      <c r="G1361" s="60">
        <v>17726</v>
      </c>
      <c r="H1361"/>
      <c r="J1361">
        <v>27764</v>
      </c>
      <c r="N1361">
        <v>1475</v>
      </c>
      <c r="O1361">
        <f t="shared" si="510"/>
        <v>1</v>
      </c>
      <c r="P1361" s="57">
        <f t="shared" si="511"/>
        <v>1</v>
      </c>
      <c r="Q1361" s="267">
        <f t="shared" si="512"/>
        <v>26276</v>
      </c>
      <c r="R1361" s="23">
        <f t="shared" si="513"/>
        <v>17726</v>
      </c>
      <c r="S1361" s="23">
        <f t="shared" si="514"/>
        <v>8550</v>
      </c>
      <c r="T1361" s="23">
        <f t="shared" si="515"/>
        <v>9176</v>
      </c>
      <c r="U1361" t="str">
        <f t="shared" si="516"/>
        <v>CA_Orang_2020g~w-city of la habra, cannabis business tax/regulation ordinance of 2020 (vote 1)</v>
      </c>
      <c r="X1361" s="71"/>
      <c r="Z1361" s="44"/>
      <c r="AF1361" s="22"/>
    </row>
    <row r="1362" spans="1:45">
      <c r="A1362" t="str">
        <f t="shared" si="509"/>
        <v>CA_Orang_2020g~w-city of la habra, cannabis business tax/regulation ordinance of 2020 (vote 1)</v>
      </c>
      <c r="B1362" s="55" t="s">
        <v>3536</v>
      </c>
      <c r="D1362" s="55" t="s">
        <v>4161</v>
      </c>
      <c r="E1362" s="55" t="s">
        <v>1394</v>
      </c>
      <c r="G1362" s="60">
        <v>8550</v>
      </c>
      <c r="H1362"/>
      <c r="J1362">
        <v>27764</v>
      </c>
      <c r="N1362">
        <v>1475</v>
      </c>
      <c r="O1362">
        <f t="shared" si="510"/>
        <v>2</v>
      </c>
      <c r="P1362" s="57">
        <f t="shared" si="511"/>
        <v>1</v>
      </c>
      <c r="Q1362" s="267">
        <f t="shared" si="512"/>
        <v>8550</v>
      </c>
      <c r="R1362" s="23" t="str">
        <f t="shared" si="513"/>
        <v/>
      </c>
      <c r="S1362" s="23">
        <f t="shared" si="514"/>
        <v>8550</v>
      </c>
      <c r="T1362" s="23" t="str">
        <f t="shared" si="515"/>
        <v/>
      </c>
      <c r="U1362" t="str">
        <f t="shared" si="516"/>
        <v/>
      </c>
      <c r="X1362" s="71"/>
      <c r="Z1362" s="44"/>
      <c r="AF1362" s="22"/>
      <c r="AG1362" s="89"/>
      <c r="AH1362" s="274"/>
      <c r="AI1362" s="279"/>
      <c r="AJ1362" s="280"/>
      <c r="AK1362" s="92"/>
      <c r="AL1362" s="23"/>
    </row>
    <row r="1363" spans="1:45">
      <c r="A1363" t="str">
        <f t="shared" si="509"/>
        <v>CA_Orang_2020g~westminster school district governing board member, trustee area 1 (vote 1)</v>
      </c>
      <c r="B1363" s="55" t="s">
        <v>3536</v>
      </c>
      <c r="D1363" s="55" t="s">
        <v>3720</v>
      </c>
      <c r="E1363" s="55" t="s">
        <v>3721</v>
      </c>
      <c r="G1363" s="60">
        <v>4620</v>
      </c>
      <c r="H1363"/>
      <c r="J1363">
        <v>8707</v>
      </c>
      <c r="N1363">
        <v>1500</v>
      </c>
      <c r="O1363">
        <f t="shared" si="510"/>
        <v>1</v>
      </c>
      <c r="P1363" s="57">
        <f t="shared" si="511"/>
        <v>1</v>
      </c>
      <c r="Q1363" s="267">
        <f t="shared" si="512"/>
        <v>7170</v>
      </c>
      <c r="R1363" s="23">
        <f t="shared" si="513"/>
        <v>4620</v>
      </c>
      <c r="S1363" s="23">
        <f t="shared" si="514"/>
        <v>2550</v>
      </c>
      <c r="T1363" s="23">
        <f t="shared" si="515"/>
        <v>2070</v>
      </c>
      <c r="U1363" t="str">
        <f t="shared" si="516"/>
        <v>CA_Orang_2020g~westminster school district governing board member, trustee area 1 (vote 1)</v>
      </c>
      <c r="X1363" s="71"/>
      <c r="Z1363" s="44"/>
      <c r="AF1363" s="22"/>
      <c r="AO1363" s="356"/>
      <c r="AP1363" s="356"/>
      <c r="AQ1363" s="394"/>
      <c r="AR1363" s="394"/>
      <c r="AS1363" s="394"/>
    </row>
    <row r="1364" spans="1:45">
      <c r="A1364" t="str">
        <f t="shared" si="509"/>
        <v>CA_Orang_2020g~westminster school district governing board member, trustee area 1 (vote 1)</v>
      </c>
      <c r="B1364" s="55" t="s">
        <v>3536</v>
      </c>
      <c r="D1364" s="55" t="s">
        <v>3720</v>
      </c>
      <c r="E1364" s="55" t="s">
        <v>3722</v>
      </c>
      <c r="G1364" s="60">
        <v>2550</v>
      </c>
      <c r="H1364"/>
      <c r="J1364">
        <v>8707</v>
      </c>
      <c r="N1364">
        <v>1500</v>
      </c>
      <c r="O1364">
        <f t="shared" si="510"/>
        <v>2</v>
      </c>
      <c r="P1364" s="57">
        <f t="shared" si="511"/>
        <v>1</v>
      </c>
      <c r="Q1364" s="267">
        <f t="shared" si="512"/>
        <v>2550</v>
      </c>
      <c r="R1364" s="23" t="str">
        <f t="shared" si="513"/>
        <v/>
      </c>
      <c r="S1364" s="23">
        <f t="shared" si="514"/>
        <v>2550</v>
      </c>
      <c r="T1364" s="23" t="str">
        <f t="shared" si="515"/>
        <v/>
      </c>
      <c r="U1364" t="str">
        <f t="shared" si="516"/>
        <v/>
      </c>
      <c r="X1364" s="71"/>
      <c r="Z1364" s="44"/>
      <c r="AF1364" s="22"/>
    </row>
    <row r="1365" spans="1:45">
      <c r="A1365" t="str">
        <f t="shared" si="509"/>
        <v>CA_Orang_2020g~x-city of la habra,  citizensâ€™ initiative for preservation of open space in la habra (vote 1)</v>
      </c>
      <c r="B1365" s="55" t="s">
        <v>3536</v>
      </c>
      <c r="D1365" s="55" t="s">
        <v>4162</v>
      </c>
      <c r="E1365" s="55" t="s">
        <v>1393</v>
      </c>
      <c r="G1365" s="60">
        <v>19649</v>
      </c>
      <c r="H1365"/>
      <c r="J1365">
        <v>27764</v>
      </c>
      <c r="N1365">
        <v>1565</v>
      </c>
      <c r="O1365">
        <f t="shared" si="510"/>
        <v>1</v>
      </c>
      <c r="P1365" s="57">
        <f t="shared" si="511"/>
        <v>1</v>
      </c>
      <c r="Q1365" s="267">
        <f t="shared" si="512"/>
        <v>26184</v>
      </c>
      <c r="R1365" s="23">
        <f t="shared" si="513"/>
        <v>19649</v>
      </c>
      <c r="S1365" s="23">
        <f t="shared" si="514"/>
        <v>6535</v>
      </c>
      <c r="T1365" s="23">
        <f t="shared" si="515"/>
        <v>13114</v>
      </c>
      <c r="U1365" t="str">
        <f t="shared" si="516"/>
        <v>CA_Orang_2020g~x-city of la habra,  citizensâ€™ initiative for preservation of open space in la habra (vote 1)</v>
      </c>
      <c r="X1365" s="71"/>
      <c r="Z1365" s="44"/>
      <c r="AF1365" s="22"/>
    </row>
    <row r="1366" spans="1:45">
      <c r="A1366" t="str">
        <f t="shared" si="509"/>
        <v>CA_Orang_2020g~x-city of la habra,  citizensâ€™ initiative for preservation of open space in la habra (vote 1)</v>
      </c>
      <c r="B1366" s="55" t="s">
        <v>3536</v>
      </c>
      <c r="D1366" s="55" t="s">
        <v>4162</v>
      </c>
      <c r="E1366" s="55" t="s">
        <v>1394</v>
      </c>
      <c r="G1366" s="60">
        <v>6535</v>
      </c>
      <c r="H1366"/>
      <c r="J1366">
        <v>27764</v>
      </c>
      <c r="N1366">
        <v>1565</v>
      </c>
      <c r="O1366">
        <f t="shared" si="510"/>
        <v>2</v>
      </c>
      <c r="P1366" s="57">
        <f t="shared" si="511"/>
        <v>1</v>
      </c>
      <c r="Q1366" s="267">
        <f t="shared" si="512"/>
        <v>6535</v>
      </c>
      <c r="R1366" s="23" t="str">
        <f t="shared" si="513"/>
        <v/>
      </c>
      <c r="S1366" s="23">
        <f t="shared" si="514"/>
        <v>6535</v>
      </c>
      <c r="T1366" s="23" t="str">
        <f t="shared" si="515"/>
        <v/>
      </c>
      <c r="U1366" t="str">
        <f t="shared" si="516"/>
        <v/>
      </c>
      <c r="X1366" s="71"/>
      <c r="Z1366" s="44"/>
      <c r="AF1366" s="22"/>
    </row>
    <row r="1367" spans="1:45">
      <c r="A1367" t="str">
        <f t="shared" si="509"/>
        <v>CA_Orang_2020g~y-city of los alamitos, quality of life, 911 police response, business/job protection measure (vote 1)</v>
      </c>
      <c r="B1367" s="55" t="s">
        <v>3536</v>
      </c>
      <c r="D1367" s="55" t="s">
        <v>4163</v>
      </c>
      <c r="E1367" s="55" t="s">
        <v>1393</v>
      </c>
      <c r="G1367" s="60">
        <v>3060</v>
      </c>
      <c r="H1367"/>
      <c r="J1367">
        <v>6270</v>
      </c>
      <c r="N1367">
        <v>264</v>
      </c>
      <c r="O1367">
        <f t="shared" si="510"/>
        <v>1</v>
      </c>
      <c r="P1367" s="57">
        <f t="shared" si="511"/>
        <v>1</v>
      </c>
      <c r="Q1367" s="267">
        <f t="shared" si="512"/>
        <v>6006</v>
      </c>
      <c r="R1367" s="23">
        <f t="shared" si="513"/>
        <v>3060</v>
      </c>
      <c r="S1367" s="23">
        <f t="shared" si="514"/>
        <v>2946</v>
      </c>
      <c r="T1367" s="23">
        <f t="shared" si="515"/>
        <v>114</v>
      </c>
      <c r="U1367" t="str">
        <f t="shared" si="516"/>
        <v>CA_Orang_2020g~y-city of los alamitos, quality of life, 911 police response, business/job protection measure (vote 1)</v>
      </c>
      <c r="X1367" s="71"/>
      <c r="Z1367" s="44"/>
      <c r="AF1367" s="22"/>
    </row>
    <row r="1368" spans="1:45">
      <c r="A1368" t="str">
        <f t="shared" si="509"/>
        <v>CA_Orang_2020g~y-city of los alamitos, quality of life, 911 police response, business/job protection measure (vote 1)</v>
      </c>
      <c r="B1368" s="55" t="s">
        <v>3536</v>
      </c>
      <c r="D1368" s="55" t="s">
        <v>4163</v>
      </c>
      <c r="E1368" s="55" t="s">
        <v>1394</v>
      </c>
      <c r="G1368" s="60">
        <v>2946</v>
      </c>
      <c r="H1368"/>
      <c r="J1368">
        <v>6270</v>
      </c>
      <c r="N1368">
        <v>264</v>
      </c>
      <c r="O1368">
        <f t="shared" si="510"/>
        <v>2</v>
      </c>
      <c r="P1368" s="57">
        <f t="shared" si="511"/>
        <v>1</v>
      </c>
      <c r="Q1368" s="267">
        <f t="shared" si="512"/>
        <v>2946</v>
      </c>
      <c r="R1368" s="23" t="str">
        <f t="shared" si="513"/>
        <v/>
      </c>
      <c r="S1368" s="23">
        <f t="shared" si="514"/>
        <v>2946</v>
      </c>
      <c r="T1368" s="23" t="str">
        <f t="shared" si="515"/>
        <v/>
      </c>
      <c r="U1368" t="str">
        <f t="shared" si="516"/>
        <v/>
      </c>
      <c r="X1368" s="71"/>
      <c r="Z1368" s="44"/>
      <c r="AF1368" s="22"/>
      <c r="AG1368" s="23"/>
      <c r="AH1368" s="8"/>
      <c r="AO1368" s="356"/>
      <c r="AP1368" s="356"/>
      <c r="AQ1368" s="394"/>
      <c r="AR1368" s="394"/>
      <c r="AS1368" s="394"/>
    </row>
    <row r="1369" spans="1:45">
      <c r="A1369" t="str">
        <f t="shared" si="509"/>
        <v>CA_Orang_2020g~z-city of newport beach,  addition of harbor commission to the newport beach city charter (vote 1)</v>
      </c>
      <c r="B1369" s="55" t="s">
        <v>3536</v>
      </c>
      <c r="D1369" s="55" t="s">
        <v>4164</v>
      </c>
      <c r="E1369" s="55" t="s">
        <v>1393</v>
      </c>
      <c r="G1369" s="60">
        <v>26131</v>
      </c>
      <c r="H1369"/>
      <c r="J1369">
        <v>55826</v>
      </c>
      <c r="N1369">
        <v>8411</v>
      </c>
      <c r="O1369">
        <f t="shared" si="510"/>
        <v>1</v>
      </c>
      <c r="P1369" s="57">
        <f t="shared" si="511"/>
        <v>1</v>
      </c>
      <c r="Q1369" s="267">
        <f t="shared" si="512"/>
        <v>47367</v>
      </c>
      <c r="R1369" s="23">
        <f t="shared" si="513"/>
        <v>26131</v>
      </c>
      <c r="S1369" s="23">
        <f t="shared" si="514"/>
        <v>21236</v>
      </c>
      <c r="T1369" s="23">
        <f t="shared" si="515"/>
        <v>4895</v>
      </c>
      <c r="U1369" t="str">
        <f t="shared" si="516"/>
        <v>CA_Orang_2020g~z-city of newport beach,  addition of harbor commission to the newport beach city charter (vote 1)</v>
      </c>
      <c r="X1369" s="71"/>
      <c r="Z1369" s="44"/>
      <c r="AF1369" s="22"/>
    </row>
    <row r="1370" spans="1:45">
      <c r="A1370" t="str">
        <f t="shared" si="509"/>
        <v>CA_Orang_2020g~z-city of newport beach,  addition of harbor commission to the newport beach city charter (vote 1)</v>
      </c>
      <c r="B1370" s="55" t="s">
        <v>3536</v>
      </c>
      <c r="D1370" s="55" t="s">
        <v>4164</v>
      </c>
      <c r="E1370" s="55" t="s">
        <v>1394</v>
      </c>
      <c r="G1370" s="60">
        <v>21236</v>
      </c>
      <c r="H1370"/>
      <c r="J1370">
        <v>55826</v>
      </c>
      <c r="N1370">
        <v>8411</v>
      </c>
      <c r="O1370">
        <f t="shared" si="510"/>
        <v>2</v>
      </c>
      <c r="P1370" s="57">
        <f t="shared" si="511"/>
        <v>1</v>
      </c>
      <c r="Q1370" s="267">
        <f t="shared" si="512"/>
        <v>21236</v>
      </c>
      <c r="R1370" s="23" t="str">
        <f t="shared" si="513"/>
        <v/>
      </c>
      <c r="S1370" s="23">
        <f t="shared" si="514"/>
        <v>21236</v>
      </c>
      <c r="T1370" s="23" t="str">
        <f t="shared" si="515"/>
        <v/>
      </c>
      <c r="U1370" t="str">
        <f t="shared" si="516"/>
        <v/>
      </c>
      <c r="X1370" s="71"/>
      <c r="Z1370" s="44"/>
      <c r="AF1370" s="22"/>
    </row>
    <row r="1371" spans="1:45">
      <c r="A1371" t="str">
        <f t="shared" ref="A1371:A1434" si="517">CONCATENATE(B1371,"~",LOWER(D1371),IF(RIGHT(D1371,1)=")","",IF(C1371=2," (top 2)"," (vote 1)")))</f>
        <v>CA_Orang_2020p~a-county of orange (vote 1)</v>
      </c>
      <c r="B1371" s="55" t="s">
        <v>3163</v>
      </c>
      <c r="D1371" s="55" t="s">
        <v>3333</v>
      </c>
      <c r="E1371" s="55" t="s">
        <v>1393</v>
      </c>
      <c r="G1371" s="60">
        <v>593548</v>
      </c>
      <c r="H1371" s="26">
        <f t="shared" ref="H1371:H1434" si="518">G1371/J1371</f>
        <v>0.78411551392732826</v>
      </c>
      <c r="J1371" s="23">
        <v>756965</v>
      </c>
      <c r="K1371">
        <v>1703</v>
      </c>
      <c r="L1371">
        <v>1703</v>
      </c>
      <c r="N1371">
        <v>0</v>
      </c>
      <c r="O1371">
        <f t="shared" si="510"/>
        <v>1</v>
      </c>
      <c r="P1371" s="57">
        <f t="shared" si="511"/>
        <v>1</v>
      </c>
      <c r="Q1371" s="267">
        <f t="shared" si="512"/>
        <v>756978</v>
      </c>
      <c r="R1371" s="23">
        <f t="shared" si="513"/>
        <v>593548</v>
      </c>
      <c r="S1371" s="23">
        <f t="shared" si="514"/>
        <v>163430</v>
      </c>
      <c r="T1371" s="23">
        <f t="shared" si="515"/>
        <v>430118</v>
      </c>
      <c r="U1371" t="str">
        <f t="shared" si="516"/>
        <v>CA_Orang_2020p~a-county of orange (vote 1)</v>
      </c>
      <c r="X1371" s="71"/>
      <c r="Z1371" s="44"/>
      <c r="AF1371" s="22"/>
    </row>
    <row r="1372" spans="1:45">
      <c r="A1372" t="str">
        <f t="shared" si="517"/>
        <v>CA_Orang_2020p~a-county of orange (vote 1)</v>
      </c>
      <c r="B1372" s="55" t="s">
        <v>3163</v>
      </c>
      <c r="D1372" s="55" t="s">
        <v>3333</v>
      </c>
      <c r="E1372" s="55" t="s">
        <v>1394</v>
      </c>
      <c r="G1372" s="60">
        <v>163430</v>
      </c>
      <c r="H1372" s="26">
        <f t="shared" si="518"/>
        <v>0.21590165991822607</v>
      </c>
      <c r="J1372" s="23">
        <v>756965</v>
      </c>
      <c r="K1372">
        <v>1703</v>
      </c>
      <c r="L1372">
        <v>1703</v>
      </c>
      <c r="N1372">
        <v>0</v>
      </c>
      <c r="O1372">
        <f t="shared" si="510"/>
        <v>2</v>
      </c>
      <c r="P1372" s="57">
        <f t="shared" si="511"/>
        <v>1</v>
      </c>
      <c r="Q1372" s="267">
        <f t="shared" si="512"/>
        <v>163430</v>
      </c>
      <c r="R1372" s="23" t="str">
        <f t="shared" si="513"/>
        <v/>
      </c>
      <c r="S1372" s="23">
        <f t="shared" si="514"/>
        <v>163430</v>
      </c>
      <c r="T1372" s="23" t="str">
        <f t="shared" si="515"/>
        <v/>
      </c>
      <c r="U1372" t="str">
        <f t="shared" si="516"/>
        <v/>
      </c>
      <c r="X1372" s="71"/>
      <c r="Z1372" s="44"/>
      <c r="AF1372" s="22"/>
    </row>
    <row r="1373" spans="1:45">
      <c r="A1373" t="str">
        <f t="shared" si="517"/>
        <v>CA_Orang_2020p~b-anaheim union high school district (vote 1)</v>
      </c>
      <c r="B1373" s="55" t="s">
        <v>3163</v>
      </c>
      <c r="D1373" s="55" t="s">
        <v>3334</v>
      </c>
      <c r="E1373" s="55" t="s">
        <v>3336</v>
      </c>
      <c r="G1373" s="60">
        <v>35011</v>
      </c>
      <c r="H1373" s="26">
        <f t="shared" si="518"/>
        <v>0.5299317359650052</v>
      </c>
      <c r="J1373" s="23">
        <v>66067</v>
      </c>
      <c r="K1373">
        <v>179</v>
      </c>
      <c r="L1373">
        <v>179</v>
      </c>
      <c r="N1373">
        <v>0</v>
      </c>
      <c r="O1373">
        <f t="shared" si="510"/>
        <v>1</v>
      </c>
      <c r="P1373" s="57">
        <f t="shared" si="511"/>
        <v>1</v>
      </c>
      <c r="Q1373" s="267">
        <f t="shared" si="512"/>
        <v>66927</v>
      </c>
      <c r="R1373" s="23">
        <f t="shared" si="513"/>
        <v>35011</v>
      </c>
      <c r="S1373" s="23">
        <f t="shared" si="514"/>
        <v>31916</v>
      </c>
      <c r="T1373" s="23">
        <f t="shared" si="515"/>
        <v>3095</v>
      </c>
      <c r="U1373" t="str">
        <f t="shared" si="516"/>
        <v>CA_Orang_2020p~b-anaheim union high school district (vote 1)</v>
      </c>
      <c r="X1373" s="71"/>
      <c r="Z1373" s="44"/>
      <c r="AF1373" s="22"/>
      <c r="AG1373" s="23"/>
      <c r="AH1373" s="8"/>
      <c r="AL1373" s="344"/>
    </row>
    <row r="1374" spans="1:45">
      <c r="A1374" t="str">
        <f t="shared" si="517"/>
        <v>CA_Orang_2020p~b-anaheim union high school district (vote 1)</v>
      </c>
      <c r="B1374" s="55" t="s">
        <v>3163</v>
      </c>
      <c r="D1374" s="55" t="s">
        <v>3334</v>
      </c>
      <c r="E1374" s="55" t="s">
        <v>3335</v>
      </c>
      <c r="G1374" s="60">
        <v>31916</v>
      </c>
      <c r="H1374" s="26">
        <f t="shared" si="518"/>
        <v>0.48308535274796799</v>
      </c>
      <c r="J1374" s="23">
        <v>66067</v>
      </c>
      <c r="K1374">
        <v>179</v>
      </c>
      <c r="L1374">
        <v>179</v>
      </c>
      <c r="N1374">
        <v>0</v>
      </c>
      <c r="O1374">
        <f t="shared" si="510"/>
        <v>2</v>
      </c>
      <c r="P1374" s="57">
        <f t="shared" si="511"/>
        <v>1</v>
      </c>
      <c r="Q1374" s="267">
        <f t="shared" si="512"/>
        <v>31916</v>
      </c>
      <c r="R1374" s="23" t="str">
        <f t="shared" si="513"/>
        <v/>
      </c>
      <c r="S1374" s="23">
        <f t="shared" si="514"/>
        <v>31916</v>
      </c>
      <c r="T1374" s="23" t="str">
        <f t="shared" si="515"/>
        <v/>
      </c>
      <c r="U1374" t="str">
        <f t="shared" si="516"/>
        <v/>
      </c>
      <c r="X1374" s="71"/>
      <c r="Z1374" s="44"/>
      <c r="AF1374" s="22"/>
      <c r="AG1374" s="23"/>
      <c r="AH1374" s="8"/>
      <c r="AL1374" s="344"/>
    </row>
    <row r="1375" spans="1:45">
      <c r="A1375" t="str">
        <f t="shared" si="517"/>
        <v>CA_Orang_2020p~county supervisor 1st district (top 2)</v>
      </c>
      <c r="B1375" s="55" t="s">
        <v>3163</v>
      </c>
      <c r="C1375">
        <v>2</v>
      </c>
      <c r="D1375" s="55" t="s">
        <v>3325</v>
      </c>
      <c r="E1375" s="55" t="s">
        <v>3326</v>
      </c>
      <c r="G1375" s="60">
        <v>40999</v>
      </c>
      <c r="H1375" s="26">
        <f t="shared" si="518"/>
        <v>0.4221652456855719</v>
      </c>
      <c r="J1375" s="23">
        <v>97116</v>
      </c>
      <c r="K1375">
        <v>211</v>
      </c>
      <c r="L1375">
        <v>211</v>
      </c>
      <c r="N1375">
        <v>0</v>
      </c>
      <c r="O1375">
        <f t="shared" si="510"/>
        <v>1</v>
      </c>
      <c r="P1375" s="57">
        <f t="shared" si="511"/>
        <v>2</v>
      </c>
      <c r="Q1375" s="267">
        <f t="shared" si="512"/>
        <v>48453</v>
      </c>
      <c r="R1375" s="23">
        <f t="shared" si="513"/>
        <v>21721</v>
      </c>
      <c r="S1375" s="23">
        <f t="shared" si="514"/>
        <v>19616</v>
      </c>
      <c r="T1375" s="23">
        <f t="shared" si="515"/>
        <v>2105</v>
      </c>
      <c r="U1375" t="str">
        <f t="shared" si="516"/>
        <v>CA_Orang_2020p~county supervisor 1st district (top 2)</v>
      </c>
      <c r="X1375" s="71"/>
      <c r="Z1375" s="44"/>
      <c r="AF1375" s="22"/>
    </row>
    <row r="1376" spans="1:45">
      <c r="A1376" t="str">
        <f t="shared" si="517"/>
        <v>CA_Orang_2020p~county supervisor 1st district (top 2)</v>
      </c>
      <c r="B1376" s="55" t="s">
        <v>3163</v>
      </c>
      <c r="C1376">
        <v>2</v>
      </c>
      <c r="D1376" s="55" t="s">
        <v>3325</v>
      </c>
      <c r="E1376" s="55" t="s">
        <v>3328</v>
      </c>
      <c r="G1376" s="60">
        <v>21721</v>
      </c>
      <c r="H1376" s="26">
        <f t="shared" si="518"/>
        <v>0.22366036492442029</v>
      </c>
      <c r="J1376" s="23">
        <v>97116</v>
      </c>
      <c r="K1376">
        <v>211</v>
      </c>
      <c r="L1376">
        <v>211</v>
      </c>
      <c r="N1376">
        <v>0</v>
      </c>
      <c r="O1376">
        <f t="shared" si="510"/>
        <v>2</v>
      </c>
      <c r="P1376" s="57">
        <f t="shared" si="511"/>
        <v>2</v>
      </c>
      <c r="Q1376" s="267">
        <f t="shared" si="512"/>
        <v>55907</v>
      </c>
      <c r="R1376" s="23">
        <f t="shared" si="513"/>
        <v>21721</v>
      </c>
      <c r="S1376" s="23">
        <f t="shared" si="514"/>
        <v>19616</v>
      </c>
      <c r="T1376" s="23" t="str">
        <f t="shared" si="515"/>
        <v/>
      </c>
      <c r="U1376" t="str">
        <f t="shared" si="516"/>
        <v/>
      </c>
      <c r="X1376" s="71"/>
      <c r="Z1376" s="44"/>
      <c r="AF1376" s="22"/>
    </row>
    <row r="1377" spans="1:38">
      <c r="A1377" t="str">
        <f t="shared" si="517"/>
        <v>CA_Orang_2020p~county supervisor 1st district (top 2)</v>
      </c>
      <c r="B1377" s="55" t="s">
        <v>3163</v>
      </c>
      <c r="C1377">
        <v>2</v>
      </c>
      <c r="D1377" s="55" t="s">
        <v>3325</v>
      </c>
      <c r="E1377" s="55" t="s">
        <v>3327</v>
      </c>
      <c r="G1377" s="60">
        <v>19616</v>
      </c>
      <c r="H1377" s="26">
        <f t="shared" si="518"/>
        <v>0.2019852547469006</v>
      </c>
      <c r="J1377" s="23">
        <v>97116</v>
      </c>
      <c r="K1377">
        <v>211</v>
      </c>
      <c r="L1377">
        <v>211</v>
      </c>
      <c r="N1377">
        <v>0</v>
      </c>
      <c r="O1377">
        <f t="shared" si="510"/>
        <v>3</v>
      </c>
      <c r="P1377" s="57">
        <f t="shared" si="511"/>
        <v>2</v>
      </c>
      <c r="Q1377" s="267">
        <f t="shared" si="512"/>
        <v>34186</v>
      </c>
      <c r="R1377" s="23" t="str">
        <f t="shared" si="513"/>
        <v/>
      </c>
      <c r="S1377" s="23">
        <f t="shared" si="514"/>
        <v>19616</v>
      </c>
      <c r="T1377" s="23" t="str">
        <f t="shared" si="515"/>
        <v/>
      </c>
      <c r="U1377" t="str">
        <f t="shared" si="516"/>
        <v/>
      </c>
      <c r="X1377" s="71"/>
      <c r="Z1377" s="44"/>
      <c r="AF1377" s="22"/>
    </row>
    <row r="1378" spans="1:38">
      <c r="A1378" t="str">
        <f t="shared" si="517"/>
        <v>CA_Orang_2020p~county supervisor 1st district (top 2)</v>
      </c>
      <c r="B1378" s="55" t="s">
        <v>3163</v>
      </c>
      <c r="C1378">
        <v>2</v>
      </c>
      <c r="D1378" s="55" t="s">
        <v>3325</v>
      </c>
      <c r="E1378" s="55" t="s">
        <v>3329</v>
      </c>
      <c r="G1378" s="60">
        <v>14570</v>
      </c>
      <c r="H1378" s="26">
        <f t="shared" si="518"/>
        <v>0.1500267721075827</v>
      </c>
      <c r="J1378" s="23">
        <v>97116</v>
      </c>
      <c r="K1378">
        <v>211</v>
      </c>
      <c r="L1378">
        <v>211</v>
      </c>
      <c r="N1378">
        <v>0</v>
      </c>
      <c r="O1378">
        <f t="shared" si="510"/>
        <v>4</v>
      </c>
      <c r="P1378" s="57">
        <f t="shared" si="511"/>
        <v>2</v>
      </c>
      <c r="Q1378" s="267">
        <f t="shared" si="512"/>
        <v>14570</v>
      </c>
      <c r="R1378" s="23" t="str">
        <f t="shared" si="513"/>
        <v/>
      </c>
      <c r="S1378" s="23">
        <f t="shared" si="514"/>
        <v>14570</v>
      </c>
      <c r="T1378" s="23" t="str">
        <f t="shared" si="515"/>
        <v/>
      </c>
      <c r="U1378" t="str">
        <f t="shared" si="516"/>
        <v/>
      </c>
      <c r="X1378" s="71"/>
      <c r="Z1378" s="44"/>
      <c r="AF1378" s="22"/>
    </row>
    <row r="1379" spans="1:38">
      <c r="A1379" t="str">
        <f t="shared" si="517"/>
        <v>CA_Orang_2020p~county supervisor 3rd district (vote 1)</v>
      </c>
      <c r="B1379" s="55" t="s">
        <v>3163</v>
      </c>
      <c r="D1379" s="55" t="s">
        <v>3330</v>
      </c>
      <c r="E1379" s="55" t="s">
        <v>3332</v>
      </c>
      <c r="G1379" s="60">
        <v>80544</v>
      </c>
      <c r="H1379" s="26">
        <f t="shared" si="518"/>
        <v>0.52172899163746367</v>
      </c>
      <c r="J1379" s="23">
        <v>154379</v>
      </c>
      <c r="K1379">
        <v>450</v>
      </c>
      <c r="L1379">
        <v>450</v>
      </c>
      <c r="N1379">
        <v>0</v>
      </c>
      <c r="O1379">
        <f t="shared" si="510"/>
        <v>1</v>
      </c>
      <c r="P1379" s="57">
        <f t="shared" si="511"/>
        <v>1</v>
      </c>
      <c r="Q1379" s="267">
        <f t="shared" si="512"/>
        <v>153878</v>
      </c>
      <c r="R1379" s="23">
        <f t="shared" si="513"/>
        <v>80544</v>
      </c>
      <c r="S1379" s="23">
        <f t="shared" si="514"/>
        <v>73334</v>
      </c>
      <c r="T1379" s="23">
        <f t="shared" si="515"/>
        <v>7210</v>
      </c>
      <c r="U1379" t="str">
        <f t="shared" si="516"/>
        <v>CA_Orang_2020p~county supervisor 3rd district (vote 1)</v>
      </c>
      <c r="X1379" s="71"/>
      <c r="Z1379" s="44"/>
      <c r="AF1379" s="22"/>
    </row>
    <row r="1380" spans="1:38">
      <c r="A1380" t="str">
        <f t="shared" si="517"/>
        <v>CA_Orang_2020p~county supervisor 3rd district (vote 1)</v>
      </c>
      <c r="B1380" s="55" t="s">
        <v>3163</v>
      </c>
      <c r="D1380" s="55" t="s">
        <v>3330</v>
      </c>
      <c r="E1380" s="55" t="s">
        <v>3331</v>
      </c>
      <c r="G1380" s="60">
        <v>73334</v>
      </c>
      <c r="H1380" s="26">
        <f t="shared" si="518"/>
        <v>0.47502574832069128</v>
      </c>
      <c r="J1380" s="23">
        <v>154379</v>
      </c>
      <c r="K1380">
        <v>450</v>
      </c>
      <c r="L1380">
        <v>450</v>
      </c>
      <c r="N1380">
        <v>0</v>
      </c>
      <c r="O1380">
        <f t="shared" si="510"/>
        <v>2</v>
      </c>
      <c r="P1380" s="57">
        <f t="shared" si="511"/>
        <v>1</v>
      </c>
      <c r="Q1380" s="267">
        <f t="shared" si="512"/>
        <v>73334</v>
      </c>
      <c r="R1380" s="23" t="str">
        <f t="shared" si="513"/>
        <v/>
      </c>
      <c r="S1380" s="23">
        <f t="shared" si="514"/>
        <v>73334</v>
      </c>
      <c r="T1380" s="23" t="str">
        <f t="shared" si="515"/>
        <v/>
      </c>
      <c r="U1380" t="str">
        <f t="shared" si="516"/>
        <v/>
      </c>
      <c r="X1380" s="71"/>
      <c r="Z1380" s="44"/>
      <c r="AF1380" s="22"/>
    </row>
    <row r="1381" spans="1:38">
      <c r="A1381" t="str">
        <f t="shared" si="517"/>
        <v>CA_Orang_2020p~g-brea olinda unified school district (vote 1)</v>
      </c>
      <c r="B1381" s="55" t="s">
        <v>3163</v>
      </c>
      <c r="D1381" s="55" t="s">
        <v>3337</v>
      </c>
      <c r="E1381" s="55" t="s">
        <v>3335</v>
      </c>
      <c r="G1381" s="60">
        <v>6694</v>
      </c>
      <c r="H1381" s="26">
        <f t="shared" si="518"/>
        <v>0.56332575948834474</v>
      </c>
      <c r="J1381" s="23">
        <v>11883</v>
      </c>
      <c r="K1381">
        <v>26</v>
      </c>
      <c r="L1381">
        <v>26</v>
      </c>
      <c r="N1381">
        <v>0</v>
      </c>
      <c r="O1381">
        <f t="shared" si="510"/>
        <v>1</v>
      </c>
      <c r="P1381" s="57">
        <f t="shared" si="511"/>
        <v>1</v>
      </c>
      <c r="Q1381" s="267">
        <f t="shared" si="512"/>
        <v>12399</v>
      </c>
      <c r="R1381" s="23">
        <f t="shared" si="513"/>
        <v>6694</v>
      </c>
      <c r="S1381" s="23">
        <f t="shared" si="514"/>
        <v>5705</v>
      </c>
      <c r="T1381" s="23">
        <f t="shared" si="515"/>
        <v>989</v>
      </c>
      <c r="U1381" t="str">
        <f t="shared" si="516"/>
        <v>CA_Orang_2020p~g-brea olinda unified school district (vote 1)</v>
      </c>
      <c r="X1381" s="71"/>
      <c r="Z1381" s="44"/>
      <c r="AF1381" s="22"/>
    </row>
    <row r="1382" spans="1:38">
      <c r="A1382" t="str">
        <f t="shared" si="517"/>
        <v>CA_Orang_2020p~g-brea olinda unified school district (vote 1)</v>
      </c>
      <c r="B1382" s="55" t="s">
        <v>3163</v>
      </c>
      <c r="D1382" s="55" t="s">
        <v>3337</v>
      </c>
      <c r="E1382" s="55" t="s">
        <v>3336</v>
      </c>
      <c r="G1382" s="60">
        <v>5705</v>
      </c>
      <c r="H1382" s="26">
        <f t="shared" si="518"/>
        <v>0.48009761844652021</v>
      </c>
      <c r="J1382" s="23">
        <v>11883</v>
      </c>
      <c r="K1382">
        <v>26</v>
      </c>
      <c r="L1382">
        <v>26</v>
      </c>
      <c r="N1382">
        <v>0</v>
      </c>
      <c r="O1382">
        <f t="shared" si="510"/>
        <v>2</v>
      </c>
      <c r="P1382" s="57">
        <f t="shared" si="511"/>
        <v>1</v>
      </c>
      <c r="Q1382" s="267">
        <f t="shared" si="512"/>
        <v>5705</v>
      </c>
      <c r="R1382" s="23" t="str">
        <f t="shared" si="513"/>
        <v/>
      </c>
      <c r="S1382" s="23">
        <f t="shared" si="514"/>
        <v>5705</v>
      </c>
      <c r="T1382" s="23" t="str">
        <f t="shared" si="515"/>
        <v/>
      </c>
      <c r="U1382" t="str">
        <f t="shared" si="516"/>
        <v/>
      </c>
      <c r="X1382" s="71"/>
      <c r="Z1382" s="44"/>
      <c r="AF1382" s="22"/>
    </row>
    <row r="1383" spans="1:38">
      <c r="A1383" t="str">
        <f t="shared" si="517"/>
        <v>CA_Orang_2020p~h-capistrano unified school district (vote 1)</v>
      </c>
      <c r="B1383" s="55" t="s">
        <v>3163</v>
      </c>
      <c r="D1383" s="55" t="s">
        <v>3338</v>
      </c>
      <c r="E1383" s="55" t="s">
        <v>3335</v>
      </c>
      <c r="G1383" s="60">
        <v>12318</v>
      </c>
      <c r="H1383" s="26">
        <f t="shared" si="518"/>
        <v>0.55841153270773836</v>
      </c>
      <c r="J1383" s="23">
        <v>22059</v>
      </c>
      <c r="K1383">
        <v>30</v>
      </c>
      <c r="L1383">
        <v>30</v>
      </c>
      <c r="N1383">
        <v>0</v>
      </c>
      <c r="O1383">
        <f t="shared" si="510"/>
        <v>1</v>
      </c>
      <c r="P1383" s="57">
        <f t="shared" si="511"/>
        <v>1</v>
      </c>
      <c r="Q1383" s="267">
        <f t="shared" si="512"/>
        <v>22059</v>
      </c>
      <c r="R1383" s="23">
        <f t="shared" si="513"/>
        <v>12318</v>
      </c>
      <c r="S1383" s="23">
        <f t="shared" si="514"/>
        <v>9741</v>
      </c>
      <c r="T1383" s="23">
        <f t="shared" si="515"/>
        <v>2577</v>
      </c>
      <c r="U1383" t="str">
        <f t="shared" si="516"/>
        <v>CA_Orang_2020p~h-capistrano unified school district (vote 1)</v>
      </c>
      <c r="X1383" s="71"/>
      <c r="Z1383" s="44"/>
      <c r="AF1383" s="22"/>
      <c r="AH1383" s="8"/>
      <c r="AL1383" s="23"/>
    </row>
    <row r="1384" spans="1:38">
      <c r="A1384" t="str">
        <f t="shared" si="517"/>
        <v>CA_Orang_2020p~h-capistrano unified school district (vote 1)</v>
      </c>
      <c r="B1384" s="55" t="s">
        <v>3163</v>
      </c>
      <c r="D1384" s="55" t="s">
        <v>3338</v>
      </c>
      <c r="E1384" s="55" t="s">
        <v>3336</v>
      </c>
      <c r="G1384" s="60">
        <v>9741</v>
      </c>
      <c r="H1384" s="26">
        <f t="shared" si="518"/>
        <v>0.44158846729226164</v>
      </c>
      <c r="J1384" s="23">
        <v>22059</v>
      </c>
      <c r="K1384">
        <v>30</v>
      </c>
      <c r="L1384">
        <v>30</v>
      </c>
      <c r="N1384">
        <v>0</v>
      </c>
      <c r="O1384">
        <f t="shared" si="510"/>
        <v>2</v>
      </c>
      <c r="P1384" s="57">
        <f t="shared" si="511"/>
        <v>1</v>
      </c>
      <c r="Q1384" s="267">
        <f t="shared" si="512"/>
        <v>9741</v>
      </c>
      <c r="R1384" s="23" t="str">
        <f t="shared" si="513"/>
        <v/>
      </c>
      <c r="S1384" s="23">
        <f t="shared" si="514"/>
        <v>9741</v>
      </c>
      <c r="T1384" s="23" t="str">
        <f t="shared" si="515"/>
        <v/>
      </c>
      <c r="U1384" t="str">
        <f t="shared" si="516"/>
        <v/>
      </c>
      <c r="X1384" s="71"/>
      <c r="Z1384" s="44"/>
      <c r="AF1384" s="22"/>
    </row>
    <row r="1385" spans="1:38">
      <c r="A1385" t="str">
        <f t="shared" si="517"/>
        <v>CA_Orang_2020p~i-capistrano unified school district (vote 1)</v>
      </c>
      <c r="B1385" s="55" t="s">
        <v>3163</v>
      </c>
      <c r="D1385" s="55" t="s">
        <v>3339</v>
      </c>
      <c r="E1385" s="55" t="s">
        <v>3335</v>
      </c>
      <c r="G1385" s="60">
        <v>24888</v>
      </c>
      <c r="H1385" s="26">
        <f t="shared" si="518"/>
        <v>0.5423403791675746</v>
      </c>
      <c r="J1385" s="23">
        <v>45890</v>
      </c>
      <c r="K1385">
        <v>65</v>
      </c>
      <c r="L1385">
        <v>65</v>
      </c>
      <c r="N1385">
        <v>0</v>
      </c>
      <c r="O1385">
        <f t="shared" si="510"/>
        <v>1</v>
      </c>
      <c r="P1385" s="57">
        <f t="shared" si="511"/>
        <v>1</v>
      </c>
      <c r="Q1385" s="267">
        <f t="shared" si="512"/>
        <v>45891</v>
      </c>
      <c r="R1385" s="23">
        <f t="shared" si="513"/>
        <v>24888</v>
      </c>
      <c r="S1385" s="23">
        <f t="shared" si="514"/>
        <v>21003</v>
      </c>
      <c r="T1385" s="23">
        <f t="shared" si="515"/>
        <v>3885</v>
      </c>
      <c r="U1385" t="str">
        <f t="shared" si="516"/>
        <v>CA_Orang_2020p~i-capistrano unified school district (vote 1)</v>
      </c>
      <c r="X1385" s="71"/>
      <c r="Z1385" s="44"/>
      <c r="AF1385" s="22"/>
    </row>
    <row r="1386" spans="1:38">
      <c r="A1386" t="str">
        <f t="shared" si="517"/>
        <v>CA_Orang_2020p~i-capistrano unified school district (vote 1)</v>
      </c>
      <c r="B1386" s="55" t="s">
        <v>3163</v>
      </c>
      <c r="D1386" s="55" t="s">
        <v>3339</v>
      </c>
      <c r="E1386" s="55" t="s">
        <v>3336</v>
      </c>
      <c r="G1386" s="60">
        <v>21003</v>
      </c>
      <c r="H1386" s="26">
        <f t="shared" si="518"/>
        <v>0.45768141207234692</v>
      </c>
      <c r="J1386" s="23">
        <v>45890</v>
      </c>
      <c r="K1386">
        <v>65</v>
      </c>
      <c r="L1386">
        <v>65</v>
      </c>
      <c r="N1386">
        <v>0</v>
      </c>
      <c r="O1386">
        <f t="shared" si="510"/>
        <v>2</v>
      </c>
      <c r="P1386" s="57">
        <f t="shared" si="511"/>
        <v>1</v>
      </c>
      <c r="Q1386" s="267">
        <f t="shared" si="512"/>
        <v>21003</v>
      </c>
      <c r="R1386" s="23" t="str">
        <f t="shared" si="513"/>
        <v/>
      </c>
      <c r="S1386" s="23">
        <f t="shared" si="514"/>
        <v>21003</v>
      </c>
      <c r="T1386" s="23" t="str">
        <f t="shared" si="515"/>
        <v/>
      </c>
      <c r="U1386" t="str">
        <f t="shared" si="516"/>
        <v/>
      </c>
      <c r="X1386" s="71"/>
      <c r="Z1386" s="44"/>
      <c r="AF1386" s="22"/>
    </row>
    <row r="1387" spans="1:38">
      <c r="A1387" t="str">
        <f t="shared" si="517"/>
        <v>CA_Orang_2020p~j-fullerton elementary school district (vote 1)</v>
      </c>
      <c r="B1387" s="55" t="s">
        <v>3163</v>
      </c>
      <c r="D1387" s="55" t="s">
        <v>3340</v>
      </c>
      <c r="E1387" s="55" t="s">
        <v>3335</v>
      </c>
      <c r="G1387" s="60">
        <v>15476</v>
      </c>
      <c r="H1387" s="26">
        <f t="shared" si="518"/>
        <v>0.51590106007067138</v>
      </c>
      <c r="J1387" s="23">
        <v>29998</v>
      </c>
      <c r="K1387">
        <v>54</v>
      </c>
      <c r="L1387">
        <v>54</v>
      </c>
      <c r="N1387">
        <v>0</v>
      </c>
      <c r="O1387">
        <f t="shared" si="510"/>
        <v>1</v>
      </c>
      <c r="P1387" s="57">
        <f t="shared" si="511"/>
        <v>1</v>
      </c>
      <c r="Q1387" s="267">
        <f t="shared" si="512"/>
        <v>29998</v>
      </c>
      <c r="R1387" s="23">
        <f t="shared" si="513"/>
        <v>15476</v>
      </c>
      <c r="S1387" s="23">
        <f t="shared" si="514"/>
        <v>14522</v>
      </c>
      <c r="T1387" s="23">
        <f t="shared" si="515"/>
        <v>954</v>
      </c>
      <c r="U1387" t="str">
        <f t="shared" si="516"/>
        <v>CA_Orang_2020p~j-fullerton elementary school district (vote 1)</v>
      </c>
      <c r="X1387" s="71"/>
      <c r="Z1387" s="44"/>
      <c r="AF1387" s="22"/>
    </row>
    <row r="1388" spans="1:38">
      <c r="A1388" t="str">
        <f t="shared" si="517"/>
        <v>CA_Orang_2020p~j-fullerton elementary school district (vote 1)</v>
      </c>
      <c r="B1388" s="55" t="s">
        <v>3163</v>
      </c>
      <c r="D1388" s="55" t="s">
        <v>3340</v>
      </c>
      <c r="E1388" s="55" t="s">
        <v>3336</v>
      </c>
      <c r="G1388" s="60">
        <v>14522</v>
      </c>
      <c r="H1388" s="26">
        <f t="shared" si="518"/>
        <v>0.48409893992932862</v>
      </c>
      <c r="J1388" s="23">
        <v>29998</v>
      </c>
      <c r="K1388">
        <v>54</v>
      </c>
      <c r="L1388">
        <v>54</v>
      </c>
      <c r="N1388">
        <v>0</v>
      </c>
      <c r="O1388">
        <f t="shared" si="510"/>
        <v>2</v>
      </c>
      <c r="P1388" s="57">
        <f t="shared" si="511"/>
        <v>1</v>
      </c>
      <c r="Q1388" s="267">
        <f t="shared" si="512"/>
        <v>14522</v>
      </c>
      <c r="R1388" s="23" t="str">
        <f t="shared" si="513"/>
        <v/>
      </c>
      <c r="S1388" s="23">
        <f t="shared" si="514"/>
        <v>14522</v>
      </c>
      <c r="T1388" s="23" t="str">
        <f t="shared" si="515"/>
        <v/>
      </c>
      <c r="U1388" t="str">
        <f t="shared" si="516"/>
        <v/>
      </c>
      <c r="X1388" s="71"/>
      <c r="Z1388" s="44"/>
      <c r="AF1388" s="22"/>
      <c r="AH1388" s="8"/>
      <c r="AL1388" s="23"/>
    </row>
    <row r="1389" spans="1:38">
      <c r="A1389" t="str">
        <f t="shared" si="517"/>
        <v>CA_Orang_2020p~judge of the superior court office no. 4  (vote 1)</v>
      </c>
      <c r="B1389" s="55" t="s">
        <v>3163</v>
      </c>
      <c r="D1389" s="55" t="s">
        <v>3311</v>
      </c>
      <c r="E1389" s="55" t="s">
        <v>3312</v>
      </c>
      <c r="G1389" s="60">
        <v>534401</v>
      </c>
      <c r="H1389" s="26">
        <f t="shared" si="518"/>
        <v>0.97775895286310488</v>
      </c>
      <c r="J1389" s="23">
        <v>546557</v>
      </c>
      <c r="K1389">
        <v>1703</v>
      </c>
      <c r="L1389">
        <v>1703</v>
      </c>
      <c r="N1389">
        <v>0</v>
      </c>
      <c r="O1389">
        <f t="shared" si="510"/>
        <v>1</v>
      </c>
      <c r="P1389" s="57">
        <f t="shared" si="511"/>
        <v>1</v>
      </c>
      <c r="Q1389" s="267">
        <f t="shared" si="512"/>
        <v>534401</v>
      </c>
      <c r="R1389" s="23">
        <f t="shared" si="513"/>
        <v>534401</v>
      </c>
      <c r="S1389" s="23">
        <f t="shared" si="514"/>
        <v>0</v>
      </c>
      <c r="T1389" s="23" t="str">
        <f t="shared" si="515"/>
        <v/>
      </c>
      <c r="U1389" t="str">
        <f t="shared" si="516"/>
        <v>CA_Orang_2020p~judge of the superior court office no. 4  (vote 1)</v>
      </c>
      <c r="X1389" s="71"/>
      <c r="Z1389" s="44"/>
      <c r="AF1389" s="22"/>
      <c r="AH1389" s="8"/>
      <c r="AL1389" s="23"/>
    </row>
    <row r="1390" spans="1:38">
      <c r="A1390" t="str">
        <f t="shared" si="517"/>
        <v>CA_Orang_2020p~k-fullerton joint union high school district (vote 1)</v>
      </c>
      <c r="B1390" s="55" t="s">
        <v>3163</v>
      </c>
      <c r="D1390" s="55" t="s">
        <v>3341</v>
      </c>
      <c r="E1390" s="55" t="s">
        <v>3335</v>
      </c>
      <c r="G1390" s="60">
        <v>27209</v>
      </c>
      <c r="H1390" s="26">
        <f t="shared" si="518"/>
        <v>0.51864206473256835</v>
      </c>
      <c r="J1390" s="23">
        <v>52462</v>
      </c>
      <c r="K1390">
        <v>110</v>
      </c>
      <c r="L1390">
        <v>110</v>
      </c>
      <c r="N1390">
        <v>0</v>
      </c>
      <c r="O1390">
        <f t="shared" si="510"/>
        <v>1</v>
      </c>
      <c r="P1390" s="57">
        <f t="shared" si="511"/>
        <v>1</v>
      </c>
      <c r="Q1390" s="267">
        <f t="shared" si="512"/>
        <v>52462</v>
      </c>
      <c r="R1390" s="23">
        <f t="shared" si="513"/>
        <v>27209</v>
      </c>
      <c r="S1390" s="23">
        <f t="shared" si="514"/>
        <v>25253</v>
      </c>
      <c r="T1390" s="23">
        <f t="shared" si="515"/>
        <v>1956</v>
      </c>
      <c r="U1390" t="str">
        <f t="shared" si="516"/>
        <v>CA_Orang_2020p~k-fullerton joint union high school district (vote 1)</v>
      </c>
      <c r="X1390" s="71"/>
      <c r="Z1390" s="44"/>
      <c r="AF1390" s="22"/>
      <c r="AH1390" s="8"/>
      <c r="AL1390" s="23"/>
    </row>
    <row r="1391" spans="1:38">
      <c r="A1391" t="str">
        <f t="shared" si="517"/>
        <v>CA_Orang_2020p~k-fullerton joint union high school district (vote 1)</v>
      </c>
      <c r="B1391" s="55" t="s">
        <v>3163</v>
      </c>
      <c r="D1391" s="55" t="s">
        <v>3341</v>
      </c>
      <c r="E1391" s="55" t="s">
        <v>3336</v>
      </c>
      <c r="G1391" s="60">
        <v>25253</v>
      </c>
      <c r="H1391" s="26">
        <f t="shared" si="518"/>
        <v>0.48135793526743165</v>
      </c>
      <c r="J1391" s="23">
        <v>52462</v>
      </c>
      <c r="K1391">
        <v>110</v>
      </c>
      <c r="L1391">
        <v>110</v>
      </c>
      <c r="N1391">
        <v>0</v>
      </c>
      <c r="O1391">
        <f t="shared" si="510"/>
        <v>2</v>
      </c>
      <c r="P1391" s="57">
        <f t="shared" si="511"/>
        <v>1</v>
      </c>
      <c r="Q1391" s="267">
        <f t="shared" si="512"/>
        <v>25253</v>
      </c>
      <c r="R1391" s="23" t="str">
        <f t="shared" si="513"/>
        <v/>
      </c>
      <c r="S1391" s="23">
        <f t="shared" si="514"/>
        <v>25253</v>
      </c>
      <c r="T1391" s="23" t="str">
        <f t="shared" si="515"/>
        <v/>
      </c>
      <c r="U1391" t="str">
        <f t="shared" si="516"/>
        <v/>
      </c>
      <c r="X1391" s="71"/>
      <c r="Z1391" s="44"/>
      <c r="AF1391" s="22"/>
      <c r="AH1391" s="8"/>
      <c r="AL1391" s="23"/>
    </row>
    <row r="1392" spans="1:38">
      <c r="A1392" t="str">
        <f t="shared" si="517"/>
        <v>CA_Orang_2020p~l-rancho santiago community college district (vote 1)</v>
      </c>
      <c r="B1392" s="55" t="s">
        <v>3163</v>
      </c>
      <c r="D1392" s="55" t="s">
        <v>3342</v>
      </c>
      <c r="E1392" s="55" t="s">
        <v>3336</v>
      </c>
      <c r="G1392" s="60">
        <v>53927</v>
      </c>
      <c r="H1392" s="26">
        <f t="shared" si="518"/>
        <v>0.51838429668650088</v>
      </c>
      <c r="J1392" s="23">
        <v>104029</v>
      </c>
      <c r="K1392">
        <v>357</v>
      </c>
      <c r="L1392">
        <v>357</v>
      </c>
      <c r="N1392">
        <v>0</v>
      </c>
      <c r="O1392">
        <f t="shared" si="510"/>
        <v>1</v>
      </c>
      <c r="P1392" s="57">
        <f t="shared" si="511"/>
        <v>1</v>
      </c>
      <c r="Q1392" s="267">
        <f t="shared" si="512"/>
        <v>104039</v>
      </c>
      <c r="R1392" s="23">
        <f t="shared" si="513"/>
        <v>53927</v>
      </c>
      <c r="S1392" s="23">
        <f t="shared" si="514"/>
        <v>50112</v>
      </c>
      <c r="T1392" s="23">
        <f t="shared" si="515"/>
        <v>3815</v>
      </c>
      <c r="U1392" t="str">
        <f t="shared" si="516"/>
        <v>CA_Orang_2020p~l-rancho santiago community college district (vote 1)</v>
      </c>
      <c r="X1392" s="71"/>
      <c r="Z1392" s="44"/>
      <c r="AF1392" s="22"/>
    </row>
    <row r="1393" spans="1:38">
      <c r="A1393" t="str">
        <f t="shared" si="517"/>
        <v>CA_Orang_2020p~l-rancho santiago community college district (vote 1)</v>
      </c>
      <c r="B1393" s="55" t="s">
        <v>3163</v>
      </c>
      <c r="D1393" s="55" t="s">
        <v>3342</v>
      </c>
      <c r="E1393" s="55" t="s">
        <v>3335</v>
      </c>
      <c r="G1393" s="60">
        <v>50112</v>
      </c>
      <c r="H1393" s="26">
        <f t="shared" si="518"/>
        <v>0.48171183035499715</v>
      </c>
      <c r="J1393" s="23">
        <v>104029</v>
      </c>
      <c r="K1393">
        <v>357</v>
      </c>
      <c r="L1393">
        <v>357</v>
      </c>
      <c r="N1393">
        <v>0</v>
      </c>
      <c r="O1393">
        <f t="shared" si="510"/>
        <v>2</v>
      </c>
      <c r="P1393" s="57">
        <f t="shared" si="511"/>
        <v>1</v>
      </c>
      <c r="Q1393" s="267">
        <f t="shared" si="512"/>
        <v>50112</v>
      </c>
      <c r="R1393" s="23" t="str">
        <f t="shared" si="513"/>
        <v/>
      </c>
      <c r="S1393" s="23">
        <f t="shared" si="514"/>
        <v>50112</v>
      </c>
      <c r="T1393" s="23" t="str">
        <f t="shared" si="515"/>
        <v/>
      </c>
      <c r="U1393" t="str">
        <f t="shared" si="516"/>
        <v/>
      </c>
      <c r="X1393" s="71"/>
      <c r="Z1393" s="44"/>
      <c r="AF1393" s="22"/>
    </row>
    <row r="1394" spans="1:38">
      <c r="A1394" t="str">
        <f t="shared" si="517"/>
        <v>CA_Orang_2020p~member of the state assembly 55th district (top 2)</v>
      </c>
      <c r="B1394" s="55" t="s">
        <v>3163</v>
      </c>
      <c r="C1394">
        <v>2</v>
      </c>
      <c r="D1394" s="55" t="s">
        <v>3282</v>
      </c>
      <c r="E1394" s="55" t="s">
        <v>3283</v>
      </c>
      <c r="F1394" t="s">
        <v>1296</v>
      </c>
      <c r="G1394" s="60">
        <v>39424</v>
      </c>
      <c r="H1394" s="26">
        <f t="shared" si="518"/>
        <v>0.6053217460731779</v>
      </c>
      <c r="J1394" s="23">
        <v>65129</v>
      </c>
      <c r="K1394">
        <v>135</v>
      </c>
      <c r="L1394">
        <v>135</v>
      </c>
      <c r="N1394">
        <v>0</v>
      </c>
      <c r="O1394">
        <f t="shared" si="510"/>
        <v>1</v>
      </c>
      <c r="P1394" s="57">
        <f t="shared" si="511"/>
        <v>2</v>
      </c>
      <c r="Q1394" s="267">
        <f t="shared" si="512"/>
        <v>39424</v>
      </c>
      <c r="R1394" s="23">
        <f t="shared" si="513"/>
        <v>25595</v>
      </c>
      <c r="S1394" s="23">
        <f t="shared" si="514"/>
        <v>0</v>
      </c>
      <c r="T1394" s="23" t="str">
        <f t="shared" si="515"/>
        <v/>
      </c>
      <c r="U1394" t="str">
        <f t="shared" si="516"/>
        <v>CA_Orang_2020p~member of the state assembly 55th district (top 2)</v>
      </c>
      <c r="X1394" s="71"/>
      <c r="Z1394" s="44"/>
      <c r="AF1394" s="22"/>
    </row>
    <row r="1395" spans="1:38">
      <c r="A1395" t="str">
        <f t="shared" si="517"/>
        <v>CA_Orang_2020p~member of the state assembly 55th district (top 2)</v>
      </c>
      <c r="B1395" s="55" t="s">
        <v>3163</v>
      </c>
      <c r="C1395">
        <v>2</v>
      </c>
      <c r="D1395" s="55" t="s">
        <v>3282</v>
      </c>
      <c r="E1395" s="55" t="s">
        <v>3284</v>
      </c>
      <c r="F1395" t="s">
        <v>1294</v>
      </c>
      <c r="G1395" s="60">
        <v>25595</v>
      </c>
      <c r="H1395" s="26">
        <f t="shared" si="518"/>
        <v>0.39298929816210904</v>
      </c>
      <c r="J1395" s="23">
        <v>65129</v>
      </c>
      <c r="K1395">
        <v>135</v>
      </c>
      <c r="L1395">
        <v>135</v>
      </c>
      <c r="N1395">
        <v>0</v>
      </c>
      <c r="O1395">
        <f t="shared" si="510"/>
        <v>2</v>
      </c>
      <c r="P1395" s="57">
        <f t="shared" si="511"/>
        <v>2</v>
      </c>
      <c r="Q1395" s="267">
        <f t="shared" si="512"/>
        <v>25595</v>
      </c>
      <c r="R1395" s="23">
        <f t="shared" si="513"/>
        <v>25595</v>
      </c>
      <c r="S1395" s="23">
        <f t="shared" si="514"/>
        <v>0</v>
      </c>
      <c r="T1395" s="23" t="str">
        <f t="shared" si="515"/>
        <v/>
      </c>
      <c r="U1395" t="str">
        <f t="shared" si="516"/>
        <v/>
      </c>
      <c r="X1395" s="71"/>
      <c r="Z1395" s="44"/>
      <c r="AF1395" s="22"/>
    </row>
    <row r="1396" spans="1:38">
      <c r="A1396" t="str">
        <f t="shared" si="517"/>
        <v>CA_Orang_2020p~member of the state assembly 65th district (top 2)</v>
      </c>
      <c r="B1396" s="55" t="s">
        <v>3163</v>
      </c>
      <c r="C1396">
        <v>2</v>
      </c>
      <c r="D1396" s="55" t="s">
        <v>3285</v>
      </c>
      <c r="E1396" s="55" t="s">
        <v>3286</v>
      </c>
      <c r="F1396" t="s">
        <v>1294</v>
      </c>
      <c r="G1396" s="60">
        <v>54240</v>
      </c>
      <c r="H1396" s="26">
        <f t="shared" si="518"/>
        <v>0.57604078164825834</v>
      </c>
      <c r="J1396" s="23">
        <v>94160</v>
      </c>
      <c r="K1396">
        <v>255</v>
      </c>
      <c r="L1396">
        <v>255</v>
      </c>
      <c r="N1396">
        <v>0</v>
      </c>
      <c r="O1396">
        <f t="shared" si="510"/>
        <v>1</v>
      </c>
      <c r="P1396" s="57">
        <f t="shared" si="511"/>
        <v>2</v>
      </c>
      <c r="Q1396" s="267">
        <f t="shared" si="512"/>
        <v>54240</v>
      </c>
      <c r="R1396" s="23">
        <f t="shared" si="513"/>
        <v>39796</v>
      </c>
      <c r="S1396" s="23">
        <f t="shared" si="514"/>
        <v>0</v>
      </c>
      <c r="T1396" s="23" t="str">
        <f t="shared" si="515"/>
        <v/>
      </c>
      <c r="U1396" t="str">
        <f t="shared" si="516"/>
        <v>CA_Orang_2020p~member of the state assembly 65th district (top 2)</v>
      </c>
      <c r="X1396" s="71"/>
      <c r="Z1396" s="44"/>
      <c r="AF1396" s="22"/>
    </row>
    <row r="1397" spans="1:38">
      <c r="A1397" t="str">
        <f t="shared" si="517"/>
        <v>CA_Orang_2020p~member of the state assembly 65th district (top 2)</v>
      </c>
      <c r="B1397" s="55" t="s">
        <v>3163</v>
      </c>
      <c r="C1397">
        <v>2</v>
      </c>
      <c r="D1397" s="55" t="s">
        <v>3285</v>
      </c>
      <c r="E1397" s="55" t="s">
        <v>3287</v>
      </c>
      <c r="F1397" t="s">
        <v>1296</v>
      </c>
      <c r="G1397" s="60">
        <v>39796</v>
      </c>
      <c r="H1397" s="26">
        <f t="shared" si="518"/>
        <v>0.42264231096006799</v>
      </c>
      <c r="J1397" s="23">
        <v>94160</v>
      </c>
      <c r="K1397">
        <v>255</v>
      </c>
      <c r="L1397">
        <v>255</v>
      </c>
      <c r="N1397">
        <v>0</v>
      </c>
      <c r="O1397">
        <f t="shared" si="510"/>
        <v>2</v>
      </c>
      <c r="P1397" s="57">
        <f t="shared" si="511"/>
        <v>2</v>
      </c>
      <c r="Q1397" s="267">
        <f t="shared" si="512"/>
        <v>39796</v>
      </c>
      <c r="R1397" s="23">
        <f t="shared" si="513"/>
        <v>39796</v>
      </c>
      <c r="S1397" s="23">
        <f t="shared" si="514"/>
        <v>0</v>
      </c>
      <c r="T1397" s="23" t="str">
        <f t="shared" si="515"/>
        <v/>
      </c>
      <c r="U1397" t="str">
        <f t="shared" si="516"/>
        <v/>
      </c>
      <c r="X1397" s="71"/>
      <c r="Z1397" s="44"/>
      <c r="AF1397" s="22"/>
      <c r="AH1397" s="8"/>
      <c r="AL1397" s="23"/>
    </row>
    <row r="1398" spans="1:38">
      <c r="A1398" t="str">
        <f t="shared" si="517"/>
        <v>CA_Orang_2020p~member of the state assembly 68th district (top 2)</v>
      </c>
      <c r="B1398" s="55" t="s">
        <v>3163</v>
      </c>
      <c r="C1398">
        <v>2</v>
      </c>
      <c r="D1398" s="55" t="s">
        <v>3288</v>
      </c>
      <c r="E1398" s="55" t="s">
        <v>3291</v>
      </c>
      <c r="F1398" t="s">
        <v>1296</v>
      </c>
      <c r="G1398" s="60">
        <v>57633</v>
      </c>
      <c r="H1398" s="26">
        <f t="shared" si="518"/>
        <v>0.43895807151833655</v>
      </c>
      <c r="J1398" s="23">
        <v>131295</v>
      </c>
      <c r="K1398">
        <v>391</v>
      </c>
      <c r="L1398">
        <v>391</v>
      </c>
      <c r="N1398">
        <v>0</v>
      </c>
      <c r="O1398">
        <f t="shared" si="510"/>
        <v>1</v>
      </c>
      <c r="P1398" s="57">
        <f t="shared" si="511"/>
        <v>2</v>
      </c>
      <c r="Q1398" s="267">
        <f t="shared" si="512"/>
        <v>65750.5</v>
      </c>
      <c r="R1398" s="23">
        <f t="shared" si="513"/>
        <v>44033</v>
      </c>
      <c r="S1398" s="23">
        <f t="shared" si="514"/>
        <v>17332</v>
      </c>
      <c r="T1398" s="23">
        <f t="shared" si="515"/>
        <v>26701</v>
      </c>
      <c r="U1398" t="str">
        <f t="shared" si="516"/>
        <v>CA_Orang_2020p~member of the state assembly 68th district (top 2)</v>
      </c>
      <c r="X1398" s="71"/>
      <c r="Z1398" s="44"/>
      <c r="AF1398" s="22"/>
    </row>
    <row r="1399" spans="1:38">
      <c r="A1399" t="str">
        <f t="shared" si="517"/>
        <v>CA_Orang_2020p~member of the state assembly 68th district (top 2)</v>
      </c>
      <c r="B1399" s="55" t="s">
        <v>3163</v>
      </c>
      <c r="C1399">
        <v>2</v>
      </c>
      <c r="D1399" s="55" t="s">
        <v>3288</v>
      </c>
      <c r="E1399" s="55" t="s">
        <v>3292</v>
      </c>
      <c r="F1399" t="s">
        <v>1294</v>
      </c>
      <c r="G1399" s="60">
        <v>44033</v>
      </c>
      <c r="H1399" s="26">
        <f t="shared" si="518"/>
        <v>0.33537453825355118</v>
      </c>
      <c r="J1399" s="23">
        <v>131295</v>
      </c>
      <c r="K1399">
        <v>391</v>
      </c>
      <c r="L1399">
        <v>391</v>
      </c>
      <c r="N1399">
        <v>0</v>
      </c>
      <c r="O1399">
        <f t="shared" si="510"/>
        <v>2</v>
      </c>
      <c r="P1399" s="57">
        <f t="shared" si="511"/>
        <v>2</v>
      </c>
      <c r="Q1399" s="267">
        <f t="shared" si="512"/>
        <v>73868</v>
      </c>
      <c r="R1399" s="23">
        <f t="shared" si="513"/>
        <v>44033</v>
      </c>
      <c r="S1399" s="23">
        <f t="shared" si="514"/>
        <v>17332</v>
      </c>
      <c r="T1399" s="23" t="str">
        <f t="shared" si="515"/>
        <v/>
      </c>
      <c r="U1399" t="str">
        <f t="shared" si="516"/>
        <v/>
      </c>
      <c r="X1399" s="71"/>
      <c r="Z1399" s="44"/>
      <c r="AF1399" s="22"/>
      <c r="AG1399" s="302"/>
      <c r="AH1399" s="301"/>
      <c r="AI1399" s="303"/>
      <c r="AJ1399" s="303"/>
      <c r="AK1399" s="342"/>
      <c r="AL1399" s="343"/>
    </row>
    <row r="1400" spans="1:38">
      <c r="A1400" t="str">
        <f t="shared" si="517"/>
        <v>CA_Orang_2020p~member of the state assembly 68th district (top 2)</v>
      </c>
      <c r="B1400" s="55" t="s">
        <v>3163</v>
      </c>
      <c r="C1400">
        <v>2</v>
      </c>
      <c r="D1400" s="55" t="s">
        <v>3288</v>
      </c>
      <c r="E1400" s="55" t="s">
        <v>3290</v>
      </c>
      <c r="F1400" t="s">
        <v>1294</v>
      </c>
      <c r="G1400" s="60">
        <v>17332</v>
      </c>
      <c r="H1400" s="26">
        <f t="shared" si="518"/>
        <v>0.13200807342244564</v>
      </c>
      <c r="J1400" s="23">
        <v>131295</v>
      </c>
      <c r="K1400">
        <v>391</v>
      </c>
      <c r="L1400">
        <v>391</v>
      </c>
      <c r="N1400">
        <v>0</v>
      </c>
      <c r="O1400">
        <f t="shared" si="510"/>
        <v>3</v>
      </c>
      <c r="P1400" s="57">
        <f t="shared" si="511"/>
        <v>2</v>
      </c>
      <c r="Q1400" s="267">
        <f t="shared" si="512"/>
        <v>29835</v>
      </c>
      <c r="R1400" s="23" t="str">
        <f t="shared" si="513"/>
        <v/>
      </c>
      <c r="S1400" s="23">
        <f t="shared" si="514"/>
        <v>17332</v>
      </c>
      <c r="T1400" s="23" t="str">
        <f t="shared" si="515"/>
        <v/>
      </c>
      <c r="U1400" t="str">
        <f t="shared" si="516"/>
        <v/>
      </c>
      <c r="X1400" s="71"/>
      <c r="Z1400" s="44"/>
      <c r="AF1400" s="22"/>
      <c r="AG1400" s="23"/>
      <c r="AH1400" s="8"/>
      <c r="AL1400" s="344"/>
    </row>
    <row r="1401" spans="1:38">
      <c r="A1401" t="str">
        <f t="shared" si="517"/>
        <v>CA_Orang_2020p~member of the state assembly 68th district (top 2)</v>
      </c>
      <c r="B1401" s="55" t="s">
        <v>3163</v>
      </c>
      <c r="C1401">
        <v>2</v>
      </c>
      <c r="D1401" s="55" t="s">
        <v>3288</v>
      </c>
      <c r="E1401" s="55" t="s">
        <v>3289</v>
      </c>
      <c r="F1401" t="s">
        <v>1296</v>
      </c>
      <c r="G1401" s="60">
        <v>12503</v>
      </c>
      <c r="H1401" s="26">
        <f t="shared" si="518"/>
        <v>9.5228302677177343E-2</v>
      </c>
      <c r="J1401" s="23">
        <v>131295</v>
      </c>
      <c r="K1401">
        <v>391</v>
      </c>
      <c r="L1401">
        <v>391</v>
      </c>
      <c r="N1401">
        <v>0</v>
      </c>
      <c r="O1401">
        <f t="shared" si="510"/>
        <v>4</v>
      </c>
      <c r="P1401" s="57">
        <f t="shared" si="511"/>
        <v>2</v>
      </c>
      <c r="Q1401" s="267">
        <f t="shared" si="512"/>
        <v>12503</v>
      </c>
      <c r="R1401" s="23" t="str">
        <f t="shared" si="513"/>
        <v/>
      </c>
      <c r="S1401" s="23">
        <f t="shared" si="514"/>
        <v>12503</v>
      </c>
      <c r="T1401" s="23" t="str">
        <f t="shared" si="515"/>
        <v/>
      </c>
      <c r="U1401" t="str">
        <f t="shared" si="516"/>
        <v/>
      </c>
      <c r="X1401" s="71"/>
      <c r="Z1401" s="44"/>
      <c r="AF1401" s="22"/>
    </row>
    <row r="1402" spans="1:38">
      <c r="A1402" t="str">
        <f t="shared" si="517"/>
        <v>CA_Orang_2020p~member of the state assembly 69th district (top 2)</v>
      </c>
      <c r="B1402" s="55" t="s">
        <v>3163</v>
      </c>
      <c r="C1402">
        <v>2</v>
      </c>
      <c r="D1402" s="55" t="s">
        <v>3293</v>
      </c>
      <c r="E1402" s="55" t="s">
        <v>3295</v>
      </c>
      <c r="F1402" t="s">
        <v>1294</v>
      </c>
      <c r="G1402" s="60">
        <v>44015</v>
      </c>
      <c r="H1402" s="26">
        <f t="shared" si="518"/>
        <v>0.73533588385652471</v>
      </c>
      <c r="J1402" s="23">
        <v>59857</v>
      </c>
      <c r="K1402">
        <v>130</v>
      </c>
      <c r="L1402">
        <v>130</v>
      </c>
      <c r="N1402">
        <v>0</v>
      </c>
      <c r="O1402">
        <f t="shared" si="510"/>
        <v>1</v>
      </c>
      <c r="P1402" s="57">
        <f t="shared" si="511"/>
        <v>2</v>
      </c>
      <c r="Q1402" s="267">
        <f t="shared" si="512"/>
        <v>44015</v>
      </c>
      <c r="R1402" s="23">
        <f t="shared" si="513"/>
        <v>15555</v>
      </c>
      <c r="S1402" s="23">
        <f t="shared" si="514"/>
        <v>0</v>
      </c>
      <c r="T1402" s="23" t="str">
        <f t="shared" si="515"/>
        <v/>
      </c>
      <c r="U1402" t="str">
        <f t="shared" si="516"/>
        <v>CA_Orang_2020p~member of the state assembly 69th district (top 2)</v>
      </c>
      <c r="X1402" s="71"/>
      <c r="Z1402" s="44"/>
      <c r="AF1402" s="22"/>
    </row>
    <row r="1403" spans="1:38">
      <c r="A1403" t="str">
        <f t="shared" si="517"/>
        <v>CA_Orang_2020p~member of the state assembly 69th district (top 2)</v>
      </c>
      <c r="B1403" s="55" t="s">
        <v>3163</v>
      </c>
      <c r="C1403">
        <v>2</v>
      </c>
      <c r="D1403" s="55" t="s">
        <v>3293</v>
      </c>
      <c r="E1403" s="55" t="s">
        <v>3294</v>
      </c>
      <c r="F1403" t="s">
        <v>1296</v>
      </c>
      <c r="G1403" s="60">
        <v>15555</v>
      </c>
      <c r="H1403" s="26">
        <f t="shared" si="518"/>
        <v>0.25986935529679067</v>
      </c>
      <c r="J1403" s="23">
        <v>59857</v>
      </c>
      <c r="K1403">
        <v>130</v>
      </c>
      <c r="L1403">
        <v>130</v>
      </c>
      <c r="N1403">
        <v>0</v>
      </c>
      <c r="O1403">
        <f t="shared" si="510"/>
        <v>2</v>
      </c>
      <c r="P1403" s="57">
        <f t="shared" si="511"/>
        <v>2</v>
      </c>
      <c r="Q1403" s="267">
        <f t="shared" si="512"/>
        <v>15555</v>
      </c>
      <c r="R1403" s="23">
        <f t="shared" si="513"/>
        <v>15555</v>
      </c>
      <c r="S1403" s="23">
        <f t="shared" si="514"/>
        <v>0</v>
      </c>
      <c r="T1403" s="23" t="str">
        <f t="shared" si="515"/>
        <v/>
      </c>
      <c r="U1403" t="str">
        <f t="shared" si="516"/>
        <v/>
      </c>
      <c r="X1403" s="71"/>
      <c r="Z1403" s="44"/>
      <c r="AF1403" s="22"/>
      <c r="AL1403" s="344"/>
    </row>
    <row r="1404" spans="1:38">
      <c r="A1404" t="str">
        <f t="shared" si="517"/>
        <v>CA_Orang_2020p~member of the state assembly 72nd district (top 2)</v>
      </c>
      <c r="B1404" s="55" t="s">
        <v>3163</v>
      </c>
      <c r="C1404">
        <v>2</v>
      </c>
      <c r="D1404" s="55" t="s">
        <v>3296</v>
      </c>
      <c r="E1404" s="55" t="s">
        <v>3300</v>
      </c>
      <c r="F1404" t="s">
        <v>1296</v>
      </c>
      <c r="G1404" s="60">
        <v>39778</v>
      </c>
      <c r="H1404" s="26">
        <f t="shared" si="518"/>
        <v>0.3383979310579508</v>
      </c>
      <c r="J1404" s="23">
        <v>117548</v>
      </c>
      <c r="K1404">
        <v>222</v>
      </c>
      <c r="L1404">
        <v>222</v>
      </c>
      <c r="N1404">
        <v>0</v>
      </c>
      <c r="O1404">
        <f t="shared" si="510"/>
        <v>1</v>
      </c>
      <c r="P1404" s="57">
        <f t="shared" si="511"/>
        <v>2</v>
      </c>
      <c r="Q1404" s="267">
        <f t="shared" si="512"/>
        <v>58826.5</v>
      </c>
      <c r="R1404" s="23">
        <f t="shared" si="513"/>
        <v>30021</v>
      </c>
      <c r="S1404" s="23">
        <f t="shared" si="514"/>
        <v>29186</v>
      </c>
      <c r="T1404" s="23">
        <f t="shared" si="515"/>
        <v>835</v>
      </c>
      <c r="U1404" t="str">
        <f t="shared" si="516"/>
        <v>CA_Orang_2020p~member of the state assembly 72nd district (top 2)</v>
      </c>
      <c r="X1404" s="71"/>
      <c r="Z1404" s="44"/>
      <c r="AF1404" s="22"/>
    </row>
    <row r="1405" spans="1:38">
      <c r="A1405" t="str">
        <f t="shared" si="517"/>
        <v>CA_Orang_2020p~member of the state assembly 72nd district (top 2)</v>
      </c>
      <c r="B1405" s="55" t="s">
        <v>3163</v>
      </c>
      <c r="C1405">
        <v>2</v>
      </c>
      <c r="D1405" s="55" t="s">
        <v>3296</v>
      </c>
      <c r="E1405" s="55" t="s">
        <v>3298</v>
      </c>
      <c r="F1405" t="s">
        <v>1294</v>
      </c>
      <c r="G1405" s="60">
        <v>30021</v>
      </c>
      <c r="H1405" s="26">
        <f t="shared" si="518"/>
        <v>0.25539354136182668</v>
      </c>
      <c r="J1405" s="23">
        <v>117548</v>
      </c>
      <c r="K1405">
        <v>222</v>
      </c>
      <c r="L1405">
        <v>222</v>
      </c>
      <c r="N1405">
        <v>0</v>
      </c>
      <c r="O1405">
        <f t="shared" si="510"/>
        <v>2</v>
      </c>
      <c r="P1405" s="57">
        <f t="shared" si="511"/>
        <v>2</v>
      </c>
      <c r="Q1405" s="267">
        <f t="shared" si="512"/>
        <v>77875</v>
      </c>
      <c r="R1405" s="23">
        <f t="shared" si="513"/>
        <v>30021</v>
      </c>
      <c r="S1405" s="23">
        <f t="shared" si="514"/>
        <v>29186</v>
      </c>
      <c r="T1405" s="23" t="str">
        <f t="shared" si="515"/>
        <v/>
      </c>
      <c r="U1405" t="str">
        <f t="shared" si="516"/>
        <v/>
      </c>
      <c r="X1405" s="71"/>
      <c r="Z1405" s="44"/>
      <c r="AF1405" s="22"/>
    </row>
    <row r="1406" spans="1:38">
      <c r="A1406" t="str">
        <f t="shared" si="517"/>
        <v>CA_Orang_2020p~member of the state assembly 72nd district (top 2)</v>
      </c>
      <c r="B1406" s="55" t="s">
        <v>3163</v>
      </c>
      <c r="C1406">
        <v>2</v>
      </c>
      <c r="D1406" s="55" t="s">
        <v>3296</v>
      </c>
      <c r="E1406" s="55" t="s">
        <v>3297</v>
      </c>
      <c r="F1406" t="s">
        <v>1296</v>
      </c>
      <c r="G1406" s="60">
        <v>29186</v>
      </c>
      <c r="H1406" s="26">
        <f t="shared" si="518"/>
        <v>0.24829006023071426</v>
      </c>
      <c r="J1406" s="23">
        <v>117548</v>
      </c>
      <c r="K1406">
        <v>222</v>
      </c>
      <c r="L1406">
        <v>222</v>
      </c>
      <c r="N1406">
        <v>0</v>
      </c>
      <c r="O1406">
        <f t="shared" si="510"/>
        <v>3</v>
      </c>
      <c r="P1406" s="57">
        <f t="shared" si="511"/>
        <v>2</v>
      </c>
      <c r="Q1406" s="267">
        <f t="shared" si="512"/>
        <v>47854</v>
      </c>
      <c r="R1406" s="23" t="str">
        <f t="shared" si="513"/>
        <v/>
      </c>
      <c r="S1406" s="23">
        <f t="shared" si="514"/>
        <v>29186</v>
      </c>
      <c r="T1406" s="23" t="str">
        <f t="shared" si="515"/>
        <v/>
      </c>
      <c r="U1406" t="str">
        <f t="shared" si="516"/>
        <v/>
      </c>
      <c r="X1406" s="71"/>
      <c r="Z1406" s="44"/>
      <c r="AF1406" s="22"/>
    </row>
    <row r="1407" spans="1:38">
      <c r="A1407" t="str">
        <f t="shared" si="517"/>
        <v>CA_Orang_2020p~member of the state assembly 72nd district (top 2)</v>
      </c>
      <c r="B1407" s="55" t="s">
        <v>3163</v>
      </c>
      <c r="C1407">
        <v>2</v>
      </c>
      <c r="D1407" s="55" t="s">
        <v>3296</v>
      </c>
      <c r="E1407" s="55" t="s">
        <v>3299</v>
      </c>
      <c r="F1407" t="s">
        <v>1294</v>
      </c>
      <c r="G1407" s="60">
        <v>18668</v>
      </c>
      <c r="H1407" s="26">
        <f t="shared" si="518"/>
        <v>0.15881171946779188</v>
      </c>
      <c r="J1407" s="23">
        <v>117548</v>
      </c>
      <c r="K1407">
        <v>222</v>
      </c>
      <c r="L1407">
        <v>222</v>
      </c>
      <c r="N1407">
        <v>0</v>
      </c>
      <c r="O1407">
        <f t="shared" si="510"/>
        <v>4</v>
      </c>
      <c r="P1407" s="57">
        <f t="shared" si="511"/>
        <v>2</v>
      </c>
      <c r="Q1407" s="267">
        <f t="shared" si="512"/>
        <v>18668</v>
      </c>
      <c r="R1407" s="23" t="str">
        <f t="shared" si="513"/>
        <v/>
      </c>
      <c r="S1407" s="23">
        <f t="shared" si="514"/>
        <v>18668</v>
      </c>
      <c r="T1407" s="23" t="str">
        <f t="shared" si="515"/>
        <v/>
      </c>
      <c r="U1407" t="str">
        <f t="shared" si="516"/>
        <v/>
      </c>
      <c r="X1407" s="71"/>
      <c r="Z1407" s="44"/>
      <c r="AF1407" s="22"/>
      <c r="AH1407" s="8"/>
      <c r="AL1407" s="23"/>
    </row>
    <row r="1408" spans="1:38">
      <c r="A1408" t="str">
        <f t="shared" si="517"/>
        <v>CA_Orang_2020p~member of the state assembly 73rd district (top 2)</v>
      </c>
      <c r="B1408" s="55" t="s">
        <v>3163</v>
      </c>
      <c r="C1408">
        <v>2</v>
      </c>
      <c r="D1408" s="55" t="s">
        <v>3301</v>
      </c>
      <c r="E1408" s="55" t="s">
        <v>3303</v>
      </c>
      <c r="F1408" t="s">
        <v>1296</v>
      </c>
      <c r="G1408" s="60">
        <v>41499</v>
      </c>
      <c r="H1408" s="26">
        <f t="shared" si="518"/>
        <v>0.27413430923095217</v>
      </c>
      <c r="J1408" s="23">
        <v>151382</v>
      </c>
      <c r="K1408">
        <v>275</v>
      </c>
      <c r="L1408">
        <v>275</v>
      </c>
      <c r="N1408">
        <v>0</v>
      </c>
      <c r="O1408">
        <f t="shared" si="510"/>
        <v>1</v>
      </c>
      <c r="P1408" s="57">
        <f t="shared" si="511"/>
        <v>2</v>
      </c>
      <c r="Q1408" s="267">
        <f t="shared" si="512"/>
        <v>76016</v>
      </c>
      <c r="R1408" s="23">
        <f t="shared" si="513"/>
        <v>36170</v>
      </c>
      <c r="S1408" s="23">
        <f t="shared" si="514"/>
        <v>27993</v>
      </c>
      <c r="T1408" s="23">
        <f t="shared" si="515"/>
        <v>8177</v>
      </c>
      <c r="U1408" t="str">
        <f t="shared" si="516"/>
        <v>CA_Orang_2020p~member of the state assembly 73rd district (top 2)</v>
      </c>
      <c r="X1408" s="71"/>
      <c r="Z1408" s="44"/>
      <c r="AF1408" s="22"/>
    </row>
    <row r="1409" spans="1:45">
      <c r="A1409" t="str">
        <f t="shared" si="517"/>
        <v>CA_Orang_2020p~member of the state assembly 73rd district (top 2)</v>
      </c>
      <c r="B1409" s="55" t="s">
        <v>3163</v>
      </c>
      <c r="C1409">
        <v>2</v>
      </c>
      <c r="D1409" s="55" t="s">
        <v>3301</v>
      </c>
      <c r="E1409" s="55" t="s">
        <v>3302</v>
      </c>
      <c r="F1409" t="s">
        <v>1294</v>
      </c>
      <c r="G1409" s="60">
        <v>36170</v>
      </c>
      <c r="H1409" s="26">
        <f t="shared" si="518"/>
        <v>0.23893197341823996</v>
      </c>
      <c r="J1409" s="23">
        <v>151382</v>
      </c>
      <c r="K1409">
        <v>275</v>
      </c>
      <c r="L1409">
        <v>275</v>
      </c>
      <c r="N1409">
        <v>0</v>
      </c>
      <c r="O1409">
        <f t="shared" si="510"/>
        <v>2</v>
      </c>
      <c r="P1409" s="57">
        <f t="shared" si="511"/>
        <v>2</v>
      </c>
      <c r="Q1409" s="267">
        <f t="shared" si="512"/>
        <v>110533</v>
      </c>
      <c r="R1409" s="23">
        <f t="shared" si="513"/>
        <v>36170</v>
      </c>
      <c r="S1409" s="23">
        <f t="shared" si="514"/>
        <v>27993</v>
      </c>
      <c r="T1409" s="23" t="str">
        <f t="shared" si="515"/>
        <v/>
      </c>
      <c r="U1409" t="str">
        <f t="shared" si="516"/>
        <v/>
      </c>
      <c r="X1409" s="71"/>
      <c r="Z1409" s="44"/>
      <c r="AF1409" s="22"/>
      <c r="AO1409" s="356"/>
      <c r="AP1409" s="356"/>
      <c r="AQ1409" s="394"/>
      <c r="AR1409" s="394"/>
      <c r="AS1409" s="394"/>
    </row>
    <row r="1410" spans="1:45">
      <c r="A1410" t="str">
        <f t="shared" si="517"/>
        <v>CA_Orang_2020p~member of the state assembly 73rd district (top 2)</v>
      </c>
      <c r="B1410" s="55" t="s">
        <v>3163</v>
      </c>
      <c r="C1410">
        <v>2</v>
      </c>
      <c r="D1410" s="55" t="s">
        <v>3301</v>
      </c>
      <c r="E1410" s="55" t="s">
        <v>3306</v>
      </c>
      <c r="F1410" t="s">
        <v>1294</v>
      </c>
      <c r="G1410" s="60">
        <v>27993</v>
      </c>
      <c r="H1410" s="26">
        <f t="shared" si="518"/>
        <v>0.18491630444834922</v>
      </c>
      <c r="J1410" s="23">
        <v>151382</v>
      </c>
      <c r="K1410">
        <v>275</v>
      </c>
      <c r="L1410">
        <v>275</v>
      </c>
      <c r="N1410">
        <v>0</v>
      </c>
      <c r="O1410">
        <f t="shared" ref="O1410:O1473" si="519">IF(OR(LOWER(LEFT(E1410,8))="write-in",LOWER(LEFT(E1410,8))="not qual"),IF(A1410=A1409,-ABS(O1409),0),IF(A1410=A1409,ABS(O1409)+1,1))</f>
        <v>3</v>
      </c>
      <c r="P1410" s="57">
        <f t="shared" ref="P1410:P1473" si="520">1*LEFT(RIGHT(A1410,2),1)</f>
        <v>2</v>
      </c>
      <c r="Q1410" s="267">
        <f t="shared" ref="Q1410:Q1473" si="521">IF(A1410&lt;&gt;A1411,G1410,IF(A1410=A1409,G1410+Q1411,MAX(G1410,(G1410+Q1411)/P1410)))</f>
        <v>74363</v>
      </c>
      <c r="R1410" s="23" t="str">
        <f t="shared" ref="R1410:R1473" si="522">IF(O1410&gt;P1410,"",IF(O1410=P1410,G1410,IF(A1410=A1411,R1411,IF(O1410&lt;=0,1,G1410))))</f>
        <v/>
      </c>
      <c r="S1410" s="23">
        <f t="shared" ref="S1410:S1473" si="523">IF(AND(O1410&gt;P1410,LOWER(LEFT(E1410,8))&lt;&gt;"write-in",LOWER(LEFT(E1410,8))&lt;&gt;"not qual"),G1410,IF(A1410=A1411,S1411,0))</f>
        <v>27993</v>
      </c>
      <c r="T1410" s="23" t="str">
        <f t="shared" ref="T1410:T1473" si="524">IF(OR(A1410=A1409,S1410=0),"",R1410-ABS(S1410))</f>
        <v/>
      </c>
      <c r="U1410" t="str">
        <f t="shared" ref="U1410:U1473" si="525">IF(A1410=A1409,"",A1410)</f>
        <v/>
      </c>
      <c r="X1410" s="71"/>
      <c r="Z1410" s="44"/>
      <c r="AF1410" s="22"/>
      <c r="AH1410" s="8"/>
      <c r="AL1410" s="23"/>
    </row>
    <row r="1411" spans="1:45">
      <c r="A1411" t="str">
        <f t="shared" si="517"/>
        <v>CA_Orang_2020p~member of the state assembly 73rd district (top 2)</v>
      </c>
      <c r="B1411" s="55" t="s">
        <v>3163</v>
      </c>
      <c r="C1411">
        <v>2</v>
      </c>
      <c r="D1411" s="55" t="s">
        <v>3301</v>
      </c>
      <c r="E1411" s="55" t="s">
        <v>3304</v>
      </c>
      <c r="F1411" t="s">
        <v>1296</v>
      </c>
      <c r="G1411" s="60">
        <v>25281</v>
      </c>
      <c r="H1411" s="26">
        <f t="shared" si="518"/>
        <v>0.16700136079586742</v>
      </c>
      <c r="J1411" s="23">
        <v>151382</v>
      </c>
      <c r="K1411">
        <v>275</v>
      </c>
      <c r="L1411">
        <v>275</v>
      </c>
      <c r="N1411">
        <v>0</v>
      </c>
      <c r="O1411">
        <f t="shared" si="519"/>
        <v>4</v>
      </c>
      <c r="P1411" s="57">
        <f t="shared" si="520"/>
        <v>2</v>
      </c>
      <c r="Q1411" s="267">
        <f t="shared" si="521"/>
        <v>46370</v>
      </c>
      <c r="R1411" s="23" t="str">
        <f t="shared" si="522"/>
        <v/>
      </c>
      <c r="S1411" s="23">
        <f t="shared" si="523"/>
        <v>25281</v>
      </c>
      <c r="T1411" s="23" t="str">
        <f t="shared" si="524"/>
        <v/>
      </c>
      <c r="U1411" t="str">
        <f t="shared" si="525"/>
        <v/>
      </c>
      <c r="X1411" s="71"/>
      <c r="Z1411" s="44"/>
      <c r="AF1411" s="22"/>
      <c r="AH1411" s="8"/>
      <c r="AL1411" s="23"/>
    </row>
    <row r="1412" spans="1:45">
      <c r="A1412" t="str">
        <f t="shared" si="517"/>
        <v>CA_Orang_2020p~member of the state assembly 73rd district (top 2)</v>
      </c>
      <c r="B1412" s="55" t="s">
        <v>3163</v>
      </c>
      <c r="C1412">
        <v>2</v>
      </c>
      <c r="D1412" s="55" t="s">
        <v>3301</v>
      </c>
      <c r="E1412" s="55" t="s">
        <v>3305</v>
      </c>
      <c r="F1412" t="s">
        <v>1296</v>
      </c>
      <c r="G1412" s="60">
        <v>21089</v>
      </c>
      <c r="H1412" s="26">
        <f t="shared" si="518"/>
        <v>0.13930982547462711</v>
      </c>
      <c r="J1412" s="23">
        <v>151382</v>
      </c>
      <c r="K1412">
        <v>275</v>
      </c>
      <c r="L1412">
        <v>275</v>
      </c>
      <c r="N1412">
        <v>0</v>
      </c>
      <c r="O1412">
        <f t="shared" si="519"/>
        <v>5</v>
      </c>
      <c r="P1412" s="57">
        <f t="shared" si="520"/>
        <v>2</v>
      </c>
      <c r="Q1412" s="267">
        <f t="shared" si="521"/>
        <v>21089</v>
      </c>
      <c r="R1412" s="23" t="str">
        <f t="shared" si="522"/>
        <v/>
      </c>
      <c r="S1412" s="23">
        <f t="shared" si="523"/>
        <v>21089</v>
      </c>
      <c r="T1412" s="23" t="str">
        <f t="shared" si="524"/>
        <v/>
      </c>
      <c r="U1412" t="str">
        <f t="shared" si="525"/>
        <v/>
      </c>
      <c r="X1412" s="71"/>
      <c r="Z1412" s="44"/>
      <c r="AF1412" s="22"/>
    </row>
    <row r="1413" spans="1:45">
      <c r="A1413" t="str">
        <f t="shared" si="517"/>
        <v>CA_Orang_2020p~member of the state assembly 74th district (top 2)</v>
      </c>
      <c r="B1413" s="55" t="s">
        <v>3163</v>
      </c>
      <c r="C1413">
        <v>2</v>
      </c>
      <c r="D1413" s="55" t="s">
        <v>3307</v>
      </c>
      <c r="E1413" s="55" t="s">
        <v>3309</v>
      </c>
      <c r="F1413" t="s">
        <v>1294</v>
      </c>
      <c r="G1413" s="60">
        <v>76081</v>
      </c>
      <c r="H1413" s="26">
        <f t="shared" si="518"/>
        <v>0.52538861534849357</v>
      </c>
      <c r="J1413" s="23">
        <v>144809</v>
      </c>
      <c r="K1413">
        <v>295</v>
      </c>
      <c r="L1413">
        <v>295</v>
      </c>
      <c r="N1413">
        <v>0</v>
      </c>
      <c r="O1413">
        <f t="shared" si="519"/>
        <v>1</v>
      </c>
      <c r="P1413" s="57">
        <f t="shared" si="520"/>
        <v>2</v>
      </c>
      <c r="Q1413" s="267">
        <f t="shared" si="521"/>
        <v>76081</v>
      </c>
      <c r="R1413" s="23">
        <f t="shared" si="522"/>
        <v>36683</v>
      </c>
      <c r="S1413" s="23">
        <f t="shared" si="523"/>
        <v>32602</v>
      </c>
      <c r="T1413" s="23">
        <f t="shared" si="524"/>
        <v>4081</v>
      </c>
      <c r="U1413" t="str">
        <f t="shared" si="525"/>
        <v>CA_Orang_2020p~member of the state assembly 74th district (top 2)</v>
      </c>
      <c r="X1413" s="71"/>
      <c r="Z1413" s="44"/>
      <c r="AF1413" s="22"/>
    </row>
    <row r="1414" spans="1:45">
      <c r="A1414" t="str">
        <f t="shared" si="517"/>
        <v>CA_Orang_2020p~member of the state assembly 74th district (top 2)</v>
      </c>
      <c r="B1414" s="55" t="s">
        <v>3163</v>
      </c>
      <c r="C1414">
        <v>2</v>
      </c>
      <c r="D1414" s="55" t="s">
        <v>3307</v>
      </c>
      <c r="E1414" s="55" t="s">
        <v>3308</v>
      </c>
      <c r="F1414" t="s">
        <v>1296</v>
      </c>
      <c r="G1414" s="60">
        <v>36683</v>
      </c>
      <c r="H1414" s="26">
        <f t="shared" si="518"/>
        <v>0.25331989033830771</v>
      </c>
      <c r="J1414" s="23">
        <v>144809</v>
      </c>
      <c r="K1414">
        <v>295</v>
      </c>
      <c r="L1414">
        <v>295</v>
      </c>
      <c r="N1414">
        <v>0</v>
      </c>
      <c r="O1414">
        <f t="shared" si="519"/>
        <v>2</v>
      </c>
      <c r="P1414" s="57">
        <f t="shared" si="520"/>
        <v>2</v>
      </c>
      <c r="Q1414" s="267">
        <f t="shared" si="521"/>
        <v>69285</v>
      </c>
      <c r="R1414" s="23">
        <f t="shared" si="522"/>
        <v>36683</v>
      </c>
      <c r="S1414" s="23">
        <f t="shared" si="523"/>
        <v>32602</v>
      </c>
      <c r="T1414" s="23" t="str">
        <f t="shared" si="524"/>
        <v/>
      </c>
      <c r="U1414" t="str">
        <f t="shared" si="525"/>
        <v/>
      </c>
      <c r="X1414" s="71"/>
      <c r="Z1414" s="44"/>
      <c r="AF1414" s="22"/>
    </row>
    <row r="1415" spans="1:45">
      <c r="A1415" t="str">
        <f t="shared" si="517"/>
        <v>CA_Orang_2020p~member of the state assembly 74th district (top 2)</v>
      </c>
      <c r="B1415" s="55" t="s">
        <v>3163</v>
      </c>
      <c r="C1415">
        <v>2</v>
      </c>
      <c r="D1415" s="55" t="s">
        <v>3307</v>
      </c>
      <c r="E1415" s="55" t="s">
        <v>3310</v>
      </c>
      <c r="F1415" t="s">
        <v>1296</v>
      </c>
      <c r="G1415" s="60">
        <v>32602</v>
      </c>
      <c r="H1415" s="26">
        <f t="shared" si="518"/>
        <v>0.22513794032138887</v>
      </c>
      <c r="J1415" s="23">
        <v>144809</v>
      </c>
      <c r="K1415">
        <v>295</v>
      </c>
      <c r="L1415">
        <v>295</v>
      </c>
      <c r="N1415">
        <v>0</v>
      </c>
      <c r="O1415">
        <f t="shared" si="519"/>
        <v>3</v>
      </c>
      <c r="P1415" s="57">
        <f t="shared" si="520"/>
        <v>2</v>
      </c>
      <c r="Q1415" s="267">
        <f t="shared" si="521"/>
        <v>32602</v>
      </c>
      <c r="R1415" s="23" t="str">
        <f t="shared" si="522"/>
        <v/>
      </c>
      <c r="S1415" s="23">
        <f t="shared" si="523"/>
        <v>32602</v>
      </c>
      <c r="T1415" s="23" t="str">
        <f t="shared" si="524"/>
        <v/>
      </c>
      <c r="U1415" t="str">
        <f t="shared" si="525"/>
        <v/>
      </c>
      <c r="X1415" s="71"/>
      <c r="Z1415" s="44"/>
      <c r="AF1415" s="22"/>
    </row>
    <row r="1416" spans="1:45">
      <c r="A1416" t="str">
        <f t="shared" si="517"/>
        <v>CA_Orang_2020p~member, county board of education trustee area 1 (vote 1)</v>
      </c>
      <c r="B1416" s="55" t="s">
        <v>3163</v>
      </c>
      <c r="D1416" s="55" t="s">
        <v>3313</v>
      </c>
      <c r="E1416" s="55" t="s">
        <v>3316</v>
      </c>
      <c r="G1416" s="60">
        <v>49576</v>
      </c>
      <c r="H1416" s="26">
        <f t="shared" si="518"/>
        <v>0.58624033299434763</v>
      </c>
      <c r="J1416" s="23">
        <v>84566</v>
      </c>
      <c r="K1416">
        <v>205</v>
      </c>
      <c r="L1416">
        <v>205</v>
      </c>
      <c r="N1416">
        <v>0</v>
      </c>
      <c r="O1416">
        <f t="shared" si="519"/>
        <v>1</v>
      </c>
      <c r="P1416" s="57">
        <f t="shared" si="520"/>
        <v>1</v>
      </c>
      <c r="Q1416" s="267">
        <f t="shared" si="521"/>
        <v>84208</v>
      </c>
      <c r="R1416" s="23">
        <f t="shared" si="522"/>
        <v>49576</v>
      </c>
      <c r="S1416" s="23">
        <f t="shared" si="523"/>
        <v>28312</v>
      </c>
      <c r="T1416" s="23">
        <f t="shared" si="524"/>
        <v>21264</v>
      </c>
      <c r="U1416" t="str">
        <f t="shared" si="525"/>
        <v>CA_Orang_2020p~member, county board of education trustee area 1 (vote 1)</v>
      </c>
      <c r="X1416" s="71"/>
      <c r="Z1416" s="44"/>
      <c r="AF1416" s="22"/>
    </row>
    <row r="1417" spans="1:45">
      <c r="A1417" t="str">
        <f t="shared" si="517"/>
        <v>CA_Orang_2020p~member, county board of education trustee area 1 (vote 1)</v>
      </c>
      <c r="B1417" s="55" t="s">
        <v>3163</v>
      </c>
      <c r="D1417" s="55" t="s">
        <v>3313</v>
      </c>
      <c r="E1417" s="55" t="s">
        <v>3315</v>
      </c>
      <c r="G1417" s="60">
        <v>28312</v>
      </c>
      <c r="H1417" s="26">
        <f t="shared" si="518"/>
        <v>0.33479176028190999</v>
      </c>
      <c r="J1417" s="23">
        <v>84566</v>
      </c>
      <c r="K1417">
        <v>205</v>
      </c>
      <c r="L1417">
        <v>205</v>
      </c>
      <c r="N1417">
        <v>0</v>
      </c>
      <c r="O1417">
        <f t="shared" si="519"/>
        <v>2</v>
      </c>
      <c r="P1417" s="57">
        <f t="shared" si="520"/>
        <v>1</v>
      </c>
      <c r="Q1417" s="267">
        <f t="shared" si="521"/>
        <v>34632</v>
      </c>
      <c r="R1417" s="23" t="str">
        <f t="shared" si="522"/>
        <v/>
      </c>
      <c r="S1417" s="23">
        <f t="shared" si="523"/>
        <v>28312</v>
      </c>
      <c r="T1417" s="23" t="str">
        <f t="shared" si="524"/>
        <v/>
      </c>
      <c r="U1417" t="str">
        <f t="shared" si="525"/>
        <v/>
      </c>
      <c r="X1417" s="71"/>
      <c r="Z1417" s="44"/>
      <c r="AF1417" s="22"/>
    </row>
    <row r="1418" spans="1:45">
      <c r="A1418" t="str">
        <f t="shared" si="517"/>
        <v>CA_Orang_2020p~member, county board of education trustee area 1 (vote 1)</v>
      </c>
      <c r="B1418" s="55" t="s">
        <v>3163</v>
      </c>
      <c r="D1418" s="55" t="s">
        <v>3313</v>
      </c>
      <c r="E1418" s="55" t="s">
        <v>3314</v>
      </c>
      <c r="G1418" s="60">
        <v>6320</v>
      </c>
      <c r="H1418" s="26">
        <f t="shared" si="518"/>
        <v>7.4734526878414489E-2</v>
      </c>
      <c r="J1418" s="23">
        <v>84566</v>
      </c>
      <c r="K1418">
        <v>205</v>
      </c>
      <c r="L1418">
        <v>205</v>
      </c>
      <c r="N1418">
        <v>0</v>
      </c>
      <c r="O1418">
        <f t="shared" si="519"/>
        <v>3</v>
      </c>
      <c r="P1418" s="57">
        <f t="shared" si="520"/>
        <v>1</v>
      </c>
      <c r="Q1418" s="267">
        <f t="shared" si="521"/>
        <v>6320</v>
      </c>
      <c r="R1418" s="23" t="str">
        <f t="shared" si="522"/>
        <v/>
      </c>
      <c r="S1418" s="23">
        <f t="shared" si="523"/>
        <v>6320</v>
      </c>
      <c r="T1418" s="23" t="str">
        <f t="shared" si="524"/>
        <v/>
      </c>
      <c r="U1418" t="str">
        <f t="shared" si="525"/>
        <v/>
      </c>
      <c r="X1418" s="71"/>
      <c r="Z1418" s="44"/>
      <c r="AF1418" s="22"/>
    </row>
    <row r="1419" spans="1:45">
      <c r="A1419" t="str">
        <f t="shared" si="517"/>
        <v>CA_Orang_2020p~member, county board of education trustee area 3 (vote 1)</v>
      </c>
      <c r="B1419" s="55" t="s">
        <v>3163</v>
      </c>
      <c r="D1419" s="55" t="s">
        <v>3317</v>
      </c>
      <c r="E1419" s="55" t="s">
        <v>3318</v>
      </c>
      <c r="G1419" s="60">
        <v>93446</v>
      </c>
      <c r="H1419" s="26">
        <f t="shared" si="518"/>
        <v>0.58967255838607691</v>
      </c>
      <c r="J1419" s="23">
        <v>158471</v>
      </c>
      <c r="K1419">
        <v>472</v>
      </c>
      <c r="L1419">
        <v>472</v>
      </c>
      <c r="N1419">
        <v>0</v>
      </c>
      <c r="O1419">
        <f t="shared" si="519"/>
        <v>1</v>
      </c>
      <c r="P1419" s="57">
        <f t="shared" si="520"/>
        <v>1</v>
      </c>
      <c r="Q1419" s="267">
        <f t="shared" si="521"/>
        <v>157841</v>
      </c>
      <c r="R1419" s="23">
        <f t="shared" si="522"/>
        <v>93446</v>
      </c>
      <c r="S1419" s="23">
        <f t="shared" si="523"/>
        <v>64395</v>
      </c>
      <c r="T1419" s="23">
        <f t="shared" si="524"/>
        <v>29051</v>
      </c>
      <c r="U1419" t="str">
        <f t="shared" si="525"/>
        <v>CA_Orang_2020p~member, county board of education trustee area 3 (vote 1)</v>
      </c>
      <c r="X1419" s="71"/>
      <c r="Z1419" s="44"/>
      <c r="AF1419" s="22"/>
    </row>
    <row r="1420" spans="1:45">
      <c r="A1420" t="str">
        <f t="shared" si="517"/>
        <v>CA_Orang_2020p~member, county board of education trustee area 3 (vote 1)</v>
      </c>
      <c r="B1420" s="55" t="s">
        <v>3163</v>
      </c>
      <c r="D1420" s="55" t="s">
        <v>3317</v>
      </c>
      <c r="E1420" s="55" t="s">
        <v>3319</v>
      </c>
      <c r="G1420" s="60">
        <v>64395</v>
      </c>
      <c r="H1420" s="26">
        <f t="shared" si="518"/>
        <v>0.40635195083012032</v>
      </c>
      <c r="J1420" s="23">
        <v>158471</v>
      </c>
      <c r="K1420">
        <v>472</v>
      </c>
      <c r="L1420">
        <v>472</v>
      </c>
      <c r="N1420">
        <v>0</v>
      </c>
      <c r="O1420">
        <f t="shared" si="519"/>
        <v>2</v>
      </c>
      <c r="P1420" s="57">
        <f t="shared" si="520"/>
        <v>1</v>
      </c>
      <c r="Q1420" s="267">
        <f t="shared" si="521"/>
        <v>64395</v>
      </c>
      <c r="R1420" s="23" t="str">
        <f t="shared" si="522"/>
        <v/>
      </c>
      <c r="S1420" s="23">
        <f t="shared" si="523"/>
        <v>64395</v>
      </c>
      <c r="T1420" s="23" t="str">
        <f t="shared" si="524"/>
        <v/>
      </c>
      <c r="U1420" t="str">
        <f t="shared" si="525"/>
        <v/>
      </c>
      <c r="X1420" s="71"/>
      <c r="Z1420" s="44"/>
      <c r="AF1420" s="22"/>
      <c r="AG1420" s="23"/>
      <c r="AH1420" s="8"/>
      <c r="AL1420" s="344"/>
    </row>
    <row r="1421" spans="1:45">
      <c r="A1421" t="str">
        <f t="shared" si="517"/>
        <v>CA_Orang_2020p~member, county board of education trustee area 4 (vote 1)</v>
      </c>
      <c r="B1421" s="55" t="s">
        <v>3163</v>
      </c>
      <c r="D1421" s="55" t="s">
        <v>3320</v>
      </c>
      <c r="E1421" s="55" t="s">
        <v>3321</v>
      </c>
      <c r="G1421" s="60">
        <v>34998</v>
      </c>
      <c r="H1421" s="26">
        <f t="shared" si="518"/>
        <v>0.33429807719861304</v>
      </c>
      <c r="J1421" s="23">
        <v>104691</v>
      </c>
      <c r="K1421">
        <v>289</v>
      </c>
      <c r="L1421">
        <v>289</v>
      </c>
      <c r="N1421">
        <v>0</v>
      </c>
      <c r="O1421">
        <f t="shared" si="519"/>
        <v>1</v>
      </c>
      <c r="P1421" s="57">
        <f t="shared" si="520"/>
        <v>1</v>
      </c>
      <c r="Q1421" s="267">
        <f t="shared" si="521"/>
        <v>105784</v>
      </c>
      <c r="R1421" s="23">
        <f t="shared" si="522"/>
        <v>34998</v>
      </c>
      <c r="S1421" s="23">
        <f t="shared" si="523"/>
        <v>28779</v>
      </c>
      <c r="T1421" s="23">
        <f t="shared" si="524"/>
        <v>6219</v>
      </c>
      <c r="U1421" t="str">
        <f t="shared" si="525"/>
        <v>CA_Orang_2020p~member, county board of education trustee area 4 (vote 1)</v>
      </c>
      <c r="X1421" s="71"/>
      <c r="Z1421" s="44"/>
      <c r="AF1421" s="22"/>
      <c r="AH1421" s="8"/>
      <c r="AL1421" s="23"/>
    </row>
    <row r="1422" spans="1:45">
      <c r="A1422" t="str">
        <f t="shared" si="517"/>
        <v>CA_Orang_2020p~member, county board of education trustee area 4 (vote 1)</v>
      </c>
      <c r="B1422" s="55" t="s">
        <v>3163</v>
      </c>
      <c r="D1422" s="55" t="s">
        <v>3320</v>
      </c>
      <c r="E1422" s="55" t="s">
        <v>3322</v>
      </c>
      <c r="G1422" s="60">
        <v>28779</v>
      </c>
      <c r="H1422" s="26">
        <f t="shared" si="518"/>
        <v>0.27489469008797318</v>
      </c>
      <c r="J1422" s="23">
        <v>104691</v>
      </c>
      <c r="K1422">
        <v>289</v>
      </c>
      <c r="L1422">
        <v>289</v>
      </c>
      <c r="N1422">
        <v>0</v>
      </c>
      <c r="O1422">
        <f t="shared" si="519"/>
        <v>2</v>
      </c>
      <c r="P1422" s="57">
        <f t="shared" si="520"/>
        <v>1</v>
      </c>
      <c r="Q1422" s="267">
        <f t="shared" si="521"/>
        <v>70786</v>
      </c>
      <c r="R1422" s="23" t="str">
        <f t="shared" si="522"/>
        <v/>
      </c>
      <c r="S1422" s="23">
        <f t="shared" si="523"/>
        <v>28779</v>
      </c>
      <c r="T1422" s="23" t="str">
        <f t="shared" si="524"/>
        <v/>
      </c>
      <c r="U1422" t="str">
        <f t="shared" si="525"/>
        <v/>
      </c>
      <c r="X1422" s="71"/>
      <c r="Z1422" s="44"/>
      <c r="AF1422" s="22"/>
      <c r="AH1422" s="8"/>
      <c r="AL1422" s="23"/>
    </row>
    <row r="1423" spans="1:45">
      <c r="A1423" t="str">
        <f t="shared" si="517"/>
        <v>CA_Orang_2020p~member, county board of education trustee area 4 (vote 1)</v>
      </c>
      <c r="B1423" s="55" t="s">
        <v>3163</v>
      </c>
      <c r="D1423" s="55" t="s">
        <v>3320</v>
      </c>
      <c r="E1423" s="55" t="s">
        <v>3323</v>
      </c>
      <c r="G1423" s="60">
        <v>23411</v>
      </c>
      <c r="H1423" s="26">
        <f t="shared" si="518"/>
        <v>0.22361998643627437</v>
      </c>
      <c r="J1423" s="23">
        <v>104691</v>
      </c>
      <c r="K1423">
        <v>289</v>
      </c>
      <c r="L1423">
        <v>289</v>
      </c>
      <c r="N1423">
        <v>0</v>
      </c>
      <c r="O1423">
        <f t="shared" si="519"/>
        <v>3</v>
      </c>
      <c r="P1423" s="57">
        <f t="shared" si="520"/>
        <v>1</v>
      </c>
      <c r="Q1423" s="267">
        <f t="shared" si="521"/>
        <v>42007</v>
      </c>
      <c r="R1423" s="23" t="str">
        <f t="shared" si="522"/>
        <v/>
      </c>
      <c r="S1423" s="23">
        <f t="shared" si="523"/>
        <v>23411</v>
      </c>
      <c r="T1423" s="23" t="str">
        <f t="shared" si="524"/>
        <v/>
      </c>
      <c r="U1423" t="str">
        <f t="shared" si="525"/>
        <v/>
      </c>
      <c r="X1423" s="71"/>
      <c r="Z1423" s="44"/>
      <c r="AF1423" s="22"/>
    </row>
    <row r="1424" spans="1:45">
      <c r="A1424" t="str">
        <f t="shared" si="517"/>
        <v>CA_Orang_2020p~member, county board of education trustee area 4 (vote 1)</v>
      </c>
      <c r="B1424" s="55" t="s">
        <v>3163</v>
      </c>
      <c r="D1424" s="55" t="s">
        <v>3320</v>
      </c>
      <c r="E1424" s="55" t="s">
        <v>3324</v>
      </c>
      <c r="G1424" s="60">
        <v>18596</v>
      </c>
      <c r="H1424" s="26">
        <f t="shared" si="518"/>
        <v>0.17762749424496851</v>
      </c>
      <c r="J1424" s="23">
        <v>104691</v>
      </c>
      <c r="K1424">
        <v>289</v>
      </c>
      <c r="L1424">
        <v>289</v>
      </c>
      <c r="N1424">
        <v>0</v>
      </c>
      <c r="O1424">
        <f t="shared" si="519"/>
        <v>4</v>
      </c>
      <c r="P1424" s="57">
        <f t="shared" si="520"/>
        <v>1</v>
      </c>
      <c r="Q1424" s="267">
        <f t="shared" si="521"/>
        <v>18596</v>
      </c>
      <c r="R1424" s="23" t="str">
        <f t="shared" si="522"/>
        <v/>
      </c>
      <c r="S1424" s="23">
        <f t="shared" si="523"/>
        <v>18596</v>
      </c>
      <c r="T1424" s="23" t="str">
        <f t="shared" si="524"/>
        <v/>
      </c>
      <c r="U1424" t="str">
        <f t="shared" si="525"/>
        <v/>
      </c>
      <c r="X1424" s="71"/>
      <c r="Z1424" s="44"/>
      <c r="AF1424" s="22"/>
      <c r="AG1424" s="23"/>
      <c r="AH1424" s="8"/>
    </row>
    <row r="1425" spans="1:45">
      <c r="A1425" t="str">
        <f t="shared" si="517"/>
        <v>CA_Orang_2020p~member, county central committee 55th assembly district - dem (vote for 6)</v>
      </c>
      <c r="B1425" s="55" t="s">
        <v>3163</v>
      </c>
      <c r="D1425" s="55" t="s">
        <v>3346</v>
      </c>
      <c r="E1425" s="55" t="s">
        <v>3349</v>
      </c>
      <c r="F1425" t="s">
        <v>1294</v>
      </c>
      <c r="G1425" s="60">
        <v>11841</v>
      </c>
      <c r="H1425" s="26">
        <f t="shared" si="518"/>
        <v>0.1829319161426872</v>
      </c>
      <c r="J1425" s="23">
        <v>64729</v>
      </c>
      <c r="K1425">
        <v>135</v>
      </c>
      <c r="L1425">
        <v>135</v>
      </c>
      <c r="N1425">
        <v>0</v>
      </c>
      <c r="O1425">
        <f t="shared" si="519"/>
        <v>1</v>
      </c>
      <c r="P1425" s="57">
        <f t="shared" si="520"/>
        <v>6</v>
      </c>
      <c r="Q1425" s="267">
        <f t="shared" si="521"/>
        <v>11841</v>
      </c>
      <c r="R1425" s="23">
        <f t="shared" si="522"/>
        <v>6648</v>
      </c>
      <c r="S1425" s="23">
        <f t="shared" si="523"/>
        <v>6388</v>
      </c>
      <c r="T1425" s="23">
        <f t="shared" si="524"/>
        <v>260</v>
      </c>
      <c r="U1425" t="str">
        <f t="shared" si="525"/>
        <v>CA_Orang_2020p~member, county central committee 55th assembly district - dem (vote for 6)</v>
      </c>
      <c r="X1425" s="71"/>
      <c r="Z1425" s="44"/>
      <c r="AF1425" s="22"/>
    </row>
    <row r="1426" spans="1:45">
      <c r="A1426" t="str">
        <f t="shared" si="517"/>
        <v>CA_Orang_2020p~member, county central committee 55th assembly district - dem (vote for 6)</v>
      </c>
      <c r="B1426" s="55" t="s">
        <v>3163</v>
      </c>
      <c r="D1426" s="55" t="s">
        <v>3346</v>
      </c>
      <c r="E1426" s="55" t="s">
        <v>3351</v>
      </c>
      <c r="F1426" t="s">
        <v>1294</v>
      </c>
      <c r="G1426" s="60">
        <v>11297</v>
      </c>
      <c r="H1426" s="26">
        <f t="shared" si="518"/>
        <v>0.1745276460319177</v>
      </c>
      <c r="J1426" s="23">
        <v>64729</v>
      </c>
      <c r="K1426">
        <v>135</v>
      </c>
      <c r="L1426">
        <v>135</v>
      </c>
      <c r="N1426">
        <v>0</v>
      </c>
      <c r="O1426">
        <f t="shared" si="519"/>
        <v>2</v>
      </c>
      <c r="P1426" s="57">
        <f t="shared" si="520"/>
        <v>6</v>
      </c>
      <c r="Q1426" s="267">
        <f t="shared" si="521"/>
        <v>54063</v>
      </c>
      <c r="R1426" s="23">
        <f t="shared" si="522"/>
        <v>6648</v>
      </c>
      <c r="S1426" s="23">
        <f t="shared" si="523"/>
        <v>6388</v>
      </c>
      <c r="T1426" s="23" t="str">
        <f t="shared" si="524"/>
        <v/>
      </c>
      <c r="U1426" t="str">
        <f t="shared" si="525"/>
        <v/>
      </c>
      <c r="X1426" s="71"/>
      <c r="Z1426" s="44"/>
      <c r="AF1426" s="22"/>
      <c r="AG1426" s="23"/>
      <c r="AH1426" s="8"/>
      <c r="AL1426" s="344"/>
    </row>
    <row r="1427" spans="1:45">
      <c r="A1427" t="str">
        <f t="shared" si="517"/>
        <v>CA_Orang_2020p~member, county central committee 55th assembly district - dem (vote for 6)</v>
      </c>
      <c r="B1427" s="55" t="s">
        <v>3163</v>
      </c>
      <c r="D1427" s="55" t="s">
        <v>3346</v>
      </c>
      <c r="E1427" s="55" t="s">
        <v>3354</v>
      </c>
      <c r="F1427" t="s">
        <v>1294</v>
      </c>
      <c r="G1427" s="60">
        <v>9130</v>
      </c>
      <c r="H1427" s="26">
        <f t="shared" si="518"/>
        <v>0.14104960682228984</v>
      </c>
      <c r="J1427" s="23">
        <v>64729</v>
      </c>
      <c r="K1427">
        <v>135</v>
      </c>
      <c r="L1427">
        <v>135</v>
      </c>
      <c r="N1427">
        <v>0</v>
      </c>
      <c r="O1427">
        <f t="shared" si="519"/>
        <v>3</v>
      </c>
      <c r="P1427" s="57">
        <f t="shared" si="520"/>
        <v>6</v>
      </c>
      <c r="Q1427" s="267">
        <f t="shared" si="521"/>
        <v>42766</v>
      </c>
      <c r="R1427" s="23">
        <f t="shared" si="522"/>
        <v>6648</v>
      </c>
      <c r="S1427" s="23">
        <f t="shared" si="523"/>
        <v>6388</v>
      </c>
      <c r="T1427" s="23" t="str">
        <f t="shared" si="524"/>
        <v/>
      </c>
      <c r="U1427" t="str">
        <f t="shared" si="525"/>
        <v/>
      </c>
      <c r="X1427" s="71"/>
      <c r="Z1427" s="44"/>
      <c r="AF1427" s="22"/>
      <c r="AG1427" s="23"/>
      <c r="AH1427" s="8"/>
      <c r="AL1427" s="344"/>
    </row>
    <row r="1428" spans="1:45">
      <c r="A1428" t="str">
        <f t="shared" si="517"/>
        <v>CA_Orang_2020p~member, county central committee 55th assembly district - dem (vote for 6)</v>
      </c>
      <c r="B1428" s="55" t="s">
        <v>3163</v>
      </c>
      <c r="D1428" s="55" t="s">
        <v>3346</v>
      </c>
      <c r="E1428" s="55" t="s">
        <v>3347</v>
      </c>
      <c r="F1428" t="s">
        <v>1294</v>
      </c>
      <c r="G1428" s="60">
        <v>8155</v>
      </c>
      <c r="H1428" s="26">
        <f t="shared" si="518"/>
        <v>0.12598680653184816</v>
      </c>
      <c r="J1428" s="23">
        <v>64729</v>
      </c>
      <c r="K1428">
        <v>135</v>
      </c>
      <c r="L1428">
        <v>135</v>
      </c>
      <c r="N1428">
        <v>0</v>
      </c>
      <c r="O1428">
        <f t="shared" si="519"/>
        <v>4</v>
      </c>
      <c r="P1428" s="57">
        <f t="shared" si="520"/>
        <v>6</v>
      </c>
      <c r="Q1428" s="267">
        <f t="shared" si="521"/>
        <v>33636</v>
      </c>
      <c r="R1428" s="23">
        <f t="shared" si="522"/>
        <v>6648</v>
      </c>
      <c r="S1428" s="23">
        <f t="shared" si="523"/>
        <v>6388</v>
      </c>
      <c r="T1428" s="23" t="str">
        <f t="shared" si="524"/>
        <v/>
      </c>
      <c r="U1428" t="str">
        <f t="shared" si="525"/>
        <v/>
      </c>
      <c r="X1428" s="71"/>
      <c r="Z1428" s="44"/>
      <c r="AF1428" s="22"/>
    </row>
    <row r="1429" spans="1:45">
      <c r="A1429" t="str">
        <f t="shared" si="517"/>
        <v>CA_Orang_2020p~member, county central committee 55th assembly district - dem (vote for 6)</v>
      </c>
      <c r="B1429" s="55" t="s">
        <v>3163</v>
      </c>
      <c r="D1429" s="55" t="s">
        <v>3346</v>
      </c>
      <c r="E1429" s="55" t="s">
        <v>3348</v>
      </c>
      <c r="F1429" t="s">
        <v>1294</v>
      </c>
      <c r="G1429" s="60">
        <v>7816</v>
      </c>
      <c r="H1429" s="26">
        <f t="shared" si="518"/>
        <v>0.12074958673855614</v>
      </c>
      <c r="J1429" s="23">
        <v>64729</v>
      </c>
      <c r="K1429">
        <v>135</v>
      </c>
      <c r="L1429">
        <v>135</v>
      </c>
      <c r="N1429">
        <v>0</v>
      </c>
      <c r="O1429">
        <f t="shared" si="519"/>
        <v>5</v>
      </c>
      <c r="P1429" s="57">
        <f t="shared" si="520"/>
        <v>6</v>
      </c>
      <c r="Q1429" s="267">
        <f t="shared" si="521"/>
        <v>25481</v>
      </c>
      <c r="R1429" s="23">
        <f t="shared" si="522"/>
        <v>6648</v>
      </c>
      <c r="S1429" s="23">
        <f t="shared" si="523"/>
        <v>6388</v>
      </c>
      <c r="T1429" s="23" t="str">
        <f t="shared" si="524"/>
        <v/>
      </c>
      <c r="U1429" t="str">
        <f t="shared" si="525"/>
        <v/>
      </c>
      <c r="X1429" s="71"/>
      <c r="Z1429" s="44"/>
      <c r="AF1429" s="22"/>
    </row>
    <row r="1430" spans="1:45">
      <c r="A1430" t="str">
        <f t="shared" si="517"/>
        <v>CA_Orang_2020p~member, county central committee 55th assembly district - dem (vote for 6)</v>
      </c>
      <c r="B1430" s="55" t="s">
        <v>3163</v>
      </c>
      <c r="D1430" s="55" t="s">
        <v>3346</v>
      </c>
      <c r="E1430" s="55" t="s">
        <v>3352</v>
      </c>
      <c r="F1430" t="s">
        <v>1294</v>
      </c>
      <c r="G1430" s="60">
        <v>6648</v>
      </c>
      <c r="H1430" s="26">
        <f t="shared" si="518"/>
        <v>0.10270512444190394</v>
      </c>
      <c r="J1430" s="23">
        <v>64729</v>
      </c>
      <c r="K1430">
        <v>135</v>
      </c>
      <c r="L1430">
        <v>135</v>
      </c>
      <c r="N1430">
        <v>0</v>
      </c>
      <c r="O1430">
        <f t="shared" si="519"/>
        <v>6</v>
      </c>
      <c r="P1430" s="57">
        <f t="shared" si="520"/>
        <v>6</v>
      </c>
      <c r="Q1430" s="267">
        <f t="shared" si="521"/>
        <v>17665</v>
      </c>
      <c r="R1430" s="23">
        <f t="shared" si="522"/>
        <v>6648</v>
      </c>
      <c r="S1430" s="23">
        <f t="shared" si="523"/>
        <v>6388</v>
      </c>
      <c r="T1430" s="23" t="str">
        <f t="shared" si="524"/>
        <v/>
      </c>
      <c r="U1430" t="str">
        <f t="shared" si="525"/>
        <v/>
      </c>
      <c r="X1430" s="71"/>
      <c r="Z1430" s="44"/>
      <c r="AF1430" s="22"/>
      <c r="AG1430" s="57"/>
      <c r="AH1430" s="275"/>
      <c r="AI1430" s="8"/>
      <c r="AJ1430" s="8"/>
      <c r="AK1430" s="23"/>
      <c r="AL1430" s="23"/>
    </row>
    <row r="1431" spans="1:45">
      <c r="A1431" t="str">
        <f t="shared" si="517"/>
        <v>CA_Orang_2020p~member, county central committee 55th assembly district - dem (vote for 6)</v>
      </c>
      <c r="B1431" s="55" t="s">
        <v>3163</v>
      </c>
      <c r="D1431" s="55" t="s">
        <v>3346</v>
      </c>
      <c r="E1431" s="55" t="s">
        <v>3353</v>
      </c>
      <c r="F1431" t="s">
        <v>1294</v>
      </c>
      <c r="G1431" s="60">
        <v>6388</v>
      </c>
      <c r="H1431" s="26">
        <f t="shared" si="518"/>
        <v>9.8688377697786156E-2</v>
      </c>
      <c r="J1431" s="23">
        <v>64729</v>
      </c>
      <c r="K1431">
        <v>135</v>
      </c>
      <c r="L1431">
        <v>135</v>
      </c>
      <c r="N1431">
        <v>0</v>
      </c>
      <c r="O1431">
        <f t="shared" si="519"/>
        <v>7</v>
      </c>
      <c r="P1431" s="57">
        <f t="shared" si="520"/>
        <v>6</v>
      </c>
      <c r="Q1431" s="267">
        <f t="shared" si="521"/>
        <v>11017</v>
      </c>
      <c r="R1431" s="23" t="str">
        <f t="shared" si="522"/>
        <v/>
      </c>
      <c r="S1431" s="23">
        <f t="shared" si="523"/>
        <v>6388</v>
      </c>
      <c r="T1431" s="23" t="str">
        <f t="shared" si="524"/>
        <v/>
      </c>
      <c r="U1431" t="str">
        <f t="shared" si="525"/>
        <v/>
      </c>
      <c r="X1431" s="71"/>
      <c r="Z1431" s="44"/>
      <c r="AF1431" s="22"/>
    </row>
    <row r="1432" spans="1:45">
      <c r="A1432" t="str">
        <f t="shared" si="517"/>
        <v>CA_Orang_2020p~member, county central committee 55th assembly district - dem (vote for 6)</v>
      </c>
      <c r="B1432" s="55" t="s">
        <v>3163</v>
      </c>
      <c r="D1432" s="55" t="s">
        <v>3346</v>
      </c>
      <c r="E1432" s="55" t="s">
        <v>3350</v>
      </c>
      <c r="F1432" t="s">
        <v>1294</v>
      </c>
      <c r="G1432" s="60">
        <v>4629</v>
      </c>
      <c r="H1432" s="26">
        <f t="shared" si="518"/>
        <v>7.1513541071235462E-2</v>
      </c>
      <c r="J1432" s="23">
        <v>64729</v>
      </c>
      <c r="K1432">
        <v>135</v>
      </c>
      <c r="L1432">
        <v>135</v>
      </c>
      <c r="N1432">
        <v>0</v>
      </c>
      <c r="O1432">
        <f t="shared" si="519"/>
        <v>8</v>
      </c>
      <c r="P1432" s="57">
        <f t="shared" si="520"/>
        <v>6</v>
      </c>
      <c r="Q1432" s="267">
        <f t="shared" si="521"/>
        <v>4629</v>
      </c>
      <c r="R1432" s="23" t="str">
        <f t="shared" si="522"/>
        <v/>
      </c>
      <c r="S1432" s="23">
        <f t="shared" si="523"/>
        <v>4629</v>
      </c>
      <c r="T1432" s="23" t="str">
        <f t="shared" si="524"/>
        <v/>
      </c>
      <c r="U1432" t="str">
        <f t="shared" si="525"/>
        <v/>
      </c>
      <c r="X1432" s="71"/>
      <c r="Z1432" s="44"/>
      <c r="AF1432" s="22"/>
    </row>
    <row r="1433" spans="1:45">
      <c r="A1433" t="str">
        <f t="shared" si="517"/>
        <v>CA_Orang_2020p~member, county central committee 55th assembly district - rep (vote for 6)</v>
      </c>
      <c r="B1433" s="55" t="s">
        <v>3163</v>
      </c>
      <c r="D1433" s="55" t="s">
        <v>3445</v>
      </c>
      <c r="E1433" s="55" t="s">
        <v>3321</v>
      </c>
      <c r="F1433" t="s">
        <v>1296</v>
      </c>
      <c r="G1433" s="60">
        <v>16261</v>
      </c>
      <c r="H1433" s="26">
        <f t="shared" si="518"/>
        <v>0.17449671631540542</v>
      </c>
      <c r="J1433" s="23">
        <v>93188</v>
      </c>
      <c r="K1433">
        <v>135</v>
      </c>
      <c r="L1433">
        <v>135</v>
      </c>
      <c r="N1433">
        <v>0</v>
      </c>
      <c r="O1433">
        <f t="shared" si="519"/>
        <v>1</v>
      </c>
      <c r="P1433" s="57">
        <f t="shared" si="520"/>
        <v>6</v>
      </c>
      <c r="Q1433" s="267">
        <f t="shared" si="521"/>
        <v>16261</v>
      </c>
      <c r="R1433" s="23">
        <f t="shared" si="522"/>
        <v>8402</v>
      </c>
      <c r="S1433" s="23">
        <f t="shared" si="523"/>
        <v>6415</v>
      </c>
      <c r="T1433" s="23">
        <f t="shared" si="524"/>
        <v>1987</v>
      </c>
      <c r="U1433" t="str">
        <f t="shared" si="525"/>
        <v>CA_Orang_2020p~member, county central committee 55th assembly district - rep (vote for 6)</v>
      </c>
      <c r="X1433" s="71"/>
      <c r="Z1433" s="44"/>
      <c r="AF1433" s="22"/>
    </row>
    <row r="1434" spans="1:45">
      <c r="A1434" t="str">
        <f t="shared" si="517"/>
        <v>CA_Orang_2020p~member, county central committee 55th assembly district - rep (vote for 6)</v>
      </c>
      <c r="B1434" s="55" t="s">
        <v>3163</v>
      </c>
      <c r="D1434" s="55" t="s">
        <v>3445</v>
      </c>
      <c r="E1434" s="55" t="s">
        <v>3451</v>
      </c>
      <c r="F1434" t="s">
        <v>1296</v>
      </c>
      <c r="G1434" s="60">
        <v>15974</v>
      </c>
      <c r="H1434" s="26">
        <f t="shared" si="518"/>
        <v>0.17141692063355796</v>
      </c>
      <c r="J1434" s="23">
        <v>93188</v>
      </c>
      <c r="K1434">
        <v>135</v>
      </c>
      <c r="L1434">
        <v>135</v>
      </c>
      <c r="N1434">
        <v>0</v>
      </c>
      <c r="O1434">
        <f t="shared" si="519"/>
        <v>2</v>
      </c>
      <c r="P1434" s="57">
        <f t="shared" si="520"/>
        <v>6</v>
      </c>
      <c r="Q1434" s="267">
        <f t="shared" si="521"/>
        <v>78821</v>
      </c>
      <c r="R1434" s="23">
        <f t="shared" si="522"/>
        <v>8402</v>
      </c>
      <c r="S1434" s="23">
        <f t="shared" si="523"/>
        <v>6415</v>
      </c>
      <c r="T1434" s="23" t="str">
        <f t="shared" si="524"/>
        <v/>
      </c>
      <c r="U1434" t="str">
        <f t="shared" si="525"/>
        <v/>
      </c>
      <c r="X1434" s="71"/>
      <c r="Z1434" s="44"/>
      <c r="AF1434" s="22"/>
    </row>
    <row r="1435" spans="1:45">
      <c r="A1435" t="str">
        <f t="shared" ref="A1435:A1498" si="526">CONCATENATE(B1435,"~",LOWER(D1435),IF(RIGHT(D1435,1)=")","",IF(C1435=2," (top 2)"," (vote 1)")))</f>
        <v>CA_Orang_2020p~member, county central committee 55th assembly district - rep (vote for 6)</v>
      </c>
      <c r="B1435" s="55" t="s">
        <v>3163</v>
      </c>
      <c r="D1435" s="55" t="s">
        <v>3445</v>
      </c>
      <c r="E1435" s="55" t="s">
        <v>3446</v>
      </c>
      <c r="F1435" t="s">
        <v>1296</v>
      </c>
      <c r="G1435" s="60">
        <v>15659</v>
      </c>
      <c r="H1435" s="26">
        <f t="shared" ref="H1435:H1498" si="527">G1435/J1435</f>
        <v>0.16803665708031076</v>
      </c>
      <c r="J1435" s="23">
        <v>93188</v>
      </c>
      <c r="K1435">
        <v>135</v>
      </c>
      <c r="L1435">
        <v>135</v>
      </c>
      <c r="N1435">
        <v>0</v>
      </c>
      <c r="O1435">
        <f t="shared" si="519"/>
        <v>3</v>
      </c>
      <c r="P1435" s="57">
        <f t="shared" si="520"/>
        <v>6</v>
      </c>
      <c r="Q1435" s="267">
        <f t="shared" si="521"/>
        <v>62847</v>
      </c>
      <c r="R1435" s="23">
        <f t="shared" si="522"/>
        <v>8402</v>
      </c>
      <c r="S1435" s="23">
        <f t="shared" si="523"/>
        <v>6415</v>
      </c>
      <c r="T1435" s="23" t="str">
        <f t="shared" si="524"/>
        <v/>
      </c>
      <c r="U1435" t="str">
        <f t="shared" si="525"/>
        <v/>
      </c>
      <c r="X1435" s="71"/>
      <c r="Z1435" s="44"/>
      <c r="AF1435" s="22"/>
    </row>
    <row r="1436" spans="1:45">
      <c r="A1436" t="str">
        <f t="shared" si="526"/>
        <v>CA_Orang_2020p~member, county central committee 55th assembly district - rep (vote for 6)</v>
      </c>
      <c r="B1436" s="55" t="s">
        <v>3163</v>
      </c>
      <c r="D1436" s="55" t="s">
        <v>3445</v>
      </c>
      <c r="E1436" s="55" t="s">
        <v>3449</v>
      </c>
      <c r="F1436" t="s">
        <v>1296</v>
      </c>
      <c r="G1436" s="60">
        <v>14006</v>
      </c>
      <c r="H1436" s="26">
        <f t="shared" si="527"/>
        <v>0.15029832167231832</v>
      </c>
      <c r="J1436" s="23">
        <v>93188</v>
      </c>
      <c r="K1436">
        <v>135</v>
      </c>
      <c r="L1436">
        <v>135</v>
      </c>
      <c r="N1436">
        <v>0</v>
      </c>
      <c r="O1436">
        <f t="shared" si="519"/>
        <v>4</v>
      </c>
      <c r="P1436" s="57">
        <f t="shared" si="520"/>
        <v>6</v>
      </c>
      <c r="Q1436" s="267">
        <f t="shared" si="521"/>
        <v>47188</v>
      </c>
      <c r="R1436" s="23">
        <f t="shared" si="522"/>
        <v>8402</v>
      </c>
      <c r="S1436" s="23">
        <f t="shared" si="523"/>
        <v>6415</v>
      </c>
      <c r="T1436" s="23" t="str">
        <f t="shared" si="524"/>
        <v/>
      </c>
      <c r="U1436" t="str">
        <f t="shared" si="525"/>
        <v/>
      </c>
      <c r="X1436" s="71"/>
      <c r="Z1436" s="44"/>
      <c r="AF1436" s="22"/>
      <c r="AH1436" s="8"/>
    </row>
    <row r="1437" spans="1:45">
      <c r="A1437" t="str">
        <f t="shared" si="526"/>
        <v>CA_Orang_2020p~member, county central committee 55th assembly district - rep (vote for 6)</v>
      </c>
      <c r="B1437" s="55" t="s">
        <v>3163</v>
      </c>
      <c r="D1437" s="55" t="s">
        <v>3445</v>
      </c>
      <c r="E1437" s="55" t="s">
        <v>3447</v>
      </c>
      <c r="F1437" t="s">
        <v>1296</v>
      </c>
      <c r="G1437" s="60">
        <v>13737</v>
      </c>
      <c r="H1437" s="26">
        <f t="shared" si="527"/>
        <v>0.1474116839077993</v>
      </c>
      <c r="J1437" s="23">
        <v>93188</v>
      </c>
      <c r="K1437">
        <v>135</v>
      </c>
      <c r="L1437">
        <v>135</v>
      </c>
      <c r="N1437">
        <v>0</v>
      </c>
      <c r="O1437">
        <f t="shared" si="519"/>
        <v>5</v>
      </c>
      <c r="P1437" s="57">
        <f t="shared" si="520"/>
        <v>6</v>
      </c>
      <c r="Q1437" s="267">
        <f t="shared" si="521"/>
        <v>33182</v>
      </c>
      <c r="R1437" s="23">
        <f t="shared" si="522"/>
        <v>8402</v>
      </c>
      <c r="S1437" s="23">
        <f t="shared" si="523"/>
        <v>6415</v>
      </c>
      <c r="T1437" s="23" t="str">
        <f t="shared" si="524"/>
        <v/>
      </c>
      <c r="U1437" t="str">
        <f t="shared" si="525"/>
        <v/>
      </c>
      <c r="X1437" s="71"/>
      <c r="Z1437" s="44"/>
      <c r="AF1437" s="22"/>
      <c r="AH1437" s="8"/>
      <c r="AL1437" s="23"/>
      <c r="AO1437" s="356"/>
      <c r="AP1437" s="356"/>
      <c r="AQ1437" s="394"/>
      <c r="AR1437" s="394"/>
      <c r="AS1437" s="394"/>
    </row>
    <row r="1438" spans="1:45">
      <c r="A1438" t="str">
        <f t="shared" si="526"/>
        <v>CA_Orang_2020p~member, county central committee 55th assembly district - rep (vote for 6)</v>
      </c>
      <c r="B1438" s="55" t="s">
        <v>3163</v>
      </c>
      <c r="D1438" s="55" t="s">
        <v>3445</v>
      </c>
      <c r="E1438" s="55" t="s">
        <v>3453</v>
      </c>
      <c r="F1438" t="s">
        <v>1296</v>
      </c>
      <c r="G1438" s="60">
        <v>8402</v>
      </c>
      <c r="H1438" s="26">
        <f t="shared" si="527"/>
        <v>9.0161823410739583E-2</v>
      </c>
      <c r="J1438" s="23">
        <v>93188</v>
      </c>
      <c r="K1438">
        <v>135</v>
      </c>
      <c r="L1438">
        <v>135</v>
      </c>
      <c r="N1438">
        <v>0</v>
      </c>
      <c r="O1438">
        <f t="shared" si="519"/>
        <v>6</v>
      </c>
      <c r="P1438" s="57">
        <f t="shared" si="520"/>
        <v>6</v>
      </c>
      <c r="Q1438" s="267">
        <f t="shared" si="521"/>
        <v>19445</v>
      </c>
      <c r="R1438" s="23">
        <f t="shared" si="522"/>
        <v>8402</v>
      </c>
      <c r="S1438" s="23">
        <f t="shared" si="523"/>
        <v>6415</v>
      </c>
      <c r="T1438" s="23" t="str">
        <f t="shared" si="524"/>
        <v/>
      </c>
      <c r="U1438" t="str">
        <f t="shared" si="525"/>
        <v/>
      </c>
      <c r="X1438" s="71"/>
      <c r="Z1438" s="44"/>
      <c r="AF1438" s="22"/>
      <c r="AH1438" s="8"/>
      <c r="AL1438" s="23"/>
    </row>
    <row r="1439" spans="1:45">
      <c r="A1439" t="str">
        <f t="shared" si="526"/>
        <v>CA_Orang_2020p~member, county central committee 55th assembly district - rep (vote for 6)</v>
      </c>
      <c r="B1439" s="55" t="s">
        <v>3163</v>
      </c>
      <c r="D1439" s="55" t="s">
        <v>3445</v>
      </c>
      <c r="E1439" s="55" t="s">
        <v>3452</v>
      </c>
      <c r="F1439" t="s">
        <v>1296</v>
      </c>
      <c r="G1439" s="60">
        <v>6415</v>
      </c>
      <c r="H1439" s="26">
        <f t="shared" si="527"/>
        <v>6.8839335536764384E-2</v>
      </c>
      <c r="J1439" s="23">
        <v>93188</v>
      </c>
      <c r="K1439">
        <v>135</v>
      </c>
      <c r="L1439">
        <v>135</v>
      </c>
      <c r="N1439">
        <v>0</v>
      </c>
      <c r="O1439">
        <f t="shared" si="519"/>
        <v>7</v>
      </c>
      <c r="P1439" s="57">
        <f t="shared" si="520"/>
        <v>6</v>
      </c>
      <c r="Q1439" s="267">
        <f t="shared" si="521"/>
        <v>11043</v>
      </c>
      <c r="R1439" s="23" t="str">
        <f t="shared" si="522"/>
        <v/>
      </c>
      <c r="S1439" s="23">
        <f t="shared" si="523"/>
        <v>6415</v>
      </c>
      <c r="T1439" s="23" t="str">
        <f t="shared" si="524"/>
        <v/>
      </c>
      <c r="U1439" t="str">
        <f t="shared" si="525"/>
        <v/>
      </c>
      <c r="X1439" s="71"/>
      <c r="Z1439" s="44"/>
      <c r="AF1439" s="22"/>
      <c r="AH1439" s="8"/>
    </row>
    <row r="1440" spans="1:45">
      <c r="A1440" t="str">
        <f t="shared" si="526"/>
        <v>CA_Orang_2020p~member, county central committee 55th assembly district - rep (vote for 6)</v>
      </c>
      <c r="B1440" s="55" t="s">
        <v>3163</v>
      </c>
      <c r="D1440" s="55" t="s">
        <v>3445</v>
      </c>
      <c r="E1440" s="55" t="s">
        <v>3450</v>
      </c>
      <c r="F1440" t="s">
        <v>1296</v>
      </c>
      <c r="G1440" s="60">
        <v>2820</v>
      </c>
      <c r="H1440" s="26">
        <f t="shared" si="527"/>
        <v>3.0261407048117785E-2</v>
      </c>
      <c r="J1440" s="23">
        <v>93188</v>
      </c>
      <c r="K1440">
        <v>135</v>
      </c>
      <c r="L1440">
        <v>135</v>
      </c>
      <c r="N1440">
        <v>0</v>
      </c>
      <c r="O1440">
        <f t="shared" si="519"/>
        <v>8</v>
      </c>
      <c r="P1440" s="57">
        <f t="shared" si="520"/>
        <v>6</v>
      </c>
      <c r="Q1440" s="267">
        <f t="shared" si="521"/>
        <v>4628</v>
      </c>
      <c r="R1440" s="23" t="str">
        <f t="shared" si="522"/>
        <v/>
      </c>
      <c r="S1440" s="23">
        <f t="shared" si="523"/>
        <v>2820</v>
      </c>
      <c r="T1440" s="23" t="str">
        <f t="shared" si="524"/>
        <v/>
      </c>
      <c r="U1440" t="str">
        <f t="shared" si="525"/>
        <v/>
      </c>
      <c r="X1440" s="71"/>
      <c r="Z1440" s="44"/>
      <c r="AF1440" s="22"/>
    </row>
    <row r="1441" spans="1:45">
      <c r="A1441" t="str">
        <f t="shared" si="526"/>
        <v>CA_Orang_2020p~member, county central committee 55th assembly district - rep (vote for 6)</v>
      </c>
      <c r="B1441" s="55" t="s">
        <v>3163</v>
      </c>
      <c r="D1441" s="55" t="s">
        <v>3445</v>
      </c>
      <c r="E1441" s="55" t="s">
        <v>3448</v>
      </c>
      <c r="F1441" t="s">
        <v>1296</v>
      </c>
      <c r="G1441" s="60">
        <v>1808</v>
      </c>
      <c r="H1441" s="26">
        <f t="shared" si="527"/>
        <v>1.9401639696098209E-2</v>
      </c>
      <c r="J1441" s="23">
        <v>93188</v>
      </c>
      <c r="K1441">
        <v>135</v>
      </c>
      <c r="L1441">
        <v>135</v>
      </c>
      <c r="N1441">
        <v>0</v>
      </c>
      <c r="O1441">
        <f t="shared" si="519"/>
        <v>9</v>
      </c>
      <c r="P1441" s="57">
        <f t="shared" si="520"/>
        <v>6</v>
      </c>
      <c r="Q1441" s="267">
        <f t="shared" si="521"/>
        <v>1808</v>
      </c>
      <c r="R1441" s="23" t="str">
        <f t="shared" si="522"/>
        <v/>
      </c>
      <c r="S1441" s="23">
        <f t="shared" si="523"/>
        <v>1808</v>
      </c>
      <c r="T1441" s="23" t="str">
        <f t="shared" si="524"/>
        <v/>
      </c>
      <c r="U1441" t="str">
        <f t="shared" si="525"/>
        <v/>
      </c>
      <c r="X1441" s="71"/>
      <c r="Z1441" s="44"/>
      <c r="AF1441" s="22"/>
    </row>
    <row r="1442" spans="1:45">
      <c r="A1442" t="str">
        <f t="shared" si="526"/>
        <v>CA_Orang_2020p~member, county central committee 65th assembly district - dem (vote for 6)</v>
      </c>
      <c r="B1442" s="55" t="s">
        <v>3163</v>
      </c>
      <c r="D1442" s="55" t="s">
        <v>3355</v>
      </c>
      <c r="E1442" s="55" t="s">
        <v>3364</v>
      </c>
      <c r="F1442" t="s">
        <v>1294</v>
      </c>
      <c r="G1442" s="60">
        <v>17263</v>
      </c>
      <c r="H1442" s="26">
        <f t="shared" si="527"/>
        <v>0.1297131178335813</v>
      </c>
      <c r="J1442" s="23">
        <v>133086</v>
      </c>
      <c r="K1442">
        <v>255</v>
      </c>
      <c r="L1442">
        <v>255</v>
      </c>
      <c r="N1442">
        <v>0</v>
      </c>
      <c r="O1442">
        <f t="shared" si="519"/>
        <v>1</v>
      </c>
      <c r="P1442" s="57">
        <f t="shared" si="520"/>
        <v>6</v>
      </c>
      <c r="Q1442" s="267">
        <f t="shared" si="521"/>
        <v>23859.166666666668</v>
      </c>
      <c r="R1442" s="23">
        <f t="shared" si="522"/>
        <v>12252</v>
      </c>
      <c r="S1442" s="23">
        <f t="shared" si="523"/>
        <v>9179</v>
      </c>
      <c r="T1442" s="23">
        <f t="shared" si="524"/>
        <v>3073</v>
      </c>
      <c r="U1442" t="str">
        <f t="shared" si="525"/>
        <v>CA_Orang_2020p~member, county central committee 65th assembly district - dem (vote for 6)</v>
      </c>
      <c r="X1442" s="71"/>
      <c r="Z1442" s="44"/>
      <c r="AF1442" s="22"/>
    </row>
    <row r="1443" spans="1:45">
      <c r="A1443" t="str">
        <f t="shared" si="526"/>
        <v>CA_Orang_2020p~member, county central committee 65th assembly district - dem (vote for 6)</v>
      </c>
      <c r="B1443" s="55" t="s">
        <v>3163</v>
      </c>
      <c r="D1443" s="55" t="s">
        <v>3355</v>
      </c>
      <c r="E1443" s="55" t="s">
        <v>3357</v>
      </c>
      <c r="F1443" t="s">
        <v>1294</v>
      </c>
      <c r="G1443" s="60">
        <v>16260</v>
      </c>
      <c r="H1443" s="26">
        <f t="shared" si="527"/>
        <v>0.12217663766286462</v>
      </c>
      <c r="J1443" s="23">
        <v>133086</v>
      </c>
      <c r="K1443">
        <v>255</v>
      </c>
      <c r="L1443">
        <v>255</v>
      </c>
      <c r="N1443">
        <v>0</v>
      </c>
      <c r="O1443">
        <f t="shared" si="519"/>
        <v>2</v>
      </c>
      <c r="P1443" s="57">
        <f t="shared" si="520"/>
        <v>6</v>
      </c>
      <c r="Q1443" s="267">
        <f t="shared" si="521"/>
        <v>125892</v>
      </c>
      <c r="R1443" s="23">
        <f t="shared" si="522"/>
        <v>12252</v>
      </c>
      <c r="S1443" s="23">
        <f t="shared" si="523"/>
        <v>9179</v>
      </c>
      <c r="T1443" s="23" t="str">
        <f t="shared" si="524"/>
        <v/>
      </c>
      <c r="U1443" t="str">
        <f t="shared" si="525"/>
        <v/>
      </c>
      <c r="X1443" s="71"/>
      <c r="Z1443" s="44"/>
      <c r="AF1443" s="22"/>
    </row>
    <row r="1444" spans="1:45">
      <c r="A1444" t="str">
        <f t="shared" si="526"/>
        <v>CA_Orang_2020p~member, county central committee 65th assembly district - dem (vote for 6)</v>
      </c>
      <c r="B1444" s="55" t="s">
        <v>3163</v>
      </c>
      <c r="D1444" s="55" t="s">
        <v>3355</v>
      </c>
      <c r="E1444" s="55" t="s">
        <v>3361</v>
      </c>
      <c r="F1444" t="s">
        <v>1294</v>
      </c>
      <c r="G1444" s="60">
        <v>15479</v>
      </c>
      <c r="H1444" s="26">
        <f t="shared" si="527"/>
        <v>0.11630825180710218</v>
      </c>
      <c r="J1444" s="23">
        <v>133086</v>
      </c>
      <c r="K1444">
        <v>255</v>
      </c>
      <c r="L1444">
        <v>255</v>
      </c>
      <c r="N1444">
        <v>0</v>
      </c>
      <c r="O1444">
        <f t="shared" si="519"/>
        <v>3</v>
      </c>
      <c r="P1444" s="57">
        <f t="shared" si="520"/>
        <v>6</v>
      </c>
      <c r="Q1444" s="267">
        <f t="shared" si="521"/>
        <v>109632</v>
      </c>
      <c r="R1444" s="23">
        <f t="shared" si="522"/>
        <v>12252</v>
      </c>
      <c r="S1444" s="23">
        <f t="shared" si="523"/>
        <v>9179</v>
      </c>
      <c r="T1444" s="23" t="str">
        <f t="shared" si="524"/>
        <v/>
      </c>
      <c r="U1444" t="str">
        <f t="shared" si="525"/>
        <v/>
      </c>
      <c r="X1444" s="71"/>
      <c r="Z1444" s="44"/>
      <c r="AF1444" s="22"/>
    </row>
    <row r="1445" spans="1:45">
      <c r="A1445" t="str">
        <f t="shared" si="526"/>
        <v>CA_Orang_2020p~member, county central committee 65th assembly district - dem (vote for 6)</v>
      </c>
      <c r="B1445" s="55" t="s">
        <v>3163</v>
      </c>
      <c r="D1445" s="55" t="s">
        <v>3355</v>
      </c>
      <c r="E1445" s="55" t="s">
        <v>3359</v>
      </c>
      <c r="F1445" t="s">
        <v>1294</v>
      </c>
      <c r="G1445" s="60">
        <v>14847</v>
      </c>
      <c r="H1445" s="26">
        <f t="shared" si="527"/>
        <v>0.11155944276633155</v>
      </c>
      <c r="J1445" s="23">
        <v>133086</v>
      </c>
      <c r="K1445">
        <v>255</v>
      </c>
      <c r="L1445">
        <v>255</v>
      </c>
      <c r="N1445">
        <v>0</v>
      </c>
      <c r="O1445">
        <f t="shared" si="519"/>
        <v>4</v>
      </c>
      <c r="P1445" s="57">
        <f t="shared" si="520"/>
        <v>6</v>
      </c>
      <c r="Q1445" s="267">
        <f t="shared" si="521"/>
        <v>94153</v>
      </c>
      <c r="R1445" s="23">
        <f t="shared" si="522"/>
        <v>12252</v>
      </c>
      <c r="S1445" s="23">
        <f t="shared" si="523"/>
        <v>9179</v>
      </c>
      <c r="T1445" s="23" t="str">
        <f t="shared" si="524"/>
        <v/>
      </c>
      <c r="U1445" t="str">
        <f t="shared" si="525"/>
        <v/>
      </c>
      <c r="X1445" s="71"/>
      <c r="Z1445" s="44"/>
      <c r="AF1445" s="22"/>
    </row>
    <row r="1446" spans="1:45">
      <c r="A1446" t="str">
        <f t="shared" si="526"/>
        <v>CA_Orang_2020p~member, county central committee 65th assembly district - dem (vote for 6)</v>
      </c>
      <c r="B1446" s="55" t="s">
        <v>3163</v>
      </c>
      <c r="D1446" s="55" t="s">
        <v>3355</v>
      </c>
      <c r="E1446" s="55" t="s">
        <v>3366</v>
      </c>
      <c r="F1446" t="s">
        <v>1294</v>
      </c>
      <c r="G1446" s="60">
        <v>13114</v>
      </c>
      <c r="H1446" s="26">
        <f t="shared" si="527"/>
        <v>9.8537787595990564E-2</v>
      </c>
      <c r="J1446" s="23">
        <v>133086</v>
      </c>
      <c r="K1446">
        <v>255</v>
      </c>
      <c r="L1446">
        <v>255</v>
      </c>
      <c r="N1446">
        <v>0</v>
      </c>
      <c r="O1446">
        <f t="shared" si="519"/>
        <v>5</v>
      </c>
      <c r="P1446" s="57">
        <f t="shared" si="520"/>
        <v>6</v>
      </c>
      <c r="Q1446" s="267">
        <f t="shared" si="521"/>
        <v>79306</v>
      </c>
      <c r="R1446" s="23">
        <f t="shared" si="522"/>
        <v>12252</v>
      </c>
      <c r="S1446" s="23">
        <f t="shared" si="523"/>
        <v>9179</v>
      </c>
      <c r="T1446" s="23" t="str">
        <f t="shared" si="524"/>
        <v/>
      </c>
      <c r="U1446" t="str">
        <f t="shared" si="525"/>
        <v/>
      </c>
      <c r="X1446" s="71"/>
      <c r="Z1446" s="44"/>
      <c r="AF1446" s="22"/>
      <c r="AH1446" s="8"/>
      <c r="AL1446" s="23"/>
    </row>
    <row r="1447" spans="1:45">
      <c r="A1447" t="str">
        <f t="shared" si="526"/>
        <v>CA_Orang_2020p~member, county central committee 65th assembly district - dem (vote for 6)</v>
      </c>
      <c r="B1447" s="55" t="s">
        <v>3163</v>
      </c>
      <c r="D1447" s="55" t="s">
        <v>3355</v>
      </c>
      <c r="E1447" s="55" t="s">
        <v>3356</v>
      </c>
      <c r="F1447" t="s">
        <v>1294</v>
      </c>
      <c r="G1447" s="60">
        <v>12252</v>
      </c>
      <c r="H1447" s="26">
        <f t="shared" si="527"/>
        <v>9.206077273342049E-2</v>
      </c>
      <c r="J1447" s="23">
        <v>133086</v>
      </c>
      <c r="K1447">
        <v>255</v>
      </c>
      <c r="L1447">
        <v>255</v>
      </c>
      <c r="N1447">
        <v>0</v>
      </c>
      <c r="O1447">
        <f t="shared" si="519"/>
        <v>6</v>
      </c>
      <c r="P1447" s="57">
        <f t="shared" si="520"/>
        <v>6</v>
      </c>
      <c r="Q1447" s="267">
        <f t="shared" si="521"/>
        <v>66192</v>
      </c>
      <c r="R1447" s="23">
        <f t="shared" si="522"/>
        <v>12252</v>
      </c>
      <c r="S1447" s="23">
        <f t="shared" si="523"/>
        <v>9179</v>
      </c>
      <c r="T1447" s="23" t="str">
        <f t="shared" si="524"/>
        <v/>
      </c>
      <c r="U1447" t="str">
        <f t="shared" si="525"/>
        <v/>
      </c>
      <c r="X1447" s="71"/>
      <c r="Z1447" s="44"/>
      <c r="AF1447" s="22"/>
      <c r="AG1447" s="295"/>
      <c r="AH1447" s="294"/>
      <c r="AI1447" s="279"/>
      <c r="AJ1447" s="279"/>
      <c r="AL1447" s="341"/>
    </row>
    <row r="1448" spans="1:45">
      <c r="A1448" t="str">
        <f t="shared" si="526"/>
        <v>CA_Orang_2020p~member, county central committee 65th assembly district - dem (vote for 6)</v>
      </c>
      <c r="B1448" s="55" t="s">
        <v>3163</v>
      </c>
      <c r="D1448" s="55" t="s">
        <v>3355</v>
      </c>
      <c r="E1448" s="55" t="s">
        <v>3360</v>
      </c>
      <c r="F1448" t="s">
        <v>1294</v>
      </c>
      <c r="G1448" s="60">
        <v>9179</v>
      </c>
      <c r="H1448" s="26">
        <f t="shared" si="527"/>
        <v>6.897044016650887E-2</v>
      </c>
      <c r="J1448" s="23">
        <v>133086</v>
      </c>
      <c r="K1448">
        <v>255</v>
      </c>
      <c r="L1448">
        <v>255</v>
      </c>
      <c r="N1448">
        <v>0</v>
      </c>
      <c r="O1448">
        <f t="shared" si="519"/>
        <v>7</v>
      </c>
      <c r="P1448" s="57">
        <f t="shared" si="520"/>
        <v>6</v>
      </c>
      <c r="Q1448" s="267">
        <f t="shared" si="521"/>
        <v>53940</v>
      </c>
      <c r="R1448" s="23" t="str">
        <f t="shared" si="522"/>
        <v/>
      </c>
      <c r="S1448" s="23">
        <f t="shared" si="523"/>
        <v>9179</v>
      </c>
      <c r="T1448" s="23" t="str">
        <f t="shared" si="524"/>
        <v/>
      </c>
      <c r="U1448" t="str">
        <f t="shared" si="525"/>
        <v/>
      </c>
      <c r="X1448" s="71"/>
      <c r="Z1448" s="44"/>
      <c r="AF1448" s="22"/>
    </row>
    <row r="1449" spans="1:45">
      <c r="A1449" t="str">
        <f t="shared" si="526"/>
        <v>CA_Orang_2020p~member, county central committee 65th assembly district - dem (vote for 6)</v>
      </c>
      <c r="B1449" s="55" t="s">
        <v>3163</v>
      </c>
      <c r="D1449" s="55" t="s">
        <v>3355</v>
      </c>
      <c r="E1449" s="55" t="s">
        <v>3365</v>
      </c>
      <c r="F1449" t="s">
        <v>1294</v>
      </c>
      <c r="G1449" s="60">
        <v>8399</v>
      </c>
      <c r="H1449" s="26">
        <f t="shared" si="527"/>
        <v>6.3109568249102091E-2</v>
      </c>
      <c r="J1449" s="23">
        <v>133086</v>
      </c>
      <c r="K1449">
        <v>255</v>
      </c>
      <c r="L1449">
        <v>255</v>
      </c>
      <c r="N1449">
        <v>0</v>
      </c>
      <c r="O1449">
        <f t="shared" si="519"/>
        <v>8</v>
      </c>
      <c r="P1449" s="57">
        <f t="shared" si="520"/>
        <v>6</v>
      </c>
      <c r="Q1449" s="267">
        <f t="shared" si="521"/>
        <v>44761</v>
      </c>
      <c r="R1449" s="23" t="str">
        <f t="shared" si="522"/>
        <v/>
      </c>
      <c r="S1449" s="23">
        <f t="shared" si="523"/>
        <v>8399</v>
      </c>
      <c r="T1449" s="23" t="str">
        <f t="shared" si="524"/>
        <v/>
      </c>
      <c r="U1449" t="str">
        <f t="shared" si="525"/>
        <v/>
      </c>
      <c r="X1449" s="71"/>
      <c r="Z1449" s="44"/>
      <c r="AF1449" s="22"/>
    </row>
    <row r="1450" spans="1:45">
      <c r="A1450" t="str">
        <f t="shared" si="526"/>
        <v>CA_Orang_2020p~member, county central committee 65th assembly district - dem (vote for 6)</v>
      </c>
      <c r="B1450" s="55" t="s">
        <v>3163</v>
      </c>
      <c r="D1450" s="55" t="s">
        <v>3355</v>
      </c>
      <c r="E1450" s="55" t="s">
        <v>3363</v>
      </c>
      <c r="F1450" t="s">
        <v>1294</v>
      </c>
      <c r="G1450" s="60">
        <v>8269</v>
      </c>
      <c r="H1450" s="26">
        <f t="shared" si="527"/>
        <v>6.2132756262867621E-2</v>
      </c>
      <c r="J1450" s="23">
        <v>133086</v>
      </c>
      <c r="K1450">
        <v>255</v>
      </c>
      <c r="L1450">
        <v>255</v>
      </c>
      <c r="N1450">
        <v>0</v>
      </c>
      <c r="O1450">
        <f t="shared" si="519"/>
        <v>9</v>
      </c>
      <c r="P1450" s="57">
        <f t="shared" si="520"/>
        <v>6</v>
      </c>
      <c r="Q1450" s="267">
        <f t="shared" si="521"/>
        <v>36362</v>
      </c>
      <c r="R1450" s="23" t="str">
        <f t="shared" si="522"/>
        <v/>
      </c>
      <c r="S1450" s="23">
        <f t="shared" si="523"/>
        <v>8269</v>
      </c>
      <c r="T1450" s="23" t="str">
        <f t="shared" si="524"/>
        <v/>
      </c>
      <c r="U1450" t="str">
        <f t="shared" si="525"/>
        <v/>
      </c>
      <c r="X1450" s="71"/>
      <c r="Z1450" s="44"/>
      <c r="AF1450" s="22"/>
      <c r="AG1450" s="23"/>
      <c r="AH1450" s="8"/>
      <c r="AL1450" s="344"/>
    </row>
    <row r="1451" spans="1:45">
      <c r="A1451" t="str">
        <f t="shared" si="526"/>
        <v>CA_Orang_2020p~member, county central committee 65th assembly district - dem (vote for 6)</v>
      </c>
      <c r="B1451" s="55" t="s">
        <v>3163</v>
      </c>
      <c r="D1451" s="55" t="s">
        <v>3355</v>
      </c>
      <c r="E1451" s="55" t="s">
        <v>3367</v>
      </c>
      <c r="F1451" t="s">
        <v>1294</v>
      </c>
      <c r="G1451" s="60">
        <v>7529</v>
      </c>
      <c r="H1451" s="26">
        <f t="shared" si="527"/>
        <v>5.6572441879686818E-2</v>
      </c>
      <c r="J1451" s="23">
        <v>133086</v>
      </c>
      <c r="K1451">
        <v>255</v>
      </c>
      <c r="L1451">
        <v>255</v>
      </c>
      <c r="N1451">
        <v>0</v>
      </c>
      <c r="O1451">
        <f t="shared" si="519"/>
        <v>10</v>
      </c>
      <c r="P1451" s="57">
        <f t="shared" si="520"/>
        <v>6</v>
      </c>
      <c r="Q1451" s="267">
        <f t="shared" si="521"/>
        <v>28093</v>
      </c>
      <c r="R1451" s="23" t="str">
        <f t="shared" si="522"/>
        <v/>
      </c>
      <c r="S1451" s="23">
        <f t="shared" si="523"/>
        <v>7529</v>
      </c>
      <c r="T1451" s="23" t="str">
        <f t="shared" si="524"/>
        <v/>
      </c>
      <c r="U1451" t="str">
        <f t="shared" si="525"/>
        <v/>
      </c>
      <c r="X1451" s="71"/>
      <c r="Z1451" s="44"/>
      <c r="AF1451" s="22"/>
    </row>
    <row r="1452" spans="1:45">
      <c r="A1452" t="str">
        <f t="shared" si="526"/>
        <v>CA_Orang_2020p~member, county central committee 65th assembly district - dem (vote for 6)</v>
      </c>
      <c r="B1452" s="55" t="s">
        <v>3163</v>
      </c>
      <c r="D1452" s="55" t="s">
        <v>3355</v>
      </c>
      <c r="E1452" s="55" t="s">
        <v>3362</v>
      </c>
      <c r="F1452" t="s">
        <v>1294</v>
      </c>
      <c r="G1452" s="60">
        <v>7321</v>
      </c>
      <c r="H1452" s="26">
        <f t="shared" si="527"/>
        <v>5.5009542701711676E-2</v>
      </c>
      <c r="J1452" s="23">
        <v>133086</v>
      </c>
      <c r="K1452">
        <v>255</v>
      </c>
      <c r="L1452">
        <v>255</v>
      </c>
      <c r="N1452">
        <v>0</v>
      </c>
      <c r="O1452">
        <f t="shared" si="519"/>
        <v>11</v>
      </c>
      <c r="P1452" s="57">
        <f t="shared" si="520"/>
        <v>6</v>
      </c>
      <c r="Q1452" s="267">
        <f t="shared" si="521"/>
        <v>20564</v>
      </c>
      <c r="R1452" s="23" t="str">
        <f t="shared" si="522"/>
        <v/>
      </c>
      <c r="S1452" s="23">
        <f t="shared" si="523"/>
        <v>7321</v>
      </c>
      <c r="T1452" s="23" t="str">
        <f t="shared" si="524"/>
        <v/>
      </c>
      <c r="U1452" t="str">
        <f t="shared" si="525"/>
        <v/>
      </c>
      <c r="X1452" s="71"/>
      <c r="Z1452" s="44"/>
      <c r="AF1452" s="22"/>
      <c r="AG1452" s="89"/>
      <c r="AH1452" s="274"/>
      <c r="AI1452" s="279"/>
      <c r="AJ1452" s="280"/>
      <c r="AK1452" s="92"/>
      <c r="AL1452" s="23"/>
    </row>
    <row r="1453" spans="1:45">
      <c r="A1453" t="str">
        <f t="shared" si="526"/>
        <v>CA_Orang_2020p~member, county central committee 65th assembly district - dem (vote for 6)</v>
      </c>
      <c r="B1453" s="55" t="s">
        <v>3163</v>
      </c>
      <c r="D1453" s="55" t="s">
        <v>3355</v>
      </c>
      <c r="E1453" s="55" t="s">
        <v>3368</v>
      </c>
      <c r="F1453" t="s">
        <v>1294</v>
      </c>
      <c r="G1453" s="60">
        <v>7014</v>
      </c>
      <c r="H1453" s="26">
        <f t="shared" si="527"/>
        <v>5.2702763626527205E-2</v>
      </c>
      <c r="J1453" s="23">
        <v>133086</v>
      </c>
      <c r="K1453">
        <v>255</v>
      </c>
      <c r="L1453">
        <v>255</v>
      </c>
      <c r="N1453">
        <v>0</v>
      </c>
      <c r="O1453">
        <f t="shared" si="519"/>
        <v>12</v>
      </c>
      <c r="P1453" s="57">
        <f t="shared" si="520"/>
        <v>6</v>
      </c>
      <c r="Q1453" s="267">
        <f t="shared" si="521"/>
        <v>13243</v>
      </c>
      <c r="R1453" s="23" t="str">
        <f t="shared" si="522"/>
        <v/>
      </c>
      <c r="S1453" s="23">
        <f t="shared" si="523"/>
        <v>7014</v>
      </c>
      <c r="T1453" s="23" t="str">
        <f t="shared" si="524"/>
        <v/>
      </c>
      <c r="U1453" t="str">
        <f t="shared" si="525"/>
        <v/>
      </c>
      <c r="X1453" s="71"/>
      <c r="Z1453" s="44"/>
      <c r="AF1453" s="22"/>
      <c r="AG1453" s="89"/>
      <c r="AH1453" s="274"/>
      <c r="AI1453" s="279"/>
      <c r="AJ1453" s="280"/>
      <c r="AK1453" s="92"/>
      <c r="AL1453" s="23"/>
    </row>
    <row r="1454" spans="1:45">
      <c r="A1454" t="str">
        <f t="shared" si="526"/>
        <v>CA_Orang_2020p~member, county central committee 65th assembly district - dem (vote for 6)</v>
      </c>
      <c r="B1454" s="55" t="s">
        <v>3163</v>
      </c>
      <c r="D1454" s="55" t="s">
        <v>3355</v>
      </c>
      <c r="E1454" s="55" t="s">
        <v>3358</v>
      </c>
      <c r="F1454" t="s">
        <v>1294</v>
      </c>
      <c r="G1454" s="60">
        <v>6229</v>
      </c>
      <c r="H1454" s="26">
        <f t="shared" si="527"/>
        <v>4.6804322017342172E-2</v>
      </c>
      <c r="J1454" s="23">
        <v>133086</v>
      </c>
      <c r="K1454">
        <v>255</v>
      </c>
      <c r="L1454">
        <v>255</v>
      </c>
      <c r="N1454">
        <v>0</v>
      </c>
      <c r="O1454">
        <f t="shared" si="519"/>
        <v>13</v>
      </c>
      <c r="P1454" s="57">
        <f t="shared" si="520"/>
        <v>6</v>
      </c>
      <c r="Q1454" s="267">
        <f t="shared" si="521"/>
        <v>6229</v>
      </c>
      <c r="R1454" s="23" t="str">
        <f t="shared" si="522"/>
        <v/>
      </c>
      <c r="S1454" s="23">
        <f t="shared" si="523"/>
        <v>6229</v>
      </c>
      <c r="T1454" s="23" t="str">
        <f t="shared" si="524"/>
        <v/>
      </c>
      <c r="U1454" t="str">
        <f t="shared" si="525"/>
        <v/>
      </c>
      <c r="X1454" s="71"/>
      <c r="Z1454" s="44"/>
      <c r="AF1454" s="22"/>
      <c r="AG1454" s="89"/>
      <c r="AH1454" s="274"/>
      <c r="AI1454" s="279"/>
      <c r="AJ1454" s="280"/>
      <c r="AK1454" s="92"/>
      <c r="AL1454" s="23"/>
    </row>
    <row r="1455" spans="1:45">
      <c r="A1455" t="str">
        <f t="shared" si="526"/>
        <v>CA_Orang_2020p~member, county central committee 65th assembly district - rep (vote for 6)</v>
      </c>
      <c r="B1455" s="55" t="s">
        <v>3163</v>
      </c>
      <c r="D1455" s="55" t="s">
        <v>3454</v>
      </c>
      <c r="E1455" s="55" t="s">
        <v>3458</v>
      </c>
      <c r="F1455" t="s">
        <v>1296</v>
      </c>
      <c r="G1455" s="60">
        <v>15404</v>
      </c>
      <c r="H1455" s="26">
        <f t="shared" si="527"/>
        <v>0.14564364392757528</v>
      </c>
      <c r="J1455" s="23">
        <v>105765</v>
      </c>
      <c r="K1455">
        <v>255</v>
      </c>
      <c r="L1455">
        <v>255</v>
      </c>
      <c r="N1455">
        <v>0</v>
      </c>
      <c r="O1455">
        <f t="shared" si="519"/>
        <v>1</v>
      </c>
      <c r="P1455" s="57">
        <f t="shared" si="520"/>
        <v>6</v>
      </c>
      <c r="Q1455" s="267">
        <f t="shared" si="521"/>
        <v>18892.833333333332</v>
      </c>
      <c r="R1455" s="23">
        <f t="shared" si="522"/>
        <v>11284</v>
      </c>
      <c r="S1455" s="23">
        <f t="shared" si="523"/>
        <v>11142</v>
      </c>
      <c r="T1455" s="23">
        <f t="shared" si="524"/>
        <v>142</v>
      </c>
      <c r="U1455" t="str">
        <f t="shared" si="525"/>
        <v>CA_Orang_2020p~member, county central committee 65th assembly district - rep (vote for 6)</v>
      </c>
      <c r="X1455" s="71"/>
      <c r="Z1455" s="44"/>
      <c r="AF1455" s="22"/>
    </row>
    <row r="1456" spans="1:45">
      <c r="A1456" t="str">
        <f t="shared" si="526"/>
        <v>CA_Orang_2020p~member, county central committee 65th assembly district - rep (vote for 6)</v>
      </c>
      <c r="B1456" s="55" t="s">
        <v>3163</v>
      </c>
      <c r="D1456" s="55" t="s">
        <v>3454</v>
      </c>
      <c r="E1456" s="55" t="s">
        <v>3457</v>
      </c>
      <c r="F1456" t="s">
        <v>1296</v>
      </c>
      <c r="G1456" s="60">
        <v>14540</v>
      </c>
      <c r="H1456" s="26">
        <f t="shared" si="527"/>
        <v>0.13747458989268663</v>
      </c>
      <c r="J1456" s="23">
        <v>105765</v>
      </c>
      <c r="K1456">
        <v>255</v>
      </c>
      <c r="L1456">
        <v>255</v>
      </c>
      <c r="N1456">
        <v>0</v>
      </c>
      <c r="O1456">
        <f t="shared" si="519"/>
        <v>2</v>
      </c>
      <c r="P1456" s="57">
        <f t="shared" si="520"/>
        <v>6</v>
      </c>
      <c r="Q1456" s="267">
        <f t="shared" si="521"/>
        <v>97953</v>
      </c>
      <c r="R1456" s="23">
        <f t="shared" si="522"/>
        <v>11284</v>
      </c>
      <c r="S1456" s="23">
        <f t="shared" si="523"/>
        <v>11142</v>
      </c>
      <c r="T1456" s="23" t="str">
        <f t="shared" si="524"/>
        <v/>
      </c>
      <c r="U1456" t="str">
        <f t="shared" si="525"/>
        <v/>
      </c>
      <c r="X1456" s="71"/>
      <c r="Z1456" s="44"/>
      <c r="AF1456" s="22"/>
      <c r="AO1456" s="356"/>
      <c r="AP1456" s="356"/>
      <c r="AQ1456" s="394"/>
      <c r="AR1456" s="394"/>
      <c r="AS1456" s="394"/>
    </row>
    <row r="1457" spans="1:45">
      <c r="A1457" t="str">
        <f t="shared" si="526"/>
        <v>CA_Orang_2020p~member, county central committee 65th assembly district - rep (vote for 6)</v>
      </c>
      <c r="B1457" s="55" t="s">
        <v>3163</v>
      </c>
      <c r="D1457" s="55" t="s">
        <v>3454</v>
      </c>
      <c r="E1457" s="55" t="s">
        <v>3461</v>
      </c>
      <c r="F1457" t="s">
        <v>1296</v>
      </c>
      <c r="G1457" s="60">
        <v>11816</v>
      </c>
      <c r="H1457" s="26">
        <f t="shared" si="527"/>
        <v>0.11171937786602373</v>
      </c>
      <c r="J1457" s="23">
        <v>105765</v>
      </c>
      <c r="K1457">
        <v>255</v>
      </c>
      <c r="L1457">
        <v>255</v>
      </c>
      <c r="N1457">
        <v>0</v>
      </c>
      <c r="O1457">
        <f t="shared" si="519"/>
        <v>3</v>
      </c>
      <c r="P1457" s="57">
        <f t="shared" si="520"/>
        <v>6</v>
      </c>
      <c r="Q1457" s="267">
        <f t="shared" si="521"/>
        <v>83413</v>
      </c>
      <c r="R1457" s="23">
        <f t="shared" si="522"/>
        <v>11284</v>
      </c>
      <c r="S1457" s="23">
        <f t="shared" si="523"/>
        <v>11142</v>
      </c>
      <c r="T1457" s="23" t="str">
        <f t="shared" si="524"/>
        <v/>
      </c>
      <c r="U1457" t="str">
        <f t="shared" si="525"/>
        <v/>
      </c>
      <c r="X1457" s="71"/>
      <c r="Z1457" s="44"/>
      <c r="AF1457" s="22"/>
    </row>
    <row r="1458" spans="1:45">
      <c r="A1458" t="str">
        <f t="shared" si="526"/>
        <v>CA_Orang_2020p~member, county central committee 65th assembly district - rep (vote for 6)</v>
      </c>
      <c r="B1458" s="55" t="s">
        <v>3163</v>
      </c>
      <c r="D1458" s="55" t="s">
        <v>3454</v>
      </c>
      <c r="E1458" s="55" t="s">
        <v>3456</v>
      </c>
      <c r="F1458" t="s">
        <v>1296</v>
      </c>
      <c r="G1458" s="60">
        <v>11786</v>
      </c>
      <c r="H1458" s="26">
        <f t="shared" si="527"/>
        <v>0.11143573015647899</v>
      </c>
      <c r="J1458" s="23">
        <v>105765</v>
      </c>
      <c r="K1458">
        <v>255</v>
      </c>
      <c r="L1458">
        <v>255</v>
      </c>
      <c r="N1458">
        <v>0</v>
      </c>
      <c r="O1458">
        <f t="shared" si="519"/>
        <v>4</v>
      </c>
      <c r="P1458" s="57">
        <f t="shared" si="520"/>
        <v>6</v>
      </c>
      <c r="Q1458" s="267">
        <f t="shared" si="521"/>
        <v>71597</v>
      </c>
      <c r="R1458" s="23">
        <f t="shared" si="522"/>
        <v>11284</v>
      </c>
      <c r="S1458" s="23">
        <f t="shared" si="523"/>
        <v>11142</v>
      </c>
      <c r="T1458" s="23" t="str">
        <f t="shared" si="524"/>
        <v/>
      </c>
      <c r="U1458" t="str">
        <f t="shared" si="525"/>
        <v/>
      </c>
      <c r="X1458" s="71"/>
      <c r="Z1458" s="44"/>
      <c r="AF1458" s="22"/>
    </row>
    <row r="1459" spans="1:45">
      <c r="A1459" t="str">
        <f t="shared" si="526"/>
        <v>CA_Orang_2020p~member, county central committee 65th assembly district - rep (vote for 6)</v>
      </c>
      <c r="B1459" s="55" t="s">
        <v>3163</v>
      </c>
      <c r="D1459" s="55" t="s">
        <v>3454</v>
      </c>
      <c r="E1459" s="55" t="s">
        <v>3460</v>
      </c>
      <c r="F1459" t="s">
        <v>1296</v>
      </c>
      <c r="G1459" s="60">
        <v>11343</v>
      </c>
      <c r="H1459" s="26">
        <f t="shared" si="527"/>
        <v>0.10724719897886825</v>
      </c>
      <c r="J1459" s="23">
        <v>105765</v>
      </c>
      <c r="K1459">
        <v>255</v>
      </c>
      <c r="L1459">
        <v>255</v>
      </c>
      <c r="N1459">
        <v>0</v>
      </c>
      <c r="O1459">
        <f t="shared" si="519"/>
        <v>5</v>
      </c>
      <c r="P1459" s="57">
        <f t="shared" si="520"/>
        <v>6</v>
      </c>
      <c r="Q1459" s="267">
        <f t="shared" si="521"/>
        <v>59811</v>
      </c>
      <c r="R1459" s="23">
        <f t="shared" si="522"/>
        <v>11284</v>
      </c>
      <c r="S1459" s="23">
        <f t="shared" si="523"/>
        <v>11142</v>
      </c>
      <c r="T1459" s="23" t="str">
        <f t="shared" si="524"/>
        <v/>
      </c>
      <c r="U1459" t="str">
        <f t="shared" si="525"/>
        <v/>
      </c>
      <c r="X1459" s="71"/>
      <c r="Z1459" s="44"/>
      <c r="AF1459" s="22"/>
    </row>
    <row r="1460" spans="1:45">
      <c r="A1460" t="str">
        <f t="shared" si="526"/>
        <v>CA_Orang_2020p~member, county central committee 65th assembly district - rep (vote for 6)</v>
      </c>
      <c r="B1460" s="55" t="s">
        <v>3163</v>
      </c>
      <c r="D1460" s="55" t="s">
        <v>3454</v>
      </c>
      <c r="E1460" s="55" t="s">
        <v>3464</v>
      </c>
      <c r="F1460" t="s">
        <v>1296</v>
      </c>
      <c r="G1460" s="60">
        <v>11284</v>
      </c>
      <c r="H1460" s="26">
        <f t="shared" si="527"/>
        <v>0.10668935848343025</v>
      </c>
      <c r="J1460" s="23">
        <v>105765</v>
      </c>
      <c r="K1460">
        <v>255</v>
      </c>
      <c r="L1460">
        <v>255</v>
      </c>
      <c r="N1460">
        <v>0</v>
      </c>
      <c r="O1460">
        <f t="shared" si="519"/>
        <v>6</v>
      </c>
      <c r="P1460" s="57">
        <f t="shared" si="520"/>
        <v>6</v>
      </c>
      <c r="Q1460" s="267">
        <f t="shared" si="521"/>
        <v>48468</v>
      </c>
      <c r="R1460" s="23">
        <f t="shared" si="522"/>
        <v>11284</v>
      </c>
      <c r="S1460" s="23">
        <f t="shared" si="523"/>
        <v>11142</v>
      </c>
      <c r="T1460" s="23" t="str">
        <f t="shared" si="524"/>
        <v/>
      </c>
      <c r="U1460" t="str">
        <f t="shared" si="525"/>
        <v/>
      </c>
      <c r="X1460" s="71"/>
      <c r="Z1460" s="44"/>
      <c r="AF1460" s="22"/>
    </row>
    <row r="1461" spans="1:45">
      <c r="A1461" t="str">
        <f t="shared" si="526"/>
        <v>CA_Orang_2020p~member, county central committee 65th assembly district - rep (vote for 6)</v>
      </c>
      <c r="B1461" s="55" t="s">
        <v>3163</v>
      </c>
      <c r="D1461" s="55" t="s">
        <v>3454</v>
      </c>
      <c r="E1461" s="55" t="s">
        <v>3459</v>
      </c>
      <c r="F1461" t="s">
        <v>1296</v>
      </c>
      <c r="G1461" s="60">
        <v>11142</v>
      </c>
      <c r="H1461" s="26">
        <f t="shared" si="527"/>
        <v>0.10534675932491845</v>
      </c>
      <c r="J1461" s="23">
        <v>105765</v>
      </c>
      <c r="K1461">
        <v>255</v>
      </c>
      <c r="L1461">
        <v>255</v>
      </c>
      <c r="N1461">
        <v>0</v>
      </c>
      <c r="O1461">
        <f t="shared" si="519"/>
        <v>7</v>
      </c>
      <c r="P1461" s="57">
        <f t="shared" si="520"/>
        <v>6</v>
      </c>
      <c r="Q1461" s="267">
        <f t="shared" si="521"/>
        <v>37184</v>
      </c>
      <c r="R1461" s="23" t="str">
        <f t="shared" si="522"/>
        <v/>
      </c>
      <c r="S1461" s="23">
        <f t="shared" si="523"/>
        <v>11142</v>
      </c>
      <c r="T1461" s="23" t="str">
        <f t="shared" si="524"/>
        <v/>
      </c>
      <c r="U1461" t="str">
        <f t="shared" si="525"/>
        <v/>
      </c>
      <c r="X1461" s="71"/>
      <c r="Z1461" s="44"/>
      <c r="AF1461" s="22"/>
    </row>
    <row r="1462" spans="1:45">
      <c r="A1462" t="str">
        <f t="shared" si="526"/>
        <v>CA_Orang_2020p~member, county central committee 65th assembly district - rep (vote for 6)</v>
      </c>
      <c r="B1462" s="55" t="s">
        <v>3163</v>
      </c>
      <c r="D1462" s="55" t="s">
        <v>3454</v>
      </c>
      <c r="E1462" s="55" t="s">
        <v>3455</v>
      </c>
      <c r="F1462" t="s">
        <v>1296</v>
      </c>
      <c r="G1462" s="60">
        <v>10893</v>
      </c>
      <c r="H1462" s="26">
        <f t="shared" si="527"/>
        <v>0.10299248333569706</v>
      </c>
      <c r="J1462" s="23">
        <v>105765</v>
      </c>
      <c r="K1462">
        <v>255</v>
      </c>
      <c r="L1462">
        <v>255</v>
      </c>
      <c r="N1462">
        <v>0</v>
      </c>
      <c r="O1462">
        <f t="shared" si="519"/>
        <v>8</v>
      </c>
      <c r="P1462" s="57">
        <f t="shared" si="520"/>
        <v>6</v>
      </c>
      <c r="Q1462" s="267">
        <f t="shared" si="521"/>
        <v>26042</v>
      </c>
      <c r="R1462" s="23" t="str">
        <f t="shared" si="522"/>
        <v/>
      </c>
      <c r="S1462" s="23">
        <f t="shared" si="523"/>
        <v>10893</v>
      </c>
      <c r="T1462" s="23" t="str">
        <f t="shared" si="524"/>
        <v/>
      </c>
      <c r="U1462" t="str">
        <f t="shared" si="525"/>
        <v/>
      </c>
      <c r="X1462" s="71"/>
      <c r="Z1462" s="44"/>
      <c r="AF1462" s="22"/>
    </row>
    <row r="1463" spans="1:45">
      <c r="A1463" t="str">
        <f t="shared" si="526"/>
        <v>CA_Orang_2020p~member, county central committee 65th assembly district - rep (vote for 6)</v>
      </c>
      <c r="B1463" s="55" t="s">
        <v>3163</v>
      </c>
      <c r="D1463" s="55" t="s">
        <v>3454</v>
      </c>
      <c r="E1463" s="55" t="s">
        <v>3463</v>
      </c>
      <c r="F1463" t="s">
        <v>1296</v>
      </c>
      <c r="G1463" s="60">
        <v>10291</v>
      </c>
      <c r="H1463" s="26">
        <f t="shared" si="527"/>
        <v>9.7300619297499169E-2</v>
      </c>
      <c r="J1463" s="23">
        <v>105765</v>
      </c>
      <c r="K1463">
        <v>255</v>
      </c>
      <c r="L1463">
        <v>255</v>
      </c>
      <c r="N1463">
        <v>0</v>
      </c>
      <c r="O1463">
        <f t="shared" si="519"/>
        <v>9</v>
      </c>
      <c r="P1463" s="57">
        <f t="shared" si="520"/>
        <v>6</v>
      </c>
      <c r="Q1463" s="267">
        <f t="shared" si="521"/>
        <v>15149</v>
      </c>
      <c r="R1463" s="23" t="str">
        <f t="shared" si="522"/>
        <v/>
      </c>
      <c r="S1463" s="23">
        <f t="shared" si="523"/>
        <v>10291</v>
      </c>
      <c r="T1463" s="23" t="str">
        <f t="shared" si="524"/>
        <v/>
      </c>
      <c r="U1463" t="str">
        <f t="shared" si="525"/>
        <v/>
      </c>
      <c r="X1463" s="71"/>
      <c r="Z1463" s="44"/>
      <c r="AF1463" s="22"/>
    </row>
    <row r="1464" spans="1:45">
      <c r="A1464" t="str">
        <f t="shared" si="526"/>
        <v>CA_Orang_2020p~member, county central committee 65th assembly district - rep (vote for 6)</v>
      </c>
      <c r="B1464" s="55" t="s">
        <v>3163</v>
      </c>
      <c r="D1464" s="55" t="s">
        <v>3454</v>
      </c>
      <c r="E1464" s="55" t="s">
        <v>3462</v>
      </c>
      <c r="F1464" t="s">
        <v>1296</v>
      </c>
      <c r="G1464" s="60">
        <v>4858</v>
      </c>
      <c r="H1464" s="26">
        <f t="shared" si="527"/>
        <v>4.5932019098945773E-2</v>
      </c>
      <c r="J1464" s="23">
        <v>105765</v>
      </c>
      <c r="K1464">
        <v>255</v>
      </c>
      <c r="L1464">
        <v>255</v>
      </c>
      <c r="N1464">
        <v>0</v>
      </c>
      <c r="O1464">
        <f t="shared" si="519"/>
        <v>10</v>
      </c>
      <c r="P1464" s="57">
        <f t="shared" si="520"/>
        <v>6</v>
      </c>
      <c r="Q1464" s="267">
        <f t="shared" si="521"/>
        <v>4858</v>
      </c>
      <c r="R1464" s="23" t="str">
        <f t="shared" si="522"/>
        <v/>
      </c>
      <c r="S1464" s="23">
        <f t="shared" si="523"/>
        <v>4858</v>
      </c>
      <c r="T1464" s="23" t="str">
        <f t="shared" si="524"/>
        <v/>
      </c>
      <c r="U1464" t="str">
        <f t="shared" si="525"/>
        <v/>
      </c>
      <c r="X1464" s="71"/>
      <c r="Z1464" s="44"/>
      <c r="AF1464" s="22"/>
      <c r="AH1464" s="8"/>
      <c r="AL1464" s="23"/>
    </row>
    <row r="1465" spans="1:45">
      <c r="A1465" t="str">
        <f t="shared" si="526"/>
        <v>CA_Orang_2020p~member, county central committee 68th assembly district - dem (vote for 6)</v>
      </c>
      <c r="B1465" s="55" t="s">
        <v>3163</v>
      </c>
      <c r="D1465" s="55" t="s">
        <v>3369</v>
      </c>
      <c r="E1465" s="55" t="s">
        <v>3375</v>
      </c>
      <c r="F1465" t="s">
        <v>1294</v>
      </c>
      <c r="G1465" s="60">
        <v>26003</v>
      </c>
      <c r="H1465" s="26">
        <f t="shared" si="527"/>
        <v>0.16921765387268492</v>
      </c>
      <c r="J1465" s="23">
        <v>153666</v>
      </c>
      <c r="K1465">
        <v>391</v>
      </c>
      <c r="L1465">
        <v>391</v>
      </c>
      <c r="N1465">
        <v>0</v>
      </c>
      <c r="O1465">
        <f t="shared" si="519"/>
        <v>1</v>
      </c>
      <c r="P1465" s="57">
        <f t="shared" si="520"/>
        <v>6</v>
      </c>
      <c r="Q1465" s="267">
        <f t="shared" si="521"/>
        <v>27660</v>
      </c>
      <c r="R1465" s="23">
        <f t="shared" si="522"/>
        <v>9191</v>
      </c>
      <c r="S1465" s="23">
        <f t="shared" si="523"/>
        <v>9024</v>
      </c>
      <c r="T1465" s="23">
        <f t="shared" si="524"/>
        <v>167</v>
      </c>
      <c r="U1465" t="str">
        <f t="shared" si="525"/>
        <v>CA_Orang_2020p~member, county central committee 68th assembly district - dem (vote for 6)</v>
      </c>
      <c r="X1465" s="71"/>
      <c r="Z1465" s="44"/>
      <c r="AF1465" s="22"/>
    </row>
    <row r="1466" spans="1:45">
      <c r="A1466" t="str">
        <f t="shared" si="526"/>
        <v>CA_Orang_2020p~member, county central committee 68th assembly district - dem (vote for 6)</v>
      </c>
      <c r="B1466" s="55" t="s">
        <v>3163</v>
      </c>
      <c r="D1466" s="55" t="s">
        <v>3369</v>
      </c>
      <c r="E1466" s="55" t="s">
        <v>3371</v>
      </c>
      <c r="F1466" t="s">
        <v>1294</v>
      </c>
      <c r="G1466" s="60">
        <v>15282</v>
      </c>
      <c r="H1466" s="26">
        <f t="shared" si="527"/>
        <v>9.9449455312170545E-2</v>
      </c>
      <c r="J1466" s="23">
        <v>153666</v>
      </c>
      <c r="K1466">
        <v>391</v>
      </c>
      <c r="L1466">
        <v>391</v>
      </c>
      <c r="N1466">
        <v>0</v>
      </c>
      <c r="O1466">
        <f t="shared" si="519"/>
        <v>2</v>
      </c>
      <c r="P1466" s="57">
        <f t="shared" si="520"/>
        <v>6</v>
      </c>
      <c r="Q1466" s="267">
        <f t="shared" si="521"/>
        <v>139957</v>
      </c>
      <c r="R1466" s="23">
        <f t="shared" si="522"/>
        <v>9191</v>
      </c>
      <c r="S1466" s="23">
        <f t="shared" si="523"/>
        <v>9024</v>
      </c>
      <c r="T1466" s="23" t="str">
        <f t="shared" si="524"/>
        <v/>
      </c>
      <c r="U1466" t="str">
        <f t="shared" si="525"/>
        <v/>
      </c>
      <c r="X1466" s="71"/>
      <c r="Z1466" s="44"/>
      <c r="AF1466" s="22"/>
    </row>
    <row r="1467" spans="1:45">
      <c r="A1467" t="str">
        <f t="shared" si="526"/>
        <v>CA_Orang_2020p~member, county central committee 68th assembly district - dem (vote for 6)</v>
      </c>
      <c r="B1467" s="55" t="s">
        <v>3163</v>
      </c>
      <c r="D1467" s="55" t="s">
        <v>3369</v>
      </c>
      <c r="E1467" s="55" t="s">
        <v>3381</v>
      </c>
      <c r="F1467" t="s">
        <v>1294</v>
      </c>
      <c r="G1467" s="60">
        <v>12936</v>
      </c>
      <c r="H1467" s="26">
        <f t="shared" si="527"/>
        <v>8.4182577798602165E-2</v>
      </c>
      <c r="J1467" s="23">
        <v>153666</v>
      </c>
      <c r="K1467">
        <v>391</v>
      </c>
      <c r="L1467">
        <v>391</v>
      </c>
      <c r="N1467">
        <v>0</v>
      </c>
      <c r="O1467">
        <f t="shared" si="519"/>
        <v>3</v>
      </c>
      <c r="P1467" s="57">
        <f t="shared" si="520"/>
        <v>6</v>
      </c>
      <c r="Q1467" s="267">
        <f t="shared" si="521"/>
        <v>124675</v>
      </c>
      <c r="R1467" s="23">
        <f t="shared" si="522"/>
        <v>9191</v>
      </c>
      <c r="S1467" s="23">
        <f t="shared" si="523"/>
        <v>9024</v>
      </c>
      <c r="T1467" s="23" t="str">
        <f t="shared" si="524"/>
        <v/>
      </c>
      <c r="U1467" t="str">
        <f t="shared" si="525"/>
        <v/>
      </c>
      <c r="X1467" s="71"/>
      <c r="Z1467" s="44"/>
      <c r="AF1467" s="22"/>
    </row>
    <row r="1468" spans="1:45">
      <c r="A1468" t="str">
        <f t="shared" si="526"/>
        <v>CA_Orang_2020p~member, county central committee 68th assembly district - dem (vote for 6)</v>
      </c>
      <c r="B1468" s="55" t="s">
        <v>3163</v>
      </c>
      <c r="D1468" s="55" t="s">
        <v>3369</v>
      </c>
      <c r="E1468" s="55" t="s">
        <v>3385</v>
      </c>
      <c r="F1468" t="s">
        <v>1294</v>
      </c>
      <c r="G1468" s="60">
        <v>12843</v>
      </c>
      <c r="H1468" s="26">
        <f t="shared" si="527"/>
        <v>8.3577369099215176E-2</v>
      </c>
      <c r="J1468" s="23">
        <v>153666</v>
      </c>
      <c r="K1468">
        <v>391</v>
      </c>
      <c r="L1468">
        <v>391</v>
      </c>
      <c r="N1468">
        <v>0</v>
      </c>
      <c r="O1468">
        <f t="shared" si="519"/>
        <v>4</v>
      </c>
      <c r="P1468" s="57">
        <f t="shared" si="520"/>
        <v>6</v>
      </c>
      <c r="Q1468" s="267">
        <f t="shared" si="521"/>
        <v>111739</v>
      </c>
      <c r="R1468" s="23">
        <f t="shared" si="522"/>
        <v>9191</v>
      </c>
      <c r="S1468" s="23">
        <f t="shared" si="523"/>
        <v>9024</v>
      </c>
      <c r="T1468" s="23" t="str">
        <f t="shared" si="524"/>
        <v/>
      </c>
      <c r="U1468" t="str">
        <f t="shared" si="525"/>
        <v/>
      </c>
      <c r="X1468" s="71"/>
      <c r="Z1468" s="44"/>
      <c r="AF1468" s="22"/>
      <c r="AG1468" s="89"/>
      <c r="AH1468" s="274"/>
      <c r="AI1468" s="279"/>
      <c r="AJ1468" s="280"/>
      <c r="AK1468" s="92"/>
      <c r="AL1468" s="23"/>
    </row>
    <row r="1469" spans="1:45">
      <c r="A1469" t="str">
        <f t="shared" si="526"/>
        <v>CA_Orang_2020p~member, county central committee 68th assembly district - dem (vote for 6)</v>
      </c>
      <c r="B1469" s="55" t="s">
        <v>3163</v>
      </c>
      <c r="D1469" s="55" t="s">
        <v>3369</v>
      </c>
      <c r="E1469" s="55" t="s">
        <v>3386</v>
      </c>
      <c r="F1469" t="s">
        <v>1294</v>
      </c>
      <c r="G1469" s="60">
        <v>11310</v>
      </c>
      <c r="H1469" s="26">
        <f t="shared" si="527"/>
        <v>7.3601186989965248E-2</v>
      </c>
      <c r="J1469" s="23">
        <v>153666</v>
      </c>
      <c r="K1469">
        <v>391</v>
      </c>
      <c r="L1469">
        <v>391</v>
      </c>
      <c r="N1469">
        <v>0</v>
      </c>
      <c r="O1469">
        <f t="shared" si="519"/>
        <v>5</v>
      </c>
      <c r="P1469" s="57">
        <f t="shared" si="520"/>
        <v>6</v>
      </c>
      <c r="Q1469" s="267">
        <f t="shared" si="521"/>
        <v>98896</v>
      </c>
      <c r="R1469" s="23">
        <f t="shared" si="522"/>
        <v>9191</v>
      </c>
      <c r="S1469" s="23">
        <f t="shared" si="523"/>
        <v>9024</v>
      </c>
      <c r="T1469" s="23" t="str">
        <f t="shared" si="524"/>
        <v/>
      </c>
      <c r="U1469" t="str">
        <f t="shared" si="525"/>
        <v/>
      </c>
      <c r="X1469" s="71"/>
      <c r="Z1469" s="44"/>
      <c r="AF1469" s="22"/>
      <c r="AH1469" s="8"/>
      <c r="AL1469" s="23"/>
      <c r="AO1469" s="356"/>
      <c r="AP1469" s="356"/>
      <c r="AQ1469" s="394"/>
      <c r="AR1469" s="394"/>
      <c r="AS1469" s="394"/>
    </row>
    <row r="1470" spans="1:45">
      <c r="A1470" t="str">
        <f t="shared" si="526"/>
        <v>CA_Orang_2020p~member, county central committee 68th assembly district - dem (vote for 6)</v>
      </c>
      <c r="B1470" s="55" t="s">
        <v>3163</v>
      </c>
      <c r="D1470" s="55" t="s">
        <v>3369</v>
      </c>
      <c r="E1470" s="55" t="s">
        <v>3373</v>
      </c>
      <c r="F1470" t="s">
        <v>1294</v>
      </c>
      <c r="G1470" s="60">
        <v>9191</v>
      </c>
      <c r="H1470" s="26">
        <f t="shared" si="527"/>
        <v>5.9811539312534981E-2</v>
      </c>
      <c r="J1470" s="23">
        <v>153666</v>
      </c>
      <c r="K1470">
        <v>391</v>
      </c>
      <c r="L1470">
        <v>391</v>
      </c>
      <c r="N1470">
        <v>0</v>
      </c>
      <c r="O1470">
        <f t="shared" si="519"/>
        <v>6</v>
      </c>
      <c r="P1470" s="57">
        <f t="shared" si="520"/>
        <v>6</v>
      </c>
      <c r="Q1470" s="267">
        <f t="shared" si="521"/>
        <v>87586</v>
      </c>
      <c r="R1470" s="23">
        <f t="shared" si="522"/>
        <v>9191</v>
      </c>
      <c r="S1470" s="23">
        <f t="shared" si="523"/>
        <v>9024</v>
      </c>
      <c r="T1470" s="23" t="str">
        <f t="shared" si="524"/>
        <v/>
      </c>
      <c r="U1470" t="str">
        <f t="shared" si="525"/>
        <v/>
      </c>
      <c r="X1470" s="71"/>
      <c r="Z1470" s="44"/>
      <c r="AF1470" s="22"/>
    </row>
    <row r="1471" spans="1:45">
      <c r="A1471" t="str">
        <f t="shared" si="526"/>
        <v>CA_Orang_2020p~member, county central committee 68th assembly district - dem (vote for 6)</v>
      </c>
      <c r="B1471" s="55" t="s">
        <v>3163</v>
      </c>
      <c r="D1471" s="55" t="s">
        <v>3369</v>
      </c>
      <c r="E1471" s="55" t="s">
        <v>3379</v>
      </c>
      <c r="F1471" t="s">
        <v>1294</v>
      </c>
      <c r="G1471" s="60">
        <v>9024</v>
      </c>
      <c r="H1471" s="26">
        <f t="shared" si="527"/>
        <v>5.8724766701807818E-2</v>
      </c>
      <c r="J1471" s="23">
        <v>153666</v>
      </c>
      <c r="K1471">
        <v>391</v>
      </c>
      <c r="L1471">
        <v>391</v>
      </c>
      <c r="N1471">
        <v>0</v>
      </c>
      <c r="O1471">
        <f t="shared" si="519"/>
        <v>7</v>
      </c>
      <c r="P1471" s="57">
        <f t="shared" si="520"/>
        <v>6</v>
      </c>
      <c r="Q1471" s="267">
        <f t="shared" si="521"/>
        <v>78395</v>
      </c>
      <c r="R1471" s="23" t="str">
        <f t="shared" si="522"/>
        <v/>
      </c>
      <c r="S1471" s="23">
        <f t="shared" si="523"/>
        <v>9024</v>
      </c>
      <c r="T1471" s="23" t="str">
        <f t="shared" si="524"/>
        <v/>
      </c>
      <c r="U1471" t="str">
        <f t="shared" si="525"/>
        <v/>
      </c>
      <c r="X1471" s="71"/>
      <c r="Z1471" s="44"/>
      <c r="AF1471" s="22"/>
    </row>
    <row r="1472" spans="1:45">
      <c r="A1472" t="str">
        <f t="shared" si="526"/>
        <v>CA_Orang_2020p~member, county central committee 68th assembly district - dem (vote for 6)</v>
      </c>
      <c r="B1472" s="55" t="s">
        <v>3163</v>
      </c>
      <c r="D1472" s="55" t="s">
        <v>3369</v>
      </c>
      <c r="E1472" s="55" t="s">
        <v>3378</v>
      </c>
      <c r="F1472" t="s">
        <v>1294</v>
      </c>
      <c r="G1472" s="60">
        <v>8555</v>
      </c>
      <c r="H1472" s="26">
        <f t="shared" si="527"/>
        <v>5.5672692723178839E-2</v>
      </c>
      <c r="J1472" s="23">
        <v>153666</v>
      </c>
      <c r="K1472">
        <v>391</v>
      </c>
      <c r="L1472">
        <v>391</v>
      </c>
      <c r="N1472">
        <v>0</v>
      </c>
      <c r="O1472">
        <f t="shared" si="519"/>
        <v>8</v>
      </c>
      <c r="P1472" s="57">
        <f t="shared" si="520"/>
        <v>6</v>
      </c>
      <c r="Q1472" s="267">
        <f t="shared" si="521"/>
        <v>69371</v>
      </c>
      <c r="R1472" s="23" t="str">
        <f t="shared" si="522"/>
        <v/>
      </c>
      <c r="S1472" s="23">
        <f t="shared" si="523"/>
        <v>8555</v>
      </c>
      <c r="T1472" s="23" t="str">
        <f t="shared" si="524"/>
        <v/>
      </c>
      <c r="U1472" t="str">
        <f t="shared" si="525"/>
        <v/>
      </c>
      <c r="X1472" s="71"/>
      <c r="Z1472" s="44"/>
      <c r="AF1472" s="22"/>
      <c r="AH1472" s="8"/>
      <c r="AL1472" s="23"/>
    </row>
    <row r="1473" spans="1:45">
      <c r="A1473" t="str">
        <f t="shared" si="526"/>
        <v>CA_Orang_2020p~member, county central committee 68th assembly district - dem (vote for 6)</v>
      </c>
      <c r="B1473" s="55" t="s">
        <v>3163</v>
      </c>
      <c r="D1473" s="55" t="s">
        <v>3369</v>
      </c>
      <c r="E1473" s="55" t="s">
        <v>3382</v>
      </c>
      <c r="F1473" t="s">
        <v>1294</v>
      </c>
      <c r="G1473" s="60">
        <v>8509</v>
      </c>
      <c r="H1473" s="26">
        <f t="shared" si="527"/>
        <v>5.5373342183697112E-2</v>
      </c>
      <c r="J1473" s="23">
        <v>153666</v>
      </c>
      <c r="K1473">
        <v>391</v>
      </c>
      <c r="L1473">
        <v>391</v>
      </c>
      <c r="N1473">
        <v>0</v>
      </c>
      <c r="O1473">
        <f t="shared" si="519"/>
        <v>9</v>
      </c>
      <c r="P1473" s="57">
        <f t="shared" si="520"/>
        <v>6</v>
      </c>
      <c r="Q1473" s="267">
        <f t="shared" si="521"/>
        <v>60816</v>
      </c>
      <c r="R1473" s="23" t="str">
        <f t="shared" si="522"/>
        <v/>
      </c>
      <c r="S1473" s="23">
        <f t="shared" si="523"/>
        <v>8509</v>
      </c>
      <c r="T1473" s="23" t="str">
        <f t="shared" si="524"/>
        <v/>
      </c>
      <c r="U1473" t="str">
        <f t="shared" si="525"/>
        <v/>
      </c>
      <c r="X1473" s="71"/>
      <c r="Z1473" s="44"/>
      <c r="AF1473" s="22"/>
      <c r="AH1473" s="8"/>
      <c r="AL1473" s="23"/>
    </row>
    <row r="1474" spans="1:45">
      <c r="A1474" t="str">
        <f t="shared" si="526"/>
        <v>CA_Orang_2020p~member, county central committee 68th assembly district - dem (vote for 6)</v>
      </c>
      <c r="B1474" s="55" t="s">
        <v>3163</v>
      </c>
      <c r="D1474" s="55" t="s">
        <v>3369</v>
      </c>
      <c r="E1474" s="55" t="s">
        <v>3384</v>
      </c>
      <c r="F1474" t="s">
        <v>1294</v>
      </c>
      <c r="G1474" s="60">
        <v>8408</v>
      </c>
      <c r="H1474" s="26">
        <f t="shared" si="527"/>
        <v>5.4716072520921998E-2</v>
      </c>
      <c r="J1474" s="23">
        <v>153666</v>
      </c>
      <c r="K1474">
        <v>391</v>
      </c>
      <c r="L1474">
        <v>391</v>
      </c>
      <c r="N1474">
        <v>0</v>
      </c>
      <c r="O1474">
        <f t="shared" ref="O1474:O1537" si="528">IF(OR(LOWER(LEFT(E1474,8))="write-in",LOWER(LEFT(E1474,8))="not qual"),IF(A1474=A1473,-ABS(O1473),0),IF(A1474=A1473,ABS(O1473)+1,1))</f>
        <v>10</v>
      </c>
      <c r="P1474" s="57">
        <f t="shared" ref="P1474:P1537" si="529">1*LEFT(RIGHT(A1474,2),1)</f>
        <v>6</v>
      </c>
      <c r="Q1474" s="267">
        <f t="shared" ref="Q1474:Q1537" si="530">IF(A1474&lt;&gt;A1475,G1474,IF(A1474=A1473,G1474+Q1475,MAX(G1474,(G1474+Q1475)/P1474)))</f>
        <v>52307</v>
      </c>
      <c r="R1474" s="23" t="str">
        <f t="shared" ref="R1474:R1537" si="531">IF(O1474&gt;P1474,"",IF(O1474=P1474,G1474,IF(A1474=A1475,R1475,IF(O1474&lt;=0,1,G1474))))</f>
        <v/>
      </c>
      <c r="S1474" s="23">
        <f t="shared" ref="S1474:S1537" si="532">IF(AND(O1474&gt;P1474,LOWER(LEFT(E1474,8))&lt;&gt;"write-in",LOWER(LEFT(E1474,8))&lt;&gt;"not qual"),G1474,IF(A1474=A1475,S1475,0))</f>
        <v>8408</v>
      </c>
      <c r="T1474" s="23" t="str">
        <f t="shared" ref="T1474:T1537" si="533">IF(OR(A1474=A1473,S1474=0),"",R1474-ABS(S1474))</f>
        <v/>
      </c>
      <c r="U1474" t="str">
        <f t="shared" ref="U1474:U1537" si="534">IF(A1474=A1473,"",A1474)</f>
        <v/>
      </c>
      <c r="X1474" s="71"/>
      <c r="Z1474" s="44"/>
      <c r="AF1474" s="22"/>
    </row>
    <row r="1475" spans="1:45">
      <c r="A1475" t="str">
        <f t="shared" si="526"/>
        <v>CA_Orang_2020p~member, county central committee 68th assembly district - dem (vote for 6)</v>
      </c>
      <c r="B1475" s="55" t="s">
        <v>3163</v>
      </c>
      <c r="D1475" s="55" t="s">
        <v>3369</v>
      </c>
      <c r="E1475" s="55" t="s">
        <v>3387</v>
      </c>
      <c r="F1475" t="s">
        <v>1294</v>
      </c>
      <c r="G1475" s="60">
        <v>8258</v>
      </c>
      <c r="H1475" s="26">
        <f t="shared" si="527"/>
        <v>5.3739929457394607E-2</v>
      </c>
      <c r="J1475" s="23">
        <v>153666</v>
      </c>
      <c r="K1475">
        <v>391</v>
      </c>
      <c r="L1475">
        <v>391</v>
      </c>
      <c r="N1475">
        <v>0</v>
      </c>
      <c r="O1475">
        <f t="shared" si="528"/>
        <v>11</v>
      </c>
      <c r="P1475" s="57">
        <f t="shared" si="529"/>
        <v>6</v>
      </c>
      <c r="Q1475" s="267">
        <f t="shared" si="530"/>
        <v>43899</v>
      </c>
      <c r="R1475" s="23" t="str">
        <f t="shared" si="531"/>
        <v/>
      </c>
      <c r="S1475" s="23">
        <f t="shared" si="532"/>
        <v>8258</v>
      </c>
      <c r="T1475" s="23" t="str">
        <f t="shared" si="533"/>
        <v/>
      </c>
      <c r="U1475" t="str">
        <f t="shared" si="534"/>
        <v/>
      </c>
      <c r="X1475" s="71"/>
      <c r="Z1475" s="44"/>
      <c r="AF1475" s="22"/>
    </row>
    <row r="1476" spans="1:45">
      <c r="A1476" t="str">
        <f t="shared" si="526"/>
        <v>CA_Orang_2020p~member, county central committee 68th assembly district - dem (vote for 6)</v>
      </c>
      <c r="B1476" s="55" t="s">
        <v>3163</v>
      </c>
      <c r="D1476" s="55" t="s">
        <v>3369</v>
      </c>
      <c r="E1476" s="55" t="s">
        <v>3374</v>
      </c>
      <c r="F1476" t="s">
        <v>1294</v>
      </c>
      <c r="G1476" s="60">
        <v>7933</v>
      </c>
      <c r="H1476" s="26">
        <f t="shared" si="527"/>
        <v>5.1624952819751928E-2</v>
      </c>
      <c r="J1476" s="23">
        <v>153666</v>
      </c>
      <c r="K1476">
        <v>391</v>
      </c>
      <c r="L1476">
        <v>391</v>
      </c>
      <c r="N1476">
        <v>0</v>
      </c>
      <c r="O1476">
        <f t="shared" si="528"/>
        <v>12</v>
      </c>
      <c r="P1476" s="57">
        <f t="shared" si="529"/>
        <v>6</v>
      </c>
      <c r="Q1476" s="267">
        <f t="shared" si="530"/>
        <v>35641</v>
      </c>
      <c r="R1476" s="23" t="str">
        <f t="shared" si="531"/>
        <v/>
      </c>
      <c r="S1476" s="23">
        <f t="shared" si="532"/>
        <v>7933</v>
      </c>
      <c r="T1476" s="23" t="str">
        <f t="shared" si="533"/>
        <v/>
      </c>
      <c r="U1476" t="str">
        <f t="shared" si="534"/>
        <v/>
      </c>
      <c r="X1476" s="71"/>
      <c r="Z1476" s="44"/>
      <c r="AF1476" s="22"/>
    </row>
    <row r="1477" spans="1:45">
      <c r="A1477" t="str">
        <f t="shared" si="526"/>
        <v>CA_Orang_2020p~member, county central committee 68th assembly district - dem (vote for 6)</v>
      </c>
      <c r="B1477" s="55" t="s">
        <v>3163</v>
      </c>
      <c r="D1477" s="55" t="s">
        <v>3369</v>
      </c>
      <c r="E1477" s="55" t="s">
        <v>3377</v>
      </c>
      <c r="F1477" t="s">
        <v>1294</v>
      </c>
      <c r="G1477" s="60">
        <v>7544</v>
      </c>
      <c r="H1477" s="26">
        <f t="shared" si="527"/>
        <v>4.9093488475004228E-2</v>
      </c>
      <c r="J1477" s="23">
        <v>153666</v>
      </c>
      <c r="K1477">
        <v>391</v>
      </c>
      <c r="L1477">
        <v>391</v>
      </c>
      <c r="N1477">
        <v>0</v>
      </c>
      <c r="O1477">
        <f t="shared" si="528"/>
        <v>13</v>
      </c>
      <c r="P1477" s="57">
        <f t="shared" si="529"/>
        <v>6</v>
      </c>
      <c r="Q1477" s="267">
        <f t="shared" si="530"/>
        <v>27708</v>
      </c>
      <c r="R1477" s="23" t="str">
        <f t="shared" si="531"/>
        <v/>
      </c>
      <c r="S1477" s="23">
        <f t="shared" si="532"/>
        <v>7544</v>
      </c>
      <c r="T1477" s="23" t="str">
        <f t="shared" si="533"/>
        <v/>
      </c>
      <c r="U1477" t="str">
        <f t="shared" si="534"/>
        <v/>
      </c>
      <c r="X1477" s="71"/>
      <c r="Z1477" s="44"/>
      <c r="AF1477" s="22"/>
    </row>
    <row r="1478" spans="1:45">
      <c r="A1478" t="str">
        <f t="shared" si="526"/>
        <v>CA_Orang_2020p~member, county central committee 68th assembly district - dem (vote for 6)</v>
      </c>
      <c r="B1478" s="55" t="s">
        <v>3163</v>
      </c>
      <c r="D1478" s="55" t="s">
        <v>3369</v>
      </c>
      <c r="E1478" s="55" t="s">
        <v>3383</v>
      </c>
      <c r="F1478" t="s">
        <v>1294</v>
      </c>
      <c r="G1478" s="60">
        <v>6087</v>
      </c>
      <c r="H1478" s="26">
        <f t="shared" si="527"/>
        <v>3.9611885517941509E-2</v>
      </c>
      <c r="J1478" s="23">
        <v>153666</v>
      </c>
      <c r="K1478">
        <v>391</v>
      </c>
      <c r="L1478">
        <v>391</v>
      </c>
      <c r="N1478">
        <v>0</v>
      </c>
      <c r="O1478">
        <f t="shared" si="528"/>
        <v>14</v>
      </c>
      <c r="P1478" s="57">
        <f t="shared" si="529"/>
        <v>6</v>
      </c>
      <c r="Q1478" s="267">
        <f t="shared" si="530"/>
        <v>20164</v>
      </c>
      <c r="R1478" s="23" t="str">
        <f t="shared" si="531"/>
        <v/>
      </c>
      <c r="S1478" s="23">
        <f t="shared" si="532"/>
        <v>6087</v>
      </c>
      <c r="T1478" s="23" t="str">
        <f t="shared" si="533"/>
        <v/>
      </c>
      <c r="U1478" t="str">
        <f t="shared" si="534"/>
        <v/>
      </c>
      <c r="X1478" s="71"/>
      <c r="Z1478" s="44"/>
      <c r="AF1478" s="22"/>
    </row>
    <row r="1479" spans="1:45">
      <c r="A1479" t="str">
        <f t="shared" si="526"/>
        <v>CA_Orang_2020p~member, county central committee 68th assembly district - dem (vote for 6)</v>
      </c>
      <c r="B1479" s="55" t="s">
        <v>3163</v>
      </c>
      <c r="D1479" s="55" t="s">
        <v>3369</v>
      </c>
      <c r="E1479" s="55" t="s">
        <v>3376</v>
      </c>
      <c r="F1479" t="s">
        <v>1294</v>
      </c>
      <c r="G1479" s="60">
        <v>5019</v>
      </c>
      <c r="H1479" s="26">
        <f t="shared" si="527"/>
        <v>3.2661746905626489E-2</v>
      </c>
      <c r="J1479" s="23">
        <v>153666</v>
      </c>
      <c r="K1479">
        <v>391</v>
      </c>
      <c r="L1479">
        <v>391</v>
      </c>
      <c r="N1479">
        <v>0</v>
      </c>
      <c r="O1479">
        <f t="shared" si="528"/>
        <v>15</v>
      </c>
      <c r="P1479" s="57">
        <f t="shared" si="529"/>
        <v>6</v>
      </c>
      <c r="Q1479" s="267">
        <f t="shared" si="530"/>
        <v>14077</v>
      </c>
      <c r="R1479" s="23" t="str">
        <f t="shared" si="531"/>
        <v/>
      </c>
      <c r="S1479" s="23">
        <f t="shared" si="532"/>
        <v>5019</v>
      </c>
      <c r="T1479" s="23" t="str">
        <f t="shared" si="533"/>
        <v/>
      </c>
      <c r="U1479" t="str">
        <f t="shared" si="534"/>
        <v/>
      </c>
      <c r="X1479" s="71"/>
      <c r="Z1479" s="44"/>
      <c r="AF1479" s="22"/>
    </row>
    <row r="1480" spans="1:45">
      <c r="A1480" t="str">
        <f t="shared" si="526"/>
        <v>CA_Orang_2020p~member, county central committee 68th assembly district - dem (vote for 6)</v>
      </c>
      <c r="B1480" s="55" t="s">
        <v>3163</v>
      </c>
      <c r="D1480" s="55" t="s">
        <v>3369</v>
      </c>
      <c r="E1480" s="55" t="s">
        <v>3372</v>
      </c>
      <c r="F1480" t="s">
        <v>1294</v>
      </c>
      <c r="G1480" s="60">
        <v>3114</v>
      </c>
      <c r="H1480" s="26">
        <f t="shared" si="527"/>
        <v>2.026472999882863E-2</v>
      </c>
      <c r="J1480" s="23">
        <v>153666</v>
      </c>
      <c r="K1480">
        <v>391</v>
      </c>
      <c r="L1480">
        <v>391</v>
      </c>
      <c r="N1480">
        <v>0</v>
      </c>
      <c r="O1480">
        <f t="shared" si="528"/>
        <v>16</v>
      </c>
      <c r="P1480" s="57">
        <f t="shared" si="529"/>
        <v>6</v>
      </c>
      <c r="Q1480" s="267">
        <f t="shared" si="530"/>
        <v>9058</v>
      </c>
      <c r="R1480" s="23" t="str">
        <f t="shared" si="531"/>
        <v/>
      </c>
      <c r="S1480" s="23">
        <f t="shared" si="532"/>
        <v>3114</v>
      </c>
      <c r="T1480" s="23" t="str">
        <f t="shared" si="533"/>
        <v/>
      </c>
      <c r="U1480" t="str">
        <f t="shared" si="534"/>
        <v/>
      </c>
      <c r="X1480" s="71"/>
      <c r="Z1480" s="44"/>
      <c r="AF1480" s="22"/>
      <c r="AG1480" s="89"/>
      <c r="AH1480" s="274"/>
      <c r="AI1480" s="279"/>
      <c r="AJ1480" s="280"/>
      <c r="AK1480" s="92"/>
      <c r="AL1480" s="23"/>
    </row>
    <row r="1481" spans="1:45">
      <c r="A1481" t="str">
        <f t="shared" si="526"/>
        <v>CA_Orang_2020p~member, county central committee 68th assembly district - dem (vote for 6)</v>
      </c>
      <c r="B1481" s="55" t="s">
        <v>3163</v>
      </c>
      <c r="D1481" s="55" t="s">
        <v>3369</v>
      </c>
      <c r="E1481" s="55" t="s">
        <v>3370</v>
      </c>
      <c r="F1481" t="s">
        <v>1294</v>
      </c>
      <c r="G1481" s="60">
        <v>3012</v>
      </c>
      <c r="H1481" s="26">
        <f t="shared" si="527"/>
        <v>1.9600952715630001E-2</v>
      </c>
      <c r="J1481" s="23">
        <v>153666</v>
      </c>
      <c r="K1481">
        <v>391</v>
      </c>
      <c r="L1481">
        <v>391</v>
      </c>
      <c r="N1481">
        <v>0</v>
      </c>
      <c r="O1481">
        <f t="shared" si="528"/>
        <v>17</v>
      </c>
      <c r="P1481" s="57">
        <f t="shared" si="529"/>
        <v>6</v>
      </c>
      <c r="Q1481" s="267">
        <f t="shared" si="530"/>
        <v>5944</v>
      </c>
      <c r="R1481" s="23" t="str">
        <f t="shared" si="531"/>
        <v/>
      </c>
      <c r="S1481" s="23">
        <f t="shared" si="532"/>
        <v>3012</v>
      </c>
      <c r="T1481" s="23" t="str">
        <f t="shared" si="533"/>
        <v/>
      </c>
      <c r="U1481" t="str">
        <f t="shared" si="534"/>
        <v/>
      </c>
      <c r="X1481" s="71"/>
      <c r="Z1481" s="44"/>
      <c r="AF1481" s="22"/>
    </row>
    <row r="1482" spans="1:45">
      <c r="A1482" t="str">
        <f t="shared" si="526"/>
        <v>CA_Orang_2020p~member, county central committee 68th assembly district - dem (vote for 6)</v>
      </c>
      <c r="B1482" s="55" t="s">
        <v>3163</v>
      </c>
      <c r="D1482" s="55" t="s">
        <v>3369</v>
      </c>
      <c r="E1482" s="55" t="s">
        <v>3380</v>
      </c>
      <c r="F1482" t="s">
        <v>1294</v>
      </c>
      <c r="G1482" s="60">
        <v>2932</v>
      </c>
      <c r="H1482" s="26">
        <f t="shared" si="527"/>
        <v>1.9080343081748729E-2</v>
      </c>
      <c r="J1482" s="23">
        <v>153666</v>
      </c>
      <c r="K1482">
        <v>391</v>
      </c>
      <c r="L1482">
        <v>391</v>
      </c>
      <c r="N1482">
        <v>0</v>
      </c>
      <c r="O1482">
        <f t="shared" si="528"/>
        <v>18</v>
      </c>
      <c r="P1482" s="57">
        <f t="shared" si="529"/>
        <v>6</v>
      </c>
      <c r="Q1482" s="267">
        <f t="shared" si="530"/>
        <v>2932</v>
      </c>
      <c r="R1482" s="23" t="str">
        <f t="shared" si="531"/>
        <v/>
      </c>
      <c r="S1482" s="23">
        <f t="shared" si="532"/>
        <v>2932</v>
      </c>
      <c r="T1482" s="23" t="str">
        <f t="shared" si="533"/>
        <v/>
      </c>
      <c r="U1482" t="str">
        <f t="shared" si="534"/>
        <v/>
      </c>
      <c r="X1482" s="71"/>
      <c r="Z1482" s="44"/>
      <c r="AF1482" s="22"/>
    </row>
    <row r="1483" spans="1:45">
      <c r="A1483" t="str">
        <f t="shared" si="526"/>
        <v>CA_Orang_2020p~member, county central committee 68th assembly district - rep (vote for 6)</v>
      </c>
      <c r="B1483" s="55" t="s">
        <v>3163</v>
      </c>
      <c r="D1483" s="55" t="s">
        <v>3465</v>
      </c>
      <c r="E1483" s="55" t="s">
        <v>3475</v>
      </c>
      <c r="F1483" t="s">
        <v>1296</v>
      </c>
      <c r="G1483" s="60">
        <v>30951</v>
      </c>
      <c r="H1483" s="26">
        <f t="shared" si="527"/>
        <v>0.15988738506044012</v>
      </c>
      <c r="J1483" s="23">
        <v>193580</v>
      </c>
      <c r="K1483">
        <v>391</v>
      </c>
      <c r="L1483">
        <v>391</v>
      </c>
      <c r="N1483">
        <v>0</v>
      </c>
      <c r="O1483">
        <f t="shared" si="528"/>
        <v>1</v>
      </c>
      <c r="P1483" s="57">
        <f t="shared" si="529"/>
        <v>6</v>
      </c>
      <c r="Q1483" s="267">
        <f t="shared" si="530"/>
        <v>33658.666666666664</v>
      </c>
      <c r="R1483" s="23">
        <f t="shared" si="531"/>
        <v>15464</v>
      </c>
      <c r="S1483" s="23">
        <f t="shared" si="532"/>
        <v>15264</v>
      </c>
      <c r="T1483" s="23">
        <f t="shared" si="533"/>
        <v>200</v>
      </c>
      <c r="U1483" t="str">
        <f t="shared" si="534"/>
        <v>CA_Orang_2020p~member, county central committee 68th assembly district - rep (vote for 6)</v>
      </c>
      <c r="X1483" s="71"/>
      <c r="Z1483" s="44"/>
      <c r="AF1483" s="22"/>
      <c r="AH1483" s="8"/>
      <c r="AL1483" s="23"/>
    </row>
    <row r="1484" spans="1:45">
      <c r="A1484" t="str">
        <f t="shared" si="526"/>
        <v>CA_Orang_2020p~member, county central committee 68th assembly district - rep (vote for 6)</v>
      </c>
      <c r="B1484" s="55" t="s">
        <v>3163</v>
      </c>
      <c r="D1484" s="55" t="s">
        <v>3465</v>
      </c>
      <c r="E1484" s="55" t="s">
        <v>3472</v>
      </c>
      <c r="F1484" t="s">
        <v>1296</v>
      </c>
      <c r="G1484" s="60">
        <v>23950</v>
      </c>
      <c r="H1484" s="26">
        <f t="shared" si="527"/>
        <v>0.12372145882839136</v>
      </c>
      <c r="J1484" s="23">
        <v>193580</v>
      </c>
      <c r="K1484">
        <v>391</v>
      </c>
      <c r="L1484">
        <v>391</v>
      </c>
      <c r="N1484">
        <v>0</v>
      </c>
      <c r="O1484">
        <f t="shared" si="528"/>
        <v>2</v>
      </c>
      <c r="P1484" s="57">
        <f t="shared" si="529"/>
        <v>6</v>
      </c>
      <c r="Q1484" s="267">
        <f t="shared" si="530"/>
        <v>171001</v>
      </c>
      <c r="R1484" s="23">
        <f t="shared" si="531"/>
        <v>15464</v>
      </c>
      <c r="S1484" s="23">
        <f t="shared" si="532"/>
        <v>15264</v>
      </c>
      <c r="T1484" s="23" t="str">
        <f t="shared" si="533"/>
        <v/>
      </c>
      <c r="U1484" t="str">
        <f t="shared" si="534"/>
        <v/>
      </c>
      <c r="X1484" s="71"/>
      <c r="Z1484" s="44"/>
      <c r="AF1484" s="22"/>
      <c r="AH1484" s="8"/>
      <c r="AL1484" s="23"/>
    </row>
    <row r="1485" spans="1:45">
      <c r="A1485" t="str">
        <f t="shared" si="526"/>
        <v>CA_Orang_2020p~member, county central committee 68th assembly district - rep (vote for 6)</v>
      </c>
      <c r="B1485" s="55" t="s">
        <v>3163</v>
      </c>
      <c r="D1485" s="55" t="s">
        <v>3465</v>
      </c>
      <c r="E1485" s="55" t="s">
        <v>3478</v>
      </c>
      <c r="F1485" t="s">
        <v>1296</v>
      </c>
      <c r="G1485" s="60">
        <v>18419</v>
      </c>
      <c r="H1485" s="26">
        <f t="shared" si="527"/>
        <v>9.5149292282260559E-2</v>
      </c>
      <c r="J1485" s="23">
        <v>193580</v>
      </c>
      <c r="K1485">
        <v>391</v>
      </c>
      <c r="L1485">
        <v>391</v>
      </c>
      <c r="N1485">
        <v>0</v>
      </c>
      <c r="O1485">
        <f t="shared" si="528"/>
        <v>3</v>
      </c>
      <c r="P1485" s="57">
        <f t="shared" si="529"/>
        <v>6</v>
      </c>
      <c r="Q1485" s="267">
        <f t="shared" si="530"/>
        <v>147051</v>
      </c>
      <c r="R1485" s="23">
        <f t="shared" si="531"/>
        <v>15464</v>
      </c>
      <c r="S1485" s="23">
        <f t="shared" si="532"/>
        <v>15264</v>
      </c>
      <c r="T1485" s="23" t="str">
        <f t="shared" si="533"/>
        <v/>
      </c>
      <c r="U1485" t="str">
        <f t="shared" si="534"/>
        <v/>
      </c>
      <c r="X1485" s="71"/>
      <c r="Z1485" s="44"/>
      <c r="AF1485" s="22"/>
    </row>
    <row r="1486" spans="1:45">
      <c r="A1486" t="str">
        <f t="shared" si="526"/>
        <v>CA_Orang_2020p~member, county central committee 68th assembly district - rep (vote for 6)</v>
      </c>
      <c r="B1486" s="55" t="s">
        <v>3163</v>
      </c>
      <c r="D1486" s="55" t="s">
        <v>3465</v>
      </c>
      <c r="E1486" s="55" t="s">
        <v>3476</v>
      </c>
      <c r="F1486" t="s">
        <v>1296</v>
      </c>
      <c r="G1486" s="60">
        <v>17384</v>
      </c>
      <c r="H1486" s="26">
        <f t="shared" si="527"/>
        <v>8.9802665564624448E-2</v>
      </c>
      <c r="J1486" s="23">
        <v>193580</v>
      </c>
      <c r="K1486">
        <v>391</v>
      </c>
      <c r="L1486">
        <v>391</v>
      </c>
      <c r="N1486">
        <v>0</v>
      </c>
      <c r="O1486">
        <f t="shared" si="528"/>
        <v>4</v>
      </c>
      <c r="P1486" s="57">
        <f t="shared" si="529"/>
        <v>6</v>
      </c>
      <c r="Q1486" s="267">
        <f t="shared" si="530"/>
        <v>128632</v>
      </c>
      <c r="R1486" s="23">
        <f t="shared" si="531"/>
        <v>15464</v>
      </c>
      <c r="S1486" s="23">
        <f t="shared" si="532"/>
        <v>15264</v>
      </c>
      <c r="T1486" s="23" t="str">
        <f t="shared" si="533"/>
        <v/>
      </c>
      <c r="U1486" t="str">
        <f t="shared" si="534"/>
        <v/>
      </c>
      <c r="X1486" s="71"/>
      <c r="Z1486" s="44"/>
      <c r="AF1486" s="22"/>
      <c r="AH1486" s="8"/>
      <c r="AL1486" s="23"/>
      <c r="AO1486" s="356"/>
      <c r="AP1486" s="356"/>
      <c r="AQ1486" s="394"/>
      <c r="AR1486" s="394"/>
      <c r="AS1486" s="394"/>
    </row>
    <row r="1487" spans="1:45">
      <c r="A1487" t="str">
        <f t="shared" si="526"/>
        <v>CA_Orang_2020p~member, county central committee 68th assembly district - rep (vote for 6)</v>
      </c>
      <c r="B1487" s="55" t="s">
        <v>3163</v>
      </c>
      <c r="D1487" s="55" t="s">
        <v>3465</v>
      </c>
      <c r="E1487" s="55" t="s">
        <v>3470</v>
      </c>
      <c r="F1487" t="s">
        <v>1296</v>
      </c>
      <c r="G1487" s="60">
        <v>16160</v>
      </c>
      <c r="H1487" s="26">
        <f t="shared" si="527"/>
        <v>8.3479698315941736E-2</v>
      </c>
      <c r="J1487" s="23">
        <v>193580</v>
      </c>
      <c r="K1487">
        <v>391</v>
      </c>
      <c r="L1487">
        <v>391</v>
      </c>
      <c r="N1487">
        <v>0</v>
      </c>
      <c r="O1487">
        <f t="shared" si="528"/>
        <v>5</v>
      </c>
      <c r="P1487" s="57">
        <f t="shared" si="529"/>
        <v>6</v>
      </c>
      <c r="Q1487" s="267">
        <f t="shared" si="530"/>
        <v>111248</v>
      </c>
      <c r="R1487" s="23">
        <f t="shared" si="531"/>
        <v>15464</v>
      </c>
      <c r="S1487" s="23">
        <f t="shared" si="532"/>
        <v>15264</v>
      </c>
      <c r="T1487" s="23" t="str">
        <f t="shared" si="533"/>
        <v/>
      </c>
      <c r="U1487" t="str">
        <f t="shared" si="534"/>
        <v/>
      </c>
      <c r="X1487" s="71"/>
      <c r="Z1487" s="44"/>
      <c r="AF1487" s="22"/>
    </row>
    <row r="1488" spans="1:45">
      <c r="A1488" t="str">
        <f t="shared" si="526"/>
        <v>CA_Orang_2020p~member, county central committee 68th assembly district - rep (vote for 6)</v>
      </c>
      <c r="B1488" s="55" t="s">
        <v>3163</v>
      </c>
      <c r="D1488" s="55" t="s">
        <v>3465</v>
      </c>
      <c r="E1488" s="55" t="s">
        <v>3469</v>
      </c>
      <c r="F1488" t="s">
        <v>1296</v>
      </c>
      <c r="G1488" s="60">
        <v>15464</v>
      </c>
      <c r="H1488" s="26">
        <f t="shared" si="527"/>
        <v>7.9884285566690777E-2</v>
      </c>
      <c r="J1488" s="23">
        <v>193580</v>
      </c>
      <c r="K1488">
        <v>391</v>
      </c>
      <c r="L1488">
        <v>391</v>
      </c>
      <c r="N1488">
        <v>0</v>
      </c>
      <c r="O1488">
        <f t="shared" si="528"/>
        <v>6</v>
      </c>
      <c r="P1488" s="57">
        <f t="shared" si="529"/>
        <v>6</v>
      </c>
      <c r="Q1488" s="267">
        <f t="shared" si="530"/>
        <v>95088</v>
      </c>
      <c r="R1488" s="23">
        <f t="shared" si="531"/>
        <v>15464</v>
      </c>
      <c r="S1488" s="23">
        <f t="shared" si="532"/>
        <v>15264</v>
      </c>
      <c r="T1488" s="23" t="str">
        <f t="shared" si="533"/>
        <v/>
      </c>
      <c r="U1488" t="str">
        <f t="shared" si="534"/>
        <v/>
      </c>
      <c r="X1488" s="71"/>
      <c r="Z1488" s="44"/>
      <c r="AF1488" s="22"/>
      <c r="AO1488" s="356"/>
      <c r="AP1488" s="356"/>
      <c r="AQ1488" s="394"/>
      <c r="AR1488" s="394"/>
      <c r="AS1488" s="394"/>
    </row>
    <row r="1489" spans="1:38">
      <c r="A1489" t="str">
        <f t="shared" si="526"/>
        <v>CA_Orang_2020p~member, county central committee 68th assembly district - rep (vote for 6)</v>
      </c>
      <c r="B1489" s="55" t="s">
        <v>3163</v>
      </c>
      <c r="D1489" s="55" t="s">
        <v>3465</v>
      </c>
      <c r="E1489" s="55" t="s">
        <v>3466</v>
      </c>
      <c r="F1489" t="s">
        <v>1296</v>
      </c>
      <c r="G1489" s="60">
        <v>15264</v>
      </c>
      <c r="H1489" s="26">
        <f t="shared" si="527"/>
        <v>7.8851120983572678E-2</v>
      </c>
      <c r="J1489" s="23">
        <v>193580</v>
      </c>
      <c r="K1489">
        <v>391</v>
      </c>
      <c r="L1489">
        <v>391</v>
      </c>
      <c r="N1489">
        <v>0</v>
      </c>
      <c r="O1489">
        <f t="shared" si="528"/>
        <v>7</v>
      </c>
      <c r="P1489" s="57">
        <f t="shared" si="529"/>
        <v>6</v>
      </c>
      <c r="Q1489" s="267">
        <f t="shared" si="530"/>
        <v>79624</v>
      </c>
      <c r="R1489" s="23" t="str">
        <f t="shared" si="531"/>
        <v/>
      </c>
      <c r="S1489" s="23">
        <f t="shared" si="532"/>
        <v>15264</v>
      </c>
      <c r="T1489" s="23" t="str">
        <f t="shared" si="533"/>
        <v/>
      </c>
      <c r="U1489" t="str">
        <f t="shared" si="534"/>
        <v/>
      </c>
      <c r="X1489" s="71"/>
      <c r="Z1489" s="44"/>
      <c r="AF1489" s="22"/>
    </row>
    <row r="1490" spans="1:38">
      <c r="A1490" t="str">
        <f t="shared" si="526"/>
        <v>CA_Orang_2020p~member, county central committee 68th assembly district - rep (vote for 6)</v>
      </c>
      <c r="B1490" s="55" t="s">
        <v>3163</v>
      </c>
      <c r="D1490" s="55" t="s">
        <v>3465</v>
      </c>
      <c r="E1490" s="55" t="s">
        <v>3477</v>
      </c>
      <c r="F1490" t="s">
        <v>1296</v>
      </c>
      <c r="G1490" s="60">
        <v>14063</v>
      </c>
      <c r="H1490" s="26">
        <f t="shared" si="527"/>
        <v>7.2646967661948544E-2</v>
      </c>
      <c r="J1490" s="23">
        <v>193580</v>
      </c>
      <c r="K1490">
        <v>391</v>
      </c>
      <c r="L1490">
        <v>391</v>
      </c>
      <c r="N1490">
        <v>0</v>
      </c>
      <c r="O1490">
        <f t="shared" si="528"/>
        <v>8</v>
      </c>
      <c r="P1490" s="57">
        <f t="shared" si="529"/>
        <v>6</v>
      </c>
      <c r="Q1490" s="267">
        <f t="shared" si="530"/>
        <v>64360</v>
      </c>
      <c r="R1490" s="23" t="str">
        <f t="shared" si="531"/>
        <v/>
      </c>
      <c r="S1490" s="23">
        <f t="shared" si="532"/>
        <v>14063</v>
      </c>
      <c r="T1490" s="23" t="str">
        <f t="shared" si="533"/>
        <v/>
      </c>
      <c r="U1490" t="str">
        <f t="shared" si="534"/>
        <v/>
      </c>
      <c r="X1490" s="71"/>
      <c r="Z1490" s="44"/>
      <c r="AF1490" s="22"/>
    </row>
    <row r="1491" spans="1:38">
      <c r="A1491" t="str">
        <f t="shared" si="526"/>
        <v>CA_Orang_2020p~member, county central committee 68th assembly district - rep (vote for 6)</v>
      </c>
      <c r="B1491" s="55" t="s">
        <v>3163</v>
      </c>
      <c r="D1491" s="55" t="s">
        <v>3465</v>
      </c>
      <c r="E1491" s="55" t="s">
        <v>3467</v>
      </c>
      <c r="F1491" t="s">
        <v>1296</v>
      </c>
      <c r="G1491" s="60">
        <v>12672</v>
      </c>
      <c r="H1491" s="26">
        <f t="shared" si="527"/>
        <v>6.5461307986362224E-2</v>
      </c>
      <c r="J1491" s="23">
        <v>193580</v>
      </c>
      <c r="K1491">
        <v>391</v>
      </c>
      <c r="L1491">
        <v>391</v>
      </c>
      <c r="N1491">
        <v>0</v>
      </c>
      <c r="O1491">
        <f t="shared" si="528"/>
        <v>9</v>
      </c>
      <c r="P1491" s="57">
        <f t="shared" si="529"/>
        <v>6</v>
      </c>
      <c r="Q1491" s="267">
        <f t="shared" si="530"/>
        <v>50297</v>
      </c>
      <c r="R1491" s="23" t="str">
        <f t="shared" si="531"/>
        <v/>
      </c>
      <c r="S1491" s="23">
        <f t="shared" si="532"/>
        <v>12672</v>
      </c>
      <c r="T1491" s="23" t="str">
        <f t="shared" si="533"/>
        <v/>
      </c>
      <c r="U1491" t="str">
        <f t="shared" si="534"/>
        <v/>
      </c>
      <c r="X1491" s="71"/>
      <c r="Z1491" s="44"/>
      <c r="AF1491" s="22"/>
      <c r="AH1491" s="8"/>
      <c r="AL1491" s="23"/>
    </row>
    <row r="1492" spans="1:38">
      <c r="A1492" t="str">
        <f t="shared" si="526"/>
        <v>CA_Orang_2020p~member, county central committee 68th assembly district - rep (vote for 6)</v>
      </c>
      <c r="B1492" s="55" t="s">
        <v>3163</v>
      </c>
      <c r="D1492" s="55" t="s">
        <v>3465</v>
      </c>
      <c r="E1492" s="55" t="s">
        <v>3468</v>
      </c>
      <c r="F1492" t="s">
        <v>1296</v>
      </c>
      <c r="G1492" s="60">
        <v>10564</v>
      </c>
      <c r="H1492" s="26">
        <f t="shared" si="527"/>
        <v>5.457175328029755E-2</v>
      </c>
      <c r="J1492" s="23">
        <v>193580</v>
      </c>
      <c r="K1492">
        <v>391</v>
      </c>
      <c r="L1492">
        <v>391</v>
      </c>
      <c r="N1492">
        <v>0</v>
      </c>
      <c r="O1492">
        <f t="shared" si="528"/>
        <v>10</v>
      </c>
      <c r="P1492" s="57">
        <f t="shared" si="529"/>
        <v>6</v>
      </c>
      <c r="Q1492" s="267">
        <f t="shared" si="530"/>
        <v>37625</v>
      </c>
      <c r="R1492" s="23" t="str">
        <f t="shared" si="531"/>
        <v/>
      </c>
      <c r="S1492" s="23">
        <f t="shared" si="532"/>
        <v>10564</v>
      </c>
      <c r="T1492" s="23" t="str">
        <f t="shared" si="533"/>
        <v/>
      </c>
      <c r="U1492" t="str">
        <f t="shared" si="534"/>
        <v/>
      </c>
      <c r="X1492" s="71"/>
      <c r="Z1492" s="44"/>
      <c r="AF1492" s="22"/>
    </row>
    <row r="1493" spans="1:38">
      <c r="A1493" t="str">
        <f t="shared" si="526"/>
        <v>CA_Orang_2020p~member, county central committee 68th assembly district - rep (vote for 6)</v>
      </c>
      <c r="B1493" s="55" t="s">
        <v>3163</v>
      </c>
      <c r="D1493" s="55" t="s">
        <v>3465</v>
      </c>
      <c r="E1493" s="55" t="s">
        <v>3471</v>
      </c>
      <c r="F1493" t="s">
        <v>1296</v>
      </c>
      <c r="G1493" s="60">
        <v>9846</v>
      </c>
      <c r="H1493" s="26">
        <f t="shared" si="527"/>
        <v>5.0862692426903604E-2</v>
      </c>
      <c r="J1493" s="23">
        <v>193580</v>
      </c>
      <c r="K1493">
        <v>391</v>
      </c>
      <c r="L1493">
        <v>391</v>
      </c>
      <c r="N1493">
        <v>0</v>
      </c>
      <c r="O1493">
        <f t="shared" si="528"/>
        <v>11</v>
      </c>
      <c r="P1493" s="57">
        <f t="shared" si="529"/>
        <v>6</v>
      </c>
      <c r="Q1493" s="267">
        <f t="shared" si="530"/>
        <v>27061</v>
      </c>
      <c r="R1493" s="23" t="str">
        <f t="shared" si="531"/>
        <v/>
      </c>
      <c r="S1493" s="23">
        <f t="shared" si="532"/>
        <v>9846</v>
      </c>
      <c r="T1493" s="23" t="str">
        <f t="shared" si="533"/>
        <v/>
      </c>
      <c r="U1493" t="str">
        <f t="shared" si="534"/>
        <v/>
      </c>
      <c r="X1493" s="71"/>
      <c r="Z1493" s="44"/>
      <c r="AF1493" s="22"/>
    </row>
    <row r="1494" spans="1:38">
      <c r="A1494" t="str">
        <f t="shared" si="526"/>
        <v>CA_Orang_2020p~member, county central committee 68th assembly district - rep (vote for 6)</v>
      </c>
      <c r="B1494" s="55" t="s">
        <v>3163</v>
      </c>
      <c r="D1494" s="55" t="s">
        <v>3465</v>
      </c>
      <c r="E1494" s="55" t="s">
        <v>3474</v>
      </c>
      <c r="F1494" t="s">
        <v>1296</v>
      </c>
      <c r="G1494" s="60">
        <v>6989</v>
      </c>
      <c r="H1494" s="26">
        <f t="shared" si="527"/>
        <v>3.6103936357061682E-2</v>
      </c>
      <c r="J1494" s="23">
        <v>193580</v>
      </c>
      <c r="K1494">
        <v>391</v>
      </c>
      <c r="L1494">
        <v>391</v>
      </c>
      <c r="N1494">
        <v>0</v>
      </c>
      <c r="O1494">
        <f t="shared" si="528"/>
        <v>12</v>
      </c>
      <c r="P1494" s="57">
        <f t="shared" si="529"/>
        <v>6</v>
      </c>
      <c r="Q1494" s="267">
        <f t="shared" si="530"/>
        <v>17215</v>
      </c>
      <c r="R1494" s="23" t="str">
        <f t="shared" si="531"/>
        <v/>
      </c>
      <c r="S1494" s="23">
        <f t="shared" si="532"/>
        <v>6989</v>
      </c>
      <c r="T1494" s="23" t="str">
        <f t="shared" si="533"/>
        <v/>
      </c>
      <c r="U1494" t="str">
        <f t="shared" si="534"/>
        <v/>
      </c>
      <c r="X1494" s="71"/>
      <c r="Z1494" s="44"/>
      <c r="AF1494" s="22"/>
      <c r="AG1494" s="23"/>
      <c r="AH1494" s="8"/>
      <c r="AL1494" s="344"/>
    </row>
    <row r="1495" spans="1:38">
      <c r="A1495" t="str">
        <f t="shared" si="526"/>
        <v>CA_Orang_2020p~member, county central committee 68th assembly district - rep (vote for 6)</v>
      </c>
      <c r="B1495" s="55" t="s">
        <v>3163</v>
      </c>
      <c r="D1495" s="55" t="s">
        <v>3465</v>
      </c>
      <c r="E1495" s="55" t="s">
        <v>3479</v>
      </c>
      <c r="F1495" t="s">
        <v>1296</v>
      </c>
      <c r="G1495" s="60">
        <v>6629</v>
      </c>
      <c r="H1495" s="26">
        <f t="shared" si="527"/>
        <v>3.4244240107449114E-2</v>
      </c>
      <c r="J1495" s="23">
        <v>193580</v>
      </c>
      <c r="K1495">
        <v>391</v>
      </c>
      <c r="L1495">
        <v>391</v>
      </c>
      <c r="N1495">
        <v>0</v>
      </c>
      <c r="O1495">
        <f t="shared" si="528"/>
        <v>13</v>
      </c>
      <c r="P1495" s="57">
        <f t="shared" si="529"/>
        <v>6</v>
      </c>
      <c r="Q1495" s="267">
        <f t="shared" si="530"/>
        <v>10226</v>
      </c>
      <c r="R1495" s="23" t="str">
        <f t="shared" si="531"/>
        <v/>
      </c>
      <c r="S1495" s="23">
        <f t="shared" si="532"/>
        <v>6629</v>
      </c>
      <c r="T1495" s="23" t="str">
        <f t="shared" si="533"/>
        <v/>
      </c>
      <c r="U1495" t="str">
        <f t="shared" si="534"/>
        <v/>
      </c>
      <c r="X1495" s="71"/>
      <c r="Z1495" s="44"/>
      <c r="AF1495" s="22"/>
    </row>
    <row r="1496" spans="1:38">
      <c r="A1496" t="str">
        <f t="shared" si="526"/>
        <v>CA_Orang_2020p~member, county central committee 68th assembly district - rep (vote for 6)</v>
      </c>
      <c r="B1496" s="55" t="s">
        <v>3163</v>
      </c>
      <c r="D1496" s="55" t="s">
        <v>3465</v>
      </c>
      <c r="E1496" s="55" t="s">
        <v>3473</v>
      </c>
      <c r="F1496" t="s">
        <v>1296</v>
      </c>
      <c r="G1496" s="60">
        <v>3597</v>
      </c>
      <c r="H1496" s="26">
        <f t="shared" si="527"/>
        <v>1.8581465027378861E-2</v>
      </c>
      <c r="J1496" s="23">
        <v>193580</v>
      </c>
      <c r="K1496">
        <v>391</v>
      </c>
      <c r="L1496">
        <v>391</v>
      </c>
      <c r="N1496">
        <v>0</v>
      </c>
      <c r="O1496">
        <f t="shared" si="528"/>
        <v>14</v>
      </c>
      <c r="P1496" s="57">
        <f t="shared" si="529"/>
        <v>6</v>
      </c>
      <c r="Q1496" s="267">
        <f t="shared" si="530"/>
        <v>3597</v>
      </c>
      <c r="R1496" s="23" t="str">
        <f t="shared" si="531"/>
        <v/>
      </c>
      <c r="S1496" s="23">
        <f t="shared" si="532"/>
        <v>3597</v>
      </c>
      <c r="T1496" s="23" t="str">
        <f t="shared" si="533"/>
        <v/>
      </c>
      <c r="U1496" t="str">
        <f t="shared" si="534"/>
        <v/>
      </c>
      <c r="X1496" s="71"/>
      <c r="Z1496" s="44"/>
      <c r="AF1496" s="22"/>
    </row>
    <row r="1497" spans="1:38">
      <c r="A1497" t="str">
        <f t="shared" si="526"/>
        <v>CA_Orang_2020p~member, county central committee 69th assembly district - dem (vote for 6)</v>
      </c>
      <c r="B1497" s="55" t="s">
        <v>3163</v>
      </c>
      <c r="D1497" s="55" t="s">
        <v>3388</v>
      </c>
      <c r="E1497" s="55" t="s">
        <v>3389</v>
      </c>
      <c r="F1497" t="s">
        <v>1294</v>
      </c>
      <c r="G1497" s="60">
        <v>14339</v>
      </c>
      <c r="H1497" s="26">
        <f t="shared" si="527"/>
        <v>0.12309528101848274</v>
      </c>
      <c r="J1497" s="23">
        <v>116487</v>
      </c>
      <c r="K1497">
        <v>130</v>
      </c>
      <c r="L1497">
        <v>130</v>
      </c>
      <c r="N1497">
        <v>0</v>
      </c>
      <c r="O1497">
        <f t="shared" si="528"/>
        <v>1</v>
      </c>
      <c r="P1497" s="57">
        <f t="shared" si="529"/>
        <v>6</v>
      </c>
      <c r="Q1497" s="267">
        <f t="shared" si="530"/>
        <v>20256.166666666668</v>
      </c>
      <c r="R1497" s="23">
        <f t="shared" si="531"/>
        <v>9189</v>
      </c>
      <c r="S1497" s="23">
        <f t="shared" si="532"/>
        <v>9172</v>
      </c>
      <c r="T1497" s="23">
        <f t="shared" si="533"/>
        <v>17</v>
      </c>
      <c r="U1497" t="str">
        <f t="shared" si="534"/>
        <v>CA_Orang_2020p~member, county central committee 69th assembly district - dem (vote for 6)</v>
      </c>
      <c r="X1497" s="71"/>
      <c r="Z1497" s="44"/>
      <c r="AF1497" s="22"/>
    </row>
    <row r="1498" spans="1:38">
      <c r="A1498" t="str">
        <f t="shared" si="526"/>
        <v>CA_Orang_2020p~member, county central committee 69th assembly district - dem (vote for 6)</v>
      </c>
      <c r="B1498" s="55" t="s">
        <v>3163</v>
      </c>
      <c r="D1498" s="55" t="s">
        <v>3388</v>
      </c>
      <c r="E1498" s="55" t="s">
        <v>3400</v>
      </c>
      <c r="F1498" t="s">
        <v>1294</v>
      </c>
      <c r="G1498" s="60">
        <v>14293</v>
      </c>
      <c r="H1498" s="26">
        <f t="shared" si="527"/>
        <v>0.12270038716766678</v>
      </c>
      <c r="J1498" s="23">
        <v>116487</v>
      </c>
      <c r="K1498">
        <v>130</v>
      </c>
      <c r="L1498">
        <v>130</v>
      </c>
      <c r="N1498">
        <v>0</v>
      </c>
      <c r="O1498">
        <f t="shared" si="528"/>
        <v>2</v>
      </c>
      <c r="P1498" s="57">
        <f t="shared" si="529"/>
        <v>6</v>
      </c>
      <c r="Q1498" s="267">
        <f t="shared" si="530"/>
        <v>107198</v>
      </c>
      <c r="R1498" s="23">
        <f t="shared" si="531"/>
        <v>9189</v>
      </c>
      <c r="S1498" s="23">
        <f t="shared" si="532"/>
        <v>9172</v>
      </c>
      <c r="T1498" s="23" t="str">
        <f t="shared" si="533"/>
        <v/>
      </c>
      <c r="U1498" t="str">
        <f t="shared" si="534"/>
        <v/>
      </c>
      <c r="X1498" s="71"/>
      <c r="Z1498" s="44"/>
      <c r="AF1498" s="22"/>
    </row>
    <row r="1499" spans="1:38">
      <c r="A1499" t="str">
        <f t="shared" ref="A1499:A1562" si="535">CONCATENATE(B1499,"~",LOWER(D1499),IF(RIGHT(D1499,1)=")","",IF(C1499=2," (top 2)"," (vote 1)")))</f>
        <v>CA_Orang_2020p~member, county central committee 69th assembly district - dem (vote for 6)</v>
      </c>
      <c r="B1499" s="55" t="s">
        <v>3163</v>
      </c>
      <c r="D1499" s="55" t="s">
        <v>3388</v>
      </c>
      <c r="E1499" s="55" t="s">
        <v>3401</v>
      </c>
      <c r="F1499" t="s">
        <v>1294</v>
      </c>
      <c r="G1499" s="60">
        <v>12928</v>
      </c>
      <c r="H1499" s="26">
        <f t="shared" ref="H1499:H1562" si="536">G1499/J1499</f>
        <v>0.11098234137714938</v>
      </c>
      <c r="J1499" s="23">
        <v>116487</v>
      </c>
      <c r="K1499">
        <v>130</v>
      </c>
      <c r="L1499">
        <v>130</v>
      </c>
      <c r="N1499">
        <v>0</v>
      </c>
      <c r="O1499">
        <f t="shared" si="528"/>
        <v>3</v>
      </c>
      <c r="P1499" s="57">
        <f t="shared" si="529"/>
        <v>6</v>
      </c>
      <c r="Q1499" s="267">
        <f t="shared" si="530"/>
        <v>92905</v>
      </c>
      <c r="R1499" s="23">
        <f t="shared" si="531"/>
        <v>9189</v>
      </c>
      <c r="S1499" s="23">
        <f t="shared" si="532"/>
        <v>9172</v>
      </c>
      <c r="T1499" s="23" t="str">
        <f t="shared" si="533"/>
        <v/>
      </c>
      <c r="U1499" t="str">
        <f t="shared" si="534"/>
        <v/>
      </c>
      <c r="X1499" s="71"/>
      <c r="Z1499" s="44"/>
      <c r="AF1499" s="22"/>
    </row>
    <row r="1500" spans="1:38">
      <c r="A1500" t="str">
        <f t="shared" si="535"/>
        <v>CA_Orang_2020p~member, county central committee 69th assembly district - dem (vote for 6)</v>
      </c>
      <c r="B1500" s="55" t="s">
        <v>3163</v>
      </c>
      <c r="D1500" s="55" t="s">
        <v>3388</v>
      </c>
      <c r="E1500" s="55" t="s">
        <v>3391</v>
      </c>
      <c r="F1500" t="s">
        <v>1294</v>
      </c>
      <c r="G1500" s="60">
        <v>11016</v>
      </c>
      <c r="H1500" s="26">
        <f t="shared" si="536"/>
        <v>9.4568492621494249E-2</v>
      </c>
      <c r="J1500" s="23">
        <v>116487</v>
      </c>
      <c r="K1500">
        <v>130</v>
      </c>
      <c r="L1500">
        <v>130</v>
      </c>
      <c r="N1500">
        <v>0</v>
      </c>
      <c r="O1500">
        <f t="shared" si="528"/>
        <v>4</v>
      </c>
      <c r="P1500" s="57">
        <f t="shared" si="529"/>
        <v>6</v>
      </c>
      <c r="Q1500" s="267">
        <f t="shared" si="530"/>
        <v>79977</v>
      </c>
      <c r="R1500" s="23">
        <f t="shared" si="531"/>
        <v>9189</v>
      </c>
      <c r="S1500" s="23">
        <f t="shared" si="532"/>
        <v>9172</v>
      </c>
      <c r="T1500" s="23" t="str">
        <f t="shared" si="533"/>
        <v/>
      </c>
      <c r="U1500" t="str">
        <f t="shared" si="534"/>
        <v/>
      </c>
      <c r="X1500" s="71"/>
      <c r="Z1500" s="44"/>
      <c r="AF1500" s="22"/>
    </row>
    <row r="1501" spans="1:38">
      <c r="A1501" t="str">
        <f t="shared" si="535"/>
        <v>CA_Orang_2020p~member, county central committee 69th assembly district - dem (vote for 6)</v>
      </c>
      <c r="B1501" s="55" t="s">
        <v>3163</v>
      </c>
      <c r="D1501" s="55" t="s">
        <v>3388</v>
      </c>
      <c r="E1501" s="55" t="s">
        <v>3393</v>
      </c>
      <c r="F1501" t="s">
        <v>1294</v>
      </c>
      <c r="G1501" s="60">
        <v>9684</v>
      </c>
      <c r="H1501" s="26">
        <f t="shared" si="536"/>
        <v>8.3133740245692658E-2</v>
      </c>
      <c r="J1501" s="23">
        <v>116487</v>
      </c>
      <c r="K1501">
        <v>130</v>
      </c>
      <c r="L1501">
        <v>130</v>
      </c>
      <c r="N1501">
        <v>0</v>
      </c>
      <c r="O1501">
        <f t="shared" si="528"/>
        <v>5</v>
      </c>
      <c r="P1501" s="57">
        <f t="shared" si="529"/>
        <v>6</v>
      </c>
      <c r="Q1501" s="267">
        <f t="shared" si="530"/>
        <v>68961</v>
      </c>
      <c r="R1501" s="23">
        <f t="shared" si="531"/>
        <v>9189</v>
      </c>
      <c r="S1501" s="23">
        <f t="shared" si="532"/>
        <v>9172</v>
      </c>
      <c r="T1501" s="23" t="str">
        <f t="shared" si="533"/>
        <v/>
      </c>
      <c r="U1501" t="str">
        <f t="shared" si="534"/>
        <v/>
      </c>
      <c r="X1501" s="71"/>
      <c r="Z1501" s="44"/>
      <c r="AF1501" s="22"/>
    </row>
    <row r="1502" spans="1:38">
      <c r="A1502" t="str">
        <f t="shared" si="535"/>
        <v>CA_Orang_2020p~member, county central committee 69th assembly district - dem (vote for 6)</v>
      </c>
      <c r="B1502" s="55" t="s">
        <v>3163</v>
      </c>
      <c r="D1502" s="55" t="s">
        <v>3388</v>
      </c>
      <c r="E1502" s="55" t="s">
        <v>3392</v>
      </c>
      <c r="F1502" t="s">
        <v>1294</v>
      </c>
      <c r="G1502" s="60">
        <v>9189</v>
      </c>
      <c r="H1502" s="26">
        <f t="shared" si="536"/>
        <v>7.8884339024955577E-2</v>
      </c>
      <c r="J1502" s="23">
        <v>116487</v>
      </c>
      <c r="K1502">
        <v>130</v>
      </c>
      <c r="L1502">
        <v>130</v>
      </c>
      <c r="N1502">
        <v>0</v>
      </c>
      <c r="O1502">
        <f t="shared" si="528"/>
        <v>6</v>
      </c>
      <c r="P1502" s="57">
        <f t="shared" si="529"/>
        <v>6</v>
      </c>
      <c r="Q1502" s="267">
        <f t="shared" si="530"/>
        <v>59277</v>
      </c>
      <c r="R1502" s="23">
        <f t="shared" si="531"/>
        <v>9189</v>
      </c>
      <c r="S1502" s="23">
        <f t="shared" si="532"/>
        <v>9172</v>
      </c>
      <c r="T1502" s="23" t="str">
        <f t="shared" si="533"/>
        <v/>
      </c>
      <c r="U1502" t="str">
        <f t="shared" si="534"/>
        <v/>
      </c>
      <c r="X1502" s="71"/>
      <c r="Z1502" s="44"/>
      <c r="AF1502" s="22"/>
    </row>
    <row r="1503" spans="1:38">
      <c r="A1503" t="str">
        <f t="shared" si="535"/>
        <v>CA_Orang_2020p~member, county central committee 69th assembly district - dem (vote for 6)</v>
      </c>
      <c r="B1503" s="55" t="s">
        <v>3163</v>
      </c>
      <c r="D1503" s="55" t="s">
        <v>3388</v>
      </c>
      <c r="E1503" s="55" t="s">
        <v>3397</v>
      </c>
      <c r="F1503" t="s">
        <v>1294</v>
      </c>
      <c r="G1503" s="60">
        <v>9172</v>
      </c>
      <c r="H1503" s="26">
        <f t="shared" si="536"/>
        <v>7.8738399993132285E-2</v>
      </c>
      <c r="J1503" s="23">
        <v>116487</v>
      </c>
      <c r="K1503">
        <v>130</v>
      </c>
      <c r="L1503">
        <v>130</v>
      </c>
      <c r="N1503">
        <v>0</v>
      </c>
      <c r="O1503">
        <f t="shared" si="528"/>
        <v>7</v>
      </c>
      <c r="P1503" s="57">
        <f t="shared" si="529"/>
        <v>6</v>
      </c>
      <c r="Q1503" s="267">
        <f t="shared" si="530"/>
        <v>50088</v>
      </c>
      <c r="R1503" s="23" t="str">
        <f t="shared" si="531"/>
        <v/>
      </c>
      <c r="S1503" s="23">
        <f t="shared" si="532"/>
        <v>9172</v>
      </c>
      <c r="T1503" s="23" t="str">
        <f t="shared" si="533"/>
        <v/>
      </c>
      <c r="U1503" t="str">
        <f t="shared" si="534"/>
        <v/>
      </c>
      <c r="X1503" s="71"/>
      <c r="Z1503" s="44"/>
      <c r="AF1503" s="22"/>
    </row>
    <row r="1504" spans="1:38">
      <c r="A1504" t="str">
        <f t="shared" si="535"/>
        <v>CA_Orang_2020p~member, county central committee 69th assembly district - dem (vote for 6)</v>
      </c>
      <c r="B1504" s="55" t="s">
        <v>3163</v>
      </c>
      <c r="D1504" s="55" t="s">
        <v>3388</v>
      </c>
      <c r="E1504" s="55" t="s">
        <v>3390</v>
      </c>
      <c r="F1504" t="s">
        <v>1294</v>
      </c>
      <c r="G1504" s="60">
        <v>8750</v>
      </c>
      <c r="H1504" s="26">
        <f t="shared" si="536"/>
        <v>7.5115678144342293E-2</v>
      </c>
      <c r="J1504" s="23">
        <v>116487</v>
      </c>
      <c r="K1504">
        <v>130</v>
      </c>
      <c r="L1504">
        <v>130</v>
      </c>
      <c r="N1504">
        <v>0</v>
      </c>
      <c r="O1504">
        <f t="shared" si="528"/>
        <v>8</v>
      </c>
      <c r="P1504" s="57">
        <f t="shared" si="529"/>
        <v>6</v>
      </c>
      <c r="Q1504" s="267">
        <f t="shared" si="530"/>
        <v>40916</v>
      </c>
      <c r="R1504" s="23" t="str">
        <f t="shared" si="531"/>
        <v/>
      </c>
      <c r="S1504" s="23">
        <f t="shared" si="532"/>
        <v>8750</v>
      </c>
      <c r="T1504" s="23" t="str">
        <f t="shared" si="533"/>
        <v/>
      </c>
      <c r="U1504" t="str">
        <f t="shared" si="534"/>
        <v/>
      </c>
      <c r="X1504" s="71"/>
      <c r="Z1504" s="44"/>
      <c r="AF1504" s="22"/>
    </row>
    <row r="1505" spans="1:45">
      <c r="A1505" t="str">
        <f t="shared" si="535"/>
        <v>CA_Orang_2020p~member, county central committee 69th assembly district - dem (vote for 6)</v>
      </c>
      <c r="B1505" s="55" t="s">
        <v>3163</v>
      </c>
      <c r="D1505" s="55" t="s">
        <v>3388</v>
      </c>
      <c r="E1505" s="55" t="s">
        <v>3394</v>
      </c>
      <c r="F1505" t="s">
        <v>1294</v>
      </c>
      <c r="G1505" s="60">
        <v>7197</v>
      </c>
      <c r="H1505" s="26">
        <f t="shared" si="536"/>
        <v>6.1783718354837876E-2</v>
      </c>
      <c r="J1505" s="23">
        <v>116487</v>
      </c>
      <c r="K1505">
        <v>130</v>
      </c>
      <c r="L1505">
        <v>130</v>
      </c>
      <c r="N1505">
        <v>0</v>
      </c>
      <c r="O1505">
        <f t="shared" si="528"/>
        <v>9</v>
      </c>
      <c r="P1505" s="57">
        <f t="shared" si="529"/>
        <v>6</v>
      </c>
      <c r="Q1505" s="267">
        <f t="shared" si="530"/>
        <v>32166</v>
      </c>
      <c r="R1505" s="23" t="str">
        <f t="shared" si="531"/>
        <v/>
      </c>
      <c r="S1505" s="23">
        <f t="shared" si="532"/>
        <v>7197</v>
      </c>
      <c r="T1505" s="23" t="str">
        <f t="shared" si="533"/>
        <v/>
      </c>
      <c r="U1505" t="str">
        <f t="shared" si="534"/>
        <v/>
      </c>
      <c r="X1505" s="71"/>
      <c r="Z1505" s="44"/>
      <c r="AF1505" s="22"/>
    </row>
    <row r="1506" spans="1:45">
      <c r="A1506" t="str">
        <f t="shared" si="535"/>
        <v>CA_Orang_2020p~member, county central committee 69th assembly district - dem (vote for 6)</v>
      </c>
      <c r="B1506" s="55" t="s">
        <v>3163</v>
      </c>
      <c r="D1506" s="55" t="s">
        <v>3388</v>
      </c>
      <c r="E1506" s="55" t="s">
        <v>3399</v>
      </c>
      <c r="F1506" t="s">
        <v>1294</v>
      </c>
      <c r="G1506" s="60">
        <v>6743</v>
      </c>
      <c r="H1506" s="26">
        <f t="shared" si="536"/>
        <v>5.788628774026286E-2</v>
      </c>
      <c r="J1506" s="23">
        <v>116487</v>
      </c>
      <c r="K1506">
        <v>130</v>
      </c>
      <c r="L1506">
        <v>130</v>
      </c>
      <c r="N1506">
        <v>0</v>
      </c>
      <c r="O1506">
        <f t="shared" si="528"/>
        <v>10</v>
      </c>
      <c r="P1506" s="57">
        <f t="shared" si="529"/>
        <v>6</v>
      </c>
      <c r="Q1506" s="267">
        <f t="shared" si="530"/>
        <v>24969</v>
      </c>
      <c r="R1506" s="23" t="str">
        <f t="shared" si="531"/>
        <v/>
      </c>
      <c r="S1506" s="23">
        <f t="shared" si="532"/>
        <v>6743</v>
      </c>
      <c r="T1506" s="23" t="str">
        <f t="shared" si="533"/>
        <v/>
      </c>
      <c r="U1506" t="str">
        <f t="shared" si="534"/>
        <v/>
      </c>
      <c r="X1506" s="71"/>
      <c r="Z1506" s="44"/>
      <c r="AF1506" s="22"/>
    </row>
    <row r="1507" spans="1:45">
      <c r="A1507" t="str">
        <f t="shared" si="535"/>
        <v>CA_Orang_2020p~member, county central committee 69th assembly district - dem (vote for 6)</v>
      </c>
      <c r="B1507" s="55" t="s">
        <v>3163</v>
      </c>
      <c r="D1507" s="55" t="s">
        <v>3388</v>
      </c>
      <c r="E1507" s="55" t="s">
        <v>3398</v>
      </c>
      <c r="F1507" t="s">
        <v>1294</v>
      </c>
      <c r="G1507" s="60">
        <v>6408</v>
      </c>
      <c r="H1507" s="26">
        <f t="shared" si="536"/>
        <v>5.5010430348450899E-2</v>
      </c>
      <c r="J1507" s="23">
        <v>116487</v>
      </c>
      <c r="K1507">
        <v>130</v>
      </c>
      <c r="L1507">
        <v>130</v>
      </c>
      <c r="N1507">
        <v>0</v>
      </c>
      <c r="O1507">
        <f t="shared" si="528"/>
        <v>11</v>
      </c>
      <c r="P1507" s="57">
        <f t="shared" si="529"/>
        <v>6</v>
      </c>
      <c r="Q1507" s="267">
        <f t="shared" si="530"/>
        <v>18226</v>
      </c>
      <c r="R1507" s="23" t="str">
        <f t="shared" si="531"/>
        <v/>
      </c>
      <c r="S1507" s="23">
        <f t="shared" si="532"/>
        <v>6408</v>
      </c>
      <c r="T1507" s="23" t="str">
        <f t="shared" si="533"/>
        <v/>
      </c>
      <c r="U1507" t="str">
        <f t="shared" si="534"/>
        <v/>
      </c>
      <c r="X1507" s="71"/>
      <c r="Z1507" s="44"/>
      <c r="AF1507" s="22"/>
      <c r="AH1507" s="8"/>
      <c r="AL1507" s="23"/>
    </row>
    <row r="1508" spans="1:45">
      <c r="A1508" t="str">
        <f t="shared" si="535"/>
        <v>CA_Orang_2020p~member, county central committee 69th assembly district - dem (vote for 6)</v>
      </c>
      <c r="B1508" s="55" t="s">
        <v>3163</v>
      </c>
      <c r="D1508" s="55" t="s">
        <v>3388</v>
      </c>
      <c r="E1508" s="55" t="s">
        <v>3396</v>
      </c>
      <c r="F1508" t="s">
        <v>1294</v>
      </c>
      <c r="G1508" s="60">
        <v>6263</v>
      </c>
      <c r="H1508" s="26">
        <f t="shared" si="536"/>
        <v>5.3765656253487511E-2</v>
      </c>
      <c r="J1508" s="23">
        <v>116487</v>
      </c>
      <c r="K1508">
        <v>130</v>
      </c>
      <c r="L1508">
        <v>130</v>
      </c>
      <c r="N1508">
        <v>0</v>
      </c>
      <c r="O1508">
        <f t="shared" si="528"/>
        <v>12</v>
      </c>
      <c r="P1508" s="57">
        <f t="shared" si="529"/>
        <v>6</v>
      </c>
      <c r="Q1508" s="267">
        <f t="shared" si="530"/>
        <v>11818</v>
      </c>
      <c r="R1508" s="23" t="str">
        <f t="shared" si="531"/>
        <v/>
      </c>
      <c r="S1508" s="23">
        <f t="shared" si="532"/>
        <v>6263</v>
      </c>
      <c r="T1508" s="23" t="str">
        <f t="shared" si="533"/>
        <v/>
      </c>
      <c r="U1508" t="str">
        <f t="shared" si="534"/>
        <v/>
      </c>
      <c r="X1508" s="71"/>
      <c r="Z1508" s="44"/>
      <c r="AF1508" s="22"/>
      <c r="AH1508" s="8"/>
      <c r="AL1508" s="23"/>
    </row>
    <row r="1509" spans="1:45">
      <c r="A1509" t="str">
        <f t="shared" si="535"/>
        <v>CA_Orang_2020p~member, county central committee 69th assembly district - dem (vote for 6)</v>
      </c>
      <c r="B1509" s="55" t="s">
        <v>3163</v>
      </c>
      <c r="D1509" s="55" t="s">
        <v>3388</v>
      </c>
      <c r="E1509" s="55" t="s">
        <v>3395</v>
      </c>
      <c r="F1509" t="s">
        <v>1294</v>
      </c>
      <c r="G1509" s="60">
        <v>5555</v>
      </c>
      <c r="H1509" s="26">
        <f t="shared" si="536"/>
        <v>4.7687724810493874E-2</v>
      </c>
      <c r="J1509" s="23">
        <v>116487</v>
      </c>
      <c r="K1509">
        <v>130</v>
      </c>
      <c r="L1509">
        <v>130</v>
      </c>
      <c r="N1509">
        <v>0</v>
      </c>
      <c r="O1509">
        <f t="shared" si="528"/>
        <v>13</v>
      </c>
      <c r="P1509" s="57">
        <f t="shared" si="529"/>
        <v>6</v>
      </c>
      <c r="Q1509" s="267">
        <f t="shared" si="530"/>
        <v>5555</v>
      </c>
      <c r="R1509" s="23" t="str">
        <f t="shared" si="531"/>
        <v/>
      </c>
      <c r="S1509" s="23">
        <f t="shared" si="532"/>
        <v>5555</v>
      </c>
      <c r="T1509" s="23" t="str">
        <f t="shared" si="533"/>
        <v/>
      </c>
      <c r="U1509" t="str">
        <f t="shared" si="534"/>
        <v/>
      </c>
      <c r="X1509" s="71"/>
      <c r="Z1509" s="44"/>
      <c r="AF1509" s="22"/>
    </row>
    <row r="1510" spans="1:45">
      <c r="A1510" t="str">
        <f t="shared" si="535"/>
        <v>CA_Orang_2020p~member, county central committee 69th assembly district - rep (vote for 6)</v>
      </c>
      <c r="B1510" s="55" t="s">
        <v>3163</v>
      </c>
      <c r="D1510" s="55" t="s">
        <v>3480</v>
      </c>
      <c r="E1510" s="55" t="s">
        <v>3489</v>
      </c>
      <c r="F1510" t="s">
        <v>1296</v>
      </c>
      <c r="G1510" s="60">
        <v>6037</v>
      </c>
      <c r="H1510" s="26">
        <f t="shared" si="536"/>
        <v>0.15811529294675361</v>
      </c>
      <c r="J1510" s="23">
        <v>38181</v>
      </c>
      <c r="K1510">
        <v>130</v>
      </c>
      <c r="L1510">
        <v>130</v>
      </c>
      <c r="N1510">
        <v>0</v>
      </c>
      <c r="O1510">
        <f t="shared" si="528"/>
        <v>1</v>
      </c>
      <c r="P1510" s="57">
        <f t="shared" si="529"/>
        <v>6</v>
      </c>
      <c r="Q1510" s="267">
        <f t="shared" si="530"/>
        <v>6972.166666666667</v>
      </c>
      <c r="R1510" s="23">
        <f t="shared" si="531"/>
        <v>4736</v>
      </c>
      <c r="S1510" s="23">
        <f t="shared" si="532"/>
        <v>4225</v>
      </c>
      <c r="T1510" s="23">
        <f t="shared" si="533"/>
        <v>511</v>
      </c>
      <c r="U1510" t="str">
        <f t="shared" si="534"/>
        <v>CA_Orang_2020p~member, county central committee 69th assembly district - rep (vote for 6)</v>
      </c>
      <c r="X1510" s="71"/>
      <c r="Z1510" s="44"/>
      <c r="AF1510" s="22"/>
    </row>
    <row r="1511" spans="1:45">
      <c r="A1511" t="str">
        <f t="shared" si="535"/>
        <v>CA_Orang_2020p~member, county central committee 69th assembly district - rep (vote for 6)</v>
      </c>
      <c r="B1511" s="55" t="s">
        <v>3163</v>
      </c>
      <c r="D1511" s="55" t="s">
        <v>3480</v>
      </c>
      <c r="E1511" s="55" t="s">
        <v>3482</v>
      </c>
      <c r="F1511" t="s">
        <v>1296</v>
      </c>
      <c r="G1511" s="60">
        <v>5317</v>
      </c>
      <c r="H1511" s="26">
        <f t="shared" si="536"/>
        <v>0.13925774599931903</v>
      </c>
      <c r="J1511" s="23">
        <v>38181</v>
      </c>
      <c r="K1511">
        <v>130</v>
      </c>
      <c r="L1511">
        <v>130</v>
      </c>
      <c r="N1511">
        <v>0</v>
      </c>
      <c r="O1511">
        <f t="shared" si="528"/>
        <v>2</v>
      </c>
      <c r="P1511" s="57">
        <f t="shared" si="529"/>
        <v>6</v>
      </c>
      <c r="Q1511" s="267">
        <f t="shared" si="530"/>
        <v>35796</v>
      </c>
      <c r="R1511" s="23">
        <f t="shared" si="531"/>
        <v>4736</v>
      </c>
      <c r="S1511" s="23">
        <f t="shared" si="532"/>
        <v>4225</v>
      </c>
      <c r="T1511" s="23" t="str">
        <f t="shared" si="533"/>
        <v/>
      </c>
      <c r="U1511" t="str">
        <f t="shared" si="534"/>
        <v/>
      </c>
      <c r="X1511" s="71"/>
      <c r="Z1511" s="44"/>
      <c r="AF1511" s="22"/>
    </row>
    <row r="1512" spans="1:45">
      <c r="A1512" t="str">
        <f t="shared" si="535"/>
        <v>CA_Orang_2020p~member, county central committee 69th assembly district - rep (vote for 6)</v>
      </c>
      <c r="B1512" s="55" t="s">
        <v>3163</v>
      </c>
      <c r="D1512" s="55" t="s">
        <v>3480</v>
      </c>
      <c r="E1512" s="55" t="s">
        <v>3483</v>
      </c>
      <c r="F1512" t="s">
        <v>1296</v>
      </c>
      <c r="G1512" s="60">
        <v>5115</v>
      </c>
      <c r="H1512" s="26">
        <f t="shared" si="536"/>
        <v>0.13396715643906656</v>
      </c>
      <c r="J1512" s="23">
        <v>38181</v>
      </c>
      <c r="K1512">
        <v>130</v>
      </c>
      <c r="L1512">
        <v>130</v>
      </c>
      <c r="N1512">
        <v>0</v>
      </c>
      <c r="O1512">
        <f t="shared" si="528"/>
        <v>3</v>
      </c>
      <c r="P1512" s="57">
        <f t="shared" si="529"/>
        <v>6</v>
      </c>
      <c r="Q1512" s="267">
        <f t="shared" si="530"/>
        <v>30479</v>
      </c>
      <c r="R1512" s="23">
        <f t="shared" si="531"/>
        <v>4736</v>
      </c>
      <c r="S1512" s="23">
        <f t="shared" si="532"/>
        <v>4225</v>
      </c>
      <c r="T1512" s="23" t="str">
        <f t="shared" si="533"/>
        <v/>
      </c>
      <c r="U1512" t="str">
        <f t="shared" si="534"/>
        <v/>
      </c>
      <c r="X1512" s="71"/>
      <c r="Z1512" s="44"/>
      <c r="AF1512" s="300"/>
    </row>
    <row r="1513" spans="1:45">
      <c r="A1513" t="str">
        <f t="shared" si="535"/>
        <v>CA_Orang_2020p~member, county central committee 69th assembly district - rep (vote for 6)</v>
      </c>
      <c r="B1513" s="55" t="s">
        <v>3163</v>
      </c>
      <c r="D1513" s="55" t="s">
        <v>3480</v>
      </c>
      <c r="E1513" s="55" t="s">
        <v>3481</v>
      </c>
      <c r="F1513" t="s">
        <v>1296</v>
      </c>
      <c r="G1513" s="60">
        <v>5088</v>
      </c>
      <c r="H1513" s="26">
        <f t="shared" si="536"/>
        <v>0.13325999842853775</v>
      </c>
      <c r="J1513" s="23">
        <v>38181</v>
      </c>
      <c r="K1513">
        <v>130</v>
      </c>
      <c r="L1513">
        <v>130</v>
      </c>
      <c r="N1513">
        <v>0</v>
      </c>
      <c r="O1513">
        <f t="shared" si="528"/>
        <v>4</v>
      </c>
      <c r="P1513" s="57">
        <f t="shared" si="529"/>
        <v>6</v>
      </c>
      <c r="Q1513" s="267">
        <f t="shared" si="530"/>
        <v>25364</v>
      </c>
      <c r="R1513" s="23">
        <f t="shared" si="531"/>
        <v>4736</v>
      </c>
      <c r="S1513" s="23">
        <f t="shared" si="532"/>
        <v>4225</v>
      </c>
      <c r="T1513" s="23" t="str">
        <f t="shared" si="533"/>
        <v/>
      </c>
      <c r="U1513" t="str">
        <f t="shared" si="534"/>
        <v/>
      </c>
      <c r="X1513" s="71"/>
      <c r="Z1513" s="44"/>
      <c r="AF1513" s="293"/>
      <c r="AO1513" s="356"/>
      <c r="AP1513" s="356"/>
      <c r="AQ1513" s="394"/>
      <c r="AR1513" s="394"/>
      <c r="AS1513" s="394"/>
    </row>
    <row r="1514" spans="1:45">
      <c r="A1514" t="str">
        <f t="shared" si="535"/>
        <v>CA_Orang_2020p~member, county central committee 69th assembly district - rep (vote for 6)</v>
      </c>
      <c r="B1514" s="55" t="s">
        <v>3163</v>
      </c>
      <c r="D1514" s="55" t="s">
        <v>3480</v>
      </c>
      <c r="E1514" s="55" t="s">
        <v>3485</v>
      </c>
      <c r="F1514" t="s">
        <v>1296</v>
      </c>
      <c r="G1514" s="60">
        <v>4805</v>
      </c>
      <c r="H1514" s="26">
        <f t="shared" si="536"/>
        <v>0.12584793483669887</v>
      </c>
      <c r="J1514" s="23">
        <v>38181</v>
      </c>
      <c r="K1514">
        <v>130</v>
      </c>
      <c r="L1514">
        <v>130</v>
      </c>
      <c r="N1514">
        <v>0</v>
      </c>
      <c r="O1514">
        <f t="shared" si="528"/>
        <v>5</v>
      </c>
      <c r="P1514" s="57">
        <f t="shared" si="529"/>
        <v>6</v>
      </c>
      <c r="Q1514" s="267">
        <f t="shared" si="530"/>
        <v>20276</v>
      </c>
      <c r="R1514" s="23">
        <f t="shared" si="531"/>
        <v>4736</v>
      </c>
      <c r="S1514" s="23">
        <f t="shared" si="532"/>
        <v>4225</v>
      </c>
      <c r="T1514" s="23" t="str">
        <f t="shared" si="533"/>
        <v/>
      </c>
      <c r="U1514" t="str">
        <f t="shared" si="534"/>
        <v/>
      </c>
      <c r="X1514" s="71"/>
      <c r="Z1514" s="44"/>
      <c r="AF1514" s="22"/>
    </row>
    <row r="1515" spans="1:45">
      <c r="A1515" t="str">
        <f t="shared" si="535"/>
        <v>CA_Orang_2020p~member, county central committee 69th assembly district - rep (vote for 6)</v>
      </c>
      <c r="B1515" s="55" t="s">
        <v>3163</v>
      </c>
      <c r="D1515" s="55" t="s">
        <v>3480</v>
      </c>
      <c r="E1515" s="55" t="s">
        <v>3486</v>
      </c>
      <c r="F1515" t="s">
        <v>1296</v>
      </c>
      <c r="G1515" s="60">
        <v>4736</v>
      </c>
      <c r="H1515" s="26">
        <f t="shared" si="536"/>
        <v>0.1240407532542364</v>
      </c>
      <c r="J1515" s="23">
        <v>38181</v>
      </c>
      <c r="K1515">
        <v>130</v>
      </c>
      <c r="L1515">
        <v>130</v>
      </c>
      <c r="N1515">
        <v>0</v>
      </c>
      <c r="O1515">
        <f t="shared" si="528"/>
        <v>6</v>
      </c>
      <c r="P1515" s="57">
        <f t="shared" si="529"/>
        <v>6</v>
      </c>
      <c r="Q1515" s="267">
        <f t="shared" si="530"/>
        <v>15471</v>
      </c>
      <c r="R1515" s="23">
        <f t="shared" si="531"/>
        <v>4736</v>
      </c>
      <c r="S1515" s="23">
        <f t="shared" si="532"/>
        <v>4225</v>
      </c>
      <c r="T1515" s="23" t="str">
        <f t="shared" si="533"/>
        <v/>
      </c>
      <c r="U1515" t="str">
        <f t="shared" si="534"/>
        <v/>
      </c>
      <c r="X1515" s="71"/>
      <c r="Z1515" s="44"/>
      <c r="AF1515" s="22"/>
    </row>
    <row r="1516" spans="1:45">
      <c r="A1516" t="str">
        <f t="shared" si="535"/>
        <v>CA_Orang_2020p~member, county central committee 69th assembly district - rep (vote for 6)</v>
      </c>
      <c r="B1516" s="55" t="s">
        <v>3163</v>
      </c>
      <c r="D1516" s="55" t="s">
        <v>3480</v>
      </c>
      <c r="E1516" s="55" t="s">
        <v>3487</v>
      </c>
      <c r="F1516" t="s">
        <v>1296</v>
      </c>
      <c r="G1516" s="60">
        <v>4225</v>
      </c>
      <c r="H1516" s="26">
        <f t="shared" si="536"/>
        <v>0.11065713312904324</v>
      </c>
      <c r="J1516" s="23">
        <v>38181</v>
      </c>
      <c r="K1516">
        <v>130</v>
      </c>
      <c r="L1516">
        <v>130</v>
      </c>
      <c r="N1516">
        <v>0</v>
      </c>
      <c r="O1516">
        <f t="shared" si="528"/>
        <v>7</v>
      </c>
      <c r="P1516" s="57">
        <f t="shared" si="529"/>
        <v>6</v>
      </c>
      <c r="Q1516" s="267">
        <f t="shared" si="530"/>
        <v>10735</v>
      </c>
      <c r="R1516" s="23" t="str">
        <f t="shared" si="531"/>
        <v/>
      </c>
      <c r="S1516" s="23">
        <f t="shared" si="532"/>
        <v>4225</v>
      </c>
      <c r="T1516" s="23" t="str">
        <f t="shared" si="533"/>
        <v/>
      </c>
      <c r="U1516" t="str">
        <f t="shared" si="534"/>
        <v/>
      </c>
      <c r="X1516" s="71"/>
      <c r="Z1516" s="44"/>
      <c r="AF1516" s="22"/>
    </row>
    <row r="1517" spans="1:45">
      <c r="A1517" t="str">
        <f t="shared" si="535"/>
        <v>CA_Orang_2020p~member, county central committee 69th assembly district - rep (vote for 6)</v>
      </c>
      <c r="B1517" s="55" t="s">
        <v>3163</v>
      </c>
      <c r="D1517" s="55" t="s">
        <v>3480</v>
      </c>
      <c r="E1517" s="55" t="s">
        <v>3484</v>
      </c>
      <c r="F1517" t="s">
        <v>1296</v>
      </c>
      <c r="G1517" s="60">
        <v>3583</v>
      </c>
      <c r="H1517" s="26">
        <f t="shared" si="536"/>
        <v>9.3842487100914071E-2</v>
      </c>
      <c r="J1517" s="23">
        <v>38181</v>
      </c>
      <c r="K1517">
        <v>130</v>
      </c>
      <c r="L1517">
        <v>130</v>
      </c>
      <c r="N1517">
        <v>0</v>
      </c>
      <c r="O1517">
        <f t="shared" si="528"/>
        <v>8</v>
      </c>
      <c r="P1517" s="57">
        <f t="shared" si="529"/>
        <v>6</v>
      </c>
      <c r="Q1517" s="267">
        <f t="shared" si="530"/>
        <v>6510</v>
      </c>
      <c r="R1517" s="23" t="str">
        <f t="shared" si="531"/>
        <v/>
      </c>
      <c r="S1517" s="23">
        <f t="shared" si="532"/>
        <v>3583</v>
      </c>
      <c r="T1517" s="23" t="str">
        <f t="shared" si="533"/>
        <v/>
      </c>
      <c r="U1517" t="str">
        <f t="shared" si="534"/>
        <v/>
      </c>
      <c r="X1517" s="71"/>
      <c r="Z1517" s="44"/>
      <c r="AF1517" s="22"/>
    </row>
    <row r="1518" spans="1:45">
      <c r="A1518" t="str">
        <f t="shared" si="535"/>
        <v>CA_Orang_2020p~member, county central committee 69th assembly district - rep (vote for 6)</v>
      </c>
      <c r="B1518" s="55" t="s">
        <v>3163</v>
      </c>
      <c r="D1518" s="55" t="s">
        <v>3480</v>
      </c>
      <c r="E1518" s="55" t="s">
        <v>3488</v>
      </c>
      <c r="F1518" t="s">
        <v>1296</v>
      </c>
      <c r="G1518" s="60">
        <v>2927</v>
      </c>
      <c r="H1518" s="26">
        <f t="shared" si="536"/>
        <v>7.6661166548807003E-2</v>
      </c>
      <c r="J1518" s="23">
        <v>38181</v>
      </c>
      <c r="K1518">
        <v>130</v>
      </c>
      <c r="L1518">
        <v>130</v>
      </c>
      <c r="N1518">
        <v>0</v>
      </c>
      <c r="O1518">
        <f t="shared" si="528"/>
        <v>9</v>
      </c>
      <c r="P1518" s="57">
        <f t="shared" si="529"/>
        <v>6</v>
      </c>
      <c r="Q1518" s="267">
        <f t="shared" si="530"/>
        <v>2927</v>
      </c>
      <c r="R1518" s="23" t="str">
        <f t="shared" si="531"/>
        <v/>
      </c>
      <c r="S1518" s="23">
        <f t="shared" si="532"/>
        <v>2927</v>
      </c>
      <c r="T1518" s="23" t="str">
        <f t="shared" si="533"/>
        <v/>
      </c>
      <c r="U1518" t="str">
        <f t="shared" si="534"/>
        <v/>
      </c>
      <c r="X1518" s="71"/>
      <c r="Z1518" s="44"/>
      <c r="AF1518" s="22"/>
      <c r="AH1518" s="8"/>
      <c r="AL1518" s="23"/>
      <c r="AO1518" s="356"/>
      <c r="AP1518" s="356"/>
      <c r="AQ1518" s="394"/>
      <c r="AR1518" s="394"/>
      <c r="AS1518" s="394"/>
    </row>
    <row r="1519" spans="1:45">
      <c r="A1519" t="str">
        <f t="shared" si="535"/>
        <v>CA_Orang_2020p~member, county central committee 72nd assembly district - dem (vote for 6)</v>
      </c>
      <c r="B1519" s="55" t="s">
        <v>3163</v>
      </c>
      <c r="D1519" s="55" t="s">
        <v>3402</v>
      </c>
      <c r="E1519" s="55" t="s">
        <v>3409</v>
      </c>
      <c r="F1519" t="s">
        <v>1294</v>
      </c>
      <c r="G1519" s="60">
        <v>17976</v>
      </c>
      <c r="H1519" s="26">
        <f t="shared" si="536"/>
        <v>0.13106435102147951</v>
      </c>
      <c r="J1519" s="23">
        <v>137154</v>
      </c>
      <c r="K1519">
        <v>222</v>
      </c>
      <c r="L1519">
        <v>222</v>
      </c>
      <c r="N1519">
        <v>0</v>
      </c>
      <c r="O1519">
        <f t="shared" si="528"/>
        <v>1</v>
      </c>
      <c r="P1519" s="57">
        <f t="shared" si="529"/>
        <v>6</v>
      </c>
      <c r="Q1519" s="267">
        <f t="shared" si="530"/>
        <v>24213.166666666668</v>
      </c>
      <c r="R1519" s="23">
        <f t="shared" si="531"/>
        <v>12406</v>
      </c>
      <c r="S1519" s="23">
        <f t="shared" si="532"/>
        <v>10784</v>
      </c>
      <c r="T1519" s="23">
        <f t="shared" si="533"/>
        <v>1622</v>
      </c>
      <c r="U1519" t="str">
        <f t="shared" si="534"/>
        <v>CA_Orang_2020p~member, county central committee 72nd assembly district - dem (vote for 6)</v>
      </c>
      <c r="X1519" s="71"/>
      <c r="Z1519" s="44"/>
      <c r="AF1519" s="22"/>
      <c r="AG1519" s="23"/>
      <c r="AH1519" s="8"/>
    </row>
    <row r="1520" spans="1:45">
      <c r="A1520" t="str">
        <f t="shared" si="535"/>
        <v>CA_Orang_2020p~member, county central committee 72nd assembly district - dem (vote for 6)</v>
      </c>
      <c r="B1520" s="55" t="s">
        <v>3163</v>
      </c>
      <c r="D1520" s="55" t="s">
        <v>3402</v>
      </c>
      <c r="E1520" s="55" t="s">
        <v>3404</v>
      </c>
      <c r="F1520" t="s">
        <v>1294</v>
      </c>
      <c r="G1520" s="60">
        <v>17311</v>
      </c>
      <c r="H1520" s="26">
        <f t="shared" si="536"/>
        <v>0.12621578663400265</v>
      </c>
      <c r="J1520" s="23">
        <v>137154</v>
      </c>
      <c r="K1520">
        <v>222</v>
      </c>
      <c r="L1520">
        <v>222</v>
      </c>
      <c r="N1520">
        <v>0</v>
      </c>
      <c r="O1520">
        <f t="shared" si="528"/>
        <v>2</v>
      </c>
      <c r="P1520" s="57">
        <f t="shared" si="529"/>
        <v>6</v>
      </c>
      <c r="Q1520" s="267">
        <f t="shared" si="530"/>
        <v>127303</v>
      </c>
      <c r="R1520" s="23">
        <f t="shared" si="531"/>
        <v>12406</v>
      </c>
      <c r="S1520" s="23">
        <f t="shared" si="532"/>
        <v>10784</v>
      </c>
      <c r="T1520" s="23" t="str">
        <f t="shared" si="533"/>
        <v/>
      </c>
      <c r="U1520" t="str">
        <f t="shared" si="534"/>
        <v/>
      </c>
      <c r="X1520" s="71"/>
      <c r="Z1520" s="44"/>
      <c r="AF1520" s="22"/>
      <c r="AG1520" s="89"/>
      <c r="AH1520" s="274"/>
      <c r="AI1520" s="279"/>
      <c r="AJ1520" s="280"/>
      <c r="AK1520" s="92"/>
      <c r="AL1520" s="23"/>
      <c r="AO1520" s="356"/>
      <c r="AP1520" s="356"/>
      <c r="AQ1520" s="394"/>
      <c r="AR1520" s="394"/>
      <c r="AS1520" s="394"/>
    </row>
    <row r="1521" spans="1:45">
      <c r="A1521" t="str">
        <f t="shared" si="535"/>
        <v>CA_Orang_2020p~member, county central committee 72nd assembly district - dem (vote for 6)</v>
      </c>
      <c r="B1521" s="55" t="s">
        <v>3163</v>
      </c>
      <c r="D1521" s="55" t="s">
        <v>3402</v>
      </c>
      <c r="E1521" s="55" t="s">
        <v>3410</v>
      </c>
      <c r="F1521" t="s">
        <v>1294</v>
      </c>
      <c r="G1521" s="60">
        <v>14364</v>
      </c>
      <c r="H1521" s="26">
        <f t="shared" si="536"/>
        <v>0.10472899076949997</v>
      </c>
      <c r="J1521" s="23">
        <v>137154</v>
      </c>
      <c r="K1521">
        <v>222</v>
      </c>
      <c r="L1521">
        <v>222</v>
      </c>
      <c r="N1521">
        <v>0</v>
      </c>
      <c r="O1521">
        <f t="shared" si="528"/>
        <v>3</v>
      </c>
      <c r="P1521" s="57">
        <f t="shared" si="529"/>
        <v>6</v>
      </c>
      <c r="Q1521" s="267">
        <f t="shared" si="530"/>
        <v>109992</v>
      </c>
      <c r="R1521" s="23">
        <f t="shared" si="531"/>
        <v>12406</v>
      </c>
      <c r="S1521" s="23">
        <f t="shared" si="532"/>
        <v>10784</v>
      </c>
      <c r="T1521" s="23" t="str">
        <f t="shared" si="533"/>
        <v/>
      </c>
      <c r="U1521" t="str">
        <f t="shared" si="534"/>
        <v/>
      </c>
      <c r="X1521" s="71"/>
      <c r="Z1521" s="44"/>
      <c r="AF1521" s="22"/>
    </row>
    <row r="1522" spans="1:45">
      <c r="A1522" t="str">
        <f t="shared" si="535"/>
        <v>CA_Orang_2020p~member, county central committee 72nd assembly district - dem (vote for 6)</v>
      </c>
      <c r="B1522" s="55" t="s">
        <v>3163</v>
      </c>
      <c r="D1522" s="55" t="s">
        <v>3402</v>
      </c>
      <c r="E1522" s="55" t="s">
        <v>3411</v>
      </c>
      <c r="F1522" t="s">
        <v>1294</v>
      </c>
      <c r="G1522" s="60">
        <v>13998</v>
      </c>
      <c r="H1522" s="26">
        <f t="shared" si="536"/>
        <v>0.10206045758782099</v>
      </c>
      <c r="J1522" s="23">
        <v>137154</v>
      </c>
      <c r="K1522">
        <v>222</v>
      </c>
      <c r="L1522">
        <v>222</v>
      </c>
      <c r="N1522">
        <v>0</v>
      </c>
      <c r="O1522">
        <f t="shared" si="528"/>
        <v>4</v>
      </c>
      <c r="P1522" s="57">
        <f t="shared" si="529"/>
        <v>6</v>
      </c>
      <c r="Q1522" s="267">
        <f t="shared" si="530"/>
        <v>95628</v>
      </c>
      <c r="R1522" s="23">
        <f t="shared" si="531"/>
        <v>12406</v>
      </c>
      <c r="S1522" s="23">
        <f t="shared" si="532"/>
        <v>10784</v>
      </c>
      <c r="T1522" s="23" t="str">
        <f t="shared" si="533"/>
        <v/>
      </c>
      <c r="U1522" t="str">
        <f t="shared" si="534"/>
        <v/>
      </c>
      <c r="X1522" s="71"/>
      <c r="Z1522" s="44"/>
      <c r="AF1522" s="22"/>
    </row>
    <row r="1523" spans="1:45">
      <c r="A1523" t="str">
        <f t="shared" si="535"/>
        <v>CA_Orang_2020p~member, county central committee 72nd assembly district - dem (vote for 6)</v>
      </c>
      <c r="B1523" s="55" t="s">
        <v>3163</v>
      </c>
      <c r="D1523" s="55" t="s">
        <v>3402</v>
      </c>
      <c r="E1523" s="55" t="s">
        <v>3407</v>
      </c>
      <c r="F1523" t="s">
        <v>1294</v>
      </c>
      <c r="G1523" s="60">
        <v>13089</v>
      </c>
      <c r="H1523" s="26">
        <f t="shared" si="536"/>
        <v>9.543287107922481E-2</v>
      </c>
      <c r="J1523" s="23">
        <v>137154</v>
      </c>
      <c r="K1523">
        <v>222</v>
      </c>
      <c r="L1523">
        <v>222</v>
      </c>
      <c r="N1523">
        <v>0</v>
      </c>
      <c r="O1523">
        <f t="shared" si="528"/>
        <v>5</v>
      </c>
      <c r="P1523" s="57">
        <f t="shared" si="529"/>
        <v>6</v>
      </c>
      <c r="Q1523" s="267">
        <f t="shared" si="530"/>
        <v>81630</v>
      </c>
      <c r="R1523" s="23">
        <f t="shared" si="531"/>
        <v>12406</v>
      </c>
      <c r="S1523" s="23">
        <f t="shared" si="532"/>
        <v>10784</v>
      </c>
      <c r="T1523" s="23" t="str">
        <f t="shared" si="533"/>
        <v/>
      </c>
      <c r="U1523" t="str">
        <f t="shared" si="534"/>
        <v/>
      </c>
      <c r="X1523" s="71"/>
      <c r="Z1523" s="44"/>
      <c r="AF1523" s="22"/>
    </row>
    <row r="1524" spans="1:45">
      <c r="A1524" t="str">
        <f t="shared" si="535"/>
        <v>CA_Orang_2020p~member, county central committee 72nd assembly district - dem (vote for 6)</v>
      </c>
      <c r="B1524" s="55" t="s">
        <v>3163</v>
      </c>
      <c r="D1524" s="55" t="s">
        <v>3402</v>
      </c>
      <c r="E1524" s="55" t="s">
        <v>3406</v>
      </c>
      <c r="F1524" t="s">
        <v>1294</v>
      </c>
      <c r="G1524" s="60">
        <v>12406</v>
      </c>
      <c r="H1524" s="26">
        <f t="shared" si="536"/>
        <v>9.0453067354944072E-2</v>
      </c>
      <c r="J1524" s="23">
        <v>137154</v>
      </c>
      <c r="K1524">
        <v>222</v>
      </c>
      <c r="L1524">
        <v>222</v>
      </c>
      <c r="N1524">
        <v>0</v>
      </c>
      <c r="O1524">
        <f t="shared" si="528"/>
        <v>6</v>
      </c>
      <c r="P1524" s="57">
        <f t="shared" si="529"/>
        <v>6</v>
      </c>
      <c r="Q1524" s="267">
        <f t="shared" si="530"/>
        <v>68541</v>
      </c>
      <c r="R1524" s="23">
        <f t="shared" si="531"/>
        <v>12406</v>
      </c>
      <c r="S1524" s="23">
        <f t="shared" si="532"/>
        <v>10784</v>
      </c>
      <c r="T1524" s="23" t="str">
        <f t="shared" si="533"/>
        <v/>
      </c>
      <c r="U1524" t="str">
        <f t="shared" si="534"/>
        <v/>
      </c>
      <c r="X1524" s="71"/>
      <c r="Z1524" s="44"/>
      <c r="AF1524" s="22"/>
    </row>
    <row r="1525" spans="1:45">
      <c r="A1525" t="str">
        <f t="shared" si="535"/>
        <v>CA_Orang_2020p~member, county central committee 72nd assembly district - dem (vote for 6)</v>
      </c>
      <c r="B1525" s="55" t="s">
        <v>3163</v>
      </c>
      <c r="D1525" s="55" t="s">
        <v>3402</v>
      </c>
      <c r="E1525" s="55" t="s">
        <v>3403</v>
      </c>
      <c r="F1525" t="s">
        <v>1294</v>
      </c>
      <c r="G1525" s="60">
        <v>10784</v>
      </c>
      <c r="H1525" s="26">
        <f t="shared" si="536"/>
        <v>7.8626944894060691E-2</v>
      </c>
      <c r="J1525" s="23">
        <v>137154</v>
      </c>
      <c r="K1525">
        <v>222</v>
      </c>
      <c r="L1525">
        <v>222</v>
      </c>
      <c r="N1525">
        <v>0</v>
      </c>
      <c r="O1525">
        <f t="shared" si="528"/>
        <v>7</v>
      </c>
      <c r="P1525" s="57">
        <f t="shared" si="529"/>
        <v>6</v>
      </c>
      <c r="Q1525" s="267">
        <f t="shared" si="530"/>
        <v>56135</v>
      </c>
      <c r="R1525" s="23" t="str">
        <f t="shared" si="531"/>
        <v/>
      </c>
      <c r="S1525" s="23">
        <f t="shared" si="532"/>
        <v>10784</v>
      </c>
      <c r="T1525" s="23" t="str">
        <f t="shared" si="533"/>
        <v/>
      </c>
      <c r="U1525" t="str">
        <f t="shared" si="534"/>
        <v/>
      </c>
      <c r="X1525" s="71"/>
      <c r="Z1525" s="44"/>
      <c r="AF1525" s="22"/>
      <c r="AL1525" s="23"/>
    </row>
    <row r="1526" spans="1:45">
      <c r="A1526" t="str">
        <f t="shared" si="535"/>
        <v>CA_Orang_2020p~member, county central committee 72nd assembly district - dem (vote for 6)</v>
      </c>
      <c r="B1526" s="55" t="s">
        <v>3163</v>
      </c>
      <c r="D1526" s="55" t="s">
        <v>3402</v>
      </c>
      <c r="E1526" s="55" t="s">
        <v>3414</v>
      </c>
      <c r="F1526" t="s">
        <v>1294</v>
      </c>
      <c r="G1526" s="60">
        <v>10067</v>
      </c>
      <c r="H1526" s="26">
        <f t="shared" si="536"/>
        <v>7.3399244644705958E-2</v>
      </c>
      <c r="J1526" s="23">
        <v>137154</v>
      </c>
      <c r="K1526">
        <v>222</v>
      </c>
      <c r="L1526">
        <v>222</v>
      </c>
      <c r="N1526">
        <v>0</v>
      </c>
      <c r="O1526">
        <f t="shared" si="528"/>
        <v>8</v>
      </c>
      <c r="P1526" s="57">
        <f t="shared" si="529"/>
        <v>6</v>
      </c>
      <c r="Q1526" s="267">
        <f t="shared" si="530"/>
        <v>45351</v>
      </c>
      <c r="R1526" s="23" t="str">
        <f t="shared" si="531"/>
        <v/>
      </c>
      <c r="S1526" s="23">
        <f t="shared" si="532"/>
        <v>10067</v>
      </c>
      <c r="T1526" s="23" t="str">
        <f t="shared" si="533"/>
        <v/>
      </c>
      <c r="U1526" t="str">
        <f t="shared" si="534"/>
        <v/>
      </c>
      <c r="X1526" s="71"/>
      <c r="Z1526" s="44"/>
      <c r="AF1526" s="22"/>
    </row>
    <row r="1527" spans="1:45">
      <c r="A1527" t="str">
        <f t="shared" si="535"/>
        <v>CA_Orang_2020p~member, county central committee 72nd assembly district - dem (vote for 6)</v>
      </c>
      <c r="B1527" s="55" t="s">
        <v>3163</v>
      </c>
      <c r="D1527" s="55" t="s">
        <v>3402</v>
      </c>
      <c r="E1527" s="55" t="s">
        <v>3408</v>
      </c>
      <c r="F1527" t="s">
        <v>1294</v>
      </c>
      <c r="G1527" s="60">
        <v>9804</v>
      </c>
      <c r="H1527" s="26">
        <f t="shared" si="536"/>
        <v>7.1481692112515857E-2</v>
      </c>
      <c r="J1527" s="23">
        <v>137154</v>
      </c>
      <c r="K1527">
        <v>222</v>
      </c>
      <c r="L1527">
        <v>222</v>
      </c>
      <c r="N1527">
        <v>0</v>
      </c>
      <c r="O1527">
        <f t="shared" si="528"/>
        <v>9</v>
      </c>
      <c r="P1527" s="57">
        <f t="shared" si="529"/>
        <v>6</v>
      </c>
      <c r="Q1527" s="267">
        <f t="shared" si="530"/>
        <v>35284</v>
      </c>
      <c r="R1527" s="23" t="str">
        <f t="shared" si="531"/>
        <v/>
      </c>
      <c r="S1527" s="23">
        <f t="shared" si="532"/>
        <v>9804</v>
      </c>
      <c r="T1527" s="23" t="str">
        <f t="shared" si="533"/>
        <v/>
      </c>
      <c r="U1527" t="str">
        <f t="shared" si="534"/>
        <v/>
      </c>
      <c r="X1527" s="71"/>
      <c r="Z1527" s="44"/>
      <c r="AF1527" s="22"/>
      <c r="AH1527" s="8"/>
      <c r="AL1527" s="23"/>
    </row>
    <row r="1528" spans="1:45">
      <c r="A1528" t="str">
        <f t="shared" si="535"/>
        <v>CA_Orang_2020p~member, county central committee 72nd assembly district - dem (vote for 6)</v>
      </c>
      <c r="B1528" s="55" t="s">
        <v>3163</v>
      </c>
      <c r="D1528" s="55" t="s">
        <v>3402</v>
      </c>
      <c r="E1528" s="55" t="s">
        <v>3405</v>
      </c>
      <c r="F1528" t="s">
        <v>1294</v>
      </c>
      <c r="G1528" s="60">
        <v>9465</v>
      </c>
      <c r="H1528" s="26">
        <f t="shared" si="536"/>
        <v>6.9010017936042695E-2</v>
      </c>
      <c r="J1528" s="23">
        <v>137154</v>
      </c>
      <c r="K1528">
        <v>222</v>
      </c>
      <c r="L1528">
        <v>222</v>
      </c>
      <c r="N1528">
        <v>0</v>
      </c>
      <c r="O1528">
        <f t="shared" si="528"/>
        <v>10</v>
      </c>
      <c r="P1528" s="57">
        <f t="shared" si="529"/>
        <v>6</v>
      </c>
      <c r="Q1528" s="267">
        <f t="shared" si="530"/>
        <v>25480</v>
      </c>
      <c r="R1528" s="23" t="str">
        <f t="shared" si="531"/>
        <v/>
      </c>
      <c r="S1528" s="23">
        <f t="shared" si="532"/>
        <v>9465</v>
      </c>
      <c r="T1528" s="23" t="str">
        <f t="shared" si="533"/>
        <v/>
      </c>
      <c r="U1528" t="str">
        <f t="shared" si="534"/>
        <v/>
      </c>
      <c r="X1528" s="71"/>
      <c r="Z1528" s="44"/>
      <c r="AF1528" s="22"/>
      <c r="AO1528" s="356"/>
      <c r="AP1528" s="356"/>
      <c r="AQ1528" s="394"/>
      <c r="AR1528" s="394"/>
      <c r="AS1528" s="394"/>
    </row>
    <row r="1529" spans="1:45">
      <c r="A1529" t="str">
        <f t="shared" si="535"/>
        <v>CA_Orang_2020p~member, county central committee 72nd assembly district - dem (vote for 6)</v>
      </c>
      <c r="B1529" s="55" t="s">
        <v>3163</v>
      </c>
      <c r="D1529" s="55" t="s">
        <v>3402</v>
      </c>
      <c r="E1529" s="55" t="s">
        <v>3412</v>
      </c>
      <c r="F1529" t="s">
        <v>1294</v>
      </c>
      <c r="G1529" s="60">
        <v>8058</v>
      </c>
      <c r="H1529" s="26">
        <f t="shared" si="536"/>
        <v>5.8751476442539044E-2</v>
      </c>
      <c r="J1529" s="23">
        <v>137154</v>
      </c>
      <c r="K1529">
        <v>222</v>
      </c>
      <c r="L1529">
        <v>222</v>
      </c>
      <c r="N1529">
        <v>0</v>
      </c>
      <c r="O1529">
        <f t="shared" si="528"/>
        <v>11</v>
      </c>
      <c r="P1529" s="57">
        <f t="shared" si="529"/>
        <v>6</v>
      </c>
      <c r="Q1529" s="267">
        <f t="shared" si="530"/>
        <v>16015</v>
      </c>
      <c r="R1529" s="23" t="str">
        <f t="shared" si="531"/>
        <v/>
      </c>
      <c r="S1529" s="23">
        <f t="shared" si="532"/>
        <v>8058</v>
      </c>
      <c r="T1529" s="23" t="str">
        <f t="shared" si="533"/>
        <v/>
      </c>
      <c r="U1529" t="str">
        <f t="shared" si="534"/>
        <v/>
      </c>
      <c r="X1529" s="71"/>
      <c r="Z1529" s="44"/>
      <c r="AF1529" s="22"/>
      <c r="AO1529" s="356"/>
      <c r="AP1529" s="356"/>
      <c r="AQ1529" s="394"/>
      <c r="AR1529" s="394"/>
      <c r="AS1529" s="394"/>
    </row>
    <row r="1530" spans="1:45">
      <c r="A1530" t="str">
        <f t="shared" si="535"/>
        <v>CA_Orang_2020p~member, county central committee 72nd assembly district - dem (vote for 6)</v>
      </c>
      <c r="B1530" s="55" t="s">
        <v>3163</v>
      </c>
      <c r="D1530" s="55" t="s">
        <v>3402</v>
      </c>
      <c r="E1530" s="55" t="s">
        <v>3413</v>
      </c>
      <c r="F1530" t="s">
        <v>1294</v>
      </c>
      <c r="G1530" s="60">
        <v>7957</v>
      </c>
      <c r="H1530" s="26">
        <f t="shared" si="536"/>
        <v>5.8015077941583913E-2</v>
      </c>
      <c r="J1530" s="23">
        <v>137154</v>
      </c>
      <c r="K1530">
        <v>222</v>
      </c>
      <c r="L1530">
        <v>222</v>
      </c>
      <c r="N1530">
        <v>0</v>
      </c>
      <c r="O1530">
        <f t="shared" si="528"/>
        <v>12</v>
      </c>
      <c r="P1530" s="57">
        <f t="shared" si="529"/>
        <v>6</v>
      </c>
      <c r="Q1530" s="267">
        <f t="shared" si="530"/>
        <v>7957</v>
      </c>
      <c r="R1530" s="23" t="str">
        <f t="shared" si="531"/>
        <v/>
      </c>
      <c r="S1530" s="23">
        <f t="shared" si="532"/>
        <v>7957</v>
      </c>
      <c r="T1530" s="23" t="str">
        <f t="shared" si="533"/>
        <v/>
      </c>
      <c r="U1530" t="str">
        <f t="shared" si="534"/>
        <v/>
      </c>
      <c r="X1530" s="71"/>
      <c r="Z1530" s="44"/>
      <c r="AF1530" s="22"/>
    </row>
    <row r="1531" spans="1:45">
      <c r="A1531" t="str">
        <f t="shared" si="535"/>
        <v>CA_Orang_2020p~member, county central committee 72nd assembly district - rep (vote for 6)</v>
      </c>
      <c r="B1531" s="55" t="s">
        <v>3163</v>
      </c>
      <c r="D1531" s="55" t="s">
        <v>3490</v>
      </c>
      <c r="E1531" s="55" t="s">
        <v>3326</v>
      </c>
      <c r="F1531" t="s">
        <v>1296</v>
      </c>
      <c r="G1531" s="60">
        <v>23833</v>
      </c>
      <c r="H1531" s="26">
        <f t="shared" si="536"/>
        <v>0.15261617668717942</v>
      </c>
      <c r="J1531" s="23">
        <v>156163</v>
      </c>
      <c r="K1531">
        <v>222</v>
      </c>
      <c r="L1531">
        <v>222</v>
      </c>
      <c r="N1531">
        <v>0</v>
      </c>
      <c r="O1531">
        <f t="shared" si="528"/>
        <v>1</v>
      </c>
      <c r="P1531" s="57">
        <f t="shared" si="529"/>
        <v>6</v>
      </c>
      <c r="Q1531" s="267">
        <f t="shared" si="530"/>
        <v>27222.5</v>
      </c>
      <c r="R1531" s="23">
        <f t="shared" si="531"/>
        <v>13952</v>
      </c>
      <c r="S1531" s="23">
        <f t="shared" si="532"/>
        <v>13548</v>
      </c>
      <c r="T1531" s="23">
        <f t="shared" si="533"/>
        <v>404</v>
      </c>
      <c r="U1531" t="str">
        <f t="shared" si="534"/>
        <v>CA_Orang_2020p~member, county central committee 72nd assembly district - rep (vote for 6)</v>
      </c>
      <c r="X1531" s="71"/>
      <c r="Z1531" s="44"/>
      <c r="AF1531" s="22"/>
    </row>
    <row r="1532" spans="1:45">
      <c r="A1532" t="str">
        <f t="shared" si="535"/>
        <v>CA_Orang_2020p~member, county central committee 72nd assembly district - rep (vote for 6)</v>
      </c>
      <c r="B1532" s="55" t="s">
        <v>3163</v>
      </c>
      <c r="D1532" s="55" t="s">
        <v>3490</v>
      </c>
      <c r="E1532" s="55" t="s">
        <v>3500</v>
      </c>
      <c r="F1532" t="s">
        <v>1296</v>
      </c>
      <c r="G1532" s="60">
        <v>17456</v>
      </c>
      <c r="H1532" s="26">
        <f t="shared" si="536"/>
        <v>0.11178063946005136</v>
      </c>
      <c r="J1532" s="23">
        <v>156163</v>
      </c>
      <c r="K1532">
        <v>222</v>
      </c>
      <c r="L1532">
        <v>222</v>
      </c>
      <c r="N1532">
        <v>0</v>
      </c>
      <c r="O1532">
        <f t="shared" si="528"/>
        <v>2</v>
      </c>
      <c r="P1532" s="57">
        <f t="shared" si="529"/>
        <v>6</v>
      </c>
      <c r="Q1532" s="267">
        <f t="shared" si="530"/>
        <v>139502</v>
      </c>
      <c r="R1532" s="23">
        <f t="shared" si="531"/>
        <v>13952</v>
      </c>
      <c r="S1532" s="23">
        <f t="shared" si="532"/>
        <v>13548</v>
      </c>
      <c r="T1532" s="23" t="str">
        <f t="shared" si="533"/>
        <v/>
      </c>
      <c r="U1532" t="str">
        <f t="shared" si="534"/>
        <v/>
      </c>
      <c r="X1532" s="71"/>
      <c r="Z1532" s="44"/>
      <c r="AF1532" s="22"/>
    </row>
    <row r="1533" spans="1:45">
      <c r="A1533" t="str">
        <f t="shared" si="535"/>
        <v>CA_Orang_2020p~member, county central committee 72nd assembly district - rep (vote for 6)</v>
      </c>
      <c r="B1533" s="55" t="s">
        <v>3163</v>
      </c>
      <c r="D1533" s="55" t="s">
        <v>3490</v>
      </c>
      <c r="E1533" s="55" t="s">
        <v>3501</v>
      </c>
      <c r="F1533" t="s">
        <v>1296</v>
      </c>
      <c r="G1533" s="60">
        <v>16899</v>
      </c>
      <c r="H1533" s="26">
        <f t="shared" si="536"/>
        <v>0.10821385347361411</v>
      </c>
      <c r="J1533" s="23">
        <v>156163</v>
      </c>
      <c r="K1533">
        <v>222</v>
      </c>
      <c r="L1533">
        <v>222</v>
      </c>
      <c r="N1533">
        <v>0</v>
      </c>
      <c r="O1533">
        <f t="shared" si="528"/>
        <v>3</v>
      </c>
      <c r="P1533" s="57">
        <f t="shared" si="529"/>
        <v>6</v>
      </c>
      <c r="Q1533" s="267">
        <f t="shared" si="530"/>
        <v>122046</v>
      </c>
      <c r="R1533" s="23">
        <f t="shared" si="531"/>
        <v>13952</v>
      </c>
      <c r="S1533" s="23">
        <f t="shared" si="532"/>
        <v>13548</v>
      </c>
      <c r="T1533" s="23" t="str">
        <f t="shared" si="533"/>
        <v/>
      </c>
      <c r="U1533" t="str">
        <f t="shared" si="534"/>
        <v/>
      </c>
      <c r="X1533" s="71"/>
      <c r="Z1533" s="44"/>
      <c r="AF1533" s="22"/>
    </row>
    <row r="1534" spans="1:45">
      <c r="A1534" t="str">
        <f t="shared" si="535"/>
        <v>CA_Orang_2020p~member, county central committee 72nd assembly district - rep (vote for 6)</v>
      </c>
      <c r="B1534" s="55" t="s">
        <v>3163</v>
      </c>
      <c r="D1534" s="55" t="s">
        <v>3490</v>
      </c>
      <c r="E1534" s="55" t="s">
        <v>3496</v>
      </c>
      <c r="F1534" t="s">
        <v>1296</v>
      </c>
      <c r="G1534" s="60">
        <v>16660</v>
      </c>
      <c r="H1534" s="26">
        <f t="shared" si="536"/>
        <v>0.10668340131785378</v>
      </c>
      <c r="J1534" s="23">
        <v>156163</v>
      </c>
      <c r="K1534">
        <v>222</v>
      </c>
      <c r="L1534">
        <v>222</v>
      </c>
      <c r="N1534">
        <v>0</v>
      </c>
      <c r="O1534">
        <f t="shared" si="528"/>
        <v>4</v>
      </c>
      <c r="P1534" s="57">
        <f t="shared" si="529"/>
        <v>6</v>
      </c>
      <c r="Q1534" s="267">
        <f t="shared" si="530"/>
        <v>105147</v>
      </c>
      <c r="R1534" s="23">
        <f t="shared" si="531"/>
        <v>13952</v>
      </c>
      <c r="S1534" s="23">
        <f t="shared" si="532"/>
        <v>13548</v>
      </c>
      <c r="T1534" s="23" t="str">
        <f t="shared" si="533"/>
        <v/>
      </c>
      <c r="U1534" t="str">
        <f t="shared" si="534"/>
        <v/>
      </c>
      <c r="X1534" s="71"/>
      <c r="Z1534" s="44"/>
      <c r="AF1534" s="22"/>
    </row>
    <row r="1535" spans="1:45">
      <c r="A1535" t="str">
        <f t="shared" si="535"/>
        <v>CA_Orang_2020p~member, county central committee 72nd assembly district - rep (vote for 6)</v>
      </c>
      <c r="B1535" s="55" t="s">
        <v>3163</v>
      </c>
      <c r="D1535" s="55" t="s">
        <v>3490</v>
      </c>
      <c r="E1535" s="55" t="s">
        <v>3502</v>
      </c>
      <c r="F1535" t="s">
        <v>1296</v>
      </c>
      <c r="G1535" s="60">
        <v>15498</v>
      </c>
      <c r="H1535" s="26">
        <f t="shared" si="536"/>
        <v>9.9242458200726164E-2</v>
      </c>
      <c r="J1535" s="23">
        <v>156163</v>
      </c>
      <c r="K1535">
        <v>222</v>
      </c>
      <c r="L1535">
        <v>222</v>
      </c>
      <c r="N1535">
        <v>0</v>
      </c>
      <c r="O1535">
        <f t="shared" si="528"/>
        <v>5</v>
      </c>
      <c r="P1535" s="57">
        <f t="shared" si="529"/>
        <v>6</v>
      </c>
      <c r="Q1535" s="267">
        <f t="shared" si="530"/>
        <v>88487</v>
      </c>
      <c r="R1535" s="23">
        <f t="shared" si="531"/>
        <v>13952</v>
      </c>
      <c r="S1535" s="23">
        <f t="shared" si="532"/>
        <v>13548</v>
      </c>
      <c r="T1535" s="23" t="str">
        <f t="shared" si="533"/>
        <v/>
      </c>
      <c r="U1535" t="str">
        <f t="shared" si="534"/>
        <v/>
      </c>
      <c r="X1535" s="71"/>
      <c r="Z1535" s="44"/>
      <c r="AF1535" s="22"/>
    </row>
    <row r="1536" spans="1:45">
      <c r="A1536" t="str">
        <f t="shared" si="535"/>
        <v>CA_Orang_2020p~member, county central committee 72nd assembly district - rep (vote for 6)</v>
      </c>
      <c r="B1536" s="55" t="s">
        <v>3163</v>
      </c>
      <c r="D1536" s="55" t="s">
        <v>3490</v>
      </c>
      <c r="E1536" s="55" t="s">
        <v>3493</v>
      </c>
      <c r="F1536" t="s">
        <v>1296</v>
      </c>
      <c r="G1536" s="60">
        <v>13952</v>
      </c>
      <c r="H1536" s="26">
        <f t="shared" si="536"/>
        <v>8.934254592957358E-2</v>
      </c>
      <c r="J1536" s="23">
        <v>156163</v>
      </c>
      <c r="K1536">
        <v>222</v>
      </c>
      <c r="L1536">
        <v>222</v>
      </c>
      <c r="N1536">
        <v>0</v>
      </c>
      <c r="O1536">
        <f t="shared" si="528"/>
        <v>6</v>
      </c>
      <c r="P1536" s="57">
        <f t="shared" si="529"/>
        <v>6</v>
      </c>
      <c r="Q1536" s="267">
        <f t="shared" si="530"/>
        <v>72989</v>
      </c>
      <c r="R1536" s="23">
        <f t="shared" si="531"/>
        <v>13952</v>
      </c>
      <c r="S1536" s="23">
        <f t="shared" si="532"/>
        <v>13548</v>
      </c>
      <c r="T1536" s="23" t="str">
        <f t="shared" si="533"/>
        <v/>
      </c>
      <c r="U1536" t="str">
        <f t="shared" si="534"/>
        <v/>
      </c>
      <c r="X1536" s="71"/>
      <c r="Z1536" s="44"/>
      <c r="AF1536" s="22"/>
    </row>
    <row r="1537" spans="1:45">
      <c r="A1537" t="str">
        <f t="shared" si="535"/>
        <v>CA_Orang_2020p~member, county central committee 72nd assembly district - rep (vote for 6)</v>
      </c>
      <c r="B1537" s="55" t="s">
        <v>3163</v>
      </c>
      <c r="D1537" s="55" t="s">
        <v>3490</v>
      </c>
      <c r="E1537" s="55" t="s">
        <v>3499</v>
      </c>
      <c r="F1537" t="s">
        <v>1296</v>
      </c>
      <c r="G1537" s="60">
        <v>13548</v>
      </c>
      <c r="H1537" s="26">
        <f t="shared" si="536"/>
        <v>8.6755505465443153E-2</v>
      </c>
      <c r="J1537" s="23">
        <v>156163</v>
      </c>
      <c r="K1537">
        <v>222</v>
      </c>
      <c r="L1537">
        <v>222</v>
      </c>
      <c r="N1537">
        <v>0</v>
      </c>
      <c r="O1537">
        <f t="shared" si="528"/>
        <v>7</v>
      </c>
      <c r="P1537" s="57">
        <f t="shared" si="529"/>
        <v>6</v>
      </c>
      <c r="Q1537" s="267">
        <f t="shared" si="530"/>
        <v>59037</v>
      </c>
      <c r="R1537" s="23" t="str">
        <f t="shared" si="531"/>
        <v/>
      </c>
      <c r="S1537" s="23">
        <f t="shared" si="532"/>
        <v>13548</v>
      </c>
      <c r="T1537" s="23" t="str">
        <f t="shared" si="533"/>
        <v/>
      </c>
      <c r="U1537" t="str">
        <f t="shared" si="534"/>
        <v/>
      </c>
      <c r="X1537" s="71"/>
      <c r="Z1537" s="44"/>
      <c r="AF1537" s="22"/>
    </row>
    <row r="1538" spans="1:45">
      <c r="A1538" t="str">
        <f t="shared" si="535"/>
        <v>CA_Orang_2020p~member, county central committee 72nd assembly district - rep (vote for 6)</v>
      </c>
      <c r="B1538" s="55" t="s">
        <v>3163</v>
      </c>
      <c r="D1538" s="55" t="s">
        <v>3490</v>
      </c>
      <c r="E1538" s="55" t="s">
        <v>3494</v>
      </c>
      <c r="F1538" t="s">
        <v>1296</v>
      </c>
      <c r="G1538" s="60">
        <v>10178</v>
      </c>
      <c r="H1538" s="26">
        <f t="shared" si="536"/>
        <v>6.5175489712672022E-2</v>
      </c>
      <c r="J1538" s="23">
        <v>156163</v>
      </c>
      <c r="K1538">
        <v>222</v>
      </c>
      <c r="L1538">
        <v>222</v>
      </c>
      <c r="N1538">
        <v>0</v>
      </c>
      <c r="O1538">
        <f t="shared" ref="O1538:O1601" si="537">IF(OR(LOWER(LEFT(E1538,8))="write-in",LOWER(LEFT(E1538,8))="not qual"),IF(A1538=A1537,-ABS(O1537),0),IF(A1538=A1537,ABS(O1537)+1,1))</f>
        <v>8</v>
      </c>
      <c r="P1538" s="57">
        <f t="shared" ref="P1538:P1601" si="538">1*LEFT(RIGHT(A1538,2),1)</f>
        <v>6</v>
      </c>
      <c r="Q1538" s="267">
        <f t="shared" ref="Q1538:Q1601" si="539">IF(A1538&lt;&gt;A1539,G1538,IF(A1538=A1537,G1538+Q1539,MAX(G1538,(G1538+Q1539)/P1538)))</f>
        <v>45489</v>
      </c>
      <c r="R1538" s="23" t="str">
        <f t="shared" ref="R1538:R1601" si="540">IF(O1538&gt;P1538,"",IF(O1538=P1538,G1538,IF(A1538=A1539,R1539,IF(O1538&lt;=0,1,G1538))))</f>
        <v/>
      </c>
      <c r="S1538" s="23">
        <f t="shared" ref="S1538:S1601" si="541">IF(AND(O1538&gt;P1538,LOWER(LEFT(E1538,8))&lt;&gt;"write-in",LOWER(LEFT(E1538,8))&lt;&gt;"not qual"),G1538,IF(A1538=A1539,S1539,0))</f>
        <v>10178</v>
      </c>
      <c r="T1538" s="23" t="str">
        <f t="shared" ref="T1538:T1601" si="542">IF(OR(A1538=A1537,S1538=0),"",R1538-ABS(S1538))</f>
        <v/>
      </c>
      <c r="U1538" t="str">
        <f t="shared" ref="U1538:U1601" si="543">IF(A1538=A1537,"",A1538)</f>
        <v/>
      </c>
      <c r="X1538" s="71"/>
      <c r="Z1538" s="44"/>
      <c r="AF1538" s="22"/>
    </row>
    <row r="1539" spans="1:45">
      <c r="A1539" t="str">
        <f t="shared" si="535"/>
        <v>CA_Orang_2020p~member, county central committee 72nd assembly district - rep (vote for 6)</v>
      </c>
      <c r="B1539" s="55" t="s">
        <v>3163</v>
      </c>
      <c r="D1539" s="55" t="s">
        <v>3490</v>
      </c>
      <c r="E1539" s="55" t="s">
        <v>3491</v>
      </c>
      <c r="F1539" t="s">
        <v>1296</v>
      </c>
      <c r="G1539" s="60">
        <v>8425</v>
      </c>
      <c r="H1539" s="26">
        <f t="shared" si="536"/>
        <v>5.3950039381927856E-2</v>
      </c>
      <c r="J1539" s="23">
        <v>156163</v>
      </c>
      <c r="K1539">
        <v>222</v>
      </c>
      <c r="L1539">
        <v>222</v>
      </c>
      <c r="N1539">
        <v>0</v>
      </c>
      <c r="O1539">
        <f t="shared" si="537"/>
        <v>9</v>
      </c>
      <c r="P1539" s="57">
        <f t="shared" si="538"/>
        <v>6</v>
      </c>
      <c r="Q1539" s="267">
        <f t="shared" si="539"/>
        <v>35311</v>
      </c>
      <c r="R1539" s="23" t="str">
        <f t="shared" si="540"/>
        <v/>
      </c>
      <c r="S1539" s="23">
        <f t="shared" si="541"/>
        <v>8425</v>
      </c>
      <c r="T1539" s="23" t="str">
        <f t="shared" si="542"/>
        <v/>
      </c>
      <c r="U1539" t="str">
        <f t="shared" si="543"/>
        <v/>
      </c>
      <c r="X1539" s="71"/>
      <c r="Z1539" s="44"/>
      <c r="AF1539" s="22"/>
    </row>
    <row r="1540" spans="1:45">
      <c r="A1540" t="str">
        <f t="shared" si="535"/>
        <v>CA_Orang_2020p~member, county central committee 72nd assembly district - rep (vote for 6)</v>
      </c>
      <c r="B1540" s="55" t="s">
        <v>3163</v>
      </c>
      <c r="D1540" s="55" t="s">
        <v>3490</v>
      </c>
      <c r="E1540" s="55" t="s">
        <v>3495</v>
      </c>
      <c r="F1540" t="s">
        <v>1296</v>
      </c>
      <c r="G1540" s="60">
        <v>7640</v>
      </c>
      <c r="H1540" s="26">
        <f t="shared" si="536"/>
        <v>4.8923240460288286E-2</v>
      </c>
      <c r="J1540" s="23">
        <v>156163</v>
      </c>
      <c r="K1540">
        <v>222</v>
      </c>
      <c r="L1540">
        <v>222</v>
      </c>
      <c r="N1540">
        <v>0</v>
      </c>
      <c r="O1540">
        <f t="shared" si="537"/>
        <v>10</v>
      </c>
      <c r="P1540" s="57">
        <f t="shared" si="538"/>
        <v>6</v>
      </c>
      <c r="Q1540" s="267">
        <f t="shared" si="539"/>
        <v>26886</v>
      </c>
      <c r="R1540" s="23" t="str">
        <f t="shared" si="540"/>
        <v/>
      </c>
      <c r="S1540" s="23">
        <f t="shared" si="541"/>
        <v>7640</v>
      </c>
      <c r="T1540" s="23" t="str">
        <f t="shared" si="542"/>
        <v/>
      </c>
      <c r="U1540" t="str">
        <f t="shared" si="543"/>
        <v/>
      </c>
      <c r="X1540" s="71"/>
      <c r="Z1540" s="44"/>
      <c r="AF1540" s="22"/>
      <c r="AO1540" s="356"/>
      <c r="AP1540" s="356"/>
      <c r="AQ1540" s="394"/>
      <c r="AR1540" s="394"/>
      <c r="AS1540" s="394"/>
    </row>
    <row r="1541" spans="1:45">
      <c r="A1541" t="str">
        <f t="shared" si="535"/>
        <v>CA_Orang_2020p~member, county central committee 72nd assembly district - rep (vote for 6)</v>
      </c>
      <c r="B1541" s="55" t="s">
        <v>3163</v>
      </c>
      <c r="D1541" s="55" t="s">
        <v>3490</v>
      </c>
      <c r="E1541" s="55" t="s">
        <v>3492</v>
      </c>
      <c r="F1541" t="s">
        <v>1296</v>
      </c>
      <c r="G1541" s="60">
        <v>6683</v>
      </c>
      <c r="H1541" s="26">
        <f t="shared" si="536"/>
        <v>4.2795028271741704E-2</v>
      </c>
      <c r="J1541" s="23">
        <v>156163</v>
      </c>
      <c r="K1541">
        <v>222</v>
      </c>
      <c r="L1541">
        <v>222</v>
      </c>
      <c r="N1541">
        <v>0</v>
      </c>
      <c r="O1541">
        <f t="shared" si="537"/>
        <v>11</v>
      </c>
      <c r="P1541" s="57">
        <f t="shared" si="538"/>
        <v>6</v>
      </c>
      <c r="Q1541" s="267">
        <f t="shared" si="539"/>
        <v>19246</v>
      </c>
      <c r="R1541" s="23" t="str">
        <f t="shared" si="540"/>
        <v/>
      </c>
      <c r="S1541" s="23">
        <f t="shared" si="541"/>
        <v>6683</v>
      </c>
      <c r="T1541" s="23" t="str">
        <f t="shared" si="542"/>
        <v/>
      </c>
      <c r="U1541" t="str">
        <f t="shared" si="543"/>
        <v/>
      </c>
      <c r="X1541" s="71"/>
      <c r="Z1541" s="44"/>
      <c r="AF1541" s="22"/>
    </row>
    <row r="1542" spans="1:45">
      <c r="A1542" t="str">
        <f t="shared" si="535"/>
        <v>CA_Orang_2020p~member, county central committee 72nd assembly district - rep (vote for 6)</v>
      </c>
      <c r="B1542" s="55" t="s">
        <v>3163</v>
      </c>
      <c r="D1542" s="55" t="s">
        <v>3490</v>
      </c>
      <c r="E1542" s="55" t="s">
        <v>3498</v>
      </c>
      <c r="F1542" t="s">
        <v>1296</v>
      </c>
      <c r="G1542" s="60">
        <v>6401</v>
      </c>
      <c r="H1542" s="26">
        <f t="shared" si="536"/>
        <v>4.0989222799254627E-2</v>
      </c>
      <c r="J1542" s="23">
        <v>156163</v>
      </c>
      <c r="K1542">
        <v>222</v>
      </c>
      <c r="L1542">
        <v>222</v>
      </c>
      <c r="N1542">
        <v>0</v>
      </c>
      <c r="O1542">
        <f t="shared" si="537"/>
        <v>12</v>
      </c>
      <c r="P1542" s="57">
        <f t="shared" si="538"/>
        <v>6</v>
      </c>
      <c r="Q1542" s="267">
        <f t="shared" si="539"/>
        <v>12563</v>
      </c>
      <c r="R1542" s="23" t="str">
        <f t="shared" si="540"/>
        <v/>
      </c>
      <c r="S1542" s="23">
        <f t="shared" si="541"/>
        <v>6401</v>
      </c>
      <c r="T1542" s="23" t="str">
        <f t="shared" si="542"/>
        <v/>
      </c>
      <c r="U1542" t="str">
        <f t="shared" si="543"/>
        <v/>
      </c>
      <c r="X1542" s="71"/>
      <c r="Z1542" s="44"/>
      <c r="AF1542" s="22"/>
    </row>
    <row r="1543" spans="1:45">
      <c r="A1543" t="str">
        <f t="shared" si="535"/>
        <v>CA_Orang_2020p~member, county central committee 72nd assembly district - rep (vote for 6)</v>
      </c>
      <c r="B1543" s="55" t="s">
        <v>3163</v>
      </c>
      <c r="D1543" s="55" t="s">
        <v>3490</v>
      </c>
      <c r="E1543" s="55" t="s">
        <v>3497</v>
      </c>
      <c r="F1543" t="s">
        <v>1296</v>
      </c>
      <c r="G1543" s="60">
        <v>6162</v>
      </c>
      <c r="H1543" s="26">
        <f t="shared" si="536"/>
        <v>3.9458770643494297E-2</v>
      </c>
      <c r="J1543" s="23">
        <v>156163</v>
      </c>
      <c r="K1543">
        <v>222</v>
      </c>
      <c r="L1543">
        <v>222</v>
      </c>
      <c r="N1543">
        <v>0</v>
      </c>
      <c r="O1543">
        <f t="shared" si="537"/>
        <v>13</v>
      </c>
      <c r="P1543" s="57">
        <f t="shared" si="538"/>
        <v>6</v>
      </c>
      <c r="Q1543" s="267">
        <f t="shared" si="539"/>
        <v>6162</v>
      </c>
      <c r="R1543" s="23" t="str">
        <f t="shared" si="540"/>
        <v/>
      </c>
      <c r="S1543" s="23">
        <f t="shared" si="541"/>
        <v>6162</v>
      </c>
      <c r="T1543" s="23" t="str">
        <f t="shared" si="542"/>
        <v/>
      </c>
      <c r="U1543" t="str">
        <f t="shared" si="543"/>
        <v/>
      </c>
      <c r="X1543" s="71"/>
      <c r="Z1543" s="44"/>
      <c r="AF1543" s="22"/>
      <c r="AO1543" s="356"/>
      <c r="AP1543" s="356"/>
      <c r="AQ1543" s="394"/>
      <c r="AR1543" s="394"/>
      <c r="AS1543" s="394"/>
    </row>
    <row r="1544" spans="1:45">
      <c r="A1544" t="str">
        <f t="shared" si="535"/>
        <v>CA_Orang_2020p~member, county central committee 73rd assembly district - dem (vote for 6)</v>
      </c>
      <c r="B1544" s="55" t="s">
        <v>3163</v>
      </c>
      <c r="D1544" s="55" t="s">
        <v>3415</v>
      </c>
      <c r="E1544" s="55" t="s">
        <v>3418</v>
      </c>
      <c r="F1544" t="s">
        <v>1294</v>
      </c>
      <c r="G1544" s="60">
        <v>21477</v>
      </c>
      <c r="H1544" s="26">
        <f t="shared" si="536"/>
        <v>0.14345830911969221</v>
      </c>
      <c r="J1544" s="23">
        <v>149709</v>
      </c>
      <c r="K1544">
        <v>275</v>
      </c>
      <c r="L1544">
        <v>275</v>
      </c>
      <c r="N1544">
        <v>0</v>
      </c>
      <c r="O1544">
        <f t="shared" si="537"/>
        <v>1</v>
      </c>
      <c r="P1544" s="57">
        <f t="shared" si="538"/>
        <v>6</v>
      </c>
      <c r="Q1544" s="267">
        <f t="shared" si="539"/>
        <v>26152.833333333332</v>
      </c>
      <c r="R1544" s="23">
        <f t="shared" si="540"/>
        <v>15001</v>
      </c>
      <c r="S1544" s="23">
        <f t="shared" si="541"/>
        <v>14322</v>
      </c>
      <c r="T1544" s="23">
        <f t="shared" si="542"/>
        <v>679</v>
      </c>
      <c r="U1544" t="str">
        <f t="shared" si="543"/>
        <v>CA_Orang_2020p~member, county central committee 73rd assembly district - dem (vote for 6)</v>
      </c>
      <c r="X1544" s="71"/>
      <c r="Z1544" s="44"/>
      <c r="AF1544" s="22"/>
    </row>
    <row r="1545" spans="1:45">
      <c r="A1545" t="str">
        <f t="shared" si="535"/>
        <v>CA_Orang_2020p~member, county central committee 73rd assembly district - dem (vote for 6)</v>
      </c>
      <c r="B1545" s="55" t="s">
        <v>3163</v>
      </c>
      <c r="D1545" s="55" t="s">
        <v>3415</v>
      </c>
      <c r="E1545" s="55" t="s">
        <v>3424</v>
      </c>
      <c r="F1545" t="s">
        <v>1294</v>
      </c>
      <c r="G1545" s="60">
        <v>18607</v>
      </c>
      <c r="H1545" s="26">
        <f t="shared" si="536"/>
        <v>0.12428778496950751</v>
      </c>
      <c r="J1545" s="23">
        <v>149709</v>
      </c>
      <c r="K1545">
        <v>275</v>
      </c>
      <c r="L1545">
        <v>275</v>
      </c>
      <c r="N1545">
        <v>0</v>
      </c>
      <c r="O1545">
        <f t="shared" si="537"/>
        <v>2</v>
      </c>
      <c r="P1545" s="57">
        <f t="shared" si="538"/>
        <v>6</v>
      </c>
      <c r="Q1545" s="267">
        <f t="shared" si="539"/>
        <v>135440</v>
      </c>
      <c r="R1545" s="23">
        <f t="shared" si="540"/>
        <v>15001</v>
      </c>
      <c r="S1545" s="23">
        <f t="shared" si="541"/>
        <v>14322</v>
      </c>
      <c r="T1545" s="23" t="str">
        <f t="shared" si="542"/>
        <v/>
      </c>
      <c r="U1545" t="str">
        <f t="shared" si="543"/>
        <v/>
      </c>
      <c r="X1545" s="71"/>
      <c r="Z1545" s="44"/>
      <c r="AF1545" s="22"/>
      <c r="AO1545" s="356"/>
      <c r="AP1545" s="356"/>
      <c r="AQ1545" s="394"/>
      <c r="AR1545" s="394"/>
      <c r="AS1545" s="394"/>
    </row>
    <row r="1546" spans="1:45">
      <c r="A1546" t="str">
        <f t="shared" si="535"/>
        <v>CA_Orang_2020p~member, county central committee 73rd assembly district - dem (vote for 6)</v>
      </c>
      <c r="B1546" s="55" t="s">
        <v>3163</v>
      </c>
      <c r="D1546" s="55" t="s">
        <v>3415</v>
      </c>
      <c r="E1546" s="55" t="s">
        <v>3416</v>
      </c>
      <c r="F1546" t="s">
        <v>1294</v>
      </c>
      <c r="G1546" s="60">
        <v>18501</v>
      </c>
      <c r="H1546" s="26">
        <f t="shared" si="536"/>
        <v>0.12357974470472717</v>
      </c>
      <c r="J1546" s="23">
        <v>149709</v>
      </c>
      <c r="K1546">
        <v>275</v>
      </c>
      <c r="L1546">
        <v>275</v>
      </c>
      <c r="N1546">
        <v>0</v>
      </c>
      <c r="O1546">
        <f t="shared" si="537"/>
        <v>3</v>
      </c>
      <c r="P1546" s="57">
        <f t="shared" si="538"/>
        <v>6</v>
      </c>
      <c r="Q1546" s="267">
        <f t="shared" si="539"/>
        <v>116833</v>
      </c>
      <c r="R1546" s="23">
        <f t="shared" si="540"/>
        <v>15001</v>
      </c>
      <c r="S1546" s="23">
        <f t="shared" si="541"/>
        <v>14322</v>
      </c>
      <c r="T1546" s="23" t="str">
        <f t="shared" si="542"/>
        <v/>
      </c>
      <c r="U1546" t="str">
        <f t="shared" si="543"/>
        <v/>
      </c>
      <c r="X1546" s="71"/>
      <c r="Z1546" s="44"/>
      <c r="AF1546" s="22"/>
      <c r="AL1546" s="344"/>
    </row>
    <row r="1547" spans="1:45">
      <c r="A1547" t="str">
        <f t="shared" si="535"/>
        <v>CA_Orang_2020p~member, county central committee 73rd assembly district - dem (vote for 6)</v>
      </c>
      <c r="B1547" s="55" t="s">
        <v>3163</v>
      </c>
      <c r="D1547" s="55" t="s">
        <v>3415</v>
      </c>
      <c r="E1547" s="55" t="s">
        <v>3417</v>
      </c>
      <c r="F1547" t="s">
        <v>1294</v>
      </c>
      <c r="G1547" s="60">
        <v>18222</v>
      </c>
      <c r="H1547" s="26">
        <f t="shared" si="536"/>
        <v>0.1217161292908242</v>
      </c>
      <c r="J1547" s="23">
        <v>149709</v>
      </c>
      <c r="K1547">
        <v>275</v>
      </c>
      <c r="L1547">
        <v>275</v>
      </c>
      <c r="N1547">
        <v>0</v>
      </c>
      <c r="O1547">
        <f t="shared" si="537"/>
        <v>4</v>
      </c>
      <c r="P1547" s="57">
        <f t="shared" si="538"/>
        <v>6</v>
      </c>
      <c r="Q1547" s="267">
        <f t="shared" si="539"/>
        <v>98332</v>
      </c>
      <c r="R1547" s="23">
        <f t="shared" si="540"/>
        <v>15001</v>
      </c>
      <c r="S1547" s="23">
        <f t="shared" si="541"/>
        <v>14322</v>
      </c>
      <c r="T1547" s="23" t="str">
        <f t="shared" si="542"/>
        <v/>
      </c>
      <c r="U1547" t="str">
        <f t="shared" si="543"/>
        <v/>
      </c>
      <c r="X1547" s="71"/>
      <c r="Z1547" s="44"/>
      <c r="AF1547" s="22"/>
      <c r="AO1547" s="356"/>
      <c r="AP1547" s="356"/>
      <c r="AQ1547" s="394"/>
      <c r="AR1547" s="394"/>
      <c r="AS1547" s="394"/>
    </row>
    <row r="1548" spans="1:45">
      <c r="A1548" t="str">
        <f t="shared" si="535"/>
        <v>CA_Orang_2020p~member, county central committee 73rd assembly district - dem (vote for 6)</v>
      </c>
      <c r="B1548" s="55" t="s">
        <v>3163</v>
      </c>
      <c r="D1548" s="55" t="s">
        <v>3415</v>
      </c>
      <c r="E1548" s="55" t="s">
        <v>3419</v>
      </c>
      <c r="F1548" t="s">
        <v>1294</v>
      </c>
      <c r="G1548" s="60">
        <v>17942</v>
      </c>
      <c r="H1548" s="26">
        <f t="shared" si="536"/>
        <v>0.11984583425178179</v>
      </c>
      <c r="J1548" s="23">
        <v>149709</v>
      </c>
      <c r="K1548">
        <v>275</v>
      </c>
      <c r="L1548">
        <v>275</v>
      </c>
      <c r="N1548">
        <v>0</v>
      </c>
      <c r="O1548">
        <f t="shared" si="537"/>
        <v>5</v>
      </c>
      <c r="P1548" s="57">
        <f t="shared" si="538"/>
        <v>6</v>
      </c>
      <c r="Q1548" s="267">
        <f t="shared" si="539"/>
        <v>80110</v>
      </c>
      <c r="R1548" s="23">
        <f t="shared" si="540"/>
        <v>15001</v>
      </c>
      <c r="S1548" s="23">
        <f t="shared" si="541"/>
        <v>14322</v>
      </c>
      <c r="T1548" s="23" t="str">
        <f t="shared" si="542"/>
        <v/>
      </c>
      <c r="U1548" t="str">
        <f t="shared" si="543"/>
        <v/>
      </c>
      <c r="X1548" s="71"/>
      <c r="Z1548" s="44"/>
      <c r="AF1548" s="22"/>
    </row>
    <row r="1549" spans="1:45">
      <c r="A1549" t="str">
        <f t="shared" si="535"/>
        <v>CA_Orang_2020p~member, county central committee 73rd assembly district - dem (vote for 6)</v>
      </c>
      <c r="B1549" s="55" t="s">
        <v>3163</v>
      </c>
      <c r="D1549" s="55" t="s">
        <v>3415</v>
      </c>
      <c r="E1549" s="55" t="s">
        <v>3425</v>
      </c>
      <c r="F1549" t="s">
        <v>1294</v>
      </c>
      <c r="G1549" s="60">
        <v>15001</v>
      </c>
      <c r="H1549" s="26">
        <f t="shared" si="536"/>
        <v>0.10020105671669706</v>
      </c>
      <c r="J1549" s="23">
        <v>149709</v>
      </c>
      <c r="K1549">
        <v>275</v>
      </c>
      <c r="L1549">
        <v>275</v>
      </c>
      <c r="N1549">
        <v>0</v>
      </c>
      <c r="O1549">
        <f t="shared" si="537"/>
        <v>6</v>
      </c>
      <c r="P1549" s="57">
        <f t="shared" si="538"/>
        <v>6</v>
      </c>
      <c r="Q1549" s="267">
        <f t="shared" si="539"/>
        <v>62168</v>
      </c>
      <c r="R1549" s="23">
        <f t="shared" si="540"/>
        <v>15001</v>
      </c>
      <c r="S1549" s="23">
        <f t="shared" si="541"/>
        <v>14322</v>
      </c>
      <c r="T1549" s="23" t="str">
        <f t="shared" si="542"/>
        <v/>
      </c>
      <c r="U1549" t="str">
        <f t="shared" si="543"/>
        <v/>
      </c>
      <c r="X1549" s="71"/>
      <c r="Z1549" s="44"/>
      <c r="AF1549" s="22"/>
    </row>
    <row r="1550" spans="1:45">
      <c r="A1550" t="str">
        <f t="shared" si="535"/>
        <v>CA_Orang_2020p~member, county central committee 73rd assembly district - dem (vote for 6)</v>
      </c>
      <c r="B1550" s="55" t="s">
        <v>3163</v>
      </c>
      <c r="D1550" s="55" t="s">
        <v>3415</v>
      </c>
      <c r="E1550" s="55" t="s">
        <v>3420</v>
      </c>
      <c r="F1550" t="s">
        <v>1294</v>
      </c>
      <c r="G1550" s="60">
        <v>14322</v>
      </c>
      <c r="H1550" s="26">
        <f t="shared" si="536"/>
        <v>9.5665591247019219E-2</v>
      </c>
      <c r="J1550" s="23">
        <v>149709</v>
      </c>
      <c r="K1550">
        <v>275</v>
      </c>
      <c r="L1550">
        <v>275</v>
      </c>
      <c r="N1550">
        <v>0</v>
      </c>
      <c r="O1550">
        <f t="shared" si="537"/>
        <v>7</v>
      </c>
      <c r="P1550" s="57">
        <f t="shared" si="538"/>
        <v>6</v>
      </c>
      <c r="Q1550" s="267">
        <f t="shared" si="539"/>
        <v>47167</v>
      </c>
      <c r="R1550" s="23" t="str">
        <f t="shared" si="540"/>
        <v/>
      </c>
      <c r="S1550" s="23">
        <f t="shared" si="541"/>
        <v>14322</v>
      </c>
      <c r="T1550" s="23" t="str">
        <f t="shared" si="542"/>
        <v/>
      </c>
      <c r="U1550" t="str">
        <f t="shared" si="543"/>
        <v/>
      </c>
      <c r="X1550" s="71"/>
      <c r="Z1550" s="44"/>
      <c r="AF1550" s="22"/>
    </row>
    <row r="1551" spans="1:45">
      <c r="A1551" t="str">
        <f t="shared" si="535"/>
        <v>CA_Orang_2020p~member, county central committee 73rd assembly district - dem (vote for 6)</v>
      </c>
      <c r="B1551" s="55" t="s">
        <v>3163</v>
      </c>
      <c r="D1551" s="55" t="s">
        <v>3415</v>
      </c>
      <c r="E1551" s="55" t="s">
        <v>3422</v>
      </c>
      <c r="F1551" t="s">
        <v>1294</v>
      </c>
      <c r="G1551" s="60">
        <v>10239</v>
      </c>
      <c r="H1551" s="26">
        <f t="shared" si="536"/>
        <v>6.8392681802697239E-2</v>
      </c>
      <c r="J1551" s="23">
        <v>149709</v>
      </c>
      <c r="K1551">
        <v>275</v>
      </c>
      <c r="L1551">
        <v>275</v>
      </c>
      <c r="N1551">
        <v>0</v>
      </c>
      <c r="O1551">
        <f t="shared" si="537"/>
        <v>8</v>
      </c>
      <c r="P1551" s="57">
        <f t="shared" si="538"/>
        <v>6</v>
      </c>
      <c r="Q1551" s="267">
        <f t="shared" si="539"/>
        <v>32845</v>
      </c>
      <c r="R1551" s="23" t="str">
        <f t="shared" si="540"/>
        <v/>
      </c>
      <c r="S1551" s="23">
        <f t="shared" si="541"/>
        <v>10239</v>
      </c>
      <c r="T1551" s="23" t="str">
        <f t="shared" si="542"/>
        <v/>
      </c>
      <c r="U1551" t="str">
        <f t="shared" si="543"/>
        <v/>
      </c>
      <c r="X1551" s="71"/>
      <c r="Z1551" s="44"/>
      <c r="AF1551" s="22"/>
      <c r="AH1551" s="8"/>
      <c r="AL1551" s="23"/>
    </row>
    <row r="1552" spans="1:45">
      <c r="A1552" t="str">
        <f t="shared" si="535"/>
        <v>CA_Orang_2020p~member, county central committee 73rd assembly district - dem (vote for 6)</v>
      </c>
      <c r="B1552" s="55" t="s">
        <v>3163</v>
      </c>
      <c r="D1552" s="55" t="s">
        <v>3415</v>
      </c>
      <c r="E1552" s="55" t="s">
        <v>3426</v>
      </c>
      <c r="F1552" t="s">
        <v>1294</v>
      </c>
      <c r="G1552" s="60">
        <v>9734</v>
      </c>
      <c r="H1552" s="26">
        <f t="shared" si="536"/>
        <v>6.5019471107281457E-2</v>
      </c>
      <c r="J1552" s="23">
        <v>149709</v>
      </c>
      <c r="K1552">
        <v>275</v>
      </c>
      <c r="L1552">
        <v>275</v>
      </c>
      <c r="N1552">
        <v>0</v>
      </c>
      <c r="O1552">
        <f t="shared" si="537"/>
        <v>9</v>
      </c>
      <c r="P1552" s="57">
        <f t="shared" si="538"/>
        <v>6</v>
      </c>
      <c r="Q1552" s="267">
        <f t="shared" si="539"/>
        <v>22606</v>
      </c>
      <c r="R1552" s="23" t="str">
        <f t="shared" si="540"/>
        <v/>
      </c>
      <c r="S1552" s="23">
        <f t="shared" si="541"/>
        <v>9734</v>
      </c>
      <c r="T1552" s="23" t="str">
        <f t="shared" si="542"/>
        <v/>
      </c>
      <c r="U1552" t="str">
        <f t="shared" si="543"/>
        <v/>
      </c>
      <c r="X1552" s="71"/>
      <c r="Z1552" s="44"/>
      <c r="AF1552" s="22"/>
    </row>
    <row r="1553" spans="1:45">
      <c r="A1553" t="str">
        <f t="shared" si="535"/>
        <v>CA_Orang_2020p~member, county central committee 73rd assembly district - dem (vote for 6)</v>
      </c>
      <c r="B1553" s="55" t="s">
        <v>3163</v>
      </c>
      <c r="D1553" s="55" t="s">
        <v>3415</v>
      </c>
      <c r="E1553" s="55" t="s">
        <v>3423</v>
      </c>
      <c r="F1553" t="s">
        <v>1294</v>
      </c>
      <c r="G1553" s="60">
        <v>9373</v>
      </c>
      <c r="H1553" s="26">
        <f t="shared" si="536"/>
        <v>6.2608126431944633E-2</v>
      </c>
      <c r="J1553" s="23">
        <v>149709</v>
      </c>
      <c r="K1553">
        <v>275</v>
      </c>
      <c r="L1553">
        <v>275</v>
      </c>
      <c r="N1553">
        <v>0</v>
      </c>
      <c r="O1553">
        <f t="shared" si="537"/>
        <v>10</v>
      </c>
      <c r="P1553" s="57">
        <f t="shared" si="538"/>
        <v>6</v>
      </c>
      <c r="Q1553" s="267">
        <f t="shared" si="539"/>
        <v>12872</v>
      </c>
      <c r="R1553" s="23" t="str">
        <f t="shared" si="540"/>
        <v/>
      </c>
      <c r="S1553" s="23">
        <f t="shared" si="541"/>
        <v>9373</v>
      </c>
      <c r="T1553" s="23" t="str">
        <f t="shared" si="542"/>
        <v/>
      </c>
      <c r="U1553" t="str">
        <f t="shared" si="543"/>
        <v/>
      </c>
      <c r="X1553" s="71"/>
      <c r="Z1553" s="44"/>
      <c r="AF1553" s="22"/>
      <c r="AO1553" s="356"/>
      <c r="AP1553" s="356"/>
      <c r="AQ1553" s="394"/>
      <c r="AR1553" s="394"/>
      <c r="AS1553" s="394"/>
    </row>
    <row r="1554" spans="1:45">
      <c r="A1554" t="str">
        <f t="shared" si="535"/>
        <v>CA_Orang_2020p~member, county central committee 73rd assembly district - dem (vote for 6)</v>
      </c>
      <c r="B1554" s="55" t="s">
        <v>3163</v>
      </c>
      <c r="D1554" s="55" t="s">
        <v>3415</v>
      </c>
      <c r="E1554" s="55" t="s">
        <v>3421</v>
      </c>
      <c r="F1554" t="s">
        <v>1294</v>
      </c>
      <c r="G1554" s="60">
        <v>3499</v>
      </c>
      <c r="H1554" s="26">
        <f t="shared" si="536"/>
        <v>2.3372008362890676E-2</v>
      </c>
      <c r="J1554" s="23">
        <v>149709</v>
      </c>
      <c r="K1554">
        <v>275</v>
      </c>
      <c r="L1554">
        <v>275</v>
      </c>
      <c r="N1554">
        <v>0</v>
      </c>
      <c r="O1554">
        <f t="shared" si="537"/>
        <v>11</v>
      </c>
      <c r="P1554" s="57">
        <f t="shared" si="538"/>
        <v>6</v>
      </c>
      <c r="Q1554" s="267">
        <f t="shared" si="539"/>
        <v>3499</v>
      </c>
      <c r="R1554" s="23" t="str">
        <f t="shared" si="540"/>
        <v/>
      </c>
      <c r="S1554" s="23">
        <f t="shared" si="541"/>
        <v>3499</v>
      </c>
      <c r="T1554" s="23" t="str">
        <f t="shared" si="542"/>
        <v/>
      </c>
      <c r="U1554" t="str">
        <f t="shared" si="543"/>
        <v/>
      </c>
      <c r="X1554" s="71"/>
      <c r="Z1554" s="44"/>
      <c r="AF1554" s="22"/>
    </row>
    <row r="1555" spans="1:45">
      <c r="A1555" t="str">
        <f t="shared" si="535"/>
        <v>CA_Orang_2020p~member, county central committee 73rd assembly district - rep (vote for 6)</v>
      </c>
      <c r="B1555" s="55" t="s">
        <v>3163</v>
      </c>
      <c r="D1555" s="55" t="s">
        <v>3503</v>
      </c>
      <c r="E1555" s="55" t="s">
        <v>3515</v>
      </c>
      <c r="F1555" t="s">
        <v>1296</v>
      </c>
      <c r="G1555" s="60">
        <v>46009</v>
      </c>
      <c r="H1555" s="26">
        <f t="shared" si="536"/>
        <v>0.17845880541322587</v>
      </c>
      <c r="J1555" s="23">
        <v>257813</v>
      </c>
      <c r="K1555">
        <v>275</v>
      </c>
      <c r="L1555">
        <v>275</v>
      </c>
      <c r="N1555">
        <v>0</v>
      </c>
      <c r="O1555">
        <f t="shared" si="537"/>
        <v>1</v>
      </c>
      <c r="P1555" s="57">
        <f t="shared" si="538"/>
        <v>6</v>
      </c>
      <c r="Q1555" s="267">
        <f t="shared" si="539"/>
        <v>46009</v>
      </c>
      <c r="R1555" s="23">
        <f t="shared" si="540"/>
        <v>26485</v>
      </c>
      <c r="S1555" s="23">
        <f t="shared" si="541"/>
        <v>20125</v>
      </c>
      <c r="T1555" s="23">
        <f t="shared" si="542"/>
        <v>6360</v>
      </c>
      <c r="U1555" t="str">
        <f t="shared" si="543"/>
        <v>CA_Orang_2020p~member, county central committee 73rd assembly district - rep (vote for 6)</v>
      </c>
      <c r="X1555" s="71"/>
      <c r="Z1555" s="44"/>
      <c r="AF1555" s="22"/>
      <c r="AG1555" s="23"/>
      <c r="AH1555" s="8"/>
      <c r="AL1555" s="344"/>
    </row>
    <row r="1556" spans="1:45">
      <c r="A1556" t="str">
        <f t="shared" si="535"/>
        <v>CA_Orang_2020p~member, county central committee 73rd assembly district - rep (vote for 6)</v>
      </c>
      <c r="B1556" s="55" t="s">
        <v>3163</v>
      </c>
      <c r="D1556" s="55" t="s">
        <v>3503</v>
      </c>
      <c r="E1556" s="55" t="s">
        <v>3508</v>
      </c>
      <c r="F1556" t="s">
        <v>1296</v>
      </c>
      <c r="G1556" s="60">
        <v>33429</v>
      </c>
      <c r="H1556" s="26">
        <f t="shared" si="536"/>
        <v>0.12966374853091195</v>
      </c>
      <c r="J1556" s="23">
        <v>257813</v>
      </c>
      <c r="K1556">
        <v>275</v>
      </c>
      <c r="L1556">
        <v>275</v>
      </c>
      <c r="N1556">
        <v>0</v>
      </c>
      <c r="O1556">
        <f t="shared" si="537"/>
        <v>2</v>
      </c>
      <c r="P1556" s="57">
        <f t="shared" si="538"/>
        <v>6</v>
      </c>
      <c r="Q1556" s="267">
        <f t="shared" si="539"/>
        <v>215471</v>
      </c>
      <c r="R1556" s="23">
        <f t="shared" si="540"/>
        <v>26485</v>
      </c>
      <c r="S1556" s="23">
        <f t="shared" si="541"/>
        <v>20125</v>
      </c>
      <c r="T1556" s="23" t="str">
        <f t="shared" si="542"/>
        <v/>
      </c>
      <c r="U1556" t="str">
        <f t="shared" si="543"/>
        <v/>
      </c>
      <c r="X1556" s="71"/>
      <c r="Z1556" s="44"/>
      <c r="AF1556" s="22"/>
    </row>
    <row r="1557" spans="1:45">
      <c r="A1557" t="str">
        <f t="shared" si="535"/>
        <v>CA_Orang_2020p~member, county central committee 73rd assembly district - rep (vote for 6)</v>
      </c>
      <c r="B1557" s="55" t="s">
        <v>3163</v>
      </c>
      <c r="D1557" s="55" t="s">
        <v>3503</v>
      </c>
      <c r="E1557" s="55" t="s">
        <v>3513</v>
      </c>
      <c r="F1557" t="s">
        <v>1296</v>
      </c>
      <c r="G1557" s="60">
        <v>30723</v>
      </c>
      <c r="H1557" s="26">
        <f t="shared" si="536"/>
        <v>0.11916776888675125</v>
      </c>
      <c r="J1557" s="23">
        <v>257813</v>
      </c>
      <c r="K1557">
        <v>275</v>
      </c>
      <c r="L1557">
        <v>275</v>
      </c>
      <c r="N1557">
        <v>0</v>
      </c>
      <c r="O1557">
        <f t="shared" si="537"/>
        <v>3</v>
      </c>
      <c r="P1557" s="57">
        <f t="shared" si="538"/>
        <v>6</v>
      </c>
      <c r="Q1557" s="267">
        <f t="shared" si="539"/>
        <v>182042</v>
      </c>
      <c r="R1557" s="23">
        <f t="shared" si="540"/>
        <v>26485</v>
      </c>
      <c r="S1557" s="23">
        <f t="shared" si="541"/>
        <v>20125</v>
      </c>
      <c r="T1557" s="23" t="str">
        <f t="shared" si="542"/>
        <v/>
      </c>
      <c r="U1557" t="str">
        <f t="shared" si="543"/>
        <v/>
      </c>
      <c r="X1557" s="71"/>
      <c r="Z1557" s="44"/>
      <c r="AF1557" s="22"/>
    </row>
    <row r="1558" spans="1:45">
      <c r="A1558" t="str">
        <f t="shared" si="535"/>
        <v>CA_Orang_2020p~member, county central committee 73rd assembly district - rep (vote for 6)</v>
      </c>
      <c r="B1558" s="55" t="s">
        <v>3163</v>
      </c>
      <c r="D1558" s="55" t="s">
        <v>3503</v>
      </c>
      <c r="E1558" s="55" t="s">
        <v>3512</v>
      </c>
      <c r="F1558" t="s">
        <v>1296</v>
      </c>
      <c r="G1558" s="60">
        <v>30233</v>
      </c>
      <c r="H1558" s="26">
        <f t="shared" si="536"/>
        <v>0.11726716651216192</v>
      </c>
      <c r="J1558" s="23">
        <v>257813</v>
      </c>
      <c r="K1558">
        <v>275</v>
      </c>
      <c r="L1558">
        <v>275</v>
      </c>
      <c r="N1558">
        <v>0</v>
      </c>
      <c r="O1558">
        <f t="shared" si="537"/>
        <v>4</v>
      </c>
      <c r="P1558" s="57">
        <f t="shared" si="538"/>
        <v>6</v>
      </c>
      <c r="Q1558" s="267">
        <f t="shared" si="539"/>
        <v>151319</v>
      </c>
      <c r="R1558" s="23">
        <f t="shared" si="540"/>
        <v>26485</v>
      </c>
      <c r="S1558" s="23">
        <f t="shared" si="541"/>
        <v>20125</v>
      </c>
      <c r="T1558" s="23" t="str">
        <f t="shared" si="542"/>
        <v/>
      </c>
      <c r="U1558" t="str">
        <f t="shared" si="543"/>
        <v/>
      </c>
      <c r="X1558" s="71"/>
      <c r="Z1558" s="44"/>
      <c r="AF1558" s="22"/>
    </row>
    <row r="1559" spans="1:45">
      <c r="A1559" t="str">
        <f t="shared" si="535"/>
        <v>CA_Orang_2020p~member, county central committee 73rd assembly district - rep (vote for 6)</v>
      </c>
      <c r="B1559" s="55" t="s">
        <v>3163</v>
      </c>
      <c r="D1559" s="55" t="s">
        <v>3503</v>
      </c>
      <c r="E1559" s="55" t="s">
        <v>3514</v>
      </c>
      <c r="F1559" t="s">
        <v>1296</v>
      </c>
      <c r="G1559" s="60">
        <v>26764</v>
      </c>
      <c r="H1559" s="26">
        <f t="shared" si="536"/>
        <v>0.10381167745614069</v>
      </c>
      <c r="J1559" s="23">
        <v>257813</v>
      </c>
      <c r="K1559">
        <v>275</v>
      </c>
      <c r="L1559">
        <v>275</v>
      </c>
      <c r="N1559">
        <v>0</v>
      </c>
      <c r="O1559">
        <f t="shared" si="537"/>
        <v>5</v>
      </c>
      <c r="P1559" s="57">
        <f t="shared" si="538"/>
        <v>6</v>
      </c>
      <c r="Q1559" s="267">
        <f t="shared" si="539"/>
        <v>121086</v>
      </c>
      <c r="R1559" s="23">
        <f t="shared" si="540"/>
        <v>26485</v>
      </c>
      <c r="S1559" s="23">
        <f t="shared" si="541"/>
        <v>20125</v>
      </c>
      <c r="T1559" s="23" t="str">
        <f t="shared" si="542"/>
        <v/>
      </c>
      <c r="U1559" t="str">
        <f t="shared" si="543"/>
        <v/>
      </c>
      <c r="X1559" s="71"/>
      <c r="Z1559" s="44"/>
      <c r="AF1559" s="22"/>
    </row>
    <row r="1560" spans="1:45">
      <c r="A1560" t="str">
        <f t="shared" si="535"/>
        <v>CA_Orang_2020p~member, county central committee 73rd assembly district - rep (vote for 6)</v>
      </c>
      <c r="B1560" s="55" t="s">
        <v>3163</v>
      </c>
      <c r="D1560" s="55" t="s">
        <v>3503</v>
      </c>
      <c r="E1560" s="55" t="s">
        <v>3507</v>
      </c>
      <c r="F1560" t="s">
        <v>1296</v>
      </c>
      <c r="G1560" s="60">
        <v>26485</v>
      </c>
      <c r="H1560" s="26">
        <f t="shared" si="536"/>
        <v>0.10272949773673166</v>
      </c>
      <c r="J1560" s="23">
        <v>257813</v>
      </c>
      <c r="K1560">
        <v>275</v>
      </c>
      <c r="L1560">
        <v>275</v>
      </c>
      <c r="N1560">
        <v>0</v>
      </c>
      <c r="O1560">
        <f t="shared" si="537"/>
        <v>6</v>
      </c>
      <c r="P1560" s="57">
        <f t="shared" si="538"/>
        <v>6</v>
      </c>
      <c r="Q1560" s="267">
        <f t="shared" si="539"/>
        <v>94322</v>
      </c>
      <c r="R1560" s="23">
        <f t="shared" si="540"/>
        <v>26485</v>
      </c>
      <c r="S1560" s="23">
        <f t="shared" si="541"/>
        <v>20125</v>
      </c>
      <c r="T1560" s="23" t="str">
        <f t="shared" si="542"/>
        <v/>
      </c>
      <c r="U1560" t="str">
        <f t="shared" si="543"/>
        <v/>
      </c>
      <c r="X1560" s="71"/>
      <c r="Z1560" s="44"/>
      <c r="AF1560" s="22"/>
    </row>
    <row r="1561" spans="1:45">
      <c r="A1561" t="str">
        <f t="shared" si="535"/>
        <v>CA_Orang_2020p~member, county central committee 73rd assembly district - rep (vote for 6)</v>
      </c>
      <c r="B1561" s="55" t="s">
        <v>3163</v>
      </c>
      <c r="D1561" s="55" t="s">
        <v>3503</v>
      </c>
      <c r="E1561" s="55" t="s">
        <v>3509</v>
      </c>
      <c r="F1561" t="s">
        <v>1296</v>
      </c>
      <c r="G1561" s="60">
        <v>20125</v>
      </c>
      <c r="H1561" s="26">
        <f t="shared" si="536"/>
        <v>7.806045467063337E-2</v>
      </c>
      <c r="J1561" s="23">
        <v>257813</v>
      </c>
      <c r="K1561">
        <v>275</v>
      </c>
      <c r="L1561">
        <v>275</v>
      </c>
      <c r="N1561">
        <v>0</v>
      </c>
      <c r="O1561">
        <f t="shared" si="537"/>
        <v>7</v>
      </c>
      <c r="P1561" s="57">
        <f t="shared" si="538"/>
        <v>6</v>
      </c>
      <c r="Q1561" s="267">
        <f t="shared" si="539"/>
        <v>67837</v>
      </c>
      <c r="R1561" s="23" t="str">
        <f t="shared" si="540"/>
        <v/>
      </c>
      <c r="S1561" s="23">
        <f t="shared" si="541"/>
        <v>20125</v>
      </c>
      <c r="T1561" s="23" t="str">
        <f t="shared" si="542"/>
        <v/>
      </c>
      <c r="U1561" t="str">
        <f t="shared" si="543"/>
        <v/>
      </c>
      <c r="X1561" s="71"/>
      <c r="Z1561" s="44"/>
      <c r="AF1561" s="22"/>
    </row>
    <row r="1562" spans="1:45">
      <c r="A1562" t="str">
        <f t="shared" si="535"/>
        <v>CA_Orang_2020p~member, county central committee 73rd assembly district - rep (vote for 6)</v>
      </c>
      <c r="B1562" s="55" t="s">
        <v>3163</v>
      </c>
      <c r="D1562" s="55" t="s">
        <v>3503</v>
      </c>
      <c r="E1562" s="55" t="s">
        <v>3505</v>
      </c>
      <c r="F1562" t="s">
        <v>1296</v>
      </c>
      <c r="G1562" s="60">
        <v>17449</v>
      </c>
      <c r="H1562" s="26">
        <f t="shared" si="536"/>
        <v>6.7680838437161814E-2</v>
      </c>
      <c r="J1562" s="23">
        <v>257813</v>
      </c>
      <c r="K1562">
        <v>275</v>
      </c>
      <c r="L1562">
        <v>275</v>
      </c>
      <c r="N1562">
        <v>0</v>
      </c>
      <c r="O1562">
        <f t="shared" si="537"/>
        <v>8</v>
      </c>
      <c r="P1562" s="57">
        <f t="shared" si="538"/>
        <v>6</v>
      </c>
      <c r="Q1562" s="267">
        <f t="shared" si="539"/>
        <v>47712</v>
      </c>
      <c r="R1562" s="23" t="str">
        <f t="shared" si="540"/>
        <v/>
      </c>
      <c r="S1562" s="23">
        <f t="shared" si="541"/>
        <v>17449</v>
      </c>
      <c r="T1562" s="23" t="str">
        <f t="shared" si="542"/>
        <v/>
      </c>
      <c r="U1562" t="str">
        <f t="shared" si="543"/>
        <v/>
      </c>
      <c r="X1562" s="71"/>
      <c r="Z1562" s="44"/>
      <c r="AF1562" s="22"/>
      <c r="AH1562" s="8"/>
      <c r="AL1562" s="23"/>
    </row>
    <row r="1563" spans="1:45">
      <c r="A1563" t="str">
        <f t="shared" ref="A1563:A1626" si="544">CONCATENATE(B1563,"~",LOWER(D1563),IF(RIGHT(D1563,1)=")","",IF(C1563=2," (top 2)"," (vote 1)")))</f>
        <v>CA_Orang_2020p~member, county central committee 73rd assembly district - rep (vote for 6)</v>
      </c>
      <c r="B1563" s="55" t="s">
        <v>3163</v>
      </c>
      <c r="D1563" s="55" t="s">
        <v>3503</v>
      </c>
      <c r="E1563" s="55" t="s">
        <v>3511</v>
      </c>
      <c r="F1563" t="s">
        <v>1296</v>
      </c>
      <c r="G1563" s="60">
        <v>7576</v>
      </c>
      <c r="H1563" s="26">
        <f t="shared" ref="H1563:H1626" si="545">G1563/J1563</f>
        <v>2.9385639979364889E-2</v>
      </c>
      <c r="J1563" s="23">
        <v>257813</v>
      </c>
      <c r="K1563">
        <v>275</v>
      </c>
      <c r="L1563">
        <v>275</v>
      </c>
      <c r="N1563">
        <v>0</v>
      </c>
      <c r="O1563">
        <f t="shared" si="537"/>
        <v>9</v>
      </c>
      <c r="P1563" s="57">
        <f t="shared" si="538"/>
        <v>6</v>
      </c>
      <c r="Q1563" s="267">
        <f t="shared" si="539"/>
        <v>30263</v>
      </c>
      <c r="R1563" s="23" t="str">
        <f t="shared" si="540"/>
        <v/>
      </c>
      <c r="S1563" s="23">
        <f t="shared" si="541"/>
        <v>7576</v>
      </c>
      <c r="T1563" s="23" t="str">
        <f t="shared" si="542"/>
        <v/>
      </c>
      <c r="U1563" t="str">
        <f t="shared" si="543"/>
        <v/>
      </c>
      <c r="X1563" s="71"/>
      <c r="Z1563" s="44"/>
      <c r="AF1563" s="22"/>
    </row>
    <row r="1564" spans="1:45">
      <c r="A1564" t="str">
        <f t="shared" si="544"/>
        <v>CA_Orang_2020p~member, county central committee 73rd assembly district - rep (vote for 6)</v>
      </c>
      <c r="B1564" s="55" t="s">
        <v>3163</v>
      </c>
      <c r="D1564" s="55" t="s">
        <v>3503</v>
      </c>
      <c r="E1564" s="55" t="s">
        <v>3517</v>
      </c>
      <c r="F1564" t="s">
        <v>1296</v>
      </c>
      <c r="G1564" s="60">
        <v>7560</v>
      </c>
      <c r="H1564" s="26">
        <f t="shared" si="545"/>
        <v>2.9323579493664011E-2</v>
      </c>
      <c r="J1564" s="23">
        <v>257813</v>
      </c>
      <c r="K1564">
        <v>275</v>
      </c>
      <c r="L1564">
        <v>275</v>
      </c>
      <c r="N1564">
        <v>0</v>
      </c>
      <c r="O1564">
        <f t="shared" si="537"/>
        <v>10</v>
      </c>
      <c r="P1564" s="57">
        <f t="shared" si="538"/>
        <v>6</v>
      </c>
      <c r="Q1564" s="267">
        <f t="shared" si="539"/>
        <v>22687</v>
      </c>
      <c r="R1564" s="23" t="str">
        <f t="shared" si="540"/>
        <v/>
      </c>
      <c r="S1564" s="23">
        <f t="shared" si="541"/>
        <v>7560</v>
      </c>
      <c r="T1564" s="23" t="str">
        <f t="shared" si="542"/>
        <v/>
      </c>
      <c r="U1564" t="str">
        <f t="shared" si="543"/>
        <v/>
      </c>
      <c r="X1564" s="71"/>
      <c r="Z1564" s="44"/>
      <c r="AF1564" s="22"/>
    </row>
    <row r="1565" spans="1:45">
      <c r="A1565" t="str">
        <f t="shared" si="544"/>
        <v>CA_Orang_2020p~member, county central committee 73rd assembly district - rep (vote for 6)</v>
      </c>
      <c r="B1565" s="55" t="s">
        <v>3163</v>
      </c>
      <c r="D1565" s="55" t="s">
        <v>3503</v>
      </c>
      <c r="E1565" s="55" t="s">
        <v>3504</v>
      </c>
      <c r="F1565" t="s">
        <v>1296</v>
      </c>
      <c r="G1565" s="60">
        <v>5196</v>
      </c>
      <c r="H1565" s="26">
        <f t="shared" si="545"/>
        <v>2.0154142731359553E-2</v>
      </c>
      <c r="J1565" s="23">
        <v>257813</v>
      </c>
      <c r="K1565">
        <v>275</v>
      </c>
      <c r="L1565">
        <v>275</v>
      </c>
      <c r="N1565">
        <v>0</v>
      </c>
      <c r="O1565">
        <f t="shared" si="537"/>
        <v>11</v>
      </c>
      <c r="P1565" s="57">
        <f t="shared" si="538"/>
        <v>6</v>
      </c>
      <c r="Q1565" s="267">
        <f t="shared" si="539"/>
        <v>15127</v>
      </c>
      <c r="R1565" s="23" t="str">
        <f t="shared" si="540"/>
        <v/>
      </c>
      <c r="S1565" s="23">
        <f t="shared" si="541"/>
        <v>5196</v>
      </c>
      <c r="T1565" s="23" t="str">
        <f t="shared" si="542"/>
        <v/>
      </c>
      <c r="U1565" t="str">
        <f t="shared" si="543"/>
        <v/>
      </c>
      <c r="X1565" s="71"/>
      <c r="Z1565" s="44"/>
      <c r="AF1565" s="22"/>
      <c r="AO1565" s="356"/>
      <c r="AP1565" s="356"/>
      <c r="AQ1565" s="394"/>
      <c r="AR1565" s="394"/>
      <c r="AS1565" s="394"/>
    </row>
    <row r="1566" spans="1:45">
      <c r="A1566" t="str">
        <f t="shared" si="544"/>
        <v>CA_Orang_2020p~member, county central committee 73rd assembly district - rep (vote for 6)</v>
      </c>
      <c r="B1566" s="55" t="s">
        <v>3163</v>
      </c>
      <c r="D1566" s="55" t="s">
        <v>3503</v>
      </c>
      <c r="E1566" s="55" t="s">
        <v>3516</v>
      </c>
      <c r="F1566" t="s">
        <v>1296</v>
      </c>
      <c r="G1566" s="60">
        <v>4584</v>
      </c>
      <c r="H1566" s="26">
        <f t="shared" si="545"/>
        <v>1.7780329153301036E-2</v>
      </c>
      <c r="J1566" s="23">
        <v>257813</v>
      </c>
      <c r="K1566">
        <v>275</v>
      </c>
      <c r="L1566">
        <v>275</v>
      </c>
      <c r="N1566">
        <v>0</v>
      </c>
      <c r="O1566">
        <f t="shared" si="537"/>
        <v>12</v>
      </c>
      <c r="P1566" s="57">
        <f t="shared" si="538"/>
        <v>6</v>
      </c>
      <c r="Q1566" s="267">
        <f t="shared" si="539"/>
        <v>9931</v>
      </c>
      <c r="R1566" s="23" t="str">
        <f t="shared" si="540"/>
        <v/>
      </c>
      <c r="S1566" s="23">
        <f t="shared" si="541"/>
        <v>4584</v>
      </c>
      <c r="T1566" s="23" t="str">
        <f t="shared" si="542"/>
        <v/>
      </c>
      <c r="U1566" t="str">
        <f t="shared" si="543"/>
        <v/>
      </c>
      <c r="X1566" s="71"/>
      <c r="Z1566" s="44"/>
      <c r="AF1566" s="22"/>
    </row>
    <row r="1567" spans="1:45">
      <c r="A1567" t="str">
        <f t="shared" si="544"/>
        <v>CA_Orang_2020p~member, county central committee 73rd assembly district - rep (vote for 6)</v>
      </c>
      <c r="B1567" s="55" t="s">
        <v>3163</v>
      </c>
      <c r="D1567" s="55" t="s">
        <v>3503</v>
      </c>
      <c r="E1567" s="55" t="s">
        <v>3510</v>
      </c>
      <c r="F1567" t="s">
        <v>1296</v>
      </c>
      <c r="G1567" s="60">
        <v>3246</v>
      </c>
      <c r="H1567" s="26">
        <f t="shared" si="545"/>
        <v>1.2590521036565262E-2</v>
      </c>
      <c r="J1567" s="23">
        <v>257813</v>
      </c>
      <c r="K1567">
        <v>275</v>
      </c>
      <c r="L1567">
        <v>275</v>
      </c>
      <c r="N1567">
        <v>0</v>
      </c>
      <c r="O1567">
        <f t="shared" si="537"/>
        <v>13</v>
      </c>
      <c r="P1567" s="57">
        <f t="shared" si="538"/>
        <v>6</v>
      </c>
      <c r="Q1567" s="267">
        <f t="shared" si="539"/>
        <v>5347</v>
      </c>
      <c r="R1567" s="23" t="str">
        <f t="shared" si="540"/>
        <v/>
      </c>
      <c r="S1567" s="23">
        <f t="shared" si="541"/>
        <v>3246</v>
      </c>
      <c r="T1567" s="23" t="str">
        <f t="shared" si="542"/>
        <v/>
      </c>
      <c r="U1567" t="str">
        <f t="shared" si="543"/>
        <v/>
      </c>
      <c r="X1567" s="71"/>
      <c r="Z1567" s="44"/>
      <c r="AF1567" s="22"/>
    </row>
    <row r="1568" spans="1:45">
      <c r="A1568" t="str">
        <f t="shared" si="544"/>
        <v>CA_Orang_2020p~member, county central committee 73rd assembly district - rep (vote for 6)</v>
      </c>
      <c r="B1568" s="55" t="s">
        <v>3163</v>
      </c>
      <c r="D1568" s="55" t="s">
        <v>3503</v>
      </c>
      <c r="E1568" s="55" t="s">
        <v>3506</v>
      </c>
      <c r="F1568" t="s">
        <v>1296</v>
      </c>
      <c r="G1568" s="60">
        <v>2101</v>
      </c>
      <c r="H1568" s="26">
        <f t="shared" si="545"/>
        <v>8.1493175285963088E-3</v>
      </c>
      <c r="J1568" s="23">
        <v>257813</v>
      </c>
      <c r="K1568">
        <v>275</v>
      </c>
      <c r="L1568">
        <v>275</v>
      </c>
      <c r="N1568">
        <v>0</v>
      </c>
      <c r="O1568">
        <f t="shared" si="537"/>
        <v>14</v>
      </c>
      <c r="P1568" s="57">
        <f t="shared" si="538"/>
        <v>6</v>
      </c>
      <c r="Q1568" s="267">
        <f t="shared" si="539"/>
        <v>2101</v>
      </c>
      <c r="R1568" s="23" t="str">
        <f t="shared" si="540"/>
        <v/>
      </c>
      <c r="S1568" s="23">
        <f t="shared" si="541"/>
        <v>2101</v>
      </c>
      <c r="T1568" s="23" t="str">
        <f t="shared" si="542"/>
        <v/>
      </c>
      <c r="U1568" t="str">
        <f t="shared" si="543"/>
        <v/>
      </c>
      <c r="X1568" s="71"/>
      <c r="Z1568" s="44"/>
      <c r="AF1568" s="22"/>
    </row>
    <row r="1569" spans="1:45">
      <c r="A1569" t="str">
        <f t="shared" si="544"/>
        <v>CA_Orang_2020p~member, county central committee 74th assembly district - dem (vote for 6)</v>
      </c>
      <c r="B1569" s="55" t="s">
        <v>3163</v>
      </c>
      <c r="D1569" s="55" t="s">
        <v>3427</v>
      </c>
      <c r="E1569" s="55" t="s">
        <v>3434</v>
      </c>
      <c r="F1569" t="s">
        <v>1294</v>
      </c>
      <c r="G1569" s="60">
        <v>17451</v>
      </c>
      <c r="H1569" s="26">
        <f t="shared" si="545"/>
        <v>9.287139778079348E-2</v>
      </c>
      <c r="J1569" s="23">
        <v>187905</v>
      </c>
      <c r="K1569">
        <v>295</v>
      </c>
      <c r="L1569">
        <v>295</v>
      </c>
      <c r="N1569">
        <v>0</v>
      </c>
      <c r="O1569">
        <f t="shared" si="537"/>
        <v>1</v>
      </c>
      <c r="P1569" s="57">
        <f t="shared" si="538"/>
        <v>6</v>
      </c>
      <c r="Q1569" s="267">
        <f t="shared" si="539"/>
        <v>33965</v>
      </c>
      <c r="R1569" s="23">
        <f t="shared" si="540"/>
        <v>15078</v>
      </c>
      <c r="S1569" s="23">
        <f t="shared" si="541"/>
        <v>14082</v>
      </c>
      <c r="T1569" s="23">
        <f t="shared" si="542"/>
        <v>996</v>
      </c>
      <c r="U1569" t="str">
        <f t="shared" si="543"/>
        <v>CA_Orang_2020p~member, county central committee 74th assembly district - dem (vote for 6)</v>
      </c>
      <c r="X1569" s="71"/>
      <c r="Z1569" s="44"/>
      <c r="AF1569" s="22"/>
    </row>
    <row r="1570" spans="1:45">
      <c r="A1570" t="str">
        <f t="shared" si="544"/>
        <v>CA_Orang_2020p~member, county central committee 74th assembly district - dem (vote for 6)</v>
      </c>
      <c r="B1570" s="55" t="s">
        <v>3163</v>
      </c>
      <c r="D1570" s="55" t="s">
        <v>3427</v>
      </c>
      <c r="E1570" s="55" t="s">
        <v>3432</v>
      </c>
      <c r="F1570" t="s">
        <v>1294</v>
      </c>
      <c r="G1570" s="60">
        <v>15910</v>
      </c>
      <c r="H1570" s="26">
        <f t="shared" si="545"/>
        <v>8.4670445171762324E-2</v>
      </c>
      <c r="J1570" s="23">
        <v>187905</v>
      </c>
      <c r="K1570">
        <v>295</v>
      </c>
      <c r="L1570">
        <v>295</v>
      </c>
      <c r="N1570">
        <v>0</v>
      </c>
      <c r="O1570">
        <f t="shared" si="537"/>
        <v>2</v>
      </c>
      <c r="P1570" s="57">
        <f t="shared" si="538"/>
        <v>6</v>
      </c>
      <c r="Q1570" s="267">
        <f t="shared" si="539"/>
        <v>186339</v>
      </c>
      <c r="R1570" s="23">
        <f t="shared" si="540"/>
        <v>15078</v>
      </c>
      <c r="S1570" s="23">
        <f t="shared" si="541"/>
        <v>14082</v>
      </c>
      <c r="T1570" s="23" t="str">
        <f t="shared" si="542"/>
        <v/>
      </c>
      <c r="U1570" t="str">
        <f t="shared" si="543"/>
        <v/>
      </c>
      <c r="X1570" s="71"/>
      <c r="Z1570" s="44"/>
      <c r="AF1570" s="22"/>
    </row>
    <row r="1571" spans="1:45">
      <c r="A1571" t="str">
        <f t="shared" si="544"/>
        <v>CA_Orang_2020p~member, county central committee 74th assembly district - dem (vote for 6)</v>
      </c>
      <c r="B1571" s="55" t="s">
        <v>3163</v>
      </c>
      <c r="D1571" s="55" t="s">
        <v>3427</v>
      </c>
      <c r="E1571" s="55" t="s">
        <v>3439</v>
      </c>
      <c r="F1571" t="s">
        <v>1294</v>
      </c>
      <c r="G1571" s="60">
        <v>15885</v>
      </c>
      <c r="H1571" s="26">
        <f t="shared" si="545"/>
        <v>8.4537399217689796E-2</v>
      </c>
      <c r="J1571" s="23">
        <v>187905</v>
      </c>
      <c r="K1571">
        <v>295</v>
      </c>
      <c r="L1571">
        <v>295</v>
      </c>
      <c r="N1571">
        <v>0</v>
      </c>
      <c r="O1571">
        <f t="shared" si="537"/>
        <v>3</v>
      </c>
      <c r="P1571" s="57">
        <f t="shared" si="538"/>
        <v>6</v>
      </c>
      <c r="Q1571" s="267">
        <f t="shared" si="539"/>
        <v>170429</v>
      </c>
      <c r="R1571" s="23">
        <f t="shared" si="540"/>
        <v>15078</v>
      </c>
      <c r="S1571" s="23">
        <f t="shared" si="541"/>
        <v>14082</v>
      </c>
      <c r="T1571" s="23" t="str">
        <f t="shared" si="542"/>
        <v/>
      </c>
      <c r="U1571" t="str">
        <f t="shared" si="543"/>
        <v/>
      </c>
      <c r="X1571" s="71"/>
      <c r="Z1571" s="44"/>
      <c r="AF1571" s="22"/>
    </row>
    <row r="1572" spans="1:45">
      <c r="A1572" t="str">
        <f t="shared" si="544"/>
        <v>CA_Orang_2020p~member, county central committee 74th assembly district - dem (vote for 6)</v>
      </c>
      <c r="B1572" s="55" t="s">
        <v>3163</v>
      </c>
      <c r="D1572" s="55" t="s">
        <v>3427</v>
      </c>
      <c r="E1572" s="55" t="s">
        <v>3433</v>
      </c>
      <c r="F1572" t="s">
        <v>1294</v>
      </c>
      <c r="G1572" s="60">
        <v>15877</v>
      </c>
      <c r="H1572" s="26">
        <f t="shared" si="545"/>
        <v>8.4494824512386574E-2</v>
      </c>
      <c r="J1572" s="23">
        <v>187905</v>
      </c>
      <c r="K1572">
        <v>295</v>
      </c>
      <c r="L1572">
        <v>295</v>
      </c>
      <c r="N1572">
        <v>0</v>
      </c>
      <c r="O1572">
        <f t="shared" si="537"/>
        <v>4</v>
      </c>
      <c r="P1572" s="57">
        <f t="shared" si="538"/>
        <v>6</v>
      </c>
      <c r="Q1572" s="267">
        <f t="shared" si="539"/>
        <v>154544</v>
      </c>
      <c r="R1572" s="23">
        <f t="shared" si="540"/>
        <v>15078</v>
      </c>
      <c r="S1572" s="23">
        <f t="shared" si="541"/>
        <v>14082</v>
      </c>
      <c r="T1572" s="23" t="str">
        <f t="shared" si="542"/>
        <v/>
      </c>
      <c r="U1572" t="str">
        <f t="shared" si="543"/>
        <v/>
      </c>
      <c r="X1572" s="71"/>
      <c r="Z1572" s="44"/>
      <c r="AF1572" s="22"/>
    </row>
    <row r="1573" spans="1:45">
      <c r="A1573" t="str">
        <f t="shared" si="544"/>
        <v>CA_Orang_2020p~member, county central committee 74th assembly district - dem (vote for 6)</v>
      </c>
      <c r="B1573" s="55" t="s">
        <v>3163</v>
      </c>
      <c r="D1573" s="55" t="s">
        <v>3427</v>
      </c>
      <c r="E1573" s="55" t="s">
        <v>3442</v>
      </c>
      <c r="F1573" t="s">
        <v>1294</v>
      </c>
      <c r="G1573" s="60">
        <v>15126</v>
      </c>
      <c r="H1573" s="26">
        <f t="shared" si="545"/>
        <v>8.0498124052047579E-2</v>
      </c>
      <c r="J1573" s="23">
        <v>187905</v>
      </c>
      <c r="K1573">
        <v>295</v>
      </c>
      <c r="L1573">
        <v>295</v>
      </c>
      <c r="N1573">
        <v>0</v>
      </c>
      <c r="O1573">
        <f t="shared" si="537"/>
        <v>5</v>
      </c>
      <c r="P1573" s="57">
        <f t="shared" si="538"/>
        <v>6</v>
      </c>
      <c r="Q1573" s="267">
        <f t="shared" si="539"/>
        <v>138667</v>
      </c>
      <c r="R1573" s="23">
        <f t="shared" si="540"/>
        <v>15078</v>
      </c>
      <c r="S1573" s="23">
        <f t="shared" si="541"/>
        <v>14082</v>
      </c>
      <c r="T1573" s="23" t="str">
        <f t="shared" si="542"/>
        <v/>
      </c>
      <c r="U1573" t="str">
        <f t="shared" si="543"/>
        <v/>
      </c>
      <c r="X1573" s="71"/>
      <c r="Z1573" s="44"/>
      <c r="AF1573" s="22"/>
      <c r="AH1573" s="8"/>
      <c r="AL1573" s="23"/>
    </row>
    <row r="1574" spans="1:45">
      <c r="A1574" t="str">
        <f t="shared" si="544"/>
        <v>CA_Orang_2020p~member, county central committee 74th assembly district - dem (vote for 6)</v>
      </c>
      <c r="B1574" s="55" t="s">
        <v>3163</v>
      </c>
      <c r="D1574" s="55" t="s">
        <v>3427</v>
      </c>
      <c r="E1574" s="55" t="s">
        <v>3441</v>
      </c>
      <c r="F1574" t="s">
        <v>1294</v>
      </c>
      <c r="G1574" s="60">
        <v>15078</v>
      </c>
      <c r="H1574" s="26">
        <f t="shared" si="545"/>
        <v>8.0242675820228301E-2</v>
      </c>
      <c r="J1574" s="23">
        <v>187905</v>
      </c>
      <c r="K1574">
        <v>295</v>
      </c>
      <c r="L1574">
        <v>295</v>
      </c>
      <c r="N1574">
        <v>0</v>
      </c>
      <c r="O1574">
        <f t="shared" si="537"/>
        <v>6</v>
      </c>
      <c r="P1574" s="57">
        <f t="shared" si="538"/>
        <v>6</v>
      </c>
      <c r="Q1574" s="267">
        <f t="shared" si="539"/>
        <v>123541</v>
      </c>
      <c r="R1574" s="23">
        <f t="shared" si="540"/>
        <v>15078</v>
      </c>
      <c r="S1574" s="23">
        <f t="shared" si="541"/>
        <v>14082</v>
      </c>
      <c r="T1574" s="23" t="str">
        <f t="shared" si="542"/>
        <v/>
      </c>
      <c r="U1574" t="str">
        <f t="shared" si="543"/>
        <v/>
      </c>
      <c r="X1574" s="71"/>
      <c r="Z1574" s="44"/>
      <c r="AF1574" s="22"/>
      <c r="AG1574" s="259"/>
      <c r="AH1574" s="276"/>
      <c r="AI1574" s="277"/>
      <c r="AJ1574" s="278"/>
    </row>
    <row r="1575" spans="1:45">
      <c r="A1575" t="str">
        <f t="shared" si="544"/>
        <v>CA_Orang_2020p~member, county central committee 74th assembly district - dem (vote for 6)</v>
      </c>
      <c r="B1575" s="55" t="s">
        <v>3163</v>
      </c>
      <c r="D1575" s="55" t="s">
        <v>3427</v>
      </c>
      <c r="E1575" s="55" t="s">
        <v>3435</v>
      </c>
      <c r="F1575" t="s">
        <v>1294</v>
      </c>
      <c r="G1575" s="60">
        <v>14082</v>
      </c>
      <c r="H1575" s="26">
        <f t="shared" si="545"/>
        <v>7.4942125009978447E-2</v>
      </c>
      <c r="J1575" s="23">
        <v>187905</v>
      </c>
      <c r="K1575">
        <v>295</v>
      </c>
      <c r="L1575">
        <v>295</v>
      </c>
      <c r="N1575">
        <v>0</v>
      </c>
      <c r="O1575">
        <f t="shared" si="537"/>
        <v>7</v>
      </c>
      <c r="P1575" s="57">
        <f t="shared" si="538"/>
        <v>6</v>
      </c>
      <c r="Q1575" s="267">
        <f t="shared" si="539"/>
        <v>108463</v>
      </c>
      <c r="R1575" s="23" t="str">
        <f t="shared" si="540"/>
        <v/>
      </c>
      <c r="S1575" s="23">
        <f t="shared" si="541"/>
        <v>14082</v>
      </c>
      <c r="T1575" s="23" t="str">
        <f t="shared" si="542"/>
        <v/>
      </c>
      <c r="U1575" t="str">
        <f t="shared" si="543"/>
        <v/>
      </c>
      <c r="X1575" s="71"/>
      <c r="Z1575" s="44"/>
      <c r="AF1575" s="22"/>
    </row>
    <row r="1576" spans="1:45">
      <c r="A1576" t="str">
        <f t="shared" si="544"/>
        <v>CA_Orang_2020p~member, county central committee 74th assembly district - dem (vote for 6)</v>
      </c>
      <c r="B1576" s="55" t="s">
        <v>3163</v>
      </c>
      <c r="D1576" s="55" t="s">
        <v>3427</v>
      </c>
      <c r="E1576" s="55" t="s">
        <v>3440</v>
      </c>
      <c r="F1576" t="s">
        <v>1294</v>
      </c>
      <c r="G1576" s="60">
        <v>13682</v>
      </c>
      <c r="H1576" s="26">
        <f t="shared" si="545"/>
        <v>7.2813389744817866E-2</v>
      </c>
      <c r="J1576" s="23">
        <v>187905</v>
      </c>
      <c r="K1576">
        <v>295</v>
      </c>
      <c r="L1576">
        <v>295</v>
      </c>
      <c r="N1576">
        <v>0</v>
      </c>
      <c r="O1576">
        <f t="shared" si="537"/>
        <v>8</v>
      </c>
      <c r="P1576" s="57">
        <f t="shared" si="538"/>
        <v>6</v>
      </c>
      <c r="Q1576" s="267">
        <f t="shared" si="539"/>
        <v>94381</v>
      </c>
      <c r="R1576" s="23" t="str">
        <f t="shared" si="540"/>
        <v/>
      </c>
      <c r="S1576" s="23">
        <f t="shared" si="541"/>
        <v>13682</v>
      </c>
      <c r="T1576" s="23" t="str">
        <f t="shared" si="542"/>
        <v/>
      </c>
      <c r="U1576" t="str">
        <f t="shared" si="543"/>
        <v/>
      </c>
      <c r="X1576" s="71"/>
      <c r="Z1576" s="44"/>
      <c r="AF1576" s="22"/>
    </row>
    <row r="1577" spans="1:45">
      <c r="A1577" t="str">
        <f t="shared" si="544"/>
        <v>CA_Orang_2020p~member, county central committee 74th assembly district - dem (vote for 6)</v>
      </c>
      <c r="B1577" s="55" t="s">
        <v>3163</v>
      </c>
      <c r="D1577" s="55" t="s">
        <v>3427</v>
      </c>
      <c r="E1577" s="55" t="s">
        <v>3430</v>
      </c>
      <c r="F1577" t="s">
        <v>1294</v>
      </c>
      <c r="G1577" s="60">
        <v>13085</v>
      </c>
      <c r="H1577" s="26">
        <f t="shared" si="545"/>
        <v>6.963625236156569E-2</v>
      </c>
      <c r="J1577" s="23">
        <v>187905</v>
      </c>
      <c r="K1577">
        <v>295</v>
      </c>
      <c r="L1577">
        <v>295</v>
      </c>
      <c r="N1577">
        <v>0</v>
      </c>
      <c r="O1577">
        <f t="shared" si="537"/>
        <v>9</v>
      </c>
      <c r="P1577" s="57">
        <f t="shared" si="538"/>
        <v>6</v>
      </c>
      <c r="Q1577" s="267">
        <f t="shared" si="539"/>
        <v>80699</v>
      </c>
      <c r="R1577" s="23" t="str">
        <f t="shared" si="540"/>
        <v/>
      </c>
      <c r="S1577" s="23">
        <f t="shared" si="541"/>
        <v>13085</v>
      </c>
      <c r="T1577" s="23" t="str">
        <f t="shared" si="542"/>
        <v/>
      </c>
      <c r="U1577" t="str">
        <f t="shared" si="543"/>
        <v/>
      </c>
      <c r="X1577" s="71"/>
      <c r="Z1577" s="44"/>
      <c r="AF1577" s="22"/>
    </row>
    <row r="1578" spans="1:45">
      <c r="A1578" t="str">
        <f t="shared" si="544"/>
        <v>CA_Orang_2020p~member, county central committee 74th assembly district - dem (vote for 6)</v>
      </c>
      <c r="B1578" s="55" t="s">
        <v>3163</v>
      </c>
      <c r="D1578" s="55" t="s">
        <v>3427</v>
      </c>
      <c r="E1578" s="55" t="s">
        <v>3437</v>
      </c>
      <c r="F1578" t="s">
        <v>1294</v>
      </c>
      <c r="G1578" s="60">
        <v>12786</v>
      </c>
      <c r="H1578" s="26">
        <f t="shared" si="545"/>
        <v>6.804502275085815E-2</v>
      </c>
      <c r="J1578" s="23">
        <v>187905</v>
      </c>
      <c r="K1578">
        <v>295</v>
      </c>
      <c r="L1578">
        <v>295</v>
      </c>
      <c r="N1578">
        <v>0</v>
      </c>
      <c r="O1578">
        <f t="shared" si="537"/>
        <v>10</v>
      </c>
      <c r="P1578" s="57">
        <f t="shared" si="538"/>
        <v>6</v>
      </c>
      <c r="Q1578" s="267">
        <f t="shared" si="539"/>
        <v>67614</v>
      </c>
      <c r="R1578" s="23" t="str">
        <f t="shared" si="540"/>
        <v/>
      </c>
      <c r="S1578" s="23">
        <f t="shared" si="541"/>
        <v>12786</v>
      </c>
      <c r="T1578" s="23" t="str">
        <f t="shared" si="542"/>
        <v/>
      </c>
      <c r="U1578" t="str">
        <f t="shared" si="543"/>
        <v/>
      </c>
      <c r="X1578" s="71"/>
      <c r="Z1578" s="44"/>
      <c r="AF1578" s="22"/>
    </row>
    <row r="1579" spans="1:45">
      <c r="A1579" t="str">
        <f t="shared" si="544"/>
        <v>CA_Orang_2020p~member, county central committee 74th assembly district - dem (vote for 6)</v>
      </c>
      <c r="B1579" s="55" t="s">
        <v>3163</v>
      </c>
      <c r="D1579" s="55" t="s">
        <v>3427</v>
      </c>
      <c r="E1579" s="55" t="s">
        <v>3429</v>
      </c>
      <c r="F1579" t="s">
        <v>1294</v>
      </c>
      <c r="G1579" s="60">
        <v>11049</v>
      </c>
      <c r="H1579" s="26">
        <f t="shared" si="545"/>
        <v>5.8800989861898301E-2</v>
      </c>
      <c r="J1579" s="23">
        <v>187905</v>
      </c>
      <c r="K1579">
        <v>295</v>
      </c>
      <c r="L1579">
        <v>295</v>
      </c>
      <c r="N1579">
        <v>0</v>
      </c>
      <c r="O1579">
        <f t="shared" si="537"/>
        <v>11</v>
      </c>
      <c r="P1579" s="57">
        <f t="shared" si="538"/>
        <v>6</v>
      </c>
      <c r="Q1579" s="267">
        <f t="shared" si="539"/>
        <v>54828</v>
      </c>
      <c r="R1579" s="23" t="str">
        <f t="shared" si="540"/>
        <v/>
      </c>
      <c r="S1579" s="23">
        <f t="shared" si="541"/>
        <v>11049</v>
      </c>
      <c r="T1579" s="23" t="str">
        <f t="shared" si="542"/>
        <v/>
      </c>
      <c r="U1579" t="str">
        <f t="shared" si="543"/>
        <v/>
      </c>
      <c r="X1579" s="71"/>
      <c r="Z1579" s="44"/>
      <c r="AF1579" s="22"/>
      <c r="AG1579" s="23"/>
      <c r="AH1579" s="8"/>
    </row>
    <row r="1580" spans="1:45">
      <c r="A1580" t="str">
        <f t="shared" si="544"/>
        <v>CA_Orang_2020p~member, county central committee 74th assembly district - dem (vote for 6)</v>
      </c>
      <c r="B1580" s="55" t="s">
        <v>3163</v>
      </c>
      <c r="D1580" s="55" t="s">
        <v>3427</v>
      </c>
      <c r="E1580" s="55" t="s">
        <v>3444</v>
      </c>
      <c r="F1580" t="s">
        <v>1294</v>
      </c>
      <c r="G1580" s="60">
        <v>10057</v>
      </c>
      <c r="H1580" s="26">
        <f t="shared" si="545"/>
        <v>5.3521726404300043E-2</v>
      </c>
      <c r="J1580" s="23">
        <v>187905</v>
      </c>
      <c r="K1580">
        <v>295</v>
      </c>
      <c r="L1580">
        <v>295</v>
      </c>
      <c r="N1580">
        <v>0</v>
      </c>
      <c r="O1580">
        <f t="shared" si="537"/>
        <v>12</v>
      </c>
      <c r="P1580" s="57">
        <f t="shared" si="538"/>
        <v>6</v>
      </c>
      <c r="Q1580" s="267">
        <f t="shared" si="539"/>
        <v>43779</v>
      </c>
      <c r="R1580" s="23" t="str">
        <f t="shared" si="540"/>
        <v/>
      </c>
      <c r="S1580" s="23">
        <f t="shared" si="541"/>
        <v>10057</v>
      </c>
      <c r="T1580" s="23" t="str">
        <f t="shared" si="542"/>
        <v/>
      </c>
      <c r="U1580" t="str">
        <f t="shared" si="543"/>
        <v/>
      </c>
      <c r="X1580" s="71"/>
      <c r="Z1580" s="44"/>
      <c r="AF1580" s="22"/>
    </row>
    <row r="1581" spans="1:45">
      <c r="A1581" t="str">
        <f t="shared" si="544"/>
        <v>CA_Orang_2020p~member, county central committee 74th assembly district - dem (vote for 6)</v>
      </c>
      <c r="B1581" s="55" t="s">
        <v>3163</v>
      </c>
      <c r="D1581" s="55" t="s">
        <v>3427</v>
      </c>
      <c r="E1581" s="55" t="s">
        <v>3436</v>
      </c>
      <c r="F1581" t="s">
        <v>1294</v>
      </c>
      <c r="G1581" s="60">
        <v>9008</v>
      </c>
      <c r="H1581" s="26">
        <f t="shared" si="545"/>
        <v>4.7939118171416405E-2</v>
      </c>
      <c r="J1581" s="23">
        <v>187905</v>
      </c>
      <c r="K1581">
        <v>295</v>
      </c>
      <c r="L1581">
        <v>295</v>
      </c>
      <c r="N1581">
        <v>0</v>
      </c>
      <c r="O1581">
        <f t="shared" si="537"/>
        <v>13</v>
      </c>
      <c r="P1581" s="57">
        <f t="shared" si="538"/>
        <v>6</v>
      </c>
      <c r="Q1581" s="267">
        <f t="shared" si="539"/>
        <v>33722</v>
      </c>
      <c r="R1581" s="23" t="str">
        <f t="shared" si="540"/>
        <v/>
      </c>
      <c r="S1581" s="23">
        <f t="shared" si="541"/>
        <v>9008</v>
      </c>
      <c r="T1581" s="23" t="str">
        <f t="shared" si="542"/>
        <v/>
      </c>
      <c r="U1581" t="str">
        <f t="shared" si="543"/>
        <v/>
      </c>
      <c r="X1581" s="71"/>
      <c r="Z1581" s="44"/>
      <c r="AF1581" s="22"/>
    </row>
    <row r="1582" spans="1:45">
      <c r="A1582" t="str">
        <f t="shared" si="544"/>
        <v>CA_Orang_2020p~member, county central committee 74th assembly district - dem (vote for 6)</v>
      </c>
      <c r="B1582" s="55" t="s">
        <v>3163</v>
      </c>
      <c r="D1582" s="55" t="s">
        <v>3427</v>
      </c>
      <c r="E1582" s="55" t="s">
        <v>3431</v>
      </c>
      <c r="F1582" t="s">
        <v>1294</v>
      </c>
      <c r="G1582" s="60">
        <v>7203</v>
      </c>
      <c r="H1582" s="26">
        <f t="shared" si="545"/>
        <v>3.8333200287379264E-2</v>
      </c>
      <c r="J1582" s="23">
        <v>187905</v>
      </c>
      <c r="K1582">
        <v>295</v>
      </c>
      <c r="L1582">
        <v>295</v>
      </c>
      <c r="N1582">
        <v>0</v>
      </c>
      <c r="O1582">
        <f t="shared" si="537"/>
        <v>14</v>
      </c>
      <c r="P1582" s="57">
        <f t="shared" si="538"/>
        <v>6</v>
      </c>
      <c r="Q1582" s="267">
        <f t="shared" si="539"/>
        <v>24714</v>
      </c>
      <c r="R1582" s="23" t="str">
        <f t="shared" si="540"/>
        <v/>
      </c>
      <c r="S1582" s="23">
        <f t="shared" si="541"/>
        <v>7203</v>
      </c>
      <c r="T1582" s="23" t="str">
        <f t="shared" si="542"/>
        <v/>
      </c>
      <c r="U1582" t="str">
        <f t="shared" si="543"/>
        <v/>
      </c>
      <c r="X1582" s="71"/>
      <c r="Z1582" s="44"/>
      <c r="AF1582" s="22"/>
      <c r="AO1582" s="356"/>
      <c r="AP1582" s="356"/>
      <c r="AQ1582" s="394"/>
      <c r="AR1582" s="394"/>
      <c r="AS1582" s="394"/>
    </row>
    <row r="1583" spans="1:45">
      <c r="A1583" t="str">
        <f t="shared" si="544"/>
        <v>CA_Orang_2020p~member, county central committee 74th assembly district - dem (vote for 6)</v>
      </c>
      <c r="B1583" s="55" t="s">
        <v>3163</v>
      </c>
      <c r="D1583" s="55" t="s">
        <v>3427</v>
      </c>
      <c r="E1583" s="55" t="s">
        <v>3428</v>
      </c>
      <c r="F1583" t="s">
        <v>1294</v>
      </c>
      <c r="G1583" s="60">
        <v>7077</v>
      </c>
      <c r="H1583" s="26">
        <f t="shared" si="545"/>
        <v>3.7662648678853675E-2</v>
      </c>
      <c r="J1583" s="23">
        <v>187905</v>
      </c>
      <c r="K1583">
        <v>295</v>
      </c>
      <c r="L1583">
        <v>295</v>
      </c>
      <c r="N1583">
        <v>0</v>
      </c>
      <c r="O1583">
        <f t="shared" si="537"/>
        <v>15</v>
      </c>
      <c r="P1583" s="57">
        <f t="shared" si="538"/>
        <v>6</v>
      </c>
      <c r="Q1583" s="267">
        <f t="shared" si="539"/>
        <v>17511</v>
      </c>
      <c r="R1583" s="23" t="str">
        <f t="shared" si="540"/>
        <v/>
      </c>
      <c r="S1583" s="23">
        <f t="shared" si="541"/>
        <v>7077</v>
      </c>
      <c r="T1583" s="23" t="str">
        <f t="shared" si="542"/>
        <v/>
      </c>
      <c r="U1583" t="str">
        <f t="shared" si="543"/>
        <v/>
      </c>
      <c r="X1583" s="71"/>
      <c r="Z1583" s="44"/>
      <c r="AF1583" s="22"/>
    </row>
    <row r="1584" spans="1:45">
      <c r="A1584" t="str">
        <f t="shared" si="544"/>
        <v>CA_Orang_2020p~member, county central committee 74th assembly district - dem (vote for 6)</v>
      </c>
      <c r="B1584" s="55" t="s">
        <v>3163</v>
      </c>
      <c r="D1584" s="55" t="s">
        <v>3427</v>
      </c>
      <c r="E1584" s="55" t="s">
        <v>3443</v>
      </c>
      <c r="F1584" t="s">
        <v>1294</v>
      </c>
      <c r="G1584" s="60">
        <v>6061</v>
      </c>
      <c r="H1584" s="26">
        <f t="shared" si="545"/>
        <v>3.2255661105345786E-2</v>
      </c>
      <c r="J1584" s="23">
        <v>187905</v>
      </c>
      <c r="K1584">
        <v>295</v>
      </c>
      <c r="L1584">
        <v>295</v>
      </c>
      <c r="N1584">
        <v>0</v>
      </c>
      <c r="O1584">
        <f t="shared" si="537"/>
        <v>16</v>
      </c>
      <c r="P1584" s="57">
        <f t="shared" si="538"/>
        <v>6</v>
      </c>
      <c r="Q1584" s="267">
        <f t="shared" si="539"/>
        <v>10434</v>
      </c>
      <c r="R1584" s="23" t="str">
        <f t="shared" si="540"/>
        <v/>
      </c>
      <c r="S1584" s="23">
        <f t="shared" si="541"/>
        <v>6061</v>
      </c>
      <c r="T1584" s="23" t="str">
        <f t="shared" si="542"/>
        <v/>
      </c>
      <c r="U1584" t="str">
        <f t="shared" si="543"/>
        <v/>
      </c>
      <c r="X1584" s="71"/>
      <c r="Z1584" s="44"/>
      <c r="AF1584" s="22"/>
    </row>
    <row r="1585" spans="1:45">
      <c r="A1585" t="str">
        <f t="shared" si="544"/>
        <v>CA_Orang_2020p~member, county central committee 74th assembly district - dem (vote for 6)</v>
      </c>
      <c r="B1585" s="55" t="s">
        <v>3163</v>
      </c>
      <c r="D1585" s="55" t="s">
        <v>3427</v>
      </c>
      <c r="E1585" s="55" t="s">
        <v>3438</v>
      </c>
      <c r="F1585" t="s">
        <v>1294</v>
      </c>
      <c r="G1585" s="60">
        <v>4373</v>
      </c>
      <c r="H1585" s="26">
        <f t="shared" si="545"/>
        <v>2.3272398286368113E-2</v>
      </c>
      <c r="J1585" s="23">
        <v>187905</v>
      </c>
      <c r="K1585">
        <v>295</v>
      </c>
      <c r="L1585">
        <v>295</v>
      </c>
      <c r="N1585">
        <v>0</v>
      </c>
      <c r="O1585">
        <f t="shared" si="537"/>
        <v>17</v>
      </c>
      <c r="P1585" s="57">
        <f t="shared" si="538"/>
        <v>6</v>
      </c>
      <c r="Q1585" s="267">
        <f t="shared" si="539"/>
        <v>4373</v>
      </c>
      <c r="R1585" s="23" t="str">
        <f t="shared" si="540"/>
        <v/>
      </c>
      <c r="S1585" s="23">
        <f t="shared" si="541"/>
        <v>4373</v>
      </c>
      <c r="T1585" s="23" t="str">
        <f t="shared" si="542"/>
        <v/>
      </c>
      <c r="U1585" t="str">
        <f t="shared" si="543"/>
        <v/>
      </c>
      <c r="X1585" s="71"/>
      <c r="Z1585" s="44"/>
      <c r="AF1585" s="22"/>
    </row>
    <row r="1586" spans="1:45">
      <c r="A1586" t="str">
        <f t="shared" si="544"/>
        <v>CA_Orang_2020p~member, county central committee 74th assembly district - rep (vote for 6)</v>
      </c>
      <c r="B1586" s="55" t="s">
        <v>3163</v>
      </c>
      <c r="D1586" s="55" t="s">
        <v>3518</v>
      </c>
      <c r="E1586" s="55" t="s">
        <v>3519</v>
      </c>
      <c r="F1586" t="s">
        <v>1296</v>
      </c>
      <c r="G1586" s="60">
        <v>29458</v>
      </c>
      <c r="H1586" s="26">
        <f t="shared" si="545"/>
        <v>0.15354624161458633</v>
      </c>
      <c r="J1586" s="23">
        <v>191851</v>
      </c>
      <c r="K1586">
        <v>295</v>
      </c>
      <c r="L1586">
        <v>295</v>
      </c>
      <c r="N1586">
        <v>0</v>
      </c>
      <c r="O1586">
        <f t="shared" si="537"/>
        <v>1</v>
      </c>
      <c r="P1586" s="57">
        <f t="shared" si="538"/>
        <v>6</v>
      </c>
      <c r="Q1586" s="267">
        <f t="shared" si="539"/>
        <v>33170.666666666664</v>
      </c>
      <c r="R1586" s="23">
        <f t="shared" si="540"/>
        <v>14822</v>
      </c>
      <c r="S1586" s="23">
        <f t="shared" si="541"/>
        <v>13436</v>
      </c>
      <c r="T1586" s="23">
        <f t="shared" si="542"/>
        <v>1386</v>
      </c>
      <c r="U1586" t="str">
        <f t="shared" si="543"/>
        <v>CA_Orang_2020p~member, county central committee 74th assembly district - rep (vote for 6)</v>
      </c>
      <c r="X1586" s="71"/>
      <c r="Z1586" s="44"/>
      <c r="AF1586" s="22"/>
    </row>
    <row r="1587" spans="1:45">
      <c r="A1587" t="str">
        <f t="shared" si="544"/>
        <v>CA_Orang_2020p~member, county central committee 74th assembly district - rep (vote for 6)</v>
      </c>
      <c r="B1587" s="55" t="s">
        <v>3163</v>
      </c>
      <c r="D1587" s="55" t="s">
        <v>3518</v>
      </c>
      <c r="E1587" s="55" t="s">
        <v>3526</v>
      </c>
      <c r="F1587" t="s">
        <v>1296</v>
      </c>
      <c r="G1587" s="60">
        <v>26120</v>
      </c>
      <c r="H1587" s="26">
        <f t="shared" si="545"/>
        <v>0.13614732266185739</v>
      </c>
      <c r="J1587" s="23">
        <v>191851</v>
      </c>
      <c r="K1587">
        <v>295</v>
      </c>
      <c r="L1587">
        <v>295</v>
      </c>
      <c r="N1587">
        <v>0</v>
      </c>
      <c r="O1587">
        <f t="shared" si="537"/>
        <v>2</v>
      </c>
      <c r="P1587" s="57">
        <f t="shared" si="538"/>
        <v>6</v>
      </c>
      <c r="Q1587" s="267">
        <f t="shared" si="539"/>
        <v>169566</v>
      </c>
      <c r="R1587" s="23">
        <f t="shared" si="540"/>
        <v>14822</v>
      </c>
      <c r="S1587" s="23">
        <f t="shared" si="541"/>
        <v>13436</v>
      </c>
      <c r="T1587" s="23" t="str">
        <f t="shared" si="542"/>
        <v/>
      </c>
      <c r="U1587" t="str">
        <f t="shared" si="543"/>
        <v/>
      </c>
      <c r="X1587" s="71"/>
      <c r="Z1587" s="44"/>
      <c r="AF1587" s="22"/>
    </row>
    <row r="1588" spans="1:45">
      <c r="A1588" t="str">
        <f t="shared" si="544"/>
        <v>CA_Orang_2020p~member, county central committee 74th assembly district - rep (vote for 6)</v>
      </c>
      <c r="B1588" s="55" t="s">
        <v>3163</v>
      </c>
      <c r="D1588" s="55" t="s">
        <v>3518</v>
      </c>
      <c r="E1588" s="55" t="s">
        <v>3525</v>
      </c>
      <c r="F1588" t="s">
        <v>1296</v>
      </c>
      <c r="G1588" s="60">
        <v>19499</v>
      </c>
      <c r="H1588" s="26">
        <f t="shared" si="545"/>
        <v>0.10163616556598611</v>
      </c>
      <c r="J1588" s="23">
        <v>191851</v>
      </c>
      <c r="K1588">
        <v>295</v>
      </c>
      <c r="L1588">
        <v>295</v>
      </c>
      <c r="N1588">
        <v>0</v>
      </c>
      <c r="O1588">
        <f t="shared" si="537"/>
        <v>3</v>
      </c>
      <c r="P1588" s="57">
        <f t="shared" si="538"/>
        <v>6</v>
      </c>
      <c r="Q1588" s="267">
        <f t="shared" si="539"/>
        <v>143446</v>
      </c>
      <c r="R1588" s="23">
        <f t="shared" si="540"/>
        <v>14822</v>
      </c>
      <c r="S1588" s="23">
        <f t="shared" si="541"/>
        <v>13436</v>
      </c>
      <c r="T1588" s="23" t="str">
        <f t="shared" si="542"/>
        <v/>
      </c>
      <c r="U1588" t="str">
        <f t="shared" si="543"/>
        <v/>
      </c>
      <c r="X1588" s="71"/>
      <c r="Z1588" s="44"/>
      <c r="AF1588" s="22"/>
    </row>
    <row r="1589" spans="1:45">
      <c r="A1589" t="str">
        <f t="shared" si="544"/>
        <v>CA_Orang_2020p~member, county central committee 74th assembly district - rep (vote for 6)</v>
      </c>
      <c r="B1589" s="55" t="s">
        <v>3163</v>
      </c>
      <c r="D1589" s="55" t="s">
        <v>3518</v>
      </c>
      <c r="E1589" s="55" t="s">
        <v>3524</v>
      </c>
      <c r="F1589" t="s">
        <v>1296</v>
      </c>
      <c r="G1589" s="60">
        <v>17770</v>
      </c>
      <c r="H1589" s="26">
        <f t="shared" si="545"/>
        <v>9.2623963388254432E-2</v>
      </c>
      <c r="J1589" s="23">
        <v>191851</v>
      </c>
      <c r="K1589">
        <v>295</v>
      </c>
      <c r="L1589">
        <v>295</v>
      </c>
      <c r="N1589">
        <v>0</v>
      </c>
      <c r="O1589">
        <f t="shared" si="537"/>
        <v>4</v>
      </c>
      <c r="P1589" s="57">
        <f t="shared" si="538"/>
        <v>6</v>
      </c>
      <c r="Q1589" s="267">
        <f t="shared" si="539"/>
        <v>123947</v>
      </c>
      <c r="R1589" s="23">
        <f t="shared" si="540"/>
        <v>14822</v>
      </c>
      <c r="S1589" s="23">
        <f t="shared" si="541"/>
        <v>13436</v>
      </c>
      <c r="T1589" s="23" t="str">
        <f t="shared" si="542"/>
        <v/>
      </c>
      <c r="U1589" t="str">
        <f t="shared" si="543"/>
        <v/>
      </c>
      <c r="X1589" s="71"/>
      <c r="Z1589" s="44"/>
      <c r="AF1589" s="22"/>
    </row>
    <row r="1590" spans="1:45">
      <c r="A1590" t="str">
        <f t="shared" si="544"/>
        <v>CA_Orang_2020p~member, county central committee 74th assembly district - rep (vote for 6)</v>
      </c>
      <c r="B1590" s="55" t="s">
        <v>3163</v>
      </c>
      <c r="D1590" s="55" t="s">
        <v>3518</v>
      </c>
      <c r="E1590" s="55" t="s">
        <v>3532</v>
      </c>
      <c r="F1590" t="s">
        <v>1296</v>
      </c>
      <c r="G1590" s="60">
        <v>17051</v>
      </c>
      <c r="H1590" s="26">
        <f t="shared" si="545"/>
        <v>8.8876263350204071E-2</v>
      </c>
      <c r="J1590" s="23">
        <v>191851</v>
      </c>
      <c r="K1590">
        <v>295</v>
      </c>
      <c r="L1590">
        <v>295</v>
      </c>
      <c r="N1590">
        <v>0</v>
      </c>
      <c r="O1590">
        <f t="shared" si="537"/>
        <v>5</v>
      </c>
      <c r="P1590" s="57">
        <f t="shared" si="538"/>
        <v>6</v>
      </c>
      <c r="Q1590" s="267">
        <f t="shared" si="539"/>
        <v>106177</v>
      </c>
      <c r="R1590" s="23">
        <f t="shared" si="540"/>
        <v>14822</v>
      </c>
      <c r="S1590" s="23">
        <f t="shared" si="541"/>
        <v>13436</v>
      </c>
      <c r="T1590" s="23" t="str">
        <f t="shared" si="542"/>
        <v/>
      </c>
      <c r="U1590" t="str">
        <f t="shared" si="543"/>
        <v/>
      </c>
      <c r="X1590" s="71"/>
      <c r="Z1590" s="44"/>
      <c r="AF1590" s="22"/>
    </row>
    <row r="1591" spans="1:45">
      <c r="A1591" t="str">
        <f t="shared" si="544"/>
        <v>CA_Orang_2020p~member, county central committee 74th assembly district - rep (vote for 6)</v>
      </c>
      <c r="B1591" s="55" t="s">
        <v>3163</v>
      </c>
      <c r="D1591" s="55" t="s">
        <v>3518</v>
      </c>
      <c r="E1591" s="55" t="s">
        <v>3528</v>
      </c>
      <c r="F1591" t="s">
        <v>1296</v>
      </c>
      <c r="G1591" s="60">
        <v>14822</v>
      </c>
      <c r="H1591" s="26">
        <f t="shared" si="545"/>
        <v>7.7257871994412336E-2</v>
      </c>
      <c r="J1591" s="23">
        <v>191851</v>
      </c>
      <c r="K1591">
        <v>295</v>
      </c>
      <c r="L1591">
        <v>295</v>
      </c>
      <c r="N1591">
        <v>0</v>
      </c>
      <c r="O1591">
        <f t="shared" si="537"/>
        <v>6</v>
      </c>
      <c r="P1591" s="57">
        <f t="shared" si="538"/>
        <v>6</v>
      </c>
      <c r="Q1591" s="267">
        <f t="shared" si="539"/>
        <v>89126</v>
      </c>
      <c r="R1591" s="23">
        <f t="shared" si="540"/>
        <v>14822</v>
      </c>
      <c r="S1591" s="23">
        <f t="shared" si="541"/>
        <v>13436</v>
      </c>
      <c r="T1591" s="23" t="str">
        <f t="shared" si="542"/>
        <v/>
      </c>
      <c r="U1591" t="str">
        <f t="shared" si="543"/>
        <v/>
      </c>
      <c r="X1591" s="71"/>
      <c r="Z1591" s="44"/>
      <c r="AF1591" s="22"/>
    </row>
    <row r="1592" spans="1:45">
      <c r="A1592" t="str">
        <f t="shared" si="544"/>
        <v>CA_Orang_2020p~member, county central committee 74th assembly district - rep (vote for 6)</v>
      </c>
      <c r="B1592" s="55" t="s">
        <v>3163</v>
      </c>
      <c r="D1592" s="55" t="s">
        <v>3518</v>
      </c>
      <c r="E1592" s="55" t="s">
        <v>3531</v>
      </c>
      <c r="F1592" t="s">
        <v>1296</v>
      </c>
      <c r="G1592" s="60">
        <v>13436</v>
      </c>
      <c r="H1592" s="26">
        <f t="shared" si="545"/>
        <v>7.0033515592829859E-2</v>
      </c>
      <c r="J1592" s="23">
        <v>191851</v>
      </c>
      <c r="K1592">
        <v>295</v>
      </c>
      <c r="L1592">
        <v>295</v>
      </c>
      <c r="N1592">
        <v>0</v>
      </c>
      <c r="O1592">
        <f t="shared" si="537"/>
        <v>7</v>
      </c>
      <c r="P1592" s="57">
        <f t="shared" si="538"/>
        <v>6</v>
      </c>
      <c r="Q1592" s="267">
        <f t="shared" si="539"/>
        <v>74304</v>
      </c>
      <c r="R1592" s="23" t="str">
        <f t="shared" si="540"/>
        <v/>
      </c>
      <c r="S1592" s="23">
        <f t="shared" si="541"/>
        <v>13436</v>
      </c>
      <c r="T1592" s="23" t="str">
        <f t="shared" si="542"/>
        <v/>
      </c>
      <c r="U1592" t="str">
        <f t="shared" si="543"/>
        <v/>
      </c>
      <c r="X1592" s="71"/>
      <c r="Z1592" s="44"/>
      <c r="AF1592" s="22"/>
    </row>
    <row r="1593" spans="1:45">
      <c r="A1593" t="str">
        <f t="shared" si="544"/>
        <v>CA_Orang_2020p~member, county central committee 74th assembly district - rep (vote for 6)</v>
      </c>
      <c r="B1593" s="55" t="s">
        <v>3163</v>
      </c>
      <c r="D1593" s="55" t="s">
        <v>3518</v>
      </c>
      <c r="E1593" s="55" t="s">
        <v>3533</v>
      </c>
      <c r="F1593" t="s">
        <v>1296</v>
      </c>
      <c r="G1593" s="60">
        <v>11074</v>
      </c>
      <c r="H1593" s="26">
        <f t="shared" si="545"/>
        <v>5.7721877915674145E-2</v>
      </c>
      <c r="J1593" s="23">
        <v>191851</v>
      </c>
      <c r="K1593">
        <v>295</v>
      </c>
      <c r="L1593">
        <v>295</v>
      </c>
      <c r="N1593">
        <v>0</v>
      </c>
      <c r="O1593">
        <f t="shared" si="537"/>
        <v>8</v>
      </c>
      <c r="P1593" s="57">
        <f t="shared" si="538"/>
        <v>6</v>
      </c>
      <c r="Q1593" s="267">
        <f t="shared" si="539"/>
        <v>60868</v>
      </c>
      <c r="R1593" s="23" t="str">
        <f t="shared" si="540"/>
        <v/>
      </c>
      <c r="S1593" s="23">
        <f t="shared" si="541"/>
        <v>11074</v>
      </c>
      <c r="T1593" s="23" t="str">
        <f t="shared" si="542"/>
        <v/>
      </c>
      <c r="U1593" t="str">
        <f t="shared" si="543"/>
        <v/>
      </c>
      <c r="X1593" s="71"/>
      <c r="Z1593" s="44"/>
      <c r="AF1593" s="22"/>
      <c r="AH1593" s="8"/>
      <c r="AL1593" s="23"/>
    </row>
    <row r="1594" spans="1:45">
      <c r="A1594" t="str">
        <f t="shared" si="544"/>
        <v>CA_Orang_2020p~member, county central committee 74th assembly district - rep (vote for 6)</v>
      </c>
      <c r="B1594" s="55" t="s">
        <v>3163</v>
      </c>
      <c r="D1594" s="55" t="s">
        <v>3518</v>
      </c>
      <c r="E1594" s="55" t="s">
        <v>3534</v>
      </c>
      <c r="F1594" t="s">
        <v>1296</v>
      </c>
      <c r="G1594" s="60">
        <v>9315</v>
      </c>
      <c r="H1594" s="26">
        <f t="shared" si="545"/>
        <v>4.8553304387258862E-2</v>
      </c>
      <c r="J1594" s="23">
        <v>191851</v>
      </c>
      <c r="K1594">
        <v>295</v>
      </c>
      <c r="L1594">
        <v>295</v>
      </c>
      <c r="N1594">
        <v>0</v>
      </c>
      <c r="O1594">
        <f t="shared" si="537"/>
        <v>9</v>
      </c>
      <c r="P1594" s="57">
        <f t="shared" si="538"/>
        <v>6</v>
      </c>
      <c r="Q1594" s="267">
        <f t="shared" si="539"/>
        <v>49794</v>
      </c>
      <c r="R1594" s="23" t="str">
        <f t="shared" si="540"/>
        <v/>
      </c>
      <c r="S1594" s="23">
        <f t="shared" si="541"/>
        <v>9315</v>
      </c>
      <c r="T1594" s="23" t="str">
        <f t="shared" si="542"/>
        <v/>
      </c>
      <c r="U1594" t="str">
        <f t="shared" si="543"/>
        <v/>
      </c>
      <c r="X1594" s="71"/>
      <c r="Z1594" s="44"/>
      <c r="AF1594" s="22"/>
      <c r="AH1594" s="8"/>
      <c r="AL1594" s="23"/>
    </row>
    <row r="1595" spans="1:45">
      <c r="A1595" t="str">
        <f t="shared" si="544"/>
        <v>CA_Orang_2020p~member, county central committee 74th assembly district - rep (vote for 6)</v>
      </c>
      <c r="B1595" s="55" t="s">
        <v>3163</v>
      </c>
      <c r="D1595" s="55" t="s">
        <v>3518</v>
      </c>
      <c r="E1595" s="55" t="s">
        <v>3522</v>
      </c>
      <c r="F1595" t="s">
        <v>1296</v>
      </c>
      <c r="G1595" s="60">
        <v>8619</v>
      </c>
      <c r="H1595" s="26">
        <f t="shared" si="545"/>
        <v>4.4925489051399266E-2</v>
      </c>
      <c r="J1595" s="23">
        <v>191851</v>
      </c>
      <c r="K1595">
        <v>295</v>
      </c>
      <c r="L1595">
        <v>295</v>
      </c>
      <c r="N1595">
        <v>0</v>
      </c>
      <c r="O1595">
        <f t="shared" si="537"/>
        <v>10</v>
      </c>
      <c r="P1595" s="57">
        <f t="shared" si="538"/>
        <v>6</v>
      </c>
      <c r="Q1595" s="267">
        <f t="shared" si="539"/>
        <v>40479</v>
      </c>
      <c r="R1595" s="23" t="str">
        <f t="shared" si="540"/>
        <v/>
      </c>
      <c r="S1595" s="23">
        <f t="shared" si="541"/>
        <v>8619</v>
      </c>
      <c r="T1595" s="23" t="str">
        <f t="shared" si="542"/>
        <v/>
      </c>
      <c r="U1595" t="str">
        <f t="shared" si="543"/>
        <v/>
      </c>
      <c r="X1595" s="71"/>
      <c r="Z1595" s="44"/>
      <c r="AF1595" s="22"/>
      <c r="AH1595" s="8"/>
      <c r="AL1595" s="23"/>
    </row>
    <row r="1596" spans="1:45">
      <c r="A1596" t="str">
        <f t="shared" si="544"/>
        <v>CA_Orang_2020p~member, county central committee 74th assembly district - rep (vote for 6)</v>
      </c>
      <c r="B1596" s="55" t="s">
        <v>3163</v>
      </c>
      <c r="D1596" s="55" t="s">
        <v>3518</v>
      </c>
      <c r="E1596" s="55" t="s">
        <v>3527</v>
      </c>
      <c r="F1596" t="s">
        <v>1296</v>
      </c>
      <c r="G1596" s="60">
        <v>8508</v>
      </c>
      <c r="H1596" s="26">
        <f t="shared" si="545"/>
        <v>4.434691505386993E-2</v>
      </c>
      <c r="J1596" s="23">
        <v>191851</v>
      </c>
      <c r="K1596">
        <v>295</v>
      </c>
      <c r="L1596">
        <v>295</v>
      </c>
      <c r="N1596">
        <v>0</v>
      </c>
      <c r="O1596">
        <f t="shared" si="537"/>
        <v>11</v>
      </c>
      <c r="P1596" s="57">
        <f t="shared" si="538"/>
        <v>6</v>
      </c>
      <c r="Q1596" s="267">
        <f t="shared" si="539"/>
        <v>31860</v>
      </c>
      <c r="R1596" s="23" t="str">
        <f t="shared" si="540"/>
        <v/>
      </c>
      <c r="S1596" s="23">
        <f t="shared" si="541"/>
        <v>8508</v>
      </c>
      <c r="T1596" s="23" t="str">
        <f t="shared" si="542"/>
        <v/>
      </c>
      <c r="U1596" t="str">
        <f t="shared" si="543"/>
        <v/>
      </c>
      <c r="X1596" s="71"/>
      <c r="Z1596" s="44"/>
      <c r="AF1596" s="293"/>
      <c r="AO1596" s="356"/>
      <c r="AP1596" s="356"/>
      <c r="AQ1596" s="394"/>
      <c r="AR1596" s="394"/>
      <c r="AS1596" s="394"/>
    </row>
    <row r="1597" spans="1:45">
      <c r="A1597" t="str">
        <f t="shared" si="544"/>
        <v>CA_Orang_2020p~member, county central committee 74th assembly district - rep (vote for 6)</v>
      </c>
      <c r="B1597" s="55" t="s">
        <v>3163</v>
      </c>
      <c r="D1597" s="55" t="s">
        <v>3518</v>
      </c>
      <c r="E1597" s="55" t="s">
        <v>3521</v>
      </c>
      <c r="F1597" t="s">
        <v>1296</v>
      </c>
      <c r="G1597" s="60">
        <v>5911</v>
      </c>
      <c r="H1597" s="26">
        <f t="shared" si="545"/>
        <v>3.0810368463025994E-2</v>
      </c>
      <c r="J1597" s="23">
        <v>191851</v>
      </c>
      <c r="K1597">
        <v>295</v>
      </c>
      <c r="L1597">
        <v>295</v>
      </c>
      <c r="N1597">
        <v>0</v>
      </c>
      <c r="O1597">
        <f t="shared" si="537"/>
        <v>12</v>
      </c>
      <c r="P1597" s="57">
        <f t="shared" si="538"/>
        <v>6</v>
      </c>
      <c r="Q1597" s="267">
        <f t="shared" si="539"/>
        <v>23352</v>
      </c>
      <c r="R1597" s="23" t="str">
        <f t="shared" si="540"/>
        <v/>
      </c>
      <c r="S1597" s="23">
        <f t="shared" si="541"/>
        <v>5911</v>
      </c>
      <c r="T1597" s="23" t="str">
        <f t="shared" si="542"/>
        <v/>
      </c>
      <c r="U1597" t="str">
        <f t="shared" si="543"/>
        <v/>
      </c>
      <c r="X1597" s="71"/>
      <c r="Z1597" s="44"/>
      <c r="AF1597" s="22"/>
    </row>
    <row r="1598" spans="1:45">
      <c r="A1598" t="str">
        <f t="shared" si="544"/>
        <v>CA_Orang_2020p~member, county central committee 74th assembly district - rep (vote for 6)</v>
      </c>
      <c r="B1598" s="55" t="s">
        <v>3163</v>
      </c>
      <c r="D1598" s="55" t="s">
        <v>3518</v>
      </c>
      <c r="E1598" s="55" t="s">
        <v>3523</v>
      </c>
      <c r="F1598" t="s">
        <v>1296</v>
      </c>
      <c r="G1598" s="60">
        <v>5590</v>
      </c>
      <c r="H1598" s="26">
        <f t="shared" si="545"/>
        <v>2.9137195010711436E-2</v>
      </c>
      <c r="J1598" s="23">
        <v>191851</v>
      </c>
      <c r="K1598">
        <v>295</v>
      </c>
      <c r="L1598">
        <v>295</v>
      </c>
      <c r="N1598">
        <v>0</v>
      </c>
      <c r="O1598">
        <f t="shared" si="537"/>
        <v>13</v>
      </c>
      <c r="P1598" s="57">
        <f t="shared" si="538"/>
        <v>6</v>
      </c>
      <c r="Q1598" s="267">
        <f t="shared" si="539"/>
        <v>17441</v>
      </c>
      <c r="R1598" s="23" t="str">
        <f t="shared" si="540"/>
        <v/>
      </c>
      <c r="S1598" s="23">
        <f t="shared" si="541"/>
        <v>5590</v>
      </c>
      <c r="T1598" s="23" t="str">
        <f t="shared" si="542"/>
        <v/>
      </c>
      <c r="U1598" t="str">
        <f t="shared" si="543"/>
        <v/>
      </c>
      <c r="X1598" s="71"/>
      <c r="Z1598" s="44"/>
      <c r="AF1598" s="22"/>
      <c r="AG1598" s="302"/>
      <c r="AH1598" s="301"/>
      <c r="AI1598" s="303"/>
      <c r="AJ1598" s="303"/>
      <c r="AK1598" s="342"/>
      <c r="AL1598" s="343"/>
    </row>
    <row r="1599" spans="1:45">
      <c r="A1599" t="str">
        <f t="shared" si="544"/>
        <v>CA_Orang_2020p~member, county central committee 74th assembly district - rep (vote for 6)</v>
      </c>
      <c r="B1599" s="55" t="s">
        <v>3163</v>
      </c>
      <c r="D1599" s="55" t="s">
        <v>3518</v>
      </c>
      <c r="E1599" s="55" t="s">
        <v>3529</v>
      </c>
      <c r="F1599" t="s">
        <v>1296</v>
      </c>
      <c r="G1599" s="60">
        <v>5282</v>
      </c>
      <c r="H1599" s="26">
        <f t="shared" si="545"/>
        <v>2.7531782477026444E-2</v>
      </c>
      <c r="J1599" s="23">
        <v>191851</v>
      </c>
      <c r="K1599">
        <v>295</v>
      </c>
      <c r="L1599">
        <v>295</v>
      </c>
      <c r="N1599">
        <v>0</v>
      </c>
      <c r="O1599">
        <f t="shared" si="537"/>
        <v>14</v>
      </c>
      <c r="P1599" s="57">
        <f t="shared" si="538"/>
        <v>6</v>
      </c>
      <c r="Q1599" s="267">
        <f t="shared" si="539"/>
        <v>11851</v>
      </c>
      <c r="R1599" s="23" t="str">
        <f t="shared" si="540"/>
        <v/>
      </c>
      <c r="S1599" s="23">
        <f t="shared" si="541"/>
        <v>5282</v>
      </c>
      <c r="T1599" s="23" t="str">
        <f t="shared" si="542"/>
        <v/>
      </c>
      <c r="U1599" t="str">
        <f t="shared" si="543"/>
        <v/>
      </c>
      <c r="X1599" s="71"/>
      <c r="Z1599" s="44"/>
      <c r="AF1599" s="22"/>
    </row>
    <row r="1600" spans="1:45">
      <c r="A1600" t="str">
        <f t="shared" si="544"/>
        <v>CA_Orang_2020p~member, county central committee 74th assembly district - rep (vote for 6)</v>
      </c>
      <c r="B1600" s="55" t="s">
        <v>3163</v>
      </c>
      <c r="D1600" s="55" t="s">
        <v>3518</v>
      </c>
      <c r="E1600" s="55" t="s">
        <v>3520</v>
      </c>
      <c r="F1600" t="s">
        <v>1296</v>
      </c>
      <c r="G1600" s="60">
        <v>4098</v>
      </c>
      <c r="H1600" s="26">
        <f t="shared" si="545"/>
        <v>2.1360326503380229E-2</v>
      </c>
      <c r="J1600" s="23">
        <v>191851</v>
      </c>
      <c r="K1600">
        <v>295</v>
      </c>
      <c r="L1600">
        <v>295</v>
      </c>
      <c r="N1600">
        <v>0</v>
      </c>
      <c r="O1600">
        <f t="shared" si="537"/>
        <v>15</v>
      </c>
      <c r="P1600" s="57">
        <f t="shared" si="538"/>
        <v>6</v>
      </c>
      <c r="Q1600" s="267">
        <f t="shared" si="539"/>
        <v>6569</v>
      </c>
      <c r="R1600" s="23" t="str">
        <f t="shared" si="540"/>
        <v/>
      </c>
      <c r="S1600" s="23">
        <f t="shared" si="541"/>
        <v>4098</v>
      </c>
      <c r="T1600" s="23" t="str">
        <f t="shared" si="542"/>
        <v/>
      </c>
      <c r="U1600" t="str">
        <f t="shared" si="543"/>
        <v/>
      </c>
      <c r="X1600" s="71"/>
      <c r="Z1600" s="44"/>
      <c r="AF1600" s="22"/>
      <c r="AH1600" s="8"/>
      <c r="AL1600" s="23"/>
    </row>
    <row r="1601" spans="1:45">
      <c r="A1601" t="str">
        <f t="shared" si="544"/>
        <v>CA_Orang_2020p~member, county central committee 74th assembly district - rep (vote for 6)</v>
      </c>
      <c r="B1601" s="55" t="s">
        <v>3163</v>
      </c>
      <c r="D1601" s="55" t="s">
        <v>3518</v>
      </c>
      <c r="E1601" s="55" t="s">
        <v>3530</v>
      </c>
      <c r="F1601" t="s">
        <v>1296</v>
      </c>
      <c r="G1601" s="60">
        <v>2471</v>
      </c>
      <c r="H1601" s="26">
        <f t="shared" si="545"/>
        <v>1.2879786917972803E-2</v>
      </c>
      <c r="J1601" s="23">
        <v>191851</v>
      </c>
      <c r="K1601">
        <v>295</v>
      </c>
      <c r="L1601">
        <v>295</v>
      </c>
      <c r="N1601">
        <v>0</v>
      </c>
      <c r="O1601">
        <f t="shared" si="537"/>
        <v>16</v>
      </c>
      <c r="P1601" s="57">
        <f t="shared" si="538"/>
        <v>6</v>
      </c>
      <c r="Q1601" s="267">
        <f t="shared" si="539"/>
        <v>2471</v>
      </c>
      <c r="R1601" s="23" t="str">
        <f t="shared" si="540"/>
        <v/>
      </c>
      <c r="S1601" s="23">
        <f t="shared" si="541"/>
        <v>2471</v>
      </c>
      <c r="T1601" s="23" t="str">
        <f t="shared" si="542"/>
        <v/>
      </c>
      <c r="U1601" t="str">
        <f t="shared" si="543"/>
        <v/>
      </c>
      <c r="X1601" s="71"/>
      <c r="Z1601" s="44"/>
      <c r="AF1601" s="22"/>
      <c r="AH1601" s="8"/>
      <c r="AO1601" s="356"/>
      <c r="AP1601" s="356"/>
      <c r="AQ1601" s="394"/>
      <c r="AR1601" s="394"/>
      <c r="AS1601" s="394"/>
    </row>
    <row r="1602" spans="1:45">
      <c r="A1602" t="str">
        <f t="shared" si="544"/>
        <v>CA_Orang_2020p~m-saddleback valley unified school district (vote 1)</v>
      </c>
      <c r="B1602" s="55" t="s">
        <v>3163</v>
      </c>
      <c r="D1602" s="55" t="s">
        <v>3343</v>
      </c>
      <c r="E1602" s="55" t="s">
        <v>3335</v>
      </c>
      <c r="G1602" s="60">
        <v>44978</v>
      </c>
      <c r="H1602" s="26">
        <f t="shared" si="545"/>
        <v>0.62465974112549305</v>
      </c>
      <c r="J1602" s="23">
        <v>72004</v>
      </c>
      <c r="K1602">
        <v>138</v>
      </c>
      <c r="L1602">
        <v>138</v>
      </c>
      <c r="N1602">
        <v>0</v>
      </c>
      <c r="O1602">
        <f t="shared" ref="O1602:O1665" si="546">IF(OR(LOWER(LEFT(E1602,8))="write-in",LOWER(LEFT(E1602,8))="not qual"),IF(A1602=A1601,-ABS(O1601),0),IF(A1602=A1601,ABS(O1601)+1,1))</f>
        <v>1</v>
      </c>
      <c r="P1602" s="57">
        <f t="shared" ref="P1602:P1665" si="547">1*LEFT(RIGHT(A1602,2),1)</f>
        <v>1</v>
      </c>
      <c r="Q1602" s="267">
        <f t="shared" ref="Q1602:Q1665" si="548">IF(A1602&lt;&gt;A1603,G1602,IF(A1602=A1601,G1602+Q1603,MAX(G1602,(G1602+Q1603)/P1602)))</f>
        <v>72004</v>
      </c>
      <c r="R1602" s="23">
        <f t="shared" ref="R1602:R1665" si="549">IF(O1602&gt;P1602,"",IF(O1602=P1602,G1602,IF(A1602=A1603,R1603,IF(O1602&lt;=0,1,G1602))))</f>
        <v>44978</v>
      </c>
      <c r="S1602" s="23">
        <f t="shared" ref="S1602:S1665" si="550">IF(AND(O1602&gt;P1602,LOWER(LEFT(E1602,8))&lt;&gt;"write-in",LOWER(LEFT(E1602,8))&lt;&gt;"not qual"),G1602,IF(A1602=A1603,S1603,0))</f>
        <v>27026</v>
      </c>
      <c r="T1602" s="23">
        <f t="shared" ref="T1602:T1665" si="551">IF(OR(A1602=A1601,S1602=0),"",R1602-ABS(S1602))</f>
        <v>17952</v>
      </c>
      <c r="U1602" t="str">
        <f t="shared" ref="U1602:U1665" si="552">IF(A1602=A1601,"",A1602)</f>
        <v>CA_Orang_2020p~m-saddleback valley unified school district (vote 1)</v>
      </c>
      <c r="X1602" s="71"/>
      <c r="Z1602" s="44"/>
      <c r="AF1602" s="22"/>
    </row>
    <row r="1603" spans="1:45">
      <c r="A1603" t="str">
        <f t="shared" si="544"/>
        <v>CA_Orang_2020p~m-saddleback valley unified school district (vote 1)</v>
      </c>
      <c r="B1603" s="55" t="s">
        <v>3163</v>
      </c>
      <c r="D1603" s="55" t="s">
        <v>3343</v>
      </c>
      <c r="E1603" s="55" t="s">
        <v>3336</v>
      </c>
      <c r="G1603" s="60">
        <v>27026</v>
      </c>
      <c r="H1603" s="26">
        <f t="shared" si="545"/>
        <v>0.37534025887450695</v>
      </c>
      <c r="J1603" s="23">
        <v>72004</v>
      </c>
      <c r="K1603">
        <v>138</v>
      </c>
      <c r="L1603">
        <v>138</v>
      </c>
      <c r="N1603">
        <v>0</v>
      </c>
      <c r="O1603">
        <f t="shared" si="546"/>
        <v>2</v>
      </c>
      <c r="P1603" s="57">
        <f t="shared" si="547"/>
        <v>1</v>
      </c>
      <c r="Q1603" s="267">
        <f t="shared" si="548"/>
        <v>27026</v>
      </c>
      <c r="R1603" s="23" t="str">
        <f t="shared" si="549"/>
        <v/>
      </c>
      <c r="S1603" s="23">
        <f t="shared" si="550"/>
        <v>27026</v>
      </c>
      <c r="T1603" s="23" t="str">
        <f t="shared" si="551"/>
        <v/>
      </c>
      <c r="U1603" t="str">
        <f t="shared" si="552"/>
        <v/>
      </c>
      <c r="X1603" s="71"/>
      <c r="Z1603" s="44"/>
      <c r="AF1603" s="22"/>
    </row>
    <row r="1604" spans="1:45">
      <c r="A1604" t="str">
        <f t="shared" si="544"/>
        <v>CA_Orang_2020p~n-tustin unified school district (vote 1)</v>
      </c>
      <c r="B1604" s="55" t="s">
        <v>3163</v>
      </c>
      <c r="D1604" s="55" t="s">
        <v>3344</v>
      </c>
      <c r="E1604" s="55" t="s">
        <v>3336</v>
      </c>
      <c r="G1604" s="60">
        <v>12541</v>
      </c>
      <c r="H1604" s="26">
        <f t="shared" si="545"/>
        <v>0.53711079703627562</v>
      </c>
      <c r="J1604" s="23">
        <v>23349</v>
      </c>
      <c r="K1604">
        <v>56</v>
      </c>
      <c r="L1604">
        <v>56</v>
      </c>
      <c r="N1604">
        <v>0</v>
      </c>
      <c r="O1604">
        <f t="shared" si="546"/>
        <v>1</v>
      </c>
      <c r="P1604" s="57">
        <f t="shared" si="547"/>
        <v>1</v>
      </c>
      <c r="Q1604" s="267">
        <f t="shared" si="548"/>
        <v>23349</v>
      </c>
      <c r="R1604" s="23">
        <f t="shared" si="549"/>
        <v>12541</v>
      </c>
      <c r="S1604" s="23">
        <f t="shared" si="550"/>
        <v>10808</v>
      </c>
      <c r="T1604" s="23">
        <f t="shared" si="551"/>
        <v>1733</v>
      </c>
      <c r="U1604" t="str">
        <f t="shared" si="552"/>
        <v>CA_Orang_2020p~n-tustin unified school district (vote 1)</v>
      </c>
      <c r="X1604" s="71"/>
      <c r="Z1604" s="44"/>
      <c r="AF1604" s="22"/>
    </row>
    <row r="1605" spans="1:45">
      <c r="A1605" t="str">
        <f t="shared" si="544"/>
        <v>CA_Orang_2020p~n-tustin unified school district (vote 1)</v>
      </c>
      <c r="B1605" s="55" t="s">
        <v>3163</v>
      </c>
      <c r="D1605" s="55" t="s">
        <v>3344</v>
      </c>
      <c r="E1605" s="55" t="s">
        <v>3335</v>
      </c>
      <c r="G1605" s="60">
        <v>10808</v>
      </c>
      <c r="H1605" s="26">
        <f t="shared" si="545"/>
        <v>0.46288920296372438</v>
      </c>
      <c r="J1605" s="23">
        <v>23349</v>
      </c>
      <c r="K1605">
        <v>56</v>
      </c>
      <c r="L1605">
        <v>56</v>
      </c>
      <c r="N1605">
        <v>0</v>
      </c>
      <c r="O1605">
        <f t="shared" si="546"/>
        <v>2</v>
      </c>
      <c r="P1605" s="57">
        <f t="shared" si="547"/>
        <v>1</v>
      </c>
      <c r="Q1605" s="267">
        <f t="shared" si="548"/>
        <v>10808</v>
      </c>
      <c r="R1605" s="23" t="str">
        <f t="shared" si="549"/>
        <v/>
      </c>
      <c r="S1605" s="23">
        <f t="shared" si="550"/>
        <v>10808</v>
      </c>
      <c r="T1605" s="23" t="str">
        <f t="shared" si="551"/>
        <v/>
      </c>
      <c r="U1605" t="str">
        <f t="shared" si="552"/>
        <v/>
      </c>
      <c r="X1605" s="71"/>
      <c r="Z1605" s="44"/>
      <c r="AF1605" s="22"/>
    </row>
    <row r="1606" spans="1:45">
      <c r="A1606" t="str">
        <f t="shared" si="544"/>
        <v>CA_Orang_2020p~o-lowell joint school district (vote 1)</v>
      </c>
      <c r="B1606" s="55" t="s">
        <v>3163</v>
      </c>
      <c r="D1606" s="55" t="s">
        <v>3345</v>
      </c>
      <c r="E1606" s="55" t="s">
        <v>1393</v>
      </c>
      <c r="G1606" s="60">
        <v>3021</v>
      </c>
      <c r="H1606" s="26">
        <f t="shared" si="545"/>
        <v>0.82586112629852382</v>
      </c>
      <c r="J1606" s="23">
        <v>3658</v>
      </c>
      <c r="K1606">
        <v>5</v>
      </c>
      <c r="L1606">
        <v>5</v>
      </c>
      <c r="N1606">
        <v>0</v>
      </c>
      <c r="O1606">
        <f t="shared" si="546"/>
        <v>1</v>
      </c>
      <c r="P1606" s="57">
        <f t="shared" si="547"/>
        <v>1</v>
      </c>
      <c r="Q1606" s="267">
        <f t="shared" si="548"/>
        <v>3658</v>
      </c>
      <c r="R1606" s="23">
        <f t="shared" si="549"/>
        <v>3021</v>
      </c>
      <c r="S1606" s="23">
        <f t="shared" si="550"/>
        <v>637</v>
      </c>
      <c r="T1606" s="23">
        <f t="shared" si="551"/>
        <v>2384</v>
      </c>
      <c r="U1606" t="str">
        <f t="shared" si="552"/>
        <v>CA_Orang_2020p~o-lowell joint school district (vote 1)</v>
      </c>
      <c r="X1606" s="71"/>
      <c r="Z1606" s="44"/>
      <c r="AF1606" s="22"/>
    </row>
    <row r="1607" spans="1:45">
      <c r="A1607" t="str">
        <f t="shared" si="544"/>
        <v>CA_Orang_2020p~o-lowell joint school district (vote 1)</v>
      </c>
      <c r="B1607" s="55" t="s">
        <v>3163</v>
      </c>
      <c r="D1607" s="55" t="s">
        <v>3345</v>
      </c>
      <c r="E1607" s="55" t="s">
        <v>1394</v>
      </c>
      <c r="G1607" s="60">
        <v>637</v>
      </c>
      <c r="H1607" s="26">
        <f t="shared" si="545"/>
        <v>0.17413887370147621</v>
      </c>
      <c r="J1607" s="23">
        <v>3658</v>
      </c>
      <c r="K1607">
        <v>5</v>
      </c>
      <c r="L1607">
        <v>5</v>
      </c>
      <c r="N1607">
        <v>0</v>
      </c>
      <c r="O1607">
        <f t="shared" si="546"/>
        <v>2</v>
      </c>
      <c r="P1607" s="57">
        <f t="shared" si="547"/>
        <v>1</v>
      </c>
      <c r="Q1607" s="267">
        <f t="shared" si="548"/>
        <v>637</v>
      </c>
      <c r="R1607" s="23" t="str">
        <f t="shared" si="549"/>
        <v/>
      </c>
      <c r="S1607" s="23">
        <f t="shared" si="550"/>
        <v>637</v>
      </c>
      <c r="T1607" s="23" t="str">
        <f t="shared" si="551"/>
        <v/>
      </c>
      <c r="U1607" t="str">
        <f t="shared" si="552"/>
        <v/>
      </c>
      <c r="X1607" s="71"/>
      <c r="Z1607" s="44"/>
      <c r="AF1607" s="22"/>
    </row>
    <row r="1608" spans="1:45">
      <c r="A1608" t="str">
        <f t="shared" si="544"/>
        <v>CA_Orang_2020p~president of the united states - ai (vote 1)</v>
      </c>
      <c r="B1608" s="55" t="s">
        <v>3163</v>
      </c>
      <c r="D1608" s="55" t="s">
        <v>3202</v>
      </c>
      <c r="E1608" s="55" t="s">
        <v>3205</v>
      </c>
      <c r="F1608" t="s">
        <v>3204</v>
      </c>
      <c r="G1608" s="60">
        <v>1094</v>
      </c>
      <c r="H1608" s="26">
        <f t="shared" si="545"/>
        <v>0.103785219618632</v>
      </c>
      <c r="J1608" s="23">
        <v>10541</v>
      </c>
      <c r="K1608">
        <v>1703</v>
      </c>
      <c r="L1608">
        <v>1703</v>
      </c>
      <c r="N1608">
        <v>0</v>
      </c>
      <c r="O1608">
        <f t="shared" si="546"/>
        <v>1</v>
      </c>
      <c r="P1608" s="57">
        <f t="shared" si="547"/>
        <v>1</v>
      </c>
      <c r="Q1608" s="267">
        <f t="shared" si="548"/>
        <v>3302</v>
      </c>
      <c r="R1608" s="23">
        <f t="shared" si="549"/>
        <v>1094</v>
      </c>
      <c r="S1608" s="23">
        <f t="shared" si="550"/>
        <v>718</v>
      </c>
      <c r="T1608" s="23">
        <f t="shared" si="551"/>
        <v>376</v>
      </c>
      <c r="U1608" t="str">
        <f t="shared" si="552"/>
        <v>CA_Orang_2020p~president of the united states - ai (vote 1)</v>
      </c>
      <c r="X1608" s="71"/>
      <c r="Z1608" s="44"/>
      <c r="AF1608" s="293"/>
    </row>
    <row r="1609" spans="1:45">
      <c r="A1609" t="str">
        <f t="shared" si="544"/>
        <v>CA_Orang_2020p~president of the united states - ai (vote 1)</v>
      </c>
      <c r="B1609" s="55" t="s">
        <v>3163</v>
      </c>
      <c r="D1609" s="55" t="s">
        <v>3202</v>
      </c>
      <c r="E1609" s="55" t="s">
        <v>3197</v>
      </c>
      <c r="F1609" t="s">
        <v>3204</v>
      </c>
      <c r="G1609" s="60">
        <v>718</v>
      </c>
      <c r="H1609" s="26">
        <f t="shared" si="545"/>
        <v>6.8114979603453182E-2</v>
      </c>
      <c r="J1609" s="23">
        <v>10541</v>
      </c>
      <c r="K1609">
        <v>1703</v>
      </c>
      <c r="L1609">
        <v>1703</v>
      </c>
      <c r="N1609">
        <v>0</v>
      </c>
      <c r="O1609">
        <f t="shared" si="546"/>
        <v>2</v>
      </c>
      <c r="P1609" s="57">
        <f t="shared" si="547"/>
        <v>1</v>
      </c>
      <c r="Q1609" s="267">
        <f t="shared" si="548"/>
        <v>2208</v>
      </c>
      <c r="R1609" s="23" t="str">
        <f t="shared" si="549"/>
        <v/>
      </c>
      <c r="S1609" s="23">
        <f t="shared" si="550"/>
        <v>718</v>
      </c>
      <c r="T1609" s="23" t="str">
        <f t="shared" si="551"/>
        <v/>
      </c>
      <c r="U1609" t="str">
        <f t="shared" si="552"/>
        <v/>
      </c>
      <c r="X1609" s="71"/>
      <c r="Z1609" s="44"/>
      <c r="AF1609" s="293"/>
    </row>
    <row r="1610" spans="1:45">
      <c r="A1610" t="str">
        <f t="shared" si="544"/>
        <v>CA_Orang_2020p~president of the united states - ai (vote 1)</v>
      </c>
      <c r="B1610" s="55" t="s">
        <v>3163</v>
      </c>
      <c r="D1610" s="55" t="s">
        <v>3202</v>
      </c>
      <c r="E1610" s="55" t="s">
        <v>3203</v>
      </c>
      <c r="F1610" t="s">
        <v>3204</v>
      </c>
      <c r="G1610" s="60">
        <v>581</v>
      </c>
      <c r="H1610" s="26">
        <f t="shared" si="545"/>
        <v>5.5118110236220472E-2</v>
      </c>
      <c r="J1610" s="23">
        <v>10541</v>
      </c>
      <c r="K1610">
        <v>1703</v>
      </c>
      <c r="L1610">
        <v>1703</v>
      </c>
      <c r="N1610">
        <v>0</v>
      </c>
      <c r="O1610">
        <f t="shared" si="546"/>
        <v>3</v>
      </c>
      <c r="P1610" s="57">
        <f t="shared" si="547"/>
        <v>1</v>
      </c>
      <c r="Q1610" s="267">
        <f t="shared" si="548"/>
        <v>1490</v>
      </c>
      <c r="R1610" s="23" t="str">
        <f t="shared" si="549"/>
        <v/>
      </c>
      <c r="S1610" s="23">
        <f t="shared" si="550"/>
        <v>581</v>
      </c>
      <c r="T1610" s="23" t="str">
        <f t="shared" si="551"/>
        <v/>
      </c>
      <c r="U1610" t="str">
        <f t="shared" si="552"/>
        <v/>
      </c>
      <c r="X1610" s="71"/>
      <c r="Z1610" s="44"/>
      <c r="AF1610" s="22"/>
    </row>
    <row r="1611" spans="1:45">
      <c r="A1611" t="str">
        <f t="shared" si="544"/>
        <v>CA_Orang_2020p~president of the united states - ai (vote 1)</v>
      </c>
      <c r="B1611" s="55" t="s">
        <v>3163</v>
      </c>
      <c r="D1611" s="55" t="s">
        <v>3202</v>
      </c>
      <c r="E1611" s="55" t="s">
        <v>3207</v>
      </c>
      <c r="F1611" t="s">
        <v>3204</v>
      </c>
      <c r="G1611" s="60">
        <v>502</v>
      </c>
      <c r="H1611" s="26">
        <f t="shared" si="545"/>
        <v>4.7623565126648323E-2</v>
      </c>
      <c r="J1611" s="23">
        <v>10541</v>
      </c>
      <c r="K1611">
        <v>1703</v>
      </c>
      <c r="L1611">
        <v>1703</v>
      </c>
      <c r="N1611">
        <v>0</v>
      </c>
      <c r="O1611">
        <f t="shared" si="546"/>
        <v>4</v>
      </c>
      <c r="P1611" s="57">
        <f t="shared" si="547"/>
        <v>1</v>
      </c>
      <c r="Q1611" s="267">
        <f t="shared" si="548"/>
        <v>909</v>
      </c>
      <c r="R1611" s="23" t="str">
        <f t="shared" si="549"/>
        <v/>
      </c>
      <c r="S1611" s="23">
        <f t="shared" si="550"/>
        <v>502</v>
      </c>
      <c r="T1611" s="23" t="str">
        <f t="shared" si="551"/>
        <v/>
      </c>
      <c r="U1611" t="str">
        <f t="shared" si="552"/>
        <v/>
      </c>
      <c r="X1611" s="71"/>
      <c r="Z1611" s="44"/>
      <c r="AF1611" s="22"/>
    </row>
    <row r="1612" spans="1:45">
      <c r="A1612" t="str">
        <f t="shared" si="544"/>
        <v>CA_Orang_2020p~president of the united states - ai (vote 1)</v>
      </c>
      <c r="B1612" s="55" t="s">
        <v>3163</v>
      </c>
      <c r="D1612" s="55" t="s">
        <v>3202</v>
      </c>
      <c r="E1612" s="55" t="s">
        <v>3206</v>
      </c>
      <c r="F1612" t="s">
        <v>3204</v>
      </c>
      <c r="G1612" s="60">
        <v>407</v>
      </c>
      <c r="H1612" s="26">
        <f t="shared" si="545"/>
        <v>3.8611137463238784E-2</v>
      </c>
      <c r="J1612" s="23">
        <v>10541</v>
      </c>
      <c r="K1612">
        <v>1703</v>
      </c>
      <c r="L1612">
        <v>1703</v>
      </c>
      <c r="N1612">
        <v>0</v>
      </c>
      <c r="O1612">
        <f t="shared" si="546"/>
        <v>5</v>
      </c>
      <c r="P1612" s="57">
        <f t="shared" si="547"/>
        <v>1</v>
      </c>
      <c r="Q1612" s="267">
        <f t="shared" si="548"/>
        <v>407</v>
      </c>
      <c r="R1612" s="23" t="str">
        <f t="shared" si="549"/>
        <v/>
      </c>
      <c r="S1612" s="23">
        <f t="shared" si="550"/>
        <v>407</v>
      </c>
      <c r="T1612" s="23" t="str">
        <f t="shared" si="551"/>
        <v/>
      </c>
      <c r="U1612" t="str">
        <f t="shared" si="552"/>
        <v/>
      </c>
      <c r="X1612" s="71"/>
      <c r="Z1612" s="44"/>
      <c r="AF1612" s="22"/>
    </row>
    <row r="1613" spans="1:45">
      <c r="A1613" t="str">
        <f t="shared" si="544"/>
        <v>CA_Orang_2020p~president of the united states - dem (vote 1)</v>
      </c>
      <c r="B1613" s="55" t="s">
        <v>3163</v>
      </c>
      <c r="D1613" s="55" t="s">
        <v>3164</v>
      </c>
      <c r="E1613" s="55" t="s">
        <v>3179</v>
      </c>
      <c r="F1613" t="s">
        <v>1294</v>
      </c>
      <c r="G1613" s="60">
        <v>141143</v>
      </c>
      <c r="H1613" s="26">
        <f t="shared" si="545"/>
        <v>0.37268430502746092</v>
      </c>
      <c r="J1613" s="23">
        <v>378720</v>
      </c>
      <c r="K1613">
        <v>1703</v>
      </c>
      <c r="L1613">
        <v>1703</v>
      </c>
      <c r="N1613">
        <v>0</v>
      </c>
      <c r="O1613">
        <f t="shared" si="546"/>
        <v>1</v>
      </c>
      <c r="P1613" s="57">
        <f t="shared" si="547"/>
        <v>1</v>
      </c>
      <c r="Q1613" s="267">
        <f t="shared" si="548"/>
        <v>383707</v>
      </c>
      <c r="R1613" s="23">
        <f t="shared" si="549"/>
        <v>141143</v>
      </c>
      <c r="S1613" s="23">
        <f t="shared" si="550"/>
        <v>107111</v>
      </c>
      <c r="T1613" s="23">
        <f t="shared" si="551"/>
        <v>34032</v>
      </c>
      <c r="U1613" t="str">
        <f t="shared" si="552"/>
        <v>CA_Orang_2020p~president of the united states - dem (vote 1)</v>
      </c>
      <c r="X1613" s="71"/>
      <c r="Z1613" s="44"/>
      <c r="AF1613" s="22"/>
      <c r="AH1613" s="8"/>
      <c r="AL1613" s="23"/>
    </row>
    <row r="1614" spans="1:45">
      <c r="A1614" t="str">
        <f t="shared" si="544"/>
        <v>CA_Orang_2020p~president of the united states - dem (vote 1)</v>
      </c>
      <c r="B1614" s="55" t="s">
        <v>3163</v>
      </c>
      <c r="D1614" s="55" t="s">
        <v>3164</v>
      </c>
      <c r="E1614" s="55" t="s">
        <v>3166</v>
      </c>
      <c r="F1614" t="s">
        <v>1294</v>
      </c>
      <c r="G1614" s="60">
        <v>107111</v>
      </c>
      <c r="H1614" s="26">
        <f t="shared" si="545"/>
        <v>0.28282372201098438</v>
      </c>
      <c r="J1614" s="23">
        <v>378720</v>
      </c>
      <c r="K1614">
        <v>1703</v>
      </c>
      <c r="L1614">
        <v>1703</v>
      </c>
      <c r="N1614">
        <v>0</v>
      </c>
      <c r="O1614">
        <f t="shared" si="546"/>
        <v>2</v>
      </c>
      <c r="P1614" s="57">
        <f t="shared" si="547"/>
        <v>1</v>
      </c>
      <c r="Q1614" s="267">
        <f t="shared" si="548"/>
        <v>242564</v>
      </c>
      <c r="R1614" s="23" t="str">
        <f t="shared" si="549"/>
        <v/>
      </c>
      <c r="S1614" s="23">
        <f t="shared" si="550"/>
        <v>107111</v>
      </c>
      <c r="T1614" s="23" t="str">
        <f t="shared" si="551"/>
        <v/>
      </c>
      <c r="U1614" t="str">
        <f t="shared" si="552"/>
        <v/>
      </c>
      <c r="X1614" s="71"/>
      <c r="Z1614" s="44"/>
      <c r="AF1614" s="22"/>
    </row>
    <row r="1615" spans="1:45">
      <c r="A1615" t="str">
        <f t="shared" si="544"/>
        <v>CA_Orang_2020p~president of the united states - dem (vote 1)</v>
      </c>
      <c r="B1615" s="55" t="s">
        <v>3163</v>
      </c>
      <c r="D1615" s="55" t="s">
        <v>3164</v>
      </c>
      <c r="E1615" s="55" t="s">
        <v>3167</v>
      </c>
      <c r="F1615" t="s">
        <v>1294</v>
      </c>
      <c r="G1615" s="60">
        <v>52864</v>
      </c>
      <c r="H1615" s="26">
        <f t="shared" si="545"/>
        <v>0.13958597380650611</v>
      </c>
      <c r="J1615" s="23">
        <v>378720</v>
      </c>
      <c r="K1615">
        <v>1703</v>
      </c>
      <c r="L1615">
        <v>1703</v>
      </c>
      <c r="N1615">
        <v>0</v>
      </c>
      <c r="O1615">
        <f t="shared" si="546"/>
        <v>3</v>
      </c>
      <c r="P1615" s="57">
        <f t="shared" si="547"/>
        <v>1</v>
      </c>
      <c r="Q1615" s="267">
        <f t="shared" si="548"/>
        <v>135453</v>
      </c>
      <c r="R1615" s="23" t="str">
        <f t="shared" si="549"/>
        <v/>
      </c>
      <c r="S1615" s="23">
        <f t="shared" si="550"/>
        <v>52864</v>
      </c>
      <c r="T1615" s="23" t="str">
        <f t="shared" si="551"/>
        <v/>
      </c>
      <c r="U1615" t="str">
        <f t="shared" si="552"/>
        <v/>
      </c>
      <c r="X1615" s="71"/>
      <c r="Z1615" s="44"/>
      <c r="AF1615" s="293"/>
    </row>
    <row r="1616" spans="1:45">
      <c r="A1616" t="str">
        <f t="shared" si="544"/>
        <v>CA_Orang_2020p~president of the united states - dem (vote 1)</v>
      </c>
      <c r="B1616" s="55" t="s">
        <v>3163</v>
      </c>
      <c r="D1616" s="55" t="s">
        <v>3164</v>
      </c>
      <c r="E1616" s="55" t="s">
        <v>3182</v>
      </c>
      <c r="F1616" t="s">
        <v>1294</v>
      </c>
      <c r="G1616" s="60">
        <v>40188</v>
      </c>
      <c r="H1616" s="26">
        <f t="shared" si="545"/>
        <v>0.10611533586818758</v>
      </c>
      <c r="J1616" s="23">
        <v>378720</v>
      </c>
      <c r="K1616">
        <v>1703</v>
      </c>
      <c r="L1616">
        <v>1703</v>
      </c>
      <c r="N1616">
        <v>0</v>
      </c>
      <c r="O1616">
        <f t="shared" si="546"/>
        <v>4</v>
      </c>
      <c r="P1616" s="57">
        <f t="shared" si="547"/>
        <v>1</v>
      </c>
      <c r="Q1616" s="267">
        <f t="shared" si="548"/>
        <v>82589</v>
      </c>
      <c r="R1616" s="23" t="str">
        <f t="shared" si="549"/>
        <v/>
      </c>
      <c r="S1616" s="23">
        <f t="shared" si="550"/>
        <v>40188</v>
      </c>
      <c r="T1616" s="23" t="str">
        <f t="shared" si="551"/>
        <v/>
      </c>
      <c r="U1616" t="str">
        <f t="shared" si="552"/>
        <v/>
      </c>
      <c r="X1616" s="71"/>
      <c r="Z1616" s="44"/>
      <c r="AF1616" s="22"/>
    </row>
    <row r="1617" spans="1:45">
      <c r="A1617" t="str">
        <f t="shared" si="544"/>
        <v>CA_Orang_2020p~president of the united states - dem (vote 1)</v>
      </c>
      <c r="B1617" s="55" t="s">
        <v>3163</v>
      </c>
      <c r="D1617" s="55" t="s">
        <v>3164</v>
      </c>
      <c r="E1617" s="55" t="s">
        <v>3170</v>
      </c>
      <c r="F1617" t="s">
        <v>1294</v>
      </c>
      <c r="G1617" s="60">
        <v>18116</v>
      </c>
      <c r="H1617" s="26">
        <f t="shared" si="545"/>
        <v>4.7834811998310099E-2</v>
      </c>
      <c r="J1617" s="23">
        <v>378720</v>
      </c>
      <c r="K1617">
        <v>1703</v>
      </c>
      <c r="L1617">
        <v>1703</v>
      </c>
      <c r="N1617">
        <v>0</v>
      </c>
      <c r="O1617">
        <f t="shared" si="546"/>
        <v>5</v>
      </c>
      <c r="P1617" s="57">
        <f t="shared" si="547"/>
        <v>1</v>
      </c>
      <c r="Q1617" s="267">
        <f t="shared" si="548"/>
        <v>42401</v>
      </c>
      <c r="R1617" s="23" t="str">
        <f t="shared" si="549"/>
        <v/>
      </c>
      <c r="S1617" s="23">
        <f t="shared" si="550"/>
        <v>18116</v>
      </c>
      <c r="T1617" s="23" t="str">
        <f t="shared" si="551"/>
        <v/>
      </c>
      <c r="U1617" t="str">
        <f t="shared" si="552"/>
        <v/>
      </c>
      <c r="X1617" s="71"/>
      <c r="Z1617" s="44"/>
      <c r="AF1617" s="22"/>
    </row>
    <row r="1618" spans="1:45">
      <c r="A1618" t="str">
        <f t="shared" si="544"/>
        <v>CA_Orang_2020p~president of the united states - dem (vote 1)</v>
      </c>
      <c r="B1618" s="55" t="s">
        <v>3163</v>
      </c>
      <c r="D1618" s="55" t="s">
        <v>3164</v>
      </c>
      <c r="E1618" s="55" t="s">
        <v>3177</v>
      </c>
      <c r="F1618" t="s">
        <v>1294</v>
      </c>
      <c r="G1618" s="60">
        <v>9083</v>
      </c>
      <c r="H1618" s="26">
        <f t="shared" si="545"/>
        <v>2.3983417828474862E-2</v>
      </c>
      <c r="J1618" s="23">
        <v>378720</v>
      </c>
      <c r="K1618">
        <v>1703</v>
      </c>
      <c r="L1618">
        <v>1703</v>
      </c>
      <c r="N1618">
        <v>0</v>
      </c>
      <c r="O1618">
        <f t="shared" si="546"/>
        <v>6</v>
      </c>
      <c r="P1618" s="57">
        <f t="shared" si="547"/>
        <v>1</v>
      </c>
      <c r="Q1618" s="267">
        <f t="shared" si="548"/>
        <v>24285</v>
      </c>
      <c r="R1618" s="23" t="str">
        <f t="shared" si="549"/>
        <v/>
      </c>
      <c r="S1618" s="23">
        <f t="shared" si="550"/>
        <v>9083</v>
      </c>
      <c r="T1618" s="23" t="str">
        <f t="shared" si="551"/>
        <v/>
      </c>
      <c r="U1618" t="str">
        <f t="shared" si="552"/>
        <v/>
      </c>
      <c r="X1618" s="71"/>
      <c r="Z1618" s="44"/>
      <c r="AF1618" s="88"/>
    </row>
    <row r="1619" spans="1:45">
      <c r="A1619" t="str">
        <f t="shared" si="544"/>
        <v>CA_Orang_2020p~president of the united states - dem (vote 1)</v>
      </c>
      <c r="B1619" s="55" t="s">
        <v>3163</v>
      </c>
      <c r="D1619" s="55" t="s">
        <v>3164</v>
      </c>
      <c r="E1619" s="55" t="s">
        <v>3181</v>
      </c>
      <c r="F1619" t="s">
        <v>1294</v>
      </c>
      <c r="G1619" s="60">
        <v>6843</v>
      </c>
      <c r="H1619" s="26">
        <f t="shared" si="545"/>
        <v>1.8068757921419518E-2</v>
      </c>
      <c r="J1619" s="23">
        <v>378720</v>
      </c>
      <c r="K1619">
        <v>1703</v>
      </c>
      <c r="L1619">
        <v>1703</v>
      </c>
      <c r="N1619">
        <v>0</v>
      </c>
      <c r="O1619">
        <f t="shared" si="546"/>
        <v>7</v>
      </c>
      <c r="P1619" s="57">
        <f t="shared" si="547"/>
        <v>1</v>
      </c>
      <c r="Q1619" s="267">
        <f t="shared" si="548"/>
        <v>15202</v>
      </c>
      <c r="R1619" s="23" t="str">
        <f t="shared" si="549"/>
        <v/>
      </c>
      <c r="S1619" s="23">
        <f t="shared" si="550"/>
        <v>6843</v>
      </c>
      <c r="T1619" s="23" t="str">
        <f t="shared" si="551"/>
        <v/>
      </c>
      <c r="U1619" t="str">
        <f t="shared" si="552"/>
        <v/>
      </c>
      <c r="X1619" s="71"/>
      <c r="Z1619" s="44"/>
      <c r="AF1619" s="293"/>
    </row>
    <row r="1620" spans="1:45">
      <c r="A1620" t="str">
        <f t="shared" si="544"/>
        <v>CA_Orang_2020p~president of the united states - dem (vote 1)</v>
      </c>
      <c r="B1620" s="55" t="s">
        <v>3163</v>
      </c>
      <c r="D1620" s="55" t="s">
        <v>3164</v>
      </c>
      <c r="E1620" s="55" t="s">
        <v>3184</v>
      </c>
      <c r="F1620" t="s">
        <v>1294</v>
      </c>
      <c r="G1620" s="60">
        <v>3236</v>
      </c>
      <c r="H1620" s="26">
        <f t="shared" si="545"/>
        <v>8.5445711871567388E-3</v>
      </c>
      <c r="J1620" s="23">
        <v>378720</v>
      </c>
      <c r="K1620">
        <v>1703</v>
      </c>
      <c r="L1620">
        <v>1703</v>
      </c>
      <c r="N1620">
        <v>0</v>
      </c>
      <c r="O1620">
        <f t="shared" si="546"/>
        <v>8</v>
      </c>
      <c r="P1620" s="57">
        <f t="shared" si="547"/>
        <v>1</v>
      </c>
      <c r="Q1620" s="267">
        <f t="shared" si="548"/>
        <v>8359</v>
      </c>
      <c r="R1620" s="23" t="str">
        <f t="shared" si="549"/>
        <v/>
      </c>
      <c r="S1620" s="23">
        <f t="shared" si="550"/>
        <v>3236</v>
      </c>
      <c r="T1620" s="23" t="str">
        <f t="shared" si="551"/>
        <v/>
      </c>
      <c r="U1620" t="str">
        <f t="shared" si="552"/>
        <v/>
      </c>
      <c r="X1620" s="71"/>
      <c r="Z1620" s="44"/>
      <c r="AF1620" s="22"/>
    </row>
    <row r="1621" spans="1:45">
      <c r="A1621" t="str">
        <f t="shared" si="544"/>
        <v>CA_Orang_2020p~president of the united states - dem (vote 1)</v>
      </c>
      <c r="B1621" s="55" t="s">
        <v>3163</v>
      </c>
      <c r="D1621" s="55" t="s">
        <v>3164</v>
      </c>
      <c r="E1621" s="55" t="s">
        <v>3175</v>
      </c>
      <c r="F1621" t="s">
        <v>1294</v>
      </c>
      <c r="G1621" s="60">
        <v>2565</v>
      </c>
      <c r="H1621" s="26">
        <f t="shared" si="545"/>
        <v>6.7728136882129275E-3</v>
      </c>
      <c r="J1621" s="23">
        <v>378720</v>
      </c>
      <c r="K1621">
        <v>1703</v>
      </c>
      <c r="L1621">
        <v>1703</v>
      </c>
      <c r="N1621">
        <v>0</v>
      </c>
      <c r="O1621">
        <f t="shared" si="546"/>
        <v>9</v>
      </c>
      <c r="P1621" s="57">
        <f t="shared" si="547"/>
        <v>1</v>
      </c>
      <c r="Q1621" s="267">
        <f t="shared" si="548"/>
        <v>5123</v>
      </c>
      <c r="R1621" s="23" t="str">
        <f t="shared" si="549"/>
        <v/>
      </c>
      <c r="S1621" s="23">
        <f t="shared" si="550"/>
        <v>2565</v>
      </c>
      <c r="T1621" s="23" t="str">
        <f t="shared" si="551"/>
        <v/>
      </c>
      <c r="U1621" t="str">
        <f t="shared" si="552"/>
        <v/>
      </c>
      <c r="X1621" s="71"/>
      <c r="Z1621" s="44"/>
      <c r="AF1621" s="22"/>
      <c r="AG1621" s="302"/>
      <c r="AH1621" s="301"/>
      <c r="AI1621" s="303"/>
      <c r="AJ1621" s="303"/>
      <c r="AK1621" s="342"/>
      <c r="AL1621" s="343"/>
    </row>
    <row r="1622" spans="1:45">
      <c r="A1622" t="str">
        <f t="shared" si="544"/>
        <v>CA_Orang_2020p~president of the united states - dem (vote 1)</v>
      </c>
      <c r="B1622" s="55" t="s">
        <v>3163</v>
      </c>
      <c r="D1622" s="55" t="s">
        <v>3164</v>
      </c>
      <c r="E1622" s="55" t="s">
        <v>3165</v>
      </c>
      <c r="F1622" t="s">
        <v>1294</v>
      </c>
      <c r="G1622" s="60">
        <v>505</v>
      </c>
      <c r="H1622" s="26">
        <f t="shared" si="545"/>
        <v>1.333438952260245E-3</v>
      </c>
      <c r="J1622" s="23">
        <v>378720</v>
      </c>
      <c r="K1622">
        <v>1703</v>
      </c>
      <c r="L1622">
        <v>1703</v>
      </c>
      <c r="N1622">
        <v>0</v>
      </c>
      <c r="O1622">
        <f t="shared" si="546"/>
        <v>10</v>
      </c>
      <c r="P1622" s="57">
        <f t="shared" si="547"/>
        <v>1</v>
      </c>
      <c r="Q1622" s="267">
        <f t="shared" si="548"/>
        <v>2558</v>
      </c>
      <c r="R1622" s="23" t="str">
        <f t="shared" si="549"/>
        <v/>
      </c>
      <c r="S1622" s="23">
        <f t="shared" si="550"/>
        <v>505</v>
      </c>
      <c r="T1622" s="23" t="str">
        <f t="shared" si="551"/>
        <v/>
      </c>
      <c r="U1622" t="str">
        <f t="shared" si="552"/>
        <v/>
      </c>
      <c r="X1622" s="71"/>
      <c r="Z1622" s="44"/>
      <c r="AF1622" s="22"/>
    </row>
    <row r="1623" spans="1:45">
      <c r="A1623" t="str">
        <f t="shared" si="544"/>
        <v>CA_Orang_2020p~president of the united states - dem (vote 1)</v>
      </c>
      <c r="B1623" s="55" t="s">
        <v>3163</v>
      </c>
      <c r="D1623" s="55" t="s">
        <v>3164</v>
      </c>
      <c r="E1623" s="55" t="s">
        <v>3171</v>
      </c>
      <c r="F1623" t="s">
        <v>1294</v>
      </c>
      <c r="G1623" s="60">
        <v>389</v>
      </c>
      <c r="H1623" s="26">
        <f t="shared" si="545"/>
        <v>1.0271440642163076E-3</v>
      </c>
      <c r="J1623" s="23">
        <v>378720</v>
      </c>
      <c r="K1623">
        <v>1703</v>
      </c>
      <c r="L1623">
        <v>1703</v>
      </c>
      <c r="N1623">
        <v>0</v>
      </c>
      <c r="O1623">
        <f t="shared" si="546"/>
        <v>11</v>
      </c>
      <c r="P1623" s="57">
        <f t="shared" si="547"/>
        <v>1</v>
      </c>
      <c r="Q1623" s="267">
        <f t="shared" si="548"/>
        <v>2053</v>
      </c>
      <c r="R1623" s="23" t="str">
        <f t="shared" si="549"/>
        <v/>
      </c>
      <c r="S1623" s="23">
        <f t="shared" si="550"/>
        <v>389</v>
      </c>
      <c r="T1623" s="23" t="str">
        <f t="shared" si="551"/>
        <v/>
      </c>
      <c r="U1623" t="str">
        <f t="shared" si="552"/>
        <v/>
      </c>
      <c r="X1623" s="71"/>
      <c r="Z1623" s="44"/>
      <c r="AF1623" s="22"/>
    </row>
    <row r="1624" spans="1:45">
      <c r="A1624" t="str">
        <f t="shared" si="544"/>
        <v>CA_Orang_2020p~president of the united states - dem (vote 1)</v>
      </c>
      <c r="B1624" s="55" t="s">
        <v>3163</v>
      </c>
      <c r="D1624" s="55" t="s">
        <v>3164</v>
      </c>
      <c r="E1624" s="55" t="s">
        <v>3183</v>
      </c>
      <c r="F1624" t="s">
        <v>1294</v>
      </c>
      <c r="G1624" s="60">
        <v>305</v>
      </c>
      <c r="H1624" s="26">
        <f t="shared" si="545"/>
        <v>8.0534431770173216E-4</v>
      </c>
      <c r="J1624" s="23">
        <v>378720</v>
      </c>
      <c r="K1624">
        <v>1703</v>
      </c>
      <c r="L1624">
        <v>1703</v>
      </c>
      <c r="N1624">
        <v>0</v>
      </c>
      <c r="O1624">
        <f t="shared" si="546"/>
        <v>12</v>
      </c>
      <c r="P1624" s="57">
        <f t="shared" si="547"/>
        <v>1</v>
      </c>
      <c r="Q1624" s="267">
        <f t="shared" si="548"/>
        <v>1664</v>
      </c>
      <c r="R1624" s="23" t="str">
        <f t="shared" si="549"/>
        <v/>
      </c>
      <c r="S1624" s="23">
        <f t="shared" si="550"/>
        <v>305</v>
      </c>
      <c r="T1624" s="23" t="str">
        <f t="shared" si="551"/>
        <v/>
      </c>
      <c r="U1624" t="str">
        <f t="shared" si="552"/>
        <v/>
      </c>
      <c r="X1624" s="71"/>
      <c r="Z1624" s="44"/>
      <c r="AF1624" s="22"/>
    </row>
    <row r="1625" spans="1:45">
      <c r="A1625" t="str">
        <f t="shared" si="544"/>
        <v>CA_Orang_2020p~president of the united states - dem (vote 1)</v>
      </c>
      <c r="B1625" s="55" t="s">
        <v>3163</v>
      </c>
      <c r="D1625" s="55" t="s">
        <v>3164</v>
      </c>
      <c r="E1625" s="55" t="s">
        <v>3168</v>
      </c>
      <c r="F1625" t="s">
        <v>1294</v>
      </c>
      <c r="G1625" s="60">
        <v>255</v>
      </c>
      <c r="H1625" s="26">
        <f t="shared" si="545"/>
        <v>6.7332065906210397E-4</v>
      </c>
      <c r="J1625" s="23">
        <v>378720</v>
      </c>
      <c r="K1625">
        <v>1703</v>
      </c>
      <c r="L1625">
        <v>1703</v>
      </c>
      <c r="N1625">
        <v>0</v>
      </c>
      <c r="O1625">
        <f t="shared" si="546"/>
        <v>13</v>
      </c>
      <c r="P1625" s="57">
        <f t="shared" si="547"/>
        <v>1</v>
      </c>
      <c r="Q1625" s="267">
        <f t="shared" si="548"/>
        <v>1359</v>
      </c>
      <c r="R1625" s="23" t="str">
        <f t="shared" si="549"/>
        <v/>
      </c>
      <c r="S1625" s="23">
        <f t="shared" si="550"/>
        <v>255</v>
      </c>
      <c r="T1625" s="23" t="str">
        <f t="shared" si="551"/>
        <v/>
      </c>
      <c r="U1625" t="str">
        <f t="shared" si="552"/>
        <v/>
      </c>
      <c r="X1625" s="71"/>
      <c r="Z1625" s="44"/>
      <c r="AF1625" s="22"/>
    </row>
    <row r="1626" spans="1:45">
      <c r="A1626" t="str">
        <f t="shared" si="544"/>
        <v>CA_Orang_2020p~president of the united states - dem (vote 1)</v>
      </c>
      <c r="B1626" s="55" t="s">
        <v>3163</v>
      </c>
      <c r="D1626" s="55" t="s">
        <v>3164</v>
      </c>
      <c r="E1626" s="55" t="s">
        <v>3172</v>
      </c>
      <c r="F1626" t="s">
        <v>1294</v>
      </c>
      <c r="G1626" s="60">
        <v>237</v>
      </c>
      <c r="H1626" s="26">
        <f t="shared" si="545"/>
        <v>6.2579214195183778E-4</v>
      </c>
      <c r="J1626" s="23">
        <v>378720</v>
      </c>
      <c r="K1626">
        <v>1703</v>
      </c>
      <c r="L1626">
        <v>1703</v>
      </c>
      <c r="N1626">
        <v>0</v>
      </c>
      <c r="O1626">
        <f t="shared" si="546"/>
        <v>14</v>
      </c>
      <c r="P1626" s="57">
        <f t="shared" si="547"/>
        <v>1</v>
      </c>
      <c r="Q1626" s="267">
        <f t="shared" si="548"/>
        <v>1104</v>
      </c>
      <c r="R1626" s="23" t="str">
        <f t="shared" si="549"/>
        <v/>
      </c>
      <c r="S1626" s="23">
        <f t="shared" si="550"/>
        <v>237</v>
      </c>
      <c r="T1626" s="23" t="str">
        <f t="shared" si="551"/>
        <v/>
      </c>
      <c r="U1626" t="str">
        <f t="shared" si="552"/>
        <v/>
      </c>
      <c r="X1626" s="71"/>
      <c r="Z1626" s="44"/>
      <c r="AF1626" s="22"/>
      <c r="AG1626" s="302"/>
      <c r="AH1626" s="301"/>
      <c r="AI1626" s="303"/>
      <c r="AJ1626" s="303"/>
      <c r="AK1626" s="342"/>
      <c r="AL1626" s="343"/>
    </row>
    <row r="1627" spans="1:45">
      <c r="A1627" t="str">
        <f t="shared" ref="A1627:A1690" si="553">CONCATENATE(B1627,"~",LOWER(D1627),IF(RIGHT(D1627,1)=")","",IF(C1627=2," (top 2)"," (vote 1)")))</f>
        <v>CA_Orang_2020p~president of the united states - dem (vote 1)</v>
      </c>
      <c r="B1627" s="55" t="s">
        <v>3163</v>
      </c>
      <c r="D1627" s="55" t="s">
        <v>3164</v>
      </c>
      <c r="E1627" s="55" t="s">
        <v>3173</v>
      </c>
      <c r="F1627" t="s">
        <v>1294</v>
      </c>
      <c r="G1627" s="60">
        <v>231</v>
      </c>
      <c r="H1627" s="26">
        <f t="shared" ref="H1627:H1690" si="554">G1627/J1627</f>
        <v>6.0994930291508238E-4</v>
      </c>
      <c r="J1627" s="23">
        <v>378720</v>
      </c>
      <c r="K1627">
        <v>1703</v>
      </c>
      <c r="L1627">
        <v>1703</v>
      </c>
      <c r="N1627">
        <v>0</v>
      </c>
      <c r="O1627">
        <f t="shared" si="546"/>
        <v>15</v>
      </c>
      <c r="P1627" s="57">
        <f t="shared" si="547"/>
        <v>1</v>
      </c>
      <c r="Q1627" s="267">
        <f t="shared" si="548"/>
        <v>867</v>
      </c>
      <c r="R1627" s="23" t="str">
        <f t="shared" si="549"/>
        <v/>
      </c>
      <c r="S1627" s="23">
        <f t="shared" si="550"/>
        <v>231</v>
      </c>
      <c r="T1627" s="23" t="str">
        <f t="shared" si="551"/>
        <v/>
      </c>
      <c r="U1627" t="str">
        <f t="shared" si="552"/>
        <v/>
      </c>
      <c r="X1627" s="71"/>
      <c r="Z1627" s="44"/>
      <c r="AF1627" s="22"/>
    </row>
    <row r="1628" spans="1:45">
      <c r="A1628" t="str">
        <f t="shared" si="553"/>
        <v>CA_Orang_2020p~president of the united states - dem (vote 1)</v>
      </c>
      <c r="B1628" s="55" t="s">
        <v>3163</v>
      </c>
      <c r="D1628" s="55" t="s">
        <v>3164</v>
      </c>
      <c r="E1628" s="55" t="s">
        <v>3180</v>
      </c>
      <c r="F1628" t="s">
        <v>1294</v>
      </c>
      <c r="G1628" s="60">
        <v>199</v>
      </c>
      <c r="H1628" s="26">
        <f t="shared" si="554"/>
        <v>5.2545416138572029E-4</v>
      </c>
      <c r="J1628" s="23">
        <v>378720</v>
      </c>
      <c r="K1628">
        <v>1703</v>
      </c>
      <c r="L1628">
        <v>1703</v>
      </c>
      <c r="N1628">
        <v>0</v>
      </c>
      <c r="O1628">
        <f t="shared" si="546"/>
        <v>16</v>
      </c>
      <c r="P1628" s="57">
        <f t="shared" si="547"/>
        <v>1</v>
      </c>
      <c r="Q1628" s="267">
        <f t="shared" si="548"/>
        <v>636</v>
      </c>
      <c r="R1628" s="23" t="str">
        <f t="shared" si="549"/>
        <v/>
      </c>
      <c r="S1628" s="23">
        <f t="shared" si="550"/>
        <v>199</v>
      </c>
      <c r="T1628" s="23" t="str">
        <f t="shared" si="551"/>
        <v/>
      </c>
      <c r="U1628" t="str">
        <f t="shared" si="552"/>
        <v/>
      </c>
      <c r="X1628" s="71"/>
      <c r="Z1628" s="44"/>
      <c r="AF1628" s="22"/>
    </row>
    <row r="1629" spans="1:45">
      <c r="A1629" t="str">
        <f t="shared" si="553"/>
        <v>CA_Orang_2020p~president of the united states - dem (vote 1)</v>
      </c>
      <c r="B1629" s="55" t="s">
        <v>3163</v>
      </c>
      <c r="D1629" s="55" t="s">
        <v>3164</v>
      </c>
      <c r="E1629" s="55" t="s">
        <v>3178</v>
      </c>
      <c r="F1629" t="s">
        <v>1294</v>
      </c>
      <c r="G1629" s="60">
        <v>156</v>
      </c>
      <c r="H1629" s="26">
        <f t="shared" si="554"/>
        <v>4.1191381495564005E-4</v>
      </c>
      <c r="J1629" s="23">
        <v>378720</v>
      </c>
      <c r="K1629">
        <v>1703</v>
      </c>
      <c r="L1629">
        <v>1703</v>
      </c>
      <c r="N1629">
        <v>0</v>
      </c>
      <c r="O1629">
        <f t="shared" si="546"/>
        <v>17</v>
      </c>
      <c r="P1629" s="57">
        <f t="shared" si="547"/>
        <v>1</v>
      </c>
      <c r="Q1629" s="267">
        <f t="shared" si="548"/>
        <v>437</v>
      </c>
      <c r="R1629" s="23" t="str">
        <f t="shared" si="549"/>
        <v/>
      </c>
      <c r="S1629" s="23">
        <f t="shared" si="550"/>
        <v>156</v>
      </c>
      <c r="T1629" s="23" t="str">
        <f t="shared" si="551"/>
        <v/>
      </c>
      <c r="U1629" t="str">
        <f t="shared" si="552"/>
        <v/>
      </c>
      <c r="X1629" s="71"/>
      <c r="Z1629" s="44"/>
      <c r="AF1629" s="22"/>
      <c r="AO1629" s="356"/>
      <c r="AP1629" s="356"/>
      <c r="AQ1629" s="394"/>
      <c r="AR1629" s="394"/>
      <c r="AS1629" s="394"/>
    </row>
    <row r="1630" spans="1:45">
      <c r="A1630" t="str">
        <f t="shared" si="553"/>
        <v>CA_Orang_2020p~president of the united states - dem (vote 1)</v>
      </c>
      <c r="B1630" s="55" t="s">
        <v>3163</v>
      </c>
      <c r="D1630" s="55" t="s">
        <v>3164</v>
      </c>
      <c r="E1630" s="55" t="s">
        <v>3169</v>
      </c>
      <c r="F1630" t="s">
        <v>1294</v>
      </c>
      <c r="G1630" s="60">
        <v>94</v>
      </c>
      <c r="H1630" s="26">
        <f t="shared" si="554"/>
        <v>2.4820447824250107E-4</v>
      </c>
      <c r="J1630" s="23">
        <v>378720</v>
      </c>
      <c r="K1630">
        <v>1703</v>
      </c>
      <c r="L1630">
        <v>1703</v>
      </c>
      <c r="N1630">
        <v>0</v>
      </c>
      <c r="O1630">
        <f t="shared" si="546"/>
        <v>18</v>
      </c>
      <c r="P1630" s="57">
        <f t="shared" si="547"/>
        <v>1</v>
      </c>
      <c r="Q1630" s="267">
        <f t="shared" si="548"/>
        <v>281</v>
      </c>
      <c r="R1630" s="23" t="str">
        <f t="shared" si="549"/>
        <v/>
      </c>
      <c r="S1630" s="23">
        <f t="shared" si="550"/>
        <v>94</v>
      </c>
      <c r="T1630" s="23" t="str">
        <f t="shared" si="551"/>
        <v/>
      </c>
      <c r="U1630" t="str">
        <f t="shared" si="552"/>
        <v/>
      </c>
      <c r="X1630" s="71"/>
      <c r="Z1630" s="44"/>
      <c r="AF1630" s="22"/>
    </row>
    <row r="1631" spans="1:45">
      <c r="A1631" t="str">
        <f t="shared" si="553"/>
        <v>CA_Orang_2020p~president of the united states - dem (vote 1)</v>
      </c>
      <c r="B1631" s="55" t="s">
        <v>3163</v>
      </c>
      <c r="D1631" s="55" t="s">
        <v>3164</v>
      </c>
      <c r="E1631" s="55" t="s">
        <v>3176</v>
      </c>
      <c r="F1631" t="s">
        <v>1294</v>
      </c>
      <c r="G1631" s="60">
        <v>90</v>
      </c>
      <c r="H1631" s="26">
        <f t="shared" si="554"/>
        <v>2.376425855513308E-4</v>
      </c>
      <c r="J1631" s="23">
        <v>378720</v>
      </c>
      <c r="K1631">
        <v>1703</v>
      </c>
      <c r="L1631">
        <v>1703</v>
      </c>
      <c r="N1631">
        <v>0</v>
      </c>
      <c r="O1631">
        <f t="shared" si="546"/>
        <v>19</v>
      </c>
      <c r="P1631" s="57">
        <f t="shared" si="547"/>
        <v>1</v>
      </c>
      <c r="Q1631" s="267">
        <f t="shared" si="548"/>
        <v>187</v>
      </c>
      <c r="R1631" s="23" t="str">
        <f t="shared" si="549"/>
        <v/>
      </c>
      <c r="S1631" s="23">
        <f t="shared" si="550"/>
        <v>90</v>
      </c>
      <c r="T1631" s="23" t="str">
        <f t="shared" si="551"/>
        <v/>
      </c>
      <c r="U1631" t="str">
        <f t="shared" si="552"/>
        <v/>
      </c>
      <c r="X1631" s="71"/>
      <c r="Z1631" s="44"/>
      <c r="AF1631" s="22"/>
    </row>
    <row r="1632" spans="1:45">
      <c r="A1632" t="str">
        <f t="shared" si="553"/>
        <v>CA_Orang_2020p~president of the united states - dem (vote 1)</v>
      </c>
      <c r="B1632" s="55" t="s">
        <v>3163</v>
      </c>
      <c r="D1632" s="55" t="s">
        <v>3164</v>
      </c>
      <c r="E1632" s="55" t="s">
        <v>3174</v>
      </c>
      <c r="F1632" t="s">
        <v>1294</v>
      </c>
      <c r="G1632" s="60">
        <v>76</v>
      </c>
      <c r="H1632" s="26">
        <f t="shared" si="554"/>
        <v>2.006759611322349E-4</v>
      </c>
      <c r="J1632" s="23">
        <v>378720</v>
      </c>
      <c r="K1632">
        <v>1703</v>
      </c>
      <c r="L1632">
        <v>1703</v>
      </c>
      <c r="N1632">
        <v>0</v>
      </c>
      <c r="O1632">
        <f t="shared" si="546"/>
        <v>20</v>
      </c>
      <c r="P1632" s="57">
        <f t="shared" si="547"/>
        <v>1</v>
      </c>
      <c r="Q1632" s="267">
        <f t="shared" si="548"/>
        <v>97</v>
      </c>
      <c r="R1632" s="23" t="str">
        <f t="shared" si="549"/>
        <v/>
      </c>
      <c r="S1632" s="23">
        <f t="shared" si="550"/>
        <v>76</v>
      </c>
      <c r="T1632" s="23" t="str">
        <f t="shared" si="551"/>
        <v/>
      </c>
      <c r="U1632" t="str">
        <f t="shared" si="552"/>
        <v/>
      </c>
      <c r="X1632" s="71"/>
      <c r="Z1632" s="44"/>
      <c r="AF1632" s="22"/>
    </row>
    <row r="1633" spans="1:45">
      <c r="A1633" t="str">
        <f t="shared" si="553"/>
        <v>CA_Orang_2020p~president of the united states - dem (vote 1)</v>
      </c>
      <c r="B1633" s="55" t="s">
        <v>3163</v>
      </c>
      <c r="D1633" s="55" t="s">
        <v>3164</v>
      </c>
      <c r="E1633" s="55" t="s">
        <v>3191</v>
      </c>
      <c r="G1633" s="60">
        <v>19</v>
      </c>
      <c r="H1633" s="26">
        <f t="shared" si="554"/>
        <v>5.0168990283058725E-5</v>
      </c>
      <c r="J1633" s="23">
        <v>378720</v>
      </c>
      <c r="K1633">
        <v>1703</v>
      </c>
      <c r="L1633">
        <v>1703</v>
      </c>
      <c r="N1633">
        <v>0</v>
      </c>
      <c r="O1633">
        <f t="shared" si="546"/>
        <v>21</v>
      </c>
      <c r="P1633" s="57">
        <f t="shared" si="547"/>
        <v>1</v>
      </c>
      <c r="Q1633" s="267">
        <f t="shared" si="548"/>
        <v>21</v>
      </c>
      <c r="R1633" s="23" t="str">
        <f t="shared" si="549"/>
        <v/>
      </c>
      <c r="S1633" s="23">
        <f t="shared" si="550"/>
        <v>19</v>
      </c>
      <c r="T1633" s="23" t="str">
        <f t="shared" si="551"/>
        <v/>
      </c>
      <c r="U1633" t="str">
        <f t="shared" si="552"/>
        <v/>
      </c>
      <c r="X1633" s="71"/>
      <c r="Z1633" s="44"/>
      <c r="AF1633" s="88"/>
    </row>
    <row r="1634" spans="1:45">
      <c r="A1634" t="str">
        <f t="shared" si="553"/>
        <v>CA_Orang_2020p~president of the united states - dem (vote 1)</v>
      </c>
      <c r="B1634" s="55" t="s">
        <v>3163</v>
      </c>
      <c r="D1634" s="55" t="s">
        <v>3164</v>
      </c>
      <c r="E1634" s="55" t="s">
        <v>3185</v>
      </c>
      <c r="G1634" s="60">
        <v>1</v>
      </c>
      <c r="H1634" s="26">
        <f t="shared" si="554"/>
        <v>2.6404731727925645E-6</v>
      </c>
      <c r="J1634" s="23">
        <v>378720</v>
      </c>
      <c r="K1634">
        <v>1703</v>
      </c>
      <c r="L1634">
        <v>1703</v>
      </c>
      <c r="N1634">
        <v>0</v>
      </c>
      <c r="O1634">
        <f t="shared" si="546"/>
        <v>22</v>
      </c>
      <c r="P1634" s="57">
        <f t="shared" si="547"/>
        <v>1</v>
      </c>
      <c r="Q1634" s="267">
        <f t="shared" si="548"/>
        <v>2</v>
      </c>
      <c r="R1634" s="23" t="str">
        <f t="shared" si="549"/>
        <v/>
      </c>
      <c r="S1634" s="23">
        <f t="shared" si="550"/>
        <v>1</v>
      </c>
      <c r="T1634" s="23" t="str">
        <f t="shared" si="551"/>
        <v/>
      </c>
      <c r="U1634" t="str">
        <f t="shared" si="552"/>
        <v/>
      </c>
      <c r="X1634" s="71"/>
      <c r="Z1634" s="44"/>
      <c r="AF1634" s="22"/>
    </row>
    <row r="1635" spans="1:45">
      <c r="A1635" t="str">
        <f t="shared" si="553"/>
        <v>CA_Orang_2020p~president of the united states - dem (vote 1)</v>
      </c>
      <c r="B1635" s="55" t="s">
        <v>3163</v>
      </c>
      <c r="D1635" s="55" t="s">
        <v>3164</v>
      </c>
      <c r="E1635" s="55" t="s">
        <v>3190</v>
      </c>
      <c r="G1635" s="60">
        <v>1</v>
      </c>
      <c r="H1635" s="26">
        <f t="shared" si="554"/>
        <v>2.6404731727925645E-6</v>
      </c>
      <c r="J1635" s="23">
        <v>378720</v>
      </c>
      <c r="K1635">
        <v>1703</v>
      </c>
      <c r="L1635">
        <v>1703</v>
      </c>
      <c r="N1635">
        <v>0</v>
      </c>
      <c r="O1635">
        <f t="shared" si="546"/>
        <v>23</v>
      </c>
      <c r="P1635" s="57">
        <f t="shared" si="547"/>
        <v>1</v>
      </c>
      <c r="Q1635" s="267">
        <f t="shared" si="548"/>
        <v>1</v>
      </c>
      <c r="R1635" s="23" t="str">
        <f t="shared" si="549"/>
        <v/>
      </c>
      <c r="S1635" s="23">
        <f t="shared" si="550"/>
        <v>1</v>
      </c>
      <c r="T1635" s="23" t="str">
        <f t="shared" si="551"/>
        <v/>
      </c>
      <c r="U1635" t="str">
        <f t="shared" si="552"/>
        <v/>
      </c>
      <c r="X1635" s="71"/>
      <c r="Z1635" s="44"/>
      <c r="AF1635" s="22"/>
      <c r="AO1635" s="356"/>
      <c r="AP1635" s="356"/>
      <c r="AQ1635" s="394"/>
      <c r="AR1635" s="394"/>
      <c r="AS1635" s="394"/>
    </row>
    <row r="1636" spans="1:45">
      <c r="A1636" t="str">
        <f t="shared" si="553"/>
        <v>CA_Orang_2020p~president of the united states - dem (vote 1)</v>
      </c>
      <c r="B1636" s="55" t="s">
        <v>3163</v>
      </c>
      <c r="D1636" s="55" t="s">
        <v>3164</v>
      </c>
      <c r="E1636" s="55" t="s">
        <v>3186</v>
      </c>
      <c r="G1636" s="60">
        <v>0</v>
      </c>
      <c r="H1636" s="26">
        <f t="shared" si="554"/>
        <v>0</v>
      </c>
      <c r="J1636" s="23">
        <v>378720</v>
      </c>
      <c r="K1636">
        <v>1703</v>
      </c>
      <c r="L1636">
        <v>1703</v>
      </c>
      <c r="N1636">
        <v>0</v>
      </c>
      <c r="O1636">
        <f t="shared" si="546"/>
        <v>24</v>
      </c>
      <c r="P1636" s="57">
        <f t="shared" si="547"/>
        <v>1</v>
      </c>
      <c r="Q1636" s="267">
        <f t="shared" si="548"/>
        <v>0</v>
      </c>
      <c r="R1636" s="23" t="str">
        <f t="shared" si="549"/>
        <v/>
      </c>
      <c r="S1636" s="23">
        <f t="shared" si="550"/>
        <v>0</v>
      </c>
      <c r="T1636" s="23" t="str">
        <f t="shared" si="551"/>
        <v/>
      </c>
      <c r="U1636" t="str">
        <f t="shared" si="552"/>
        <v/>
      </c>
      <c r="X1636" s="71"/>
      <c r="Z1636" s="44"/>
      <c r="AF1636" s="22"/>
    </row>
    <row r="1637" spans="1:45">
      <c r="A1637" t="str">
        <f t="shared" si="553"/>
        <v>CA_Orang_2020p~president of the united states - dem (vote 1)</v>
      </c>
      <c r="B1637" s="55" t="s">
        <v>3163</v>
      </c>
      <c r="D1637" s="55" t="s">
        <v>3164</v>
      </c>
      <c r="E1637" s="55" t="s">
        <v>3187</v>
      </c>
      <c r="G1637" s="60">
        <v>0</v>
      </c>
      <c r="H1637" s="26">
        <f t="shared" si="554"/>
        <v>0</v>
      </c>
      <c r="J1637" s="23">
        <v>378720</v>
      </c>
      <c r="K1637">
        <v>1703</v>
      </c>
      <c r="L1637">
        <v>1703</v>
      </c>
      <c r="N1637">
        <v>0</v>
      </c>
      <c r="O1637">
        <f t="shared" si="546"/>
        <v>25</v>
      </c>
      <c r="P1637" s="57">
        <f t="shared" si="547"/>
        <v>1</v>
      </c>
      <c r="Q1637" s="267">
        <f t="shared" si="548"/>
        <v>0</v>
      </c>
      <c r="R1637" s="23" t="str">
        <f t="shared" si="549"/>
        <v/>
      </c>
      <c r="S1637" s="23">
        <f t="shared" si="550"/>
        <v>0</v>
      </c>
      <c r="T1637" s="23" t="str">
        <f t="shared" si="551"/>
        <v/>
      </c>
      <c r="U1637" t="str">
        <f t="shared" si="552"/>
        <v/>
      </c>
      <c r="X1637" s="71"/>
      <c r="Z1637" s="44"/>
      <c r="AF1637" s="22"/>
    </row>
    <row r="1638" spans="1:45">
      <c r="A1638" t="str">
        <f t="shared" si="553"/>
        <v>CA_Orang_2020p~president of the united states - dem (vote 1)</v>
      </c>
      <c r="B1638" s="55" t="s">
        <v>3163</v>
      </c>
      <c r="D1638" s="55" t="s">
        <v>3164</v>
      </c>
      <c r="E1638" s="55" t="s">
        <v>3188</v>
      </c>
      <c r="G1638" s="60">
        <v>0</v>
      </c>
      <c r="H1638" s="26">
        <f t="shared" si="554"/>
        <v>0</v>
      </c>
      <c r="J1638" s="23">
        <v>378720</v>
      </c>
      <c r="K1638">
        <v>1703</v>
      </c>
      <c r="L1638">
        <v>1703</v>
      </c>
      <c r="N1638">
        <v>0</v>
      </c>
      <c r="O1638">
        <f t="shared" si="546"/>
        <v>26</v>
      </c>
      <c r="P1638" s="57">
        <f t="shared" si="547"/>
        <v>1</v>
      </c>
      <c r="Q1638" s="267">
        <f t="shared" si="548"/>
        <v>0</v>
      </c>
      <c r="R1638" s="23" t="str">
        <f t="shared" si="549"/>
        <v/>
      </c>
      <c r="S1638" s="23">
        <f t="shared" si="550"/>
        <v>0</v>
      </c>
      <c r="T1638" s="23" t="str">
        <f t="shared" si="551"/>
        <v/>
      </c>
      <c r="U1638" t="str">
        <f t="shared" si="552"/>
        <v/>
      </c>
      <c r="X1638" s="71"/>
      <c r="Z1638" s="44"/>
      <c r="AF1638" s="22"/>
      <c r="AL1638" s="344"/>
    </row>
    <row r="1639" spans="1:45">
      <c r="A1639" t="str">
        <f t="shared" si="553"/>
        <v>CA_Orang_2020p~president of the united states - dem (vote 1)</v>
      </c>
      <c r="B1639" s="55" t="s">
        <v>3163</v>
      </c>
      <c r="D1639" s="55" t="s">
        <v>3164</v>
      </c>
      <c r="E1639" s="55" t="s">
        <v>3189</v>
      </c>
      <c r="G1639" s="60">
        <v>0</v>
      </c>
      <c r="H1639" s="26">
        <f t="shared" si="554"/>
        <v>0</v>
      </c>
      <c r="J1639" s="23">
        <v>378720</v>
      </c>
      <c r="K1639">
        <v>1703</v>
      </c>
      <c r="L1639">
        <v>1703</v>
      </c>
      <c r="N1639">
        <v>0</v>
      </c>
      <c r="O1639">
        <f t="shared" si="546"/>
        <v>27</v>
      </c>
      <c r="P1639" s="57">
        <f t="shared" si="547"/>
        <v>1</v>
      </c>
      <c r="Q1639" s="267">
        <f t="shared" si="548"/>
        <v>0</v>
      </c>
      <c r="R1639" s="23" t="str">
        <f t="shared" si="549"/>
        <v/>
      </c>
      <c r="S1639" s="23">
        <f t="shared" si="550"/>
        <v>0</v>
      </c>
      <c r="T1639" s="23" t="str">
        <f t="shared" si="551"/>
        <v/>
      </c>
      <c r="U1639" t="str">
        <f t="shared" si="552"/>
        <v/>
      </c>
      <c r="X1639" s="71"/>
      <c r="Z1639" s="44"/>
      <c r="AF1639" s="22"/>
    </row>
    <row r="1640" spans="1:45">
      <c r="A1640" t="str">
        <f t="shared" si="553"/>
        <v>CA_Orang_2020p~president of the united states - lib (vote 1)</v>
      </c>
      <c r="B1640" s="55" t="s">
        <v>3163</v>
      </c>
      <c r="D1640" s="55" t="s">
        <v>3215</v>
      </c>
      <c r="E1640" s="55" t="s">
        <v>3222</v>
      </c>
      <c r="F1640" t="s">
        <v>1298</v>
      </c>
      <c r="G1640" s="60">
        <v>539</v>
      </c>
      <c r="H1640" s="26">
        <f t="shared" si="554"/>
        <v>0.18240270727580371</v>
      </c>
      <c r="J1640" s="23">
        <v>2955</v>
      </c>
      <c r="K1640">
        <v>1703</v>
      </c>
      <c r="L1640">
        <v>1703</v>
      </c>
      <c r="N1640">
        <v>0</v>
      </c>
      <c r="O1640">
        <f t="shared" si="546"/>
        <v>1</v>
      </c>
      <c r="P1640" s="57">
        <f t="shared" si="547"/>
        <v>1</v>
      </c>
      <c r="Q1640" s="267">
        <f t="shared" si="548"/>
        <v>2472</v>
      </c>
      <c r="R1640" s="23">
        <f t="shared" si="549"/>
        <v>539</v>
      </c>
      <c r="S1640" s="23">
        <f t="shared" si="550"/>
        <v>317</v>
      </c>
      <c r="T1640" s="23">
        <f t="shared" si="551"/>
        <v>222</v>
      </c>
      <c r="U1640" t="str">
        <f t="shared" si="552"/>
        <v>CA_Orang_2020p~president of the united states - lib (vote 1)</v>
      </c>
      <c r="X1640" s="71"/>
      <c r="Z1640" s="44"/>
      <c r="AF1640" s="22"/>
      <c r="AO1640" s="356"/>
      <c r="AP1640" s="356"/>
      <c r="AQ1640" s="394"/>
      <c r="AR1640" s="394"/>
      <c r="AS1640" s="394"/>
    </row>
    <row r="1641" spans="1:45">
      <c r="A1641" t="str">
        <f t="shared" si="553"/>
        <v>CA_Orang_2020p~president of the united states - lib (vote 1)</v>
      </c>
      <c r="B1641" s="55" t="s">
        <v>3163</v>
      </c>
      <c r="D1641" s="55" t="s">
        <v>3215</v>
      </c>
      <c r="E1641" s="55" t="s">
        <v>3228</v>
      </c>
      <c r="F1641" t="s">
        <v>1298</v>
      </c>
      <c r="G1641" s="60">
        <v>317</v>
      </c>
      <c r="H1641" s="26">
        <f t="shared" si="554"/>
        <v>0.10727580372250423</v>
      </c>
      <c r="J1641" s="23">
        <v>2955</v>
      </c>
      <c r="K1641">
        <v>1703</v>
      </c>
      <c r="L1641">
        <v>1703</v>
      </c>
      <c r="N1641">
        <v>0</v>
      </c>
      <c r="O1641">
        <f t="shared" si="546"/>
        <v>2</v>
      </c>
      <c r="P1641" s="57">
        <f t="shared" si="547"/>
        <v>1</v>
      </c>
      <c r="Q1641" s="267">
        <f t="shared" si="548"/>
        <v>1933</v>
      </c>
      <c r="R1641" s="23" t="str">
        <f t="shared" si="549"/>
        <v/>
      </c>
      <c r="S1641" s="23">
        <f t="shared" si="550"/>
        <v>317</v>
      </c>
      <c r="T1641" s="23" t="str">
        <f t="shared" si="551"/>
        <v/>
      </c>
      <c r="U1641" t="str">
        <f t="shared" si="552"/>
        <v/>
      </c>
      <c r="X1641" s="71"/>
      <c r="Z1641" s="44"/>
      <c r="AF1641" s="22"/>
    </row>
    <row r="1642" spans="1:45">
      <c r="A1642" t="str">
        <f t="shared" si="553"/>
        <v>CA_Orang_2020p~president of the united states - lib (vote 1)</v>
      </c>
      <c r="B1642" s="55" t="s">
        <v>3163</v>
      </c>
      <c r="D1642" s="55" t="s">
        <v>3215</v>
      </c>
      <c r="E1642" s="55" t="s">
        <v>3223</v>
      </c>
      <c r="F1642" t="s">
        <v>1298</v>
      </c>
      <c r="G1642" s="60">
        <v>304</v>
      </c>
      <c r="H1642" s="26">
        <f t="shared" si="554"/>
        <v>0.10287648054145516</v>
      </c>
      <c r="J1642" s="23">
        <v>2955</v>
      </c>
      <c r="K1642">
        <v>1703</v>
      </c>
      <c r="L1642">
        <v>1703</v>
      </c>
      <c r="N1642">
        <v>0</v>
      </c>
      <c r="O1642">
        <f t="shared" si="546"/>
        <v>3</v>
      </c>
      <c r="P1642" s="57">
        <f t="shared" si="547"/>
        <v>1</v>
      </c>
      <c r="Q1642" s="267">
        <f t="shared" si="548"/>
        <v>1616</v>
      </c>
      <c r="R1642" s="23" t="str">
        <f t="shared" si="549"/>
        <v/>
      </c>
      <c r="S1642" s="23">
        <f t="shared" si="550"/>
        <v>304</v>
      </c>
      <c r="T1642" s="23" t="str">
        <f t="shared" si="551"/>
        <v/>
      </c>
      <c r="U1642" t="str">
        <f t="shared" si="552"/>
        <v/>
      </c>
      <c r="X1642" s="71"/>
      <c r="Z1642" s="44"/>
      <c r="AF1642" s="22"/>
      <c r="AL1642" s="344"/>
    </row>
    <row r="1643" spans="1:45">
      <c r="A1643" t="str">
        <f t="shared" si="553"/>
        <v>CA_Orang_2020p~president of the united states - lib (vote 1)</v>
      </c>
      <c r="B1643" s="55" t="s">
        <v>3163</v>
      </c>
      <c r="D1643" s="55" t="s">
        <v>3215</v>
      </c>
      <c r="E1643" s="55" t="s">
        <v>3217</v>
      </c>
      <c r="F1643" t="s">
        <v>1298</v>
      </c>
      <c r="G1643" s="60">
        <v>231</v>
      </c>
      <c r="H1643" s="26">
        <f t="shared" si="554"/>
        <v>7.8172588832487316E-2</v>
      </c>
      <c r="J1643" s="23">
        <v>2955</v>
      </c>
      <c r="K1643">
        <v>1703</v>
      </c>
      <c r="L1643">
        <v>1703</v>
      </c>
      <c r="N1643">
        <v>0</v>
      </c>
      <c r="O1643">
        <f t="shared" si="546"/>
        <v>4</v>
      </c>
      <c r="P1643" s="57">
        <f t="shared" si="547"/>
        <v>1</v>
      </c>
      <c r="Q1643" s="267">
        <f t="shared" si="548"/>
        <v>1312</v>
      </c>
      <c r="R1643" s="23" t="str">
        <f t="shared" si="549"/>
        <v/>
      </c>
      <c r="S1643" s="23">
        <f t="shared" si="550"/>
        <v>231</v>
      </c>
      <c r="T1643" s="23" t="str">
        <f t="shared" si="551"/>
        <v/>
      </c>
      <c r="U1643" t="str">
        <f t="shared" si="552"/>
        <v/>
      </c>
      <c r="X1643" s="71"/>
      <c r="Z1643" s="44"/>
      <c r="AF1643" s="22"/>
    </row>
    <row r="1644" spans="1:45">
      <c r="A1644" t="str">
        <f t="shared" si="553"/>
        <v>CA_Orang_2020p~president of the united states - lib (vote 1)</v>
      </c>
      <c r="B1644" s="55" t="s">
        <v>3163</v>
      </c>
      <c r="D1644" s="55" t="s">
        <v>3215</v>
      </c>
      <c r="E1644" s="55" t="s">
        <v>3224</v>
      </c>
      <c r="F1644" t="s">
        <v>1298</v>
      </c>
      <c r="G1644" s="60">
        <v>196</v>
      </c>
      <c r="H1644" s="26">
        <f t="shared" si="554"/>
        <v>6.6328257191201348E-2</v>
      </c>
      <c r="J1644" s="23">
        <v>2955</v>
      </c>
      <c r="K1644">
        <v>1703</v>
      </c>
      <c r="L1644">
        <v>1703</v>
      </c>
      <c r="N1644">
        <v>0</v>
      </c>
      <c r="O1644">
        <f t="shared" si="546"/>
        <v>5</v>
      </c>
      <c r="P1644" s="57">
        <f t="shared" si="547"/>
        <v>1</v>
      </c>
      <c r="Q1644" s="267">
        <f t="shared" si="548"/>
        <v>1081</v>
      </c>
      <c r="R1644" s="23" t="str">
        <f t="shared" si="549"/>
        <v/>
      </c>
      <c r="S1644" s="23">
        <f t="shared" si="550"/>
        <v>196</v>
      </c>
      <c r="T1644" s="23" t="str">
        <f t="shared" si="551"/>
        <v/>
      </c>
      <c r="U1644" t="str">
        <f t="shared" si="552"/>
        <v/>
      </c>
      <c r="X1644" s="71"/>
      <c r="Z1644" s="44"/>
      <c r="AF1644" s="22"/>
      <c r="AG1644" s="302"/>
      <c r="AH1644" s="301"/>
      <c r="AI1644" s="303"/>
      <c r="AJ1644" s="303"/>
      <c r="AK1644" s="342"/>
      <c r="AL1644" s="343"/>
    </row>
    <row r="1645" spans="1:45">
      <c r="A1645" t="str">
        <f t="shared" si="553"/>
        <v>CA_Orang_2020p~president of the united states - lib (vote 1)</v>
      </c>
      <c r="B1645" s="55" t="s">
        <v>3163</v>
      </c>
      <c r="D1645" s="55" t="s">
        <v>3215</v>
      </c>
      <c r="E1645" s="55" t="s">
        <v>3227</v>
      </c>
      <c r="F1645" t="s">
        <v>1298</v>
      </c>
      <c r="G1645" s="60">
        <v>183</v>
      </c>
      <c r="H1645" s="26">
        <f t="shared" si="554"/>
        <v>6.1928934010152287E-2</v>
      </c>
      <c r="J1645" s="23">
        <v>2955</v>
      </c>
      <c r="K1645">
        <v>1703</v>
      </c>
      <c r="L1645">
        <v>1703</v>
      </c>
      <c r="N1645">
        <v>0</v>
      </c>
      <c r="O1645">
        <f t="shared" si="546"/>
        <v>6</v>
      </c>
      <c r="P1645" s="57">
        <f t="shared" si="547"/>
        <v>1</v>
      </c>
      <c r="Q1645" s="267">
        <f t="shared" si="548"/>
        <v>885</v>
      </c>
      <c r="R1645" s="23" t="str">
        <f t="shared" si="549"/>
        <v/>
      </c>
      <c r="S1645" s="23">
        <f t="shared" si="550"/>
        <v>183</v>
      </c>
      <c r="T1645" s="23" t="str">
        <f t="shared" si="551"/>
        <v/>
      </c>
      <c r="U1645" t="str">
        <f t="shared" si="552"/>
        <v/>
      </c>
      <c r="X1645" s="71"/>
      <c r="Z1645" s="44"/>
      <c r="AF1645" s="22"/>
    </row>
    <row r="1646" spans="1:45">
      <c r="A1646" t="str">
        <f t="shared" si="553"/>
        <v>CA_Orang_2020p~president of the united states - lib (vote 1)</v>
      </c>
      <c r="B1646" s="55" t="s">
        <v>3163</v>
      </c>
      <c r="D1646" s="55" t="s">
        <v>3215</v>
      </c>
      <c r="E1646" s="55" t="s">
        <v>3226</v>
      </c>
      <c r="F1646" t="s">
        <v>1298</v>
      </c>
      <c r="G1646" s="60">
        <v>178</v>
      </c>
      <c r="H1646" s="26">
        <f t="shared" si="554"/>
        <v>6.0236886632825719E-2</v>
      </c>
      <c r="J1646" s="23">
        <v>2955</v>
      </c>
      <c r="K1646">
        <v>1703</v>
      </c>
      <c r="L1646">
        <v>1703</v>
      </c>
      <c r="N1646">
        <v>0</v>
      </c>
      <c r="O1646">
        <f t="shared" si="546"/>
        <v>7</v>
      </c>
      <c r="P1646" s="57">
        <f t="shared" si="547"/>
        <v>1</v>
      </c>
      <c r="Q1646" s="267">
        <f t="shared" si="548"/>
        <v>702</v>
      </c>
      <c r="R1646" s="23" t="str">
        <f t="shared" si="549"/>
        <v/>
      </c>
      <c r="S1646" s="23">
        <f t="shared" si="550"/>
        <v>178</v>
      </c>
      <c r="T1646" s="23" t="str">
        <f t="shared" si="551"/>
        <v/>
      </c>
      <c r="U1646" t="str">
        <f t="shared" si="552"/>
        <v/>
      </c>
      <c r="X1646" s="71"/>
      <c r="Z1646" s="44"/>
    </row>
    <row r="1647" spans="1:45">
      <c r="A1647" t="str">
        <f t="shared" si="553"/>
        <v>CA_Orang_2020p~president of the united states - lib (vote 1)</v>
      </c>
      <c r="B1647" s="55" t="s">
        <v>3163</v>
      </c>
      <c r="D1647" s="55" t="s">
        <v>3215</v>
      </c>
      <c r="E1647" s="55" t="s">
        <v>3218</v>
      </c>
      <c r="F1647" t="s">
        <v>1298</v>
      </c>
      <c r="G1647" s="60">
        <v>128</v>
      </c>
      <c r="H1647" s="26">
        <f t="shared" si="554"/>
        <v>4.3316412859560068E-2</v>
      </c>
      <c r="J1647" s="23">
        <v>2955</v>
      </c>
      <c r="K1647">
        <v>1703</v>
      </c>
      <c r="L1647">
        <v>1703</v>
      </c>
      <c r="N1647">
        <v>0</v>
      </c>
      <c r="O1647">
        <f t="shared" si="546"/>
        <v>8</v>
      </c>
      <c r="P1647" s="57">
        <f t="shared" si="547"/>
        <v>1</v>
      </c>
      <c r="Q1647" s="267">
        <f t="shared" si="548"/>
        <v>524</v>
      </c>
      <c r="R1647" s="23" t="str">
        <f t="shared" si="549"/>
        <v/>
      </c>
      <c r="S1647" s="23">
        <f t="shared" si="550"/>
        <v>128</v>
      </c>
      <c r="T1647" s="23" t="str">
        <f t="shared" si="551"/>
        <v/>
      </c>
      <c r="U1647" t="str">
        <f t="shared" si="552"/>
        <v/>
      </c>
      <c r="X1647" s="71"/>
      <c r="Z1647" s="44"/>
      <c r="AF1647" s="22"/>
    </row>
    <row r="1648" spans="1:45">
      <c r="A1648" t="str">
        <f t="shared" si="553"/>
        <v>CA_Orang_2020p~president of the united states - lib (vote 1)</v>
      </c>
      <c r="B1648" s="55" t="s">
        <v>3163</v>
      </c>
      <c r="D1648" s="55" t="s">
        <v>3215</v>
      </c>
      <c r="E1648" s="55" t="s">
        <v>3216</v>
      </c>
      <c r="F1648" t="s">
        <v>1298</v>
      </c>
      <c r="G1648" s="60">
        <v>118</v>
      </c>
      <c r="H1648" s="26">
        <f t="shared" si="554"/>
        <v>3.9932318104906939E-2</v>
      </c>
      <c r="J1648" s="23">
        <v>2955</v>
      </c>
      <c r="K1648">
        <v>1703</v>
      </c>
      <c r="L1648">
        <v>1703</v>
      </c>
      <c r="N1648">
        <v>0</v>
      </c>
      <c r="O1648">
        <f t="shared" si="546"/>
        <v>9</v>
      </c>
      <c r="P1648" s="57">
        <f t="shared" si="547"/>
        <v>1</v>
      </c>
      <c r="Q1648" s="267">
        <f t="shared" si="548"/>
        <v>396</v>
      </c>
      <c r="R1648" s="23" t="str">
        <f t="shared" si="549"/>
        <v/>
      </c>
      <c r="S1648" s="23">
        <f t="shared" si="550"/>
        <v>118</v>
      </c>
      <c r="T1648" s="23" t="str">
        <f t="shared" si="551"/>
        <v/>
      </c>
      <c r="U1648" t="str">
        <f t="shared" si="552"/>
        <v/>
      </c>
      <c r="X1648" s="71"/>
      <c r="Z1648" s="44"/>
      <c r="AF1648" s="22"/>
      <c r="AG1648" s="302"/>
      <c r="AH1648" s="301"/>
      <c r="AI1648" s="303"/>
      <c r="AJ1648" s="303"/>
      <c r="AK1648" s="342"/>
      <c r="AL1648" s="343"/>
    </row>
    <row r="1649" spans="1:38">
      <c r="A1649" t="str">
        <f t="shared" si="553"/>
        <v>CA_Orang_2020p~president of the united states - lib (vote 1)</v>
      </c>
      <c r="B1649" s="55" t="s">
        <v>3163</v>
      </c>
      <c r="D1649" s="55" t="s">
        <v>3215</v>
      </c>
      <c r="E1649" s="55" t="s">
        <v>3225</v>
      </c>
      <c r="F1649" t="s">
        <v>1298</v>
      </c>
      <c r="G1649" s="60">
        <v>77</v>
      </c>
      <c r="H1649" s="26">
        <f t="shared" si="554"/>
        <v>2.6057529610829102E-2</v>
      </c>
      <c r="J1649" s="23">
        <v>2955</v>
      </c>
      <c r="K1649">
        <v>1703</v>
      </c>
      <c r="L1649">
        <v>1703</v>
      </c>
      <c r="N1649">
        <v>0</v>
      </c>
      <c r="O1649">
        <f t="shared" si="546"/>
        <v>10</v>
      </c>
      <c r="P1649" s="57">
        <f t="shared" si="547"/>
        <v>1</v>
      </c>
      <c r="Q1649" s="267">
        <f t="shared" si="548"/>
        <v>278</v>
      </c>
      <c r="R1649" s="23" t="str">
        <f t="shared" si="549"/>
        <v/>
      </c>
      <c r="S1649" s="23">
        <f t="shared" si="550"/>
        <v>77</v>
      </c>
      <c r="T1649" s="23" t="str">
        <f t="shared" si="551"/>
        <v/>
      </c>
      <c r="U1649" t="str">
        <f t="shared" si="552"/>
        <v/>
      </c>
      <c r="X1649" s="71"/>
      <c r="Z1649" s="44"/>
      <c r="AF1649" s="22"/>
    </row>
    <row r="1650" spans="1:38">
      <c r="A1650" t="str">
        <f t="shared" si="553"/>
        <v>CA_Orang_2020p~president of the united states - lib (vote 1)</v>
      </c>
      <c r="B1650" s="55" t="s">
        <v>3163</v>
      </c>
      <c r="D1650" s="55" t="s">
        <v>3215</v>
      </c>
      <c r="E1650" s="55" t="s">
        <v>3220</v>
      </c>
      <c r="F1650" t="s">
        <v>1298</v>
      </c>
      <c r="G1650" s="60">
        <v>73</v>
      </c>
      <c r="H1650" s="26">
        <f t="shared" si="554"/>
        <v>2.4703891708967852E-2</v>
      </c>
      <c r="J1650" s="23">
        <v>2955</v>
      </c>
      <c r="K1650">
        <v>1703</v>
      </c>
      <c r="L1650">
        <v>1703</v>
      </c>
      <c r="N1650">
        <v>0</v>
      </c>
      <c r="O1650">
        <f t="shared" si="546"/>
        <v>11</v>
      </c>
      <c r="P1650" s="57">
        <f t="shared" si="547"/>
        <v>1</v>
      </c>
      <c r="Q1650" s="267">
        <f t="shared" si="548"/>
        <v>201</v>
      </c>
      <c r="R1650" s="23" t="str">
        <f t="shared" si="549"/>
        <v/>
      </c>
      <c r="S1650" s="23">
        <f t="shared" si="550"/>
        <v>73</v>
      </c>
      <c r="T1650" s="23" t="str">
        <f t="shared" si="551"/>
        <v/>
      </c>
      <c r="U1650" t="str">
        <f t="shared" si="552"/>
        <v/>
      </c>
      <c r="X1650" s="71"/>
      <c r="Z1650" s="44"/>
      <c r="AF1650" s="22"/>
    </row>
    <row r="1651" spans="1:38">
      <c r="A1651" t="str">
        <f t="shared" si="553"/>
        <v>CA_Orang_2020p~president of the united states - lib (vote 1)</v>
      </c>
      <c r="B1651" s="55" t="s">
        <v>3163</v>
      </c>
      <c r="D1651" s="55" t="s">
        <v>3215</v>
      </c>
      <c r="E1651" s="55" t="s">
        <v>3219</v>
      </c>
      <c r="F1651" t="s">
        <v>1298</v>
      </c>
      <c r="G1651" s="60">
        <v>70</v>
      </c>
      <c r="H1651" s="26">
        <f t="shared" si="554"/>
        <v>2.3688663282571912E-2</v>
      </c>
      <c r="J1651" s="23">
        <v>2955</v>
      </c>
      <c r="K1651">
        <v>1703</v>
      </c>
      <c r="L1651">
        <v>1703</v>
      </c>
      <c r="N1651">
        <v>0</v>
      </c>
      <c r="O1651">
        <f t="shared" si="546"/>
        <v>12</v>
      </c>
      <c r="P1651" s="57">
        <f t="shared" si="547"/>
        <v>1</v>
      </c>
      <c r="Q1651" s="267">
        <f t="shared" si="548"/>
        <v>128</v>
      </c>
      <c r="R1651" s="23" t="str">
        <f t="shared" si="549"/>
        <v/>
      </c>
      <c r="S1651" s="23">
        <f t="shared" si="550"/>
        <v>70</v>
      </c>
      <c r="T1651" s="23" t="str">
        <f t="shared" si="551"/>
        <v/>
      </c>
      <c r="U1651" t="str">
        <f t="shared" si="552"/>
        <v/>
      </c>
      <c r="X1651" s="71"/>
      <c r="Z1651" s="44"/>
      <c r="AF1651" s="22"/>
    </row>
    <row r="1652" spans="1:38">
      <c r="A1652" t="str">
        <f t="shared" si="553"/>
        <v>CA_Orang_2020p~president of the united states - lib (vote 1)</v>
      </c>
      <c r="B1652" s="55" t="s">
        <v>3163</v>
      </c>
      <c r="D1652" s="55" t="s">
        <v>3215</v>
      </c>
      <c r="E1652" s="55" t="s">
        <v>3221</v>
      </c>
      <c r="F1652" t="s">
        <v>1298</v>
      </c>
      <c r="G1652" s="60">
        <v>57</v>
      </c>
      <c r="H1652" s="26">
        <f t="shared" si="554"/>
        <v>1.9289340101522844E-2</v>
      </c>
      <c r="J1652" s="23">
        <v>2955</v>
      </c>
      <c r="K1652">
        <v>1703</v>
      </c>
      <c r="L1652">
        <v>1703</v>
      </c>
      <c r="N1652">
        <v>0</v>
      </c>
      <c r="O1652">
        <f t="shared" si="546"/>
        <v>13</v>
      </c>
      <c r="P1652" s="57">
        <f t="shared" si="547"/>
        <v>1</v>
      </c>
      <c r="Q1652" s="267">
        <f t="shared" si="548"/>
        <v>58</v>
      </c>
      <c r="R1652" s="23" t="str">
        <f t="shared" si="549"/>
        <v/>
      </c>
      <c r="S1652" s="23">
        <f t="shared" si="550"/>
        <v>57</v>
      </c>
      <c r="T1652" s="23" t="str">
        <f t="shared" si="551"/>
        <v/>
      </c>
      <c r="U1652" t="str">
        <f t="shared" si="552"/>
        <v/>
      </c>
      <c r="X1652" s="71"/>
      <c r="Z1652" s="44"/>
      <c r="AF1652" s="22"/>
    </row>
    <row r="1653" spans="1:38">
      <c r="A1653" t="str">
        <f t="shared" si="553"/>
        <v>CA_Orang_2020p~president of the united states - lib (vote 1)</v>
      </c>
      <c r="B1653" s="55" t="s">
        <v>3163</v>
      </c>
      <c r="D1653" s="55" t="s">
        <v>3215</v>
      </c>
      <c r="E1653" s="55" t="s">
        <v>3232</v>
      </c>
      <c r="G1653" s="60">
        <v>1</v>
      </c>
      <c r="H1653" s="26">
        <f t="shared" si="554"/>
        <v>3.3840947546531303E-4</v>
      </c>
      <c r="J1653" s="23">
        <v>2955</v>
      </c>
      <c r="K1653">
        <v>1703</v>
      </c>
      <c r="L1653">
        <v>1703</v>
      </c>
      <c r="N1653">
        <v>0</v>
      </c>
      <c r="O1653">
        <f t="shared" si="546"/>
        <v>14</v>
      </c>
      <c r="P1653" s="57">
        <f t="shared" si="547"/>
        <v>1</v>
      </c>
      <c r="Q1653" s="267">
        <f t="shared" si="548"/>
        <v>1</v>
      </c>
      <c r="R1653" s="23" t="str">
        <f t="shared" si="549"/>
        <v/>
      </c>
      <c r="S1653" s="23">
        <f t="shared" si="550"/>
        <v>1</v>
      </c>
      <c r="T1653" s="23" t="str">
        <f t="shared" si="551"/>
        <v/>
      </c>
      <c r="U1653" t="str">
        <f t="shared" si="552"/>
        <v/>
      </c>
      <c r="X1653" s="71"/>
      <c r="Z1653" s="44"/>
      <c r="AF1653" s="22"/>
    </row>
    <row r="1654" spans="1:38">
      <c r="A1654" t="str">
        <f t="shared" si="553"/>
        <v>CA_Orang_2020p~president of the united states - lib (vote 1)</v>
      </c>
      <c r="B1654" s="55" t="s">
        <v>3163</v>
      </c>
      <c r="D1654" s="55" t="s">
        <v>3215</v>
      </c>
      <c r="E1654" s="55" t="s">
        <v>3229</v>
      </c>
      <c r="G1654" s="60">
        <v>0</v>
      </c>
      <c r="H1654" s="26">
        <f t="shared" si="554"/>
        <v>0</v>
      </c>
      <c r="J1654" s="23">
        <v>2955</v>
      </c>
      <c r="K1654">
        <v>1703</v>
      </c>
      <c r="L1654">
        <v>1703</v>
      </c>
      <c r="N1654">
        <v>0</v>
      </c>
      <c r="O1654">
        <f t="shared" si="546"/>
        <v>15</v>
      </c>
      <c r="P1654" s="57">
        <f t="shared" si="547"/>
        <v>1</v>
      </c>
      <c r="Q1654" s="267">
        <f t="shared" si="548"/>
        <v>0</v>
      </c>
      <c r="R1654" s="23" t="str">
        <f t="shared" si="549"/>
        <v/>
      </c>
      <c r="S1654" s="23">
        <f t="shared" si="550"/>
        <v>0</v>
      </c>
      <c r="T1654" s="23" t="str">
        <f t="shared" si="551"/>
        <v/>
      </c>
      <c r="U1654" t="str">
        <f t="shared" si="552"/>
        <v/>
      </c>
      <c r="X1654" s="71"/>
      <c r="Z1654" s="44"/>
      <c r="AF1654" s="22"/>
    </row>
    <row r="1655" spans="1:38">
      <c r="A1655" t="str">
        <f t="shared" si="553"/>
        <v>CA_Orang_2020p~president of the united states - lib (vote 1)</v>
      </c>
      <c r="B1655" s="55" t="s">
        <v>3163</v>
      </c>
      <c r="D1655" s="55" t="s">
        <v>3215</v>
      </c>
      <c r="E1655" s="55" t="s">
        <v>3230</v>
      </c>
      <c r="G1655" s="60">
        <v>0</v>
      </c>
      <c r="H1655" s="26">
        <f t="shared" si="554"/>
        <v>0</v>
      </c>
      <c r="J1655" s="23">
        <v>2955</v>
      </c>
      <c r="K1655">
        <v>1703</v>
      </c>
      <c r="L1655">
        <v>1703</v>
      </c>
      <c r="N1655">
        <v>0</v>
      </c>
      <c r="O1655">
        <f t="shared" si="546"/>
        <v>16</v>
      </c>
      <c r="P1655" s="57">
        <f t="shared" si="547"/>
        <v>1</v>
      </c>
      <c r="Q1655" s="267">
        <f t="shared" si="548"/>
        <v>0</v>
      </c>
      <c r="R1655" s="23" t="str">
        <f t="shared" si="549"/>
        <v/>
      </c>
      <c r="S1655" s="23">
        <f t="shared" si="550"/>
        <v>0</v>
      </c>
      <c r="T1655" s="23" t="str">
        <f t="shared" si="551"/>
        <v/>
      </c>
      <c r="U1655" t="str">
        <f t="shared" si="552"/>
        <v/>
      </c>
      <c r="X1655" s="71"/>
      <c r="Z1655" s="44"/>
      <c r="AF1655" s="22"/>
    </row>
    <row r="1656" spans="1:38">
      <c r="A1656" t="str">
        <f t="shared" si="553"/>
        <v>CA_Orang_2020p~president of the united states - lib (vote 1)</v>
      </c>
      <c r="B1656" s="55" t="s">
        <v>3163</v>
      </c>
      <c r="D1656" s="55" t="s">
        <v>3215</v>
      </c>
      <c r="E1656" s="55" t="s">
        <v>3231</v>
      </c>
      <c r="G1656" s="60">
        <v>0</v>
      </c>
      <c r="H1656" s="26">
        <f t="shared" si="554"/>
        <v>0</v>
      </c>
      <c r="J1656" s="23">
        <v>2955</v>
      </c>
      <c r="K1656">
        <v>1703</v>
      </c>
      <c r="L1656">
        <v>1703</v>
      </c>
      <c r="N1656">
        <v>0</v>
      </c>
      <c r="O1656">
        <f t="shared" si="546"/>
        <v>17</v>
      </c>
      <c r="P1656" s="57">
        <f t="shared" si="547"/>
        <v>1</v>
      </c>
      <c r="Q1656" s="267">
        <f t="shared" si="548"/>
        <v>0</v>
      </c>
      <c r="R1656" s="23" t="str">
        <f t="shared" si="549"/>
        <v/>
      </c>
      <c r="S1656" s="23">
        <f t="shared" si="550"/>
        <v>0</v>
      </c>
      <c r="T1656" s="23" t="str">
        <f t="shared" si="551"/>
        <v/>
      </c>
      <c r="U1656" t="str">
        <f t="shared" si="552"/>
        <v/>
      </c>
      <c r="X1656" s="71"/>
      <c r="Z1656" s="44"/>
      <c r="AF1656" s="22"/>
    </row>
    <row r="1657" spans="1:38">
      <c r="A1657" t="str">
        <f t="shared" si="553"/>
        <v>CA_Orang_2020p~president of the united states - p/f (vote 1)</v>
      </c>
      <c r="B1657" s="55" t="s">
        <v>3163</v>
      </c>
      <c r="D1657" s="55" t="s">
        <v>3233</v>
      </c>
      <c r="E1657" s="55" t="s">
        <v>3235</v>
      </c>
      <c r="F1657" t="s">
        <v>3234</v>
      </c>
      <c r="G1657" s="60">
        <v>209</v>
      </c>
      <c r="H1657" s="26">
        <f t="shared" si="554"/>
        <v>0.33764135702746367</v>
      </c>
      <c r="J1657" s="23">
        <v>619</v>
      </c>
      <c r="K1657">
        <v>1703</v>
      </c>
      <c r="L1657">
        <v>1703</v>
      </c>
      <c r="N1657">
        <v>0</v>
      </c>
      <c r="O1657">
        <f t="shared" si="546"/>
        <v>1</v>
      </c>
      <c r="P1657" s="57">
        <f t="shared" si="547"/>
        <v>1</v>
      </c>
      <c r="Q1657" s="267">
        <f t="shared" si="548"/>
        <v>357</v>
      </c>
      <c r="R1657" s="23">
        <f t="shared" si="549"/>
        <v>209</v>
      </c>
      <c r="S1657" s="23">
        <f t="shared" si="550"/>
        <v>148</v>
      </c>
      <c r="T1657" s="23">
        <f t="shared" si="551"/>
        <v>61</v>
      </c>
      <c r="U1657" t="str">
        <f t="shared" si="552"/>
        <v>CA_Orang_2020p~president of the united states - p/f (vote 1)</v>
      </c>
      <c r="X1657" s="71"/>
      <c r="Z1657" s="44"/>
      <c r="AF1657" s="22"/>
    </row>
    <row r="1658" spans="1:38">
      <c r="A1658" t="str">
        <f t="shared" si="553"/>
        <v>CA_Orang_2020p~president of the united states - p/f (vote 1)</v>
      </c>
      <c r="B1658" s="55" t="s">
        <v>3163</v>
      </c>
      <c r="D1658" s="55" t="s">
        <v>3233</v>
      </c>
      <c r="E1658" s="55" t="s">
        <v>3209</v>
      </c>
      <c r="F1658" t="s">
        <v>3234</v>
      </c>
      <c r="G1658" s="60">
        <v>148</v>
      </c>
      <c r="H1658" s="26">
        <f t="shared" si="554"/>
        <v>0.23909531502423265</v>
      </c>
      <c r="J1658" s="23">
        <v>619</v>
      </c>
      <c r="K1658">
        <v>1703</v>
      </c>
      <c r="L1658">
        <v>1703</v>
      </c>
      <c r="N1658">
        <v>0</v>
      </c>
      <c r="O1658">
        <f t="shared" si="546"/>
        <v>2</v>
      </c>
      <c r="P1658" s="57">
        <f t="shared" si="547"/>
        <v>1</v>
      </c>
      <c r="Q1658" s="267">
        <f t="shared" si="548"/>
        <v>148</v>
      </c>
      <c r="R1658" s="23" t="str">
        <f t="shared" si="549"/>
        <v/>
      </c>
      <c r="S1658" s="23">
        <f t="shared" si="550"/>
        <v>148</v>
      </c>
      <c r="T1658" s="23" t="str">
        <f t="shared" si="551"/>
        <v/>
      </c>
      <c r="U1658" t="str">
        <f t="shared" si="552"/>
        <v/>
      </c>
      <c r="X1658" s="71"/>
      <c r="Z1658" s="44"/>
      <c r="AF1658" s="22"/>
    </row>
    <row r="1659" spans="1:38">
      <c r="A1659" t="str">
        <f t="shared" si="553"/>
        <v>CA_Orang_2020p~president of the united states - rep (vote 1)</v>
      </c>
      <c r="B1659" s="55" t="s">
        <v>3163</v>
      </c>
      <c r="D1659" s="55" t="s">
        <v>3192</v>
      </c>
      <c r="E1659" s="55" t="s">
        <v>3193</v>
      </c>
      <c r="F1659" t="s">
        <v>1296</v>
      </c>
      <c r="G1659" s="60">
        <v>276714</v>
      </c>
      <c r="H1659" s="26">
        <f t="shared" si="554"/>
        <v>0.91847342635988261</v>
      </c>
      <c r="J1659" s="23">
        <v>301276</v>
      </c>
      <c r="K1659">
        <v>1703</v>
      </c>
      <c r="L1659">
        <v>1703</v>
      </c>
      <c r="N1659">
        <v>0</v>
      </c>
      <c r="O1659">
        <f t="shared" si="546"/>
        <v>1</v>
      </c>
      <c r="P1659" s="57">
        <f t="shared" si="547"/>
        <v>1</v>
      </c>
      <c r="Q1659" s="267">
        <f t="shared" si="548"/>
        <v>296688</v>
      </c>
      <c r="R1659" s="23">
        <f t="shared" si="549"/>
        <v>276714</v>
      </c>
      <c r="S1659" s="23">
        <f t="shared" si="550"/>
        <v>7484</v>
      </c>
      <c r="T1659" s="23">
        <f t="shared" si="551"/>
        <v>269230</v>
      </c>
      <c r="U1659" t="str">
        <f t="shared" si="552"/>
        <v>CA_Orang_2020p~president of the united states - rep (vote 1)</v>
      </c>
      <c r="X1659" s="71"/>
      <c r="Z1659" s="44"/>
      <c r="AF1659" s="22"/>
    </row>
    <row r="1660" spans="1:38">
      <c r="A1660" t="str">
        <f t="shared" si="553"/>
        <v>CA_Orang_2020p~president of the united states - rep (vote 1)</v>
      </c>
      <c r="B1660" s="55" t="s">
        <v>3163</v>
      </c>
      <c r="D1660" s="55" t="s">
        <v>3192</v>
      </c>
      <c r="E1660" s="55" t="s">
        <v>3195</v>
      </c>
      <c r="F1660" t="s">
        <v>1296</v>
      </c>
      <c r="G1660" s="60">
        <v>7484</v>
      </c>
      <c r="H1660" s="26">
        <f t="shared" si="554"/>
        <v>2.4841009572617798E-2</v>
      </c>
      <c r="J1660" s="23">
        <v>301276</v>
      </c>
      <c r="K1660">
        <v>1703</v>
      </c>
      <c r="L1660">
        <v>1703</v>
      </c>
      <c r="N1660">
        <v>0</v>
      </c>
      <c r="O1660">
        <f t="shared" si="546"/>
        <v>2</v>
      </c>
      <c r="P1660" s="57">
        <f t="shared" si="547"/>
        <v>1</v>
      </c>
      <c r="Q1660" s="267">
        <f t="shared" si="548"/>
        <v>19974</v>
      </c>
      <c r="R1660" s="23" t="str">
        <f t="shared" si="549"/>
        <v/>
      </c>
      <c r="S1660" s="23">
        <f t="shared" si="550"/>
        <v>7484</v>
      </c>
      <c r="T1660" s="23" t="str">
        <f t="shared" si="551"/>
        <v/>
      </c>
      <c r="U1660" t="str">
        <f t="shared" si="552"/>
        <v/>
      </c>
      <c r="X1660" s="71"/>
      <c r="Z1660" s="44"/>
      <c r="AF1660" s="22"/>
      <c r="AG1660" s="314"/>
      <c r="AH1660" s="313"/>
      <c r="AI1660" s="315"/>
      <c r="AJ1660" s="315"/>
      <c r="AK1660" s="345"/>
      <c r="AL1660" s="346"/>
    </row>
    <row r="1661" spans="1:38">
      <c r="A1661" t="str">
        <f t="shared" si="553"/>
        <v>CA_Orang_2020p~president of the united states - rep (vote 1)</v>
      </c>
      <c r="B1661" s="55" t="s">
        <v>3163</v>
      </c>
      <c r="D1661" s="55" t="s">
        <v>3192</v>
      </c>
      <c r="E1661" s="55" t="s">
        <v>3194</v>
      </c>
      <c r="F1661" t="s">
        <v>1296</v>
      </c>
      <c r="G1661" s="60">
        <v>6790</v>
      </c>
      <c r="H1661" s="26">
        <f t="shared" si="554"/>
        <v>2.2537473944157518E-2</v>
      </c>
      <c r="J1661" s="23">
        <v>301276</v>
      </c>
      <c r="K1661">
        <v>1703</v>
      </c>
      <c r="L1661">
        <v>1703</v>
      </c>
      <c r="N1661">
        <v>0</v>
      </c>
      <c r="O1661">
        <f t="shared" si="546"/>
        <v>3</v>
      </c>
      <c r="P1661" s="57">
        <f t="shared" si="547"/>
        <v>1</v>
      </c>
      <c r="Q1661" s="267">
        <f t="shared" si="548"/>
        <v>12490</v>
      </c>
      <c r="R1661" s="23" t="str">
        <f t="shared" si="549"/>
        <v/>
      </c>
      <c r="S1661" s="23">
        <f t="shared" si="550"/>
        <v>6790</v>
      </c>
      <c r="T1661" s="23" t="str">
        <f t="shared" si="551"/>
        <v/>
      </c>
      <c r="U1661" t="str">
        <f t="shared" si="552"/>
        <v/>
      </c>
      <c r="X1661" s="71"/>
      <c r="Z1661" s="44"/>
      <c r="AF1661" s="22"/>
    </row>
    <row r="1662" spans="1:38">
      <c r="A1662" t="str">
        <f t="shared" si="553"/>
        <v>CA_Orang_2020p~president of the united states - rep (vote 1)</v>
      </c>
      <c r="B1662" s="55" t="s">
        <v>3163</v>
      </c>
      <c r="D1662" s="55" t="s">
        <v>3192</v>
      </c>
      <c r="E1662" s="55" t="s">
        <v>3197</v>
      </c>
      <c r="F1662" t="s">
        <v>1296</v>
      </c>
      <c r="G1662" s="60">
        <v>2272</v>
      </c>
      <c r="H1662" s="26">
        <f t="shared" si="554"/>
        <v>7.5412578499449009E-3</v>
      </c>
      <c r="J1662" s="23">
        <v>301276</v>
      </c>
      <c r="K1662">
        <v>1703</v>
      </c>
      <c r="L1662">
        <v>1703</v>
      </c>
      <c r="N1662">
        <v>0</v>
      </c>
      <c r="O1662">
        <f t="shared" si="546"/>
        <v>4</v>
      </c>
      <c r="P1662" s="57">
        <f t="shared" si="547"/>
        <v>1</v>
      </c>
      <c r="Q1662" s="267">
        <f t="shared" si="548"/>
        <v>5700</v>
      </c>
      <c r="R1662" s="23" t="str">
        <f t="shared" si="549"/>
        <v/>
      </c>
      <c r="S1662" s="23">
        <f t="shared" si="550"/>
        <v>2272</v>
      </c>
      <c r="T1662" s="23" t="str">
        <f t="shared" si="551"/>
        <v/>
      </c>
      <c r="U1662" t="str">
        <f t="shared" si="552"/>
        <v/>
      </c>
      <c r="X1662" s="71"/>
      <c r="Z1662" s="44"/>
      <c r="AF1662" s="22"/>
    </row>
    <row r="1663" spans="1:38">
      <c r="A1663" t="str">
        <f t="shared" si="553"/>
        <v>CA_Orang_2020p~president of the united states - rep (vote 1)</v>
      </c>
      <c r="B1663" s="55" t="s">
        <v>3163</v>
      </c>
      <c r="D1663" s="55" t="s">
        <v>3192</v>
      </c>
      <c r="E1663" s="55" t="s">
        <v>3199</v>
      </c>
      <c r="F1663" t="s">
        <v>1296</v>
      </c>
      <c r="G1663" s="60">
        <v>1682</v>
      </c>
      <c r="H1663" s="26">
        <f t="shared" si="554"/>
        <v>5.5829206441933643E-3</v>
      </c>
      <c r="J1663" s="23">
        <v>301276</v>
      </c>
      <c r="K1663">
        <v>1703</v>
      </c>
      <c r="L1663">
        <v>1703</v>
      </c>
      <c r="N1663">
        <v>0</v>
      </c>
      <c r="O1663">
        <f t="shared" si="546"/>
        <v>5</v>
      </c>
      <c r="P1663" s="57">
        <f t="shared" si="547"/>
        <v>1</v>
      </c>
      <c r="Q1663" s="267">
        <f t="shared" si="548"/>
        <v>3428</v>
      </c>
      <c r="R1663" s="23" t="str">
        <f t="shared" si="549"/>
        <v/>
      </c>
      <c r="S1663" s="23">
        <f t="shared" si="550"/>
        <v>1682</v>
      </c>
      <c r="T1663" s="23" t="str">
        <f t="shared" si="551"/>
        <v/>
      </c>
      <c r="U1663" t="str">
        <f t="shared" si="552"/>
        <v/>
      </c>
      <c r="X1663" s="71"/>
      <c r="Z1663" s="44"/>
      <c r="AF1663" s="22"/>
      <c r="AH1663" s="8"/>
      <c r="AL1663" s="23"/>
    </row>
    <row r="1664" spans="1:38">
      <c r="A1664" t="str">
        <f t="shared" si="553"/>
        <v>CA_Orang_2020p~president of the united states - rep (vote 1)</v>
      </c>
      <c r="B1664" s="55" t="s">
        <v>3163</v>
      </c>
      <c r="D1664" s="55" t="s">
        <v>3192</v>
      </c>
      <c r="E1664" s="55" t="s">
        <v>3196</v>
      </c>
      <c r="F1664" t="s">
        <v>1296</v>
      </c>
      <c r="G1664" s="60">
        <v>939</v>
      </c>
      <c r="H1664" s="26">
        <f t="shared" si="554"/>
        <v>3.1167434511876154E-3</v>
      </c>
      <c r="J1664" s="23">
        <v>301276</v>
      </c>
      <c r="K1664">
        <v>1703</v>
      </c>
      <c r="L1664">
        <v>1703</v>
      </c>
      <c r="N1664">
        <v>0</v>
      </c>
      <c r="O1664">
        <f t="shared" si="546"/>
        <v>6</v>
      </c>
      <c r="P1664" s="57">
        <f t="shared" si="547"/>
        <v>1</v>
      </c>
      <c r="Q1664" s="267">
        <f t="shared" si="548"/>
        <v>1746</v>
      </c>
      <c r="R1664" s="23" t="str">
        <f t="shared" si="549"/>
        <v/>
      </c>
      <c r="S1664" s="23">
        <f t="shared" si="550"/>
        <v>939</v>
      </c>
      <c r="T1664" s="23" t="str">
        <f t="shared" si="551"/>
        <v/>
      </c>
      <c r="U1664" t="str">
        <f t="shared" si="552"/>
        <v/>
      </c>
      <c r="X1664" s="71"/>
      <c r="Z1664" s="44"/>
      <c r="AF1664" s="22"/>
    </row>
    <row r="1665" spans="1:45">
      <c r="A1665" t="str">
        <f t="shared" si="553"/>
        <v>CA_Orang_2020p~president of the united states - rep (vote 1)</v>
      </c>
      <c r="B1665" s="55" t="s">
        <v>3163</v>
      </c>
      <c r="D1665" s="55" t="s">
        <v>3192</v>
      </c>
      <c r="E1665" s="55" t="s">
        <v>3198</v>
      </c>
      <c r="F1665" t="s">
        <v>1296</v>
      </c>
      <c r="G1665" s="60">
        <v>806</v>
      </c>
      <c r="H1665" s="26">
        <f t="shared" si="554"/>
        <v>2.6752877759927776E-3</v>
      </c>
      <c r="J1665" s="23">
        <v>301276</v>
      </c>
      <c r="K1665">
        <v>1703</v>
      </c>
      <c r="L1665">
        <v>1703</v>
      </c>
      <c r="N1665">
        <v>0</v>
      </c>
      <c r="O1665">
        <f t="shared" si="546"/>
        <v>7</v>
      </c>
      <c r="P1665" s="57">
        <f t="shared" si="547"/>
        <v>1</v>
      </c>
      <c r="Q1665" s="267">
        <f t="shared" si="548"/>
        <v>807</v>
      </c>
      <c r="R1665" s="23" t="str">
        <f t="shared" si="549"/>
        <v/>
      </c>
      <c r="S1665" s="23">
        <f t="shared" si="550"/>
        <v>806</v>
      </c>
      <c r="T1665" s="23" t="str">
        <f t="shared" si="551"/>
        <v/>
      </c>
      <c r="U1665" t="str">
        <f t="shared" si="552"/>
        <v/>
      </c>
      <c r="X1665" s="71"/>
      <c r="Z1665" s="44"/>
      <c r="AF1665" s="22"/>
    </row>
    <row r="1666" spans="1:45">
      <c r="A1666" t="str">
        <f t="shared" si="553"/>
        <v>CA_Orang_2020p~president of the united states - rep (vote 1)</v>
      </c>
      <c r="B1666" s="55" t="s">
        <v>3163</v>
      </c>
      <c r="D1666" s="55" t="s">
        <v>3192</v>
      </c>
      <c r="E1666" s="55" t="s">
        <v>3201</v>
      </c>
      <c r="G1666" s="60">
        <v>1</v>
      </c>
      <c r="H1666" s="26">
        <f t="shared" si="554"/>
        <v>3.3192156029687062E-6</v>
      </c>
      <c r="J1666" s="23">
        <v>301276</v>
      </c>
      <c r="K1666">
        <v>1703</v>
      </c>
      <c r="L1666">
        <v>1703</v>
      </c>
      <c r="N1666">
        <v>0</v>
      </c>
      <c r="O1666">
        <f t="shared" ref="O1666:O1729" si="555">IF(OR(LOWER(LEFT(E1666,8))="write-in",LOWER(LEFT(E1666,8))="not qual"),IF(A1666=A1665,-ABS(O1665),0),IF(A1666=A1665,ABS(O1665)+1,1))</f>
        <v>8</v>
      </c>
      <c r="P1666" s="57">
        <f t="shared" ref="P1666:P1729" si="556">1*LEFT(RIGHT(A1666,2),1)</f>
        <v>1</v>
      </c>
      <c r="Q1666" s="267">
        <f t="shared" ref="Q1666:Q1729" si="557">IF(A1666&lt;&gt;A1667,G1666,IF(A1666=A1665,G1666+Q1667,MAX(G1666,(G1666+Q1667)/P1666)))</f>
        <v>1</v>
      </c>
      <c r="R1666" s="23" t="str">
        <f t="shared" ref="R1666:R1729" si="558">IF(O1666&gt;P1666,"",IF(O1666=P1666,G1666,IF(A1666=A1667,R1667,IF(O1666&lt;=0,1,G1666))))</f>
        <v/>
      </c>
      <c r="S1666" s="23">
        <f t="shared" ref="S1666:S1729" si="559">IF(AND(O1666&gt;P1666,LOWER(LEFT(E1666,8))&lt;&gt;"write-in",LOWER(LEFT(E1666,8))&lt;&gt;"not qual"),G1666,IF(A1666=A1667,S1667,0))</f>
        <v>1</v>
      </c>
      <c r="T1666" s="23" t="str">
        <f t="shared" ref="T1666:T1729" si="560">IF(OR(A1666=A1665,S1666=0),"",R1666-ABS(S1666))</f>
        <v/>
      </c>
      <c r="U1666" t="str">
        <f t="shared" ref="U1666:U1729" si="561">IF(A1666=A1665,"",A1666)</f>
        <v/>
      </c>
      <c r="X1666" s="71"/>
      <c r="Z1666" s="44"/>
      <c r="AF1666" s="22"/>
    </row>
    <row r="1667" spans="1:45">
      <c r="A1667" t="str">
        <f t="shared" si="553"/>
        <v>CA_Orang_2020p~president of the united states - rep (vote 1)</v>
      </c>
      <c r="B1667" s="55" t="s">
        <v>3163</v>
      </c>
      <c r="D1667" s="55" t="s">
        <v>3192</v>
      </c>
      <c r="E1667" s="55" t="s">
        <v>3200</v>
      </c>
      <c r="G1667" s="60">
        <v>0</v>
      </c>
      <c r="H1667" s="26">
        <f t="shared" si="554"/>
        <v>0</v>
      </c>
      <c r="J1667" s="23">
        <v>301276</v>
      </c>
      <c r="K1667">
        <v>1703</v>
      </c>
      <c r="L1667">
        <v>1703</v>
      </c>
      <c r="N1667">
        <v>0</v>
      </c>
      <c r="O1667">
        <f t="shared" si="555"/>
        <v>9</v>
      </c>
      <c r="P1667" s="57">
        <f t="shared" si="556"/>
        <v>1</v>
      </c>
      <c r="Q1667" s="267">
        <f t="shared" si="557"/>
        <v>0</v>
      </c>
      <c r="R1667" s="23" t="str">
        <f t="shared" si="558"/>
        <v/>
      </c>
      <c r="S1667" s="23">
        <f t="shared" si="559"/>
        <v>0</v>
      </c>
      <c r="T1667" s="23" t="str">
        <f t="shared" si="560"/>
        <v/>
      </c>
      <c r="U1667" t="str">
        <f t="shared" si="561"/>
        <v/>
      </c>
      <c r="X1667" s="71"/>
      <c r="Z1667" s="44"/>
      <c r="AF1667" s="22"/>
    </row>
    <row r="1668" spans="1:45">
      <c r="A1668" t="str">
        <f t="shared" si="553"/>
        <v>CA_Orang_2020p~presidential candidate preference - grn (vote 1)</v>
      </c>
      <c r="B1668" s="55" t="s">
        <v>3163</v>
      </c>
      <c r="D1668" s="55" t="s">
        <v>3208</v>
      </c>
      <c r="E1668" s="55" t="s">
        <v>3209</v>
      </c>
      <c r="F1668" t="s">
        <v>1306</v>
      </c>
      <c r="G1668" s="60">
        <v>220</v>
      </c>
      <c r="H1668" s="26">
        <f t="shared" si="554"/>
        <v>0.25551684088269455</v>
      </c>
      <c r="J1668" s="23">
        <v>861</v>
      </c>
      <c r="K1668">
        <v>1703</v>
      </c>
      <c r="L1668">
        <v>1703</v>
      </c>
      <c r="N1668">
        <v>0</v>
      </c>
      <c r="O1668">
        <f t="shared" si="555"/>
        <v>1</v>
      </c>
      <c r="P1668" s="57">
        <f t="shared" si="556"/>
        <v>1</v>
      </c>
      <c r="Q1668" s="267">
        <f t="shared" si="557"/>
        <v>611</v>
      </c>
      <c r="R1668" s="23">
        <f t="shared" si="558"/>
        <v>220</v>
      </c>
      <c r="S1668" s="23">
        <f t="shared" si="559"/>
        <v>132</v>
      </c>
      <c r="T1668" s="23">
        <f t="shared" si="560"/>
        <v>88</v>
      </c>
      <c r="U1668" t="str">
        <f t="shared" si="561"/>
        <v>CA_Orang_2020p~presidential candidate preference - grn (vote 1)</v>
      </c>
      <c r="X1668" s="71"/>
      <c r="Z1668" s="44"/>
      <c r="AF1668" s="22"/>
    </row>
    <row r="1669" spans="1:45">
      <c r="A1669" t="str">
        <f t="shared" si="553"/>
        <v>CA_Orang_2020p~presidential candidate preference - grn (vote 1)</v>
      </c>
      <c r="B1669" s="55" t="s">
        <v>3163</v>
      </c>
      <c r="D1669" s="55" t="s">
        <v>3208</v>
      </c>
      <c r="E1669" s="55" t="s">
        <v>3210</v>
      </c>
      <c r="F1669" t="s">
        <v>1306</v>
      </c>
      <c r="G1669" s="60">
        <v>132</v>
      </c>
      <c r="H1669" s="26">
        <f t="shared" si="554"/>
        <v>0.15331010452961671</v>
      </c>
      <c r="J1669" s="23">
        <v>861</v>
      </c>
      <c r="K1669">
        <v>1703</v>
      </c>
      <c r="L1669">
        <v>1703</v>
      </c>
      <c r="N1669">
        <v>0</v>
      </c>
      <c r="O1669">
        <f t="shared" si="555"/>
        <v>2</v>
      </c>
      <c r="P1669" s="57">
        <f t="shared" si="556"/>
        <v>1</v>
      </c>
      <c r="Q1669" s="267">
        <f t="shared" si="557"/>
        <v>391</v>
      </c>
      <c r="R1669" s="23" t="str">
        <f t="shared" si="558"/>
        <v/>
      </c>
      <c r="S1669" s="23">
        <f t="shared" si="559"/>
        <v>132</v>
      </c>
      <c r="T1669" s="23" t="str">
        <f t="shared" si="560"/>
        <v/>
      </c>
      <c r="U1669" t="str">
        <f t="shared" si="561"/>
        <v/>
      </c>
      <c r="X1669" s="71"/>
      <c r="Z1669" s="44"/>
    </row>
    <row r="1670" spans="1:45">
      <c r="A1670" t="str">
        <f t="shared" si="553"/>
        <v>CA_Orang_2020p~presidential candidate preference - grn (vote 1)</v>
      </c>
      <c r="B1670" s="55" t="s">
        <v>3163</v>
      </c>
      <c r="D1670" s="55" t="s">
        <v>3208</v>
      </c>
      <c r="E1670" s="55" t="s">
        <v>3212</v>
      </c>
      <c r="F1670" t="s">
        <v>1306</v>
      </c>
      <c r="G1670" s="60">
        <v>111</v>
      </c>
      <c r="H1670" s="26">
        <f t="shared" si="554"/>
        <v>0.1289198606271777</v>
      </c>
      <c r="J1670" s="23">
        <v>861</v>
      </c>
      <c r="K1670">
        <v>1703</v>
      </c>
      <c r="L1670">
        <v>1703</v>
      </c>
      <c r="N1670">
        <v>0</v>
      </c>
      <c r="O1670">
        <f t="shared" si="555"/>
        <v>3</v>
      </c>
      <c r="P1670" s="57">
        <f t="shared" si="556"/>
        <v>1</v>
      </c>
      <c r="Q1670" s="267">
        <f t="shared" si="557"/>
        <v>259</v>
      </c>
      <c r="R1670" s="23" t="str">
        <f t="shared" si="558"/>
        <v/>
      </c>
      <c r="S1670" s="23">
        <f t="shared" si="559"/>
        <v>111</v>
      </c>
      <c r="T1670" s="23" t="str">
        <f t="shared" si="560"/>
        <v/>
      </c>
      <c r="U1670" t="str">
        <f t="shared" si="561"/>
        <v/>
      </c>
      <c r="X1670" s="71"/>
      <c r="Z1670" s="44"/>
      <c r="AF1670" s="300"/>
    </row>
    <row r="1671" spans="1:45">
      <c r="A1671" t="str">
        <f t="shared" si="553"/>
        <v>CA_Orang_2020p~presidential candidate preference - grn (vote 1)</v>
      </c>
      <c r="B1671" s="55" t="s">
        <v>3163</v>
      </c>
      <c r="D1671" s="55" t="s">
        <v>3208</v>
      </c>
      <c r="E1671" s="55" t="s">
        <v>3211</v>
      </c>
      <c r="F1671" t="s">
        <v>1306</v>
      </c>
      <c r="G1671" s="60">
        <v>109</v>
      </c>
      <c r="H1671" s="26">
        <f t="shared" si="554"/>
        <v>0.12659698025551683</v>
      </c>
      <c r="J1671" s="23">
        <v>861</v>
      </c>
      <c r="K1671">
        <v>1703</v>
      </c>
      <c r="L1671">
        <v>1703</v>
      </c>
      <c r="N1671">
        <v>0</v>
      </c>
      <c r="O1671">
        <f t="shared" si="555"/>
        <v>4</v>
      </c>
      <c r="P1671" s="57">
        <f t="shared" si="556"/>
        <v>1</v>
      </c>
      <c r="Q1671" s="267">
        <f t="shared" si="557"/>
        <v>148</v>
      </c>
      <c r="R1671" s="23" t="str">
        <f t="shared" si="558"/>
        <v/>
      </c>
      <c r="S1671" s="23">
        <f t="shared" si="559"/>
        <v>109</v>
      </c>
      <c r="T1671" s="23" t="str">
        <f t="shared" si="560"/>
        <v/>
      </c>
      <c r="U1671" t="str">
        <f t="shared" si="561"/>
        <v/>
      </c>
      <c r="X1671" s="71"/>
      <c r="Z1671" s="44"/>
      <c r="AF1671" s="22"/>
    </row>
    <row r="1672" spans="1:45">
      <c r="A1672" t="str">
        <f t="shared" si="553"/>
        <v>CA_Orang_2020p~presidential candidate preference - grn (vote 1)</v>
      </c>
      <c r="B1672" s="55" t="s">
        <v>3163</v>
      </c>
      <c r="D1672" s="55" t="s">
        <v>3208</v>
      </c>
      <c r="E1672" s="55" t="s">
        <v>3213</v>
      </c>
      <c r="F1672" t="s">
        <v>1306</v>
      </c>
      <c r="G1672" s="60">
        <v>39</v>
      </c>
      <c r="H1672" s="26">
        <f t="shared" si="554"/>
        <v>4.5296167247386762E-2</v>
      </c>
      <c r="J1672" s="23">
        <v>861</v>
      </c>
      <c r="K1672">
        <v>1703</v>
      </c>
      <c r="L1672">
        <v>1703</v>
      </c>
      <c r="N1672">
        <v>0</v>
      </c>
      <c r="O1672">
        <f t="shared" si="555"/>
        <v>5</v>
      </c>
      <c r="P1672" s="57">
        <f t="shared" si="556"/>
        <v>1</v>
      </c>
      <c r="Q1672" s="267">
        <f t="shared" si="557"/>
        <v>39</v>
      </c>
      <c r="R1672" s="23" t="str">
        <f t="shared" si="558"/>
        <v/>
      </c>
      <c r="S1672" s="23">
        <f t="shared" si="559"/>
        <v>39</v>
      </c>
      <c r="T1672" s="23" t="str">
        <f t="shared" si="560"/>
        <v/>
      </c>
      <c r="U1672" t="str">
        <f t="shared" si="561"/>
        <v/>
      </c>
      <c r="X1672" s="71"/>
      <c r="Z1672" s="44"/>
      <c r="AF1672" s="22"/>
      <c r="AG1672" s="259"/>
      <c r="AH1672" s="276"/>
      <c r="AI1672" s="277"/>
      <c r="AJ1672" s="278"/>
    </row>
    <row r="1673" spans="1:45">
      <c r="A1673" t="str">
        <f t="shared" si="553"/>
        <v>CA_Orang_2020p~presidential candidate preference - grn (vote 1)</v>
      </c>
      <c r="B1673" s="55" t="s">
        <v>3163</v>
      </c>
      <c r="D1673" s="55" t="s">
        <v>3208</v>
      </c>
      <c r="E1673" s="55" t="s">
        <v>3214</v>
      </c>
      <c r="G1673" s="60">
        <v>0</v>
      </c>
      <c r="H1673" s="26">
        <f t="shared" si="554"/>
        <v>0</v>
      </c>
      <c r="J1673" s="23">
        <v>861</v>
      </c>
      <c r="K1673">
        <v>1703</v>
      </c>
      <c r="L1673">
        <v>1703</v>
      </c>
      <c r="N1673">
        <v>0</v>
      </c>
      <c r="O1673">
        <f t="shared" si="555"/>
        <v>6</v>
      </c>
      <c r="P1673" s="57">
        <f t="shared" si="556"/>
        <v>1</v>
      </c>
      <c r="Q1673" s="267">
        <f t="shared" si="557"/>
        <v>0</v>
      </c>
      <c r="R1673" s="23" t="str">
        <f t="shared" si="558"/>
        <v/>
      </c>
      <c r="S1673" s="23">
        <f t="shared" si="559"/>
        <v>0</v>
      </c>
      <c r="T1673" s="23" t="str">
        <f t="shared" si="560"/>
        <v/>
      </c>
      <c r="U1673" t="str">
        <f t="shared" si="561"/>
        <v/>
      </c>
      <c r="X1673" s="71"/>
      <c r="Z1673" s="44"/>
      <c r="AF1673" s="22"/>
    </row>
    <row r="1674" spans="1:45">
      <c r="A1674" t="str">
        <f t="shared" si="553"/>
        <v>CA_Orang_2020p~proposition 13 (vote 1)</v>
      </c>
      <c r="B1674" s="55" t="s">
        <v>3163</v>
      </c>
      <c r="D1674" s="55" t="s">
        <v>3535</v>
      </c>
      <c r="E1674" s="55" t="s">
        <v>1394</v>
      </c>
      <c r="G1674" s="60">
        <v>494475</v>
      </c>
      <c r="H1674" s="26">
        <f t="shared" si="554"/>
        <v>0.63081894517147152</v>
      </c>
      <c r="J1674" s="23">
        <v>783862</v>
      </c>
      <c r="K1674">
        <v>1703</v>
      </c>
      <c r="L1674">
        <v>1703</v>
      </c>
      <c r="N1674">
        <v>0</v>
      </c>
      <c r="O1674">
        <f t="shared" si="555"/>
        <v>1</v>
      </c>
      <c r="P1674" s="57">
        <f t="shared" si="556"/>
        <v>1</v>
      </c>
      <c r="Q1674" s="267">
        <f t="shared" si="557"/>
        <v>784488</v>
      </c>
      <c r="R1674" s="23">
        <f t="shared" si="558"/>
        <v>494475</v>
      </c>
      <c r="S1674" s="23">
        <f t="shared" si="559"/>
        <v>290013</v>
      </c>
      <c r="T1674" s="23">
        <f t="shared" si="560"/>
        <v>204462</v>
      </c>
      <c r="U1674" t="str">
        <f t="shared" si="561"/>
        <v>CA_Orang_2020p~proposition 13 (vote 1)</v>
      </c>
      <c r="X1674" s="71"/>
      <c r="Z1674" s="44"/>
      <c r="AF1674" s="22"/>
    </row>
    <row r="1675" spans="1:45">
      <c r="A1675" t="str">
        <f t="shared" si="553"/>
        <v>CA_Orang_2020p~proposition 13 (vote 1)</v>
      </c>
      <c r="B1675" s="55" t="s">
        <v>3163</v>
      </c>
      <c r="D1675" s="55" t="s">
        <v>3535</v>
      </c>
      <c r="E1675" s="55" t="s">
        <v>1393</v>
      </c>
      <c r="G1675" s="60">
        <v>290013</v>
      </c>
      <c r="H1675" s="26">
        <f t="shared" si="554"/>
        <v>0.36997966478793459</v>
      </c>
      <c r="J1675" s="23">
        <v>783862</v>
      </c>
      <c r="K1675">
        <v>1703</v>
      </c>
      <c r="L1675">
        <v>1703</v>
      </c>
      <c r="N1675">
        <v>0</v>
      </c>
      <c r="O1675">
        <f t="shared" si="555"/>
        <v>2</v>
      </c>
      <c r="P1675" s="57">
        <f t="shared" si="556"/>
        <v>1</v>
      </c>
      <c r="Q1675" s="267">
        <f t="shared" si="557"/>
        <v>290013</v>
      </c>
      <c r="R1675" s="23" t="str">
        <f t="shared" si="558"/>
        <v/>
      </c>
      <c r="S1675" s="23">
        <f t="shared" si="559"/>
        <v>290013</v>
      </c>
      <c r="T1675" s="23" t="str">
        <f t="shared" si="560"/>
        <v/>
      </c>
      <c r="U1675" t="str">
        <f t="shared" si="561"/>
        <v/>
      </c>
      <c r="X1675" s="71"/>
      <c r="Z1675" s="44"/>
      <c r="AF1675" s="22"/>
    </row>
    <row r="1676" spans="1:45">
      <c r="A1676" t="str">
        <f t="shared" si="553"/>
        <v>CA_Orang_2020p~state senator 29th district (top 2)</v>
      </c>
      <c r="B1676" s="55" t="s">
        <v>3163</v>
      </c>
      <c r="C1676">
        <v>2</v>
      </c>
      <c r="D1676" s="55" t="s">
        <v>3274</v>
      </c>
      <c r="E1676" s="55" t="s">
        <v>3277</v>
      </c>
      <c r="F1676" t="s">
        <v>1296</v>
      </c>
      <c r="G1676" s="60">
        <v>75339</v>
      </c>
      <c r="H1676" s="26">
        <f t="shared" si="554"/>
        <v>0.47856466806837455</v>
      </c>
      <c r="J1676" s="23">
        <v>157427</v>
      </c>
      <c r="K1676">
        <v>359</v>
      </c>
      <c r="L1676">
        <v>359</v>
      </c>
      <c r="N1676">
        <v>0</v>
      </c>
      <c r="O1676">
        <f t="shared" si="555"/>
        <v>1</v>
      </c>
      <c r="P1676" s="57">
        <f t="shared" si="556"/>
        <v>2</v>
      </c>
      <c r="Q1676" s="267">
        <f t="shared" si="557"/>
        <v>78634.5</v>
      </c>
      <c r="R1676" s="23">
        <f t="shared" si="558"/>
        <v>54469</v>
      </c>
      <c r="S1676" s="23">
        <f t="shared" si="559"/>
        <v>27461</v>
      </c>
      <c r="T1676" s="23">
        <f t="shared" si="560"/>
        <v>27008</v>
      </c>
      <c r="U1676" t="str">
        <f t="shared" si="561"/>
        <v>CA_Orang_2020p~state senator 29th district (top 2)</v>
      </c>
      <c r="X1676" s="71"/>
      <c r="Z1676" s="44"/>
      <c r="AF1676" s="22"/>
    </row>
    <row r="1677" spans="1:45">
      <c r="A1677" t="str">
        <f t="shared" si="553"/>
        <v>CA_Orang_2020p~state senator 29th district (top 2)</v>
      </c>
      <c r="B1677" s="55" t="s">
        <v>3163</v>
      </c>
      <c r="C1677">
        <v>2</v>
      </c>
      <c r="D1677" s="55" t="s">
        <v>3274</v>
      </c>
      <c r="E1677" s="55" t="s">
        <v>3275</v>
      </c>
      <c r="F1677" t="s">
        <v>1294</v>
      </c>
      <c r="G1677" s="60">
        <v>54469</v>
      </c>
      <c r="H1677" s="26">
        <f t="shared" si="554"/>
        <v>0.34599528670431373</v>
      </c>
      <c r="J1677" s="23">
        <v>157427</v>
      </c>
      <c r="K1677">
        <v>359</v>
      </c>
      <c r="L1677">
        <v>359</v>
      </c>
      <c r="N1677">
        <v>0</v>
      </c>
      <c r="O1677">
        <f t="shared" si="555"/>
        <v>2</v>
      </c>
      <c r="P1677" s="57">
        <f t="shared" si="556"/>
        <v>2</v>
      </c>
      <c r="Q1677" s="267">
        <f t="shared" si="557"/>
        <v>81930</v>
      </c>
      <c r="R1677" s="23">
        <f t="shared" si="558"/>
        <v>54469</v>
      </c>
      <c r="S1677" s="23">
        <f t="shared" si="559"/>
        <v>27461</v>
      </c>
      <c r="T1677" s="23" t="str">
        <f t="shared" si="560"/>
        <v/>
      </c>
      <c r="U1677" t="str">
        <f t="shared" si="561"/>
        <v/>
      </c>
      <c r="X1677" s="71"/>
      <c r="Z1677" s="44"/>
      <c r="AF1677" s="22"/>
    </row>
    <row r="1678" spans="1:45">
      <c r="A1678" t="str">
        <f t="shared" si="553"/>
        <v>CA_Orang_2020p~state senator 29th district (top 2)</v>
      </c>
      <c r="B1678" s="55" t="s">
        <v>3163</v>
      </c>
      <c r="C1678">
        <v>2</v>
      </c>
      <c r="D1678" s="55" t="s">
        <v>3274</v>
      </c>
      <c r="E1678" s="55" t="s">
        <v>3276</v>
      </c>
      <c r="F1678" t="s">
        <v>1294</v>
      </c>
      <c r="G1678" s="60">
        <v>27461</v>
      </c>
      <c r="H1678" s="26">
        <f t="shared" si="554"/>
        <v>0.17443640544506342</v>
      </c>
      <c r="J1678" s="23">
        <v>157427</v>
      </c>
      <c r="K1678">
        <v>359</v>
      </c>
      <c r="L1678">
        <v>359</v>
      </c>
      <c r="N1678">
        <v>0</v>
      </c>
      <c r="O1678">
        <f t="shared" si="555"/>
        <v>3</v>
      </c>
      <c r="P1678" s="57">
        <f t="shared" si="556"/>
        <v>2</v>
      </c>
      <c r="Q1678" s="267">
        <f t="shared" si="557"/>
        <v>27461</v>
      </c>
      <c r="R1678" s="23" t="str">
        <f t="shared" si="558"/>
        <v/>
      </c>
      <c r="S1678" s="23">
        <f t="shared" si="559"/>
        <v>27461</v>
      </c>
      <c r="T1678" s="23" t="str">
        <f t="shared" si="560"/>
        <v/>
      </c>
      <c r="U1678" t="str">
        <f t="shared" si="561"/>
        <v/>
      </c>
      <c r="X1678" s="71"/>
      <c r="Z1678" s="44"/>
      <c r="AF1678" s="22"/>
    </row>
    <row r="1679" spans="1:45">
      <c r="A1679" t="str">
        <f t="shared" si="553"/>
        <v>CA_Orang_2020p~state senator 37th district (top 2)</v>
      </c>
      <c r="B1679" s="55" t="s">
        <v>3163</v>
      </c>
      <c r="C1679">
        <v>2</v>
      </c>
      <c r="D1679" s="55" t="s">
        <v>3278</v>
      </c>
      <c r="E1679" s="55" t="s">
        <v>3281</v>
      </c>
      <c r="F1679" t="s">
        <v>1296</v>
      </c>
      <c r="G1679" s="60">
        <v>132275</v>
      </c>
      <c r="H1679" s="26">
        <f t="shared" si="554"/>
        <v>0.47415492705308815</v>
      </c>
      <c r="J1679" s="23">
        <v>278970</v>
      </c>
      <c r="K1679">
        <v>687</v>
      </c>
      <c r="L1679">
        <v>687</v>
      </c>
      <c r="N1679">
        <v>0</v>
      </c>
      <c r="O1679">
        <f t="shared" si="555"/>
        <v>1</v>
      </c>
      <c r="P1679" s="57">
        <f t="shared" si="556"/>
        <v>2</v>
      </c>
      <c r="Q1679" s="267">
        <f t="shared" si="557"/>
        <v>139760</v>
      </c>
      <c r="R1679" s="23">
        <f t="shared" si="558"/>
        <v>78293</v>
      </c>
      <c r="S1679" s="23">
        <f t="shared" si="559"/>
        <v>68952</v>
      </c>
      <c r="T1679" s="23">
        <f t="shared" si="560"/>
        <v>9341</v>
      </c>
      <c r="U1679" t="str">
        <f t="shared" si="561"/>
        <v>CA_Orang_2020p~state senator 37th district (top 2)</v>
      </c>
      <c r="X1679" s="71"/>
      <c r="Z1679" s="44"/>
      <c r="AF1679" s="22"/>
    </row>
    <row r="1680" spans="1:45">
      <c r="A1680" t="str">
        <f t="shared" si="553"/>
        <v>CA_Orang_2020p~state senator 37th district (top 2)</v>
      </c>
      <c r="B1680" s="55" t="s">
        <v>3163</v>
      </c>
      <c r="C1680">
        <v>2</v>
      </c>
      <c r="D1680" s="55" t="s">
        <v>3278</v>
      </c>
      <c r="E1680" s="55" t="s">
        <v>3280</v>
      </c>
      <c r="F1680" t="s">
        <v>1294</v>
      </c>
      <c r="G1680" s="60">
        <v>78293</v>
      </c>
      <c r="H1680" s="26">
        <f t="shared" si="554"/>
        <v>0.28065024913073089</v>
      </c>
      <c r="J1680" s="23">
        <v>278970</v>
      </c>
      <c r="K1680">
        <v>687</v>
      </c>
      <c r="L1680">
        <v>687</v>
      </c>
      <c r="N1680">
        <v>0</v>
      </c>
      <c r="O1680">
        <f t="shared" si="555"/>
        <v>2</v>
      </c>
      <c r="P1680" s="57">
        <f t="shared" si="556"/>
        <v>2</v>
      </c>
      <c r="Q1680" s="267">
        <f t="shared" si="557"/>
        <v>147245</v>
      </c>
      <c r="R1680" s="23">
        <f t="shared" si="558"/>
        <v>78293</v>
      </c>
      <c r="S1680" s="23">
        <f t="shared" si="559"/>
        <v>68952</v>
      </c>
      <c r="T1680" s="23" t="str">
        <f t="shared" si="560"/>
        <v/>
      </c>
      <c r="U1680" t="str">
        <f t="shared" si="561"/>
        <v/>
      </c>
      <c r="X1680" s="71"/>
      <c r="Z1680" s="44"/>
      <c r="AF1680" s="22"/>
      <c r="AO1680" s="356"/>
      <c r="AP1680" s="356"/>
      <c r="AQ1680" s="394"/>
      <c r="AR1680" s="394"/>
      <c r="AS1680" s="394"/>
    </row>
    <row r="1681" spans="1:38">
      <c r="A1681" t="str">
        <f t="shared" si="553"/>
        <v>CA_Orang_2020p~state senator 37th district (top 2)</v>
      </c>
      <c r="B1681" s="55" t="s">
        <v>3163</v>
      </c>
      <c r="C1681">
        <v>2</v>
      </c>
      <c r="D1681" s="55" t="s">
        <v>3278</v>
      </c>
      <c r="E1681" s="55" t="s">
        <v>3279</v>
      </c>
      <c r="F1681" t="s">
        <v>1294</v>
      </c>
      <c r="G1681" s="60">
        <v>68952</v>
      </c>
      <c r="H1681" s="26">
        <f t="shared" si="554"/>
        <v>0.24716636197440586</v>
      </c>
      <c r="J1681" s="23">
        <v>278970</v>
      </c>
      <c r="K1681">
        <v>687</v>
      </c>
      <c r="L1681">
        <v>687</v>
      </c>
      <c r="N1681">
        <v>0</v>
      </c>
      <c r="O1681">
        <f t="shared" si="555"/>
        <v>3</v>
      </c>
      <c r="P1681" s="57">
        <f t="shared" si="556"/>
        <v>2</v>
      </c>
      <c r="Q1681" s="267">
        <f t="shared" si="557"/>
        <v>68952</v>
      </c>
      <c r="R1681" s="23" t="str">
        <f t="shared" si="558"/>
        <v/>
      </c>
      <c r="S1681" s="23">
        <f t="shared" si="559"/>
        <v>68952</v>
      </c>
      <c r="T1681" s="23" t="str">
        <f t="shared" si="560"/>
        <v/>
      </c>
      <c r="U1681" t="str">
        <f t="shared" si="561"/>
        <v/>
      </c>
      <c r="X1681" s="71"/>
      <c r="Z1681" s="44"/>
      <c r="AF1681" s="22"/>
      <c r="AL1681" s="344"/>
    </row>
    <row r="1682" spans="1:38">
      <c r="A1682" t="str">
        <f t="shared" si="553"/>
        <v>CA_Orang_2020p~united states representative  46th district (top 2)</v>
      </c>
      <c r="B1682" s="55" t="s">
        <v>3163</v>
      </c>
      <c r="C1682">
        <v>2</v>
      </c>
      <c r="D1682" s="55" t="s">
        <v>3251</v>
      </c>
      <c r="E1682" s="55" t="s">
        <v>3253</v>
      </c>
      <c r="F1682" t="s">
        <v>1294</v>
      </c>
      <c r="G1682" s="60">
        <v>60095</v>
      </c>
      <c r="H1682" s="26">
        <f t="shared" si="554"/>
        <v>0.5807234038441097</v>
      </c>
      <c r="J1682" s="23">
        <v>103483</v>
      </c>
      <c r="K1682">
        <v>237</v>
      </c>
      <c r="L1682">
        <v>237</v>
      </c>
      <c r="N1682">
        <v>0</v>
      </c>
      <c r="O1682">
        <f t="shared" si="555"/>
        <v>1</v>
      </c>
      <c r="P1682" s="57">
        <f t="shared" si="556"/>
        <v>2</v>
      </c>
      <c r="Q1682" s="267">
        <f t="shared" si="557"/>
        <v>60095</v>
      </c>
      <c r="R1682" s="23">
        <f t="shared" si="558"/>
        <v>28302</v>
      </c>
      <c r="S1682" s="23">
        <f t="shared" si="559"/>
        <v>9257</v>
      </c>
      <c r="T1682" s="23">
        <f t="shared" si="560"/>
        <v>19045</v>
      </c>
      <c r="U1682" t="str">
        <f t="shared" si="561"/>
        <v>CA_Orang_2020p~united states representative  46th district (top 2)</v>
      </c>
      <c r="X1682" s="71"/>
      <c r="Z1682" s="44"/>
      <c r="AF1682" s="22"/>
    </row>
    <row r="1683" spans="1:38">
      <c r="A1683" t="str">
        <f t="shared" si="553"/>
        <v>CA_Orang_2020p~united states representative  46th district (top 2)</v>
      </c>
      <c r="B1683" s="55" t="s">
        <v>3163</v>
      </c>
      <c r="C1683">
        <v>2</v>
      </c>
      <c r="D1683" s="55" t="s">
        <v>3251</v>
      </c>
      <c r="E1683" s="55" t="s">
        <v>3255</v>
      </c>
      <c r="F1683" t="s">
        <v>1296</v>
      </c>
      <c r="G1683" s="60">
        <v>28302</v>
      </c>
      <c r="H1683" s="26">
        <f t="shared" si="554"/>
        <v>0.2734941971145019</v>
      </c>
      <c r="J1683" s="23">
        <v>103483</v>
      </c>
      <c r="K1683">
        <v>237</v>
      </c>
      <c r="L1683">
        <v>237</v>
      </c>
      <c r="N1683">
        <v>0</v>
      </c>
      <c r="O1683">
        <f t="shared" si="555"/>
        <v>2</v>
      </c>
      <c r="P1683" s="57">
        <f t="shared" si="556"/>
        <v>2</v>
      </c>
      <c r="Q1683" s="267">
        <f t="shared" si="557"/>
        <v>43227</v>
      </c>
      <c r="R1683" s="23">
        <f t="shared" si="558"/>
        <v>28302</v>
      </c>
      <c r="S1683" s="23">
        <f t="shared" si="559"/>
        <v>9257</v>
      </c>
      <c r="T1683" s="23" t="str">
        <f t="shared" si="560"/>
        <v/>
      </c>
      <c r="U1683" t="str">
        <f t="shared" si="561"/>
        <v/>
      </c>
      <c r="X1683" s="71"/>
      <c r="Z1683" s="44"/>
      <c r="AF1683" s="22"/>
    </row>
    <row r="1684" spans="1:38">
      <c r="A1684" t="str">
        <f t="shared" si="553"/>
        <v>CA_Orang_2020p~united states representative  46th district (top 2)</v>
      </c>
      <c r="B1684" s="55" t="s">
        <v>3163</v>
      </c>
      <c r="C1684">
        <v>2</v>
      </c>
      <c r="D1684" s="55" t="s">
        <v>3251</v>
      </c>
      <c r="E1684" s="55" t="s">
        <v>3252</v>
      </c>
      <c r="F1684" t="s">
        <v>1294</v>
      </c>
      <c r="G1684" s="60">
        <v>9257</v>
      </c>
      <c r="H1684" s="26">
        <f t="shared" si="554"/>
        <v>8.9454306504450007E-2</v>
      </c>
      <c r="J1684" s="23">
        <v>103483</v>
      </c>
      <c r="K1684">
        <v>237</v>
      </c>
      <c r="L1684">
        <v>237</v>
      </c>
      <c r="N1684">
        <v>0</v>
      </c>
      <c r="O1684">
        <f t="shared" si="555"/>
        <v>3</v>
      </c>
      <c r="P1684" s="57">
        <f t="shared" si="556"/>
        <v>2</v>
      </c>
      <c r="Q1684" s="267">
        <f t="shared" si="557"/>
        <v>14925</v>
      </c>
      <c r="R1684" s="23" t="str">
        <f t="shared" si="558"/>
        <v/>
      </c>
      <c r="S1684" s="23">
        <f t="shared" si="559"/>
        <v>9257</v>
      </c>
      <c r="T1684" s="23" t="str">
        <f t="shared" si="560"/>
        <v/>
      </c>
      <c r="U1684" t="str">
        <f t="shared" si="561"/>
        <v/>
      </c>
      <c r="X1684" s="71"/>
      <c r="Z1684" s="44"/>
      <c r="AF1684" s="22"/>
    </row>
    <row r="1685" spans="1:38">
      <c r="A1685" t="str">
        <f t="shared" si="553"/>
        <v>CA_Orang_2020p~united states representative  46th district (top 2)</v>
      </c>
      <c r="B1685" s="55" t="s">
        <v>3163</v>
      </c>
      <c r="C1685">
        <v>2</v>
      </c>
      <c r="D1685" s="55" t="s">
        <v>3251</v>
      </c>
      <c r="E1685" s="55" t="s">
        <v>3256</v>
      </c>
      <c r="G1685" s="60">
        <v>3288</v>
      </c>
      <c r="H1685" s="26">
        <f t="shared" si="554"/>
        <v>3.1773334750635367E-2</v>
      </c>
      <c r="J1685" s="23">
        <v>103483</v>
      </c>
      <c r="K1685">
        <v>237</v>
      </c>
      <c r="L1685">
        <v>237</v>
      </c>
      <c r="N1685">
        <v>0</v>
      </c>
      <c r="O1685">
        <f t="shared" si="555"/>
        <v>4</v>
      </c>
      <c r="P1685" s="57">
        <f t="shared" si="556"/>
        <v>2</v>
      </c>
      <c r="Q1685" s="267">
        <f t="shared" si="557"/>
        <v>5668</v>
      </c>
      <c r="R1685" s="23" t="str">
        <f t="shared" si="558"/>
        <v/>
      </c>
      <c r="S1685" s="23">
        <f t="shared" si="559"/>
        <v>3288</v>
      </c>
      <c r="T1685" s="23" t="str">
        <f t="shared" si="560"/>
        <v/>
      </c>
      <c r="U1685" t="str">
        <f t="shared" si="561"/>
        <v/>
      </c>
      <c r="X1685" s="71"/>
      <c r="Z1685" s="44"/>
      <c r="AF1685" s="22"/>
    </row>
    <row r="1686" spans="1:38">
      <c r="A1686" t="str">
        <f t="shared" si="553"/>
        <v>CA_Orang_2020p~united states representative  46th district (top 2)</v>
      </c>
      <c r="B1686" s="55" t="s">
        <v>3163</v>
      </c>
      <c r="C1686">
        <v>2</v>
      </c>
      <c r="D1686" s="55" t="s">
        <v>3251</v>
      </c>
      <c r="E1686" s="55" t="s">
        <v>3254</v>
      </c>
      <c r="G1686" s="60">
        <v>2380</v>
      </c>
      <c r="H1686" s="26">
        <f t="shared" si="554"/>
        <v>2.2998946686895432E-2</v>
      </c>
      <c r="J1686" s="23">
        <v>103483</v>
      </c>
      <c r="K1686">
        <v>237</v>
      </c>
      <c r="L1686">
        <v>237</v>
      </c>
      <c r="N1686">
        <v>0</v>
      </c>
      <c r="O1686">
        <f t="shared" si="555"/>
        <v>5</v>
      </c>
      <c r="P1686" s="57">
        <f t="shared" si="556"/>
        <v>2</v>
      </c>
      <c r="Q1686" s="267">
        <f t="shared" si="557"/>
        <v>2380</v>
      </c>
      <c r="R1686" s="23" t="str">
        <f t="shared" si="558"/>
        <v/>
      </c>
      <c r="S1686" s="23">
        <f t="shared" si="559"/>
        <v>2380</v>
      </c>
      <c r="T1686" s="23" t="str">
        <f t="shared" si="560"/>
        <v/>
      </c>
      <c r="U1686" t="str">
        <f t="shared" si="561"/>
        <v/>
      </c>
      <c r="X1686" s="71"/>
      <c r="Z1686" s="44"/>
      <c r="AF1686" s="22"/>
    </row>
    <row r="1687" spans="1:38">
      <c r="A1687" t="str">
        <f t="shared" si="553"/>
        <v>CA_Orang_2020p~united states representative 38th district (top 2)</v>
      </c>
      <c r="B1687" s="55" t="s">
        <v>3163</v>
      </c>
      <c r="C1687">
        <v>2</v>
      </c>
      <c r="D1687" s="55" t="s">
        <v>3236</v>
      </c>
      <c r="E1687" s="55" t="s">
        <v>3237</v>
      </c>
      <c r="F1687" t="s">
        <v>1294</v>
      </c>
      <c r="G1687" s="60">
        <v>2256</v>
      </c>
      <c r="H1687" s="26">
        <f t="shared" si="554"/>
        <v>0.70062111801242233</v>
      </c>
      <c r="J1687" s="23">
        <v>3220</v>
      </c>
      <c r="K1687">
        <v>9</v>
      </c>
      <c r="L1687">
        <v>9</v>
      </c>
      <c r="N1687">
        <v>0</v>
      </c>
      <c r="O1687">
        <f t="shared" si="555"/>
        <v>1</v>
      </c>
      <c r="P1687" s="57">
        <f t="shared" si="556"/>
        <v>2</v>
      </c>
      <c r="Q1687" s="267">
        <f t="shared" si="557"/>
        <v>2256</v>
      </c>
      <c r="R1687" s="23">
        <f t="shared" si="558"/>
        <v>849</v>
      </c>
      <c r="S1687" s="23">
        <f t="shared" si="559"/>
        <v>0</v>
      </c>
      <c r="T1687" s="23" t="str">
        <f t="shared" si="560"/>
        <v/>
      </c>
      <c r="U1687" t="str">
        <f t="shared" si="561"/>
        <v>CA_Orang_2020p~united states representative 38th district (top 2)</v>
      </c>
      <c r="X1687" s="71"/>
      <c r="Z1687" s="44"/>
      <c r="AF1687" s="22"/>
      <c r="AG1687" s="302"/>
      <c r="AH1687" s="301"/>
      <c r="AI1687" s="303"/>
      <c r="AJ1687" s="303"/>
      <c r="AK1687" s="342"/>
      <c r="AL1687" s="343"/>
    </row>
    <row r="1688" spans="1:38">
      <c r="A1688" t="str">
        <f t="shared" si="553"/>
        <v>CA_Orang_2020p~united states representative 38th district (top 2)</v>
      </c>
      <c r="B1688" s="55" t="s">
        <v>3163</v>
      </c>
      <c r="C1688">
        <v>2</v>
      </c>
      <c r="D1688" s="55" t="s">
        <v>3236</v>
      </c>
      <c r="E1688" s="55" t="s">
        <v>3238</v>
      </c>
      <c r="F1688" t="s">
        <v>1294</v>
      </c>
      <c r="G1688" s="60">
        <v>849</v>
      </c>
      <c r="H1688" s="26">
        <f t="shared" si="554"/>
        <v>0.26366459627329192</v>
      </c>
      <c r="J1688" s="23">
        <v>3220</v>
      </c>
      <c r="K1688">
        <v>9</v>
      </c>
      <c r="L1688">
        <v>9</v>
      </c>
      <c r="N1688">
        <v>0</v>
      </c>
      <c r="O1688">
        <f t="shared" si="555"/>
        <v>2</v>
      </c>
      <c r="P1688" s="57">
        <f t="shared" si="556"/>
        <v>2</v>
      </c>
      <c r="Q1688" s="267">
        <f t="shared" si="557"/>
        <v>849</v>
      </c>
      <c r="R1688" s="23">
        <f t="shared" si="558"/>
        <v>849</v>
      </c>
      <c r="S1688" s="23">
        <f t="shared" si="559"/>
        <v>0</v>
      </c>
      <c r="T1688" s="23" t="str">
        <f t="shared" si="560"/>
        <v/>
      </c>
      <c r="U1688" t="str">
        <f t="shared" si="561"/>
        <v/>
      </c>
      <c r="X1688" s="71"/>
      <c r="Z1688" s="44"/>
      <c r="AF1688" s="22"/>
    </row>
    <row r="1689" spans="1:38">
      <c r="A1689" t="str">
        <f t="shared" si="553"/>
        <v>CA_Orang_2020p~united states representative 39th district (top 2)</v>
      </c>
      <c r="B1689" s="55" t="s">
        <v>3163</v>
      </c>
      <c r="C1689">
        <v>2</v>
      </c>
      <c r="D1689" s="55" t="s">
        <v>3239</v>
      </c>
      <c r="E1689" s="55" t="s">
        <v>3240</v>
      </c>
      <c r="F1689" t="s">
        <v>1296</v>
      </c>
      <c r="G1689" s="60">
        <v>58228</v>
      </c>
      <c r="H1689" s="26">
        <f t="shared" si="554"/>
        <v>0.50327141980483847</v>
      </c>
      <c r="J1689" s="23">
        <v>115699</v>
      </c>
      <c r="K1689">
        <v>257</v>
      </c>
      <c r="L1689">
        <v>257</v>
      </c>
      <c r="N1689">
        <v>0</v>
      </c>
      <c r="O1689">
        <f t="shared" si="555"/>
        <v>1</v>
      </c>
      <c r="P1689" s="57">
        <f t="shared" si="556"/>
        <v>2</v>
      </c>
      <c r="Q1689" s="267">
        <f t="shared" si="557"/>
        <v>58228</v>
      </c>
      <c r="R1689" s="23">
        <f t="shared" si="558"/>
        <v>51630</v>
      </c>
      <c r="S1689" s="23">
        <f t="shared" si="559"/>
        <v>5766</v>
      </c>
      <c r="T1689" s="23">
        <f t="shared" si="560"/>
        <v>45864</v>
      </c>
      <c r="U1689" t="str">
        <f t="shared" si="561"/>
        <v>CA_Orang_2020p~united states representative 39th district (top 2)</v>
      </c>
      <c r="X1689" s="71"/>
      <c r="Z1689" s="44"/>
      <c r="AF1689" s="22"/>
    </row>
    <row r="1690" spans="1:38">
      <c r="A1690" t="str">
        <f t="shared" si="553"/>
        <v>CA_Orang_2020p~united states representative 39th district (top 2)</v>
      </c>
      <c r="B1690" s="55" t="s">
        <v>3163</v>
      </c>
      <c r="C1690">
        <v>2</v>
      </c>
      <c r="D1690" s="55" t="s">
        <v>3239</v>
      </c>
      <c r="E1690" s="55" t="s">
        <v>3241</v>
      </c>
      <c r="F1690" t="s">
        <v>1294</v>
      </c>
      <c r="G1690" s="60">
        <v>51630</v>
      </c>
      <c r="H1690" s="26">
        <f t="shared" si="554"/>
        <v>0.44624413348429975</v>
      </c>
      <c r="J1690" s="23">
        <v>115699</v>
      </c>
      <c r="K1690">
        <v>257</v>
      </c>
      <c r="L1690">
        <v>257</v>
      </c>
      <c r="N1690">
        <v>0</v>
      </c>
      <c r="O1690">
        <f t="shared" si="555"/>
        <v>2</v>
      </c>
      <c r="P1690" s="57">
        <f t="shared" si="556"/>
        <v>2</v>
      </c>
      <c r="Q1690" s="267">
        <f t="shared" si="557"/>
        <v>57396</v>
      </c>
      <c r="R1690" s="23">
        <f t="shared" si="558"/>
        <v>51630</v>
      </c>
      <c r="S1690" s="23">
        <f t="shared" si="559"/>
        <v>5766</v>
      </c>
      <c r="T1690" s="23" t="str">
        <f t="shared" si="560"/>
        <v/>
      </c>
      <c r="U1690" t="str">
        <f t="shared" si="561"/>
        <v/>
      </c>
      <c r="X1690" s="71"/>
      <c r="Z1690" s="44"/>
      <c r="AF1690" s="22"/>
    </row>
    <row r="1691" spans="1:38">
      <c r="A1691" t="str">
        <f t="shared" ref="A1691:A1712" si="562">CONCATENATE(B1691,"~",LOWER(D1691),IF(RIGHT(D1691,1)=")","",IF(C1691=2," (top 2)"," (vote 1)")))</f>
        <v>CA_Orang_2020p~united states representative 39th district (top 2)</v>
      </c>
      <c r="B1691" s="55" t="s">
        <v>3163</v>
      </c>
      <c r="C1691">
        <v>2</v>
      </c>
      <c r="D1691" s="55" t="s">
        <v>3239</v>
      </c>
      <c r="E1691" s="55" t="s">
        <v>3242</v>
      </c>
      <c r="G1691" s="60">
        <v>5766</v>
      </c>
      <c r="H1691" s="26">
        <f t="shared" ref="H1691:H1712" si="563">G1691/J1691</f>
        <v>4.9836212931831735E-2</v>
      </c>
      <c r="J1691" s="23">
        <v>115699</v>
      </c>
      <c r="K1691">
        <v>257</v>
      </c>
      <c r="L1691">
        <v>257</v>
      </c>
      <c r="N1691">
        <v>0</v>
      </c>
      <c r="O1691">
        <f t="shared" si="555"/>
        <v>3</v>
      </c>
      <c r="P1691" s="57">
        <f t="shared" si="556"/>
        <v>2</v>
      </c>
      <c r="Q1691" s="267">
        <f t="shared" si="557"/>
        <v>5766</v>
      </c>
      <c r="R1691" s="23" t="str">
        <f t="shared" si="558"/>
        <v/>
      </c>
      <c r="S1691" s="23">
        <f t="shared" si="559"/>
        <v>5766</v>
      </c>
      <c r="T1691" s="23" t="str">
        <f t="shared" si="560"/>
        <v/>
      </c>
      <c r="U1691" t="str">
        <f t="shared" si="561"/>
        <v/>
      </c>
      <c r="X1691" s="71"/>
      <c r="Z1691" s="44"/>
      <c r="AF1691" s="22"/>
    </row>
    <row r="1692" spans="1:38">
      <c r="A1692" t="str">
        <f t="shared" si="562"/>
        <v>CA_Orang_2020p~united states representative 45th district (top 2)</v>
      </c>
      <c r="B1692" s="55" t="s">
        <v>3163</v>
      </c>
      <c r="C1692">
        <v>2</v>
      </c>
      <c r="D1692" s="55" t="s">
        <v>3243</v>
      </c>
      <c r="E1692" s="55" t="s">
        <v>3247</v>
      </c>
      <c r="F1692" t="s">
        <v>1294</v>
      </c>
      <c r="G1692" s="60">
        <v>112986</v>
      </c>
      <c r="H1692" s="26">
        <f t="shared" si="563"/>
        <v>0.50935664341969422</v>
      </c>
      <c r="J1692" s="23">
        <v>221821</v>
      </c>
      <c r="K1692">
        <v>518</v>
      </c>
      <c r="L1692">
        <v>518</v>
      </c>
      <c r="N1692">
        <v>0</v>
      </c>
      <c r="O1692">
        <f t="shared" si="555"/>
        <v>1</v>
      </c>
      <c r="P1692" s="57">
        <f t="shared" si="556"/>
        <v>2</v>
      </c>
      <c r="Q1692" s="267">
        <f t="shared" si="557"/>
        <v>112986</v>
      </c>
      <c r="R1692" s="23">
        <f t="shared" si="558"/>
        <v>39942</v>
      </c>
      <c r="S1692" s="23">
        <f t="shared" si="559"/>
        <v>28465</v>
      </c>
      <c r="T1692" s="23">
        <f t="shared" si="560"/>
        <v>11477</v>
      </c>
      <c r="U1692" t="str">
        <f t="shared" si="561"/>
        <v>CA_Orang_2020p~united states representative 45th district (top 2)</v>
      </c>
      <c r="X1692" s="71"/>
      <c r="Z1692" s="44"/>
      <c r="AF1692" s="22"/>
    </row>
    <row r="1693" spans="1:38">
      <c r="A1693" t="str">
        <f t="shared" si="562"/>
        <v>CA_Orang_2020p~united states representative 45th district (top 2)</v>
      </c>
      <c r="B1693" s="55" t="s">
        <v>3163</v>
      </c>
      <c r="C1693">
        <v>2</v>
      </c>
      <c r="D1693" s="55" t="s">
        <v>3243</v>
      </c>
      <c r="E1693" s="55" t="s">
        <v>3245</v>
      </c>
      <c r="F1693" t="s">
        <v>1296</v>
      </c>
      <c r="G1693" s="60">
        <v>39942</v>
      </c>
      <c r="H1693" s="26">
        <f t="shared" si="563"/>
        <v>0.18006410574291884</v>
      </c>
      <c r="J1693" s="23">
        <v>221821</v>
      </c>
      <c r="K1693">
        <v>518</v>
      </c>
      <c r="L1693">
        <v>518</v>
      </c>
      <c r="N1693">
        <v>0</v>
      </c>
      <c r="O1693">
        <f t="shared" si="555"/>
        <v>2</v>
      </c>
      <c r="P1693" s="57">
        <f t="shared" si="556"/>
        <v>2</v>
      </c>
      <c r="Q1693" s="267">
        <f t="shared" si="557"/>
        <v>109631</v>
      </c>
      <c r="R1693" s="23">
        <f t="shared" si="558"/>
        <v>39942</v>
      </c>
      <c r="S1693" s="23">
        <f t="shared" si="559"/>
        <v>28465</v>
      </c>
      <c r="T1693" s="23" t="str">
        <f t="shared" si="560"/>
        <v/>
      </c>
      <c r="U1693" t="str">
        <f t="shared" si="561"/>
        <v/>
      </c>
      <c r="X1693" s="71"/>
      <c r="Z1693" s="44"/>
      <c r="AF1693" s="22"/>
    </row>
    <row r="1694" spans="1:38">
      <c r="A1694" t="str">
        <f t="shared" si="562"/>
        <v>CA_Orang_2020p~united states representative 45th district (top 2)</v>
      </c>
      <c r="B1694" s="55" t="s">
        <v>3163</v>
      </c>
      <c r="C1694">
        <v>2</v>
      </c>
      <c r="D1694" s="55" t="s">
        <v>3243</v>
      </c>
      <c r="E1694" s="55" t="s">
        <v>3248</v>
      </c>
      <c r="F1694" t="s">
        <v>1296</v>
      </c>
      <c r="G1694" s="60">
        <v>28465</v>
      </c>
      <c r="H1694" s="26">
        <f t="shared" si="563"/>
        <v>0.12832418932382417</v>
      </c>
      <c r="J1694" s="23">
        <v>221821</v>
      </c>
      <c r="K1694">
        <v>518</v>
      </c>
      <c r="L1694">
        <v>518</v>
      </c>
      <c r="N1694">
        <v>0</v>
      </c>
      <c r="O1694">
        <f t="shared" si="555"/>
        <v>3</v>
      </c>
      <c r="P1694" s="57">
        <f t="shared" si="556"/>
        <v>2</v>
      </c>
      <c r="Q1694" s="267">
        <f t="shared" si="557"/>
        <v>69689</v>
      </c>
      <c r="R1694" s="23" t="str">
        <f t="shared" si="558"/>
        <v/>
      </c>
      <c r="S1694" s="23">
        <f t="shared" si="559"/>
        <v>28465</v>
      </c>
      <c r="T1694" s="23" t="str">
        <f t="shared" si="560"/>
        <v/>
      </c>
      <c r="U1694" t="str">
        <f t="shared" si="561"/>
        <v/>
      </c>
      <c r="X1694" s="71"/>
      <c r="Z1694" s="44"/>
      <c r="AF1694" s="22"/>
    </row>
    <row r="1695" spans="1:38">
      <c r="A1695" t="str">
        <f t="shared" si="562"/>
        <v>CA_Orang_2020p~united states representative 45th district (top 2)</v>
      </c>
      <c r="B1695" s="55" t="s">
        <v>3163</v>
      </c>
      <c r="C1695">
        <v>2</v>
      </c>
      <c r="D1695" s="55" t="s">
        <v>3243</v>
      </c>
      <c r="E1695" s="55" t="s">
        <v>3244</v>
      </c>
      <c r="F1695" t="s">
        <v>1296</v>
      </c>
      <c r="G1695" s="60">
        <v>24780</v>
      </c>
      <c r="H1695" s="26">
        <f t="shared" si="563"/>
        <v>0.11171169546616416</v>
      </c>
      <c r="J1695" s="23">
        <v>221821</v>
      </c>
      <c r="K1695">
        <v>518</v>
      </c>
      <c r="L1695">
        <v>518</v>
      </c>
      <c r="N1695">
        <v>0</v>
      </c>
      <c r="O1695">
        <f t="shared" si="555"/>
        <v>4</v>
      </c>
      <c r="P1695" s="57">
        <f t="shared" si="556"/>
        <v>2</v>
      </c>
      <c r="Q1695" s="267">
        <f t="shared" si="557"/>
        <v>41224</v>
      </c>
      <c r="R1695" s="23" t="str">
        <f t="shared" si="558"/>
        <v/>
      </c>
      <c r="S1695" s="23">
        <f t="shared" si="559"/>
        <v>24780</v>
      </c>
      <c r="T1695" s="23" t="str">
        <f t="shared" si="560"/>
        <v/>
      </c>
      <c r="U1695" t="str">
        <f t="shared" si="561"/>
        <v/>
      </c>
      <c r="X1695" s="71"/>
      <c r="Z1695" s="44"/>
      <c r="AF1695" s="22"/>
    </row>
    <row r="1696" spans="1:38">
      <c r="A1696" t="str">
        <f t="shared" si="562"/>
        <v>CA_Orang_2020p~united states representative 45th district (top 2)</v>
      </c>
      <c r="B1696" s="55" t="s">
        <v>3163</v>
      </c>
      <c r="C1696">
        <v>2</v>
      </c>
      <c r="D1696" s="55" t="s">
        <v>3243</v>
      </c>
      <c r="E1696" s="55" t="s">
        <v>3249</v>
      </c>
      <c r="F1696" t="s">
        <v>1296</v>
      </c>
      <c r="G1696" s="60">
        <v>8861</v>
      </c>
      <c r="H1696" s="26">
        <f t="shared" si="563"/>
        <v>3.9946623628962091E-2</v>
      </c>
      <c r="J1696" s="23">
        <v>221821</v>
      </c>
      <c r="K1696">
        <v>518</v>
      </c>
      <c r="L1696">
        <v>518</v>
      </c>
      <c r="N1696">
        <v>0</v>
      </c>
      <c r="O1696">
        <f t="shared" si="555"/>
        <v>5</v>
      </c>
      <c r="P1696" s="57">
        <f t="shared" si="556"/>
        <v>2</v>
      </c>
      <c r="Q1696" s="267">
        <f t="shared" si="557"/>
        <v>16444</v>
      </c>
      <c r="R1696" s="23" t="str">
        <f t="shared" si="558"/>
        <v/>
      </c>
      <c r="S1696" s="23">
        <f t="shared" si="559"/>
        <v>8861</v>
      </c>
      <c r="T1696" s="23" t="str">
        <f t="shared" si="560"/>
        <v/>
      </c>
      <c r="U1696" t="str">
        <f t="shared" si="561"/>
        <v/>
      </c>
      <c r="X1696" s="71"/>
      <c r="Z1696" s="44"/>
      <c r="AF1696" s="22"/>
    </row>
    <row r="1697" spans="1:45">
      <c r="A1697" t="str">
        <f t="shared" si="562"/>
        <v>CA_Orang_2020p~united states representative 45th district (top 2)</v>
      </c>
      <c r="B1697" s="55" t="s">
        <v>3163</v>
      </c>
      <c r="C1697">
        <v>2</v>
      </c>
      <c r="D1697" s="55" t="s">
        <v>3243</v>
      </c>
      <c r="E1697" s="55" t="s">
        <v>3246</v>
      </c>
      <c r="F1697" t="s">
        <v>1296</v>
      </c>
      <c r="G1697" s="60">
        <v>5443</v>
      </c>
      <c r="H1697" s="26">
        <f t="shared" si="563"/>
        <v>2.4537803003322499E-2</v>
      </c>
      <c r="J1697" s="23">
        <v>221821</v>
      </c>
      <c r="K1697">
        <v>518</v>
      </c>
      <c r="L1697">
        <v>518</v>
      </c>
      <c r="N1697">
        <v>0</v>
      </c>
      <c r="O1697">
        <f t="shared" si="555"/>
        <v>6</v>
      </c>
      <c r="P1697" s="57">
        <f t="shared" si="556"/>
        <v>2</v>
      </c>
      <c r="Q1697" s="267">
        <f t="shared" si="557"/>
        <v>7583</v>
      </c>
      <c r="R1697" s="23" t="str">
        <f t="shared" si="558"/>
        <v/>
      </c>
      <c r="S1697" s="23">
        <f t="shared" si="559"/>
        <v>5443</v>
      </c>
      <c r="T1697" s="23" t="str">
        <f t="shared" si="560"/>
        <v/>
      </c>
      <c r="U1697" t="str">
        <f t="shared" si="561"/>
        <v/>
      </c>
      <c r="X1697" s="71"/>
      <c r="Z1697" s="44"/>
      <c r="AF1697" s="22"/>
    </row>
    <row r="1698" spans="1:45">
      <c r="A1698" t="str">
        <f t="shared" si="562"/>
        <v>CA_Orang_2020p~united states representative 45th district (top 2)</v>
      </c>
      <c r="B1698" s="55" t="s">
        <v>3163</v>
      </c>
      <c r="C1698">
        <v>2</v>
      </c>
      <c r="D1698" s="55" t="s">
        <v>3243</v>
      </c>
      <c r="E1698" s="55" t="s">
        <v>3250</v>
      </c>
      <c r="F1698" t="s">
        <v>1296</v>
      </c>
      <c r="G1698" s="60">
        <v>2140</v>
      </c>
      <c r="H1698" s="26">
        <f t="shared" si="563"/>
        <v>9.6474184139463803E-3</v>
      </c>
      <c r="J1698" s="23">
        <v>221821</v>
      </c>
      <c r="K1698">
        <v>518</v>
      </c>
      <c r="L1698">
        <v>518</v>
      </c>
      <c r="N1698">
        <v>0</v>
      </c>
      <c r="O1698">
        <f t="shared" si="555"/>
        <v>7</v>
      </c>
      <c r="P1698" s="57">
        <f t="shared" si="556"/>
        <v>2</v>
      </c>
      <c r="Q1698" s="267">
        <f t="shared" si="557"/>
        <v>2140</v>
      </c>
      <c r="R1698" s="23" t="str">
        <f t="shared" si="558"/>
        <v/>
      </c>
      <c r="S1698" s="23">
        <f t="shared" si="559"/>
        <v>2140</v>
      </c>
      <c r="T1698" s="23" t="str">
        <f t="shared" si="560"/>
        <v/>
      </c>
      <c r="U1698" t="str">
        <f t="shared" si="561"/>
        <v/>
      </c>
      <c r="X1698" s="71"/>
      <c r="Z1698" s="44"/>
      <c r="AF1698" s="22"/>
    </row>
    <row r="1699" spans="1:45">
      <c r="A1699" t="str">
        <f t="shared" si="562"/>
        <v>CA_Orang_2020p~united states representative 47th district (top 2)</v>
      </c>
      <c r="B1699" s="55" t="s">
        <v>3163</v>
      </c>
      <c r="C1699">
        <v>2</v>
      </c>
      <c r="D1699" s="55" t="s">
        <v>3257</v>
      </c>
      <c r="E1699" s="55" t="s">
        <v>3262</v>
      </c>
      <c r="F1699" t="s">
        <v>1294</v>
      </c>
      <c r="G1699" s="60">
        <v>24880</v>
      </c>
      <c r="H1699" s="26">
        <f t="shared" si="563"/>
        <v>0.3926457823719719</v>
      </c>
      <c r="J1699" s="23">
        <v>63365</v>
      </c>
      <c r="K1699">
        <v>156</v>
      </c>
      <c r="L1699">
        <v>156</v>
      </c>
      <c r="N1699">
        <v>0</v>
      </c>
      <c r="O1699">
        <f t="shared" si="555"/>
        <v>1</v>
      </c>
      <c r="P1699" s="57">
        <f t="shared" si="556"/>
        <v>2</v>
      </c>
      <c r="Q1699" s="267">
        <f t="shared" si="557"/>
        <v>31809</v>
      </c>
      <c r="R1699" s="23">
        <f t="shared" si="558"/>
        <v>13794</v>
      </c>
      <c r="S1699" s="23">
        <f t="shared" si="559"/>
        <v>13375</v>
      </c>
      <c r="T1699" s="23">
        <f t="shared" si="560"/>
        <v>419</v>
      </c>
      <c r="U1699" t="str">
        <f t="shared" si="561"/>
        <v>CA_Orang_2020p~united states representative 47th district (top 2)</v>
      </c>
      <c r="X1699" s="71"/>
      <c r="Z1699" s="44"/>
      <c r="AF1699" s="22"/>
    </row>
    <row r="1700" spans="1:45">
      <c r="A1700" t="str">
        <f t="shared" si="562"/>
        <v>CA_Orang_2020p~united states representative 47th district (top 2)</v>
      </c>
      <c r="B1700" s="55" t="s">
        <v>3163</v>
      </c>
      <c r="C1700">
        <v>2</v>
      </c>
      <c r="D1700" s="55" t="s">
        <v>3257</v>
      </c>
      <c r="E1700" s="55" t="s">
        <v>3258</v>
      </c>
      <c r="F1700" t="s">
        <v>1296</v>
      </c>
      <c r="G1700" s="60">
        <v>13794</v>
      </c>
      <c r="H1700" s="26">
        <f t="shared" si="563"/>
        <v>0.21769115442278861</v>
      </c>
      <c r="J1700" s="23">
        <v>63365</v>
      </c>
      <c r="K1700">
        <v>156</v>
      </c>
      <c r="L1700">
        <v>156</v>
      </c>
      <c r="N1700">
        <v>0</v>
      </c>
      <c r="O1700">
        <f t="shared" si="555"/>
        <v>2</v>
      </c>
      <c r="P1700" s="57">
        <f t="shared" si="556"/>
        <v>2</v>
      </c>
      <c r="Q1700" s="267">
        <f t="shared" si="557"/>
        <v>38738</v>
      </c>
      <c r="R1700" s="23">
        <f t="shared" si="558"/>
        <v>13794</v>
      </c>
      <c r="S1700" s="23">
        <f t="shared" si="559"/>
        <v>13375</v>
      </c>
      <c r="T1700" s="23" t="str">
        <f t="shared" si="560"/>
        <v/>
      </c>
      <c r="U1700" t="str">
        <f t="shared" si="561"/>
        <v/>
      </c>
      <c r="X1700" s="71"/>
      <c r="Z1700" s="44"/>
      <c r="AF1700" s="22"/>
      <c r="AL1700" s="344"/>
    </row>
    <row r="1701" spans="1:45">
      <c r="A1701" t="str">
        <f t="shared" si="562"/>
        <v>CA_Orang_2020p~united states representative 47th district (top 2)</v>
      </c>
      <c r="B1701" s="55" t="s">
        <v>3163</v>
      </c>
      <c r="C1701">
        <v>2</v>
      </c>
      <c r="D1701" s="55" t="s">
        <v>3257</v>
      </c>
      <c r="E1701" s="55" t="s">
        <v>3260</v>
      </c>
      <c r="F1701" t="s">
        <v>1296</v>
      </c>
      <c r="G1701" s="60">
        <v>13375</v>
      </c>
      <c r="H1701" s="26">
        <f t="shared" si="563"/>
        <v>0.21107867119072043</v>
      </c>
      <c r="J1701" s="23">
        <v>63365</v>
      </c>
      <c r="K1701">
        <v>156</v>
      </c>
      <c r="L1701">
        <v>156</v>
      </c>
      <c r="N1701">
        <v>0</v>
      </c>
      <c r="O1701">
        <f t="shared" si="555"/>
        <v>3</v>
      </c>
      <c r="P1701" s="57">
        <f t="shared" si="556"/>
        <v>2</v>
      </c>
      <c r="Q1701" s="267">
        <f t="shared" si="557"/>
        <v>24944</v>
      </c>
      <c r="R1701" s="23" t="str">
        <f t="shared" si="558"/>
        <v/>
      </c>
      <c r="S1701" s="23">
        <f t="shared" si="559"/>
        <v>13375</v>
      </c>
      <c r="T1701" s="23" t="str">
        <f t="shared" si="560"/>
        <v/>
      </c>
      <c r="U1701" t="str">
        <f t="shared" si="561"/>
        <v/>
      </c>
      <c r="X1701" s="71"/>
      <c r="Z1701" s="44"/>
      <c r="AF1701" s="22"/>
    </row>
    <row r="1702" spans="1:45">
      <c r="A1702" t="str">
        <f t="shared" si="562"/>
        <v>CA_Orang_2020p~united states representative 47th district (top 2)</v>
      </c>
      <c r="B1702" s="55" t="s">
        <v>3163</v>
      </c>
      <c r="C1702">
        <v>2</v>
      </c>
      <c r="D1702" s="55" t="s">
        <v>3257</v>
      </c>
      <c r="E1702" s="55" t="s">
        <v>3261</v>
      </c>
      <c r="F1702" t="s">
        <v>1294</v>
      </c>
      <c r="G1702" s="60">
        <v>6767</v>
      </c>
      <c r="H1702" s="26">
        <f t="shared" si="563"/>
        <v>0.10679397143533496</v>
      </c>
      <c r="J1702" s="23">
        <v>63365</v>
      </c>
      <c r="K1702">
        <v>156</v>
      </c>
      <c r="L1702">
        <v>156</v>
      </c>
      <c r="N1702">
        <v>0</v>
      </c>
      <c r="O1702">
        <f t="shared" si="555"/>
        <v>4</v>
      </c>
      <c r="P1702" s="57">
        <f t="shared" si="556"/>
        <v>2</v>
      </c>
      <c r="Q1702" s="267">
        <f t="shared" si="557"/>
        <v>11569</v>
      </c>
      <c r="R1702" s="23" t="str">
        <f t="shared" si="558"/>
        <v/>
      </c>
      <c r="S1702" s="23">
        <f t="shared" si="559"/>
        <v>6767</v>
      </c>
      <c r="T1702" s="23" t="str">
        <f t="shared" si="560"/>
        <v/>
      </c>
      <c r="U1702" t="str">
        <f t="shared" si="561"/>
        <v/>
      </c>
      <c r="X1702" s="71"/>
      <c r="Z1702" s="44"/>
      <c r="AF1702" s="22"/>
      <c r="AG1702" s="302"/>
      <c r="AH1702" s="301"/>
      <c r="AI1702" s="303"/>
      <c r="AJ1702" s="303"/>
      <c r="AK1702" s="342"/>
      <c r="AL1702" s="343"/>
    </row>
    <row r="1703" spans="1:45">
      <c r="A1703" t="str">
        <f t="shared" si="562"/>
        <v>CA_Orang_2020p~united states representative 47th district (top 2)</v>
      </c>
      <c r="B1703" s="55" t="s">
        <v>3163</v>
      </c>
      <c r="C1703">
        <v>2</v>
      </c>
      <c r="D1703" s="55" t="s">
        <v>3257</v>
      </c>
      <c r="E1703" s="55" t="s">
        <v>3259</v>
      </c>
      <c r="F1703" t="s">
        <v>1296</v>
      </c>
      <c r="G1703" s="60">
        <v>2889</v>
      </c>
      <c r="H1703" s="26">
        <f t="shared" si="563"/>
        <v>4.5592992977195615E-2</v>
      </c>
      <c r="J1703" s="23">
        <v>63365</v>
      </c>
      <c r="K1703">
        <v>156</v>
      </c>
      <c r="L1703">
        <v>156</v>
      </c>
      <c r="N1703">
        <v>0</v>
      </c>
      <c r="O1703">
        <f t="shared" si="555"/>
        <v>5</v>
      </c>
      <c r="P1703" s="57">
        <f t="shared" si="556"/>
        <v>2</v>
      </c>
      <c r="Q1703" s="267">
        <f t="shared" si="557"/>
        <v>4802</v>
      </c>
      <c r="R1703" s="23" t="str">
        <f t="shared" si="558"/>
        <v/>
      </c>
      <c r="S1703" s="23">
        <f t="shared" si="559"/>
        <v>2889</v>
      </c>
      <c r="T1703" s="23" t="str">
        <f t="shared" si="560"/>
        <v/>
      </c>
      <c r="U1703" t="str">
        <f t="shared" si="561"/>
        <v/>
      </c>
      <c r="X1703" s="71"/>
      <c r="Z1703" s="44"/>
      <c r="AF1703" s="22"/>
    </row>
    <row r="1704" spans="1:45">
      <c r="A1704" t="str">
        <f t="shared" si="562"/>
        <v>CA_Orang_2020p~united states representative 47th district (top 2)</v>
      </c>
      <c r="B1704" s="55" t="s">
        <v>3163</v>
      </c>
      <c r="C1704">
        <v>2</v>
      </c>
      <c r="D1704" s="55" t="s">
        <v>3257</v>
      </c>
      <c r="E1704" s="55" t="s">
        <v>3263</v>
      </c>
      <c r="F1704" t="s">
        <v>1294</v>
      </c>
      <c r="G1704" s="60">
        <v>1913</v>
      </c>
      <c r="H1704" s="26">
        <f t="shared" si="563"/>
        <v>3.0190168073857809E-2</v>
      </c>
      <c r="J1704" s="23">
        <v>63365</v>
      </c>
      <c r="K1704">
        <v>156</v>
      </c>
      <c r="L1704">
        <v>156</v>
      </c>
      <c r="N1704">
        <v>0</v>
      </c>
      <c r="O1704">
        <f t="shared" si="555"/>
        <v>6</v>
      </c>
      <c r="P1704" s="57">
        <f t="shared" si="556"/>
        <v>2</v>
      </c>
      <c r="Q1704" s="267">
        <f t="shared" si="557"/>
        <v>1913</v>
      </c>
      <c r="R1704" s="23" t="str">
        <f t="shared" si="558"/>
        <v/>
      </c>
      <c r="S1704" s="23">
        <f t="shared" si="559"/>
        <v>1913</v>
      </c>
      <c r="T1704" s="23" t="str">
        <f t="shared" si="560"/>
        <v/>
      </c>
      <c r="U1704" t="str">
        <f t="shared" si="561"/>
        <v/>
      </c>
      <c r="X1704" s="71"/>
      <c r="Z1704" s="44"/>
      <c r="AF1704" s="22"/>
    </row>
    <row r="1705" spans="1:45">
      <c r="A1705" t="str">
        <f t="shared" si="562"/>
        <v>CA_Orang_2020p~united states representative 48th district (top 2)</v>
      </c>
      <c r="B1705" s="55" t="s">
        <v>3163</v>
      </c>
      <c r="C1705">
        <v>2</v>
      </c>
      <c r="D1705" s="55" t="s">
        <v>3264</v>
      </c>
      <c r="E1705" s="55" t="s">
        <v>3267</v>
      </c>
      <c r="F1705" t="s">
        <v>1294</v>
      </c>
      <c r="G1705" s="60">
        <v>99659</v>
      </c>
      <c r="H1705" s="26">
        <f t="shared" si="563"/>
        <v>0.46806941737313013</v>
      </c>
      <c r="J1705" s="23">
        <v>212915</v>
      </c>
      <c r="K1705">
        <v>423</v>
      </c>
      <c r="L1705">
        <v>423</v>
      </c>
      <c r="N1705">
        <v>0</v>
      </c>
      <c r="O1705">
        <f t="shared" si="555"/>
        <v>1</v>
      </c>
      <c r="P1705" s="57">
        <f t="shared" si="556"/>
        <v>2</v>
      </c>
      <c r="Q1705" s="267">
        <f t="shared" si="557"/>
        <v>106639.5</v>
      </c>
      <c r="R1705" s="23">
        <f t="shared" si="558"/>
        <v>74418</v>
      </c>
      <c r="S1705" s="23">
        <f t="shared" si="559"/>
        <v>25884</v>
      </c>
      <c r="T1705" s="23">
        <f t="shared" si="560"/>
        <v>48534</v>
      </c>
      <c r="U1705" t="str">
        <f t="shared" si="561"/>
        <v>CA_Orang_2020p~united states representative 48th district (top 2)</v>
      </c>
      <c r="X1705" s="71"/>
      <c r="Z1705" s="44"/>
      <c r="AF1705" s="22"/>
    </row>
    <row r="1706" spans="1:45">
      <c r="A1706" t="str">
        <f t="shared" si="562"/>
        <v>CA_Orang_2020p~united states representative 48th district (top 2)</v>
      </c>
      <c r="B1706" s="55" t="s">
        <v>3163</v>
      </c>
      <c r="C1706">
        <v>2</v>
      </c>
      <c r="D1706" s="55" t="s">
        <v>3264</v>
      </c>
      <c r="E1706" s="55" t="s">
        <v>3269</v>
      </c>
      <c r="F1706" t="s">
        <v>1296</v>
      </c>
      <c r="G1706" s="60">
        <v>74418</v>
      </c>
      <c r="H1706" s="26">
        <f t="shared" si="563"/>
        <v>0.34951976140713431</v>
      </c>
      <c r="J1706" s="23">
        <v>212915</v>
      </c>
      <c r="K1706">
        <v>423</v>
      </c>
      <c r="L1706">
        <v>423</v>
      </c>
      <c r="N1706">
        <v>0</v>
      </c>
      <c r="O1706">
        <f t="shared" si="555"/>
        <v>2</v>
      </c>
      <c r="P1706" s="57">
        <f t="shared" si="556"/>
        <v>2</v>
      </c>
      <c r="Q1706" s="267">
        <f t="shared" si="557"/>
        <v>113620</v>
      </c>
      <c r="R1706" s="23">
        <f t="shared" si="558"/>
        <v>74418</v>
      </c>
      <c r="S1706" s="23">
        <f t="shared" si="559"/>
        <v>25884</v>
      </c>
      <c r="T1706" s="23" t="str">
        <f t="shared" si="560"/>
        <v/>
      </c>
      <c r="U1706" t="str">
        <f t="shared" si="561"/>
        <v/>
      </c>
      <c r="X1706" s="71"/>
      <c r="Z1706" s="44"/>
      <c r="AF1706" s="22"/>
    </row>
    <row r="1707" spans="1:45">
      <c r="A1707" t="str">
        <f t="shared" si="562"/>
        <v>CA_Orang_2020p~united states representative 48th district (top 2)</v>
      </c>
      <c r="B1707" s="55" t="s">
        <v>3163</v>
      </c>
      <c r="C1707">
        <v>2</v>
      </c>
      <c r="D1707" s="55" t="s">
        <v>3264</v>
      </c>
      <c r="E1707" s="55" t="s">
        <v>3265</v>
      </c>
      <c r="F1707" t="s">
        <v>1296</v>
      </c>
      <c r="G1707" s="60">
        <v>25884</v>
      </c>
      <c r="H1707" s="26">
        <f t="shared" si="563"/>
        <v>0.12156964046685297</v>
      </c>
      <c r="J1707" s="23">
        <v>212915</v>
      </c>
      <c r="K1707">
        <v>423</v>
      </c>
      <c r="L1707">
        <v>423</v>
      </c>
      <c r="N1707">
        <v>0</v>
      </c>
      <c r="O1707">
        <f t="shared" si="555"/>
        <v>3</v>
      </c>
      <c r="P1707" s="57">
        <f t="shared" si="556"/>
        <v>2</v>
      </c>
      <c r="Q1707" s="267">
        <f t="shared" si="557"/>
        <v>39202</v>
      </c>
      <c r="R1707" s="23" t="str">
        <f t="shared" si="558"/>
        <v/>
      </c>
      <c r="S1707" s="23">
        <f t="shared" si="559"/>
        <v>25884</v>
      </c>
      <c r="T1707" s="23" t="str">
        <f t="shared" si="560"/>
        <v/>
      </c>
      <c r="U1707" t="str">
        <f t="shared" si="561"/>
        <v/>
      </c>
      <c r="X1707" s="71"/>
      <c r="Z1707" s="44"/>
      <c r="AF1707" s="22"/>
      <c r="AO1707" s="356"/>
      <c r="AP1707" s="356"/>
      <c r="AQ1707" s="394"/>
      <c r="AR1707" s="394"/>
      <c r="AS1707" s="394"/>
    </row>
    <row r="1708" spans="1:45">
      <c r="A1708" t="str">
        <f t="shared" si="562"/>
        <v>CA_Orang_2020p~united states representative 48th district (top 2)</v>
      </c>
      <c r="B1708" s="55" t="s">
        <v>3163</v>
      </c>
      <c r="C1708">
        <v>2</v>
      </c>
      <c r="D1708" s="55" t="s">
        <v>3264</v>
      </c>
      <c r="E1708" s="55" t="s">
        <v>3270</v>
      </c>
      <c r="F1708" t="s">
        <v>3204</v>
      </c>
      <c r="G1708" s="60">
        <v>5704</v>
      </c>
      <c r="H1708" s="26">
        <f t="shared" si="563"/>
        <v>2.6790033581476178E-2</v>
      </c>
      <c r="J1708" s="23">
        <v>212915</v>
      </c>
      <c r="K1708">
        <v>423</v>
      </c>
      <c r="L1708">
        <v>423</v>
      </c>
      <c r="N1708">
        <v>0</v>
      </c>
      <c r="O1708">
        <f t="shared" si="555"/>
        <v>4</v>
      </c>
      <c r="P1708" s="57">
        <f t="shared" si="556"/>
        <v>2</v>
      </c>
      <c r="Q1708" s="267">
        <f t="shared" si="557"/>
        <v>13318</v>
      </c>
      <c r="R1708" s="23" t="str">
        <f t="shared" si="558"/>
        <v/>
      </c>
      <c r="S1708" s="23">
        <f t="shared" si="559"/>
        <v>5704</v>
      </c>
      <c r="T1708" s="23" t="str">
        <f t="shared" si="560"/>
        <v/>
      </c>
      <c r="U1708" t="str">
        <f t="shared" si="561"/>
        <v/>
      </c>
      <c r="X1708" s="71"/>
      <c r="Z1708" s="44"/>
      <c r="AF1708" s="22"/>
    </row>
    <row r="1709" spans="1:45">
      <c r="A1709" t="str">
        <f t="shared" si="562"/>
        <v>CA_Orang_2020p~united states representative 48th district (top 2)</v>
      </c>
      <c r="B1709" s="55" t="s">
        <v>3163</v>
      </c>
      <c r="C1709">
        <v>2</v>
      </c>
      <c r="D1709" s="55" t="s">
        <v>3264</v>
      </c>
      <c r="E1709" s="55" t="s">
        <v>3268</v>
      </c>
      <c r="F1709" t="s">
        <v>1296</v>
      </c>
      <c r="G1709" s="60">
        <v>4900</v>
      </c>
      <c r="H1709" s="26">
        <f t="shared" si="563"/>
        <v>2.301387877791607E-2</v>
      </c>
      <c r="J1709" s="23">
        <v>212915</v>
      </c>
      <c r="K1709">
        <v>423</v>
      </c>
      <c r="L1709">
        <v>423</v>
      </c>
      <c r="N1709">
        <v>0</v>
      </c>
      <c r="O1709">
        <f t="shared" si="555"/>
        <v>5</v>
      </c>
      <c r="P1709" s="57">
        <f t="shared" si="556"/>
        <v>2</v>
      </c>
      <c r="Q1709" s="267">
        <f t="shared" si="557"/>
        <v>7614</v>
      </c>
      <c r="R1709" s="23" t="str">
        <f t="shared" si="558"/>
        <v/>
      </c>
      <c r="S1709" s="23">
        <f t="shared" si="559"/>
        <v>4900</v>
      </c>
      <c r="T1709" s="23" t="str">
        <f t="shared" si="560"/>
        <v/>
      </c>
      <c r="U1709" t="str">
        <f t="shared" si="561"/>
        <v/>
      </c>
      <c r="X1709" s="71"/>
      <c r="Z1709" s="44"/>
      <c r="AF1709" s="22"/>
    </row>
    <row r="1710" spans="1:45">
      <c r="A1710" t="str">
        <f t="shared" si="562"/>
        <v>CA_Orang_2020p~united states representative 48th district (top 2)</v>
      </c>
      <c r="B1710" s="55" t="s">
        <v>3163</v>
      </c>
      <c r="C1710">
        <v>2</v>
      </c>
      <c r="D1710" s="55" t="s">
        <v>3264</v>
      </c>
      <c r="E1710" s="55" t="s">
        <v>3266</v>
      </c>
      <c r="F1710" t="s">
        <v>1296</v>
      </c>
      <c r="G1710" s="60">
        <v>2714</v>
      </c>
      <c r="H1710" s="26">
        <f t="shared" si="563"/>
        <v>1.2746870816992696E-2</v>
      </c>
      <c r="J1710" s="23">
        <v>212915</v>
      </c>
      <c r="K1710">
        <v>423</v>
      </c>
      <c r="L1710">
        <v>423</v>
      </c>
      <c r="N1710">
        <v>0</v>
      </c>
      <c r="O1710">
        <f t="shared" si="555"/>
        <v>6</v>
      </c>
      <c r="P1710" s="57">
        <f t="shared" si="556"/>
        <v>2</v>
      </c>
      <c r="Q1710" s="267">
        <f t="shared" si="557"/>
        <v>2714</v>
      </c>
      <c r="R1710" s="23" t="str">
        <f t="shared" si="558"/>
        <v/>
      </c>
      <c r="S1710" s="23">
        <f t="shared" si="559"/>
        <v>2714</v>
      </c>
      <c r="T1710" s="23" t="str">
        <f t="shared" si="560"/>
        <v/>
      </c>
      <c r="U1710" t="str">
        <f t="shared" si="561"/>
        <v/>
      </c>
      <c r="X1710" s="71"/>
      <c r="Z1710" s="44"/>
      <c r="AF1710" s="22"/>
      <c r="AG1710" s="302"/>
      <c r="AH1710" s="301"/>
      <c r="AI1710" s="303"/>
      <c r="AJ1710" s="303"/>
      <c r="AK1710" s="342"/>
      <c r="AL1710" s="343"/>
    </row>
    <row r="1711" spans="1:45">
      <c r="A1711" t="str">
        <f t="shared" si="562"/>
        <v>CA_Orang_2020p~united states representative 49th district (top 2)</v>
      </c>
      <c r="B1711" s="55" t="s">
        <v>3163</v>
      </c>
      <c r="C1711">
        <v>2</v>
      </c>
      <c r="D1711" s="55" t="s">
        <v>3271</v>
      </c>
      <c r="E1711" s="55" t="s">
        <v>3272</v>
      </c>
      <c r="F1711" t="s">
        <v>1296</v>
      </c>
      <c r="G1711" s="60">
        <v>30351</v>
      </c>
      <c r="H1711" s="26">
        <f t="shared" si="563"/>
        <v>0.53427334178284747</v>
      </c>
      <c r="J1711" s="23">
        <v>56808</v>
      </c>
      <c r="K1711">
        <v>103</v>
      </c>
      <c r="L1711">
        <v>103</v>
      </c>
      <c r="N1711">
        <v>0</v>
      </c>
      <c r="O1711">
        <f t="shared" si="555"/>
        <v>1</v>
      </c>
      <c r="P1711" s="57">
        <f t="shared" si="556"/>
        <v>2</v>
      </c>
      <c r="Q1711" s="267">
        <f t="shared" si="557"/>
        <v>30351</v>
      </c>
      <c r="R1711" s="23">
        <f t="shared" si="558"/>
        <v>26369</v>
      </c>
      <c r="S1711" s="23">
        <f t="shared" si="559"/>
        <v>0</v>
      </c>
      <c r="T1711" s="23" t="str">
        <f t="shared" si="560"/>
        <v/>
      </c>
      <c r="U1711" t="str">
        <f t="shared" si="561"/>
        <v>CA_Orang_2020p~united states representative 49th district (top 2)</v>
      </c>
      <c r="X1711" s="71"/>
      <c r="Z1711" s="44"/>
      <c r="AF1711" s="22"/>
      <c r="AH1711" s="8"/>
      <c r="AL1711" s="23"/>
    </row>
    <row r="1712" spans="1:45">
      <c r="A1712" t="str">
        <f t="shared" si="562"/>
        <v>CA_Orang_2020p~united states representative 49th district (top 2)</v>
      </c>
      <c r="B1712" s="55" t="s">
        <v>3163</v>
      </c>
      <c r="C1712">
        <v>2</v>
      </c>
      <c r="D1712" s="55" t="s">
        <v>3271</v>
      </c>
      <c r="E1712" s="55" t="s">
        <v>3273</v>
      </c>
      <c r="F1712" t="s">
        <v>1294</v>
      </c>
      <c r="G1712" s="60">
        <v>26369</v>
      </c>
      <c r="H1712" s="26">
        <f t="shared" si="563"/>
        <v>0.46417758062244752</v>
      </c>
      <c r="J1712" s="23">
        <v>56808</v>
      </c>
      <c r="K1712">
        <v>103</v>
      </c>
      <c r="L1712">
        <v>103</v>
      </c>
      <c r="N1712">
        <v>0</v>
      </c>
      <c r="O1712">
        <f t="shared" si="555"/>
        <v>2</v>
      </c>
      <c r="P1712" s="57">
        <f t="shared" si="556"/>
        <v>2</v>
      </c>
      <c r="Q1712" s="267">
        <f t="shared" si="557"/>
        <v>26369</v>
      </c>
      <c r="R1712" s="23">
        <f t="shared" si="558"/>
        <v>26369</v>
      </c>
      <c r="S1712" s="23">
        <f t="shared" si="559"/>
        <v>0</v>
      </c>
      <c r="T1712" s="23" t="str">
        <f t="shared" si="560"/>
        <v/>
      </c>
      <c r="U1712" t="str">
        <f t="shared" si="561"/>
        <v/>
      </c>
      <c r="X1712" s="71"/>
      <c r="Z1712" s="44"/>
    </row>
    <row r="1713" spans="1:38">
      <c r="A1713" t="str">
        <f t="shared" ref="A1713:A1776" si="564">CONCATENATE(B1713,"~",LOWER(D1713),IF(RIGHT(D1713,1)=")",""," (vote 1)"))</f>
        <v>CA_Ventu_2020g~19th senatorial district (vote 1)</v>
      </c>
      <c r="B1713" s="55" t="s">
        <v>4471</v>
      </c>
      <c r="D1713" s="55" t="s">
        <v>4444</v>
      </c>
      <c r="E1713" s="54" t="s">
        <v>4455</v>
      </c>
      <c r="F1713" s="12"/>
      <c r="G1713" s="61">
        <v>145078</v>
      </c>
      <c r="H1713" s="26"/>
      <c r="I1713" s="25"/>
      <c r="N1713"/>
      <c r="O1713">
        <f t="shared" si="555"/>
        <v>1</v>
      </c>
      <c r="P1713" s="57">
        <f t="shared" si="556"/>
        <v>1</v>
      </c>
      <c r="Q1713" s="267">
        <f t="shared" si="557"/>
        <v>225708</v>
      </c>
      <c r="R1713" s="23">
        <f t="shared" si="558"/>
        <v>145078</v>
      </c>
      <c r="S1713" s="23">
        <f t="shared" si="559"/>
        <v>80630</v>
      </c>
      <c r="T1713" s="23">
        <f t="shared" si="560"/>
        <v>64448</v>
      </c>
      <c r="U1713" t="str">
        <f t="shared" si="561"/>
        <v>CA_Ventu_2020g~19th senatorial district (vote 1)</v>
      </c>
      <c r="X1713" s="71"/>
      <c r="Z1713" s="44"/>
      <c r="AF1713" s="22"/>
    </row>
    <row r="1714" spans="1:38">
      <c r="A1714" t="str">
        <f t="shared" si="564"/>
        <v>CA_Ventu_2020g~19th senatorial district (vote 1)</v>
      </c>
      <c r="B1714" s="55" t="s">
        <v>4471</v>
      </c>
      <c r="D1714" s="55" t="s">
        <v>4444</v>
      </c>
      <c r="E1714" s="54" t="s">
        <v>4445</v>
      </c>
      <c r="F1714" s="12"/>
      <c r="G1714" s="61">
        <v>80630</v>
      </c>
      <c r="H1714" s="26"/>
      <c r="I1714" s="25"/>
      <c r="N1714"/>
      <c r="O1714">
        <f t="shared" si="555"/>
        <v>2</v>
      </c>
      <c r="P1714" s="57">
        <f t="shared" si="556"/>
        <v>1</v>
      </c>
      <c r="Q1714" s="267">
        <f t="shared" si="557"/>
        <v>80630</v>
      </c>
      <c r="R1714" s="23" t="str">
        <f t="shared" si="558"/>
        <v/>
      </c>
      <c r="S1714" s="23">
        <f t="shared" si="559"/>
        <v>80630</v>
      </c>
      <c r="T1714" s="23" t="str">
        <f t="shared" si="560"/>
        <v/>
      </c>
      <c r="U1714" t="str">
        <f t="shared" si="561"/>
        <v/>
      </c>
      <c r="X1714" s="71"/>
      <c r="Z1714" s="44"/>
      <c r="AF1714" s="22"/>
    </row>
    <row r="1715" spans="1:38">
      <c r="A1715" t="str">
        <f t="shared" si="564"/>
        <v>CA_Ventu_2020g~24th congressional district (vote 1)</v>
      </c>
      <c r="B1715" s="55" t="s">
        <v>4471</v>
      </c>
      <c r="D1715" s="55" t="s">
        <v>4270</v>
      </c>
      <c r="E1715" s="54" t="s">
        <v>4313</v>
      </c>
      <c r="F1715" s="12"/>
      <c r="G1715" s="61">
        <v>3372</v>
      </c>
      <c r="H1715" s="26"/>
      <c r="I1715" s="25"/>
      <c r="N1715"/>
      <c r="O1715">
        <f t="shared" si="555"/>
        <v>1</v>
      </c>
      <c r="P1715" s="57">
        <f t="shared" si="556"/>
        <v>1</v>
      </c>
      <c r="Q1715" s="267">
        <f t="shared" si="557"/>
        <v>5200</v>
      </c>
      <c r="R1715" s="23">
        <f t="shared" si="558"/>
        <v>3372</v>
      </c>
      <c r="S1715" s="23">
        <f t="shared" si="559"/>
        <v>1828</v>
      </c>
      <c r="T1715" s="23">
        <f t="shared" si="560"/>
        <v>1544</v>
      </c>
      <c r="U1715" t="str">
        <f t="shared" si="561"/>
        <v>CA_Ventu_2020g~24th congressional district (vote 1)</v>
      </c>
      <c r="X1715" s="71"/>
      <c r="Z1715" s="44"/>
      <c r="AF1715" s="22"/>
    </row>
    <row r="1716" spans="1:38">
      <c r="A1716" t="str">
        <f t="shared" si="564"/>
        <v>CA_Ventu_2020g~24th congressional district (vote 1)</v>
      </c>
      <c r="B1716" s="55" t="s">
        <v>4471</v>
      </c>
      <c r="D1716" s="55" t="s">
        <v>4270</v>
      </c>
      <c r="E1716" s="54" t="s">
        <v>4271</v>
      </c>
      <c r="F1716" s="12"/>
      <c r="G1716" s="61">
        <v>1828</v>
      </c>
      <c r="H1716" s="26"/>
      <c r="I1716" s="25"/>
      <c r="N1716"/>
      <c r="O1716">
        <f t="shared" si="555"/>
        <v>2</v>
      </c>
      <c r="P1716" s="57">
        <f t="shared" si="556"/>
        <v>1</v>
      </c>
      <c r="Q1716" s="267">
        <f t="shared" si="557"/>
        <v>1828</v>
      </c>
      <c r="R1716" s="23" t="str">
        <f t="shared" si="558"/>
        <v/>
      </c>
      <c r="S1716" s="23">
        <f t="shared" si="559"/>
        <v>1828</v>
      </c>
      <c r="T1716" s="23" t="str">
        <f t="shared" si="560"/>
        <v/>
      </c>
      <c r="U1716" t="str">
        <f t="shared" si="561"/>
        <v/>
      </c>
      <c r="X1716" s="71"/>
      <c r="Z1716" s="44"/>
      <c r="AF1716" s="22"/>
    </row>
    <row r="1717" spans="1:38">
      <c r="A1717" t="str">
        <f t="shared" si="564"/>
        <v>CA_Ventu_2020g~25th congressional district (vote 1)</v>
      </c>
      <c r="B1717" s="55" t="s">
        <v>4471</v>
      </c>
      <c r="D1717" s="55" t="s">
        <v>4417</v>
      </c>
      <c r="E1717" s="54" t="s">
        <v>4428</v>
      </c>
      <c r="F1717" s="12"/>
      <c r="G1717" s="61">
        <v>36572</v>
      </c>
      <c r="H1717" s="26"/>
      <c r="I1717" s="25"/>
      <c r="N1717"/>
      <c r="O1717">
        <f t="shared" si="555"/>
        <v>1</v>
      </c>
      <c r="P1717" s="57">
        <f t="shared" si="556"/>
        <v>1</v>
      </c>
      <c r="Q1717" s="267">
        <f t="shared" si="557"/>
        <v>67436</v>
      </c>
      <c r="R1717" s="23">
        <f t="shared" si="558"/>
        <v>36572</v>
      </c>
      <c r="S1717" s="23">
        <f t="shared" si="559"/>
        <v>30864</v>
      </c>
      <c r="T1717" s="23">
        <f t="shared" si="560"/>
        <v>5708</v>
      </c>
      <c r="U1717" t="str">
        <f t="shared" si="561"/>
        <v>CA_Ventu_2020g~25th congressional district (vote 1)</v>
      </c>
      <c r="X1717" s="71"/>
      <c r="Z1717" s="44"/>
      <c r="AF1717" s="22"/>
    </row>
    <row r="1718" spans="1:38">
      <c r="A1718" t="str">
        <f t="shared" si="564"/>
        <v>CA_Ventu_2020g~25th congressional district (vote 1)</v>
      </c>
      <c r="B1718" s="55" t="s">
        <v>4471</v>
      </c>
      <c r="D1718" s="55" t="s">
        <v>4417</v>
      </c>
      <c r="E1718" s="54" t="s">
        <v>4418</v>
      </c>
      <c r="F1718" s="12"/>
      <c r="G1718" s="61">
        <v>30864</v>
      </c>
      <c r="H1718" s="26"/>
      <c r="I1718" s="25"/>
      <c r="N1718"/>
      <c r="O1718">
        <f t="shared" si="555"/>
        <v>2</v>
      </c>
      <c r="P1718" s="57">
        <f t="shared" si="556"/>
        <v>1</v>
      </c>
      <c r="Q1718" s="267">
        <f t="shared" si="557"/>
        <v>30864</v>
      </c>
      <c r="R1718" s="23" t="str">
        <f t="shared" si="558"/>
        <v/>
      </c>
      <c r="S1718" s="23">
        <f t="shared" si="559"/>
        <v>30864</v>
      </c>
      <c r="T1718" s="23" t="str">
        <f t="shared" si="560"/>
        <v/>
      </c>
      <c r="U1718" t="str">
        <f t="shared" si="561"/>
        <v/>
      </c>
      <c r="X1718" s="71"/>
      <c r="Z1718" s="44"/>
      <c r="AF1718" s="293"/>
    </row>
    <row r="1719" spans="1:38">
      <c r="A1719" t="str">
        <f t="shared" si="564"/>
        <v>CA_Ventu_2020g~26th congressional district (vote 1)</v>
      </c>
      <c r="B1719" s="55" t="s">
        <v>4471</v>
      </c>
      <c r="D1719" s="55" t="s">
        <v>4452</v>
      </c>
      <c r="E1719" s="54" t="s">
        <v>4469</v>
      </c>
      <c r="F1719" s="12"/>
      <c r="G1719" s="61">
        <v>206051</v>
      </c>
      <c r="H1719" s="26"/>
      <c r="I1719" s="25"/>
      <c r="N1719"/>
      <c r="O1719">
        <f t="shared" si="555"/>
        <v>1</v>
      </c>
      <c r="P1719" s="57">
        <f t="shared" si="556"/>
        <v>1</v>
      </c>
      <c r="Q1719" s="267">
        <f t="shared" si="557"/>
        <v>339508</v>
      </c>
      <c r="R1719" s="23">
        <f t="shared" si="558"/>
        <v>206051</v>
      </c>
      <c r="S1719" s="23">
        <f t="shared" si="559"/>
        <v>133457</v>
      </c>
      <c r="T1719" s="23">
        <f t="shared" si="560"/>
        <v>72594</v>
      </c>
      <c r="U1719" t="str">
        <f t="shared" si="561"/>
        <v>CA_Ventu_2020g~26th congressional district (vote 1)</v>
      </c>
      <c r="X1719" s="71"/>
      <c r="Z1719" s="44"/>
      <c r="AF1719" s="22"/>
      <c r="AG1719" s="302"/>
      <c r="AH1719" s="301"/>
      <c r="AI1719" s="303"/>
      <c r="AJ1719" s="303"/>
      <c r="AK1719" s="342"/>
      <c r="AL1719" s="343"/>
    </row>
    <row r="1720" spans="1:38">
      <c r="A1720" t="str">
        <f t="shared" si="564"/>
        <v>CA_Ventu_2020g~26th congressional district (vote 1)</v>
      </c>
      <c r="B1720" s="55" t="s">
        <v>4471</v>
      </c>
      <c r="D1720" s="55" t="s">
        <v>4452</v>
      </c>
      <c r="E1720" s="54" t="s">
        <v>4453</v>
      </c>
      <c r="F1720" s="12"/>
      <c r="G1720" s="61">
        <v>133457</v>
      </c>
      <c r="H1720" s="26"/>
      <c r="I1720" s="25"/>
      <c r="N1720"/>
      <c r="O1720">
        <f t="shared" si="555"/>
        <v>2</v>
      </c>
      <c r="P1720" s="57">
        <f t="shared" si="556"/>
        <v>1</v>
      </c>
      <c r="Q1720" s="267">
        <f t="shared" si="557"/>
        <v>133457</v>
      </c>
      <c r="R1720" s="23" t="str">
        <f t="shared" si="558"/>
        <v/>
      </c>
      <c r="S1720" s="23">
        <f t="shared" si="559"/>
        <v>133457</v>
      </c>
      <c r="T1720" s="23" t="str">
        <f t="shared" si="560"/>
        <v/>
      </c>
      <c r="U1720" t="str">
        <f t="shared" si="561"/>
        <v/>
      </c>
      <c r="X1720" s="71"/>
      <c r="Z1720" s="44"/>
    </row>
    <row r="1721" spans="1:38">
      <c r="A1721" t="str">
        <f t="shared" si="564"/>
        <v>CA_Ventu_2020g~27th senatorial district (vote 1)</v>
      </c>
      <c r="B1721" s="55" t="s">
        <v>4471</v>
      </c>
      <c r="D1721" s="55" t="s">
        <v>4448</v>
      </c>
      <c r="E1721" s="54" t="s">
        <v>4450</v>
      </c>
      <c r="F1721" s="12"/>
      <c r="G1721" s="61">
        <v>96521</v>
      </c>
      <c r="H1721" s="26"/>
      <c r="I1721" s="25"/>
      <c r="N1721"/>
      <c r="O1721">
        <f t="shared" si="555"/>
        <v>1</v>
      </c>
      <c r="P1721" s="57">
        <f t="shared" si="556"/>
        <v>1</v>
      </c>
      <c r="Q1721" s="267">
        <f t="shared" si="557"/>
        <v>181579</v>
      </c>
      <c r="R1721" s="23">
        <f t="shared" si="558"/>
        <v>96521</v>
      </c>
      <c r="S1721" s="23">
        <f t="shared" si="559"/>
        <v>85058</v>
      </c>
      <c r="T1721" s="23">
        <f t="shared" si="560"/>
        <v>11463</v>
      </c>
      <c r="U1721" t="str">
        <f t="shared" si="561"/>
        <v>CA_Ventu_2020g~27th senatorial district (vote 1)</v>
      </c>
      <c r="X1721" s="71"/>
      <c r="Z1721" s="44"/>
      <c r="AF1721" s="22"/>
    </row>
    <row r="1722" spans="1:38">
      <c r="A1722" t="str">
        <f t="shared" si="564"/>
        <v>CA_Ventu_2020g~27th senatorial district (vote 1)</v>
      </c>
      <c r="B1722" s="55" t="s">
        <v>4471</v>
      </c>
      <c r="D1722" s="55" t="s">
        <v>4448</v>
      </c>
      <c r="E1722" s="54" t="s">
        <v>4449</v>
      </c>
      <c r="F1722" s="12"/>
      <c r="G1722" s="61">
        <v>85058</v>
      </c>
      <c r="H1722" s="26"/>
      <c r="I1722" s="25"/>
      <c r="N1722"/>
      <c r="O1722">
        <f t="shared" si="555"/>
        <v>2</v>
      </c>
      <c r="P1722" s="57">
        <f t="shared" si="556"/>
        <v>1</v>
      </c>
      <c r="Q1722" s="267">
        <f t="shared" si="557"/>
        <v>85058</v>
      </c>
      <c r="R1722" s="23" t="str">
        <f t="shared" si="558"/>
        <v/>
      </c>
      <c r="S1722" s="23">
        <f t="shared" si="559"/>
        <v>85058</v>
      </c>
      <c r="T1722" s="23" t="str">
        <f t="shared" si="560"/>
        <v/>
      </c>
      <c r="U1722" t="str">
        <f t="shared" si="561"/>
        <v/>
      </c>
      <c r="X1722" s="71"/>
      <c r="Z1722" s="44"/>
      <c r="AF1722" s="22"/>
    </row>
    <row r="1723" spans="1:38">
      <c r="A1723" t="str">
        <f t="shared" si="564"/>
        <v>CA_Ventu_2020g~30th congressional district (vote 1)</v>
      </c>
      <c r="B1723" s="55" t="s">
        <v>4471</v>
      </c>
      <c r="D1723" s="55" t="s">
        <v>4201</v>
      </c>
      <c r="E1723" s="54" t="s">
        <v>4218</v>
      </c>
      <c r="F1723" s="12"/>
      <c r="G1723" s="61">
        <v>717</v>
      </c>
      <c r="H1723" s="26"/>
      <c r="I1723" s="25"/>
      <c r="N1723"/>
      <c r="O1723">
        <f t="shared" si="555"/>
        <v>1</v>
      </c>
      <c r="P1723" s="57">
        <f t="shared" si="556"/>
        <v>1</v>
      </c>
      <c r="Q1723" s="267">
        <f t="shared" si="557"/>
        <v>1275</v>
      </c>
      <c r="R1723" s="23">
        <f t="shared" si="558"/>
        <v>717</v>
      </c>
      <c r="S1723" s="23">
        <f t="shared" si="559"/>
        <v>558</v>
      </c>
      <c r="T1723" s="23">
        <f t="shared" si="560"/>
        <v>159</v>
      </c>
      <c r="U1723" t="str">
        <f t="shared" si="561"/>
        <v>CA_Ventu_2020g~30th congressional district (vote 1)</v>
      </c>
      <c r="X1723" s="71"/>
      <c r="Z1723" s="44"/>
      <c r="AF1723" s="88"/>
    </row>
    <row r="1724" spans="1:38">
      <c r="A1724" t="str">
        <f t="shared" si="564"/>
        <v>CA_Ventu_2020g~30th congressional district (vote 1)</v>
      </c>
      <c r="B1724" s="55" t="s">
        <v>4471</v>
      </c>
      <c r="D1724" s="55" t="s">
        <v>4201</v>
      </c>
      <c r="E1724" s="54" t="s">
        <v>4202</v>
      </c>
      <c r="F1724" s="12"/>
      <c r="G1724" s="61">
        <v>558</v>
      </c>
      <c r="H1724" s="26"/>
      <c r="I1724" s="25"/>
      <c r="N1724"/>
      <c r="O1724">
        <f t="shared" si="555"/>
        <v>2</v>
      </c>
      <c r="P1724" s="57">
        <f t="shared" si="556"/>
        <v>1</v>
      </c>
      <c r="Q1724" s="267">
        <f t="shared" si="557"/>
        <v>558</v>
      </c>
      <c r="R1724" s="23" t="str">
        <f t="shared" si="558"/>
        <v/>
      </c>
      <c r="S1724" s="23">
        <f t="shared" si="559"/>
        <v>558</v>
      </c>
      <c r="T1724" s="23" t="str">
        <f t="shared" si="560"/>
        <v/>
      </c>
      <c r="U1724" t="str">
        <f t="shared" si="561"/>
        <v/>
      </c>
      <c r="X1724" s="71"/>
      <c r="Z1724" s="44"/>
      <c r="AF1724" s="88"/>
    </row>
    <row r="1725" spans="1:38">
      <c r="A1725" t="str">
        <f t="shared" si="564"/>
        <v>CA_Ventu_2020g~and flight risk. (vote 1)</v>
      </c>
      <c r="B1725" s="55" t="s">
        <v>4471</v>
      </c>
      <c r="D1725" s="55" t="s">
        <v>4461</v>
      </c>
      <c r="E1725" s="54" t="s">
        <v>1394</v>
      </c>
      <c r="F1725" s="12"/>
      <c r="G1725" s="61">
        <v>237386</v>
      </c>
      <c r="H1725" s="26"/>
      <c r="I1725" s="25"/>
      <c r="N1725"/>
      <c r="O1725">
        <f t="shared" si="555"/>
        <v>1</v>
      </c>
      <c r="P1725" s="57">
        <f t="shared" si="556"/>
        <v>1</v>
      </c>
      <c r="Q1725" s="267">
        <f t="shared" si="557"/>
        <v>406186</v>
      </c>
      <c r="R1725" s="23">
        <f t="shared" si="558"/>
        <v>237386</v>
      </c>
      <c r="S1725" s="23">
        <f t="shared" si="559"/>
        <v>168800</v>
      </c>
      <c r="T1725" s="23">
        <f t="shared" si="560"/>
        <v>68586</v>
      </c>
      <c r="U1725" t="str">
        <f t="shared" si="561"/>
        <v>CA_Ventu_2020g~and flight risk. (vote 1)</v>
      </c>
      <c r="X1725" s="71"/>
      <c r="Z1725" s="44"/>
      <c r="AF1725" s="88"/>
    </row>
    <row r="1726" spans="1:38">
      <c r="A1726" t="str">
        <f t="shared" si="564"/>
        <v>CA_Ventu_2020g~and flight risk. (vote 1)</v>
      </c>
      <c r="B1726" s="55" t="s">
        <v>4471</v>
      </c>
      <c r="D1726" s="55" t="s">
        <v>4461</v>
      </c>
      <c r="E1726" s="54" t="s">
        <v>1393</v>
      </c>
      <c r="F1726" s="12"/>
      <c r="G1726" s="61">
        <v>168800</v>
      </c>
      <c r="H1726" s="26"/>
      <c r="I1726" s="25"/>
      <c r="N1726"/>
      <c r="O1726">
        <f t="shared" si="555"/>
        <v>2</v>
      </c>
      <c r="P1726" s="57">
        <f t="shared" si="556"/>
        <v>1</v>
      </c>
      <c r="Q1726" s="267">
        <f t="shared" si="557"/>
        <v>168800</v>
      </c>
      <c r="R1726" s="23" t="str">
        <f t="shared" si="558"/>
        <v/>
      </c>
      <c r="S1726" s="23">
        <f t="shared" si="559"/>
        <v>168800</v>
      </c>
      <c r="T1726" s="23" t="str">
        <f t="shared" si="560"/>
        <v/>
      </c>
      <c r="U1726" t="str">
        <f t="shared" si="561"/>
        <v/>
      </c>
      <c r="X1726" s="71"/>
      <c r="Z1726" s="44"/>
      <c r="AF1726" s="22"/>
      <c r="AL1726" s="23"/>
    </row>
    <row r="1727" spans="1:38">
      <c r="A1727" t="str">
        <f t="shared" si="564"/>
        <v>CA_Ventu_2020g~bell canyon cmmnty srvs dist (vote 1)</v>
      </c>
      <c r="B1727" s="55" t="s">
        <v>4471</v>
      </c>
      <c r="D1727" s="55" t="s">
        <v>4197</v>
      </c>
      <c r="E1727" s="54" t="s">
        <v>4210</v>
      </c>
      <c r="F1727" s="12"/>
      <c r="G1727" s="61">
        <v>662</v>
      </c>
      <c r="H1727" s="26"/>
      <c r="I1727" s="25"/>
      <c r="N1727"/>
      <c r="O1727">
        <f t="shared" si="555"/>
        <v>1</v>
      </c>
      <c r="P1727" s="57">
        <f t="shared" si="556"/>
        <v>1</v>
      </c>
      <c r="Q1727" s="267">
        <f t="shared" si="557"/>
        <v>2383</v>
      </c>
      <c r="R1727" s="23">
        <f t="shared" si="558"/>
        <v>662</v>
      </c>
      <c r="S1727" s="23">
        <f t="shared" si="559"/>
        <v>617</v>
      </c>
      <c r="T1727" s="23">
        <f t="shared" si="560"/>
        <v>45</v>
      </c>
      <c r="U1727" t="str">
        <f t="shared" si="561"/>
        <v>CA_Ventu_2020g~bell canyon cmmnty srvs dist (vote 1)</v>
      </c>
      <c r="X1727" s="71"/>
      <c r="Z1727" s="44"/>
      <c r="AF1727" s="22"/>
    </row>
    <row r="1728" spans="1:38">
      <c r="A1728" t="str">
        <f t="shared" si="564"/>
        <v>CA_Ventu_2020g~bell canyon cmmnty srvs dist (vote 1)</v>
      </c>
      <c r="B1728" s="55" t="s">
        <v>4471</v>
      </c>
      <c r="D1728" s="55" t="s">
        <v>4197</v>
      </c>
      <c r="E1728" s="54" t="s">
        <v>4206</v>
      </c>
      <c r="F1728" s="12"/>
      <c r="G1728" s="61">
        <v>617</v>
      </c>
      <c r="H1728" s="26"/>
      <c r="I1728" s="25"/>
      <c r="N1728"/>
      <c r="O1728">
        <f t="shared" si="555"/>
        <v>2</v>
      </c>
      <c r="P1728" s="57">
        <f t="shared" si="556"/>
        <v>1</v>
      </c>
      <c r="Q1728" s="267">
        <f t="shared" si="557"/>
        <v>1721</v>
      </c>
      <c r="R1728" s="23" t="str">
        <f t="shared" si="558"/>
        <v/>
      </c>
      <c r="S1728" s="23">
        <f t="shared" si="559"/>
        <v>617</v>
      </c>
      <c r="T1728" s="23" t="str">
        <f t="shared" si="560"/>
        <v/>
      </c>
      <c r="U1728" t="str">
        <f t="shared" si="561"/>
        <v/>
      </c>
      <c r="X1728" s="71"/>
      <c r="Z1728" s="44"/>
      <c r="AG1728" s="302"/>
      <c r="AH1728" s="301"/>
      <c r="AI1728" s="303"/>
      <c r="AJ1728" s="303"/>
      <c r="AK1728" s="342"/>
      <c r="AL1728" s="343"/>
    </row>
    <row r="1729" spans="1:45">
      <c r="A1729" t="str">
        <f t="shared" si="564"/>
        <v>CA_Ventu_2020g~bell canyon cmmnty srvs dist (vote 1)</v>
      </c>
      <c r="B1729" s="55" t="s">
        <v>4471</v>
      </c>
      <c r="D1729" s="55" t="s">
        <v>4197</v>
      </c>
      <c r="E1729" s="54" t="s">
        <v>4203</v>
      </c>
      <c r="F1729" s="12"/>
      <c r="G1729" s="61">
        <v>561</v>
      </c>
      <c r="H1729" s="26"/>
      <c r="I1729" s="25"/>
      <c r="N1729"/>
      <c r="O1729">
        <f t="shared" si="555"/>
        <v>3</v>
      </c>
      <c r="P1729" s="57">
        <f t="shared" si="556"/>
        <v>1</v>
      </c>
      <c r="Q1729" s="267">
        <f t="shared" si="557"/>
        <v>1104</v>
      </c>
      <c r="R1729" s="23" t="str">
        <f t="shared" si="558"/>
        <v/>
      </c>
      <c r="S1729" s="23">
        <f t="shared" si="559"/>
        <v>561</v>
      </c>
      <c r="T1729" s="23" t="str">
        <f t="shared" si="560"/>
        <v/>
      </c>
      <c r="U1729" t="str">
        <f t="shared" si="561"/>
        <v/>
      </c>
      <c r="X1729" s="71"/>
      <c r="Z1729" s="44"/>
      <c r="AF1729" s="22"/>
    </row>
    <row r="1730" spans="1:45">
      <c r="A1730" t="str">
        <f t="shared" si="564"/>
        <v>CA_Ventu_2020g~bell canyon cmmnty srvs dist (vote 1)</v>
      </c>
      <c r="B1730" s="55" t="s">
        <v>4471</v>
      </c>
      <c r="D1730" s="55" t="s">
        <v>4197</v>
      </c>
      <c r="E1730" s="54" t="s">
        <v>4198</v>
      </c>
      <c r="F1730" s="12"/>
      <c r="G1730" s="61">
        <v>543</v>
      </c>
      <c r="H1730" s="26"/>
      <c r="I1730" s="25"/>
      <c r="N1730"/>
      <c r="O1730">
        <f t="shared" ref="O1730:O1793" si="565">IF(OR(LOWER(LEFT(E1730,8))="write-in",LOWER(LEFT(E1730,8))="not qual"),IF(A1730=A1729,-ABS(O1729),0),IF(A1730=A1729,ABS(O1729)+1,1))</f>
        <v>4</v>
      </c>
      <c r="P1730" s="57">
        <f t="shared" ref="P1730:P1793" si="566">1*LEFT(RIGHT(A1730,2),1)</f>
        <v>1</v>
      </c>
      <c r="Q1730" s="267">
        <f t="shared" ref="Q1730:Q1793" si="567">IF(A1730&lt;&gt;A1731,G1730,IF(A1730=A1729,G1730+Q1731,MAX(G1730,(G1730+Q1731)/P1730)))</f>
        <v>543</v>
      </c>
      <c r="R1730" s="23" t="str">
        <f t="shared" ref="R1730:R1793" si="568">IF(O1730&gt;P1730,"",IF(O1730=P1730,G1730,IF(A1730=A1731,R1731,IF(O1730&lt;=0,1,G1730))))</f>
        <v/>
      </c>
      <c r="S1730" s="23">
        <f t="shared" ref="S1730:S1793" si="569">IF(AND(O1730&gt;P1730,LOWER(LEFT(E1730,8))&lt;&gt;"write-in",LOWER(LEFT(E1730,8))&lt;&gt;"not qual"),G1730,IF(A1730=A1731,S1731,0))</f>
        <v>543</v>
      </c>
      <c r="T1730" s="23" t="str">
        <f t="shared" ref="T1730:T1793" si="570">IF(OR(A1730=A1729,S1730=0),"",R1730-ABS(S1730))</f>
        <v/>
      </c>
      <c r="U1730" t="str">
        <f t="shared" ref="U1730:U1793" si="571">IF(A1730=A1729,"",A1730)</f>
        <v/>
      </c>
      <c r="X1730" s="71"/>
      <c r="Z1730" s="44"/>
      <c r="AF1730" s="22"/>
    </row>
    <row r="1731" spans="1:45">
      <c r="A1731" t="str">
        <f t="shared" si="564"/>
        <v>CA_Ventu_2020g~benefits to certain drivers. (vote 1)</v>
      </c>
      <c r="B1731" s="55" t="s">
        <v>4471</v>
      </c>
      <c r="D1731" s="55" t="s">
        <v>4460</v>
      </c>
      <c r="E1731" s="54" t="s">
        <v>1393</v>
      </c>
      <c r="F1731" s="12"/>
      <c r="G1731" s="61">
        <v>246905</v>
      </c>
      <c r="H1731" s="26"/>
      <c r="I1731" s="25"/>
      <c r="N1731"/>
      <c r="O1731">
        <f t="shared" si="565"/>
        <v>1</v>
      </c>
      <c r="P1731" s="57">
        <f t="shared" si="566"/>
        <v>1</v>
      </c>
      <c r="Q1731" s="267">
        <f t="shared" si="567"/>
        <v>412697</v>
      </c>
      <c r="R1731" s="23">
        <f t="shared" si="568"/>
        <v>246905</v>
      </c>
      <c r="S1731" s="23">
        <f t="shared" si="569"/>
        <v>165792</v>
      </c>
      <c r="T1731" s="23">
        <f t="shared" si="570"/>
        <v>81113</v>
      </c>
      <c r="U1731" t="str">
        <f t="shared" si="571"/>
        <v>CA_Ventu_2020g~benefits to certain drivers. (vote 1)</v>
      </c>
      <c r="X1731" s="71"/>
      <c r="Z1731" s="44"/>
      <c r="AF1731" s="22"/>
    </row>
    <row r="1732" spans="1:45">
      <c r="A1732" t="str">
        <f t="shared" si="564"/>
        <v>CA_Ventu_2020g~benefits to certain drivers. (vote 1)</v>
      </c>
      <c r="B1732" s="55" t="s">
        <v>4471</v>
      </c>
      <c r="D1732" s="55" t="s">
        <v>4460</v>
      </c>
      <c r="E1732" s="54" t="s">
        <v>1394</v>
      </c>
      <c r="F1732" s="12"/>
      <c r="G1732" s="61">
        <v>165792</v>
      </c>
      <c r="H1732" s="26"/>
      <c r="I1732" s="25"/>
      <c r="N1732"/>
      <c r="O1732">
        <f t="shared" si="565"/>
        <v>2</v>
      </c>
      <c r="P1732" s="57">
        <f t="shared" si="566"/>
        <v>1</v>
      </c>
      <c r="Q1732" s="267">
        <f t="shared" si="567"/>
        <v>165792</v>
      </c>
      <c r="R1732" s="23" t="str">
        <f t="shared" si="568"/>
        <v/>
      </c>
      <c r="S1732" s="23">
        <f t="shared" si="569"/>
        <v>165792</v>
      </c>
      <c r="T1732" s="23" t="str">
        <f t="shared" si="570"/>
        <v/>
      </c>
      <c r="U1732" t="str">
        <f t="shared" si="571"/>
        <v/>
      </c>
      <c r="X1732" s="71"/>
      <c r="Z1732" s="44"/>
      <c r="AF1732" s="22"/>
    </row>
    <row r="1733" spans="1:45">
      <c r="A1733" t="str">
        <f t="shared" si="564"/>
        <v>CA_Ventu_2020g~calleguas muni wtr dist div 1 (vote 1)</v>
      </c>
      <c r="B1733" s="55" t="s">
        <v>4471</v>
      </c>
      <c r="D1733" s="55" t="s">
        <v>4381</v>
      </c>
      <c r="E1733" s="54" t="s">
        <v>4408</v>
      </c>
      <c r="F1733" s="12"/>
      <c r="G1733" s="61">
        <v>24676</v>
      </c>
      <c r="H1733" s="26"/>
      <c r="I1733" s="25"/>
      <c r="N1733"/>
      <c r="O1733">
        <f t="shared" si="565"/>
        <v>1</v>
      </c>
      <c r="P1733" s="57">
        <f t="shared" si="566"/>
        <v>1</v>
      </c>
      <c r="Q1733" s="267">
        <f t="shared" si="567"/>
        <v>59994</v>
      </c>
      <c r="R1733" s="23">
        <f t="shared" si="568"/>
        <v>24676</v>
      </c>
      <c r="S1733" s="23">
        <f t="shared" si="569"/>
        <v>20288</v>
      </c>
      <c r="T1733" s="23">
        <f t="shared" si="570"/>
        <v>4388</v>
      </c>
      <c r="U1733" t="str">
        <f t="shared" si="571"/>
        <v>CA_Ventu_2020g~calleguas muni wtr dist div 1 (vote 1)</v>
      </c>
      <c r="X1733" s="71"/>
      <c r="Z1733" s="44"/>
      <c r="AF1733" s="22"/>
    </row>
    <row r="1734" spans="1:45">
      <c r="A1734" t="str">
        <f t="shared" si="564"/>
        <v>CA_Ventu_2020g~calleguas muni wtr dist div 1 (vote 1)</v>
      </c>
      <c r="B1734" s="55" t="s">
        <v>4471</v>
      </c>
      <c r="D1734" s="55" t="s">
        <v>4381</v>
      </c>
      <c r="E1734" s="54" t="s">
        <v>4395</v>
      </c>
      <c r="F1734" s="12"/>
      <c r="G1734" s="61">
        <v>20288</v>
      </c>
      <c r="H1734" s="26"/>
      <c r="I1734" s="25"/>
      <c r="N1734"/>
      <c r="O1734">
        <f t="shared" si="565"/>
        <v>2</v>
      </c>
      <c r="P1734" s="57">
        <f t="shared" si="566"/>
        <v>1</v>
      </c>
      <c r="Q1734" s="267">
        <f t="shared" si="567"/>
        <v>35318</v>
      </c>
      <c r="R1734" s="23" t="str">
        <f t="shared" si="568"/>
        <v/>
      </c>
      <c r="S1734" s="23">
        <f t="shared" si="569"/>
        <v>20288</v>
      </c>
      <c r="T1734" s="23" t="str">
        <f t="shared" si="570"/>
        <v/>
      </c>
      <c r="U1734" t="str">
        <f t="shared" si="571"/>
        <v/>
      </c>
      <c r="X1734" s="71"/>
      <c r="Z1734" s="44"/>
      <c r="AF1734" s="22"/>
    </row>
    <row r="1735" spans="1:45">
      <c r="A1735" t="str">
        <f t="shared" si="564"/>
        <v>CA_Ventu_2020g~calleguas muni wtr dist div 1 (vote 1)</v>
      </c>
      <c r="B1735" s="55" t="s">
        <v>4471</v>
      </c>
      <c r="D1735" s="55" t="s">
        <v>4381</v>
      </c>
      <c r="E1735" s="54" t="s">
        <v>4382</v>
      </c>
      <c r="F1735" s="12"/>
      <c r="G1735" s="61">
        <v>15030</v>
      </c>
      <c r="H1735" s="26"/>
      <c r="I1735" s="25"/>
      <c r="N1735"/>
      <c r="O1735">
        <f t="shared" si="565"/>
        <v>3</v>
      </c>
      <c r="P1735" s="57">
        <f t="shared" si="566"/>
        <v>1</v>
      </c>
      <c r="Q1735" s="267">
        <f t="shared" si="567"/>
        <v>15030</v>
      </c>
      <c r="R1735" s="23" t="str">
        <f t="shared" si="568"/>
        <v/>
      </c>
      <c r="S1735" s="23">
        <f t="shared" si="569"/>
        <v>15030</v>
      </c>
      <c r="T1735" s="23" t="str">
        <f t="shared" si="570"/>
        <v/>
      </c>
      <c r="U1735" t="str">
        <f t="shared" si="571"/>
        <v/>
      </c>
      <c r="X1735" s="71"/>
      <c r="Z1735" s="44"/>
      <c r="AF1735" s="22"/>
    </row>
    <row r="1736" spans="1:45">
      <c r="A1736" t="str">
        <f t="shared" si="564"/>
        <v>CA_Ventu_2020g~camarillo city council district 3 (vote 1)</v>
      </c>
      <c r="B1736" s="55" t="s">
        <v>4471</v>
      </c>
      <c r="D1736" s="55" t="s">
        <v>4255</v>
      </c>
      <c r="E1736" s="54" t="s">
        <v>4287</v>
      </c>
      <c r="F1736" s="12"/>
      <c r="G1736" s="61">
        <v>2384</v>
      </c>
      <c r="H1736" s="26"/>
      <c r="I1736" s="25"/>
      <c r="N1736"/>
      <c r="O1736">
        <f t="shared" si="565"/>
        <v>1</v>
      </c>
      <c r="P1736" s="57">
        <f t="shared" si="566"/>
        <v>1</v>
      </c>
      <c r="Q1736" s="267">
        <f t="shared" si="567"/>
        <v>5924</v>
      </c>
      <c r="R1736" s="23">
        <f t="shared" si="568"/>
        <v>2384</v>
      </c>
      <c r="S1736" s="23">
        <f t="shared" si="569"/>
        <v>1998</v>
      </c>
      <c r="T1736" s="23">
        <f t="shared" si="570"/>
        <v>386</v>
      </c>
      <c r="U1736" t="str">
        <f t="shared" si="571"/>
        <v>CA_Ventu_2020g~camarillo city council district 3 (vote 1)</v>
      </c>
      <c r="X1736" s="71"/>
      <c r="Z1736" s="44"/>
      <c r="AF1736" s="22"/>
      <c r="AG1736" s="302"/>
      <c r="AH1736" s="301"/>
      <c r="AI1736" s="303"/>
      <c r="AJ1736" s="303"/>
      <c r="AK1736" s="342"/>
      <c r="AL1736" s="343"/>
    </row>
    <row r="1737" spans="1:45">
      <c r="A1737" t="str">
        <f t="shared" si="564"/>
        <v>CA_Ventu_2020g~camarillo city council district 3 (vote 1)</v>
      </c>
      <c r="B1737" s="55" t="s">
        <v>4471</v>
      </c>
      <c r="D1737" s="55" t="s">
        <v>4255</v>
      </c>
      <c r="E1737" s="54" t="s">
        <v>4275</v>
      </c>
      <c r="F1737" s="12"/>
      <c r="G1737" s="61">
        <v>1998</v>
      </c>
      <c r="H1737" s="26"/>
      <c r="I1737" s="25"/>
      <c r="N1737"/>
      <c r="O1737">
        <f t="shared" si="565"/>
        <v>2</v>
      </c>
      <c r="P1737" s="57">
        <f t="shared" si="566"/>
        <v>1</v>
      </c>
      <c r="Q1737" s="267">
        <f t="shared" si="567"/>
        <v>3540</v>
      </c>
      <c r="R1737" s="23" t="str">
        <f t="shared" si="568"/>
        <v/>
      </c>
      <c r="S1737" s="23">
        <f t="shared" si="569"/>
        <v>1998</v>
      </c>
      <c r="T1737" s="23" t="str">
        <f t="shared" si="570"/>
        <v/>
      </c>
      <c r="U1737" t="str">
        <f t="shared" si="571"/>
        <v/>
      </c>
      <c r="X1737" s="71"/>
      <c r="Z1737" s="44"/>
      <c r="AF1737" s="22"/>
    </row>
    <row r="1738" spans="1:45">
      <c r="A1738" t="str">
        <f t="shared" si="564"/>
        <v>CA_Ventu_2020g~camarillo city council district 3 (vote 1)</v>
      </c>
      <c r="B1738" s="55" t="s">
        <v>4471</v>
      </c>
      <c r="D1738" s="55" t="s">
        <v>4255</v>
      </c>
      <c r="E1738" s="54" t="s">
        <v>4256</v>
      </c>
      <c r="F1738" s="12"/>
      <c r="G1738" s="61">
        <v>1542</v>
      </c>
      <c r="H1738" s="26"/>
      <c r="I1738" s="25"/>
      <c r="N1738"/>
      <c r="O1738">
        <f t="shared" si="565"/>
        <v>3</v>
      </c>
      <c r="P1738" s="57">
        <f t="shared" si="566"/>
        <v>1</v>
      </c>
      <c r="Q1738" s="267">
        <f t="shared" si="567"/>
        <v>1542</v>
      </c>
      <c r="R1738" s="23" t="str">
        <f t="shared" si="568"/>
        <v/>
      </c>
      <c r="S1738" s="23">
        <f t="shared" si="569"/>
        <v>1542</v>
      </c>
      <c r="T1738" s="23" t="str">
        <f t="shared" si="570"/>
        <v/>
      </c>
      <c r="U1738" t="str">
        <f t="shared" si="571"/>
        <v/>
      </c>
      <c r="X1738" s="71"/>
      <c r="Z1738" s="44"/>
    </row>
    <row r="1739" spans="1:45">
      <c r="A1739" t="str">
        <f t="shared" si="564"/>
        <v>CA_Ventu_2020g~camarillo city council district 4 (vote 1)</v>
      </c>
      <c r="B1739" s="55" t="s">
        <v>4471</v>
      </c>
      <c r="D1739" s="55" t="s">
        <v>4266</v>
      </c>
      <c r="E1739" s="54" t="s">
        <v>4349</v>
      </c>
      <c r="F1739" s="12"/>
      <c r="G1739" s="61">
        <v>6255</v>
      </c>
      <c r="H1739" s="26"/>
      <c r="I1739" s="25"/>
      <c r="N1739"/>
      <c r="O1739">
        <f t="shared" si="565"/>
        <v>1</v>
      </c>
      <c r="P1739" s="57">
        <f t="shared" si="566"/>
        <v>1</v>
      </c>
      <c r="Q1739" s="267">
        <f t="shared" si="567"/>
        <v>8065</v>
      </c>
      <c r="R1739" s="23">
        <f t="shared" si="568"/>
        <v>6255</v>
      </c>
      <c r="S1739" s="23">
        <f t="shared" si="569"/>
        <v>1810</v>
      </c>
      <c r="T1739" s="23">
        <f t="shared" si="570"/>
        <v>4445</v>
      </c>
      <c r="U1739" t="str">
        <f t="shared" si="571"/>
        <v>CA_Ventu_2020g~camarillo city council district 4 (vote 1)</v>
      </c>
      <c r="X1739" s="71"/>
      <c r="Z1739" s="44"/>
      <c r="AF1739" s="88"/>
    </row>
    <row r="1740" spans="1:45">
      <c r="A1740" t="str">
        <f t="shared" si="564"/>
        <v>CA_Ventu_2020g~camarillo city council district 4 (vote 1)</v>
      </c>
      <c r="B1740" s="55" t="s">
        <v>4471</v>
      </c>
      <c r="D1740" s="55" t="s">
        <v>4266</v>
      </c>
      <c r="E1740" s="54" t="s">
        <v>4267</v>
      </c>
      <c r="F1740" s="12"/>
      <c r="G1740" s="61">
        <v>1810</v>
      </c>
      <c r="H1740" s="26"/>
      <c r="I1740" s="25"/>
      <c r="N1740"/>
      <c r="O1740">
        <f t="shared" si="565"/>
        <v>2</v>
      </c>
      <c r="P1740" s="57">
        <f t="shared" si="566"/>
        <v>1</v>
      </c>
      <c r="Q1740" s="267">
        <f t="shared" si="567"/>
        <v>1810</v>
      </c>
      <c r="R1740" s="23" t="str">
        <f t="shared" si="568"/>
        <v/>
      </c>
      <c r="S1740" s="23">
        <f t="shared" si="569"/>
        <v>1810</v>
      </c>
      <c r="T1740" s="23" t="str">
        <f t="shared" si="570"/>
        <v/>
      </c>
      <c r="U1740" t="str">
        <f t="shared" si="571"/>
        <v/>
      </c>
      <c r="X1740" s="71"/>
      <c r="Z1740" s="44"/>
      <c r="AF1740" s="22"/>
    </row>
    <row r="1741" spans="1:45">
      <c r="A1741" t="str">
        <f t="shared" si="564"/>
        <v>CA_Ventu_2020g~casitas muni water dist div 2 (vote 1)</v>
      </c>
      <c r="B1741" s="55" t="s">
        <v>4471</v>
      </c>
      <c r="D1741" s="55" t="s">
        <v>4199</v>
      </c>
      <c r="E1741" s="54" t="s">
        <v>4284</v>
      </c>
      <c r="F1741" s="12"/>
      <c r="G1741" s="61">
        <v>2273</v>
      </c>
      <c r="H1741" s="26"/>
      <c r="I1741" s="25"/>
      <c r="N1741"/>
      <c r="O1741">
        <f t="shared" si="565"/>
        <v>1</v>
      </c>
      <c r="P1741" s="57">
        <f t="shared" si="566"/>
        <v>1</v>
      </c>
      <c r="Q1741" s="267">
        <f t="shared" si="567"/>
        <v>3748</v>
      </c>
      <c r="R1741" s="23">
        <f t="shared" si="568"/>
        <v>2273</v>
      </c>
      <c r="S1741" s="23">
        <f t="shared" si="569"/>
        <v>921</v>
      </c>
      <c r="T1741" s="23">
        <f t="shared" si="570"/>
        <v>1352</v>
      </c>
      <c r="U1741" t="str">
        <f t="shared" si="571"/>
        <v>CA_Ventu_2020g~casitas muni water dist div 2 (vote 1)</v>
      </c>
      <c r="X1741" s="71"/>
      <c r="Z1741" s="44"/>
      <c r="AF1741" s="22"/>
    </row>
    <row r="1742" spans="1:45">
      <c r="A1742" t="str">
        <f t="shared" si="564"/>
        <v>CA_Ventu_2020g~casitas muni water dist div 2 (vote 1)</v>
      </c>
      <c r="B1742" s="55" t="s">
        <v>4471</v>
      </c>
      <c r="D1742" s="55" t="s">
        <v>4199</v>
      </c>
      <c r="E1742" s="54" t="s">
        <v>4233</v>
      </c>
      <c r="F1742" s="12"/>
      <c r="G1742" s="61">
        <v>921</v>
      </c>
      <c r="H1742" s="26"/>
      <c r="I1742" s="25"/>
      <c r="N1742"/>
      <c r="O1742">
        <f t="shared" si="565"/>
        <v>2</v>
      </c>
      <c r="P1742" s="57">
        <f t="shared" si="566"/>
        <v>1</v>
      </c>
      <c r="Q1742" s="267">
        <f t="shared" si="567"/>
        <v>1475</v>
      </c>
      <c r="R1742" s="23" t="str">
        <f t="shared" si="568"/>
        <v/>
      </c>
      <c r="S1742" s="23">
        <f t="shared" si="569"/>
        <v>921</v>
      </c>
      <c r="T1742" s="23" t="str">
        <f t="shared" si="570"/>
        <v/>
      </c>
      <c r="U1742" t="str">
        <f t="shared" si="571"/>
        <v/>
      </c>
      <c r="X1742" s="71"/>
      <c r="Z1742" s="44"/>
      <c r="AF1742" s="22"/>
    </row>
    <row r="1743" spans="1:45">
      <c r="A1743" t="str">
        <f t="shared" si="564"/>
        <v>CA_Ventu_2020g~casitas muni water dist div 2 (vote 1)</v>
      </c>
      <c r="B1743" s="55" t="s">
        <v>4471</v>
      </c>
      <c r="D1743" s="55" t="s">
        <v>4199</v>
      </c>
      <c r="E1743" s="54" t="s">
        <v>4200</v>
      </c>
      <c r="F1743" s="12"/>
      <c r="G1743" s="61">
        <v>554</v>
      </c>
      <c r="H1743" s="26"/>
      <c r="I1743" s="25"/>
      <c r="N1743"/>
      <c r="O1743">
        <f t="shared" si="565"/>
        <v>3</v>
      </c>
      <c r="P1743" s="57">
        <f t="shared" si="566"/>
        <v>1</v>
      </c>
      <c r="Q1743" s="267">
        <f t="shared" si="567"/>
        <v>554</v>
      </c>
      <c r="R1743" s="23" t="str">
        <f t="shared" si="568"/>
        <v/>
      </c>
      <c r="S1743" s="23">
        <f t="shared" si="569"/>
        <v>554</v>
      </c>
      <c r="T1743" s="23" t="str">
        <f t="shared" si="570"/>
        <v/>
      </c>
      <c r="U1743" t="str">
        <f t="shared" si="571"/>
        <v/>
      </c>
      <c r="X1743" s="71"/>
      <c r="Z1743" s="44"/>
      <c r="AF1743" s="22"/>
      <c r="AO1743" s="356"/>
      <c r="AP1743" s="356"/>
      <c r="AQ1743" s="394"/>
      <c r="AR1743" s="394"/>
      <c r="AS1743" s="394"/>
    </row>
    <row r="1744" spans="1:45">
      <c r="A1744" t="str">
        <f t="shared" si="564"/>
        <v>CA_Ventu_2020g~casitas muni water dist div 3 (vote 1)</v>
      </c>
      <c r="B1744" s="55" t="s">
        <v>4471</v>
      </c>
      <c r="D1744" s="55" t="s">
        <v>4224</v>
      </c>
      <c r="E1744" s="54" t="s">
        <v>4312</v>
      </c>
      <c r="F1744" s="12"/>
      <c r="G1744" s="61">
        <v>3365</v>
      </c>
      <c r="H1744" s="26"/>
      <c r="I1744" s="25"/>
      <c r="N1744"/>
      <c r="O1744">
        <f t="shared" si="565"/>
        <v>1</v>
      </c>
      <c r="P1744" s="57">
        <f t="shared" si="566"/>
        <v>1</v>
      </c>
      <c r="Q1744" s="267">
        <f t="shared" si="567"/>
        <v>5654</v>
      </c>
      <c r="R1744" s="23">
        <f t="shared" si="568"/>
        <v>3365</v>
      </c>
      <c r="S1744" s="23">
        <f t="shared" si="569"/>
        <v>1452</v>
      </c>
      <c r="T1744" s="23">
        <f t="shared" si="570"/>
        <v>1913</v>
      </c>
      <c r="U1744" t="str">
        <f t="shared" si="571"/>
        <v>CA_Ventu_2020g~casitas muni water dist div 3 (vote 1)</v>
      </c>
      <c r="X1744" s="71"/>
      <c r="Z1744" s="44"/>
      <c r="AF1744" s="22"/>
    </row>
    <row r="1745" spans="1:38">
      <c r="A1745" t="str">
        <f t="shared" si="564"/>
        <v>CA_Ventu_2020g~casitas muni water dist div 3 (vote 1)</v>
      </c>
      <c r="B1745" s="55" t="s">
        <v>4471</v>
      </c>
      <c r="D1745" s="55" t="s">
        <v>4224</v>
      </c>
      <c r="E1745" s="54" t="s">
        <v>4251</v>
      </c>
      <c r="F1745" s="12"/>
      <c r="G1745" s="61">
        <v>1452</v>
      </c>
      <c r="H1745" s="26"/>
      <c r="I1745" s="25"/>
      <c r="N1745"/>
      <c r="O1745">
        <f t="shared" si="565"/>
        <v>2</v>
      </c>
      <c r="P1745" s="57">
        <f t="shared" si="566"/>
        <v>1</v>
      </c>
      <c r="Q1745" s="267">
        <f t="shared" si="567"/>
        <v>2289</v>
      </c>
      <c r="R1745" s="23" t="str">
        <f t="shared" si="568"/>
        <v/>
      </c>
      <c r="S1745" s="23">
        <f t="shared" si="569"/>
        <v>1452</v>
      </c>
      <c r="T1745" s="23" t="str">
        <f t="shared" si="570"/>
        <v/>
      </c>
      <c r="U1745" t="str">
        <f t="shared" si="571"/>
        <v/>
      </c>
      <c r="X1745" s="71"/>
      <c r="Z1745" s="44"/>
      <c r="AF1745" s="22"/>
    </row>
    <row r="1746" spans="1:38">
      <c r="A1746" t="str">
        <f t="shared" si="564"/>
        <v>CA_Ventu_2020g~casitas muni water dist div 3 (vote 1)</v>
      </c>
      <c r="B1746" s="55" t="s">
        <v>4471</v>
      </c>
      <c r="D1746" s="55" t="s">
        <v>4224</v>
      </c>
      <c r="E1746" s="54" t="s">
        <v>4220</v>
      </c>
      <c r="F1746" s="12"/>
      <c r="G1746" s="61">
        <v>837</v>
      </c>
      <c r="H1746" s="26"/>
      <c r="I1746" s="25"/>
      <c r="N1746"/>
      <c r="O1746">
        <f t="shared" si="565"/>
        <v>3</v>
      </c>
      <c r="P1746" s="57">
        <f t="shared" si="566"/>
        <v>1</v>
      </c>
      <c r="Q1746" s="267">
        <f t="shared" si="567"/>
        <v>837</v>
      </c>
      <c r="R1746" s="23" t="str">
        <f t="shared" si="568"/>
        <v/>
      </c>
      <c r="S1746" s="23">
        <f t="shared" si="569"/>
        <v>837</v>
      </c>
      <c r="T1746" s="23" t="str">
        <f t="shared" si="570"/>
        <v/>
      </c>
      <c r="U1746" t="str">
        <f t="shared" si="571"/>
        <v/>
      </c>
      <c r="X1746" s="71"/>
      <c r="Z1746" s="44"/>
      <c r="AF1746" s="22"/>
    </row>
    <row r="1747" spans="1:38">
      <c r="A1747" t="str">
        <f t="shared" si="564"/>
        <v>CA_Ventu_2020g~cell research. initiative statute. (vote 1)</v>
      </c>
      <c r="B1747" s="55" t="s">
        <v>4471</v>
      </c>
      <c r="D1747" s="55" t="s">
        <v>4468</v>
      </c>
      <c r="E1747" s="54" t="s">
        <v>1393</v>
      </c>
      <c r="F1747" s="12"/>
      <c r="G1747" s="61">
        <v>206686</v>
      </c>
      <c r="H1747" s="26"/>
      <c r="I1747" s="25"/>
      <c r="N1747"/>
      <c r="O1747">
        <f t="shared" si="565"/>
        <v>1</v>
      </c>
      <c r="P1747" s="57">
        <f t="shared" si="566"/>
        <v>1</v>
      </c>
      <c r="Q1747" s="267">
        <f t="shared" si="567"/>
        <v>410437</v>
      </c>
      <c r="R1747" s="23">
        <f t="shared" si="568"/>
        <v>206686</v>
      </c>
      <c r="S1747" s="23">
        <f t="shared" si="569"/>
        <v>203751</v>
      </c>
      <c r="T1747" s="23">
        <f t="shared" si="570"/>
        <v>2935</v>
      </c>
      <c r="U1747" t="str">
        <f t="shared" si="571"/>
        <v>CA_Ventu_2020g~cell research. initiative statute. (vote 1)</v>
      </c>
      <c r="X1747" s="71"/>
      <c r="Z1747" s="44"/>
      <c r="AF1747" s="22"/>
    </row>
    <row r="1748" spans="1:38">
      <c r="A1748" t="str">
        <f t="shared" si="564"/>
        <v>CA_Ventu_2020g~cell research. initiative statute. (vote 1)</v>
      </c>
      <c r="B1748" s="55" t="s">
        <v>4471</v>
      </c>
      <c r="D1748" s="55" t="s">
        <v>4468</v>
      </c>
      <c r="E1748" s="54" t="s">
        <v>1394</v>
      </c>
      <c r="F1748" s="12"/>
      <c r="G1748" s="61">
        <v>203751</v>
      </c>
      <c r="H1748" s="26"/>
      <c r="I1748" s="25"/>
      <c r="N1748"/>
      <c r="O1748">
        <f t="shared" si="565"/>
        <v>2</v>
      </c>
      <c r="P1748" s="57">
        <f t="shared" si="566"/>
        <v>1</v>
      </c>
      <c r="Q1748" s="267">
        <f t="shared" si="567"/>
        <v>203751</v>
      </c>
      <c r="R1748" s="23" t="str">
        <f t="shared" si="568"/>
        <v/>
      </c>
      <c r="S1748" s="23">
        <f t="shared" si="569"/>
        <v>203751</v>
      </c>
      <c r="T1748" s="23" t="str">
        <f t="shared" si="570"/>
        <v/>
      </c>
      <c r="U1748" t="str">
        <f t="shared" si="571"/>
        <v/>
      </c>
      <c r="X1748" s="71"/>
      <c r="Z1748" s="44"/>
      <c r="AF1748" s="22"/>
      <c r="AH1748" s="8"/>
      <c r="AL1748" s="23"/>
    </row>
    <row r="1749" spans="1:38">
      <c r="A1749" t="str">
        <f t="shared" si="564"/>
        <v>CA_Ventu_2020g~certain offenses treated as misdemeanors (vote 1)</v>
      </c>
      <c r="B1749" s="55" t="s">
        <v>4471</v>
      </c>
      <c r="D1749" s="55" t="s">
        <v>4459</v>
      </c>
      <c r="E1749" s="54" t="s">
        <v>1394</v>
      </c>
      <c r="F1749" s="12"/>
      <c r="G1749" s="61">
        <v>243597</v>
      </c>
      <c r="H1749" s="26"/>
      <c r="I1749" s="25"/>
      <c r="N1749"/>
      <c r="O1749">
        <f t="shared" si="565"/>
        <v>1</v>
      </c>
      <c r="P1749" s="57">
        <f t="shared" si="566"/>
        <v>1</v>
      </c>
      <c r="Q1749" s="267">
        <f t="shared" si="567"/>
        <v>406256</v>
      </c>
      <c r="R1749" s="23">
        <f t="shared" si="568"/>
        <v>243597</v>
      </c>
      <c r="S1749" s="23">
        <f t="shared" si="569"/>
        <v>162659</v>
      </c>
      <c r="T1749" s="23">
        <f t="shared" si="570"/>
        <v>80938</v>
      </c>
      <c r="U1749" t="str">
        <f t="shared" si="571"/>
        <v>CA_Ventu_2020g~certain offenses treated as misdemeanors (vote 1)</v>
      </c>
      <c r="X1749" s="71"/>
      <c r="Z1749" s="44"/>
      <c r="AF1749" s="22"/>
    </row>
    <row r="1750" spans="1:38">
      <c r="A1750" t="str">
        <f t="shared" si="564"/>
        <v>CA_Ventu_2020g~certain offenses treated as misdemeanors (vote 1)</v>
      </c>
      <c r="B1750" s="55" t="s">
        <v>4471</v>
      </c>
      <c r="D1750" s="55" t="s">
        <v>4459</v>
      </c>
      <c r="E1750" s="54" t="s">
        <v>1393</v>
      </c>
      <c r="F1750" s="12"/>
      <c r="G1750" s="61">
        <v>162659</v>
      </c>
      <c r="H1750" s="26"/>
      <c r="I1750" s="25"/>
      <c r="N1750"/>
      <c r="O1750">
        <f t="shared" si="565"/>
        <v>2</v>
      </c>
      <c r="P1750" s="57">
        <f t="shared" si="566"/>
        <v>1</v>
      </c>
      <c r="Q1750" s="267">
        <f t="shared" si="567"/>
        <v>162659</v>
      </c>
      <c r="R1750" s="23" t="str">
        <f t="shared" si="568"/>
        <v/>
      </c>
      <c r="S1750" s="23">
        <f t="shared" si="569"/>
        <v>162659</v>
      </c>
      <c r="T1750" s="23" t="str">
        <f t="shared" si="570"/>
        <v/>
      </c>
      <c r="U1750" t="str">
        <f t="shared" si="571"/>
        <v/>
      </c>
      <c r="X1750" s="71"/>
      <c r="Z1750" s="44"/>
      <c r="AF1750" s="22"/>
    </row>
    <row r="1751" spans="1:38">
      <c r="A1751" t="str">
        <f t="shared" si="564"/>
        <v>CA_Ventu_2020g~changing tax asssesments (vote 1)</v>
      </c>
      <c r="B1751" s="55" t="s">
        <v>4471</v>
      </c>
      <c r="D1751" s="55" t="s">
        <v>4464</v>
      </c>
      <c r="E1751" s="54" t="s">
        <v>1394</v>
      </c>
      <c r="F1751" s="12"/>
      <c r="G1751" s="61">
        <v>239293</v>
      </c>
      <c r="H1751" s="26"/>
      <c r="I1751" s="25"/>
      <c r="N1751"/>
      <c r="O1751">
        <f t="shared" si="565"/>
        <v>1</v>
      </c>
      <c r="P1751" s="57">
        <f t="shared" si="566"/>
        <v>1</v>
      </c>
      <c r="Q1751" s="267">
        <f t="shared" si="567"/>
        <v>416784</v>
      </c>
      <c r="R1751" s="23">
        <f t="shared" si="568"/>
        <v>239293</v>
      </c>
      <c r="S1751" s="23">
        <f t="shared" si="569"/>
        <v>177491</v>
      </c>
      <c r="T1751" s="23">
        <f t="shared" si="570"/>
        <v>61802</v>
      </c>
      <c r="U1751" t="str">
        <f t="shared" si="571"/>
        <v>CA_Ventu_2020g~changing tax asssesments (vote 1)</v>
      </c>
      <c r="X1751" s="71"/>
      <c r="Z1751" s="44"/>
      <c r="AF1751" s="88"/>
    </row>
    <row r="1752" spans="1:38">
      <c r="A1752" t="str">
        <f t="shared" si="564"/>
        <v>CA_Ventu_2020g~changing tax asssesments (vote 1)</v>
      </c>
      <c r="B1752" s="55" t="s">
        <v>4471</v>
      </c>
      <c r="D1752" s="55" t="s">
        <v>4464</v>
      </c>
      <c r="E1752" s="54" t="s">
        <v>1393</v>
      </c>
      <c r="F1752" s="12"/>
      <c r="G1752" s="61">
        <v>177491</v>
      </c>
      <c r="H1752" s="26"/>
      <c r="I1752" s="25"/>
      <c r="N1752"/>
      <c r="O1752">
        <f t="shared" si="565"/>
        <v>2</v>
      </c>
      <c r="P1752" s="57">
        <f t="shared" si="566"/>
        <v>1</v>
      </c>
      <c r="Q1752" s="267">
        <f t="shared" si="567"/>
        <v>177491</v>
      </c>
      <c r="R1752" s="23" t="str">
        <f t="shared" si="568"/>
        <v/>
      </c>
      <c r="S1752" s="23">
        <f t="shared" si="569"/>
        <v>177491</v>
      </c>
      <c r="T1752" s="23" t="str">
        <f t="shared" si="570"/>
        <v/>
      </c>
      <c r="U1752" t="str">
        <f t="shared" si="571"/>
        <v/>
      </c>
      <c r="X1752" s="71"/>
      <c r="Z1752" s="44"/>
      <c r="AF1752" s="22"/>
    </row>
    <row r="1753" spans="1:38">
      <c r="A1753" t="str">
        <f t="shared" si="564"/>
        <v>CA_Ventu_2020g~community college district area 3 (vote 1)</v>
      </c>
      <c r="B1753" s="55" t="s">
        <v>4471</v>
      </c>
      <c r="D1753" s="55" t="s">
        <v>4397</v>
      </c>
      <c r="E1753" s="54" t="s">
        <v>4410</v>
      </c>
      <c r="F1753" s="12"/>
      <c r="G1753" s="61">
        <v>24909</v>
      </c>
      <c r="H1753" s="26"/>
      <c r="I1753" s="25"/>
      <c r="N1753"/>
      <c r="O1753">
        <f t="shared" si="565"/>
        <v>1</v>
      </c>
      <c r="P1753" s="57">
        <f t="shared" si="566"/>
        <v>1</v>
      </c>
      <c r="Q1753" s="267">
        <f t="shared" si="567"/>
        <v>69061</v>
      </c>
      <c r="R1753" s="23">
        <f t="shared" si="568"/>
        <v>24909</v>
      </c>
      <c r="S1753" s="23">
        <f t="shared" si="569"/>
        <v>23609</v>
      </c>
      <c r="T1753" s="23">
        <f t="shared" si="570"/>
        <v>1300</v>
      </c>
      <c r="U1753" t="str">
        <f t="shared" si="571"/>
        <v>CA_Ventu_2020g~community college district area 3 (vote 1)</v>
      </c>
      <c r="X1753" s="71"/>
      <c r="Z1753" s="44"/>
    </row>
    <row r="1754" spans="1:38">
      <c r="A1754" t="str">
        <f t="shared" si="564"/>
        <v>CA_Ventu_2020g~community college district area 3 (vote 1)</v>
      </c>
      <c r="B1754" s="55" t="s">
        <v>4471</v>
      </c>
      <c r="D1754" s="55" t="s">
        <v>4397</v>
      </c>
      <c r="E1754" s="54" t="s">
        <v>4405</v>
      </c>
      <c r="F1754" s="12"/>
      <c r="G1754" s="61">
        <v>23609</v>
      </c>
      <c r="H1754" s="26"/>
      <c r="I1754" s="25"/>
      <c r="N1754"/>
      <c r="O1754">
        <f t="shared" si="565"/>
        <v>2</v>
      </c>
      <c r="P1754" s="57">
        <f t="shared" si="566"/>
        <v>1</v>
      </c>
      <c r="Q1754" s="267">
        <f t="shared" si="567"/>
        <v>44152</v>
      </c>
      <c r="R1754" s="23" t="str">
        <f t="shared" si="568"/>
        <v/>
      </c>
      <c r="S1754" s="23">
        <f t="shared" si="569"/>
        <v>23609</v>
      </c>
      <c r="T1754" s="23" t="str">
        <f t="shared" si="570"/>
        <v/>
      </c>
      <c r="U1754" t="str">
        <f t="shared" si="571"/>
        <v/>
      </c>
      <c r="X1754" s="71"/>
      <c r="Z1754" s="44"/>
      <c r="AF1754" s="22"/>
    </row>
    <row r="1755" spans="1:38">
      <c r="A1755" t="str">
        <f t="shared" si="564"/>
        <v>CA_Ventu_2020g~community college district area 3 (vote 1)</v>
      </c>
      <c r="B1755" s="55" t="s">
        <v>4471</v>
      </c>
      <c r="D1755" s="55" t="s">
        <v>4397</v>
      </c>
      <c r="E1755" s="54" t="s">
        <v>4398</v>
      </c>
      <c r="F1755" s="12"/>
      <c r="G1755" s="61">
        <v>20543</v>
      </c>
      <c r="H1755" s="26"/>
      <c r="I1755" s="25"/>
      <c r="N1755"/>
      <c r="O1755">
        <f t="shared" si="565"/>
        <v>3</v>
      </c>
      <c r="P1755" s="57">
        <f t="shared" si="566"/>
        <v>1</v>
      </c>
      <c r="Q1755" s="267">
        <f t="shared" si="567"/>
        <v>20543</v>
      </c>
      <c r="R1755" s="23" t="str">
        <f t="shared" si="568"/>
        <v/>
      </c>
      <c r="S1755" s="23">
        <f t="shared" si="569"/>
        <v>20543</v>
      </c>
      <c r="T1755" s="23" t="str">
        <f t="shared" si="570"/>
        <v/>
      </c>
      <c r="U1755" t="str">
        <f t="shared" si="571"/>
        <v/>
      </c>
      <c r="X1755" s="71"/>
      <c r="Z1755" s="44"/>
      <c r="AF1755" s="22"/>
    </row>
    <row r="1756" spans="1:38">
      <c r="A1756" t="str">
        <f t="shared" si="564"/>
        <v>CA_Ventu_2020g~community college district area 4 (vote 1)</v>
      </c>
      <c r="B1756" s="55" t="s">
        <v>4471</v>
      </c>
      <c r="D1756" s="55" t="s">
        <v>4420</v>
      </c>
      <c r="E1756" s="54" t="s">
        <v>4439</v>
      </c>
      <c r="F1756" s="12"/>
      <c r="G1756" s="61">
        <v>49547</v>
      </c>
      <c r="H1756" s="26"/>
      <c r="I1756" s="25"/>
      <c r="N1756"/>
      <c r="O1756">
        <f t="shared" si="565"/>
        <v>1</v>
      </c>
      <c r="P1756" s="57">
        <f t="shared" si="566"/>
        <v>1</v>
      </c>
      <c r="Q1756" s="267">
        <f t="shared" si="567"/>
        <v>80699</v>
      </c>
      <c r="R1756" s="23">
        <f t="shared" si="568"/>
        <v>49547</v>
      </c>
      <c r="S1756" s="23">
        <f t="shared" si="569"/>
        <v>31152</v>
      </c>
      <c r="T1756" s="23">
        <f t="shared" si="570"/>
        <v>18395</v>
      </c>
      <c r="U1756" t="str">
        <f t="shared" si="571"/>
        <v>CA_Ventu_2020g~community college district area 4 (vote 1)</v>
      </c>
      <c r="X1756" s="71"/>
      <c r="Z1756" s="44"/>
      <c r="AF1756" s="22"/>
    </row>
    <row r="1757" spans="1:38">
      <c r="A1757" t="str">
        <f t="shared" si="564"/>
        <v>CA_Ventu_2020g~community college district area 4 (vote 1)</v>
      </c>
      <c r="B1757" s="55" t="s">
        <v>4471</v>
      </c>
      <c r="D1757" s="55" t="s">
        <v>4420</v>
      </c>
      <c r="E1757" s="54" t="s">
        <v>4421</v>
      </c>
      <c r="F1757" s="12"/>
      <c r="G1757" s="61">
        <v>31152</v>
      </c>
      <c r="H1757" s="26"/>
      <c r="I1757" s="25"/>
      <c r="N1757"/>
      <c r="O1757">
        <f t="shared" si="565"/>
        <v>2</v>
      </c>
      <c r="P1757" s="57">
        <f t="shared" si="566"/>
        <v>1</v>
      </c>
      <c r="Q1757" s="267">
        <f t="shared" si="567"/>
        <v>31152</v>
      </c>
      <c r="R1757" s="23" t="str">
        <f t="shared" si="568"/>
        <v/>
      </c>
      <c r="S1757" s="23">
        <f t="shared" si="569"/>
        <v>31152</v>
      </c>
      <c r="T1757" s="23" t="str">
        <f t="shared" si="570"/>
        <v/>
      </c>
      <c r="U1757" t="str">
        <f t="shared" si="571"/>
        <v/>
      </c>
      <c r="X1757" s="71"/>
      <c r="Z1757" s="44"/>
      <c r="AF1757" s="22"/>
      <c r="AG1757" s="302"/>
      <c r="AH1757" s="301"/>
      <c r="AI1757" s="303"/>
      <c r="AJ1757" s="303"/>
      <c r="AK1757" s="342"/>
      <c r="AL1757" s="343"/>
    </row>
    <row r="1758" spans="1:38">
      <c r="A1758" t="str">
        <f t="shared" si="564"/>
        <v>CA_Ventu_2020g~conejo recreation &amp; park district (vote 1)</v>
      </c>
      <c r="B1758" s="55" t="s">
        <v>4471</v>
      </c>
      <c r="D1758" s="55" t="s">
        <v>4385</v>
      </c>
      <c r="E1758" s="54" t="s">
        <v>4438</v>
      </c>
      <c r="F1758" s="12"/>
      <c r="G1758" s="61">
        <v>48542</v>
      </c>
      <c r="H1758" s="26"/>
      <c r="I1758" s="25"/>
      <c r="N1758"/>
      <c r="O1758">
        <f t="shared" si="565"/>
        <v>1</v>
      </c>
      <c r="P1758" s="57">
        <f t="shared" si="566"/>
        <v>1</v>
      </c>
      <c r="Q1758" s="267">
        <f t="shared" si="567"/>
        <v>107993</v>
      </c>
      <c r="R1758" s="23">
        <f t="shared" si="568"/>
        <v>48542</v>
      </c>
      <c r="S1758" s="23">
        <f t="shared" si="569"/>
        <v>43942</v>
      </c>
      <c r="T1758" s="23">
        <f t="shared" si="570"/>
        <v>4600</v>
      </c>
      <c r="U1758" t="str">
        <f t="shared" si="571"/>
        <v>CA_Ventu_2020g~conejo recreation &amp; park district (vote 1)</v>
      </c>
      <c r="X1758" s="71"/>
      <c r="Z1758" s="44"/>
      <c r="AF1758" s="22"/>
    </row>
    <row r="1759" spans="1:38">
      <c r="A1759" t="str">
        <f t="shared" si="564"/>
        <v>CA_Ventu_2020g~conejo recreation &amp; park district (vote 1)</v>
      </c>
      <c r="B1759" s="55" t="s">
        <v>4471</v>
      </c>
      <c r="D1759" s="55" t="s">
        <v>4385</v>
      </c>
      <c r="E1759" s="54" t="s">
        <v>4435</v>
      </c>
      <c r="F1759" s="12"/>
      <c r="G1759" s="61">
        <v>43942</v>
      </c>
      <c r="H1759" s="26"/>
      <c r="I1759" s="25"/>
      <c r="N1759"/>
      <c r="O1759">
        <f t="shared" si="565"/>
        <v>2</v>
      </c>
      <c r="P1759" s="57">
        <f t="shared" si="566"/>
        <v>1</v>
      </c>
      <c r="Q1759" s="267">
        <f t="shared" si="567"/>
        <v>59451</v>
      </c>
      <c r="R1759" s="23" t="str">
        <f t="shared" si="568"/>
        <v/>
      </c>
      <c r="S1759" s="23">
        <f t="shared" si="569"/>
        <v>43942</v>
      </c>
      <c r="T1759" s="23" t="str">
        <f t="shared" si="570"/>
        <v/>
      </c>
      <c r="U1759" t="str">
        <f t="shared" si="571"/>
        <v/>
      </c>
      <c r="X1759" s="71"/>
      <c r="Z1759" s="44"/>
      <c r="AF1759" s="22"/>
    </row>
    <row r="1760" spans="1:38">
      <c r="A1760" t="str">
        <f t="shared" si="564"/>
        <v>CA_Ventu_2020g~conejo recreation &amp; park district (vote 1)</v>
      </c>
      <c r="B1760" s="55" t="s">
        <v>4471</v>
      </c>
      <c r="D1760" s="55" t="s">
        <v>4385</v>
      </c>
      <c r="E1760" s="54" t="s">
        <v>4386</v>
      </c>
      <c r="F1760" s="12"/>
      <c r="G1760" s="61">
        <v>15509</v>
      </c>
      <c r="H1760" s="26"/>
      <c r="I1760" s="25"/>
      <c r="N1760"/>
      <c r="O1760">
        <f t="shared" si="565"/>
        <v>3</v>
      </c>
      <c r="P1760" s="57">
        <f t="shared" si="566"/>
        <v>1</v>
      </c>
      <c r="Q1760" s="267">
        <f t="shared" si="567"/>
        <v>15509</v>
      </c>
      <c r="R1760" s="23" t="str">
        <f t="shared" si="568"/>
        <v/>
      </c>
      <c r="S1760" s="23">
        <f t="shared" si="569"/>
        <v>15509</v>
      </c>
      <c r="T1760" s="23" t="str">
        <f t="shared" si="570"/>
        <v/>
      </c>
      <c r="U1760" t="str">
        <f t="shared" si="571"/>
        <v/>
      </c>
      <c r="X1760" s="71"/>
      <c r="Z1760" s="44"/>
      <c r="AF1760" s="22"/>
      <c r="AG1760" s="295"/>
      <c r="AH1760" s="294"/>
      <c r="AI1760" s="279"/>
      <c r="AJ1760" s="279"/>
      <c r="AL1760" s="341"/>
    </row>
    <row r="1761" spans="1:38">
      <c r="A1761" t="str">
        <f t="shared" si="564"/>
        <v>CA_Ventu_2020g~conejo valley unified school district area 1 (vote 1)</v>
      </c>
      <c r="B1761" s="55" t="s">
        <v>4471</v>
      </c>
      <c r="D1761" s="55" t="s">
        <v>4332</v>
      </c>
      <c r="E1761" s="54" t="s">
        <v>4363</v>
      </c>
      <c r="F1761" s="12"/>
      <c r="G1761" s="61">
        <v>10246</v>
      </c>
      <c r="H1761" s="26"/>
      <c r="I1761" s="25"/>
      <c r="N1761"/>
      <c r="O1761">
        <f t="shared" si="565"/>
        <v>1</v>
      </c>
      <c r="P1761" s="57">
        <f t="shared" si="566"/>
        <v>1</v>
      </c>
      <c r="Q1761" s="267">
        <f t="shared" si="567"/>
        <v>15024</v>
      </c>
      <c r="R1761" s="23">
        <f t="shared" si="568"/>
        <v>10246</v>
      </c>
      <c r="S1761" s="23">
        <f t="shared" si="569"/>
        <v>4778</v>
      </c>
      <c r="T1761" s="23">
        <f t="shared" si="570"/>
        <v>5468</v>
      </c>
      <c r="U1761" t="str">
        <f t="shared" si="571"/>
        <v>CA_Ventu_2020g~conejo valley unified school district area 1 (vote 1)</v>
      </c>
      <c r="X1761" s="71"/>
      <c r="Z1761" s="44"/>
      <c r="AF1761" s="22"/>
    </row>
    <row r="1762" spans="1:38">
      <c r="A1762" t="str">
        <f t="shared" si="564"/>
        <v>CA_Ventu_2020g~conejo valley unified school district area 1 (vote 1)</v>
      </c>
      <c r="B1762" s="55" t="s">
        <v>4471</v>
      </c>
      <c r="D1762" s="55" t="s">
        <v>4332</v>
      </c>
      <c r="E1762" s="54" t="s">
        <v>4333</v>
      </c>
      <c r="F1762" s="12"/>
      <c r="G1762" s="61">
        <v>4778</v>
      </c>
      <c r="H1762" s="26"/>
      <c r="I1762" s="25"/>
      <c r="N1762"/>
      <c r="O1762">
        <f t="shared" si="565"/>
        <v>2</v>
      </c>
      <c r="P1762" s="57">
        <f t="shared" si="566"/>
        <v>1</v>
      </c>
      <c r="Q1762" s="267">
        <f t="shared" si="567"/>
        <v>4778</v>
      </c>
      <c r="R1762" s="23" t="str">
        <f t="shared" si="568"/>
        <v/>
      </c>
      <c r="S1762" s="23">
        <f t="shared" si="569"/>
        <v>4778</v>
      </c>
      <c r="T1762" s="23" t="str">
        <f t="shared" si="570"/>
        <v/>
      </c>
      <c r="U1762" t="str">
        <f t="shared" si="571"/>
        <v/>
      </c>
      <c r="X1762" s="71"/>
      <c r="Z1762" s="44"/>
      <c r="AF1762" s="22"/>
      <c r="AG1762" s="89"/>
      <c r="AH1762" s="274"/>
      <c r="AI1762" s="279"/>
      <c r="AJ1762" s="280"/>
      <c r="AK1762" s="92"/>
      <c r="AL1762" s="23"/>
    </row>
    <row r="1763" spans="1:38">
      <c r="A1763" t="str">
        <f t="shared" si="564"/>
        <v>CA_Ventu_2020g~conejo valley unified school district area 5 (vote 1)</v>
      </c>
      <c r="B1763" s="55" t="s">
        <v>4471</v>
      </c>
      <c r="D1763" s="55" t="s">
        <v>4354</v>
      </c>
      <c r="E1763" s="54" t="s">
        <v>4358</v>
      </c>
      <c r="F1763" s="12"/>
      <c r="G1763" s="61">
        <v>8511</v>
      </c>
      <c r="H1763" s="26"/>
      <c r="I1763" s="25"/>
      <c r="N1763"/>
      <c r="O1763">
        <f t="shared" si="565"/>
        <v>1</v>
      </c>
      <c r="P1763" s="57">
        <f t="shared" si="566"/>
        <v>1</v>
      </c>
      <c r="Q1763" s="267">
        <f t="shared" si="567"/>
        <v>16510</v>
      </c>
      <c r="R1763" s="23">
        <f t="shared" si="568"/>
        <v>8511</v>
      </c>
      <c r="S1763" s="23">
        <f t="shared" si="569"/>
        <v>7999</v>
      </c>
      <c r="T1763" s="23">
        <f t="shared" si="570"/>
        <v>512</v>
      </c>
      <c r="U1763" t="str">
        <f t="shared" si="571"/>
        <v>CA_Ventu_2020g~conejo valley unified school district area 5 (vote 1)</v>
      </c>
      <c r="X1763" s="71"/>
      <c r="Z1763" s="44"/>
      <c r="AF1763" s="22"/>
    </row>
    <row r="1764" spans="1:38">
      <c r="A1764" t="str">
        <f t="shared" si="564"/>
        <v>CA_Ventu_2020g~conejo valley unified school district area 5 (vote 1)</v>
      </c>
      <c r="B1764" s="55" t="s">
        <v>4471</v>
      </c>
      <c r="D1764" s="55" t="s">
        <v>4354</v>
      </c>
      <c r="E1764" s="54" t="s">
        <v>4355</v>
      </c>
      <c r="F1764" s="12"/>
      <c r="G1764" s="61">
        <v>7999</v>
      </c>
      <c r="H1764" s="26"/>
      <c r="I1764" s="25"/>
      <c r="N1764"/>
      <c r="O1764">
        <f t="shared" si="565"/>
        <v>2</v>
      </c>
      <c r="P1764" s="57">
        <f t="shared" si="566"/>
        <v>1</v>
      </c>
      <c r="Q1764" s="267">
        <f t="shared" si="567"/>
        <v>7999</v>
      </c>
      <c r="R1764" s="23" t="str">
        <f t="shared" si="568"/>
        <v/>
      </c>
      <c r="S1764" s="23">
        <f t="shared" si="569"/>
        <v>7999</v>
      </c>
      <c r="T1764" s="23" t="str">
        <f t="shared" si="570"/>
        <v/>
      </c>
      <c r="U1764" t="str">
        <f t="shared" si="571"/>
        <v/>
      </c>
      <c r="X1764" s="71"/>
      <c r="Z1764" s="44"/>
      <c r="AF1764" s="22"/>
    </row>
    <row r="1765" spans="1:38">
      <c r="A1765" t="str">
        <f t="shared" si="564"/>
        <v>CA_Ventu_2020g~constitutional amendment. (vote 1)</v>
      </c>
      <c r="B1765" s="55" t="s">
        <v>4471</v>
      </c>
      <c r="D1765" s="55" t="s">
        <v>4466</v>
      </c>
      <c r="E1765" s="54" t="s">
        <v>1393</v>
      </c>
      <c r="F1765" s="12"/>
      <c r="G1765" s="61">
        <v>223156</v>
      </c>
      <c r="H1765" s="26"/>
      <c r="I1765" s="25"/>
      <c r="N1765"/>
      <c r="O1765">
        <f t="shared" si="565"/>
        <v>1</v>
      </c>
      <c r="P1765" s="57">
        <f t="shared" si="566"/>
        <v>1</v>
      </c>
      <c r="Q1765" s="267">
        <f t="shared" si="567"/>
        <v>415697</v>
      </c>
      <c r="R1765" s="23">
        <f t="shared" si="568"/>
        <v>223156</v>
      </c>
      <c r="S1765" s="23">
        <f t="shared" si="569"/>
        <v>192541</v>
      </c>
      <c r="T1765" s="23">
        <f t="shared" si="570"/>
        <v>30615</v>
      </c>
      <c r="U1765" t="str">
        <f t="shared" si="571"/>
        <v>CA_Ventu_2020g~constitutional amendment. (vote 1)</v>
      </c>
      <c r="X1765" s="71"/>
      <c r="Z1765" s="44"/>
      <c r="AF1765" s="22"/>
    </row>
    <row r="1766" spans="1:38">
      <c r="A1766" t="str">
        <f t="shared" si="564"/>
        <v>CA_Ventu_2020g~constitutional amendment. (vote 1)</v>
      </c>
      <c r="B1766" s="55" t="s">
        <v>4471</v>
      </c>
      <c r="D1766" s="55" t="s">
        <v>4466</v>
      </c>
      <c r="E1766" s="54" t="s">
        <v>1394</v>
      </c>
      <c r="F1766" s="12"/>
      <c r="G1766" s="61">
        <v>192541</v>
      </c>
      <c r="H1766" s="26"/>
      <c r="I1766" s="25"/>
      <c r="N1766"/>
      <c r="O1766">
        <f t="shared" si="565"/>
        <v>2</v>
      </c>
      <c r="P1766" s="57">
        <f t="shared" si="566"/>
        <v>1</v>
      </c>
      <c r="Q1766" s="267">
        <f t="shared" si="567"/>
        <v>192541</v>
      </c>
      <c r="R1766" s="23" t="str">
        <f t="shared" si="568"/>
        <v/>
      </c>
      <c r="S1766" s="23">
        <f t="shared" si="569"/>
        <v>192541</v>
      </c>
      <c r="T1766" s="23" t="str">
        <f t="shared" si="570"/>
        <v/>
      </c>
      <c r="U1766" t="str">
        <f t="shared" si="571"/>
        <v/>
      </c>
      <c r="X1766" s="71"/>
      <c r="Z1766" s="44"/>
      <c r="AF1766" s="22"/>
      <c r="AL1766" s="344"/>
    </row>
    <row r="1767" spans="1:38">
      <c r="A1767" t="str">
        <f t="shared" si="564"/>
        <v>CA_Ventu_2020g~cultivation program (vote 1)</v>
      </c>
      <c r="B1767" s="55" t="s">
        <v>4471</v>
      </c>
      <c r="D1767" s="55" t="s">
        <v>4463</v>
      </c>
      <c r="E1767" s="54" t="s">
        <v>1393</v>
      </c>
      <c r="F1767" s="12"/>
      <c r="G1767" s="61">
        <v>227964</v>
      </c>
      <c r="H1767" s="26"/>
      <c r="I1767" s="25"/>
      <c r="N1767"/>
      <c r="O1767">
        <f t="shared" si="565"/>
        <v>1</v>
      </c>
      <c r="P1767" s="57">
        <f t="shared" si="566"/>
        <v>1</v>
      </c>
      <c r="Q1767" s="267">
        <f t="shared" si="567"/>
        <v>398401</v>
      </c>
      <c r="R1767" s="23">
        <f t="shared" si="568"/>
        <v>227964</v>
      </c>
      <c r="S1767" s="23">
        <f t="shared" si="569"/>
        <v>170437</v>
      </c>
      <c r="T1767" s="23">
        <f t="shared" si="570"/>
        <v>57527</v>
      </c>
      <c r="U1767" t="str">
        <f t="shared" si="571"/>
        <v>CA_Ventu_2020g~cultivation program (vote 1)</v>
      </c>
      <c r="X1767" s="71"/>
      <c r="Z1767" s="44"/>
      <c r="AF1767" s="22"/>
      <c r="AG1767" s="23"/>
      <c r="AH1767" s="8"/>
    </row>
    <row r="1768" spans="1:38">
      <c r="A1768" t="str">
        <f t="shared" si="564"/>
        <v>CA_Ventu_2020g~cultivation program (vote 1)</v>
      </c>
      <c r="B1768" s="55" t="s">
        <v>4471</v>
      </c>
      <c r="D1768" s="55" t="s">
        <v>4463</v>
      </c>
      <c r="E1768" s="54" t="s">
        <v>1394</v>
      </c>
      <c r="F1768" s="12"/>
      <c r="G1768" s="61">
        <v>170437</v>
      </c>
      <c r="H1768" s="26"/>
      <c r="I1768" s="25"/>
      <c r="N1768"/>
      <c r="O1768">
        <f t="shared" si="565"/>
        <v>2</v>
      </c>
      <c r="P1768" s="57">
        <f t="shared" si="566"/>
        <v>1</v>
      </c>
      <c r="Q1768" s="267">
        <f t="shared" si="567"/>
        <v>170437</v>
      </c>
      <c r="R1768" s="23" t="str">
        <f t="shared" si="568"/>
        <v/>
      </c>
      <c r="S1768" s="23">
        <f t="shared" si="569"/>
        <v>170437</v>
      </c>
      <c r="T1768" s="23" t="str">
        <f t="shared" si="570"/>
        <v/>
      </c>
      <c r="U1768" t="str">
        <f t="shared" si="571"/>
        <v/>
      </c>
      <c r="X1768" s="71"/>
      <c r="Z1768" s="44"/>
      <c r="AF1768" s="22"/>
    </row>
    <row r="1769" spans="1:38">
      <c r="A1769" t="str">
        <f t="shared" si="564"/>
        <v>CA_Ventu_2020g~decisions. legislative constitutiona... (vote 1)</v>
      </c>
      <c r="B1769" s="55" t="s">
        <v>4471</v>
      </c>
      <c r="D1769" s="55" t="s">
        <v>4457</v>
      </c>
      <c r="E1769" s="54" t="s">
        <v>1394</v>
      </c>
      <c r="F1769" s="12"/>
      <c r="G1769" s="61">
        <v>255527</v>
      </c>
      <c r="H1769" s="26"/>
      <c r="I1769" s="25"/>
      <c r="N1769"/>
      <c r="O1769">
        <f t="shared" si="565"/>
        <v>1</v>
      </c>
      <c r="P1769" s="57">
        <f t="shared" si="566"/>
        <v>1</v>
      </c>
      <c r="Q1769" s="267">
        <f t="shared" si="567"/>
        <v>412366</v>
      </c>
      <c r="R1769" s="23">
        <f t="shared" si="568"/>
        <v>255527</v>
      </c>
      <c r="S1769" s="23">
        <f t="shared" si="569"/>
        <v>156839</v>
      </c>
      <c r="T1769" s="23">
        <f t="shared" si="570"/>
        <v>98688</v>
      </c>
      <c r="U1769" t="str">
        <f t="shared" si="571"/>
        <v>CA_Ventu_2020g~decisions. legislative constitutiona... (vote 1)</v>
      </c>
      <c r="X1769" s="71"/>
      <c r="Z1769" s="44"/>
      <c r="AF1769" s="22"/>
    </row>
    <row r="1770" spans="1:38">
      <c r="A1770" t="str">
        <f t="shared" si="564"/>
        <v>CA_Ventu_2020g~decisions. legislative constitutiona... (vote 1)</v>
      </c>
      <c r="B1770" s="55" t="s">
        <v>4471</v>
      </c>
      <c r="D1770" s="55" t="s">
        <v>4457</v>
      </c>
      <c r="E1770" s="54" t="s">
        <v>1393</v>
      </c>
      <c r="F1770" s="12"/>
      <c r="G1770" s="61">
        <v>156839</v>
      </c>
      <c r="H1770" s="26"/>
      <c r="I1770" s="25"/>
      <c r="N1770"/>
      <c r="O1770">
        <f t="shared" si="565"/>
        <v>2</v>
      </c>
      <c r="P1770" s="57">
        <f t="shared" si="566"/>
        <v>1</v>
      </c>
      <c r="Q1770" s="267">
        <f t="shared" si="567"/>
        <v>156839</v>
      </c>
      <c r="R1770" s="23" t="str">
        <f t="shared" si="568"/>
        <v/>
      </c>
      <c r="S1770" s="23">
        <f t="shared" si="569"/>
        <v>156839</v>
      </c>
      <c r="T1770" s="23" t="str">
        <f t="shared" si="570"/>
        <v/>
      </c>
      <c r="U1770" t="str">
        <f t="shared" si="571"/>
        <v/>
      </c>
      <c r="X1770" s="71"/>
      <c r="Z1770" s="44"/>
      <c r="AF1770" s="22"/>
    </row>
    <row r="1771" spans="1:38">
      <c r="A1771" t="str">
        <f t="shared" si="564"/>
        <v>CA_Ventu_2020g~fillmore city clerk (vote 1)</v>
      </c>
      <c r="B1771" s="55" t="s">
        <v>4471</v>
      </c>
      <c r="D1771" s="55" t="s">
        <v>4342</v>
      </c>
      <c r="E1771" s="54" t="s">
        <v>4343</v>
      </c>
      <c r="F1771" s="12"/>
      <c r="G1771" s="61">
        <v>5323</v>
      </c>
      <c r="H1771" s="26"/>
      <c r="I1771" s="25"/>
      <c r="N1771"/>
      <c r="O1771">
        <f t="shared" si="565"/>
        <v>1</v>
      </c>
      <c r="P1771" s="57">
        <f t="shared" si="566"/>
        <v>1</v>
      </c>
      <c r="Q1771" s="267">
        <f t="shared" si="567"/>
        <v>5323</v>
      </c>
      <c r="R1771" s="23">
        <f t="shared" si="568"/>
        <v>5323</v>
      </c>
      <c r="S1771" s="23">
        <f t="shared" si="569"/>
        <v>0</v>
      </c>
      <c r="T1771" s="23" t="str">
        <f t="shared" si="570"/>
        <v/>
      </c>
      <c r="U1771" t="str">
        <f t="shared" si="571"/>
        <v>CA_Ventu_2020g~fillmore city clerk (vote 1)</v>
      </c>
      <c r="X1771" s="71"/>
      <c r="Z1771" s="44"/>
      <c r="AF1771" s="22"/>
      <c r="AG1771" s="302"/>
      <c r="AH1771" s="301"/>
      <c r="AI1771" s="303"/>
      <c r="AJ1771" s="303"/>
      <c r="AK1771" s="342"/>
      <c r="AL1771" s="343"/>
    </row>
    <row r="1772" spans="1:38">
      <c r="A1772" t="str">
        <f t="shared" si="564"/>
        <v>CA_Ventu_2020g~fillmore city council (vote 1)</v>
      </c>
      <c r="B1772" s="55" t="s">
        <v>4471</v>
      </c>
      <c r="D1772" s="55" t="s">
        <v>4273</v>
      </c>
      <c r="E1772" s="54" t="s">
        <v>4308</v>
      </c>
      <c r="F1772" s="12"/>
      <c r="G1772" s="61">
        <v>3216</v>
      </c>
      <c r="H1772" s="26"/>
      <c r="I1772" s="25"/>
      <c r="N1772"/>
      <c r="O1772">
        <f t="shared" si="565"/>
        <v>1</v>
      </c>
      <c r="P1772" s="57">
        <f t="shared" si="566"/>
        <v>1</v>
      </c>
      <c r="Q1772" s="267">
        <f t="shared" si="567"/>
        <v>13217</v>
      </c>
      <c r="R1772" s="23">
        <f t="shared" si="568"/>
        <v>3216</v>
      </c>
      <c r="S1772" s="23">
        <f t="shared" si="569"/>
        <v>2932</v>
      </c>
      <c r="T1772" s="23">
        <f t="shared" si="570"/>
        <v>284</v>
      </c>
      <c r="U1772" t="str">
        <f t="shared" si="571"/>
        <v>CA_Ventu_2020g~fillmore city council (vote 1)</v>
      </c>
      <c r="X1772" s="71"/>
      <c r="Z1772" s="44"/>
      <c r="AF1772" s="22"/>
    </row>
    <row r="1773" spans="1:38">
      <c r="A1773" t="str">
        <f t="shared" si="564"/>
        <v>CA_Ventu_2020g~fillmore city council (vote 1)</v>
      </c>
      <c r="B1773" s="55" t="s">
        <v>4471</v>
      </c>
      <c r="D1773" s="55" t="s">
        <v>4273</v>
      </c>
      <c r="E1773" s="54" t="s">
        <v>4302</v>
      </c>
      <c r="F1773" s="12"/>
      <c r="G1773" s="61">
        <v>2932</v>
      </c>
      <c r="H1773" s="26"/>
      <c r="I1773" s="25"/>
      <c r="N1773"/>
      <c r="O1773">
        <f t="shared" si="565"/>
        <v>2</v>
      </c>
      <c r="P1773" s="57">
        <f t="shared" si="566"/>
        <v>1</v>
      </c>
      <c r="Q1773" s="267">
        <f t="shared" si="567"/>
        <v>10001</v>
      </c>
      <c r="R1773" s="23" t="str">
        <f t="shared" si="568"/>
        <v/>
      </c>
      <c r="S1773" s="23">
        <f t="shared" si="569"/>
        <v>2932</v>
      </c>
      <c r="T1773" s="23" t="str">
        <f t="shared" si="570"/>
        <v/>
      </c>
      <c r="U1773" t="str">
        <f t="shared" si="571"/>
        <v/>
      </c>
      <c r="X1773" s="71"/>
      <c r="Z1773" s="44"/>
      <c r="AF1773" s="22"/>
    </row>
    <row r="1774" spans="1:38">
      <c r="A1774" t="str">
        <f t="shared" si="564"/>
        <v>CA_Ventu_2020g~fillmore city council (vote 1)</v>
      </c>
      <c r="B1774" s="55" t="s">
        <v>4471</v>
      </c>
      <c r="D1774" s="55" t="s">
        <v>4273</v>
      </c>
      <c r="E1774" s="54" t="s">
        <v>4294</v>
      </c>
      <c r="F1774" s="12"/>
      <c r="G1774" s="61">
        <v>2748</v>
      </c>
      <c r="H1774" s="26"/>
      <c r="I1774" s="25"/>
      <c r="N1774"/>
      <c r="O1774">
        <f t="shared" si="565"/>
        <v>3</v>
      </c>
      <c r="P1774" s="57">
        <f t="shared" si="566"/>
        <v>1</v>
      </c>
      <c r="Q1774" s="267">
        <f t="shared" si="567"/>
        <v>7069</v>
      </c>
      <c r="R1774" s="23" t="str">
        <f t="shared" si="568"/>
        <v/>
      </c>
      <c r="S1774" s="23">
        <f t="shared" si="569"/>
        <v>2748</v>
      </c>
      <c r="T1774" s="23" t="str">
        <f t="shared" si="570"/>
        <v/>
      </c>
      <c r="U1774" t="str">
        <f t="shared" si="571"/>
        <v/>
      </c>
      <c r="X1774" s="71"/>
      <c r="Z1774" s="44"/>
      <c r="AF1774" s="22"/>
    </row>
    <row r="1775" spans="1:38">
      <c r="A1775" t="str">
        <f t="shared" si="564"/>
        <v>CA_Ventu_2020g~fillmore city council (vote 1)</v>
      </c>
      <c r="B1775" s="55" t="s">
        <v>4471</v>
      </c>
      <c r="D1775" s="55" t="s">
        <v>4273</v>
      </c>
      <c r="E1775" s="54" t="s">
        <v>4288</v>
      </c>
      <c r="F1775" s="12"/>
      <c r="G1775" s="61">
        <v>2448</v>
      </c>
      <c r="H1775" s="26"/>
      <c r="I1775" s="25"/>
      <c r="N1775"/>
      <c r="O1775">
        <f t="shared" si="565"/>
        <v>4</v>
      </c>
      <c r="P1775" s="57">
        <f t="shared" si="566"/>
        <v>1</v>
      </c>
      <c r="Q1775" s="267">
        <f t="shared" si="567"/>
        <v>4321</v>
      </c>
      <c r="R1775" s="23" t="str">
        <f t="shared" si="568"/>
        <v/>
      </c>
      <c r="S1775" s="23">
        <f t="shared" si="569"/>
        <v>2448</v>
      </c>
      <c r="T1775" s="23" t="str">
        <f t="shared" si="570"/>
        <v/>
      </c>
      <c r="U1775" t="str">
        <f t="shared" si="571"/>
        <v/>
      </c>
      <c r="X1775" s="71"/>
      <c r="Z1775" s="44"/>
      <c r="AF1775" s="22"/>
    </row>
    <row r="1776" spans="1:38">
      <c r="A1776" t="str">
        <f t="shared" si="564"/>
        <v>CA_Ventu_2020g~fillmore city council (vote 1)</v>
      </c>
      <c r="B1776" s="55" t="s">
        <v>4471</v>
      </c>
      <c r="D1776" s="55" t="s">
        <v>4273</v>
      </c>
      <c r="E1776" s="54" t="s">
        <v>4274</v>
      </c>
      <c r="F1776" s="12"/>
      <c r="G1776" s="61">
        <v>1873</v>
      </c>
      <c r="H1776" s="26"/>
      <c r="I1776" s="25"/>
      <c r="N1776"/>
      <c r="O1776">
        <f t="shared" si="565"/>
        <v>5</v>
      </c>
      <c r="P1776" s="57">
        <f t="shared" si="566"/>
        <v>1</v>
      </c>
      <c r="Q1776" s="267">
        <f t="shared" si="567"/>
        <v>1873</v>
      </c>
      <c r="R1776" s="23" t="str">
        <f t="shared" si="568"/>
        <v/>
      </c>
      <c r="S1776" s="23">
        <f t="shared" si="569"/>
        <v>1873</v>
      </c>
      <c r="T1776" s="23" t="str">
        <f t="shared" si="570"/>
        <v/>
      </c>
      <c r="U1776" t="str">
        <f t="shared" si="571"/>
        <v/>
      </c>
      <c r="X1776" s="71"/>
      <c r="Z1776" s="44"/>
    </row>
    <row r="1777" spans="1:45">
      <c r="A1777" t="str">
        <f t="shared" ref="A1777:A1840" si="572">CONCATENATE(B1777,"~",LOWER(D1777),IF(RIGHT(D1777,1)=")",""," (vote 1)"))</f>
        <v>CA_Ventu_2020g~fillmore city treasurer (vote 1)</v>
      </c>
      <c r="B1777" s="55" t="s">
        <v>4471</v>
      </c>
      <c r="D1777" s="55" t="s">
        <v>4340</v>
      </c>
      <c r="E1777" s="54" t="s">
        <v>4341</v>
      </c>
      <c r="F1777" s="12"/>
      <c r="G1777" s="61">
        <v>5306</v>
      </c>
      <c r="H1777" s="26"/>
      <c r="I1777" s="25"/>
      <c r="N1777"/>
      <c r="O1777">
        <f t="shared" si="565"/>
        <v>1</v>
      </c>
      <c r="P1777" s="57">
        <f t="shared" si="566"/>
        <v>1</v>
      </c>
      <c r="Q1777" s="267">
        <f t="shared" si="567"/>
        <v>5306</v>
      </c>
      <c r="R1777" s="23">
        <f t="shared" si="568"/>
        <v>5306</v>
      </c>
      <c r="S1777" s="23">
        <f t="shared" si="569"/>
        <v>0</v>
      </c>
      <c r="T1777" s="23" t="str">
        <f t="shared" si="570"/>
        <v/>
      </c>
      <c r="U1777" t="str">
        <f t="shared" si="571"/>
        <v>CA_Ventu_2020g~fillmore city treasurer (vote 1)</v>
      </c>
      <c r="X1777" s="71"/>
      <c r="Z1777" s="44"/>
      <c r="AF1777" s="22"/>
    </row>
    <row r="1778" spans="1:45">
      <c r="A1778" t="str">
        <f t="shared" si="572"/>
        <v>CA_Ventu_2020g~initiative statute. (vote 1)</v>
      </c>
      <c r="B1778" s="55" t="s">
        <v>4471</v>
      </c>
      <c r="D1778" s="55" t="s">
        <v>4465</v>
      </c>
      <c r="E1778" s="54" t="s">
        <v>1393</v>
      </c>
      <c r="F1778" s="12"/>
      <c r="G1778" s="61">
        <v>225508</v>
      </c>
      <c r="H1778" s="26"/>
      <c r="I1778" s="25"/>
      <c r="N1778"/>
      <c r="O1778">
        <f t="shared" si="565"/>
        <v>1</v>
      </c>
      <c r="P1778" s="57">
        <f t="shared" si="566"/>
        <v>1</v>
      </c>
      <c r="Q1778" s="267">
        <f t="shared" si="567"/>
        <v>407590</v>
      </c>
      <c r="R1778" s="23">
        <f t="shared" si="568"/>
        <v>225508</v>
      </c>
      <c r="S1778" s="23">
        <f t="shared" si="569"/>
        <v>182082</v>
      </c>
      <c r="T1778" s="23">
        <f t="shared" si="570"/>
        <v>43426</v>
      </c>
      <c r="U1778" t="str">
        <f t="shared" si="571"/>
        <v>CA_Ventu_2020g~initiative statute. (vote 1)</v>
      </c>
      <c r="X1778" s="71"/>
      <c r="Z1778" s="44"/>
      <c r="AF1778" s="22"/>
    </row>
    <row r="1779" spans="1:45">
      <c r="A1779" t="str">
        <f t="shared" si="572"/>
        <v>CA_Ventu_2020g~initiative statute. (vote 1)</v>
      </c>
      <c r="B1779" s="55" t="s">
        <v>4471</v>
      </c>
      <c r="D1779" s="55" t="s">
        <v>4465</v>
      </c>
      <c r="E1779" s="54" t="s">
        <v>1394</v>
      </c>
      <c r="F1779" s="12"/>
      <c r="G1779" s="61">
        <v>182082</v>
      </c>
      <c r="H1779" s="26"/>
      <c r="I1779" s="25"/>
      <c r="N1779"/>
      <c r="O1779">
        <f t="shared" si="565"/>
        <v>2</v>
      </c>
      <c r="P1779" s="57">
        <f t="shared" si="566"/>
        <v>1</v>
      </c>
      <c r="Q1779" s="267">
        <f t="shared" si="567"/>
        <v>182082</v>
      </c>
      <c r="R1779" s="23" t="str">
        <f t="shared" si="568"/>
        <v/>
      </c>
      <c r="S1779" s="23">
        <f t="shared" si="569"/>
        <v>182082</v>
      </c>
      <c r="T1779" s="23" t="str">
        <f t="shared" si="570"/>
        <v/>
      </c>
      <c r="U1779" t="str">
        <f t="shared" si="571"/>
        <v/>
      </c>
      <c r="X1779" s="71"/>
      <c r="Z1779" s="44"/>
      <c r="AF1779" s="22"/>
      <c r="AO1779" s="356"/>
      <c r="AP1779" s="356"/>
      <c r="AQ1779" s="394"/>
      <c r="AR1779" s="394"/>
      <c r="AS1779" s="394"/>
    </row>
    <row r="1780" spans="1:45">
      <c r="A1780" t="str">
        <f t="shared" si="572"/>
        <v>CA_Ventu_2020g~las virgenes unified school district (vote 1)</v>
      </c>
      <c r="B1780" s="55" t="s">
        <v>4471</v>
      </c>
      <c r="D1780" s="55" t="s">
        <v>4184</v>
      </c>
      <c r="E1780" s="54" t="s">
        <v>4232</v>
      </c>
      <c r="F1780" s="12"/>
      <c r="G1780" s="61">
        <v>908</v>
      </c>
      <c r="H1780" s="26"/>
      <c r="I1780" s="25"/>
      <c r="N1780"/>
      <c r="O1780">
        <f t="shared" si="565"/>
        <v>1</v>
      </c>
      <c r="P1780" s="57">
        <f t="shared" si="566"/>
        <v>1</v>
      </c>
      <c r="Q1780" s="267">
        <f t="shared" si="567"/>
        <v>1520</v>
      </c>
      <c r="R1780" s="23">
        <f t="shared" si="568"/>
        <v>908</v>
      </c>
      <c r="S1780" s="23">
        <f t="shared" si="569"/>
        <v>328</v>
      </c>
      <c r="T1780" s="23">
        <f t="shared" si="570"/>
        <v>580</v>
      </c>
      <c r="U1780" t="str">
        <f t="shared" si="571"/>
        <v>CA_Ventu_2020g~las virgenes unified school district (vote 1)</v>
      </c>
      <c r="X1780" s="71"/>
      <c r="Z1780" s="44"/>
      <c r="AF1780" s="22"/>
      <c r="AG1780" s="89"/>
      <c r="AH1780" s="274"/>
      <c r="AI1780" s="279"/>
      <c r="AJ1780" s="280"/>
      <c r="AK1780" s="92"/>
      <c r="AL1780" s="23"/>
    </row>
    <row r="1781" spans="1:45">
      <c r="A1781" t="str">
        <f t="shared" si="572"/>
        <v>CA_Ventu_2020g~las virgenes unified school district (vote 1)</v>
      </c>
      <c r="B1781" s="55" t="s">
        <v>4471</v>
      </c>
      <c r="D1781" s="55" t="s">
        <v>4184</v>
      </c>
      <c r="E1781" s="54" t="s">
        <v>4186</v>
      </c>
      <c r="F1781" s="12"/>
      <c r="G1781" s="61">
        <v>328</v>
      </c>
      <c r="H1781" s="26"/>
      <c r="I1781" s="25"/>
      <c r="N1781"/>
      <c r="O1781">
        <f t="shared" si="565"/>
        <v>2</v>
      </c>
      <c r="P1781" s="57">
        <f t="shared" si="566"/>
        <v>1</v>
      </c>
      <c r="Q1781" s="267">
        <f t="shared" si="567"/>
        <v>612</v>
      </c>
      <c r="R1781" s="23" t="str">
        <f t="shared" si="568"/>
        <v/>
      </c>
      <c r="S1781" s="23">
        <f t="shared" si="569"/>
        <v>328</v>
      </c>
      <c r="T1781" s="23" t="str">
        <f t="shared" si="570"/>
        <v/>
      </c>
      <c r="U1781" t="str">
        <f t="shared" si="571"/>
        <v/>
      </c>
      <c r="X1781" s="71"/>
      <c r="Z1781" s="44"/>
    </row>
    <row r="1782" spans="1:45">
      <c r="A1782" t="str">
        <f t="shared" si="572"/>
        <v>CA_Ventu_2020g~las virgenes unified school district (vote 1)</v>
      </c>
      <c r="B1782" s="55" t="s">
        <v>4471</v>
      </c>
      <c r="D1782" s="55" t="s">
        <v>4184</v>
      </c>
      <c r="E1782" s="54" t="s">
        <v>4185</v>
      </c>
      <c r="F1782" s="12"/>
      <c r="G1782" s="61">
        <v>284</v>
      </c>
      <c r="H1782" s="26"/>
      <c r="I1782" s="25"/>
      <c r="N1782"/>
      <c r="O1782">
        <f t="shared" si="565"/>
        <v>3</v>
      </c>
      <c r="P1782" s="57">
        <f t="shared" si="566"/>
        <v>1</v>
      </c>
      <c r="Q1782" s="267">
        <f t="shared" si="567"/>
        <v>284</v>
      </c>
      <c r="R1782" s="23" t="str">
        <f t="shared" si="568"/>
        <v/>
      </c>
      <c r="S1782" s="23">
        <f t="shared" si="569"/>
        <v>284</v>
      </c>
      <c r="T1782" s="23" t="str">
        <f t="shared" si="570"/>
        <v/>
      </c>
      <c r="U1782" t="str">
        <f t="shared" si="571"/>
        <v/>
      </c>
      <c r="X1782" s="71"/>
      <c r="Z1782" s="44"/>
      <c r="AF1782" s="22"/>
      <c r="AG1782" s="295"/>
      <c r="AH1782" s="294"/>
      <c r="AI1782" s="279"/>
      <c r="AJ1782" s="279"/>
      <c r="AL1782" s="341"/>
    </row>
    <row r="1783" spans="1:45">
      <c r="A1783" t="str">
        <f t="shared" si="572"/>
        <v>CA_Ventu_2020g~legislative constitutional amendment. (vote 1)</v>
      </c>
      <c r="B1783" s="55" t="s">
        <v>4471</v>
      </c>
      <c r="D1783" s="55" t="s">
        <v>4467</v>
      </c>
      <c r="E1783" s="54" t="s">
        <v>1393</v>
      </c>
      <c r="F1783" s="12"/>
      <c r="G1783" s="61">
        <v>205630</v>
      </c>
      <c r="H1783" s="26"/>
      <c r="I1783" s="25"/>
      <c r="N1783"/>
      <c r="O1783">
        <f t="shared" si="565"/>
        <v>1</v>
      </c>
      <c r="P1783" s="57">
        <f t="shared" si="566"/>
        <v>1</v>
      </c>
      <c r="Q1783" s="267">
        <f t="shared" si="567"/>
        <v>408950</v>
      </c>
      <c r="R1783" s="23">
        <f t="shared" si="568"/>
        <v>205630</v>
      </c>
      <c r="S1783" s="23">
        <f t="shared" si="569"/>
        <v>203320</v>
      </c>
      <c r="T1783" s="23">
        <f t="shared" si="570"/>
        <v>2310</v>
      </c>
      <c r="U1783" t="str">
        <f t="shared" si="571"/>
        <v>CA_Ventu_2020g~legislative constitutional amendment. (vote 1)</v>
      </c>
      <c r="X1783" s="71"/>
      <c r="Z1783" s="44"/>
      <c r="AF1783" s="22"/>
    </row>
    <row r="1784" spans="1:45">
      <c r="A1784" t="str">
        <f t="shared" si="572"/>
        <v>CA_Ventu_2020g~legislative constitutional amendment. (vote 1)</v>
      </c>
      <c r="B1784" s="55" t="s">
        <v>4471</v>
      </c>
      <c r="D1784" s="55" t="s">
        <v>4467</v>
      </c>
      <c r="E1784" s="54" t="s">
        <v>1394</v>
      </c>
      <c r="F1784" s="12"/>
      <c r="G1784" s="61">
        <v>203320</v>
      </c>
      <c r="H1784" s="26"/>
      <c r="I1784" s="25"/>
      <c r="N1784"/>
      <c r="O1784">
        <f t="shared" si="565"/>
        <v>2</v>
      </c>
      <c r="P1784" s="57">
        <f t="shared" si="566"/>
        <v>1</v>
      </c>
      <c r="Q1784" s="267">
        <f t="shared" si="567"/>
        <v>203320</v>
      </c>
      <c r="R1784" s="23" t="str">
        <f t="shared" si="568"/>
        <v/>
      </c>
      <c r="S1784" s="23">
        <f t="shared" si="569"/>
        <v>203320</v>
      </c>
      <c r="T1784" s="23" t="str">
        <f t="shared" si="570"/>
        <v/>
      </c>
      <c r="U1784" t="str">
        <f t="shared" si="571"/>
        <v/>
      </c>
      <c r="X1784" s="71"/>
      <c r="Z1784" s="44"/>
      <c r="AF1784" s="22"/>
    </row>
    <row r="1785" spans="1:45">
      <c r="A1785" t="str">
        <f t="shared" si="572"/>
        <v>CA_Ventu_2020g~measure (vote 1)</v>
      </c>
      <c r="B1785" s="55" t="s">
        <v>4471</v>
      </c>
      <c r="D1785" s="55" t="s">
        <v>4339</v>
      </c>
      <c r="E1785" s="54" t="s">
        <v>1393</v>
      </c>
      <c r="F1785" s="12"/>
      <c r="G1785" s="61">
        <v>7838</v>
      </c>
      <c r="H1785" s="26"/>
      <c r="I1785" s="25"/>
      <c r="N1785"/>
      <c r="O1785">
        <f t="shared" si="565"/>
        <v>1</v>
      </c>
      <c r="P1785" s="57">
        <f t="shared" si="566"/>
        <v>1</v>
      </c>
      <c r="Q1785" s="267">
        <f t="shared" si="567"/>
        <v>12957</v>
      </c>
      <c r="R1785" s="23">
        <f t="shared" si="568"/>
        <v>7838</v>
      </c>
      <c r="S1785" s="23">
        <f t="shared" si="569"/>
        <v>5119</v>
      </c>
      <c r="T1785" s="23">
        <f t="shared" si="570"/>
        <v>2719</v>
      </c>
      <c r="U1785" t="str">
        <f t="shared" si="571"/>
        <v>CA_Ventu_2020g~measure (vote 1)</v>
      </c>
      <c r="X1785" s="71"/>
      <c r="Z1785" s="44"/>
      <c r="AF1785" s="22"/>
    </row>
    <row r="1786" spans="1:45">
      <c r="A1786" t="str">
        <f t="shared" si="572"/>
        <v>CA_Ventu_2020g~measure (vote 1)</v>
      </c>
      <c r="B1786" s="55" t="s">
        <v>4471</v>
      </c>
      <c r="D1786" s="55" t="s">
        <v>4339</v>
      </c>
      <c r="E1786" s="54" t="s">
        <v>1394</v>
      </c>
      <c r="F1786" s="12"/>
      <c r="G1786" s="61">
        <v>5119</v>
      </c>
      <c r="H1786" s="26"/>
      <c r="I1786" s="25"/>
      <c r="N1786"/>
      <c r="O1786">
        <f t="shared" si="565"/>
        <v>2</v>
      </c>
      <c r="P1786" s="57">
        <f t="shared" si="566"/>
        <v>1</v>
      </c>
      <c r="Q1786" s="267">
        <f t="shared" si="567"/>
        <v>5119</v>
      </c>
      <c r="R1786" s="23" t="str">
        <f t="shared" si="568"/>
        <v/>
      </c>
      <c r="S1786" s="23">
        <f t="shared" si="569"/>
        <v>5119</v>
      </c>
      <c r="T1786" s="23" t="str">
        <f t="shared" si="570"/>
        <v/>
      </c>
      <c r="U1786" t="str">
        <f t="shared" si="571"/>
        <v/>
      </c>
      <c r="X1786" s="71"/>
      <c r="Z1786" s="44"/>
    </row>
    <row r="1787" spans="1:45">
      <c r="A1787" t="str">
        <f t="shared" si="572"/>
        <v>CA_Ventu_2020g~measure e - city of oxnard (vote 1)</v>
      </c>
      <c r="B1787" s="55" t="s">
        <v>4471</v>
      </c>
      <c r="D1787" s="55" t="s">
        <v>4419</v>
      </c>
      <c r="E1787" s="54" t="s">
        <v>1393</v>
      </c>
      <c r="F1787" s="12"/>
      <c r="G1787" s="61">
        <v>36197</v>
      </c>
      <c r="H1787" s="26"/>
      <c r="I1787" s="25"/>
      <c r="N1787"/>
      <c r="O1787">
        <f t="shared" si="565"/>
        <v>1</v>
      </c>
      <c r="P1787" s="57">
        <f t="shared" si="566"/>
        <v>1</v>
      </c>
      <c r="Q1787" s="267">
        <f t="shared" si="567"/>
        <v>67128</v>
      </c>
      <c r="R1787" s="23">
        <f t="shared" si="568"/>
        <v>36197</v>
      </c>
      <c r="S1787" s="23">
        <f t="shared" si="569"/>
        <v>30931</v>
      </c>
      <c r="T1787" s="23">
        <f t="shared" si="570"/>
        <v>5266</v>
      </c>
      <c r="U1787" t="str">
        <f t="shared" si="571"/>
        <v>CA_Ventu_2020g~measure e - city of oxnard (vote 1)</v>
      </c>
      <c r="X1787" s="71"/>
      <c r="Z1787" s="44"/>
      <c r="AF1787" s="22"/>
    </row>
    <row r="1788" spans="1:45">
      <c r="A1788" t="str">
        <f t="shared" si="572"/>
        <v>CA_Ventu_2020g~measure e - city of oxnard (vote 1)</v>
      </c>
      <c r="B1788" s="55" t="s">
        <v>4471</v>
      </c>
      <c r="D1788" s="55" t="s">
        <v>4419</v>
      </c>
      <c r="E1788" s="54" t="s">
        <v>1394</v>
      </c>
      <c r="F1788" s="12"/>
      <c r="G1788" s="61">
        <v>30931</v>
      </c>
      <c r="H1788" s="26"/>
      <c r="I1788" s="25"/>
      <c r="N1788"/>
      <c r="O1788">
        <f t="shared" si="565"/>
        <v>2</v>
      </c>
      <c r="P1788" s="57">
        <f t="shared" si="566"/>
        <v>1</v>
      </c>
      <c r="Q1788" s="267">
        <f t="shared" si="567"/>
        <v>30931</v>
      </c>
      <c r="R1788" s="23" t="str">
        <f t="shared" si="568"/>
        <v/>
      </c>
      <c r="S1788" s="23">
        <f t="shared" si="569"/>
        <v>30931</v>
      </c>
      <c r="T1788" s="23" t="str">
        <f t="shared" si="570"/>
        <v/>
      </c>
      <c r="U1788" t="str">
        <f t="shared" si="571"/>
        <v/>
      </c>
      <c r="X1788" s="71"/>
      <c r="Z1788" s="44"/>
      <c r="AF1788" s="22"/>
      <c r="AH1788" s="8"/>
      <c r="AL1788" s="23"/>
      <c r="AO1788" s="356"/>
      <c r="AP1788" s="356"/>
      <c r="AQ1788" s="394"/>
      <c r="AR1788" s="394"/>
      <c r="AS1788" s="394"/>
    </row>
    <row r="1789" spans="1:45">
      <c r="A1789" t="str">
        <f t="shared" si="572"/>
        <v>CA_Ventu_2020g~measure f - city of oxnard (vote 1)</v>
      </c>
      <c r="B1789" s="55" t="s">
        <v>4471</v>
      </c>
      <c r="D1789" s="55" t="s">
        <v>4424</v>
      </c>
      <c r="E1789" s="54" t="s">
        <v>1393</v>
      </c>
      <c r="F1789" s="12"/>
      <c r="G1789" s="61">
        <v>33248</v>
      </c>
      <c r="H1789" s="26"/>
      <c r="I1789" s="25"/>
      <c r="N1789"/>
      <c r="O1789">
        <f t="shared" si="565"/>
        <v>1</v>
      </c>
      <c r="P1789" s="57">
        <f t="shared" si="566"/>
        <v>1</v>
      </c>
      <c r="Q1789" s="267">
        <f t="shared" si="567"/>
        <v>65562</v>
      </c>
      <c r="R1789" s="23">
        <f t="shared" si="568"/>
        <v>33248</v>
      </c>
      <c r="S1789" s="23">
        <f t="shared" si="569"/>
        <v>32314</v>
      </c>
      <c r="T1789" s="23">
        <f t="shared" si="570"/>
        <v>934</v>
      </c>
      <c r="U1789" t="str">
        <f t="shared" si="571"/>
        <v>CA_Ventu_2020g~measure f - city of oxnard (vote 1)</v>
      </c>
      <c r="X1789" s="71"/>
      <c r="Z1789" s="44"/>
      <c r="AF1789" s="22"/>
    </row>
    <row r="1790" spans="1:45">
      <c r="A1790" t="str">
        <f t="shared" si="572"/>
        <v>CA_Ventu_2020g~measure f - city of oxnard (vote 1)</v>
      </c>
      <c r="B1790" s="55" t="s">
        <v>4471</v>
      </c>
      <c r="D1790" s="55" t="s">
        <v>4424</v>
      </c>
      <c r="E1790" s="54" t="s">
        <v>1394</v>
      </c>
      <c r="F1790" s="12"/>
      <c r="G1790" s="61">
        <v>32314</v>
      </c>
      <c r="H1790" s="26"/>
      <c r="I1790" s="25"/>
      <c r="N1790"/>
      <c r="O1790">
        <f t="shared" si="565"/>
        <v>2</v>
      </c>
      <c r="P1790" s="57">
        <f t="shared" si="566"/>
        <v>1</v>
      </c>
      <c r="Q1790" s="267">
        <f t="shared" si="567"/>
        <v>32314</v>
      </c>
      <c r="R1790" s="23" t="str">
        <f t="shared" si="568"/>
        <v/>
      </c>
      <c r="S1790" s="23">
        <f t="shared" si="569"/>
        <v>32314</v>
      </c>
      <c r="T1790" s="23" t="str">
        <f t="shared" si="570"/>
        <v/>
      </c>
      <c r="U1790" t="str">
        <f t="shared" si="571"/>
        <v/>
      </c>
      <c r="X1790" s="71"/>
      <c r="Z1790" s="44"/>
      <c r="AF1790" s="22"/>
    </row>
    <row r="1791" spans="1:45">
      <c r="A1791" t="str">
        <f t="shared" si="572"/>
        <v>CA_Ventu_2020g~measure g - city of ojai (vote 1)</v>
      </c>
      <c r="B1791" s="55" t="s">
        <v>4471</v>
      </c>
      <c r="D1791" s="55" t="s">
        <v>4250</v>
      </c>
      <c r="E1791" s="54" t="s">
        <v>1393</v>
      </c>
      <c r="F1791" s="12"/>
      <c r="G1791" s="61">
        <v>3165</v>
      </c>
      <c r="H1791" s="26"/>
      <c r="I1791" s="25"/>
      <c r="N1791"/>
      <c r="O1791">
        <f t="shared" si="565"/>
        <v>1</v>
      </c>
      <c r="P1791" s="57">
        <f t="shared" si="566"/>
        <v>1</v>
      </c>
      <c r="Q1791" s="267">
        <f t="shared" si="567"/>
        <v>4573</v>
      </c>
      <c r="R1791" s="23">
        <f t="shared" si="568"/>
        <v>3165</v>
      </c>
      <c r="S1791" s="23">
        <f t="shared" si="569"/>
        <v>1408</v>
      </c>
      <c r="T1791" s="23">
        <f t="shared" si="570"/>
        <v>1757</v>
      </c>
      <c r="U1791" t="str">
        <f t="shared" si="571"/>
        <v>CA_Ventu_2020g~measure g - city of ojai (vote 1)</v>
      </c>
      <c r="X1791" s="71"/>
      <c r="Z1791" s="44"/>
      <c r="AF1791" s="88"/>
    </row>
    <row r="1792" spans="1:45">
      <c r="A1792" t="str">
        <f t="shared" si="572"/>
        <v>CA_Ventu_2020g~measure g - city of ojai (vote 1)</v>
      </c>
      <c r="B1792" s="55" t="s">
        <v>4471</v>
      </c>
      <c r="D1792" s="55" t="s">
        <v>4250</v>
      </c>
      <c r="E1792" s="54" t="s">
        <v>1394</v>
      </c>
      <c r="F1792" s="12"/>
      <c r="G1792" s="61">
        <v>1408</v>
      </c>
      <c r="H1792" s="26"/>
      <c r="I1792" s="25"/>
      <c r="N1792"/>
      <c r="O1792">
        <f t="shared" si="565"/>
        <v>2</v>
      </c>
      <c r="P1792" s="57">
        <f t="shared" si="566"/>
        <v>1</v>
      </c>
      <c r="Q1792" s="267">
        <f t="shared" si="567"/>
        <v>1408</v>
      </c>
      <c r="R1792" s="23" t="str">
        <f t="shared" si="568"/>
        <v/>
      </c>
      <c r="S1792" s="23">
        <f t="shared" si="569"/>
        <v>1408</v>
      </c>
      <c r="T1792" s="23" t="str">
        <f t="shared" si="570"/>
        <v/>
      </c>
      <c r="U1792" t="str">
        <f t="shared" si="571"/>
        <v/>
      </c>
      <c r="X1792" s="71"/>
      <c r="Z1792" s="44"/>
      <c r="AG1792" s="295"/>
      <c r="AH1792" s="294"/>
      <c r="AI1792" s="279"/>
      <c r="AJ1792" s="279"/>
      <c r="AL1792" s="341"/>
    </row>
    <row r="1793" spans="1:38">
      <c r="A1793" t="str">
        <f t="shared" si="572"/>
        <v>CA_Ventu_2020g~measure h - ventura unified school district (vote 1)</v>
      </c>
      <c r="B1793" s="55" t="s">
        <v>4471</v>
      </c>
      <c r="D1793" s="55" t="s">
        <v>4388</v>
      </c>
      <c r="E1793" s="54" t="s">
        <v>1393</v>
      </c>
      <c r="F1793" s="12"/>
      <c r="G1793" s="61">
        <v>47075</v>
      </c>
      <c r="H1793" s="26"/>
      <c r="I1793" s="25"/>
      <c r="N1793"/>
      <c r="O1793">
        <f t="shared" si="565"/>
        <v>1</v>
      </c>
      <c r="P1793" s="57">
        <f t="shared" si="566"/>
        <v>1</v>
      </c>
      <c r="Q1793" s="267">
        <f t="shared" si="567"/>
        <v>64339</v>
      </c>
      <c r="R1793" s="23">
        <f t="shared" si="568"/>
        <v>47075</v>
      </c>
      <c r="S1793" s="23">
        <f t="shared" si="569"/>
        <v>17264</v>
      </c>
      <c r="T1793" s="23">
        <f t="shared" si="570"/>
        <v>29811</v>
      </c>
      <c r="U1793" t="str">
        <f t="shared" si="571"/>
        <v>CA_Ventu_2020g~measure h - ventura unified school district (vote 1)</v>
      </c>
      <c r="X1793" s="71"/>
      <c r="Z1793" s="44"/>
      <c r="AF1793" s="22"/>
    </row>
    <row r="1794" spans="1:38">
      <c r="A1794" t="str">
        <f t="shared" si="572"/>
        <v>CA_Ventu_2020g~measure h - ventura unified school district (vote 1)</v>
      </c>
      <c r="B1794" s="55" t="s">
        <v>4471</v>
      </c>
      <c r="D1794" s="55" t="s">
        <v>4388</v>
      </c>
      <c r="E1794" s="54" t="s">
        <v>1394</v>
      </c>
      <c r="F1794" s="12"/>
      <c r="G1794" s="61">
        <v>17264</v>
      </c>
      <c r="H1794" s="26"/>
      <c r="I1794" s="25"/>
      <c r="N1794"/>
      <c r="O1794">
        <f t="shared" ref="O1794:O1857" si="573">IF(OR(LOWER(LEFT(E1794,8))="write-in",LOWER(LEFT(E1794,8))="not qual"),IF(A1794=A1793,-ABS(O1793),0),IF(A1794=A1793,ABS(O1793)+1,1))</f>
        <v>2</v>
      </c>
      <c r="P1794" s="57">
        <f t="shared" ref="P1794:P1857" si="574">1*LEFT(RIGHT(A1794,2),1)</f>
        <v>1</v>
      </c>
      <c r="Q1794" s="267">
        <f t="shared" ref="Q1794:Q1857" si="575">IF(A1794&lt;&gt;A1795,G1794,IF(A1794=A1793,G1794+Q1795,MAX(G1794,(G1794+Q1795)/P1794)))</f>
        <v>17264</v>
      </c>
      <c r="R1794" s="23" t="str">
        <f t="shared" ref="R1794:R1857" si="576">IF(O1794&gt;P1794,"",IF(O1794=P1794,G1794,IF(A1794=A1795,R1795,IF(O1794&lt;=0,1,G1794))))</f>
        <v/>
      </c>
      <c r="S1794" s="23">
        <f t="shared" ref="S1794:S1857" si="577">IF(AND(O1794&gt;P1794,LOWER(LEFT(E1794,8))&lt;&gt;"write-in",LOWER(LEFT(E1794,8))&lt;&gt;"not qual"),G1794,IF(A1794=A1795,S1795,0))</f>
        <v>17264</v>
      </c>
      <c r="T1794" s="23" t="str">
        <f t="shared" ref="T1794:T1857" si="578">IF(OR(A1794=A1793,S1794=0),"",R1794-ABS(S1794))</f>
        <v/>
      </c>
      <c r="U1794" t="str">
        <f t="shared" ref="U1794:U1857" si="579">IF(A1794=A1793,"",A1794)</f>
        <v/>
      </c>
      <c r="X1794" s="71"/>
      <c r="Z1794" s="44"/>
      <c r="AF1794" s="22"/>
    </row>
    <row r="1795" spans="1:38">
      <c r="A1795" t="str">
        <f t="shared" si="572"/>
        <v>CA_Ventu_2020g~measure i - city of san buenaventura (vote 1)</v>
      </c>
      <c r="B1795" s="55" t="s">
        <v>4471</v>
      </c>
      <c r="D1795" s="55" t="s">
        <v>4387</v>
      </c>
      <c r="E1795" s="54" t="s">
        <v>1393</v>
      </c>
      <c r="F1795" s="12"/>
      <c r="G1795" s="61">
        <v>42321</v>
      </c>
      <c r="H1795" s="26"/>
      <c r="I1795" s="25"/>
      <c r="N1795"/>
      <c r="O1795">
        <f t="shared" si="573"/>
        <v>1</v>
      </c>
      <c r="P1795" s="57">
        <f t="shared" si="574"/>
        <v>1</v>
      </c>
      <c r="Q1795" s="267">
        <f t="shared" si="575"/>
        <v>58904</v>
      </c>
      <c r="R1795" s="23">
        <f t="shared" si="576"/>
        <v>42321</v>
      </c>
      <c r="S1795" s="23">
        <f t="shared" si="577"/>
        <v>16583</v>
      </c>
      <c r="T1795" s="23">
        <f t="shared" si="578"/>
        <v>25738</v>
      </c>
      <c r="U1795" t="str">
        <f t="shared" si="579"/>
        <v>CA_Ventu_2020g~measure i - city of san buenaventura (vote 1)</v>
      </c>
      <c r="X1795" s="71"/>
      <c r="Z1795" s="44"/>
      <c r="AF1795" s="22"/>
    </row>
    <row r="1796" spans="1:38">
      <c r="A1796" t="str">
        <f t="shared" si="572"/>
        <v>CA_Ventu_2020g~measure i - city of san buenaventura (vote 1)</v>
      </c>
      <c r="B1796" s="55" t="s">
        <v>4471</v>
      </c>
      <c r="D1796" s="55" t="s">
        <v>4387</v>
      </c>
      <c r="E1796" s="54" t="s">
        <v>1394</v>
      </c>
      <c r="F1796" s="12"/>
      <c r="G1796" s="61">
        <v>16583</v>
      </c>
      <c r="H1796" s="26"/>
      <c r="I1796" s="25"/>
      <c r="N1796"/>
      <c r="O1796">
        <f t="shared" si="573"/>
        <v>2</v>
      </c>
      <c r="P1796" s="57">
        <f t="shared" si="574"/>
        <v>1</v>
      </c>
      <c r="Q1796" s="267">
        <f t="shared" si="575"/>
        <v>16583</v>
      </c>
      <c r="R1796" s="23" t="str">
        <f t="shared" si="576"/>
        <v/>
      </c>
      <c r="S1796" s="23">
        <f t="shared" si="577"/>
        <v>16583</v>
      </c>
      <c r="T1796" s="23" t="str">
        <f t="shared" si="578"/>
        <v/>
      </c>
      <c r="U1796" t="str">
        <f t="shared" si="579"/>
        <v/>
      </c>
      <c r="X1796" s="71"/>
      <c r="Z1796" s="44"/>
      <c r="AF1796" s="22"/>
    </row>
    <row r="1797" spans="1:38">
      <c r="A1797" t="str">
        <f t="shared" si="572"/>
        <v>CA_Ventu_2020g~measure j - city of san buenaventura (vote 1)</v>
      </c>
      <c r="B1797" s="55" t="s">
        <v>4471</v>
      </c>
      <c r="D1797" s="55" t="s">
        <v>4384</v>
      </c>
      <c r="E1797" s="54" t="s">
        <v>1393</v>
      </c>
      <c r="F1797" s="12"/>
      <c r="G1797" s="61">
        <v>42134</v>
      </c>
      <c r="H1797" s="26"/>
      <c r="I1797" s="25"/>
      <c r="N1797"/>
      <c r="O1797">
        <f t="shared" si="573"/>
        <v>1</v>
      </c>
      <c r="P1797" s="57">
        <f t="shared" si="574"/>
        <v>1</v>
      </c>
      <c r="Q1797" s="267">
        <f t="shared" si="575"/>
        <v>57220</v>
      </c>
      <c r="R1797" s="23">
        <f t="shared" si="576"/>
        <v>42134</v>
      </c>
      <c r="S1797" s="23">
        <f t="shared" si="577"/>
        <v>15086</v>
      </c>
      <c r="T1797" s="23">
        <f t="shared" si="578"/>
        <v>27048</v>
      </c>
      <c r="U1797" t="str">
        <f t="shared" si="579"/>
        <v>CA_Ventu_2020g~measure j - city of san buenaventura (vote 1)</v>
      </c>
      <c r="X1797" s="71"/>
      <c r="Z1797" s="44"/>
      <c r="AF1797" s="22"/>
    </row>
    <row r="1798" spans="1:38">
      <c r="A1798" t="str">
        <f t="shared" si="572"/>
        <v>CA_Ventu_2020g~measure j - city of san buenaventura (vote 1)</v>
      </c>
      <c r="B1798" s="55" t="s">
        <v>4471</v>
      </c>
      <c r="D1798" s="55" t="s">
        <v>4384</v>
      </c>
      <c r="E1798" s="54" t="s">
        <v>1394</v>
      </c>
      <c r="F1798" s="12"/>
      <c r="G1798" s="61">
        <v>15086</v>
      </c>
      <c r="H1798" s="26"/>
      <c r="I1798" s="25"/>
      <c r="N1798"/>
      <c r="O1798">
        <f t="shared" si="573"/>
        <v>2</v>
      </c>
      <c r="P1798" s="57">
        <f t="shared" si="574"/>
        <v>1</v>
      </c>
      <c r="Q1798" s="267">
        <f t="shared" si="575"/>
        <v>15086</v>
      </c>
      <c r="R1798" s="23" t="str">
        <f t="shared" si="576"/>
        <v/>
      </c>
      <c r="S1798" s="23">
        <f t="shared" si="577"/>
        <v>15086</v>
      </c>
      <c r="T1798" s="23" t="str">
        <f t="shared" si="578"/>
        <v/>
      </c>
      <c r="U1798" t="str">
        <f t="shared" si="579"/>
        <v/>
      </c>
      <c r="X1798" s="71"/>
      <c r="Z1798" s="44"/>
      <c r="AF1798" s="22"/>
    </row>
    <row r="1799" spans="1:38">
      <c r="A1799" t="str">
        <f t="shared" si="572"/>
        <v>CA_Ventu_2020g~measure l - city of oxnard (vote 1)</v>
      </c>
      <c r="B1799" s="55" t="s">
        <v>4471</v>
      </c>
      <c r="D1799" s="55" t="s">
        <v>4409</v>
      </c>
      <c r="E1799" s="54" t="s">
        <v>1394</v>
      </c>
      <c r="F1799" s="12"/>
      <c r="G1799" s="61">
        <v>39862</v>
      </c>
      <c r="H1799" s="26"/>
      <c r="I1799" s="25"/>
      <c r="N1799"/>
      <c r="O1799">
        <f t="shared" si="573"/>
        <v>1</v>
      </c>
      <c r="P1799" s="57">
        <f t="shared" si="574"/>
        <v>1</v>
      </c>
      <c r="Q1799" s="267">
        <f t="shared" si="575"/>
        <v>64636</v>
      </c>
      <c r="R1799" s="23">
        <f t="shared" si="576"/>
        <v>39862</v>
      </c>
      <c r="S1799" s="23">
        <f t="shared" si="577"/>
        <v>24774</v>
      </c>
      <c r="T1799" s="23">
        <f t="shared" si="578"/>
        <v>15088</v>
      </c>
      <c r="U1799" t="str">
        <f t="shared" si="579"/>
        <v>CA_Ventu_2020g~measure l - city of oxnard (vote 1)</v>
      </c>
      <c r="X1799" s="71"/>
      <c r="Z1799" s="44"/>
      <c r="AF1799" s="22"/>
    </row>
    <row r="1800" spans="1:38">
      <c r="A1800" t="str">
        <f t="shared" si="572"/>
        <v>CA_Ventu_2020g~measure l - city of oxnard (vote 1)</v>
      </c>
      <c r="B1800" s="55" t="s">
        <v>4471</v>
      </c>
      <c r="D1800" s="55" t="s">
        <v>4409</v>
      </c>
      <c r="E1800" s="54" t="s">
        <v>1393</v>
      </c>
      <c r="F1800" s="12"/>
      <c r="G1800" s="61">
        <v>24774</v>
      </c>
      <c r="H1800" s="26"/>
      <c r="I1800" s="25"/>
      <c r="N1800"/>
      <c r="O1800">
        <f t="shared" si="573"/>
        <v>2</v>
      </c>
      <c r="P1800" s="57">
        <f t="shared" si="574"/>
        <v>1</v>
      </c>
      <c r="Q1800" s="267">
        <f t="shared" si="575"/>
        <v>24774</v>
      </c>
      <c r="R1800" s="23" t="str">
        <f t="shared" si="576"/>
        <v/>
      </c>
      <c r="S1800" s="23">
        <f t="shared" si="577"/>
        <v>24774</v>
      </c>
      <c r="T1800" s="23" t="str">
        <f t="shared" si="578"/>
        <v/>
      </c>
      <c r="U1800" t="str">
        <f t="shared" si="579"/>
        <v/>
      </c>
      <c r="X1800" s="71"/>
      <c r="Z1800" s="44"/>
      <c r="AF1800" s="22"/>
    </row>
    <row r="1801" spans="1:38">
      <c r="A1801" t="str">
        <f t="shared" si="572"/>
        <v>CA_Ventu_2020g~measure m - city of oxnard (vote 1)</v>
      </c>
      <c r="B1801" s="55" t="s">
        <v>4471</v>
      </c>
      <c r="D1801" s="55" t="s">
        <v>4413</v>
      </c>
      <c r="E1801" s="54" t="s">
        <v>1393</v>
      </c>
      <c r="F1801" s="12"/>
      <c r="G1801" s="61">
        <v>36549</v>
      </c>
      <c r="H1801" s="26"/>
      <c r="I1801" s="25"/>
      <c r="N1801"/>
      <c r="O1801">
        <f t="shared" si="573"/>
        <v>1</v>
      </c>
      <c r="P1801" s="57">
        <f t="shared" si="574"/>
        <v>1</v>
      </c>
      <c r="Q1801" s="267">
        <f t="shared" si="575"/>
        <v>63867</v>
      </c>
      <c r="R1801" s="23">
        <f t="shared" si="576"/>
        <v>36549</v>
      </c>
      <c r="S1801" s="23">
        <f t="shared" si="577"/>
        <v>27318</v>
      </c>
      <c r="T1801" s="23">
        <f t="shared" si="578"/>
        <v>9231</v>
      </c>
      <c r="U1801" t="str">
        <f t="shared" si="579"/>
        <v>CA_Ventu_2020g~measure m - city of oxnard (vote 1)</v>
      </c>
      <c r="X1801" s="71"/>
      <c r="Z1801" s="44"/>
      <c r="AF1801" s="22"/>
      <c r="AG1801" s="302"/>
      <c r="AH1801" s="301"/>
      <c r="AI1801" s="303"/>
      <c r="AJ1801" s="303"/>
      <c r="AK1801" s="342"/>
      <c r="AL1801" s="343"/>
    </row>
    <row r="1802" spans="1:38">
      <c r="A1802" t="str">
        <f t="shared" si="572"/>
        <v>CA_Ventu_2020g~measure m - city of oxnard (vote 1)</v>
      </c>
      <c r="B1802" s="55" t="s">
        <v>4471</v>
      </c>
      <c r="D1802" s="55" t="s">
        <v>4413</v>
      </c>
      <c r="E1802" s="54" t="s">
        <v>1394</v>
      </c>
      <c r="F1802" s="12"/>
      <c r="G1802" s="61">
        <v>27318</v>
      </c>
      <c r="H1802" s="26"/>
      <c r="I1802" s="25"/>
      <c r="N1802"/>
      <c r="O1802">
        <f t="shared" si="573"/>
        <v>2</v>
      </c>
      <c r="P1802" s="57">
        <f t="shared" si="574"/>
        <v>1</v>
      </c>
      <c r="Q1802" s="267">
        <f t="shared" si="575"/>
        <v>27318</v>
      </c>
      <c r="R1802" s="23" t="str">
        <f t="shared" si="576"/>
        <v/>
      </c>
      <c r="S1802" s="23">
        <f t="shared" si="577"/>
        <v>27318</v>
      </c>
      <c r="T1802" s="23" t="str">
        <f t="shared" si="578"/>
        <v/>
      </c>
      <c r="U1802" t="str">
        <f t="shared" si="579"/>
        <v/>
      </c>
      <c r="X1802" s="71"/>
      <c r="Z1802" s="44"/>
      <c r="AF1802" s="22"/>
    </row>
    <row r="1803" spans="1:38">
      <c r="A1803" t="str">
        <f t="shared" si="572"/>
        <v>CA_Ventu_2020g~measure n - city of oxnard (vote 1)</v>
      </c>
      <c r="B1803" s="55" t="s">
        <v>4471</v>
      </c>
      <c r="D1803" s="55" t="s">
        <v>4422</v>
      </c>
      <c r="E1803" s="54" t="s">
        <v>1393</v>
      </c>
      <c r="F1803" s="12"/>
      <c r="G1803" s="61">
        <v>33492</v>
      </c>
      <c r="H1803" s="26"/>
      <c r="I1803" s="25"/>
      <c r="N1803"/>
      <c r="O1803">
        <f t="shared" si="573"/>
        <v>1</v>
      </c>
      <c r="P1803" s="57">
        <f t="shared" si="574"/>
        <v>1</v>
      </c>
      <c r="Q1803" s="267">
        <f t="shared" si="575"/>
        <v>64707</v>
      </c>
      <c r="R1803" s="23">
        <f t="shared" si="576"/>
        <v>33492</v>
      </c>
      <c r="S1803" s="23">
        <f t="shared" si="577"/>
        <v>31215</v>
      </c>
      <c r="T1803" s="23">
        <f t="shared" si="578"/>
        <v>2277</v>
      </c>
      <c r="U1803" t="str">
        <f t="shared" si="579"/>
        <v>CA_Ventu_2020g~measure n - city of oxnard (vote 1)</v>
      </c>
      <c r="X1803" s="71"/>
      <c r="Z1803" s="44"/>
      <c r="AF1803" s="22"/>
    </row>
    <row r="1804" spans="1:38">
      <c r="A1804" t="str">
        <f t="shared" si="572"/>
        <v>CA_Ventu_2020g~measure n - city of oxnard (vote 1)</v>
      </c>
      <c r="B1804" s="55" t="s">
        <v>4471</v>
      </c>
      <c r="D1804" s="55" t="s">
        <v>4422</v>
      </c>
      <c r="E1804" s="54" t="s">
        <v>1394</v>
      </c>
      <c r="F1804" s="12"/>
      <c r="G1804" s="61">
        <v>31215</v>
      </c>
      <c r="H1804" s="26"/>
      <c r="I1804" s="25"/>
      <c r="N1804"/>
      <c r="O1804">
        <f t="shared" si="573"/>
        <v>2</v>
      </c>
      <c r="P1804" s="57">
        <f t="shared" si="574"/>
        <v>1</v>
      </c>
      <c r="Q1804" s="267">
        <f t="shared" si="575"/>
        <v>31215</v>
      </c>
      <c r="R1804" s="23" t="str">
        <f t="shared" si="576"/>
        <v/>
      </c>
      <c r="S1804" s="23">
        <f t="shared" si="577"/>
        <v>31215</v>
      </c>
      <c r="T1804" s="23" t="str">
        <f t="shared" si="578"/>
        <v/>
      </c>
      <c r="U1804" t="str">
        <f t="shared" si="579"/>
        <v/>
      </c>
      <c r="X1804" s="71"/>
      <c r="Z1804" s="44"/>
      <c r="AF1804" s="22"/>
    </row>
    <row r="1805" spans="1:38">
      <c r="A1805" t="str">
        <f t="shared" si="572"/>
        <v>CA_Ventu_2020g~medical professional. (vote 1)</v>
      </c>
      <c r="B1805" s="55" t="s">
        <v>4471</v>
      </c>
      <c r="D1805" s="55" t="s">
        <v>4454</v>
      </c>
      <c r="E1805" s="54" t="s">
        <v>1394</v>
      </c>
      <c r="F1805" s="12"/>
      <c r="G1805" s="61">
        <v>270965</v>
      </c>
      <c r="H1805" s="26"/>
      <c r="I1805" s="25"/>
      <c r="N1805"/>
      <c r="O1805">
        <f t="shared" si="573"/>
        <v>1</v>
      </c>
      <c r="P1805" s="57">
        <f t="shared" si="574"/>
        <v>1</v>
      </c>
      <c r="Q1805" s="267">
        <f t="shared" si="575"/>
        <v>411942</v>
      </c>
      <c r="R1805" s="23">
        <f t="shared" si="576"/>
        <v>270965</v>
      </c>
      <c r="S1805" s="23">
        <f t="shared" si="577"/>
        <v>140977</v>
      </c>
      <c r="T1805" s="23">
        <f t="shared" si="578"/>
        <v>129988</v>
      </c>
      <c r="U1805" t="str">
        <f t="shared" si="579"/>
        <v>CA_Ventu_2020g~medical professional. (vote 1)</v>
      </c>
      <c r="X1805" s="71"/>
      <c r="Z1805" s="44"/>
      <c r="AF1805" s="22"/>
    </row>
    <row r="1806" spans="1:38">
      <c r="A1806" t="str">
        <f t="shared" si="572"/>
        <v>CA_Ventu_2020g~medical professional. (vote 1)</v>
      </c>
      <c r="B1806" s="55" t="s">
        <v>4471</v>
      </c>
      <c r="D1806" s="55" t="s">
        <v>4454</v>
      </c>
      <c r="E1806" s="54" t="s">
        <v>1393</v>
      </c>
      <c r="F1806" s="12"/>
      <c r="G1806" s="61">
        <v>140977</v>
      </c>
      <c r="H1806" s="26"/>
      <c r="I1806" s="25"/>
      <c r="N1806"/>
      <c r="O1806">
        <f t="shared" si="573"/>
        <v>2</v>
      </c>
      <c r="P1806" s="57">
        <f t="shared" si="574"/>
        <v>1</v>
      </c>
      <c r="Q1806" s="267">
        <f t="shared" si="575"/>
        <v>140977</v>
      </c>
      <c r="R1806" s="23" t="str">
        <f t="shared" si="576"/>
        <v/>
      </c>
      <c r="S1806" s="23">
        <f t="shared" si="577"/>
        <v>140977</v>
      </c>
      <c r="T1806" s="23" t="str">
        <f t="shared" si="578"/>
        <v/>
      </c>
      <c r="U1806" t="str">
        <f t="shared" si="579"/>
        <v/>
      </c>
      <c r="X1806" s="71"/>
      <c r="Z1806" s="44"/>
      <c r="AF1806" s="22"/>
    </row>
    <row r="1807" spans="1:38">
      <c r="A1807" t="str">
        <f t="shared" si="572"/>
        <v>CA_Ventu_2020g~meiners oaks water dist (vote 1)</v>
      </c>
      <c r="B1807" s="55" t="s">
        <v>4471</v>
      </c>
      <c r="D1807" s="55" t="s">
        <v>4195</v>
      </c>
      <c r="E1807" s="54" t="s">
        <v>4244</v>
      </c>
      <c r="F1807" s="12"/>
      <c r="G1807" s="61">
        <v>1197</v>
      </c>
      <c r="H1807" s="26"/>
      <c r="I1807" s="25"/>
      <c r="N1807"/>
      <c r="O1807">
        <f t="shared" si="573"/>
        <v>1</v>
      </c>
      <c r="P1807" s="57">
        <f t="shared" si="574"/>
        <v>1</v>
      </c>
      <c r="Q1807" s="267">
        <f t="shared" si="575"/>
        <v>2560</v>
      </c>
      <c r="R1807" s="23">
        <f t="shared" si="576"/>
        <v>1197</v>
      </c>
      <c r="S1807" s="23">
        <f t="shared" si="577"/>
        <v>845</v>
      </c>
      <c r="T1807" s="23">
        <f t="shared" si="578"/>
        <v>352</v>
      </c>
      <c r="U1807" t="str">
        <f t="shared" si="579"/>
        <v>CA_Ventu_2020g~meiners oaks water dist (vote 1)</v>
      </c>
      <c r="X1807" s="71"/>
      <c r="Z1807" s="44"/>
      <c r="AF1807" s="22"/>
    </row>
    <row r="1808" spans="1:38">
      <c r="A1808" t="str">
        <f t="shared" si="572"/>
        <v>CA_Ventu_2020g~meiners oaks water dist (vote 1)</v>
      </c>
      <c r="B1808" s="55" t="s">
        <v>4471</v>
      </c>
      <c r="D1808" s="55" t="s">
        <v>4195</v>
      </c>
      <c r="E1808" s="54" t="s">
        <v>4225</v>
      </c>
      <c r="F1808" s="12"/>
      <c r="G1808" s="61">
        <v>845</v>
      </c>
      <c r="H1808" s="26"/>
      <c r="I1808" s="25"/>
      <c r="N1808"/>
      <c r="O1808">
        <f t="shared" si="573"/>
        <v>2</v>
      </c>
      <c r="P1808" s="57">
        <f t="shared" si="574"/>
        <v>1</v>
      </c>
      <c r="Q1808" s="267">
        <f t="shared" si="575"/>
        <v>1363</v>
      </c>
      <c r="R1808" s="23" t="str">
        <f t="shared" si="576"/>
        <v/>
      </c>
      <c r="S1808" s="23">
        <f t="shared" si="577"/>
        <v>845</v>
      </c>
      <c r="T1808" s="23" t="str">
        <f t="shared" si="578"/>
        <v/>
      </c>
      <c r="U1808" t="str">
        <f t="shared" si="579"/>
        <v/>
      </c>
      <c r="X1808" s="71"/>
      <c r="Z1808" s="44"/>
      <c r="AF1808" s="22"/>
    </row>
    <row r="1809" spans="1:38">
      <c r="A1809" t="str">
        <f t="shared" si="572"/>
        <v>CA_Ventu_2020g~meiners oaks water dist (vote 1)</v>
      </c>
      <c r="B1809" s="55" t="s">
        <v>4471</v>
      </c>
      <c r="D1809" s="55" t="s">
        <v>4195</v>
      </c>
      <c r="E1809" s="54" t="s">
        <v>4196</v>
      </c>
      <c r="F1809" s="12"/>
      <c r="G1809" s="61">
        <v>518</v>
      </c>
      <c r="H1809" s="26"/>
      <c r="I1809" s="25"/>
      <c r="N1809"/>
      <c r="O1809">
        <f t="shared" si="573"/>
        <v>3</v>
      </c>
      <c r="P1809" s="57">
        <f t="shared" si="574"/>
        <v>1</v>
      </c>
      <c r="Q1809" s="267">
        <f t="shared" si="575"/>
        <v>518</v>
      </c>
      <c r="R1809" s="23" t="str">
        <f t="shared" si="576"/>
        <v/>
      </c>
      <c r="S1809" s="23">
        <f t="shared" si="577"/>
        <v>518</v>
      </c>
      <c r="T1809" s="23" t="str">
        <f t="shared" si="578"/>
        <v/>
      </c>
      <c r="U1809" t="str">
        <f t="shared" si="579"/>
        <v/>
      </c>
      <c r="X1809" s="71"/>
      <c r="Z1809" s="44"/>
      <c r="AF1809" s="22"/>
    </row>
    <row r="1810" spans="1:38">
      <c r="A1810" t="str">
        <f t="shared" si="572"/>
        <v>CA_Ventu_2020g~member of the assembly 37th district (vote 1)</v>
      </c>
      <c r="B1810" s="55" t="s">
        <v>4471</v>
      </c>
      <c r="D1810" s="55" t="s">
        <v>4433</v>
      </c>
      <c r="E1810" s="54" t="s">
        <v>4443</v>
      </c>
      <c r="F1810" s="12"/>
      <c r="G1810" s="61">
        <v>79907</v>
      </c>
      <c r="H1810" s="26"/>
      <c r="I1810" s="25"/>
      <c r="N1810"/>
      <c r="O1810">
        <f t="shared" si="573"/>
        <v>1</v>
      </c>
      <c r="P1810" s="57">
        <f t="shared" si="574"/>
        <v>1</v>
      </c>
      <c r="Q1810" s="267">
        <f t="shared" si="575"/>
        <v>123741</v>
      </c>
      <c r="R1810" s="23">
        <f t="shared" si="576"/>
        <v>79907</v>
      </c>
      <c r="S1810" s="23">
        <f t="shared" si="577"/>
        <v>43834</v>
      </c>
      <c r="T1810" s="23">
        <f t="shared" si="578"/>
        <v>36073</v>
      </c>
      <c r="U1810" t="str">
        <f t="shared" si="579"/>
        <v>CA_Ventu_2020g~member of the assembly 37th district (vote 1)</v>
      </c>
      <c r="X1810" s="71"/>
      <c r="Z1810" s="44"/>
      <c r="AF1810" s="22"/>
    </row>
    <row r="1811" spans="1:38">
      <c r="A1811" t="str">
        <f t="shared" si="572"/>
        <v>CA_Ventu_2020g~member of the assembly 37th district (vote 1)</v>
      </c>
      <c r="B1811" s="55" t="s">
        <v>4471</v>
      </c>
      <c r="D1811" s="55" t="s">
        <v>4433</v>
      </c>
      <c r="E1811" s="54" t="s">
        <v>4434</v>
      </c>
      <c r="F1811" s="12"/>
      <c r="G1811" s="61">
        <v>43834</v>
      </c>
      <c r="H1811" s="26"/>
      <c r="I1811" s="25"/>
      <c r="N1811"/>
      <c r="O1811">
        <f t="shared" si="573"/>
        <v>2</v>
      </c>
      <c r="P1811" s="57">
        <f t="shared" si="574"/>
        <v>1</v>
      </c>
      <c r="Q1811" s="267">
        <f t="shared" si="575"/>
        <v>43834</v>
      </c>
      <c r="R1811" s="23" t="str">
        <f t="shared" si="576"/>
        <v/>
      </c>
      <c r="S1811" s="23">
        <f t="shared" si="577"/>
        <v>43834</v>
      </c>
      <c r="T1811" s="23" t="str">
        <f t="shared" si="578"/>
        <v/>
      </c>
      <c r="U1811" t="str">
        <f t="shared" si="579"/>
        <v/>
      </c>
      <c r="X1811" s="71"/>
      <c r="Z1811" s="44"/>
      <c r="AF1811" s="22"/>
      <c r="AG1811" s="89"/>
      <c r="AH1811" s="274"/>
      <c r="AI1811" s="279"/>
      <c r="AJ1811" s="280"/>
      <c r="AK1811" s="92"/>
      <c r="AL1811" s="23"/>
    </row>
    <row r="1812" spans="1:38">
      <c r="A1812" t="str">
        <f t="shared" si="572"/>
        <v>CA_Ventu_2020g~member of the assembly 38th district (vote 1)</v>
      </c>
      <c r="B1812" s="55" t="s">
        <v>4471</v>
      </c>
      <c r="D1812" s="55" t="s">
        <v>4389</v>
      </c>
      <c r="E1812" s="54" t="s">
        <v>4432</v>
      </c>
      <c r="F1812" s="12"/>
      <c r="G1812" s="61">
        <v>41666</v>
      </c>
      <c r="H1812" s="26"/>
      <c r="I1812" s="25"/>
      <c r="N1812"/>
      <c r="O1812">
        <f t="shared" si="573"/>
        <v>1</v>
      </c>
      <c r="P1812" s="57">
        <f t="shared" si="574"/>
        <v>1</v>
      </c>
      <c r="Q1812" s="267">
        <f t="shared" si="575"/>
        <v>59363</v>
      </c>
      <c r="R1812" s="23">
        <f t="shared" si="576"/>
        <v>41666</v>
      </c>
      <c r="S1812" s="23">
        <f t="shared" si="577"/>
        <v>17697</v>
      </c>
      <c r="T1812" s="23">
        <f t="shared" si="578"/>
        <v>23969</v>
      </c>
      <c r="U1812" t="str">
        <f t="shared" si="579"/>
        <v>CA_Ventu_2020g~member of the assembly 38th district (vote 1)</v>
      </c>
      <c r="X1812" s="71"/>
      <c r="Z1812" s="44"/>
      <c r="AF1812" s="22"/>
    </row>
    <row r="1813" spans="1:38">
      <c r="A1813" t="str">
        <f t="shared" si="572"/>
        <v>CA_Ventu_2020g~member of the assembly 38th district (vote 1)</v>
      </c>
      <c r="B1813" s="55" t="s">
        <v>4471</v>
      </c>
      <c r="D1813" s="55" t="s">
        <v>4389</v>
      </c>
      <c r="E1813" s="54" t="s">
        <v>4390</v>
      </c>
      <c r="F1813" s="12"/>
      <c r="G1813" s="61">
        <v>17697</v>
      </c>
      <c r="H1813" s="26"/>
      <c r="I1813" s="25"/>
      <c r="N1813"/>
      <c r="O1813">
        <f t="shared" si="573"/>
        <v>2</v>
      </c>
      <c r="P1813" s="57">
        <f t="shared" si="574"/>
        <v>1</v>
      </c>
      <c r="Q1813" s="267">
        <f t="shared" si="575"/>
        <v>17697</v>
      </c>
      <c r="R1813" s="23" t="str">
        <f t="shared" si="576"/>
        <v/>
      </c>
      <c r="S1813" s="23">
        <f t="shared" si="577"/>
        <v>17697</v>
      </c>
      <c r="T1813" s="23" t="str">
        <f t="shared" si="578"/>
        <v/>
      </c>
      <c r="U1813" t="str">
        <f t="shared" si="579"/>
        <v/>
      </c>
      <c r="X1813" s="71"/>
      <c r="Z1813" s="44"/>
    </row>
    <row r="1814" spans="1:38">
      <c r="A1814" t="str">
        <f t="shared" si="572"/>
        <v>CA_Ventu_2020g~member of the assembly 44th district (vote 1)</v>
      </c>
      <c r="B1814" s="55" t="s">
        <v>4471</v>
      </c>
      <c r="D1814" s="55" t="s">
        <v>4446</v>
      </c>
      <c r="E1814" s="54" t="s">
        <v>4451</v>
      </c>
      <c r="F1814" s="12"/>
      <c r="G1814" s="61">
        <v>129799</v>
      </c>
      <c r="H1814" s="26"/>
      <c r="I1814" s="25"/>
      <c r="N1814"/>
      <c r="O1814">
        <f t="shared" si="573"/>
        <v>1</v>
      </c>
      <c r="P1814" s="57">
        <f t="shared" si="574"/>
        <v>1</v>
      </c>
      <c r="Q1814" s="267">
        <f t="shared" si="575"/>
        <v>213530</v>
      </c>
      <c r="R1814" s="23">
        <f t="shared" si="576"/>
        <v>129799</v>
      </c>
      <c r="S1814" s="23">
        <f t="shared" si="577"/>
        <v>83731</v>
      </c>
      <c r="T1814" s="23">
        <f t="shared" si="578"/>
        <v>46068</v>
      </c>
      <c r="U1814" t="str">
        <f t="shared" si="579"/>
        <v>CA_Ventu_2020g~member of the assembly 44th district (vote 1)</v>
      </c>
      <c r="X1814" s="71"/>
      <c r="Z1814" s="44"/>
      <c r="AF1814" s="22"/>
    </row>
    <row r="1815" spans="1:38">
      <c r="A1815" t="str">
        <f t="shared" si="572"/>
        <v>CA_Ventu_2020g~member of the assembly 44th district (vote 1)</v>
      </c>
      <c r="B1815" s="55" t="s">
        <v>4471</v>
      </c>
      <c r="D1815" s="55" t="s">
        <v>4446</v>
      </c>
      <c r="E1815" s="54" t="s">
        <v>4447</v>
      </c>
      <c r="F1815" s="12"/>
      <c r="G1815" s="61">
        <v>83731</v>
      </c>
      <c r="H1815" s="26"/>
      <c r="I1815" s="25"/>
      <c r="N1815"/>
      <c r="O1815">
        <f t="shared" si="573"/>
        <v>2</v>
      </c>
      <c r="P1815" s="57">
        <f t="shared" si="574"/>
        <v>1</v>
      </c>
      <c r="Q1815" s="267">
        <f t="shared" si="575"/>
        <v>83731</v>
      </c>
      <c r="R1815" s="23" t="str">
        <f t="shared" si="576"/>
        <v/>
      </c>
      <c r="S1815" s="23">
        <f t="shared" si="577"/>
        <v>83731</v>
      </c>
      <c r="T1815" s="23" t="str">
        <f t="shared" si="578"/>
        <v/>
      </c>
      <c r="U1815" t="str">
        <f t="shared" si="579"/>
        <v/>
      </c>
      <c r="X1815" s="71"/>
      <c r="Z1815" s="44"/>
      <c r="AF1815" s="22"/>
    </row>
    <row r="1816" spans="1:38">
      <c r="A1816" t="str">
        <f t="shared" si="572"/>
        <v>CA_Ventu_2020g~member of the assembly 45th district (vote 1)</v>
      </c>
      <c r="B1816" s="55" t="s">
        <v>4471</v>
      </c>
      <c r="D1816" s="55" t="s">
        <v>4204</v>
      </c>
      <c r="E1816" s="54" t="s">
        <v>4209</v>
      </c>
      <c r="F1816" s="12"/>
      <c r="G1816" s="61">
        <v>660</v>
      </c>
      <c r="H1816" s="26"/>
      <c r="I1816" s="25"/>
      <c r="N1816"/>
      <c r="O1816">
        <f t="shared" si="573"/>
        <v>1</v>
      </c>
      <c r="P1816" s="57">
        <f t="shared" si="574"/>
        <v>1</v>
      </c>
      <c r="Q1816" s="267">
        <f t="shared" si="575"/>
        <v>1244</v>
      </c>
      <c r="R1816" s="23">
        <f t="shared" si="576"/>
        <v>660</v>
      </c>
      <c r="S1816" s="23">
        <f t="shared" si="577"/>
        <v>584</v>
      </c>
      <c r="T1816" s="23">
        <f t="shared" si="578"/>
        <v>76</v>
      </c>
      <c r="U1816" t="str">
        <f t="shared" si="579"/>
        <v>CA_Ventu_2020g~member of the assembly 45th district (vote 1)</v>
      </c>
      <c r="X1816" s="71"/>
      <c r="Z1816" s="44"/>
      <c r="AF1816" s="22"/>
    </row>
    <row r="1817" spans="1:38">
      <c r="A1817" t="str">
        <f t="shared" si="572"/>
        <v>CA_Ventu_2020g~member of the assembly 45th district (vote 1)</v>
      </c>
      <c r="B1817" s="55" t="s">
        <v>4471</v>
      </c>
      <c r="D1817" s="55" t="s">
        <v>4204</v>
      </c>
      <c r="E1817" s="54" t="s">
        <v>4205</v>
      </c>
      <c r="F1817" s="12"/>
      <c r="G1817" s="61">
        <v>584</v>
      </c>
      <c r="H1817" s="26"/>
      <c r="I1817" s="25"/>
      <c r="N1817"/>
      <c r="O1817">
        <f t="shared" si="573"/>
        <v>2</v>
      </c>
      <c r="P1817" s="57">
        <f t="shared" si="574"/>
        <v>1</v>
      </c>
      <c r="Q1817" s="267">
        <f t="shared" si="575"/>
        <v>584</v>
      </c>
      <c r="R1817" s="23" t="str">
        <f t="shared" si="576"/>
        <v/>
      </c>
      <c r="S1817" s="23">
        <f t="shared" si="577"/>
        <v>584</v>
      </c>
      <c r="T1817" s="23" t="str">
        <f t="shared" si="578"/>
        <v/>
      </c>
      <c r="U1817" t="str">
        <f t="shared" si="579"/>
        <v/>
      </c>
      <c r="X1817" s="71"/>
      <c r="Z1817" s="44"/>
      <c r="AF1817" s="22"/>
    </row>
    <row r="1818" spans="1:38">
      <c r="A1818" t="str">
        <f t="shared" si="572"/>
        <v>CA_Ventu_2020g~moorpark city council district 2 (vote 1)</v>
      </c>
      <c r="B1818" s="55" t="s">
        <v>4471</v>
      </c>
      <c r="D1818" s="55" t="s">
        <v>4246</v>
      </c>
      <c r="E1818" s="54" t="s">
        <v>4297</v>
      </c>
      <c r="F1818" s="12"/>
      <c r="G1818" s="61">
        <v>2888</v>
      </c>
      <c r="H1818" s="26"/>
      <c r="I1818" s="25"/>
      <c r="N1818"/>
      <c r="O1818">
        <f t="shared" si="573"/>
        <v>1</v>
      </c>
      <c r="P1818" s="57">
        <f t="shared" si="574"/>
        <v>1</v>
      </c>
      <c r="Q1818" s="267">
        <f t="shared" si="575"/>
        <v>5709</v>
      </c>
      <c r="R1818" s="23">
        <f t="shared" si="576"/>
        <v>2888</v>
      </c>
      <c r="S1818" s="23">
        <f t="shared" si="577"/>
        <v>1482</v>
      </c>
      <c r="T1818" s="23">
        <f t="shared" si="578"/>
        <v>1406</v>
      </c>
      <c r="U1818" t="str">
        <f t="shared" si="579"/>
        <v>CA_Ventu_2020g~moorpark city council district 2 (vote 1)</v>
      </c>
      <c r="X1818" s="71"/>
      <c r="Z1818" s="44"/>
      <c r="AF1818" s="22"/>
      <c r="AG1818" s="281"/>
      <c r="AH1818" s="287"/>
      <c r="AI1818" s="288"/>
      <c r="AJ1818" s="288"/>
      <c r="AK1818" s="347"/>
      <c r="AL1818" s="348"/>
    </row>
    <row r="1819" spans="1:38">
      <c r="A1819" t="str">
        <f t="shared" si="572"/>
        <v>CA_Ventu_2020g~moorpark city council district 2 (vote 1)</v>
      </c>
      <c r="B1819" s="55" t="s">
        <v>4471</v>
      </c>
      <c r="D1819" s="55" t="s">
        <v>4246</v>
      </c>
      <c r="E1819" s="54" t="s">
        <v>4252</v>
      </c>
      <c r="F1819" s="12"/>
      <c r="G1819" s="61">
        <v>1482</v>
      </c>
      <c r="H1819" s="26"/>
      <c r="I1819" s="25"/>
      <c r="N1819"/>
      <c r="O1819">
        <f t="shared" si="573"/>
        <v>2</v>
      </c>
      <c r="P1819" s="57">
        <f t="shared" si="574"/>
        <v>1</v>
      </c>
      <c r="Q1819" s="267">
        <f t="shared" si="575"/>
        <v>2821</v>
      </c>
      <c r="R1819" s="23" t="str">
        <f t="shared" si="576"/>
        <v/>
      </c>
      <c r="S1819" s="23">
        <f t="shared" si="577"/>
        <v>1482</v>
      </c>
      <c r="T1819" s="23" t="str">
        <f t="shared" si="578"/>
        <v/>
      </c>
      <c r="U1819" t="str">
        <f t="shared" si="579"/>
        <v/>
      </c>
      <c r="X1819" s="71"/>
      <c r="Z1819" s="44"/>
    </row>
    <row r="1820" spans="1:38">
      <c r="A1820" t="str">
        <f t="shared" si="572"/>
        <v>CA_Ventu_2020g~moorpark city council district 2 (vote 1)</v>
      </c>
      <c r="B1820" s="55" t="s">
        <v>4471</v>
      </c>
      <c r="D1820" s="55" t="s">
        <v>4246</v>
      </c>
      <c r="E1820" s="54" t="s">
        <v>4247</v>
      </c>
      <c r="F1820" s="12"/>
      <c r="G1820" s="61">
        <v>1339</v>
      </c>
      <c r="H1820" s="26"/>
      <c r="I1820" s="25"/>
      <c r="N1820"/>
      <c r="O1820">
        <f t="shared" si="573"/>
        <v>3</v>
      </c>
      <c r="P1820" s="57">
        <f t="shared" si="574"/>
        <v>1</v>
      </c>
      <c r="Q1820" s="267">
        <f t="shared" si="575"/>
        <v>1339</v>
      </c>
      <c r="R1820" s="23" t="str">
        <f t="shared" si="576"/>
        <v/>
      </c>
      <c r="S1820" s="23">
        <f t="shared" si="577"/>
        <v>1339</v>
      </c>
      <c r="T1820" s="23" t="str">
        <f t="shared" si="578"/>
        <v/>
      </c>
      <c r="U1820" t="str">
        <f t="shared" si="579"/>
        <v/>
      </c>
      <c r="X1820" s="71"/>
      <c r="Z1820" s="44"/>
      <c r="AF1820" s="22"/>
    </row>
    <row r="1821" spans="1:38">
      <c r="A1821" t="str">
        <f t="shared" si="572"/>
        <v>CA_Ventu_2020g~moorpark city council district 4 (vote 1)</v>
      </c>
      <c r="B1821" s="55" t="s">
        <v>4471</v>
      </c>
      <c r="D1821" s="55" t="s">
        <v>4216</v>
      </c>
      <c r="E1821" s="54" t="s">
        <v>4217</v>
      </c>
      <c r="F1821" s="12"/>
      <c r="G1821" s="61">
        <v>701</v>
      </c>
      <c r="H1821" s="26"/>
      <c r="I1821" s="25"/>
      <c r="N1821"/>
      <c r="O1821">
        <f t="shared" si="573"/>
        <v>1</v>
      </c>
      <c r="P1821" s="57">
        <f t="shared" si="574"/>
        <v>1</v>
      </c>
      <c r="Q1821" s="267">
        <f t="shared" si="575"/>
        <v>701</v>
      </c>
      <c r="R1821" s="23">
        <f t="shared" si="576"/>
        <v>701</v>
      </c>
      <c r="S1821" s="23">
        <f t="shared" si="577"/>
        <v>0</v>
      </c>
      <c r="T1821" s="23" t="str">
        <f t="shared" si="578"/>
        <v/>
      </c>
      <c r="U1821" t="str">
        <f t="shared" si="579"/>
        <v>CA_Ventu_2020g~moorpark city council district 4 (vote 1)</v>
      </c>
      <c r="X1821" s="71"/>
      <c r="Z1821" s="44"/>
      <c r="AF1821" s="22"/>
      <c r="AG1821" s="89"/>
      <c r="AH1821" s="274"/>
      <c r="AI1821" s="279"/>
      <c r="AJ1821" s="280"/>
      <c r="AK1821" s="92"/>
      <c r="AL1821" s="23"/>
    </row>
    <row r="1822" spans="1:38">
      <c r="A1822" t="str">
        <f t="shared" si="572"/>
        <v>CA_Ventu_2020g~moorpark city mayor (vote 1)</v>
      </c>
      <c r="B1822" s="55" t="s">
        <v>4471</v>
      </c>
      <c r="D1822" s="55" t="s">
        <v>4298</v>
      </c>
      <c r="E1822" s="54" t="s">
        <v>4362</v>
      </c>
      <c r="F1822" s="12"/>
      <c r="G1822" s="61">
        <v>9449</v>
      </c>
      <c r="H1822" s="26"/>
      <c r="I1822" s="25"/>
      <c r="N1822"/>
      <c r="O1822">
        <f t="shared" si="573"/>
        <v>1</v>
      </c>
      <c r="P1822" s="57">
        <f t="shared" si="574"/>
        <v>1</v>
      </c>
      <c r="Q1822" s="267">
        <f t="shared" si="575"/>
        <v>18962</v>
      </c>
      <c r="R1822" s="23">
        <f t="shared" si="576"/>
        <v>9449</v>
      </c>
      <c r="S1822" s="23">
        <f t="shared" si="577"/>
        <v>6622</v>
      </c>
      <c r="T1822" s="23">
        <f t="shared" si="578"/>
        <v>2827</v>
      </c>
      <c r="U1822" t="str">
        <f t="shared" si="579"/>
        <v>CA_Ventu_2020g~moorpark city mayor (vote 1)</v>
      </c>
      <c r="X1822" s="71"/>
      <c r="Z1822" s="44"/>
      <c r="AF1822" s="22"/>
    </row>
    <row r="1823" spans="1:38">
      <c r="A1823" t="str">
        <f t="shared" si="572"/>
        <v>CA_Ventu_2020g~moorpark city mayor (vote 1)</v>
      </c>
      <c r="B1823" s="55" t="s">
        <v>4471</v>
      </c>
      <c r="D1823" s="55" t="s">
        <v>4298</v>
      </c>
      <c r="E1823" s="54" t="s">
        <v>4351</v>
      </c>
      <c r="F1823" s="12"/>
      <c r="G1823" s="61">
        <v>6622</v>
      </c>
      <c r="H1823" s="26"/>
      <c r="I1823" s="25"/>
      <c r="N1823"/>
      <c r="O1823">
        <f t="shared" si="573"/>
        <v>2</v>
      </c>
      <c r="P1823" s="57">
        <f t="shared" si="574"/>
        <v>1</v>
      </c>
      <c r="Q1823" s="267">
        <f t="shared" si="575"/>
        <v>9513</v>
      </c>
      <c r="R1823" s="23" t="str">
        <f t="shared" si="576"/>
        <v/>
      </c>
      <c r="S1823" s="23">
        <f t="shared" si="577"/>
        <v>6622</v>
      </c>
      <c r="T1823" s="23" t="str">
        <f t="shared" si="578"/>
        <v/>
      </c>
      <c r="U1823" t="str">
        <f t="shared" si="579"/>
        <v/>
      </c>
      <c r="X1823" s="71"/>
      <c r="Z1823" s="44"/>
      <c r="AF1823" s="22"/>
    </row>
    <row r="1824" spans="1:38">
      <c r="A1824" t="str">
        <f t="shared" si="572"/>
        <v>CA_Ventu_2020g~moorpark city mayor (vote 1)</v>
      </c>
      <c r="B1824" s="55" t="s">
        <v>4471</v>
      </c>
      <c r="D1824" s="55" t="s">
        <v>4298</v>
      </c>
      <c r="E1824" s="54" t="s">
        <v>4299</v>
      </c>
      <c r="F1824" s="12"/>
      <c r="G1824" s="61">
        <v>2891</v>
      </c>
      <c r="H1824" s="26"/>
      <c r="I1824" s="25"/>
      <c r="N1824"/>
      <c r="O1824">
        <f t="shared" si="573"/>
        <v>3</v>
      </c>
      <c r="P1824" s="57">
        <f t="shared" si="574"/>
        <v>1</v>
      </c>
      <c r="Q1824" s="267">
        <f t="shared" si="575"/>
        <v>2891</v>
      </c>
      <c r="R1824" s="23" t="str">
        <f t="shared" si="576"/>
        <v/>
      </c>
      <c r="S1824" s="23">
        <f t="shared" si="577"/>
        <v>2891</v>
      </c>
      <c r="T1824" s="23" t="str">
        <f t="shared" si="578"/>
        <v/>
      </c>
      <c r="U1824" t="str">
        <f t="shared" si="579"/>
        <v/>
      </c>
      <c r="X1824" s="71"/>
      <c r="Z1824" s="44"/>
      <c r="AF1824" s="22"/>
    </row>
    <row r="1825" spans="1:45">
      <c r="A1825" t="str">
        <f t="shared" si="572"/>
        <v>CA_Ventu_2020g~moorpark unified school district area 5 (vote 1)</v>
      </c>
      <c r="B1825" s="55" t="s">
        <v>4471</v>
      </c>
      <c r="D1825" s="55" t="s">
        <v>4214</v>
      </c>
      <c r="E1825" s="54" t="s">
        <v>4257</v>
      </c>
      <c r="F1825" s="12"/>
      <c r="G1825" s="61">
        <v>1592</v>
      </c>
      <c r="H1825" s="26"/>
      <c r="I1825" s="25"/>
      <c r="N1825"/>
      <c r="O1825">
        <f t="shared" si="573"/>
        <v>1</v>
      </c>
      <c r="P1825" s="57">
        <f t="shared" si="574"/>
        <v>1</v>
      </c>
      <c r="Q1825" s="267">
        <f t="shared" si="575"/>
        <v>3432</v>
      </c>
      <c r="R1825" s="23">
        <f t="shared" si="576"/>
        <v>1592</v>
      </c>
      <c r="S1825" s="23">
        <f t="shared" si="577"/>
        <v>1141</v>
      </c>
      <c r="T1825" s="23">
        <f t="shared" si="578"/>
        <v>451</v>
      </c>
      <c r="U1825" t="str">
        <f t="shared" si="579"/>
        <v>CA_Ventu_2020g~moorpark unified school district area 5 (vote 1)</v>
      </c>
      <c r="X1825" s="71"/>
      <c r="Z1825" s="44"/>
      <c r="AF1825" s="22"/>
    </row>
    <row r="1826" spans="1:45">
      <c r="A1826" t="str">
        <f t="shared" si="572"/>
        <v>CA_Ventu_2020g~moorpark unified school district area 5 (vote 1)</v>
      </c>
      <c r="B1826" s="55" t="s">
        <v>4471</v>
      </c>
      <c r="D1826" s="55" t="s">
        <v>4214</v>
      </c>
      <c r="E1826" s="54" t="s">
        <v>4242</v>
      </c>
      <c r="F1826" s="12"/>
      <c r="G1826" s="61">
        <v>1141</v>
      </c>
      <c r="H1826" s="26"/>
      <c r="I1826" s="25"/>
      <c r="N1826"/>
      <c r="O1826">
        <f t="shared" si="573"/>
        <v>2</v>
      </c>
      <c r="P1826" s="57">
        <f t="shared" si="574"/>
        <v>1</v>
      </c>
      <c r="Q1826" s="267">
        <f t="shared" si="575"/>
        <v>1840</v>
      </c>
      <c r="R1826" s="23" t="str">
        <f t="shared" si="576"/>
        <v/>
      </c>
      <c r="S1826" s="23">
        <f t="shared" si="577"/>
        <v>1141</v>
      </c>
      <c r="T1826" s="23" t="str">
        <f t="shared" si="578"/>
        <v/>
      </c>
      <c r="U1826" t="str">
        <f t="shared" si="579"/>
        <v/>
      </c>
      <c r="X1826" s="71"/>
      <c r="Z1826" s="44"/>
      <c r="AF1826" s="22"/>
    </row>
    <row r="1827" spans="1:45">
      <c r="A1827" t="str">
        <f t="shared" si="572"/>
        <v>CA_Ventu_2020g~moorpark unified school district area 5 (vote 1)</v>
      </c>
      <c r="B1827" s="55" t="s">
        <v>4471</v>
      </c>
      <c r="D1827" s="55" t="s">
        <v>4214</v>
      </c>
      <c r="E1827" s="54" t="s">
        <v>4215</v>
      </c>
      <c r="F1827" s="12"/>
      <c r="G1827" s="61">
        <v>699</v>
      </c>
      <c r="H1827" s="26"/>
      <c r="I1827" s="25"/>
      <c r="N1827"/>
      <c r="O1827">
        <f t="shared" si="573"/>
        <v>3</v>
      </c>
      <c r="P1827" s="57">
        <f t="shared" si="574"/>
        <v>1</v>
      </c>
      <c r="Q1827" s="267">
        <f t="shared" si="575"/>
        <v>699</v>
      </c>
      <c r="R1827" s="23" t="str">
        <f t="shared" si="576"/>
        <v/>
      </c>
      <c r="S1827" s="23">
        <f t="shared" si="577"/>
        <v>699</v>
      </c>
      <c r="T1827" s="23" t="str">
        <f t="shared" si="578"/>
        <v/>
      </c>
      <c r="U1827" t="str">
        <f t="shared" si="579"/>
        <v/>
      </c>
      <c r="X1827" s="71"/>
      <c r="Z1827" s="44"/>
      <c r="AL1827" s="344"/>
    </row>
    <row r="1828" spans="1:45">
      <c r="A1828" t="str">
        <f t="shared" si="572"/>
        <v>CA_Ventu_2020g~oak park mac (vote 1)</v>
      </c>
      <c r="B1828" s="55" t="s">
        <v>4471</v>
      </c>
      <c r="D1828" s="55" t="s">
        <v>4309</v>
      </c>
      <c r="E1828" s="54" t="s">
        <v>4329</v>
      </c>
      <c r="F1828" s="12"/>
      <c r="G1828" s="61">
        <v>4155</v>
      </c>
      <c r="H1828" s="26"/>
      <c r="I1828" s="25"/>
      <c r="N1828"/>
      <c r="O1828">
        <f t="shared" si="573"/>
        <v>1</v>
      </c>
      <c r="P1828" s="57">
        <f t="shared" si="574"/>
        <v>1</v>
      </c>
      <c r="Q1828" s="267">
        <f t="shared" si="575"/>
        <v>11052</v>
      </c>
      <c r="R1828" s="23">
        <f t="shared" si="576"/>
        <v>4155</v>
      </c>
      <c r="S1828" s="23">
        <f t="shared" si="577"/>
        <v>3672</v>
      </c>
      <c r="T1828" s="23">
        <f t="shared" si="578"/>
        <v>483</v>
      </c>
      <c r="U1828" t="str">
        <f t="shared" si="579"/>
        <v>CA_Ventu_2020g~oak park mac (vote 1)</v>
      </c>
      <c r="X1828" s="71"/>
      <c r="Z1828" s="44"/>
      <c r="AF1828" s="22"/>
    </row>
    <row r="1829" spans="1:45">
      <c r="A1829" t="str">
        <f t="shared" si="572"/>
        <v>CA_Ventu_2020g~oak park mac (vote 1)</v>
      </c>
      <c r="B1829" s="55" t="s">
        <v>4471</v>
      </c>
      <c r="D1829" s="55" t="s">
        <v>4309</v>
      </c>
      <c r="E1829" s="54" t="s">
        <v>4324</v>
      </c>
      <c r="F1829" s="12"/>
      <c r="G1829" s="61">
        <v>3672</v>
      </c>
      <c r="H1829" s="26"/>
      <c r="I1829" s="25"/>
      <c r="N1829"/>
      <c r="O1829">
        <f t="shared" si="573"/>
        <v>2</v>
      </c>
      <c r="P1829" s="57">
        <f t="shared" si="574"/>
        <v>1</v>
      </c>
      <c r="Q1829" s="267">
        <f t="shared" si="575"/>
        <v>6897</v>
      </c>
      <c r="R1829" s="23" t="str">
        <f t="shared" si="576"/>
        <v/>
      </c>
      <c r="S1829" s="23">
        <f t="shared" si="577"/>
        <v>3672</v>
      </c>
      <c r="T1829" s="23" t="str">
        <f t="shared" si="578"/>
        <v/>
      </c>
      <c r="U1829" t="str">
        <f t="shared" si="579"/>
        <v/>
      </c>
      <c r="X1829" s="71"/>
      <c r="Z1829" s="44"/>
      <c r="AF1829" s="22"/>
      <c r="AL1829" s="23"/>
    </row>
    <row r="1830" spans="1:45">
      <c r="A1830" t="str">
        <f t="shared" si="572"/>
        <v>CA_Ventu_2020g~oak park mac (vote 1)</v>
      </c>
      <c r="B1830" s="55" t="s">
        <v>4471</v>
      </c>
      <c r="D1830" s="55" t="s">
        <v>4309</v>
      </c>
      <c r="E1830" s="54" t="s">
        <v>4310</v>
      </c>
      <c r="F1830" s="12"/>
      <c r="G1830" s="61">
        <v>3225</v>
      </c>
      <c r="H1830" s="26"/>
      <c r="I1830" s="25"/>
      <c r="N1830"/>
      <c r="O1830">
        <f t="shared" si="573"/>
        <v>3</v>
      </c>
      <c r="P1830" s="57">
        <f t="shared" si="574"/>
        <v>1</v>
      </c>
      <c r="Q1830" s="267">
        <f t="shared" si="575"/>
        <v>3225</v>
      </c>
      <c r="R1830" s="23" t="str">
        <f t="shared" si="576"/>
        <v/>
      </c>
      <c r="S1830" s="23">
        <f t="shared" si="577"/>
        <v>3225</v>
      </c>
      <c r="T1830" s="23" t="str">
        <f t="shared" si="578"/>
        <v/>
      </c>
      <c r="U1830" t="str">
        <f t="shared" si="579"/>
        <v/>
      </c>
      <c r="X1830" s="71"/>
      <c r="Z1830" s="44"/>
      <c r="AF1830" s="22"/>
    </row>
    <row r="1831" spans="1:45">
      <c r="A1831" t="str">
        <f t="shared" si="572"/>
        <v>CA_Ventu_2020g~ojai city clerk (vote 1)</v>
      </c>
      <c r="B1831" s="55" t="s">
        <v>4471</v>
      </c>
      <c r="D1831" s="55" t="s">
        <v>4318</v>
      </c>
      <c r="E1831" s="54" t="s">
        <v>4319</v>
      </c>
      <c r="F1831" s="12"/>
      <c r="G1831" s="61">
        <v>3595</v>
      </c>
      <c r="H1831" s="26"/>
      <c r="I1831" s="25"/>
      <c r="N1831"/>
      <c r="O1831">
        <f t="shared" si="573"/>
        <v>1</v>
      </c>
      <c r="P1831" s="57">
        <f t="shared" si="574"/>
        <v>1</v>
      </c>
      <c r="Q1831" s="267">
        <f t="shared" si="575"/>
        <v>3595</v>
      </c>
      <c r="R1831" s="23">
        <f t="shared" si="576"/>
        <v>3595</v>
      </c>
      <c r="S1831" s="23">
        <f t="shared" si="577"/>
        <v>0</v>
      </c>
      <c r="T1831" s="23" t="str">
        <f t="shared" si="578"/>
        <v/>
      </c>
      <c r="U1831" t="str">
        <f t="shared" si="579"/>
        <v>CA_Ventu_2020g~ojai city clerk (vote 1)</v>
      </c>
      <c r="X1831" s="71"/>
      <c r="Z1831" s="44"/>
      <c r="AF1831" s="22"/>
    </row>
    <row r="1832" spans="1:45">
      <c r="A1832" t="str">
        <f t="shared" si="572"/>
        <v>CA_Ventu_2020g~ojai city council district 4 (vote 1)</v>
      </c>
      <c r="B1832" s="55" t="s">
        <v>4471</v>
      </c>
      <c r="D1832" s="55" t="s">
        <v>4193</v>
      </c>
      <c r="E1832" s="54" t="s">
        <v>4211</v>
      </c>
      <c r="F1832" s="12"/>
      <c r="G1832" s="61">
        <v>681</v>
      </c>
      <c r="H1832" s="26"/>
      <c r="I1832" s="25"/>
      <c r="N1832"/>
      <c r="O1832">
        <f t="shared" si="573"/>
        <v>1</v>
      </c>
      <c r="P1832" s="57">
        <f t="shared" si="574"/>
        <v>1</v>
      </c>
      <c r="Q1832" s="267">
        <f t="shared" si="575"/>
        <v>1187</v>
      </c>
      <c r="R1832" s="23">
        <f t="shared" si="576"/>
        <v>681</v>
      </c>
      <c r="S1832" s="23">
        <f t="shared" si="577"/>
        <v>506</v>
      </c>
      <c r="T1832" s="23">
        <f t="shared" si="578"/>
        <v>175</v>
      </c>
      <c r="U1832" t="str">
        <f t="shared" si="579"/>
        <v>CA_Ventu_2020g~ojai city council district 4 (vote 1)</v>
      </c>
      <c r="X1832" s="71"/>
      <c r="Z1832" s="44"/>
      <c r="AF1832" s="22"/>
      <c r="AH1832" s="8"/>
    </row>
    <row r="1833" spans="1:45">
      <c r="A1833" t="str">
        <f t="shared" si="572"/>
        <v>CA_Ventu_2020g~ojai city council district 4 (vote 1)</v>
      </c>
      <c r="B1833" s="55" t="s">
        <v>4471</v>
      </c>
      <c r="D1833" s="55" t="s">
        <v>4193</v>
      </c>
      <c r="E1833" s="54" t="s">
        <v>4194</v>
      </c>
      <c r="F1833" s="12"/>
      <c r="G1833" s="61">
        <v>506</v>
      </c>
      <c r="H1833" s="26"/>
      <c r="I1833" s="25"/>
      <c r="N1833"/>
      <c r="O1833">
        <f t="shared" si="573"/>
        <v>2</v>
      </c>
      <c r="P1833" s="57">
        <f t="shared" si="574"/>
        <v>1</v>
      </c>
      <c r="Q1833" s="267">
        <f t="shared" si="575"/>
        <v>506</v>
      </c>
      <c r="R1833" s="23" t="str">
        <f t="shared" si="576"/>
        <v/>
      </c>
      <c r="S1833" s="23">
        <f t="shared" si="577"/>
        <v>506</v>
      </c>
      <c r="T1833" s="23" t="str">
        <f t="shared" si="578"/>
        <v/>
      </c>
      <c r="U1833" t="str">
        <f t="shared" si="579"/>
        <v/>
      </c>
      <c r="X1833" s="71"/>
      <c r="Z1833" s="44"/>
      <c r="AF1833" s="22"/>
    </row>
    <row r="1834" spans="1:45">
      <c r="A1834" t="str">
        <f t="shared" si="572"/>
        <v>CA_Ventu_2020g~ojai city mayor (vote 1)</v>
      </c>
      <c r="B1834" s="55" t="s">
        <v>4471</v>
      </c>
      <c r="D1834" s="55" t="s">
        <v>4260</v>
      </c>
      <c r="E1834" s="54" t="s">
        <v>4296</v>
      </c>
      <c r="F1834" s="12"/>
      <c r="G1834" s="61">
        <v>2877</v>
      </c>
      <c r="H1834" s="26"/>
      <c r="I1834" s="25"/>
      <c r="N1834"/>
      <c r="O1834">
        <f t="shared" si="573"/>
        <v>1</v>
      </c>
      <c r="P1834" s="57">
        <f t="shared" si="574"/>
        <v>1</v>
      </c>
      <c r="Q1834" s="267">
        <f t="shared" si="575"/>
        <v>4487</v>
      </c>
      <c r="R1834" s="23">
        <f t="shared" si="576"/>
        <v>2877</v>
      </c>
      <c r="S1834" s="23">
        <f t="shared" si="577"/>
        <v>1610</v>
      </c>
      <c r="T1834" s="23">
        <f t="shared" si="578"/>
        <v>1267</v>
      </c>
      <c r="U1834" t="str">
        <f t="shared" si="579"/>
        <v>CA_Ventu_2020g~ojai city mayor (vote 1)</v>
      </c>
      <c r="X1834" s="71"/>
      <c r="Z1834" s="44"/>
      <c r="AF1834" s="22"/>
      <c r="AO1834" s="356"/>
      <c r="AP1834" s="356"/>
      <c r="AQ1834" s="394"/>
      <c r="AR1834" s="394"/>
      <c r="AS1834" s="394"/>
    </row>
    <row r="1835" spans="1:45">
      <c r="A1835" t="str">
        <f t="shared" si="572"/>
        <v>CA_Ventu_2020g~ojai city mayor (vote 1)</v>
      </c>
      <c r="B1835" s="55" t="s">
        <v>4471</v>
      </c>
      <c r="D1835" s="55" t="s">
        <v>4260</v>
      </c>
      <c r="E1835" s="54" t="s">
        <v>4261</v>
      </c>
      <c r="F1835" s="12"/>
      <c r="G1835" s="61">
        <v>1610</v>
      </c>
      <c r="H1835" s="26"/>
      <c r="I1835" s="25"/>
      <c r="N1835"/>
      <c r="O1835">
        <f t="shared" si="573"/>
        <v>2</v>
      </c>
      <c r="P1835" s="57">
        <f t="shared" si="574"/>
        <v>1</v>
      </c>
      <c r="Q1835" s="267">
        <f t="shared" si="575"/>
        <v>1610</v>
      </c>
      <c r="R1835" s="23" t="str">
        <f t="shared" si="576"/>
        <v/>
      </c>
      <c r="S1835" s="23">
        <f t="shared" si="577"/>
        <v>1610</v>
      </c>
      <c r="T1835" s="23" t="str">
        <f t="shared" si="578"/>
        <v/>
      </c>
      <c r="U1835" t="str">
        <f t="shared" si="579"/>
        <v/>
      </c>
      <c r="X1835" s="71"/>
      <c r="Z1835" s="44"/>
      <c r="AF1835" s="22"/>
    </row>
    <row r="1836" spans="1:45">
      <c r="A1836" t="str">
        <f t="shared" si="572"/>
        <v>CA_Ventu_2020g~ojai city treasurer (vote 1)</v>
      </c>
      <c r="B1836" s="55" t="s">
        <v>4471</v>
      </c>
      <c r="D1836" s="55" t="s">
        <v>4320</v>
      </c>
      <c r="E1836" s="54" t="s">
        <v>4321</v>
      </c>
      <c r="F1836" s="12"/>
      <c r="G1836" s="61">
        <v>3647</v>
      </c>
      <c r="H1836" s="26"/>
      <c r="I1836" s="25"/>
      <c r="N1836"/>
      <c r="O1836">
        <f t="shared" si="573"/>
        <v>1</v>
      </c>
      <c r="P1836" s="57">
        <f t="shared" si="574"/>
        <v>1</v>
      </c>
      <c r="Q1836" s="267">
        <f t="shared" si="575"/>
        <v>3647</v>
      </c>
      <c r="R1836" s="23">
        <f t="shared" si="576"/>
        <v>3647</v>
      </c>
      <c r="S1836" s="23">
        <f t="shared" si="577"/>
        <v>0</v>
      </c>
      <c r="T1836" s="23" t="str">
        <f t="shared" si="578"/>
        <v/>
      </c>
      <c r="U1836" t="str">
        <f t="shared" si="579"/>
        <v>CA_Ventu_2020g~ojai city treasurer (vote 1)</v>
      </c>
      <c r="X1836" s="71"/>
      <c r="Z1836" s="44"/>
      <c r="AL1836" s="23"/>
    </row>
    <row r="1837" spans="1:45">
      <c r="A1837" t="str">
        <f t="shared" si="572"/>
        <v>CA_Ventu_2020g~ojai unified school district area 2 (vote 1)</v>
      </c>
      <c r="B1837" s="55" t="s">
        <v>4471</v>
      </c>
      <c r="D1837" s="55" t="s">
        <v>4226</v>
      </c>
      <c r="E1837" s="54" t="s">
        <v>4248</v>
      </c>
      <c r="F1837" s="12"/>
      <c r="G1837" s="61">
        <v>1356</v>
      </c>
      <c r="H1837" s="26"/>
      <c r="I1837" s="25"/>
      <c r="N1837"/>
      <c r="O1837">
        <f t="shared" si="573"/>
        <v>1</v>
      </c>
      <c r="P1837" s="57">
        <f t="shared" si="574"/>
        <v>1</v>
      </c>
      <c r="Q1837" s="267">
        <f t="shared" si="575"/>
        <v>2205</v>
      </c>
      <c r="R1837" s="23">
        <f t="shared" si="576"/>
        <v>1356</v>
      </c>
      <c r="S1837" s="23">
        <f t="shared" si="577"/>
        <v>849</v>
      </c>
      <c r="T1837" s="23">
        <f t="shared" si="578"/>
        <v>507</v>
      </c>
      <c r="U1837" t="str">
        <f t="shared" si="579"/>
        <v>CA_Ventu_2020g~ojai unified school district area 2 (vote 1)</v>
      </c>
      <c r="X1837" s="71"/>
      <c r="Z1837" s="44"/>
      <c r="AF1837" s="22"/>
      <c r="AL1837" s="344"/>
    </row>
    <row r="1838" spans="1:45">
      <c r="A1838" t="str">
        <f t="shared" si="572"/>
        <v>CA_Ventu_2020g~ojai unified school district area 2 (vote 1)</v>
      </c>
      <c r="B1838" s="55" t="s">
        <v>4471</v>
      </c>
      <c r="D1838" s="55" t="s">
        <v>4226</v>
      </c>
      <c r="E1838" s="54" t="s">
        <v>4227</v>
      </c>
      <c r="F1838" s="12"/>
      <c r="G1838" s="61">
        <v>849</v>
      </c>
      <c r="H1838" s="26"/>
      <c r="I1838" s="25"/>
      <c r="N1838"/>
      <c r="O1838">
        <f t="shared" si="573"/>
        <v>2</v>
      </c>
      <c r="P1838" s="57">
        <f t="shared" si="574"/>
        <v>1</v>
      </c>
      <c r="Q1838" s="267">
        <f t="shared" si="575"/>
        <v>849</v>
      </c>
      <c r="R1838" s="23" t="str">
        <f t="shared" si="576"/>
        <v/>
      </c>
      <c r="S1838" s="23">
        <f t="shared" si="577"/>
        <v>849</v>
      </c>
      <c r="T1838" s="23" t="str">
        <f t="shared" si="578"/>
        <v/>
      </c>
      <c r="U1838" t="str">
        <f t="shared" si="579"/>
        <v/>
      </c>
      <c r="X1838" s="71"/>
      <c r="Z1838" s="44"/>
      <c r="AF1838" s="22"/>
      <c r="AH1838" s="8"/>
    </row>
    <row r="1839" spans="1:45">
      <c r="A1839" t="str">
        <f t="shared" si="572"/>
        <v>CA_Ventu_2020g~ojai unified school district area 4 (vote 1)</v>
      </c>
      <c r="B1839" s="55" t="s">
        <v>4471</v>
      </c>
      <c r="D1839" s="55" t="s">
        <v>4234</v>
      </c>
      <c r="E1839" s="54" t="s">
        <v>4262</v>
      </c>
      <c r="F1839" s="12"/>
      <c r="G1839" s="61">
        <v>1678</v>
      </c>
      <c r="H1839" s="26"/>
      <c r="I1839" s="25"/>
      <c r="N1839"/>
      <c r="O1839">
        <f t="shared" si="573"/>
        <v>1</v>
      </c>
      <c r="P1839" s="57">
        <f t="shared" si="574"/>
        <v>1</v>
      </c>
      <c r="Q1839" s="267">
        <f t="shared" si="575"/>
        <v>2641</v>
      </c>
      <c r="R1839" s="23">
        <f t="shared" si="576"/>
        <v>1678</v>
      </c>
      <c r="S1839" s="23">
        <f t="shared" si="577"/>
        <v>963</v>
      </c>
      <c r="T1839" s="23">
        <f t="shared" si="578"/>
        <v>715</v>
      </c>
      <c r="U1839" t="str">
        <f t="shared" si="579"/>
        <v>CA_Ventu_2020g~ojai unified school district area 4 (vote 1)</v>
      </c>
      <c r="X1839" s="71"/>
      <c r="Z1839" s="44"/>
      <c r="AF1839" s="22"/>
    </row>
    <row r="1840" spans="1:45">
      <c r="A1840" t="str">
        <f t="shared" si="572"/>
        <v>CA_Ventu_2020g~ojai unified school district area 4 (vote 1)</v>
      </c>
      <c r="B1840" s="55" t="s">
        <v>4471</v>
      </c>
      <c r="D1840" s="55" t="s">
        <v>4234</v>
      </c>
      <c r="E1840" s="54" t="s">
        <v>4235</v>
      </c>
      <c r="F1840" s="12"/>
      <c r="G1840" s="61">
        <v>963</v>
      </c>
      <c r="H1840" s="26"/>
      <c r="I1840" s="25"/>
      <c r="N1840"/>
      <c r="O1840">
        <f t="shared" si="573"/>
        <v>2</v>
      </c>
      <c r="P1840" s="57">
        <f t="shared" si="574"/>
        <v>1</v>
      </c>
      <c r="Q1840" s="267">
        <f t="shared" si="575"/>
        <v>963</v>
      </c>
      <c r="R1840" s="23" t="str">
        <f t="shared" si="576"/>
        <v/>
      </c>
      <c r="S1840" s="23">
        <f t="shared" si="577"/>
        <v>963</v>
      </c>
      <c r="T1840" s="23" t="str">
        <f t="shared" si="578"/>
        <v/>
      </c>
      <c r="U1840" t="str">
        <f t="shared" si="579"/>
        <v/>
      </c>
      <c r="X1840" s="71"/>
      <c r="Z1840" s="44"/>
      <c r="AF1840" s="22"/>
    </row>
    <row r="1841" spans="1:45">
      <c r="A1841" t="str">
        <f t="shared" ref="A1841:A1904" si="580">CONCATENATE(B1841,"~",LOWER(D1841),IF(RIGHT(D1841,1)=")",""," (vote 1)"))</f>
        <v>CA_Ventu_2020g~ojai valley sanitary dist div 3 (vote 1)</v>
      </c>
      <c r="B1841" s="55" t="s">
        <v>4471</v>
      </c>
      <c r="D1841" s="55" t="s">
        <v>4219</v>
      </c>
      <c r="E1841" s="54" t="s">
        <v>4243</v>
      </c>
      <c r="F1841" s="12"/>
      <c r="G1841" s="61">
        <v>1178</v>
      </c>
      <c r="H1841" s="26"/>
      <c r="I1841" s="25"/>
      <c r="N1841"/>
      <c r="O1841">
        <f t="shared" si="573"/>
        <v>1</v>
      </c>
      <c r="P1841" s="57">
        <f t="shared" si="574"/>
        <v>1</v>
      </c>
      <c r="Q1841" s="267">
        <f t="shared" si="575"/>
        <v>1903</v>
      </c>
      <c r="R1841" s="23">
        <f t="shared" si="576"/>
        <v>1178</v>
      </c>
      <c r="S1841" s="23">
        <f t="shared" si="577"/>
        <v>725</v>
      </c>
      <c r="T1841" s="23">
        <f t="shared" si="578"/>
        <v>453</v>
      </c>
      <c r="U1841" t="str">
        <f t="shared" si="579"/>
        <v>CA_Ventu_2020g~ojai valley sanitary dist div 3 (vote 1)</v>
      </c>
      <c r="X1841" s="71"/>
      <c r="Z1841" s="44"/>
      <c r="AF1841" s="22"/>
    </row>
    <row r="1842" spans="1:45">
      <c r="A1842" t="str">
        <f t="shared" si="580"/>
        <v>CA_Ventu_2020g~ojai valley sanitary dist div 3 (vote 1)</v>
      </c>
      <c r="B1842" s="55" t="s">
        <v>4471</v>
      </c>
      <c r="D1842" s="55" t="s">
        <v>4219</v>
      </c>
      <c r="E1842" s="54" t="s">
        <v>4220</v>
      </c>
      <c r="F1842" s="12"/>
      <c r="G1842" s="61">
        <v>725</v>
      </c>
      <c r="H1842" s="26"/>
      <c r="I1842" s="25"/>
      <c r="N1842"/>
      <c r="O1842">
        <f t="shared" si="573"/>
        <v>2</v>
      </c>
      <c r="P1842" s="57">
        <f t="shared" si="574"/>
        <v>1</v>
      </c>
      <c r="Q1842" s="267">
        <f t="shared" si="575"/>
        <v>725</v>
      </c>
      <c r="R1842" s="23" t="str">
        <f t="shared" si="576"/>
        <v/>
      </c>
      <c r="S1842" s="23">
        <f t="shared" si="577"/>
        <v>725</v>
      </c>
      <c r="T1842" s="23" t="str">
        <f t="shared" si="578"/>
        <v/>
      </c>
      <c r="U1842" t="str">
        <f t="shared" si="579"/>
        <v/>
      </c>
      <c r="X1842" s="71"/>
      <c r="Z1842" s="44"/>
      <c r="AH1842" s="8"/>
    </row>
    <row r="1843" spans="1:45">
      <c r="A1843" t="str">
        <f t="shared" si="580"/>
        <v>CA_Ventu_2020g~ojai valley sanitary dist div 5 (vote 1)</v>
      </c>
      <c r="B1843" s="55" t="s">
        <v>4471</v>
      </c>
      <c r="D1843" s="55" t="s">
        <v>4221</v>
      </c>
      <c r="E1843" s="54" t="s">
        <v>4238</v>
      </c>
      <c r="F1843" s="12"/>
      <c r="G1843" s="61">
        <v>1000</v>
      </c>
      <c r="H1843" s="26"/>
      <c r="I1843" s="25"/>
      <c r="N1843"/>
      <c r="O1843">
        <f t="shared" si="573"/>
        <v>1</v>
      </c>
      <c r="P1843" s="57">
        <f t="shared" si="574"/>
        <v>1</v>
      </c>
      <c r="Q1843" s="267">
        <f t="shared" si="575"/>
        <v>1799</v>
      </c>
      <c r="R1843" s="23">
        <f t="shared" si="576"/>
        <v>1000</v>
      </c>
      <c r="S1843" s="23">
        <f t="shared" si="577"/>
        <v>799</v>
      </c>
      <c r="T1843" s="23">
        <f t="shared" si="578"/>
        <v>201</v>
      </c>
      <c r="U1843" t="str">
        <f t="shared" si="579"/>
        <v>CA_Ventu_2020g~ojai valley sanitary dist div 5 (vote 1)</v>
      </c>
      <c r="X1843" s="71"/>
      <c r="Z1843" s="44"/>
      <c r="AG1843" s="23"/>
      <c r="AH1843" s="8"/>
    </row>
    <row r="1844" spans="1:45">
      <c r="A1844" t="str">
        <f t="shared" si="580"/>
        <v>CA_Ventu_2020g~ojai valley sanitary dist div 5 (vote 1)</v>
      </c>
      <c r="B1844" s="55" t="s">
        <v>4471</v>
      </c>
      <c r="D1844" s="55" t="s">
        <v>4221</v>
      </c>
      <c r="E1844" s="54" t="s">
        <v>4222</v>
      </c>
      <c r="F1844" s="12"/>
      <c r="G1844" s="61">
        <v>799</v>
      </c>
      <c r="H1844" s="26"/>
      <c r="I1844" s="25"/>
      <c r="N1844"/>
      <c r="O1844">
        <f t="shared" si="573"/>
        <v>2</v>
      </c>
      <c r="P1844" s="57">
        <f t="shared" si="574"/>
        <v>1</v>
      </c>
      <c r="Q1844" s="267">
        <f t="shared" si="575"/>
        <v>799</v>
      </c>
      <c r="R1844" s="23" t="str">
        <f t="shared" si="576"/>
        <v/>
      </c>
      <c r="S1844" s="23">
        <f t="shared" si="577"/>
        <v>799</v>
      </c>
      <c r="T1844" s="23" t="str">
        <f t="shared" si="578"/>
        <v/>
      </c>
      <c r="U1844" t="str">
        <f t="shared" si="579"/>
        <v/>
      </c>
      <c r="X1844" s="71"/>
      <c r="Z1844" s="44"/>
      <c r="AF1844" s="22"/>
      <c r="AL1844" s="344"/>
    </row>
    <row r="1845" spans="1:45">
      <c r="A1845" t="str">
        <f t="shared" si="580"/>
        <v>CA_Ventu_2020g~oxnard city clerk (vote 1)</v>
      </c>
      <c r="B1845" s="55" t="s">
        <v>4471</v>
      </c>
      <c r="D1845" s="55" t="s">
        <v>4441</v>
      </c>
      <c r="E1845" s="54" t="s">
        <v>4442</v>
      </c>
      <c r="F1845" s="12"/>
      <c r="G1845" s="61">
        <v>56037</v>
      </c>
      <c r="H1845" s="26"/>
      <c r="I1845" s="25"/>
      <c r="N1845"/>
      <c r="O1845">
        <f t="shared" si="573"/>
        <v>1</v>
      </c>
      <c r="P1845" s="57">
        <f t="shared" si="574"/>
        <v>1</v>
      </c>
      <c r="Q1845" s="267">
        <f t="shared" si="575"/>
        <v>56037</v>
      </c>
      <c r="R1845" s="23">
        <f t="shared" si="576"/>
        <v>56037</v>
      </c>
      <c r="S1845" s="23">
        <f t="shared" si="577"/>
        <v>0</v>
      </c>
      <c r="T1845" s="23" t="str">
        <f t="shared" si="578"/>
        <v/>
      </c>
      <c r="U1845" t="str">
        <f t="shared" si="579"/>
        <v>CA_Ventu_2020g~oxnard city clerk (vote 1)</v>
      </c>
      <c r="X1845" s="71"/>
      <c r="Z1845" s="44"/>
      <c r="AF1845" s="258"/>
      <c r="AG1845" s="23"/>
      <c r="AH1845" s="8"/>
    </row>
    <row r="1846" spans="1:45">
      <c r="A1846" t="str">
        <f t="shared" si="580"/>
        <v>CA_Ventu_2020g~oxnard city council district 3 (vote 1)</v>
      </c>
      <c r="B1846" s="55" t="s">
        <v>4471</v>
      </c>
      <c r="D1846" s="55" t="s">
        <v>4289</v>
      </c>
      <c r="E1846" s="54" t="s">
        <v>4334</v>
      </c>
      <c r="F1846" s="12"/>
      <c r="G1846" s="61">
        <v>4860</v>
      </c>
      <c r="H1846" s="26"/>
      <c r="I1846" s="25"/>
      <c r="N1846"/>
      <c r="O1846">
        <f t="shared" si="573"/>
        <v>1</v>
      </c>
      <c r="P1846" s="57">
        <f t="shared" si="574"/>
        <v>1</v>
      </c>
      <c r="Q1846" s="267">
        <f t="shared" si="575"/>
        <v>10769</v>
      </c>
      <c r="R1846" s="23">
        <f t="shared" si="576"/>
        <v>4860</v>
      </c>
      <c r="S1846" s="23">
        <f t="shared" si="577"/>
        <v>3449</v>
      </c>
      <c r="T1846" s="23">
        <f t="shared" si="578"/>
        <v>1411</v>
      </c>
      <c r="U1846" t="str">
        <f t="shared" si="579"/>
        <v>CA_Ventu_2020g~oxnard city council district 3 (vote 1)</v>
      </c>
      <c r="X1846" s="71"/>
      <c r="Z1846" s="44"/>
      <c r="AF1846" s="22"/>
      <c r="AG1846" s="295"/>
      <c r="AH1846" s="294"/>
      <c r="AI1846" s="279"/>
      <c r="AJ1846" s="279"/>
      <c r="AL1846" s="341"/>
    </row>
    <row r="1847" spans="1:45">
      <c r="A1847" t="str">
        <f t="shared" si="580"/>
        <v>CA_Ventu_2020g~oxnard city council district 3 (vote 1)</v>
      </c>
      <c r="B1847" s="55" t="s">
        <v>4471</v>
      </c>
      <c r="D1847" s="55" t="s">
        <v>4289</v>
      </c>
      <c r="E1847" s="54" t="s">
        <v>4314</v>
      </c>
      <c r="F1847" s="12"/>
      <c r="G1847" s="61">
        <v>3449</v>
      </c>
      <c r="H1847" s="26"/>
      <c r="I1847" s="25"/>
      <c r="N1847"/>
      <c r="O1847">
        <f t="shared" si="573"/>
        <v>2</v>
      </c>
      <c r="P1847" s="57">
        <f t="shared" si="574"/>
        <v>1</v>
      </c>
      <c r="Q1847" s="267">
        <f t="shared" si="575"/>
        <v>5909</v>
      </c>
      <c r="R1847" s="23" t="str">
        <f t="shared" si="576"/>
        <v/>
      </c>
      <c r="S1847" s="23">
        <f t="shared" si="577"/>
        <v>3449</v>
      </c>
      <c r="T1847" s="23" t="str">
        <f t="shared" si="578"/>
        <v/>
      </c>
      <c r="U1847" t="str">
        <f t="shared" si="579"/>
        <v/>
      </c>
      <c r="X1847" s="71"/>
      <c r="Z1847" s="44"/>
      <c r="AG1847" s="295"/>
      <c r="AH1847" s="294"/>
      <c r="AI1847" s="279"/>
      <c r="AJ1847" s="279"/>
      <c r="AL1847" s="341"/>
    </row>
    <row r="1848" spans="1:45">
      <c r="A1848" t="str">
        <f t="shared" si="580"/>
        <v>CA_Ventu_2020g~oxnard city council district 3 (vote 1)</v>
      </c>
      <c r="B1848" s="55" t="s">
        <v>4471</v>
      </c>
      <c r="D1848" s="55" t="s">
        <v>4289</v>
      </c>
      <c r="E1848" s="54" t="s">
        <v>4290</v>
      </c>
      <c r="F1848" s="12"/>
      <c r="G1848" s="61">
        <v>2460</v>
      </c>
      <c r="H1848" s="26"/>
      <c r="I1848" s="25"/>
      <c r="N1848"/>
      <c r="O1848">
        <f t="shared" si="573"/>
        <v>3</v>
      </c>
      <c r="P1848" s="57">
        <f t="shared" si="574"/>
        <v>1</v>
      </c>
      <c r="Q1848" s="267">
        <f t="shared" si="575"/>
        <v>2460</v>
      </c>
      <c r="R1848" s="23" t="str">
        <f t="shared" si="576"/>
        <v/>
      </c>
      <c r="S1848" s="23">
        <f t="shared" si="577"/>
        <v>2460</v>
      </c>
      <c r="T1848" s="23" t="str">
        <f t="shared" si="578"/>
        <v/>
      </c>
      <c r="U1848" t="str">
        <f t="shared" si="579"/>
        <v/>
      </c>
      <c r="X1848" s="71"/>
      <c r="Z1848" s="44"/>
      <c r="AO1848" s="356"/>
      <c r="AP1848" s="356"/>
      <c r="AQ1848" s="394"/>
      <c r="AR1848" s="394"/>
      <c r="AS1848" s="394"/>
    </row>
    <row r="1849" spans="1:45">
      <c r="A1849" t="str">
        <f t="shared" si="580"/>
        <v>CA_Ventu_2020g~oxnard city council district 4 (vote 1)</v>
      </c>
      <c r="B1849" s="55" t="s">
        <v>4471</v>
      </c>
      <c r="D1849" s="55" t="s">
        <v>4189</v>
      </c>
      <c r="E1849" s="54" t="s">
        <v>4295</v>
      </c>
      <c r="F1849" s="12"/>
      <c r="G1849" s="61">
        <v>2827</v>
      </c>
      <c r="H1849" s="26"/>
      <c r="I1849" s="25"/>
      <c r="N1849"/>
      <c r="O1849">
        <f t="shared" si="573"/>
        <v>1</v>
      </c>
      <c r="P1849" s="57">
        <f t="shared" si="574"/>
        <v>1</v>
      </c>
      <c r="Q1849" s="267">
        <f t="shared" si="575"/>
        <v>8345</v>
      </c>
      <c r="R1849" s="23">
        <f t="shared" si="576"/>
        <v>2827</v>
      </c>
      <c r="S1849" s="23">
        <f t="shared" si="577"/>
        <v>2372</v>
      </c>
      <c r="T1849" s="23">
        <f t="shared" si="578"/>
        <v>455</v>
      </c>
      <c r="U1849" t="str">
        <f t="shared" si="579"/>
        <v>CA_Ventu_2020g~oxnard city council district 4 (vote 1)</v>
      </c>
      <c r="X1849" s="71"/>
      <c r="Z1849" s="44"/>
      <c r="AF1849" s="22"/>
    </row>
    <row r="1850" spans="1:45">
      <c r="A1850" t="str">
        <f t="shared" si="580"/>
        <v>CA_Ventu_2020g~oxnard city council district 4 (vote 1)</v>
      </c>
      <c r="B1850" s="55" t="s">
        <v>4471</v>
      </c>
      <c r="D1850" s="55" t="s">
        <v>4189</v>
      </c>
      <c r="E1850" s="54" t="s">
        <v>4286</v>
      </c>
      <c r="F1850" s="12"/>
      <c r="G1850" s="61">
        <v>2372</v>
      </c>
      <c r="H1850" s="26"/>
      <c r="I1850" s="25"/>
      <c r="N1850"/>
      <c r="O1850">
        <f t="shared" si="573"/>
        <v>2</v>
      </c>
      <c r="P1850" s="57">
        <f t="shared" si="574"/>
        <v>1</v>
      </c>
      <c r="Q1850" s="267">
        <f t="shared" si="575"/>
        <v>5518</v>
      </c>
      <c r="R1850" s="23" t="str">
        <f t="shared" si="576"/>
        <v/>
      </c>
      <c r="S1850" s="23">
        <f t="shared" si="577"/>
        <v>2372</v>
      </c>
      <c r="T1850" s="23" t="str">
        <f t="shared" si="578"/>
        <v/>
      </c>
      <c r="U1850" t="str">
        <f t="shared" si="579"/>
        <v/>
      </c>
      <c r="X1850" s="71"/>
      <c r="Z1850" s="44"/>
      <c r="AF1850" s="22"/>
    </row>
    <row r="1851" spans="1:45">
      <c r="A1851" t="str">
        <f t="shared" si="580"/>
        <v>CA_Ventu_2020g~oxnard city council district 4 (vote 1)</v>
      </c>
      <c r="B1851" s="55" t="s">
        <v>4471</v>
      </c>
      <c r="D1851" s="55" t="s">
        <v>4189</v>
      </c>
      <c r="E1851" s="54" t="s">
        <v>4272</v>
      </c>
      <c r="F1851" s="12"/>
      <c r="G1851" s="61">
        <v>1840</v>
      </c>
      <c r="H1851" s="26"/>
      <c r="I1851" s="25"/>
      <c r="N1851"/>
      <c r="O1851">
        <f t="shared" si="573"/>
        <v>3</v>
      </c>
      <c r="P1851" s="57">
        <f t="shared" si="574"/>
        <v>1</v>
      </c>
      <c r="Q1851" s="267">
        <f t="shared" si="575"/>
        <v>3146</v>
      </c>
      <c r="R1851" s="23" t="str">
        <f t="shared" si="576"/>
        <v/>
      </c>
      <c r="S1851" s="23">
        <f t="shared" si="577"/>
        <v>1840</v>
      </c>
      <c r="T1851" s="23" t="str">
        <f t="shared" si="578"/>
        <v/>
      </c>
      <c r="U1851" t="str">
        <f t="shared" si="579"/>
        <v/>
      </c>
      <c r="X1851" s="71"/>
      <c r="Z1851" s="44"/>
      <c r="AF1851" s="22"/>
    </row>
    <row r="1852" spans="1:45">
      <c r="A1852" t="str">
        <f t="shared" si="580"/>
        <v>CA_Ventu_2020g~oxnard city council district 4 (vote 1)</v>
      </c>
      <c r="B1852" s="55" t="s">
        <v>4471</v>
      </c>
      <c r="D1852" s="55" t="s">
        <v>4189</v>
      </c>
      <c r="E1852" s="54" t="s">
        <v>4231</v>
      </c>
      <c r="F1852" s="12"/>
      <c r="G1852" s="61">
        <v>903</v>
      </c>
      <c r="H1852" s="26"/>
      <c r="I1852" s="25"/>
      <c r="N1852"/>
      <c r="O1852">
        <f t="shared" si="573"/>
        <v>4</v>
      </c>
      <c r="P1852" s="57">
        <f t="shared" si="574"/>
        <v>1</v>
      </c>
      <c r="Q1852" s="267">
        <f t="shared" si="575"/>
        <v>1306</v>
      </c>
      <c r="R1852" s="23" t="str">
        <f t="shared" si="576"/>
        <v/>
      </c>
      <c r="S1852" s="23">
        <f t="shared" si="577"/>
        <v>903</v>
      </c>
      <c r="T1852" s="23" t="str">
        <f t="shared" si="578"/>
        <v/>
      </c>
      <c r="U1852" t="str">
        <f t="shared" si="579"/>
        <v/>
      </c>
      <c r="X1852" s="71"/>
      <c r="Z1852" s="44"/>
      <c r="AF1852" s="22"/>
      <c r="AG1852" s="302"/>
      <c r="AH1852" s="301"/>
      <c r="AI1852" s="303"/>
      <c r="AJ1852" s="303"/>
      <c r="AK1852" s="342"/>
      <c r="AL1852" s="343"/>
    </row>
    <row r="1853" spans="1:45">
      <c r="A1853" t="str">
        <f t="shared" si="580"/>
        <v>CA_Ventu_2020g~oxnard city council district 4 (vote 1)</v>
      </c>
      <c r="B1853" s="55" t="s">
        <v>4471</v>
      </c>
      <c r="D1853" s="55" t="s">
        <v>4189</v>
      </c>
      <c r="E1853" s="54" t="s">
        <v>4190</v>
      </c>
      <c r="F1853" s="12"/>
      <c r="G1853" s="61">
        <v>403</v>
      </c>
      <c r="H1853" s="26"/>
      <c r="I1853" s="25"/>
      <c r="N1853"/>
      <c r="O1853">
        <f t="shared" si="573"/>
        <v>5</v>
      </c>
      <c r="P1853" s="57">
        <f t="shared" si="574"/>
        <v>1</v>
      </c>
      <c r="Q1853" s="267">
        <f t="shared" si="575"/>
        <v>403</v>
      </c>
      <c r="R1853" s="23" t="str">
        <f t="shared" si="576"/>
        <v/>
      </c>
      <c r="S1853" s="23">
        <f t="shared" si="577"/>
        <v>403</v>
      </c>
      <c r="T1853" s="23" t="str">
        <f t="shared" si="578"/>
        <v/>
      </c>
      <c r="U1853" t="str">
        <f t="shared" si="579"/>
        <v/>
      </c>
      <c r="X1853" s="71"/>
      <c r="Z1853" s="44"/>
      <c r="AF1853" s="22"/>
    </row>
    <row r="1854" spans="1:45">
      <c r="A1854" t="str">
        <f t="shared" si="580"/>
        <v>CA_Ventu_2020g~oxnard city council district 6 (vote 1)</v>
      </c>
      <c r="B1854" s="55" t="s">
        <v>4471</v>
      </c>
      <c r="D1854" s="55" t="s">
        <v>4264</v>
      </c>
      <c r="E1854" s="54" t="s">
        <v>4322</v>
      </c>
      <c r="F1854" s="12"/>
      <c r="G1854" s="61">
        <v>3654</v>
      </c>
      <c r="H1854" s="26"/>
      <c r="I1854" s="25"/>
      <c r="N1854"/>
      <c r="O1854">
        <f t="shared" si="573"/>
        <v>1</v>
      </c>
      <c r="P1854" s="57">
        <f t="shared" si="574"/>
        <v>1</v>
      </c>
      <c r="Q1854" s="267">
        <f t="shared" si="575"/>
        <v>7571</v>
      </c>
      <c r="R1854" s="23">
        <f t="shared" si="576"/>
        <v>3654</v>
      </c>
      <c r="S1854" s="23">
        <f t="shared" si="577"/>
        <v>2147</v>
      </c>
      <c r="T1854" s="23">
        <f t="shared" si="578"/>
        <v>1507</v>
      </c>
      <c r="U1854" t="str">
        <f t="shared" si="579"/>
        <v>CA_Ventu_2020g~oxnard city council district 6 (vote 1)</v>
      </c>
      <c r="X1854" s="71"/>
      <c r="Z1854" s="44"/>
      <c r="AF1854" s="22"/>
    </row>
    <row r="1855" spans="1:45">
      <c r="A1855" t="str">
        <f t="shared" si="580"/>
        <v>CA_Ventu_2020g~oxnard city council district 6 (vote 1)</v>
      </c>
      <c r="B1855" s="55" t="s">
        <v>4471</v>
      </c>
      <c r="D1855" s="55" t="s">
        <v>4264</v>
      </c>
      <c r="E1855" s="54" t="s">
        <v>4281</v>
      </c>
      <c r="F1855" s="12"/>
      <c r="G1855" s="61">
        <v>2147</v>
      </c>
      <c r="H1855" s="26"/>
      <c r="I1855" s="25"/>
      <c r="N1855"/>
      <c r="O1855">
        <f t="shared" si="573"/>
        <v>2</v>
      </c>
      <c r="P1855" s="57">
        <f t="shared" si="574"/>
        <v>1</v>
      </c>
      <c r="Q1855" s="267">
        <f t="shared" si="575"/>
        <v>3917</v>
      </c>
      <c r="R1855" s="23" t="str">
        <f t="shared" si="576"/>
        <v/>
      </c>
      <c r="S1855" s="23">
        <f t="shared" si="577"/>
        <v>2147</v>
      </c>
      <c r="T1855" s="23" t="str">
        <f t="shared" si="578"/>
        <v/>
      </c>
      <c r="U1855" t="str">
        <f t="shared" si="579"/>
        <v/>
      </c>
      <c r="X1855" s="71"/>
      <c r="Z1855" s="44"/>
      <c r="AF1855" s="22"/>
    </row>
    <row r="1856" spans="1:45">
      <c r="A1856" t="str">
        <f t="shared" si="580"/>
        <v>CA_Ventu_2020g~oxnard city council district 6 (vote 1)</v>
      </c>
      <c r="B1856" s="55" t="s">
        <v>4471</v>
      </c>
      <c r="D1856" s="55" t="s">
        <v>4264</v>
      </c>
      <c r="E1856" s="54" t="s">
        <v>4265</v>
      </c>
      <c r="F1856" s="12"/>
      <c r="G1856" s="61">
        <v>1770</v>
      </c>
      <c r="H1856" s="26"/>
      <c r="I1856" s="25"/>
      <c r="N1856"/>
      <c r="O1856">
        <f t="shared" si="573"/>
        <v>3</v>
      </c>
      <c r="P1856" s="57">
        <f t="shared" si="574"/>
        <v>1</v>
      </c>
      <c r="Q1856" s="267">
        <f t="shared" si="575"/>
        <v>1770</v>
      </c>
      <c r="R1856" s="23" t="str">
        <f t="shared" si="576"/>
        <v/>
      </c>
      <c r="S1856" s="23">
        <f t="shared" si="577"/>
        <v>1770</v>
      </c>
      <c r="T1856" s="23" t="str">
        <f t="shared" si="578"/>
        <v/>
      </c>
      <c r="U1856" t="str">
        <f t="shared" si="579"/>
        <v/>
      </c>
      <c r="X1856" s="71"/>
      <c r="Z1856" s="44"/>
      <c r="AF1856" s="22"/>
    </row>
    <row r="1857" spans="1:45">
      <c r="A1857" t="str">
        <f t="shared" si="580"/>
        <v>CA_Ventu_2020g~oxnard city mayor (vote 1)</v>
      </c>
      <c r="B1857" s="55" t="s">
        <v>4471</v>
      </c>
      <c r="D1857" s="55" t="s">
        <v>4364</v>
      </c>
      <c r="E1857" s="54" t="s">
        <v>4431</v>
      </c>
      <c r="F1857" s="12"/>
      <c r="G1857" s="61">
        <v>41512</v>
      </c>
      <c r="H1857" s="26"/>
      <c r="I1857" s="25"/>
      <c r="N1857"/>
      <c r="O1857">
        <f t="shared" si="573"/>
        <v>1</v>
      </c>
      <c r="P1857" s="57">
        <f t="shared" si="574"/>
        <v>1</v>
      </c>
      <c r="Q1857" s="267">
        <f t="shared" si="575"/>
        <v>65730</v>
      </c>
      <c r="R1857" s="23">
        <f t="shared" si="576"/>
        <v>41512</v>
      </c>
      <c r="S1857" s="23">
        <f t="shared" si="577"/>
        <v>13167</v>
      </c>
      <c r="T1857" s="23">
        <f t="shared" si="578"/>
        <v>28345</v>
      </c>
      <c r="U1857" t="str">
        <f t="shared" si="579"/>
        <v>CA_Ventu_2020g~oxnard city mayor (vote 1)</v>
      </c>
      <c r="X1857" s="71"/>
      <c r="Z1857" s="44"/>
      <c r="AF1857" s="22"/>
    </row>
    <row r="1858" spans="1:45">
      <c r="A1858" t="str">
        <f t="shared" si="580"/>
        <v>CA_Ventu_2020g~oxnard city mayor (vote 1)</v>
      </c>
      <c r="B1858" s="55" t="s">
        <v>4471</v>
      </c>
      <c r="D1858" s="55" t="s">
        <v>4364</v>
      </c>
      <c r="E1858" s="54" t="s">
        <v>4372</v>
      </c>
      <c r="F1858" s="12"/>
      <c r="G1858" s="61">
        <v>13167</v>
      </c>
      <c r="H1858" s="26"/>
      <c r="I1858" s="25"/>
      <c r="N1858"/>
      <c r="O1858">
        <f t="shared" ref="O1858:O1921" si="581">IF(OR(LOWER(LEFT(E1858,8))="write-in",LOWER(LEFT(E1858,8))="not qual"),IF(A1858=A1857,-ABS(O1857),0),IF(A1858=A1857,ABS(O1857)+1,1))</f>
        <v>2</v>
      </c>
      <c r="P1858" s="57">
        <f t="shared" ref="P1858:P1921" si="582">1*LEFT(RIGHT(A1858,2),1)</f>
        <v>1</v>
      </c>
      <c r="Q1858" s="267">
        <f t="shared" ref="Q1858:Q1921" si="583">IF(A1858&lt;&gt;A1859,G1858,IF(A1858=A1857,G1858+Q1859,MAX(G1858,(G1858+Q1859)/P1858)))</f>
        <v>24218</v>
      </c>
      <c r="R1858" s="23" t="str">
        <f t="shared" ref="R1858:R1921" si="584">IF(O1858&gt;P1858,"",IF(O1858=P1858,G1858,IF(A1858=A1859,R1859,IF(O1858&lt;=0,1,G1858))))</f>
        <v/>
      </c>
      <c r="S1858" s="23">
        <f t="shared" ref="S1858:S1921" si="585">IF(AND(O1858&gt;P1858,LOWER(LEFT(E1858,8))&lt;&gt;"write-in",LOWER(LEFT(E1858,8))&lt;&gt;"not qual"),G1858,IF(A1858=A1859,S1859,0))</f>
        <v>13167</v>
      </c>
      <c r="T1858" s="23" t="str">
        <f t="shared" ref="T1858:T1921" si="586">IF(OR(A1858=A1857,S1858=0),"",R1858-ABS(S1858))</f>
        <v/>
      </c>
      <c r="U1858" t="str">
        <f t="shared" ref="U1858:U1921" si="587">IF(A1858=A1857,"",A1858)</f>
        <v/>
      </c>
      <c r="X1858" s="71"/>
      <c r="Z1858" s="44"/>
      <c r="AF1858" s="22"/>
    </row>
    <row r="1859" spans="1:45">
      <c r="A1859" t="str">
        <f t="shared" si="580"/>
        <v>CA_Ventu_2020g~oxnard city mayor (vote 1)</v>
      </c>
      <c r="B1859" s="55" t="s">
        <v>4471</v>
      </c>
      <c r="D1859" s="55" t="s">
        <v>4364</v>
      </c>
      <c r="E1859" s="54" t="s">
        <v>4365</v>
      </c>
      <c r="F1859" s="12"/>
      <c r="G1859" s="61">
        <v>11051</v>
      </c>
      <c r="H1859" s="26"/>
      <c r="I1859" s="25"/>
      <c r="N1859"/>
      <c r="O1859">
        <f t="shared" si="581"/>
        <v>3</v>
      </c>
      <c r="P1859" s="57">
        <f t="shared" si="582"/>
        <v>1</v>
      </c>
      <c r="Q1859" s="267">
        <f t="shared" si="583"/>
        <v>11051</v>
      </c>
      <c r="R1859" s="23" t="str">
        <f t="shared" si="584"/>
        <v/>
      </c>
      <c r="S1859" s="23">
        <f t="shared" si="585"/>
        <v>11051</v>
      </c>
      <c r="T1859" s="23" t="str">
        <f t="shared" si="586"/>
        <v/>
      </c>
      <c r="U1859" t="str">
        <f t="shared" si="587"/>
        <v/>
      </c>
      <c r="X1859" s="71"/>
      <c r="Z1859" s="44"/>
      <c r="AF1859" s="22"/>
    </row>
    <row r="1860" spans="1:45">
      <c r="A1860" t="str">
        <f t="shared" si="580"/>
        <v>CA_Ventu_2020g~oxnard city treasurer (vote 1)</v>
      </c>
      <c r="B1860" s="55" t="s">
        <v>4471</v>
      </c>
      <c r="D1860" s="55" t="s">
        <v>4402</v>
      </c>
      <c r="E1860" s="54" t="s">
        <v>4430</v>
      </c>
      <c r="F1860" s="12"/>
      <c r="G1860" s="61">
        <v>38940</v>
      </c>
      <c r="H1860" s="26"/>
      <c r="I1860" s="25"/>
      <c r="N1860"/>
      <c r="O1860">
        <f t="shared" si="581"/>
        <v>1</v>
      </c>
      <c r="P1860" s="57">
        <f t="shared" si="582"/>
        <v>1</v>
      </c>
      <c r="Q1860" s="267">
        <f t="shared" si="583"/>
        <v>61990</v>
      </c>
      <c r="R1860" s="23">
        <f t="shared" si="584"/>
        <v>38940</v>
      </c>
      <c r="S1860" s="23">
        <f t="shared" si="585"/>
        <v>23050</v>
      </c>
      <c r="T1860" s="23">
        <f t="shared" si="586"/>
        <v>15890</v>
      </c>
      <c r="U1860" t="str">
        <f t="shared" si="587"/>
        <v>CA_Ventu_2020g~oxnard city treasurer (vote 1)</v>
      </c>
      <c r="X1860" s="71"/>
      <c r="Z1860" s="44"/>
      <c r="AF1860" s="22"/>
    </row>
    <row r="1861" spans="1:45">
      <c r="A1861" t="str">
        <f t="shared" si="580"/>
        <v>CA_Ventu_2020g~oxnard city treasurer (vote 1)</v>
      </c>
      <c r="B1861" s="55" t="s">
        <v>4471</v>
      </c>
      <c r="D1861" s="55" t="s">
        <v>4402</v>
      </c>
      <c r="E1861" s="54" t="s">
        <v>4403</v>
      </c>
      <c r="F1861" s="12"/>
      <c r="G1861" s="61">
        <v>23050</v>
      </c>
      <c r="H1861" s="26"/>
      <c r="I1861" s="25"/>
      <c r="N1861"/>
      <c r="O1861">
        <f t="shared" si="581"/>
        <v>2</v>
      </c>
      <c r="P1861" s="57">
        <f t="shared" si="582"/>
        <v>1</v>
      </c>
      <c r="Q1861" s="267">
        <f t="shared" si="583"/>
        <v>23050</v>
      </c>
      <c r="R1861" s="23" t="str">
        <f t="shared" si="584"/>
        <v/>
      </c>
      <c r="S1861" s="23">
        <f t="shared" si="585"/>
        <v>23050</v>
      </c>
      <c r="T1861" s="23" t="str">
        <f t="shared" si="586"/>
        <v/>
      </c>
      <c r="U1861" t="str">
        <f t="shared" si="587"/>
        <v/>
      </c>
      <c r="X1861" s="71"/>
      <c r="Z1861" s="44"/>
      <c r="AF1861" s="22"/>
      <c r="AG1861" s="89"/>
      <c r="AH1861" s="274"/>
      <c r="AI1861" s="279"/>
      <c r="AJ1861" s="280"/>
      <c r="AK1861" s="92"/>
      <c r="AL1861" s="23"/>
    </row>
    <row r="1862" spans="1:45">
      <c r="A1862" t="str">
        <f t="shared" si="580"/>
        <v>CA_Ventu_2020g~oxnard harbor district (vote 1)</v>
      </c>
      <c r="B1862" s="55" t="s">
        <v>4471</v>
      </c>
      <c r="D1862" s="55" t="s">
        <v>4356</v>
      </c>
      <c r="E1862" s="54" t="s">
        <v>4436</v>
      </c>
      <c r="F1862" s="12"/>
      <c r="G1862" s="61">
        <v>44748</v>
      </c>
      <c r="H1862" s="26"/>
      <c r="I1862" s="25"/>
      <c r="N1862"/>
      <c r="O1862">
        <f t="shared" si="581"/>
        <v>1</v>
      </c>
      <c r="P1862" s="57">
        <f t="shared" si="582"/>
        <v>1</v>
      </c>
      <c r="Q1862" s="267">
        <f t="shared" si="583"/>
        <v>103577</v>
      </c>
      <c r="R1862" s="23">
        <f t="shared" si="584"/>
        <v>44748</v>
      </c>
      <c r="S1862" s="23">
        <f t="shared" si="585"/>
        <v>36258</v>
      </c>
      <c r="T1862" s="23">
        <f t="shared" si="586"/>
        <v>8490</v>
      </c>
      <c r="U1862" t="str">
        <f t="shared" si="587"/>
        <v>CA_Ventu_2020g~oxnard harbor district (vote 1)</v>
      </c>
      <c r="X1862" s="71"/>
      <c r="Z1862" s="44"/>
      <c r="AF1862" s="22"/>
    </row>
    <row r="1863" spans="1:45">
      <c r="A1863" t="str">
        <f t="shared" si="580"/>
        <v>CA_Ventu_2020g~oxnard harbor district (vote 1)</v>
      </c>
      <c r="B1863" s="55" t="s">
        <v>4471</v>
      </c>
      <c r="D1863" s="55" t="s">
        <v>4356</v>
      </c>
      <c r="E1863" s="54" t="s">
        <v>4427</v>
      </c>
      <c r="F1863" s="12"/>
      <c r="G1863" s="61">
        <v>36258</v>
      </c>
      <c r="H1863" s="26"/>
      <c r="I1863" s="25"/>
      <c r="N1863"/>
      <c r="O1863">
        <f t="shared" si="581"/>
        <v>2</v>
      </c>
      <c r="P1863" s="57">
        <f t="shared" si="582"/>
        <v>1</v>
      </c>
      <c r="Q1863" s="267">
        <f t="shared" si="583"/>
        <v>58829</v>
      </c>
      <c r="R1863" s="23" t="str">
        <f t="shared" si="584"/>
        <v/>
      </c>
      <c r="S1863" s="23">
        <f t="shared" si="585"/>
        <v>36258</v>
      </c>
      <c r="T1863" s="23" t="str">
        <f t="shared" si="586"/>
        <v/>
      </c>
      <c r="U1863" t="str">
        <f t="shared" si="587"/>
        <v/>
      </c>
      <c r="X1863" s="71"/>
      <c r="Z1863" s="44"/>
      <c r="AF1863" s="22"/>
    </row>
    <row r="1864" spans="1:45">
      <c r="A1864" t="str">
        <f t="shared" si="580"/>
        <v>CA_Ventu_2020g~oxnard harbor district (vote 1)</v>
      </c>
      <c r="B1864" s="55" t="s">
        <v>4471</v>
      </c>
      <c r="D1864" s="55" t="s">
        <v>4356</v>
      </c>
      <c r="E1864" s="54" t="s">
        <v>4378</v>
      </c>
      <c r="F1864" s="12"/>
      <c r="G1864" s="61">
        <v>14461</v>
      </c>
      <c r="H1864" s="26"/>
      <c r="I1864" s="25"/>
      <c r="N1864"/>
      <c r="O1864">
        <f t="shared" si="581"/>
        <v>3</v>
      </c>
      <c r="P1864" s="57">
        <f t="shared" si="582"/>
        <v>1</v>
      </c>
      <c r="Q1864" s="267">
        <f t="shared" si="583"/>
        <v>22571</v>
      </c>
      <c r="R1864" s="23" t="str">
        <f t="shared" si="584"/>
        <v/>
      </c>
      <c r="S1864" s="23">
        <f t="shared" si="585"/>
        <v>14461</v>
      </c>
      <c r="T1864" s="23" t="str">
        <f t="shared" si="586"/>
        <v/>
      </c>
      <c r="U1864" t="str">
        <f t="shared" si="587"/>
        <v/>
      </c>
      <c r="X1864" s="71"/>
      <c r="Z1864" s="44"/>
      <c r="AF1864" s="22"/>
    </row>
    <row r="1865" spans="1:45">
      <c r="A1865" t="str">
        <f t="shared" si="580"/>
        <v>CA_Ventu_2020g~oxnard harbor district (vote 1)</v>
      </c>
      <c r="B1865" s="55" t="s">
        <v>4471</v>
      </c>
      <c r="D1865" s="55" t="s">
        <v>4356</v>
      </c>
      <c r="E1865" s="54" t="s">
        <v>4357</v>
      </c>
      <c r="F1865" s="12"/>
      <c r="G1865" s="61">
        <v>8110</v>
      </c>
      <c r="H1865" s="26"/>
      <c r="I1865" s="25"/>
      <c r="N1865"/>
      <c r="O1865">
        <f t="shared" si="581"/>
        <v>4</v>
      </c>
      <c r="P1865" s="57">
        <f t="shared" si="582"/>
        <v>1</v>
      </c>
      <c r="Q1865" s="267">
        <f t="shared" si="583"/>
        <v>8110</v>
      </c>
      <c r="R1865" s="23" t="str">
        <f t="shared" si="584"/>
        <v/>
      </c>
      <c r="S1865" s="23">
        <f t="shared" si="585"/>
        <v>8110</v>
      </c>
      <c r="T1865" s="23" t="str">
        <f t="shared" si="586"/>
        <v/>
      </c>
      <c r="U1865" t="str">
        <f t="shared" si="587"/>
        <v/>
      </c>
      <c r="X1865" s="71"/>
      <c r="Z1865" s="44"/>
      <c r="AF1865" s="22"/>
      <c r="AG1865" s="295"/>
      <c r="AH1865" s="294"/>
      <c r="AI1865" s="279"/>
      <c r="AJ1865" s="279"/>
      <c r="AL1865" s="341"/>
    </row>
    <row r="1866" spans="1:45">
      <c r="A1866" t="str">
        <f t="shared" si="580"/>
        <v>CA_Ventu_2020g~oxnard union high school district (vote 1)</v>
      </c>
      <c r="B1866" s="55" t="s">
        <v>4471</v>
      </c>
      <c r="D1866" s="55" t="s">
        <v>4391</v>
      </c>
      <c r="E1866" s="54" t="s">
        <v>4440</v>
      </c>
      <c r="F1866" s="12"/>
      <c r="G1866" s="61">
        <v>53037</v>
      </c>
      <c r="H1866" s="26"/>
      <c r="I1866" s="25"/>
      <c r="N1866"/>
      <c r="O1866">
        <f t="shared" si="581"/>
        <v>1</v>
      </c>
      <c r="P1866" s="57">
        <f t="shared" si="582"/>
        <v>1</v>
      </c>
      <c r="Q1866" s="267">
        <f t="shared" si="583"/>
        <v>183793</v>
      </c>
      <c r="R1866" s="23">
        <f t="shared" si="584"/>
        <v>53037</v>
      </c>
      <c r="S1866" s="23">
        <f t="shared" si="585"/>
        <v>44788</v>
      </c>
      <c r="T1866" s="23">
        <f t="shared" si="586"/>
        <v>8249</v>
      </c>
      <c r="U1866" t="str">
        <f t="shared" si="587"/>
        <v>CA_Ventu_2020g~oxnard union high school district (vote 1)</v>
      </c>
      <c r="X1866" s="71"/>
      <c r="Z1866" s="44"/>
      <c r="AF1866" s="22"/>
    </row>
    <row r="1867" spans="1:45">
      <c r="A1867" t="str">
        <f t="shared" si="580"/>
        <v>CA_Ventu_2020g~oxnard union high school district (vote 1)</v>
      </c>
      <c r="B1867" s="55" t="s">
        <v>4471</v>
      </c>
      <c r="D1867" s="55" t="s">
        <v>4391</v>
      </c>
      <c r="E1867" s="54" t="s">
        <v>4437</v>
      </c>
      <c r="F1867" s="12"/>
      <c r="G1867" s="61">
        <v>44788</v>
      </c>
      <c r="H1867" s="26"/>
      <c r="I1867" s="25"/>
      <c r="N1867"/>
      <c r="O1867">
        <f t="shared" si="581"/>
        <v>2</v>
      </c>
      <c r="P1867" s="57">
        <f t="shared" si="582"/>
        <v>1</v>
      </c>
      <c r="Q1867" s="267">
        <f t="shared" si="583"/>
        <v>130756</v>
      </c>
      <c r="R1867" s="23" t="str">
        <f t="shared" si="584"/>
        <v/>
      </c>
      <c r="S1867" s="23">
        <f t="shared" si="585"/>
        <v>44788</v>
      </c>
      <c r="T1867" s="23" t="str">
        <f t="shared" si="586"/>
        <v/>
      </c>
      <c r="U1867" t="str">
        <f t="shared" si="587"/>
        <v/>
      </c>
      <c r="X1867" s="71"/>
      <c r="Z1867" s="44"/>
      <c r="AF1867" s="22"/>
    </row>
    <row r="1868" spans="1:45">
      <c r="A1868" t="str">
        <f t="shared" si="580"/>
        <v>CA_Ventu_2020g~oxnard union high school district (vote 1)</v>
      </c>
      <c r="B1868" s="55" t="s">
        <v>4471</v>
      </c>
      <c r="D1868" s="55" t="s">
        <v>4391</v>
      </c>
      <c r="E1868" s="54" t="s">
        <v>4426</v>
      </c>
      <c r="F1868" s="12"/>
      <c r="G1868" s="61">
        <v>33827</v>
      </c>
      <c r="H1868" s="26"/>
      <c r="I1868" s="25"/>
      <c r="N1868"/>
      <c r="O1868">
        <f t="shared" si="581"/>
        <v>3</v>
      </c>
      <c r="P1868" s="57">
        <f t="shared" si="582"/>
        <v>1</v>
      </c>
      <c r="Q1868" s="267">
        <f t="shared" si="583"/>
        <v>85968</v>
      </c>
      <c r="R1868" s="23" t="str">
        <f t="shared" si="584"/>
        <v/>
      </c>
      <c r="S1868" s="23">
        <f t="shared" si="585"/>
        <v>33827</v>
      </c>
      <c r="T1868" s="23" t="str">
        <f t="shared" si="586"/>
        <v/>
      </c>
      <c r="U1868" t="str">
        <f t="shared" si="587"/>
        <v/>
      </c>
      <c r="X1868" s="71"/>
      <c r="Z1868" s="44"/>
      <c r="AF1868" s="22"/>
      <c r="AO1868" s="356"/>
      <c r="AP1868" s="356"/>
      <c r="AQ1868" s="394"/>
      <c r="AR1868" s="394"/>
      <c r="AS1868" s="394"/>
    </row>
    <row r="1869" spans="1:45">
      <c r="A1869" t="str">
        <f t="shared" si="580"/>
        <v>CA_Ventu_2020g~oxnard union high school district (vote 1)</v>
      </c>
      <c r="B1869" s="55" t="s">
        <v>4471</v>
      </c>
      <c r="D1869" s="55" t="s">
        <v>4391</v>
      </c>
      <c r="E1869" s="54" t="s">
        <v>4425</v>
      </c>
      <c r="F1869" s="12"/>
      <c r="G1869" s="61">
        <v>33363</v>
      </c>
      <c r="H1869" s="26"/>
      <c r="I1869" s="25"/>
      <c r="N1869"/>
      <c r="O1869">
        <f t="shared" si="581"/>
        <v>4</v>
      </c>
      <c r="P1869" s="57">
        <f t="shared" si="582"/>
        <v>1</v>
      </c>
      <c r="Q1869" s="267">
        <f t="shared" si="583"/>
        <v>52141</v>
      </c>
      <c r="R1869" s="23" t="str">
        <f t="shared" si="584"/>
        <v/>
      </c>
      <c r="S1869" s="23">
        <f t="shared" si="585"/>
        <v>33363</v>
      </c>
      <c r="T1869" s="23" t="str">
        <f t="shared" si="586"/>
        <v/>
      </c>
      <c r="U1869" t="str">
        <f t="shared" si="587"/>
        <v/>
      </c>
      <c r="X1869" s="71"/>
      <c r="Z1869" s="44"/>
      <c r="AF1869" s="300"/>
      <c r="AG1869" s="23"/>
      <c r="AH1869" s="8"/>
    </row>
    <row r="1870" spans="1:45">
      <c r="A1870" t="str">
        <f t="shared" si="580"/>
        <v>CA_Ventu_2020g~oxnard union high school district (vote 1)</v>
      </c>
      <c r="B1870" s="55" t="s">
        <v>4471</v>
      </c>
      <c r="D1870" s="55" t="s">
        <v>4391</v>
      </c>
      <c r="E1870" s="54" t="s">
        <v>4392</v>
      </c>
      <c r="F1870" s="12"/>
      <c r="G1870" s="61">
        <v>18778</v>
      </c>
      <c r="H1870" s="26"/>
      <c r="I1870" s="25"/>
      <c r="N1870"/>
      <c r="O1870">
        <f t="shared" si="581"/>
        <v>5</v>
      </c>
      <c r="P1870" s="57">
        <f t="shared" si="582"/>
        <v>1</v>
      </c>
      <c r="Q1870" s="267">
        <f t="shared" si="583"/>
        <v>18778</v>
      </c>
      <c r="R1870" s="23" t="str">
        <f t="shared" si="584"/>
        <v/>
      </c>
      <c r="S1870" s="23">
        <f t="shared" si="585"/>
        <v>18778</v>
      </c>
      <c r="T1870" s="23" t="str">
        <f t="shared" si="586"/>
        <v/>
      </c>
      <c r="U1870" t="str">
        <f t="shared" si="587"/>
        <v/>
      </c>
      <c r="X1870" s="71"/>
      <c r="Z1870" s="44"/>
      <c r="AF1870" s="22"/>
    </row>
    <row r="1871" spans="1:45">
      <c r="A1871" t="str">
        <f t="shared" si="580"/>
        <v>CA_Ventu_2020g~pleasant valley rec &amp; park district (vote 1)</v>
      </c>
      <c r="B1871" s="55" t="s">
        <v>4471</v>
      </c>
      <c r="D1871" s="55" t="s">
        <v>4368</v>
      </c>
      <c r="E1871" s="54" t="s">
        <v>4394</v>
      </c>
      <c r="F1871" s="12"/>
      <c r="G1871" s="61">
        <v>19786</v>
      </c>
      <c r="H1871" s="26"/>
      <c r="I1871" s="25"/>
      <c r="N1871"/>
      <c r="O1871">
        <f t="shared" si="581"/>
        <v>1</v>
      </c>
      <c r="P1871" s="57">
        <f t="shared" si="582"/>
        <v>1</v>
      </c>
      <c r="Q1871" s="267">
        <f t="shared" si="583"/>
        <v>87324</v>
      </c>
      <c r="R1871" s="23">
        <f t="shared" si="584"/>
        <v>19786</v>
      </c>
      <c r="S1871" s="23">
        <f t="shared" si="585"/>
        <v>15070</v>
      </c>
      <c r="T1871" s="23">
        <f t="shared" si="586"/>
        <v>4716</v>
      </c>
      <c r="U1871" t="str">
        <f t="shared" si="587"/>
        <v>CA_Ventu_2020g~pleasant valley rec &amp; park district (vote 1)</v>
      </c>
      <c r="X1871" s="71"/>
      <c r="Z1871" s="44"/>
      <c r="AF1871" s="22"/>
    </row>
    <row r="1872" spans="1:45">
      <c r="A1872" t="str">
        <f t="shared" si="580"/>
        <v>CA_Ventu_2020g~pleasant valley rec &amp; park district (vote 1)</v>
      </c>
      <c r="B1872" s="55" t="s">
        <v>4471</v>
      </c>
      <c r="D1872" s="55" t="s">
        <v>4368</v>
      </c>
      <c r="E1872" s="54" t="s">
        <v>4383</v>
      </c>
      <c r="F1872" s="12"/>
      <c r="G1872" s="61">
        <v>15070</v>
      </c>
      <c r="H1872" s="26"/>
      <c r="I1872" s="25"/>
      <c r="N1872"/>
      <c r="O1872">
        <f t="shared" si="581"/>
        <v>2</v>
      </c>
      <c r="P1872" s="57">
        <f t="shared" si="582"/>
        <v>1</v>
      </c>
      <c r="Q1872" s="267">
        <f t="shared" si="583"/>
        <v>67538</v>
      </c>
      <c r="R1872" s="23" t="str">
        <f t="shared" si="584"/>
        <v/>
      </c>
      <c r="S1872" s="23">
        <f t="shared" si="585"/>
        <v>15070</v>
      </c>
      <c r="T1872" s="23" t="str">
        <f t="shared" si="586"/>
        <v/>
      </c>
      <c r="U1872" t="str">
        <f t="shared" si="587"/>
        <v/>
      </c>
      <c r="X1872" s="71"/>
      <c r="Z1872" s="44"/>
      <c r="AF1872" s="22"/>
      <c r="AG1872" s="23"/>
      <c r="AH1872" s="8"/>
      <c r="AL1872" s="344"/>
    </row>
    <row r="1873" spans="1:34">
      <c r="A1873" t="str">
        <f t="shared" si="580"/>
        <v>CA_Ventu_2020g~pleasant valley rec &amp; park district (vote 1)</v>
      </c>
      <c r="B1873" s="55" t="s">
        <v>4471</v>
      </c>
      <c r="D1873" s="55" t="s">
        <v>4368</v>
      </c>
      <c r="E1873" s="54" t="s">
        <v>4379</v>
      </c>
      <c r="F1873" s="12"/>
      <c r="G1873" s="61">
        <v>14685</v>
      </c>
      <c r="H1873" s="26"/>
      <c r="I1873" s="25"/>
      <c r="N1873"/>
      <c r="O1873">
        <f t="shared" si="581"/>
        <v>3</v>
      </c>
      <c r="P1873" s="57">
        <f t="shared" si="582"/>
        <v>1</v>
      </c>
      <c r="Q1873" s="267">
        <f t="shared" si="583"/>
        <v>52468</v>
      </c>
      <c r="R1873" s="23" t="str">
        <f t="shared" si="584"/>
        <v/>
      </c>
      <c r="S1873" s="23">
        <f t="shared" si="585"/>
        <v>14685</v>
      </c>
      <c r="T1873" s="23" t="str">
        <f t="shared" si="586"/>
        <v/>
      </c>
      <c r="U1873" t="str">
        <f t="shared" si="587"/>
        <v/>
      </c>
      <c r="X1873" s="71"/>
      <c r="Z1873" s="44"/>
    </row>
    <row r="1874" spans="1:34">
      <c r="A1874" t="str">
        <f t="shared" si="580"/>
        <v>CA_Ventu_2020g~pleasant valley rec &amp; park district (vote 1)</v>
      </c>
      <c r="B1874" s="55" t="s">
        <v>4471</v>
      </c>
      <c r="D1874" s="55" t="s">
        <v>4368</v>
      </c>
      <c r="E1874" s="54" t="s">
        <v>4373</v>
      </c>
      <c r="F1874" s="12"/>
      <c r="G1874" s="61">
        <v>13348</v>
      </c>
      <c r="H1874" s="26"/>
      <c r="I1874" s="25"/>
      <c r="N1874"/>
      <c r="O1874">
        <f t="shared" si="581"/>
        <v>4</v>
      </c>
      <c r="P1874" s="57">
        <f t="shared" si="582"/>
        <v>1</v>
      </c>
      <c r="Q1874" s="267">
        <f t="shared" si="583"/>
        <v>37783</v>
      </c>
      <c r="R1874" s="23" t="str">
        <f t="shared" si="584"/>
        <v/>
      </c>
      <c r="S1874" s="23">
        <f t="shared" si="585"/>
        <v>13348</v>
      </c>
      <c r="T1874" s="23" t="str">
        <f t="shared" si="586"/>
        <v/>
      </c>
      <c r="U1874" t="str">
        <f t="shared" si="587"/>
        <v/>
      </c>
      <c r="X1874" s="71"/>
      <c r="Z1874" s="44"/>
      <c r="AF1874" s="22"/>
    </row>
    <row r="1875" spans="1:34">
      <c r="A1875" t="str">
        <f t="shared" si="580"/>
        <v>CA_Ventu_2020g~pleasant valley rec &amp; park district (vote 1)</v>
      </c>
      <c r="B1875" s="55" t="s">
        <v>4471</v>
      </c>
      <c r="D1875" s="55" t="s">
        <v>4368</v>
      </c>
      <c r="E1875" s="54" t="s">
        <v>4371</v>
      </c>
      <c r="F1875" s="12"/>
      <c r="G1875" s="61">
        <v>12917</v>
      </c>
      <c r="H1875" s="26"/>
      <c r="I1875" s="25"/>
      <c r="N1875"/>
      <c r="O1875">
        <f t="shared" si="581"/>
        <v>5</v>
      </c>
      <c r="P1875" s="57">
        <f t="shared" si="582"/>
        <v>1</v>
      </c>
      <c r="Q1875" s="267">
        <f t="shared" si="583"/>
        <v>24435</v>
      </c>
      <c r="R1875" s="23" t="str">
        <f t="shared" si="584"/>
        <v/>
      </c>
      <c r="S1875" s="23">
        <f t="shared" si="585"/>
        <v>12917</v>
      </c>
      <c r="T1875" s="23" t="str">
        <f t="shared" si="586"/>
        <v/>
      </c>
      <c r="U1875" t="str">
        <f t="shared" si="587"/>
        <v/>
      </c>
      <c r="X1875" s="71"/>
      <c r="Z1875" s="44"/>
      <c r="AF1875" s="22"/>
    </row>
    <row r="1876" spans="1:34">
      <c r="A1876" t="str">
        <f t="shared" si="580"/>
        <v>CA_Ventu_2020g~pleasant valley rec &amp; park district (vote 1)</v>
      </c>
      <c r="B1876" s="55" t="s">
        <v>4471</v>
      </c>
      <c r="D1876" s="55" t="s">
        <v>4368</v>
      </c>
      <c r="E1876" s="54" t="s">
        <v>4369</v>
      </c>
      <c r="F1876" s="12"/>
      <c r="G1876" s="61">
        <v>11518</v>
      </c>
      <c r="H1876" s="26"/>
      <c r="I1876" s="25"/>
      <c r="N1876"/>
      <c r="O1876">
        <f t="shared" si="581"/>
        <v>6</v>
      </c>
      <c r="P1876" s="57">
        <f t="shared" si="582"/>
        <v>1</v>
      </c>
      <c r="Q1876" s="267">
        <f t="shared" si="583"/>
        <v>11518</v>
      </c>
      <c r="R1876" s="23" t="str">
        <f t="shared" si="584"/>
        <v/>
      </c>
      <c r="S1876" s="23">
        <f t="shared" si="585"/>
        <v>11518</v>
      </c>
      <c r="T1876" s="23" t="str">
        <f t="shared" si="586"/>
        <v/>
      </c>
      <c r="U1876" t="str">
        <f t="shared" si="587"/>
        <v/>
      </c>
      <c r="X1876" s="71"/>
      <c r="Z1876" s="44"/>
      <c r="AF1876" s="22"/>
    </row>
    <row r="1877" spans="1:34">
      <c r="A1877" t="str">
        <f t="shared" si="580"/>
        <v>CA_Ventu_2020g~pleasant valley school district (vote 1)</v>
      </c>
      <c r="B1877" s="55" t="s">
        <v>4471</v>
      </c>
      <c r="D1877" s="55" t="s">
        <v>4366</v>
      </c>
      <c r="E1877" s="54" t="s">
        <v>4404</v>
      </c>
      <c r="F1877" s="12"/>
      <c r="G1877" s="61">
        <v>23543</v>
      </c>
      <c r="H1877" s="26"/>
      <c r="I1877" s="25"/>
      <c r="N1877"/>
      <c r="O1877">
        <f t="shared" si="581"/>
        <v>1</v>
      </c>
      <c r="P1877" s="57">
        <f t="shared" si="582"/>
        <v>1</v>
      </c>
      <c r="Q1877" s="267">
        <f t="shared" si="583"/>
        <v>55352</v>
      </c>
      <c r="R1877" s="23">
        <f t="shared" si="584"/>
        <v>23543</v>
      </c>
      <c r="S1877" s="23">
        <f t="shared" si="585"/>
        <v>20733</v>
      </c>
      <c r="T1877" s="23">
        <f t="shared" si="586"/>
        <v>2810</v>
      </c>
      <c r="U1877" t="str">
        <f t="shared" si="587"/>
        <v>CA_Ventu_2020g~pleasant valley school district (vote 1)</v>
      </c>
      <c r="X1877" s="71"/>
      <c r="Z1877" s="44"/>
      <c r="AF1877" s="22"/>
    </row>
    <row r="1878" spans="1:34">
      <c r="A1878" t="str">
        <f t="shared" si="580"/>
        <v>CA_Ventu_2020g~pleasant valley school district (vote 1)</v>
      </c>
      <c r="B1878" s="55" t="s">
        <v>4471</v>
      </c>
      <c r="D1878" s="55" t="s">
        <v>4366</v>
      </c>
      <c r="E1878" s="54" t="s">
        <v>4399</v>
      </c>
      <c r="F1878" s="12"/>
      <c r="G1878" s="61">
        <v>20733</v>
      </c>
      <c r="H1878" s="26"/>
      <c r="I1878" s="25"/>
      <c r="N1878"/>
      <c r="O1878">
        <f t="shared" si="581"/>
        <v>2</v>
      </c>
      <c r="P1878" s="57">
        <f t="shared" si="582"/>
        <v>1</v>
      </c>
      <c r="Q1878" s="267">
        <f t="shared" si="583"/>
        <v>31809</v>
      </c>
      <c r="R1878" s="23" t="str">
        <f t="shared" si="584"/>
        <v/>
      </c>
      <c r="S1878" s="23">
        <f t="shared" si="585"/>
        <v>20733</v>
      </c>
      <c r="T1878" s="23" t="str">
        <f t="shared" si="586"/>
        <v/>
      </c>
      <c r="U1878" t="str">
        <f t="shared" si="587"/>
        <v/>
      </c>
      <c r="X1878" s="71"/>
      <c r="Z1878" s="44"/>
      <c r="AF1878" s="22"/>
    </row>
    <row r="1879" spans="1:34">
      <c r="A1879" t="str">
        <f t="shared" si="580"/>
        <v>CA_Ventu_2020g~pleasant valley school district (vote 1)</v>
      </c>
      <c r="B1879" s="55" t="s">
        <v>4471</v>
      </c>
      <c r="D1879" s="55" t="s">
        <v>4366</v>
      </c>
      <c r="E1879" s="54" t="s">
        <v>4367</v>
      </c>
      <c r="F1879" s="12"/>
      <c r="G1879" s="61">
        <v>11076</v>
      </c>
      <c r="H1879" s="26"/>
      <c r="I1879" s="25"/>
      <c r="N1879"/>
      <c r="O1879">
        <f t="shared" si="581"/>
        <v>3</v>
      </c>
      <c r="P1879" s="57">
        <f t="shared" si="582"/>
        <v>1</v>
      </c>
      <c r="Q1879" s="267">
        <f t="shared" si="583"/>
        <v>11076</v>
      </c>
      <c r="R1879" s="23" t="str">
        <f t="shared" si="584"/>
        <v/>
      </c>
      <c r="S1879" s="23">
        <f t="shared" si="585"/>
        <v>11076</v>
      </c>
      <c r="T1879" s="23" t="str">
        <f t="shared" si="586"/>
        <v/>
      </c>
      <c r="U1879" t="str">
        <f t="shared" si="587"/>
        <v/>
      </c>
      <c r="X1879" s="71"/>
      <c r="Z1879" s="44"/>
      <c r="AF1879" s="22"/>
    </row>
    <row r="1880" spans="1:34">
      <c r="A1880" t="str">
        <f t="shared" si="580"/>
        <v>CA_Ventu_2020g~port hueneme city council (vote 1)</v>
      </c>
      <c r="B1880" s="55" t="s">
        <v>4471</v>
      </c>
      <c r="D1880" s="55" t="s">
        <v>4278</v>
      </c>
      <c r="E1880" s="54" t="s">
        <v>4300</v>
      </c>
      <c r="F1880" s="12"/>
      <c r="G1880" s="61">
        <v>2903</v>
      </c>
      <c r="H1880" s="26"/>
      <c r="I1880" s="25"/>
      <c r="N1880"/>
      <c r="O1880">
        <f t="shared" si="581"/>
        <v>1</v>
      </c>
      <c r="P1880" s="57">
        <f t="shared" si="582"/>
        <v>1</v>
      </c>
      <c r="Q1880" s="267">
        <f t="shared" si="583"/>
        <v>12207</v>
      </c>
      <c r="R1880" s="23">
        <f t="shared" si="584"/>
        <v>2903</v>
      </c>
      <c r="S1880" s="23">
        <f t="shared" si="585"/>
        <v>2660</v>
      </c>
      <c r="T1880" s="23">
        <f t="shared" si="586"/>
        <v>243</v>
      </c>
      <c r="U1880" t="str">
        <f t="shared" si="587"/>
        <v>CA_Ventu_2020g~port hueneme city council (vote 1)</v>
      </c>
      <c r="X1880" s="71"/>
      <c r="Z1880" s="44"/>
      <c r="AF1880" s="22"/>
    </row>
    <row r="1881" spans="1:34">
      <c r="A1881" t="str">
        <f t="shared" si="580"/>
        <v>CA_Ventu_2020g~port hueneme city council (vote 1)</v>
      </c>
      <c r="B1881" s="55" t="s">
        <v>4471</v>
      </c>
      <c r="D1881" s="55" t="s">
        <v>4278</v>
      </c>
      <c r="E1881" s="54" t="s">
        <v>4293</v>
      </c>
      <c r="F1881" s="12"/>
      <c r="G1881" s="61">
        <v>2660</v>
      </c>
      <c r="H1881" s="26"/>
      <c r="I1881" s="25"/>
      <c r="N1881"/>
      <c r="O1881">
        <f t="shared" si="581"/>
        <v>2</v>
      </c>
      <c r="P1881" s="57">
        <f t="shared" si="582"/>
        <v>1</v>
      </c>
      <c r="Q1881" s="267">
        <f t="shared" si="583"/>
        <v>9304</v>
      </c>
      <c r="R1881" s="23" t="str">
        <f t="shared" si="584"/>
        <v/>
      </c>
      <c r="S1881" s="23">
        <f t="shared" si="585"/>
        <v>2660</v>
      </c>
      <c r="T1881" s="23" t="str">
        <f t="shared" si="586"/>
        <v/>
      </c>
      <c r="U1881" t="str">
        <f t="shared" si="587"/>
        <v/>
      </c>
      <c r="X1881" s="71"/>
      <c r="Z1881" s="44"/>
      <c r="AF1881" s="22"/>
    </row>
    <row r="1882" spans="1:34">
      <c r="A1882" t="str">
        <f t="shared" si="580"/>
        <v>CA_Ventu_2020g~port hueneme city council (vote 1)</v>
      </c>
      <c r="B1882" s="55" t="s">
        <v>4471</v>
      </c>
      <c r="D1882" s="55" t="s">
        <v>4278</v>
      </c>
      <c r="E1882" s="54" t="s">
        <v>4285</v>
      </c>
      <c r="F1882" s="12"/>
      <c r="G1882" s="61">
        <v>2367</v>
      </c>
      <c r="H1882" s="26"/>
      <c r="I1882" s="25"/>
      <c r="N1882"/>
      <c r="O1882">
        <f t="shared" si="581"/>
        <v>3</v>
      </c>
      <c r="P1882" s="57">
        <f t="shared" si="582"/>
        <v>1</v>
      </c>
      <c r="Q1882" s="267">
        <f t="shared" si="583"/>
        <v>6644</v>
      </c>
      <c r="R1882" s="23" t="str">
        <f t="shared" si="584"/>
        <v/>
      </c>
      <c r="S1882" s="23">
        <f t="shared" si="585"/>
        <v>2367</v>
      </c>
      <c r="T1882" s="23" t="str">
        <f t="shared" si="586"/>
        <v/>
      </c>
      <c r="U1882" t="str">
        <f t="shared" si="587"/>
        <v/>
      </c>
      <c r="X1882" s="71"/>
      <c r="Z1882" s="44"/>
      <c r="AF1882" s="22"/>
    </row>
    <row r="1883" spans="1:34">
      <c r="A1883" t="str">
        <f t="shared" si="580"/>
        <v>CA_Ventu_2020g~port hueneme city council (vote 1)</v>
      </c>
      <c r="B1883" s="55" t="s">
        <v>4471</v>
      </c>
      <c r="D1883" s="55" t="s">
        <v>4278</v>
      </c>
      <c r="E1883" s="54" t="s">
        <v>4282</v>
      </c>
      <c r="F1883" s="12"/>
      <c r="G1883" s="61">
        <v>2223</v>
      </c>
      <c r="H1883" s="26"/>
      <c r="I1883" s="25"/>
      <c r="N1883"/>
      <c r="O1883">
        <f t="shared" si="581"/>
        <v>4</v>
      </c>
      <c r="P1883" s="57">
        <f t="shared" si="582"/>
        <v>1</v>
      </c>
      <c r="Q1883" s="267">
        <f t="shared" si="583"/>
        <v>4277</v>
      </c>
      <c r="R1883" s="23" t="str">
        <f t="shared" si="584"/>
        <v/>
      </c>
      <c r="S1883" s="23">
        <f t="shared" si="585"/>
        <v>2223</v>
      </c>
      <c r="T1883" s="23" t="str">
        <f t="shared" si="586"/>
        <v/>
      </c>
      <c r="U1883" t="str">
        <f t="shared" si="587"/>
        <v/>
      </c>
      <c r="X1883" s="71"/>
      <c r="Z1883" s="44"/>
      <c r="AF1883" s="22"/>
    </row>
    <row r="1884" spans="1:34">
      <c r="A1884" t="str">
        <f t="shared" si="580"/>
        <v>CA_Ventu_2020g~port hueneme city council (vote 1)</v>
      </c>
      <c r="B1884" s="55" t="s">
        <v>4471</v>
      </c>
      <c r="D1884" s="55" t="s">
        <v>4278</v>
      </c>
      <c r="E1884" s="54" t="s">
        <v>4279</v>
      </c>
      <c r="F1884" s="12"/>
      <c r="G1884" s="61">
        <v>2054</v>
      </c>
      <c r="H1884" s="26"/>
      <c r="I1884" s="25"/>
      <c r="N1884"/>
      <c r="O1884">
        <f t="shared" si="581"/>
        <v>5</v>
      </c>
      <c r="P1884" s="57">
        <f t="shared" si="582"/>
        <v>1</v>
      </c>
      <c r="Q1884" s="267">
        <f t="shared" si="583"/>
        <v>2054</v>
      </c>
      <c r="R1884" s="23" t="str">
        <f t="shared" si="584"/>
        <v/>
      </c>
      <c r="S1884" s="23">
        <f t="shared" si="585"/>
        <v>2054</v>
      </c>
      <c r="T1884" s="23" t="str">
        <f t="shared" si="586"/>
        <v/>
      </c>
      <c r="U1884" t="str">
        <f t="shared" si="587"/>
        <v/>
      </c>
      <c r="X1884" s="71"/>
      <c r="Z1884" s="44"/>
      <c r="AF1884" s="22"/>
      <c r="AH1884" s="8"/>
    </row>
    <row r="1885" spans="1:34">
      <c r="A1885" t="str">
        <f t="shared" si="580"/>
        <v>CA_Ventu_2020g~president and vice president (vote 1)</v>
      </c>
      <c r="B1885" s="55" t="s">
        <v>4471</v>
      </c>
      <c r="D1885" s="55" t="s">
        <v>4175</v>
      </c>
      <c r="E1885" s="54" t="s">
        <v>4470</v>
      </c>
      <c r="F1885" s="12"/>
      <c r="G1885" s="61">
        <v>251388</v>
      </c>
      <c r="H1885" s="26"/>
      <c r="I1885" s="25"/>
      <c r="N1885"/>
      <c r="O1885">
        <f t="shared" si="581"/>
        <v>1</v>
      </c>
      <c r="P1885" s="57">
        <f t="shared" si="582"/>
        <v>1</v>
      </c>
      <c r="Q1885" s="267">
        <f t="shared" si="583"/>
        <v>422825</v>
      </c>
      <c r="R1885" s="23">
        <f t="shared" si="584"/>
        <v>251388</v>
      </c>
      <c r="S1885" s="23">
        <f t="shared" si="585"/>
        <v>162207</v>
      </c>
      <c r="T1885" s="23">
        <f t="shared" si="586"/>
        <v>89181</v>
      </c>
      <c r="U1885" t="str">
        <f t="shared" si="587"/>
        <v>CA_Ventu_2020g~president and vice president (vote 1)</v>
      </c>
      <c r="X1885" s="71"/>
      <c r="Z1885" s="44"/>
      <c r="AG1885" s="23"/>
      <c r="AH1885" s="8"/>
    </row>
    <row r="1886" spans="1:34">
      <c r="A1886" t="str">
        <f t="shared" si="580"/>
        <v>CA_Ventu_2020g~president and vice president (vote 1)</v>
      </c>
      <c r="B1886" s="55" t="s">
        <v>4471</v>
      </c>
      <c r="D1886" s="55" t="s">
        <v>4175</v>
      </c>
      <c r="E1886" s="54" t="s">
        <v>4458</v>
      </c>
      <c r="F1886" s="12"/>
      <c r="G1886" s="61">
        <v>162207</v>
      </c>
      <c r="H1886" s="26"/>
      <c r="I1886" s="25"/>
      <c r="N1886"/>
      <c r="O1886">
        <f t="shared" si="581"/>
        <v>2</v>
      </c>
      <c r="P1886" s="57">
        <f t="shared" si="582"/>
        <v>1</v>
      </c>
      <c r="Q1886" s="267">
        <f t="shared" si="583"/>
        <v>171437</v>
      </c>
      <c r="R1886" s="23" t="str">
        <f t="shared" si="584"/>
        <v/>
      </c>
      <c r="S1886" s="23">
        <f t="shared" si="585"/>
        <v>162207</v>
      </c>
      <c r="T1886" s="23" t="str">
        <f t="shared" si="586"/>
        <v/>
      </c>
      <c r="U1886" t="str">
        <f t="shared" si="587"/>
        <v/>
      </c>
      <c r="X1886" s="71"/>
      <c r="Z1886" s="44"/>
      <c r="AF1886" s="22"/>
    </row>
    <row r="1887" spans="1:34">
      <c r="A1887" t="str">
        <f t="shared" si="580"/>
        <v>CA_Ventu_2020g~president and vice president (vote 1)</v>
      </c>
      <c r="B1887" s="55" t="s">
        <v>4471</v>
      </c>
      <c r="D1887" s="55" t="s">
        <v>4175</v>
      </c>
      <c r="E1887" s="54" t="s">
        <v>4338</v>
      </c>
      <c r="F1887" s="12"/>
      <c r="G1887" s="61">
        <v>5069</v>
      </c>
      <c r="H1887" s="26"/>
      <c r="I1887" s="25"/>
      <c r="N1887"/>
      <c r="O1887">
        <f t="shared" si="581"/>
        <v>3</v>
      </c>
      <c r="P1887" s="57">
        <f t="shared" si="582"/>
        <v>1</v>
      </c>
      <c r="Q1887" s="267">
        <f t="shared" si="583"/>
        <v>9230</v>
      </c>
      <c r="R1887" s="23" t="str">
        <f t="shared" si="584"/>
        <v/>
      </c>
      <c r="S1887" s="23">
        <f t="shared" si="585"/>
        <v>5069</v>
      </c>
      <c r="T1887" s="23" t="str">
        <f t="shared" si="586"/>
        <v/>
      </c>
      <c r="U1887" t="str">
        <f t="shared" si="587"/>
        <v/>
      </c>
      <c r="X1887" s="71"/>
      <c r="Z1887" s="44"/>
      <c r="AF1887" s="22"/>
    </row>
    <row r="1888" spans="1:34">
      <c r="A1888" t="str">
        <f t="shared" si="580"/>
        <v>CA_Ventu_2020g~president and vice president (vote 1)</v>
      </c>
      <c r="B1888" s="55" t="s">
        <v>4471</v>
      </c>
      <c r="D1888" s="55" t="s">
        <v>4175</v>
      </c>
      <c r="E1888" s="54" t="s">
        <v>4263</v>
      </c>
      <c r="F1888" s="12"/>
      <c r="G1888" s="61">
        <v>1766</v>
      </c>
      <c r="H1888" s="26"/>
      <c r="I1888" s="25"/>
      <c r="N1888"/>
      <c r="O1888">
        <f t="shared" si="581"/>
        <v>4</v>
      </c>
      <c r="P1888" s="57">
        <f t="shared" si="582"/>
        <v>1</v>
      </c>
      <c r="Q1888" s="267">
        <f t="shared" si="583"/>
        <v>4161</v>
      </c>
      <c r="R1888" s="23" t="str">
        <f t="shared" si="584"/>
        <v/>
      </c>
      <c r="S1888" s="23">
        <f t="shared" si="585"/>
        <v>1766</v>
      </c>
      <c r="T1888" s="23" t="str">
        <f t="shared" si="586"/>
        <v/>
      </c>
      <c r="U1888" t="str">
        <f t="shared" si="587"/>
        <v/>
      </c>
      <c r="X1888" s="71"/>
      <c r="Z1888" s="44"/>
      <c r="AF1888" s="22"/>
    </row>
    <row r="1889" spans="1:45">
      <c r="A1889" t="str">
        <f t="shared" si="580"/>
        <v>CA_Ventu_2020g~president and vice president (vote 1)</v>
      </c>
      <c r="B1889" s="55" t="s">
        <v>4471</v>
      </c>
      <c r="D1889" s="55" t="s">
        <v>4175</v>
      </c>
      <c r="E1889" s="54" t="s">
        <v>4245</v>
      </c>
      <c r="F1889" s="12"/>
      <c r="G1889" s="61">
        <v>1278</v>
      </c>
      <c r="H1889" s="26"/>
      <c r="I1889" s="25"/>
      <c r="N1889"/>
      <c r="O1889">
        <f t="shared" si="581"/>
        <v>5</v>
      </c>
      <c r="P1889" s="57">
        <f t="shared" si="582"/>
        <v>1</v>
      </c>
      <c r="Q1889" s="267">
        <f t="shared" si="583"/>
        <v>2395</v>
      </c>
      <c r="R1889" s="23" t="str">
        <f t="shared" si="584"/>
        <v/>
      </c>
      <c r="S1889" s="23">
        <f t="shared" si="585"/>
        <v>1278</v>
      </c>
      <c r="T1889" s="23" t="str">
        <f t="shared" si="586"/>
        <v/>
      </c>
      <c r="U1889" t="str">
        <f t="shared" si="587"/>
        <v/>
      </c>
      <c r="X1889" s="71"/>
      <c r="Z1889" s="44"/>
      <c r="AF1889" s="22"/>
    </row>
    <row r="1890" spans="1:45">
      <c r="A1890" t="str">
        <f t="shared" si="580"/>
        <v>CA_Ventu_2020g~president and vice president (vote 1)</v>
      </c>
      <c r="B1890" s="55" t="s">
        <v>4471</v>
      </c>
      <c r="D1890" s="55" t="s">
        <v>4175</v>
      </c>
      <c r="E1890" s="54" t="s">
        <v>4237</v>
      </c>
      <c r="F1890" s="12"/>
      <c r="G1890" s="61">
        <v>990</v>
      </c>
      <c r="H1890" s="26"/>
      <c r="I1890" s="25"/>
      <c r="N1890"/>
      <c r="O1890">
        <f t="shared" si="581"/>
        <v>6</v>
      </c>
      <c r="P1890" s="57">
        <f t="shared" si="582"/>
        <v>1</v>
      </c>
      <c r="Q1890" s="267">
        <f t="shared" si="583"/>
        <v>1117</v>
      </c>
      <c r="R1890" s="23" t="str">
        <f t="shared" si="584"/>
        <v/>
      </c>
      <c r="S1890" s="23">
        <f t="shared" si="585"/>
        <v>990</v>
      </c>
      <c r="T1890" s="23" t="str">
        <f t="shared" si="586"/>
        <v/>
      </c>
      <c r="U1890" t="str">
        <f t="shared" si="587"/>
        <v/>
      </c>
      <c r="X1890" s="71"/>
      <c r="Z1890" s="44"/>
      <c r="AF1890" s="22"/>
    </row>
    <row r="1891" spans="1:45">
      <c r="A1891" t="str">
        <f t="shared" si="580"/>
        <v>CA_Ventu_2020g~president and vice president (vote 1)</v>
      </c>
      <c r="B1891" s="55" t="s">
        <v>4471</v>
      </c>
      <c r="D1891" s="55" t="s">
        <v>4175</v>
      </c>
      <c r="E1891" s="54" t="s">
        <v>4183</v>
      </c>
      <c r="F1891" s="12"/>
      <c r="G1891" s="61">
        <v>84</v>
      </c>
      <c r="H1891" s="26"/>
      <c r="I1891" s="25"/>
      <c r="N1891"/>
      <c r="O1891">
        <f t="shared" si="581"/>
        <v>7</v>
      </c>
      <c r="P1891" s="57">
        <f t="shared" si="582"/>
        <v>1</v>
      </c>
      <c r="Q1891" s="267">
        <f t="shared" si="583"/>
        <v>127</v>
      </c>
      <c r="R1891" s="23" t="str">
        <f t="shared" si="584"/>
        <v/>
      </c>
      <c r="S1891" s="23">
        <f t="shared" si="585"/>
        <v>84</v>
      </c>
      <c r="T1891" s="23" t="str">
        <f t="shared" si="586"/>
        <v/>
      </c>
      <c r="U1891" t="str">
        <f t="shared" si="587"/>
        <v/>
      </c>
      <c r="X1891" s="71"/>
      <c r="Z1891" s="44"/>
      <c r="AF1891" s="22"/>
      <c r="AO1891" s="356"/>
      <c r="AP1891" s="356"/>
      <c r="AQ1891" s="394"/>
      <c r="AR1891" s="394"/>
      <c r="AS1891" s="394"/>
    </row>
    <row r="1892" spans="1:45">
      <c r="A1892" t="str">
        <f t="shared" si="580"/>
        <v>CA_Ventu_2020g~president and vice president (vote 1)</v>
      </c>
      <c r="B1892" s="55" t="s">
        <v>4471</v>
      </c>
      <c r="D1892" s="55" t="s">
        <v>4175</v>
      </c>
      <c r="E1892" s="54" t="s">
        <v>4181</v>
      </c>
      <c r="F1892" s="12"/>
      <c r="G1892" s="61">
        <v>17</v>
      </c>
      <c r="H1892" s="26"/>
      <c r="I1892" s="25"/>
      <c r="N1892"/>
      <c r="O1892">
        <f t="shared" si="581"/>
        <v>8</v>
      </c>
      <c r="P1892" s="57">
        <f t="shared" si="582"/>
        <v>1</v>
      </c>
      <c r="Q1892" s="267">
        <f t="shared" si="583"/>
        <v>43</v>
      </c>
      <c r="R1892" s="23" t="str">
        <f t="shared" si="584"/>
        <v/>
      </c>
      <c r="S1892" s="23">
        <f t="shared" si="585"/>
        <v>17</v>
      </c>
      <c r="T1892" s="23" t="str">
        <f t="shared" si="586"/>
        <v/>
      </c>
      <c r="U1892" t="str">
        <f t="shared" si="587"/>
        <v/>
      </c>
      <c r="X1892" s="71"/>
      <c r="Z1892" s="44"/>
      <c r="AF1892" s="300"/>
    </row>
    <row r="1893" spans="1:45">
      <c r="A1893" t="str">
        <f t="shared" si="580"/>
        <v>CA_Ventu_2020g~president and vice president (vote 1)</v>
      </c>
      <c r="B1893" s="55" t="s">
        <v>4471</v>
      </c>
      <c r="D1893" s="55" t="s">
        <v>4175</v>
      </c>
      <c r="E1893" s="54" t="s">
        <v>4180</v>
      </c>
      <c r="F1893" s="12"/>
      <c r="G1893" s="61">
        <v>16</v>
      </c>
      <c r="H1893" s="26"/>
      <c r="I1893" s="25"/>
      <c r="N1893"/>
      <c r="O1893">
        <f t="shared" si="581"/>
        <v>9</v>
      </c>
      <c r="P1893" s="57">
        <f t="shared" si="582"/>
        <v>1</v>
      </c>
      <c r="Q1893" s="267">
        <f t="shared" si="583"/>
        <v>26</v>
      </c>
      <c r="R1893" s="23" t="str">
        <f t="shared" si="584"/>
        <v/>
      </c>
      <c r="S1893" s="23">
        <f t="shared" si="585"/>
        <v>16</v>
      </c>
      <c r="T1893" s="23" t="str">
        <f t="shared" si="586"/>
        <v/>
      </c>
      <c r="U1893" t="str">
        <f t="shared" si="587"/>
        <v/>
      </c>
      <c r="X1893" s="71"/>
      <c r="Z1893" s="44"/>
      <c r="AF1893" s="22"/>
    </row>
    <row r="1894" spans="1:45">
      <c r="A1894" t="str">
        <f t="shared" si="580"/>
        <v>CA_Ventu_2020g~president and vice president (vote 1)</v>
      </c>
      <c r="B1894" s="55" t="s">
        <v>4471</v>
      </c>
      <c r="D1894" s="55" t="s">
        <v>4175</v>
      </c>
      <c r="E1894" s="54" t="s">
        <v>4176</v>
      </c>
      <c r="F1894" s="12"/>
      <c r="G1894" s="61">
        <v>5</v>
      </c>
      <c r="H1894" s="26"/>
      <c r="I1894" s="25"/>
      <c r="N1894"/>
      <c r="O1894">
        <f t="shared" si="581"/>
        <v>10</v>
      </c>
      <c r="P1894" s="57">
        <f t="shared" si="582"/>
        <v>1</v>
      </c>
      <c r="Q1894" s="267">
        <f t="shared" si="583"/>
        <v>10</v>
      </c>
      <c r="R1894" s="23" t="str">
        <f t="shared" si="584"/>
        <v/>
      </c>
      <c r="S1894" s="23">
        <f t="shared" si="585"/>
        <v>5</v>
      </c>
      <c r="T1894" s="23" t="str">
        <f t="shared" si="586"/>
        <v/>
      </c>
      <c r="U1894" t="str">
        <f t="shared" si="587"/>
        <v/>
      </c>
      <c r="X1894" s="71"/>
      <c r="Z1894" s="44"/>
      <c r="AF1894" s="22"/>
    </row>
    <row r="1895" spans="1:45">
      <c r="A1895" t="str">
        <f t="shared" si="580"/>
        <v>CA_Ventu_2020g~president and vice president (vote 1)</v>
      </c>
      <c r="B1895" s="55" t="s">
        <v>4471</v>
      </c>
      <c r="D1895" s="55" t="s">
        <v>4175</v>
      </c>
      <c r="E1895" s="54" t="s">
        <v>4177</v>
      </c>
      <c r="F1895" s="12"/>
      <c r="G1895" s="61">
        <v>5</v>
      </c>
      <c r="H1895" s="26"/>
      <c r="I1895" s="25"/>
      <c r="N1895"/>
      <c r="O1895">
        <f t="shared" si="581"/>
        <v>11</v>
      </c>
      <c r="P1895" s="57">
        <f t="shared" si="582"/>
        <v>1</v>
      </c>
      <c r="Q1895" s="267">
        <f t="shared" si="583"/>
        <v>5</v>
      </c>
      <c r="R1895" s="23" t="str">
        <f t="shared" si="584"/>
        <v/>
      </c>
      <c r="S1895" s="23">
        <f t="shared" si="585"/>
        <v>5</v>
      </c>
      <c r="T1895" s="23" t="str">
        <f t="shared" si="586"/>
        <v/>
      </c>
      <c r="U1895" t="str">
        <f t="shared" si="587"/>
        <v/>
      </c>
      <c r="X1895" s="71"/>
      <c r="Z1895" s="44"/>
    </row>
    <row r="1896" spans="1:45">
      <c r="A1896" t="str">
        <f t="shared" si="580"/>
        <v>CA_Ventu_2020g~rancho simi rec &amp; park district (vote 1)</v>
      </c>
      <c r="B1896" s="55" t="s">
        <v>4471</v>
      </c>
      <c r="D1896" s="55" t="s">
        <v>4374</v>
      </c>
      <c r="E1896" s="54" t="s">
        <v>4423</v>
      </c>
      <c r="F1896" s="12"/>
      <c r="G1896" s="61">
        <v>31637</v>
      </c>
      <c r="H1896" s="26"/>
      <c r="I1896" s="25"/>
      <c r="N1896"/>
      <c r="O1896">
        <f t="shared" si="581"/>
        <v>1</v>
      </c>
      <c r="P1896" s="57">
        <f t="shared" si="582"/>
        <v>1</v>
      </c>
      <c r="Q1896" s="267">
        <f t="shared" si="583"/>
        <v>151142</v>
      </c>
      <c r="R1896" s="23">
        <f t="shared" si="584"/>
        <v>31637</v>
      </c>
      <c r="S1896" s="23">
        <f t="shared" si="585"/>
        <v>30005</v>
      </c>
      <c r="T1896" s="23">
        <f t="shared" si="586"/>
        <v>1632</v>
      </c>
      <c r="U1896" t="str">
        <f t="shared" si="587"/>
        <v>CA_Ventu_2020g~rancho simi rec &amp; park district (vote 1)</v>
      </c>
      <c r="X1896" s="71"/>
      <c r="Z1896" s="44"/>
      <c r="AF1896" s="22"/>
    </row>
    <row r="1897" spans="1:45">
      <c r="A1897" t="str">
        <f t="shared" si="580"/>
        <v>CA_Ventu_2020g~rancho simi rec &amp; park district (vote 1)</v>
      </c>
      <c r="B1897" s="55" t="s">
        <v>4471</v>
      </c>
      <c r="D1897" s="55" t="s">
        <v>4374</v>
      </c>
      <c r="E1897" s="54" t="s">
        <v>4415</v>
      </c>
      <c r="F1897" s="12"/>
      <c r="G1897" s="61">
        <v>30005</v>
      </c>
      <c r="H1897" s="26"/>
      <c r="I1897" s="25"/>
      <c r="N1897"/>
      <c r="O1897">
        <f t="shared" si="581"/>
        <v>2</v>
      </c>
      <c r="P1897" s="57">
        <f t="shared" si="582"/>
        <v>1</v>
      </c>
      <c r="Q1897" s="267">
        <f t="shared" si="583"/>
        <v>119505</v>
      </c>
      <c r="R1897" s="23" t="str">
        <f t="shared" si="584"/>
        <v/>
      </c>
      <c r="S1897" s="23">
        <f t="shared" si="585"/>
        <v>30005</v>
      </c>
      <c r="T1897" s="23" t="str">
        <f t="shared" si="586"/>
        <v/>
      </c>
      <c r="U1897" t="str">
        <f t="shared" si="587"/>
        <v/>
      </c>
      <c r="X1897" s="71"/>
      <c r="Z1897" s="44"/>
      <c r="AF1897" s="300"/>
    </row>
    <row r="1898" spans="1:45">
      <c r="A1898" t="str">
        <f t="shared" si="580"/>
        <v>CA_Ventu_2020g~rancho simi rec &amp; park district (vote 1)</v>
      </c>
      <c r="B1898" s="55" t="s">
        <v>4471</v>
      </c>
      <c r="D1898" s="55" t="s">
        <v>4374</v>
      </c>
      <c r="E1898" s="54" t="s">
        <v>4414</v>
      </c>
      <c r="F1898" s="12"/>
      <c r="G1898" s="61">
        <v>29484</v>
      </c>
      <c r="H1898" s="26"/>
      <c r="I1898" s="25"/>
      <c r="N1898"/>
      <c r="O1898">
        <f t="shared" si="581"/>
        <v>3</v>
      </c>
      <c r="P1898" s="57">
        <f t="shared" si="582"/>
        <v>1</v>
      </c>
      <c r="Q1898" s="267">
        <f t="shared" si="583"/>
        <v>89500</v>
      </c>
      <c r="R1898" s="23" t="str">
        <f t="shared" si="584"/>
        <v/>
      </c>
      <c r="S1898" s="23">
        <f t="shared" si="585"/>
        <v>29484</v>
      </c>
      <c r="T1898" s="23" t="str">
        <f t="shared" si="586"/>
        <v/>
      </c>
      <c r="U1898" t="str">
        <f t="shared" si="587"/>
        <v/>
      </c>
      <c r="X1898" s="71"/>
      <c r="Z1898" s="44"/>
      <c r="AF1898" s="22"/>
    </row>
    <row r="1899" spans="1:45">
      <c r="A1899" t="str">
        <f t="shared" si="580"/>
        <v>CA_Ventu_2020g~rancho simi rec &amp; park district (vote 1)</v>
      </c>
      <c r="B1899" s="55" t="s">
        <v>4471</v>
      </c>
      <c r="D1899" s="55" t="s">
        <v>4374</v>
      </c>
      <c r="E1899" s="54" t="s">
        <v>4411</v>
      </c>
      <c r="F1899" s="12"/>
      <c r="G1899" s="61">
        <v>26542</v>
      </c>
      <c r="H1899" s="26"/>
      <c r="I1899" s="25"/>
      <c r="N1899"/>
      <c r="O1899">
        <f t="shared" si="581"/>
        <v>4</v>
      </c>
      <c r="P1899" s="57">
        <f t="shared" si="582"/>
        <v>1</v>
      </c>
      <c r="Q1899" s="267">
        <f t="shared" si="583"/>
        <v>60016</v>
      </c>
      <c r="R1899" s="23" t="str">
        <f t="shared" si="584"/>
        <v/>
      </c>
      <c r="S1899" s="23">
        <f t="shared" si="585"/>
        <v>26542</v>
      </c>
      <c r="T1899" s="23" t="str">
        <f t="shared" si="586"/>
        <v/>
      </c>
      <c r="U1899" t="str">
        <f t="shared" si="587"/>
        <v/>
      </c>
      <c r="X1899" s="71"/>
      <c r="Z1899" s="44"/>
    </row>
    <row r="1900" spans="1:45">
      <c r="A1900" t="str">
        <f t="shared" si="580"/>
        <v>CA_Ventu_2020g~rancho simi rec &amp; park district (vote 1)</v>
      </c>
      <c r="B1900" s="55" t="s">
        <v>4471</v>
      </c>
      <c r="D1900" s="55" t="s">
        <v>4374</v>
      </c>
      <c r="E1900" s="54" t="s">
        <v>4393</v>
      </c>
      <c r="F1900" s="12"/>
      <c r="G1900" s="61">
        <v>19784</v>
      </c>
      <c r="H1900" s="26"/>
      <c r="I1900" s="25"/>
      <c r="N1900"/>
      <c r="O1900">
        <f t="shared" si="581"/>
        <v>5</v>
      </c>
      <c r="P1900" s="57">
        <f t="shared" si="582"/>
        <v>1</v>
      </c>
      <c r="Q1900" s="267">
        <f t="shared" si="583"/>
        <v>33474</v>
      </c>
      <c r="R1900" s="23" t="str">
        <f t="shared" si="584"/>
        <v/>
      </c>
      <c r="S1900" s="23">
        <f t="shared" si="585"/>
        <v>19784</v>
      </c>
      <c r="T1900" s="23" t="str">
        <f t="shared" si="586"/>
        <v/>
      </c>
      <c r="U1900" t="str">
        <f t="shared" si="587"/>
        <v/>
      </c>
      <c r="X1900" s="71"/>
      <c r="Z1900" s="44"/>
      <c r="AF1900" s="22"/>
    </row>
    <row r="1901" spans="1:45">
      <c r="A1901" t="str">
        <f t="shared" si="580"/>
        <v>CA_Ventu_2020g~rancho simi rec &amp; park district (vote 1)</v>
      </c>
      <c r="B1901" s="55" t="s">
        <v>4471</v>
      </c>
      <c r="D1901" s="55" t="s">
        <v>4374</v>
      </c>
      <c r="E1901" s="54" t="s">
        <v>4375</v>
      </c>
      <c r="F1901" s="12"/>
      <c r="G1901" s="61">
        <v>13690</v>
      </c>
      <c r="H1901" s="26"/>
      <c r="I1901" s="25"/>
      <c r="N1901"/>
      <c r="O1901">
        <f t="shared" si="581"/>
        <v>6</v>
      </c>
      <c r="P1901" s="57">
        <f t="shared" si="582"/>
        <v>1</v>
      </c>
      <c r="Q1901" s="267">
        <f t="shared" si="583"/>
        <v>13690</v>
      </c>
      <c r="R1901" s="23" t="str">
        <f t="shared" si="584"/>
        <v/>
      </c>
      <c r="S1901" s="23">
        <f t="shared" si="585"/>
        <v>13690</v>
      </c>
      <c r="T1901" s="23" t="str">
        <f t="shared" si="586"/>
        <v/>
      </c>
      <c r="U1901" t="str">
        <f t="shared" si="587"/>
        <v/>
      </c>
      <c r="X1901" s="71"/>
      <c r="Z1901" s="44"/>
      <c r="AF1901" s="22"/>
    </row>
    <row r="1902" spans="1:45">
      <c r="A1902" t="str">
        <f t="shared" si="580"/>
        <v>CA_Ventu_2020g~residential property. initiative statute. (vote 1)</v>
      </c>
      <c r="B1902" s="55" t="s">
        <v>4471</v>
      </c>
      <c r="D1902" s="55" t="s">
        <v>4456</v>
      </c>
      <c r="E1902" s="54" t="s">
        <v>1394</v>
      </c>
      <c r="F1902" s="12"/>
      <c r="G1902" s="61">
        <v>257866</v>
      </c>
      <c r="H1902" s="26"/>
      <c r="I1902" s="25"/>
      <c r="N1902"/>
      <c r="O1902">
        <f t="shared" si="581"/>
        <v>1</v>
      </c>
      <c r="P1902" s="57">
        <f t="shared" si="582"/>
        <v>1</v>
      </c>
      <c r="Q1902" s="267">
        <f t="shared" si="583"/>
        <v>409940</v>
      </c>
      <c r="R1902" s="23">
        <f t="shared" si="584"/>
        <v>257866</v>
      </c>
      <c r="S1902" s="23">
        <f t="shared" si="585"/>
        <v>152074</v>
      </c>
      <c r="T1902" s="23">
        <f t="shared" si="586"/>
        <v>105792</v>
      </c>
      <c r="U1902" t="str">
        <f t="shared" si="587"/>
        <v>CA_Ventu_2020g~residential property. initiative statute. (vote 1)</v>
      </c>
      <c r="X1902" s="71"/>
      <c r="Z1902" s="44"/>
      <c r="AF1902" s="22"/>
    </row>
    <row r="1903" spans="1:45">
      <c r="A1903" t="str">
        <f t="shared" si="580"/>
        <v>CA_Ventu_2020g~residential property. initiative statute. (vote 1)</v>
      </c>
      <c r="B1903" s="55" t="s">
        <v>4471</v>
      </c>
      <c r="D1903" s="55" t="s">
        <v>4456</v>
      </c>
      <c r="E1903" s="54" t="s">
        <v>1393</v>
      </c>
      <c r="F1903" s="12"/>
      <c r="G1903" s="61">
        <v>152074</v>
      </c>
      <c r="H1903" s="26"/>
      <c r="I1903" s="25"/>
      <c r="N1903"/>
      <c r="O1903">
        <f t="shared" si="581"/>
        <v>2</v>
      </c>
      <c r="P1903" s="57">
        <f t="shared" si="582"/>
        <v>1</v>
      </c>
      <c r="Q1903" s="267">
        <f t="shared" si="583"/>
        <v>152074</v>
      </c>
      <c r="R1903" s="23" t="str">
        <f t="shared" si="584"/>
        <v/>
      </c>
      <c r="S1903" s="23">
        <f t="shared" si="585"/>
        <v>152074</v>
      </c>
      <c r="T1903" s="23" t="str">
        <f t="shared" si="586"/>
        <v/>
      </c>
      <c r="U1903" t="str">
        <f t="shared" si="587"/>
        <v/>
      </c>
      <c r="X1903" s="71"/>
      <c r="Z1903" s="44"/>
      <c r="AF1903" s="22"/>
    </row>
    <row r="1904" spans="1:45">
      <c r="A1904" t="str">
        <f t="shared" si="580"/>
        <v>CA_Ventu_2020g~rio school district (vote 1)</v>
      </c>
      <c r="B1904" s="55" t="s">
        <v>4471</v>
      </c>
      <c r="D1904" s="55" t="s">
        <v>4276</v>
      </c>
      <c r="E1904" s="54" t="s">
        <v>4346</v>
      </c>
      <c r="F1904" s="12"/>
      <c r="G1904" s="61">
        <v>6113</v>
      </c>
      <c r="H1904" s="26"/>
      <c r="I1904" s="25"/>
      <c r="N1904"/>
      <c r="O1904">
        <f t="shared" si="581"/>
        <v>1</v>
      </c>
      <c r="P1904" s="57">
        <f t="shared" si="582"/>
        <v>1</v>
      </c>
      <c r="Q1904" s="267">
        <f t="shared" si="583"/>
        <v>21132</v>
      </c>
      <c r="R1904" s="23">
        <f t="shared" si="584"/>
        <v>6113</v>
      </c>
      <c r="S1904" s="23">
        <f t="shared" si="585"/>
        <v>4541</v>
      </c>
      <c r="T1904" s="23">
        <f t="shared" si="586"/>
        <v>1572</v>
      </c>
      <c r="U1904" t="str">
        <f t="shared" si="587"/>
        <v>CA_Ventu_2020g~rio school district (vote 1)</v>
      </c>
      <c r="X1904" s="71"/>
      <c r="Z1904" s="44"/>
      <c r="AF1904" s="22"/>
    </row>
    <row r="1905" spans="1:38">
      <c r="A1905" t="str">
        <f t="shared" ref="A1905:A1968" si="588">CONCATENATE(B1905,"~",LOWER(D1905),IF(RIGHT(D1905,1)=")",""," (vote 1)"))</f>
        <v>CA_Ventu_2020g~rio school district (vote 1)</v>
      </c>
      <c r="B1905" s="55" t="s">
        <v>4471</v>
      </c>
      <c r="D1905" s="55" t="s">
        <v>4276</v>
      </c>
      <c r="E1905" s="54" t="s">
        <v>4331</v>
      </c>
      <c r="F1905" s="12"/>
      <c r="G1905" s="61">
        <v>4541</v>
      </c>
      <c r="H1905" s="26"/>
      <c r="I1905" s="25"/>
      <c r="N1905"/>
      <c r="O1905">
        <f t="shared" si="581"/>
        <v>2</v>
      </c>
      <c r="P1905" s="57">
        <f t="shared" si="582"/>
        <v>1</v>
      </c>
      <c r="Q1905" s="267">
        <f t="shared" si="583"/>
        <v>15019</v>
      </c>
      <c r="R1905" s="23" t="str">
        <f t="shared" si="584"/>
        <v/>
      </c>
      <c r="S1905" s="23">
        <f t="shared" si="585"/>
        <v>4541</v>
      </c>
      <c r="T1905" s="23" t="str">
        <f t="shared" si="586"/>
        <v/>
      </c>
      <c r="U1905" t="str">
        <f t="shared" si="587"/>
        <v/>
      </c>
      <c r="X1905" s="71"/>
      <c r="Z1905" s="44"/>
    </row>
    <row r="1906" spans="1:38">
      <c r="A1906" t="str">
        <f t="shared" si="588"/>
        <v>CA_Ventu_2020g~rio school district (vote 1)</v>
      </c>
      <c r="B1906" s="55" t="s">
        <v>4471</v>
      </c>
      <c r="D1906" s="55" t="s">
        <v>4276</v>
      </c>
      <c r="E1906" s="54" t="s">
        <v>4307</v>
      </c>
      <c r="F1906" s="12"/>
      <c r="G1906" s="61">
        <v>3078</v>
      </c>
      <c r="H1906" s="26"/>
      <c r="I1906" s="25"/>
      <c r="N1906"/>
      <c r="O1906">
        <f t="shared" si="581"/>
        <v>3</v>
      </c>
      <c r="P1906" s="57">
        <f t="shared" si="582"/>
        <v>1</v>
      </c>
      <c r="Q1906" s="267">
        <f t="shared" si="583"/>
        <v>10478</v>
      </c>
      <c r="R1906" s="23" t="str">
        <f t="shared" si="584"/>
        <v/>
      </c>
      <c r="S1906" s="23">
        <f t="shared" si="585"/>
        <v>3078</v>
      </c>
      <c r="T1906" s="23" t="str">
        <f t="shared" si="586"/>
        <v/>
      </c>
      <c r="U1906" t="str">
        <f t="shared" si="587"/>
        <v/>
      </c>
      <c r="X1906" s="71"/>
      <c r="Z1906" s="44"/>
      <c r="AF1906" s="22"/>
    </row>
    <row r="1907" spans="1:38">
      <c r="A1907" t="str">
        <f t="shared" si="588"/>
        <v>CA_Ventu_2020g~rio school district (vote 1)</v>
      </c>
      <c r="B1907" s="55" t="s">
        <v>4471</v>
      </c>
      <c r="D1907" s="55" t="s">
        <v>4276</v>
      </c>
      <c r="E1907" s="54" t="s">
        <v>4301</v>
      </c>
      <c r="F1907" s="12"/>
      <c r="G1907" s="61">
        <v>2904</v>
      </c>
      <c r="H1907" s="26"/>
      <c r="I1907" s="25"/>
      <c r="N1907"/>
      <c r="O1907">
        <f t="shared" si="581"/>
        <v>4</v>
      </c>
      <c r="P1907" s="57">
        <f t="shared" si="582"/>
        <v>1</v>
      </c>
      <c r="Q1907" s="267">
        <f t="shared" si="583"/>
        <v>7400</v>
      </c>
      <c r="R1907" s="23" t="str">
        <f t="shared" si="584"/>
        <v/>
      </c>
      <c r="S1907" s="23">
        <f t="shared" si="585"/>
        <v>2904</v>
      </c>
      <c r="T1907" s="23" t="str">
        <f t="shared" si="586"/>
        <v/>
      </c>
      <c r="U1907" t="str">
        <f t="shared" si="587"/>
        <v/>
      </c>
      <c r="X1907" s="71"/>
      <c r="Z1907" s="44"/>
      <c r="AF1907" s="22"/>
    </row>
    <row r="1908" spans="1:38">
      <c r="A1908" t="str">
        <f t="shared" si="588"/>
        <v>CA_Ventu_2020g~rio school district (vote 1)</v>
      </c>
      <c r="B1908" s="55" t="s">
        <v>4471</v>
      </c>
      <c r="D1908" s="55" t="s">
        <v>4276</v>
      </c>
      <c r="E1908" s="54" t="s">
        <v>4291</v>
      </c>
      <c r="F1908" s="12"/>
      <c r="G1908" s="61">
        <v>2463</v>
      </c>
      <c r="H1908" s="26"/>
      <c r="I1908" s="25"/>
      <c r="N1908"/>
      <c r="O1908">
        <f t="shared" si="581"/>
        <v>5</v>
      </c>
      <c r="P1908" s="57">
        <f t="shared" si="582"/>
        <v>1</v>
      </c>
      <c r="Q1908" s="267">
        <f t="shared" si="583"/>
        <v>4496</v>
      </c>
      <c r="R1908" s="23" t="str">
        <f t="shared" si="584"/>
        <v/>
      </c>
      <c r="S1908" s="23">
        <f t="shared" si="585"/>
        <v>2463</v>
      </c>
      <c r="T1908" s="23" t="str">
        <f t="shared" si="586"/>
        <v/>
      </c>
      <c r="U1908" t="str">
        <f t="shared" si="587"/>
        <v/>
      </c>
      <c r="X1908" s="71"/>
      <c r="Z1908" s="44"/>
      <c r="AF1908" s="22"/>
    </row>
    <row r="1909" spans="1:38">
      <c r="A1909" t="str">
        <f t="shared" si="588"/>
        <v>CA_Ventu_2020g~rio school district (vote 1)</v>
      </c>
      <c r="B1909" s="55" t="s">
        <v>4471</v>
      </c>
      <c r="D1909" s="55" t="s">
        <v>4276</v>
      </c>
      <c r="E1909" s="54" t="s">
        <v>4277</v>
      </c>
      <c r="F1909" s="12"/>
      <c r="G1909" s="61">
        <v>2033</v>
      </c>
      <c r="H1909" s="26"/>
      <c r="I1909" s="25"/>
      <c r="N1909"/>
      <c r="O1909">
        <f t="shared" si="581"/>
        <v>6</v>
      </c>
      <c r="P1909" s="57">
        <f t="shared" si="582"/>
        <v>1</v>
      </c>
      <c r="Q1909" s="267">
        <f t="shared" si="583"/>
        <v>2033</v>
      </c>
      <c r="R1909" s="23" t="str">
        <f t="shared" si="584"/>
        <v/>
      </c>
      <c r="S1909" s="23">
        <f t="shared" si="585"/>
        <v>2033</v>
      </c>
      <c r="T1909" s="23" t="str">
        <f t="shared" si="586"/>
        <v/>
      </c>
      <c r="U1909" t="str">
        <f t="shared" si="587"/>
        <v/>
      </c>
      <c r="X1909" s="71"/>
      <c r="Z1909" s="44"/>
      <c r="AF1909" s="22"/>
    </row>
    <row r="1910" spans="1:38">
      <c r="A1910" t="str">
        <f t="shared" si="588"/>
        <v>CA_Ventu_2020g~san buenaventura city council district 2 (vote 1)</v>
      </c>
      <c r="B1910" s="55" t="s">
        <v>4471</v>
      </c>
      <c r="D1910" s="55" t="s">
        <v>4258</v>
      </c>
      <c r="E1910" s="54" t="s">
        <v>4325</v>
      </c>
      <c r="F1910" s="12"/>
      <c r="G1910" s="61">
        <v>3735</v>
      </c>
      <c r="H1910" s="26"/>
      <c r="I1910" s="25"/>
      <c r="N1910"/>
      <c r="O1910">
        <f t="shared" si="581"/>
        <v>1</v>
      </c>
      <c r="P1910" s="57">
        <f t="shared" si="582"/>
        <v>1</v>
      </c>
      <c r="Q1910" s="267">
        <f t="shared" si="583"/>
        <v>8871</v>
      </c>
      <c r="R1910" s="23">
        <f t="shared" si="584"/>
        <v>3735</v>
      </c>
      <c r="S1910" s="23">
        <f t="shared" si="585"/>
        <v>3529</v>
      </c>
      <c r="T1910" s="23">
        <f t="shared" si="586"/>
        <v>206</v>
      </c>
      <c r="U1910" t="str">
        <f t="shared" si="587"/>
        <v>CA_Ventu_2020g~san buenaventura city council district 2 (vote 1)</v>
      </c>
      <c r="X1910" s="71"/>
      <c r="Z1910" s="44"/>
    </row>
    <row r="1911" spans="1:38">
      <c r="A1911" t="str">
        <f t="shared" si="588"/>
        <v>CA_Ventu_2020g~san buenaventura city council district 2 (vote 1)</v>
      </c>
      <c r="B1911" s="55" t="s">
        <v>4471</v>
      </c>
      <c r="D1911" s="55" t="s">
        <v>4258</v>
      </c>
      <c r="E1911" s="54" t="s">
        <v>4317</v>
      </c>
      <c r="F1911" s="12"/>
      <c r="G1911" s="61">
        <v>3529</v>
      </c>
      <c r="H1911" s="26"/>
      <c r="I1911" s="25"/>
      <c r="N1911"/>
      <c r="O1911">
        <f t="shared" si="581"/>
        <v>2</v>
      </c>
      <c r="P1911" s="57">
        <f t="shared" si="582"/>
        <v>1</v>
      </c>
      <c r="Q1911" s="267">
        <f t="shared" si="583"/>
        <v>5136</v>
      </c>
      <c r="R1911" s="23" t="str">
        <f t="shared" si="584"/>
        <v/>
      </c>
      <c r="S1911" s="23">
        <f t="shared" si="585"/>
        <v>3529</v>
      </c>
      <c r="T1911" s="23" t="str">
        <f t="shared" si="586"/>
        <v/>
      </c>
      <c r="U1911" t="str">
        <f t="shared" si="587"/>
        <v/>
      </c>
      <c r="X1911" s="71"/>
      <c r="Z1911" s="44"/>
      <c r="AF1911" s="22"/>
    </row>
    <row r="1912" spans="1:38">
      <c r="A1912" t="str">
        <f t="shared" si="588"/>
        <v>CA_Ventu_2020g~san buenaventura city council district 2 (vote 1)</v>
      </c>
      <c r="B1912" s="55" t="s">
        <v>4471</v>
      </c>
      <c r="D1912" s="55" t="s">
        <v>4258</v>
      </c>
      <c r="E1912" s="54" t="s">
        <v>4259</v>
      </c>
      <c r="F1912" s="12"/>
      <c r="G1912" s="61">
        <v>1607</v>
      </c>
      <c r="H1912" s="26"/>
      <c r="I1912" s="25"/>
      <c r="N1912"/>
      <c r="O1912">
        <f t="shared" si="581"/>
        <v>3</v>
      </c>
      <c r="P1912" s="57">
        <f t="shared" si="582"/>
        <v>1</v>
      </c>
      <c r="Q1912" s="267">
        <f t="shared" si="583"/>
        <v>1607</v>
      </c>
      <c r="R1912" s="23" t="str">
        <f t="shared" si="584"/>
        <v/>
      </c>
      <c r="S1912" s="23">
        <f t="shared" si="585"/>
        <v>1607</v>
      </c>
      <c r="T1912" s="23" t="str">
        <f t="shared" si="586"/>
        <v/>
      </c>
      <c r="U1912" t="str">
        <f t="shared" si="587"/>
        <v/>
      </c>
      <c r="X1912" s="71"/>
      <c r="Z1912" s="44"/>
      <c r="AF1912" s="22"/>
      <c r="AG1912" s="23"/>
      <c r="AH1912" s="8"/>
    </row>
    <row r="1913" spans="1:38">
      <c r="A1913" t="str">
        <f t="shared" si="588"/>
        <v>CA_Ventu_2020g~san buenaventura city council district 3 (vote 1)</v>
      </c>
      <c r="B1913" s="55" t="s">
        <v>4471</v>
      </c>
      <c r="D1913" s="55" t="s">
        <v>4239</v>
      </c>
      <c r="E1913" s="54" t="s">
        <v>4311</v>
      </c>
      <c r="F1913" s="12"/>
      <c r="G1913" s="61">
        <v>3349</v>
      </c>
      <c r="H1913" s="26"/>
      <c r="I1913" s="25"/>
      <c r="N1913"/>
      <c r="O1913">
        <f t="shared" si="581"/>
        <v>1</v>
      </c>
      <c r="P1913" s="57">
        <f t="shared" si="582"/>
        <v>1</v>
      </c>
      <c r="Q1913" s="267">
        <f t="shared" si="583"/>
        <v>8996</v>
      </c>
      <c r="R1913" s="23">
        <f t="shared" si="584"/>
        <v>3349</v>
      </c>
      <c r="S1913" s="23">
        <f t="shared" si="585"/>
        <v>2538</v>
      </c>
      <c r="T1913" s="23">
        <f t="shared" si="586"/>
        <v>811</v>
      </c>
      <c r="U1913" t="str">
        <f t="shared" si="587"/>
        <v>CA_Ventu_2020g~san buenaventura city council district 3 (vote 1)</v>
      </c>
      <c r="X1913" s="71"/>
      <c r="Z1913" s="44"/>
      <c r="AF1913" s="22"/>
    </row>
    <row r="1914" spans="1:38">
      <c r="A1914" t="str">
        <f t="shared" si="588"/>
        <v>CA_Ventu_2020g~san buenaventura city council district 3 (vote 1)</v>
      </c>
      <c r="B1914" s="55" t="s">
        <v>4471</v>
      </c>
      <c r="D1914" s="55" t="s">
        <v>4239</v>
      </c>
      <c r="E1914" s="54" t="s">
        <v>4292</v>
      </c>
      <c r="F1914" s="12"/>
      <c r="G1914" s="61">
        <v>2538</v>
      </c>
      <c r="H1914" s="26"/>
      <c r="I1914" s="25"/>
      <c r="N1914"/>
      <c r="O1914">
        <f t="shared" si="581"/>
        <v>2</v>
      </c>
      <c r="P1914" s="57">
        <f t="shared" si="582"/>
        <v>1</v>
      </c>
      <c r="Q1914" s="267">
        <f t="shared" si="583"/>
        <v>5647</v>
      </c>
      <c r="R1914" s="23" t="str">
        <f t="shared" si="584"/>
        <v/>
      </c>
      <c r="S1914" s="23">
        <f t="shared" si="585"/>
        <v>2538</v>
      </c>
      <c r="T1914" s="23" t="str">
        <f t="shared" si="586"/>
        <v/>
      </c>
      <c r="U1914" t="str">
        <f t="shared" si="587"/>
        <v/>
      </c>
      <c r="X1914" s="71"/>
      <c r="Z1914" s="44"/>
    </row>
    <row r="1915" spans="1:38">
      <c r="A1915" t="str">
        <f t="shared" si="588"/>
        <v>CA_Ventu_2020g~san buenaventura city council district 3 (vote 1)</v>
      </c>
      <c r="B1915" s="55" t="s">
        <v>4471</v>
      </c>
      <c r="D1915" s="55" t="s">
        <v>4239</v>
      </c>
      <c r="E1915" s="54" t="s">
        <v>4280</v>
      </c>
      <c r="F1915" s="12"/>
      <c r="G1915" s="61">
        <v>2086</v>
      </c>
      <c r="H1915" s="26"/>
      <c r="I1915" s="25"/>
      <c r="N1915"/>
      <c r="O1915">
        <f t="shared" si="581"/>
        <v>3</v>
      </c>
      <c r="P1915" s="57">
        <f t="shared" si="582"/>
        <v>1</v>
      </c>
      <c r="Q1915" s="267">
        <f t="shared" si="583"/>
        <v>3109</v>
      </c>
      <c r="R1915" s="23" t="str">
        <f t="shared" si="584"/>
        <v/>
      </c>
      <c r="S1915" s="23">
        <f t="shared" si="585"/>
        <v>2086</v>
      </c>
      <c r="T1915" s="23" t="str">
        <f t="shared" si="586"/>
        <v/>
      </c>
      <c r="U1915" t="str">
        <f t="shared" si="587"/>
        <v/>
      </c>
      <c r="X1915" s="71"/>
      <c r="Z1915" s="44"/>
      <c r="AF1915" s="300"/>
    </row>
    <row r="1916" spans="1:38">
      <c r="A1916" t="str">
        <f t="shared" si="588"/>
        <v>CA_Ventu_2020g~san buenaventura city council district 3 (vote 1)</v>
      </c>
      <c r="B1916" s="55" t="s">
        <v>4471</v>
      </c>
      <c r="D1916" s="55" t="s">
        <v>4239</v>
      </c>
      <c r="E1916" s="54" t="s">
        <v>4240</v>
      </c>
      <c r="F1916" s="12"/>
      <c r="G1916" s="61">
        <v>1023</v>
      </c>
      <c r="H1916" s="26"/>
      <c r="I1916" s="25"/>
      <c r="N1916"/>
      <c r="O1916">
        <f t="shared" si="581"/>
        <v>4</v>
      </c>
      <c r="P1916" s="57">
        <f t="shared" si="582"/>
        <v>1</v>
      </c>
      <c r="Q1916" s="267">
        <f t="shared" si="583"/>
        <v>1023</v>
      </c>
      <c r="R1916" s="23" t="str">
        <f t="shared" si="584"/>
        <v/>
      </c>
      <c r="S1916" s="23">
        <f t="shared" si="585"/>
        <v>1023</v>
      </c>
      <c r="T1916" s="23" t="str">
        <f t="shared" si="586"/>
        <v/>
      </c>
      <c r="U1916" t="str">
        <f t="shared" si="587"/>
        <v/>
      </c>
      <c r="X1916" s="71"/>
      <c r="Z1916" s="44"/>
      <c r="AF1916" s="22"/>
    </row>
    <row r="1917" spans="1:38">
      <c r="A1917" t="str">
        <f t="shared" si="588"/>
        <v>CA_Ventu_2020g~san buenaventura city council district 7 (vote 1)</v>
      </c>
      <c r="B1917" s="55" t="s">
        <v>4471</v>
      </c>
      <c r="D1917" s="55" t="s">
        <v>4187</v>
      </c>
      <c r="E1917" s="54" t="s">
        <v>4306</v>
      </c>
      <c r="F1917" s="12"/>
      <c r="G1917" s="61">
        <v>3069</v>
      </c>
      <c r="H1917" s="26"/>
      <c r="I1917" s="25"/>
      <c r="N1917"/>
      <c r="O1917">
        <f t="shared" si="581"/>
        <v>1</v>
      </c>
      <c r="P1917" s="57">
        <f t="shared" si="582"/>
        <v>1</v>
      </c>
      <c r="Q1917" s="267">
        <f t="shared" si="583"/>
        <v>7445</v>
      </c>
      <c r="R1917" s="23">
        <f t="shared" si="584"/>
        <v>3069</v>
      </c>
      <c r="S1917" s="23">
        <f t="shared" si="585"/>
        <v>2950</v>
      </c>
      <c r="T1917" s="23">
        <f t="shared" si="586"/>
        <v>119</v>
      </c>
      <c r="U1917" t="str">
        <f t="shared" si="587"/>
        <v>CA_Ventu_2020g~san buenaventura city council district 7 (vote 1)</v>
      </c>
      <c r="X1917" s="71"/>
      <c r="Z1917" s="44"/>
      <c r="AF1917" s="22"/>
    </row>
    <row r="1918" spans="1:38">
      <c r="A1918" t="str">
        <f t="shared" si="588"/>
        <v>CA_Ventu_2020g~san buenaventura city council district 7 (vote 1)</v>
      </c>
      <c r="B1918" s="55" t="s">
        <v>4471</v>
      </c>
      <c r="D1918" s="55" t="s">
        <v>4187</v>
      </c>
      <c r="E1918" s="54" t="s">
        <v>4305</v>
      </c>
      <c r="F1918" s="12"/>
      <c r="G1918" s="61">
        <v>2950</v>
      </c>
      <c r="H1918" s="26"/>
      <c r="I1918" s="25"/>
      <c r="N1918"/>
      <c r="O1918">
        <f t="shared" si="581"/>
        <v>2</v>
      </c>
      <c r="P1918" s="57">
        <f t="shared" si="582"/>
        <v>1</v>
      </c>
      <c r="Q1918" s="267">
        <f t="shared" si="583"/>
        <v>4376</v>
      </c>
      <c r="R1918" s="23" t="str">
        <f t="shared" si="584"/>
        <v/>
      </c>
      <c r="S1918" s="23">
        <f t="shared" si="585"/>
        <v>2950</v>
      </c>
      <c r="T1918" s="23" t="str">
        <f t="shared" si="586"/>
        <v/>
      </c>
      <c r="U1918" t="str">
        <f t="shared" si="587"/>
        <v/>
      </c>
      <c r="X1918" s="71"/>
      <c r="Z1918" s="44"/>
      <c r="AF1918" s="22"/>
    </row>
    <row r="1919" spans="1:38">
      <c r="A1919" t="str">
        <f t="shared" si="588"/>
        <v>CA_Ventu_2020g~san buenaventura city council district 7 (vote 1)</v>
      </c>
      <c r="B1919" s="55" t="s">
        <v>4471</v>
      </c>
      <c r="D1919" s="55" t="s">
        <v>4187</v>
      </c>
      <c r="E1919" s="54" t="s">
        <v>4241</v>
      </c>
      <c r="F1919" s="12"/>
      <c r="G1919" s="61">
        <v>1030</v>
      </c>
      <c r="H1919" s="26"/>
      <c r="I1919" s="25"/>
      <c r="N1919"/>
      <c r="O1919">
        <f t="shared" si="581"/>
        <v>3</v>
      </c>
      <c r="P1919" s="57">
        <f t="shared" si="582"/>
        <v>1</v>
      </c>
      <c r="Q1919" s="267">
        <f t="shared" si="583"/>
        <v>1426</v>
      </c>
      <c r="R1919" s="23" t="str">
        <f t="shared" si="584"/>
        <v/>
      </c>
      <c r="S1919" s="23">
        <f t="shared" si="585"/>
        <v>1030</v>
      </c>
      <c r="T1919" s="23" t="str">
        <f t="shared" si="586"/>
        <v/>
      </c>
      <c r="U1919" t="str">
        <f t="shared" si="587"/>
        <v/>
      </c>
      <c r="X1919" s="71"/>
      <c r="Z1919" s="44"/>
      <c r="AF1919" s="300"/>
    </row>
    <row r="1920" spans="1:38">
      <c r="A1920" t="str">
        <f t="shared" si="588"/>
        <v>CA_Ventu_2020g~san buenaventura city council district 7 (vote 1)</v>
      </c>
      <c r="B1920" s="55" t="s">
        <v>4471</v>
      </c>
      <c r="D1920" s="55" t="s">
        <v>4187</v>
      </c>
      <c r="E1920" s="54" t="s">
        <v>4188</v>
      </c>
      <c r="F1920" s="12"/>
      <c r="G1920" s="61">
        <v>396</v>
      </c>
      <c r="H1920" s="26"/>
      <c r="I1920" s="25"/>
      <c r="N1920"/>
      <c r="O1920">
        <f t="shared" si="581"/>
        <v>4</v>
      </c>
      <c r="P1920" s="57">
        <f t="shared" si="582"/>
        <v>1</v>
      </c>
      <c r="Q1920" s="267">
        <f t="shared" si="583"/>
        <v>396</v>
      </c>
      <c r="R1920" s="23" t="str">
        <f t="shared" si="584"/>
        <v/>
      </c>
      <c r="S1920" s="23">
        <f t="shared" si="585"/>
        <v>396</v>
      </c>
      <c r="T1920" s="23" t="str">
        <f t="shared" si="586"/>
        <v/>
      </c>
      <c r="U1920" t="str">
        <f t="shared" si="587"/>
        <v/>
      </c>
      <c r="X1920" s="71"/>
      <c r="Z1920" s="44"/>
      <c r="AF1920" s="22"/>
      <c r="AL1920" s="23"/>
    </row>
    <row r="1921" spans="1:38">
      <c r="A1921" t="str">
        <f t="shared" si="588"/>
        <v>CA_Ventu_2020g~santa clarita valley water agency division 3 (vote 1)</v>
      </c>
      <c r="B1921" s="55" t="s">
        <v>4471</v>
      </c>
      <c r="D1921" s="55" t="s">
        <v>4169</v>
      </c>
      <c r="E1921" s="54" t="s">
        <v>4178</v>
      </c>
      <c r="F1921" s="12"/>
      <c r="G1921" s="61">
        <v>6</v>
      </c>
      <c r="H1921" s="26"/>
      <c r="I1921" s="25"/>
      <c r="N1921"/>
      <c r="O1921">
        <f t="shared" si="581"/>
        <v>1</v>
      </c>
      <c r="P1921" s="57">
        <f t="shared" si="582"/>
        <v>1</v>
      </c>
      <c r="Q1921" s="267">
        <f t="shared" si="583"/>
        <v>15</v>
      </c>
      <c r="R1921" s="23">
        <f t="shared" si="584"/>
        <v>6</v>
      </c>
      <c r="S1921" s="23">
        <f t="shared" si="585"/>
        <v>4</v>
      </c>
      <c r="T1921" s="23">
        <f t="shared" si="586"/>
        <v>2</v>
      </c>
      <c r="U1921" t="str">
        <f t="shared" si="587"/>
        <v>CA_Ventu_2020g~santa clarita valley water agency division 3 (vote 1)</v>
      </c>
      <c r="X1921" s="71"/>
      <c r="Z1921" s="44"/>
      <c r="AF1921" s="22"/>
    </row>
    <row r="1922" spans="1:38">
      <c r="A1922" t="str">
        <f t="shared" si="588"/>
        <v>CA_Ventu_2020g~santa clarita valley water agency division 3 (vote 1)</v>
      </c>
      <c r="B1922" s="55" t="s">
        <v>4471</v>
      </c>
      <c r="D1922" s="55" t="s">
        <v>4169</v>
      </c>
      <c r="E1922" s="54" t="s">
        <v>4173</v>
      </c>
      <c r="F1922" s="12"/>
      <c r="G1922" s="61">
        <v>4</v>
      </c>
      <c r="H1922" s="26"/>
      <c r="I1922" s="25"/>
      <c r="N1922"/>
      <c r="O1922">
        <f t="shared" ref="O1922:O1985" si="589">IF(OR(LOWER(LEFT(E1922,8))="write-in",LOWER(LEFT(E1922,8))="not qual"),IF(A1922=A1921,-ABS(O1921),0),IF(A1922=A1921,ABS(O1921)+1,1))</f>
        <v>2</v>
      </c>
      <c r="P1922" s="57">
        <f t="shared" ref="P1922:P1985" si="590">1*LEFT(RIGHT(A1922,2),1)</f>
        <v>1</v>
      </c>
      <c r="Q1922" s="267">
        <f t="shared" ref="Q1922:Q1985" si="591">IF(A1922&lt;&gt;A1923,G1922,IF(A1922=A1921,G1922+Q1923,MAX(G1922,(G1922+Q1923)/P1922)))</f>
        <v>9</v>
      </c>
      <c r="R1922" s="23" t="str">
        <f t="shared" ref="R1922:R1985" si="592">IF(O1922&gt;P1922,"",IF(O1922=P1922,G1922,IF(A1922=A1923,R1923,IF(O1922&lt;=0,1,G1922))))</f>
        <v/>
      </c>
      <c r="S1922" s="23">
        <f t="shared" ref="S1922:S1985" si="593">IF(AND(O1922&gt;P1922,LOWER(LEFT(E1922,8))&lt;&gt;"write-in",LOWER(LEFT(E1922,8))&lt;&gt;"not qual"),G1922,IF(A1922=A1923,S1923,0))</f>
        <v>4</v>
      </c>
      <c r="T1922" s="23" t="str">
        <f t="shared" ref="T1922:T1985" si="594">IF(OR(A1922=A1921,S1922=0),"",R1922-ABS(S1922))</f>
        <v/>
      </c>
      <c r="U1922" t="str">
        <f t="shared" ref="U1922:U1985" si="595">IF(A1922=A1921,"",A1922)</f>
        <v/>
      </c>
      <c r="X1922" s="71"/>
      <c r="Z1922" s="44"/>
      <c r="AF1922" s="22"/>
    </row>
    <row r="1923" spans="1:38">
      <c r="A1923" t="str">
        <f t="shared" si="588"/>
        <v>CA_Ventu_2020g~santa clarita valley water agency division 3 (vote 1)</v>
      </c>
      <c r="B1923" s="55" t="s">
        <v>4471</v>
      </c>
      <c r="D1923" s="55" t="s">
        <v>4169</v>
      </c>
      <c r="E1923" s="54" t="s">
        <v>4174</v>
      </c>
      <c r="F1923" s="12"/>
      <c r="G1923" s="61">
        <v>4</v>
      </c>
      <c r="H1923" s="26"/>
      <c r="I1923" s="25"/>
      <c r="N1923"/>
      <c r="O1923">
        <f t="shared" si="589"/>
        <v>3</v>
      </c>
      <c r="P1923" s="57">
        <f t="shared" si="590"/>
        <v>1</v>
      </c>
      <c r="Q1923" s="267">
        <f t="shared" si="591"/>
        <v>5</v>
      </c>
      <c r="R1923" s="23" t="str">
        <f t="shared" si="592"/>
        <v/>
      </c>
      <c r="S1923" s="23">
        <f t="shared" si="593"/>
        <v>4</v>
      </c>
      <c r="T1923" s="23" t="str">
        <f t="shared" si="594"/>
        <v/>
      </c>
      <c r="U1923" t="str">
        <f t="shared" si="595"/>
        <v/>
      </c>
      <c r="X1923" s="71"/>
      <c r="Z1923" s="44"/>
      <c r="AF1923" s="22"/>
    </row>
    <row r="1924" spans="1:38">
      <c r="A1924" t="str">
        <f t="shared" si="588"/>
        <v>CA_Ventu_2020g~santa clarita valley water agency division 3 (vote 1)</v>
      </c>
      <c r="B1924" s="55" t="s">
        <v>4471</v>
      </c>
      <c r="D1924" s="55" t="s">
        <v>4169</v>
      </c>
      <c r="E1924" s="54" t="s">
        <v>4170</v>
      </c>
      <c r="F1924" s="12"/>
      <c r="G1924" s="61">
        <v>1</v>
      </c>
      <c r="H1924" s="26"/>
      <c r="I1924" s="25"/>
      <c r="N1924"/>
      <c r="O1924">
        <f t="shared" si="589"/>
        <v>4</v>
      </c>
      <c r="P1924" s="57">
        <f t="shared" si="590"/>
        <v>1</v>
      </c>
      <c r="Q1924" s="267">
        <f t="shared" si="591"/>
        <v>1</v>
      </c>
      <c r="R1924" s="23" t="str">
        <f t="shared" si="592"/>
        <v/>
      </c>
      <c r="S1924" s="23">
        <f t="shared" si="593"/>
        <v>1</v>
      </c>
      <c r="T1924" s="23" t="str">
        <f t="shared" si="594"/>
        <v/>
      </c>
      <c r="U1924" t="str">
        <f t="shared" si="595"/>
        <v/>
      </c>
      <c r="X1924" s="71"/>
      <c r="Z1924" s="44"/>
      <c r="AF1924" s="22"/>
      <c r="AG1924" s="89"/>
      <c r="AH1924" s="274"/>
      <c r="AI1924" s="279"/>
      <c r="AJ1924" s="280"/>
      <c r="AK1924" s="92"/>
      <c r="AL1924" s="23"/>
    </row>
    <row r="1925" spans="1:38">
      <c r="A1925" t="str">
        <f t="shared" si="588"/>
        <v>CA_Ventu_2020g~santa paula city council (vote 1)</v>
      </c>
      <c r="B1925" s="55" t="s">
        <v>4471</v>
      </c>
      <c r="D1925" s="55" t="s">
        <v>4303</v>
      </c>
      <c r="E1925" s="54" t="s">
        <v>4337</v>
      </c>
      <c r="F1925" s="12"/>
      <c r="G1925" s="61">
        <v>5013</v>
      </c>
      <c r="H1925" s="26"/>
      <c r="I1925" s="25"/>
      <c r="N1925"/>
      <c r="O1925">
        <f t="shared" si="589"/>
        <v>1</v>
      </c>
      <c r="P1925" s="57">
        <f t="shared" si="590"/>
        <v>1</v>
      </c>
      <c r="Q1925" s="267">
        <f t="shared" si="591"/>
        <v>15852</v>
      </c>
      <c r="R1925" s="23">
        <f t="shared" si="592"/>
        <v>5013</v>
      </c>
      <c r="S1925" s="23">
        <f t="shared" si="593"/>
        <v>4225</v>
      </c>
      <c r="T1925" s="23">
        <f t="shared" si="594"/>
        <v>788</v>
      </c>
      <c r="U1925" t="str">
        <f t="shared" si="595"/>
        <v>CA_Ventu_2020g~santa paula city council (vote 1)</v>
      </c>
      <c r="X1925" s="71"/>
      <c r="Z1925" s="44"/>
      <c r="AF1925" s="22"/>
      <c r="AL1925" s="23"/>
    </row>
    <row r="1926" spans="1:38">
      <c r="A1926" t="str">
        <f t="shared" si="588"/>
        <v>CA_Ventu_2020g~santa paula city council (vote 1)</v>
      </c>
      <c r="B1926" s="55" t="s">
        <v>4471</v>
      </c>
      <c r="D1926" s="55" t="s">
        <v>4303</v>
      </c>
      <c r="E1926" s="54" t="s">
        <v>4330</v>
      </c>
      <c r="F1926" s="12"/>
      <c r="G1926" s="61">
        <v>4225</v>
      </c>
      <c r="H1926" s="26"/>
      <c r="I1926" s="25"/>
      <c r="N1926"/>
      <c r="O1926">
        <f t="shared" si="589"/>
        <v>2</v>
      </c>
      <c r="P1926" s="57">
        <f t="shared" si="590"/>
        <v>1</v>
      </c>
      <c r="Q1926" s="267">
        <f t="shared" si="591"/>
        <v>10839</v>
      </c>
      <c r="R1926" s="23" t="str">
        <f t="shared" si="592"/>
        <v/>
      </c>
      <c r="S1926" s="23">
        <f t="shared" si="593"/>
        <v>4225</v>
      </c>
      <c r="T1926" s="23" t="str">
        <f t="shared" si="594"/>
        <v/>
      </c>
      <c r="U1926" t="str">
        <f t="shared" si="595"/>
        <v/>
      </c>
      <c r="X1926" s="71"/>
      <c r="Z1926" s="44"/>
      <c r="AF1926" s="22"/>
    </row>
    <row r="1927" spans="1:38">
      <c r="A1927" t="str">
        <f t="shared" si="588"/>
        <v>CA_Ventu_2020g~santa paula city council (vote 1)</v>
      </c>
      <c r="B1927" s="55" t="s">
        <v>4471</v>
      </c>
      <c r="D1927" s="55" t="s">
        <v>4303</v>
      </c>
      <c r="E1927" s="54" t="s">
        <v>4323</v>
      </c>
      <c r="F1927" s="12"/>
      <c r="G1927" s="61">
        <v>3670</v>
      </c>
      <c r="H1927" s="26"/>
      <c r="I1927" s="25"/>
      <c r="N1927"/>
      <c r="O1927">
        <f t="shared" si="589"/>
        <v>3</v>
      </c>
      <c r="P1927" s="57">
        <f t="shared" si="590"/>
        <v>1</v>
      </c>
      <c r="Q1927" s="267">
        <f t="shared" si="591"/>
        <v>6614</v>
      </c>
      <c r="R1927" s="23" t="str">
        <f t="shared" si="592"/>
        <v/>
      </c>
      <c r="S1927" s="23">
        <f t="shared" si="593"/>
        <v>3670</v>
      </c>
      <c r="T1927" s="23" t="str">
        <f t="shared" si="594"/>
        <v/>
      </c>
      <c r="U1927" t="str">
        <f t="shared" si="595"/>
        <v/>
      </c>
      <c r="X1927" s="71"/>
      <c r="Z1927" s="44"/>
      <c r="AF1927" s="22"/>
    </row>
    <row r="1928" spans="1:38">
      <c r="A1928" t="str">
        <f t="shared" si="588"/>
        <v>CA_Ventu_2020g~santa paula city council (vote 1)</v>
      </c>
      <c r="B1928" s="55" t="s">
        <v>4471</v>
      </c>
      <c r="D1928" s="55" t="s">
        <v>4303</v>
      </c>
      <c r="E1928" s="54" t="s">
        <v>4304</v>
      </c>
      <c r="F1928" s="12"/>
      <c r="G1928" s="61">
        <v>2944</v>
      </c>
      <c r="H1928" s="26"/>
      <c r="I1928" s="25"/>
      <c r="N1928"/>
      <c r="O1928">
        <f t="shared" si="589"/>
        <v>4</v>
      </c>
      <c r="P1928" s="57">
        <f t="shared" si="590"/>
        <v>1</v>
      </c>
      <c r="Q1928" s="267">
        <f t="shared" si="591"/>
        <v>2944</v>
      </c>
      <c r="R1928" s="23" t="str">
        <f t="shared" si="592"/>
        <v/>
      </c>
      <c r="S1928" s="23">
        <f t="shared" si="593"/>
        <v>2944</v>
      </c>
      <c r="T1928" s="23" t="str">
        <f t="shared" si="594"/>
        <v/>
      </c>
      <c r="U1928" t="str">
        <f t="shared" si="595"/>
        <v/>
      </c>
      <c r="X1928" s="71"/>
      <c r="Z1928" s="44"/>
      <c r="AF1928" s="22"/>
    </row>
    <row r="1929" spans="1:38">
      <c r="A1929" t="str">
        <f t="shared" si="588"/>
        <v>CA_Ventu_2020g~santa paula unified school district area 4 (vote 1)</v>
      </c>
      <c r="B1929" s="55" t="s">
        <v>4471</v>
      </c>
      <c r="D1929" s="55" t="s">
        <v>4191</v>
      </c>
      <c r="E1929" s="54" t="s">
        <v>4236</v>
      </c>
      <c r="F1929" s="12"/>
      <c r="G1929" s="61">
        <v>969</v>
      </c>
      <c r="H1929" s="26"/>
      <c r="I1929" s="25"/>
      <c r="N1929"/>
      <c r="O1929">
        <f t="shared" si="589"/>
        <v>1</v>
      </c>
      <c r="P1929" s="57">
        <f t="shared" si="590"/>
        <v>1</v>
      </c>
      <c r="Q1929" s="267">
        <f t="shared" si="591"/>
        <v>1423</v>
      </c>
      <c r="R1929" s="23">
        <f t="shared" si="592"/>
        <v>969</v>
      </c>
      <c r="S1929" s="23">
        <f t="shared" si="593"/>
        <v>454</v>
      </c>
      <c r="T1929" s="23">
        <f t="shared" si="594"/>
        <v>515</v>
      </c>
      <c r="U1929" t="str">
        <f t="shared" si="595"/>
        <v>CA_Ventu_2020g~santa paula unified school district area 4 (vote 1)</v>
      </c>
      <c r="X1929" s="71"/>
      <c r="Z1929" s="44"/>
      <c r="AF1929" s="22"/>
    </row>
    <row r="1930" spans="1:38">
      <c r="A1930" t="str">
        <f t="shared" si="588"/>
        <v>CA_Ventu_2020g~santa paula unified school district area 4 (vote 1)</v>
      </c>
      <c r="B1930" s="55" t="s">
        <v>4471</v>
      </c>
      <c r="D1930" s="55" t="s">
        <v>4191</v>
      </c>
      <c r="E1930" s="54" t="s">
        <v>4192</v>
      </c>
      <c r="F1930" s="12"/>
      <c r="G1930" s="61">
        <v>454</v>
      </c>
      <c r="H1930" s="26"/>
      <c r="I1930" s="25"/>
      <c r="N1930"/>
      <c r="O1930">
        <f t="shared" si="589"/>
        <v>2</v>
      </c>
      <c r="P1930" s="57">
        <f t="shared" si="590"/>
        <v>1</v>
      </c>
      <c r="Q1930" s="267">
        <f t="shared" si="591"/>
        <v>454</v>
      </c>
      <c r="R1930" s="23" t="str">
        <f t="shared" si="592"/>
        <v/>
      </c>
      <c r="S1930" s="23">
        <f t="shared" si="593"/>
        <v>454</v>
      </c>
      <c r="T1930" s="23" t="str">
        <f t="shared" si="594"/>
        <v/>
      </c>
      <c r="U1930" t="str">
        <f t="shared" si="595"/>
        <v/>
      </c>
      <c r="X1930" s="71"/>
      <c r="Z1930" s="44"/>
      <c r="AF1930" s="22"/>
      <c r="AG1930" s="89"/>
      <c r="AH1930" s="274"/>
      <c r="AI1930" s="279"/>
      <c r="AJ1930" s="280"/>
      <c r="AK1930" s="92"/>
      <c r="AL1930" s="23"/>
    </row>
    <row r="1931" spans="1:38">
      <c r="A1931" t="str">
        <f t="shared" si="588"/>
        <v>CA_Ventu_2020g~santa paula unified school district area 5 (vote 1)</v>
      </c>
      <c r="B1931" s="55" t="s">
        <v>4471</v>
      </c>
      <c r="D1931" s="55" t="s">
        <v>4207</v>
      </c>
      <c r="E1931" s="54" t="s">
        <v>4283</v>
      </c>
      <c r="F1931" s="12"/>
      <c r="G1931" s="61">
        <v>2253</v>
      </c>
      <c r="H1931" s="26"/>
      <c r="I1931" s="25"/>
      <c r="N1931"/>
      <c r="O1931">
        <f t="shared" si="589"/>
        <v>1</v>
      </c>
      <c r="P1931" s="57">
        <f t="shared" si="590"/>
        <v>1</v>
      </c>
      <c r="Q1931" s="267">
        <f t="shared" si="591"/>
        <v>2904</v>
      </c>
      <c r="R1931" s="23">
        <f t="shared" si="592"/>
        <v>2253</v>
      </c>
      <c r="S1931" s="23">
        <f t="shared" si="593"/>
        <v>651</v>
      </c>
      <c r="T1931" s="23">
        <f t="shared" si="594"/>
        <v>1602</v>
      </c>
      <c r="U1931" t="str">
        <f t="shared" si="595"/>
        <v>CA_Ventu_2020g~santa paula unified school district area 5 (vote 1)</v>
      </c>
      <c r="X1931" s="71"/>
      <c r="Z1931" s="44"/>
      <c r="AF1931" s="312"/>
    </row>
    <row r="1932" spans="1:38">
      <c r="A1932" t="str">
        <f t="shared" si="588"/>
        <v>CA_Ventu_2020g~santa paula unified school district area 5 (vote 1)</v>
      </c>
      <c r="B1932" s="55" t="s">
        <v>4471</v>
      </c>
      <c r="D1932" s="55" t="s">
        <v>4207</v>
      </c>
      <c r="E1932" s="54" t="s">
        <v>4208</v>
      </c>
      <c r="F1932" s="12"/>
      <c r="G1932" s="61">
        <v>651</v>
      </c>
      <c r="H1932" s="26"/>
      <c r="I1932" s="25"/>
      <c r="N1932"/>
      <c r="O1932">
        <f t="shared" si="589"/>
        <v>2</v>
      </c>
      <c r="P1932" s="57">
        <f t="shared" si="590"/>
        <v>1</v>
      </c>
      <c r="Q1932" s="267">
        <f t="shared" si="591"/>
        <v>651</v>
      </c>
      <c r="R1932" s="23" t="str">
        <f t="shared" si="592"/>
        <v/>
      </c>
      <c r="S1932" s="23">
        <f t="shared" si="593"/>
        <v>651</v>
      </c>
      <c r="T1932" s="23" t="str">
        <f t="shared" si="594"/>
        <v/>
      </c>
      <c r="U1932" t="str">
        <f t="shared" si="595"/>
        <v/>
      </c>
      <c r="X1932" s="71"/>
      <c r="Z1932" s="44"/>
      <c r="AF1932" s="22"/>
    </row>
    <row r="1933" spans="1:38">
      <c r="A1933" t="str">
        <f t="shared" si="588"/>
        <v>CA_Ventu_2020g~santa rosa valley mac (vote 1)</v>
      </c>
      <c r="B1933" s="55" t="s">
        <v>4471</v>
      </c>
      <c r="D1933" s="55" t="s">
        <v>4212</v>
      </c>
      <c r="E1933" s="54" t="s">
        <v>4253</v>
      </c>
      <c r="F1933" s="12"/>
      <c r="G1933" s="61">
        <v>1484</v>
      </c>
      <c r="H1933" s="26"/>
      <c r="I1933" s="25"/>
      <c r="N1933"/>
      <c r="O1933">
        <f t="shared" si="589"/>
        <v>1</v>
      </c>
      <c r="P1933" s="57">
        <f t="shared" si="590"/>
        <v>1</v>
      </c>
      <c r="Q1933" s="267">
        <f t="shared" si="591"/>
        <v>3893</v>
      </c>
      <c r="R1933" s="23">
        <f t="shared" si="592"/>
        <v>1484</v>
      </c>
      <c r="S1933" s="23">
        <f t="shared" si="593"/>
        <v>896</v>
      </c>
      <c r="T1933" s="23">
        <f t="shared" si="594"/>
        <v>588</v>
      </c>
      <c r="U1933" t="str">
        <f t="shared" si="595"/>
        <v>CA_Ventu_2020g~santa rosa valley mac (vote 1)</v>
      </c>
      <c r="X1933" s="71"/>
      <c r="Z1933" s="44"/>
      <c r="AF1933" s="22"/>
    </row>
    <row r="1934" spans="1:38">
      <c r="A1934" t="str">
        <f t="shared" si="588"/>
        <v>CA_Ventu_2020g~santa rosa valley mac (vote 1)</v>
      </c>
      <c r="B1934" s="55" t="s">
        <v>4471</v>
      </c>
      <c r="D1934" s="55" t="s">
        <v>4212</v>
      </c>
      <c r="E1934" s="54" t="s">
        <v>4230</v>
      </c>
      <c r="F1934" s="12"/>
      <c r="G1934" s="61">
        <v>896</v>
      </c>
      <c r="H1934" s="26"/>
      <c r="I1934" s="25"/>
      <c r="N1934"/>
      <c r="O1934">
        <f t="shared" si="589"/>
        <v>2</v>
      </c>
      <c r="P1934" s="57">
        <f t="shared" si="590"/>
        <v>1</v>
      </c>
      <c r="Q1934" s="267">
        <f t="shared" si="591"/>
        <v>2409</v>
      </c>
      <c r="R1934" s="23" t="str">
        <f t="shared" si="592"/>
        <v/>
      </c>
      <c r="S1934" s="23">
        <f t="shared" si="593"/>
        <v>896</v>
      </c>
      <c r="T1934" s="23" t="str">
        <f t="shared" si="594"/>
        <v/>
      </c>
      <c r="U1934" t="str">
        <f t="shared" si="595"/>
        <v/>
      </c>
      <c r="X1934" s="71"/>
      <c r="Z1934" s="44"/>
      <c r="AF1934" s="22"/>
    </row>
    <row r="1935" spans="1:38">
      <c r="A1935" t="str">
        <f t="shared" si="588"/>
        <v>CA_Ventu_2020g~santa rosa valley mac (vote 1)</v>
      </c>
      <c r="B1935" s="55" t="s">
        <v>4471</v>
      </c>
      <c r="D1935" s="55" t="s">
        <v>4212</v>
      </c>
      <c r="E1935" s="54" t="s">
        <v>4223</v>
      </c>
      <c r="F1935" s="12"/>
      <c r="G1935" s="61">
        <v>826</v>
      </c>
      <c r="H1935" s="26"/>
      <c r="I1935" s="25"/>
      <c r="N1935"/>
      <c r="O1935">
        <f t="shared" si="589"/>
        <v>3</v>
      </c>
      <c r="P1935" s="57">
        <f t="shared" si="590"/>
        <v>1</v>
      </c>
      <c r="Q1935" s="267">
        <f t="shared" si="591"/>
        <v>1513</v>
      </c>
      <c r="R1935" s="23" t="str">
        <f t="shared" si="592"/>
        <v/>
      </c>
      <c r="S1935" s="23">
        <f t="shared" si="593"/>
        <v>826</v>
      </c>
      <c r="T1935" s="23" t="str">
        <f t="shared" si="594"/>
        <v/>
      </c>
      <c r="U1935" t="str">
        <f t="shared" si="595"/>
        <v/>
      </c>
      <c r="X1935" s="71"/>
      <c r="Z1935" s="44"/>
    </row>
    <row r="1936" spans="1:38">
      <c r="A1936" t="str">
        <f t="shared" si="588"/>
        <v>CA_Ventu_2020g~santa rosa valley mac (vote 1)</v>
      </c>
      <c r="B1936" s="55" t="s">
        <v>4471</v>
      </c>
      <c r="D1936" s="55" t="s">
        <v>4212</v>
      </c>
      <c r="E1936" s="54" t="s">
        <v>4213</v>
      </c>
      <c r="F1936" s="12"/>
      <c r="G1936" s="61">
        <v>687</v>
      </c>
      <c r="H1936" s="26"/>
      <c r="I1936" s="25"/>
      <c r="N1936"/>
      <c r="O1936">
        <f t="shared" si="589"/>
        <v>4</v>
      </c>
      <c r="P1936" s="57">
        <f t="shared" si="590"/>
        <v>1</v>
      </c>
      <c r="Q1936" s="267">
        <f t="shared" si="591"/>
        <v>687</v>
      </c>
      <c r="R1936" s="23" t="str">
        <f t="shared" si="592"/>
        <v/>
      </c>
      <c r="S1936" s="23">
        <f t="shared" si="593"/>
        <v>687</v>
      </c>
      <c r="T1936" s="23" t="str">
        <f t="shared" si="594"/>
        <v/>
      </c>
      <c r="U1936" t="str">
        <f t="shared" si="595"/>
        <v/>
      </c>
      <c r="X1936" s="71"/>
      <c r="Z1936" s="44"/>
    </row>
    <row r="1937" spans="1:45">
      <c r="A1937" t="str">
        <f t="shared" si="588"/>
        <v>CA_Ventu_2020g~sb county board of education area 4 (vote 1)</v>
      </c>
      <c r="B1937" s="55" t="s">
        <v>4471</v>
      </c>
      <c r="D1937" s="55" t="s">
        <v>4171</v>
      </c>
      <c r="E1937" s="54" t="s">
        <v>4182</v>
      </c>
      <c r="F1937" s="12"/>
      <c r="G1937" s="61">
        <v>27</v>
      </c>
      <c r="H1937" s="26"/>
      <c r="I1937" s="25"/>
      <c r="N1937"/>
      <c r="O1937">
        <f t="shared" si="589"/>
        <v>1</v>
      </c>
      <c r="P1937" s="57">
        <f t="shared" si="590"/>
        <v>1</v>
      </c>
      <c r="Q1937" s="267">
        <f t="shared" si="591"/>
        <v>40</v>
      </c>
      <c r="R1937" s="23">
        <f t="shared" si="592"/>
        <v>27</v>
      </c>
      <c r="S1937" s="23">
        <f t="shared" si="593"/>
        <v>11</v>
      </c>
      <c r="T1937" s="23">
        <f t="shared" si="594"/>
        <v>16</v>
      </c>
      <c r="U1937" t="str">
        <f t="shared" si="595"/>
        <v>CA_Ventu_2020g~sb county board of education area 4 (vote 1)</v>
      </c>
      <c r="X1937" s="71"/>
      <c r="Z1937" s="44"/>
      <c r="AF1937" s="22"/>
    </row>
    <row r="1938" spans="1:45">
      <c r="A1938" t="str">
        <f t="shared" si="588"/>
        <v>CA_Ventu_2020g~sb county board of education area 4 (vote 1)</v>
      </c>
      <c r="B1938" s="55" t="s">
        <v>4471</v>
      </c>
      <c r="D1938" s="55" t="s">
        <v>4171</v>
      </c>
      <c r="E1938" s="54" t="s">
        <v>4179</v>
      </c>
      <c r="F1938" s="12"/>
      <c r="G1938" s="61">
        <v>11</v>
      </c>
      <c r="H1938" s="26"/>
      <c r="I1938" s="25"/>
      <c r="N1938"/>
      <c r="O1938">
        <f t="shared" si="589"/>
        <v>2</v>
      </c>
      <c r="P1938" s="57">
        <f t="shared" si="590"/>
        <v>1</v>
      </c>
      <c r="Q1938" s="267">
        <f t="shared" si="591"/>
        <v>13</v>
      </c>
      <c r="R1938" s="23" t="str">
        <f t="shared" si="592"/>
        <v/>
      </c>
      <c r="S1938" s="23">
        <f t="shared" si="593"/>
        <v>11</v>
      </c>
      <c r="T1938" s="23" t="str">
        <f t="shared" si="594"/>
        <v/>
      </c>
      <c r="U1938" t="str">
        <f t="shared" si="595"/>
        <v/>
      </c>
      <c r="X1938" s="71"/>
      <c r="Z1938" s="44"/>
      <c r="AF1938" s="22"/>
    </row>
    <row r="1939" spans="1:45">
      <c r="A1939" t="str">
        <f t="shared" si="588"/>
        <v>CA_Ventu_2020g~sb county board of education area 4 (vote 1)</v>
      </c>
      <c r="B1939" s="55" t="s">
        <v>4471</v>
      </c>
      <c r="D1939" s="55" t="s">
        <v>4171</v>
      </c>
      <c r="E1939" s="54" t="s">
        <v>4172</v>
      </c>
      <c r="F1939" s="12"/>
      <c r="G1939" s="61">
        <v>2</v>
      </c>
      <c r="H1939" s="26"/>
      <c r="I1939" s="25"/>
      <c r="N1939"/>
      <c r="O1939">
        <f t="shared" si="589"/>
        <v>3</v>
      </c>
      <c r="P1939" s="57">
        <f t="shared" si="590"/>
        <v>1</v>
      </c>
      <c r="Q1939" s="267">
        <f t="shared" si="591"/>
        <v>2</v>
      </c>
      <c r="R1939" s="23" t="str">
        <f t="shared" si="592"/>
        <v/>
      </c>
      <c r="S1939" s="23">
        <f t="shared" si="593"/>
        <v>2</v>
      </c>
      <c r="T1939" s="23" t="str">
        <f t="shared" si="594"/>
        <v/>
      </c>
      <c r="U1939" t="str">
        <f t="shared" si="595"/>
        <v/>
      </c>
      <c r="X1939" s="71"/>
      <c r="Z1939" s="44"/>
      <c r="AF1939" s="22"/>
    </row>
    <row r="1940" spans="1:45">
      <c r="A1940" t="str">
        <f t="shared" si="588"/>
        <v>CA_Ventu_2020g~simi valley city council district 1 (vote 1)</v>
      </c>
      <c r="B1940" s="55" t="s">
        <v>4471</v>
      </c>
      <c r="D1940" s="55" t="s">
        <v>4359</v>
      </c>
      <c r="E1940" s="54" t="s">
        <v>4361</v>
      </c>
      <c r="F1940" s="12"/>
      <c r="G1940" s="61">
        <v>8793</v>
      </c>
      <c r="H1940" s="26"/>
      <c r="I1940" s="25"/>
      <c r="N1940"/>
      <c r="O1940">
        <f t="shared" si="589"/>
        <v>1</v>
      </c>
      <c r="P1940" s="57">
        <f t="shared" si="590"/>
        <v>1</v>
      </c>
      <c r="Q1940" s="267">
        <f t="shared" si="591"/>
        <v>17329</v>
      </c>
      <c r="R1940" s="23">
        <f t="shared" si="592"/>
        <v>8793</v>
      </c>
      <c r="S1940" s="23">
        <f t="shared" si="593"/>
        <v>8536</v>
      </c>
      <c r="T1940" s="23">
        <f t="shared" si="594"/>
        <v>257</v>
      </c>
      <c r="U1940" t="str">
        <f t="shared" si="595"/>
        <v>CA_Ventu_2020g~simi valley city council district 1 (vote 1)</v>
      </c>
      <c r="X1940" s="71"/>
      <c r="Z1940" s="44"/>
      <c r="AF1940" s="22"/>
    </row>
    <row r="1941" spans="1:45">
      <c r="A1941" t="str">
        <f t="shared" si="588"/>
        <v>CA_Ventu_2020g~simi valley city council district 1 (vote 1)</v>
      </c>
      <c r="B1941" s="55" t="s">
        <v>4471</v>
      </c>
      <c r="D1941" s="55" t="s">
        <v>4359</v>
      </c>
      <c r="E1941" s="54" t="s">
        <v>4360</v>
      </c>
      <c r="F1941" s="12"/>
      <c r="G1941" s="61">
        <v>8536</v>
      </c>
      <c r="H1941" s="26"/>
      <c r="I1941" s="25"/>
      <c r="N1941"/>
      <c r="O1941">
        <f t="shared" si="589"/>
        <v>2</v>
      </c>
      <c r="P1941" s="57">
        <f t="shared" si="590"/>
        <v>1</v>
      </c>
      <c r="Q1941" s="267">
        <f t="shared" si="591"/>
        <v>8536</v>
      </c>
      <c r="R1941" s="23" t="str">
        <f t="shared" si="592"/>
        <v/>
      </c>
      <c r="S1941" s="23">
        <f t="shared" si="593"/>
        <v>8536</v>
      </c>
      <c r="T1941" s="23" t="str">
        <f t="shared" si="594"/>
        <v/>
      </c>
      <c r="U1941" t="str">
        <f t="shared" si="595"/>
        <v/>
      </c>
      <c r="X1941" s="71"/>
      <c r="Z1941" s="44"/>
      <c r="AF1941" s="22"/>
    </row>
    <row r="1942" spans="1:45">
      <c r="A1942" t="str">
        <f t="shared" si="588"/>
        <v>CA_Ventu_2020g~simi valley city council district 3 (vote 1)</v>
      </c>
      <c r="B1942" s="55" t="s">
        <v>4471</v>
      </c>
      <c r="D1942" s="55" t="s">
        <v>4268</v>
      </c>
      <c r="E1942" s="54" t="s">
        <v>4350</v>
      </c>
      <c r="F1942" s="12"/>
      <c r="G1942" s="61">
        <v>6343</v>
      </c>
      <c r="H1942" s="26"/>
      <c r="I1942" s="25"/>
      <c r="N1942"/>
      <c r="O1942">
        <f t="shared" si="589"/>
        <v>1</v>
      </c>
      <c r="P1942" s="57">
        <f t="shared" si="590"/>
        <v>1</v>
      </c>
      <c r="Q1942" s="267">
        <f t="shared" si="591"/>
        <v>13532</v>
      </c>
      <c r="R1942" s="23">
        <f t="shared" si="592"/>
        <v>6343</v>
      </c>
      <c r="S1942" s="23">
        <f t="shared" si="593"/>
        <v>5378</v>
      </c>
      <c r="T1942" s="23">
        <f t="shared" si="594"/>
        <v>965</v>
      </c>
      <c r="U1942" t="str">
        <f t="shared" si="595"/>
        <v>CA_Ventu_2020g~simi valley city council district 3 (vote 1)</v>
      </c>
      <c r="X1942" s="71"/>
      <c r="Z1942" s="44"/>
      <c r="AF1942" s="22"/>
      <c r="AG1942" s="89"/>
      <c r="AH1942" s="274"/>
      <c r="AI1942" s="279"/>
      <c r="AJ1942" s="280"/>
      <c r="AK1942" s="92"/>
      <c r="AL1942" s="23"/>
    </row>
    <row r="1943" spans="1:45">
      <c r="A1943" t="str">
        <f t="shared" si="588"/>
        <v>CA_Ventu_2020g~simi valley city council district 3 (vote 1)</v>
      </c>
      <c r="B1943" s="55" t="s">
        <v>4471</v>
      </c>
      <c r="D1943" s="55" t="s">
        <v>4268</v>
      </c>
      <c r="E1943" s="54" t="s">
        <v>4344</v>
      </c>
      <c r="F1943" s="12"/>
      <c r="G1943" s="61">
        <v>5378</v>
      </c>
      <c r="H1943" s="26"/>
      <c r="I1943" s="25"/>
      <c r="N1943"/>
      <c r="O1943">
        <f t="shared" si="589"/>
        <v>2</v>
      </c>
      <c r="P1943" s="57">
        <f t="shared" si="590"/>
        <v>1</v>
      </c>
      <c r="Q1943" s="267">
        <f t="shared" si="591"/>
        <v>7189</v>
      </c>
      <c r="R1943" s="23" t="str">
        <f t="shared" si="592"/>
        <v/>
      </c>
      <c r="S1943" s="23">
        <f t="shared" si="593"/>
        <v>5378</v>
      </c>
      <c r="T1943" s="23" t="str">
        <f t="shared" si="594"/>
        <v/>
      </c>
      <c r="U1943" t="str">
        <f t="shared" si="595"/>
        <v/>
      </c>
      <c r="X1943" s="71"/>
      <c r="Z1943" s="44"/>
      <c r="AF1943" s="258"/>
      <c r="AG1943" s="89"/>
      <c r="AH1943" s="274"/>
      <c r="AI1943" s="279"/>
      <c r="AJ1943" s="280"/>
      <c r="AK1943" s="92"/>
      <c r="AL1943" s="23"/>
    </row>
    <row r="1944" spans="1:45">
      <c r="A1944" t="str">
        <f t="shared" si="588"/>
        <v>CA_Ventu_2020g~simi valley city council district 3 (vote 1)</v>
      </c>
      <c r="B1944" s="55" t="s">
        <v>4471</v>
      </c>
      <c r="D1944" s="55" t="s">
        <v>4268</v>
      </c>
      <c r="E1944" s="54" t="s">
        <v>4269</v>
      </c>
      <c r="F1944" s="12"/>
      <c r="G1944" s="61">
        <v>1811</v>
      </c>
      <c r="H1944" s="26"/>
      <c r="I1944" s="25"/>
      <c r="N1944"/>
      <c r="O1944">
        <f t="shared" si="589"/>
        <v>3</v>
      </c>
      <c r="P1944" s="57">
        <f t="shared" si="590"/>
        <v>1</v>
      </c>
      <c r="Q1944" s="267">
        <f t="shared" si="591"/>
        <v>1811</v>
      </c>
      <c r="R1944" s="23" t="str">
        <f t="shared" si="592"/>
        <v/>
      </c>
      <c r="S1944" s="23">
        <f t="shared" si="593"/>
        <v>1811</v>
      </c>
      <c r="T1944" s="23" t="str">
        <f t="shared" si="594"/>
        <v/>
      </c>
      <c r="U1944" t="str">
        <f t="shared" si="595"/>
        <v/>
      </c>
      <c r="X1944" s="71"/>
      <c r="Z1944" s="44"/>
      <c r="AF1944" s="22"/>
      <c r="AG1944" s="89"/>
      <c r="AH1944" s="274"/>
      <c r="AI1944" s="279"/>
      <c r="AJ1944" s="280"/>
      <c r="AK1944" s="92"/>
      <c r="AL1944" s="23"/>
    </row>
    <row r="1945" spans="1:45">
      <c r="A1945" t="str">
        <f t="shared" si="588"/>
        <v>CA_Ventu_2020g~simi valley city mayor (vote 1)</v>
      </c>
      <c r="B1945" s="55" t="s">
        <v>4471</v>
      </c>
      <c r="D1945" s="55" t="s">
        <v>4228</v>
      </c>
      <c r="E1945" s="54" t="s">
        <v>4429</v>
      </c>
      <c r="F1945" s="12"/>
      <c r="G1945" s="61">
        <v>37761</v>
      </c>
      <c r="H1945" s="26"/>
      <c r="I1945" s="25"/>
      <c r="N1945"/>
      <c r="O1945">
        <f t="shared" si="589"/>
        <v>1</v>
      </c>
      <c r="P1945" s="57">
        <f t="shared" si="590"/>
        <v>1</v>
      </c>
      <c r="Q1945" s="267">
        <f t="shared" si="591"/>
        <v>67067</v>
      </c>
      <c r="R1945" s="23">
        <f t="shared" si="592"/>
        <v>37761</v>
      </c>
      <c r="S1945" s="23">
        <f t="shared" si="593"/>
        <v>20507</v>
      </c>
      <c r="T1945" s="23">
        <f t="shared" si="594"/>
        <v>17254</v>
      </c>
      <c r="U1945" t="str">
        <f t="shared" si="595"/>
        <v>CA_Ventu_2020g~simi valley city mayor (vote 1)</v>
      </c>
      <c r="X1945" s="71"/>
      <c r="Z1945" s="44"/>
      <c r="AF1945" s="22"/>
    </row>
    <row r="1946" spans="1:45">
      <c r="A1946" t="str">
        <f t="shared" si="588"/>
        <v>CA_Ventu_2020g~simi valley city mayor (vote 1)</v>
      </c>
      <c r="B1946" s="55" t="s">
        <v>4471</v>
      </c>
      <c r="D1946" s="55" t="s">
        <v>4228</v>
      </c>
      <c r="E1946" s="54" t="s">
        <v>4396</v>
      </c>
      <c r="F1946" s="12"/>
      <c r="G1946" s="61">
        <v>20507</v>
      </c>
      <c r="H1946" s="26"/>
      <c r="I1946" s="25"/>
      <c r="N1946"/>
      <c r="O1946">
        <f t="shared" si="589"/>
        <v>2</v>
      </c>
      <c r="P1946" s="57">
        <f t="shared" si="590"/>
        <v>1</v>
      </c>
      <c r="Q1946" s="267">
        <f t="shared" si="591"/>
        <v>29306</v>
      </c>
      <c r="R1946" s="23" t="str">
        <f t="shared" si="592"/>
        <v/>
      </c>
      <c r="S1946" s="23">
        <f t="shared" si="593"/>
        <v>20507</v>
      </c>
      <c r="T1946" s="23" t="str">
        <f t="shared" si="594"/>
        <v/>
      </c>
      <c r="U1946" t="str">
        <f t="shared" si="595"/>
        <v/>
      </c>
      <c r="X1946" s="71"/>
      <c r="Z1946" s="44"/>
      <c r="AF1946" s="22"/>
    </row>
    <row r="1947" spans="1:45">
      <c r="A1947" t="str">
        <f t="shared" si="588"/>
        <v>CA_Ventu_2020g~simi valley city mayor (vote 1)</v>
      </c>
      <c r="B1947" s="55" t="s">
        <v>4471</v>
      </c>
      <c r="D1947" s="55" t="s">
        <v>4228</v>
      </c>
      <c r="E1947" s="54" t="s">
        <v>4336</v>
      </c>
      <c r="F1947" s="12"/>
      <c r="G1947" s="61">
        <v>5000</v>
      </c>
      <c r="H1947" s="26"/>
      <c r="I1947" s="25"/>
      <c r="N1947"/>
      <c r="O1947">
        <f t="shared" si="589"/>
        <v>3</v>
      </c>
      <c r="P1947" s="57">
        <f t="shared" si="590"/>
        <v>1</v>
      </c>
      <c r="Q1947" s="267">
        <f t="shared" si="591"/>
        <v>8799</v>
      </c>
      <c r="R1947" s="23" t="str">
        <f t="shared" si="592"/>
        <v/>
      </c>
      <c r="S1947" s="23">
        <f t="shared" si="593"/>
        <v>5000</v>
      </c>
      <c r="T1947" s="23" t="str">
        <f t="shared" si="594"/>
        <v/>
      </c>
      <c r="U1947" t="str">
        <f t="shared" si="595"/>
        <v/>
      </c>
      <c r="X1947" s="71"/>
      <c r="Z1947" s="44"/>
      <c r="AF1947" s="22"/>
      <c r="AO1947" s="356"/>
      <c r="AP1947" s="356"/>
      <c r="AQ1947" s="394"/>
      <c r="AR1947" s="394"/>
      <c r="AS1947" s="394"/>
    </row>
    <row r="1948" spans="1:45">
      <c r="A1948" t="str">
        <f t="shared" si="588"/>
        <v>CA_Ventu_2020g~simi valley city mayor (vote 1)</v>
      </c>
      <c r="B1948" s="55" t="s">
        <v>4471</v>
      </c>
      <c r="D1948" s="55" t="s">
        <v>4228</v>
      </c>
      <c r="E1948" s="54" t="s">
        <v>4254</v>
      </c>
      <c r="F1948" s="12"/>
      <c r="G1948" s="61">
        <v>1539</v>
      </c>
      <c r="H1948" s="26"/>
      <c r="I1948" s="25"/>
      <c r="N1948"/>
      <c r="O1948">
        <f t="shared" si="589"/>
        <v>4</v>
      </c>
      <c r="P1948" s="57">
        <f t="shared" si="590"/>
        <v>1</v>
      </c>
      <c r="Q1948" s="267">
        <f t="shared" si="591"/>
        <v>3799</v>
      </c>
      <c r="R1948" s="23" t="str">
        <f t="shared" si="592"/>
        <v/>
      </c>
      <c r="S1948" s="23">
        <f t="shared" si="593"/>
        <v>1539</v>
      </c>
      <c r="T1948" s="23" t="str">
        <f t="shared" si="594"/>
        <v/>
      </c>
      <c r="U1948" t="str">
        <f t="shared" si="595"/>
        <v/>
      </c>
      <c r="X1948" s="71"/>
      <c r="Z1948" s="44"/>
      <c r="AF1948" s="22"/>
    </row>
    <row r="1949" spans="1:45">
      <c r="A1949" t="str">
        <f t="shared" si="588"/>
        <v>CA_Ventu_2020g~simi valley city mayor (vote 1)</v>
      </c>
      <c r="B1949" s="55" t="s">
        <v>4471</v>
      </c>
      <c r="D1949" s="55" t="s">
        <v>4228</v>
      </c>
      <c r="E1949" s="54" t="s">
        <v>4249</v>
      </c>
      <c r="F1949" s="12"/>
      <c r="G1949" s="61">
        <v>1365</v>
      </c>
      <c r="H1949" s="26"/>
      <c r="I1949" s="25"/>
      <c r="N1949"/>
      <c r="O1949">
        <f t="shared" si="589"/>
        <v>5</v>
      </c>
      <c r="P1949" s="57">
        <f t="shared" si="590"/>
        <v>1</v>
      </c>
      <c r="Q1949" s="267">
        <f t="shared" si="591"/>
        <v>2260</v>
      </c>
      <c r="R1949" s="23" t="str">
        <f t="shared" si="592"/>
        <v/>
      </c>
      <c r="S1949" s="23">
        <f t="shared" si="593"/>
        <v>1365</v>
      </c>
      <c r="T1949" s="23" t="str">
        <f t="shared" si="594"/>
        <v/>
      </c>
      <c r="U1949" t="str">
        <f t="shared" si="595"/>
        <v/>
      </c>
      <c r="X1949" s="71"/>
      <c r="Z1949" s="44"/>
      <c r="AF1949" s="22"/>
    </row>
    <row r="1950" spans="1:45">
      <c r="A1950" t="str">
        <f t="shared" si="588"/>
        <v>CA_Ventu_2020g~simi valley city mayor (vote 1)</v>
      </c>
      <c r="B1950" s="55" t="s">
        <v>4471</v>
      </c>
      <c r="D1950" s="55" t="s">
        <v>4228</v>
      </c>
      <c r="E1950" s="54" t="s">
        <v>4229</v>
      </c>
      <c r="F1950" s="12"/>
      <c r="G1950" s="61">
        <v>895</v>
      </c>
      <c r="H1950" s="26"/>
      <c r="I1950" s="25"/>
      <c r="N1950"/>
      <c r="O1950">
        <f t="shared" si="589"/>
        <v>6</v>
      </c>
      <c r="P1950" s="57">
        <f t="shared" si="590"/>
        <v>1</v>
      </c>
      <c r="Q1950" s="267">
        <f t="shared" si="591"/>
        <v>895</v>
      </c>
      <c r="R1950" s="23" t="str">
        <f t="shared" si="592"/>
        <v/>
      </c>
      <c r="S1950" s="23">
        <f t="shared" si="593"/>
        <v>895</v>
      </c>
      <c r="T1950" s="23" t="str">
        <f t="shared" si="594"/>
        <v/>
      </c>
      <c r="U1950" t="str">
        <f t="shared" si="595"/>
        <v/>
      </c>
      <c r="X1950" s="71"/>
      <c r="Z1950" s="44"/>
      <c r="AF1950" s="22"/>
    </row>
    <row r="1951" spans="1:45">
      <c r="A1951" t="str">
        <f t="shared" si="588"/>
        <v>CA_Ventu_2020g~simi valley unified school district area c (vote 1)</v>
      </c>
      <c r="B1951" s="55" t="s">
        <v>4471</v>
      </c>
      <c r="D1951" s="55" t="s">
        <v>4327</v>
      </c>
      <c r="E1951" s="54" t="s">
        <v>4345</v>
      </c>
      <c r="F1951" s="12"/>
      <c r="G1951" s="61">
        <v>5598</v>
      </c>
      <c r="H1951" s="26"/>
      <c r="I1951" s="25"/>
      <c r="N1951"/>
      <c r="O1951">
        <f t="shared" si="589"/>
        <v>1</v>
      </c>
      <c r="P1951" s="57">
        <f t="shared" si="590"/>
        <v>1</v>
      </c>
      <c r="Q1951" s="267">
        <f t="shared" si="591"/>
        <v>14487</v>
      </c>
      <c r="R1951" s="23">
        <f t="shared" si="592"/>
        <v>5598</v>
      </c>
      <c r="S1951" s="23">
        <f t="shared" si="593"/>
        <v>4981</v>
      </c>
      <c r="T1951" s="23">
        <f t="shared" si="594"/>
        <v>617</v>
      </c>
      <c r="U1951" t="str">
        <f t="shared" si="595"/>
        <v>CA_Ventu_2020g~simi valley unified school district area c (vote 1)</v>
      </c>
      <c r="X1951" s="71"/>
      <c r="Z1951" s="44"/>
      <c r="AF1951" s="22"/>
    </row>
    <row r="1952" spans="1:45">
      <c r="A1952" t="str">
        <f t="shared" si="588"/>
        <v>CA_Ventu_2020g~simi valley unified school district area c (vote 1)</v>
      </c>
      <c r="B1952" s="55" t="s">
        <v>4471</v>
      </c>
      <c r="D1952" s="55" t="s">
        <v>4327</v>
      </c>
      <c r="E1952" s="54" t="s">
        <v>4335</v>
      </c>
      <c r="F1952" s="12"/>
      <c r="G1952" s="61">
        <v>4981</v>
      </c>
      <c r="H1952" s="26"/>
      <c r="I1952" s="25"/>
      <c r="N1952"/>
      <c r="O1952">
        <f t="shared" si="589"/>
        <v>2</v>
      </c>
      <c r="P1952" s="57">
        <f t="shared" si="590"/>
        <v>1</v>
      </c>
      <c r="Q1952" s="267">
        <f t="shared" si="591"/>
        <v>8889</v>
      </c>
      <c r="R1952" s="23" t="str">
        <f t="shared" si="592"/>
        <v/>
      </c>
      <c r="S1952" s="23">
        <f t="shared" si="593"/>
        <v>4981</v>
      </c>
      <c r="T1952" s="23" t="str">
        <f t="shared" si="594"/>
        <v/>
      </c>
      <c r="U1952" t="str">
        <f t="shared" si="595"/>
        <v/>
      </c>
      <c r="X1952" s="71"/>
      <c r="Z1952" s="44"/>
      <c r="AF1952" s="22"/>
    </row>
    <row r="1953" spans="1:45">
      <c r="A1953" t="str">
        <f t="shared" si="588"/>
        <v>CA_Ventu_2020g~simi valley unified school district area c (vote 1)</v>
      </c>
      <c r="B1953" s="55" t="s">
        <v>4471</v>
      </c>
      <c r="D1953" s="55" t="s">
        <v>4327</v>
      </c>
      <c r="E1953" s="54" t="s">
        <v>4328</v>
      </c>
      <c r="F1953" s="12"/>
      <c r="G1953" s="61">
        <v>3908</v>
      </c>
      <c r="H1953" s="26"/>
      <c r="I1953" s="25"/>
      <c r="N1953"/>
      <c r="O1953">
        <f t="shared" si="589"/>
        <v>3</v>
      </c>
      <c r="P1953" s="57">
        <f t="shared" si="590"/>
        <v>1</v>
      </c>
      <c r="Q1953" s="267">
        <f t="shared" si="591"/>
        <v>3908</v>
      </c>
      <c r="R1953" s="23" t="str">
        <f t="shared" si="592"/>
        <v/>
      </c>
      <c r="S1953" s="23">
        <f t="shared" si="593"/>
        <v>3908</v>
      </c>
      <c r="T1953" s="23" t="str">
        <f t="shared" si="594"/>
        <v/>
      </c>
      <c r="U1953" t="str">
        <f t="shared" si="595"/>
        <v/>
      </c>
      <c r="X1953" s="71"/>
      <c r="Z1953" s="44"/>
      <c r="AF1953" s="22"/>
    </row>
    <row r="1954" spans="1:45">
      <c r="A1954" t="str">
        <f t="shared" si="588"/>
        <v>CA_Ventu_2020g~special elections (vote 1)</v>
      </c>
      <c r="B1954" s="55" t="s">
        <v>4471</v>
      </c>
      <c r="D1954" s="55" t="s">
        <v>4462</v>
      </c>
      <c r="E1954" s="54" t="s">
        <v>1394</v>
      </c>
      <c r="F1954" s="12"/>
      <c r="G1954" s="61">
        <v>246270</v>
      </c>
      <c r="H1954" s="26"/>
      <c r="I1954" s="25"/>
      <c r="N1954"/>
      <c r="O1954">
        <f t="shared" si="589"/>
        <v>1</v>
      </c>
      <c r="P1954" s="57">
        <f t="shared" si="590"/>
        <v>1</v>
      </c>
      <c r="Q1954" s="267">
        <f t="shared" si="591"/>
        <v>416412</v>
      </c>
      <c r="R1954" s="23">
        <f t="shared" si="592"/>
        <v>246270</v>
      </c>
      <c r="S1954" s="23">
        <f t="shared" si="593"/>
        <v>170142</v>
      </c>
      <c r="T1954" s="23">
        <f t="shared" si="594"/>
        <v>76128</v>
      </c>
      <c r="U1954" t="str">
        <f t="shared" si="595"/>
        <v>CA_Ventu_2020g~special elections (vote 1)</v>
      </c>
      <c r="X1954" s="71"/>
      <c r="Z1954" s="44"/>
      <c r="AF1954" s="22"/>
    </row>
    <row r="1955" spans="1:45">
      <c r="A1955" t="str">
        <f t="shared" si="588"/>
        <v>CA_Ventu_2020g~special elections (vote 1)</v>
      </c>
      <c r="B1955" s="55" t="s">
        <v>4471</v>
      </c>
      <c r="D1955" s="55" t="s">
        <v>4462</v>
      </c>
      <c r="E1955" s="54" t="s">
        <v>1393</v>
      </c>
      <c r="F1955" s="12"/>
      <c r="G1955" s="61">
        <v>170142</v>
      </c>
      <c r="H1955" s="26"/>
      <c r="I1955" s="25"/>
      <c r="N1955"/>
      <c r="O1955">
        <f t="shared" si="589"/>
        <v>2</v>
      </c>
      <c r="P1955" s="57">
        <f t="shared" si="590"/>
        <v>1</v>
      </c>
      <c r="Q1955" s="267">
        <f t="shared" si="591"/>
        <v>170142</v>
      </c>
      <c r="R1955" s="23" t="str">
        <f t="shared" si="592"/>
        <v/>
      </c>
      <c r="S1955" s="23">
        <f t="shared" si="593"/>
        <v>170142</v>
      </c>
      <c r="T1955" s="23" t="str">
        <f t="shared" si="594"/>
        <v/>
      </c>
      <c r="U1955" t="str">
        <f t="shared" si="595"/>
        <v/>
      </c>
      <c r="X1955" s="71"/>
      <c r="Z1955" s="44"/>
      <c r="AF1955" s="22"/>
    </row>
    <row r="1956" spans="1:45">
      <c r="A1956" t="str">
        <f t="shared" si="588"/>
        <v>CA_Ventu_2020g~supervisor-5th district (vote 1)</v>
      </c>
      <c r="B1956" s="55" t="s">
        <v>4471</v>
      </c>
      <c r="D1956" s="55" t="s">
        <v>4406</v>
      </c>
      <c r="E1956" s="54" t="s">
        <v>4416</v>
      </c>
      <c r="F1956" s="12"/>
      <c r="G1956" s="61">
        <v>30734</v>
      </c>
      <c r="H1956" s="26"/>
      <c r="I1956" s="25"/>
      <c r="N1956"/>
      <c r="O1956">
        <f t="shared" si="589"/>
        <v>1</v>
      </c>
      <c r="P1956" s="57">
        <f t="shared" si="590"/>
        <v>1</v>
      </c>
      <c r="Q1956" s="267">
        <f t="shared" si="591"/>
        <v>54487</v>
      </c>
      <c r="R1956" s="23">
        <f t="shared" si="592"/>
        <v>30734</v>
      </c>
      <c r="S1956" s="23">
        <f t="shared" si="593"/>
        <v>23753</v>
      </c>
      <c r="T1956" s="23">
        <f t="shared" si="594"/>
        <v>6981</v>
      </c>
      <c r="U1956" t="str">
        <f t="shared" si="595"/>
        <v>CA_Ventu_2020g~supervisor-5th district (vote 1)</v>
      </c>
      <c r="X1956" s="71"/>
      <c r="Z1956" s="44"/>
      <c r="AF1956" s="22"/>
    </row>
    <row r="1957" spans="1:45">
      <c r="A1957" t="str">
        <f t="shared" si="588"/>
        <v>CA_Ventu_2020g~supervisor-5th district (vote 1)</v>
      </c>
      <c r="B1957" s="55" t="s">
        <v>4471</v>
      </c>
      <c r="D1957" s="55" t="s">
        <v>4406</v>
      </c>
      <c r="E1957" s="54" t="s">
        <v>4407</v>
      </c>
      <c r="F1957" s="12"/>
      <c r="G1957" s="61">
        <v>23753</v>
      </c>
      <c r="H1957" s="26"/>
      <c r="I1957" s="25"/>
      <c r="N1957"/>
      <c r="O1957">
        <f t="shared" si="589"/>
        <v>2</v>
      </c>
      <c r="P1957" s="57">
        <f t="shared" si="590"/>
        <v>1</v>
      </c>
      <c r="Q1957" s="267">
        <f t="shared" si="591"/>
        <v>23753</v>
      </c>
      <c r="R1957" s="23" t="str">
        <f t="shared" si="592"/>
        <v/>
      </c>
      <c r="S1957" s="23">
        <f t="shared" si="593"/>
        <v>23753</v>
      </c>
      <c r="T1957" s="23" t="str">
        <f t="shared" si="594"/>
        <v/>
      </c>
      <c r="U1957" t="str">
        <f t="shared" si="595"/>
        <v/>
      </c>
      <c r="X1957" s="71"/>
      <c r="Z1957" s="44"/>
      <c r="AF1957" s="22"/>
    </row>
    <row r="1958" spans="1:45">
      <c r="A1958" t="str">
        <f t="shared" si="588"/>
        <v>CA_Ventu_2020g~thousand oaks city council (vote 1)</v>
      </c>
      <c r="B1958" s="55" t="s">
        <v>4471</v>
      </c>
      <c r="D1958" s="55" t="s">
        <v>4315</v>
      </c>
      <c r="E1958" s="54" t="s">
        <v>4412</v>
      </c>
      <c r="F1958" s="12"/>
      <c r="G1958" s="61">
        <v>27133</v>
      </c>
      <c r="H1958" s="26"/>
      <c r="I1958" s="25"/>
      <c r="N1958"/>
      <c r="O1958">
        <f t="shared" si="589"/>
        <v>1</v>
      </c>
      <c r="P1958" s="57">
        <f t="shared" si="590"/>
        <v>1</v>
      </c>
      <c r="Q1958" s="267">
        <f t="shared" si="591"/>
        <v>114870</v>
      </c>
      <c r="R1958" s="23">
        <f t="shared" si="592"/>
        <v>27133</v>
      </c>
      <c r="S1958" s="23">
        <f t="shared" si="593"/>
        <v>22009</v>
      </c>
      <c r="T1958" s="23">
        <f t="shared" si="594"/>
        <v>5124</v>
      </c>
      <c r="U1958" t="str">
        <f t="shared" si="595"/>
        <v>CA_Ventu_2020g~thousand oaks city council (vote 1)</v>
      </c>
      <c r="X1958" s="71"/>
      <c r="Z1958" s="44"/>
      <c r="AF1958" s="300"/>
    </row>
    <row r="1959" spans="1:45">
      <c r="A1959" t="str">
        <f t="shared" si="588"/>
        <v>CA_Ventu_2020g~thousand oaks city council (vote 1)</v>
      </c>
      <c r="B1959" s="55" t="s">
        <v>4471</v>
      </c>
      <c r="D1959" s="55" t="s">
        <v>4315</v>
      </c>
      <c r="E1959" s="54" t="s">
        <v>4401</v>
      </c>
      <c r="F1959" s="12"/>
      <c r="G1959" s="61">
        <v>22009</v>
      </c>
      <c r="H1959" s="26"/>
      <c r="I1959" s="25"/>
      <c r="N1959"/>
      <c r="O1959">
        <f t="shared" si="589"/>
        <v>2</v>
      </c>
      <c r="P1959" s="57">
        <f t="shared" si="590"/>
        <v>1</v>
      </c>
      <c r="Q1959" s="267">
        <f t="shared" si="591"/>
        <v>87737</v>
      </c>
      <c r="R1959" s="23" t="str">
        <f t="shared" si="592"/>
        <v/>
      </c>
      <c r="S1959" s="23">
        <f t="shared" si="593"/>
        <v>22009</v>
      </c>
      <c r="T1959" s="23" t="str">
        <f t="shared" si="594"/>
        <v/>
      </c>
      <c r="U1959" t="str">
        <f t="shared" si="595"/>
        <v/>
      </c>
      <c r="X1959" s="71"/>
      <c r="Z1959" s="44"/>
      <c r="AF1959" s="22"/>
    </row>
    <row r="1960" spans="1:45">
      <c r="A1960" t="str">
        <f t="shared" si="588"/>
        <v>CA_Ventu_2020g~thousand oaks city council (vote 1)</v>
      </c>
      <c r="B1960" s="55" t="s">
        <v>4471</v>
      </c>
      <c r="D1960" s="55" t="s">
        <v>4315</v>
      </c>
      <c r="E1960" s="54" t="s">
        <v>4400</v>
      </c>
      <c r="F1960" s="12"/>
      <c r="G1960" s="61">
        <v>21930</v>
      </c>
      <c r="H1960" s="26"/>
      <c r="I1960" s="25"/>
      <c r="N1960"/>
      <c r="O1960">
        <f t="shared" si="589"/>
        <v>3</v>
      </c>
      <c r="P1960" s="57">
        <f t="shared" si="590"/>
        <v>1</v>
      </c>
      <c r="Q1960" s="267">
        <f t="shared" si="591"/>
        <v>65728</v>
      </c>
      <c r="R1960" s="23" t="str">
        <f t="shared" si="592"/>
        <v/>
      </c>
      <c r="S1960" s="23">
        <f t="shared" si="593"/>
        <v>21930</v>
      </c>
      <c r="T1960" s="23" t="str">
        <f t="shared" si="594"/>
        <v/>
      </c>
      <c r="U1960" t="str">
        <f t="shared" si="595"/>
        <v/>
      </c>
      <c r="X1960" s="71"/>
      <c r="Z1960" s="44"/>
      <c r="AF1960" s="22"/>
      <c r="AG1960" s="23"/>
      <c r="AH1960" s="8"/>
    </row>
    <row r="1961" spans="1:45">
      <c r="A1961" t="str">
        <f t="shared" si="588"/>
        <v>CA_Ventu_2020g~thousand oaks city council (vote 1)</v>
      </c>
      <c r="B1961" s="55" t="s">
        <v>4471</v>
      </c>
      <c r="D1961" s="55" t="s">
        <v>4315</v>
      </c>
      <c r="E1961" s="54" t="s">
        <v>4380</v>
      </c>
      <c r="F1961" s="12"/>
      <c r="G1961" s="61">
        <v>14941</v>
      </c>
      <c r="H1961" s="26"/>
      <c r="I1961" s="25"/>
      <c r="N1961"/>
      <c r="O1961">
        <f t="shared" si="589"/>
        <v>4</v>
      </c>
      <c r="P1961" s="57">
        <f t="shared" si="590"/>
        <v>1</v>
      </c>
      <c r="Q1961" s="267">
        <f t="shared" si="591"/>
        <v>43798</v>
      </c>
      <c r="R1961" s="23" t="str">
        <f t="shared" si="592"/>
        <v/>
      </c>
      <c r="S1961" s="23">
        <f t="shared" si="593"/>
        <v>14941</v>
      </c>
      <c r="T1961" s="23" t="str">
        <f t="shared" si="594"/>
        <v/>
      </c>
      <c r="U1961" t="str">
        <f t="shared" si="595"/>
        <v/>
      </c>
      <c r="X1961" s="71"/>
      <c r="Z1961" s="44"/>
      <c r="AF1961" s="22"/>
    </row>
    <row r="1962" spans="1:45">
      <c r="A1962" t="str">
        <f t="shared" si="588"/>
        <v>CA_Ventu_2020g~thousand oaks city council (vote 1)</v>
      </c>
      <c r="B1962" s="55" t="s">
        <v>4471</v>
      </c>
      <c r="D1962" s="55" t="s">
        <v>4315</v>
      </c>
      <c r="E1962" s="54" t="s">
        <v>4376</v>
      </c>
      <c r="F1962" s="12"/>
      <c r="G1962" s="61">
        <v>14091</v>
      </c>
      <c r="H1962" s="26"/>
      <c r="I1962" s="25"/>
      <c r="N1962"/>
      <c r="O1962">
        <f t="shared" si="589"/>
        <v>5</v>
      </c>
      <c r="P1962" s="57">
        <f t="shared" si="590"/>
        <v>1</v>
      </c>
      <c r="Q1962" s="267">
        <f t="shared" si="591"/>
        <v>28857</v>
      </c>
      <c r="R1962" s="23" t="str">
        <f t="shared" si="592"/>
        <v/>
      </c>
      <c r="S1962" s="23">
        <f t="shared" si="593"/>
        <v>14091</v>
      </c>
      <c r="T1962" s="23" t="str">
        <f t="shared" si="594"/>
        <v/>
      </c>
      <c r="U1962" t="str">
        <f t="shared" si="595"/>
        <v/>
      </c>
      <c r="X1962" s="71"/>
      <c r="Z1962" s="44"/>
      <c r="AF1962" s="22"/>
    </row>
    <row r="1963" spans="1:45">
      <c r="A1963" t="str">
        <f t="shared" si="588"/>
        <v>CA_Ventu_2020g~thousand oaks city council (vote 1)</v>
      </c>
      <c r="B1963" s="55" t="s">
        <v>4471</v>
      </c>
      <c r="D1963" s="55" t="s">
        <v>4315</v>
      </c>
      <c r="E1963" s="54" t="s">
        <v>4353</v>
      </c>
      <c r="F1963" s="12"/>
      <c r="G1963" s="61">
        <v>7453</v>
      </c>
      <c r="H1963" s="26"/>
      <c r="I1963" s="25"/>
      <c r="N1963"/>
      <c r="O1963">
        <f t="shared" si="589"/>
        <v>6</v>
      </c>
      <c r="P1963" s="57">
        <f t="shared" si="590"/>
        <v>1</v>
      </c>
      <c r="Q1963" s="267">
        <f t="shared" si="591"/>
        <v>14766</v>
      </c>
      <c r="R1963" s="23" t="str">
        <f t="shared" si="592"/>
        <v/>
      </c>
      <c r="S1963" s="23">
        <f t="shared" si="593"/>
        <v>7453</v>
      </c>
      <c r="T1963" s="23" t="str">
        <f t="shared" si="594"/>
        <v/>
      </c>
      <c r="U1963" t="str">
        <f t="shared" si="595"/>
        <v/>
      </c>
      <c r="X1963" s="71"/>
      <c r="Z1963" s="44"/>
      <c r="AF1963" s="22"/>
    </row>
    <row r="1964" spans="1:45">
      <c r="A1964" t="str">
        <f t="shared" si="588"/>
        <v>CA_Ventu_2020g~thousand oaks city council (vote 1)</v>
      </c>
      <c r="B1964" s="55" t="s">
        <v>4471</v>
      </c>
      <c r="D1964" s="55" t="s">
        <v>4315</v>
      </c>
      <c r="E1964" s="54" t="s">
        <v>4326</v>
      </c>
      <c r="F1964" s="12"/>
      <c r="G1964" s="61">
        <v>3864</v>
      </c>
      <c r="H1964" s="26"/>
      <c r="I1964" s="25"/>
      <c r="N1964"/>
      <c r="O1964">
        <f t="shared" si="589"/>
        <v>7</v>
      </c>
      <c r="P1964" s="57">
        <f t="shared" si="590"/>
        <v>1</v>
      </c>
      <c r="Q1964" s="267">
        <f t="shared" si="591"/>
        <v>7313</v>
      </c>
      <c r="R1964" s="23" t="str">
        <f t="shared" si="592"/>
        <v/>
      </c>
      <c r="S1964" s="23">
        <f t="shared" si="593"/>
        <v>3864</v>
      </c>
      <c r="T1964" s="23" t="str">
        <f t="shared" si="594"/>
        <v/>
      </c>
      <c r="U1964" t="str">
        <f t="shared" si="595"/>
        <v/>
      </c>
      <c r="X1964" s="71"/>
      <c r="Z1964" s="44"/>
      <c r="AF1964" s="22"/>
    </row>
    <row r="1965" spans="1:45">
      <c r="A1965" t="str">
        <f t="shared" si="588"/>
        <v>CA_Ventu_2020g~thousand oaks city council (vote 1)</v>
      </c>
      <c r="B1965" s="55" t="s">
        <v>4471</v>
      </c>
      <c r="D1965" s="55" t="s">
        <v>4315</v>
      </c>
      <c r="E1965" s="54" t="s">
        <v>4316</v>
      </c>
      <c r="F1965" s="12"/>
      <c r="G1965" s="61">
        <v>3449</v>
      </c>
      <c r="H1965" s="26"/>
      <c r="I1965" s="25"/>
      <c r="N1965"/>
      <c r="O1965">
        <f t="shared" si="589"/>
        <v>8</v>
      </c>
      <c r="P1965" s="57">
        <f t="shared" si="590"/>
        <v>1</v>
      </c>
      <c r="Q1965" s="267">
        <f t="shared" si="591"/>
        <v>3449</v>
      </c>
      <c r="R1965" s="23" t="str">
        <f t="shared" si="592"/>
        <v/>
      </c>
      <c r="S1965" s="23">
        <f t="shared" si="593"/>
        <v>3449</v>
      </c>
      <c r="T1965" s="23" t="str">
        <f t="shared" si="594"/>
        <v/>
      </c>
      <c r="U1965" t="str">
        <f t="shared" si="595"/>
        <v/>
      </c>
      <c r="X1965" s="71"/>
      <c r="Z1965" s="44"/>
      <c r="AF1965" s="22"/>
      <c r="AH1965" s="8"/>
      <c r="AL1965" s="23"/>
    </row>
    <row r="1966" spans="1:45">
      <c r="A1966" t="str">
        <f t="shared" si="588"/>
        <v>CA_Ventu_2020g~united water cons dist div. 3 (short term vote 1)</v>
      </c>
      <c r="B1966" s="55" t="s">
        <v>4471</v>
      </c>
      <c r="D1966" s="55" t="s">
        <v>4760</v>
      </c>
      <c r="E1966" s="54" t="s">
        <v>4377</v>
      </c>
      <c r="F1966" s="12"/>
      <c r="G1966" s="61">
        <v>14139</v>
      </c>
      <c r="H1966" s="26"/>
      <c r="I1966" s="25"/>
      <c r="N1966"/>
      <c r="O1966">
        <f t="shared" si="589"/>
        <v>1</v>
      </c>
      <c r="P1966" s="57">
        <f t="shared" si="590"/>
        <v>1</v>
      </c>
      <c r="Q1966" s="267">
        <f t="shared" si="591"/>
        <v>25966</v>
      </c>
      <c r="R1966" s="23">
        <f t="shared" si="592"/>
        <v>14139</v>
      </c>
      <c r="S1966" s="23">
        <f t="shared" si="593"/>
        <v>11827</v>
      </c>
      <c r="T1966" s="23">
        <f t="shared" si="594"/>
        <v>2312</v>
      </c>
      <c r="U1966" t="str">
        <f t="shared" si="595"/>
        <v>CA_Ventu_2020g~united water cons dist div. 3 (short term vote 1)</v>
      </c>
      <c r="X1966" s="71"/>
      <c r="Z1966" s="44"/>
      <c r="AF1966" s="22"/>
    </row>
    <row r="1967" spans="1:45">
      <c r="A1967" t="str">
        <f t="shared" si="588"/>
        <v>CA_Ventu_2020g~united water cons dist div. 3 (short term vote 1)</v>
      </c>
      <c r="B1967" s="55" t="s">
        <v>4471</v>
      </c>
      <c r="D1967" s="55" t="s">
        <v>4760</v>
      </c>
      <c r="E1967" s="54" t="s">
        <v>4370</v>
      </c>
      <c r="F1967" s="12"/>
      <c r="G1967" s="61">
        <v>11827</v>
      </c>
      <c r="H1967" s="26"/>
      <c r="I1967" s="25"/>
      <c r="N1967"/>
      <c r="O1967">
        <f t="shared" si="589"/>
        <v>2</v>
      </c>
      <c r="P1967" s="57">
        <f t="shared" si="590"/>
        <v>1</v>
      </c>
      <c r="Q1967" s="267">
        <f t="shared" si="591"/>
        <v>11827</v>
      </c>
      <c r="R1967" s="23" t="str">
        <f t="shared" si="592"/>
        <v/>
      </c>
      <c r="S1967" s="23">
        <f t="shared" si="593"/>
        <v>11827</v>
      </c>
      <c r="T1967" s="23" t="str">
        <f t="shared" si="594"/>
        <v/>
      </c>
      <c r="U1967" t="str">
        <f t="shared" si="595"/>
        <v/>
      </c>
      <c r="X1967" s="71"/>
      <c r="Z1967" s="44"/>
      <c r="AF1967" s="22"/>
      <c r="AO1967" s="356"/>
      <c r="AP1967" s="356"/>
      <c r="AQ1967" s="394"/>
      <c r="AR1967" s="394"/>
      <c r="AS1967" s="394"/>
    </row>
    <row r="1968" spans="1:45">
      <c r="A1968" t="str">
        <f t="shared" si="588"/>
        <v>CA_Ventu_2020g~ventura unified school district area 3 (vote 1)</v>
      </c>
      <c r="B1968" s="55" t="s">
        <v>4471</v>
      </c>
      <c r="D1968" s="55" t="s">
        <v>4347</v>
      </c>
      <c r="E1968" s="54" t="s">
        <v>4352</v>
      </c>
      <c r="F1968" s="12"/>
      <c r="G1968" s="61">
        <v>6666</v>
      </c>
      <c r="H1968" s="26"/>
      <c r="I1968" s="25"/>
      <c r="N1968"/>
      <c r="O1968">
        <f t="shared" si="589"/>
        <v>1</v>
      </c>
      <c r="P1968" s="57">
        <f t="shared" si="590"/>
        <v>1</v>
      </c>
      <c r="Q1968" s="267">
        <f t="shared" si="591"/>
        <v>12797</v>
      </c>
      <c r="R1968" s="23">
        <f t="shared" si="592"/>
        <v>6666</v>
      </c>
      <c r="S1968" s="23">
        <f t="shared" si="593"/>
        <v>6131</v>
      </c>
      <c r="T1968" s="23">
        <f t="shared" si="594"/>
        <v>535</v>
      </c>
      <c r="U1968" t="str">
        <f t="shared" si="595"/>
        <v>CA_Ventu_2020g~ventura unified school district area 3 (vote 1)</v>
      </c>
      <c r="X1968" s="71"/>
      <c r="Z1968" s="44"/>
      <c r="AF1968" s="22"/>
    </row>
    <row r="1969" spans="1:38">
      <c r="A1969" t="str">
        <f t="shared" ref="A1969" si="596">CONCATENATE(B1969,"~",LOWER(D1969),IF(RIGHT(D1969,1)=")",""," (vote 1)"))</f>
        <v>CA_Ventu_2020g~ventura unified school district area 3 (vote 1)</v>
      </c>
      <c r="B1969" s="55" t="s">
        <v>4471</v>
      </c>
      <c r="D1969" s="55" t="s">
        <v>4347</v>
      </c>
      <c r="E1969" s="54" t="s">
        <v>4348</v>
      </c>
      <c r="F1969" s="12"/>
      <c r="G1969" s="61">
        <v>6131</v>
      </c>
      <c r="H1969" s="26"/>
      <c r="I1969" s="25"/>
      <c r="N1969"/>
      <c r="O1969">
        <f t="shared" si="589"/>
        <v>2</v>
      </c>
      <c r="P1969" s="57">
        <f t="shared" si="590"/>
        <v>1</v>
      </c>
      <c r="Q1969" s="267">
        <f t="shared" si="591"/>
        <v>6131</v>
      </c>
      <c r="R1969" s="23" t="str">
        <f t="shared" si="592"/>
        <v/>
      </c>
      <c r="S1969" s="23">
        <f t="shared" si="593"/>
        <v>6131</v>
      </c>
      <c r="T1969" s="23" t="str">
        <f t="shared" si="594"/>
        <v/>
      </c>
      <c r="U1969" t="str">
        <f t="shared" si="595"/>
        <v/>
      </c>
      <c r="X1969" s="71"/>
      <c r="Z1969" s="44"/>
      <c r="AF1969" s="22"/>
      <c r="AG1969" s="23"/>
      <c r="AH1969" s="8"/>
      <c r="AL1969" s="344"/>
    </row>
    <row r="1970" spans="1:38" ht="14.4">
      <c r="A1970" t="str">
        <f t="shared" ref="A1970:A2033" si="597">CONCATENATE(B1970,"~",D1970)</f>
        <v>CO_Adams_2020g~Adams County Ballot Issue 1A (Vote for 1)</v>
      </c>
      <c r="B1970" s="79" t="s">
        <v>5634</v>
      </c>
      <c r="C1970" s="81" t="s">
        <v>5321</v>
      </c>
      <c r="D1970" s="79" t="s">
        <v>5321</v>
      </c>
      <c r="E1970" s="79" t="s">
        <v>5274</v>
      </c>
      <c r="F1970" s="79" t="s">
        <v>1508</v>
      </c>
      <c r="G1970" s="82">
        <v>184711</v>
      </c>
      <c r="H1970" s="83">
        <v>82.63</v>
      </c>
      <c r="I1970" s="82">
        <v>278866</v>
      </c>
      <c r="J1970" s="82">
        <v>239056</v>
      </c>
      <c r="K1970" s="79">
        <v>259</v>
      </c>
      <c r="L1970" s="79">
        <v>259</v>
      </c>
      <c r="M1970" s="79">
        <v>0</v>
      </c>
      <c r="N1970" s="79">
        <v>0</v>
      </c>
      <c r="O1970">
        <f t="shared" si="589"/>
        <v>1</v>
      </c>
      <c r="P1970" s="57">
        <f t="shared" si="590"/>
        <v>1</v>
      </c>
      <c r="Q1970" s="267">
        <f t="shared" si="591"/>
        <v>223532</v>
      </c>
      <c r="R1970" s="23">
        <f t="shared" si="592"/>
        <v>184711</v>
      </c>
      <c r="S1970" s="23">
        <f t="shared" si="593"/>
        <v>38821</v>
      </c>
      <c r="T1970" s="23">
        <f t="shared" si="594"/>
        <v>145890</v>
      </c>
      <c r="U1970" t="str">
        <f t="shared" si="595"/>
        <v>CO_Adams_2020g~Adams County Ballot Issue 1A (Vote for 1)</v>
      </c>
      <c r="X1970" s="71"/>
      <c r="Z1970" s="44"/>
    </row>
    <row r="1971" spans="1:38" ht="14.4">
      <c r="A1971" t="str">
        <f t="shared" si="597"/>
        <v>CO_Adams_2020g~Adams County Ballot Issue 1A (Vote for 1)</v>
      </c>
      <c r="B1971" s="79" t="s">
        <v>5634</v>
      </c>
      <c r="C1971" s="81" t="s">
        <v>5321</v>
      </c>
      <c r="D1971" s="79" t="s">
        <v>5321</v>
      </c>
      <c r="E1971" s="79" t="s">
        <v>5275</v>
      </c>
      <c r="F1971" s="79" t="s">
        <v>1509</v>
      </c>
      <c r="G1971" s="82">
        <v>38821</v>
      </c>
      <c r="H1971" s="83">
        <v>17.37</v>
      </c>
      <c r="I1971" s="82">
        <v>278866</v>
      </c>
      <c r="J1971" s="82">
        <v>239056</v>
      </c>
      <c r="K1971" s="79">
        <v>259</v>
      </c>
      <c r="L1971" s="79">
        <v>259</v>
      </c>
      <c r="M1971" s="79">
        <v>0</v>
      </c>
      <c r="N1971" s="79">
        <v>0</v>
      </c>
      <c r="O1971">
        <f t="shared" si="589"/>
        <v>2</v>
      </c>
      <c r="P1971" s="57">
        <f t="shared" si="590"/>
        <v>1</v>
      </c>
      <c r="Q1971" s="267">
        <f t="shared" si="591"/>
        <v>38821</v>
      </c>
      <c r="R1971" s="23" t="str">
        <f t="shared" si="592"/>
        <v/>
      </c>
      <c r="S1971" s="23">
        <f t="shared" si="593"/>
        <v>38821</v>
      </c>
      <c r="T1971" s="23" t="str">
        <f t="shared" si="594"/>
        <v/>
      </c>
      <c r="U1971" t="str">
        <f t="shared" si="595"/>
        <v/>
      </c>
      <c r="X1971" s="71"/>
      <c r="Z1971" s="44"/>
      <c r="AF1971" s="22"/>
    </row>
    <row r="1972" spans="1:38" ht="14.4">
      <c r="A1972" t="str">
        <f t="shared" si="597"/>
        <v>CO_Adams_2020g~Adams County Ballot Issue 1B (Vote for 1)</v>
      </c>
      <c r="B1972" s="79" t="s">
        <v>5634</v>
      </c>
      <c r="C1972" s="81" t="s">
        <v>5322</v>
      </c>
      <c r="D1972" s="79" t="s">
        <v>5322</v>
      </c>
      <c r="E1972" s="79" t="s">
        <v>5274</v>
      </c>
      <c r="F1972" s="79" t="s">
        <v>1508</v>
      </c>
      <c r="G1972" s="82">
        <v>165988</v>
      </c>
      <c r="H1972" s="83">
        <v>74.959999999999994</v>
      </c>
      <c r="I1972" s="82">
        <v>278866</v>
      </c>
      <c r="J1972" s="82">
        <v>239056</v>
      </c>
      <c r="K1972" s="79">
        <v>259</v>
      </c>
      <c r="L1972" s="79">
        <v>259</v>
      </c>
      <c r="M1972" s="79">
        <v>0</v>
      </c>
      <c r="N1972" s="79">
        <v>0</v>
      </c>
      <c r="O1972">
        <f t="shared" si="589"/>
        <v>1</v>
      </c>
      <c r="P1972" s="57">
        <f t="shared" si="590"/>
        <v>1</v>
      </c>
      <c r="Q1972" s="267">
        <f t="shared" si="591"/>
        <v>221425</v>
      </c>
      <c r="R1972" s="23">
        <f t="shared" si="592"/>
        <v>165988</v>
      </c>
      <c r="S1972" s="23">
        <f t="shared" si="593"/>
        <v>55437</v>
      </c>
      <c r="T1972" s="23">
        <f t="shared" si="594"/>
        <v>110551</v>
      </c>
      <c r="U1972" t="str">
        <f t="shared" si="595"/>
        <v>CO_Adams_2020g~Adams County Ballot Issue 1B (Vote for 1)</v>
      </c>
      <c r="X1972" s="71"/>
      <c r="Z1972" s="44"/>
      <c r="AF1972" s="22"/>
      <c r="AL1972" s="23"/>
    </row>
    <row r="1973" spans="1:38" ht="14.4">
      <c r="A1973" t="str">
        <f t="shared" si="597"/>
        <v>CO_Adams_2020g~Adams County Ballot Issue 1B (Vote for 1)</v>
      </c>
      <c r="B1973" s="79" t="s">
        <v>5634</v>
      </c>
      <c r="C1973" s="81" t="s">
        <v>5322</v>
      </c>
      <c r="D1973" s="79" t="s">
        <v>5322</v>
      </c>
      <c r="E1973" s="79" t="s">
        <v>5275</v>
      </c>
      <c r="F1973" s="79" t="s">
        <v>1509</v>
      </c>
      <c r="G1973" s="82">
        <v>55437</v>
      </c>
      <c r="H1973" s="83">
        <v>25.04</v>
      </c>
      <c r="I1973" s="82">
        <v>278866</v>
      </c>
      <c r="J1973" s="82">
        <v>239056</v>
      </c>
      <c r="K1973" s="79">
        <v>259</v>
      </c>
      <c r="L1973" s="79">
        <v>259</v>
      </c>
      <c r="M1973" s="79">
        <v>0</v>
      </c>
      <c r="N1973" s="79">
        <v>0</v>
      </c>
      <c r="O1973">
        <f t="shared" si="589"/>
        <v>2</v>
      </c>
      <c r="P1973" s="57">
        <f t="shared" si="590"/>
        <v>1</v>
      </c>
      <c r="Q1973" s="267">
        <f t="shared" si="591"/>
        <v>55437</v>
      </c>
      <c r="R1973" s="23" t="str">
        <f t="shared" si="592"/>
        <v/>
      </c>
      <c r="S1973" s="23">
        <f t="shared" si="593"/>
        <v>55437</v>
      </c>
      <c r="T1973" s="23" t="str">
        <f t="shared" si="594"/>
        <v/>
      </c>
      <c r="U1973" t="str">
        <f t="shared" si="595"/>
        <v/>
      </c>
      <c r="X1973" s="71"/>
      <c r="Z1973" s="44"/>
      <c r="AF1973" s="300"/>
      <c r="AH1973" s="8"/>
      <c r="AL1973" s="23"/>
    </row>
    <row r="1974" spans="1:38" ht="14.4">
      <c r="A1974" t="str">
        <f t="shared" si="597"/>
        <v>CO_Adams_2020g~Adams County Ballot Issue 1C (Vote for 1)</v>
      </c>
      <c r="B1974" s="79" t="s">
        <v>5634</v>
      </c>
      <c r="C1974" s="81" t="s">
        <v>5323</v>
      </c>
      <c r="D1974" s="79" t="s">
        <v>5323</v>
      </c>
      <c r="E1974" s="79" t="s">
        <v>5274</v>
      </c>
      <c r="F1974" s="79" t="s">
        <v>1508</v>
      </c>
      <c r="G1974" s="82">
        <v>130556</v>
      </c>
      <c r="H1974" s="83">
        <v>59.23</v>
      </c>
      <c r="I1974" s="82">
        <v>278866</v>
      </c>
      <c r="J1974" s="82">
        <v>239056</v>
      </c>
      <c r="K1974" s="79">
        <v>259</v>
      </c>
      <c r="L1974" s="79">
        <v>259</v>
      </c>
      <c r="M1974" s="79">
        <v>0</v>
      </c>
      <c r="N1974" s="79">
        <v>0</v>
      </c>
      <c r="O1974">
        <f t="shared" si="589"/>
        <v>1</v>
      </c>
      <c r="P1974" s="57">
        <f t="shared" si="590"/>
        <v>1</v>
      </c>
      <c r="Q1974" s="267">
        <f t="shared" si="591"/>
        <v>220404</v>
      </c>
      <c r="R1974" s="23">
        <f t="shared" si="592"/>
        <v>130556</v>
      </c>
      <c r="S1974" s="23">
        <f t="shared" si="593"/>
        <v>89848</v>
      </c>
      <c r="T1974" s="23">
        <f t="shared" si="594"/>
        <v>40708</v>
      </c>
      <c r="U1974" t="str">
        <f t="shared" si="595"/>
        <v>CO_Adams_2020g~Adams County Ballot Issue 1C (Vote for 1)</v>
      </c>
      <c r="X1974" s="71"/>
      <c r="Z1974" s="44"/>
      <c r="AF1974" s="22"/>
      <c r="AG1974" s="89"/>
      <c r="AH1974" s="274"/>
      <c r="AI1974" s="279"/>
      <c r="AJ1974" s="280"/>
      <c r="AK1974" s="92"/>
      <c r="AL1974" s="23"/>
    </row>
    <row r="1975" spans="1:38" ht="14.4">
      <c r="A1975" t="str">
        <f t="shared" si="597"/>
        <v>CO_Adams_2020g~Adams County Ballot Issue 1C (Vote for 1)</v>
      </c>
      <c r="B1975" s="79" t="s">
        <v>5634</v>
      </c>
      <c r="C1975" s="81" t="s">
        <v>5323</v>
      </c>
      <c r="D1975" s="79" t="s">
        <v>5323</v>
      </c>
      <c r="E1975" s="79" t="s">
        <v>5275</v>
      </c>
      <c r="F1975" s="79" t="s">
        <v>1509</v>
      </c>
      <c r="G1975" s="82">
        <v>89848</v>
      </c>
      <c r="H1975" s="83">
        <v>40.770000000000003</v>
      </c>
      <c r="I1975" s="82">
        <v>278866</v>
      </c>
      <c r="J1975" s="82">
        <v>239056</v>
      </c>
      <c r="K1975" s="79">
        <v>259</v>
      </c>
      <c r="L1975" s="79">
        <v>259</v>
      </c>
      <c r="M1975" s="79">
        <v>0</v>
      </c>
      <c r="N1975" s="79">
        <v>0</v>
      </c>
      <c r="O1975">
        <f t="shared" si="589"/>
        <v>2</v>
      </c>
      <c r="P1975" s="57">
        <f t="shared" si="590"/>
        <v>1</v>
      </c>
      <c r="Q1975" s="267">
        <f t="shared" si="591"/>
        <v>89848</v>
      </c>
      <c r="R1975" s="23" t="str">
        <f t="shared" si="592"/>
        <v/>
      </c>
      <c r="S1975" s="23">
        <f t="shared" si="593"/>
        <v>89848</v>
      </c>
      <c r="T1975" s="23" t="str">
        <f t="shared" si="594"/>
        <v/>
      </c>
      <c r="U1975" t="str">
        <f t="shared" si="595"/>
        <v/>
      </c>
      <c r="X1975" s="71"/>
      <c r="Z1975" s="44"/>
      <c r="AF1975" s="22"/>
      <c r="AG1975" s="89"/>
      <c r="AH1975" s="274"/>
      <c r="AI1975" s="279"/>
      <c r="AJ1975" s="280"/>
      <c r="AK1975" s="92"/>
      <c r="AL1975" s="23"/>
    </row>
    <row r="1976" spans="1:38" ht="14.4">
      <c r="A1976" t="str">
        <f t="shared" si="597"/>
        <v>CO_Adams_2020g~Adams County Commissioner - District 1 (Vote for 1)</v>
      </c>
      <c r="B1976" s="79" t="s">
        <v>5634</v>
      </c>
      <c r="C1976" s="81" t="s">
        <v>5324</v>
      </c>
      <c r="D1976" s="79" t="s">
        <v>5324</v>
      </c>
      <c r="E1976" s="79" t="s">
        <v>5325</v>
      </c>
      <c r="F1976" s="79" t="s">
        <v>1294</v>
      </c>
      <c r="G1976" s="82">
        <v>131863</v>
      </c>
      <c r="H1976" s="83">
        <v>59.42</v>
      </c>
      <c r="I1976" s="82">
        <v>278866</v>
      </c>
      <c r="J1976" s="82">
        <v>239056</v>
      </c>
      <c r="K1976" s="79">
        <v>259</v>
      </c>
      <c r="L1976" s="79">
        <v>259</v>
      </c>
      <c r="M1976" s="79">
        <v>0</v>
      </c>
      <c r="N1976" s="79">
        <v>0</v>
      </c>
      <c r="O1976">
        <f t="shared" si="589"/>
        <v>1</v>
      </c>
      <c r="P1976" s="57">
        <f t="shared" si="590"/>
        <v>1</v>
      </c>
      <c r="Q1976" s="267">
        <f t="shared" si="591"/>
        <v>221932</v>
      </c>
      <c r="R1976" s="23">
        <f t="shared" si="592"/>
        <v>131863</v>
      </c>
      <c r="S1976" s="23">
        <f t="shared" si="593"/>
        <v>90069</v>
      </c>
      <c r="T1976" s="23">
        <f t="shared" si="594"/>
        <v>41794</v>
      </c>
      <c r="U1976" t="str">
        <f t="shared" si="595"/>
        <v>CO_Adams_2020g~Adams County Commissioner - District 1 (Vote for 1)</v>
      </c>
      <c r="X1976" s="71"/>
      <c r="Z1976" s="44"/>
      <c r="AF1976" s="22"/>
      <c r="AG1976" s="89"/>
      <c r="AH1976" s="274"/>
      <c r="AI1976" s="279"/>
      <c r="AJ1976" s="280"/>
      <c r="AK1976" s="92"/>
      <c r="AL1976" s="23"/>
    </row>
    <row r="1977" spans="1:38" ht="14.4">
      <c r="A1977" t="str">
        <f t="shared" si="597"/>
        <v>CO_Adams_2020g~Adams County Commissioner - District 1 (Vote for 1)</v>
      </c>
      <c r="B1977" s="79" t="s">
        <v>5634</v>
      </c>
      <c r="C1977" s="81" t="s">
        <v>5324</v>
      </c>
      <c r="D1977" s="79" t="s">
        <v>5324</v>
      </c>
      <c r="E1977" s="79" t="s">
        <v>5326</v>
      </c>
      <c r="F1977" s="79" t="s">
        <v>1296</v>
      </c>
      <c r="G1977" s="82">
        <v>90069</v>
      </c>
      <c r="H1977" s="83">
        <v>40.58</v>
      </c>
      <c r="I1977" s="82">
        <v>278866</v>
      </c>
      <c r="J1977" s="82">
        <v>239056</v>
      </c>
      <c r="K1977" s="79">
        <v>259</v>
      </c>
      <c r="L1977" s="79">
        <v>259</v>
      </c>
      <c r="M1977" s="79">
        <v>0</v>
      </c>
      <c r="N1977" s="79">
        <v>0</v>
      </c>
      <c r="O1977">
        <f t="shared" si="589"/>
        <v>2</v>
      </c>
      <c r="P1977" s="57">
        <f t="shared" si="590"/>
        <v>1</v>
      </c>
      <c r="Q1977" s="267">
        <f t="shared" si="591"/>
        <v>90069</v>
      </c>
      <c r="R1977" s="23" t="str">
        <f t="shared" si="592"/>
        <v/>
      </c>
      <c r="S1977" s="23">
        <f t="shared" si="593"/>
        <v>90069</v>
      </c>
      <c r="T1977" s="23" t="str">
        <f t="shared" si="594"/>
        <v/>
      </c>
      <c r="U1977" t="str">
        <f t="shared" si="595"/>
        <v/>
      </c>
      <c r="X1977" s="71"/>
      <c r="Z1977" s="44"/>
      <c r="AF1977" s="22"/>
      <c r="AG1977" s="89"/>
      <c r="AH1977" s="274"/>
      <c r="AI1977" s="279"/>
      <c r="AJ1977" s="280"/>
      <c r="AK1977" s="92"/>
      <c r="AL1977" s="23"/>
    </row>
    <row r="1978" spans="1:38" ht="14.4">
      <c r="A1978" t="str">
        <f t="shared" si="597"/>
        <v>CO_Adams_2020g~Adams County Commissioner - District 2 (Vote for 1)</v>
      </c>
      <c r="B1978" s="79" t="s">
        <v>5634</v>
      </c>
      <c r="C1978" s="81" t="s">
        <v>5327</v>
      </c>
      <c r="D1978" s="79" t="s">
        <v>5327</v>
      </c>
      <c r="E1978" s="79" t="s">
        <v>5328</v>
      </c>
      <c r="F1978" s="79" t="s">
        <v>1294</v>
      </c>
      <c r="G1978" s="82">
        <v>139855</v>
      </c>
      <c r="H1978" s="83">
        <v>70.91</v>
      </c>
      <c r="I1978" s="82">
        <v>278866</v>
      </c>
      <c r="J1978" s="82">
        <v>239056</v>
      </c>
      <c r="K1978" s="79">
        <v>259</v>
      </c>
      <c r="L1978" s="79">
        <v>259</v>
      </c>
      <c r="M1978" s="79">
        <v>0</v>
      </c>
      <c r="N1978" s="79">
        <v>0</v>
      </c>
      <c r="O1978">
        <f t="shared" si="589"/>
        <v>1</v>
      </c>
      <c r="P1978" s="57">
        <f t="shared" si="590"/>
        <v>1</v>
      </c>
      <c r="Q1978" s="267">
        <f t="shared" si="591"/>
        <v>197242</v>
      </c>
      <c r="R1978" s="23">
        <f t="shared" si="592"/>
        <v>139855</v>
      </c>
      <c r="S1978" s="23">
        <f t="shared" si="593"/>
        <v>57387</v>
      </c>
      <c r="T1978" s="23">
        <f t="shared" si="594"/>
        <v>82468</v>
      </c>
      <c r="U1978" t="str">
        <f t="shared" si="595"/>
        <v>CO_Adams_2020g~Adams County Commissioner - District 2 (Vote for 1)</v>
      </c>
      <c r="X1978" s="71"/>
      <c r="Z1978" s="44"/>
      <c r="AF1978" s="22"/>
      <c r="AH1978" s="8"/>
      <c r="AL1978" s="23"/>
    </row>
    <row r="1979" spans="1:38" ht="14.4">
      <c r="A1979" t="str">
        <f t="shared" si="597"/>
        <v>CO_Adams_2020g~Adams County Commissioner - District 2 (Vote for 1)</v>
      </c>
      <c r="B1979" s="79" t="s">
        <v>5634</v>
      </c>
      <c r="C1979" s="81" t="s">
        <v>5327</v>
      </c>
      <c r="D1979" s="79" t="s">
        <v>5327</v>
      </c>
      <c r="E1979" s="79" t="s">
        <v>5329</v>
      </c>
      <c r="F1979" s="79" t="s">
        <v>4946</v>
      </c>
      <c r="G1979" s="82">
        <v>57387</v>
      </c>
      <c r="H1979" s="83">
        <v>29.09</v>
      </c>
      <c r="I1979" s="82">
        <v>278866</v>
      </c>
      <c r="J1979" s="82">
        <v>239056</v>
      </c>
      <c r="K1979" s="79">
        <v>259</v>
      </c>
      <c r="L1979" s="79">
        <v>259</v>
      </c>
      <c r="M1979" s="79">
        <v>0</v>
      </c>
      <c r="N1979" s="79">
        <v>0</v>
      </c>
      <c r="O1979">
        <f t="shared" si="589"/>
        <v>2</v>
      </c>
      <c r="P1979" s="57">
        <f t="shared" si="590"/>
        <v>1</v>
      </c>
      <c r="Q1979" s="267">
        <f t="shared" si="591"/>
        <v>57387</v>
      </c>
      <c r="R1979" s="23" t="str">
        <f t="shared" si="592"/>
        <v/>
      </c>
      <c r="S1979" s="23">
        <f t="shared" si="593"/>
        <v>57387</v>
      </c>
      <c r="T1979" s="23" t="str">
        <f t="shared" si="594"/>
        <v/>
      </c>
      <c r="U1979" t="str">
        <f t="shared" si="595"/>
        <v/>
      </c>
      <c r="X1979" s="71"/>
      <c r="Z1979" s="44"/>
      <c r="AF1979" s="22"/>
    </row>
    <row r="1980" spans="1:38" ht="14.4">
      <c r="A1980" t="str">
        <f t="shared" si="597"/>
        <v>CO_Adams_2020g~Adams County Commissioner - District 5 (Vote for 1)</v>
      </c>
      <c r="B1980" s="79" t="s">
        <v>5634</v>
      </c>
      <c r="C1980" s="81" t="s">
        <v>5330</v>
      </c>
      <c r="D1980" s="79" t="s">
        <v>5330</v>
      </c>
      <c r="E1980" s="79" t="s">
        <v>5331</v>
      </c>
      <c r="F1980" s="79" t="s">
        <v>1294</v>
      </c>
      <c r="G1980" s="82">
        <v>125674</v>
      </c>
      <c r="H1980" s="83">
        <v>57.18</v>
      </c>
      <c r="I1980" s="82">
        <v>278866</v>
      </c>
      <c r="J1980" s="82">
        <v>239056</v>
      </c>
      <c r="K1980" s="79">
        <v>259</v>
      </c>
      <c r="L1980" s="79">
        <v>259</v>
      </c>
      <c r="M1980" s="79">
        <v>0</v>
      </c>
      <c r="N1980" s="79">
        <v>0</v>
      </c>
      <c r="O1980">
        <f t="shared" si="589"/>
        <v>1</v>
      </c>
      <c r="P1980" s="57">
        <f t="shared" si="590"/>
        <v>1</v>
      </c>
      <c r="Q1980" s="267">
        <f t="shared" si="591"/>
        <v>219777</v>
      </c>
      <c r="R1980" s="23">
        <f t="shared" si="592"/>
        <v>125674</v>
      </c>
      <c r="S1980" s="23">
        <f t="shared" si="593"/>
        <v>94103</v>
      </c>
      <c r="T1980" s="23">
        <f t="shared" si="594"/>
        <v>31571</v>
      </c>
      <c r="U1980" t="str">
        <f t="shared" si="595"/>
        <v>CO_Adams_2020g~Adams County Commissioner - District 5 (Vote for 1)</v>
      </c>
      <c r="X1980" s="71"/>
      <c r="Z1980" s="44"/>
    </row>
    <row r="1981" spans="1:38" ht="14.4">
      <c r="A1981" t="str">
        <f t="shared" si="597"/>
        <v>CO_Adams_2020g~Adams County Commissioner - District 5 (Vote for 1)</v>
      </c>
      <c r="B1981" s="79" t="s">
        <v>5634</v>
      </c>
      <c r="C1981" s="81" t="s">
        <v>5330</v>
      </c>
      <c r="D1981" s="79" t="s">
        <v>5330</v>
      </c>
      <c r="E1981" s="79" t="s">
        <v>5332</v>
      </c>
      <c r="F1981" s="79" t="s">
        <v>1296</v>
      </c>
      <c r="G1981" s="82">
        <v>94103</v>
      </c>
      <c r="H1981" s="83">
        <v>42.82</v>
      </c>
      <c r="I1981" s="82">
        <v>278866</v>
      </c>
      <c r="J1981" s="82">
        <v>239056</v>
      </c>
      <c r="K1981" s="79">
        <v>259</v>
      </c>
      <c r="L1981" s="79">
        <v>259</v>
      </c>
      <c r="M1981" s="79">
        <v>0</v>
      </c>
      <c r="N1981" s="79">
        <v>0</v>
      </c>
      <c r="O1981">
        <f t="shared" si="589"/>
        <v>2</v>
      </c>
      <c r="P1981" s="57">
        <f t="shared" si="590"/>
        <v>1</v>
      </c>
      <c r="Q1981" s="267">
        <f t="shared" si="591"/>
        <v>94103</v>
      </c>
      <c r="R1981" s="23" t="str">
        <f t="shared" si="592"/>
        <v/>
      </c>
      <c r="S1981" s="23">
        <f t="shared" si="593"/>
        <v>94103</v>
      </c>
      <c r="T1981" s="23" t="str">
        <f t="shared" si="594"/>
        <v/>
      </c>
      <c r="U1981" t="str">
        <f t="shared" si="595"/>
        <v/>
      </c>
      <c r="X1981" s="71"/>
      <c r="Z1981" s="44"/>
      <c r="AF1981" s="300"/>
    </row>
    <row r="1982" spans="1:38" ht="14.4">
      <c r="A1982" t="str">
        <f t="shared" si="597"/>
        <v>CO_Adams_2020g~Adams County Court Judge - Flaum (Vote for 1)</v>
      </c>
      <c r="B1982" s="79" t="s">
        <v>5634</v>
      </c>
      <c r="C1982" s="81" t="s">
        <v>5333</v>
      </c>
      <c r="D1982" s="79" t="s">
        <v>5333</v>
      </c>
      <c r="E1982" s="79" t="s">
        <v>1393</v>
      </c>
      <c r="F1982" s="79" t="s">
        <v>1508</v>
      </c>
      <c r="G1982" s="82">
        <v>137561</v>
      </c>
      <c r="H1982" s="83">
        <v>71.72</v>
      </c>
      <c r="I1982" s="82">
        <v>278866</v>
      </c>
      <c r="J1982" s="82">
        <v>239056</v>
      </c>
      <c r="K1982" s="79">
        <v>259</v>
      </c>
      <c r="L1982" s="79">
        <v>259</v>
      </c>
      <c r="M1982" s="79">
        <v>0</v>
      </c>
      <c r="N1982" s="79">
        <v>0</v>
      </c>
      <c r="O1982">
        <f t="shared" si="589"/>
        <v>1</v>
      </c>
      <c r="P1982" s="57">
        <f t="shared" si="590"/>
        <v>1</v>
      </c>
      <c r="Q1982" s="267">
        <f t="shared" si="591"/>
        <v>191803</v>
      </c>
      <c r="R1982" s="23">
        <f t="shared" si="592"/>
        <v>137561</v>
      </c>
      <c r="S1982" s="23">
        <f t="shared" si="593"/>
        <v>54242</v>
      </c>
      <c r="T1982" s="23">
        <f t="shared" si="594"/>
        <v>83319</v>
      </c>
      <c r="U1982" t="str">
        <f t="shared" si="595"/>
        <v>CO_Adams_2020g~Adams County Court Judge - Flaum (Vote for 1)</v>
      </c>
      <c r="X1982" s="71"/>
      <c r="Z1982" s="44"/>
      <c r="AF1982" s="22"/>
      <c r="AH1982" s="8"/>
      <c r="AL1982" s="23"/>
    </row>
    <row r="1983" spans="1:38" ht="14.4">
      <c r="A1983" t="str">
        <f t="shared" si="597"/>
        <v>CO_Adams_2020g~Adams County Court Judge - Flaum (Vote for 1)</v>
      </c>
      <c r="B1983" s="79" t="s">
        <v>5634</v>
      </c>
      <c r="C1983" s="81" t="s">
        <v>5333</v>
      </c>
      <c r="D1983" s="79" t="s">
        <v>5333</v>
      </c>
      <c r="E1983" s="79" t="s">
        <v>1394</v>
      </c>
      <c r="F1983" s="79" t="s">
        <v>1509</v>
      </c>
      <c r="G1983" s="82">
        <v>54242</v>
      </c>
      <c r="H1983" s="83">
        <v>28.28</v>
      </c>
      <c r="I1983" s="82">
        <v>278866</v>
      </c>
      <c r="J1983" s="82">
        <v>239056</v>
      </c>
      <c r="K1983" s="79">
        <v>259</v>
      </c>
      <c r="L1983" s="79">
        <v>259</v>
      </c>
      <c r="M1983" s="79">
        <v>0</v>
      </c>
      <c r="N1983" s="79">
        <v>0</v>
      </c>
      <c r="O1983">
        <f t="shared" si="589"/>
        <v>2</v>
      </c>
      <c r="P1983" s="57">
        <f t="shared" si="590"/>
        <v>1</v>
      </c>
      <c r="Q1983" s="267">
        <f t="shared" si="591"/>
        <v>54242</v>
      </c>
      <c r="R1983" s="23" t="str">
        <f t="shared" si="592"/>
        <v/>
      </c>
      <c r="S1983" s="23">
        <f t="shared" si="593"/>
        <v>54242</v>
      </c>
      <c r="T1983" s="23" t="str">
        <f t="shared" si="594"/>
        <v/>
      </c>
      <c r="U1983" t="str">
        <f t="shared" si="595"/>
        <v/>
      </c>
      <c r="X1983" s="71"/>
      <c r="Z1983" s="44"/>
      <c r="AF1983" s="22"/>
    </row>
    <row r="1984" spans="1:38" ht="14.4">
      <c r="A1984" t="str">
        <f t="shared" si="597"/>
        <v>CO_Adams_2020g~Adams County Court Judge - Kirby (Vote for 1)</v>
      </c>
      <c r="B1984" s="79" t="s">
        <v>5634</v>
      </c>
      <c r="C1984" s="81" t="s">
        <v>5334</v>
      </c>
      <c r="D1984" s="79" t="s">
        <v>5334</v>
      </c>
      <c r="E1984" s="79" t="s">
        <v>1393</v>
      </c>
      <c r="F1984" s="79" t="s">
        <v>1508</v>
      </c>
      <c r="G1984" s="82">
        <v>141310</v>
      </c>
      <c r="H1984" s="83">
        <v>73.819999999999993</v>
      </c>
      <c r="I1984" s="82">
        <v>278866</v>
      </c>
      <c r="J1984" s="82">
        <v>239056</v>
      </c>
      <c r="K1984" s="79">
        <v>259</v>
      </c>
      <c r="L1984" s="79">
        <v>259</v>
      </c>
      <c r="M1984" s="79">
        <v>0</v>
      </c>
      <c r="N1984" s="79">
        <v>0</v>
      </c>
      <c r="O1984">
        <f t="shared" si="589"/>
        <v>1</v>
      </c>
      <c r="P1984" s="57">
        <f t="shared" si="590"/>
        <v>1</v>
      </c>
      <c r="Q1984" s="267">
        <f t="shared" si="591"/>
        <v>191421</v>
      </c>
      <c r="R1984" s="23">
        <f t="shared" si="592"/>
        <v>141310</v>
      </c>
      <c r="S1984" s="23">
        <f t="shared" si="593"/>
        <v>50111</v>
      </c>
      <c r="T1984" s="23">
        <f t="shared" si="594"/>
        <v>91199</v>
      </c>
      <c r="U1984" t="str">
        <f t="shared" si="595"/>
        <v>CO_Adams_2020g~Adams County Court Judge - Kirby (Vote for 1)</v>
      </c>
      <c r="X1984" s="71"/>
      <c r="Z1984" s="44"/>
      <c r="AF1984" s="22"/>
    </row>
    <row r="1985" spans="1:38" ht="14.4">
      <c r="A1985" t="str">
        <f t="shared" si="597"/>
        <v>CO_Adams_2020g~Adams County Court Judge - Kirby (Vote for 1)</v>
      </c>
      <c r="B1985" s="79" t="s">
        <v>5634</v>
      </c>
      <c r="C1985" s="81" t="s">
        <v>5334</v>
      </c>
      <c r="D1985" s="79" t="s">
        <v>5334</v>
      </c>
      <c r="E1985" s="79" t="s">
        <v>1394</v>
      </c>
      <c r="F1985" s="79" t="s">
        <v>1509</v>
      </c>
      <c r="G1985" s="82">
        <v>50111</v>
      </c>
      <c r="H1985" s="83">
        <v>26.18</v>
      </c>
      <c r="I1985" s="82">
        <v>278866</v>
      </c>
      <c r="J1985" s="82">
        <v>239056</v>
      </c>
      <c r="K1985" s="79">
        <v>259</v>
      </c>
      <c r="L1985" s="79">
        <v>259</v>
      </c>
      <c r="M1985" s="79">
        <v>0</v>
      </c>
      <c r="N1985" s="79">
        <v>0</v>
      </c>
      <c r="O1985">
        <f t="shared" si="589"/>
        <v>2</v>
      </c>
      <c r="P1985" s="57">
        <f t="shared" si="590"/>
        <v>1</v>
      </c>
      <c r="Q1985" s="267">
        <f t="shared" si="591"/>
        <v>50111</v>
      </c>
      <c r="R1985" s="23" t="str">
        <f t="shared" si="592"/>
        <v/>
      </c>
      <c r="S1985" s="23">
        <f t="shared" si="593"/>
        <v>50111</v>
      </c>
      <c r="T1985" s="23" t="str">
        <f t="shared" si="594"/>
        <v/>
      </c>
      <c r="U1985" t="str">
        <f t="shared" si="595"/>
        <v/>
      </c>
      <c r="X1985" s="71"/>
      <c r="Z1985" s="44"/>
      <c r="AF1985" s="22"/>
    </row>
    <row r="1986" spans="1:38" ht="14.4">
      <c r="A1986" t="str">
        <f t="shared" si="597"/>
        <v>CO_Adams_2020g~District Attorney - 17th Judicial District (Vote for 1)</v>
      </c>
      <c r="B1986" s="79" t="s">
        <v>5634</v>
      </c>
      <c r="C1986" s="81" t="s">
        <v>5404</v>
      </c>
      <c r="D1986" s="79" t="s">
        <v>5404</v>
      </c>
      <c r="E1986" s="79" t="s">
        <v>5214</v>
      </c>
      <c r="F1986" s="79" t="s">
        <v>1294</v>
      </c>
      <c r="G1986" s="82">
        <v>122162</v>
      </c>
      <c r="H1986" s="83">
        <v>55.08</v>
      </c>
      <c r="I1986" s="82">
        <v>278866</v>
      </c>
      <c r="J1986" s="82">
        <v>239056</v>
      </c>
      <c r="K1986" s="79">
        <v>259</v>
      </c>
      <c r="L1986" s="79">
        <v>259</v>
      </c>
      <c r="M1986" s="79">
        <v>0</v>
      </c>
      <c r="N1986" s="79">
        <v>0</v>
      </c>
      <c r="O1986">
        <f t="shared" ref="O1986:O2049" si="598">IF(OR(LOWER(LEFT(E1986,8))="write-in",LOWER(LEFT(E1986,8))="not qual"),IF(A1986=A1985,-ABS(O1985),0),IF(A1986=A1985,ABS(O1985)+1,1))</f>
        <v>1</v>
      </c>
      <c r="P1986" s="57">
        <f t="shared" ref="P1986:P2049" si="599">1*LEFT(RIGHT(A1986,2),1)</f>
        <v>1</v>
      </c>
      <c r="Q1986" s="267">
        <f t="shared" ref="Q1986:Q2049" si="600">IF(A1986&lt;&gt;A1987,G1986,IF(A1986=A1985,G1986+Q1987,MAX(G1986,(G1986+Q1987)/P1986)))</f>
        <v>221783</v>
      </c>
      <c r="R1986" s="23">
        <f t="shared" ref="R1986:R2049" si="601">IF(O1986&gt;P1986,"",IF(O1986=P1986,G1986,IF(A1986=A1987,R1987,IF(O1986&lt;=0,1,G1986))))</f>
        <v>122162</v>
      </c>
      <c r="S1986" s="23">
        <f t="shared" ref="S1986:S2049" si="602">IF(AND(O1986&gt;P1986,LOWER(LEFT(E1986,8))&lt;&gt;"write-in",LOWER(LEFT(E1986,8))&lt;&gt;"not qual"),G1986,IF(A1986=A1987,S1987,0))</f>
        <v>99621</v>
      </c>
      <c r="T1986" s="23">
        <f t="shared" ref="T1986:T2049" si="603">IF(OR(A1986=A1985,S1986=0),"",R1986-ABS(S1986))</f>
        <v>22541</v>
      </c>
      <c r="U1986" t="str">
        <f t="shared" ref="U1986:U2049" si="604">IF(A1986=A1985,"",A1986)</f>
        <v>CO_Adams_2020g~District Attorney - 17th Judicial District (Vote for 1)</v>
      </c>
      <c r="X1986" s="71"/>
      <c r="Z1986" s="44"/>
      <c r="AF1986" s="22"/>
      <c r="AG1986" s="23"/>
      <c r="AH1986" s="8"/>
      <c r="AL1986" s="344"/>
    </row>
    <row r="1987" spans="1:38" ht="14.4">
      <c r="A1987" t="str">
        <f t="shared" si="597"/>
        <v>CO_Adams_2020g~District Attorney - 17th Judicial District (Vote for 1)</v>
      </c>
      <c r="B1987" s="79" t="s">
        <v>5634</v>
      </c>
      <c r="C1987" s="81" t="s">
        <v>5404</v>
      </c>
      <c r="D1987" s="79" t="s">
        <v>5404</v>
      </c>
      <c r="E1987" s="79" t="s">
        <v>5213</v>
      </c>
      <c r="F1987" s="79" t="s">
        <v>1296</v>
      </c>
      <c r="G1987" s="82">
        <v>99621</v>
      </c>
      <c r="H1987" s="83">
        <v>44.92</v>
      </c>
      <c r="I1987" s="82">
        <v>278866</v>
      </c>
      <c r="J1987" s="82">
        <v>239056</v>
      </c>
      <c r="K1987" s="79">
        <v>259</v>
      </c>
      <c r="L1987" s="79">
        <v>259</v>
      </c>
      <c r="M1987" s="79">
        <v>0</v>
      </c>
      <c r="N1987" s="79">
        <v>0</v>
      </c>
      <c r="O1987">
        <f t="shared" si="598"/>
        <v>2</v>
      </c>
      <c r="P1987" s="57">
        <f t="shared" si="599"/>
        <v>1</v>
      </c>
      <c r="Q1987" s="267">
        <f t="shared" si="600"/>
        <v>99621</v>
      </c>
      <c r="R1987" s="23" t="str">
        <f t="shared" si="601"/>
        <v/>
      </c>
      <c r="S1987" s="23">
        <f t="shared" si="602"/>
        <v>99621</v>
      </c>
      <c r="T1987" s="23" t="str">
        <f t="shared" si="603"/>
        <v/>
      </c>
      <c r="U1987" t="str">
        <f t="shared" si="604"/>
        <v/>
      </c>
      <c r="X1987" s="71"/>
      <c r="Z1987" s="44"/>
      <c r="AG1987" s="23"/>
      <c r="AH1987" s="8"/>
      <c r="AL1987" s="344"/>
    </row>
    <row r="1988" spans="1:38" ht="14.4">
      <c r="A1988" t="str">
        <f t="shared" si="597"/>
        <v>CO_Adams_2020g~District Court Judge - 17th Judicial District - Crespin (Vote for 1)</v>
      </c>
      <c r="B1988" s="79" t="s">
        <v>5634</v>
      </c>
      <c r="C1988" s="81" t="s">
        <v>5407</v>
      </c>
      <c r="D1988" s="79" t="s">
        <v>5407</v>
      </c>
      <c r="E1988" s="79" t="s">
        <v>1394</v>
      </c>
      <c r="F1988" s="79" t="s">
        <v>1509</v>
      </c>
      <c r="G1988" s="82">
        <v>103109</v>
      </c>
      <c r="H1988" s="83">
        <v>53.45</v>
      </c>
      <c r="I1988" s="82">
        <v>278866</v>
      </c>
      <c r="J1988" s="82">
        <v>239056</v>
      </c>
      <c r="K1988" s="79">
        <v>259</v>
      </c>
      <c r="L1988" s="79">
        <v>259</v>
      </c>
      <c r="M1988" s="79">
        <v>0</v>
      </c>
      <c r="N1988" s="79">
        <v>0</v>
      </c>
      <c r="O1988">
        <f t="shared" si="598"/>
        <v>1</v>
      </c>
      <c r="P1988" s="57">
        <f t="shared" si="599"/>
        <v>1</v>
      </c>
      <c r="Q1988" s="267">
        <f t="shared" si="600"/>
        <v>192907</v>
      </c>
      <c r="R1988" s="23">
        <f t="shared" si="601"/>
        <v>103109</v>
      </c>
      <c r="S1988" s="23">
        <f t="shared" si="602"/>
        <v>89798</v>
      </c>
      <c r="T1988" s="23">
        <f t="shared" si="603"/>
        <v>13311</v>
      </c>
      <c r="U1988" t="str">
        <f t="shared" si="604"/>
        <v>CO_Adams_2020g~District Court Judge - 17th Judicial District - Crespin (Vote for 1)</v>
      </c>
      <c r="X1988" s="71"/>
      <c r="Z1988" s="44"/>
      <c r="AF1988" s="22"/>
    </row>
    <row r="1989" spans="1:38" ht="14.4">
      <c r="A1989" t="str">
        <f t="shared" si="597"/>
        <v>CO_Adams_2020g~District Court Judge - 17th Judicial District - Crespin (Vote for 1)</v>
      </c>
      <c r="B1989" s="79" t="s">
        <v>5634</v>
      </c>
      <c r="C1989" s="81" t="s">
        <v>5407</v>
      </c>
      <c r="D1989" s="79" t="s">
        <v>5407</v>
      </c>
      <c r="E1989" s="79" t="s">
        <v>1393</v>
      </c>
      <c r="F1989" s="79" t="s">
        <v>1508</v>
      </c>
      <c r="G1989" s="82">
        <v>89798</v>
      </c>
      <c r="H1989" s="83">
        <v>46.55</v>
      </c>
      <c r="I1989" s="82">
        <v>278866</v>
      </c>
      <c r="J1989" s="82">
        <v>239056</v>
      </c>
      <c r="K1989" s="79">
        <v>259</v>
      </c>
      <c r="L1989" s="79">
        <v>259</v>
      </c>
      <c r="M1989" s="79">
        <v>0</v>
      </c>
      <c r="N1989" s="79">
        <v>0</v>
      </c>
      <c r="O1989">
        <f t="shared" si="598"/>
        <v>2</v>
      </c>
      <c r="P1989" s="57">
        <f t="shared" si="599"/>
        <v>1</v>
      </c>
      <c r="Q1989" s="267">
        <f t="shared" si="600"/>
        <v>89798</v>
      </c>
      <c r="R1989" s="23" t="str">
        <f t="shared" si="601"/>
        <v/>
      </c>
      <c r="S1989" s="23">
        <f t="shared" si="602"/>
        <v>89798</v>
      </c>
      <c r="T1989" s="23" t="str">
        <f t="shared" si="603"/>
        <v/>
      </c>
      <c r="U1989" t="str">
        <f t="shared" si="604"/>
        <v/>
      </c>
      <c r="X1989" s="71"/>
      <c r="Z1989" s="44"/>
      <c r="AF1989" s="22"/>
      <c r="AG1989" s="23"/>
      <c r="AH1989" s="8"/>
      <c r="AL1989" s="344"/>
    </row>
    <row r="1990" spans="1:38" ht="14.4">
      <c r="A1990" t="str">
        <f t="shared" si="597"/>
        <v>CO_Adams_2020g~District Court Judge - 17th Judicial District - Datz (Vote for 1)</v>
      </c>
      <c r="B1990" s="79" t="s">
        <v>5634</v>
      </c>
      <c r="C1990" s="81" t="s">
        <v>5408</v>
      </c>
      <c r="D1990" s="79" t="s">
        <v>5408</v>
      </c>
      <c r="E1990" s="79" t="s">
        <v>1393</v>
      </c>
      <c r="F1990" s="79" t="s">
        <v>1508</v>
      </c>
      <c r="G1990" s="82">
        <v>135783</v>
      </c>
      <c r="H1990" s="83">
        <v>71.11</v>
      </c>
      <c r="I1990" s="82">
        <v>278866</v>
      </c>
      <c r="J1990" s="82">
        <v>239056</v>
      </c>
      <c r="K1990" s="79">
        <v>259</v>
      </c>
      <c r="L1990" s="79">
        <v>259</v>
      </c>
      <c r="M1990" s="79">
        <v>0</v>
      </c>
      <c r="N1990" s="79">
        <v>0</v>
      </c>
      <c r="O1990">
        <f t="shared" si="598"/>
        <v>1</v>
      </c>
      <c r="P1990" s="57">
        <f t="shared" si="599"/>
        <v>1</v>
      </c>
      <c r="Q1990" s="267">
        <f t="shared" si="600"/>
        <v>190935</v>
      </c>
      <c r="R1990" s="23">
        <f t="shared" si="601"/>
        <v>135783</v>
      </c>
      <c r="S1990" s="23">
        <f t="shared" si="602"/>
        <v>55152</v>
      </c>
      <c r="T1990" s="23">
        <f t="shared" si="603"/>
        <v>80631</v>
      </c>
      <c r="U1990" t="str">
        <f t="shared" si="604"/>
        <v>CO_Adams_2020g~District Court Judge - 17th Judicial District - Datz (Vote for 1)</v>
      </c>
      <c r="X1990" s="71"/>
      <c r="Z1990" s="44"/>
      <c r="AF1990" s="300"/>
    </row>
    <row r="1991" spans="1:38" ht="14.4">
      <c r="A1991" t="str">
        <f t="shared" si="597"/>
        <v>CO_Adams_2020g~District Court Judge - 17th Judicial District - Datz (Vote for 1)</v>
      </c>
      <c r="B1991" s="79" t="s">
        <v>5634</v>
      </c>
      <c r="C1991" s="81" t="s">
        <v>5408</v>
      </c>
      <c r="D1991" s="79" t="s">
        <v>5408</v>
      </c>
      <c r="E1991" s="79" t="s">
        <v>1394</v>
      </c>
      <c r="F1991" s="79" t="s">
        <v>1509</v>
      </c>
      <c r="G1991" s="82">
        <v>55152</v>
      </c>
      <c r="H1991" s="83">
        <v>28.89</v>
      </c>
      <c r="I1991" s="82">
        <v>278866</v>
      </c>
      <c r="J1991" s="82">
        <v>239056</v>
      </c>
      <c r="K1991" s="79">
        <v>259</v>
      </c>
      <c r="L1991" s="79">
        <v>259</v>
      </c>
      <c r="M1991" s="79">
        <v>0</v>
      </c>
      <c r="N1991" s="79">
        <v>0</v>
      </c>
      <c r="O1991">
        <f t="shared" si="598"/>
        <v>2</v>
      </c>
      <c r="P1991" s="57">
        <f t="shared" si="599"/>
        <v>1</v>
      </c>
      <c r="Q1991" s="267">
        <f t="shared" si="600"/>
        <v>55152</v>
      </c>
      <c r="R1991" s="23" t="str">
        <f t="shared" si="601"/>
        <v/>
      </c>
      <c r="S1991" s="23">
        <f t="shared" si="602"/>
        <v>55152</v>
      </c>
      <c r="T1991" s="23" t="str">
        <f t="shared" si="603"/>
        <v/>
      </c>
      <c r="U1991" t="str">
        <f t="shared" si="604"/>
        <v/>
      </c>
      <c r="X1991" s="71"/>
      <c r="Z1991" s="44"/>
      <c r="AF1991" s="22"/>
    </row>
    <row r="1992" spans="1:38" ht="14.4">
      <c r="A1992" t="str">
        <f t="shared" si="597"/>
        <v>CO_Adams_2020g~District Court Judge - 17th Judicial District - Finn (Vote for 1)</v>
      </c>
      <c r="B1992" s="79" t="s">
        <v>5634</v>
      </c>
      <c r="C1992" s="81" t="s">
        <v>5409</v>
      </c>
      <c r="D1992" s="79" t="s">
        <v>5409</v>
      </c>
      <c r="E1992" s="79" t="s">
        <v>1393</v>
      </c>
      <c r="F1992" s="79" t="s">
        <v>1508</v>
      </c>
      <c r="G1992" s="82">
        <v>137503</v>
      </c>
      <c r="H1992" s="83">
        <v>72.25</v>
      </c>
      <c r="I1992" s="82">
        <v>278866</v>
      </c>
      <c r="J1992" s="82">
        <v>239056</v>
      </c>
      <c r="K1992" s="79">
        <v>259</v>
      </c>
      <c r="L1992" s="79">
        <v>259</v>
      </c>
      <c r="M1992" s="79">
        <v>0</v>
      </c>
      <c r="N1992" s="79">
        <v>0</v>
      </c>
      <c r="O1992">
        <f t="shared" si="598"/>
        <v>1</v>
      </c>
      <c r="P1992" s="57">
        <f t="shared" si="599"/>
        <v>1</v>
      </c>
      <c r="Q1992" s="267">
        <f t="shared" si="600"/>
        <v>190324</v>
      </c>
      <c r="R1992" s="23">
        <f t="shared" si="601"/>
        <v>137503</v>
      </c>
      <c r="S1992" s="23">
        <f t="shared" si="602"/>
        <v>52821</v>
      </c>
      <c r="T1992" s="23">
        <f t="shared" si="603"/>
        <v>84682</v>
      </c>
      <c r="U1992" t="str">
        <f t="shared" si="604"/>
        <v>CO_Adams_2020g~District Court Judge - 17th Judicial District - Finn (Vote for 1)</v>
      </c>
      <c r="X1992" s="71"/>
      <c r="Z1992" s="44"/>
      <c r="AF1992" s="22"/>
    </row>
    <row r="1993" spans="1:38" ht="14.4">
      <c r="A1993" t="str">
        <f t="shared" si="597"/>
        <v>CO_Adams_2020g~District Court Judge - 17th Judicial District - Finn (Vote for 1)</v>
      </c>
      <c r="B1993" s="79" t="s">
        <v>5634</v>
      </c>
      <c r="C1993" s="81" t="s">
        <v>5409</v>
      </c>
      <c r="D1993" s="79" t="s">
        <v>5409</v>
      </c>
      <c r="E1993" s="79" t="s">
        <v>1394</v>
      </c>
      <c r="F1993" s="79" t="s">
        <v>1509</v>
      </c>
      <c r="G1993" s="82">
        <v>52821</v>
      </c>
      <c r="H1993" s="83">
        <v>27.75</v>
      </c>
      <c r="I1993" s="82">
        <v>278866</v>
      </c>
      <c r="J1993" s="82">
        <v>239056</v>
      </c>
      <c r="K1993" s="79">
        <v>259</v>
      </c>
      <c r="L1993" s="79">
        <v>259</v>
      </c>
      <c r="M1993" s="79">
        <v>0</v>
      </c>
      <c r="N1993" s="79">
        <v>0</v>
      </c>
      <c r="O1993">
        <f t="shared" si="598"/>
        <v>2</v>
      </c>
      <c r="P1993" s="57">
        <f t="shared" si="599"/>
        <v>1</v>
      </c>
      <c r="Q1993" s="267">
        <f t="shared" si="600"/>
        <v>52821</v>
      </c>
      <c r="R1993" s="23" t="str">
        <f t="shared" si="601"/>
        <v/>
      </c>
      <c r="S1993" s="23">
        <f t="shared" si="602"/>
        <v>52821</v>
      </c>
      <c r="T1993" s="23" t="str">
        <f t="shared" si="603"/>
        <v/>
      </c>
      <c r="U1993" t="str">
        <f t="shared" si="604"/>
        <v/>
      </c>
      <c r="X1993" s="71"/>
      <c r="Z1993" s="44"/>
    </row>
    <row r="1994" spans="1:38" ht="14.4">
      <c r="A1994" t="str">
        <f t="shared" si="597"/>
        <v>CO_Adams_2020g~District Court Judge - 17th Judicial District - Kiesnowski (Vote for 1)</v>
      </c>
      <c r="B1994" s="79" t="s">
        <v>5634</v>
      </c>
      <c r="C1994" s="81" t="s">
        <v>5410</v>
      </c>
      <c r="D1994" s="79" t="s">
        <v>5410</v>
      </c>
      <c r="E1994" s="79" t="s">
        <v>1393</v>
      </c>
      <c r="F1994" s="79" t="s">
        <v>1508</v>
      </c>
      <c r="G1994" s="82">
        <v>134546</v>
      </c>
      <c r="H1994" s="83">
        <v>70.739999999999995</v>
      </c>
      <c r="I1994" s="82">
        <v>278866</v>
      </c>
      <c r="J1994" s="82">
        <v>239056</v>
      </c>
      <c r="K1994" s="79">
        <v>259</v>
      </c>
      <c r="L1994" s="79">
        <v>259</v>
      </c>
      <c r="M1994" s="79">
        <v>0</v>
      </c>
      <c r="N1994" s="79">
        <v>0</v>
      </c>
      <c r="O1994">
        <f t="shared" si="598"/>
        <v>1</v>
      </c>
      <c r="P1994" s="57">
        <f t="shared" si="599"/>
        <v>1</v>
      </c>
      <c r="Q1994" s="267">
        <f t="shared" si="600"/>
        <v>190195</v>
      </c>
      <c r="R1994" s="23">
        <f t="shared" si="601"/>
        <v>134546</v>
      </c>
      <c r="S1994" s="23">
        <f t="shared" si="602"/>
        <v>55649</v>
      </c>
      <c r="T1994" s="23">
        <f t="shared" si="603"/>
        <v>78897</v>
      </c>
      <c r="U1994" t="str">
        <f t="shared" si="604"/>
        <v>CO_Adams_2020g~District Court Judge - 17th Judicial District - Kiesnowski (Vote for 1)</v>
      </c>
      <c r="X1994" s="71"/>
      <c r="Z1994" s="44"/>
      <c r="AF1994" s="22"/>
    </row>
    <row r="1995" spans="1:38" ht="14.4">
      <c r="A1995" t="str">
        <f t="shared" si="597"/>
        <v>CO_Adams_2020g~District Court Judge - 17th Judicial District - Kiesnowski (Vote for 1)</v>
      </c>
      <c r="B1995" s="79" t="s">
        <v>5634</v>
      </c>
      <c r="C1995" s="81" t="s">
        <v>5410</v>
      </c>
      <c r="D1995" s="79" t="s">
        <v>5410</v>
      </c>
      <c r="E1995" s="79" t="s">
        <v>1394</v>
      </c>
      <c r="F1995" s="79" t="s">
        <v>1509</v>
      </c>
      <c r="G1995" s="82">
        <v>55649</v>
      </c>
      <c r="H1995" s="83">
        <v>29.26</v>
      </c>
      <c r="I1995" s="82">
        <v>278866</v>
      </c>
      <c r="J1995" s="82">
        <v>239056</v>
      </c>
      <c r="K1995" s="79">
        <v>259</v>
      </c>
      <c r="L1995" s="79">
        <v>259</v>
      </c>
      <c r="M1995" s="79">
        <v>0</v>
      </c>
      <c r="N1995" s="79">
        <v>0</v>
      </c>
      <c r="O1995">
        <f t="shared" si="598"/>
        <v>2</v>
      </c>
      <c r="P1995" s="57">
        <f t="shared" si="599"/>
        <v>1</v>
      </c>
      <c r="Q1995" s="267">
        <f t="shared" si="600"/>
        <v>55649</v>
      </c>
      <c r="R1995" s="23" t="str">
        <f t="shared" si="601"/>
        <v/>
      </c>
      <c r="S1995" s="23">
        <f t="shared" si="602"/>
        <v>55649</v>
      </c>
      <c r="T1995" s="23" t="str">
        <f t="shared" si="603"/>
        <v/>
      </c>
      <c r="U1995" t="str">
        <f t="shared" si="604"/>
        <v/>
      </c>
      <c r="X1995" s="71"/>
      <c r="Z1995" s="44"/>
      <c r="AF1995" s="22"/>
    </row>
    <row r="1996" spans="1:38" ht="14.4">
      <c r="A1996" t="str">
        <f t="shared" si="597"/>
        <v>CO_Adams_2020g~District Court Judge - 17th Judicial District - Loew (Vote for 1)</v>
      </c>
      <c r="B1996" s="79" t="s">
        <v>5634</v>
      </c>
      <c r="C1996" s="81" t="s">
        <v>5411</v>
      </c>
      <c r="D1996" s="79" t="s">
        <v>5411</v>
      </c>
      <c r="E1996" s="79" t="s">
        <v>1393</v>
      </c>
      <c r="F1996" s="79" t="s">
        <v>1508</v>
      </c>
      <c r="G1996" s="82">
        <v>139555</v>
      </c>
      <c r="H1996" s="83">
        <v>73.27</v>
      </c>
      <c r="I1996" s="82">
        <v>278866</v>
      </c>
      <c r="J1996" s="82">
        <v>239056</v>
      </c>
      <c r="K1996" s="79">
        <v>259</v>
      </c>
      <c r="L1996" s="79">
        <v>259</v>
      </c>
      <c r="M1996" s="79">
        <v>0</v>
      </c>
      <c r="N1996" s="79">
        <v>0</v>
      </c>
      <c r="O1996">
        <f t="shared" si="598"/>
        <v>1</v>
      </c>
      <c r="P1996" s="57">
        <f t="shared" si="599"/>
        <v>1</v>
      </c>
      <c r="Q1996" s="267">
        <f t="shared" si="600"/>
        <v>190468</v>
      </c>
      <c r="R1996" s="23">
        <f t="shared" si="601"/>
        <v>139555</v>
      </c>
      <c r="S1996" s="23">
        <f t="shared" si="602"/>
        <v>50913</v>
      </c>
      <c r="T1996" s="23">
        <f t="shared" si="603"/>
        <v>88642</v>
      </c>
      <c r="U1996" t="str">
        <f t="shared" si="604"/>
        <v>CO_Adams_2020g~District Court Judge - 17th Judicial District - Loew (Vote for 1)</v>
      </c>
      <c r="X1996" s="71"/>
      <c r="Z1996" s="44"/>
      <c r="AF1996" s="22"/>
      <c r="AG1996" s="23"/>
      <c r="AH1996" s="8"/>
      <c r="AL1996" s="344"/>
    </row>
    <row r="1997" spans="1:38" ht="14.4">
      <c r="A1997" t="str">
        <f t="shared" si="597"/>
        <v>CO_Adams_2020g~District Court Judge - 17th Judicial District - Loew (Vote for 1)</v>
      </c>
      <c r="B1997" s="79" t="s">
        <v>5634</v>
      </c>
      <c r="C1997" s="81" t="s">
        <v>5411</v>
      </c>
      <c r="D1997" s="79" t="s">
        <v>5411</v>
      </c>
      <c r="E1997" s="79" t="s">
        <v>1394</v>
      </c>
      <c r="F1997" s="79" t="s">
        <v>1509</v>
      </c>
      <c r="G1997" s="82">
        <v>50913</v>
      </c>
      <c r="H1997" s="83">
        <v>26.73</v>
      </c>
      <c r="I1997" s="82">
        <v>278866</v>
      </c>
      <c r="J1997" s="82">
        <v>239056</v>
      </c>
      <c r="K1997" s="79">
        <v>259</v>
      </c>
      <c r="L1997" s="79">
        <v>259</v>
      </c>
      <c r="M1997" s="79">
        <v>0</v>
      </c>
      <c r="N1997" s="79">
        <v>0</v>
      </c>
      <c r="O1997">
        <f t="shared" si="598"/>
        <v>2</v>
      </c>
      <c r="P1997" s="57">
        <f t="shared" si="599"/>
        <v>1</v>
      </c>
      <c r="Q1997" s="267">
        <f t="shared" si="600"/>
        <v>50913</v>
      </c>
      <c r="R1997" s="23" t="str">
        <f t="shared" si="601"/>
        <v/>
      </c>
      <c r="S1997" s="23">
        <f t="shared" si="602"/>
        <v>50913</v>
      </c>
      <c r="T1997" s="23" t="str">
        <f t="shared" si="603"/>
        <v/>
      </c>
      <c r="U1997" t="str">
        <f t="shared" si="604"/>
        <v/>
      </c>
      <c r="X1997" s="71"/>
      <c r="Z1997" s="44"/>
      <c r="AF1997" s="22"/>
    </row>
    <row r="1998" spans="1:38" ht="14.4">
      <c r="A1998" t="str">
        <f t="shared" si="597"/>
        <v>CO_Adams_2020g~District Court Judge - 17th Judicial District - Ramirez (Vote for 1)</v>
      </c>
      <c r="B1998" s="79" t="s">
        <v>5634</v>
      </c>
      <c r="C1998" s="81" t="s">
        <v>5412</v>
      </c>
      <c r="D1998" s="79" t="s">
        <v>5412</v>
      </c>
      <c r="E1998" s="79" t="s">
        <v>1393</v>
      </c>
      <c r="F1998" s="79" t="s">
        <v>1508</v>
      </c>
      <c r="G1998" s="82">
        <v>133552</v>
      </c>
      <c r="H1998" s="83">
        <v>69.92</v>
      </c>
      <c r="I1998" s="82">
        <v>278866</v>
      </c>
      <c r="J1998" s="82">
        <v>239056</v>
      </c>
      <c r="K1998" s="79">
        <v>259</v>
      </c>
      <c r="L1998" s="79">
        <v>259</v>
      </c>
      <c r="M1998" s="79">
        <v>0</v>
      </c>
      <c r="N1998" s="79">
        <v>0</v>
      </c>
      <c r="O1998">
        <f t="shared" si="598"/>
        <v>1</v>
      </c>
      <c r="P1998" s="57">
        <f t="shared" si="599"/>
        <v>1</v>
      </c>
      <c r="Q1998" s="267">
        <f t="shared" si="600"/>
        <v>191001</v>
      </c>
      <c r="R1998" s="23">
        <f t="shared" si="601"/>
        <v>133552</v>
      </c>
      <c r="S1998" s="23">
        <f t="shared" si="602"/>
        <v>57449</v>
      </c>
      <c r="T1998" s="23">
        <f t="shared" si="603"/>
        <v>76103</v>
      </c>
      <c r="U1998" t="str">
        <f t="shared" si="604"/>
        <v>CO_Adams_2020g~District Court Judge - 17th Judicial District - Ramirez (Vote for 1)</v>
      </c>
      <c r="X1998" s="71"/>
      <c r="Z1998" s="44"/>
      <c r="AF1998" s="22"/>
    </row>
    <row r="1999" spans="1:38" ht="14.4">
      <c r="A1999" t="str">
        <f t="shared" si="597"/>
        <v>CO_Adams_2020g~District Court Judge - 17th Judicial District - Ramirez (Vote for 1)</v>
      </c>
      <c r="B1999" s="79" t="s">
        <v>5634</v>
      </c>
      <c r="C1999" s="81" t="s">
        <v>5412</v>
      </c>
      <c r="D1999" s="79" t="s">
        <v>5412</v>
      </c>
      <c r="E1999" s="79" t="s">
        <v>1394</v>
      </c>
      <c r="F1999" s="79" t="s">
        <v>1509</v>
      </c>
      <c r="G1999" s="82">
        <v>57449</v>
      </c>
      <c r="H1999" s="83">
        <v>30.08</v>
      </c>
      <c r="I1999" s="82">
        <v>278866</v>
      </c>
      <c r="J1999" s="82">
        <v>239056</v>
      </c>
      <c r="K1999" s="79">
        <v>259</v>
      </c>
      <c r="L1999" s="79">
        <v>259</v>
      </c>
      <c r="M1999" s="79">
        <v>0</v>
      </c>
      <c r="N1999" s="79">
        <v>0</v>
      </c>
      <c r="O1999">
        <f t="shared" si="598"/>
        <v>2</v>
      </c>
      <c r="P1999" s="57">
        <f t="shared" si="599"/>
        <v>1</v>
      </c>
      <c r="Q1999" s="267">
        <f t="shared" si="600"/>
        <v>57449</v>
      </c>
      <c r="R1999" s="23" t="str">
        <f t="shared" si="601"/>
        <v/>
      </c>
      <c r="S1999" s="23">
        <f t="shared" si="602"/>
        <v>57449</v>
      </c>
      <c r="T1999" s="23" t="str">
        <f t="shared" si="603"/>
        <v/>
      </c>
      <c r="U1999" t="str">
        <f t="shared" si="604"/>
        <v/>
      </c>
      <c r="X1999" s="71"/>
      <c r="Z1999" s="44"/>
      <c r="AF1999" s="300"/>
    </row>
    <row r="2000" spans="1:38" ht="14.4">
      <c r="A2000" t="str">
        <f t="shared" si="597"/>
        <v>CO_Adams_2020g~District Court Judge - 17th Judicial District - Warner (Vote for 1)</v>
      </c>
      <c r="B2000" s="79" t="s">
        <v>5634</v>
      </c>
      <c r="C2000" s="81" t="s">
        <v>5413</v>
      </c>
      <c r="D2000" s="79" t="s">
        <v>5413</v>
      </c>
      <c r="E2000" s="79" t="s">
        <v>1393</v>
      </c>
      <c r="F2000" s="79" t="s">
        <v>1508</v>
      </c>
      <c r="G2000" s="82">
        <v>128073</v>
      </c>
      <c r="H2000" s="83">
        <v>67.45</v>
      </c>
      <c r="I2000" s="82">
        <v>278866</v>
      </c>
      <c r="J2000" s="82">
        <v>239056</v>
      </c>
      <c r="K2000" s="79">
        <v>259</v>
      </c>
      <c r="L2000" s="79">
        <v>259</v>
      </c>
      <c r="M2000" s="79">
        <v>0</v>
      </c>
      <c r="N2000" s="79">
        <v>0</v>
      </c>
      <c r="O2000">
        <f t="shared" si="598"/>
        <v>1</v>
      </c>
      <c r="P2000" s="57">
        <f t="shared" si="599"/>
        <v>1</v>
      </c>
      <c r="Q2000" s="267">
        <f t="shared" si="600"/>
        <v>189878</v>
      </c>
      <c r="R2000" s="23">
        <f t="shared" si="601"/>
        <v>128073</v>
      </c>
      <c r="S2000" s="23">
        <f t="shared" si="602"/>
        <v>61805</v>
      </c>
      <c r="T2000" s="23">
        <f t="shared" si="603"/>
        <v>66268</v>
      </c>
      <c r="U2000" t="str">
        <f t="shared" si="604"/>
        <v>CO_Adams_2020g~District Court Judge - 17th Judicial District - Warner (Vote for 1)</v>
      </c>
      <c r="X2000" s="71"/>
      <c r="Z2000" s="44"/>
      <c r="AF2000" s="22"/>
      <c r="AH2000" s="8"/>
    </row>
    <row r="2001" spans="1:45" ht="14.4">
      <c r="A2001" t="str">
        <f t="shared" si="597"/>
        <v>CO_Adams_2020g~District Court Judge - 17th Judicial District - Warner (Vote for 1)</v>
      </c>
      <c r="B2001" s="79" t="s">
        <v>5634</v>
      </c>
      <c r="C2001" s="81" t="s">
        <v>5413</v>
      </c>
      <c r="D2001" s="79" t="s">
        <v>5413</v>
      </c>
      <c r="E2001" s="79" t="s">
        <v>1394</v>
      </c>
      <c r="F2001" s="79" t="s">
        <v>1509</v>
      </c>
      <c r="G2001" s="82">
        <v>61805</v>
      </c>
      <c r="H2001" s="83">
        <v>32.549999999999997</v>
      </c>
      <c r="I2001" s="82">
        <v>278866</v>
      </c>
      <c r="J2001" s="82">
        <v>239056</v>
      </c>
      <c r="K2001" s="79">
        <v>259</v>
      </c>
      <c r="L2001" s="79">
        <v>259</v>
      </c>
      <c r="M2001" s="79">
        <v>0</v>
      </c>
      <c r="N2001" s="79">
        <v>0</v>
      </c>
      <c r="O2001">
        <f t="shared" si="598"/>
        <v>2</v>
      </c>
      <c r="P2001" s="57">
        <f t="shared" si="599"/>
        <v>1</v>
      </c>
      <c r="Q2001" s="267">
        <f t="shared" si="600"/>
        <v>61805</v>
      </c>
      <c r="R2001" s="23" t="str">
        <f t="shared" si="601"/>
        <v/>
      </c>
      <c r="S2001" s="23">
        <f t="shared" si="602"/>
        <v>61805</v>
      </c>
      <c r="T2001" s="23" t="str">
        <f t="shared" si="603"/>
        <v/>
      </c>
      <c r="U2001" t="str">
        <f t="shared" si="604"/>
        <v/>
      </c>
      <c r="X2001" s="71"/>
      <c r="Z2001" s="44"/>
      <c r="AF2001" s="22"/>
      <c r="AG2001" s="302"/>
      <c r="AH2001" s="301"/>
      <c r="AI2001" s="303"/>
      <c r="AJ2001" s="303"/>
      <c r="AK2001" s="342"/>
      <c r="AL2001" s="343"/>
    </row>
    <row r="2002" spans="1:45" ht="14.4">
      <c r="A2002" t="str">
        <f t="shared" si="597"/>
        <v>CO_Adams_2020g~Greater Brighton Fire Protection District Ballot Issue 7B (Vote for 1)</v>
      </c>
      <c r="B2002" s="79" t="s">
        <v>5634</v>
      </c>
      <c r="C2002" s="81" t="s">
        <v>5616</v>
      </c>
      <c r="D2002" s="79" t="s">
        <v>5616</v>
      </c>
      <c r="E2002" s="79" t="s">
        <v>5274</v>
      </c>
      <c r="F2002" s="79" t="s">
        <v>1508</v>
      </c>
      <c r="G2002" s="82">
        <v>12677</v>
      </c>
      <c r="H2002" s="83">
        <v>50.59</v>
      </c>
      <c r="I2002" s="82">
        <v>33935</v>
      </c>
      <c r="J2002" s="82">
        <v>30490</v>
      </c>
      <c r="K2002" s="79">
        <v>49</v>
      </c>
      <c r="L2002" s="79">
        <v>49</v>
      </c>
      <c r="M2002" s="79">
        <v>0</v>
      </c>
      <c r="N2002" s="79">
        <v>0</v>
      </c>
      <c r="O2002">
        <f t="shared" si="598"/>
        <v>1</v>
      </c>
      <c r="P2002" s="57">
        <f t="shared" si="599"/>
        <v>1</v>
      </c>
      <c r="Q2002" s="267">
        <f t="shared" si="600"/>
        <v>25060</v>
      </c>
      <c r="R2002" s="23">
        <f t="shared" si="601"/>
        <v>12677</v>
      </c>
      <c r="S2002" s="23">
        <f t="shared" si="602"/>
        <v>12383</v>
      </c>
      <c r="T2002" s="23">
        <f t="shared" si="603"/>
        <v>294</v>
      </c>
      <c r="U2002" t="str">
        <f t="shared" si="604"/>
        <v>CO_Adams_2020g~Greater Brighton Fire Protection District Ballot Issue 7B (Vote for 1)</v>
      </c>
      <c r="X2002" s="71"/>
      <c r="Z2002" s="44"/>
      <c r="AF2002" s="22"/>
    </row>
    <row r="2003" spans="1:45" ht="14.4">
      <c r="A2003" t="str">
        <f t="shared" si="597"/>
        <v>CO_Adams_2020g~Greater Brighton Fire Protection District Ballot Issue 7B (Vote for 1)</v>
      </c>
      <c r="B2003" s="79" t="s">
        <v>5634</v>
      </c>
      <c r="C2003" s="81" t="s">
        <v>5616</v>
      </c>
      <c r="D2003" s="79" t="s">
        <v>5616</v>
      </c>
      <c r="E2003" s="79" t="s">
        <v>5275</v>
      </c>
      <c r="F2003" s="79" t="s">
        <v>1509</v>
      </c>
      <c r="G2003" s="82">
        <v>12383</v>
      </c>
      <c r="H2003" s="83">
        <v>49.41</v>
      </c>
      <c r="I2003" s="82">
        <v>33935</v>
      </c>
      <c r="J2003" s="82">
        <v>30490</v>
      </c>
      <c r="K2003" s="79">
        <v>49</v>
      </c>
      <c r="L2003" s="79">
        <v>49</v>
      </c>
      <c r="M2003" s="79">
        <v>0</v>
      </c>
      <c r="N2003" s="79">
        <v>0</v>
      </c>
      <c r="O2003">
        <f t="shared" si="598"/>
        <v>2</v>
      </c>
      <c r="P2003" s="57">
        <f t="shared" si="599"/>
        <v>1</v>
      </c>
      <c r="Q2003" s="267">
        <f t="shared" si="600"/>
        <v>12383</v>
      </c>
      <c r="R2003" s="23" t="str">
        <f t="shared" si="601"/>
        <v/>
      </c>
      <c r="S2003" s="23">
        <f t="shared" si="602"/>
        <v>12383</v>
      </c>
      <c r="T2003" s="23" t="str">
        <f t="shared" si="603"/>
        <v/>
      </c>
      <c r="U2003" t="str">
        <f t="shared" si="604"/>
        <v/>
      </c>
      <c r="X2003" s="71"/>
      <c r="Z2003" s="44"/>
      <c r="AF2003" s="22"/>
      <c r="AG2003" s="308"/>
      <c r="AH2003" s="241"/>
      <c r="AI2003" s="309"/>
      <c r="AJ2003" s="309"/>
      <c r="AK2003" s="349"/>
      <c r="AL2003" s="350"/>
      <c r="AO2003" s="356"/>
      <c r="AP2003" s="356"/>
      <c r="AQ2003" s="394"/>
      <c r="AR2003" s="394"/>
      <c r="AS2003" s="394"/>
    </row>
    <row r="2004" spans="1:45" ht="14.4">
      <c r="A2004" t="str">
        <f t="shared" si="597"/>
        <v>CO_Adams_2020g~South Adams County Fire Protection District No. 4 Ballot Issue 6A (Vote for 1)</v>
      </c>
      <c r="B2004" s="79" t="s">
        <v>5634</v>
      </c>
      <c r="C2004" s="81" t="s">
        <v>5491</v>
      </c>
      <c r="D2004" s="79" t="s">
        <v>5491</v>
      </c>
      <c r="E2004" s="79" t="s">
        <v>5274</v>
      </c>
      <c r="F2004" s="79" t="s">
        <v>1508</v>
      </c>
      <c r="G2004" s="82">
        <v>19417</v>
      </c>
      <c r="H2004" s="83">
        <v>72.31</v>
      </c>
      <c r="I2004" s="82">
        <v>36863</v>
      </c>
      <c r="J2004" s="82">
        <v>31110</v>
      </c>
      <c r="K2004" s="79">
        <v>40</v>
      </c>
      <c r="L2004" s="79">
        <v>40</v>
      </c>
      <c r="M2004" s="79">
        <v>0</v>
      </c>
      <c r="N2004" s="79">
        <v>0</v>
      </c>
      <c r="O2004">
        <f t="shared" si="598"/>
        <v>1</v>
      </c>
      <c r="P2004" s="57">
        <f t="shared" si="599"/>
        <v>1</v>
      </c>
      <c r="Q2004" s="267">
        <f t="shared" si="600"/>
        <v>26853</v>
      </c>
      <c r="R2004" s="23">
        <f t="shared" si="601"/>
        <v>19417</v>
      </c>
      <c r="S2004" s="23">
        <f t="shared" si="602"/>
        <v>7436</v>
      </c>
      <c r="T2004" s="23">
        <f t="shared" si="603"/>
        <v>11981</v>
      </c>
      <c r="U2004" t="str">
        <f t="shared" si="604"/>
        <v>CO_Adams_2020g~South Adams County Fire Protection District No. 4 Ballot Issue 6A (Vote for 1)</v>
      </c>
      <c r="X2004" s="71"/>
      <c r="Z2004" s="44"/>
      <c r="AF2004" s="22"/>
      <c r="AG2004" s="302"/>
      <c r="AH2004" s="301"/>
      <c r="AI2004" s="303"/>
      <c r="AJ2004" s="303"/>
      <c r="AK2004" s="342"/>
      <c r="AL2004" s="343"/>
    </row>
    <row r="2005" spans="1:45" ht="14.4">
      <c r="A2005" t="str">
        <f t="shared" si="597"/>
        <v>CO_Adams_2020g~South Adams County Fire Protection District No. 4 Ballot Issue 6A (Vote for 1)</v>
      </c>
      <c r="B2005" s="79" t="s">
        <v>5634</v>
      </c>
      <c r="C2005" s="81" t="s">
        <v>5491</v>
      </c>
      <c r="D2005" s="79" t="s">
        <v>5491</v>
      </c>
      <c r="E2005" s="79" t="s">
        <v>5275</v>
      </c>
      <c r="F2005" s="79" t="s">
        <v>1509</v>
      </c>
      <c r="G2005" s="82">
        <v>7436</v>
      </c>
      <c r="H2005" s="83">
        <v>27.69</v>
      </c>
      <c r="I2005" s="82">
        <v>36863</v>
      </c>
      <c r="J2005" s="82">
        <v>31110</v>
      </c>
      <c r="K2005" s="79">
        <v>40</v>
      </c>
      <c r="L2005" s="79">
        <v>40</v>
      </c>
      <c r="M2005" s="79">
        <v>0</v>
      </c>
      <c r="N2005" s="79">
        <v>0</v>
      </c>
      <c r="O2005">
        <f t="shared" si="598"/>
        <v>2</v>
      </c>
      <c r="P2005" s="57">
        <f t="shared" si="599"/>
        <v>1</v>
      </c>
      <c r="Q2005" s="267">
        <f t="shared" si="600"/>
        <v>7436</v>
      </c>
      <c r="R2005" s="23" t="str">
        <f t="shared" si="601"/>
        <v/>
      </c>
      <c r="S2005" s="23">
        <f t="shared" si="602"/>
        <v>7436</v>
      </c>
      <c r="T2005" s="23" t="str">
        <f t="shared" si="603"/>
        <v/>
      </c>
      <c r="U2005" t="str">
        <f t="shared" si="604"/>
        <v/>
      </c>
      <c r="X2005" s="71"/>
      <c r="Z2005" s="44"/>
      <c r="AF2005" s="22"/>
      <c r="AG2005" s="302"/>
      <c r="AH2005" s="301"/>
      <c r="AI2005" s="303"/>
      <c r="AJ2005" s="303"/>
      <c r="AK2005" s="342"/>
      <c r="AL2005" s="343"/>
    </row>
    <row r="2006" spans="1:45" ht="14.4">
      <c r="A2006" t="str">
        <f t="shared" si="597"/>
        <v>CO_Adams_2020g~State Representative - District 30 (Vote for 1)</v>
      </c>
      <c r="B2006" s="79" t="s">
        <v>5634</v>
      </c>
      <c r="C2006" s="81" t="s">
        <v>5506</v>
      </c>
      <c r="D2006" s="79" t="s">
        <v>5506</v>
      </c>
      <c r="E2006" s="79" t="s">
        <v>5134</v>
      </c>
      <c r="F2006" s="79" t="s">
        <v>1294</v>
      </c>
      <c r="G2006" s="82">
        <v>22445</v>
      </c>
      <c r="H2006" s="83">
        <v>56.85</v>
      </c>
      <c r="I2006" s="82">
        <v>49707</v>
      </c>
      <c r="J2006" s="82">
        <v>42461</v>
      </c>
      <c r="K2006" s="79">
        <v>51</v>
      </c>
      <c r="L2006" s="79">
        <v>51</v>
      </c>
      <c r="M2006" s="79">
        <v>0</v>
      </c>
      <c r="N2006" s="79">
        <v>0</v>
      </c>
      <c r="O2006">
        <f t="shared" si="598"/>
        <v>1</v>
      </c>
      <c r="P2006" s="57">
        <f t="shared" si="599"/>
        <v>1</v>
      </c>
      <c r="Q2006" s="267">
        <f t="shared" si="600"/>
        <v>39481</v>
      </c>
      <c r="R2006" s="23">
        <f t="shared" si="601"/>
        <v>22445</v>
      </c>
      <c r="S2006" s="23">
        <f t="shared" si="602"/>
        <v>17036</v>
      </c>
      <c r="T2006" s="23">
        <f t="shared" si="603"/>
        <v>5409</v>
      </c>
      <c r="U2006" t="str">
        <f t="shared" si="604"/>
        <v>CO_Adams_2020g~State Representative - District 30 (Vote for 1)</v>
      </c>
      <c r="X2006" s="71"/>
      <c r="Z2006" s="44"/>
      <c r="AF2006" s="22"/>
      <c r="AO2006" s="356"/>
      <c r="AP2006" s="356"/>
      <c r="AQ2006" s="394"/>
      <c r="AR2006" s="394"/>
      <c r="AS2006" s="394"/>
    </row>
    <row r="2007" spans="1:45" ht="14.4">
      <c r="A2007" t="str">
        <f t="shared" si="597"/>
        <v>CO_Adams_2020g~State Representative - District 30 (Vote for 1)</v>
      </c>
      <c r="B2007" s="79" t="s">
        <v>5634</v>
      </c>
      <c r="C2007" s="81" t="s">
        <v>5506</v>
      </c>
      <c r="D2007" s="79" t="s">
        <v>5506</v>
      </c>
      <c r="E2007" s="79" t="s">
        <v>5133</v>
      </c>
      <c r="F2007" s="79" t="s">
        <v>1296</v>
      </c>
      <c r="G2007" s="82">
        <v>17036</v>
      </c>
      <c r="H2007" s="83">
        <v>43.15</v>
      </c>
      <c r="I2007" s="82">
        <v>49707</v>
      </c>
      <c r="J2007" s="82">
        <v>42461</v>
      </c>
      <c r="K2007" s="79">
        <v>51</v>
      </c>
      <c r="L2007" s="79">
        <v>51</v>
      </c>
      <c r="M2007" s="79">
        <v>0</v>
      </c>
      <c r="N2007" s="79">
        <v>0</v>
      </c>
      <c r="O2007">
        <f t="shared" si="598"/>
        <v>2</v>
      </c>
      <c r="P2007" s="57">
        <f t="shared" si="599"/>
        <v>1</v>
      </c>
      <c r="Q2007" s="267">
        <f t="shared" si="600"/>
        <v>17036</v>
      </c>
      <c r="R2007" s="23" t="str">
        <f t="shared" si="601"/>
        <v/>
      </c>
      <c r="S2007" s="23">
        <f t="shared" si="602"/>
        <v>17036</v>
      </c>
      <c r="T2007" s="23" t="str">
        <f t="shared" si="603"/>
        <v/>
      </c>
      <c r="U2007" t="str">
        <f t="shared" si="604"/>
        <v/>
      </c>
      <c r="X2007" s="71"/>
      <c r="Z2007" s="44"/>
      <c r="AF2007" s="300"/>
    </row>
    <row r="2008" spans="1:45" ht="14.4">
      <c r="A2008" t="str">
        <f t="shared" si="597"/>
        <v>CO_Adams_2020g~State Representative - District 31 (Vote for 1)</v>
      </c>
      <c r="B2008" s="79" t="s">
        <v>5634</v>
      </c>
      <c r="C2008" s="81" t="s">
        <v>5507</v>
      </c>
      <c r="D2008" s="79" t="s">
        <v>5507</v>
      </c>
      <c r="E2008" s="79" t="s">
        <v>5135</v>
      </c>
      <c r="F2008" s="79" t="s">
        <v>1294</v>
      </c>
      <c r="G2008" s="82">
        <v>27687</v>
      </c>
      <c r="H2008" s="83">
        <v>100</v>
      </c>
      <c r="I2008" s="82">
        <v>48692</v>
      </c>
      <c r="J2008" s="82">
        <v>41826</v>
      </c>
      <c r="K2008" s="79">
        <v>38</v>
      </c>
      <c r="L2008" s="79">
        <v>38</v>
      </c>
      <c r="M2008" s="79">
        <v>0</v>
      </c>
      <c r="N2008" s="79">
        <v>0</v>
      </c>
      <c r="O2008">
        <f t="shared" si="598"/>
        <v>1</v>
      </c>
      <c r="P2008" s="57">
        <f t="shared" si="599"/>
        <v>1</v>
      </c>
      <c r="Q2008" s="267">
        <f t="shared" si="600"/>
        <v>27687</v>
      </c>
      <c r="R2008" s="23">
        <f t="shared" si="601"/>
        <v>27687</v>
      </c>
      <c r="S2008" s="23">
        <f t="shared" si="602"/>
        <v>0</v>
      </c>
      <c r="T2008" s="23" t="str">
        <f t="shared" si="603"/>
        <v/>
      </c>
      <c r="U2008" t="str">
        <f t="shared" si="604"/>
        <v>CO_Adams_2020g~State Representative - District 31 (Vote for 1)</v>
      </c>
      <c r="X2008" s="71"/>
      <c r="Z2008" s="44"/>
      <c r="AF2008" s="22"/>
    </row>
    <row r="2009" spans="1:45" ht="14.4">
      <c r="A2009" t="str">
        <f t="shared" si="597"/>
        <v>CO_Adams_2020g~State Representative - District 32 (Vote for 1)</v>
      </c>
      <c r="B2009" s="79" t="s">
        <v>5634</v>
      </c>
      <c r="C2009" s="81" t="s">
        <v>5508</v>
      </c>
      <c r="D2009" s="79" t="s">
        <v>5508</v>
      </c>
      <c r="E2009" s="79" t="s">
        <v>5136</v>
      </c>
      <c r="F2009" s="79" t="s">
        <v>1294</v>
      </c>
      <c r="G2009" s="82">
        <v>19597</v>
      </c>
      <c r="H2009" s="83">
        <v>63.68</v>
      </c>
      <c r="I2009" s="82">
        <v>41384</v>
      </c>
      <c r="J2009" s="82">
        <v>33083</v>
      </c>
      <c r="K2009" s="79">
        <v>37</v>
      </c>
      <c r="L2009" s="79">
        <v>37</v>
      </c>
      <c r="M2009" s="79">
        <v>0</v>
      </c>
      <c r="N2009" s="79">
        <v>0</v>
      </c>
      <c r="O2009">
        <f t="shared" si="598"/>
        <v>1</v>
      </c>
      <c r="P2009" s="57">
        <f t="shared" si="599"/>
        <v>1</v>
      </c>
      <c r="Q2009" s="267">
        <f t="shared" si="600"/>
        <v>30775</v>
      </c>
      <c r="R2009" s="23">
        <f t="shared" si="601"/>
        <v>19597</v>
      </c>
      <c r="S2009" s="23">
        <f t="shared" si="602"/>
        <v>9368</v>
      </c>
      <c r="T2009" s="23">
        <f t="shared" si="603"/>
        <v>10229</v>
      </c>
      <c r="U2009" t="str">
        <f t="shared" si="604"/>
        <v>CO_Adams_2020g~State Representative - District 32 (Vote for 1)</v>
      </c>
      <c r="X2009" s="71"/>
      <c r="Z2009" s="44"/>
      <c r="AF2009" s="22"/>
    </row>
    <row r="2010" spans="1:45" ht="14.4">
      <c r="A2010" t="str">
        <f t="shared" si="597"/>
        <v>CO_Adams_2020g~State Representative - District 32 (Vote for 1)</v>
      </c>
      <c r="B2010" s="79" t="s">
        <v>5634</v>
      </c>
      <c r="C2010" s="81" t="s">
        <v>5508</v>
      </c>
      <c r="D2010" s="79" t="s">
        <v>5508</v>
      </c>
      <c r="E2010" s="79" t="s">
        <v>5137</v>
      </c>
      <c r="F2010" s="79" t="s">
        <v>1296</v>
      </c>
      <c r="G2010" s="82">
        <v>9368</v>
      </c>
      <c r="H2010" s="83">
        <v>30.44</v>
      </c>
      <c r="I2010" s="82">
        <v>41384</v>
      </c>
      <c r="J2010" s="82">
        <v>33083</v>
      </c>
      <c r="K2010" s="79">
        <v>37</v>
      </c>
      <c r="L2010" s="79">
        <v>37</v>
      </c>
      <c r="M2010" s="79">
        <v>0</v>
      </c>
      <c r="N2010" s="79">
        <v>0</v>
      </c>
      <c r="O2010">
        <f t="shared" si="598"/>
        <v>2</v>
      </c>
      <c r="P2010" s="57">
        <f t="shared" si="599"/>
        <v>1</v>
      </c>
      <c r="Q2010" s="267">
        <f t="shared" si="600"/>
        <v>11178</v>
      </c>
      <c r="R2010" s="23" t="str">
        <f t="shared" si="601"/>
        <v/>
      </c>
      <c r="S2010" s="23">
        <f t="shared" si="602"/>
        <v>9368</v>
      </c>
      <c r="T2010" s="23" t="str">
        <f t="shared" si="603"/>
        <v/>
      </c>
      <c r="U2010" t="str">
        <f t="shared" si="604"/>
        <v/>
      </c>
      <c r="X2010" s="71"/>
      <c r="Z2010" s="44"/>
      <c r="AF2010" s="22"/>
    </row>
    <row r="2011" spans="1:45" ht="14.4">
      <c r="A2011" t="str">
        <f t="shared" si="597"/>
        <v>CO_Adams_2020g~State Representative - District 32 (Vote for 1)</v>
      </c>
      <c r="B2011" s="79" t="s">
        <v>5634</v>
      </c>
      <c r="C2011" s="81" t="s">
        <v>5508</v>
      </c>
      <c r="D2011" s="79" t="s">
        <v>5508</v>
      </c>
      <c r="E2011" s="79" t="s">
        <v>5138</v>
      </c>
      <c r="F2011" s="79" t="s">
        <v>4951</v>
      </c>
      <c r="G2011" s="82">
        <v>1810</v>
      </c>
      <c r="H2011" s="83">
        <v>5.88</v>
      </c>
      <c r="I2011" s="82">
        <v>41384</v>
      </c>
      <c r="J2011" s="82">
        <v>33083</v>
      </c>
      <c r="K2011" s="79">
        <v>37</v>
      </c>
      <c r="L2011" s="79">
        <v>37</v>
      </c>
      <c r="M2011" s="79">
        <v>0</v>
      </c>
      <c r="N2011" s="79">
        <v>0</v>
      </c>
      <c r="O2011">
        <f t="shared" si="598"/>
        <v>3</v>
      </c>
      <c r="P2011" s="57">
        <f t="shared" si="599"/>
        <v>1</v>
      </c>
      <c r="Q2011" s="267">
        <f t="shared" si="600"/>
        <v>1810</v>
      </c>
      <c r="R2011" s="23" t="str">
        <f t="shared" si="601"/>
        <v/>
      </c>
      <c r="S2011" s="23">
        <f t="shared" si="602"/>
        <v>1810</v>
      </c>
      <c r="T2011" s="23" t="str">
        <f t="shared" si="603"/>
        <v/>
      </c>
      <c r="U2011" t="str">
        <f t="shared" si="604"/>
        <v/>
      </c>
      <c r="X2011" s="71"/>
      <c r="Z2011" s="44"/>
      <c r="AF2011" s="22"/>
      <c r="AO2011" s="356"/>
      <c r="AP2011" s="356"/>
      <c r="AQ2011" s="394"/>
      <c r="AR2011" s="394"/>
      <c r="AS2011" s="394"/>
    </row>
    <row r="2012" spans="1:45" ht="14.4">
      <c r="A2012" t="str">
        <f t="shared" si="597"/>
        <v>CO_Adams_2020g~State Representative - District 34 (Vote for 1)</v>
      </c>
      <c r="B2012" s="79" t="s">
        <v>5634</v>
      </c>
      <c r="C2012" s="81" t="s">
        <v>5510</v>
      </c>
      <c r="D2012" s="79" t="s">
        <v>5510</v>
      </c>
      <c r="E2012" s="79" t="s">
        <v>5141</v>
      </c>
      <c r="F2012" s="79" t="s">
        <v>1294</v>
      </c>
      <c r="G2012" s="82">
        <v>19845</v>
      </c>
      <c r="H2012" s="83">
        <v>56.22</v>
      </c>
      <c r="I2012" s="82">
        <v>44703</v>
      </c>
      <c r="J2012" s="82">
        <v>37822</v>
      </c>
      <c r="K2012" s="79">
        <v>37</v>
      </c>
      <c r="L2012" s="79">
        <v>37</v>
      </c>
      <c r="M2012" s="79">
        <v>0</v>
      </c>
      <c r="N2012" s="79">
        <v>0</v>
      </c>
      <c r="O2012">
        <f t="shared" si="598"/>
        <v>1</v>
      </c>
      <c r="P2012" s="57">
        <f t="shared" si="599"/>
        <v>1</v>
      </c>
      <c r="Q2012" s="267">
        <f t="shared" si="600"/>
        <v>35299</v>
      </c>
      <c r="R2012" s="23">
        <f t="shared" si="601"/>
        <v>19845</v>
      </c>
      <c r="S2012" s="23">
        <f t="shared" si="602"/>
        <v>13694</v>
      </c>
      <c r="T2012" s="23">
        <f t="shared" si="603"/>
        <v>6151</v>
      </c>
      <c r="U2012" t="str">
        <f t="shared" si="604"/>
        <v>CO_Adams_2020g~State Representative - District 34 (Vote for 1)</v>
      </c>
      <c r="X2012" s="71"/>
      <c r="Z2012" s="44"/>
      <c r="AF2012" s="22"/>
    </row>
    <row r="2013" spans="1:45" ht="14.4">
      <c r="A2013" t="str">
        <f t="shared" si="597"/>
        <v>CO_Adams_2020g~State Representative - District 34 (Vote for 1)</v>
      </c>
      <c r="B2013" s="79" t="s">
        <v>5634</v>
      </c>
      <c r="C2013" s="81" t="s">
        <v>5510</v>
      </c>
      <c r="D2013" s="79" t="s">
        <v>5510</v>
      </c>
      <c r="E2013" s="79" t="s">
        <v>5142</v>
      </c>
      <c r="F2013" s="79" t="s">
        <v>1296</v>
      </c>
      <c r="G2013" s="82">
        <v>13694</v>
      </c>
      <c r="H2013" s="83">
        <v>38.79</v>
      </c>
      <c r="I2013" s="82">
        <v>44703</v>
      </c>
      <c r="J2013" s="82">
        <v>37822</v>
      </c>
      <c r="K2013" s="79">
        <v>37</v>
      </c>
      <c r="L2013" s="79">
        <v>37</v>
      </c>
      <c r="M2013" s="79">
        <v>0</v>
      </c>
      <c r="N2013" s="79">
        <v>0</v>
      </c>
      <c r="O2013">
        <f t="shared" si="598"/>
        <v>2</v>
      </c>
      <c r="P2013" s="57">
        <f t="shared" si="599"/>
        <v>1</v>
      </c>
      <c r="Q2013" s="267">
        <f t="shared" si="600"/>
        <v>15454</v>
      </c>
      <c r="R2013" s="23" t="str">
        <f t="shared" si="601"/>
        <v/>
      </c>
      <c r="S2013" s="23">
        <f t="shared" si="602"/>
        <v>13694</v>
      </c>
      <c r="T2013" s="23" t="str">
        <f t="shared" si="603"/>
        <v/>
      </c>
      <c r="U2013" t="str">
        <f t="shared" si="604"/>
        <v/>
      </c>
      <c r="X2013" s="71"/>
      <c r="Z2013" s="44"/>
    </row>
    <row r="2014" spans="1:45" ht="14.4">
      <c r="A2014" t="str">
        <f t="shared" si="597"/>
        <v>CO_Adams_2020g~State Representative - District 34 (Vote for 1)</v>
      </c>
      <c r="B2014" s="79" t="s">
        <v>5634</v>
      </c>
      <c r="C2014" s="81" t="s">
        <v>5510</v>
      </c>
      <c r="D2014" s="79" t="s">
        <v>5510</v>
      </c>
      <c r="E2014" s="79" t="s">
        <v>5143</v>
      </c>
      <c r="F2014" s="79" t="s">
        <v>4951</v>
      </c>
      <c r="G2014" s="82">
        <v>1760</v>
      </c>
      <c r="H2014" s="83">
        <v>4.99</v>
      </c>
      <c r="I2014" s="82">
        <v>44703</v>
      </c>
      <c r="J2014" s="82">
        <v>37822</v>
      </c>
      <c r="K2014" s="79">
        <v>37</v>
      </c>
      <c r="L2014" s="79">
        <v>37</v>
      </c>
      <c r="M2014" s="79">
        <v>0</v>
      </c>
      <c r="N2014" s="79">
        <v>0</v>
      </c>
      <c r="O2014">
        <f t="shared" si="598"/>
        <v>3</v>
      </c>
      <c r="P2014" s="57">
        <f t="shared" si="599"/>
        <v>1</v>
      </c>
      <c r="Q2014" s="267">
        <f t="shared" si="600"/>
        <v>1760</v>
      </c>
      <c r="R2014" s="23" t="str">
        <f t="shared" si="601"/>
        <v/>
      </c>
      <c r="S2014" s="23">
        <f t="shared" si="602"/>
        <v>1760</v>
      </c>
      <c r="T2014" s="23" t="str">
        <f t="shared" si="603"/>
        <v/>
      </c>
      <c r="U2014" t="str">
        <f t="shared" si="604"/>
        <v/>
      </c>
      <c r="X2014" s="71"/>
      <c r="Z2014" s="44"/>
    </row>
    <row r="2015" spans="1:45" ht="14.4">
      <c r="A2015" t="str">
        <f t="shared" si="597"/>
        <v>CO_Adams_2020g~State Representative - District 35 (Vote for 1)</v>
      </c>
      <c r="B2015" s="79" t="s">
        <v>5634</v>
      </c>
      <c r="C2015" s="81" t="s">
        <v>5511</v>
      </c>
      <c r="D2015" s="79" t="s">
        <v>5511</v>
      </c>
      <c r="E2015" s="79" t="s">
        <v>5144</v>
      </c>
      <c r="F2015" s="79" t="s">
        <v>1294</v>
      </c>
      <c r="G2015" s="82">
        <v>27019</v>
      </c>
      <c r="H2015" s="83">
        <v>62.45</v>
      </c>
      <c r="I2015" s="82">
        <v>52534</v>
      </c>
      <c r="J2015" s="82">
        <v>46172</v>
      </c>
      <c r="K2015" s="79">
        <v>43</v>
      </c>
      <c r="L2015" s="79">
        <v>43</v>
      </c>
      <c r="M2015" s="79">
        <v>0</v>
      </c>
      <c r="N2015" s="79">
        <v>0</v>
      </c>
      <c r="O2015">
        <f t="shared" si="598"/>
        <v>1</v>
      </c>
      <c r="P2015" s="57">
        <f t="shared" si="599"/>
        <v>1</v>
      </c>
      <c r="Q2015" s="267">
        <f t="shared" si="600"/>
        <v>43267</v>
      </c>
      <c r="R2015" s="23">
        <f t="shared" si="601"/>
        <v>27019</v>
      </c>
      <c r="S2015" s="23">
        <f t="shared" si="602"/>
        <v>16248</v>
      </c>
      <c r="T2015" s="23">
        <f t="shared" si="603"/>
        <v>10771</v>
      </c>
      <c r="U2015" t="str">
        <f t="shared" si="604"/>
        <v>CO_Adams_2020g~State Representative - District 35 (Vote for 1)</v>
      </c>
      <c r="X2015" s="71"/>
      <c r="Z2015" s="44"/>
    </row>
    <row r="2016" spans="1:45" ht="14.4">
      <c r="A2016" t="str">
        <f t="shared" si="597"/>
        <v>CO_Adams_2020g~State Representative - District 35 (Vote for 1)</v>
      </c>
      <c r="B2016" s="79" t="s">
        <v>5634</v>
      </c>
      <c r="C2016" s="81" t="s">
        <v>5511</v>
      </c>
      <c r="D2016" s="79" t="s">
        <v>5511</v>
      </c>
      <c r="E2016" s="79" t="s">
        <v>5145</v>
      </c>
      <c r="F2016" s="79" t="s">
        <v>1296</v>
      </c>
      <c r="G2016" s="82">
        <v>16248</v>
      </c>
      <c r="H2016" s="83">
        <v>37.549999999999997</v>
      </c>
      <c r="I2016" s="82">
        <v>52534</v>
      </c>
      <c r="J2016" s="82">
        <v>46172</v>
      </c>
      <c r="K2016" s="79">
        <v>43</v>
      </c>
      <c r="L2016" s="79">
        <v>43</v>
      </c>
      <c r="M2016" s="79">
        <v>0</v>
      </c>
      <c r="N2016" s="79">
        <v>0</v>
      </c>
      <c r="O2016">
        <f t="shared" si="598"/>
        <v>2</v>
      </c>
      <c r="P2016" s="57">
        <f t="shared" si="599"/>
        <v>1</v>
      </c>
      <c r="Q2016" s="267">
        <f t="shared" si="600"/>
        <v>16248</v>
      </c>
      <c r="R2016" s="23" t="str">
        <f t="shared" si="601"/>
        <v/>
      </c>
      <c r="S2016" s="23">
        <f t="shared" si="602"/>
        <v>16248</v>
      </c>
      <c r="T2016" s="23" t="str">
        <f t="shared" si="603"/>
        <v/>
      </c>
      <c r="U2016" t="str">
        <f t="shared" si="604"/>
        <v/>
      </c>
      <c r="X2016" s="71"/>
      <c r="Z2016" s="44"/>
      <c r="AF2016" s="22"/>
    </row>
    <row r="2017" spans="1:38" ht="14.4">
      <c r="A2017" t="str">
        <f t="shared" si="597"/>
        <v>CO_Adams_2020g~State Representative - District 56 (Vote for 1)</v>
      </c>
      <c r="B2017" s="79" t="s">
        <v>5634</v>
      </c>
      <c r="C2017" s="81" t="s">
        <v>5612</v>
      </c>
      <c r="D2017" s="79" t="s">
        <v>5612</v>
      </c>
      <c r="E2017" s="79" t="s">
        <v>5196</v>
      </c>
      <c r="F2017" s="79" t="s">
        <v>1296</v>
      </c>
      <c r="G2017" s="82">
        <v>20786</v>
      </c>
      <c r="H2017" s="83">
        <v>58.73</v>
      </c>
      <c r="I2017" s="82">
        <v>41846</v>
      </c>
      <c r="J2017" s="82">
        <v>37692</v>
      </c>
      <c r="K2017" s="79">
        <v>53</v>
      </c>
      <c r="L2017" s="79">
        <v>53</v>
      </c>
      <c r="M2017" s="79">
        <v>0</v>
      </c>
      <c r="N2017" s="79">
        <v>0</v>
      </c>
      <c r="O2017">
        <f t="shared" si="598"/>
        <v>1</v>
      </c>
      <c r="P2017" s="57">
        <f t="shared" si="599"/>
        <v>1</v>
      </c>
      <c r="Q2017" s="267">
        <f t="shared" si="600"/>
        <v>35395</v>
      </c>
      <c r="R2017" s="23">
        <f t="shared" si="601"/>
        <v>20786</v>
      </c>
      <c r="S2017" s="23">
        <f t="shared" si="602"/>
        <v>13081</v>
      </c>
      <c r="T2017" s="23">
        <f t="shared" si="603"/>
        <v>7705</v>
      </c>
      <c r="U2017" t="str">
        <f t="shared" si="604"/>
        <v>CO_Adams_2020g~State Representative - District 56 (Vote for 1)</v>
      </c>
      <c r="X2017" s="71"/>
      <c r="Z2017" s="44"/>
      <c r="AF2017" s="22"/>
    </row>
    <row r="2018" spans="1:38" ht="14.4">
      <c r="A2018" t="str">
        <f t="shared" si="597"/>
        <v>CO_Adams_2020g~State Representative - District 56 (Vote for 1)</v>
      </c>
      <c r="B2018" s="79" t="s">
        <v>5634</v>
      </c>
      <c r="C2018" s="81" t="s">
        <v>5612</v>
      </c>
      <c r="D2018" s="79" t="s">
        <v>5612</v>
      </c>
      <c r="E2018" s="79" t="s">
        <v>5197</v>
      </c>
      <c r="F2018" s="79" t="s">
        <v>1294</v>
      </c>
      <c r="G2018" s="82">
        <v>13081</v>
      </c>
      <c r="H2018" s="83">
        <v>36.96</v>
      </c>
      <c r="I2018" s="82">
        <v>41846</v>
      </c>
      <c r="J2018" s="82">
        <v>37692</v>
      </c>
      <c r="K2018" s="79">
        <v>53</v>
      </c>
      <c r="L2018" s="79">
        <v>53</v>
      </c>
      <c r="M2018" s="79">
        <v>0</v>
      </c>
      <c r="N2018" s="79">
        <v>0</v>
      </c>
      <c r="O2018">
        <f t="shared" si="598"/>
        <v>2</v>
      </c>
      <c r="P2018" s="57">
        <f t="shared" si="599"/>
        <v>1</v>
      </c>
      <c r="Q2018" s="267">
        <f t="shared" si="600"/>
        <v>14609</v>
      </c>
      <c r="R2018" s="23" t="str">
        <f t="shared" si="601"/>
        <v/>
      </c>
      <c r="S2018" s="23">
        <f t="shared" si="602"/>
        <v>13081</v>
      </c>
      <c r="T2018" s="23" t="str">
        <f t="shared" si="603"/>
        <v/>
      </c>
      <c r="U2018" t="str">
        <f t="shared" si="604"/>
        <v/>
      </c>
      <c r="X2018" s="71"/>
      <c r="Z2018" s="44"/>
    </row>
    <row r="2019" spans="1:38" ht="14.4">
      <c r="A2019" t="str">
        <f t="shared" si="597"/>
        <v>CO_Adams_2020g~State Representative - District 56 (Vote for 1)</v>
      </c>
      <c r="B2019" s="79" t="s">
        <v>5634</v>
      </c>
      <c r="C2019" s="81" t="s">
        <v>5612</v>
      </c>
      <c r="D2019" s="79" t="s">
        <v>5612</v>
      </c>
      <c r="E2019" s="79" t="s">
        <v>5198</v>
      </c>
      <c r="F2019" s="79" t="s">
        <v>4951</v>
      </c>
      <c r="G2019" s="82">
        <v>1528</v>
      </c>
      <c r="H2019" s="83">
        <v>4.32</v>
      </c>
      <c r="I2019" s="82">
        <v>41846</v>
      </c>
      <c r="J2019" s="82">
        <v>37692</v>
      </c>
      <c r="K2019" s="79">
        <v>53</v>
      </c>
      <c r="L2019" s="79">
        <v>53</v>
      </c>
      <c r="M2019" s="79">
        <v>0</v>
      </c>
      <c r="N2019" s="79">
        <v>0</v>
      </c>
      <c r="O2019">
        <f t="shared" si="598"/>
        <v>3</v>
      </c>
      <c r="P2019" s="57">
        <f t="shared" si="599"/>
        <v>1</v>
      </c>
      <c r="Q2019" s="267">
        <f t="shared" si="600"/>
        <v>1528</v>
      </c>
      <c r="R2019" s="23" t="str">
        <f t="shared" si="601"/>
        <v/>
      </c>
      <c r="S2019" s="23">
        <f t="shared" si="602"/>
        <v>1528</v>
      </c>
      <c r="T2019" s="23" t="str">
        <f t="shared" si="603"/>
        <v/>
      </c>
      <c r="U2019" t="str">
        <f t="shared" si="604"/>
        <v/>
      </c>
      <c r="X2019" s="71"/>
      <c r="Z2019" s="44"/>
      <c r="AF2019" s="22"/>
    </row>
    <row r="2020" spans="1:38" ht="14.4">
      <c r="A2020" t="str">
        <f t="shared" si="597"/>
        <v>CO_Adams_2020g~State Senator - District 21 (Vote for 1)</v>
      </c>
      <c r="B2020" s="79" t="s">
        <v>5634</v>
      </c>
      <c r="C2020" s="81" t="s">
        <v>5517</v>
      </c>
      <c r="D2020" s="79" t="s">
        <v>5517</v>
      </c>
      <c r="E2020" s="79" t="s">
        <v>5024</v>
      </c>
      <c r="F2020" s="79" t="s">
        <v>1294</v>
      </c>
      <c r="G2020" s="82">
        <v>41438</v>
      </c>
      <c r="H2020" s="83">
        <v>63.55</v>
      </c>
      <c r="I2020" s="82">
        <v>85470</v>
      </c>
      <c r="J2020" s="82">
        <v>70199</v>
      </c>
      <c r="K2020" s="79">
        <v>77</v>
      </c>
      <c r="L2020" s="79">
        <v>77</v>
      </c>
      <c r="M2020" s="79">
        <v>0</v>
      </c>
      <c r="N2020" s="79">
        <v>0</v>
      </c>
      <c r="O2020">
        <f t="shared" si="598"/>
        <v>1</v>
      </c>
      <c r="P2020" s="57">
        <f t="shared" si="599"/>
        <v>1</v>
      </c>
      <c r="Q2020" s="267">
        <f t="shared" si="600"/>
        <v>65207</v>
      </c>
      <c r="R2020" s="23">
        <f t="shared" si="601"/>
        <v>41438</v>
      </c>
      <c r="S2020" s="23">
        <f t="shared" si="602"/>
        <v>23769</v>
      </c>
      <c r="T2020" s="23">
        <f t="shared" si="603"/>
        <v>17669</v>
      </c>
      <c r="U2020" t="str">
        <f t="shared" si="604"/>
        <v>CO_Adams_2020g~State Senator - District 21 (Vote for 1)</v>
      </c>
      <c r="X2020" s="71"/>
      <c r="Z2020" s="44"/>
      <c r="AF2020" s="22"/>
    </row>
    <row r="2021" spans="1:38" ht="14.4">
      <c r="A2021" t="str">
        <f t="shared" si="597"/>
        <v>CO_Adams_2020g~State Senator - District 21 (Vote for 1)</v>
      </c>
      <c r="B2021" s="79" t="s">
        <v>5634</v>
      </c>
      <c r="C2021" s="81" t="s">
        <v>5517</v>
      </c>
      <c r="D2021" s="79" t="s">
        <v>5517</v>
      </c>
      <c r="E2021" s="79" t="s">
        <v>5025</v>
      </c>
      <c r="F2021" s="79" t="s">
        <v>1296</v>
      </c>
      <c r="G2021" s="82">
        <v>23769</v>
      </c>
      <c r="H2021" s="83">
        <v>36.450000000000003</v>
      </c>
      <c r="I2021" s="82">
        <v>85470</v>
      </c>
      <c r="J2021" s="82">
        <v>70199</v>
      </c>
      <c r="K2021" s="79">
        <v>77</v>
      </c>
      <c r="L2021" s="79">
        <v>77</v>
      </c>
      <c r="M2021" s="79">
        <v>0</v>
      </c>
      <c r="N2021" s="79">
        <v>0</v>
      </c>
      <c r="O2021">
        <f t="shared" si="598"/>
        <v>2</v>
      </c>
      <c r="P2021" s="57">
        <f t="shared" si="599"/>
        <v>1</v>
      </c>
      <c r="Q2021" s="267">
        <f t="shared" si="600"/>
        <v>23769</v>
      </c>
      <c r="R2021" s="23" t="str">
        <f t="shared" si="601"/>
        <v/>
      </c>
      <c r="S2021" s="23">
        <f t="shared" si="602"/>
        <v>23769</v>
      </c>
      <c r="T2021" s="23" t="str">
        <f t="shared" si="603"/>
        <v/>
      </c>
      <c r="U2021" t="str">
        <f t="shared" si="604"/>
        <v/>
      </c>
      <c r="X2021" s="71"/>
      <c r="Z2021" s="44"/>
      <c r="AF2021" s="22"/>
    </row>
    <row r="2022" spans="1:38" ht="14.4">
      <c r="A2022" t="str">
        <f t="shared" si="597"/>
        <v>CO_Adams_2020g~State Senator - District 25 (Vote for 1)</v>
      </c>
      <c r="B2022" s="79" t="s">
        <v>5634</v>
      </c>
      <c r="C2022" s="81" t="s">
        <v>5518</v>
      </c>
      <c r="D2022" s="79" t="s">
        <v>5518</v>
      </c>
      <c r="E2022" s="79" t="s">
        <v>5026</v>
      </c>
      <c r="F2022" s="79" t="s">
        <v>1296</v>
      </c>
      <c r="G2022" s="82">
        <v>37195</v>
      </c>
      <c r="H2022" s="83">
        <v>50.84</v>
      </c>
      <c r="I2022" s="82">
        <v>90768</v>
      </c>
      <c r="J2022" s="82">
        <v>77401</v>
      </c>
      <c r="K2022" s="79">
        <v>95</v>
      </c>
      <c r="L2022" s="79">
        <v>95</v>
      </c>
      <c r="M2022" s="79">
        <v>0</v>
      </c>
      <c r="N2022" s="79">
        <v>0</v>
      </c>
      <c r="O2022">
        <f t="shared" si="598"/>
        <v>1</v>
      </c>
      <c r="P2022" s="57">
        <f t="shared" si="599"/>
        <v>1</v>
      </c>
      <c r="Q2022" s="267">
        <f t="shared" si="600"/>
        <v>73163</v>
      </c>
      <c r="R2022" s="23">
        <f t="shared" si="601"/>
        <v>37195</v>
      </c>
      <c r="S2022" s="23">
        <f t="shared" si="602"/>
        <v>35968</v>
      </c>
      <c r="T2022" s="23">
        <f t="shared" si="603"/>
        <v>1227</v>
      </c>
      <c r="U2022" t="str">
        <f t="shared" si="604"/>
        <v>CO_Adams_2020g~State Senator - District 25 (Vote for 1)</v>
      </c>
      <c r="X2022" s="71"/>
      <c r="Z2022" s="44"/>
      <c r="AF2022" s="22"/>
    </row>
    <row r="2023" spans="1:38" ht="14.4">
      <c r="A2023" t="str">
        <f t="shared" si="597"/>
        <v>CO_Adams_2020g~State Senator - District 25 (Vote for 1)</v>
      </c>
      <c r="B2023" s="79" t="s">
        <v>5634</v>
      </c>
      <c r="C2023" s="81" t="s">
        <v>5518</v>
      </c>
      <c r="D2023" s="79" t="s">
        <v>5518</v>
      </c>
      <c r="E2023" s="79" t="s">
        <v>5027</v>
      </c>
      <c r="F2023" s="79" t="s">
        <v>1294</v>
      </c>
      <c r="G2023" s="82">
        <v>35968</v>
      </c>
      <c r="H2023" s="83">
        <v>49.16</v>
      </c>
      <c r="I2023" s="82">
        <v>90768</v>
      </c>
      <c r="J2023" s="82">
        <v>77401</v>
      </c>
      <c r="K2023" s="79">
        <v>95</v>
      </c>
      <c r="L2023" s="79">
        <v>95</v>
      </c>
      <c r="M2023" s="79">
        <v>0</v>
      </c>
      <c r="N2023" s="79">
        <v>0</v>
      </c>
      <c r="O2023">
        <f t="shared" si="598"/>
        <v>2</v>
      </c>
      <c r="P2023" s="57">
        <f t="shared" si="599"/>
        <v>1</v>
      </c>
      <c r="Q2023" s="267">
        <f t="shared" si="600"/>
        <v>35968</v>
      </c>
      <c r="R2023" s="23" t="str">
        <f t="shared" si="601"/>
        <v/>
      </c>
      <c r="S2023" s="23">
        <f t="shared" si="602"/>
        <v>35968</v>
      </c>
      <c r="T2023" s="23" t="str">
        <f t="shared" si="603"/>
        <v/>
      </c>
      <c r="U2023" t="str">
        <f t="shared" si="604"/>
        <v/>
      </c>
      <c r="X2023" s="71"/>
      <c r="Z2023" s="44"/>
    </row>
    <row r="2024" spans="1:38" ht="14.4">
      <c r="A2024" t="str">
        <f t="shared" si="597"/>
        <v>CO_Adams_2020g~Strasburg School District 31J Ballot Issue 5B (Vote for 1)</v>
      </c>
      <c r="B2024" s="79" t="s">
        <v>5634</v>
      </c>
      <c r="C2024" s="81" t="s">
        <v>5613</v>
      </c>
      <c r="D2024" s="79" t="s">
        <v>5613</v>
      </c>
      <c r="E2024" s="79" t="s">
        <v>1393</v>
      </c>
      <c r="F2024" s="79" t="s">
        <v>1508</v>
      </c>
      <c r="G2024" s="82">
        <v>1368</v>
      </c>
      <c r="H2024" s="83">
        <v>55.25</v>
      </c>
      <c r="I2024" s="82">
        <v>3233</v>
      </c>
      <c r="J2024" s="82">
        <v>3056</v>
      </c>
      <c r="K2024" s="79">
        <v>3</v>
      </c>
      <c r="L2024" s="79">
        <v>3</v>
      </c>
      <c r="M2024" s="79">
        <v>0</v>
      </c>
      <c r="N2024" s="79">
        <v>0</v>
      </c>
      <c r="O2024">
        <f t="shared" si="598"/>
        <v>1</v>
      </c>
      <c r="P2024" s="57">
        <f t="shared" si="599"/>
        <v>1</v>
      </c>
      <c r="Q2024" s="267">
        <f t="shared" si="600"/>
        <v>2476</v>
      </c>
      <c r="R2024" s="23">
        <f t="shared" si="601"/>
        <v>1368</v>
      </c>
      <c r="S2024" s="23">
        <f t="shared" si="602"/>
        <v>1108</v>
      </c>
      <c r="T2024" s="23">
        <f t="shared" si="603"/>
        <v>260</v>
      </c>
      <c r="U2024" t="str">
        <f t="shared" si="604"/>
        <v>CO_Adams_2020g~Strasburg School District 31J Ballot Issue 5B (Vote for 1)</v>
      </c>
      <c r="X2024" s="71"/>
      <c r="Z2024" s="44"/>
      <c r="AF2024" s="22"/>
    </row>
    <row r="2025" spans="1:38" ht="14.4">
      <c r="A2025" t="str">
        <f t="shared" si="597"/>
        <v>CO_Adams_2020g~Strasburg School District 31J Ballot Issue 5B (Vote for 1)</v>
      </c>
      <c r="B2025" s="79" t="s">
        <v>5634</v>
      </c>
      <c r="C2025" s="81" t="s">
        <v>5613</v>
      </c>
      <c r="D2025" s="79" t="s">
        <v>5613</v>
      </c>
      <c r="E2025" s="79" t="s">
        <v>1394</v>
      </c>
      <c r="F2025" s="79" t="s">
        <v>1509</v>
      </c>
      <c r="G2025" s="82">
        <v>1108</v>
      </c>
      <c r="H2025" s="83">
        <v>44.75</v>
      </c>
      <c r="I2025" s="82">
        <v>3233</v>
      </c>
      <c r="J2025" s="82">
        <v>3056</v>
      </c>
      <c r="K2025" s="79">
        <v>3</v>
      </c>
      <c r="L2025" s="79">
        <v>3</v>
      </c>
      <c r="M2025" s="79">
        <v>0</v>
      </c>
      <c r="N2025" s="79">
        <v>0</v>
      </c>
      <c r="O2025">
        <f t="shared" si="598"/>
        <v>2</v>
      </c>
      <c r="P2025" s="57">
        <f t="shared" si="599"/>
        <v>1</v>
      </c>
      <c r="Q2025" s="267">
        <f t="shared" si="600"/>
        <v>1108</v>
      </c>
      <c r="R2025" s="23" t="str">
        <f t="shared" si="601"/>
        <v/>
      </c>
      <c r="S2025" s="23">
        <f t="shared" si="602"/>
        <v>1108</v>
      </c>
      <c r="T2025" s="23" t="str">
        <f t="shared" si="603"/>
        <v/>
      </c>
      <c r="U2025" t="str">
        <f t="shared" si="604"/>
        <v/>
      </c>
      <c r="X2025" s="71"/>
      <c r="Z2025" s="44"/>
    </row>
    <row r="2026" spans="1:38" ht="14.4">
      <c r="A2026" t="str">
        <f t="shared" si="597"/>
        <v>CO_Arapa_2020g~Arapahoe County Commissioner - District 1 (Vote For 1)</v>
      </c>
      <c r="B2026" s="79" t="s">
        <v>5635</v>
      </c>
      <c r="C2026" s="79" t="s">
        <v>5335</v>
      </c>
      <c r="D2026" s="79" t="s">
        <v>5335</v>
      </c>
      <c r="E2026" s="79" t="s">
        <v>5337</v>
      </c>
      <c r="F2026" s="79" t="s">
        <v>1294</v>
      </c>
      <c r="G2026" s="82">
        <v>40434</v>
      </c>
      <c r="H2026" s="83">
        <v>54.09</v>
      </c>
      <c r="I2026" s="82">
        <v>90651</v>
      </c>
      <c r="J2026" s="82">
        <v>79718</v>
      </c>
      <c r="K2026" s="79">
        <v>97</v>
      </c>
      <c r="L2026" s="79">
        <v>97</v>
      </c>
      <c r="M2026" s="79">
        <v>14</v>
      </c>
      <c r="N2026" s="79">
        <v>4949</v>
      </c>
      <c r="O2026">
        <f t="shared" si="598"/>
        <v>1</v>
      </c>
      <c r="P2026" s="57">
        <f t="shared" si="599"/>
        <v>1</v>
      </c>
      <c r="Q2026" s="267">
        <f t="shared" si="600"/>
        <v>74755</v>
      </c>
      <c r="R2026" s="23">
        <f t="shared" si="601"/>
        <v>40434</v>
      </c>
      <c r="S2026" s="23">
        <f t="shared" si="602"/>
        <v>31917</v>
      </c>
      <c r="T2026" s="23">
        <f t="shared" si="603"/>
        <v>8517</v>
      </c>
      <c r="U2026" t="str">
        <f t="shared" si="604"/>
        <v>CO_Arapa_2020g~Arapahoe County Commissioner - District 1 (Vote For 1)</v>
      </c>
      <c r="X2026" s="71"/>
      <c r="Z2026" s="44"/>
      <c r="AF2026" s="22"/>
    </row>
    <row r="2027" spans="1:38" ht="14.4">
      <c r="A2027" t="str">
        <f t="shared" si="597"/>
        <v>CO_Arapa_2020g~Arapahoe County Commissioner - District 1 (Vote For 1)</v>
      </c>
      <c r="B2027" s="79" t="s">
        <v>5635</v>
      </c>
      <c r="C2027" s="79" t="s">
        <v>5335</v>
      </c>
      <c r="D2027" s="79" t="s">
        <v>5335</v>
      </c>
      <c r="E2027" s="79" t="s">
        <v>5336</v>
      </c>
      <c r="F2027" s="79" t="s">
        <v>1296</v>
      </c>
      <c r="G2027" s="82">
        <v>31917</v>
      </c>
      <c r="H2027" s="83">
        <v>42.7</v>
      </c>
      <c r="I2027" s="82">
        <v>90651</v>
      </c>
      <c r="J2027" s="82">
        <v>79718</v>
      </c>
      <c r="K2027" s="79">
        <v>97</v>
      </c>
      <c r="L2027" s="79">
        <v>97</v>
      </c>
      <c r="M2027" s="79">
        <v>14</v>
      </c>
      <c r="N2027" s="79">
        <v>4949</v>
      </c>
      <c r="O2027">
        <f t="shared" si="598"/>
        <v>2</v>
      </c>
      <c r="P2027" s="57">
        <f t="shared" si="599"/>
        <v>1</v>
      </c>
      <c r="Q2027" s="267">
        <f t="shared" si="600"/>
        <v>34321</v>
      </c>
      <c r="R2027" s="23" t="str">
        <f t="shared" si="601"/>
        <v/>
      </c>
      <c r="S2027" s="23">
        <f t="shared" si="602"/>
        <v>31917</v>
      </c>
      <c r="T2027" s="23" t="str">
        <f t="shared" si="603"/>
        <v/>
      </c>
      <c r="U2027" t="str">
        <f t="shared" si="604"/>
        <v/>
      </c>
      <c r="X2027" s="71"/>
      <c r="Z2027" s="44"/>
      <c r="AF2027" s="22"/>
    </row>
    <row r="2028" spans="1:38" ht="14.4">
      <c r="A2028" t="str">
        <f t="shared" si="597"/>
        <v>CO_Arapa_2020g~Arapahoe County Commissioner - District 1 (Vote For 1)</v>
      </c>
      <c r="B2028" s="79" t="s">
        <v>5635</v>
      </c>
      <c r="C2028" s="79" t="s">
        <v>5335</v>
      </c>
      <c r="D2028" s="79" t="s">
        <v>5335</v>
      </c>
      <c r="E2028" s="79" t="s">
        <v>5338</v>
      </c>
      <c r="F2028" s="79" t="s">
        <v>4951</v>
      </c>
      <c r="G2028" s="82">
        <v>2404</v>
      </c>
      <c r="H2028" s="83">
        <v>3.22</v>
      </c>
      <c r="I2028" s="82">
        <v>90651</v>
      </c>
      <c r="J2028" s="82">
        <v>79718</v>
      </c>
      <c r="K2028" s="79">
        <v>97</v>
      </c>
      <c r="L2028" s="79">
        <v>97</v>
      </c>
      <c r="M2028" s="79">
        <v>14</v>
      </c>
      <c r="N2028" s="79">
        <v>4949</v>
      </c>
      <c r="O2028">
        <f t="shared" si="598"/>
        <v>3</v>
      </c>
      <c r="P2028" s="57">
        <f t="shared" si="599"/>
        <v>1</v>
      </c>
      <c r="Q2028" s="267">
        <f t="shared" si="600"/>
        <v>2404</v>
      </c>
      <c r="R2028" s="23" t="str">
        <f t="shared" si="601"/>
        <v/>
      </c>
      <c r="S2028" s="23">
        <f t="shared" si="602"/>
        <v>2404</v>
      </c>
      <c r="T2028" s="23" t="str">
        <f t="shared" si="603"/>
        <v/>
      </c>
      <c r="U2028" t="str">
        <f t="shared" si="604"/>
        <v/>
      </c>
      <c r="X2028" s="71"/>
      <c r="Z2028" s="44"/>
      <c r="AF2028" s="300"/>
      <c r="AG2028" s="23"/>
      <c r="AH2028" s="8"/>
      <c r="AL2028" s="344"/>
    </row>
    <row r="2029" spans="1:38" ht="14.4">
      <c r="A2029" t="str">
        <f t="shared" si="597"/>
        <v>CO_Arapa_2020g~Arapahoe County Commissioner - District 3 (Vote For 1)</v>
      </c>
      <c r="B2029" s="79" t="s">
        <v>5635</v>
      </c>
      <c r="C2029" s="79" t="s">
        <v>5339</v>
      </c>
      <c r="D2029" s="79" t="s">
        <v>5339</v>
      </c>
      <c r="E2029" s="79" t="s">
        <v>5340</v>
      </c>
      <c r="F2029" s="79" t="s">
        <v>1296</v>
      </c>
      <c r="G2029" s="82">
        <v>40896</v>
      </c>
      <c r="H2029" s="83">
        <v>50.1</v>
      </c>
      <c r="I2029" s="82">
        <v>102459</v>
      </c>
      <c r="J2029" s="82">
        <v>87386</v>
      </c>
      <c r="K2029" s="79">
        <v>78</v>
      </c>
      <c r="L2029" s="79">
        <v>78</v>
      </c>
      <c r="M2029" s="79">
        <v>3</v>
      </c>
      <c r="N2029" s="79">
        <v>5758</v>
      </c>
      <c r="O2029">
        <f t="shared" si="598"/>
        <v>1</v>
      </c>
      <c r="P2029" s="57">
        <f t="shared" si="599"/>
        <v>1</v>
      </c>
      <c r="Q2029" s="267">
        <f t="shared" si="600"/>
        <v>81625</v>
      </c>
      <c r="R2029" s="23">
        <f t="shared" si="601"/>
        <v>40896</v>
      </c>
      <c r="S2029" s="23">
        <f t="shared" si="602"/>
        <v>40729</v>
      </c>
      <c r="T2029" s="23">
        <f t="shared" si="603"/>
        <v>167</v>
      </c>
      <c r="U2029" t="str">
        <f t="shared" si="604"/>
        <v>CO_Arapa_2020g~Arapahoe County Commissioner - District 3 (Vote For 1)</v>
      </c>
      <c r="X2029" s="71"/>
      <c r="Z2029" s="44"/>
      <c r="AF2029" s="22"/>
    </row>
    <row r="2030" spans="1:38" ht="14.4">
      <c r="A2030" t="str">
        <f t="shared" si="597"/>
        <v>CO_Arapa_2020g~Arapahoe County Commissioner - District 3 (Vote For 1)</v>
      </c>
      <c r="B2030" s="79" t="s">
        <v>5635</v>
      </c>
      <c r="C2030" s="79" t="s">
        <v>5339</v>
      </c>
      <c r="D2030" s="79" t="s">
        <v>5339</v>
      </c>
      <c r="E2030" s="79" t="s">
        <v>5341</v>
      </c>
      <c r="F2030" s="79" t="s">
        <v>1294</v>
      </c>
      <c r="G2030" s="82">
        <v>40729</v>
      </c>
      <c r="H2030" s="83">
        <v>49.9</v>
      </c>
      <c r="I2030" s="82">
        <v>102459</v>
      </c>
      <c r="J2030" s="82">
        <v>87386</v>
      </c>
      <c r="K2030" s="79">
        <v>78</v>
      </c>
      <c r="L2030" s="79">
        <v>78</v>
      </c>
      <c r="M2030" s="79">
        <v>3</v>
      </c>
      <c r="N2030" s="79">
        <v>5758</v>
      </c>
      <c r="O2030">
        <f t="shared" si="598"/>
        <v>2</v>
      </c>
      <c r="P2030" s="57">
        <f t="shared" si="599"/>
        <v>1</v>
      </c>
      <c r="Q2030" s="267">
        <f t="shared" si="600"/>
        <v>40729</v>
      </c>
      <c r="R2030" s="23" t="str">
        <f t="shared" si="601"/>
        <v/>
      </c>
      <c r="S2030" s="23">
        <f t="shared" si="602"/>
        <v>40729</v>
      </c>
      <c r="T2030" s="23" t="str">
        <f t="shared" si="603"/>
        <v/>
      </c>
      <c r="U2030" t="str">
        <f t="shared" si="604"/>
        <v/>
      </c>
      <c r="X2030" s="71"/>
      <c r="Z2030" s="44"/>
      <c r="AF2030" s="22"/>
    </row>
    <row r="2031" spans="1:38" ht="14.4">
      <c r="A2031" t="str">
        <f t="shared" si="597"/>
        <v>CO_Arapa_2020g~Arapahoe County Commissioner - District 5 (Vote For 1)</v>
      </c>
      <c r="B2031" s="79" t="s">
        <v>5635</v>
      </c>
      <c r="C2031" s="79" t="s">
        <v>5342</v>
      </c>
      <c r="D2031" s="79" t="s">
        <v>5342</v>
      </c>
      <c r="E2031" s="79" t="s">
        <v>5344</v>
      </c>
      <c r="F2031" s="79" t="s">
        <v>1294</v>
      </c>
      <c r="G2031" s="82">
        <v>28215</v>
      </c>
      <c r="H2031" s="83">
        <v>67.05</v>
      </c>
      <c r="I2031" s="82">
        <v>59349</v>
      </c>
      <c r="J2031" s="82">
        <v>45262</v>
      </c>
      <c r="K2031" s="79">
        <v>60</v>
      </c>
      <c r="L2031" s="79">
        <v>60</v>
      </c>
      <c r="M2031" s="79">
        <v>7</v>
      </c>
      <c r="N2031" s="79">
        <v>3174</v>
      </c>
      <c r="O2031">
        <f t="shared" si="598"/>
        <v>1</v>
      </c>
      <c r="P2031" s="57">
        <f t="shared" si="599"/>
        <v>1</v>
      </c>
      <c r="Q2031" s="267">
        <f t="shared" si="600"/>
        <v>42081</v>
      </c>
      <c r="R2031" s="23">
        <f t="shared" si="601"/>
        <v>28215</v>
      </c>
      <c r="S2031" s="23">
        <f t="shared" si="602"/>
        <v>10697</v>
      </c>
      <c r="T2031" s="23">
        <f t="shared" si="603"/>
        <v>17518</v>
      </c>
      <c r="U2031" t="str">
        <f t="shared" si="604"/>
        <v>CO_Arapa_2020g~Arapahoe County Commissioner - District 5 (Vote For 1)</v>
      </c>
      <c r="X2031" s="71"/>
      <c r="Z2031" s="44"/>
      <c r="AF2031" s="293"/>
    </row>
    <row r="2032" spans="1:38" ht="14.4">
      <c r="A2032" t="str">
        <f t="shared" si="597"/>
        <v>CO_Arapa_2020g~Arapahoe County Commissioner - District 5 (Vote For 1)</v>
      </c>
      <c r="B2032" s="79" t="s">
        <v>5635</v>
      </c>
      <c r="C2032" s="79" t="s">
        <v>5342</v>
      </c>
      <c r="D2032" s="79" t="s">
        <v>5342</v>
      </c>
      <c r="E2032" s="79" t="s">
        <v>5343</v>
      </c>
      <c r="F2032" s="79" t="s">
        <v>1296</v>
      </c>
      <c r="G2032" s="82">
        <v>10697</v>
      </c>
      <c r="H2032" s="83">
        <v>25.42</v>
      </c>
      <c r="I2032" s="82">
        <v>59349</v>
      </c>
      <c r="J2032" s="82">
        <v>45262</v>
      </c>
      <c r="K2032" s="79">
        <v>60</v>
      </c>
      <c r="L2032" s="79">
        <v>60</v>
      </c>
      <c r="M2032" s="79">
        <v>7</v>
      </c>
      <c r="N2032" s="79">
        <v>3174</v>
      </c>
      <c r="O2032">
        <f t="shared" si="598"/>
        <v>2</v>
      </c>
      <c r="P2032" s="57">
        <f t="shared" si="599"/>
        <v>1</v>
      </c>
      <c r="Q2032" s="267">
        <f t="shared" si="600"/>
        <v>13866</v>
      </c>
      <c r="R2032" s="23" t="str">
        <f t="shared" si="601"/>
        <v/>
      </c>
      <c r="S2032" s="23">
        <f t="shared" si="602"/>
        <v>10697</v>
      </c>
      <c r="T2032" s="23" t="str">
        <f t="shared" si="603"/>
        <v/>
      </c>
      <c r="U2032" t="str">
        <f t="shared" si="604"/>
        <v/>
      </c>
      <c r="X2032" s="71"/>
      <c r="Z2032" s="44"/>
      <c r="AF2032" s="22"/>
    </row>
    <row r="2033" spans="1:34" ht="14.4">
      <c r="A2033" t="str">
        <f t="shared" si="597"/>
        <v>CO_Arapa_2020g~Arapahoe County Commissioner - District 5 (Vote For 1)</v>
      </c>
      <c r="B2033" s="79" t="s">
        <v>5635</v>
      </c>
      <c r="C2033" s="79" t="s">
        <v>5342</v>
      </c>
      <c r="D2033" s="79" t="s">
        <v>5342</v>
      </c>
      <c r="E2033" s="79" t="s">
        <v>5345</v>
      </c>
      <c r="F2033" s="79" t="s">
        <v>4951</v>
      </c>
      <c r="G2033" s="82">
        <v>3169</v>
      </c>
      <c r="H2033" s="83">
        <v>7.53</v>
      </c>
      <c r="I2033" s="82">
        <v>59349</v>
      </c>
      <c r="J2033" s="82">
        <v>45262</v>
      </c>
      <c r="K2033" s="79">
        <v>60</v>
      </c>
      <c r="L2033" s="79">
        <v>60</v>
      </c>
      <c r="M2033" s="79">
        <v>7</v>
      </c>
      <c r="N2033" s="79">
        <v>3174</v>
      </c>
      <c r="O2033">
        <f t="shared" si="598"/>
        <v>3</v>
      </c>
      <c r="P2033" s="57">
        <f t="shared" si="599"/>
        <v>1</v>
      </c>
      <c r="Q2033" s="267">
        <f t="shared" si="600"/>
        <v>3169</v>
      </c>
      <c r="R2033" s="23" t="str">
        <f t="shared" si="601"/>
        <v/>
      </c>
      <c r="S2033" s="23">
        <f t="shared" si="602"/>
        <v>3169</v>
      </c>
      <c r="T2033" s="23" t="str">
        <f t="shared" si="603"/>
        <v/>
      </c>
      <c r="U2033" t="str">
        <f t="shared" si="604"/>
        <v/>
      </c>
      <c r="X2033" s="71"/>
      <c r="Z2033" s="44"/>
      <c r="AF2033" s="88"/>
    </row>
    <row r="2034" spans="1:34" ht="14.4">
      <c r="A2034" t="str">
        <f t="shared" ref="A2034:A2097" si="605">CONCATENATE(B2034,"~",D2034)</f>
        <v>CO_Arapa_2020g~Arapahoe County Court Judge - Contiguglia (Vote For 1)</v>
      </c>
      <c r="B2034" s="79" t="s">
        <v>5635</v>
      </c>
      <c r="C2034" s="79" t="s">
        <v>5256</v>
      </c>
      <c r="D2034" s="79" t="s">
        <v>5256</v>
      </c>
      <c r="E2034" s="79" t="s">
        <v>1393</v>
      </c>
      <c r="F2034" s="79" t="s">
        <v>1508</v>
      </c>
      <c r="G2034" s="82">
        <v>218288</v>
      </c>
      <c r="H2034" s="83">
        <v>77.05</v>
      </c>
      <c r="I2034" s="82">
        <v>418684</v>
      </c>
      <c r="J2034" s="82">
        <v>354246</v>
      </c>
      <c r="K2034" s="79">
        <v>390</v>
      </c>
      <c r="L2034" s="79">
        <v>390</v>
      </c>
      <c r="M2034" s="79">
        <v>24</v>
      </c>
      <c r="N2034" s="79">
        <v>70919</v>
      </c>
      <c r="O2034">
        <f t="shared" si="598"/>
        <v>1</v>
      </c>
      <c r="P2034" s="57">
        <f t="shared" si="599"/>
        <v>1</v>
      </c>
      <c r="Q2034" s="267">
        <f t="shared" si="600"/>
        <v>283303</v>
      </c>
      <c r="R2034" s="23">
        <f t="shared" si="601"/>
        <v>218288</v>
      </c>
      <c r="S2034" s="23">
        <f t="shared" si="602"/>
        <v>65015</v>
      </c>
      <c r="T2034" s="23">
        <f t="shared" si="603"/>
        <v>153273</v>
      </c>
      <c r="U2034" t="str">
        <f t="shared" si="604"/>
        <v>CO_Arapa_2020g~Arapahoe County Court Judge - Contiguglia (Vote For 1)</v>
      </c>
      <c r="X2034" s="71"/>
      <c r="Z2034" s="44"/>
      <c r="AF2034" s="22"/>
    </row>
    <row r="2035" spans="1:34" ht="14.4">
      <c r="A2035" t="str">
        <f t="shared" si="605"/>
        <v>CO_Arapa_2020g~Arapahoe County Court Judge - Contiguglia (Vote For 1)</v>
      </c>
      <c r="B2035" s="79" t="s">
        <v>5635</v>
      </c>
      <c r="C2035" s="79" t="s">
        <v>5256</v>
      </c>
      <c r="D2035" s="79" t="s">
        <v>5256</v>
      </c>
      <c r="E2035" s="79" t="s">
        <v>1394</v>
      </c>
      <c r="F2035" s="79" t="s">
        <v>1509</v>
      </c>
      <c r="G2035" s="82">
        <v>65015</v>
      </c>
      <c r="H2035" s="83">
        <v>22.95</v>
      </c>
      <c r="I2035" s="82">
        <v>418684</v>
      </c>
      <c r="J2035" s="82">
        <v>354246</v>
      </c>
      <c r="K2035" s="79">
        <v>390</v>
      </c>
      <c r="L2035" s="79">
        <v>390</v>
      </c>
      <c r="M2035" s="79">
        <v>24</v>
      </c>
      <c r="N2035" s="79">
        <v>70919</v>
      </c>
      <c r="O2035">
        <f t="shared" si="598"/>
        <v>2</v>
      </c>
      <c r="P2035" s="57">
        <f t="shared" si="599"/>
        <v>1</v>
      </c>
      <c r="Q2035" s="267">
        <f t="shared" si="600"/>
        <v>65015</v>
      </c>
      <c r="R2035" s="23" t="str">
        <f t="shared" si="601"/>
        <v/>
      </c>
      <c r="S2035" s="23">
        <f t="shared" si="602"/>
        <v>65015</v>
      </c>
      <c r="T2035" s="23" t="str">
        <f t="shared" si="603"/>
        <v/>
      </c>
      <c r="U2035" t="str">
        <f t="shared" si="604"/>
        <v/>
      </c>
      <c r="X2035" s="71"/>
      <c r="Z2035" s="44"/>
      <c r="AF2035" s="22"/>
    </row>
    <row r="2036" spans="1:34" ht="14.4">
      <c r="A2036" t="str">
        <f t="shared" si="605"/>
        <v>CO_Arapa_2020g~Arapahoe County Court Judge - Ollada (Vote For 1)</v>
      </c>
      <c r="B2036" s="79" t="s">
        <v>5635</v>
      </c>
      <c r="C2036" s="79" t="s">
        <v>5257</v>
      </c>
      <c r="D2036" s="79" t="s">
        <v>5257</v>
      </c>
      <c r="E2036" s="79" t="s">
        <v>1393</v>
      </c>
      <c r="F2036" s="79" t="s">
        <v>1508</v>
      </c>
      <c r="G2036" s="82">
        <v>216841</v>
      </c>
      <c r="H2036" s="83">
        <v>76.56</v>
      </c>
      <c r="I2036" s="82">
        <v>418684</v>
      </c>
      <c r="J2036" s="82">
        <v>354246</v>
      </c>
      <c r="K2036" s="79">
        <v>390</v>
      </c>
      <c r="L2036" s="79">
        <v>390</v>
      </c>
      <c r="M2036" s="79">
        <v>18</v>
      </c>
      <c r="N2036" s="79">
        <v>71000</v>
      </c>
      <c r="O2036">
        <f t="shared" si="598"/>
        <v>1</v>
      </c>
      <c r="P2036" s="57">
        <f t="shared" si="599"/>
        <v>1</v>
      </c>
      <c r="Q2036" s="267">
        <f t="shared" si="600"/>
        <v>283228</v>
      </c>
      <c r="R2036" s="23">
        <f t="shared" si="601"/>
        <v>216841</v>
      </c>
      <c r="S2036" s="23">
        <f t="shared" si="602"/>
        <v>66387</v>
      </c>
      <c r="T2036" s="23">
        <f t="shared" si="603"/>
        <v>150454</v>
      </c>
      <c r="U2036" t="str">
        <f t="shared" si="604"/>
        <v>CO_Arapa_2020g~Arapahoe County Court Judge - Ollada (Vote For 1)</v>
      </c>
      <c r="X2036" s="71"/>
      <c r="Z2036" s="44"/>
      <c r="AF2036" s="22"/>
    </row>
    <row r="2037" spans="1:34" ht="14.4">
      <c r="A2037" t="str">
        <f t="shared" si="605"/>
        <v>CO_Arapa_2020g~Arapahoe County Court Judge - Ollada (Vote For 1)</v>
      </c>
      <c r="B2037" s="79" t="s">
        <v>5635</v>
      </c>
      <c r="C2037" s="79" t="s">
        <v>5257</v>
      </c>
      <c r="D2037" s="79" t="s">
        <v>5257</v>
      </c>
      <c r="E2037" s="79" t="s">
        <v>1394</v>
      </c>
      <c r="F2037" s="79" t="s">
        <v>1509</v>
      </c>
      <c r="G2037" s="82">
        <v>66387</v>
      </c>
      <c r="H2037" s="83">
        <v>23.44</v>
      </c>
      <c r="I2037" s="82">
        <v>418684</v>
      </c>
      <c r="J2037" s="82">
        <v>354246</v>
      </c>
      <c r="K2037" s="79">
        <v>390</v>
      </c>
      <c r="L2037" s="79">
        <v>390</v>
      </c>
      <c r="M2037" s="79">
        <v>18</v>
      </c>
      <c r="N2037" s="79">
        <v>71000</v>
      </c>
      <c r="O2037">
        <f t="shared" si="598"/>
        <v>2</v>
      </c>
      <c r="P2037" s="57">
        <f t="shared" si="599"/>
        <v>1</v>
      </c>
      <c r="Q2037" s="267">
        <f t="shared" si="600"/>
        <v>66387</v>
      </c>
      <c r="R2037" s="23" t="str">
        <f t="shared" si="601"/>
        <v/>
      </c>
      <c r="S2037" s="23">
        <f t="shared" si="602"/>
        <v>66387</v>
      </c>
      <c r="T2037" s="23" t="str">
        <f t="shared" si="603"/>
        <v/>
      </c>
      <c r="U2037" t="str">
        <f t="shared" si="604"/>
        <v/>
      </c>
      <c r="X2037" s="71"/>
      <c r="Z2037" s="44"/>
      <c r="AF2037" s="22"/>
    </row>
    <row r="2038" spans="1:34" ht="14.4">
      <c r="A2038" t="str">
        <f t="shared" si="605"/>
        <v>CO_Arapa_2020g~Arapahoe County Court Judge - Williford (Vote For 1)</v>
      </c>
      <c r="B2038" s="79" t="s">
        <v>5635</v>
      </c>
      <c r="C2038" s="79" t="s">
        <v>5258</v>
      </c>
      <c r="D2038" s="79" t="s">
        <v>5258</v>
      </c>
      <c r="E2038" s="79" t="s">
        <v>1393</v>
      </c>
      <c r="F2038" s="79" t="s">
        <v>1508</v>
      </c>
      <c r="G2038" s="82">
        <v>218531</v>
      </c>
      <c r="H2038" s="83">
        <v>77.260000000000005</v>
      </c>
      <c r="I2038" s="82">
        <v>418684</v>
      </c>
      <c r="J2038" s="82">
        <v>354246</v>
      </c>
      <c r="K2038" s="79">
        <v>390</v>
      </c>
      <c r="L2038" s="79">
        <v>390</v>
      </c>
      <c r="M2038" s="79">
        <v>10</v>
      </c>
      <c r="N2038" s="79">
        <v>71386</v>
      </c>
      <c r="O2038">
        <f t="shared" si="598"/>
        <v>1</v>
      </c>
      <c r="P2038" s="57">
        <f t="shared" si="599"/>
        <v>1</v>
      </c>
      <c r="Q2038" s="267">
        <f t="shared" si="600"/>
        <v>282850</v>
      </c>
      <c r="R2038" s="23">
        <f t="shared" si="601"/>
        <v>218531</v>
      </c>
      <c r="S2038" s="23">
        <f t="shared" si="602"/>
        <v>64319</v>
      </c>
      <c r="T2038" s="23">
        <f t="shared" si="603"/>
        <v>154212</v>
      </c>
      <c r="U2038" t="str">
        <f t="shared" si="604"/>
        <v>CO_Arapa_2020g~Arapahoe County Court Judge - Williford (Vote For 1)</v>
      </c>
      <c r="X2038" s="71"/>
      <c r="Z2038" s="44"/>
      <c r="AF2038" s="22"/>
    </row>
    <row r="2039" spans="1:34" ht="14.4">
      <c r="A2039" t="str">
        <f t="shared" si="605"/>
        <v>CO_Arapa_2020g~Arapahoe County Court Judge - Williford (Vote For 1)</v>
      </c>
      <c r="B2039" s="79" t="s">
        <v>5635</v>
      </c>
      <c r="C2039" s="79" t="s">
        <v>5258</v>
      </c>
      <c r="D2039" s="79" t="s">
        <v>5258</v>
      </c>
      <c r="E2039" s="79" t="s">
        <v>1394</v>
      </c>
      <c r="F2039" s="79" t="s">
        <v>1509</v>
      </c>
      <c r="G2039" s="82">
        <v>64319</v>
      </c>
      <c r="H2039" s="83">
        <v>22.74</v>
      </c>
      <c r="I2039" s="82">
        <v>418684</v>
      </c>
      <c r="J2039" s="82">
        <v>354246</v>
      </c>
      <c r="K2039" s="79">
        <v>390</v>
      </c>
      <c r="L2039" s="79">
        <v>390</v>
      </c>
      <c r="M2039" s="79">
        <v>10</v>
      </c>
      <c r="N2039" s="79">
        <v>71386</v>
      </c>
      <c r="O2039">
        <f t="shared" si="598"/>
        <v>2</v>
      </c>
      <c r="P2039" s="57">
        <f t="shared" si="599"/>
        <v>1</v>
      </c>
      <c r="Q2039" s="267">
        <f t="shared" si="600"/>
        <v>64319</v>
      </c>
      <c r="R2039" s="23" t="str">
        <f t="shared" si="601"/>
        <v/>
      </c>
      <c r="S2039" s="23">
        <f t="shared" si="602"/>
        <v>64319</v>
      </c>
      <c r="T2039" s="23" t="str">
        <f t="shared" si="603"/>
        <v/>
      </c>
      <c r="U2039" t="str">
        <f t="shared" si="604"/>
        <v/>
      </c>
      <c r="X2039" s="71"/>
      <c r="Z2039" s="44"/>
      <c r="AF2039" s="22"/>
    </row>
    <row r="2040" spans="1:34" ht="14.4">
      <c r="A2040" t="str">
        <f t="shared" si="605"/>
        <v>CO_Arapa_2020g~Arapahoe County School District #6 Littleton Public Schools Ballot Issue 4C (Vote For 1)</v>
      </c>
      <c r="B2040" s="79" t="s">
        <v>5635</v>
      </c>
      <c r="C2040" s="79" t="s">
        <v>5346</v>
      </c>
      <c r="D2040" s="79" t="s">
        <v>5346</v>
      </c>
      <c r="E2040" s="79" t="s">
        <v>1393</v>
      </c>
      <c r="F2040" s="79" t="s">
        <v>1508</v>
      </c>
      <c r="G2040" s="82">
        <v>36080</v>
      </c>
      <c r="H2040" s="83">
        <v>57.66</v>
      </c>
      <c r="I2040" s="82">
        <v>75552</v>
      </c>
      <c r="J2040" s="82">
        <v>67452</v>
      </c>
      <c r="K2040" s="79">
        <v>80</v>
      </c>
      <c r="L2040" s="79">
        <v>80</v>
      </c>
      <c r="M2040" s="79">
        <v>9</v>
      </c>
      <c r="N2040" s="79">
        <v>3935</v>
      </c>
      <c r="O2040">
        <f t="shared" si="598"/>
        <v>1</v>
      </c>
      <c r="P2040" s="57">
        <f t="shared" si="599"/>
        <v>1</v>
      </c>
      <c r="Q2040" s="267">
        <f t="shared" si="600"/>
        <v>62572</v>
      </c>
      <c r="R2040" s="23">
        <f t="shared" si="601"/>
        <v>36080</v>
      </c>
      <c r="S2040" s="23">
        <f t="shared" si="602"/>
        <v>26492</v>
      </c>
      <c r="T2040" s="23">
        <f t="shared" si="603"/>
        <v>9588</v>
      </c>
      <c r="U2040" t="str">
        <f t="shared" si="604"/>
        <v>CO_Arapa_2020g~Arapahoe County School District #6 Littleton Public Schools Ballot Issue 4C (Vote For 1)</v>
      </c>
      <c r="X2040" s="71"/>
      <c r="Z2040" s="44"/>
      <c r="AF2040" s="22"/>
    </row>
    <row r="2041" spans="1:34" ht="14.4">
      <c r="A2041" t="str">
        <f t="shared" si="605"/>
        <v>CO_Arapa_2020g~Arapahoe County School District #6 Littleton Public Schools Ballot Issue 4C (Vote For 1)</v>
      </c>
      <c r="B2041" s="79" t="s">
        <v>5635</v>
      </c>
      <c r="C2041" s="79" t="s">
        <v>5346</v>
      </c>
      <c r="D2041" s="79" t="s">
        <v>5346</v>
      </c>
      <c r="E2041" s="79" t="s">
        <v>1394</v>
      </c>
      <c r="F2041" s="79" t="s">
        <v>1509</v>
      </c>
      <c r="G2041" s="82">
        <v>26492</v>
      </c>
      <c r="H2041" s="83">
        <v>42.34</v>
      </c>
      <c r="I2041" s="82">
        <v>75552</v>
      </c>
      <c r="J2041" s="82">
        <v>67452</v>
      </c>
      <c r="K2041" s="79">
        <v>80</v>
      </c>
      <c r="L2041" s="79">
        <v>80</v>
      </c>
      <c r="M2041" s="79">
        <v>9</v>
      </c>
      <c r="N2041" s="79">
        <v>3935</v>
      </c>
      <c r="O2041">
        <f t="shared" si="598"/>
        <v>2</v>
      </c>
      <c r="P2041" s="57">
        <f t="shared" si="599"/>
        <v>1</v>
      </c>
      <c r="Q2041" s="267">
        <f t="shared" si="600"/>
        <v>26492</v>
      </c>
      <c r="R2041" s="23" t="str">
        <f t="shared" si="601"/>
        <v/>
      </c>
      <c r="S2041" s="23">
        <f t="shared" si="602"/>
        <v>26492</v>
      </c>
      <c r="T2041" s="23" t="str">
        <f t="shared" si="603"/>
        <v/>
      </c>
      <c r="U2041" t="str">
        <f t="shared" si="604"/>
        <v/>
      </c>
      <c r="X2041" s="71"/>
      <c r="Z2041" s="44"/>
      <c r="AF2041" s="22"/>
      <c r="AG2041" s="23"/>
      <c r="AH2041" s="8"/>
    </row>
    <row r="2042" spans="1:34" ht="14.4">
      <c r="A2042" t="str">
        <f t="shared" si="605"/>
        <v>CO_Arapa_2020g~Ballot Issue 6A (Vote For 1)</v>
      </c>
      <c r="B2042" s="79" t="s">
        <v>5635</v>
      </c>
      <c r="C2042" s="79" t="s">
        <v>5347</v>
      </c>
      <c r="D2042" s="79" t="s">
        <v>5347</v>
      </c>
      <c r="E2042" s="79" t="s">
        <v>1393</v>
      </c>
      <c r="F2042" s="79" t="s">
        <v>1508</v>
      </c>
      <c r="G2042" s="82">
        <v>439</v>
      </c>
      <c r="H2042" s="83">
        <v>62.89</v>
      </c>
      <c r="I2042" s="82">
        <v>870</v>
      </c>
      <c r="J2042" s="82">
        <v>794</v>
      </c>
      <c r="K2042" s="79">
        <v>2</v>
      </c>
      <c r="L2042" s="79">
        <v>2</v>
      </c>
      <c r="M2042" s="79">
        <v>0</v>
      </c>
      <c r="N2042" s="79">
        <v>47</v>
      </c>
      <c r="O2042">
        <f t="shared" si="598"/>
        <v>1</v>
      </c>
      <c r="P2042" s="57">
        <f t="shared" si="599"/>
        <v>1</v>
      </c>
      <c r="Q2042" s="267">
        <f t="shared" si="600"/>
        <v>698</v>
      </c>
      <c r="R2042" s="23">
        <f t="shared" si="601"/>
        <v>439</v>
      </c>
      <c r="S2042" s="23">
        <f t="shared" si="602"/>
        <v>259</v>
      </c>
      <c r="T2042" s="23">
        <f t="shared" si="603"/>
        <v>180</v>
      </c>
      <c r="U2042" t="str">
        <f t="shared" si="604"/>
        <v>CO_Arapa_2020g~Ballot Issue 6A (Vote For 1)</v>
      </c>
      <c r="X2042" s="71"/>
      <c r="Z2042" s="44"/>
      <c r="AF2042" s="300"/>
    </row>
    <row r="2043" spans="1:34" ht="14.4">
      <c r="A2043" t="str">
        <f t="shared" si="605"/>
        <v>CO_Arapa_2020g~Ballot Issue 6A (Vote For 1)</v>
      </c>
      <c r="B2043" s="79" t="s">
        <v>5635</v>
      </c>
      <c r="C2043" s="79" t="s">
        <v>5347</v>
      </c>
      <c r="D2043" s="79" t="s">
        <v>5347</v>
      </c>
      <c r="E2043" s="79" t="s">
        <v>1394</v>
      </c>
      <c r="F2043" s="79" t="s">
        <v>1509</v>
      </c>
      <c r="G2043" s="82">
        <v>259</v>
      </c>
      <c r="H2043" s="83">
        <v>37.11</v>
      </c>
      <c r="I2043" s="82">
        <v>870</v>
      </c>
      <c r="J2043" s="82">
        <v>794</v>
      </c>
      <c r="K2043" s="79">
        <v>2</v>
      </c>
      <c r="L2043" s="79">
        <v>2</v>
      </c>
      <c r="M2043" s="79">
        <v>0</v>
      </c>
      <c r="N2043" s="79">
        <v>47</v>
      </c>
      <c r="O2043">
        <f t="shared" si="598"/>
        <v>2</v>
      </c>
      <c r="P2043" s="57">
        <f t="shared" si="599"/>
        <v>1</v>
      </c>
      <c r="Q2043" s="267">
        <f t="shared" si="600"/>
        <v>259</v>
      </c>
      <c r="R2043" s="23" t="str">
        <f t="shared" si="601"/>
        <v/>
      </c>
      <c r="S2043" s="23">
        <f t="shared" si="602"/>
        <v>259</v>
      </c>
      <c r="T2043" s="23" t="str">
        <f t="shared" si="603"/>
        <v/>
      </c>
      <c r="U2043" t="str">
        <f t="shared" si="604"/>
        <v/>
      </c>
      <c r="X2043" s="71"/>
      <c r="Z2043" s="44"/>
      <c r="AF2043" s="22"/>
    </row>
    <row r="2044" spans="1:34" ht="14.4">
      <c r="A2044" t="str">
        <f t="shared" si="605"/>
        <v>CO_Arapa_2020g~Cherry Creek School District No. 5 Ballot Issue 4A (Vote For 1)</v>
      </c>
      <c r="B2044" s="79" t="s">
        <v>5635</v>
      </c>
      <c r="C2044" s="79" t="s">
        <v>5361</v>
      </c>
      <c r="D2044" s="79" t="s">
        <v>5361</v>
      </c>
      <c r="E2044" s="79" t="s">
        <v>1393</v>
      </c>
      <c r="F2044" s="79" t="s">
        <v>1508</v>
      </c>
      <c r="G2044" s="82">
        <v>110401</v>
      </c>
      <c r="H2044" s="83">
        <v>63.3</v>
      </c>
      <c r="I2044" s="82">
        <v>217524</v>
      </c>
      <c r="J2044" s="82">
        <v>186378</v>
      </c>
      <c r="K2044" s="79">
        <v>189</v>
      </c>
      <c r="L2044" s="79">
        <v>189</v>
      </c>
      <c r="M2044" s="79">
        <v>38</v>
      </c>
      <c r="N2044" s="79">
        <v>9857</v>
      </c>
      <c r="O2044">
        <f t="shared" si="598"/>
        <v>1</v>
      </c>
      <c r="P2044" s="57">
        <f t="shared" si="599"/>
        <v>1</v>
      </c>
      <c r="Q2044" s="267">
        <f t="shared" si="600"/>
        <v>174417</v>
      </c>
      <c r="R2044" s="23">
        <f t="shared" si="601"/>
        <v>110401</v>
      </c>
      <c r="S2044" s="23">
        <f t="shared" si="602"/>
        <v>64016</v>
      </c>
      <c r="T2044" s="23">
        <f t="shared" si="603"/>
        <v>46385</v>
      </c>
      <c r="U2044" t="str">
        <f t="shared" si="604"/>
        <v>CO_Arapa_2020g~Cherry Creek School District No. 5 Ballot Issue 4A (Vote For 1)</v>
      </c>
      <c r="X2044" s="71"/>
      <c r="Z2044" s="44"/>
      <c r="AF2044" s="22"/>
    </row>
    <row r="2045" spans="1:34" ht="14.4">
      <c r="A2045" t="str">
        <f t="shared" si="605"/>
        <v>CO_Arapa_2020g~Cherry Creek School District No. 5 Ballot Issue 4A (Vote For 1)</v>
      </c>
      <c r="B2045" s="79" t="s">
        <v>5635</v>
      </c>
      <c r="C2045" s="79" t="s">
        <v>5361</v>
      </c>
      <c r="D2045" s="79" t="s">
        <v>5361</v>
      </c>
      <c r="E2045" s="79" t="s">
        <v>1394</v>
      </c>
      <c r="F2045" s="79" t="s">
        <v>1509</v>
      </c>
      <c r="G2045" s="82">
        <v>64016</v>
      </c>
      <c r="H2045" s="83">
        <v>36.700000000000003</v>
      </c>
      <c r="I2045" s="82">
        <v>217524</v>
      </c>
      <c r="J2045" s="82">
        <v>186378</v>
      </c>
      <c r="K2045" s="79">
        <v>189</v>
      </c>
      <c r="L2045" s="79">
        <v>189</v>
      </c>
      <c r="M2045" s="79">
        <v>38</v>
      </c>
      <c r="N2045" s="79">
        <v>9857</v>
      </c>
      <c r="O2045">
        <f t="shared" si="598"/>
        <v>2</v>
      </c>
      <c r="P2045" s="57">
        <f t="shared" si="599"/>
        <v>1</v>
      </c>
      <c r="Q2045" s="267">
        <f t="shared" si="600"/>
        <v>64016</v>
      </c>
      <c r="R2045" s="23" t="str">
        <f t="shared" si="601"/>
        <v/>
      </c>
      <c r="S2045" s="23">
        <f t="shared" si="602"/>
        <v>64016</v>
      </c>
      <c r="T2045" s="23" t="str">
        <f t="shared" si="603"/>
        <v/>
      </c>
      <c r="U2045" t="str">
        <f t="shared" si="604"/>
        <v/>
      </c>
      <c r="X2045" s="71"/>
      <c r="Z2045" s="44"/>
      <c r="AF2045" s="22"/>
    </row>
    <row r="2046" spans="1:34" ht="14.4">
      <c r="A2046" t="str">
        <f t="shared" si="605"/>
        <v>CO_Arapa_2020g~Cherry Creek School District No. 5 Ballot Issue 4B (Vote For 1)</v>
      </c>
      <c r="B2046" s="79" t="s">
        <v>5635</v>
      </c>
      <c r="C2046" s="79" t="s">
        <v>5362</v>
      </c>
      <c r="D2046" s="79" t="s">
        <v>5362</v>
      </c>
      <c r="E2046" s="79" t="s">
        <v>1393</v>
      </c>
      <c r="F2046" s="79" t="s">
        <v>1508</v>
      </c>
      <c r="G2046" s="82">
        <v>120802</v>
      </c>
      <c r="H2046" s="83">
        <v>69.92</v>
      </c>
      <c r="I2046" s="82">
        <v>217524</v>
      </c>
      <c r="J2046" s="82">
        <v>186378</v>
      </c>
      <c r="K2046" s="79">
        <v>189</v>
      </c>
      <c r="L2046" s="79">
        <v>189</v>
      </c>
      <c r="M2046" s="79">
        <v>27</v>
      </c>
      <c r="N2046" s="79">
        <v>11511</v>
      </c>
      <c r="O2046">
        <f t="shared" si="598"/>
        <v>1</v>
      </c>
      <c r="P2046" s="57">
        <f t="shared" si="599"/>
        <v>1</v>
      </c>
      <c r="Q2046" s="267">
        <f t="shared" si="600"/>
        <v>172774</v>
      </c>
      <c r="R2046" s="23">
        <f t="shared" si="601"/>
        <v>120802</v>
      </c>
      <c r="S2046" s="23">
        <f t="shared" si="602"/>
        <v>51972</v>
      </c>
      <c r="T2046" s="23">
        <f t="shared" si="603"/>
        <v>68830</v>
      </c>
      <c r="U2046" t="str">
        <f t="shared" si="604"/>
        <v>CO_Arapa_2020g~Cherry Creek School District No. 5 Ballot Issue 4B (Vote For 1)</v>
      </c>
      <c r="X2046" s="71"/>
      <c r="Z2046" s="44"/>
      <c r="AF2046" s="22"/>
    </row>
    <row r="2047" spans="1:34" ht="14.4">
      <c r="A2047" t="str">
        <f t="shared" si="605"/>
        <v>CO_Arapa_2020g~Cherry Creek School District No. 5 Ballot Issue 4B (Vote For 1)</v>
      </c>
      <c r="B2047" s="79" t="s">
        <v>5635</v>
      </c>
      <c r="C2047" s="79" t="s">
        <v>5362</v>
      </c>
      <c r="D2047" s="79" t="s">
        <v>5362</v>
      </c>
      <c r="E2047" s="79" t="s">
        <v>1394</v>
      </c>
      <c r="F2047" s="79" t="s">
        <v>1509</v>
      </c>
      <c r="G2047" s="82">
        <v>51972</v>
      </c>
      <c r="H2047" s="83">
        <v>30.08</v>
      </c>
      <c r="I2047" s="82">
        <v>217524</v>
      </c>
      <c r="J2047" s="82">
        <v>186378</v>
      </c>
      <c r="K2047" s="79">
        <v>189</v>
      </c>
      <c r="L2047" s="79">
        <v>189</v>
      </c>
      <c r="M2047" s="79">
        <v>27</v>
      </c>
      <c r="N2047" s="79">
        <v>11511</v>
      </c>
      <c r="O2047">
        <f t="shared" si="598"/>
        <v>2</v>
      </c>
      <c r="P2047" s="57">
        <f t="shared" si="599"/>
        <v>1</v>
      </c>
      <c r="Q2047" s="267">
        <f t="shared" si="600"/>
        <v>51972</v>
      </c>
      <c r="R2047" s="23" t="str">
        <f t="shared" si="601"/>
        <v/>
      </c>
      <c r="S2047" s="23">
        <f t="shared" si="602"/>
        <v>51972</v>
      </c>
      <c r="T2047" s="23" t="str">
        <f t="shared" si="603"/>
        <v/>
      </c>
      <c r="U2047" t="str">
        <f t="shared" si="604"/>
        <v/>
      </c>
      <c r="X2047" s="71"/>
      <c r="Z2047" s="44"/>
      <c r="AF2047" s="22"/>
    </row>
    <row r="2048" spans="1:34" ht="14.4">
      <c r="A2048" t="str">
        <f t="shared" si="605"/>
        <v>CO_Arapa_2020g~City of Englewood Ballot Issue 2B (Vote For 1)</v>
      </c>
      <c r="B2048" s="79" t="s">
        <v>5635</v>
      </c>
      <c r="C2048" s="79" t="s">
        <v>5388</v>
      </c>
      <c r="D2048" s="79" t="s">
        <v>5388</v>
      </c>
      <c r="E2048" s="79" t="s">
        <v>1394</v>
      </c>
      <c r="F2048" s="79" t="s">
        <v>1509</v>
      </c>
      <c r="G2048" s="82">
        <v>11722</v>
      </c>
      <c r="H2048" s="83">
        <v>64.59</v>
      </c>
      <c r="I2048" s="82">
        <v>23170</v>
      </c>
      <c r="J2048" s="82">
        <v>19862</v>
      </c>
      <c r="K2048" s="79">
        <v>25</v>
      </c>
      <c r="L2048" s="79">
        <v>25</v>
      </c>
      <c r="M2048" s="79">
        <v>7</v>
      </c>
      <c r="N2048" s="79">
        <v>1601</v>
      </c>
      <c r="O2048">
        <f t="shared" si="598"/>
        <v>1</v>
      </c>
      <c r="P2048" s="57">
        <f t="shared" si="599"/>
        <v>1</v>
      </c>
      <c r="Q2048" s="267">
        <f t="shared" si="600"/>
        <v>18148</v>
      </c>
      <c r="R2048" s="23">
        <f t="shared" si="601"/>
        <v>11722</v>
      </c>
      <c r="S2048" s="23">
        <f t="shared" si="602"/>
        <v>6426</v>
      </c>
      <c r="T2048" s="23">
        <f t="shared" si="603"/>
        <v>5296</v>
      </c>
      <c r="U2048" t="str">
        <f t="shared" si="604"/>
        <v>CO_Arapa_2020g~City of Englewood Ballot Issue 2B (Vote For 1)</v>
      </c>
      <c r="X2048" s="71"/>
      <c r="Z2048" s="44"/>
      <c r="AF2048" s="22"/>
    </row>
    <row r="2049" spans="1:38" ht="14.4">
      <c r="A2049" t="str">
        <f t="shared" si="605"/>
        <v>CO_Arapa_2020g~City of Englewood Ballot Issue 2B (Vote For 1)</v>
      </c>
      <c r="B2049" s="79" t="s">
        <v>5635</v>
      </c>
      <c r="C2049" s="79" t="s">
        <v>5388</v>
      </c>
      <c r="D2049" s="79" t="s">
        <v>5388</v>
      </c>
      <c r="E2049" s="79" t="s">
        <v>1393</v>
      </c>
      <c r="F2049" s="79" t="s">
        <v>1508</v>
      </c>
      <c r="G2049" s="82">
        <v>6426</v>
      </c>
      <c r="H2049" s="83">
        <v>35.409999999999997</v>
      </c>
      <c r="I2049" s="82">
        <v>23170</v>
      </c>
      <c r="J2049" s="82">
        <v>19862</v>
      </c>
      <c r="K2049" s="79">
        <v>25</v>
      </c>
      <c r="L2049" s="79">
        <v>25</v>
      </c>
      <c r="M2049" s="79">
        <v>7</v>
      </c>
      <c r="N2049" s="79">
        <v>1601</v>
      </c>
      <c r="O2049">
        <f t="shared" si="598"/>
        <v>2</v>
      </c>
      <c r="P2049" s="57">
        <f t="shared" si="599"/>
        <v>1</v>
      </c>
      <c r="Q2049" s="267">
        <f t="shared" si="600"/>
        <v>6426</v>
      </c>
      <c r="R2049" s="23" t="str">
        <f t="shared" si="601"/>
        <v/>
      </c>
      <c r="S2049" s="23">
        <f t="shared" si="602"/>
        <v>6426</v>
      </c>
      <c r="T2049" s="23" t="str">
        <f t="shared" si="603"/>
        <v/>
      </c>
      <c r="U2049" t="str">
        <f t="shared" si="604"/>
        <v/>
      </c>
      <c r="X2049" s="71"/>
      <c r="Z2049" s="44"/>
      <c r="AF2049" s="22"/>
      <c r="AG2049" s="295"/>
      <c r="AH2049" s="294"/>
      <c r="AI2049" s="279"/>
      <c r="AJ2049" s="279"/>
      <c r="AL2049" s="341"/>
    </row>
    <row r="2050" spans="1:38" ht="14.4">
      <c r="A2050" t="str">
        <f t="shared" si="605"/>
        <v>CO_Arapa_2020g~City of Englewood Ballot Question 2A (Vote For 1)</v>
      </c>
      <c r="B2050" s="79" t="s">
        <v>5635</v>
      </c>
      <c r="C2050" s="79" t="s">
        <v>5389</v>
      </c>
      <c r="D2050" s="79" t="s">
        <v>5389</v>
      </c>
      <c r="E2050" s="79" t="s">
        <v>1393</v>
      </c>
      <c r="F2050" s="79" t="s">
        <v>1508</v>
      </c>
      <c r="G2050" s="82">
        <v>14494</v>
      </c>
      <c r="H2050" s="83">
        <v>79.12</v>
      </c>
      <c r="I2050" s="82">
        <v>23170</v>
      </c>
      <c r="J2050" s="82">
        <v>19862</v>
      </c>
      <c r="K2050" s="79">
        <v>25</v>
      </c>
      <c r="L2050" s="79">
        <v>25</v>
      </c>
      <c r="M2050" s="79">
        <v>2</v>
      </c>
      <c r="N2050" s="79">
        <v>1436</v>
      </c>
      <c r="O2050">
        <f t="shared" ref="O2050:O2113" si="606">IF(OR(LOWER(LEFT(E2050,8))="write-in",LOWER(LEFT(E2050,8))="not qual"),IF(A2050=A2049,-ABS(O2049),0),IF(A2050=A2049,ABS(O2049)+1,1))</f>
        <v>1</v>
      </c>
      <c r="P2050" s="57">
        <f t="shared" ref="P2050:P2113" si="607">1*LEFT(RIGHT(A2050,2),1)</f>
        <v>1</v>
      </c>
      <c r="Q2050" s="267">
        <f t="shared" ref="Q2050:Q2113" si="608">IF(A2050&lt;&gt;A2051,G2050,IF(A2050=A2049,G2050+Q2051,MAX(G2050,(G2050+Q2051)/P2050)))</f>
        <v>18318</v>
      </c>
      <c r="R2050" s="23">
        <f t="shared" ref="R2050:R2113" si="609">IF(O2050&gt;P2050,"",IF(O2050=P2050,G2050,IF(A2050=A2051,R2051,IF(O2050&lt;=0,1,G2050))))</f>
        <v>14494</v>
      </c>
      <c r="S2050" s="23">
        <f t="shared" ref="S2050:S2113" si="610">IF(AND(O2050&gt;P2050,LOWER(LEFT(E2050,8))&lt;&gt;"write-in",LOWER(LEFT(E2050,8))&lt;&gt;"not qual"),G2050,IF(A2050=A2051,S2051,0))</f>
        <v>3824</v>
      </c>
      <c r="T2050" s="23">
        <f t="shared" ref="T2050:T2113" si="611">IF(OR(A2050=A2049,S2050=0),"",R2050-ABS(S2050))</f>
        <v>10670</v>
      </c>
      <c r="U2050" t="str">
        <f t="shared" ref="U2050:U2113" si="612">IF(A2050=A2049,"",A2050)</f>
        <v>CO_Arapa_2020g~City of Englewood Ballot Question 2A (Vote For 1)</v>
      </c>
      <c r="X2050" s="71"/>
      <c r="Z2050" s="44"/>
      <c r="AF2050" s="22"/>
    </row>
    <row r="2051" spans="1:38" ht="14.4">
      <c r="A2051" t="str">
        <f t="shared" si="605"/>
        <v>CO_Arapa_2020g~City of Englewood Ballot Question 2A (Vote For 1)</v>
      </c>
      <c r="B2051" s="79" t="s">
        <v>5635</v>
      </c>
      <c r="C2051" s="79" t="s">
        <v>5389</v>
      </c>
      <c r="D2051" s="79" t="s">
        <v>5389</v>
      </c>
      <c r="E2051" s="79" t="s">
        <v>1394</v>
      </c>
      <c r="F2051" s="79" t="s">
        <v>1509</v>
      </c>
      <c r="G2051" s="82">
        <v>3824</v>
      </c>
      <c r="H2051" s="83">
        <v>20.88</v>
      </c>
      <c r="I2051" s="82">
        <v>23170</v>
      </c>
      <c r="J2051" s="82">
        <v>19862</v>
      </c>
      <c r="K2051" s="79">
        <v>25</v>
      </c>
      <c r="L2051" s="79">
        <v>25</v>
      </c>
      <c r="M2051" s="79">
        <v>2</v>
      </c>
      <c r="N2051" s="79">
        <v>1436</v>
      </c>
      <c r="O2051">
        <f t="shared" si="606"/>
        <v>2</v>
      </c>
      <c r="P2051" s="57">
        <f t="shared" si="607"/>
        <v>1</v>
      </c>
      <c r="Q2051" s="267">
        <f t="shared" si="608"/>
        <v>3824</v>
      </c>
      <c r="R2051" s="23" t="str">
        <f t="shared" si="609"/>
        <v/>
      </c>
      <c r="S2051" s="23">
        <f t="shared" si="610"/>
        <v>3824</v>
      </c>
      <c r="T2051" s="23" t="str">
        <f t="shared" si="611"/>
        <v/>
      </c>
      <c r="U2051" t="str">
        <f t="shared" si="612"/>
        <v/>
      </c>
      <c r="X2051" s="71"/>
      <c r="Z2051" s="44"/>
      <c r="AF2051" s="88"/>
    </row>
    <row r="2052" spans="1:38" ht="14.4">
      <c r="A2052" t="str">
        <f t="shared" si="605"/>
        <v>CO_Arapa_2020g~Regional Transportation District Director - District F (Vote For 1)</v>
      </c>
      <c r="B2052" s="79" t="s">
        <v>5635</v>
      </c>
      <c r="C2052" s="79" t="s">
        <v>5224</v>
      </c>
      <c r="D2052" s="79" t="s">
        <v>5224</v>
      </c>
      <c r="E2052" s="79" t="s">
        <v>5225</v>
      </c>
      <c r="F2052" s="79">
        <v>1</v>
      </c>
      <c r="G2052" s="82">
        <v>72529</v>
      </c>
      <c r="H2052" s="83">
        <v>100</v>
      </c>
      <c r="I2052" s="82">
        <v>135237</v>
      </c>
      <c r="J2052" s="82">
        <v>111330</v>
      </c>
      <c r="K2052" s="79">
        <v>117</v>
      </c>
      <c r="L2052" s="79">
        <v>117</v>
      </c>
      <c r="M2052" s="79">
        <v>0</v>
      </c>
      <c r="N2052" s="79">
        <v>30275</v>
      </c>
      <c r="O2052">
        <f t="shared" si="606"/>
        <v>1</v>
      </c>
      <c r="P2052" s="57">
        <f t="shared" si="607"/>
        <v>1</v>
      </c>
      <c r="Q2052" s="267">
        <f t="shared" si="608"/>
        <v>72529</v>
      </c>
      <c r="R2052" s="23">
        <f t="shared" si="609"/>
        <v>72529</v>
      </c>
      <c r="S2052" s="23">
        <f t="shared" si="610"/>
        <v>0</v>
      </c>
      <c r="T2052" s="23" t="str">
        <f t="shared" si="611"/>
        <v/>
      </c>
      <c r="U2052" t="str">
        <f t="shared" si="612"/>
        <v>CO_Arapa_2020g~Regional Transportation District Director - District F (Vote For 1)</v>
      </c>
      <c r="X2052" s="71"/>
      <c r="Z2052" s="44"/>
      <c r="AF2052" s="22"/>
    </row>
    <row r="2053" spans="1:38" ht="14.4">
      <c r="A2053" t="str">
        <f t="shared" si="605"/>
        <v>CO_Arapa_2020g~State Representative - District 3 (Vote For 1)</v>
      </c>
      <c r="B2053" s="79" t="s">
        <v>5635</v>
      </c>
      <c r="C2053" s="79" t="s">
        <v>5053</v>
      </c>
      <c r="D2053" s="79" t="s">
        <v>5053</v>
      </c>
      <c r="E2053" s="79" t="s">
        <v>5055</v>
      </c>
      <c r="F2053" s="79" t="s">
        <v>1294</v>
      </c>
      <c r="G2053" s="82">
        <v>28071</v>
      </c>
      <c r="H2053" s="83">
        <v>59.11</v>
      </c>
      <c r="I2053" s="82">
        <v>57610</v>
      </c>
      <c r="J2053" s="82">
        <v>49748</v>
      </c>
      <c r="K2053" s="79">
        <v>59</v>
      </c>
      <c r="L2053" s="79">
        <v>59</v>
      </c>
      <c r="M2053" s="79">
        <v>2</v>
      </c>
      <c r="N2053" s="79">
        <v>2256</v>
      </c>
      <c r="O2053">
        <f t="shared" si="606"/>
        <v>1</v>
      </c>
      <c r="P2053" s="57">
        <f t="shared" si="607"/>
        <v>1</v>
      </c>
      <c r="Q2053" s="267">
        <f t="shared" si="608"/>
        <v>47490</v>
      </c>
      <c r="R2053" s="23">
        <f t="shared" si="609"/>
        <v>28071</v>
      </c>
      <c r="S2053" s="23">
        <f t="shared" si="610"/>
        <v>18008</v>
      </c>
      <c r="T2053" s="23">
        <f t="shared" si="611"/>
        <v>10063</v>
      </c>
      <c r="U2053" t="str">
        <f t="shared" si="612"/>
        <v>CO_Arapa_2020g~State Representative - District 3 (Vote For 1)</v>
      </c>
      <c r="X2053" s="71"/>
      <c r="Z2053" s="44"/>
      <c r="AF2053" s="293"/>
    </row>
    <row r="2054" spans="1:38" ht="14.4">
      <c r="A2054" t="str">
        <f t="shared" si="605"/>
        <v>CO_Arapa_2020g~State Representative - District 3 (Vote For 1)</v>
      </c>
      <c r="B2054" s="79" t="s">
        <v>5635</v>
      </c>
      <c r="C2054" s="79" t="s">
        <v>5053</v>
      </c>
      <c r="D2054" s="79" t="s">
        <v>5053</v>
      </c>
      <c r="E2054" s="79" t="s">
        <v>5054</v>
      </c>
      <c r="F2054" s="79" t="s">
        <v>1296</v>
      </c>
      <c r="G2054" s="82">
        <v>18008</v>
      </c>
      <c r="H2054" s="83">
        <v>37.92</v>
      </c>
      <c r="I2054" s="82">
        <v>57610</v>
      </c>
      <c r="J2054" s="82">
        <v>49748</v>
      </c>
      <c r="K2054" s="79">
        <v>59</v>
      </c>
      <c r="L2054" s="79">
        <v>59</v>
      </c>
      <c r="M2054" s="79">
        <v>2</v>
      </c>
      <c r="N2054" s="79">
        <v>2256</v>
      </c>
      <c r="O2054">
        <f t="shared" si="606"/>
        <v>2</v>
      </c>
      <c r="P2054" s="57">
        <f t="shared" si="607"/>
        <v>1</v>
      </c>
      <c r="Q2054" s="267">
        <f t="shared" si="608"/>
        <v>19419</v>
      </c>
      <c r="R2054" s="23" t="str">
        <f t="shared" si="609"/>
        <v/>
      </c>
      <c r="S2054" s="23">
        <f t="shared" si="610"/>
        <v>18008</v>
      </c>
      <c r="T2054" s="23" t="str">
        <f t="shared" si="611"/>
        <v/>
      </c>
      <c r="U2054" t="str">
        <f t="shared" si="612"/>
        <v/>
      </c>
      <c r="X2054" s="71"/>
      <c r="Z2054" s="44"/>
      <c r="AF2054" s="22"/>
    </row>
    <row r="2055" spans="1:38" ht="14.4">
      <c r="A2055" t="str">
        <f t="shared" si="605"/>
        <v>CO_Arapa_2020g~State Representative - District 3 (Vote For 1)</v>
      </c>
      <c r="B2055" s="79" t="s">
        <v>5635</v>
      </c>
      <c r="C2055" s="79" t="s">
        <v>5053</v>
      </c>
      <c r="D2055" s="79" t="s">
        <v>5053</v>
      </c>
      <c r="E2055" s="79" t="s">
        <v>5056</v>
      </c>
      <c r="F2055" s="79" t="s">
        <v>4951</v>
      </c>
      <c r="G2055" s="82">
        <v>1411</v>
      </c>
      <c r="H2055" s="83">
        <v>2.97</v>
      </c>
      <c r="I2055" s="82">
        <v>57610</v>
      </c>
      <c r="J2055" s="82">
        <v>49748</v>
      </c>
      <c r="K2055" s="79">
        <v>59</v>
      </c>
      <c r="L2055" s="79">
        <v>59</v>
      </c>
      <c r="M2055" s="79">
        <v>2</v>
      </c>
      <c r="N2055" s="79">
        <v>2256</v>
      </c>
      <c r="O2055">
        <f t="shared" si="606"/>
        <v>3</v>
      </c>
      <c r="P2055" s="57">
        <f t="shared" si="607"/>
        <v>1</v>
      </c>
      <c r="Q2055" s="267">
        <f t="shared" si="608"/>
        <v>1411</v>
      </c>
      <c r="R2055" s="23" t="str">
        <f t="shared" si="609"/>
        <v/>
      </c>
      <c r="S2055" s="23">
        <f t="shared" si="610"/>
        <v>1411</v>
      </c>
      <c r="T2055" s="23" t="str">
        <f t="shared" si="611"/>
        <v/>
      </c>
      <c r="U2055" t="str">
        <f t="shared" si="612"/>
        <v/>
      </c>
      <c r="X2055" s="71"/>
      <c r="Z2055" s="44"/>
      <c r="AF2055" s="22"/>
    </row>
    <row r="2056" spans="1:38" ht="14.4">
      <c r="A2056" t="str">
        <f t="shared" si="605"/>
        <v>CO_Arapa_2020g~State Representative - District 36 (Vote For 1)</v>
      </c>
      <c r="B2056" s="79" t="s">
        <v>5635</v>
      </c>
      <c r="C2056" s="79" t="s">
        <v>5146</v>
      </c>
      <c r="D2056" s="79" t="s">
        <v>5146</v>
      </c>
      <c r="E2056" s="79" t="s">
        <v>5148</v>
      </c>
      <c r="F2056" s="79" t="s">
        <v>1294</v>
      </c>
      <c r="G2056" s="82">
        <v>26687</v>
      </c>
      <c r="H2056" s="83">
        <v>61.18</v>
      </c>
      <c r="I2056" s="82">
        <v>56340</v>
      </c>
      <c r="J2056" s="82">
        <v>45889</v>
      </c>
      <c r="K2056" s="79">
        <v>49</v>
      </c>
      <c r="L2056" s="79">
        <v>49</v>
      </c>
      <c r="M2056" s="79">
        <v>0</v>
      </c>
      <c r="N2056" s="79">
        <v>2267</v>
      </c>
      <c r="O2056">
        <f t="shared" si="606"/>
        <v>1</v>
      </c>
      <c r="P2056" s="57">
        <f t="shared" si="607"/>
        <v>1</v>
      </c>
      <c r="Q2056" s="267">
        <f t="shared" si="608"/>
        <v>43622</v>
      </c>
      <c r="R2056" s="23">
        <f t="shared" si="609"/>
        <v>26687</v>
      </c>
      <c r="S2056" s="23">
        <f t="shared" si="610"/>
        <v>16935</v>
      </c>
      <c r="T2056" s="23">
        <f t="shared" si="611"/>
        <v>9752</v>
      </c>
      <c r="U2056" t="str">
        <f t="shared" si="612"/>
        <v>CO_Arapa_2020g~State Representative - District 36 (Vote For 1)</v>
      </c>
      <c r="X2056" s="71"/>
      <c r="Z2056" s="44"/>
      <c r="AF2056" s="22"/>
      <c r="AH2056" s="8"/>
      <c r="AL2056" s="23"/>
    </row>
    <row r="2057" spans="1:38" ht="14.4">
      <c r="A2057" t="str">
        <f t="shared" si="605"/>
        <v>CO_Arapa_2020g~State Representative - District 36 (Vote For 1)</v>
      </c>
      <c r="B2057" s="79" t="s">
        <v>5635</v>
      </c>
      <c r="C2057" s="79" t="s">
        <v>5146</v>
      </c>
      <c r="D2057" s="79" t="s">
        <v>5146</v>
      </c>
      <c r="E2057" s="79" t="s">
        <v>5147</v>
      </c>
      <c r="F2057" s="79" t="s">
        <v>1296</v>
      </c>
      <c r="G2057" s="82">
        <v>16935</v>
      </c>
      <c r="H2057" s="83">
        <v>38.82</v>
      </c>
      <c r="I2057" s="82">
        <v>56340</v>
      </c>
      <c r="J2057" s="82">
        <v>45889</v>
      </c>
      <c r="K2057" s="79">
        <v>49</v>
      </c>
      <c r="L2057" s="79">
        <v>49</v>
      </c>
      <c r="M2057" s="79">
        <v>0</v>
      </c>
      <c r="N2057" s="79">
        <v>2267</v>
      </c>
      <c r="O2057">
        <f t="shared" si="606"/>
        <v>2</v>
      </c>
      <c r="P2057" s="57">
        <f t="shared" si="607"/>
        <v>1</v>
      </c>
      <c r="Q2057" s="267">
        <f t="shared" si="608"/>
        <v>16935</v>
      </c>
      <c r="R2057" s="23" t="str">
        <f t="shared" si="609"/>
        <v/>
      </c>
      <c r="S2057" s="23">
        <f t="shared" si="610"/>
        <v>16935</v>
      </c>
      <c r="T2057" s="23" t="str">
        <f t="shared" si="611"/>
        <v/>
      </c>
      <c r="U2057" t="str">
        <f t="shared" si="612"/>
        <v/>
      </c>
      <c r="X2057" s="71"/>
      <c r="Z2057" s="44"/>
      <c r="AF2057" s="22"/>
      <c r="AG2057" s="23"/>
      <c r="AH2057" s="8"/>
      <c r="AL2057" s="344"/>
    </row>
    <row r="2058" spans="1:38" ht="14.4">
      <c r="A2058" t="str">
        <f t="shared" si="605"/>
        <v>CO_Arapa_2020g~State Representative - District 37 (Vote For 1)</v>
      </c>
      <c r="B2058" s="79" t="s">
        <v>5635</v>
      </c>
      <c r="C2058" s="79" t="s">
        <v>5149</v>
      </c>
      <c r="D2058" s="79" t="s">
        <v>5149</v>
      </c>
      <c r="E2058" s="79" t="s">
        <v>5150</v>
      </c>
      <c r="F2058" s="79" t="s">
        <v>1294</v>
      </c>
      <c r="G2058" s="82">
        <v>27829</v>
      </c>
      <c r="H2058" s="83">
        <v>55.58</v>
      </c>
      <c r="I2058" s="82">
        <v>59896</v>
      </c>
      <c r="J2058" s="82">
        <v>52174</v>
      </c>
      <c r="K2058" s="79">
        <v>54</v>
      </c>
      <c r="L2058" s="79">
        <v>54</v>
      </c>
      <c r="M2058" s="79">
        <v>5</v>
      </c>
      <c r="N2058" s="79">
        <v>2098</v>
      </c>
      <c r="O2058">
        <f t="shared" si="606"/>
        <v>1</v>
      </c>
      <c r="P2058" s="57">
        <f t="shared" si="607"/>
        <v>1</v>
      </c>
      <c r="Q2058" s="267">
        <f t="shared" si="608"/>
        <v>50071</v>
      </c>
      <c r="R2058" s="23">
        <f t="shared" si="609"/>
        <v>27829</v>
      </c>
      <c r="S2058" s="23">
        <f t="shared" si="610"/>
        <v>22242</v>
      </c>
      <c r="T2058" s="23">
        <f t="shared" si="611"/>
        <v>5587</v>
      </c>
      <c r="U2058" t="str">
        <f t="shared" si="612"/>
        <v>CO_Arapa_2020g~State Representative - District 37 (Vote For 1)</v>
      </c>
      <c r="X2058" s="71"/>
      <c r="Z2058" s="44"/>
      <c r="AF2058" s="22"/>
    </row>
    <row r="2059" spans="1:38" ht="14.4">
      <c r="A2059" t="str">
        <f t="shared" si="605"/>
        <v>CO_Arapa_2020g~State Representative - District 37 (Vote For 1)</v>
      </c>
      <c r="B2059" s="79" t="s">
        <v>5635</v>
      </c>
      <c r="C2059" s="79" t="s">
        <v>5149</v>
      </c>
      <c r="D2059" s="79" t="s">
        <v>5149</v>
      </c>
      <c r="E2059" s="79" t="s">
        <v>5151</v>
      </c>
      <c r="F2059" s="79" t="s">
        <v>1296</v>
      </c>
      <c r="G2059" s="82">
        <v>22242</v>
      </c>
      <c r="H2059" s="83">
        <v>44.42</v>
      </c>
      <c r="I2059" s="82">
        <v>59896</v>
      </c>
      <c r="J2059" s="82">
        <v>52174</v>
      </c>
      <c r="K2059" s="79">
        <v>54</v>
      </c>
      <c r="L2059" s="79">
        <v>54</v>
      </c>
      <c r="M2059" s="79">
        <v>5</v>
      </c>
      <c r="N2059" s="79">
        <v>2098</v>
      </c>
      <c r="O2059">
        <f t="shared" si="606"/>
        <v>2</v>
      </c>
      <c r="P2059" s="57">
        <f t="shared" si="607"/>
        <v>1</v>
      </c>
      <c r="Q2059" s="267">
        <f t="shared" si="608"/>
        <v>22242</v>
      </c>
      <c r="R2059" s="23" t="str">
        <f t="shared" si="609"/>
        <v/>
      </c>
      <c r="S2059" s="23">
        <f t="shared" si="610"/>
        <v>22242</v>
      </c>
      <c r="T2059" s="23" t="str">
        <f t="shared" si="611"/>
        <v/>
      </c>
      <c r="U2059" t="str">
        <f t="shared" si="612"/>
        <v/>
      </c>
      <c r="X2059" s="71"/>
      <c r="Z2059" s="44"/>
      <c r="AF2059" s="22"/>
    </row>
    <row r="2060" spans="1:38" ht="14.4">
      <c r="A2060" t="str">
        <f t="shared" si="605"/>
        <v>CO_Arapa_2020g~State Representative - District 38 (Vote For 1)</v>
      </c>
      <c r="B2060" s="79" t="s">
        <v>5635</v>
      </c>
      <c r="C2060" s="79" t="s">
        <v>5152</v>
      </c>
      <c r="D2060" s="79" t="s">
        <v>5152</v>
      </c>
      <c r="E2060" s="79" t="s">
        <v>5153</v>
      </c>
      <c r="F2060" s="79" t="s">
        <v>1294</v>
      </c>
      <c r="G2060" s="82">
        <v>31504</v>
      </c>
      <c r="H2060" s="83">
        <v>55.57</v>
      </c>
      <c r="I2060" s="82">
        <v>65586</v>
      </c>
      <c r="J2060" s="82">
        <v>58918</v>
      </c>
      <c r="K2060" s="79">
        <v>67</v>
      </c>
      <c r="L2060" s="79">
        <v>67</v>
      </c>
      <c r="M2060" s="79">
        <v>5</v>
      </c>
      <c r="N2060" s="79">
        <v>2218</v>
      </c>
      <c r="O2060">
        <f t="shared" si="606"/>
        <v>1</v>
      </c>
      <c r="P2060" s="57">
        <f t="shared" si="607"/>
        <v>1</v>
      </c>
      <c r="Q2060" s="267">
        <f t="shared" si="608"/>
        <v>56695</v>
      </c>
      <c r="R2060" s="23">
        <f t="shared" si="609"/>
        <v>31504</v>
      </c>
      <c r="S2060" s="23">
        <f t="shared" si="610"/>
        <v>25191</v>
      </c>
      <c r="T2060" s="23">
        <f t="shared" si="611"/>
        <v>6313</v>
      </c>
      <c r="U2060" t="str">
        <f t="shared" si="612"/>
        <v>CO_Arapa_2020g~State Representative - District 38 (Vote For 1)</v>
      </c>
      <c r="X2060" s="71"/>
      <c r="Z2060" s="44"/>
      <c r="AF2060" s="22"/>
    </row>
    <row r="2061" spans="1:38" ht="14.4">
      <c r="A2061" t="str">
        <f t="shared" si="605"/>
        <v>CO_Arapa_2020g~State Representative - District 38 (Vote For 1)</v>
      </c>
      <c r="B2061" s="79" t="s">
        <v>5635</v>
      </c>
      <c r="C2061" s="79" t="s">
        <v>5152</v>
      </c>
      <c r="D2061" s="79" t="s">
        <v>5152</v>
      </c>
      <c r="E2061" s="79" t="s">
        <v>5154</v>
      </c>
      <c r="F2061" s="79" t="s">
        <v>1296</v>
      </c>
      <c r="G2061" s="82">
        <v>25191</v>
      </c>
      <c r="H2061" s="83">
        <v>44.43</v>
      </c>
      <c r="I2061" s="82">
        <v>65586</v>
      </c>
      <c r="J2061" s="82">
        <v>58918</v>
      </c>
      <c r="K2061" s="79">
        <v>67</v>
      </c>
      <c r="L2061" s="79">
        <v>67</v>
      </c>
      <c r="M2061" s="79">
        <v>5</v>
      </c>
      <c r="N2061" s="79">
        <v>2218</v>
      </c>
      <c r="O2061">
        <f t="shared" si="606"/>
        <v>2</v>
      </c>
      <c r="P2061" s="57">
        <f t="shared" si="607"/>
        <v>1</v>
      </c>
      <c r="Q2061" s="267">
        <f t="shared" si="608"/>
        <v>25191</v>
      </c>
      <c r="R2061" s="23" t="str">
        <f t="shared" si="609"/>
        <v/>
      </c>
      <c r="S2061" s="23">
        <f t="shared" si="610"/>
        <v>25191</v>
      </c>
      <c r="T2061" s="23" t="str">
        <f t="shared" si="611"/>
        <v/>
      </c>
      <c r="U2061" t="str">
        <f t="shared" si="612"/>
        <v/>
      </c>
      <c r="X2061" s="71"/>
      <c r="Z2061" s="44"/>
      <c r="AF2061" s="22"/>
    </row>
    <row r="2062" spans="1:38" ht="14.4">
      <c r="A2062" t="str">
        <f t="shared" si="605"/>
        <v>CO_Arapa_2020g~State Representative - District 40 (Vote For 1)</v>
      </c>
      <c r="B2062" s="79" t="s">
        <v>5635</v>
      </c>
      <c r="C2062" s="79" t="s">
        <v>5159</v>
      </c>
      <c r="D2062" s="79" t="s">
        <v>5159</v>
      </c>
      <c r="E2062" s="79" t="s">
        <v>5161</v>
      </c>
      <c r="F2062" s="79" t="s">
        <v>1294</v>
      </c>
      <c r="G2062" s="82">
        <v>25508</v>
      </c>
      <c r="H2062" s="83">
        <v>59.16</v>
      </c>
      <c r="I2062" s="82">
        <v>54407</v>
      </c>
      <c r="J2062" s="82">
        <v>45272</v>
      </c>
      <c r="K2062" s="79">
        <v>49</v>
      </c>
      <c r="L2062" s="79">
        <v>49</v>
      </c>
      <c r="M2062" s="79">
        <v>11</v>
      </c>
      <c r="N2062" s="79">
        <v>2141</v>
      </c>
      <c r="O2062">
        <f t="shared" si="606"/>
        <v>1</v>
      </c>
      <c r="P2062" s="57">
        <f t="shared" si="607"/>
        <v>1</v>
      </c>
      <c r="Q2062" s="267">
        <f t="shared" si="608"/>
        <v>43120</v>
      </c>
      <c r="R2062" s="23">
        <f t="shared" si="609"/>
        <v>25508</v>
      </c>
      <c r="S2062" s="23">
        <f t="shared" si="610"/>
        <v>15807</v>
      </c>
      <c r="T2062" s="23">
        <f t="shared" si="611"/>
        <v>9701</v>
      </c>
      <c r="U2062" t="str">
        <f t="shared" si="612"/>
        <v>CO_Arapa_2020g~State Representative - District 40 (Vote For 1)</v>
      </c>
      <c r="X2062" s="71"/>
      <c r="Z2062" s="44"/>
      <c r="AF2062" s="22"/>
      <c r="AH2062" s="8"/>
      <c r="AL2062" s="23"/>
    </row>
    <row r="2063" spans="1:38" ht="14.4">
      <c r="A2063" t="str">
        <f t="shared" si="605"/>
        <v>CO_Arapa_2020g~State Representative - District 40 (Vote For 1)</v>
      </c>
      <c r="B2063" s="79" t="s">
        <v>5635</v>
      </c>
      <c r="C2063" s="79" t="s">
        <v>5159</v>
      </c>
      <c r="D2063" s="79" t="s">
        <v>5159</v>
      </c>
      <c r="E2063" s="79" t="s">
        <v>5160</v>
      </c>
      <c r="F2063" s="79" t="s">
        <v>1296</v>
      </c>
      <c r="G2063" s="82">
        <v>15807</v>
      </c>
      <c r="H2063" s="83">
        <v>36.659999999999997</v>
      </c>
      <c r="I2063" s="82">
        <v>54407</v>
      </c>
      <c r="J2063" s="82">
        <v>45272</v>
      </c>
      <c r="K2063" s="79">
        <v>49</v>
      </c>
      <c r="L2063" s="79">
        <v>49</v>
      </c>
      <c r="M2063" s="79">
        <v>11</v>
      </c>
      <c r="N2063" s="79">
        <v>2141</v>
      </c>
      <c r="O2063">
        <f t="shared" si="606"/>
        <v>2</v>
      </c>
      <c r="P2063" s="57">
        <f t="shared" si="607"/>
        <v>1</v>
      </c>
      <c r="Q2063" s="267">
        <f t="shared" si="608"/>
        <v>17612</v>
      </c>
      <c r="R2063" s="23" t="str">
        <f t="shared" si="609"/>
        <v/>
      </c>
      <c r="S2063" s="23">
        <f t="shared" si="610"/>
        <v>15807</v>
      </c>
      <c r="T2063" s="23" t="str">
        <f t="shared" si="611"/>
        <v/>
      </c>
      <c r="U2063" t="str">
        <f t="shared" si="612"/>
        <v/>
      </c>
      <c r="X2063" s="71"/>
      <c r="Z2063" s="44"/>
      <c r="AF2063" s="293"/>
    </row>
    <row r="2064" spans="1:38" ht="14.4">
      <c r="A2064" t="str">
        <f t="shared" si="605"/>
        <v>CO_Arapa_2020g~State Representative - District 40 (Vote For 1)</v>
      </c>
      <c r="B2064" s="79" t="s">
        <v>5635</v>
      </c>
      <c r="C2064" s="79" t="s">
        <v>5159</v>
      </c>
      <c r="D2064" s="79" t="s">
        <v>5159</v>
      </c>
      <c r="E2064" s="79" t="s">
        <v>5162</v>
      </c>
      <c r="F2064" s="79" t="s">
        <v>4951</v>
      </c>
      <c r="G2064" s="82">
        <v>1805</v>
      </c>
      <c r="H2064" s="83">
        <v>4.1900000000000004</v>
      </c>
      <c r="I2064" s="82">
        <v>54407</v>
      </c>
      <c r="J2064" s="82">
        <v>45272</v>
      </c>
      <c r="K2064" s="79">
        <v>49</v>
      </c>
      <c r="L2064" s="79">
        <v>49</v>
      </c>
      <c r="M2064" s="79">
        <v>11</v>
      </c>
      <c r="N2064" s="79">
        <v>2141</v>
      </c>
      <c r="O2064">
        <f t="shared" si="606"/>
        <v>3</v>
      </c>
      <c r="P2064" s="57">
        <f t="shared" si="607"/>
        <v>1</v>
      </c>
      <c r="Q2064" s="267">
        <f t="shared" si="608"/>
        <v>1805</v>
      </c>
      <c r="R2064" s="23" t="str">
        <f t="shared" si="609"/>
        <v/>
      </c>
      <c r="S2064" s="23">
        <f t="shared" si="610"/>
        <v>1805</v>
      </c>
      <c r="T2064" s="23" t="str">
        <f t="shared" si="611"/>
        <v/>
      </c>
      <c r="U2064" t="str">
        <f t="shared" si="612"/>
        <v/>
      </c>
      <c r="X2064" s="71"/>
      <c r="Z2064" s="44"/>
      <c r="AF2064" s="22"/>
    </row>
    <row r="2065" spans="1:38" ht="14.4">
      <c r="A2065" t="str">
        <f t="shared" si="605"/>
        <v>CO_Arapa_2020g~State Representative - District 41 (Vote For 1)</v>
      </c>
      <c r="B2065" s="79" t="s">
        <v>5635</v>
      </c>
      <c r="C2065" s="79" t="s">
        <v>5163</v>
      </c>
      <c r="D2065" s="79" t="s">
        <v>5163</v>
      </c>
      <c r="E2065" s="79" t="s">
        <v>5165</v>
      </c>
      <c r="F2065" s="79" t="s">
        <v>1294</v>
      </c>
      <c r="G2065" s="82">
        <v>26167</v>
      </c>
      <c r="H2065" s="83">
        <v>65.97</v>
      </c>
      <c r="I2065" s="82">
        <v>50404</v>
      </c>
      <c r="J2065" s="82">
        <v>41931</v>
      </c>
      <c r="K2065" s="79">
        <v>47</v>
      </c>
      <c r="L2065" s="79">
        <v>47</v>
      </c>
      <c r="M2065" s="79">
        <v>5</v>
      </c>
      <c r="N2065" s="79">
        <v>2258</v>
      </c>
      <c r="O2065">
        <f t="shared" si="606"/>
        <v>1</v>
      </c>
      <c r="P2065" s="57">
        <f t="shared" si="607"/>
        <v>1</v>
      </c>
      <c r="Q2065" s="267">
        <f t="shared" si="608"/>
        <v>39668</v>
      </c>
      <c r="R2065" s="23">
        <f t="shared" si="609"/>
        <v>26167</v>
      </c>
      <c r="S2065" s="23">
        <f t="shared" si="610"/>
        <v>13501</v>
      </c>
      <c r="T2065" s="23">
        <f t="shared" si="611"/>
        <v>12666</v>
      </c>
      <c r="U2065" t="str">
        <f t="shared" si="612"/>
        <v>CO_Arapa_2020g~State Representative - District 41 (Vote For 1)</v>
      </c>
      <c r="X2065" s="71"/>
      <c r="Z2065" s="44"/>
      <c r="AF2065" s="22"/>
    </row>
    <row r="2066" spans="1:38" ht="14.4">
      <c r="A2066" t="str">
        <f t="shared" si="605"/>
        <v>CO_Arapa_2020g~State Representative - District 41 (Vote For 1)</v>
      </c>
      <c r="B2066" s="79" t="s">
        <v>5635</v>
      </c>
      <c r="C2066" s="79" t="s">
        <v>5163</v>
      </c>
      <c r="D2066" s="79" t="s">
        <v>5163</v>
      </c>
      <c r="E2066" s="79" t="s">
        <v>5164</v>
      </c>
      <c r="F2066" s="79" t="s">
        <v>1296</v>
      </c>
      <c r="G2066" s="82">
        <v>13501</v>
      </c>
      <c r="H2066" s="83">
        <v>34.03</v>
      </c>
      <c r="I2066" s="82">
        <v>50404</v>
      </c>
      <c r="J2066" s="82">
        <v>41931</v>
      </c>
      <c r="K2066" s="79">
        <v>47</v>
      </c>
      <c r="L2066" s="79">
        <v>47</v>
      </c>
      <c r="M2066" s="79">
        <v>5</v>
      </c>
      <c r="N2066" s="79">
        <v>2258</v>
      </c>
      <c r="O2066">
        <f t="shared" si="606"/>
        <v>2</v>
      </c>
      <c r="P2066" s="57">
        <f t="shared" si="607"/>
        <v>1</v>
      </c>
      <c r="Q2066" s="267">
        <f t="shared" si="608"/>
        <v>13501</v>
      </c>
      <c r="R2066" s="23" t="str">
        <f t="shared" si="609"/>
        <v/>
      </c>
      <c r="S2066" s="23">
        <f t="shared" si="610"/>
        <v>13501</v>
      </c>
      <c r="T2066" s="23" t="str">
        <f t="shared" si="611"/>
        <v/>
      </c>
      <c r="U2066" t="str">
        <f t="shared" si="612"/>
        <v/>
      </c>
      <c r="X2066" s="71"/>
      <c r="Z2066" s="44"/>
      <c r="AF2066" s="22"/>
    </row>
    <row r="2067" spans="1:38" ht="14.4">
      <c r="A2067" t="str">
        <f t="shared" si="605"/>
        <v>CO_Arapa_2020g~State Representative - District 42 (Vote For 1)</v>
      </c>
      <c r="B2067" s="79" t="s">
        <v>5635</v>
      </c>
      <c r="C2067" s="79" t="s">
        <v>5166</v>
      </c>
      <c r="D2067" s="79" t="s">
        <v>5166</v>
      </c>
      <c r="E2067" s="79" t="s">
        <v>5167</v>
      </c>
      <c r="F2067" s="79" t="s">
        <v>1294</v>
      </c>
      <c r="G2067" s="82">
        <v>22211</v>
      </c>
      <c r="H2067" s="83">
        <v>100</v>
      </c>
      <c r="I2067" s="82">
        <v>37549</v>
      </c>
      <c r="J2067" s="82">
        <v>28198</v>
      </c>
      <c r="K2067" s="79">
        <v>37</v>
      </c>
      <c r="L2067" s="79">
        <v>37</v>
      </c>
      <c r="M2067" s="79">
        <v>0</v>
      </c>
      <c r="N2067" s="79">
        <v>5987</v>
      </c>
      <c r="O2067">
        <f t="shared" si="606"/>
        <v>1</v>
      </c>
      <c r="P2067" s="57">
        <f t="shared" si="607"/>
        <v>1</v>
      </c>
      <c r="Q2067" s="267">
        <f t="shared" si="608"/>
        <v>22211</v>
      </c>
      <c r="R2067" s="23">
        <f t="shared" si="609"/>
        <v>22211</v>
      </c>
      <c r="S2067" s="23">
        <f t="shared" si="610"/>
        <v>0</v>
      </c>
      <c r="T2067" s="23" t="str">
        <f t="shared" si="611"/>
        <v/>
      </c>
      <c r="U2067" t="str">
        <f t="shared" si="612"/>
        <v>CO_Arapa_2020g~State Representative - District 42 (Vote For 1)</v>
      </c>
      <c r="X2067" s="71"/>
      <c r="Z2067" s="44"/>
      <c r="AF2067" s="22"/>
    </row>
    <row r="2068" spans="1:38" ht="14.4">
      <c r="A2068" t="str">
        <f t="shared" si="605"/>
        <v>CO_Arapa_2020g~State Senator - District 26 (Vote For 1)</v>
      </c>
      <c r="B2068" s="79" t="s">
        <v>5635</v>
      </c>
      <c r="C2068" s="79" t="s">
        <v>5028</v>
      </c>
      <c r="D2068" s="79" t="s">
        <v>5028</v>
      </c>
      <c r="E2068" s="79" t="s">
        <v>5029</v>
      </c>
      <c r="F2068" s="79" t="s">
        <v>1294</v>
      </c>
      <c r="G2068" s="82">
        <v>54275</v>
      </c>
      <c r="H2068" s="83">
        <v>60.56</v>
      </c>
      <c r="I2068" s="82">
        <v>107985</v>
      </c>
      <c r="J2068" s="82">
        <v>93326</v>
      </c>
      <c r="K2068" s="79">
        <v>110</v>
      </c>
      <c r="L2068" s="79">
        <v>110</v>
      </c>
      <c r="M2068" s="79">
        <v>21</v>
      </c>
      <c r="N2068" s="79">
        <v>3680</v>
      </c>
      <c r="O2068">
        <f t="shared" si="606"/>
        <v>1</v>
      </c>
      <c r="P2068" s="57">
        <f t="shared" si="607"/>
        <v>1</v>
      </c>
      <c r="Q2068" s="267">
        <f t="shared" si="608"/>
        <v>89625</v>
      </c>
      <c r="R2068" s="23">
        <f t="shared" si="609"/>
        <v>54275</v>
      </c>
      <c r="S2068" s="23">
        <f t="shared" si="610"/>
        <v>32984</v>
      </c>
      <c r="T2068" s="23">
        <f t="shared" si="611"/>
        <v>21291</v>
      </c>
      <c r="U2068" t="str">
        <f t="shared" si="612"/>
        <v>CO_Arapa_2020g~State Senator - District 26 (Vote For 1)</v>
      </c>
      <c r="X2068" s="71"/>
      <c r="Z2068" s="44"/>
      <c r="AF2068" s="22"/>
    </row>
    <row r="2069" spans="1:38" ht="14.4">
      <c r="A2069" t="str">
        <f t="shared" si="605"/>
        <v>CO_Arapa_2020g~State Senator - District 26 (Vote For 1)</v>
      </c>
      <c r="B2069" s="79" t="s">
        <v>5635</v>
      </c>
      <c r="C2069" s="79" t="s">
        <v>5028</v>
      </c>
      <c r="D2069" s="79" t="s">
        <v>5028</v>
      </c>
      <c r="E2069" s="79" t="s">
        <v>5030</v>
      </c>
      <c r="F2069" s="79" t="s">
        <v>1296</v>
      </c>
      <c r="G2069" s="82">
        <v>32984</v>
      </c>
      <c r="H2069" s="83">
        <v>36.799999999999997</v>
      </c>
      <c r="I2069" s="82">
        <v>107985</v>
      </c>
      <c r="J2069" s="82">
        <v>93326</v>
      </c>
      <c r="K2069" s="79">
        <v>110</v>
      </c>
      <c r="L2069" s="79">
        <v>110</v>
      </c>
      <c r="M2069" s="79">
        <v>21</v>
      </c>
      <c r="N2069" s="79">
        <v>3680</v>
      </c>
      <c r="O2069">
        <f t="shared" si="606"/>
        <v>2</v>
      </c>
      <c r="P2069" s="57">
        <f t="shared" si="607"/>
        <v>1</v>
      </c>
      <c r="Q2069" s="267">
        <f t="shared" si="608"/>
        <v>35350</v>
      </c>
      <c r="R2069" s="23" t="str">
        <f t="shared" si="609"/>
        <v/>
      </c>
      <c r="S2069" s="23">
        <f t="shared" si="610"/>
        <v>32984</v>
      </c>
      <c r="T2069" s="23" t="str">
        <f t="shared" si="611"/>
        <v/>
      </c>
      <c r="U2069" t="str">
        <f t="shared" si="612"/>
        <v/>
      </c>
      <c r="X2069" s="71"/>
      <c r="Z2069" s="44"/>
      <c r="AF2069" s="22"/>
    </row>
    <row r="2070" spans="1:38" ht="14.4">
      <c r="A2070" t="str">
        <f t="shared" si="605"/>
        <v>CO_Arapa_2020g~State Senator - District 26 (Vote For 1)</v>
      </c>
      <c r="B2070" s="79" t="s">
        <v>5635</v>
      </c>
      <c r="C2070" s="79" t="s">
        <v>5028</v>
      </c>
      <c r="D2070" s="79" t="s">
        <v>5028</v>
      </c>
      <c r="E2070" s="79" t="s">
        <v>5031</v>
      </c>
      <c r="F2070" s="79" t="s">
        <v>4951</v>
      </c>
      <c r="G2070" s="82">
        <v>2366</v>
      </c>
      <c r="H2070" s="83">
        <v>2.64</v>
      </c>
      <c r="I2070" s="82">
        <v>107985</v>
      </c>
      <c r="J2070" s="82">
        <v>93326</v>
      </c>
      <c r="K2070" s="79">
        <v>110</v>
      </c>
      <c r="L2070" s="79">
        <v>110</v>
      </c>
      <c r="M2070" s="79">
        <v>21</v>
      </c>
      <c r="N2070" s="79">
        <v>3680</v>
      </c>
      <c r="O2070">
        <f t="shared" si="606"/>
        <v>3</v>
      </c>
      <c r="P2070" s="57">
        <f t="shared" si="607"/>
        <v>1</v>
      </c>
      <c r="Q2070" s="267">
        <f t="shared" si="608"/>
        <v>2366</v>
      </c>
      <c r="R2070" s="23" t="str">
        <f t="shared" si="609"/>
        <v/>
      </c>
      <c r="S2070" s="23">
        <f t="shared" si="610"/>
        <v>2366</v>
      </c>
      <c r="T2070" s="23" t="str">
        <f t="shared" si="611"/>
        <v/>
      </c>
      <c r="U2070" t="str">
        <f t="shared" si="612"/>
        <v/>
      </c>
      <c r="X2070" s="71"/>
      <c r="Z2070" s="44"/>
      <c r="AF2070" s="22"/>
    </row>
    <row r="2071" spans="1:38" ht="14.4">
      <c r="A2071" t="str">
        <f t="shared" si="605"/>
        <v>CO_Arapa_2020g~State Senator - District 27 (Vote For 1)</v>
      </c>
      <c r="B2071" s="79" t="s">
        <v>5635</v>
      </c>
      <c r="C2071" s="79" t="s">
        <v>5032</v>
      </c>
      <c r="D2071" s="79" t="s">
        <v>5032</v>
      </c>
      <c r="E2071" s="79" t="s">
        <v>5033</v>
      </c>
      <c r="F2071" s="79" t="s">
        <v>1294</v>
      </c>
      <c r="G2071" s="82">
        <v>51005</v>
      </c>
      <c r="H2071" s="83">
        <v>55.3</v>
      </c>
      <c r="I2071" s="82">
        <v>109340</v>
      </c>
      <c r="J2071" s="82">
        <v>96105</v>
      </c>
      <c r="K2071" s="79">
        <v>102</v>
      </c>
      <c r="L2071" s="79">
        <v>102</v>
      </c>
      <c r="M2071" s="79">
        <v>10</v>
      </c>
      <c r="N2071" s="79">
        <v>3868</v>
      </c>
      <c r="O2071">
        <f t="shared" si="606"/>
        <v>1</v>
      </c>
      <c r="P2071" s="57">
        <f t="shared" si="607"/>
        <v>1</v>
      </c>
      <c r="Q2071" s="267">
        <f t="shared" si="608"/>
        <v>92227</v>
      </c>
      <c r="R2071" s="23">
        <f t="shared" si="609"/>
        <v>51005</v>
      </c>
      <c r="S2071" s="23">
        <f t="shared" si="610"/>
        <v>41222</v>
      </c>
      <c r="T2071" s="23">
        <f t="shared" si="611"/>
        <v>9783</v>
      </c>
      <c r="U2071" t="str">
        <f t="shared" si="612"/>
        <v>CO_Arapa_2020g~State Senator - District 27 (Vote For 1)</v>
      </c>
      <c r="X2071" s="71"/>
      <c r="Z2071" s="44"/>
      <c r="AF2071" s="22"/>
    </row>
    <row r="2072" spans="1:38" ht="14.4">
      <c r="A2072" t="str">
        <f t="shared" si="605"/>
        <v>CO_Arapa_2020g~State Senator - District 27 (Vote For 1)</v>
      </c>
      <c r="B2072" s="79" t="s">
        <v>5635</v>
      </c>
      <c r="C2072" s="79" t="s">
        <v>5032</v>
      </c>
      <c r="D2072" s="79" t="s">
        <v>5032</v>
      </c>
      <c r="E2072" s="79" t="s">
        <v>5034</v>
      </c>
      <c r="F2072" s="79" t="s">
        <v>1296</v>
      </c>
      <c r="G2072" s="82">
        <v>41222</v>
      </c>
      <c r="H2072" s="83">
        <v>44.7</v>
      </c>
      <c r="I2072" s="82">
        <v>109340</v>
      </c>
      <c r="J2072" s="82">
        <v>96105</v>
      </c>
      <c r="K2072" s="79">
        <v>102</v>
      </c>
      <c r="L2072" s="79">
        <v>102</v>
      </c>
      <c r="M2072" s="79">
        <v>10</v>
      </c>
      <c r="N2072" s="79">
        <v>3868</v>
      </c>
      <c r="O2072">
        <f t="shared" si="606"/>
        <v>2</v>
      </c>
      <c r="P2072" s="57">
        <f t="shared" si="607"/>
        <v>1</v>
      </c>
      <c r="Q2072" s="267">
        <f t="shared" si="608"/>
        <v>41222</v>
      </c>
      <c r="R2072" s="23" t="str">
        <f t="shared" si="609"/>
        <v/>
      </c>
      <c r="S2072" s="23">
        <f t="shared" si="610"/>
        <v>41222</v>
      </c>
      <c r="T2072" s="23" t="str">
        <f t="shared" si="611"/>
        <v/>
      </c>
      <c r="U2072" t="str">
        <f t="shared" si="612"/>
        <v/>
      </c>
      <c r="X2072" s="71"/>
      <c r="Z2072" s="44"/>
      <c r="AF2072" s="300"/>
    </row>
    <row r="2073" spans="1:38" ht="14.4">
      <c r="A2073" t="str">
        <f t="shared" si="605"/>
        <v>CO_Arapa_2020g~State Senator - District 28 (Vote For 1)</v>
      </c>
      <c r="B2073" s="79" t="s">
        <v>5635</v>
      </c>
      <c r="C2073" s="79" t="s">
        <v>5035</v>
      </c>
      <c r="D2073" s="79" t="s">
        <v>5035</v>
      </c>
      <c r="E2073" s="79" t="s">
        <v>5037</v>
      </c>
      <c r="F2073" s="79" t="s">
        <v>1294</v>
      </c>
      <c r="G2073" s="82">
        <v>51028</v>
      </c>
      <c r="H2073" s="83">
        <v>61.92</v>
      </c>
      <c r="I2073" s="82">
        <v>103574</v>
      </c>
      <c r="J2073" s="82">
        <v>86236</v>
      </c>
      <c r="K2073" s="79">
        <v>86</v>
      </c>
      <c r="L2073" s="79">
        <v>86</v>
      </c>
      <c r="M2073" s="79">
        <v>9</v>
      </c>
      <c r="N2073" s="79">
        <v>3812</v>
      </c>
      <c r="O2073">
        <f t="shared" si="606"/>
        <v>1</v>
      </c>
      <c r="P2073" s="57">
        <f t="shared" si="607"/>
        <v>1</v>
      </c>
      <c r="Q2073" s="267">
        <f t="shared" si="608"/>
        <v>82415</v>
      </c>
      <c r="R2073" s="23">
        <f t="shared" si="609"/>
        <v>51028</v>
      </c>
      <c r="S2073" s="23">
        <f t="shared" si="610"/>
        <v>31387</v>
      </c>
      <c r="T2073" s="23">
        <f t="shared" si="611"/>
        <v>19641</v>
      </c>
      <c r="U2073" t="str">
        <f t="shared" si="612"/>
        <v>CO_Arapa_2020g~State Senator - District 28 (Vote For 1)</v>
      </c>
      <c r="X2073" s="71"/>
      <c r="Z2073" s="44"/>
      <c r="AF2073" s="22"/>
      <c r="AH2073" s="8"/>
      <c r="AL2073" s="23"/>
    </row>
    <row r="2074" spans="1:38" ht="14.4">
      <c r="A2074" t="str">
        <f t="shared" si="605"/>
        <v>CO_Arapa_2020g~State Senator - District 28 (Vote For 1)</v>
      </c>
      <c r="B2074" s="79" t="s">
        <v>5635</v>
      </c>
      <c r="C2074" s="79" t="s">
        <v>5035</v>
      </c>
      <c r="D2074" s="79" t="s">
        <v>5035</v>
      </c>
      <c r="E2074" s="79" t="s">
        <v>5036</v>
      </c>
      <c r="F2074" s="79" t="s">
        <v>1296</v>
      </c>
      <c r="G2074" s="82">
        <v>31387</v>
      </c>
      <c r="H2074" s="83">
        <v>38.08</v>
      </c>
      <c r="I2074" s="82">
        <v>103574</v>
      </c>
      <c r="J2074" s="82">
        <v>86236</v>
      </c>
      <c r="K2074" s="79">
        <v>86</v>
      </c>
      <c r="L2074" s="79">
        <v>86</v>
      </c>
      <c r="M2074" s="79">
        <v>9</v>
      </c>
      <c r="N2074" s="79">
        <v>3812</v>
      </c>
      <c r="O2074">
        <f t="shared" si="606"/>
        <v>2</v>
      </c>
      <c r="P2074" s="57">
        <f t="shared" si="607"/>
        <v>1</v>
      </c>
      <c r="Q2074" s="267">
        <f t="shared" si="608"/>
        <v>31387</v>
      </c>
      <c r="R2074" s="23" t="str">
        <f t="shared" si="609"/>
        <v/>
      </c>
      <c r="S2074" s="23">
        <f t="shared" si="610"/>
        <v>31387</v>
      </c>
      <c r="T2074" s="23" t="str">
        <f t="shared" si="611"/>
        <v/>
      </c>
      <c r="U2074" t="str">
        <f t="shared" si="612"/>
        <v/>
      </c>
      <c r="X2074" s="71"/>
      <c r="Z2074" s="44"/>
      <c r="AF2074" s="22"/>
    </row>
    <row r="2075" spans="1:38" ht="14.4">
      <c r="A2075" t="str">
        <f t="shared" si="605"/>
        <v>CO_Arapa_2020g~State Senator - District 29 (Vote For 1)</v>
      </c>
      <c r="B2075" s="79" t="s">
        <v>5635</v>
      </c>
      <c r="C2075" s="79" t="s">
        <v>5038</v>
      </c>
      <c r="D2075" s="79" t="s">
        <v>5038</v>
      </c>
      <c r="E2075" s="79" t="s">
        <v>5039</v>
      </c>
      <c r="F2075" s="79" t="s">
        <v>1294</v>
      </c>
      <c r="G2075" s="82">
        <v>45828</v>
      </c>
      <c r="H2075" s="83">
        <v>68.66</v>
      </c>
      <c r="I2075" s="82">
        <v>92826</v>
      </c>
      <c r="J2075" s="82">
        <v>74258</v>
      </c>
      <c r="K2075" s="79">
        <v>86</v>
      </c>
      <c r="L2075" s="79">
        <v>86</v>
      </c>
      <c r="M2075" s="79">
        <v>8</v>
      </c>
      <c r="N2075" s="79">
        <v>7508</v>
      </c>
      <c r="O2075">
        <f t="shared" si="606"/>
        <v>1</v>
      </c>
      <c r="P2075" s="57">
        <f t="shared" si="607"/>
        <v>1</v>
      </c>
      <c r="Q2075" s="267">
        <f t="shared" si="608"/>
        <v>66742</v>
      </c>
      <c r="R2075" s="23">
        <f t="shared" si="609"/>
        <v>45828</v>
      </c>
      <c r="S2075" s="23">
        <f t="shared" si="610"/>
        <v>20914</v>
      </c>
      <c r="T2075" s="23">
        <f t="shared" si="611"/>
        <v>24914</v>
      </c>
      <c r="U2075" t="str">
        <f t="shared" si="612"/>
        <v>CO_Arapa_2020g~State Senator - District 29 (Vote For 1)</v>
      </c>
      <c r="X2075" s="71"/>
      <c r="Z2075" s="44"/>
      <c r="AF2075" s="22"/>
      <c r="AG2075" s="23"/>
      <c r="AH2075" s="8"/>
    </row>
    <row r="2076" spans="1:38" ht="14.4">
      <c r="A2076" t="str">
        <f t="shared" si="605"/>
        <v>CO_Arapa_2020g~State Senator - District 29 (Vote For 1)</v>
      </c>
      <c r="B2076" s="79" t="s">
        <v>5635</v>
      </c>
      <c r="C2076" s="79" t="s">
        <v>5038</v>
      </c>
      <c r="D2076" s="79" t="s">
        <v>5038</v>
      </c>
      <c r="E2076" s="79" t="s">
        <v>5040</v>
      </c>
      <c r="F2076" s="79" t="s">
        <v>4951</v>
      </c>
      <c r="G2076" s="82">
        <v>20914</v>
      </c>
      <c r="H2076" s="83">
        <v>31.34</v>
      </c>
      <c r="I2076" s="82">
        <v>92826</v>
      </c>
      <c r="J2076" s="82">
        <v>74258</v>
      </c>
      <c r="K2076" s="79">
        <v>86</v>
      </c>
      <c r="L2076" s="79">
        <v>86</v>
      </c>
      <c r="M2076" s="79">
        <v>8</v>
      </c>
      <c r="N2076" s="79">
        <v>7508</v>
      </c>
      <c r="O2076">
        <f t="shared" si="606"/>
        <v>2</v>
      </c>
      <c r="P2076" s="57">
        <f t="shared" si="607"/>
        <v>1</v>
      </c>
      <c r="Q2076" s="267">
        <f t="shared" si="608"/>
        <v>20914</v>
      </c>
      <c r="R2076" s="23" t="str">
        <f t="shared" si="609"/>
        <v/>
      </c>
      <c r="S2076" s="23">
        <f t="shared" si="610"/>
        <v>20914</v>
      </c>
      <c r="T2076" s="23" t="str">
        <f t="shared" si="611"/>
        <v/>
      </c>
      <c r="U2076" t="str">
        <f t="shared" si="612"/>
        <v/>
      </c>
      <c r="X2076" s="71"/>
      <c r="Z2076" s="44"/>
      <c r="AF2076" s="22"/>
    </row>
    <row r="2077" spans="1:38" ht="14.4">
      <c r="A2077" t="str">
        <f t="shared" si="605"/>
        <v>CO_Arapa_2020g~Sundance Hills Metro District Ballot Issue 6B (Vote For 1)</v>
      </c>
      <c r="B2077" s="79" t="s">
        <v>5635</v>
      </c>
      <c r="C2077" s="79" t="s">
        <v>5519</v>
      </c>
      <c r="D2077" s="79" t="s">
        <v>5519</v>
      </c>
      <c r="E2077" s="79" t="s">
        <v>1393</v>
      </c>
      <c r="F2077" s="79" t="s">
        <v>1508</v>
      </c>
      <c r="G2077" s="82">
        <v>390</v>
      </c>
      <c r="H2077" s="83">
        <v>56.52</v>
      </c>
      <c r="I2077" s="82">
        <v>870</v>
      </c>
      <c r="J2077" s="82">
        <v>794</v>
      </c>
      <c r="K2077" s="79">
        <v>2</v>
      </c>
      <c r="L2077" s="79">
        <v>2</v>
      </c>
      <c r="M2077" s="79">
        <v>0</v>
      </c>
      <c r="N2077" s="79">
        <v>55</v>
      </c>
      <c r="O2077">
        <f t="shared" si="606"/>
        <v>1</v>
      </c>
      <c r="P2077" s="57">
        <f t="shared" si="607"/>
        <v>1</v>
      </c>
      <c r="Q2077" s="267">
        <f t="shared" si="608"/>
        <v>690</v>
      </c>
      <c r="R2077" s="23">
        <f t="shared" si="609"/>
        <v>390</v>
      </c>
      <c r="S2077" s="23">
        <f t="shared" si="610"/>
        <v>300</v>
      </c>
      <c r="T2077" s="23">
        <f t="shared" si="611"/>
        <v>90</v>
      </c>
      <c r="U2077" t="str">
        <f t="shared" si="612"/>
        <v>CO_Arapa_2020g~Sundance Hills Metro District Ballot Issue 6B (Vote For 1)</v>
      </c>
      <c r="X2077" s="71"/>
      <c r="Z2077" s="44"/>
      <c r="AF2077" s="22"/>
    </row>
    <row r="2078" spans="1:38" ht="14.4">
      <c r="A2078" t="str">
        <f t="shared" si="605"/>
        <v>CO_Arapa_2020g~Sundance Hills Metro District Ballot Issue 6B (Vote For 1)</v>
      </c>
      <c r="B2078" s="79" t="s">
        <v>5635</v>
      </c>
      <c r="C2078" s="79" t="s">
        <v>5519</v>
      </c>
      <c r="D2078" s="79" t="s">
        <v>5519</v>
      </c>
      <c r="E2078" s="79" t="s">
        <v>1394</v>
      </c>
      <c r="F2078" s="79" t="s">
        <v>1509</v>
      </c>
      <c r="G2078" s="82">
        <v>300</v>
      </c>
      <c r="H2078" s="83">
        <v>43.48</v>
      </c>
      <c r="I2078" s="82">
        <v>870</v>
      </c>
      <c r="J2078" s="82">
        <v>794</v>
      </c>
      <c r="K2078" s="79">
        <v>2</v>
      </c>
      <c r="L2078" s="79">
        <v>2</v>
      </c>
      <c r="M2078" s="79">
        <v>0</v>
      </c>
      <c r="N2078" s="79">
        <v>55</v>
      </c>
      <c r="O2078">
        <f t="shared" si="606"/>
        <v>2</v>
      </c>
      <c r="P2078" s="57">
        <f t="shared" si="607"/>
        <v>1</v>
      </c>
      <c r="Q2078" s="267">
        <f t="shared" si="608"/>
        <v>300</v>
      </c>
      <c r="R2078" s="23" t="str">
        <f t="shared" si="609"/>
        <v/>
      </c>
      <c r="S2078" s="23">
        <f t="shared" si="610"/>
        <v>300</v>
      </c>
      <c r="T2078" s="23" t="str">
        <f t="shared" si="611"/>
        <v/>
      </c>
      <c r="U2078" t="str">
        <f t="shared" si="612"/>
        <v/>
      </c>
      <c r="X2078" s="71"/>
      <c r="Z2078" s="44"/>
      <c r="AF2078" s="22"/>
      <c r="AG2078" s="23"/>
      <c r="AH2078" s="8"/>
    </row>
    <row r="2079" spans="1:38" ht="14.4">
      <c r="A2079" t="str">
        <f t="shared" si="605"/>
        <v>CO_Arapa_2020g~w/Adams_Byers School District 32J Ballot Issue 5A (Vote For 1)</v>
      </c>
      <c r="B2079" s="79" t="s">
        <v>5635</v>
      </c>
      <c r="C2079" s="79" t="s">
        <v>5288</v>
      </c>
      <c r="D2079" s="79" t="s">
        <v>5643</v>
      </c>
      <c r="E2079" s="79" t="s">
        <v>1393</v>
      </c>
      <c r="F2079" s="79" t="s">
        <v>1508</v>
      </c>
      <c r="G2079" s="82">
        <v>664</v>
      </c>
      <c r="H2079" s="83">
        <v>52.08</v>
      </c>
      <c r="I2079" s="82">
        <v>1570</v>
      </c>
      <c r="J2079" s="82">
        <v>1320</v>
      </c>
      <c r="K2079" s="79">
        <v>1</v>
      </c>
      <c r="L2079" s="79">
        <v>1</v>
      </c>
      <c r="M2079" s="79">
        <v>0</v>
      </c>
      <c r="N2079" s="79">
        <v>45</v>
      </c>
      <c r="O2079">
        <f t="shared" si="606"/>
        <v>1</v>
      </c>
      <c r="P2079" s="57">
        <f t="shared" si="607"/>
        <v>1</v>
      </c>
      <c r="Q2079" s="267">
        <f t="shared" si="608"/>
        <v>1275</v>
      </c>
      <c r="R2079" s="23">
        <f t="shared" si="609"/>
        <v>664</v>
      </c>
      <c r="S2079" s="23">
        <f t="shared" si="610"/>
        <v>611</v>
      </c>
      <c r="T2079" s="23">
        <f t="shared" si="611"/>
        <v>53</v>
      </c>
      <c r="U2079" t="str">
        <f t="shared" si="612"/>
        <v>CO_Arapa_2020g~w/Adams_Byers School District 32J Ballot Issue 5A (Vote For 1)</v>
      </c>
      <c r="X2079" s="71"/>
      <c r="Z2079" s="44"/>
      <c r="AF2079" s="22"/>
    </row>
    <row r="2080" spans="1:38" ht="14.4">
      <c r="A2080" t="str">
        <f t="shared" si="605"/>
        <v>CO_Arapa_2020g~w/Adams_Byers School District 32J Ballot Issue 5A (Vote For 1)</v>
      </c>
      <c r="B2080" s="79" t="s">
        <v>5635</v>
      </c>
      <c r="C2080" s="79" t="s">
        <v>5288</v>
      </c>
      <c r="D2080" s="79" t="s">
        <v>5643</v>
      </c>
      <c r="E2080" s="79" t="s">
        <v>1394</v>
      </c>
      <c r="F2080" s="79" t="s">
        <v>1509</v>
      </c>
      <c r="G2080" s="82">
        <v>611</v>
      </c>
      <c r="H2080" s="83">
        <v>47.92</v>
      </c>
      <c r="I2080" s="82">
        <v>1570</v>
      </c>
      <c r="J2080" s="82">
        <v>1320</v>
      </c>
      <c r="K2080" s="79">
        <v>1</v>
      </c>
      <c r="L2080" s="79">
        <v>1</v>
      </c>
      <c r="M2080" s="79">
        <v>0</v>
      </c>
      <c r="N2080" s="79">
        <v>45</v>
      </c>
      <c r="O2080">
        <f t="shared" si="606"/>
        <v>2</v>
      </c>
      <c r="P2080" s="57">
        <f t="shared" si="607"/>
        <v>1</v>
      </c>
      <c r="Q2080" s="267">
        <f t="shared" si="608"/>
        <v>611</v>
      </c>
      <c r="R2080" s="23" t="str">
        <f t="shared" si="609"/>
        <v/>
      </c>
      <c r="S2080" s="23">
        <f t="shared" si="610"/>
        <v>611</v>
      </c>
      <c r="T2080" s="23" t="str">
        <f t="shared" si="611"/>
        <v/>
      </c>
      <c r="U2080" t="str">
        <f t="shared" si="612"/>
        <v/>
      </c>
      <c r="X2080" s="71"/>
      <c r="Z2080" s="44"/>
      <c r="AF2080" s="22"/>
    </row>
    <row r="2081" spans="1:34" ht="14.4">
      <c r="A2081" t="str">
        <f t="shared" si="605"/>
        <v>CO_Arapa_2020g~w/Denve_Regional Transportation District Director - District E (Vote For 1)</v>
      </c>
      <c r="B2081" s="79" t="s">
        <v>5635</v>
      </c>
      <c r="C2081" s="79" t="s">
        <v>5222</v>
      </c>
      <c r="D2081" s="79" t="s">
        <v>5964</v>
      </c>
      <c r="E2081" s="79" t="s">
        <v>5223</v>
      </c>
      <c r="F2081" s="79">
        <v>1</v>
      </c>
      <c r="G2081" s="82">
        <v>46753</v>
      </c>
      <c r="H2081" s="83">
        <v>100</v>
      </c>
      <c r="I2081" s="82">
        <v>84516</v>
      </c>
      <c r="J2081" s="82">
        <v>69131</v>
      </c>
      <c r="K2081" s="79">
        <v>76</v>
      </c>
      <c r="L2081" s="79">
        <v>76</v>
      </c>
      <c r="M2081" s="79">
        <v>0</v>
      </c>
      <c r="N2081" s="79">
        <v>22009</v>
      </c>
      <c r="O2081">
        <f t="shared" si="606"/>
        <v>1</v>
      </c>
      <c r="P2081" s="57">
        <f t="shared" si="607"/>
        <v>1</v>
      </c>
      <c r="Q2081" s="267">
        <f t="shared" si="608"/>
        <v>46753</v>
      </c>
      <c r="R2081" s="23">
        <f t="shared" si="609"/>
        <v>46753</v>
      </c>
      <c r="S2081" s="23">
        <f t="shared" si="610"/>
        <v>0</v>
      </c>
      <c r="T2081" s="23" t="str">
        <f t="shared" si="611"/>
        <v/>
      </c>
      <c r="U2081" t="str">
        <f t="shared" si="612"/>
        <v>CO_Arapa_2020g~w/Denve_Regional Transportation District Director - District E (Vote For 1)</v>
      </c>
      <c r="X2081" s="71"/>
      <c r="Z2081" s="44"/>
      <c r="AF2081" s="22"/>
    </row>
    <row r="2082" spans="1:34" ht="14.4">
      <c r="A2082" t="str">
        <f t="shared" si="605"/>
        <v>CO_Arapa_2020g~w/Dougl_Regional Transportation District Director - District H (Vote For 1)</v>
      </c>
      <c r="B2082" s="79" t="s">
        <v>5635</v>
      </c>
      <c r="C2082" s="79" t="s">
        <v>5229</v>
      </c>
      <c r="D2082" s="79" t="s">
        <v>5965</v>
      </c>
      <c r="E2082" s="79" t="s">
        <v>5230</v>
      </c>
      <c r="F2082" s="79">
        <v>1</v>
      </c>
      <c r="G2082" s="82">
        <v>21053</v>
      </c>
      <c r="H2082" s="83">
        <v>43.19</v>
      </c>
      <c r="I2082" s="82">
        <v>80080</v>
      </c>
      <c r="J2082" s="82">
        <v>71879</v>
      </c>
      <c r="K2082" s="79">
        <v>83</v>
      </c>
      <c r="L2082" s="79">
        <v>83</v>
      </c>
      <c r="M2082" s="79">
        <v>12</v>
      </c>
      <c r="N2082" s="79">
        <v>23122</v>
      </c>
      <c r="O2082">
        <f t="shared" si="606"/>
        <v>1</v>
      </c>
      <c r="P2082" s="57">
        <f t="shared" si="607"/>
        <v>1</v>
      </c>
      <c r="Q2082" s="267">
        <f t="shared" si="608"/>
        <v>48745</v>
      </c>
      <c r="R2082" s="23">
        <f t="shared" si="609"/>
        <v>21053</v>
      </c>
      <c r="S2082" s="23">
        <f t="shared" si="610"/>
        <v>15932</v>
      </c>
      <c r="T2082" s="23">
        <f t="shared" si="611"/>
        <v>5121</v>
      </c>
      <c r="U2082" t="str">
        <f t="shared" si="612"/>
        <v>CO_Arapa_2020g~w/Dougl_Regional Transportation District Director - District H (Vote For 1)</v>
      </c>
      <c r="X2082" s="71"/>
      <c r="Z2082" s="44"/>
      <c r="AF2082" s="88"/>
    </row>
    <row r="2083" spans="1:34" ht="14.4">
      <c r="A2083" t="str">
        <f t="shared" si="605"/>
        <v>CO_Arapa_2020g~w/Dougl_Regional Transportation District Director - District H (Vote For 1)</v>
      </c>
      <c r="B2083" s="79" t="s">
        <v>5635</v>
      </c>
      <c r="C2083" s="79" t="s">
        <v>5229</v>
      </c>
      <c r="D2083" s="79" t="s">
        <v>5965</v>
      </c>
      <c r="E2083" s="79" t="s">
        <v>5231</v>
      </c>
      <c r="F2083" s="79">
        <v>2</v>
      </c>
      <c r="G2083" s="82">
        <v>15932</v>
      </c>
      <c r="H2083" s="83">
        <v>32.68</v>
      </c>
      <c r="I2083" s="82">
        <v>80080</v>
      </c>
      <c r="J2083" s="82">
        <v>71879</v>
      </c>
      <c r="K2083" s="79">
        <v>83</v>
      </c>
      <c r="L2083" s="79">
        <v>83</v>
      </c>
      <c r="M2083" s="79">
        <v>12</v>
      </c>
      <c r="N2083" s="79">
        <v>23122</v>
      </c>
      <c r="O2083">
        <f t="shared" si="606"/>
        <v>2</v>
      </c>
      <c r="P2083" s="57">
        <f t="shared" si="607"/>
        <v>1</v>
      </c>
      <c r="Q2083" s="267">
        <f t="shared" si="608"/>
        <v>27692</v>
      </c>
      <c r="R2083" s="23" t="str">
        <f t="shared" si="609"/>
        <v/>
      </c>
      <c r="S2083" s="23">
        <f t="shared" si="610"/>
        <v>15932</v>
      </c>
      <c r="T2083" s="23" t="str">
        <f t="shared" si="611"/>
        <v/>
      </c>
      <c r="U2083" t="str">
        <f t="shared" si="612"/>
        <v/>
      </c>
      <c r="X2083" s="71"/>
      <c r="Z2083" s="44"/>
      <c r="AF2083" s="22"/>
    </row>
    <row r="2084" spans="1:34" ht="14.4">
      <c r="A2084" t="str">
        <f t="shared" si="605"/>
        <v>CO_Arapa_2020g~w/Dougl_Regional Transportation District Director - District H (Vote For 1)</v>
      </c>
      <c r="B2084" s="79" t="s">
        <v>5635</v>
      </c>
      <c r="C2084" s="79" t="s">
        <v>5229</v>
      </c>
      <c r="D2084" s="79" t="s">
        <v>5965</v>
      </c>
      <c r="E2084" s="79" t="s">
        <v>5232</v>
      </c>
      <c r="F2084" s="79">
        <v>3</v>
      </c>
      <c r="G2084" s="82">
        <v>11760</v>
      </c>
      <c r="H2084" s="83">
        <v>24.13</v>
      </c>
      <c r="I2084" s="82">
        <v>80080</v>
      </c>
      <c r="J2084" s="82">
        <v>71879</v>
      </c>
      <c r="K2084" s="79">
        <v>83</v>
      </c>
      <c r="L2084" s="79">
        <v>83</v>
      </c>
      <c r="M2084" s="79">
        <v>12</v>
      </c>
      <c r="N2084" s="79">
        <v>23122</v>
      </c>
      <c r="O2084">
        <f t="shared" si="606"/>
        <v>3</v>
      </c>
      <c r="P2084" s="57">
        <f t="shared" si="607"/>
        <v>1</v>
      </c>
      <c r="Q2084" s="267">
        <f t="shared" si="608"/>
        <v>11760</v>
      </c>
      <c r="R2084" s="23" t="str">
        <f t="shared" si="609"/>
        <v/>
      </c>
      <c r="S2084" s="23">
        <f t="shared" si="610"/>
        <v>11760</v>
      </c>
      <c r="T2084" s="23" t="str">
        <f t="shared" si="611"/>
        <v/>
      </c>
      <c r="U2084" t="str">
        <f t="shared" si="612"/>
        <v/>
      </c>
      <c r="X2084" s="71"/>
      <c r="Z2084" s="44"/>
      <c r="AF2084" s="22"/>
    </row>
    <row r="2085" spans="1:34" ht="14.4">
      <c r="A2085" t="str">
        <f t="shared" si="605"/>
        <v>CO_Bould_2020g~Baseline Water District Ballot Issue 6B (Vote for 1)</v>
      </c>
      <c r="B2085" s="79" t="s">
        <v>5636</v>
      </c>
      <c r="C2085" s="81" t="s">
        <v>5348</v>
      </c>
      <c r="D2085" s="79" t="s">
        <v>5348</v>
      </c>
      <c r="E2085" s="81" t="s">
        <v>5350</v>
      </c>
      <c r="F2085" s="81"/>
      <c r="G2085" s="81">
        <v>184</v>
      </c>
      <c r="H2085" s="84">
        <v>8.7834870443566096E-2</v>
      </c>
      <c r="I2085" s="82"/>
      <c r="J2085" s="80">
        <v>209484</v>
      </c>
      <c r="K2085" s="82"/>
      <c r="L2085" s="82"/>
      <c r="M2085" s="79"/>
      <c r="N2085" s="79"/>
      <c r="O2085">
        <f t="shared" si="606"/>
        <v>1</v>
      </c>
      <c r="P2085" s="57">
        <f t="shared" si="607"/>
        <v>1</v>
      </c>
      <c r="Q2085" s="267">
        <f t="shared" si="608"/>
        <v>283</v>
      </c>
      <c r="R2085" s="23">
        <f t="shared" si="609"/>
        <v>184</v>
      </c>
      <c r="S2085" s="23">
        <f t="shared" si="610"/>
        <v>99</v>
      </c>
      <c r="T2085" s="23">
        <f t="shared" si="611"/>
        <v>85</v>
      </c>
      <c r="U2085" t="str">
        <f t="shared" si="612"/>
        <v>CO_Bould_2020g~Baseline Water District Ballot Issue 6B (Vote for 1)</v>
      </c>
      <c r="X2085" s="71"/>
      <c r="Z2085" s="44"/>
      <c r="AF2085" s="22"/>
    </row>
    <row r="2086" spans="1:34" ht="14.4">
      <c r="A2086" t="str">
        <f t="shared" si="605"/>
        <v>CO_Bould_2020g~Baseline Water District Ballot Issue 6B (Vote for 1)</v>
      </c>
      <c r="B2086" s="79" t="s">
        <v>5636</v>
      </c>
      <c r="C2086" s="81" t="s">
        <v>5348</v>
      </c>
      <c r="D2086" s="79" t="s">
        <v>5348</v>
      </c>
      <c r="E2086" s="81" t="s">
        <v>5349</v>
      </c>
      <c r="F2086" s="81"/>
      <c r="G2086" s="81">
        <v>99</v>
      </c>
      <c r="H2086" s="84">
        <v>4.725897920604915E-2</v>
      </c>
      <c r="I2086" s="82"/>
      <c r="J2086" s="80">
        <v>209484</v>
      </c>
      <c r="K2086" s="82"/>
      <c r="L2086" s="82"/>
      <c r="M2086" s="79"/>
      <c r="N2086" s="79"/>
      <c r="O2086">
        <f t="shared" si="606"/>
        <v>2</v>
      </c>
      <c r="P2086" s="57">
        <f t="shared" si="607"/>
        <v>1</v>
      </c>
      <c r="Q2086" s="267">
        <f t="shared" si="608"/>
        <v>99</v>
      </c>
      <c r="R2086" s="23" t="str">
        <f t="shared" si="609"/>
        <v/>
      </c>
      <c r="S2086" s="23">
        <f t="shared" si="610"/>
        <v>99</v>
      </c>
      <c r="T2086" s="23" t="str">
        <f t="shared" si="611"/>
        <v/>
      </c>
      <c r="U2086" t="str">
        <f t="shared" si="612"/>
        <v/>
      </c>
      <c r="X2086" s="71"/>
      <c r="Z2086" s="44"/>
      <c r="AF2086" s="22"/>
    </row>
    <row r="2087" spans="1:34" ht="14.4">
      <c r="A2087" t="str">
        <f t="shared" si="605"/>
        <v>CO_Bould_2020g~Boulder County Commissioner - District 1 (Vote for 1)</v>
      </c>
      <c r="B2087" s="79" t="s">
        <v>5636</v>
      </c>
      <c r="C2087" s="81" t="s">
        <v>5352</v>
      </c>
      <c r="D2087" s="79" t="s">
        <v>5352</v>
      </c>
      <c r="E2087" s="81" t="s">
        <v>5354</v>
      </c>
      <c r="F2087" s="81"/>
      <c r="G2087" s="85">
        <v>138532</v>
      </c>
      <c r="H2087" s="84">
        <v>66.130110175478791</v>
      </c>
      <c r="I2087" s="82"/>
      <c r="J2087" s="80">
        <v>209484</v>
      </c>
      <c r="K2087" s="82"/>
      <c r="L2087" s="82"/>
      <c r="M2087" s="79"/>
      <c r="N2087" s="79"/>
      <c r="O2087">
        <f t="shared" si="606"/>
        <v>1</v>
      </c>
      <c r="P2087" s="57">
        <f t="shared" si="607"/>
        <v>1</v>
      </c>
      <c r="Q2087" s="267">
        <f t="shared" si="608"/>
        <v>188904</v>
      </c>
      <c r="R2087" s="23">
        <f t="shared" si="609"/>
        <v>138532</v>
      </c>
      <c r="S2087" s="23">
        <f t="shared" si="610"/>
        <v>50372</v>
      </c>
      <c r="T2087" s="23">
        <f t="shared" si="611"/>
        <v>88160</v>
      </c>
      <c r="U2087" t="str">
        <f t="shared" si="612"/>
        <v>CO_Bould_2020g~Boulder County Commissioner - District 1 (Vote for 1)</v>
      </c>
      <c r="X2087" s="71"/>
      <c r="Z2087" s="44"/>
      <c r="AF2087" s="22"/>
    </row>
    <row r="2088" spans="1:34" ht="14.4">
      <c r="A2088" t="str">
        <f t="shared" si="605"/>
        <v>CO_Bould_2020g~Boulder County Commissioner - District 1 (Vote for 1)</v>
      </c>
      <c r="B2088" s="79" t="s">
        <v>5636</v>
      </c>
      <c r="C2088" s="81" t="s">
        <v>5352</v>
      </c>
      <c r="D2088" s="79" t="s">
        <v>5352</v>
      </c>
      <c r="E2088" s="81" t="s">
        <v>5353</v>
      </c>
      <c r="F2088" s="81"/>
      <c r="G2088" s="85">
        <v>50372</v>
      </c>
      <c r="H2088" s="84">
        <v>24.045750510778866</v>
      </c>
      <c r="I2088" s="82"/>
      <c r="J2088" s="80">
        <v>209484</v>
      </c>
      <c r="K2088" s="82"/>
      <c r="L2088" s="82"/>
      <c r="M2088" s="79"/>
      <c r="N2088" s="79"/>
      <c r="O2088">
        <f t="shared" si="606"/>
        <v>2</v>
      </c>
      <c r="P2088" s="57">
        <f t="shared" si="607"/>
        <v>1</v>
      </c>
      <c r="Q2088" s="267">
        <f t="shared" si="608"/>
        <v>50372</v>
      </c>
      <c r="R2088" s="23" t="str">
        <f t="shared" si="609"/>
        <v/>
      </c>
      <c r="S2088" s="23">
        <f t="shared" si="610"/>
        <v>50372</v>
      </c>
      <c r="T2088" s="23" t="str">
        <f t="shared" si="611"/>
        <v/>
      </c>
      <c r="U2088" t="str">
        <f t="shared" si="612"/>
        <v/>
      </c>
      <c r="X2088" s="71"/>
      <c r="Z2088" s="44"/>
      <c r="AF2088" s="22"/>
    </row>
    <row r="2089" spans="1:34" ht="14.4">
      <c r="A2089" t="str">
        <f t="shared" si="605"/>
        <v>CO_Bould_2020g~Boulder County Commissioner - District 2 (Vote for 1)</v>
      </c>
      <c r="B2089" s="79" t="s">
        <v>5636</v>
      </c>
      <c r="C2089" s="81" t="s">
        <v>5355</v>
      </c>
      <c r="D2089" s="79" t="s">
        <v>5355</v>
      </c>
      <c r="E2089" s="81" t="s">
        <v>5357</v>
      </c>
      <c r="F2089" s="81"/>
      <c r="G2089" s="85">
        <v>140100</v>
      </c>
      <c r="H2089" s="84">
        <v>66.878616027954408</v>
      </c>
      <c r="I2089" s="82"/>
      <c r="J2089" s="80">
        <v>209484</v>
      </c>
      <c r="K2089" s="82"/>
      <c r="L2089" s="82"/>
      <c r="M2089" s="79"/>
      <c r="N2089" s="79"/>
      <c r="O2089">
        <f t="shared" si="606"/>
        <v>1</v>
      </c>
      <c r="P2089" s="57">
        <f t="shared" si="607"/>
        <v>1</v>
      </c>
      <c r="Q2089" s="267">
        <f t="shared" si="608"/>
        <v>188526</v>
      </c>
      <c r="R2089" s="23">
        <f t="shared" si="609"/>
        <v>140100</v>
      </c>
      <c r="S2089" s="23">
        <f t="shared" si="610"/>
        <v>48426</v>
      </c>
      <c r="T2089" s="23">
        <f t="shared" si="611"/>
        <v>91674</v>
      </c>
      <c r="U2089" t="str">
        <f t="shared" si="612"/>
        <v>CO_Bould_2020g~Boulder County Commissioner - District 2 (Vote for 1)</v>
      </c>
      <c r="X2089" s="71"/>
      <c r="Z2089" s="44"/>
      <c r="AF2089" s="286"/>
    </row>
    <row r="2090" spans="1:34" ht="14.4">
      <c r="A2090" t="str">
        <f t="shared" si="605"/>
        <v>CO_Bould_2020g~Boulder County Commissioner - District 2 (Vote for 1)</v>
      </c>
      <c r="B2090" s="79" t="s">
        <v>5636</v>
      </c>
      <c r="C2090" s="81" t="s">
        <v>5355</v>
      </c>
      <c r="D2090" s="79" t="s">
        <v>5355</v>
      </c>
      <c r="E2090" s="81" t="s">
        <v>5356</v>
      </c>
      <c r="F2090" s="81"/>
      <c r="G2090" s="85">
        <v>48426</v>
      </c>
      <c r="H2090" s="84">
        <v>23.116801283152888</v>
      </c>
      <c r="I2090" s="82"/>
      <c r="J2090" s="80">
        <v>209484</v>
      </c>
      <c r="K2090" s="82"/>
      <c r="L2090" s="82"/>
      <c r="M2090" s="79"/>
      <c r="N2090" s="79"/>
      <c r="O2090">
        <f t="shared" si="606"/>
        <v>2</v>
      </c>
      <c r="P2090" s="57">
        <f t="shared" si="607"/>
        <v>1</v>
      </c>
      <c r="Q2090" s="267">
        <f t="shared" si="608"/>
        <v>48426</v>
      </c>
      <c r="R2090" s="23" t="str">
        <f t="shared" si="609"/>
        <v/>
      </c>
      <c r="S2090" s="23">
        <f t="shared" si="610"/>
        <v>48426</v>
      </c>
      <c r="T2090" s="23" t="str">
        <f t="shared" si="611"/>
        <v/>
      </c>
      <c r="U2090" t="str">
        <f t="shared" si="612"/>
        <v/>
      </c>
      <c r="X2090" s="71"/>
      <c r="Z2090" s="44"/>
      <c r="AF2090" s="22"/>
    </row>
    <row r="2091" spans="1:34" ht="14.4">
      <c r="A2091" t="str">
        <f t="shared" si="605"/>
        <v>CO_Bould_2020g~Boulder County Court Judge - Jonathon P. Martin (Vote for 1)</v>
      </c>
      <c r="B2091" s="79" t="s">
        <v>5636</v>
      </c>
      <c r="C2091" s="81" t="s">
        <v>5358</v>
      </c>
      <c r="D2091" s="79" t="s">
        <v>5358</v>
      </c>
      <c r="E2091" s="81" t="s">
        <v>1981</v>
      </c>
      <c r="F2091" s="81"/>
      <c r="G2091" s="85">
        <v>132007</v>
      </c>
      <c r="H2091" s="84">
        <v>63.015313818716464</v>
      </c>
      <c r="I2091" s="82"/>
      <c r="J2091" s="80">
        <v>209484</v>
      </c>
      <c r="K2091" s="82"/>
      <c r="L2091" s="82"/>
      <c r="M2091" s="79"/>
      <c r="N2091" s="79"/>
      <c r="O2091">
        <f t="shared" si="606"/>
        <v>1</v>
      </c>
      <c r="P2091" s="57">
        <f t="shared" si="607"/>
        <v>1</v>
      </c>
      <c r="Q2091" s="267">
        <f t="shared" si="608"/>
        <v>156001</v>
      </c>
      <c r="R2091" s="23">
        <f t="shared" si="609"/>
        <v>132007</v>
      </c>
      <c r="S2091" s="23">
        <f t="shared" si="610"/>
        <v>23994</v>
      </c>
      <c r="T2091" s="23">
        <f t="shared" si="611"/>
        <v>108013</v>
      </c>
      <c r="U2091" t="str">
        <f t="shared" si="612"/>
        <v>CO_Bould_2020g~Boulder County Court Judge - Jonathon P. Martin (Vote for 1)</v>
      </c>
      <c r="X2091" s="71"/>
      <c r="Z2091" s="44"/>
      <c r="AF2091" s="22"/>
    </row>
    <row r="2092" spans="1:34" ht="14.4">
      <c r="A2092" t="str">
        <f t="shared" si="605"/>
        <v>CO_Bould_2020g~Boulder County Court Judge - Jonathon P. Martin (Vote for 1)</v>
      </c>
      <c r="B2092" s="79" t="s">
        <v>5636</v>
      </c>
      <c r="C2092" s="81" t="s">
        <v>5358</v>
      </c>
      <c r="D2092" s="79" t="s">
        <v>5358</v>
      </c>
      <c r="E2092" s="81" t="s">
        <v>1982</v>
      </c>
      <c r="F2092" s="81"/>
      <c r="G2092" s="85">
        <v>23994</v>
      </c>
      <c r="H2092" s="84">
        <v>11.453858051211549</v>
      </c>
      <c r="I2092" s="82"/>
      <c r="J2092" s="80">
        <v>209484</v>
      </c>
      <c r="K2092" s="82"/>
      <c r="L2092" s="82"/>
      <c r="M2092" s="79"/>
      <c r="N2092" s="79"/>
      <c r="O2092">
        <f t="shared" si="606"/>
        <v>2</v>
      </c>
      <c r="P2092" s="57">
        <f t="shared" si="607"/>
        <v>1</v>
      </c>
      <c r="Q2092" s="267">
        <f t="shared" si="608"/>
        <v>23994</v>
      </c>
      <c r="R2092" s="23" t="str">
        <f t="shared" si="609"/>
        <v/>
      </c>
      <c r="S2092" s="23">
        <f t="shared" si="610"/>
        <v>23994</v>
      </c>
      <c r="T2092" s="23" t="str">
        <f t="shared" si="611"/>
        <v/>
      </c>
      <c r="U2092" t="str">
        <f t="shared" si="612"/>
        <v/>
      </c>
      <c r="X2092" s="71"/>
      <c r="Z2092" s="44"/>
      <c r="AF2092" s="88"/>
    </row>
    <row r="2093" spans="1:34" ht="14.4">
      <c r="A2093" t="str">
        <f t="shared" si="605"/>
        <v>CO_Bould_2020g~City Of Boulder Ballot Issue 2B (Vote for 1)</v>
      </c>
      <c r="B2093" s="79" t="s">
        <v>5636</v>
      </c>
      <c r="C2093" s="81" t="s">
        <v>5373</v>
      </c>
      <c r="D2093" s="79" t="s">
        <v>5373</v>
      </c>
      <c r="E2093" s="81" t="s">
        <v>5350</v>
      </c>
      <c r="F2093" s="81"/>
      <c r="G2093" s="85">
        <v>33613</v>
      </c>
      <c r="H2093" s="84">
        <v>16.045616849019495</v>
      </c>
      <c r="I2093" s="82"/>
      <c r="J2093" s="80">
        <v>209484</v>
      </c>
      <c r="K2093" s="82"/>
      <c r="L2093" s="82"/>
      <c r="M2093" s="79"/>
      <c r="N2093" s="79"/>
      <c r="O2093">
        <f t="shared" si="606"/>
        <v>1</v>
      </c>
      <c r="P2093" s="57">
        <f t="shared" si="607"/>
        <v>1</v>
      </c>
      <c r="Q2093" s="267">
        <f t="shared" si="608"/>
        <v>57349</v>
      </c>
      <c r="R2093" s="23">
        <f t="shared" si="609"/>
        <v>33613</v>
      </c>
      <c r="S2093" s="23">
        <f t="shared" si="610"/>
        <v>23736</v>
      </c>
      <c r="T2093" s="23">
        <f t="shared" si="611"/>
        <v>9877</v>
      </c>
      <c r="U2093" t="str">
        <f t="shared" si="612"/>
        <v>CO_Bould_2020g~City Of Boulder Ballot Issue 2B (Vote for 1)</v>
      </c>
      <c r="X2093" s="71"/>
      <c r="Z2093" s="44"/>
      <c r="AF2093" s="22"/>
      <c r="AG2093" s="23"/>
      <c r="AH2093" s="8"/>
    </row>
    <row r="2094" spans="1:34" ht="14.4">
      <c r="A2094" t="str">
        <f t="shared" si="605"/>
        <v>CO_Bould_2020g~City Of Boulder Ballot Issue 2B (Vote for 1)</v>
      </c>
      <c r="B2094" s="79" t="s">
        <v>5636</v>
      </c>
      <c r="C2094" s="81" t="s">
        <v>5373</v>
      </c>
      <c r="D2094" s="79" t="s">
        <v>5373</v>
      </c>
      <c r="E2094" s="81" t="s">
        <v>5349</v>
      </c>
      <c r="F2094" s="81"/>
      <c r="G2094" s="85">
        <v>23736</v>
      </c>
      <c r="H2094" s="84">
        <v>11.330698287220025</v>
      </c>
      <c r="I2094" s="82"/>
      <c r="J2094" s="80">
        <v>209484</v>
      </c>
      <c r="K2094" s="82"/>
      <c r="L2094" s="82"/>
      <c r="M2094" s="79"/>
      <c r="N2094" s="79"/>
      <c r="O2094">
        <f t="shared" si="606"/>
        <v>2</v>
      </c>
      <c r="P2094" s="57">
        <f t="shared" si="607"/>
        <v>1</v>
      </c>
      <c r="Q2094" s="267">
        <f t="shared" si="608"/>
        <v>23736</v>
      </c>
      <c r="R2094" s="23" t="str">
        <f t="shared" si="609"/>
        <v/>
      </c>
      <c r="S2094" s="23">
        <f t="shared" si="610"/>
        <v>23736</v>
      </c>
      <c r="T2094" s="23" t="str">
        <f t="shared" si="611"/>
        <v/>
      </c>
      <c r="U2094" t="str">
        <f t="shared" si="612"/>
        <v/>
      </c>
      <c r="X2094" s="71"/>
      <c r="Z2094" s="44"/>
      <c r="AF2094" s="22"/>
    </row>
    <row r="2095" spans="1:34" ht="14.4">
      <c r="A2095" t="str">
        <f t="shared" si="605"/>
        <v>CO_Bould_2020g~City of Boulder Ballot Question 2C (Vote for 1)</v>
      </c>
      <c r="B2095" s="79" t="s">
        <v>5636</v>
      </c>
      <c r="C2095" s="81" t="s">
        <v>5374</v>
      </c>
      <c r="D2095" s="79" t="s">
        <v>5374</v>
      </c>
      <c r="E2095" s="81" t="s">
        <v>5350</v>
      </c>
      <c r="F2095" s="81"/>
      <c r="G2095" s="85">
        <v>29456</v>
      </c>
      <c r="H2095" s="84">
        <v>14.061217085791755</v>
      </c>
      <c r="I2095" s="82"/>
      <c r="J2095" s="80">
        <v>209484</v>
      </c>
      <c r="K2095" s="82"/>
      <c r="L2095" s="82"/>
      <c r="M2095" s="79"/>
      <c r="N2095" s="79"/>
      <c r="O2095">
        <f t="shared" si="606"/>
        <v>1</v>
      </c>
      <c r="P2095" s="57">
        <f t="shared" si="607"/>
        <v>1</v>
      </c>
      <c r="Q2095" s="267">
        <f t="shared" si="608"/>
        <v>55277</v>
      </c>
      <c r="R2095" s="23">
        <f t="shared" si="609"/>
        <v>29456</v>
      </c>
      <c r="S2095" s="23">
        <f t="shared" si="610"/>
        <v>25821</v>
      </c>
      <c r="T2095" s="23">
        <f t="shared" si="611"/>
        <v>3635</v>
      </c>
      <c r="U2095" t="str">
        <f t="shared" si="612"/>
        <v>CO_Bould_2020g~City of Boulder Ballot Question 2C (Vote for 1)</v>
      </c>
      <c r="AF2095" s="22"/>
    </row>
    <row r="2096" spans="1:34" ht="14.4">
      <c r="A2096" t="str">
        <f t="shared" si="605"/>
        <v>CO_Bould_2020g~City of Boulder Ballot Question 2C (Vote for 1)</v>
      </c>
      <c r="B2096" s="79" t="s">
        <v>5636</v>
      </c>
      <c r="C2096" s="81" t="s">
        <v>5374</v>
      </c>
      <c r="D2096" s="79" t="s">
        <v>5374</v>
      </c>
      <c r="E2096" s="81" t="s">
        <v>5349</v>
      </c>
      <c r="F2096" s="81"/>
      <c r="G2096" s="85">
        <v>25821</v>
      </c>
      <c r="H2096" s="84">
        <v>12.326001031105001</v>
      </c>
      <c r="I2096" s="82"/>
      <c r="J2096" s="80">
        <v>209484</v>
      </c>
      <c r="K2096" s="82"/>
      <c r="L2096" s="82"/>
      <c r="M2096" s="79"/>
      <c r="N2096" s="79"/>
      <c r="O2096">
        <f t="shared" si="606"/>
        <v>2</v>
      </c>
      <c r="P2096" s="57">
        <f t="shared" si="607"/>
        <v>1</v>
      </c>
      <c r="Q2096" s="267">
        <f t="shared" si="608"/>
        <v>25821</v>
      </c>
      <c r="R2096" s="23" t="str">
        <f t="shared" si="609"/>
        <v/>
      </c>
      <c r="S2096" s="23">
        <f t="shared" si="610"/>
        <v>25821</v>
      </c>
      <c r="T2096" s="23" t="str">
        <f t="shared" si="611"/>
        <v/>
      </c>
      <c r="U2096" t="str">
        <f t="shared" si="612"/>
        <v/>
      </c>
      <c r="AF2096" s="22"/>
    </row>
    <row r="2097" spans="1:38" ht="14.4">
      <c r="A2097" t="str">
        <f t="shared" si="605"/>
        <v>CO_Bould_2020g~City of Boulder Ballot Question 2D (Vote for 1)</v>
      </c>
      <c r="B2097" s="79" t="s">
        <v>5636</v>
      </c>
      <c r="C2097" s="81" t="s">
        <v>5375</v>
      </c>
      <c r="D2097" s="79" t="s">
        <v>5375</v>
      </c>
      <c r="E2097" s="81" t="s">
        <v>5350</v>
      </c>
      <c r="F2097" s="81"/>
      <c r="G2097" s="85">
        <v>31751</v>
      </c>
      <c r="H2097" s="84">
        <v>15.156766149204712</v>
      </c>
      <c r="I2097" s="82"/>
      <c r="J2097" s="80">
        <v>209484</v>
      </c>
      <c r="K2097" s="82"/>
      <c r="L2097" s="82"/>
      <c r="M2097" s="79"/>
      <c r="N2097" s="79"/>
      <c r="O2097">
        <f t="shared" si="606"/>
        <v>1</v>
      </c>
      <c r="P2097" s="57">
        <f t="shared" si="607"/>
        <v>1</v>
      </c>
      <c r="Q2097" s="267">
        <f t="shared" si="608"/>
        <v>55739</v>
      </c>
      <c r="R2097" s="23">
        <f t="shared" si="609"/>
        <v>31751</v>
      </c>
      <c r="S2097" s="23">
        <f t="shared" si="610"/>
        <v>23988</v>
      </c>
      <c r="T2097" s="23">
        <f t="shared" si="611"/>
        <v>7763</v>
      </c>
      <c r="U2097" t="str">
        <f t="shared" si="612"/>
        <v>CO_Bould_2020g~City of Boulder Ballot Question 2D (Vote for 1)</v>
      </c>
      <c r="AF2097" s="22"/>
    </row>
    <row r="2098" spans="1:38" ht="14.4">
      <c r="A2098" t="str">
        <f t="shared" ref="A2098:A2161" si="613">CONCATENATE(B2098,"~",D2098)</f>
        <v>CO_Bould_2020g~City of Boulder Ballot Question 2D (Vote for 1)</v>
      </c>
      <c r="B2098" s="79" t="s">
        <v>5636</v>
      </c>
      <c r="C2098" s="81" t="s">
        <v>5375</v>
      </c>
      <c r="D2098" s="79" t="s">
        <v>5375</v>
      </c>
      <c r="E2098" s="81" t="s">
        <v>5349</v>
      </c>
      <c r="F2098" s="81"/>
      <c r="G2098" s="85">
        <v>23988</v>
      </c>
      <c r="H2098" s="84">
        <v>11.450993870653607</v>
      </c>
      <c r="I2098" s="82"/>
      <c r="J2098" s="80">
        <v>209484</v>
      </c>
      <c r="K2098" s="82"/>
      <c r="L2098" s="82"/>
      <c r="M2098" s="79"/>
      <c r="N2098" s="79"/>
      <c r="O2098">
        <f t="shared" si="606"/>
        <v>2</v>
      </c>
      <c r="P2098" s="57">
        <f t="shared" si="607"/>
        <v>1</v>
      </c>
      <c r="Q2098" s="267">
        <f t="shared" si="608"/>
        <v>23988</v>
      </c>
      <c r="R2098" s="23" t="str">
        <f t="shared" si="609"/>
        <v/>
      </c>
      <c r="S2098" s="23">
        <f t="shared" si="610"/>
        <v>23988</v>
      </c>
      <c r="T2098" s="23" t="str">
        <f t="shared" si="611"/>
        <v/>
      </c>
      <c r="U2098" t="str">
        <f t="shared" si="612"/>
        <v/>
      </c>
      <c r="AF2098" s="22"/>
    </row>
    <row r="2099" spans="1:38" ht="14.4">
      <c r="A2099" t="str">
        <f t="shared" si="613"/>
        <v>CO_Bould_2020g~City of Boulder Ballot Question 2E (Vote for 1)</v>
      </c>
      <c r="B2099" s="79" t="s">
        <v>5636</v>
      </c>
      <c r="C2099" s="81" t="s">
        <v>5376</v>
      </c>
      <c r="D2099" s="79" t="s">
        <v>5376</v>
      </c>
      <c r="E2099" s="81" t="s">
        <v>5350</v>
      </c>
      <c r="F2099" s="81"/>
      <c r="G2099" s="85">
        <v>42784</v>
      </c>
      <c r="H2099" s="84">
        <v>20.423516831834412</v>
      </c>
      <c r="I2099" s="82"/>
      <c r="J2099" s="80">
        <v>209484</v>
      </c>
      <c r="K2099" s="82"/>
      <c r="L2099" s="82"/>
      <c r="M2099" s="79"/>
      <c r="N2099" s="79"/>
      <c r="O2099">
        <f t="shared" si="606"/>
        <v>1</v>
      </c>
      <c r="P2099" s="57">
        <f t="shared" si="607"/>
        <v>1</v>
      </c>
      <c r="Q2099" s="267">
        <f t="shared" si="608"/>
        <v>54756</v>
      </c>
      <c r="R2099" s="23">
        <f t="shared" si="609"/>
        <v>42784</v>
      </c>
      <c r="S2099" s="23">
        <f t="shared" si="610"/>
        <v>11972</v>
      </c>
      <c r="T2099" s="23">
        <f t="shared" si="611"/>
        <v>30812</v>
      </c>
      <c r="U2099" t="str">
        <f t="shared" si="612"/>
        <v>CO_Bould_2020g~City of Boulder Ballot Question 2E (Vote for 1)</v>
      </c>
      <c r="AF2099" s="22"/>
    </row>
    <row r="2100" spans="1:38" ht="14.4">
      <c r="A2100" t="str">
        <f t="shared" si="613"/>
        <v>CO_Bould_2020g~City of Boulder Ballot Question 2E (Vote for 1)</v>
      </c>
      <c r="B2100" s="79" t="s">
        <v>5636</v>
      </c>
      <c r="C2100" s="81" t="s">
        <v>5376</v>
      </c>
      <c r="D2100" s="79" t="s">
        <v>5376</v>
      </c>
      <c r="E2100" s="81" t="s">
        <v>5349</v>
      </c>
      <c r="F2100" s="81"/>
      <c r="G2100" s="85">
        <v>11972</v>
      </c>
      <c r="H2100" s="84">
        <v>5.7149949399476814</v>
      </c>
      <c r="I2100" s="82"/>
      <c r="J2100" s="80">
        <v>209484</v>
      </c>
      <c r="K2100" s="82"/>
      <c r="L2100" s="82"/>
      <c r="M2100" s="79"/>
      <c r="N2100" s="79"/>
      <c r="O2100">
        <f t="shared" si="606"/>
        <v>2</v>
      </c>
      <c r="P2100" s="57">
        <f t="shared" si="607"/>
        <v>1</v>
      </c>
      <c r="Q2100" s="267">
        <f t="shared" si="608"/>
        <v>11972</v>
      </c>
      <c r="R2100" s="23" t="str">
        <f t="shared" si="609"/>
        <v/>
      </c>
      <c r="S2100" s="23">
        <f t="shared" si="610"/>
        <v>11972</v>
      </c>
      <c r="T2100" s="23" t="str">
        <f t="shared" si="611"/>
        <v/>
      </c>
      <c r="U2100" t="str">
        <f t="shared" si="612"/>
        <v/>
      </c>
      <c r="AF2100" s="22"/>
      <c r="AG2100" s="295"/>
      <c r="AH2100" s="294"/>
      <c r="AI2100" s="279"/>
      <c r="AJ2100" s="279"/>
      <c r="AL2100" s="341"/>
    </row>
    <row r="2101" spans="1:38" ht="14.4">
      <c r="A2101" t="str">
        <f t="shared" si="613"/>
        <v>CO_Bould_2020g~City of Boulder Ballot Question 2F (Vote for 1)</v>
      </c>
      <c r="B2101" s="79" t="s">
        <v>5636</v>
      </c>
      <c r="C2101" s="81" t="s">
        <v>5377</v>
      </c>
      <c r="D2101" s="79" t="s">
        <v>5377</v>
      </c>
      <c r="E2101" s="81" t="s">
        <v>5350</v>
      </c>
      <c r="F2101" s="81"/>
      <c r="G2101" s="85">
        <v>46257</v>
      </c>
      <c r="H2101" s="84">
        <v>22.081400011456722</v>
      </c>
      <c r="I2101" s="82"/>
      <c r="J2101" s="80">
        <v>209484</v>
      </c>
      <c r="K2101" s="82"/>
      <c r="L2101" s="82"/>
      <c r="M2101" s="79"/>
      <c r="N2101" s="79"/>
      <c r="O2101">
        <f t="shared" si="606"/>
        <v>1</v>
      </c>
      <c r="P2101" s="57">
        <f t="shared" si="607"/>
        <v>1</v>
      </c>
      <c r="Q2101" s="267">
        <f t="shared" si="608"/>
        <v>54525</v>
      </c>
      <c r="R2101" s="23">
        <f t="shared" si="609"/>
        <v>46257</v>
      </c>
      <c r="S2101" s="23">
        <f t="shared" si="610"/>
        <v>8268</v>
      </c>
      <c r="T2101" s="23">
        <f t="shared" si="611"/>
        <v>37989</v>
      </c>
      <c r="U2101" t="str">
        <f t="shared" si="612"/>
        <v>CO_Bould_2020g~City of Boulder Ballot Question 2F (Vote for 1)</v>
      </c>
      <c r="AF2101" s="22"/>
    </row>
    <row r="2102" spans="1:38" ht="14.4">
      <c r="A2102" t="str">
        <f t="shared" si="613"/>
        <v>CO_Bould_2020g~City of Boulder Ballot Question 2F (Vote for 1)</v>
      </c>
      <c r="B2102" s="79" t="s">
        <v>5636</v>
      </c>
      <c r="C2102" s="81" t="s">
        <v>5377</v>
      </c>
      <c r="D2102" s="79" t="s">
        <v>5377</v>
      </c>
      <c r="E2102" s="81" t="s">
        <v>5349</v>
      </c>
      <c r="F2102" s="81"/>
      <c r="G2102" s="85">
        <v>8268</v>
      </c>
      <c r="H2102" s="84">
        <v>3.9468408088445894</v>
      </c>
      <c r="I2102" s="82"/>
      <c r="J2102" s="80">
        <v>209484</v>
      </c>
      <c r="K2102" s="82"/>
      <c r="L2102" s="82"/>
      <c r="M2102" s="79"/>
      <c r="N2102" s="79"/>
      <c r="O2102">
        <f t="shared" si="606"/>
        <v>2</v>
      </c>
      <c r="P2102" s="57">
        <f t="shared" si="607"/>
        <v>1</v>
      </c>
      <c r="Q2102" s="267">
        <f t="shared" si="608"/>
        <v>8268</v>
      </c>
      <c r="R2102" s="23" t="str">
        <f t="shared" si="609"/>
        <v/>
      </c>
      <c r="S2102" s="23">
        <f t="shared" si="610"/>
        <v>8268</v>
      </c>
      <c r="T2102" s="23" t="str">
        <f t="shared" si="611"/>
        <v/>
      </c>
      <c r="U2102" t="str">
        <f t="shared" si="612"/>
        <v/>
      </c>
      <c r="AF2102" s="22"/>
    </row>
    <row r="2103" spans="1:38" ht="14.4">
      <c r="A2103" t="str">
        <f t="shared" si="613"/>
        <v>CO_Bould_2020g~City of Louisville Ballot Issue 2A (Vote for 1)</v>
      </c>
      <c r="B2103" s="79" t="s">
        <v>5636</v>
      </c>
      <c r="C2103" s="81" t="s">
        <v>5395</v>
      </c>
      <c r="D2103" s="79" t="s">
        <v>5395</v>
      </c>
      <c r="E2103" s="81" t="s">
        <v>5350</v>
      </c>
      <c r="F2103" s="81"/>
      <c r="G2103" s="85">
        <v>8891</v>
      </c>
      <c r="H2103" s="84">
        <v>4.2442382234442722</v>
      </c>
      <c r="I2103" s="82"/>
      <c r="J2103" s="80">
        <v>209484</v>
      </c>
      <c r="K2103" s="82"/>
      <c r="L2103" s="82"/>
      <c r="M2103" s="79"/>
      <c r="N2103" s="79"/>
      <c r="O2103">
        <f t="shared" si="606"/>
        <v>1</v>
      </c>
      <c r="P2103" s="57">
        <f t="shared" si="607"/>
        <v>1</v>
      </c>
      <c r="Q2103" s="267">
        <f t="shared" si="608"/>
        <v>14285</v>
      </c>
      <c r="R2103" s="23">
        <f t="shared" si="609"/>
        <v>8891</v>
      </c>
      <c r="S2103" s="23">
        <f t="shared" si="610"/>
        <v>5394</v>
      </c>
      <c r="T2103" s="23">
        <f t="shared" si="611"/>
        <v>3497</v>
      </c>
      <c r="U2103" t="str">
        <f t="shared" si="612"/>
        <v>CO_Bould_2020g~City of Louisville Ballot Issue 2A (Vote for 1)</v>
      </c>
      <c r="AF2103" s="22"/>
    </row>
    <row r="2104" spans="1:38" ht="14.4">
      <c r="A2104" t="str">
        <f t="shared" si="613"/>
        <v>CO_Bould_2020g~City of Louisville Ballot Issue 2A (Vote for 1)</v>
      </c>
      <c r="B2104" s="79" t="s">
        <v>5636</v>
      </c>
      <c r="C2104" s="81" t="s">
        <v>5395</v>
      </c>
      <c r="D2104" s="79" t="s">
        <v>5395</v>
      </c>
      <c r="E2104" s="81" t="s">
        <v>5349</v>
      </c>
      <c r="F2104" s="81"/>
      <c r="G2104" s="85">
        <v>5394</v>
      </c>
      <c r="H2104" s="84">
        <v>2.5748983215901928</v>
      </c>
      <c r="I2104" s="82"/>
      <c r="J2104" s="80">
        <v>209484</v>
      </c>
      <c r="K2104" s="82"/>
      <c r="L2104" s="82"/>
      <c r="M2104" s="79"/>
      <c r="N2104" s="79"/>
      <c r="O2104">
        <f t="shared" si="606"/>
        <v>2</v>
      </c>
      <c r="P2104" s="57">
        <f t="shared" si="607"/>
        <v>1</v>
      </c>
      <c r="Q2104" s="267">
        <f t="shared" si="608"/>
        <v>5394</v>
      </c>
      <c r="R2104" s="23" t="str">
        <f t="shared" si="609"/>
        <v/>
      </c>
      <c r="S2104" s="23">
        <f t="shared" si="610"/>
        <v>5394</v>
      </c>
      <c r="T2104" s="23" t="str">
        <f t="shared" si="611"/>
        <v/>
      </c>
      <c r="U2104" t="str">
        <f t="shared" si="612"/>
        <v/>
      </c>
      <c r="AF2104" s="22"/>
    </row>
    <row r="2105" spans="1:38" ht="14.4">
      <c r="A2105" t="str">
        <f t="shared" si="613"/>
        <v>CO_Bould_2020g~City of Louisville City Council Ward 3 (1-Year Term) (Vote for 1)</v>
      </c>
      <c r="B2105" s="79" t="s">
        <v>5636</v>
      </c>
      <c r="C2105" s="81" t="s">
        <v>5396</v>
      </c>
      <c r="D2105" s="79" t="s">
        <v>5396</v>
      </c>
      <c r="E2105" s="81" t="s">
        <v>5397</v>
      </c>
      <c r="F2105" s="81"/>
      <c r="G2105" s="85">
        <v>2965</v>
      </c>
      <c r="H2105" s="84">
        <v>1.4153825590498559</v>
      </c>
      <c r="I2105" s="82"/>
      <c r="J2105" s="80">
        <v>209484</v>
      </c>
      <c r="K2105" s="82"/>
      <c r="L2105" s="82"/>
      <c r="M2105" s="79"/>
      <c r="N2105" s="79"/>
      <c r="O2105">
        <f t="shared" si="606"/>
        <v>1</v>
      </c>
      <c r="P2105" s="57">
        <f t="shared" si="607"/>
        <v>1</v>
      </c>
      <c r="Q2105" s="267">
        <f t="shared" si="608"/>
        <v>2965</v>
      </c>
      <c r="R2105" s="23">
        <f t="shared" si="609"/>
        <v>2965</v>
      </c>
      <c r="S2105" s="23">
        <f t="shared" si="610"/>
        <v>0</v>
      </c>
      <c r="T2105" s="23" t="str">
        <f t="shared" si="611"/>
        <v/>
      </c>
      <c r="U2105" t="str">
        <f t="shared" si="612"/>
        <v>CO_Bould_2020g~City of Louisville City Council Ward 3 (1-Year Term) (Vote for 1)</v>
      </c>
      <c r="AF2105" s="22"/>
    </row>
    <row r="2106" spans="1:38" ht="14.4">
      <c r="A2106" t="str">
        <f t="shared" si="613"/>
        <v>CO_Bould_2020g~Colorado Court of Appeals Judge - Craig R. Welling (Vote for 1)</v>
      </c>
      <c r="B2106" s="79" t="s">
        <v>5636</v>
      </c>
      <c r="C2106" s="81" t="s">
        <v>5399</v>
      </c>
      <c r="D2106" s="79" t="s">
        <v>5399</v>
      </c>
      <c r="E2106" s="81" t="s">
        <v>1981</v>
      </c>
      <c r="F2106" s="81"/>
      <c r="G2106" s="85">
        <v>129435</v>
      </c>
      <c r="H2106" s="84">
        <v>61.787535086211832</v>
      </c>
      <c r="I2106" s="82"/>
      <c r="J2106" s="80">
        <v>209484</v>
      </c>
      <c r="K2106" s="82"/>
      <c r="L2106" s="82"/>
      <c r="M2106" s="79"/>
      <c r="N2106" s="79"/>
      <c r="O2106">
        <f t="shared" si="606"/>
        <v>1</v>
      </c>
      <c r="P2106" s="57">
        <f t="shared" si="607"/>
        <v>1</v>
      </c>
      <c r="Q2106" s="267">
        <f t="shared" si="608"/>
        <v>159138</v>
      </c>
      <c r="R2106" s="23">
        <f t="shared" si="609"/>
        <v>129435</v>
      </c>
      <c r="S2106" s="23">
        <f t="shared" si="610"/>
        <v>29703</v>
      </c>
      <c r="T2106" s="23">
        <f t="shared" si="611"/>
        <v>99732</v>
      </c>
      <c r="U2106" t="str">
        <f t="shared" si="612"/>
        <v>CO_Bould_2020g~Colorado Court of Appeals Judge - Craig R. Welling (Vote for 1)</v>
      </c>
      <c r="AF2106" s="22"/>
    </row>
    <row r="2107" spans="1:38" ht="14.4">
      <c r="A2107" t="str">
        <f t="shared" si="613"/>
        <v>CO_Bould_2020g~Colorado Court of Appeals Judge - Craig R. Welling (Vote for 1)</v>
      </c>
      <c r="B2107" s="79" t="s">
        <v>5636</v>
      </c>
      <c r="C2107" s="81" t="s">
        <v>5399</v>
      </c>
      <c r="D2107" s="79" t="s">
        <v>5399</v>
      </c>
      <c r="E2107" s="81" t="s">
        <v>1982</v>
      </c>
      <c r="F2107" s="81"/>
      <c r="G2107" s="85">
        <v>29703</v>
      </c>
      <c r="H2107" s="84">
        <v>14.179125852093716</v>
      </c>
      <c r="I2107" s="82"/>
      <c r="J2107" s="80">
        <v>209484</v>
      </c>
      <c r="K2107" s="82"/>
      <c r="L2107" s="82"/>
      <c r="M2107" s="79"/>
      <c r="N2107" s="79"/>
      <c r="O2107">
        <f t="shared" si="606"/>
        <v>2</v>
      </c>
      <c r="P2107" s="57">
        <f t="shared" si="607"/>
        <v>1</v>
      </c>
      <c r="Q2107" s="267">
        <f t="shared" si="608"/>
        <v>29703</v>
      </c>
      <c r="R2107" s="23" t="str">
        <f t="shared" si="609"/>
        <v/>
      </c>
      <c r="S2107" s="23">
        <f t="shared" si="610"/>
        <v>29703</v>
      </c>
      <c r="T2107" s="23" t="str">
        <f t="shared" si="611"/>
        <v/>
      </c>
      <c r="U2107" t="str">
        <f t="shared" si="612"/>
        <v/>
      </c>
      <c r="AF2107" s="22"/>
      <c r="AL2107" s="23"/>
    </row>
    <row r="2108" spans="1:38" ht="14.4">
      <c r="A2108" t="str">
        <f t="shared" si="613"/>
        <v>CO_Bould_2020g~Colorado Court of Appeals Judge - Ted C. Tow III (Vote for 1)</v>
      </c>
      <c r="B2108" s="79" t="s">
        <v>5636</v>
      </c>
      <c r="C2108" s="81" t="s">
        <v>5400</v>
      </c>
      <c r="D2108" s="79" t="s">
        <v>5400</v>
      </c>
      <c r="E2108" s="81" t="s">
        <v>1981</v>
      </c>
      <c r="F2108" s="81"/>
      <c r="G2108" s="85">
        <v>128500</v>
      </c>
      <c r="H2108" s="84">
        <v>61.341200282599146</v>
      </c>
      <c r="I2108" s="82"/>
      <c r="J2108" s="80">
        <v>209484</v>
      </c>
      <c r="K2108" s="82"/>
      <c r="L2108" s="82"/>
      <c r="M2108" s="79"/>
      <c r="N2108" s="79"/>
      <c r="O2108">
        <f t="shared" si="606"/>
        <v>1</v>
      </c>
      <c r="P2108" s="57">
        <f t="shared" si="607"/>
        <v>1</v>
      </c>
      <c r="Q2108" s="267">
        <f t="shared" si="608"/>
        <v>158899</v>
      </c>
      <c r="R2108" s="23">
        <f t="shared" si="609"/>
        <v>128500</v>
      </c>
      <c r="S2108" s="23">
        <f t="shared" si="610"/>
        <v>30399</v>
      </c>
      <c r="T2108" s="23">
        <f t="shared" si="611"/>
        <v>98101</v>
      </c>
      <c r="U2108" t="str">
        <f t="shared" si="612"/>
        <v>CO_Bould_2020g~Colorado Court of Appeals Judge - Ted C. Tow III (Vote for 1)</v>
      </c>
      <c r="AF2108" s="22"/>
    </row>
    <row r="2109" spans="1:38" ht="14.4">
      <c r="A2109" t="str">
        <f t="shared" si="613"/>
        <v>CO_Bould_2020g~Colorado Court of Appeals Judge - Ted C. Tow III (Vote for 1)</v>
      </c>
      <c r="B2109" s="79" t="s">
        <v>5636</v>
      </c>
      <c r="C2109" s="81" t="s">
        <v>5400</v>
      </c>
      <c r="D2109" s="79" t="s">
        <v>5400</v>
      </c>
      <c r="E2109" s="81" t="s">
        <v>1982</v>
      </c>
      <c r="F2109" s="81"/>
      <c r="G2109" s="85">
        <v>30399</v>
      </c>
      <c r="H2109" s="84">
        <v>14.511370796815031</v>
      </c>
      <c r="I2109" s="82"/>
      <c r="J2109" s="80">
        <v>209484</v>
      </c>
      <c r="K2109" s="82"/>
      <c r="L2109" s="82"/>
      <c r="M2109" s="79"/>
      <c r="N2109" s="79"/>
      <c r="O2109">
        <f t="shared" si="606"/>
        <v>2</v>
      </c>
      <c r="P2109" s="57">
        <f t="shared" si="607"/>
        <v>1</v>
      </c>
      <c r="Q2109" s="267">
        <f t="shared" si="608"/>
        <v>30399</v>
      </c>
      <c r="R2109" s="23" t="str">
        <f t="shared" si="609"/>
        <v/>
      </c>
      <c r="S2109" s="23">
        <f t="shared" si="610"/>
        <v>30399</v>
      </c>
      <c r="T2109" s="23" t="str">
        <f t="shared" si="611"/>
        <v/>
      </c>
      <c r="U2109" t="str">
        <f t="shared" si="612"/>
        <v/>
      </c>
      <c r="AF2109" s="22"/>
    </row>
    <row r="2110" spans="1:38" ht="14.4">
      <c r="A2110" t="str">
        <f t="shared" si="613"/>
        <v>CO_Bould_2020g~District Attorney-20th Judicial District (Vote for 1)</v>
      </c>
      <c r="B2110" s="79" t="s">
        <v>5636</v>
      </c>
      <c r="C2110" s="81" t="s">
        <v>5406</v>
      </c>
      <c r="D2110" s="79" t="s">
        <v>5406</v>
      </c>
      <c r="E2110" s="81" t="s">
        <v>5217</v>
      </c>
      <c r="F2110" s="81"/>
      <c r="G2110" s="85">
        <v>155225</v>
      </c>
      <c r="H2110" s="84">
        <v>74.098737851100793</v>
      </c>
      <c r="I2110" s="82"/>
      <c r="J2110" s="80">
        <v>209484</v>
      </c>
      <c r="K2110" s="82"/>
      <c r="L2110" s="82"/>
      <c r="M2110" s="79"/>
      <c r="N2110" s="79"/>
      <c r="O2110">
        <f t="shared" si="606"/>
        <v>1</v>
      </c>
      <c r="P2110" s="57">
        <f t="shared" si="607"/>
        <v>1</v>
      </c>
      <c r="Q2110" s="267">
        <f t="shared" si="608"/>
        <v>155225</v>
      </c>
      <c r="R2110" s="23">
        <f t="shared" si="609"/>
        <v>155225</v>
      </c>
      <c r="S2110" s="23">
        <f t="shared" si="610"/>
        <v>0</v>
      </c>
      <c r="T2110" s="23" t="str">
        <f t="shared" si="611"/>
        <v/>
      </c>
      <c r="U2110" t="str">
        <f t="shared" si="612"/>
        <v>CO_Bould_2020g~District Attorney-20th Judicial District (Vote for 1)</v>
      </c>
    </row>
    <row r="2111" spans="1:38" ht="14.4">
      <c r="A2111" t="str">
        <f t="shared" si="613"/>
        <v>CO_Bould_2020g~District Court Judge - 20th Judicial District - Judith L. LaBuda (Vote for 1)</v>
      </c>
      <c r="B2111" s="79" t="s">
        <v>5636</v>
      </c>
      <c r="C2111" s="81" t="s">
        <v>5414</v>
      </c>
      <c r="D2111" s="79" t="s">
        <v>5414</v>
      </c>
      <c r="E2111" s="81" t="s">
        <v>1981</v>
      </c>
      <c r="F2111" s="81"/>
      <c r="G2111" s="85">
        <v>128577</v>
      </c>
      <c r="H2111" s="84">
        <v>61.377957266426073</v>
      </c>
      <c r="I2111" s="82"/>
      <c r="J2111" s="80">
        <v>209484</v>
      </c>
      <c r="K2111" s="82"/>
      <c r="L2111" s="82"/>
      <c r="M2111" s="79"/>
      <c r="N2111" s="79"/>
      <c r="O2111">
        <f t="shared" si="606"/>
        <v>1</v>
      </c>
      <c r="P2111" s="57">
        <f t="shared" si="607"/>
        <v>1</v>
      </c>
      <c r="Q2111" s="267">
        <f t="shared" si="608"/>
        <v>156983</v>
      </c>
      <c r="R2111" s="23">
        <f t="shared" si="609"/>
        <v>128577</v>
      </c>
      <c r="S2111" s="23">
        <f t="shared" si="610"/>
        <v>28406</v>
      </c>
      <c r="T2111" s="23">
        <f t="shared" si="611"/>
        <v>100171</v>
      </c>
      <c r="U2111" t="str">
        <f t="shared" si="612"/>
        <v>CO_Bould_2020g~District Court Judge - 20th Judicial District - Judith L. LaBuda (Vote for 1)</v>
      </c>
      <c r="AF2111" s="22"/>
    </row>
    <row r="2112" spans="1:38" ht="14.4">
      <c r="A2112" t="str">
        <f t="shared" si="613"/>
        <v>CO_Bould_2020g~District Court Judge - 20th Judicial District - Judith L. LaBuda (Vote for 1)</v>
      </c>
      <c r="B2112" s="79" t="s">
        <v>5636</v>
      </c>
      <c r="C2112" s="81" t="s">
        <v>5414</v>
      </c>
      <c r="D2112" s="79" t="s">
        <v>5414</v>
      </c>
      <c r="E2112" s="81" t="s">
        <v>1982</v>
      </c>
      <c r="F2112" s="81"/>
      <c r="G2112" s="85">
        <v>28406</v>
      </c>
      <c r="H2112" s="84">
        <v>13.55998548815184</v>
      </c>
      <c r="I2112" s="82"/>
      <c r="J2112" s="80">
        <v>209484</v>
      </c>
      <c r="K2112" s="82"/>
      <c r="L2112" s="82"/>
      <c r="M2112" s="79"/>
      <c r="N2112" s="79"/>
      <c r="O2112">
        <f t="shared" si="606"/>
        <v>2</v>
      </c>
      <c r="P2112" s="57">
        <f t="shared" si="607"/>
        <v>1</v>
      </c>
      <c r="Q2112" s="267">
        <f t="shared" si="608"/>
        <v>28406</v>
      </c>
      <c r="R2112" s="23" t="str">
        <f t="shared" si="609"/>
        <v/>
      </c>
      <c r="S2112" s="23">
        <f t="shared" si="610"/>
        <v>28406</v>
      </c>
      <c r="T2112" s="23" t="str">
        <f t="shared" si="611"/>
        <v/>
      </c>
      <c r="U2112" t="str">
        <f t="shared" si="612"/>
        <v/>
      </c>
      <c r="AF2112" s="22"/>
    </row>
    <row r="2113" spans="1:45" ht="14.4">
      <c r="A2113" t="str">
        <f t="shared" si="613"/>
        <v>CO_Bould_2020g~District Court Judge - 20th Judicial District - Nancy Woodruff Salomone (Vote for 1)</v>
      </c>
      <c r="B2113" s="79" t="s">
        <v>5636</v>
      </c>
      <c r="C2113" s="81" t="s">
        <v>5415</v>
      </c>
      <c r="D2113" s="79" t="s">
        <v>5415</v>
      </c>
      <c r="E2113" s="81" t="s">
        <v>1981</v>
      </c>
      <c r="F2113" s="81"/>
      <c r="G2113" s="85">
        <v>133198</v>
      </c>
      <c r="H2113" s="84">
        <v>63.583853659468026</v>
      </c>
      <c r="I2113" s="82"/>
      <c r="J2113" s="80">
        <v>209484</v>
      </c>
      <c r="K2113" s="82"/>
      <c r="L2113" s="82"/>
      <c r="M2113" s="79"/>
      <c r="N2113" s="79"/>
      <c r="O2113">
        <f t="shared" si="606"/>
        <v>1</v>
      </c>
      <c r="P2113" s="57">
        <f t="shared" si="607"/>
        <v>1</v>
      </c>
      <c r="Q2113" s="267">
        <f t="shared" si="608"/>
        <v>155635</v>
      </c>
      <c r="R2113" s="23">
        <f t="shared" si="609"/>
        <v>133198</v>
      </c>
      <c r="S2113" s="23">
        <f t="shared" si="610"/>
        <v>22437</v>
      </c>
      <c r="T2113" s="23">
        <f t="shared" si="611"/>
        <v>110761</v>
      </c>
      <c r="U2113" t="str">
        <f t="shared" si="612"/>
        <v>CO_Bould_2020g~District Court Judge - 20th Judicial District - Nancy Woodruff Salomone (Vote for 1)</v>
      </c>
      <c r="AF2113" s="22"/>
    </row>
    <row r="2114" spans="1:45" ht="14.4">
      <c r="A2114" t="str">
        <f t="shared" si="613"/>
        <v>CO_Bould_2020g~District Court Judge - 20th Judicial District - Nancy Woodruff Salomone (Vote for 1)</v>
      </c>
      <c r="B2114" s="79" t="s">
        <v>5636</v>
      </c>
      <c r="C2114" s="81" t="s">
        <v>5415</v>
      </c>
      <c r="D2114" s="79" t="s">
        <v>5415</v>
      </c>
      <c r="E2114" s="81" t="s">
        <v>1982</v>
      </c>
      <c r="F2114" s="81"/>
      <c r="G2114" s="85">
        <v>22437</v>
      </c>
      <c r="H2114" s="84">
        <v>10.710603196425502</v>
      </c>
      <c r="I2114" s="82"/>
      <c r="J2114" s="80">
        <v>209484</v>
      </c>
      <c r="K2114" s="82"/>
      <c r="L2114" s="82"/>
      <c r="M2114" s="79"/>
      <c r="N2114" s="79"/>
      <c r="O2114">
        <f t="shared" ref="O2114:O2177" si="614">IF(OR(LOWER(LEFT(E2114,8))="write-in",LOWER(LEFT(E2114,8))="not qual"),IF(A2114=A2113,-ABS(O2113),0),IF(A2114=A2113,ABS(O2113)+1,1))</f>
        <v>2</v>
      </c>
      <c r="P2114" s="57">
        <f t="shared" ref="P2114:P2177" si="615">1*LEFT(RIGHT(A2114,2),1)</f>
        <v>1</v>
      </c>
      <c r="Q2114" s="267">
        <f t="shared" ref="Q2114:Q2177" si="616">IF(A2114&lt;&gt;A2115,G2114,IF(A2114=A2113,G2114+Q2115,MAX(G2114,(G2114+Q2115)/P2114)))</f>
        <v>22437</v>
      </c>
      <c r="R2114" s="23" t="str">
        <f t="shared" ref="R2114:R2177" si="617">IF(O2114&gt;P2114,"",IF(O2114=P2114,G2114,IF(A2114=A2115,R2115,IF(O2114&lt;=0,1,G2114))))</f>
        <v/>
      </c>
      <c r="S2114" s="23">
        <f t="shared" ref="S2114:S2177" si="618">IF(AND(O2114&gt;P2114,LOWER(LEFT(E2114,8))&lt;&gt;"write-in",LOWER(LEFT(E2114,8))&lt;&gt;"not qual"),G2114,IF(A2114=A2115,S2115,0))</f>
        <v>22437</v>
      </c>
      <c r="T2114" s="23" t="str">
        <f t="shared" ref="T2114:T2177" si="619">IF(OR(A2114=A2113,S2114=0),"",R2114-ABS(S2114))</f>
        <v/>
      </c>
      <c r="U2114" t="str">
        <f t="shared" ref="U2114:U2177" si="620">IF(A2114=A2113,"",A2114)</f>
        <v/>
      </c>
      <c r="AF2114" s="22"/>
    </row>
    <row r="2115" spans="1:45" ht="14.4">
      <c r="A2115" t="str">
        <f t="shared" si="613"/>
        <v>CO_Bould_2020g~District Court Judge - 20th Judicial District - Patrick D. Butler (Vote for 1)</v>
      </c>
      <c r="B2115" s="79" t="s">
        <v>5636</v>
      </c>
      <c r="C2115" s="81" t="s">
        <v>5416</v>
      </c>
      <c r="D2115" s="79" t="s">
        <v>5416</v>
      </c>
      <c r="E2115" s="81" t="s">
        <v>1981</v>
      </c>
      <c r="F2115" s="81"/>
      <c r="G2115" s="85">
        <v>119160</v>
      </c>
      <c r="H2115" s="84">
        <v>56.882625880735525</v>
      </c>
      <c r="I2115" s="82"/>
      <c r="J2115" s="80">
        <v>209484</v>
      </c>
      <c r="K2115" s="82"/>
      <c r="L2115" s="82"/>
      <c r="M2115" s="79"/>
      <c r="N2115" s="79"/>
      <c r="O2115">
        <f t="shared" si="614"/>
        <v>1</v>
      </c>
      <c r="P2115" s="57">
        <f t="shared" si="615"/>
        <v>1</v>
      </c>
      <c r="Q2115" s="267">
        <f t="shared" si="616"/>
        <v>158415</v>
      </c>
      <c r="R2115" s="23">
        <f t="shared" si="617"/>
        <v>119160</v>
      </c>
      <c r="S2115" s="23">
        <f t="shared" si="618"/>
        <v>39255</v>
      </c>
      <c r="T2115" s="23">
        <f t="shared" si="619"/>
        <v>79905</v>
      </c>
      <c r="U2115" t="str">
        <f t="shared" si="620"/>
        <v>CO_Bould_2020g~District Court Judge - 20th Judicial District - Patrick D. Butler (Vote for 1)</v>
      </c>
      <c r="AF2115" s="22"/>
      <c r="AG2115" s="23"/>
      <c r="AH2115" s="8"/>
      <c r="AL2115" s="344"/>
    </row>
    <row r="2116" spans="1:45" ht="14.4">
      <c r="A2116" t="str">
        <f t="shared" si="613"/>
        <v>CO_Bould_2020g~District Court Judge - 20th Judicial District - Patrick D. Butler (Vote for 1)</v>
      </c>
      <c r="B2116" s="79" t="s">
        <v>5636</v>
      </c>
      <c r="C2116" s="81" t="s">
        <v>5416</v>
      </c>
      <c r="D2116" s="79" t="s">
        <v>5416</v>
      </c>
      <c r="E2116" s="81" t="s">
        <v>1982</v>
      </c>
      <c r="F2116" s="81"/>
      <c r="G2116" s="85">
        <v>39255</v>
      </c>
      <c r="H2116" s="84">
        <v>18.738901300337972</v>
      </c>
      <c r="I2116" s="82"/>
      <c r="J2116" s="80">
        <v>209484</v>
      </c>
      <c r="K2116" s="82"/>
      <c r="L2116" s="82"/>
      <c r="M2116" s="79"/>
      <c r="N2116" s="79"/>
      <c r="O2116">
        <f t="shared" si="614"/>
        <v>2</v>
      </c>
      <c r="P2116" s="57">
        <f t="shared" si="615"/>
        <v>1</v>
      </c>
      <c r="Q2116" s="267">
        <f t="shared" si="616"/>
        <v>39255</v>
      </c>
      <c r="R2116" s="23" t="str">
        <f t="shared" si="617"/>
        <v/>
      </c>
      <c r="S2116" s="23">
        <f t="shared" si="618"/>
        <v>39255</v>
      </c>
      <c r="T2116" s="23" t="str">
        <f t="shared" si="619"/>
        <v/>
      </c>
      <c r="U2116" t="str">
        <f t="shared" si="620"/>
        <v/>
      </c>
      <c r="AF2116" s="22"/>
    </row>
    <row r="2117" spans="1:45" ht="14.4">
      <c r="A2117" t="str">
        <f t="shared" si="613"/>
        <v>CO_Bould_2020g~District Court Judge - 20th Judicial District - Ross Macdonald (Vote for 1)</v>
      </c>
      <c r="B2117" s="79" t="s">
        <v>5636</v>
      </c>
      <c r="C2117" s="81" t="s">
        <v>5417</v>
      </c>
      <c r="D2117" s="79" t="s">
        <v>5417</v>
      </c>
      <c r="E2117" s="81" t="s">
        <v>1981</v>
      </c>
      <c r="F2117" s="81"/>
      <c r="G2117" s="85">
        <v>127540</v>
      </c>
      <c r="H2117" s="84">
        <v>60.88293139332837</v>
      </c>
      <c r="I2117" s="82"/>
      <c r="J2117" s="80">
        <v>209484</v>
      </c>
      <c r="K2117" s="82"/>
      <c r="L2117" s="82"/>
      <c r="M2117" s="79"/>
      <c r="N2117" s="79"/>
      <c r="O2117">
        <f t="shared" si="614"/>
        <v>1</v>
      </c>
      <c r="P2117" s="57">
        <f t="shared" si="615"/>
        <v>1</v>
      </c>
      <c r="Q2117" s="267">
        <f t="shared" si="616"/>
        <v>155845</v>
      </c>
      <c r="R2117" s="23">
        <f t="shared" si="617"/>
        <v>127540</v>
      </c>
      <c r="S2117" s="23">
        <f t="shared" si="618"/>
        <v>28305</v>
      </c>
      <c r="T2117" s="23">
        <f t="shared" si="619"/>
        <v>99235</v>
      </c>
      <c r="U2117" t="str">
        <f t="shared" si="620"/>
        <v>CO_Bould_2020g~District Court Judge - 20th Judicial District - Ross Macdonald (Vote for 1)</v>
      </c>
      <c r="AF2117" s="293"/>
    </row>
    <row r="2118" spans="1:45" ht="14.4">
      <c r="A2118" t="str">
        <f t="shared" si="613"/>
        <v>CO_Bould_2020g~District Court Judge - 20th Judicial District - Ross Macdonald (Vote for 1)</v>
      </c>
      <c r="B2118" s="79" t="s">
        <v>5636</v>
      </c>
      <c r="C2118" s="81" t="s">
        <v>5417</v>
      </c>
      <c r="D2118" s="79" t="s">
        <v>5417</v>
      </c>
      <c r="E2118" s="81" t="s">
        <v>1982</v>
      </c>
      <c r="F2118" s="81"/>
      <c r="G2118" s="85">
        <v>28305</v>
      </c>
      <c r="H2118" s="84">
        <v>13.511771782093144</v>
      </c>
      <c r="I2118" s="82"/>
      <c r="J2118" s="80">
        <v>209484</v>
      </c>
      <c r="K2118" s="82"/>
      <c r="L2118" s="82"/>
      <c r="M2118" s="79"/>
      <c r="N2118" s="79"/>
      <c r="O2118">
        <f t="shared" si="614"/>
        <v>2</v>
      </c>
      <c r="P2118" s="57">
        <f t="shared" si="615"/>
        <v>1</v>
      </c>
      <c r="Q2118" s="267">
        <f t="shared" si="616"/>
        <v>28305</v>
      </c>
      <c r="R2118" s="23" t="str">
        <f t="shared" si="617"/>
        <v/>
      </c>
      <c r="S2118" s="23">
        <f t="shared" si="618"/>
        <v>28305</v>
      </c>
      <c r="T2118" s="23" t="str">
        <f t="shared" si="619"/>
        <v/>
      </c>
      <c r="U2118" t="str">
        <f t="shared" si="620"/>
        <v/>
      </c>
      <c r="AF2118" s="293"/>
      <c r="AO2118" s="356"/>
      <c r="AP2118" s="356"/>
      <c r="AQ2118" s="394"/>
      <c r="AR2118" s="394"/>
      <c r="AS2118" s="394"/>
    </row>
    <row r="2119" spans="1:45" ht="14.4">
      <c r="A2119" t="str">
        <f t="shared" si="613"/>
        <v>CO_Bould_2020g~District Court Judge - 20th Judicial District - Seftar Bakke (Vote for 1)</v>
      </c>
      <c r="B2119" s="79" t="s">
        <v>5636</v>
      </c>
      <c r="C2119" s="81" t="s">
        <v>5418</v>
      </c>
      <c r="D2119" s="79" t="s">
        <v>5418</v>
      </c>
      <c r="E2119" s="81" t="s">
        <v>1981</v>
      </c>
      <c r="F2119" s="81"/>
      <c r="G2119" s="85">
        <v>136766</v>
      </c>
      <c r="H2119" s="84">
        <v>65.28708636459109</v>
      </c>
      <c r="I2119" s="82"/>
      <c r="J2119" s="80">
        <v>209484</v>
      </c>
      <c r="K2119" s="82"/>
      <c r="L2119" s="82"/>
      <c r="M2119" s="79"/>
      <c r="N2119" s="79"/>
      <c r="O2119">
        <f t="shared" si="614"/>
        <v>1</v>
      </c>
      <c r="P2119" s="57">
        <f t="shared" si="615"/>
        <v>1</v>
      </c>
      <c r="Q2119" s="267">
        <f t="shared" si="616"/>
        <v>157922</v>
      </c>
      <c r="R2119" s="23">
        <f t="shared" si="617"/>
        <v>136766</v>
      </c>
      <c r="S2119" s="23">
        <f t="shared" si="618"/>
        <v>21156</v>
      </c>
      <c r="T2119" s="23">
        <f t="shared" si="619"/>
        <v>115610</v>
      </c>
      <c r="U2119" t="str">
        <f t="shared" si="620"/>
        <v>CO_Bould_2020g~District Court Judge - 20th Judicial District - Seftar Bakke (Vote for 1)</v>
      </c>
      <c r="AF2119" s="22"/>
      <c r="AL2119" s="344"/>
    </row>
    <row r="2120" spans="1:45" ht="14.4">
      <c r="A2120" t="str">
        <f t="shared" si="613"/>
        <v>CO_Bould_2020g~District Court Judge - 20th Judicial District - Seftar Bakke (Vote for 1)</v>
      </c>
      <c r="B2120" s="79" t="s">
        <v>5636</v>
      </c>
      <c r="C2120" s="81" t="s">
        <v>5418</v>
      </c>
      <c r="D2120" s="79" t="s">
        <v>5418</v>
      </c>
      <c r="E2120" s="81" t="s">
        <v>1982</v>
      </c>
      <c r="F2120" s="81"/>
      <c r="G2120" s="85">
        <v>21156</v>
      </c>
      <c r="H2120" s="84">
        <v>10.099100647304805</v>
      </c>
      <c r="I2120" s="82"/>
      <c r="J2120" s="80">
        <v>209484</v>
      </c>
      <c r="K2120" s="82"/>
      <c r="L2120" s="82"/>
      <c r="M2120" s="79"/>
      <c r="N2120" s="79"/>
      <c r="O2120">
        <f t="shared" si="614"/>
        <v>2</v>
      </c>
      <c r="P2120" s="57">
        <f t="shared" si="615"/>
        <v>1</v>
      </c>
      <c r="Q2120" s="267">
        <f t="shared" si="616"/>
        <v>21156</v>
      </c>
      <c r="R2120" s="23" t="str">
        <f t="shared" si="617"/>
        <v/>
      </c>
      <c r="S2120" s="23">
        <f t="shared" si="618"/>
        <v>21156</v>
      </c>
      <c r="T2120" s="23" t="str">
        <f t="shared" si="619"/>
        <v/>
      </c>
      <c r="U2120" t="str">
        <f t="shared" si="620"/>
        <v/>
      </c>
      <c r="AF2120" s="22"/>
    </row>
    <row r="2121" spans="1:45" ht="14.4">
      <c r="A2121" t="str">
        <f t="shared" si="613"/>
        <v>CO_Bould_2020g~Justice of the Colorado Supreme Court - Carlos A. Samour Jr. (Vote for 1)</v>
      </c>
      <c r="B2121" s="79" t="s">
        <v>5636</v>
      </c>
      <c r="C2121" s="81" t="s">
        <v>5465</v>
      </c>
      <c r="D2121" s="79" t="s">
        <v>5465</v>
      </c>
      <c r="E2121" s="81" t="s">
        <v>1981</v>
      </c>
      <c r="F2121" s="81"/>
      <c r="G2121" s="85">
        <v>135866</v>
      </c>
      <c r="H2121" s="84">
        <v>64.857459280899732</v>
      </c>
      <c r="I2121" s="82"/>
      <c r="J2121" s="80">
        <v>209484</v>
      </c>
      <c r="K2121" s="82"/>
      <c r="L2121" s="82"/>
      <c r="M2121" s="79"/>
      <c r="N2121" s="79"/>
      <c r="O2121">
        <f t="shared" si="614"/>
        <v>1</v>
      </c>
      <c r="P2121" s="57">
        <f t="shared" si="615"/>
        <v>1</v>
      </c>
      <c r="Q2121" s="267">
        <f t="shared" si="616"/>
        <v>160963</v>
      </c>
      <c r="R2121" s="23">
        <f t="shared" si="617"/>
        <v>135866</v>
      </c>
      <c r="S2121" s="23">
        <f t="shared" si="618"/>
        <v>25097</v>
      </c>
      <c r="T2121" s="23">
        <f t="shared" si="619"/>
        <v>110769</v>
      </c>
      <c r="U2121" t="str">
        <f t="shared" si="620"/>
        <v>CO_Bould_2020g~Justice of the Colorado Supreme Court - Carlos A. Samour Jr. (Vote for 1)</v>
      </c>
      <c r="AF2121" s="22"/>
    </row>
    <row r="2122" spans="1:45" ht="14.4">
      <c r="A2122" t="str">
        <f t="shared" si="613"/>
        <v>CO_Bould_2020g~Justice of the Colorado Supreme Court - Carlos A. Samour Jr. (Vote for 1)</v>
      </c>
      <c r="B2122" s="79" t="s">
        <v>5636</v>
      </c>
      <c r="C2122" s="81" t="s">
        <v>5465</v>
      </c>
      <c r="D2122" s="79" t="s">
        <v>5465</v>
      </c>
      <c r="E2122" s="81" t="s">
        <v>1982</v>
      </c>
      <c r="F2122" s="81"/>
      <c r="G2122" s="85">
        <v>25097</v>
      </c>
      <c r="H2122" s="84">
        <v>11.980389910446622</v>
      </c>
      <c r="I2122" s="82"/>
      <c r="J2122" s="80">
        <v>209484</v>
      </c>
      <c r="K2122" s="82"/>
      <c r="L2122" s="82"/>
      <c r="M2122" s="79"/>
      <c r="N2122" s="79"/>
      <c r="O2122">
        <f t="shared" si="614"/>
        <v>2</v>
      </c>
      <c r="P2122" s="57">
        <f t="shared" si="615"/>
        <v>1</v>
      </c>
      <c r="Q2122" s="267">
        <f t="shared" si="616"/>
        <v>25097</v>
      </c>
      <c r="R2122" s="23" t="str">
        <f t="shared" si="617"/>
        <v/>
      </c>
      <c r="S2122" s="23">
        <f t="shared" si="618"/>
        <v>25097</v>
      </c>
      <c r="T2122" s="23" t="str">
        <f t="shared" si="619"/>
        <v/>
      </c>
      <c r="U2122" t="str">
        <f t="shared" si="620"/>
        <v/>
      </c>
      <c r="AF2122" s="22"/>
    </row>
    <row r="2123" spans="1:45" ht="14.4">
      <c r="A2123" t="str">
        <f t="shared" si="613"/>
        <v>CO_Bould_2020g~Justice of the Colorado Supreme Court - Melissa Hart (Vote for 1)</v>
      </c>
      <c r="B2123" s="79" t="s">
        <v>5636</v>
      </c>
      <c r="C2123" s="81" t="s">
        <v>5466</v>
      </c>
      <c r="D2123" s="79" t="s">
        <v>5466</v>
      </c>
      <c r="E2123" s="81" t="s">
        <v>1981</v>
      </c>
      <c r="F2123" s="81"/>
      <c r="G2123" s="85">
        <v>142903</v>
      </c>
      <c r="H2123" s="84">
        <v>68.216665711939811</v>
      </c>
      <c r="I2123" s="82"/>
      <c r="J2123" s="80">
        <v>209484</v>
      </c>
      <c r="K2123" s="82"/>
      <c r="L2123" s="82"/>
      <c r="M2123" s="79"/>
      <c r="N2123" s="79"/>
      <c r="O2123">
        <f t="shared" si="614"/>
        <v>1</v>
      </c>
      <c r="P2123" s="57">
        <f t="shared" si="615"/>
        <v>1</v>
      </c>
      <c r="Q2123" s="267">
        <f t="shared" si="616"/>
        <v>163893</v>
      </c>
      <c r="R2123" s="23">
        <f t="shared" si="617"/>
        <v>142903</v>
      </c>
      <c r="S2123" s="23">
        <f t="shared" si="618"/>
        <v>20990</v>
      </c>
      <c r="T2123" s="23">
        <f t="shared" si="619"/>
        <v>121913</v>
      </c>
      <c r="U2123" t="str">
        <f t="shared" si="620"/>
        <v>CO_Bould_2020g~Justice of the Colorado Supreme Court - Melissa Hart (Vote for 1)</v>
      </c>
      <c r="AF2123" s="300"/>
    </row>
    <row r="2124" spans="1:45" ht="14.4">
      <c r="A2124" t="str">
        <f t="shared" si="613"/>
        <v>CO_Bould_2020g~Justice of the Colorado Supreme Court - Melissa Hart (Vote for 1)</v>
      </c>
      <c r="B2124" s="79" t="s">
        <v>5636</v>
      </c>
      <c r="C2124" s="81" t="s">
        <v>5466</v>
      </c>
      <c r="D2124" s="79" t="s">
        <v>5466</v>
      </c>
      <c r="E2124" s="81" t="s">
        <v>1982</v>
      </c>
      <c r="F2124" s="81"/>
      <c r="G2124" s="85">
        <v>20990</v>
      </c>
      <c r="H2124" s="84">
        <v>10.019858318535068</v>
      </c>
      <c r="I2124" s="82"/>
      <c r="J2124" s="80">
        <v>209484</v>
      </c>
      <c r="K2124" s="82"/>
      <c r="L2124" s="82"/>
      <c r="M2124" s="79"/>
      <c r="N2124" s="79"/>
      <c r="O2124">
        <f t="shared" si="614"/>
        <v>2</v>
      </c>
      <c r="P2124" s="57">
        <f t="shared" si="615"/>
        <v>1</v>
      </c>
      <c r="Q2124" s="267">
        <f t="shared" si="616"/>
        <v>20990</v>
      </c>
      <c r="R2124" s="23" t="str">
        <f t="shared" si="617"/>
        <v/>
      </c>
      <c r="S2124" s="23">
        <f t="shared" si="618"/>
        <v>20990</v>
      </c>
      <c r="T2124" s="23" t="str">
        <f t="shared" si="619"/>
        <v/>
      </c>
      <c r="U2124" t="str">
        <f t="shared" si="620"/>
        <v/>
      </c>
    </row>
    <row r="2125" spans="1:45" ht="14.4">
      <c r="A2125" t="str">
        <f t="shared" si="613"/>
        <v>CO_Bould_2020g~Regional Transportation District Director - District I (Vote for 1)</v>
      </c>
      <c r="B2125" s="79" t="s">
        <v>5636</v>
      </c>
      <c r="C2125" s="81" t="s">
        <v>5486</v>
      </c>
      <c r="D2125" s="79" t="s">
        <v>5486</v>
      </c>
      <c r="E2125" s="81" t="s">
        <v>5487</v>
      </c>
      <c r="F2125" s="81"/>
      <c r="G2125" s="81" t="s">
        <v>5488</v>
      </c>
      <c r="H2125" s="84" t="e">
        <v>#VALUE!</v>
      </c>
      <c r="I2125" s="82"/>
      <c r="J2125" s="80">
        <v>209484</v>
      </c>
      <c r="K2125" s="82"/>
      <c r="L2125" s="82"/>
      <c r="M2125" s="79"/>
      <c r="N2125" s="79"/>
      <c r="O2125">
        <f t="shared" si="614"/>
        <v>1</v>
      </c>
      <c r="P2125" s="57">
        <f t="shared" si="615"/>
        <v>1</v>
      </c>
      <c r="Q2125" s="267" t="str">
        <f t="shared" si="616"/>
        <v xml:space="preserve">-   </v>
      </c>
      <c r="R2125" s="23" t="str">
        <f t="shared" si="617"/>
        <v xml:space="preserve">-   </v>
      </c>
      <c r="S2125" s="23">
        <f t="shared" si="618"/>
        <v>0</v>
      </c>
      <c r="T2125" s="23" t="str">
        <f t="shared" si="619"/>
        <v/>
      </c>
      <c r="U2125" t="str">
        <f t="shared" si="620"/>
        <v>CO_Bould_2020g~Regional Transportation District Director - District I (Vote for 1)</v>
      </c>
      <c r="AF2125" s="22"/>
    </row>
    <row r="2126" spans="1:45" ht="14.4">
      <c r="A2126" t="str">
        <f t="shared" si="613"/>
        <v>CO_Bould_2020g~Representative to the 117th United States Congress-District 2 (Vote for 1)</v>
      </c>
      <c r="B2126" s="79" t="s">
        <v>5636</v>
      </c>
      <c r="C2126" s="81" t="s">
        <v>5489</v>
      </c>
      <c r="D2126" s="79" t="s">
        <v>5489</v>
      </c>
      <c r="E2126" s="81" t="s">
        <v>4981</v>
      </c>
      <c r="F2126" s="81"/>
      <c r="G2126" s="85">
        <v>114509</v>
      </c>
      <c r="H2126" s="84">
        <v>54.662408584903858</v>
      </c>
      <c r="I2126" s="82"/>
      <c r="J2126" s="80">
        <v>209484</v>
      </c>
      <c r="K2126" s="82"/>
      <c r="L2126" s="82"/>
      <c r="M2126" s="79"/>
      <c r="N2126" s="79"/>
      <c r="O2126">
        <f t="shared" si="614"/>
        <v>1</v>
      </c>
      <c r="P2126" s="57">
        <f t="shared" si="615"/>
        <v>1</v>
      </c>
      <c r="Q2126" s="267">
        <f t="shared" si="616"/>
        <v>144274</v>
      </c>
      <c r="R2126" s="23">
        <f t="shared" si="617"/>
        <v>114509</v>
      </c>
      <c r="S2126" s="23">
        <f t="shared" si="618"/>
        <v>26505</v>
      </c>
      <c r="T2126" s="23">
        <f t="shared" si="619"/>
        <v>88004</v>
      </c>
      <c r="U2126" t="str">
        <f t="shared" si="620"/>
        <v>CO_Bould_2020g~Representative to the 117th United States Congress-District 2 (Vote for 1)</v>
      </c>
      <c r="AF2126" s="22"/>
    </row>
    <row r="2127" spans="1:45" ht="14.4">
      <c r="A2127" t="str">
        <f t="shared" si="613"/>
        <v>CO_Bould_2020g~Representative to the 117th United States Congress-District 2 (Vote for 1)</v>
      </c>
      <c r="B2127" s="79" t="s">
        <v>5636</v>
      </c>
      <c r="C2127" s="81" t="s">
        <v>5489</v>
      </c>
      <c r="D2127" s="79" t="s">
        <v>5489</v>
      </c>
      <c r="E2127" s="81" t="s">
        <v>4982</v>
      </c>
      <c r="F2127" s="81"/>
      <c r="G2127" s="85">
        <v>26505</v>
      </c>
      <c r="H2127" s="84">
        <v>12.652517614710431</v>
      </c>
      <c r="I2127" s="82"/>
      <c r="J2127" s="80">
        <v>209484</v>
      </c>
      <c r="K2127" s="82"/>
      <c r="L2127" s="82"/>
      <c r="M2127" s="79"/>
      <c r="N2127" s="79"/>
      <c r="O2127">
        <f t="shared" si="614"/>
        <v>2</v>
      </c>
      <c r="P2127" s="57">
        <f t="shared" si="615"/>
        <v>1</v>
      </c>
      <c r="Q2127" s="267">
        <f t="shared" si="616"/>
        <v>29765</v>
      </c>
      <c r="R2127" s="23" t="str">
        <f t="shared" si="617"/>
        <v/>
      </c>
      <c r="S2127" s="23">
        <f t="shared" si="618"/>
        <v>26505</v>
      </c>
      <c r="T2127" s="23" t="str">
        <f t="shared" si="619"/>
        <v/>
      </c>
      <c r="U2127" t="str">
        <f t="shared" si="620"/>
        <v/>
      </c>
      <c r="AF2127" s="22"/>
    </row>
    <row r="2128" spans="1:45" ht="14.4">
      <c r="A2128" t="str">
        <f t="shared" si="613"/>
        <v>CO_Bould_2020g~Representative to the 117th United States Congress-District 2 (Vote for 1)</v>
      </c>
      <c r="B2128" s="79" t="s">
        <v>5636</v>
      </c>
      <c r="C2128" s="81" t="s">
        <v>5489</v>
      </c>
      <c r="D2128" s="79" t="s">
        <v>5489</v>
      </c>
      <c r="E2128" s="81" t="s">
        <v>4983</v>
      </c>
      <c r="F2128" s="81"/>
      <c r="G2128" s="85">
        <v>2709</v>
      </c>
      <c r="H2128" s="84">
        <v>1.2931775219109813</v>
      </c>
      <c r="I2128" s="82"/>
      <c r="J2128" s="80">
        <v>209484</v>
      </c>
      <c r="K2128" s="82"/>
      <c r="L2128" s="82"/>
      <c r="M2128" s="79"/>
      <c r="N2128" s="79"/>
      <c r="O2128">
        <f t="shared" si="614"/>
        <v>3</v>
      </c>
      <c r="P2128" s="57">
        <f t="shared" si="615"/>
        <v>1</v>
      </c>
      <c r="Q2128" s="267">
        <f t="shared" si="616"/>
        <v>3260</v>
      </c>
      <c r="R2128" s="23" t="str">
        <f t="shared" si="617"/>
        <v/>
      </c>
      <c r="S2128" s="23">
        <f t="shared" si="618"/>
        <v>2709</v>
      </c>
      <c r="T2128" s="23" t="str">
        <f t="shared" si="619"/>
        <v/>
      </c>
      <c r="U2128" t="str">
        <f t="shared" si="620"/>
        <v/>
      </c>
      <c r="AF2128" s="22"/>
    </row>
    <row r="2129" spans="1:34" ht="14.4">
      <c r="A2129" t="str">
        <f t="shared" si="613"/>
        <v>CO_Bould_2020g~Representative to the 117th United States Congress-District 2 (Vote for 1)</v>
      </c>
      <c r="B2129" s="79" t="s">
        <v>5636</v>
      </c>
      <c r="C2129" s="81" t="s">
        <v>5489</v>
      </c>
      <c r="D2129" s="79" t="s">
        <v>5489</v>
      </c>
      <c r="E2129" s="81" t="s">
        <v>4984</v>
      </c>
      <c r="F2129" s="81"/>
      <c r="G2129" s="81">
        <v>551</v>
      </c>
      <c r="H2129" s="84">
        <v>0.26302724790437454</v>
      </c>
      <c r="I2129" s="82"/>
      <c r="J2129" s="80">
        <v>209484</v>
      </c>
      <c r="K2129" s="82"/>
      <c r="L2129" s="82"/>
      <c r="M2129" s="79"/>
      <c r="N2129" s="79"/>
      <c r="O2129">
        <f t="shared" si="614"/>
        <v>4</v>
      </c>
      <c r="P2129" s="57">
        <f t="shared" si="615"/>
        <v>1</v>
      </c>
      <c r="Q2129" s="267">
        <f t="shared" si="616"/>
        <v>551</v>
      </c>
      <c r="R2129" s="23" t="str">
        <f t="shared" si="617"/>
        <v/>
      </c>
      <c r="S2129" s="23">
        <f t="shared" si="618"/>
        <v>551</v>
      </c>
      <c r="T2129" s="23" t="str">
        <f t="shared" si="619"/>
        <v/>
      </c>
      <c r="U2129" t="str">
        <f t="shared" si="620"/>
        <v/>
      </c>
      <c r="AF2129" s="22"/>
    </row>
    <row r="2130" spans="1:34" ht="14.4">
      <c r="A2130" t="str">
        <f t="shared" si="613"/>
        <v>CO_Bould_2020g~Representative to the 117th United States Congress-District 4 (Vote for 1)</v>
      </c>
      <c r="B2130" s="79" t="s">
        <v>5636</v>
      </c>
      <c r="C2130" s="81" t="s">
        <v>5490</v>
      </c>
      <c r="D2130" s="79" t="s">
        <v>5490</v>
      </c>
      <c r="E2130" s="81" t="s">
        <v>4985</v>
      </c>
      <c r="F2130" s="81"/>
      <c r="G2130" s="85">
        <v>35540</v>
      </c>
      <c r="H2130" s="84">
        <v>16.965496171545322</v>
      </c>
      <c r="I2130" s="82"/>
      <c r="J2130" s="80">
        <v>209484</v>
      </c>
      <c r="K2130" s="82"/>
      <c r="L2130" s="82"/>
      <c r="M2130" s="79"/>
      <c r="N2130" s="79"/>
      <c r="O2130">
        <f t="shared" si="614"/>
        <v>1</v>
      </c>
      <c r="P2130" s="57">
        <f t="shared" si="615"/>
        <v>1</v>
      </c>
      <c r="Q2130" s="267">
        <f t="shared" si="616"/>
        <v>56629</v>
      </c>
      <c r="R2130" s="23">
        <f t="shared" si="617"/>
        <v>35540</v>
      </c>
      <c r="S2130" s="23">
        <f t="shared" si="618"/>
        <v>19184</v>
      </c>
      <c r="T2130" s="23">
        <f t="shared" si="619"/>
        <v>16356</v>
      </c>
      <c r="U2130" t="str">
        <f t="shared" si="620"/>
        <v>CO_Bould_2020g~Representative to the 117th United States Congress-District 4 (Vote for 1)</v>
      </c>
      <c r="AF2130" s="22"/>
    </row>
    <row r="2131" spans="1:34" ht="14.4">
      <c r="A2131" t="str">
        <f t="shared" si="613"/>
        <v>CO_Bould_2020g~Representative to the 117th United States Congress-District 4 (Vote for 1)</v>
      </c>
      <c r="B2131" s="79" t="s">
        <v>5636</v>
      </c>
      <c r="C2131" s="81" t="s">
        <v>5490</v>
      </c>
      <c r="D2131" s="79" t="s">
        <v>5490</v>
      </c>
      <c r="E2131" s="81" t="s">
        <v>4986</v>
      </c>
      <c r="F2131" s="81"/>
      <c r="G2131" s="85">
        <v>19184</v>
      </c>
      <c r="H2131" s="84">
        <v>9.1577399705944131</v>
      </c>
      <c r="I2131" s="82"/>
      <c r="J2131" s="80">
        <v>209484</v>
      </c>
      <c r="K2131" s="82"/>
      <c r="L2131" s="82"/>
      <c r="M2131" s="79"/>
      <c r="N2131" s="79"/>
      <c r="O2131">
        <f t="shared" si="614"/>
        <v>2</v>
      </c>
      <c r="P2131" s="57">
        <f t="shared" si="615"/>
        <v>1</v>
      </c>
      <c r="Q2131" s="267">
        <f t="shared" si="616"/>
        <v>21089</v>
      </c>
      <c r="R2131" s="23" t="str">
        <f t="shared" si="617"/>
        <v/>
      </c>
      <c r="S2131" s="23">
        <f t="shared" si="618"/>
        <v>19184</v>
      </c>
      <c r="T2131" s="23" t="str">
        <f t="shared" si="619"/>
        <v/>
      </c>
      <c r="U2131" t="str">
        <f t="shared" si="620"/>
        <v/>
      </c>
      <c r="AF2131" s="22"/>
    </row>
    <row r="2132" spans="1:34" ht="14.4">
      <c r="A2132" t="str">
        <f t="shared" si="613"/>
        <v>CO_Bould_2020g~Representative to the 117th United States Congress-District 4 (Vote for 1)</v>
      </c>
      <c r="B2132" s="79" t="s">
        <v>5636</v>
      </c>
      <c r="C2132" s="81" t="s">
        <v>5490</v>
      </c>
      <c r="D2132" s="79" t="s">
        <v>5490</v>
      </c>
      <c r="E2132" s="81" t="s">
        <v>4987</v>
      </c>
      <c r="F2132" s="81"/>
      <c r="G2132" s="85">
        <v>1281</v>
      </c>
      <c r="H2132" s="84">
        <v>0.61150254912069657</v>
      </c>
      <c r="I2132" s="82"/>
      <c r="J2132" s="80">
        <v>209484</v>
      </c>
      <c r="K2132" s="82"/>
      <c r="L2132" s="82"/>
      <c r="M2132" s="79"/>
      <c r="N2132" s="79"/>
      <c r="O2132">
        <f t="shared" si="614"/>
        <v>3</v>
      </c>
      <c r="P2132" s="57">
        <f t="shared" si="615"/>
        <v>1</v>
      </c>
      <c r="Q2132" s="267">
        <f t="shared" si="616"/>
        <v>1905</v>
      </c>
      <c r="R2132" s="23" t="str">
        <f t="shared" si="617"/>
        <v/>
      </c>
      <c r="S2132" s="23">
        <f t="shared" si="618"/>
        <v>1281</v>
      </c>
      <c r="T2132" s="23" t="str">
        <f t="shared" si="619"/>
        <v/>
      </c>
      <c r="U2132" t="str">
        <f t="shared" si="620"/>
        <v/>
      </c>
      <c r="AF2132" s="88"/>
    </row>
    <row r="2133" spans="1:34" ht="14.4">
      <c r="A2133" t="str">
        <f t="shared" si="613"/>
        <v>CO_Bould_2020g~Representative to the 117th United States Congress-District 4 (Vote for 1)</v>
      </c>
      <c r="B2133" s="79" t="s">
        <v>5636</v>
      </c>
      <c r="C2133" s="81" t="s">
        <v>5490</v>
      </c>
      <c r="D2133" s="79" t="s">
        <v>5490</v>
      </c>
      <c r="E2133" s="81" t="s">
        <v>4988</v>
      </c>
      <c r="F2133" s="81"/>
      <c r="G2133" s="81">
        <v>624</v>
      </c>
      <c r="H2133" s="84">
        <v>0.29787477802600676</v>
      </c>
      <c r="I2133" s="82"/>
      <c r="J2133" s="80">
        <v>209484</v>
      </c>
      <c r="K2133" s="82"/>
      <c r="L2133" s="82"/>
      <c r="M2133" s="79"/>
      <c r="N2133" s="79"/>
      <c r="O2133">
        <f t="shared" si="614"/>
        <v>4</v>
      </c>
      <c r="P2133" s="57">
        <f t="shared" si="615"/>
        <v>1</v>
      </c>
      <c r="Q2133" s="267">
        <f t="shared" si="616"/>
        <v>624</v>
      </c>
      <c r="R2133" s="23" t="str">
        <f t="shared" si="617"/>
        <v/>
      </c>
      <c r="S2133" s="23">
        <f t="shared" si="618"/>
        <v>624</v>
      </c>
      <c r="T2133" s="23" t="str">
        <f t="shared" si="619"/>
        <v/>
      </c>
      <c r="U2133" t="str">
        <f t="shared" si="620"/>
        <v/>
      </c>
      <c r="AF2133" s="22"/>
    </row>
    <row r="2134" spans="1:34" ht="14.4">
      <c r="A2134" t="str">
        <f t="shared" si="613"/>
        <v>CO_Bould_2020g~St. Vrain and Left Hand Water Conservancy District Ballot Issue 7A (Vote for 1)</v>
      </c>
      <c r="B2134" s="79" t="s">
        <v>5636</v>
      </c>
      <c r="C2134" s="81" t="s">
        <v>5492</v>
      </c>
      <c r="D2134" s="79" t="s">
        <v>5492</v>
      </c>
      <c r="E2134" s="81" t="s">
        <v>5350</v>
      </c>
      <c r="F2134" s="81"/>
      <c r="G2134" s="85">
        <v>45280</v>
      </c>
      <c r="H2134" s="84">
        <v>21.615015943938438</v>
      </c>
      <c r="I2134" s="82"/>
      <c r="J2134" s="80">
        <v>209484</v>
      </c>
      <c r="K2134" s="82"/>
      <c r="L2134" s="82"/>
      <c r="M2134" s="79"/>
      <c r="N2134" s="79"/>
      <c r="O2134">
        <f t="shared" si="614"/>
        <v>1</v>
      </c>
      <c r="P2134" s="57">
        <f t="shared" si="615"/>
        <v>1</v>
      </c>
      <c r="Q2134" s="267">
        <f t="shared" si="616"/>
        <v>64913</v>
      </c>
      <c r="R2134" s="23">
        <f t="shared" si="617"/>
        <v>45280</v>
      </c>
      <c r="S2134" s="23">
        <f t="shared" si="618"/>
        <v>19633</v>
      </c>
      <c r="T2134" s="23">
        <f t="shared" si="619"/>
        <v>25647</v>
      </c>
      <c r="U2134" t="str">
        <f t="shared" si="620"/>
        <v>CO_Bould_2020g~St. Vrain and Left Hand Water Conservancy District Ballot Issue 7A (Vote for 1)</v>
      </c>
      <c r="AF2134" s="22"/>
    </row>
    <row r="2135" spans="1:34" ht="14.4">
      <c r="A2135" t="str">
        <f t="shared" si="613"/>
        <v>CO_Bould_2020g~St. Vrain and Left Hand Water Conservancy District Ballot Issue 7A (Vote for 1)</v>
      </c>
      <c r="B2135" s="79" t="s">
        <v>5636</v>
      </c>
      <c r="C2135" s="81" t="s">
        <v>5492</v>
      </c>
      <c r="D2135" s="79" t="s">
        <v>5492</v>
      </c>
      <c r="E2135" s="81" t="s">
        <v>5349</v>
      </c>
      <c r="F2135" s="81"/>
      <c r="G2135" s="85">
        <v>19633</v>
      </c>
      <c r="H2135" s="84">
        <v>9.3720761490137665</v>
      </c>
      <c r="I2135" s="82"/>
      <c r="J2135" s="80">
        <v>209484</v>
      </c>
      <c r="K2135" s="82"/>
      <c r="L2135" s="82"/>
      <c r="M2135" s="79"/>
      <c r="N2135" s="79"/>
      <c r="O2135">
        <f t="shared" si="614"/>
        <v>2</v>
      </c>
      <c r="P2135" s="57">
        <f t="shared" si="615"/>
        <v>1</v>
      </c>
      <c r="Q2135" s="267">
        <f t="shared" si="616"/>
        <v>19633</v>
      </c>
      <c r="R2135" s="23" t="str">
        <f t="shared" si="617"/>
        <v/>
      </c>
      <c r="S2135" s="23">
        <f t="shared" si="618"/>
        <v>19633</v>
      </c>
      <c r="T2135" s="23" t="str">
        <f t="shared" si="619"/>
        <v/>
      </c>
      <c r="U2135" t="str">
        <f t="shared" si="620"/>
        <v/>
      </c>
      <c r="AF2135" s="22"/>
    </row>
    <row r="2136" spans="1:34" ht="14.4">
      <c r="A2136" t="str">
        <f t="shared" si="613"/>
        <v>CO_Bould_2020g~State Representative - District 10 (Vote for 1)</v>
      </c>
      <c r="B2136" s="79" t="s">
        <v>5636</v>
      </c>
      <c r="C2136" s="81" t="s">
        <v>5493</v>
      </c>
      <c r="D2136" s="79" t="s">
        <v>5493</v>
      </c>
      <c r="E2136" s="81" t="s">
        <v>5076</v>
      </c>
      <c r="F2136" s="81"/>
      <c r="G2136" s="85">
        <v>39269</v>
      </c>
      <c r="H2136" s="84">
        <v>18.745584388306504</v>
      </c>
      <c r="I2136" s="82"/>
      <c r="J2136" s="80">
        <v>209484</v>
      </c>
      <c r="K2136" s="82"/>
      <c r="L2136" s="82"/>
      <c r="M2136" s="79"/>
      <c r="N2136" s="79"/>
      <c r="O2136">
        <f t="shared" si="614"/>
        <v>1</v>
      </c>
      <c r="P2136" s="57">
        <f t="shared" si="615"/>
        <v>1</v>
      </c>
      <c r="Q2136" s="267">
        <f t="shared" si="616"/>
        <v>46002</v>
      </c>
      <c r="R2136" s="23">
        <f t="shared" si="617"/>
        <v>39269</v>
      </c>
      <c r="S2136" s="23">
        <f t="shared" si="618"/>
        <v>6733</v>
      </c>
      <c r="T2136" s="23">
        <f t="shared" si="619"/>
        <v>32536</v>
      </c>
      <c r="U2136" t="str">
        <f t="shared" si="620"/>
        <v>CO_Bould_2020g~State Representative - District 10 (Vote for 1)</v>
      </c>
      <c r="AF2136" s="293"/>
    </row>
    <row r="2137" spans="1:34" ht="14.4">
      <c r="A2137" t="str">
        <f t="shared" si="613"/>
        <v>CO_Bould_2020g~State Representative - District 10 (Vote for 1)</v>
      </c>
      <c r="B2137" s="79" t="s">
        <v>5636</v>
      </c>
      <c r="C2137" s="81" t="s">
        <v>5493</v>
      </c>
      <c r="D2137" s="79" t="s">
        <v>5493</v>
      </c>
      <c r="E2137" s="81" t="s">
        <v>5077</v>
      </c>
      <c r="F2137" s="81"/>
      <c r="G2137" s="85">
        <v>6733</v>
      </c>
      <c r="H2137" s="84">
        <v>3.214087949437666</v>
      </c>
      <c r="I2137" s="82"/>
      <c r="J2137" s="80">
        <v>209484</v>
      </c>
      <c r="K2137" s="82"/>
      <c r="L2137" s="82"/>
      <c r="M2137" s="79"/>
      <c r="N2137" s="79"/>
      <c r="O2137">
        <f t="shared" si="614"/>
        <v>2</v>
      </c>
      <c r="P2137" s="57">
        <f t="shared" si="615"/>
        <v>1</v>
      </c>
      <c r="Q2137" s="267">
        <f t="shared" si="616"/>
        <v>6733</v>
      </c>
      <c r="R2137" s="23" t="str">
        <f t="shared" si="617"/>
        <v/>
      </c>
      <c r="S2137" s="23">
        <f t="shared" si="618"/>
        <v>6733</v>
      </c>
      <c r="T2137" s="23" t="str">
        <f t="shared" si="619"/>
        <v/>
      </c>
      <c r="U2137" t="str">
        <f t="shared" si="620"/>
        <v/>
      </c>
      <c r="AF2137" s="22"/>
    </row>
    <row r="2138" spans="1:34" ht="14.4">
      <c r="A2138" t="str">
        <f t="shared" si="613"/>
        <v>CO_Bould_2020g~State Representative - District 11 (Vote for 1)</v>
      </c>
      <c r="B2138" s="79" t="s">
        <v>5636</v>
      </c>
      <c r="C2138" s="81" t="s">
        <v>5494</v>
      </c>
      <c r="D2138" s="79" t="s">
        <v>5494</v>
      </c>
      <c r="E2138" s="81" t="s">
        <v>5079</v>
      </c>
      <c r="F2138" s="81"/>
      <c r="G2138" s="85">
        <v>32803</v>
      </c>
      <c r="H2138" s="84">
        <v>15.658952473697274</v>
      </c>
      <c r="I2138" s="82"/>
      <c r="J2138" s="80">
        <v>209484</v>
      </c>
      <c r="K2138" s="82"/>
      <c r="L2138" s="82"/>
      <c r="M2138" s="79"/>
      <c r="N2138" s="79"/>
      <c r="O2138">
        <f t="shared" si="614"/>
        <v>1</v>
      </c>
      <c r="P2138" s="57">
        <f t="shared" si="615"/>
        <v>1</v>
      </c>
      <c r="Q2138" s="267">
        <f t="shared" si="616"/>
        <v>48974</v>
      </c>
      <c r="R2138" s="23">
        <f t="shared" si="617"/>
        <v>32803</v>
      </c>
      <c r="S2138" s="23">
        <f t="shared" si="618"/>
        <v>16171</v>
      </c>
      <c r="T2138" s="23">
        <f t="shared" si="619"/>
        <v>16632</v>
      </c>
      <c r="U2138" t="str">
        <f t="shared" si="620"/>
        <v>CO_Bould_2020g~State Representative - District 11 (Vote for 1)</v>
      </c>
      <c r="AF2138" s="22"/>
    </row>
    <row r="2139" spans="1:34" ht="14.4">
      <c r="A2139" t="str">
        <f t="shared" si="613"/>
        <v>CO_Bould_2020g~State Representative - District 11 (Vote for 1)</v>
      </c>
      <c r="B2139" s="79" t="s">
        <v>5636</v>
      </c>
      <c r="C2139" s="81" t="s">
        <v>5494</v>
      </c>
      <c r="D2139" s="79" t="s">
        <v>5494</v>
      </c>
      <c r="E2139" s="81" t="s">
        <v>5078</v>
      </c>
      <c r="F2139" s="81"/>
      <c r="G2139" s="85">
        <v>16171</v>
      </c>
      <c r="H2139" s="84">
        <v>7.719443967081018</v>
      </c>
      <c r="I2139" s="82"/>
      <c r="J2139" s="80">
        <v>209484</v>
      </c>
      <c r="K2139" s="82"/>
      <c r="L2139" s="82"/>
      <c r="M2139" s="79"/>
      <c r="N2139" s="79"/>
      <c r="O2139">
        <f t="shared" si="614"/>
        <v>2</v>
      </c>
      <c r="P2139" s="57">
        <f t="shared" si="615"/>
        <v>1</v>
      </c>
      <c r="Q2139" s="267">
        <f t="shared" si="616"/>
        <v>16171</v>
      </c>
      <c r="R2139" s="23" t="str">
        <f t="shared" si="617"/>
        <v/>
      </c>
      <c r="S2139" s="23">
        <f t="shared" si="618"/>
        <v>16171</v>
      </c>
      <c r="T2139" s="23" t="str">
        <f t="shared" si="619"/>
        <v/>
      </c>
      <c r="U2139" t="str">
        <f t="shared" si="620"/>
        <v/>
      </c>
      <c r="AF2139" s="22"/>
    </row>
    <row r="2140" spans="1:34" ht="14.4">
      <c r="A2140" t="str">
        <f t="shared" si="613"/>
        <v>CO_Bould_2020g~State Representative - District 12 (Vote for 1)</v>
      </c>
      <c r="B2140" s="79" t="s">
        <v>5636</v>
      </c>
      <c r="C2140" s="81" t="s">
        <v>5495</v>
      </c>
      <c r="D2140" s="79" t="s">
        <v>5495</v>
      </c>
      <c r="E2140" s="81" t="s">
        <v>5080</v>
      </c>
      <c r="F2140" s="81"/>
      <c r="G2140" s="85">
        <v>39674</v>
      </c>
      <c r="H2140" s="84">
        <v>18.938916575967614</v>
      </c>
      <c r="I2140" s="82"/>
      <c r="J2140" s="80">
        <v>209484</v>
      </c>
      <c r="K2140" s="82"/>
      <c r="L2140" s="82"/>
      <c r="M2140" s="79"/>
      <c r="N2140" s="79"/>
      <c r="O2140">
        <f t="shared" si="614"/>
        <v>1</v>
      </c>
      <c r="P2140" s="57">
        <f t="shared" si="615"/>
        <v>1</v>
      </c>
      <c r="Q2140" s="267">
        <f t="shared" si="616"/>
        <v>53901</v>
      </c>
      <c r="R2140" s="23">
        <f t="shared" si="617"/>
        <v>39674</v>
      </c>
      <c r="S2140" s="23">
        <f t="shared" si="618"/>
        <v>14227</v>
      </c>
      <c r="T2140" s="23">
        <f t="shared" si="619"/>
        <v>25447</v>
      </c>
      <c r="U2140" t="str">
        <f t="shared" si="620"/>
        <v>CO_Bould_2020g~State Representative - District 12 (Vote for 1)</v>
      </c>
      <c r="AF2140" s="22"/>
    </row>
    <row r="2141" spans="1:34" ht="14.4">
      <c r="A2141" t="str">
        <f t="shared" si="613"/>
        <v>CO_Bould_2020g~State Representative - District 12 (Vote for 1)</v>
      </c>
      <c r="B2141" s="79" t="s">
        <v>5636</v>
      </c>
      <c r="C2141" s="81" t="s">
        <v>5495</v>
      </c>
      <c r="D2141" s="79" t="s">
        <v>5495</v>
      </c>
      <c r="E2141" s="81" t="s">
        <v>5081</v>
      </c>
      <c r="F2141" s="81"/>
      <c r="G2141" s="85">
        <v>14227</v>
      </c>
      <c r="H2141" s="84">
        <v>6.7914494663076894</v>
      </c>
      <c r="I2141" s="82"/>
      <c r="J2141" s="80">
        <v>209484</v>
      </c>
      <c r="K2141" s="82"/>
      <c r="L2141" s="82"/>
      <c r="M2141" s="79"/>
      <c r="N2141" s="79"/>
      <c r="O2141">
        <f t="shared" si="614"/>
        <v>2</v>
      </c>
      <c r="P2141" s="57">
        <f t="shared" si="615"/>
        <v>1</v>
      </c>
      <c r="Q2141" s="267">
        <f t="shared" si="616"/>
        <v>14227</v>
      </c>
      <c r="R2141" s="23" t="str">
        <f t="shared" si="617"/>
        <v/>
      </c>
      <c r="S2141" s="23">
        <f t="shared" si="618"/>
        <v>14227</v>
      </c>
      <c r="T2141" s="23" t="str">
        <f t="shared" si="619"/>
        <v/>
      </c>
      <c r="U2141" t="str">
        <f t="shared" si="620"/>
        <v/>
      </c>
      <c r="AF2141" s="22"/>
    </row>
    <row r="2142" spans="1:34" ht="14.4">
      <c r="A2142" t="str">
        <f t="shared" si="613"/>
        <v>CO_Bould_2020g~State Representative - District 13 (Vote for 1)</v>
      </c>
      <c r="B2142" s="79" t="s">
        <v>5636</v>
      </c>
      <c r="C2142" s="81" t="s">
        <v>5496</v>
      </c>
      <c r="D2142" s="79" t="s">
        <v>5496</v>
      </c>
      <c r="E2142" s="81" t="s">
        <v>5083</v>
      </c>
      <c r="F2142" s="81"/>
      <c r="G2142" s="85">
        <v>25217</v>
      </c>
      <c r="H2142" s="84">
        <v>12.037673521605468</v>
      </c>
      <c r="I2142" s="82"/>
      <c r="J2142" s="80">
        <v>209484</v>
      </c>
      <c r="K2142" s="82"/>
      <c r="L2142" s="82"/>
      <c r="M2142" s="79"/>
      <c r="N2142" s="79"/>
      <c r="O2142">
        <f t="shared" si="614"/>
        <v>1</v>
      </c>
      <c r="P2142" s="57">
        <f t="shared" si="615"/>
        <v>1</v>
      </c>
      <c r="Q2142" s="267">
        <f t="shared" si="616"/>
        <v>30390</v>
      </c>
      <c r="R2142" s="23">
        <f t="shared" si="617"/>
        <v>25217</v>
      </c>
      <c r="S2142" s="23">
        <f t="shared" si="618"/>
        <v>4466</v>
      </c>
      <c r="T2142" s="23">
        <f t="shared" si="619"/>
        <v>20751</v>
      </c>
      <c r="U2142" t="str">
        <f t="shared" si="620"/>
        <v>CO_Bould_2020g~State Representative - District 13 (Vote for 1)</v>
      </c>
      <c r="AF2142" s="22"/>
      <c r="AG2142" s="23"/>
      <c r="AH2142" s="8"/>
    </row>
    <row r="2143" spans="1:34" ht="14.4">
      <c r="A2143" t="str">
        <f t="shared" si="613"/>
        <v>CO_Bould_2020g~State Representative - District 13 (Vote for 1)</v>
      </c>
      <c r="B2143" s="79" t="s">
        <v>5636</v>
      </c>
      <c r="C2143" s="81" t="s">
        <v>5496</v>
      </c>
      <c r="D2143" s="79" t="s">
        <v>5496</v>
      </c>
      <c r="E2143" s="81" t="s">
        <v>5082</v>
      </c>
      <c r="F2143" s="81"/>
      <c r="G2143" s="85">
        <v>4466</v>
      </c>
      <c r="H2143" s="84">
        <v>2.1319050619617728</v>
      </c>
      <c r="I2143" s="82"/>
      <c r="J2143" s="80">
        <v>209484</v>
      </c>
      <c r="K2143" s="82"/>
      <c r="L2143" s="82"/>
      <c r="M2143" s="79"/>
      <c r="N2143" s="79"/>
      <c r="O2143">
        <f t="shared" si="614"/>
        <v>2</v>
      </c>
      <c r="P2143" s="57">
        <f t="shared" si="615"/>
        <v>1</v>
      </c>
      <c r="Q2143" s="267">
        <f t="shared" si="616"/>
        <v>5173</v>
      </c>
      <c r="R2143" s="23" t="str">
        <f t="shared" si="617"/>
        <v/>
      </c>
      <c r="S2143" s="23">
        <f t="shared" si="618"/>
        <v>4466</v>
      </c>
      <c r="T2143" s="23" t="str">
        <f t="shared" si="619"/>
        <v/>
      </c>
      <c r="U2143" t="str">
        <f t="shared" si="620"/>
        <v/>
      </c>
      <c r="AF2143" s="22"/>
    </row>
    <row r="2144" spans="1:34" ht="14.4">
      <c r="A2144" t="str">
        <f t="shared" si="613"/>
        <v>CO_Bould_2020g~State Representative - District 13 (Vote for 1)</v>
      </c>
      <c r="B2144" s="79" t="s">
        <v>5636</v>
      </c>
      <c r="C2144" s="81" t="s">
        <v>5496</v>
      </c>
      <c r="D2144" s="79" t="s">
        <v>5496</v>
      </c>
      <c r="E2144" s="81" t="s">
        <v>5497</v>
      </c>
      <c r="F2144" s="81"/>
      <c r="G2144" s="81">
        <v>707</v>
      </c>
      <c r="H2144" s="84">
        <v>0.33749594241087627</v>
      </c>
      <c r="I2144" s="82"/>
      <c r="J2144" s="80">
        <v>209484</v>
      </c>
      <c r="K2144" s="82"/>
      <c r="L2144" s="82"/>
      <c r="M2144" s="79"/>
      <c r="N2144" s="79"/>
      <c r="O2144">
        <f t="shared" si="614"/>
        <v>3</v>
      </c>
      <c r="P2144" s="57">
        <f t="shared" si="615"/>
        <v>1</v>
      </c>
      <c r="Q2144" s="267">
        <f t="shared" si="616"/>
        <v>707</v>
      </c>
      <c r="R2144" s="23" t="str">
        <f t="shared" si="617"/>
        <v/>
      </c>
      <c r="S2144" s="23">
        <f t="shared" si="618"/>
        <v>707</v>
      </c>
      <c r="T2144" s="23" t="str">
        <f t="shared" si="619"/>
        <v/>
      </c>
      <c r="U2144" t="str">
        <f t="shared" si="620"/>
        <v/>
      </c>
      <c r="AF2144" s="22"/>
    </row>
    <row r="2145" spans="1:34" ht="14.4">
      <c r="A2145" t="str">
        <f t="shared" si="613"/>
        <v>CO_Bould_2020g~State Representative - District 33 (Vote for 1)</v>
      </c>
      <c r="B2145" s="79" t="s">
        <v>5636</v>
      </c>
      <c r="C2145" s="81" t="s">
        <v>5509</v>
      </c>
      <c r="D2145" s="79" t="s">
        <v>5509</v>
      </c>
      <c r="E2145" s="81" t="s">
        <v>5139</v>
      </c>
      <c r="F2145" s="81"/>
      <c r="G2145" s="85">
        <v>10957</v>
      </c>
      <c r="H2145" s="84">
        <v>5.2304710622290962</v>
      </c>
      <c r="I2145" s="82"/>
      <c r="J2145" s="80">
        <v>209484</v>
      </c>
      <c r="K2145" s="82"/>
      <c r="L2145" s="82"/>
      <c r="M2145" s="79"/>
      <c r="N2145" s="79"/>
      <c r="O2145">
        <f t="shared" si="614"/>
        <v>1</v>
      </c>
      <c r="P2145" s="57">
        <f t="shared" si="615"/>
        <v>1</v>
      </c>
      <c r="Q2145" s="267">
        <f t="shared" si="616"/>
        <v>16331</v>
      </c>
      <c r="R2145" s="23">
        <f t="shared" si="617"/>
        <v>10957</v>
      </c>
      <c r="S2145" s="23">
        <f t="shared" si="618"/>
        <v>5374</v>
      </c>
      <c r="T2145" s="23">
        <f t="shared" si="619"/>
        <v>5583</v>
      </c>
      <c r="U2145" t="str">
        <f t="shared" si="620"/>
        <v>CO_Bould_2020g~State Representative - District 33 (Vote for 1)</v>
      </c>
      <c r="AF2145" s="22"/>
    </row>
    <row r="2146" spans="1:34" ht="14.4">
      <c r="A2146" t="str">
        <f t="shared" si="613"/>
        <v>CO_Bould_2020g~State Representative - District 33 (Vote for 1)</v>
      </c>
      <c r="B2146" s="79" t="s">
        <v>5636</v>
      </c>
      <c r="C2146" s="81" t="s">
        <v>5509</v>
      </c>
      <c r="D2146" s="79" t="s">
        <v>5509</v>
      </c>
      <c r="E2146" s="81" t="s">
        <v>5140</v>
      </c>
      <c r="F2146" s="81"/>
      <c r="G2146" s="85">
        <v>5374</v>
      </c>
      <c r="H2146" s="84">
        <v>2.5653510530637185</v>
      </c>
      <c r="I2146" s="82"/>
      <c r="J2146" s="80">
        <v>209484</v>
      </c>
      <c r="K2146" s="82"/>
      <c r="L2146" s="82"/>
      <c r="M2146" s="79"/>
      <c r="N2146" s="79"/>
      <c r="O2146">
        <f t="shared" si="614"/>
        <v>2</v>
      </c>
      <c r="P2146" s="57">
        <f t="shared" si="615"/>
        <v>1</v>
      </c>
      <c r="Q2146" s="267">
        <f t="shared" si="616"/>
        <v>5374</v>
      </c>
      <c r="R2146" s="23" t="str">
        <f t="shared" si="617"/>
        <v/>
      </c>
      <c r="S2146" s="23">
        <f t="shared" si="618"/>
        <v>5374</v>
      </c>
      <c r="T2146" s="23" t="str">
        <f t="shared" si="619"/>
        <v/>
      </c>
      <c r="U2146" t="str">
        <f t="shared" si="620"/>
        <v/>
      </c>
      <c r="AF2146" s="22"/>
    </row>
    <row r="2147" spans="1:34" ht="14.4">
      <c r="A2147" t="str">
        <f t="shared" si="613"/>
        <v>CO_Bould_2020g~State Senator - District 17 (Vote for 1)</v>
      </c>
      <c r="B2147" s="79" t="s">
        <v>5636</v>
      </c>
      <c r="C2147" s="81" t="s">
        <v>5514</v>
      </c>
      <c r="D2147" s="79" t="s">
        <v>5514</v>
      </c>
      <c r="E2147" s="81" t="s">
        <v>5017</v>
      </c>
      <c r="F2147" s="81"/>
      <c r="G2147" s="85">
        <v>65226</v>
      </c>
      <c r="H2147" s="84">
        <v>31.136506845391533</v>
      </c>
      <c r="I2147" s="82"/>
      <c r="J2147" s="80">
        <v>209484</v>
      </c>
      <c r="K2147" s="82"/>
      <c r="L2147" s="82"/>
      <c r="M2147" s="79"/>
      <c r="N2147" s="79"/>
      <c r="O2147">
        <f t="shared" si="614"/>
        <v>1</v>
      </c>
      <c r="P2147" s="57">
        <f t="shared" si="615"/>
        <v>1</v>
      </c>
      <c r="Q2147" s="267">
        <f t="shared" si="616"/>
        <v>96093</v>
      </c>
      <c r="R2147" s="23">
        <f t="shared" si="617"/>
        <v>65226</v>
      </c>
      <c r="S2147" s="23">
        <f t="shared" si="618"/>
        <v>30848</v>
      </c>
      <c r="T2147" s="23">
        <f t="shared" si="619"/>
        <v>34378</v>
      </c>
      <c r="U2147" t="str">
        <f t="shared" si="620"/>
        <v>CO_Bould_2020g~State Senator - District 17 (Vote for 1)</v>
      </c>
      <c r="AF2147" s="22"/>
    </row>
    <row r="2148" spans="1:34" ht="14.4">
      <c r="A2148" t="str">
        <f t="shared" si="613"/>
        <v>CO_Bould_2020g~State Senator - District 17 (Vote for 1)</v>
      </c>
      <c r="B2148" s="79" t="s">
        <v>5636</v>
      </c>
      <c r="C2148" s="81" t="s">
        <v>5514</v>
      </c>
      <c r="D2148" s="79" t="s">
        <v>5514</v>
      </c>
      <c r="E2148" s="81" t="s">
        <v>5018</v>
      </c>
      <c r="F2148" s="81"/>
      <c r="G2148" s="85">
        <v>30848</v>
      </c>
      <c r="H2148" s="84">
        <v>14.725706975234386</v>
      </c>
      <c r="I2148" s="82"/>
      <c r="J2148" s="80">
        <v>209484</v>
      </c>
      <c r="K2148" s="82"/>
      <c r="L2148" s="82"/>
      <c r="M2148" s="79"/>
      <c r="N2148" s="79"/>
      <c r="O2148">
        <f t="shared" si="614"/>
        <v>2</v>
      </c>
      <c r="P2148" s="57">
        <f t="shared" si="615"/>
        <v>1</v>
      </c>
      <c r="Q2148" s="267">
        <f t="shared" si="616"/>
        <v>30867</v>
      </c>
      <c r="R2148" s="23" t="str">
        <f t="shared" si="617"/>
        <v/>
      </c>
      <c r="S2148" s="23">
        <f t="shared" si="618"/>
        <v>30848</v>
      </c>
      <c r="T2148" s="23" t="str">
        <f t="shared" si="619"/>
        <v/>
      </c>
      <c r="U2148" t="str">
        <f t="shared" si="620"/>
        <v/>
      </c>
      <c r="AF2148" s="22"/>
    </row>
    <row r="2149" spans="1:34" ht="14.4">
      <c r="A2149" t="str">
        <f t="shared" si="613"/>
        <v>CO_Bould_2020g~State Senator - District 17 (Vote for 1)</v>
      </c>
      <c r="B2149" s="79" t="s">
        <v>5636</v>
      </c>
      <c r="C2149" s="81" t="s">
        <v>5514</v>
      </c>
      <c r="D2149" s="79" t="s">
        <v>5514</v>
      </c>
      <c r="E2149" s="81" t="s">
        <v>5515</v>
      </c>
      <c r="F2149" s="81"/>
      <c r="G2149" s="81">
        <v>19</v>
      </c>
      <c r="H2149" s="84">
        <v>9.0699051001508473E-3</v>
      </c>
      <c r="I2149" s="82"/>
      <c r="J2149" s="80">
        <v>209484</v>
      </c>
      <c r="K2149" s="82"/>
      <c r="L2149" s="82"/>
      <c r="M2149" s="79"/>
      <c r="N2149" s="79"/>
      <c r="O2149">
        <f t="shared" si="614"/>
        <v>3</v>
      </c>
      <c r="P2149" s="57">
        <f t="shared" si="615"/>
        <v>1</v>
      </c>
      <c r="Q2149" s="267">
        <f t="shared" si="616"/>
        <v>19</v>
      </c>
      <c r="R2149" s="23" t="str">
        <f t="shared" si="617"/>
        <v/>
      </c>
      <c r="S2149" s="23">
        <f t="shared" si="618"/>
        <v>19</v>
      </c>
      <c r="T2149" s="23" t="str">
        <f t="shared" si="619"/>
        <v/>
      </c>
      <c r="U2149" t="str">
        <f t="shared" si="620"/>
        <v/>
      </c>
      <c r="AF2149" s="22"/>
    </row>
    <row r="2150" spans="1:34" ht="14.4">
      <c r="A2150" t="str">
        <f t="shared" si="613"/>
        <v>CO_Bould_2020g~State Senator - District 18 (Vote for 1)</v>
      </c>
      <c r="B2150" s="79" t="s">
        <v>5636</v>
      </c>
      <c r="C2150" s="81" t="s">
        <v>5516</v>
      </c>
      <c r="D2150" s="79" t="s">
        <v>5516</v>
      </c>
      <c r="E2150" s="81" t="s">
        <v>5019</v>
      </c>
      <c r="F2150" s="81"/>
      <c r="G2150" s="85">
        <v>75261</v>
      </c>
      <c r="H2150" s="84">
        <v>35.926848828550149</v>
      </c>
      <c r="I2150" s="82"/>
      <c r="J2150" s="80">
        <v>209484</v>
      </c>
      <c r="K2150" s="82"/>
      <c r="L2150" s="82"/>
      <c r="M2150" s="79"/>
      <c r="N2150" s="79"/>
      <c r="O2150">
        <f t="shared" si="614"/>
        <v>1</v>
      </c>
      <c r="P2150" s="57">
        <f t="shared" si="615"/>
        <v>1</v>
      </c>
      <c r="Q2150" s="267">
        <f t="shared" si="616"/>
        <v>90785</v>
      </c>
      <c r="R2150" s="23">
        <f t="shared" si="617"/>
        <v>75261</v>
      </c>
      <c r="S2150" s="23">
        <f t="shared" si="618"/>
        <v>15524</v>
      </c>
      <c r="T2150" s="23">
        <f t="shared" si="619"/>
        <v>59737</v>
      </c>
      <c r="U2150" t="str">
        <f t="shared" si="620"/>
        <v>CO_Bould_2020g~State Senator - District 18 (Vote for 1)</v>
      </c>
      <c r="AF2150" s="22"/>
    </row>
    <row r="2151" spans="1:34" ht="14.4">
      <c r="A2151" t="str">
        <f t="shared" si="613"/>
        <v>CO_Bould_2020g~State Senator - District 18 (Vote for 1)</v>
      </c>
      <c r="B2151" s="79" t="s">
        <v>5636</v>
      </c>
      <c r="C2151" s="81" t="s">
        <v>5516</v>
      </c>
      <c r="D2151" s="79" t="s">
        <v>5516</v>
      </c>
      <c r="E2151" s="81" t="s">
        <v>5020</v>
      </c>
      <c r="F2151" s="81"/>
      <c r="G2151" s="85">
        <v>15524</v>
      </c>
      <c r="H2151" s="84">
        <v>7.4105898302495659</v>
      </c>
      <c r="I2151" s="82"/>
      <c r="J2151" s="80">
        <v>209484</v>
      </c>
      <c r="K2151" s="82"/>
      <c r="L2151" s="82"/>
      <c r="M2151" s="79"/>
      <c r="N2151" s="79"/>
      <c r="O2151">
        <f t="shared" si="614"/>
        <v>2</v>
      </c>
      <c r="P2151" s="57">
        <f t="shared" si="615"/>
        <v>1</v>
      </c>
      <c r="Q2151" s="267">
        <f t="shared" si="616"/>
        <v>15524</v>
      </c>
      <c r="R2151" s="23" t="str">
        <f t="shared" si="617"/>
        <v/>
      </c>
      <c r="S2151" s="23">
        <f t="shared" si="618"/>
        <v>15524</v>
      </c>
      <c r="T2151" s="23" t="str">
        <f t="shared" si="619"/>
        <v/>
      </c>
      <c r="U2151" t="str">
        <f t="shared" si="620"/>
        <v/>
      </c>
      <c r="AF2151" s="22"/>
    </row>
    <row r="2152" spans="1:34" ht="14.4">
      <c r="A2152" t="str">
        <f t="shared" si="613"/>
        <v>CO_Bould_2020g~Sunshine Fire Protection District Ballot Issue 6A (Vote for 1)</v>
      </c>
      <c r="B2152" s="79" t="s">
        <v>5636</v>
      </c>
      <c r="C2152" s="81" t="s">
        <v>5520</v>
      </c>
      <c r="D2152" s="79" t="s">
        <v>5520</v>
      </c>
      <c r="E2152" s="81" t="s">
        <v>5350</v>
      </c>
      <c r="F2152" s="81"/>
      <c r="G2152" s="81">
        <v>185</v>
      </c>
      <c r="H2152" s="84">
        <v>8.8312233869889831E-2</v>
      </c>
      <c r="I2152" s="82"/>
      <c r="J2152" s="80">
        <v>209484</v>
      </c>
      <c r="K2152" s="82"/>
      <c r="L2152" s="82"/>
      <c r="M2152" s="79"/>
      <c r="N2152" s="79"/>
      <c r="O2152">
        <f t="shared" si="614"/>
        <v>1</v>
      </c>
      <c r="P2152" s="57">
        <f t="shared" si="615"/>
        <v>1</v>
      </c>
      <c r="Q2152" s="267">
        <f t="shared" si="616"/>
        <v>237</v>
      </c>
      <c r="R2152" s="23">
        <f t="shared" si="617"/>
        <v>185</v>
      </c>
      <c r="S2152" s="23">
        <f t="shared" si="618"/>
        <v>52</v>
      </c>
      <c r="T2152" s="23">
        <f t="shared" si="619"/>
        <v>133</v>
      </c>
      <c r="U2152" t="str">
        <f t="shared" si="620"/>
        <v>CO_Bould_2020g~Sunshine Fire Protection District Ballot Issue 6A (Vote for 1)</v>
      </c>
      <c r="AF2152" s="22"/>
    </row>
    <row r="2153" spans="1:34" ht="14.4">
      <c r="A2153" t="str">
        <f t="shared" si="613"/>
        <v>CO_Bould_2020g~Sunshine Fire Protection District Ballot Issue 6A (Vote for 1)</v>
      </c>
      <c r="B2153" s="79" t="s">
        <v>5636</v>
      </c>
      <c r="C2153" s="81" t="s">
        <v>5520</v>
      </c>
      <c r="D2153" s="79" t="s">
        <v>5520</v>
      </c>
      <c r="E2153" s="81" t="s">
        <v>5349</v>
      </c>
      <c r="F2153" s="81"/>
      <c r="G2153" s="81">
        <v>52</v>
      </c>
      <c r="H2153" s="84">
        <v>2.4822898168833898E-2</v>
      </c>
      <c r="I2153" s="82"/>
      <c r="J2153" s="80">
        <v>209484</v>
      </c>
      <c r="K2153" s="82"/>
      <c r="L2153" s="82"/>
      <c r="M2153" s="79"/>
      <c r="N2153" s="79"/>
      <c r="O2153">
        <f t="shared" si="614"/>
        <v>2</v>
      </c>
      <c r="P2153" s="57">
        <f t="shared" si="615"/>
        <v>1</v>
      </c>
      <c r="Q2153" s="267">
        <f t="shared" si="616"/>
        <v>52</v>
      </c>
      <c r="R2153" s="23" t="str">
        <f t="shared" si="617"/>
        <v/>
      </c>
      <c r="S2153" s="23">
        <f t="shared" si="618"/>
        <v>52</v>
      </c>
      <c r="T2153" s="23" t="str">
        <f t="shared" si="619"/>
        <v/>
      </c>
      <c r="U2153" t="str">
        <f t="shared" si="620"/>
        <v/>
      </c>
      <c r="AF2153" s="22"/>
    </row>
    <row r="2154" spans="1:34" ht="14.4">
      <c r="A2154" t="str">
        <f t="shared" si="613"/>
        <v>CO_Bould_2020g~Town of Superior - Trustee (Vote for 1)</v>
      </c>
      <c r="B2154" s="79" t="s">
        <v>5636</v>
      </c>
      <c r="C2154" s="81" t="s">
        <v>5604</v>
      </c>
      <c r="D2154" s="79" t="s">
        <v>5604</v>
      </c>
      <c r="E2154" s="81" t="s">
        <v>5608</v>
      </c>
      <c r="F2154" s="81"/>
      <c r="G2154" s="85">
        <v>4344</v>
      </c>
      <c r="H2154" s="84">
        <v>2.0736667239502777</v>
      </c>
      <c r="I2154" s="82"/>
      <c r="J2154" s="80">
        <v>209484</v>
      </c>
      <c r="K2154" s="82"/>
      <c r="L2154" s="82"/>
      <c r="M2154" s="79"/>
      <c r="N2154" s="79"/>
      <c r="O2154">
        <f t="shared" si="614"/>
        <v>1</v>
      </c>
      <c r="P2154" s="57">
        <f t="shared" si="615"/>
        <v>1</v>
      </c>
      <c r="Q2154" s="267">
        <f t="shared" si="616"/>
        <v>17402</v>
      </c>
      <c r="R2154" s="23">
        <f t="shared" si="617"/>
        <v>4344</v>
      </c>
      <c r="S2154" s="23">
        <f t="shared" si="618"/>
        <v>3432</v>
      </c>
      <c r="T2154" s="23">
        <f t="shared" si="619"/>
        <v>912</v>
      </c>
      <c r="U2154" t="str">
        <f t="shared" si="620"/>
        <v>CO_Bould_2020g~Town of Superior - Trustee (Vote for 1)</v>
      </c>
      <c r="AF2154" s="22"/>
    </row>
    <row r="2155" spans="1:34" ht="14.4">
      <c r="A2155" t="str">
        <f t="shared" si="613"/>
        <v>CO_Bould_2020g~Town of Superior - Trustee (Vote for 1)</v>
      </c>
      <c r="B2155" s="79" t="s">
        <v>5636</v>
      </c>
      <c r="C2155" s="81" t="s">
        <v>5604</v>
      </c>
      <c r="D2155" s="79" t="s">
        <v>5604</v>
      </c>
      <c r="E2155" s="81" t="s">
        <v>5609</v>
      </c>
      <c r="F2155" s="81"/>
      <c r="G2155" s="85">
        <v>3432</v>
      </c>
      <c r="H2155" s="84">
        <v>1.6383112791430372</v>
      </c>
      <c r="I2155" s="82"/>
      <c r="J2155" s="80">
        <v>209484</v>
      </c>
      <c r="K2155" s="82"/>
      <c r="L2155" s="82"/>
      <c r="M2155" s="79"/>
      <c r="N2155" s="79"/>
      <c r="O2155">
        <f t="shared" si="614"/>
        <v>2</v>
      </c>
      <c r="P2155" s="57">
        <f t="shared" si="615"/>
        <v>1</v>
      </c>
      <c r="Q2155" s="267">
        <f t="shared" si="616"/>
        <v>13058</v>
      </c>
      <c r="R2155" s="23" t="str">
        <f t="shared" si="617"/>
        <v/>
      </c>
      <c r="S2155" s="23">
        <f t="shared" si="618"/>
        <v>3432</v>
      </c>
      <c r="T2155" s="23" t="str">
        <f t="shared" si="619"/>
        <v/>
      </c>
      <c r="U2155" t="str">
        <f t="shared" si="620"/>
        <v/>
      </c>
      <c r="AF2155" s="22"/>
    </row>
    <row r="2156" spans="1:34" ht="14.4">
      <c r="A2156" t="str">
        <f t="shared" si="613"/>
        <v>CO_Bould_2020g~Town of Superior - Trustee (Vote for 1)</v>
      </c>
      <c r="B2156" s="79" t="s">
        <v>5636</v>
      </c>
      <c r="C2156" s="81" t="s">
        <v>5604</v>
      </c>
      <c r="D2156" s="79" t="s">
        <v>5604</v>
      </c>
      <c r="E2156" s="81" t="s">
        <v>5610</v>
      </c>
      <c r="F2156" s="81"/>
      <c r="G2156" s="85">
        <v>3410</v>
      </c>
      <c r="H2156" s="84">
        <v>1.6278092837639151</v>
      </c>
      <c r="I2156" s="82"/>
      <c r="J2156" s="80">
        <v>209484</v>
      </c>
      <c r="K2156" s="82"/>
      <c r="L2156" s="82"/>
      <c r="M2156" s="79"/>
      <c r="N2156" s="79"/>
      <c r="O2156">
        <f t="shared" si="614"/>
        <v>3</v>
      </c>
      <c r="P2156" s="57">
        <f t="shared" si="615"/>
        <v>1</v>
      </c>
      <c r="Q2156" s="267">
        <f t="shared" si="616"/>
        <v>9626</v>
      </c>
      <c r="R2156" s="23" t="str">
        <f t="shared" si="617"/>
        <v/>
      </c>
      <c r="S2156" s="23">
        <f t="shared" si="618"/>
        <v>3410</v>
      </c>
      <c r="T2156" s="23" t="str">
        <f t="shared" si="619"/>
        <v/>
      </c>
      <c r="U2156" t="str">
        <f t="shared" si="620"/>
        <v/>
      </c>
      <c r="AF2156" s="22"/>
    </row>
    <row r="2157" spans="1:34" ht="14.4">
      <c r="A2157" t="str">
        <f t="shared" si="613"/>
        <v>CO_Bould_2020g~Town of Superior - Trustee (Vote for 1)</v>
      </c>
      <c r="B2157" s="79" t="s">
        <v>5636</v>
      </c>
      <c r="C2157" s="81" t="s">
        <v>5604</v>
      </c>
      <c r="D2157" s="79" t="s">
        <v>5604</v>
      </c>
      <c r="E2157" s="81" t="s">
        <v>5607</v>
      </c>
      <c r="F2157" s="81"/>
      <c r="G2157" s="85">
        <v>3007</v>
      </c>
      <c r="H2157" s="84">
        <v>1.4354318229554524</v>
      </c>
      <c r="I2157" s="82"/>
      <c r="J2157" s="80">
        <v>209484</v>
      </c>
      <c r="K2157" s="82"/>
      <c r="L2157" s="82"/>
      <c r="M2157" s="79"/>
      <c r="N2157" s="79"/>
      <c r="O2157">
        <f t="shared" si="614"/>
        <v>4</v>
      </c>
      <c r="P2157" s="57">
        <f t="shared" si="615"/>
        <v>1</v>
      </c>
      <c r="Q2157" s="267">
        <f t="shared" si="616"/>
        <v>6216</v>
      </c>
      <c r="R2157" s="23" t="str">
        <f t="shared" si="617"/>
        <v/>
      </c>
      <c r="S2157" s="23">
        <f t="shared" si="618"/>
        <v>3007</v>
      </c>
      <c r="T2157" s="23" t="str">
        <f t="shared" si="619"/>
        <v/>
      </c>
      <c r="U2157" t="str">
        <f t="shared" si="620"/>
        <v/>
      </c>
      <c r="AF2157" s="22"/>
    </row>
    <row r="2158" spans="1:34" ht="14.4">
      <c r="A2158" t="str">
        <f t="shared" si="613"/>
        <v>CO_Bould_2020g~Town of Superior - Trustee (Vote for 1)</v>
      </c>
      <c r="B2158" s="79" t="s">
        <v>5636</v>
      </c>
      <c r="C2158" s="81" t="s">
        <v>5604</v>
      </c>
      <c r="D2158" s="79" t="s">
        <v>5604</v>
      </c>
      <c r="E2158" s="81" t="s">
        <v>5605</v>
      </c>
      <c r="F2158" s="81"/>
      <c r="G2158" s="85">
        <v>1864</v>
      </c>
      <c r="H2158" s="84">
        <v>0.88980542666743045</v>
      </c>
      <c r="I2158" s="82"/>
      <c r="J2158" s="80">
        <v>209484</v>
      </c>
      <c r="K2158" s="82"/>
      <c r="L2158" s="82"/>
      <c r="M2158" s="79"/>
      <c r="N2158" s="79"/>
      <c r="O2158">
        <f t="shared" si="614"/>
        <v>5</v>
      </c>
      <c r="P2158" s="57">
        <f t="shared" si="615"/>
        <v>1</v>
      </c>
      <c r="Q2158" s="267">
        <f t="shared" si="616"/>
        <v>3209</v>
      </c>
      <c r="R2158" s="23" t="str">
        <f t="shared" si="617"/>
        <v/>
      </c>
      <c r="S2158" s="23">
        <f t="shared" si="618"/>
        <v>1864</v>
      </c>
      <c r="T2158" s="23" t="str">
        <f t="shared" si="619"/>
        <v/>
      </c>
      <c r="U2158" t="str">
        <f t="shared" si="620"/>
        <v/>
      </c>
      <c r="AF2158" s="22"/>
      <c r="AG2158" s="23"/>
      <c r="AH2158" s="8"/>
    </row>
    <row r="2159" spans="1:34" ht="14.4">
      <c r="A2159" t="str">
        <f t="shared" si="613"/>
        <v>CO_Bould_2020g~Town of Superior - Trustee (Vote for 1)</v>
      </c>
      <c r="B2159" s="79" t="s">
        <v>5636</v>
      </c>
      <c r="C2159" s="81" t="s">
        <v>5604</v>
      </c>
      <c r="D2159" s="79" t="s">
        <v>5604</v>
      </c>
      <c r="E2159" s="81" t="s">
        <v>5606</v>
      </c>
      <c r="F2159" s="81"/>
      <c r="G2159" s="85">
        <v>1345</v>
      </c>
      <c r="H2159" s="84">
        <v>0.64205380840541526</v>
      </c>
      <c r="I2159" s="82"/>
      <c r="J2159" s="80">
        <v>209484</v>
      </c>
      <c r="K2159" s="82"/>
      <c r="L2159" s="82"/>
      <c r="M2159" s="79"/>
      <c r="N2159" s="79"/>
      <c r="O2159">
        <f t="shared" si="614"/>
        <v>6</v>
      </c>
      <c r="P2159" s="57">
        <f t="shared" si="615"/>
        <v>1</v>
      </c>
      <c r="Q2159" s="267">
        <f t="shared" si="616"/>
        <v>1345</v>
      </c>
      <c r="R2159" s="23" t="str">
        <f t="shared" si="617"/>
        <v/>
      </c>
      <c r="S2159" s="23">
        <f t="shared" si="618"/>
        <v>1345</v>
      </c>
      <c r="T2159" s="23" t="str">
        <f t="shared" si="619"/>
        <v/>
      </c>
      <c r="U2159" t="str">
        <f t="shared" si="620"/>
        <v/>
      </c>
      <c r="AF2159" s="22"/>
    </row>
    <row r="2160" spans="1:34" ht="14.4">
      <c r="A2160" t="str">
        <f t="shared" si="613"/>
        <v>CO_Bould_2020g~w/Weld__City of Longmont Ballot Question 3C (Vote for 1)</v>
      </c>
      <c r="B2160" s="79" t="s">
        <v>5636</v>
      </c>
      <c r="C2160" s="81" t="s">
        <v>5614</v>
      </c>
      <c r="D2160" s="79" t="s">
        <v>5652</v>
      </c>
      <c r="E2160" s="81" t="s">
        <v>5350</v>
      </c>
      <c r="F2160" s="81"/>
      <c r="G2160" s="85">
        <v>42022</v>
      </c>
      <c r="H2160" s="84">
        <v>20.05976590097573</v>
      </c>
      <c r="I2160" s="82"/>
      <c r="J2160" s="80">
        <v>209484</v>
      </c>
      <c r="K2160" s="82"/>
      <c r="L2160" s="82"/>
      <c r="M2160" s="79"/>
      <c r="N2160" s="79"/>
      <c r="O2160">
        <f t="shared" si="614"/>
        <v>1</v>
      </c>
      <c r="P2160" s="57">
        <f t="shared" si="615"/>
        <v>1</v>
      </c>
      <c r="Q2160" s="267">
        <f t="shared" si="616"/>
        <v>53094</v>
      </c>
      <c r="R2160" s="23">
        <f t="shared" si="617"/>
        <v>42022</v>
      </c>
      <c r="S2160" s="23">
        <f t="shared" si="618"/>
        <v>11072</v>
      </c>
      <c r="T2160" s="23">
        <f t="shared" si="619"/>
        <v>30950</v>
      </c>
      <c r="U2160" t="str">
        <f t="shared" si="620"/>
        <v>CO_Bould_2020g~w/Weld__City of Longmont Ballot Question 3C (Vote for 1)</v>
      </c>
      <c r="AF2160" s="22"/>
    </row>
    <row r="2161" spans="1:45" ht="14.4">
      <c r="A2161" t="str">
        <f t="shared" si="613"/>
        <v>CO_Bould_2020g~w/Weld__City of Longmont Ballot Question 3C (Vote for 1)</v>
      </c>
      <c r="B2161" s="79" t="s">
        <v>5636</v>
      </c>
      <c r="C2161" s="81" t="s">
        <v>5614</v>
      </c>
      <c r="D2161" s="79" t="s">
        <v>5652</v>
      </c>
      <c r="E2161" s="81" t="s">
        <v>5349</v>
      </c>
      <c r="F2161" s="81"/>
      <c r="G2161" s="85">
        <v>11072</v>
      </c>
      <c r="H2161" s="84">
        <v>5.2853678562563253</v>
      </c>
      <c r="I2161" s="82"/>
      <c r="J2161" s="80">
        <v>209484</v>
      </c>
      <c r="K2161" s="82"/>
      <c r="L2161" s="82"/>
      <c r="M2161" s="79"/>
      <c r="N2161" s="79"/>
      <c r="O2161">
        <f t="shared" si="614"/>
        <v>2</v>
      </c>
      <c r="P2161" s="57">
        <f t="shared" si="615"/>
        <v>1</v>
      </c>
      <c r="Q2161" s="267">
        <f t="shared" si="616"/>
        <v>11072</v>
      </c>
      <c r="R2161" s="23" t="str">
        <f t="shared" si="617"/>
        <v/>
      </c>
      <c r="S2161" s="23">
        <f t="shared" si="618"/>
        <v>11072</v>
      </c>
      <c r="T2161" s="23" t="str">
        <f t="shared" si="619"/>
        <v/>
      </c>
      <c r="U2161" t="str">
        <f t="shared" si="620"/>
        <v/>
      </c>
      <c r="AF2161" s="22"/>
    </row>
    <row r="2162" spans="1:45" ht="14.4">
      <c r="A2162" t="str">
        <f t="shared" ref="A2162:A2225" si="621">CONCATENATE(B2162,"~",D2162)</f>
        <v>CO_Bould_2020g~w/Weld__City of Longmont Ballot Question 3D (Vote for 1)</v>
      </c>
      <c r="B2162" s="79" t="s">
        <v>5636</v>
      </c>
      <c r="C2162" s="81" t="s">
        <v>5615</v>
      </c>
      <c r="D2162" s="79" t="s">
        <v>5653</v>
      </c>
      <c r="E2162" s="81" t="s">
        <v>5350</v>
      </c>
      <c r="F2162" s="81"/>
      <c r="G2162" s="85">
        <v>27763</v>
      </c>
      <c r="H2162" s="84">
        <v>13.253040805025682</v>
      </c>
      <c r="I2162" s="82"/>
      <c r="J2162" s="80">
        <v>209484</v>
      </c>
      <c r="K2162" s="82"/>
      <c r="L2162" s="82"/>
      <c r="M2162" s="79"/>
      <c r="N2162" s="79"/>
      <c r="O2162">
        <f t="shared" si="614"/>
        <v>1</v>
      </c>
      <c r="P2162" s="57">
        <f t="shared" si="615"/>
        <v>1</v>
      </c>
      <c r="Q2162" s="267">
        <f t="shared" si="616"/>
        <v>51372</v>
      </c>
      <c r="R2162" s="23">
        <f t="shared" si="617"/>
        <v>27763</v>
      </c>
      <c r="S2162" s="23">
        <f t="shared" si="618"/>
        <v>23609</v>
      </c>
      <c r="T2162" s="23">
        <f t="shared" si="619"/>
        <v>4154</v>
      </c>
      <c r="U2162" t="str">
        <f t="shared" si="620"/>
        <v>CO_Bould_2020g~w/Weld__City of Longmont Ballot Question 3D (Vote for 1)</v>
      </c>
      <c r="AF2162" s="22"/>
    </row>
    <row r="2163" spans="1:45" ht="14.4">
      <c r="A2163" t="str">
        <f t="shared" si="621"/>
        <v>CO_Bould_2020g~w/Weld__City of Longmont Ballot Question 3D (Vote for 1)</v>
      </c>
      <c r="B2163" s="79" t="s">
        <v>5636</v>
      </c>
      <c r="C2163" s="81" t="s">
        <v>5615</v>
      </c>
      <c r="D2163" s="79" t="s">
        <v>5653</v>
      </c>
      <c r="E2163" s="81" t="s">
        <v>5349</v>
      </c>
      <c r="F2163" s="81"/>
      <c r="G2163" s="85">
        <v>23609</v>
      </c>
      <c r="H2163" s="84">
        <v>11.270073132076913</v>
      </c>
      <c r="I2163" s="82"/>
      <c r="J2163" s="80">
        <v>209484</v>
      </c>
      <c r="K2163" s="82"/>
      <c r="L2163" s="82"/>
      <c r="M2163" s="79"/>
      <c r="N2163" s="79"/>
      <c r="O2163">
        <f t="shared" si="614"/>
        <v>2</v>
      </c>
      <c r="P2163" s="57">
        <f t="shared" si="615"/>
        <v>1</v>
      </c>
      <c r="Q2163" s="267">
        <f t="shared" si="616"/>
        <v>23609</v>
      </c>
      <c r="R2163" s="23" t="str">
        <f t="shared" si="617"/>
        <v/>
      </c>
      <c r="S2163" s="23">
        <f t="shared" si="618"/>
        <v>23609</v>
      </c>
      <c r="T2163" s="23" t="str">
        <f t="shared" si="619"/>
        <v/>
      </c>
      <c r="U2163" t="str">
        <f t="shared" si="620"/>
        <v/>
      </c>
      <c r="AF2163" s="22"/>
    </row>
    <row r="2164" spans="1:45" ht="14.4">
      <c r="A2164" t="str">
        <f t="shared" si="621"/>
        <v>CO_Denve_2020g~City and County of Denver Ballot Measure 2A (Vote For 1)</v>
      </c>
      <c r="B2164" s="79" t="s">
        <v>5639</v>
      </c>
      <c r="C2164" s="79" t="s">
        <v>5363</v>
      </c>
      <c r="D2164" s="79" t="s">
        <v>5363</v>
      </c>
      <c r="E2164" s="79" t="s">
        <v>5274</v>
      </c>
      <c r="F2164" s="79" t="s">
        <v>1508</v>
      </c>
      <c r="G2164" s="82">
        <v>231174</v>
      </c>
      <c r="H2164" s="83">
        <v>62.34</v>
      </c>
      <c r="I2164" s="82">
        <v>460434</v>
      </c>
      <c r="J2164" s="82">
        <v>398485</v>
      </c>
      <c r="K2164" s="79">
        <v>356</v>
      </c>
      <c r="L2164" s="79">
        <v>356</v>
      </c>
      <c r="M2164" s="79">
        <v>26</v>
      </c>
      <c r="N2164" s="79">
        <v>26670</v>
      </c>
      <c r="O2164">
        <f t="shared" si="614"/>
        <v>1</v>
      </c>
      <c r="P2164" s="57">
        <f t="shared" si="615"/>
        <v>1</v>
      </c>
      <c r="Q2164" s="267">
        <f t="shared" si="616"/>
        <v>370857</v>
      </c>
      <c r="R2164" s="23">
        <f t="shared" si="617"/>
        <v>231174</v>
      </c>
      <c r="S2164" s="23">
        <f t="shared" si="618"/>
        <v>139683</v>
      </c>
      <c r="T2164" s="23">
        <f t="shared" si="619"/>
        <v>91491</v>
      </c>
      <c r="U2164" t="str">
        <f t="shared" si="620"/>
        <v>CO_Denve_2020g~City and County of Denver Ballot Measure 2A (Vote For 1)</v>
      </c>
      <c r="AF2164" s="22"/>
    </row>
    <row r="2165" spans="1:45" ht="14.4">
      <c r="A2165" t="str">
        <f t="shared" si="621"/>
        <v>CO_Denve_2020g~City and County of Denver Ballot Measure 2A (Vote For 1)</v>
      </c>
      <c r="B2165" s="79" t="s">
        <v>5639</v>
      </c>
      <c r="C2165" s="79" t="s">
        <v>5363</v>
      </c>
      <c r="D2165" s="79" t="s">
        <v>5363</v>
      </c>
      <c r="E2165" s="79" t="s">
        <v>5275</v>
      </c>
      <c r="F2165" s="79" t="s">
        <v>1509</v>
      </c>
      <c r="G2165" s="82">
        <v>139683</v>
      </c>
      <c r="H2165" s="83">
        <v>37.659999999999997</v>
      </c>
      <c r="I2165" s="82">
        <v>460434</v>
      </c>
      <c r="J2165" s="82">
        <v>398485</v>
      </c>
      <c r="K2165" s="79">
        <v>356</v>
      </c>
      <c r="L2165" s="79">
        <v>356</v>
      </c>
      <c r="M2165" s="79">
        <v>26</v>
      </c>
      <c r="N2165" s="79">
        <v>26670</v>
      </c>
      <c r="O2165">
        <f t="shared" si="614"/>
        <v>2</v>
      </c>
      <c r="P2165" s="57">
        <f t="shared" si="615"/>
        <v>1</v>
      </c>
      <c r="Q2165" s="267">
        <f t="shared" si="616"/>
        <v>139683</v>
      </c>
      <c r="R2165" s="23" t="str">
        <f t="shared" si="617"/>
        <v/>
      </c>
      <c r="S2165" s="23">
        <f t="shared" si="618"/>
        <v>139683</v>
      </c>
      <c r="T2165" s="23" t="str">
        <f t="shared" si="619"/>
        <v/>
      </c>
      <c r="U2165" t="str">
        <f t="shared" si="620"/>
        <v/>
      </c>
      <c r="AF2165" s="22"/>
    </row>
    <row r="2166" spans="1:45" ht="14.4">
      <c r="A2166" t="str">
        <f t="shared" si="621"/>
        <v>CO_Denve_2020g~City and County of Denver Ballot Measure 2B (Vote For 1)</v>
      </c>
      <c r="B2166" s="79" t="s">
        <v>5639</v>
      </c>
      <c r="C2166" s="79" t="s">
        <v>5364</v>
      </c>
      <c r="D2166" s="79" t="s">
        <v>5364</v>
      </c>
      <c r="E2166" s="79" t="s">
        <v>5274</v>
      </c>
      <c r="F2166" s="79" t="s">
        <v>1508</v>
      </c>
      <c r="G2166" s="82">
        <v>233300</v>
      </c>
      <c r="H2166" s="83">
        <v>62.81</v>
      </c>
      <c r="I2166" s="82">
        <v>460434</v>
      </c>
      <c r="J2166" s="82">
        <v>398485</v>
      </c>
      <c r="K2166" s="79">
        <v>356</v>
      </c>
      <c r="L2166" s="79">
        <v>356</v>
      </c>
      <c r="M2166" s="79">
        <v>30</v>
      </c>
      <c r="N2166" s="79">
        <v>26070</v>
      </c>
      <c r="O2166">
        <f t="shared" si="614"/>
        <v>1</v>
      </c>
      <c r="P2166" s="57">
        <f t="shared" si="615"/>
        <v>1</v>
      </c>
      <c r="Q2166" s="267">
        <f t="shared" si="616"/>
        <v>371453</v>
      </c>
      <c r="R2166" s="23">
        <f t="shared" si="617"/>
        <v>233300</v>
      </c>
      <c r="S2166" s="23">
        <f t="shared" si="618"/>
        <v>138153</v>
      </c>
      <c r="T2166" s="23">
        <f t="shared" si="619"/>
        <v>95147</v>
      </c>
      <c r="U2166" t="str">
        <f t="shared" si="620"/>
        <v>CO_Denve_2020g~City and County of Denver Ballot Measure 2B (Vote For 1)</v>
      </c>
      <c r="AF2166" s="22"/>
      <c r="AG2166" s="302"/>
      <c r="AH2166" s="301"/>
      <c r="AI2166" s="303"/>
      <c r="AJ2166" s="303"/>
      <c r="AK2166" s="342"/>
      <c r="AL2166" s="343"/>
      <c r="AO2166" s="356"/>
      <c r="AP2166" s="356"/>
      <c r="AQ2166" s="394"/>
      <c r="AR2166" s="394"/>
      <c r="AS2166" s="394"/>
    </row>
    <row r="2167" spans="1:45" ht="14.4">
      <c r="A2167" t="str">
        <f t="shared" si="621"/>
        <v>CO_Denve_2020g~City and County of Denver Ballot Measure 2B (Vote For 1)</v>
      </c>
      <c r="B2167" s="79" t="s">
        <v>5639</v>
      </c>
      <c r="C2167" s="79" t="s">
        <v>5364</v>
      </c>
      <c r="D2167" s="79" t="s">
        <v>5364</v>
      </c>
      <c r="E2167" s="79" t="s">
        <v>5275</v>
      </c>
      <c r="F2167" s="79" t="s">
        <v>1509</v>
      </c>
      <c r="G2167" s="82">
        <v>138153</v>
      </c>
      <c r="H2167" s="83">
        <v>37.19</v>
      </c>
      <c r="I2167" s="82">
        <v>460434</v>
      </c>
      <c r="J2167" s="82">
        <v>398485</v>
      </c>
      <c r="K2167" s="79">
        <v>356</v>
      </c>
      <c r="L2167" s="79">
        <v>356</v>
      </c>
      <c r="M2167" s="79">
        <v>30</v>
      </c>
      <c r="N2167" s="79">
        <v>26070</v>
      </c>
      <c r="O2167">
        <f t="shared" si="614"/>
        <v>2</v>
      </c>
      <c r="P2167" s="57">
        <f t="shared" si="615"/>
        <v>1</v>
      </c>
      <c r="Q2167" s="267">
        <f t="shared" si="616"/>
        <v>138153</v>
      </c>
      <c r="R2167" s="23" t="str">
        <f t="shared" si="617"/>
        <v/>
      </c>
      <c r="S2167" s="23">
        <f t="shared" si="618"/>
        <v>138153</v>
      </c>
      <c r="T2167" s="23" t="str">
        <f t="shared" si="619"/>
        <v/>
      </c>
      <c r="U2167" t="str">
        <f t="shared" si="620"/>
        <v/>
      </c>
      <c r="AF2167" s="22"/>
    </row>
    <row r="2168" spans="1:45" ht="14.4">
      <c r="A2168" t="str">
        <f t="shared" si="621"/>
        <v>CO_Denve_2020g~City and County of Denver Ballot Measure 2C (Vote For 1)</v>
      </c>
      <c r="B2168" s="79" t="s">
        <v>5639</v>
      </c>
      <c r="C2168" s="79" t="s">
        <v>5365</v>
      </c>
      <c r="D2168" s="79" t="s">
        <v>5365</v>
      </c>
      <c r="E2168" s="79" t="s">
        <v>5274</v>
      </c>
      <c r="F2168" s="79" t="s">
        <v>1508</v>
      </c>
      <c r="G2168" s="82">
        <v>190324</v>
      </c>
      <c r="H2168" s="83">
        <v>52.77</v>
      </c>
      <c r="I2168" s="82">
        <v>460434</v>
      </c>
      <c r="J2168" s="82">
        <v>398485</v>
      </c>
      <c r="K2168" s="79">
        <v>356</v>
      </c>
      <c r="L2168" s="79">
        <v>356</v>
      </c>
      <c r="M2168" s="79">
        <v>33</v>
      </c>
      <c r="N2168" s="79">
        <v>36684</v>
      </c>
      <c r="O2168">
        <f t="shared" si="614"/>
        <v>1</v>
      </c>
      <c r="P2168" s="57">
        <f t="shared" si="615"/>
        <v>1</v>
      </c>
      <c r="Q2168" s="267">
        <f t="shared" si="616"/>
        <v>360676</v>
      </c>
      <c r="R2168" s="23">
        <f t="shared" si="617"/>
        <v>190324</v>
      </c>
      <c r="S2168" s="23">
        <f t="shared" si="618"/>
        <v>170352</v>
      </c>
      <c r="T2168" s="23">
        <f t="shared" si="619"/>
        <v>19972</v>
      </c>
      <c r="U2168" t="str">
        <f t="shared" si="620"/>
        <v>CO_Denve_2020g~City and County of Denver Ballot Measure 2C (Vote For 1)</v>
      </c>
      <c r="AF2168" s="22"/>
    </row>
    <row r="2169" spans="1:45" ht="14.4">
      <c r="A2169" t="str">
        <f t="shared" si="621"/>
        <v>CO_Denve_2020g~City and County of Denver Ballot Measure 2C (Vote For 1)</v>
      </c>
      <c r="B2169" s="79" t="s">
        <v>5639</v>
      </c>
      <c r="C2169" s="79" t="s">
        <v>5365</v>
      </c>
      <c r="D2169" s="79" t="s">
        <v>5365</v>
      </c>
      <c r="E2169" s="79" t="s">
        <v>5275</v>
      </c>
      <c r="F2169" s="79" t="s">
        <v>1509</v>
      </c>
      <c r="G2169" s="82">
        <v>170352</v>
      </c>
      <c r="H2169" s="83">
        <v>47.23</v>
      </c>
      <c r="I2169" s="82">
        <v>460434</v>
      </c>
      <c r="J2169" s="82">
        <v>398485</v>
      </c>
      <c r="K2169" s="79">
        <v>356</v>
      </c>
      <c r="L2169" s="79">
        <v>356</v>
      </c>
      <c r="M2169" s="79">
        <v>33</v>
      </c>
      <c r="N2169" s="79">
        <v>36684</v>
      </c>
      <c r="O2169">
        <f t="shared" si="614"/>
        <v>2</v>
      </c>
      <c r="P2169" s="57">
        <f t="shared" si="615"/>
        <v>1</v>
      </c>
      <c r="Q2169" s="267">
        <f t="shared" si="616"/>
        <v>170352</v>
      </c>
      <c r="R2169" s="23" t="str">
        <f t="shared" si="617"/>
        <v/>
      </c>
      <c r="S2169" s="23">
        <f t="shared" si="618"/>
        <v>170352</v>
      </c>
      <c r="T2169" s="23" t="str">
        <f t="shared" si="619"/>
        <v/>
      </c>
      <c r="U2169" t="str">
        <f t="shared" si="620"/>
        <v/>
      </c>
      <c r="AF2169" s="22"/>
    </row>
    <row r="2170" spans="1:45" ht="14.4">
      <c r="A2170" t="str">
        <f t="shared" si="621"/>
        <v>CO_Denve_2020g~City and County of Denver Ballot Measure 2D (Vote For 1)</v>
      </c>
      <c r="B2170" s="79" t="s">
        <v>5639</v>
      </c>
      <c r="C2170" s="79" t="s">
        <v>5366</v>
      </c>
      <c r="D2170" s="79" t="s">
        <v>5366</v>
      </c>
      <c r="E2170" s="79" t="s">
        <v>5274</v>
      </c>
      <c r="F2170" s="79" t="s">
        <v>1508</v>
      </c>
      <c r="G2170" s="82">
        <v>268129</v>
      </c>
      <c r="H2170" s="83">
        <v>75.209999999999994</v>
      </c>
      <c r="I2170" s="82">
        <v>460434</v>
      </c>
      <c r="J2170" s="82">
        <v>398485</v>
      </c>
      <c r="K2170" s="79">
        <v>356</v>
      </c>
      <c r="L2170" s="79">
        <v>356</v>
      </c>
      <c r="M2170" s="79">
        <v>26</v>
      </c>
      <c r="N2170" s="79">
        <v>40859</v>
      </c>
      <c r="O2170">
        <f t="shared" si="614"/>
        <v>1</v>
      </c>
      <c r="P2170" s="57">
        <f t="shared" si="615"/>
        <v>1</v>
      </c>
      <c r="Q2170" s="267">
        <f t="shared" si="616"/>
        <v>356508</v>
      </c>
      <c r="R2170" s="23">
        <f t="shared" si="617"/>
        <v>268129</v>
      </c>
      <c r="S2170" s="23">
        <f t="shared" si="618"/>
        <v>88379</v>
      </c>
      <c r="T2170" s="23">
        <f t="shared" si="619"/>
        <v>179750</v>
      </c>
      <c r="U2170" t="str">
        <f t="shared" si="620"/>
        <v>CO_Denve_2020g~City and County of Denver Ballot Measure 2D (Vote For 1)</v>
      </c>
      <c r="AF2170" s="22"/>
    </row>
    <row r="2171" spans="1:45" ht="14.4">
      <c r="A2171" t="str">
        <f t="shared" si="621"/>
        <v>CO_Denve_2020g~City and County of Denver Ballot Measure 2D (Vote For 1)</v>
      </c>
      <c r="B2171" s="79" t="s">
        <v>5639</v>
      </c>
      <c r="C2171" s="79" t="s">
        <v>5366</v>
      </c>
      <c r="D2171" s="79" t="s">
        <v>5366</v>
      </c>
      <c r="E2171" s="79" t="s">
        <v>5275</v>
      </c>
      <c r="F2171" s="79" t="s">
        <v>1509</v>
      </c>
      <c r="G2171" s="82">
        <v>88379</v>
      </c>
      <c r="H2171" s="83">
        <v>24.79</v>
      </c>
      <c r="I2171" s="82">
        <v>460434</v>
      </c>
      <c r="J2171" s="82">
        <v>398485</v>
      </c>
      <c r="K2171" s="79">
        <v>356</v>
      </c>
      <c r="L2171" s="79">
        <v>356</v>
      </c>
      <c r="M2171" s="79">
        <v>26</v>
      </c>
      <c r="N2171" s="79">
        <v>40859</v>
      </c>
      <c r="O2171">
        <f t="shared" si="614"/>
        <v>2</v>
      </c>
      <c r="P2171" s="57">
        <f t="shared" si="615"/>
        <v>1</v>
      </c>
      <c r="Q2171" s="267">
        <f t="shared" si="616"/>
        <v>88379</v>
      </c>
      <c r="R2171" s="23" t="str">
        <f t="shared" si="617"/>
        <v/>
      </c>
      <c r="S2171" s="23">
        <f t="shared" si="618"/>
        <v>88379</v>
      </c>
      <c r="T2171" s="23" t="str">
        <f t="shared" si="619"/>
        <v/>
      </c>
      <c r="U2171" t="str">
        <f t="shared" si="620"/>
        <v/>
      </c>
      <c r="AF2171" s="22"/>
    </row>
    <row r="2172" spans="1:45" ht="14.4">
      <c r="A2172" t="str">
        <f t="shared" si="621"/>
        <v>CO_Denve_2020g~City and County of Denver Ballot Measure 2E (Vote For 1)</v>
      </c>
      <c r="B2172" s="79" t="s">
        <v>5639</v>
      </c>
      <c r="C2172" s="79" t="s">
        <v>5367</v>
      </c>
      <c r="D2172" s="79" t="s">
        <v>5367</v>
      </c>
      <c r="E2172" s="79" t="s">
        <v>5274</v>
      </c>
      <c r="F2172" s="79" t="s">
        <v>1508</v>
      </c>
      <c r="G2172" s="82">
        <v>205975</v>
      </c>
      <c r="H2172" s="83">
        <v>58.09</v>
      </c>
      <c r="I2172" s="82">
        <v>460434</v>
      </c>
      <c r="J2172" s="82">
        <v>398485</v>
      </c>
      <c r="K2172" s="79">
        <v>356</v>
      </c>
      <c r="L2172" s="79">
        <v>356</v>
      </c>
      <c r="M2172" s="79">
        <v>26</v>
      </c>
      <c r="N2172" s="79">
        <v>42801</v>
      </c>
      <c r="O2172">
        <f t="shared" si="614"/>
        <v>1</v>
      </c>
      <c r="P2172" s="57">
        <f t="shared" si="615"/>
        <v>1</v>
      </c>
      <c r="Q2172" s="267">
        <f t="shared" si="616"/>
        <v>354566</v>
      </c>
      <c r="R2172" s="23">
        <f t="shared" si="617"/>
        <v>205975</v>
      </c>
      <c r="S2172" s="23">
        <f t="shared" si="618"/>
        <v>148591</v>
      </c>
      <c r="T2172" s="23">
        <f t="shared" si="619"/>
        <v>57384</v>
      </c>
      <c r="U2172" t="str">
        <f t="shared" si="620"/>
        <v>CO_Denve_2020g~City and County of Denver Ballot Measure 2E (Vote For 1)</v>
      </c>
    </row>
    <row r="2173" spans="1:45" ht="14.4">
      <c r="A2173" t="str">
        <f t="shared" si="621"/>
        <v>CO_Denve_2020g~City and County of Denver Ballot Measure 2E (Vote For 1)</v>
      </c>
      <c r="B2173" s="79" t="s">
        <v>5639</v>
      </c>
      <c r="C2173" s="79" t="s">
        <v>5367</v>
      </c>
      <c r="D2173" s="79" t="s">
        <v>5367</v>
      </c>
      <c r="E2173" s="79" t="s">
        <v>5275</v>
      </c>
      <c r="F2173" s="79" t="s">
        <v>1509</v>
      </c>
      <c r="G2173" s="82">
        <v>148591</v>
      </c>
      <c r="H2173" s="83">
        <v>41.91</v>
      </c>
      <c r="I2173" s="82">
        <v>460434</v>
      </c>
      <c r="J2173" s="82">
        <v>398485</v>
      </c>
      <c r="K2173" s="79">
        <v>356</v>
      </c>
      <c r="L2173" s="79">
        <v>356</v>
      </c>
      <c r="M2173" s="79">
        <v>26</v>
      </c>
      <c r="N2173" s="79">
        <v>42801</v>
      </c>
      <c r="O2173">
        <f t="shared" si="614"/>
        <v>2</v>
      </c>
      <c r="P2173" s="57">
        <f t="shared" si="615"/>
        <v>1</v>
      </c>
      <c r="Q2173" s="267">
        <f t="shared" si="616"/>
        <v>148591</v>
      </c>
      <c r="R2173" s="23" t="str">
        <f t="shared" si="617"/>
        <v/>
      </c>
      <c r="S2173" s="23">
        <f t="shared" si="618"/>
        <v>148591</v>
      </c>
      <c r="T2173" s="23" t="str">
        <f t="shared" si="619"/>
        <v/>
      </c>
      <c r="U2173" t="str">
        <f t="shared" si="620"/>
        <v/>
      </c>
      <c r="AF2173" s="22"/>
      <c r="AO2173" s="356"/>
      <c r="AP2173" s="356"/>
      <c r="AQ2173" s="394"/>
      <c r="AR2173" s="394"/>
      <c r="AS2173" s="394"/>
    </row>
    <row r="2174" spans="1:45" ht="14.4">
      <c r="A2174" t="str">
        <f t="shared" si="621"/>
        <v>CO_Denve_2020g~City and County of Denver Ballot Measure 2F (Vote For 1)</v>
      </c>
      <c r="B2174" s="79" t="s">
        <v>5639</v>
      </c>
      <c r="C2174" s="79" t="s">
        <v>5368</v>
      </c>
      <c r="D2174" s="79" t="s">
        <v>5368</v>
      </c>
      <c r="E2174" s="79" t="s">
        <v>5274</v>
      </c>
      <c r="F2174" s="79" t="s">
        <v>1508</v>
      </c>
      <c r="G2174" s="82">
        <v>300304</v>
      </c>
      <c r="H2174" s="83">
        <v>83.04</v>
      </c>
      <c r="I2174" s="82">
        <v>460434</v>
      </c>
      <c r="J2174" s="82">
        <v>398485</v>
      </c>
      <c r="K2174" s="79">
        <v>356</v>
      </c>
      <c r="L2174" s="79">
        <v>356</v>
      </c>
      <c r="M2174" s="79">
        <v>19</v>
      </c>
      <c r="N2174" s="79">
        <v>35757</v>
      </c>
      <c r="O2174">
        <f t="shared" si="614"/>
        <v>1</v>
      </c>
      <c r="P2174" s="57">
        <f t="shared" si="615"/>
        <v>1</v>
      </c>
      <c r="Q2174" s="267">
        <f t="shared" si="616"/>
        <v>361617</v>
      </c>
      <c r="R2174" s="23">
        <f t="shared" si="617"/>
        <v>300304</v>
      </c>
      <c r="S2174" s="23">
        <f t="shared" si="618"/>
        <v>61313</v>
      </c>
      <c r="T2174" s="23">
        <f t="shared" si="619"/>
        <v>238991</v>
      </c>
      <c r="U2174" t="str">
        <f t="shared" si="620"/>
        <v>CO_Denve_2020g~City and County of Denver Ballot Measure 2F (Vote For 1)</v>
      </c>
      <c r="AF2174" s="22"/>
    </row>
    <row r="2175" spans="1:45" ht="14.4">
      <c r="A2175" t="str">
        <f t="shared" si="621"/>
        <v>CO_Denve_2020g~City and County of Denver Ballot Measure 2F (Vote For 1)</v>
      </c>
      <c r="B2175" s="79" t="s">
        <v>5639</v>
      </c>
      <c r="C2175" s="79" t="s">
        <v>5368</v>
      </c>
      <c r="D2175" s="79" t="s">
        <v>5368</v>
      </c>
      <c r="E2175" s="79" t="s">
        <v>5275</v>
      </c>
      <c r="F2175" s="79" t="s">
        <v>1509</v>
      </c>
      <c r="G2175" s="82">
        <v>61313</v>
      </c>
      <c r="H2175" s="83">
        <v>16.96</v>
      </c>
      <c r="I2175" s="82">
        <v>460434</v>
      </c>
      <c r="J2175" s="82">
        <v>398485</v>
      </c>
      <c r="K2175" s="79">
        <v>356</v>
      </c>
      <c r="L2175" s="79">
        <v>356</v>
      </c>
      <c r="M2175" s="79">
        <v>19</v>
      </c>
      <c r="N2175" s="79">
        <v>35757</v>
      </c>
      <c r="O2175">
        <f t="shared" si="614"/>
        <v>2</v>
      </c>
      <c r="P2175" s="57">
        <f t="shared" si="615"/>
        <v>1</v>
      </c>
      <c r="Q2175" s="267">
        <f t="shared" si="616"/>
        <v>61313</v>
      </c>
      <c r="R2175" s="23" t="str">
        <f t="shared" si="617"/>
        <v/>
      </c>
      <c r="S2175" s="23">
        <f t="shared" si="618"/>
        <v>61313</v>
      </c>
      <c r="T2175" s="23" t="str">
        <f t="shared" si="619"/>
        <v/>
      </c>
      <c r="U2175" t="str">
        <f t="shared" si="620"/>
        <v/>
      </c>
      <c r="AF2175" s="22"/>
      <c r="AG2175" s="259"/>
      <c r="AH2175" s="276"/>
      <c r="AI2175" s="277"/>
      <c r="AJ2175" s="278"/>
    </row>
    <row r="2176" spans="1:45" ht="14.4">
      <c r="A2176" t="str">
        <f t="shared" si="621"/>
        <v>CO_Denve_2020g~City and County of Denver Ballot Measure 2G (Vote For 1)</v>
      </c>
      <c r="B2176" s="79" t="s">
        <v>5639</v>
      </c>
      <c r="C2176" s="79" t="s">
        <v>5369</v>
      </c>
      <c r="D2176" s="79" t="s">
        <v>5369</v>
      </c>
      <c r="E2176" s="79" t="s">
        <v>5274</v>
      </c>
      <c r="F2176" s="79" t="s">
        <v>1508</v>
      </c>
      <c r="G2176" s="82">
        <v>188713</v>
      </c>
      <c r="H2176" s="83">
        <v>54</v>
      </c>
      <c r="I2176" s="82">
        <v>460434</v>
      </c>
      <c r="J2176" s="82">
        <v>398485</v>
      </c>
      <c r="K2176" s="79">
        <v>356</v>
      </c>
      <c r="L2176" s="79">
        <v>356</v>
      </c>
      <c r="M2176" s="79">
        <v>20</v>
      </c>
      <c r="N2176" s="79">
        <v>47923</v>
      </c>
      <c r="O2176">
        <f t="shared" si="614"/>
        <v>1</v>
      </c>
      <c r="P2176" s="57">
        <f t="shared" si="615"/>
        <v>1</v>
      </c>
      <c r="Q2176" s="267">
        <f t="shared" si="616"/>
        <v>349450</v>
      </c>
      <c r="R2176" s="23">
        <f t="shared" si="617"/>
        <v>188713</v>
      </c>
      <c r="S2176" s="23">
        <f t="shared" si="618"/>
        <v>160737</v>
      </c>
      <c r="T2176" s="23">
        <f t="shared" si="619"/>
        <v>27976</v>
      </c>
      <c r="U2176" t="str">
        <f t="shared" si="620"/>
        <v>CO_Denve_2020g~City and County of Denver Ballot Measure 2G (Vote For 1)</v>
      </c>
      <c r="AF2176" s="22"/>
      <c r="AG2176" s="302"/>
      <c r="AH2176" s="301"/>
      <c r="AI2176" s="303"/>
      <c r="AJ2176" s="303"/>
      <c r="AK2176" s="342"/>
      <c r="AL2176" s="343"/>
    </row>
    <row r="2177" spans="1:45" ht="14.4">
      <c r="A2177" t="str">
        <f t="shared" si="621"/>
        <v>CO_Denve_2020g~City and County of Denver Ballot Measure 2G (Vote For 1)</v>
      </c>
      <c r="B2177" s="79" t="s">
        <v>5639</v>
      </c>
      <c r="C2177" s="79" t="s">
        <v>5369</v>
      </c>
      <c r="D2177" s="79" t="s">
        <v>5369</v>
      </c>
      <c r="E2177" s="79" t="s">
        <v>5275</v>
      </c>
      <c r="F2177" s="79" t="s">
        <v>1509</v>
      </c>
      <c r="G2177" s="82">
        <v>160737</v>
      </c>
      <c r="H2177" s="83">
        <v>46</v>
      </c>
      <c r="I2177" s="82">
        <v>460434</v>
      </c>
      <c r="J2177" s="82">
        <v>398485</v>
      </c>
      <c r="K2177" s="79">
        <v>356</v>
      </c>
      <c r="L2177" s="79">
        <v>356</v>
      </c>
      <c r="M2177" s="79">
        <v>20</v>
      </c>
      <c r="N2177" s="79">
        <v>47923</v>
      </c>
      <c r="O2177">
        <f t="shared" si="614"/>
        <v>2</v>
      </c>
      <c r="P2177" s="57">
        <f t="shared" si="615"/>
        <v>1</v>
      </c>
      <c r="Q2177" s="267">
        <f t="shared" si="616"/>
        <v>160737</v>
      </c>
      <c r="R2177" s="23" t="str">
        <f t="shared" si="617"/>
        <v/>
      </c>
      <c r="S2177" s="23">
        <f t="shared" si="618"/>
        <v>160737</v>
      </c>
      <c r="T2177" s="23" t="str">
        <f t="shared" si="619"/>
        <v/>
      </c>
      <c r="U2177" t="str">
        <f t="shared" si="620"/>
        <v/>
      </c>
      <c r="AF2177" s="22"/>
      <c r="AG2177" s="302"/>
      <c r="AH2177" s="301"/>
      <c r="AI2177" s="303"/>
      <c r="AJ2177" s="303"/>
      <c r="AK2177" s="342"/>
      <c r="AL2177" s="343"/>
    </row>
    <row r="2178" spans="1:45" ht="14.4">
      <c r="A2178" t="str">
        <f t="shared" si="621"/>
        <v>CO_Denve_2020g~City and County of Denver Ballot Measure 2H (Vote For 1)</v>
      </c>
      <c r="B2178" s="79" t="s">
        <v>5639</v>
      </c>
      <c r="C2178" s="79" t="s">
        <v>5370</v>
      </c>
      <c r="D2178" s="79" t="s">
        <v>5370</v>
      </c>
      <c r="E2178" s="79" t="s">
        <v>5274</v>
      </c>
      <c r="F2178" s="79" t="s">
        <v>1508</v>
      </c>
      <c r="G2178" s="82">
        <v>296532</v>
      </c>
      <c r="H2178" s="83">
        <v>82.05</v>
      </c>
      <c r="I2178" s="82">
        <v>460434</v>
      </c>
      <c r="J2178" s="82">
        <v>398485</v>
      </c>
      <c r="K2178" s="79">
        <v>356</v>
      </c>
      <c r="L2178" s="79">
        <v>356</v>
      </c>
      <c r="M2178" s="79">
        <v>21</v>
      </c>
      <c r="N2178" s="79">
        <v>35977</v>
      </c>
      <c r="O2178">
        <f t="shared" ref="O2178:O2241" si="622">IF(OR(LOWER(LEFT(E2178,8))="write-in",LOWER(LEFT(E2178,8))="not qual"),IF(A2178=A2177,-ABS(O2177),0),IF(A2178=A2177,ABS(O2177)+1,1))</f>
        <v>1</v>
      </c>
      <c r="P2178" s="57">
        <f t="shared" ref="P2178:P2241" si="623">1*LEFT(RIGHT(A2178,2),1)</f>
        <v>1</v>
      </c>
      <c r="Q2178" s="267">
        <f t="shared" ref="Q2178:Q2241" si="624">IF(A2178&lt;&gt;A2179,G2178,IF(A2178=A2177,G2178+Q2179,MAX(G2178,(G2178+Q2179)/P2178)))</f>
        <v>361395</v>
      </c>
      <c r="R2178" s="23">
        <f t="shared" ref="R2178:R2241" si="625">IF(O2178&gt;P2178,"",IF(O2178=P2178,G2178,IF(A2178=A2179,R2179,IF(O2178&lt;=0,1,G2178))))</f>
        <v>296532</v>
      </c>
      <c r="S2178" s="23">
        <f t="shared" ref="S2178:S2241" si="626">IF(AND(O2178&gt;P2178,LOWER(LEFT(E2178,8))&lt;&gt;"write-in",LOWER(LEFT(E2178,8))&lt;&gt;"not qual"),G2178,IF(A2178=A2179,S2179,0))</f>
        <v>64863</v>
      </c>
      <c r="T2178" s="23">
        <f t="shared" ref="T2178:T2241" si="627">IF(OR(A2178=A2177,S2178=0),"",R2178-ABS(S2178))</f>
        <v>231669</v>
      </c>
      <c r="U2178" t="str">
        <f t="shared" ref="U2178:U2241" si="628">IF(A2178=A2177,"",A2178)</f>
        <v>CO_Denve_2020g~City and County of Denver Ballot Measure 2H (Vote For 1)</v>
      </c>
      <c r="AF2178" s="22"/>
    </row>
    <row r="2179" spans="1:45" ht="14.4">
      <c r="A2179" t="str">
        <f t="shared" si="621"/>
        <v>CO_Denve_2020g~City and County of Denver Ballot Measure 2H (Vote For 1)</v>
      </c>
      <c r="B2179" s="79" t="s">
        <v>5639</v>
      </c>
      <c r="C2179" s="79" t="s">
        <v>5370</v>
      </c>
      <c r="D2179" s="79" t="s">
        <v>5370</v>
      </c>
      <c r="E2179" s="79" t="s">
        <v>5275</v>
      </c>
      <c r="F2179" s="79" t="s">
        <v>1509</v>
      </c>
      <c r="G2179" s="82">
        <v>64863</v>
      </c>
      <c r="H2179" s="83">
        <v>17.95</v>
      </c>
      <c r="I2179" s="82">
        <v>460434</v>
      </c>
      <c r="J2179" s="82">
        <v>398485</v>
      </c>
      <c r="K2179" s="79">
        <v>356</v>
      </c>
      <c r="L2179" s="79">
        <v>356</v>
      </c>
      <c r="M2179" s="79">
        <v>21</v>
      </c>
      <c r="N2179" s="79">
        <v>35977</v>
      </c>
      <c r="O2179">
        <f t="shared" si="622"/>
        <v>2</v>
      </c>
      <c r="P2179" s="57">
        <f t="shared" si="623"/>
        <v>1</v>
      </c>
      <c r="Q2179" s="267">
        <f t="shared" si="624"/>
        <v>64863</v>
      </c>
      <c r="R2179" s="23" t="str">
        <f t="shared" si="625"/>
        <v/>
      </c>
      <c r="S2179" s="23">
        <f t="shared" si="626"/>
        <v>64863</v>
      </c>
      <c r="T2179" s="23" t="str">
        <f t="shared" si="627"/>
        <v/>
      </c>
      <c r="U2179" t="str">
        <f t="shared" si="628"/>
        <v/>
      </c>
      <c r="AF2179" s="22"/>
      <c r="AG2179" s="23"/>
      <c r="AH2179" s="8"/>
      <c r="AL2179" s="344"/>
    </row>
    <row r="2180" spans="1:45" ht="14.4">
      <c r="A2180" t="str">
        <f t="shared" si="621"/>
        <v>CO_Denve_2020g~City and County of Denver Ballot Measure 2I (Vote For 1)</v>
      </c>
      <c r="B2180" s="79" t="s">
        <v>5639</v>
      </c>
      <c r="C2180" s="79" t="s">
        <v>5371</v>
      </c>
      <c r="D2180" s="79" t="s">
        <v>5371</v>
      </c>
      <c r="E2180" s="79" t="s">
        <v>5275</v>
      </c>
      <c r="F2180" s="79" t="s">
        <v>1509</v>
      </c>
      <c r="G2180" s="82">
        <v>189272</v>
      </c>
      <c r="H2180" s="83">
        <v>54.8</v>
      </c>
      <c r="I2180" s="82">
        <v>460434</v>
      </c>
      <c r="J2180" s="82">
        <v>398485</v>
      </c>
      <c r="K2180" s="79">
        <v>356</v>
      </c>
      <c r="L2180" s="79">
        <v>356</v>
      </c>
      <c r="M2180" s="79">
        <v>30</v>
      </c>
      <c r="N2180" s="79">
        <v>51986</v>
      </c>
      <c r="O2180">
        <f t="shared" si="622"/>
        <v>1</v>
      </c>
      <c r="P2180" s="57">
        <f t="shared" si="623"/>
        <v>1</v>
      </c>
      <c r="Q2180" s="267">
        <f t="shared" si="624"/>
        <v>345377</v>
      </c>
      <c r="R2180" s="23">
        <f t="shared" si="625"/>
        <v>189272</v>
      </c>
      <c r="S2180" s="23">
        <f t="shared" si="626"/>
        <v>156105</v>
      </c>
      <c r="T2180" s="23">
        <f t="shared" si="627"/>
        <v>33167</v>
      </c>
      <c r="U2180" t="str">
        <f t="shared" si="628"/>
        <v>CO_Denve_2020g~City and County of Denver Ballot Measure 2I (Vote For 1)</v>
      </c>
      <c r="AF2180" s="22"/>
      <c r="AG2180" s="302"/>
      <c r="AH2180" s="301"/>
      <c r="AI2180" s="303"/>
      <c r="AJ2180" s="303"/>
      <c r="AK2180" s="342"/>
      <c r="AL2180" s="343"/>
    </row>
    <row r="2181" spans="1:45" ht="14.4">
      <c r="A2181" t="str">
        <f t="shared" si="621"/>
        <v>CO_Denve_2020g~City and County of Denver Ballot Measure 2I (Vote For 1)</v>
      </c>
      <c r="B2181" s="79" t="s">
        <v>5639</v>
      </c>
      <c r="C2181" s="79" t="s">
        <v>5371</v>
      </c>
      <c r="D2181" s="79" t="s">
        <v>5371</v>
      </c>
      <c r="E2181" s="79" t="s">
        <v>5274</v>
      </c>
      <c r="F2181" s="79" t="s">
        <v>1508</v>
      </c>
      <c r="G2181" s="82">
        <v>156105</v>
      </c>
      <c r="H2181" s="83">
        <v>45.2</v>
      </c>
      <c r="I2181" s="82">
        <v>460434</v>
      </c>
      <c r="J2181" s="82">
        <v>398485</v>
      </c>
      <c r="K2181" s="79">
        <v>356</v>
      </c>
      <c r="L2181" s="79">
        <v>356</v>
      </c>
      <c r="M2181" s="79">
        <v>30</v>
      </c>
      <c r="N2181" s="79">
        <v>51986</v>
      </c>
      <c r="O2181">
        <f t="shared" si="622"/>
        <v>2</v>
      </c>
      <c r="P2181" s="57">
        <f t="shared" si="623"/>
        <v>1</v>
      </c>
      <c r="Q2181" s="267">
        <f t="shared" si="624"/>
        <v>156105</v>
      </c>
      <c r="R2181" s="23" t="str">
        <f t="shared" si="625"/>
        <v/>
      </c>
      <c r="S2181" s="23">
        <f t="shared" si="626"/>
        <v>156105</v>
      </c>
      <c r="T2181" s="23" t="str">
        <f t="shared" si="627"/>
        <v/>
      </c>
      <c r="U2181" t="str">
        <f t="shared" si="628"/>
        <v/>
      </c>
      <c r="AF2181" s="22"/>
    </row>
    <row r="2182" spans="1:45" ht="14.4">
      <c r="A2182" t="str">
        <f t="shared" si="621"/>
        <v>CO_Denve_2020g~City and County of Denver Ballot Measure 2J (Vote For 1)</v>
      </c>
      <c r="B2182" s="79" t="s">
        <v>5639</v>
      </c>
      <c r="C2182" s="79" t="s">
        <v>5372</v>
      </c>
      <c r="D2182" s="79" t="s">
        <v>5372</v>
      </c>
      <c r="E2182" s="79" t="s">
        <v>5274</v>
      </c>
      <c r="F2182" s="79" t="s">
        <v>1508</v>
      </c>
      <c r="G2182" s="82">
        <v>244006</v>
      </c>
      <c r="H2182" s="83">
        <v>66.23</v>
      </c>
      <c r="I2182" s="82">
        <v>460434</v>
      </c>
      <c r="J2182" s="82">
        <v>398485</v>
      </c>
      <c r="K2182" s="79">
        <v>356</v>
      </c>
      <c r="L2182" s="79">
        <v>356</v>
      </c>
      <c r="M2182" s="79">
        <v>30</v>
      </c>
      <c r="N2182" s="79">
        <v>28958</v>
      </c>
      <c r="O2182">
        <f t="shared" si="622"/>
        <v>1</v>
      </c>
      <c r="P2182" s="57">
        <f t="shared" si="623"/>
        <v>1</v>
      </c>
      <c r="Q2182" s="267">
        <f t="shared" si="624"/>
        <v>368405</v>
      </c>
      <c r="R2182" s="23">
        <f t="shared" si="625"/>
        <v>244006</v>
      </c>
      <c r="S2182" s="23">
        <f t="shared" si="626"/>
        <v>124399</v>
      </c>
      <c r="T2182" s="23">
        <f t="shared" si="627"/>
        <v>119607</v>
      </c>
      <c r="U2182" t="str">
        <f t="shared" si="628"/>
        <v>CO_Denve_2020g~City and County of Denver Ballot Measure 2J (Vote For 1)</v>
      </c>
      <c r="AF2182" s="22"/>
    </row>
    <row r="2183" spans="1:45" ht="14.4">
      <c r="A2183" t="str">
        <f t="shared" si="621"/>
        <v>CO_Denve_2020g~City and County of Denver Ballot Measure 2J (Vote For 1)</v>
      </c>
      <c r="B2183" s="79" t="s">
        <v>5639</v>
      </c>
      <c r="C2183" s="79" t="s">
        <v>5372</v>
      </c>
      <c r="D2183" s="79" t="s">
        <v>5372</v>
      </c>
      <c r="E2183" s="79" t="s">
        <v>5275</v>
      </c>
      <c r="F2183" s="79" t="s">
        <v>1509</v>
      </c>
      <c r="G2183" s="82">
        <v>124399</v>
      </c>
      <c r="H2183" s="83">
        <v>33.770000000000003</v>
      </c>
      <c r="I2183" s="82">
        <v>460434</v>
      </c>
      <c r="J2183" s="82">
        <v>398485</v>
      </c>
      <c r="K2183" s="79">
        <v>356</v>
      </c>
      <c r="L2183" s="79">
        <v>356</v>
      </c>
      <c r="M2183" s="79">
        <v>30</v>
      </c>
      <c r="N2183" s="79">
        <v>28958</v>
      </c>
      <c r="O2183">
        <f t="shared" si="622"/>
        <v>2</v>
      </c>
      <c r="P2183" s="57">
        <f t="shared" si="623"/>
        <v>1</v>
      </c>
      <c r="Q2183" s="267">
        <f t="shared" si="624"/>
        <v>124399</v>
      </c>
      <c r="R2183" s="23" t="str">
        <f t="shared" si="625"/>
        <v/>
      </c>
      <c r="S2183" s="23">
        <f t="shared" si="626"/>
        <v>124399</v>
      </c>
      <c r="T2183" s="23" t="str">
        <f t="shared" si="627"/>
        <v/>
      </c>
      <c r="U2183" t="str">
        <f t="shared" si="628"/>
        <v/>
      </c>
      <c r="AF2183" s="22"/>
      <c r="AO2183" s="356"/>
      <c r="AP2183" s="356"/>
      <c r="AQ2183" s="394"/>
      <c r="AR2183" s="394"/>
      <c r="AS2183" s="394"/>
    </row>
    <row r="2184" spans="1:45" ht="14.4">
      <c r="A2184" t="str">
        <f t="shared" si="621"/>
        <v>CO_Denve_2020g~Denver County Court Judge - Faragher (Vote For 1)</v>
      </c>
      <c r="B2184" s="79" t="s">
        <v>5639</v>
      </c>
      <c r="C2184" s="79" t="s">
        <v>5259</v>
      </c>
      <c r="D2184" s="79" t="s">
        <v>5259</v>
      </c>
      <c r="E2184" s="79" t="s">
        <v>1393</v>
      </c>
      <c r="F2184" s="79" t="s">
        <v>1508</v>
      </c>
      <c r="G2184" s="82">
        <v>248984</v>
      </c>
      <c r="H2184" s="83">
        <v>81.819999999999993</v>
      </c>
      <c r="I2184" s="82">
        <v>460434</v>
      </c>
      <c r="J2184" s="82">
        <v>398485</v>
      </c>
      <c r="K2184" s="79">
        <v>356</v>
      </c>
      <c r="L2184" s="79">
        <v>356</v>
      </c>
      <c r="M2184" s="79">
        <v>82</v>
      </c>
      <c r="N2184" s="79">
        <v>94113</v>
      </c>
      <c r="O2184">
        <f t="shared" si="622"/>
        <v>1</v>
      </c>
      <c r="P2184" s="57">
        <f t="shared" si="623"/>
        <v>1</v>
      </c>
      <c r="Q2184" s="267">
        <f t="shared" si="624"/>
        <v>304290</v>
      </c>
      <c r="R2184" s="23">
        <f t="shared" si="625"/>
        <v>248984</v>
      </c>
      <c r="S2184" s="23">
        <f t="shared" si="626"/>
        <v>55306</v>
      </c>
      <c r="T2184" s="23">
        <f t="shared" si="627"/>
        <v>193678</v>
      </c>
      <c r="U2184" t="str">
        <f t="shared" si="628"/>
        <v>CO_Denve_2020g~Denver County Court Judge - Faragher (Vote For 1)</v>
      </c>
      <c r="AF2184" s="22"/>
      <c r="AH2184" s="8"/>
      <c r="AL2184" s="23"/>
    </row>
    <row r="2185" spans="1:45" ht="14.4">
      <c r="A2185" t="str">
        <f t="shared" si="621"/>
        <v>CO_Denve_2020g~Denver County Court Judge - Faragher (Vote For 1)</v>
      </c>
      <c r="B2185" s="79" t="s">
        <v>5639</v>
      </c>
      <c r="C2185" s="79" t="s">
        <v>5259</v>
      </c>
      <c r="D2185" s="79" t="s">
        <v>5259</v>
      </c>
      <c r="E2185" s="79" t="s">
        <v>1394</v>
      </c>
      <c r="F2185" s="79" t="s">
        <v>1509</v>
      </c>
      <c r="G2185" s="82">
        <v>55306</v>
      </c>
      <c r="H2185" s="83">
        <v>18.18</v>
      </c>
      <c r="I2185" s="82">
        <v>460434</v>
      </c>
      <c r="J2185" s="82">
        <v>398485</v>
      </c>
      <c r="K2185" s="79">
        <v>356</v>
      </c>
      <c r="L2185" s="79">
        <v>356</v>
      </c>
      <c r="M2185" s="79">
        <v>82</v>
      </c>
      <c r="N2185" s="79">
        <v>94113</v>
      </c>
      <c r="O2185">
        <f t="shared" si="622"/>
        <v>2</v>
      </c>
      <c r="P2185" s="57">
        <f t="shared" si="623"/>
        <v>1</v>
      </c>
      <c r="Q2185" s="267">
        <f t="shared" si="624"/>
        <v>55306</v>
      </c>
      <c r="R2185" s="23" t="str">
        <f t="shared" si="625"/>
        <v/>
      </c>
      <c r="S2185" s="23">
        <f t="shared" si="626"/>
        <v>55306</v>
      </c>
      <c r="T2185" s="23" t="str">
        <f t="shared" si="627"/>
        <v/>
      </c>
      <c r="U2185" t="str">
        <f t="shared" si="628"/>
        <v/>
      </c>
      <c r="AF2185" s="22"/>
      <c r="AG2185" s="302"/>
      <c r="AH2185" s="301"/>
      <c r="AI2185" s="303"/>
      <c r="AJ2185" s="303"/>
      <c r="AK2185" s="342"/>
      <c r="AL2185" s="343"/>
    </row>
    <row r="2186" spans="1:45" ht="14.4">
      <c r="A2186" t="str">
        <f t="shared" si="621"/>
        <v>CO_Denve_2020g~Denver County Court Judge - Pallares (Vote For 1)</v>
      </c>
      <c r="B2186" s="79" t="s">
        <v>5639</v>
      </c>
      <c r="C2186" s="79" t="s">
        <v>5260</v>
      </c>
      <c r="D2186" s="79" t="s">
        <v>5260</v>
      </c>
      <c r="E2186" s="79" t="s">
        <v>1393</v>
      </c>
      <c r="F2186" s="79" t="s">
        <v>1508</v>
      </c>
      <c r="G2186" s="82">
        <v>218050</v>
      </c>
      <c r="H2186" s="83">
        <v>71.88</v>
      </c>
      <c r="I2186" s="82">
        <v>460434</v>
      </c>
      <c r="J2186" s="82">
        <v>398485</v>
      </c>
      <c r="K2186" s="79">
        <v>356</v>
      </c>
      <c r="L2186" s="79">
        <v>356</v>
      </c>
      <c r="M2186" s="79">
        <v>71</v>
      </c>
      <c r="N2186" s="79">
        <v>95071</v>
      </c>
      <c r="O2186">
        <f t="shared" si="622"/>
        <v>1</v>
      </c>
      <c r="P2186" s="57">
        <f t="shared" si="623"/>
        <v>1</v>
      </c>
      <c r="Q2186" s="267">
        <f t="shared" si="624"/>
        <v>303343</v>
      </c>
      <c r="R2186" s="23">
        <f t="shared" si="625"/>
        <v>218050</v>
      </c>
      <c r="S2186" s="23">
        <f t="shared" si="626"/>
        <v>85293</v>
      </c>
      <c r="T2186" s="23">
        <f t="shared" si="627"/>
        <v>132757</v>
      </c>
      <c r="U2186" t="str">
        <f t="shared" si="628"/>
        <v>CO_Denve_2020g~Denver County Court Judge - Pallares (Vote For 1)</v>
      </c>
      <c r="AF2186" s="22"/>
    </row>
    <row r="2187" spans="1:45" ht="14.4">
      <c r="A2187" t="str">
        <f t="shared" si="621"/>
        <v>CO_Denve_2020g~Denver County Court Judge - Pallares (Vote For 1)</v>
      </c>
      <c r="B2187" s="79" t="s">
        <v>5639</v>
      </c>
      <c r="C2187" s="79" t="s">
        <v>5260</v>
      </c>
      <c r="D2187" s="79" t="s">
        <v>5260</v>
      </c>
      <c r="E2187" s="79" t="s">
        <v>1394</v>
      </c>
      <c r="F2187" s="79" t="s">
        <v>1509</v>
      </c>
      <c r="G2187" s="82">
        <v>85293</v>
      </c>
      <c r="H2187" s="83">
        <v>28.12</v>
      </c>
      <c r="I2187" s="82">
        <v>460434</v>
      </c>
      <c r="J2187" s="82">
        <v>398485</v>
      </c>
      <c r="K2187" s="79">
        <v>356</v>
      </c>
      <c r="L2187" s="79">
        <v>356</v>
      </c>
      <c r="M2187" s="79">
        <v>71</v>
      </c>
      <c r="N2187" s="79">
        <v>95071</v>
      </c>
      <c r="O2187">
        <f t="shared" si="622"/>
        <v>2</v>
      </c>
      <c r="P2187" s="57">
        <f t="shared" si="623"/>
        <v>1</v>
      </c>
      <c r="Q2187" s="267">
        <f t="shared" si="624"/>
        <v>85293</v>
      </c>
      <c r="R2187" s="23" t="str">
        <f t="shared" si="625"/>
        <v/>
      </c>
      <c r="S2187" s="23">
        <f t="shared" si="626"/>
        <v>85293</v>
      </c>
      <c r="T2187" s="23" t="str">
        <f t="shared" si="627"/>
        <v/>
      </c>
      <c r="U2187" t="str">
        <f t="shared" si="628"/>
        <v/>
      </c>
      <c r="AF2187" s="22"/>
    </row>
    <row r="2188" spans="1:45" ht="14.4">
      <c r="A2188" t="str">
        <f t="shared" si="621"/>
        <v>CO_Denve_2020g~Denver County Court Judge - Rodarte (Vote For 1)</v>
      </c>
      <c r="B2188" s="79" t="s">
        <v>5639</v>
      </c>
      <c r="C2188" s="79" t="s">
        <v>5261</v>
      </c>
      <c r="D2188" s="79" t="s">
        <v>5261</v>
      </c>
      <c r="E2188" s="79" t="s">
        <v>1393</v>
      </c>
      <c r="F2188" s="79" t="s">
        <v>1508</v>
      </c>
      <c r="G2188" s="82">
        <v>245738</v>
      </c>
      <c r="H2188" s="83">
        <v>81.09</v>
      </c>
      <c r="I2188" s="82">
        <v>460434</v>
      </c>
      <c r="J2188" s="82">
        <v>398485</v>
      </c>
      <c r="K2188" s="79">
        <v>356</v>
      </c>
      <c r="L2188" s="79">
        <v>356</v>
      </c>
      <c r="M2188" s="79">
        <v>49</v>
      </c>
      <c r="N2188" s="79">
        <v>95385</v>
      </c>
      <c r="O2188">
        <f t="shared" si="622"/>
        <v>1</v>
      </c>
      <c r="P2188" s="57">
        <f t="shared" si="623"/>
        <v>1</v>
      </c>
      <c r="Q2188" s="267">
        <f t="shared" si="624"/>
        <v>303051</v>
      </c>
      <c r="R2188" s="23">
        <f t="shared" si="625"/>
        <v>245738</v>
      </c>
      <c r="S2188" s="23">
        <f t="shared" si="626"/>
        <v>57313</v>
      </c>
      <c r="T2188" s="23">
        <f t="shared" si="627"/>
        <v>188425</v>
      </c>
      <c r="U2188" t="str">
        <f t="shared" si="628"/>
        <v>CO_Denve_2020g~Denver County Court Judge - Rodarte (Vote For 1)</v>
      </c>
      <c r="AF2188" s="22"/>
    </row>
    <row r="2189" spans="1:45" ht="14.4">
      <c r="A2189" t="str">
        <f t="shared" si="621"/>
        <v>CO_Denve_2020g~Denver County Court Judge - Rodarte (Vote For 1)</v>
      </c>
      <c r="B2189" s="79" t="s">
        <v>5639</v>
      </c>
      <c r="C2189" s="79" t="s">
        <v>5261</v>
      </c>
      <c r="D2189" s="79" t="s">
        <v>5261</v>
      </c>
      <c r="E2189" s="79" t="s">
        <v>1394</v>
      </c>
      <c r="F2189" s="79" t="s">
        <v>1509</v>
      </c>
      <c r="G2189" s="82">
        <v>57313</v>
      </c>
      <c r="H2189" s="83">
        <v>18.91</v>
      </c>
      <c r="I2189" s="82">
        <v>460434</v>
      </c>
      <c r="J2189" s="82">
        <v>398485</v>
      </c>
      <c r="K2189" s="79">
        <v>356</v>
      </c>
      <c r="L2189" s="79">
        <v>356</v>
      </c>
      <c r="M2189" s="79">
        <v>49</v>
      </c>
      <c r="N2189" s="79">
        <v>95385</v>
      </c>
      <c r="O2189">
        <f t="shared" si="622"/>
        <v>2</v>
      </c>
      <c r="P2189" s="57">
        <f t="shared" si="623"/>
        <v>1</v>
      </c>
      <c r="Q2189" s="267">
        <f t="shared" si="624"/>
        <v>57313</v>
      </c>
      <c r="R2189" s="23" t="str">
        <f t="shared" si="625"/>
        <v/>
      </c>
      <c r="S2189" s="23">
        <f t="shared" si="626"/>
        <v>57313</v>
      </c>
      <c r="T2189" s="23" t="str">
        <f t="shared" si="627"/>
        <v/>
      </c>
      <c r="U2189" t="str">
        <f t="shared" si="628"/>
        <v/>
      </c>
      <c r="AF2189" s="22"/>
    </row>
    <row r="2190" spans="1:45" ht="14.4">
      <c r="A2190" t="str">
        <f t="shared" si="621"/>
        <v>CO_Denve_2020g~Denver County Court Judge - Rudolph (Vote For 1)</v>
      </c>
      <c r="B2190" s="79" t="s">
        <v>5639</v>
      </c>
      <c r="C2190" s="79" t="s">
        <v>5262</v>
      </c>
      <c r="D2190" s="79" t="s">
        <v>5262</v>
      </c>
      <c r="E2190" s="79" t="s">
        <v>1393</v>
      </c>
      <c r="F2190" s="79" t="s">
        <v>1508</v>
      </c>
      <c r="G2190" s="82">
        <v>243861</v>
      </c>
      <c r="H2190" s="83">
        <v>80.69</v>
      </c>
      <c r="I2190" s="82">
        <v>460434</v>
      </c>
      <c r="J2190" s="82">
        <v>398485</v>
      </c>
      <c r="K2190" s="79">
        <v>356</v>
      </c>
      <c r="L2190" s="79">
        <v>356</v>
      </c>
      <c r="M2190" s="79">
        <v>84</v>
      </c>
      <c r="N2190" s="79">
        <v>96170</v>
      </c>
      <c r="O2190">
        <f t="shared" si="622"/>
        <v>1</v>
      </c>
      <c r="P2190" s="57">
        <f t="shared" si="623"/>
        <v>1</v>
      </c>
      <c r="Q2190" s="267">
        <f t="shared" si="624"/>
        <v>302231</v>
      </c>
      <c r="R2190" s="23">
        <f t="shared" si="625"/>
        <v>243861</v>
      </c>
      <c r="S2190" s="23">
        <f t="shared" si="626"/>
        <v>58370</v>
      </c>
      <c r="T2190" s="23">
        <f t="shared" si="627"/>
        <v>185491</v>
      </c>
      <c r="U2190" t="str">
        <f t="shared" si="628"/>
        <v>CO_Denve_2020g~Denver County Court Judge - Rudolph (Vote For 1)</v>
      </c>
      <c r="AF2190" s="22"/>
      <c r="AG2190" s="302"/>
      <c r="AH2190" s="301"/>
      <c r="AI2190" s="303"/>
      <c r="AJ2190" s="303"/>
      <c r="AK2190" s="342"/>
      <c r="AL2190" s="343"/>
    </row>
    <row r="2191" spans="1:45" ht="14.4">
      <c r="A2191" t="str">
        <f t="shared" si="621"/>
        <v>CO_Denve_2020g~Denver County Court Judge - Rudolph (Vote For 1)</v>
      </c>
      <c r="B2191" s="79" t="s">
        <v>5639</v>
      </c>
      <c r="C2191" s="79" t="s">
        <v>5262</v>
      </c>
      <c r="D2191" s="79" t="s">
        <v>5262</v>
      </c>
      <c r="E2191" s="79" t="s">
        <v>1394</v>
      </c>
      <c r="F2191" s="79" t="s">
        <v>1509</v>
      </c>
      <c r="G2191" s="82">
        <v>58370</v>
      </c>
      <c r="H2191" s="83">
        <v>19.309999999999999</v>
      </c>
      <c r="I2191" s="82">
        <v>460434</v>
      </c>
      <c r="J2191" s="82">
        <v>398485</v>
      </c>
      <c r="K2191" s="79">
        <v>356</v>
      </c>
      <c r="L2191" s="79">
        <v>356</v>
      </c>
      <c r="M2191" s="79">
        <v>84</v>
      </c>
      <c r="N2191" s="79">
        <v>96170</v>
      </c>
      <c r="O2191">
        <f t="shared" si="622"/>
        <v>2</v>
      </c>
      <c r="P2191" s="57">
        <f t="shared" si="623"/>
        <v>1</v>
      </c>
      <c r="Q2191" s="267">
        <f t="shared" si="624"/>
        <v>58370</v>
      </c>
      <c r="R2191" s="23" t="str">
        <f t="shared" si="625"/>
        <v/>
      </c>
      <c r="S2191" s="23">
        <f t="shared" si="626"/>
        <v>58370</v>
      </c>
      <c r="T2191" s="23" t="str">
        <f t="shared" si="627"/>
        <v/>
      </c>
      <c r="U2191" t="str">
        <f t="shared" si="628"/>
        <v/>
      </c>
      <c r="AF2191" s="22"/>
    </row>
    <row r="2192" spans="1:45" ht="14.4">
      <c r="A2192" t="str">
        <f t="shared" si="621"/>
        <v>CO_Denve_2020g~Denver County Court Judge - Schwartz (Vote For 1)</v>
      </c>
      <c r="B2192" s="79" t="s">
        <v>5639</v>
      </c>
      <c r="C2192" s="79" t="s">
        <v>5263</v>
      </c>
      <c r="D2192" s="79" t="s">
        <v>5263</v>
      </c>
      <c r="E2192" s="79" t="s">
        <v>1393</v>
      </c>
      <c r="F2192" s="79" t="s">
        <v>1508</v>
      </c>
      <c r="G2192" s="82">
        <v>188696</v>
      </c>
      <c r="H2192" s="83">
        <v>62.61</v>
      </c>
      <c r="I2192" s="82">
        <v>460434</v>
      </c>
      <c r="J2192" s="82">
        <v>398485</v>
      </c>
      <c r="K2192" s="79">
        <v>356</v>
      </c>
      <c r="L2192" s="79">
        <v>356</v>
      </c>
      <c r="M2192" s="79">
        <v>118</v>
      </c>
      <c r="N2192" s="79">
        <v>96979</v>
      </c>
      <c r="O2192">
        <f t="shared" si="622"/>
        <v>1</v>
      </c>
      <c r="P2192" s="57">
        <f t="shared" si="623"/>
        <v>1</v>
      </c>
      <c r="Q2192" s="267">
        <f t="shared" si="624"/>
        <v>301388</v>
      </c>
      <c r="R2192" s="23">
        <f t="shared" si="625"/>
        <v>188696</v>
      </c>
      <c r="S2192" s="23">
        <f t="shared" si="626"/>
        <v>112692</v>
      </c>
      <c r="T2192" s="23">
        <f t="shared" si="627"/>
        <v>76004</v>
      </c>
      <c r="U2192" t="str">
        <f t="shared" si="628"/>
        <v>CO_Denve_2020g~Denver County Court Judge - Schwartz (Vote For 1)</v>
      </c>
      <c r="AF2192" s="22"/>
      <c r="AG2192" s="302"/>
      <c r="AH2192" s="301"/>
      <c r="AI2192" s="303"/>
      <c r="AJ2192" s="303"/>
      <c r="AK2192" s="342"/>
      <c r="AL2192" s="343"/>
    </row>
    <row r="2193" spans="1:45" ht="14.4">
      <c r="A2193" t="str">
        <f t="shared" si="621"/>
        <v>CO_Denve_2020g~Denver County Court Judge - Schwartz (Vote For 1)</v>
      </c>
      <c r="B2193" s="79" t="s">
        <v>5639</v>
      </c>
      <c r="C2193" s="79" t="s">
        <v>5263</v>
      </c>
      <c r="D2193" s="79" t="s">
        <v>5263</v>
      </c>
      <c r="E2193" s="79" t="s">
        <v>1394</v>
      </c>
      <c r="F2193" s="79" t="s">
        <v>1509</v>
      </c>
      <c r="G2193" s="82">
        <v>112692</v>
      </c>
      <c r="H2193" s="83">
        <v>37.39</v>
      </c>
      <c r="I2193" s="82">
        <v>460434</v>
      </c>
      <c r="J2193" s="82">
        <v>398485</v>
      </c>
      <c r="K2193" s="79">
        <v>356</v>
      </c>
      <c r="L2193" s="79">
        <v>356</v>
      </c>
      <c r="M2193" s="79">
        <v>118</v>
      </c>
      <c r="N2193" s="79">
        <v>96979</v>
      </c>
      <c r="O2193">
        <f t="shared" si="622"/>
        <v>2</v>
      </c>
      <c r="P2193" s="57">
        <f t="shared" si="623"/>
        <v>1</v>
      </c>
      <c r="Q2193" s="267">
        <f t="shared" si="624"/>
        <v>112692</v>
      </c>
      <c r="R2193" s="23" t="str">
        <f t="shared" si="625"/>
        <v/>
      </c>
      <c r="S2193" s="23">
        <f t="shared" si="626"/>
        <v>112692</v>
      </c>
      <c r="T2193" s="23" t="str">
        <f t="shared" si="627"/>
        <v/>
      </c>
      <c r="U2193" t="str">
        <f t="shared" si="628"/>
        <v/>
      </c>
      <c r="AF2193" s="22"/>
    </row>
    <row r="2194" spans="1:45" ht="14.4">
      <c r="A2194" t="str">
        <f t="shared" si="621"/>
        <v>CO_Denve_2020g~Denver County Court Judge - Simonet (Vote For 1)</v>
      </c>
      <c r="B2194" s="79" t="s">
        <v>5639</v>
      </c>
      <c r="C2194" s="79" t="s">
        <v>5264</v>
      </c>
      <c r="D2194" s="79" t="s">
        <v>5264</v>
      </c>
      <c r="E2194" s="79" t="s">
        <v>1393</v>
      </c>
      <c r="F2194" s="79" t="s">
        <v>1508</v>
      </c>
      <c r="G2194" s="82">
        <v>251030</v>
      </c>
      <c r="H2194" s="83">
        <v>83.11</v>
      </c>
      <c r="I2194" s="82">
        <v>460434</v>
      </c>
      <c r="J2194" s="82">
        <v>398485</v>
      </c>
      <c r="K2194" s="79">
        <v>356</v>
      </c>
      <c r="L2194" s="79">
        <v>356</v>
      </c>
      <c r="M2194" s="79">
        <v>154</v>
      </c>
      <c r="N2194" s="79">
        <v>96268</v>
      </c>
      <c r="O2194">
        <f t="shared" si="622"/>
        <v>1</v>
      </c>
      <c r="P2194" s="57">
        <f t="shared" si="623"/>
        <v>1</v>
      </c>
      <c r="Q2194" s="267">
        <f t="shared" si="624"/>
        <v>302063</v>
      </c>
      <c r="R2194" s="23">
        <f t="shared" si="625"/>
        <v>251030</v>
      </c>
      <c r="S2194" s="23">
        <f t="shared" si="626"/>
        <v>51033</v>
      </c>
      <c r="T2194" s="23">
        <f t="shared" si="627"/>
        <v>199997</v>
      </c>
      <c r="U2194" t="str">
        <f t="shared" si="628"/>
        <v>CO_Denve_2020g~Denver County Court Judge - Simonet (Vote For 1)</v>
      </c>
      <c r="AF2194" s="22"/>
      <c r="AG2194" s="302"/>
      <c r="AH2194" s="301"/>
      <c r="AI2194" s="303"/>
      <c r="AJ2194" s="303"/>
      <c r="AK2194" s="342"/>
      <c r="AL2194" s="343"/>
    </row>
    <row r="2195" spans="1:45" ht="14.4">
      <c r="A2195" t="str">
        <f t="shared" si="621"/>
        <v>CO_Denve_2020g~Denver County Court Judge - Simonet (Vote For 1)</v>
      </c>
      <c r="B2195" s="79" t="s">
        <v>5639</v>
      </c>
      <c r="C2195" s="79" t="s">
        <v>5264</v>
      </c>
      <c r="D2195" s="79" t="s">
        <v>5264</v>
      </c>
      <c r="E2195" s="79" t="s">
        <v>1394</v>
      </c>
      <c r="F2195" s="79" t="s">
        <v>1509</v>
      </c>
      <c r="G2195" s="82">
        <v>51033</v>
      </c>
      <c r="H2195" s="83">
        <v>16.89</v>
      </c>
      <c r="I2195" s="82">
        <v>460434</v>
      </c>
      <c r="J2195" s="82">
        <v>398485</v>
      </c>
      <c r="K2195" s="79">
        <v>356</v>
      </c>
      <c r="L2195" s="79">
        <v>356</v>
      </c>
      <c r="M2195" s="79">
        <v>154</v>
      </c>
      <c r="N2195" s="79">
        <v>96268</v>
      </c>
      <c r="O2195">
        <f t="shared" si="622"/>
        <v>2</v>
      </c>
      <c r="P2195" s="57">
        <f t="shared" si="623"/>
        <v>1</v>
      </c>
      <c r="Q2195" s="267">
        <f t="shared" si="624"/>
        <v>51033</v>
      </c>
      <c r="R2195" s="23" t="str">
        <f t="shared" si="625"/>
        <v/>
      </c>
      <c r="S2195" s="23">
        <f t="shared" si="626"/>
        <v>51033</v>
      </c>
      <c r="T2195" s="23" t="str">
        <f t="shared" si="627"/>
        <v/>
      </c>
      <c r="U2195" t="str">
        <f t="shared" si="628"/>
        <v/>
      </c>
      <c r="AF2195" s="88"/>
      <c r="AG2195" s="316"/>
      <c r="AH2195" s="313"/>
      <c r="AI2195" s="315"/>
      <c r="AJ2195" s="315"/>
      <c r="AK2195" s="345"/>
      <c r="AL2195" s="346"/>
    </row>
    <row r="2196" spans="1:45" ht="14.4">
      <c r="A2196" t="str">
        <f t="shared" si="621"/>
        <v>CO_Denve_2020g~Denver County Court Judge - Spahn (Vote For 1)</v>
      </c>
      <c r="B2196" s="79" t="s">
        <v>5639</v>
      </c>
      <c r="C2196" s="79" t="s">
        <v>5265</v>
      </c>
      <c r="D2196" s="79" t="s">
        <v>5265</v>
      </c>
      <c r="E2196" s="79" t="s">
        <v>1393</v>
      </c>
      <c r="F2196" s="79" t="s">
        <v>1508</v>
      </c>
      <c r="G2196" s="82">
        <v>245061</v>
      </c>
      <c r="H2196" s="83">
        <v>81.13</v>
      </c>
      <c r="I2196" s="82">
        <v>460434</v>
      </c>
      <c r="J2196" s="82">
        <v>398485</v>
      </c>
      <c r="K2196" s="79">
        <v>356</v>
      </c>
      <c r="L2196" s="79">
        <v>356</v>
      </c>
      <c r="M2196" s="79">
        <v>30</v>
      </c>
      <c r="N2196" s="79">
        <v>96387</v>
      </c>
      <c r="O2196">
        <f t="shared" si="622"/>
        <v>1</v>
      </c>
      <c r="P2196" s="57">
        <f t="shared" si="623"/>
        <v>1</v>
      </c>
      <c r="Q2196" s="267">
        <f t="shared" si="624"/>
        <v>302068</v>
      </c>
      <c r="R2196" s="23">
        <f t="shared" si="625"/>
        <v>245061</v>
      </c>
      <c r="S2196" s="23">
        <f t="shared" si="626"/>
        <v>57007</v>
      </c>
      <c r="T2196" s="23">
        <f t="shared" si="627"/>
        <v>188054</v>
      </c>
      <c r="U2196" t="str">
        <f t="shared" si="628"/>
        <v>CO_Denve_2020g~Denver County Court Judge - Spahn (Vote For 1)</v>
      </c>
      <c r="AF2196" s="22"/>
      <c r="AG2196" s="295"/>
      <c r="AH2196" s="294"/>
      <c r="AI2196" s="279"/>
      <c r="AJ2196" s="279"/>
      <c r="AL2196" s="341"/>
    </row>
    <row r="2197" spans="1:45" ht="14.4">
      <c r="A2197" t="str">
        <f t="shared" si="621"/>
        <v>CO_Denve_2020g~Denver County Court Judge - Spahn (Vote For 1)</v>
      </c>
      <c r="B2197" s="79" t="s">
        <v>5639</v>
      </c>
      <c r="C2197" s="79" t="s">
        <v>5265</v>
      </c>
      <c r="D2197" s="79" t="s">
        <v>5265</v>
      </c>
      <c r="E2197" s="79" t="s">
        <v>1394</v>
      </c>
      <c r="F2197" s="79" t="s">
        <v>1509</v>
      </c>
      <c r="G2197" s="82">
        <v>57007</v>
      </c>
      <c r="H2197" s="83">
        <v>18.87</v>
      </c>
      <c r="I2197" s="82">
        <v>460434</v>
      </c>
      <c r="J2197" s="82">
        <v>398485</v>
      </c>
      <c r="K2197" s="79">
        <v>356</v>
      </c>
      <c r="L2197" s="79">
        <v>356</v>
      </c>
      <c r="M2197" s="79">
        <v>30</v>
      </c>
      <c r="N2197" s="79">
        <v>96387</v>
      </c>
      <c r="O2197">
        <f t="shared" si="622"/>
        <v>2</v>
      </c>
      <c r="P2197" s="57">
        <f t="shared" si="623"/>
        <v>1</v>
      </c>
      <c r="Q2197" s="267">
        <f t="shared" si="624"/>
        <v>57007</v>
      </c>
      <c r="R2197" s="23" t="str">
        <f t="shared" si="625"/>
        <v/>
      </c>
      <c r="S2197" s="23">
        <f t="shared" si="626"/>
        <v>57007</v>
      </c>
      <c r="T2197" s="23" t="str">
        <f t="shared" si="627"/>
        <v/>
      </c>
      <c r="U2197" t="str">
        <f t="shared" si="628"/>
        <v/>
      </c>
      <c r="AF2197" s="22"/>
    </row>
    <row r="2198" spans="1:45" ht="14.4">
      <c r="A2198" t="str">
        <f t="shared" si="621"/>
        <v>CO_Denve_2020g~Denver Public Schools (School District No. 1) Ballot Measure 4A (Vote For 1)</v>
      </c>
      <c r="B2198" s="79" t="s">
        <v>5639</v>
      </c>
      <c r="C2198" s="79" t="s">
        <v>5402</v>
      </c>
      <c r="D2198" s="79" t="s">
        <v>5402</v>
      </c>
      <c r="E2198" s="79" t="s">
        <v>5274</v>
      </c>
      <c r="F2198" s="79" t="s">
        <v>1508</v>
      </c>
      <c r="G2198" s="82">
        <v>268413</v>
      </c>
      <c r="H2198" s="83">
        <v>72.34</v>
      </c>
      <c r="I2198" s="82">
        <v>460434</v>
      </c>
      <c r="J2198" s="82">
        <v>398485</v>
      </c>
      <c r="K2198" s="79">
        <v>356</v>
      </c>
      <c r="L2198" s="79">
        <v>356</v>
      </c>
      <c r="M2198" s="79">
        <v>30</v>
      </c>
      <c r="N2198" s="79">
        <v>26338</v>
      </c>
      <c r="O2198">
        <f t="shared" si="622"/>
        <v>1</v>
      </c>
      <c r="P2198" s="57">
        <f t="shared" si="623"/>
        <v>1</v>
      </c>
      <c r="Q2198" s="267">
        <f t="shared" si="624"/>
        <v>371025</v>
      </c>
      <c r="R2198" s="23">
        <f t="shared" si="625"/>
        <v>268413</v>
      </c>
      <c r="S2198" s="23">
        <f t="shared" si="626"/>
        <v>102612</v>
      </c>
      <c r="T2198" s="23">
        <f t="shared" si="627"/>
        <v>165801</v>
      </c>
      <c r="U2198" t="str">
        <f t="shared" si="628"/>
        <v>CO_Denve_2020g~Denver Public Schools (School District No. 1) Ballot Measure 4A (Vote For 1)</v>
      </c>
      <c r="AF2198" s="22"/>
      <c r="AG2198" s="259"/>
      <c r="AH2198" s="276"/>
      <c r="AI2198" s="277"/>
      <c r="AJ2198" s="278"/>
    </row>
    <row r="2199" spans="1:45" ht="14.4">
      <c r="A2199" t="str">
        <f t="shared" si="621"/>
        <v>CO_Denve_2020g~Denver Public Schools (School District No. 1) Ballot Measure 4A (Vote For 1)</v>
      </c>
      <c r="B2199" s="79" t="s">
        <v>5639</v>
      </c>
      <c r="C2199" s="79" t="s">
        <v>5402</v>
      </c>
      <c r="D2199" s="79" t="s">
        <v>5402</v>
      </c>
      <c r="E2199" s="79" t="s">
        <v>5275</v>
      </c>
      <c r="F2199" s="79" t="s">
        <v>1509</v>
      </c>
      <c r="G2199" s="82">
        <v>102612</v>
      </c>
      <c r="H2199" s="83">
        <v>27.66</v>
      </c>
      <c r="I2199" s="82">
        <v>460434</v>
      </c>
      <c r="J2199" s="82">
        <v>398485</v>
      </c>
      <c r="K2199" s="79">
        <v>356</v>
      </c>
      <c r="L2199" s="79">
        <v>356</v>
      </c>
      <c r="M2199" s="79">
        <v>30</v>
      </c>
      <c r="N2199" s="79">
        <v>26338</v>
      </c>
      <c r="O2199">
        <f t="shared" si="622"/>
        <v>2</v>
      </c>
      <c r="P2199" s="57">
        <f t="shared" si="623"/>
        <v>1</v>
      </c>
      <c r="Q2199" s="267">
        <f t="shared" si="624"/>
        <v>102612</v>
      </c>
      <c r="R2199" s="23" t="str">
        <f t="shared" si="625"/>
        <v/>
      </c>
      <c r="S2199" s="23">
        <f t="shared" si="626"/>
        <v>102612</v>
      </c>
      <c r="T2199" s="23" t="str">
        <f t="shared" si="627"/>
        <v/>
      </c>
      <c r="U2199" t="str">
        <f t="shared" si="628"/>
        <v/>
      </c>
      <c r="AF2199" s="22"/>
      <c r="AO2199" s="356"/>
      <c r="AP2199" s="356"/>
      <c r="AQ2199" s="394"/>
      <c r="AR2199" s="394"/>
      <c r="AS2199" s="394"/>
    </row>
    <row r="2200" spans="1:45" ht="14.4">
      <c r="A2200" t="str">
        <f t="shared" si="621"/>
        <v>CO_Denve_2020g~Denver Public Schools (School District No. 1) Ballot Measure 4B (Vote For 1)</v>
      </c>
      <c r="B2200" s="79" t="s">
        <v>5639</v>
      </c>
      <c r="C2200" s="79" t="s">
        <v>5403</v>
      </c>
      <c r="D2200" s="79" t="s">
        <v>5403</v>
      </c>
      <c r="E2200" s="79" t="s">
        <v>5274</v>
      </c>
      <c r="F2200" s="79" t="s">
        <v>1508</v>
      </c>
      <c r="G2200" s="82">
        <v>288962</v>
      </c>
      <c r="H2200" s="83">
        <v>78.069999999999993</v>
      </c>
      <c r="I2200" s="82">
        <v>460434</v>
      </c>
      <c r="J2200" s="82">
        <v>398485</v>
      </c>
      <c r="K2200" s="79">
        <v>356</v>
      </c>
      <c r="L2200" s="79">
        <v>356</v>
      </c>
      <c r="M2200" s="79">
        <v>22</v>
      </c>
      <c r="N2200" s="79">
        <v>27225</v>
      </c>
      <c r="O2200">
        <f t="shared" si="622"/>
        <v>1</v>
      </c>
      <c r="P2200" s="57">
        <f t="shared" si="623"/>
        <v>1</v>
      </c>
      <c r="Q2200" s="267">
        <f t="shared" si="624"/>
        <v>370146</v>
      </c>
      <c r="R2200" s="23">
        <f t="shared" si="625"/>
        <v>288962</v>
      </c>
      <c r="S2200" s="23">
        <f t="shared" si="626"/>
        <v>81184</v>
      </c>
      <c r="T2200" s="23">
        <f t="shared" si="627"/>
        <v>207778</v>
      </c>
      <c r="U2200" t="str">
        <f t="shared" si="628"/>
        <v>CO_Denve_2020g~Denver Public Schools (School District No. 1) Ballot Measure 4B (Vote For 1)</v>
      </c>
      <c r="AF2200" s="22"/>
      <c r="AG2200" s="295"/>
      <c r="AH2200" s="294"/>
      <c r="AI2200" s="279"/>
      <c r="AJ2200" s="279"/>
      <c r="AL2200" s="341"/>
    </row>
    <row r="2201" spans="1:45" ht="14.4">
      <c r="A2201" t="str">
        <f t="shared" si="621"/>
        <v>CO_Denve_2020g~Denver Public Schools (School District No. 1) Ballot Measure 4B (Vote For 1)</v>
      </c>
      <c r="B2201" s="79" t="s">
        <v>5639</v>
      </c>
      <c r="C2201" s="79" t="s">
        <v>5403</v>
      </c>
      <c r="D2201" s="79" t="s">
        <v>5403</v>
      </c>
      <c r="E2201" s="79" t="s">
        <v>5275</v>
      </c>
      <c r="F2201" s="79" t="s">
        <v>1509</v>
      </c>
      <c r="G2201" s="82">
        <v>81184</v>
      </c>
      <c r="H2201" s="83">
        <v>21.93</v>
      </c>
      <c r="I2201" s="82">
        <v>460434</v>
      </c>
      <c r="J2201" s="82">
        <v>398485</v>
      </c>
      <c r="K2201" s="79">
        <v>356</v>
      </c>
      <c r="L2201" s="79">
        <v>356</v>
      </c>
      <c r="M2201" s="79">
        <v>22</v>
      </c>
      <c r="N2201" s="79">
        <v>27225</v>
      </c>
      <c r="O2201">
        <f t="shared" si="622"/>
        <v>2</v>
      </c>
      <c r="P2201" s="57">
        <f t="shared" si="623"/>
        <v>1</v>
      </c>
      <c r="Q2201" s="267">
        <f t="shared" si="624"/>
        <v>81184</v>
      </c>
      <c r="R2201" s="23" t="str">
        <f t="shared" si="625"/>
        <v/>
      </c>
      <c r="S2201" s="23">
        <f t="shared" si="626"/>
        <v>81184</v>
      </c>
      <c r="T2201" s="23" t="str">
        <f t="shared" si="627"/>
        <v/>
      </c>
      <c r="U2201" t="str">
        <f t="shared" si="628"/>
        <v/>
      </c>
      <c r="AF2201" s="88"/>
      <c r="AG2201" s="314"/>
      <c r="AH2201" s="313"/>
      <c r="AI2201" s="315"/>
      <c r="AJ2201" s="315"/>
      <c r="AK2201" s="345"/>
      <c r="AL2201" s="346"/>
    </row>
    <row r="2202" spans="1:45" ht="14.4">
      <c r="A2202" t="str">
        <f t="shared" si="621"/>
        <v>CO_Denve_2020g~District Attorney - 2nd Judicial District (Vote For 1)</v>
      </c>
      <c r="B2202" s="79" t="s">
        <v>5639</v>
      </c>
      <c r="C2202" s="79" t="s">
        <v>5206</v>
      </c>
      <c r="D2202" s="79" t="s">
        <v>5206</v>
      </c>
      <c r="E2202" s="79" t="s">
        <v>5207</v>
      </c>
      <c r="F2202" s="79" t="s">
        <v>1294</v>
      </c>
      <c r="G2202" s="82">
        <v>292961</v>
      </c>
      <c r="H2202" s="83">
        <v>82.6</v>
      </c>
      <c r="I2202" s="82">
        <v>460434</v>
      </c>
      <c r="J2202" s="82">
        <v>398485</v>
      </c>
      <c r="K2202" s="79">
        <v>356</v>
      </c>
      <c r="L2202" s="79">
        <v>356</v>
      </c>
      <c r="M2202" s="79">
        <v>38</v>
      </c>
      <c r="N2202" s="79">
        <v>43777</v>
      </c>
      <c r="O2202">
        <f t="shared" si="622"/>
        <v>1</v>
      </c>
      <c r="P2202" s="57">
        <f t="shared" si="623"/>
        <v>1</v>
      </c>
      <c r="Q2202" s="267">
        <f t="shared" si="624"/>
        <v>354670</v>
      </c>
      <c r="R2202" s="23">
        <f t="shared" si="625"/>
        <v>292961</v>
      </c>
      <c r="S2202" s="23">
        <f t="shared" si="626"/>
        <v>61709</v>
      </c>
      <c r="T2202" s="23">
        <f t="shared" si="627"/>
        <v>231252</v>
      </c>
      <c r="U2202" t="str">
        <f t="shared" si="628"/>
        <v>CO_Denve_2020g~District Attorney - 2nd Judicial District (Vote For 1)</v>
      </c>
      <c r="AF2202" s="22"/>
      <c r="AG2202" s="295"/>
      <c r="AH2202" s="294"/>
      <c r="AI2202" s="279"/>
      <c r="AJ2202" s="279"/>
      <c r="AL2202" s="341"/>
    </row>
    <row r="2203" spans="1:45" ht="14.4">
      <c r="A2203" t="str">
        <f t="shared" si="621"/>
        <v>CO_Denve_2020g~District Attorney - 2nd Judicial District (Vote For 1)</v>
      </c>
      <c r="B2203" s="79" t="s">
        <v>5639</v>
      </c>
      <c r="C2203" s="79" t="s">
        <v>5206</v>
      </c>
      <c r="D2203" s="79" t="s">
        <v>5206</v>
      </c>
      <c r="E2203" s="79" t="s">
        <v>5208</v>
      </c>
      <c r="F2203" s="79" t="s">
        <v>4951</v>
      </c>
      <c r="G2203" s="82">
        <v>61709</v>
      </c>
      <c r="H2203" s="83">
        <v>17.399999999999999</v>
      </c>
      <c r="I2203" s="82">
        <v>460434</v>
      </c>
      <c r="J2203" s="82">
        <v>398485</v>
      </c>
      <c r="K2203" s="79">
        <v>356</v>
      </c>
      <c r="L2203" s="79">
        <v>356</v>
      </c>
      <c r="M2203" s="79">
        <v>38</v>
      </c>
      <c r="N2203" s="79">
        <v>43777</v>
      </c>
      <c r="O2203">
        <f t="shared" si="622"/>
        <v>2</v>
      </c>
      <c r="P2203" s="57">
        <f t="shared" si="623"/>
        <v>1</v>
      </c>
      <c r="Q2203" s="267">
        <f t="shared" si="624"/>
        <v>61709</v>
      </c>
      <c r="R2203" s="23" t="str">
        <f t="shared" si="625"/>
        <v/>
      </c>
      <c r="S2203" s="23">
        <f t="shared" si="626"/>
        <v>61709</v>
      </c>
      <c r="T2203" s="23" t="str">
        <f t="shared" si="627"/>
        <v/>
      </c>
      <c r="U2203" t="str">
        <f t="shared" si="628"/>
        <v/>
      </c>
      <c r="AF2203" s="22"/>
      <c r="AO2203" s="356"/>
      <c r="AP2203" s="356"/>
      <c r="AQ2203" s="394"/>
      <c r="AR2203" s="394"/>
      <c r="AS2203" s="394"/>
    </row>
    <row r="2204" spans="1:45" ht="14.4">
      <c r="A2204" t="str">
        <f t="shared" si="621"/>
        <v>CO_Denve_2020g~District Court Judge - 2nd Judicial District - Baumann (Vote For 1)</v>
      </c>
      <c r="B2204" s="79" t="s">
        <v>5639</v>
      </c>
      <c r="C2204" s="79" t="s">
        <v>5244</v>
      </c>
      <c r="D2204" s="79" t="s">
        <v>5244</v>
      </c>
      <c r="E2204" s="79" t="s">
        <v>1393</v>
      </c>
      <c r="F2204" s="79" t="s">
        <v>1508</v>
      </c>
      <c r="G2204" s="82">
        <v>250434</v>
      </c>
      <c r="H2204" s="83">
        <v>80.239999999999995</v>
      </c>
      <c r="I2204" s="82">
        <v>460434</v>
      </c>
      <c r="J2204" s="82">
        <v>398485</v>
      </c>
      <c r="K2204" s="79">
        <v>356</v>
      </c>
      <c r="L2204" s="79">
        <v>356</v>
      </c>
      <c r="M2204" s="79">
        <v>61</v>
      </c>
      <c r="N2204" s="79">
        <v>86318</v>
      </c>
      <c r="O2204">
        <f t="shared" si="622"/>
        <v>1</v>
      </c>
      <c r="P2204" s="57">
        <f t="shared" si="623"/>
        <v>1</v>
      </c>
      <c r="Q2204" s="267">
        <f t="shared" si="624"/>
        <v>312106</v>
      </c>
      <c r="R2204" s="23">
        <f t="shared" si="625"/>
        <v>250434</v>
      </c>
      <c r="S2204" s="23">
        <f t="shared" si="626"/>
        <v>61672</v>
      </c>
      <c r="T2204" s="23">
        <f t="shared" si="627"/>
        <v>188762</v>
      </c>
      <c r="U2204" t="str">
        <f t="shared" si="628"/>
        <v>CO_Denve_2020g~District Court Judge - 2nd Judicial District - Baumann (Vote For 1)</v>
      </c>
      <c r="AF2204" s="22"/>
    </row>
    <row r="2205" spans="1:45" ht="14.4">
      <c r="A2205" t="str">
        <f t="shared" si="621"/>
        <v>CO_Denve_2020g~District Court Judge - 2nd Judicial District - Baumann (Vote For 1)</v>
      </c>
      <c r="B2205" s="79" t="s">
        <v>5639</v>
      </c>
      <c r="C2205" s="79" t="s">
        <v>5244</v>
      </c>
      <c r="D2205" s="79" t="s">
        <v>5244</v>
      </c>
      <c r="E2205" s="79" t="s">
        <v>1394</v>
      </c>
      <c r="F2205" s="79" t="s">
        <v>1509</v>
      </c>
      <c r="G2205" s="82">
        <v>61672</v>
      </c>
      <c r="H2205" s="83">
        <v>19.760000000000002</v>
      </c>
      <c r="I2205" s="82">
        <v>460434</v>
      </c>
      <c r="J2205" s="82">
        <v>398485</v>
      </c>
      <c r="K2205" s="79">
        <v>356</v>
      </c>
      <c r="L2205" s="79">
        <v>356</v>
      </c>
      <c r="M2205" s="79">
        <v>61</v>
      </c>
      <c r="N2205" s="79">
        <v>86318</v>
      </c>
      <c r="O2205">
        <f t="shared" si="622"/>
        <v>2</v>
      </c>
      <c r="P2205" s="57">
        <f t="shared" si="623"/>
        <v>1</v>
      </c>
      <c r="Q2205" s="267">
        <f t="shared" si="624"/>
        <v>61672</v>
      </c>
      <c r="R2205" s="23" t="str">
        <f t="shared" si="625"/>
        <v/>
      </c>
      <c r="S2205" s="23">
        <f t="shared" si="626"/>
        <v>61672</v>
      </c>
      <c r="T2205" s="23" t="str">
        <f t="shared" si="627"/>
        <v/>
      </c>
      <c r="U2205" t="str">
        <f t="shared" si="628"/>
        <v/>
      </c>
      <c r="AF2205" s="22"/>
      <c r="AG2205" s="281"/>
      <c r="AH2205" s="287"/>
      <c r="AI2205" s="288"/>
      <c r="AJ2205" s="288"/>
      <c r="AK2205" s="347"/>
      <c r="AL2205" s="348"/>
    </row>
    <row r="2206" spans="1:45" ht="14.4">
      <c r="A2206" t="str">
        <f t="shared" si="621"/>
        <v>CO_Denve_2020g~District Court Judge - 2nd Judicial District - Egelhoff (Vote For 1)</v>
      </c>
      <c r="B2206" s="79" t="s">
        <v>5639</v>
      </c>
      <c r="C2206" s="79" t="s">
        <v>5245</v>
      </c>
      <c r="D2206" s="79" t="s">
        <v>5245</v>
      </c>
      <c r="E2206" s="79" t="s">
        <v>1393</v>
      </c>
      <c r="F2206" s="79" t="s">
        <v>1508</v>
      </c>
      <c r="G2206" s="82">
        <v>238031</v>
      </c>
      <c r="H2206" s="83">
        <v>76.540000000000006</v>
      </c>
      <c r="I2206" s="82">
        <v>460434</v>
      </c>
      <c r="J2206" s="82">
        <v>398485</v>
      </c>
      <c r="K2206" s="79">
        <v>356</v>
      </c>
      <c r="L2206" s="79">
        <v>356</v>
      </c>
      <c r="M2206" s="79">
        <v>57</v>
      </c>
      <c r="N2206" s="79">
        <v>87427</v>
      </c>
      <c r="O2206">
        <f t="shared" si="622"/>
        <v>1</v>
      </c>
      <c r="P2206" s="57">
        <f t="shared" si="623"/>
        <v>1</v>
      </c>
      <c r="Q2206" s="267">
        <f t="shared" si="624"/>
        <v>311001</v>
      </c>
      <c r="R2206" s="23">
        <f t="shared" si="625"/>
        <v>238031</v>
      </c>
      <c r="S2206" s="23">
        <f t="shared" si="626"/>
        <v>72970</v>
      </c>
      <c r="T2206" s="23">
        <f t="shared" si="627"/>
        <v>165061</v>
      </c>
      <c r="U2206" t="str">
        <f t="shared" si="628"/>
        <v>CO_Denve_2020g~District Court Judge - 2nd Judicial District - Egelhoff (Vote For 1)</v>
      </c>
      <c r="AF2206" s="22"/>
    </row>
    <row r="2207" spans="1:45" ht="14.4">
      <c r="A2207" t="str">
        <f t="shared" si="621"/>
        <v>CO_Denve_2020g~District Court Judge - 2nd Judicial District - Egelhoff (Vote For 1)</v>
      </c>
      <c r="B2207" s="79" t="s">
        <v>5639</v>
      </c>
      <c r="C2207" s="79" t="s">
        <v>5245</v>
      </c>
      <c r="D2207" s="79" t="s">
        <v>5245</v>
      </c>
      <c r="E2207" s="79" t="s">
        <v>1394</v>
      </c>
      <c r="F2207" s="79" t="s">
        <v>1509</v>
      </c>
      <c r="G2207" s="82">
        <v>72970</v>
      </c>
      <c r="H2207" s="83">
        <v>23.46</v>
      </c>
      <c r="I2207" s="82">
        <v>460434</v>
      </c>
      <c r="J2207" s="82">
        <v>398485</v>
      </c>
      <c r="K2207" s="79">
        <v>356</v>
      </c>
      <c r="L2207" s="79">
        <v>356</v>
      </c>
      <c r="M2207" s="79">
        <v>57</v>
      </c>
      <c r="N2207" s="79">
        <v>87427</v>
      </c>
      <c r="O2207">
        <f t="shared" si="622"/>
        <v>2</v>
      </c>
      <c r="P2207" s="57">
        <f t="shared" si="623"/>
        <v>1</v>
      </c>
      <c r="Q2207" s="267">
        <f t="shared" si="624"/>
        <v>72970</v>
      </c>
      <c r="R2207" s="23" t="str">
        <f t="shared" si="625"/>
        <v/>
      </c>
      <c r="S2207" s="23">
        <f t="shared" si="626"/>
        <v>72970</v>
      </c>
      <c r="T2207" s="23" t="str">
        <f t="shared" si="627"/>
        <v/>
      </c>
      <c r="U2207" t="str">
        <f t="shared" si="628"/>
        <v/>
      </c>
      <c r="AF2207" s="22"/>
    </row>
    <row r="2208" spans="1:45" ht="14.4">
      <c r="A2208" t="str">
        <f t="shared" si="621"/>
        <v>CO_Denve_2020g~District Court Judge - 2nd Judicial District - Elliff (Vote For 1)</v>
      </c>
      <c r="B2208" s="79" t="s">
        <v>5639</v>
      </c>
      <c r="C2208" s="79" t="s">
        <v>5246</v>
      </c>
      <c r="D2208" s="79" t="s">
        <v>5246</v>
      </c>
      <c r="E2208" s="79" t="s">
        <v>1393</v>
      </c>
      <c r="F2208" s="79" t="s">
        <v>1508</v>
      </c>
      <c r="G2208" s="82">
        <v>230301</v>
      </c>
      <c r="H2208" s="83">
        <v>74.3</v>
      </c>
      <c r="I2208" s="82">
        <v>460434</v>
      </c>
      <c r="J2208" s="82">
        <v>398485</v>
      </c>
      <c r="K2208" s="79">
        <v>356</v>
      </c>
      <c r="L2208" s="79">
        <v>356</v>
      </c>
      <c r="M2208" s="79">
        <v>69</v>
      </c>
      <c r="N2208" s="79">
        <v>88473</v>
      </c>
      <c r="O2208">
        <f t="shared" si="622"/>
        <v>1</v>
      </c>
      <c r="P2208" s="57">
        <f t="shared" si="623"/>
        <v>1</v>
      </c>
      <c r="Q2208" s="267">
        <f t="shared" si="624"/>
        <v>309943</v>
      </c>
      <c r="R2208" s="23">
        <f t="shared" si="625"/>
        <v>230301</v>
      </c>
      <c r="S2208" s="23">
        <f t="shared" si="626"/>
        <v>79642</v>
      </c>
      <c r="T2208" s="23">
        <f t="shared" si="627"/>
        <v>150659</v>
      </c>
      <c r="U2208" t="str">
        <f t="shared" si="628"/>
        <v>CO_Denve_2020g~District Court Judge - 2nd Judicial District - Elliff (Vote For 1)</v>
      </c>
    </row>
    <row r="2209" spans="1:38" ht="14.4">
      <c r="A2209" t="str">
        <f t="shared" si="621"/>
        <v>CO_Denve_2020g~District Court Judge - 2nd Judicial District - Elliff (Vote For 1)</v>
      </c>
      <c r="B2209" s="79" t="s">
        <v>5639</v>
      </c>
      <c r="C2209" s="79" t="s">
        <v>5246</v>
      </c>
      <c r="D2209" s="79" t="s">
        <v>5246</v>
      </c>
      <c r="E2209" s="79" t="s">
        <v>1394</v>
      </c>
      <c r="F2209" s="79" t="s">
        <v>1509</v>
      </c>
      <c r="G2209" s="82">
        <v>79642</v>
      </c>
      <c r="H2209" s="83">
        <v>25.7</v>
      </c>
      <c r="I2209" s="82">
        <v>460434</v>
      </c>
      <c r="J2209" s="82">
        <v>398485</v>
      </c>
      <c r="K2209" s="79">
        <v>356</v>
      </c>
      <c r="L2209" s="79">
        <v>356</v>
      </c>
      <c r="M2209" s="79">
        <v>69</v>
      </c>
      <c r="N2209" s="79">
        <v>88473</v>
      </c>
      <c r="O2209">
        <f t="shared" si="622"/>
        <v>2</v>
      </c>
      <c r="P2209" s="57">
        <f t="shared" si="623"/>
        <v>1</v>
      </c>
      <c r="Q2209" s="267">
        <f t="shared" si="624"/>
        <v>79642</v>
      </c>
      <c r="R2209" s="23" t="str">
        <f t="shared" si="625"/>
        <v/>
      </c>
      <c r="S2209" s="23">
        <f t="shared" si="626"/>
        <v>79642</v>
      </c>
      <c r="T2209" s="23" t="str">
        <f t="shared" si="627"/>
        <v/>
      </c>
      <c r="U2209" t="str">
        <f t="shared" si="628"/>
        <v/>
      </c>
      <c r="AG2209" s="23"/>
      <c r="AH2209" s="8"/>
      <c r="AL2209" s="344"/>
    </row>
    <row r="2210" spans="1:38" ht="14.4">
      <c r="A2210" t="str">
        <f t="shared" si="621"/>
        <v>CO_Denve_2020g~District Court Judge - 2nd Judicial District - Jones (Vote For 1)</v>
      </c>
      <c r="B2210" s="79" t="s">
        <v>5639</v>
      </c>
      <c r="C2210" s="79" t="s">
        <v>5247</v>
      </c>
      <c r="D2210" s="79" t="s">
        <v>5247</v>
      </c>
      <c r="E2210" s="79" t="s">
        <v>1393</v>
      </c>
      <c r="F2210" s="79" t="s">
        <v>1508</v>
      </c>
      <c r="G2210" s="82">
        <v>231262</v>
      </c>
      <c r="H2210" s="83">
        <v>74.69</v>
      </c>
      <c r="I2210" s="82">
        <v>460434</v>
      </c>
      <c r="J2210" s="82">
        <v>398485</v>
      </c>
      <c r="K2210" s="79">
        <v>356</v>
      </c>
      <c r="L2210" s="79">
        <v>356</v>
      </c>
      <c r="M2210" s="79">
        <v>80</v>
      </c>
      <c r="N2210" s="79">
        <v>88791</v>
      </c>
      <c r="O2210">
        <f t="shared" si="622"/>
        <v>1</v>
      </c>
      <c r="P2210" s="57">
        <f t="shared" si="623"/>
        <v>1</v>
      </c>
      <c r="Q2210" s="267">
        <f t="shared" si="624"/>
        <v>309614</v>
      </c>
      <c r="R2210" s="23">
        <f t="shared" si="625"/>
        <v>231262</v>
      </c>
      <c r="S2210" s="23">
        <f t="shared" si="626"/>
        <v>78352</v>
      </c>
      <c r="T2210" s="23">
        <f t="shared" si="627"/>
        <v>152910</v>
      </c>
      <c r="U2210" t="str">
        <f t="shared" si="628"/>
        <v>CO_Denve_2020g~District Court Judge - 2nd Judicial District - Jones (Vote For 1)</v>
      </c>
      <c r="AG2210" s="302"/>
      <c r="AH2210" s="301"/>
      <c r="AI2210" s="303"/>
      <c r="AJ2210" s="303"/>
      <c r="AK2210" s="342"/>
      <c r="AL2210" s="343"/>
    </row>
    <row r="2211" spans="1:38" ht="14.4">
      <c r="A2211" t="str">
        <f t="shared" si="621"/>
        <v>CO_Denve_2020g~District Court Judge - 2nd Judicial District - Jones (Vote For 1)</v>
      </c>
      <c r="B2211" s="79" t="s">
        <v>5639</v>
      </c>
      <c r="C2211" s="79" t="s">
        <v>5247</v>
      </c>
      <c r="D2211" s="79" t="s">
        <v>5247</v>
      </c>
      <c r="E2211" s="79" t="s">
        <v>1394</v>
      </c>
      <c r="F2211" s="79" t="s">
        <v>1509</v>
      </c>
      <c r="G2211" s="82">
        <v>78352</v>
      </c>
      <c r="H2211" s="83">
        <v>25.31</v>
      </c>
      <c r="I2211" s="82">
        <v>460434</v>
      </c>
      <c r="J2211" s="82">
        <v>398485</v>
      </c>
      <c r="K2211" s="79">
        <v>356</v>
      </c>
      <c r="L2211" s="79">
        <v>356</v>
      </c>
      <c r="M2211" s="79">
        <v>80</v>
      </c>
      <c r="N2211" s="79">
        <v>88791</v>
      </c>
      <c r="O2211">
        <f t="shared" si="622"/>
        <v>2</v>
      </c>
      <c r="P2211" s="57">
        <f t="shared" si="623"/>
        <v>1</v>
      </c>
      <c r="Q2211" s="267">
        <f t="shared" si="624"/>
        <v>78352</v>
      </c>
      <c r="R2211" s="23" t="str">
        <f t="shared" si="625"/>
        <v/>
      </c>
      <c r="S2211" s="23">
        <f t="shared" si="626"/>
        <v>78352</v>
      </c>
      <c r="T2211" s="23" t="str">
        <f t="shared" si="627"/>
        <v/>
      </c>
      <c r="U2211" t="str">
        <f t="shared" si="628"/>
        <v/>
      </c>
    </row>
    <row r="2212" spans="1:38" ht="14.4">
      <c r="A2212" t="str">
        <f t="shared" si="621"/>
        <v>CO_Denve_2020g~District Court Judge - 2nd Judicial District - Vallejos (Vote For 1)</v>
      </c>
      <c r="B2212" s="79" t="s">
        <v>5639</v>
      </c>
      <c r="C2212" s="79" t="s">
        <v>5248</v>
      </c>
      <c r="D2212" s="79" t="s">
        <v>5248</v>
      </c>
      <c r="E2212" s="79" t="s">
        <v>1393</v>
      </c>
      <c r="F2212" s="79" t="s">
        <v>1508</v>
      </c>
      <c r="G2212" s="82">
        <v>248665</v>
      </c>
      <c r="H2212" s="83">
        <v>79.83</v>
      </c>
      <c r="I2212" s="82">
        <v>460434</v>
      </c>
      <c r="J2212" s="82">
        <v>398485</v>
      </c>
      <c r="K2212" s="79">
        <v>356</v>
      </c>
      <c r="L2212" s="79">
        <v>356</v>
      </c>
      <c r="M2212" s="79">
        <v>106</v>
      </c>
      <c r="N2212" s="79">
        <v>86888</v>
      </c>
      <c r="O2212">
        <f t="shared" si="622"/>
        <v>1</v>
      </c>
      <c r="P2212" s="57">
        <f t="shared" si="623"/>
        <v>1</v>
      </c>
      <c r="Q2212" s="267">
        <f t="shared" si="624"/>
        <v>311491</v>
      </c>
      <c r="R2212" s="23">
        <f t="shared" si="625"/>
        <v>248665</v>
      </c>
      <c r="S2212" s="23">
        <f t="shared" si="626"/>
        <v>62826</v>
      </c>
      <c r="T2212" s="23">
        <f t="shared" si="627"/>
        <v>185839</v>
      </c>
      <c r="U2212" t="str">
        <f t="shared" si="628"/>
        <v>CO_Denve_2020g~District Court Judge - 2nd Judicial District - Vallejos (Vote For 1)</v>
      </c>
    </row>
    <row r="2213" spans="1:38" ht="14.4">
      <c r="A2213" t="str">
        <f t="shared" si="621"/>
        <v>CO_Denve_2020g~District Court Judge - 2nd Judicial District - Vallejos (Vote For 1)</v>
      </c>
      <c r="B2213" s="79" t="s">
        <v>5639</v>
      </c>
      <c r="C2213" s="79" t="s">
        <v>5248</v>
      </c>
      <c r="D2213" s="79" t="s">
        <v>5248</v>
      </c>
      <c r="E2213" s="79" t="s">
        <v>1394</v>
      </c>
      <c r="F2213" s="79" t="s">
        <v>1509</v>
      </c>
      <c r="G2213" s="82">
        <v>62826</v>
      </c>
      <c r="H2213" s="83">
        <v>20.170000000000002</v>
      </c>
      <c r="I2213" s="82">
        <v>460434</v>
      </c>
      <c r="J2213" s="82">
        <v>398485</v>
      </c>
      <c r="K2213" s="79">
        <v>356</v>
      </c>
      <c r="L2213" s="79">
        <v>356</v>
      </c>
      <c r="M2213" s="79">
        <v>106</v>
      </c>
      <c r="N2213" s="79">
        <v>86888</v>
      </c>
      <c r="O2213">
        <f t="shared" si="622"/>
        <v>2</v>
      </c>
      <c r="P2213" s="57">
        <f t="shared" si="623"/>
        <v>1</v>
      </c>
      <c r="Q2213" s="267">
        <f t="shared" si="624"/>
        <v>62826</v>
      </c>
      <c r="R2213" s="23" t="str">
        <f t="shared" si="625"/>
        <v/>
      </c>
      <c r="S2213" s="23">
        <f t="shared" si="626"/>
        <v>62826</v>
      </c>
      <c r="T2213" s="23" t="str">
        <f t="shared" si="627"/>
        <v/>
      </c>
      <c r="U2213" t="str">
        <f t="shared" si="628"/>
        <v/>
      </c>
      <c r="AF2213" s="88"/>
    </row>
    <row r="2214" spans="1:38" ht="14.4">
      <c r="A2214" t="str">
        <f t="shared" si="621"/>
        <v>CO_Denve_2020g~District Court Judge - 2nd Judicial District/Probate - Leith (Vote For 1)</v>
      </c>
      <c r="B2214" s="79" t="s">
        <v>5639</v>
      </c>
      <c r="C2214" s="79" t="s">
        <v>5249</v>
      </c>
      <c r="D2214" s="79" t="s">
        <v>5249</v>
      </c>
      <c r="E2214" s="79" t="s">
        <v>1393</v>
      </c>
      <c r="F2214" s="79" t="s">
        <v>1508</v>
      </c>
      <c r="G2214" s="82">
        <v>259805</v>
      </c>
      <c r="H2214" s="83">
        <v>83.19</v>
      </c>
      <c r="I2214" s="82">
        <v>460434</v>
      </c>
      <c r="J2214" s="82">
        <v>398485</v>
      </c>
      <c r="K2214" s="79">
        <v>356</v>
      </c>
      <c r="L2214" s="79">
        <v>356</v>
      </c>
      <c r="M2214" s="79">
        <v>22</v>
      </c>
      <c r="N2214" s="79">
        <v>86157</v>
      </c>
      <c r="O2214">
        <f t="shared" si="622"/>
        <v>1</v>
      </c>
      <c r="P2214" s="57">
        <f t="shared" si="623"/>
        <v>1</v>
      </c>
      <c r="Q2214" s="267">
        <f t="shared" si="624"/>
        <v>312306</v>
      </c>
      <c r="R2214" s="23">
        <f t="shared" si="625"/>
        <v>259805</v>
      </c>
      <c r="S2214" s="23">
        <f t="shared" si="626"/>
        <v>52501</v>
      </c>
      <c r="T2214" s="23">
        <f t="shared" si="627"/>
        <v>207304</v>
      </c>
      <c r="U2214" t="str">
        <f t="shared" si="628"/>
        <v>CO_Denve_2020g~District Court Judge - 2nd Judicial District/Probate - Leith (Vote For 1)</v>
      </c>
      <c r="AF2214" s="88"/>
      <c r="AG2214" s="302"/>
      <c r="AH2214" s="301"/>
      <c r="AI2214" s="303"/>
      <c r="AJ2214" s="303"/>
      <c r="AK2214" s="342"/>
      <c r="AL2214" s="343"/>
    </row>
    <row r="2215" spans="1:38" ht="14.4">
      <c r="A2215" t="str">
        <f t="shared" si="621"/>
        <v>CO_Denve_2020g~District Court Judge - 2nd Judicial District/Probate - Leith (Vote For 1)</v>
      </c>
      <c r="B2215" s="79" t="s">
        <v>5639</v>
      </c>
      <c r="C2215" s="79" t="s">
        <v>5249</v>
      </c>
      <c r="D2215" s="79" t="s">
        <v>5249</v>
      </c>
      <c r="E2215" s="79" t="s">
        <v>1394</v>
      </c>
      <c r="F2215" s="79" t="s">
        <v>1509</v>
      </c>
      <c r="G2215" s="82">
        <v>52501</v>
      </c>
      <c r="H2215" s="83">
        <v>16.809999999999999</v>
      </c>
      <c r="I2215" s="82">
        <v>460434</v>
      </c>
      <c r="J2215" s="82">
        <v>398485</v>
      </c>
      <c r="K2215" s="79">
        <v>356</v>
      </c>
      <c r="L2215" s="79">
        <v>356</v>
      </c>
      <c r="M2215" s="79">
        <v>22</v>
      </c>
      <c r="N2215" s="79">
        <v>86157</v>
      </c>
      <c r="O2215">
        <f t="shared" si="622"/>
        <v>2</v>
      </c>
      <c r="P2215" s="57">
        <f t="shared" si="623"/>
        <v>1</v>
      </c>
      <c r="Q2215" s="267">
        <f t="shared" si="624"/>
        <v>52501</v>
      </c>
      <c r="R2215" s="23" t="str">
        <f t="shared" si="625"/>
        <v/>
      </c>
      <c r="S2215" s="23">
        <f t="shared" si="626"/>
        <v>52501</v>
      </c>
      <c r="T2215" s="23" t="str">
        <f t="shared" si="627"/>
        <v/>
      </c>
      <c r="U2215" t="str">
        <f t="shared" si="628"/>
        <v/>
      </c>
      <c r="AF2215" s="88"/>
    </row>
    <row r="2216" spans="1:38" ht="14.4">
      <c r="A2216" t="str">
        <f t="shared" si="621"/>
        <v>CO_Denve_2020g~State Representative - District 1 (Vote For 1)</v>
      </c>
      <c r="B2216" s="79" t="s">
        <v>5639</v>
      </c>
      <c r="C2216" s="79" t="s">
        <v>5047</v>
      </c>
      <c r="D2216" s="79" t="s">
        <v>5047</v>
      </c>
      <c r="E2216" s="79" t="s">
        <v>5048</v>
      </c>
      <c r="F2216" s="79" t="s">
        <v>1294</v>
      </c>
      <c r="G2216" s="82">
        <v>22483</v>
      </c>
      <c r="H2216" s="83">
        <v>66.459999999999994</v>
      </c>
      <c r="I2216" s="82">
        <v>44542</v>
      </c>
      <c r="J2216" s="82">
        <v>36845</v>
      </c>
      <c r="K2216" s="79">
        <v>32</v>
      </c>
      <c r="L2216" s="79">
        <v>32</v>
      </c>
      <c r="M2216" s="79">
        <v>3</v>
      </c>
      <c r="N2216" s="79">
        <v>3012</v>
      </c>
      <c r="O2216">
        <f t="shared" si="622"/>
        <v>1</v>
      </c>
      <c r="P2216" s="57">
        <f t="shared" si="623"/>
        <v>1</v>
      </c>
      <c r="Q2216" s="267">
        <f t="shared" si="624"/>
        <v>33830</v>
      </c>
      <c r="R2216" s="23">
        <f t="shared" si="625"/>
        <v>22483</v>
      </c>
      <c r="S2216" s="23">
        <f t="shared" si="626"/>
        <v>11347</v>
      </c>
      <c r="T2216" s="23">
        <f t="shared" si="627"/>
        <v>11136</v>
      </c>
      <c r="U2216" t="str">
        <f t="shared" si="628"/>
        <v>CO_Denve_2020g~State Representative - District 1 (Vote For 1)</v>
      </c>
      <c r="AF2216" s="22"/>
    </row>
    <row r="2217" spans="1:38" ht="14.4">
      <c r="A2217" t="str">
        <f t="shared" si="621"/>
        <v>CO_Denve_2020g~State Representative - District 1 (Vote For 1)</v>
      </c>
      <c r="B2217" s="79" t="s">
        <v>5639</v>
      </c>
      <c r="C2217" s="79" t="s">
        <v>5047</v>
      </c>
      <c r="D2217" s="79" t="s">
        <v>5047</v>
      </c>
      <c r="E2217" s="79" t="s">
        <v>5049</v>
      </c>
      <c r="F2217" s="79" t="s">
        <v>1296</v>
      </c>
      <c r="G2217" s="82">
        <v>11347</v>
      </c>
      <c r="H2217" s="83">
        <v>33.54</v>
      </c>
      <c r="I2217" s="82">
        <v>44542</v>
      </c>
      <c r="J2217" s="82">
        <v>36845</v>
      </c>
      <c r="K2217" s="79">
        <v>32</v>
      </c>
      <c r="L2217" s="79">
        <v>32</v>
      </c>
      <c r="M2217" s="79">
        <v>3</v>
      </c>
      <c r="N2217" s="79">
        <v>3012</v>
      </c>
      <c r="O2217">
        <f t="shared" si="622"/>
        <v>2</v>
      </c>
      <c r="P2217" s="57">
        <f t="shared" si="623"/>
        <v>1</v>
      </c>
      <c r="Q2217" s="267">
        <f t="shared" si="624"/>
        <v>11347</v>
      </c>
      <c r="R2217" s="23" t="str">
        <f t="shared" si="625"/>
        <v/>
      </c>
      <c r="S2217" s="23">
        <f t="shared" si="626"/>
        <v>11347</v>
      </c>
      <c r="T2217" s="23" t="str">
        <f t="shared" si="627"/>
        <v/>
      </c>
      <c r="U2217" t="str">
        <f t="shared" si="628"/>
        <v/>
      </c>
      <c r="AF2217" s="22"/>
      <c r="AG2217" s="23"/>
      <c r="AH2217" s="8"/>
      <c r="AL2217" s="344"/>
    </row>
    <row r="2218" spans="1:38" ht="14.4">
      <c r="A2218" t="str">
        <f t="shared" si="621"/>
        <v>CO_Denve_2020g~State Representative - District 2 (Vote For 1)</v>
      </c>
      <c r="B2218" s="79" t="s">
        <v>5639</v>
      </c>
      <c r="C2218" s="79" t="s">
        <v>5050</v>
      </c>
      <c r="D2218" s="79" t="s">
        <v>5050</v>
      </c>
      <c r="E2218" s="79" t="s">
        <v>5051</v>
      </c>
      <c r="F2218" s="79" t="s">
        <v>1294</v>
      </c>
      <c r="G2218" s="82">
        <v>45369</v>
      </c>
      <c r="H2218" s="83">
        <v>80.58</v>
      </c>
      <c r="I2218" s="82">
        <v>67231</v>
      </c>
      <c r="J2218" s="82">
        <v>60838</v>
      </c>
      <c r="K2218" s="79">
        <v>51</v>
      </c>
      <c r="L2218" s="79">
        <v>51</v>
      </c>
      <c r="M2218" s="79">
        <v>1</v>
      </c>
      <c r="N2218" s="79">
        <v>4533</v>
      </c>
      <c r="O2218">
        <f t="shared" si="622"/>
        <v>1</v>
      </c>
      <c r="P2218" s="57">
        <f t="shared" si="623"/>
        <v>1</v>
      </c>
      <c r="Q2218" s="267">
        <f t="shared" si="624"/>
        <v>56304</v>
      </c>
      <c r="R2218" s="23">
        <f t="shared" si="625"/>
        <v>45369</v>
      </c>
      <c r="S2218" s="23">
        <f t="shared" si="626"/>
        <v>10935</v>
      </c>
      <c r="T2218" s="23">
        <f t="shared" si="627"/>
        <v>34434</v>
      </c>
      <c r="U2218" t="str">
        <f t="shared" si="628"/>
        <v>CO_Denve_2020g~State Representative - District 2 (Vote For 1)</v>
      </c>
      <c r="AF2218" s="22"/>
    </row>
    <row r="2219" spans="1:38" ht="14.4">
      <c r="A2219" t="str">
        <f t="shared" si="621"/>
        <v>CO_Denve_2020g~State Representative - District 2 (Vote For 1)</v>
      </c>
      <c r="B2219" s="79" t="s">
        <v>5639</v>
      </c>
      <c r="C2219" s="79" t="s">
        <v>5050</v>
      </c>
      <c r="D2219" s="79" t="s">
        <v>5050</v>
      </c>
      <c r="E2219" s="79" t="s">
        <v>5052</v>
      </c>
      <c r="F2219" s="79" t="s">
        <v>1296</v>
      </c>
      <c r="G2219" s="82">
        <v>10935</v>
      </c>
      <c r="H2219" s="83">
        <v>19.420000000000002</v>
      </c>
      <c r="I2219" s="82">
        <v>67231</v>
      </c>
      <c r="J2219" s="82">
        <v>60838</v>
      </c>
      <c r="K2219" s="79">
        <v>51</v>
      </c>
      <c r="L2219" s="79">
        <v>51</v>
      </c>
      <c r="M2219" s="79">
        <v>1</v>
      </c>
      <c r="N2219" s="79">
        <v>4533</v>
      </c>
      <c r="O2219">
        <f t="shared" si="622"/>
        <v>2</v>
      </c>
      <c r="P2219" s="57">
        <f t="shared" si="623"/>
        <v>1</v>
      </c>
      <c r="Q2219" s="267">
        <f t="shared" si="624"/>
        <v>10935</v>
      </c>
      <c r="R2219" s="23" t="str">
        <f t="shared" si="625"/>
        <v/>
      </c>
      <c r="S2219" s="23">
        <f t="shared" si="626"/>
        <v>10935</v>
      </c>
      <c r="T2219" s="23" t="str">
        <f t="shared" si="627"/>
        <v/>
      </c>
      <c r="U2219" t="str">
        <f t="shared" si="628"/>
        <v/>
      </c>
      <c r="AF2219" s="22"/>
    </row>
    <row r="2220" spans="1:38" ht="14.4">
      <c r="A2220" t="str">
        <f t="shared" si="621"/>
        <v>CO_Denve_2020g~State Representative - District 4 (Vote For 1)</v>
      </c>
      <c r="B2220" s="79" t="s">
        <v>5639</v>
      </c>
      <c r="C2220" s="79" t="s">
        <v>5057</v>
      </c>
      <c r="D2220" s="79" t="s">
        <v>5057</v>
      </c>
      <c r="E2220" s="79" t="s">
        <v>5059</v>
      </c>
      <c r="F2220" s="79" t="s">
        <v>1294</v>
      </c>
      <c r="G2220" s="82">
        <v>34501</v>
      </c>
      <c r="H2220" s="83">
        <v>81.849999999999994</v>
      </c>
      <c r="I2220" s="82">
        <v>53165</v>
      </c>
      <c r="J2220" s="82">
        <v>45484</v>
      </c>
      <c r="K2220" s="79">
        <v>36</v>
      </c>
      <c r="L2220" s="79">
        <v>36</v>
      </c>
      <c r="M2220" s="79">
        <v>10</v>
      </c>
      <c r="N2220" s="79">
        <v>3322</v>
      </c>
      <c r="O2220">
        <f t="shared" si="622"/>
        <v>1</v>
      </c>
      <c r="P2220" s="57">
        <f t="shared" si="623"/>
        <v>1</v>
      </c>
      <c r="Q2220" s="267">
        <f t="shared" si="624"/>
        <v>42152</v>
      </c>
      <c r="R2220" s="23">
        <f t="shared" si="625"/>
        <v>34501</v>
      </c>
      <c r="S2220" s="23">
        <f t="shared" si="626"/>
        <v>7651</v>
      </c>
      <c r="T2220" s="23">
        <f t="shared" si="627"/>
        <v>26850</v>
      </c>
      <c r="U2220" t="str">
        <f t="shared" si="628"/>
        <v>CO_Denve_2020g~State Representative - District 4 (Vote For 1)</v>
      </c>
      <c r="AF2220" s="22"/>
    </row>
    <row r="2221" spans="1:38" ht="14.4">
      <c r="A2221" t="str">
        <f t="shared" si="621"/>
        <v>CO_Denve_2020g~State Representative - District 4 (Vote For 1)</v>
      </c>
      <c r="B2221" s="79" t="s">
        <v>5639</v>
      </c>
      <c r="C2221" s="79" t="s">
        <v>5057</v>
      </c>
      <c r="D2221" s="79" t="s">
        <v>5057</v>
      </c>
      <c r="E2221" s="79" t="s">
        <v>5058</v>
      </c>
      <c r="F2221" s="79" t="s">
        <v>1296</v>
      </c>
      <c r="G2221" s="82">
        <v>7651</v>
      </c>
      <c r="H2221" s="83">
        <v>18.149999999999999</v>
      </c>
      <c r="I2221" s="82">
        <v>53165</v>
      </c>
      <c r="J2221" s="82">
        <v>45484</v>
      </c>
      <c r="K2221" s="79">
        <v>36</v>
      </c>
      <c r="L2221" s="79">
        <v>36</v>
      </c>
      <c r="M2221" s="79">
        <v>10</v>
      </c>
      <c r="N2221" s="79">
        <v>3322</v>
      </c>
      <c r="O2221">
        <f t="shared" si="622"/>
        <v>2</v>
      </c>
      <c r="P2221" s="57">
        <f t="shared" si="623"/>
        <v>1</v>
      </c>
      <c r="Q2221" s="267">
        <f t="shared" si="624"/>
        <v>7651</v>
      </c>
      <c r="R2221" s="23" t="str">
        <f t="shared" si="625"/>
        <v/>
      </c>
      <c r="S2221" s="23">
        <f t="shared" si="626"/>
        <v>7651</v>
      </c>
      <c r="T2221" s="23" t="str">
        <f t="shared" si="627"/>
        <v/>
      </c>
      <c r="U2221" t="str">
        <f t="shared" si="628"/>
        <v/>
      </c>
      <c r="AF2221" s="22"/>
    </row>
    <row r="2222" spans="1:38" ht="14.4">
      <c r="A2222" t="str">
        <f t="shared" si="621"/>
        <v>CO_Denve_2020g~State Representative - District 5 (Vote For 1)</v>
      </c>
      <c r="B2222" s="79" t="s">
        <v>5639</v>
      </c>
      <c r="C2222" s="79" t="s">
        <v>5060</v>
      </c>
      <c r="D2222" s="79" t="s">
        <v>5060</v>
      </c>
      <c r="E2222" s="79" t="s">
        <v>5062</v>
      </c>
      <c r="F2222" s="79" t="s">
        <v>1294</v>
      </c>
      <c r="G2222" s="82">
        <v>37132</v>
      </c>
      <c r="H2222" s="83">
        <v>79.06</v>
      </c>
      <c r="I2222" s="82">
        <v>61332</v>
      </c>
      <c r="J2222" s="82">
        <v>51091</v>
      </c>
      <c r="K2222" s="79">
        <v>43</v>
      </c>
      <c r="L2222" s="79">
        <v>43</v>
      </c>
      <c r="M2222" s="79">
        <v>6</v>
      </c>
      <c r="N2222" s="79">
        <v>4117</v>
      </c>
      <c r="O2222">
        <f t="shared" si="622"/>
        <v>1</v>
      </c>
      <c r="P2222" s="57">
        <f t="shared" si="623"/>
        <v>1</v>
      </c>
      <c r="Q2222" s="267">
        <f t="shared" si="624"/>
        <v>46968</v>
      </c>
      <c r="R2222" s="23">
        <f t="shared" si="625"/>
        <v>37132</v>
      </c>
      <c r="S2222" s="23">
        <f t="shared" si="626"/>
        <v>9203</v>
      </c>
      <c r="T2222" s="23">
        <f t="shared" si="627"/>
        <v>27929</v>
      </c>
      <c r="U2222" t="str">
        <f t="shared" si="628"/>
        <v>CO_Denve_2020g~State Representative - District 5 (Vote For 1)</v>
      </c>
      <c r="AF2222" s="22"/>
    </row>
    <row r="2223" spans="1:38" ht="14.4">
      <c r="A2223" t="str">
        <f t="shared" si="621"/>
        <v>CO_Denve_2020g~State Representative - District 5 (Vote For 1)</v>
      </c>
      <c r="B2223" s="79" t="s">
        <v>5639</v>
      </c>
      <c r="C2223" s="79" t="s">
        <v>5060</v>
      </c>
      <c r="D2223" s="79" t="s">
        <v>5060</v>
      </c>
      <c r="E2223" s="79" t="s">
        <v>5061</v>
      </c>
      <c r="F2223" s="79" t="s">
        <v>1296</v>
      </c>
      <c r="G2223" s="82">
        <v>9203</v>
      </c>
      <c r="H2223" s="83">
        <v>19.59</v>
      </c>
      <c r="I2223" s="82">
        <v>61332</v>
      </c>
      <c r="J2223" s="82">
        <v>51091</v>
      </c>
      <c r="K2223" s="79">
        <v>43</v>
      </c>
      <c r="L2223" s="79">
        <v>43</v>
      </c>
      <c r="M2223" s="79">
        <v>6</v>
      </c>
      <c r="N2223" s="79">
        <v>4117</v>
      </c>
      <c r="O2223">
        <f t="shared" si="622"/>
        <v>2</v>
      </c>
      <c r="P2223" s="57">
        <f t="shared" si="623"/>
        <v>1</v>
      </c>
      <c r="Q2223" s="267">
        <f t="shared" si="624"/>
        <v>9836</v>
      </c>
      <c r="R2223" s="23" t="str">
        <f t="shared" si="625"/>
        <v/>
      </c>
      <c r="S2223" s="23">
        <f t="shared" si="626"/>
        <v>9203</v>
      </c>
      <c r="T2223" s="23" t="str">
        <f t="shared" si="627"/>
        <v/>
      </c>
      <c r="U2223" t="str">
        <f t="shared" si="628"/>
        <v/>
      </c>
      <c r="AF2223" s="22"/>
      <c r="AG2223" s="302"/>
      <c r="AH2223" s="301"/>
      <c r="AI2223" s="303"/>
      <c r="AJ2223" s="303"/>
      <c r="AK2223" s="342"/>
      <c r="AL2223" s="343"/>
    </row>
    <row r="2224" spans="1:38" ht="14.4">
      <c r="A2224" t="str">
        <f t="shared" si="621"/>
        <v>CO_Denve_2020g~State Representative - District 5 (Vote For 1)</v>
      </c>
      <c r="B2224" s="79" t="s">
        <v>5639</v>
      </c>
      <c r="C2224" s="79" t="s">
        <v>5060</v>
      </c>
      <c r="D2224" s="79" t="s">
        <v>5060</v>
      </c>
      <c r="E2224" s="79" t="s">
        <v>5063</v>
      </c>
      <c r="F2224" s="79" t="s">
        <v>4946</v>
      </c>
      <c r="G2224" s="82">
        <v>633</v>
      </c>
      <c r="H2224" s="83">
        <v>1.35</v>
      </c>
      <c r="I2224" s="82">
        <v>61332</v>
      </c>
      <c r="J2224" s="82">
        <v>51091</v>
      </c>
      <c r="K2224" s="79">
        <v>43</v>
      </c>
      <c r="L2224" s="79">
        <v>43</v>
      </c>
      <c r="M2224" s="79">
        <v>6</v>
      </c>
      <c r="N2224" s="79">
        <v>4117</v>
      </c>
      <c r="O2224">
        <f t="shared" si="622"/>
        <v>3</v>
      </c>
      <c r="P2224" s="57">
        <f t="shared" si="623"/>
        <v>1</v>
      </c>
      <c r="Q2224" s="267">
        <f t="shared" si="624"/>
        <v>633</v>
      </c>
      <c r="R2224" s="23" t="str">
        <f t="shared" si="625"/>
        <v/>
      </c>
      <c r="S2224" s="23">
        <f t="shared" si="626"/>
        <v>633</v>
      </c>
      <c r="T2224" s="23" t="str">
        <f t="shared" si="627"/>
        <v/>
      </c>
      <c r="U2224" t="str">
        <f t="shared" si="628"/>
        <v/>
      </c>
      <c r="AF2224" s="22"/>
      <c r="AG2224" s="302"/>
      <c r="AH2224" s="301"/>
      <c r="AI2224" s="303"/>
      <c r="AJ2224" s="303"/>
      <c r="AK2224" s="342"/>
      <c r="AL2224" s="343"/>
    </row>
    <row r="2225" spans="1:38" ht="14.4">
      <c r="A2225" t="str">
        <f t="shared" si="621"/>
        <v>CO_Denve_2020g~State Representative - District 6 (Vote For 1)</v>
      </c>
      <c r="B2225" s="79" t="s">
        <v>5639</v>
      </c>
      <c r="C2225" s="79" t="s">
        <v>5064</v>
      </c>
      <c r="D2225" s="79" t="s">
        <v>5064</v>
      </c>
      <c r="E2225" s="79" t="s">
        <v>5066</v>
      </c>
      <c r="F2225" s="79" t="s">
        <v>1294</v>
      </c>
      <c r="G2225" s="82">
        <v>36302</v>
      </c>
      <c r="H2225" s="83">
        <v>71.86</v>
      </c>
      <c r="I2225" s="82">
        <v>59927</v>
      </c>
      <c r="J2225" s="82">
        <v>54271</v>
      </c>
      <c r="K2225" s="79">
        <v>52</v>
      </c>
      <c r="L2225" s="79">
        <v>52</v>
      </c>
      <c r="M2225" s="79">
        <v>5</v>
      </c>
      <c r="N2225" s="79">
        <v>3745</v>
      </c>
      <c r="O2225">
        <f t="shared" si="622"/>
        <v>1</v>
      </c>
      <c r="P2225" s="57">
        <f t="shared" si="623"/>
        <v>1</v>
      </c>
      <c r="Q2225" s="267">
        <f t="shared" si="624"/>
        <v>50521</v>
      </c>
      <c r="R2225" s="23">
        <f t="shared" si="625"/>
        <v>36302</v>
      </c>
      <c r="S2225" s="23">
        <f t="shared" si="626"/>
        <v>12711</v>
      </c>
      <c r="T2225" s="23">
        <f t="shared" si="627"/>
        <v>23591</v>
      </c>
      <c r="U2225" t="str">
        <f t="shared" si="628"/>
        <v>CO_Denve_2020g~State Representative - District 6 (Vote For 1)</v>
      </c>
      <c r="AF2225" s="22"/>
    </row>
    <row r="2226" spans="1:38" ht="14.4">
      <c r="A2226" t="str">
        <f t="shared" ref="A2226:A2289" si="629">CONCATENATE(B2226,"~",D2226)</f>
        <v>CO_Denve_2020g~State Representative - District 6 (Vote For 1)</v>
      </c>
      <c r="B2226" s="79" t="s">
        <v>5639</v>
      </c>
      <c r="C2226" s="79" t="s">
        <v>5064</v>
      </c>
      <c r="D2226" s="79" t="s">
        <v>5064</v>
      </c>
      <c r="E2226" s="79" t="s">
        <v>5065</v>
      </c>
      <c r="F2226" s="79" t="s">
        <v>1296</v>
      </c>
      <c r="G2226" s="82">
        <v>12711</v>
      </c>
      <c r="H2226" s="83">
        <v>25.16</v>
      </c>
      <c r="I2226" s="82">
        <v>59927</v>
      </c>
      <c r="J2226" s="82">
        <v>54271</v>
      </c>
      <c r="K2226" s="79">
        <v>52</v>
      </c>
      <c r="L2226" s="79">
        <v>52</v>
      </c>
      <c r="M2226" s="79">
        <v>5</v>
      </c>
      <c r="N2226" s="79">
        <v>3745</v>
      </c>
      <c r="O2226">
        <f t="shared" si="622"/>
        <v>2</v>
      </c>
      <c r="P2226" s="57">
        <f t="shared" si="623"/>
        <v>1</v>
      </c>
      <c r="Q2226" s="267">
        <f t="shared" si="624"/>
        <v>14219</v>
      </c>
      <c r="R2226" s="23" t="str">
        <f t="shared" si="625"/>
        <v/>
      </c>
      <c r="S2226" s="23">
        <f t="shared" si="626"/>
        <v>12711</v>
      </c>
      <c r="T2226" s="23" t="str">
        <f t="shared" si="627"/>
        <v/>
      </c>
      <c r="U2226" t="str">
        <f t="shared" si="628"/>
        <v/>
      </c>
      <c r="AF2226" s="22"/>
    </row>
    <row r="2227" spans="1:38" ht="14.4">
      <c r="A2227" t="str">
        <f t="shared" si="629"/>
        <v>CO_Denve_2020g~State Representative - District 6 (Vote For 1)</v>
      </c>
      <c r="B2227" s="79" t="s">
        <v>5639</v>
      </c>
      <c r="C2227" s="79" t="s">
        <v>5064</v>
      </c>
      <c r="D2227" s="79" t="s">
        <v>5064</v>
      </c>
      <c r="E2227" s="79" t="s">
        <v>5067</v>
      </c>
      <c r="F2227" s="79" t="s">
        <v>4951</v>
      </c>
      <c r="G2227" s="82">
        <v>1508</v>
      </c>
      <c r="H2227" s="83">
        <v>2.98</v>
      </c>
      <c r="I2227" s="82">
        <v>59927</v>
      </c>
      <c r="J2227" s="82">
        <v>54271</v>
      </c>
      <c r="K2227" s="79">
        <v>52</v>
      </c>
      <c r="L2227" s="79">
        <v>52</v>
      </c>
      <c r="M2227" s="79">
        <v>5</v>
      </c>
      <c r="N2227" s="79">
        <v>3745</v>
      </c>
      <c r="O2227">
        <f t="shared" si="622"/>
        <v>3</v>
      </c>
      <c r="P2227" s="57">
        <f t="shared" si="623"/>
        <v>1</v>
      </c>
      <c r="Q2227" s="267">
        <f t="shared" si="624"/>
        <v>1508</v>
      </c>
      <c r="R2227" s="23" t="str">
        <f t="shared" si="625"/>
        <v/>
      </c>
      <c r="S2227" s="23">
        <f t="shared" si="626"/>
        <v>1508</v>
      </c>
      <c r="T2227" s="23" t="str">
        <f t="shared" si="627"/>
        <v/>
      </c>
      <c r="U2227" t="str">
        <f t="shared" si="628"/>
        <v/>
      </c>
      <c r="AF2227" s="22"/>
      <c r="AG2227" s="302"/>
      <c r="AH2227" s="301"/>
      <c r="AI2227" s="303"/>
      <c r="AJ2227" s="303"/>
      <c r="AK2227" s="342"/>
      <c r="AL2227" s="343"/>
    </row>
    <row r="2228" spans="1:38" ht="14.4">
      <c r="A2228" t="str">
        <f t="shared" si="629"/>
        <v>CO_Denve_2020g~State Representative - District 7 (Vote For 1)</v>
      </c>
      <c r="B2228" s="79" t="s">
        <v>5639</v>
      </c>
      <c r="C2228" s="79" t="s">
        <v>5068</v>
      </c>
      <c r="D2228" s="79" t="s">
        <v>5068</v>
      </c>
      <c r="E2228" s="79" t="s">
        <v>5069</v>
      </c>
      <c r="F2228" s="79" t="s">
        <v>1294</v>
      </c>
      <c r="G2228" s="82">
        <v>38938</v>
      </c>
      <c r="H2228" s="83">
        <v>100</v>
      </c>
      <c r="I2228" s="82">
        <v>58675</v>
      </c>
      <c r="J2228" s="82">
        <v>48581</v>
      </c>
      <c r="K2228" s="79">
        <v>46</v>
      </c>
      <c r="L2228" s="79">
        <v>46</v>
      </c>
      <c r="M2228" s="79">
        <v>0</v>
      </c>
      <c r="N2228" s="79">
        <v>9643</v>
      </c>
      <c r="O2228">
        <f t="shared" si="622"/>
        <v>1</v>
      </c>
      <c r="P2228" s="57">
        <f t="shared" si="623"/>
        <v>1</v>
      </c>
      <c r="Q2228" s="267">
        <f t="shared" si="624"/>
        <v>38938</v>
      </c>
      <c r="R2228" s="23">
        <f t="shared" si="625"/>
        <v>38938</v>
      </c>
      <c r="S2228" s="23">
        <f t="shared" si="626"/>
        <v>0</v>
      </c>
      <c r="T2228" s="23" t="str">
        <f t="shared" si="627"/>
        <v/>
      </c>
      <c r="U2228" t="str">
        <f t="shared" si="628"/>
        <v>CO_Denve_2020g~State Representative - District 7 (Vote For 1)</v>
      </c>
      <c r="AF2228" s="22"/>
    </row>
    <row r="2229" spans="1:38" ht="14.4">
      <c r="A2229" t="str">
        <f t="shared" si="629"/>
        <v>CO_Denve_2020g~State Representative - District 8 (Vote For 1)</v>
      </c>
      <c r="B2229" s="79" t="s">
        <v>5639</v>
      </c>
      <c r="C2229" s="79" t="s">
        <v>5070</v>
      </c>
      <c r="D2229" s="79" t="s">
        <v>5070</v>
      </c>
      <c r="E2229" s="79" t="s">
        <v>5071</v>
      </c>
      <c r="F2229" s="79" t="s">
        <v>1294</v>
      </c>
      <c r="G2229" s="82">
        <v>46910</v>
      </c>
      <c r="H2229" s="83">
        <v>100</v>
      </c>
      <c r="I2229" s="82">
        <v>64347</v>
      </c>
      <c r="J2229" s="82">
        <v>56411</v>
      </c>
      <c r="K2229" s="79">
        <v>56</v>
      </c>
      <c r="L2229" s="79">
        <v>56</v>
      </c>
      <c r="M2229" s="79">
        <v>0</v>
      </c>
      <c r="N2229" s="79">
        <v>9501</v>
      </c>
      <c r="O2229">
        <f t="shared" si="622"/>
        <v>1</v>
      </c>
      <c r="P2229" s="57">
        <f t="shared" si="623"/>
        <v>1</v>
      </c>
      <c r="Q2229" s="267">
        <f t="shared" si="624"/>
        <v>46910</v>
      </c>
      <c r="R2229" s="23">
        <f t="shared" si="625"/>
        <v>46910</v>
      </c>
      <c r="S2229" s="23">
        <f t="shared" si="626"/>
        <v>0</v>
      </c>
      <c r="T2229" s="23" t="str">
        <f t="shared" si="627"/>
        <v/>
      </c>
      <c r="U2229" t="str">
        <f t="shared" si="628"/>
        <v>CO_Denve_2020g~State Representative - District 8 (Vote For 1)</v>
      </c>
      <c r="AF2229" s="22"/>
      <c r="AG2229" s="302"/>
      <c r="AH2229" s="301"/>
      <c r="AI2229" s="303"/>
      <c r="AJ2229" s="303"/>
      <c r="AK2229" s="342"/>
      <c r="AL2229" s="343"/>
    </row>
    <row r="2230" spans="1:38" ht="14.4">
      <c r="A2230" t="str">
        <f t="shared" si="629"/>
        <v>CO_Denve_2020g~State Senator - District 31 (Vote For 1)</v>
      </c>
      <c r="B2230" s="79" t="s">
        <v>5639</v>
      </c>
      <c r="C2230" s="79" t="s">
        <v>5041</v>
      </c>
      <c r="D2230" s="79" t="s">
        <v>5041</v>
      </c>
      <c r="E2230" s="79" t="s">
        <v>5042</v>
      </c>
      <c r="F2230" s="79" t="s">
        <v>1294</v>
      </c>
      <c r="G2230" s="82">
        <v>71265</v>
      </c>
      <c r="H2230" s="83">
        <v>76.849999999999994</v>
      </c>
      <c r="I2230" s="82">
        <v>111269</v>
      </c>
      <c r="J2230" s="82">
        <v>99191</v>
      </c>
      <c r="K2230" s="79">
        <v>91</v>
      </c>
      <c r="L2230" s="79">
        <v>91</v>
      </c>
      <c r="M2230" s="79">
        <v>6</v>
      </c>
      <c r="N2230" s="79">
        <v>6458</v>
      </c>
      <c r="O2230">
        <f t="shared" si="622"/>
        <v>1</v>
      </c>
      <c r="P2230" s="57">
        <f t="shared" si="623"/>
        <v>1</v>
      </c>
      <c r="Q2230" s="267">
        <f t="shared" si="624"/>
        <v>92727</v>
      </c>
      <c r="R2230" s="23">
        <f t="shared" si="625"/>
        <v>71265</v>
      </c>
      <c r="S2230" s="23">
        <f t="shared" si="626"/>
        <v>21462</v>
      </c>
      <c r="T2230" s="23">
        <f t="shared" si="627"/>
        <v>49803</v>
      </c>
      <c r="U2230" t="str">
        <f t="shared" si="628"/>
        <v>CO_Denve_2020g~State Senator - District 31 (Vote For 1)</v>
      </c>
      <c r="AF2230" s="22"/>
    </row>
    <row r="2231" spans="1:38" ht="14.4">
      <c r="A2231" t="str">
        <f t="shared" si="629"/>
        <v>CO_Denve_2020g~State Senator - District 31 (Vote For 1)</v>
      </c>
      <c r="B2231" s="79" t="s">
        <v>5639</v>
      </c>
      <c r="C2231" s="79" t="s">
        <v>5041</v>
      </c>
      <c r="D2231" s="79" t="s">
        <v>5041</v>
      </c>
      <c r="E2231" s="79" t="s">
        <v>5043</v>
      </c>
      <c r="F2231" s="79" t="s">
        <v>1296</v>
      </c>
      <c r="G2231" s="82">
        <v>21462</v>
      </c>
      <c r="H2231" s="83">
        <v>23.15</v>
      </c>
      <c r="I2231" s="82">
        <v>111269</v>
      </c>
      <c r="J2231" s="82">
        <v>99191</v>
      </c>
      <c r="K2231" s="79">
        <v>91</v>
      </c>
      <c r="L2231" s="79">
        <v>91</v>
      </c>
      <c r="M2231" s="79">
        <v>6</v>
      </c>
      <c r="N2231" s="79">
        <v>6458</v>
      </c>
      <c r="O2231">
        <f t="shared" si="622"/>
        <v>2</v>
      </c>
      <c r="P2231" s="57">
        <f t="shared" si="623"/>
        <v>1</v>
      </c>
      <c r="Q2231" s="267">
        <f t="shared" si="624"/>
        <v>21462</v>
      </c>
      <c r="R2231" s="23" t="str">
        <f t="shared" si="625"/>
        <v/>
      </c>
      <c r="S2231" s="23">
        <f t="shared" si="626"/>
        <v>21462</v>
      </c>
      <c r="T2231" s="23" t="str">
        <f t="shared" si="627"/>
        <v/>
      </c>
      <c r="U2231" t="str">
        <f t="shared" si="628"/>
        <v/>
      </c>
      <c r="AF2231" s="22"/>
      <c r="AG2231" s="23"/>
      <c r="AH2231" s="8"/>
    </row>
    <row r="2232" spans="1:38" ht="14.4">
      <c r="A2232" t="str">
        <f t="shared" si="629"/>
        <v>CO_Denve_2020g~State Senator - District 33 (Vote For 1)</v>
      </c>
      <c r="B2232" s="79" t="s">
        <v>5639</v>
      </c>
      <c r="C2232" s="79" t="s">
        <v>5044</v>
      </c>
      <c r="D2232" s="79" t="s">
        <v>5044</v>
      </c>
      <c r="E2232" s="79" t="s">
        <v>5045</v>
      </c>
      <c r="F2232" s="79" t="s">
        <v>1294</v>
      </c>
      <c r="G2232" s="82">
        <v>75702</v>
      </c>
      <c r="H2232" s="83">
        <v>91.01</v>
      </c>
      <c r="I2232" s="82">
        <v>111398</v>
      </c>
      <c r="J2232" s="82">
        <v>93625</v>
      </c>
      <c r="K2232" s="79">
        <v>93</v>
      </c>
      <c r="L2232" s="79">
        <v>93</v>
      </c>
      <c r="M2232" s="79">
        <v>10</v>
      </c>
      <c r="N2232" s="79">
        <v>10431</v>
      </c>
      <c r="O2232">
        <f t="shared" si="622"/>
        <v>1</v>
      </c>
      <c r="P2232" s="57">
        <f t="shared" si="623"/>
        <v>1</v>
      </c>
      <c r="Q2232" s="267">
        <f t="shared" si="624"/>
        <v>83184</v>
      </c>
      <c r="R2232" s="23">
        <f t="shared" si="625"/>
        <v>75702</v>
      </c>
      <c r="S2232" s="23">
        <f t="shared" si="626"/>
        <v>7482</v>
      </c>
      <c r="T2232" s="23">
        <f t="shared" si="627"/>
        <v>68220</v>
      </c>
      <c r="U2232" t="str">
        <f t="shared" si="628"/>
        <v>CO_Denve_2020g~State Senator - District 33 (Vote For 1)</v>
      </c>
      <c r="AF2232" s="22"/>
    </row>
    <row r="2233" spans="1:38" ht="14.4">
      <c r="A2233" t="str">
        <f t="shared" si="629"/>
        <v>CO_Denve_2020g~State Senator - District 33 (Vote For 1)</v>
      </c>
      <c r="B2233" s="79" t="s">
        <v>5639</v>
      </c>
      <c r="C2233" s="79" t="s">
        <v>5044</v>
      </c>
      <c r="D2233" s="79" t="s">
        <v>5044</v>
      </c>
      <c r="E2233" s="79" t="s">
        <v>5046</v>
      </c>
      <c r="F2233" s="79" t="s">
        <v>4946</v>
      </c>
      <c r="G2233" s="82">
        <v>7482</v>
      </c>
      <c r="H2233" s="83">
        <v>8.99</v>
      </c>
      <c r="I2233" s="82">
        <v>111398</v>
      </c>
      <c r="J2233" s="82">
        <v>93625</v>
      </c>
      <c r="K2233" s="79">
        <v>93</v>
      </c>
      <c r="L2233" s="79">
        <v>93</v>
      </c>
      <c r="M2233" s="79">
        <v>10</v>
      </c>
      <c r="N2233" s="79">
        <v>10431</v>
      </c>
      <c r="O2233">
        <f t="shared" si="622"/>
        <v>2</v>
      </c>
      <c r="P2233" s="57">
        <f t="shared" si="623"/>
        <v>1</v>
      </c>
      <c r="Q2233" s="267">
        <f t="shared" si="624"/>
        <v>7482</v>
      </c>
      <c r="R2233" s="23" t="str">
        <f t="shared" si="625"/>
        <v/>
      </c>
      <c r="S2233" s="23">
        <f t="shared" si="626"/>
        <v>7482</v>
      </c>
      <c r="T2233" s="23" t="str">
        <f t="shared" si="627"/>
        <v/>
      </c>
      <c r="U2233" t="str">
        <f t="shared" si="628"/>
        <v/>
      </c>
      <c r="AF2233" s="22"/>
    </row>
    <row r="2234" spans="1:38" ht="14.4">
      <c r="A2234" t="str">
        <f t="shared" si="629"/>
        <v>CO_Denve_2020g~w/Arapa_Regional Transportation District Director - District A (Vote For 1)</v>
      </c>
      <c r="B2234" s="79" t="s">
        <v>5639</v>
      </c>
      <c r="C2234" s="79" t="s">
        <v>5218</v>
      </c>
      <c r="D2234" s="79" t="s">
        <v>5647</v>
      </c>
      <c r="E2234" s="79" t="s">
        <v>5220</v>
      </c>
      <c r="F2234" s="79">
        <v>2</v>
      </c>
      <c r="G2234" s="82">
        <v>44968</v>
      </c>
      <c r="H2234" s="83">
        <v>52.04</v>
      </c>
      <c r="I2234" s="82">
        <v>138726</v>
      </c>
      <c r="J2234" s="82">
        <v>124957</v>
      </c>
      <c r="K2234" s="79">
        <v>114</v>
      </c>
      <c r="L2234" s="79">
        <v>114</v>
      </c>
      <c r="M2234" s="79">
        <v>16</v>
      </c>
      <c r="N2234" s="79">
        <v>38535</v>
      </c>
      <c r="O2234">
        <f t="shared" si="622"/>
        <v>1</v>
      </c>
      <c r="P2234" s="57">
        <f t="shared" si="623"/>
        <v>1</v>
      </c>
      <c r="Q2234" s="267">
        <f t="shared" si="624"/>
        <v>86406</v>
      </c>
      <c r="R2234" s="23">
        <f t="shared" si="625"/>
        <v>44968</v>
      </c>
      <c r="S2234" s="23">
        <f t="shared" si="626"/>
        <v>28613</v>
      </c>
      <c r="T2234" s="23">
        <f t="shared" si="627"/>
        <v>16355</v>
      </c>
      <c r="U2234" t="str">
        <f t="shared" si="628"/>
        <v>CO_Denve_2020g~w/Arapa_Regional Transportation District Director - District A (Vote For 1)</v>
      </c>
      <c r="AF2234" s="22"/>
    </row>
    <row r="2235" spans="1:38" ht="14.4">
      <c r="A2235" t="str">
        <f t="shared" si="629"/>
        <v>CO_Denve_2020g~w/Arapa_Regional Transportation District Director - District A (Vote For 1)</v>
      </c>
      <c r="B2235" s="79" t="s">
        <v>5639</v>
      </c>
      <c r="C2235" s="79" t="s">
        <v>5218</v>
      </c>
      <c r="D2235" s="79" t="s">
        <v>5647</v>
      </c>
      <c r="E2235" s="79" t="s">
        <v>5219</v>
      </c>
      <c r="F2235" s="79">
        <v>1</v>
      </c>
      <c r="G2235" s="82">
        <v>28613</v>
      </c>
      <c r="H2235" s="83">
        <v>33.11</v>
      </c>
      <c r="I2235" s="82">
        <v>138726</v>
      </c>
      <c r="J2235" s="82">
        <v>124957</v>
      </c>
      <c r="K2235" s="79">
        <v>114</v>
      </c>
      <c r="L2235" s="79">
        <v>114</v>
      </c>
      <c r="M2235" s="79">
        <v>16</v>
      </c>
      <c r="N2235" s="79">
        <v>38535</v>
      </c>
      <c r="O2235">
        <f t="shared" si="622"/>
        <v>2</v>
      </c>
      <c r="P2235" s="57">
        <f t="shared" si="623"/>
        <v>1</v>
      </c>
      <c r="Q2235" s="267">
        <f t="shared" si="624"/>
        <v>41438</v>
      </c>
      <c r="R2235" s="23" t="str">
        <f t="shared" si="625"/>
        <v/>
      </c>
      <c r="S2235" s="23">
        <f t="shared" si="626"/>
        <v>28613</v>
      </c>
      <c r="T2235" s="23" t="str">
        <f t="shared" si="627"/>
        <v/>
      </c>
      <c r="U2235" t="str">
        <f t="shared" si="628"/>
        <v/>
      </c>
      <c r="AF2235" s="22"/>
    </row>
    <row r="2236" spans="1:38" ht="14.4">
      <c r="A2236" t="str">
        <f t="shared" si="629"/>
        <v>CO_Denve_2020g~w/Arapa_Regional Transportation District Director - District A (Vote For 1)</v>
      </c>
      <c r="B2236" s="79" t="s">
        <v>5639</v>
      </c>
      <c r="C2236" s="79" t="s">
        <v>5218</v>
      </c>
      <c r="D2236" s="79" t="s">
        <v>5647</v>
      </c>
      <c r="E2236" s="79" t="s">
        <v>5221</v>
      </c>
      <c r="F2236" s="79">
        <v>3</v>
      </c>
      <c r="G2236" s="82">
        <v>12825</v>
      </c>
      <c r="H2236" s="83">
        <v>14.84</v>
      </c>
      <c r="I2236" s="82">
        <v>138726</v>
      </c>
      <c r="J2236" s="82">
        <v>124957</v>
      </c>
      <c r="K2236" s="79">
        <v>114</v>
      </c>
      <c r="L2236" s="79">
        <v>114</v>
      </c>
      <c r="M2236" s="79">
        <v>16</v>
      </c>
      <c r="N2236" s="79">
        <v>38535</v>
      </c>
      <c r="O2236">
        <f t="shared" si="622"/>
        <v>3</v>
      </c>
      <c r="P2236" s="57">
        <f t="shared" si="623"/>
        <v>1</v>
      </c>
      <c r="Q2236" s="267">
        <f t="shared" si="624"/>
        <v>12825</v>
      </c>
      <c r="R2236" s="23" t="str">
        <f t="shared" si="625"/>
        <v/>
      </c>
      <c r="S2236" s="23">
        <f t="shared" si="626"/>
        <v>12825</v>
      </c>
      <c r="T2236" s="23" t="str">
        <f t="shared" si="627"/>
        <v/>
      </c>
      <c r="U2236" t="str">
        <f t="shared" si="628"/>
        <v/>
      </c>
      <c r="AF2236" s="22"/>
    </row>
    <row r="2237" spans="1:38" ht="14.4">
      <c r="A2237" t="str">
        <f t="shared" si="629"/>
        <v>CO_Denve_2020g~w/Arapa_State Representative - District 9 (Vote For 1)</v>
      </c>
      <c r="B2237" s="79" t="s">
        <v>5639</v>
      </c>
      <c r="C2237" s="79" t="s">
        <v>5072</v>
      </c>
      <c r="D2237" s="79" t="s">
        <v>5648</v>
      </c>
      <c r="E2237" s="79" t="s">
        <v>5074</v>
      </c>
      <c r="F2237" s="79" t="s">
        <v>1294</v>
      </c>
      <c r="G2237" s="82">
        <v>29151</v>
      </c>
      <c r="H2237" s="83">
        <v>69.8</v>
      </c>
      <c r="I2237" s="82">
        <v>51215</v>
      </c>
      <c r="J2237" s="82">
        <v>44964</v>
      </c>
      <c r="K2237" s="79">
        <v>40</v>
      </c>
      <c r="L2237" s="79">
        <v>40</v>
      </c>
      <c r="M2237" s="79">
        <v>5</v>
      </c>
      <c r="N2237" s="79">
        <v>3195</v>
      </c>
      <c r="O2237">
        <f t="shared" si="622"/>
        <v>1</v>
      </c>
      <c r="P2237" s="57">
        <f t="shared" si="623"/>
        <v>1</v>
      </c>
      <c r="Q2237" s="267">
        <f t="shared" si="624"/>
        <v>41764</v>
      </c>
      <c r="R2237" s="23">
        <f t="shared" si="625"/>
        <v>29151</v>
      </c>
      <c r="S2237" s="23">
        <f t="shared" si="626"/>
        <v>11390</v>
      </c>
      <c r="T2237" s="23">
        <f t="shared" si="627"/>
        <v>17761</v>
      </c>
      <c r="U2237" t="str">
        <f t="shared" si="628"/>
        <v>CO_Denve_2020g~w/Arapa_State Representative - District 9 (Vote For 1)</v>
      </c>
      <c r="AF2237" s="22"/>
    </row>
    <row r="2238" spans="1:38" ht="14.4">
      <c r="A2238" t="str">
        <f t="shared" si="629"/>
        <v>CO_Denve_2020g~w/Arapa_State Representative - District 9 (Vote For 1)</v>
      </c>
      <c r="B2238" s="79" t="s">
        <v>5639</v>
      </c>
      <c r="C2238" s="79" t="s">
        <v>5072</v>
      </c>
      <c r="D2238" s="79" t="s">
        <v>5648</v>
      </c>
      <c r="E2238" s="79" t="s">
        <v>5073</v>
      </c>
      <c r="F2238" s="79" t="s">
        <v>1296</v>
      </c>
      <c r="G2238" s="82">
        <v>11390</v>
      </c>
      <c r="H2238" s="83">
        <v>27.27</v>
      </c>
      <c r="I2238" s="82">
        <v>51215</v>
      </c>
      <c r="J2238" s="82">
        <v>44964</v>
      </c>
      <c r="K2238" s="79">
        <v>40</v>
      </c>
      <c r="L2238" s="79">
        <v>40</v>
      </c>
      <c r="M2238" s="79">
        <v>5</v>
      </c>
      <c r="N2238" s="79">
        <v>3195</v>
      </c>
      <c r="O2238">
        <f t="shared" si="622"/>
        <v>2</v>
      </c>
      <c r="P2238" s="57">
        <f t="shared" si="623"/>
        <v>1</v>
      </c>
      <c r="Q2238" s="267">
        <f t="shared" si="624"/>
        <v>12613</v>
      </c>
      <c r="R2238" s="23" t="str">
        <f t="shared" si="625"/>
        <v/>
      </c>
      <c r="S2238" s="23">
        <f t="shared" si="626"/>
        <v>11390</v>
      </c>
      <c r="T2238" s="23" t="str">
        <f t="shared" si="627"/>
        <v/>
      </c>
      <c r="U2238" t="str">
        <f t="shared" si="628"/>
        <v/>
      </c>
      <c r="AF2238" s="22"/>
    </row>
    <row r="2239" spans="1:38" ht="14.4">
      <c r="A2239" t="str">
        <f t="shared" si="629"/>
        <v>CO_Denve_2020g~w/Arapa_State Representative - District 9 (Vote For 1)</v>
      </c>
      <c r="B2239" s="79" t="s">
        <v>5639</v>
      </c>
      <c r="C2239" s="79" t="s">
        <v>5072</v>
      </c>
      <c r="D2239" s="79" t="s">
        <v>5648</v>
      </c>
      <c r="E2239" s="79" t="s">
        <v>5075</v>
      </c>
      <c r="F2239" s="79" t="s">
        <v>4951</v>
      </c>
      <c r="G2239" s="82">
        <v>1223</v>
      </c>
      <c r="H2239" s="83">
        <v>2.93</v>
      </c>
      <c r="I2239" s="82">
        <v>51215</v>
      </c>
      <c r="J2239" s="82">
        <v>44964</v>
      </c>
      <c r="K2239" s="79">
        <v>40</v>
      </c>
      <c r="L2239" s="79">
        <v>40</v>
      </c>
      <c r="M2239" s="79">
        <v>5</v>
      </c>
      <c r="N2239" s="79">
        <v>3195</v>
      </c>
      <c r="O2239">
        <f t="shared" si="622"/>
        <v>3</v>
      </c>
      <c r="P2239" s="57">
        <f t="shared" si="623"/>
        <v>1</v>
      </c>
      <c r="Q2239" s="267">
        <f t="shared" si="624"/>
        <v>1223</v>
      </c>
      <c r="R2239" s="23" t="str">
        <f t="shared" si="625"/>
        <v/>
      </c>
      <c r="S2239" s="23">
        <f t="shared" si="626"/>
        <v>1223</v>
      </c>
      <c r="T2239" s="23" t="str">
        <f t="shared" si="627"/>
        <v/>
      </c>
      <c r="U2239" t="str">
        <f t="shared" si="628"/>
        <v/>
      </c>
      <c r="AF2239" s="22"/>
    </row>
    <row r="2240" spans="1:38" ht="14.4">
      <c r="A2240" t="str">
        <f t="shared" si="629"/>
        <v>CO_Dougl_2020g~City of Castle Pines Ballot Issue 2A (Vote For 1)</v>
      </c>
      <c r="B2240" s="79" t="s">
        <v>5640</v>
      </c>
      <c r="C2240" s="79" t="s">
        <v>5378</v>
      </c>
      <c r="D2240" s="79" t="s">
        <v>5378</v>
      </c>
      <c r="E2240" s="79" t="s">
        <v>1394</v>
      </c>
      <c r="F2240" s="79" t="s">
        <v>1509</v>
      </c>
      <c r="G2240" s="79">
        <v>4453</v>
      </c>
      <c r="H2240" s="86">
        <v>57.75</v>
      </c>
      <c r="I2240" s="79">
        <v>13161</v>
      </c>
      <c r="J2240" s="79">
        <v>12255</v>
      </c>
      <c r="K2240" s="79">
        <v>9</v>
      </c>
      <c r="L2240" s="79">
        <v>9</v>
      </c>
      <c r="M2240" s="79">
        <v>0</v>
      </c>
      <c r="N2240" s="79">
        <v>0</v>
      </c>
      <c r="O2240">
        <f t="shared" si="622"/>
        <v>1</v>
      </c>
      <c r="P2240" s="57">
        <f t="shared" si="623"/>
        <v>1</v>
      </c>
      <c r="Q2240" s="267">
        <f t="shared" si="624"/>
        <v>7711</v>
      </c>
      <c r="R2240" s="23">
        <f t="shared" si="625"/>
        <v>4453</v>
      </c>
      <c r="S2240" s="23">
        <f t="shared" si="626"/>
        <v>3258</v>
      </c>
      <c r="T2240" s="23">
        <f t="shared" si="627"/>
        <v>1195</v>
      </c>
      <c r="U2240" t="str">
        <f t="shared" si="628"/>
        <v>CO_Dougl_2020g~City of Castle Pines Ballot Issue 2A (Vote For 1)</v>
      </c>
      <c r="AF2240" s="22"/>
    </row>
    <row r="2241" spans="1:38" ht="14.4">
      <c r="A2241" t="str">
        <f t="shared" si="629"/>
        <v>CO_Dougl_2020g~City of Castle Pines Ballot Issue 2A (Vote For 1)</v>
      </c>
      <c r="B2241" s="79" t="s">
        <v>5640</v>
      </c>
      <c r="C2241" s="79" t="s">
        <v>5378</v>
      </c>
      <c r="D2241" s="79" t="s">
        <v>5378</v>
      </c>
      <c r="E2241" s="79" t="s">
        <v>1393</v>
      </c>
      <c r="F2241" s="79" t="s">
        <v>1508</v>
      </c>
      <c r="G2241" s="79">
        <v>3258</v>
      </c>
      <c r="H2241" s="86">
        <v>42.25</v>
      </c>
      <c r="I2241" s="79">
        <v>13161</v>
      </c>
      <c r="J2241" s="79">
        <v>12255</v>
      </c>
      <c r="K2241" s="79">
        <v>9</v>
      </c>
      <c r="L2241" s="79">
        <v>9</v>
      </c>
      <c r="M2241" s="79">
        <v>0</v>
      </c>
      <c r="N2241" s="79">
        <v>0</v>
      </c>
      <c r="O2241">
        <f t="shared" si="622"/>
        <v>2</v>
      </c>
      <c r="P2241" s="57">
        <f t="shared" si="623"/>
        <v>1</v>
      </c>
      <c r="Q2241" s="267">
        <f t="shared" si="624"/>
        <v>3258</v>
      </c>
      <c r="R2241" s="23" t="str">
        <f t="shared" si="625"/>
        <v/>
      </c>
      <c r="S2241" s="23">
        <f t="shared" si="626"/>
        <v>3258</v>
      </c>
      <c r="T2241" s="23" t="str">
        <f t="shared" si="627"/>
        <v/>
      </c>
      <c r="U2241" t="str">
        <f t="shared" si="628"/>
        <v/>
      </c>
      <c r="AF2241" s="22"/>
      <c r="AL2241" s="23"/>
    </row>
    <row r="2242" spans="1:38" ht="14.4">
      <c r="A2242" t="str">
        <f t="shared" si="629"/>
        <v>CO_Dougl_2020g~Douglas County Commissioner - District 2 (Vote For 1)</v>
      </c>
      <c r="B2242" s="79" t="s">
        <v>5640</v>
      </c>
      <c r="C2242" s="79" t="s">
        <v>5428</v>
      </c>
      <c r="D2242" s="79" t="s">
        <v>5428</v>
      </c>
      <c r="E2242" s="79" t="s">
        <v>5429</v>
      </c>
      <c r="F2242" s="79" t="s">
        <v>1296</v>
      </c>
      <c r="G2242" s="79">
        <v>120650</v>
      </c>
      <c r="H2242" s="86">
        <v>54.85</v>
      </c>
      <c r="I2242" s="79">
        <v>257580</v>
      </c>
      <c r="J2242" s="79">
        <v>234176</v>
      </c>
      <c r="K2242" s="79">
        <v>169</v>
      </c>
      <c r="L2242" s="79">
        <v>169</v>
      </c>
      <c r="M2242" s="79">
        <v>0</v>
      </c>
      <c r="N2242" s="79">
        <v>0</v>
      </c>
      <c r="O2242">
        <f t="shared" ref="O2242:O2305" si="630">IF(OR(LOWER(LEFT(E2242,8))="write-in",LOWER(LEFT(E2242,8))="not qual"),IF(A2242=A2241,-ABS(O2241),0),IF(A2242=A2241,ABS(O2241)+1,1))</f>
        <v>1</v>
      </c>
      <c r="P2242" s="57">
        <f t="shared" ref="P2242:P2305" si="631">1*LEFT(RIGHT(A2242,2),1)</f>
        <v>1</v>
      </c>
      <c r="Q2242" s="267">
        <f t="shared" ref="Q2242:Q2305" si="632">IF(A2242&lt;&gt;A2243,G2242,IF(A2242=A2241,G2242+Q2243,MAX(G2242,(G2242+Q2243)/P2242)))</f>
        <v>219960</v>
      </c>
      <c r="R2242" s="23">
        <f t="shared" ref="R2242:R2305" si="633">IF(O2242&gt;P2242,"",IF(O2242=P2242,G2242,IF(A2242=A2243,R2243,IF(O2242&lt;=0,1,G2242))))</f>
        <v>120650</v>
      </c>
      <c r="S2242" s="23">
        <f t="shared" ref="S2242:S2305" si="634">IF(AND(O2242&gt;P2242,LOWER(LEFT(E2242,8))&lt;&gt;"write-in",LOWER(LEFT(E2242,8))&lt;&gt;"not qual"),G2242,IF(A2242=A2243,S2243,0))</f>
        <v>91359</v>
      </c>
      <c r="T2242" s="23">
        <f t="shared" ref="T2242:T2305" si="635">IF(OR(A2242=A2241,S2242=0),"",R2242-ABS(S2242))</f>
        <v>29291</v>
      </c>
      <c r="U2242" t="str">
        <f t="shared" ref="U2242:U2305" si="636">IF(A2242=A2241,"",A2242)</f>
        <v>CO_Dougl_2020g~Douglas County Commissioner - District 2 (Vote For 1)</v>
      </c>
      <c r="AF2242" s="22"/>
      <c r="AG2242" s="302"/>
      <c r="AH2242" s="301"/>
      <c r="AI2242" s="303"/>
      <c r="AJ2242" s="303"/>
      <c r="AK2242" s="342"/>
      <c r="AL2242" s="343"/>
    </row>
    <row r="2243" spans="1:38" ht="14.4">
      <c r="A2243" t="str">
        <f t="shared" si="629"/>
        <v>CO_Dougl_2020g~Douglas County Commissioner - District 2 (Vote For 1)</v>
      </c>
      <c r="B2243" s="79" t="s">
        <v>5640</v>
      </c>
      <c r="C2243" s="79" t="s">
        <v>5428</v>
      </c>
      <c r="D2243" s="79" t="s">
        <v>5428</v>
      </c>
      <c r="E2243" s="79" t="s">
        <v>5430</v>
      </c>
      <c r="F2243" s="79" t="s">
        <v>1294</v>
      </c>
      <c r="G2243" s="79">
        <v>91359</v>
      </c>
      <c r="H2243" s="86">
        <v>41.53</v>
      </c>
      <c r="I2243" s="79">
        <v>257580</v>
      </c>
      <c r="J2243" s="79">
        <v>234176</v>
      </c>
      <c r="K2243" s="79">
        <v>169</v>
      </c>
      <c r="L2243" s="79">
        <v>169</v>
      </c>
      <c r="M2243" s="79">
        <v>0</v>
      </c>
      <c r="N2243" s="79">
        <v>0</v>
      </c>
      <c r="O2243">
        <f t="shared" si="630"/>
        <v>2</v>
      </c>
      <c r="P2243" s="57">
        <f t="shared" si="631"/>
        <v>1</v>
      </c>
      <c r="Q2243" s="267">
        <f t="shared" si="632"/>
        <v>99310</v>
      </c>
      <c r="R2243" s="23" t="str">
        <f t="shared" si="633"/>
        <v/>
      </c>
      <c r="S2243" s="23">
        <f t="shared" si="634"/>
        <v>91359</v>
      </c>
      <c r="T2243" s="23" t="str">
        <f t="shared" si="635"/>
        <v/>
      </c>
      <c r="U2243" t="str">
        <f t="shared" si="636"/>
        <v/>
      </c>
      <c r="AF2243" s="22"/>
      <c r="AH2243" s="8"/>
    </row>
    <row r="2244" spans="1:38" ht="14.4">
      <c r="A2244" t="str">
        <f t="shared" si="629"/>
        <v>CO_Dougl_2020g~Douglas County Commissioner - District 2 (Vote For 1)</v>
      </c>
      <c r="B2244" s="79" t="s">
        <v>5640</v>
      </c>
      <c r="C2244" s="79" t="s">
        <v>5428</v>
      </c>
      <c r="D2244" s="79" t="s">
        <v>5428</v>
      </c>
      <c r="E2244" s="79" t="s">
        <v>5431</v>
      </c>
      <c r="F2244" s="79" t="s">
        <v>4951</v>
      </c>
      <c r="G2244" s="79">
        <v>7951</v>
      </c>
      <c r="H2244" s="86">
        <v>3.61</v>
      </c>
      <c r="I2244" s="79">
        <v>257580</v>
      </c>
      <c r="J2244" s="79">
        <v>234176</v>
      </c>
      <c r="K2244" s="79">
        <v>169</v>
      </c>
      <c r="L2244" s="79">
        <v>169</v>
      </c>
      <c r="M2244" s="79">
        <v>0</v>
      </c>
      <c r="N2244" s="79">
        <v>0</v>
      </c>
      <c r="O2244">
        <f t="shared" si="630"/>
        <v>3</v>
      </c>
      <c r="P2244" s="57">
        <f t="shared" si="631"/>
        <v>1</v>
      </c>
      <c r="Q2244" s="267">
        <f t="shared" si="632"/>
        <v>7951</v>
      </c>
      <c r="R2244" s="23" t="str">
        <f t="shared" si="633"/>
        <v/>
      </c>
      <c r="S2244" s="23">
        <f t="shared" si="634"/>
        <v>7951</v>
      </c>
      <c r="T2244" s="23" t="str">
        <f t="shared" si="635"/>
        <v/>
      </c>
      <c r="U2244" t="str">
        <f t="shared" si="636"/>
        <v/>
      </c>
      <c r="AF2244" s="22"/>
    </row>
    <row r="2245" spans="1:38" ht="14.4">
      <c r="A2245" t="str">
        <f t="shared" si="629"/>
        <v>CO_Dougl_2020g~Douglas County Commissioner - District 3 (Vote For 1)</v>
      </c>
      <c r="B2245" s="79" t="s">
        <v>5640</v>
      </c>
      <c r="C2245" s="79" t="s">
        <v>5432</v>
      </c>
      <c r="D2245" s="79" t="s">
        <v>5432</v>
      </c>
      <c r="E2245" s="79" t="s">
        <v>5434</v>
      </c>
      <c r="F2245" s="79" t="s">
        <v>1296</v>
      </c>
      <c r="G2245" s="79">
        <v>128094</v>
      </c>
      <c r="H2245" s="86">
        <v>58.77</v>
      </c>
      <c r="I2245" s="79">
        <v>257580</v>
      </c>
      <c r="J2245" s="79">
        <v>234176</v>
      </c>
      <c r="K2245" s="79">
        <v>169</v>
      </c>
      <c r="L2245" s="79">
        <v>169</v>
      </c>
      <c r="M2245" s="79">
        <v>0</v>
      </c>
      <c r="N2245" s="79">
        <v>0</v>
      </c>
      <c r="O2245">
        <f t="shared" si="630"/>
        <v>1</v>
      </c>
      <c r="P2245" s="57">
        <f t="shared" si="631"/>
        <v>1</v>
      </c>
      <c r="Q2245" s="267">
        <f t="shared" si="632"/>
        <v>217975</v>
      </c>
      <c r="R2245" s="23">
        <f t="shared" si="633"/>
        <v>128094</v>
      </c>
      <c r="S2245" s="23">
        <f t="shared" si="634"/>
        <v>89881</v>
      </c>
      <c r="T2245" s="23">
        <f t="shared" si="635"/>
        <v>38213</v>
      </c>
      <c r="U2245" t="str">
        <f t="shared" si="636"/>
        <v>CO_Dougl_2020g~Douglas County Commissioner - District 3 (Vote For 1)</v>
      </c>
      <c r="AF2245" s="88"/>
    </row>
    <row r="2246" spans="1:38" ht="14.4">
      <c r="A2246" t="str">
        <f t="shared" si="629"/>
        <v>CO_Dougl_2020g~Douglas County Commissioner - District 3 (Vote For 1)</v>
      </c>
      <c r="B2246" s="79" t="s">
        <v>5640</v>
      </c>
      <c r="C2246" s="79" t="s">
        <v>5432</v>
      </c>
      <c r="D2246" s="79" t="s">
        <v>5432</v>
      </c>
      <c r="E2246" s="79" t="s">
        <v>5433</v>
      </c>
      <c r="F2246" s="79" t="s">
        <v>1294</v>
      </c>
      <c r="G2246" s="79">
        <v>89881</v>
      </c>
      <c r="H2246" s="86">
        <v>41.23</v>
      </c>
      <c r="I2246" s="79">
        <v>257580</v>
      </c>
      <c r="J2246" s="79">
        <v>234176</v>
      </c>
      <c r="K2246" s="79">
        <v>169</v>
      </c>
      <c r="L2246" s="79">
        <v>169</v>
      </c>
      <c r="M2246" s="79">
        <v>0</v>
      </c>
      <c r="N2246" s="79">
        <v>0</v>
      </c>
      <c r="O2246">
        <f t="shared" si="630"/>
        <v>2</v>
      </c>
      <c r="P2246" s="57">
        <f t="shared" si="631"/>
        <v>1</v>
      </c>
      <c r="Q2246" s="267">
        <f t="shared" si="632"/>
        <v>89881</v>
      </c>
      <c r="R2246" s="23" t="str">
        <f t="shared" si="633"/>
        <v/>
      </c>
      <c r="S2246" s="23">
        <f t="shared" si="634"/>
        <v>89881</v>
      </c>
      <c r="T2246" s="23" t="str">
        <f t="shared" si="635"/>
        <v/>
      </c>
      <c r="U2246" t="str">
        <f t="shared" si="636"/>
        <v/>
      </c>
      <c r="AF2246" s="88"/>
    </row>
    <row r="2247" spans="1:38" ht="14.4">
      <c r="A2247" t="str">
        <f t="shared" si="629"/>
        <v>CO_Dougl_2020g~Franktown Fire Protection District Ballot Issue 6A (Vote For 1)</v>
      </c>
      <c r="B2247" s="79" t="s">
        <v>5640</v>
      </c>
      <c r="C2247" s="79" t="s">
        <v>5452</v>
      </c>
      <c r="D2247" s="79" t="s">
        <v>5452</v>
      </c>
      <c r="E2247" s="79" t="s">
        <v>1393</v>
      </c>
      <c r="F2247" s="79" t="s">
        <v>1508</v>
      </c>
      <c r="G2247" s="79">
        <v>4500</v>
      </c>
      <c r="H2247" s="86">
        <v>62.64</v>
      </c>
      <c r="I2247" s="79">
        <v>17497</v>
      </c>
      <c r="J2247" s="79">
        <v>16148</v>
      </c>
      <c r="K2247" s="79">
        <v>13</v>
      </c>
      <c r="L2247" s="79">
        <v>13</v>
      </c>
      <c r="M2247" s="79">
        <v>0</v>
      </c>
      <c r="N2247" s="79">
        <v>0</v>
      </c>
      <c r="O2247">
        <f t="shared" si="630"/>
        <v>1</v>
      </c>
      <c r="P2247" s="57">
        <f t="shared" si="631"/>
        <v>1</v>
      </c>
      <c r="Q2247" s="267">
        <f t="shared" si="632"/>
        <v>7184</v>
      </c>
      <c r="R2247" s="23">
        <f t="shared" si="633"/>
        <v>4500</v>
      </c>
      <c r="S2247" s="23">
        <f t="shared" si="634"/>
        <v>2684</v>
      </c>
      <c r="T2247" s="23">
        <f t="shared" si="635"/>
        <v>1816</v>
      </c>
      <c r="U2247" t="str">
        <f t="shared" si="636"/>
        <v>CO_Dougl_2020g~Franktown Fire Protection District Ballot Issue 6A (Vote For 1)</v>
      </c>
      <c r="AF2247" s="88"/>
    </row>
    <row r="2248" spans="1:38" ht="14.4">
      <c r="A2248" t="str">
        <f t="shared" si="629"/>
        <v>CO_Dougl_2020g~Franktown Fire Protection District Ballot Issue 6A (Vote For 1)</v>
      </c>
      <c r="B2248" s="79" t="s">
        <v>5640</v>
      </c>
      <c r="C2248" s="79" t="s">
        <v>5452</v>
      </c>
      <c r="D2248" s="79" t="s">
        <v>5452</v>
      </c>
      <c r="E2248" s="79" t="s">
        <v>1394</v>
      </c>
      <c r="F2248" s="79" t="s">
        <v>1509</v>
      </c>
      <c r="G2248" s="79">
        <v>2684</v>
      </c>
      <c r="H2248" s="86">
        <v>37.36</v>
      </c>
      <c r="I2248" s="79">
        <v>17497</v>
      </c>
      <c r="J2248" s="79">
        <v>16148</v>
      </c>
      <c r="K2248" s="79">
        <v>13</v>
      </c>
      <c r="L2248" s="79">
        <v>13</v>
      </c>
      <c r="M2248" s="79">
        <v>0</v>
      </c>
      <c r="N2248" s="79">
        <v>0</v>
      </c>
      <c r="O2248">
        <f t="shared" si="630"/>
        <v>2</v>
      </c>
      <c r="P2248" s="57">
        <f t="shared" si="631"/>
        <v>1</v>
      </c>
      <c r="Q2248" s="267">
        <f t="shared" si="632"/>
        <v>2684</v>
      </c>
      <c r="R2248" s="23" t="str">
        <f t="shared" si="633"/>
        <v/>
      </c>
      <c r="S2248" s="23">
        <f t="shared" si="634"/>
        <v>2684</v>
      </c>
      <c r="T2248" s="23" t="str">
        <f t="shared" si="635"/>
        <v/>
      </c>
      <c r="U2248" t="str">
        <f t="shared" si="636"/>
        <v/>
      </c>
      <c r="AF2248" s="88"/>
    </row>
    <row r="2249" spans="1:38" ht="14.4">
      <c r="A2249" t="str">
        <f t="shared" si="629"/>
        <v>CO_Dougl_2020g~Regional Transportation District Director - District G (Vote For 1)</v>
      </c>
      <c r="B2249" s="79" t="s">
        <v>5640</v>
      </c>
      <c r="C2249" s="79" t="s">
        <v>5226</v>
      </c>
      <c r="D2249" s="79" t="s">
        <v>5226</v>
      </c>
      <c r="E2249" s="79" t="s">
        <v>5227</v>
      </c>
      <c r="F2249" s="79">
        <v>1</v>
      </c>
      <c r="G2249" s="79">
        <v>29053</v>
      </c>
      <c r="H2249" s="86">
        <v>51.9</v>
      </c>
      <c r="I2249" s="79">
        <v>106620</v>
      </c>
      <c r="J2249" s="79">
        <v>96142</v>
      </c>
      <c r="K2249" s="79">
        <v>68</v>
      </c>
      <c r="L2249" s="79">
        <v>68</v>
      </c>
      <c r="M2249" s="79">
        <v>0</v>
      </c>
      <c r="N2249" s="79">
        <v>0</v>
      </c>
      <c r="O2249">
        <f t="shared" si="630"/>
        <v>1</v>
      </c>
      <c r="P2249" s="57">
        <f t="shared" si="631"/>
        <v>1</v>
      </c>
      <c r="Q2249" s="267">
        <f t="shared" si="632"/>
        <v>55983</v>
      </c>
      <c r="R2249" s="23">
        <f t="shared" si="633"/>
        <v>29053</v>
      </c>
      <c r="S2249" s="23">
        <f t="shared" si="634"/>
        <v>26930</v>
      </c>
      <c r="T2249" s="23">
        <f t="shared" si="635"/>
        <v>2123</v>
      </c>
      <c r="U2249" t="str">
        <f t="shared" si="636"/>
        <v>CO_Dougl_2020g~Regional Transportation District Director - District G (Vote For 1)</v>
      </c>
      <c r="AF2249" s="22"/>
    </row>
    <row r="2250" spans="1:38" ht="14.4">
      <c r="A2250" t="str">
        <f t="shared" si="629"/>
        <v>CO_Dougl_2020g~Regional Transportation District Director - District G (Vote For 1)</v>
      </c>
      <c r="B2250" s="79" t="s">
        <v>5640</v>
      </c>
      <c r="C2250" s="79" t="s">
        <v>5226</v>
      </c>
      <c r="D2250" s="79" t="s">
        <v>5226</v>
      </c>
      <c r="E2250" s="79" t="s">
        <v>5228</v>
      </c>
      <c r="F2250" s="79">
        <v>2</v>
      </c>
      <c r="G2250" s="79">
        <v>26930</v>
      </c>
      <c r="H2250" s="86">
        <v>48.1</v>
      </c>
      <c r="I2250" s="79">
        <v>106620</v>
      </c>
      <c r="J2250" s="79">
        <v>96142</v>
      </c>
      <c r="K2250" s="79">
        <v>68</v>
      </c>
      <c r="L2250" s="79">
        <v>68</v>
      </c>
      <c r="M2250" s="79">
        <v>0</v>
      </c>
      <c r="N2250" s="79">
        <v>0</v>
      </c>
      <c r="O2250">
        <f t="shared" si="630"/>
        <v>2</v>
      </c>
      <c r="P2250" s="57">
        <f t="shared" si="631"/>
        <v>1</v>
      </c>
      <c r="Q2250" s="267">
        <f t="shared" si="632"/>
        <v>26930</v>
      </c>
      <c r="R2250" s="23" t="str">
        <f t="shared" si="633"/>
        <v/>
      </c>
      <c r="S2250" s="23">
        <f t="shared" si="634"/>
        <v>26930</v>
      </c>
      <c r="T2250" s="23" t="str">
        <f t="shared" si="635"/>
        <v/>
      </c>
      <c r="U2250" t="str">
        <f t="shared" si="636"/>
        <v/>
      </c>
      <c r="AF2250" s="22"/>
    </row>
    <row r="2251" spans="1:38" ht="14.4">
      <c r="A2251" t="str">
        <f t="shared" si="629"/>
        <v>CO_Dougl_2020g~State Representative - District 39 (Vote For 1)</v>
      </c>
      <c r="B2251" s="79" t="s">
        <v>5640</v>
      </c>
      <c r="C2251" s="79" t="s">
        <v>5155</v>
      </c>
      <c r="D2251" s="79" t="s">
        <v>5155</v>
      </c>
      <c r="E2251" s="79" t="s">
        <v>5156</v>
      </c>
      <c r="F2251" s="79" t="s">
        <v>1296</v>
      </c>
      <c r="G2251" s="79">
        <v>26509</v>
      </c>
      <c r="H2251" s="86">
        <v>61.23</v>
      </c>
      <c r="I2251" s="79">
        <v>49644</v>
      </c>
      <c r="J2251" s="79">
        <v>45803</v>
      </c>
      <c r="K2251" s="79">
        <v>37</v>
      </c>
      <c r="L2251" s="79">
        <v>37</v>
      </c>
      <c r="M2251" s="79">
        <v>0</v>
      </c>
      <c r="N2251" s="79">
        <v>0</v>
      </c>
      <c r="O2251">
        <f t="shared" si="630"/>
        <v>1</v>
      </c>
      <c r="P2251" s="57">
        <f t="shared" si="631"/>
        <v>1</v>
      </c>
      <c r="Q2251" s="267">
        <f t="shared" si="632"/>
        <v>43291</v>
      </c>
      <c r="R2251" s="23">
        <f t="shared" si="633"/>
        <v>26509</v>
      </c>
      <c r="S2251" s="23">
        <f t="shared" si="634"/>
        <v>15619</v>
      </c>
      <c r="T2251" s="23">
        <f t="shared" si="635"/>
        <v>10890</v>
      </c>
      <c r="U2251" t="str">
        <f t="shared" si="636"/>
        <v>CO_Dougl_2020g~State Representative - District 39 (Vote For 1)</v>
      </c>
      <c r="AF2251" s="22"/>
      <c r="AG2251" s="23"/>
      <c r="AH2251" s="8"/>
    </row>
    <row r="2252" spans="1:38" ht="14.4">
      <c r="A2252" t="str">
        <f t="shared" si="629"/>
        <v>CO_Dougl_2020g~State Representative - District 39 (Vote For 1)</v>
      </c>
      <c r="B2252" s="79" t="s">
        <v>5640</v>
      </c>
      <c r="C2252" s="79" t="s">
        <v>5155</v>
      </c>
      <c r="D2252" s="79" t="s">
        <v>5155</v>
      </c>
      <c r="E2252" s="79" t="s">
        <v>5157</v>
      </c>
      <c r="F2252" s="79" t="s">
        <v>1294</v>
      </c>
      <c r="G2252" s="79">
        <v>15619</v>
      </c>
      <c r="H2252" s="86">
        <v>36.08</v>
      </c>
      <c r="I2252" s="79">
        <v>49644</v>
      </c>
      <c r="J2252" s="79">
        <v>45803</v>
      </c>
      <c r="K2252" s="79">
        <v>37</v>
      </c>
      <c r="L2252" s="79">
        <v>37</v>
      </c>
      <c r="M2252" s="79">
        <v>0</v>
      </c>
      <c r="N2252" s="79">
        <v>0</v>
      </c>
      <c r="O2252">
        <f t="shared" si="630"/>
        <v>2</v>
      </c>
      <c r="P2252" s="57">
        <f t="shared" si="631"/>
        <v>1</v>
      </c>
      <c r="Q2252" s="267">
        <f t="shared" si="632"/>
        <v>16782</v>
      </c>
      <c r="R2252" s="23" t="str">
        <f t="shared" si="633"/>
        <v/>
      </c>
      <c r="S2252" s="23">
        <f t="shared" si="634"/>
        <v>15619</v>
      </c>
      <c r="T2252" s="23" t="str">
        <f t="shared" si="635"/>
        <v/>
      </c>
      <c r="U2252" t="str">
        <f t="shared" si="636"/>
        <v/>
      </c>
      <c r="AF2252" s="22"/>
      <c r="AH2252" s="8"/>
      <c r="AL2252" s="23"/>
    </row>
    <row r="2253" spans="1:38" ht="14.4">
      <c r="A2253" t="str">
        <f t="shared" si="629"/>
        <v>CO_Dougl_2020g~State Representative - District 39 (Vote For 1)</v>
      </c>
      <c r="B2253" s="79" t="s">
        <v>5640</v>
      </c>
      <c r="C2253" s="79" t="s">
        <v>5155</v>
      </c>
      <c r="D2253" s="79" t="s">
        <v>5155</v>
      </c>
      <c r="E2253" s="79" t="s">
        <v>5158</v>
      </c>
      <c r="F2253" s="79" t="s">
        <v>4951</v>
      </c>
      <c r="G2253" s="79">
        <v>1163</v>
      </c>
      <c r="H2253" s="86">
        <v>2.69</v>
      </c>
      <c r="I2253" s="79">
        <v>49644</v>
      </c>
      <c r="J2253" s="79">
        <v>45803</v>
      </c>
      <c r="K2253" s="79">
        <v>37</v>
      </c>
      <c r="L2253" s="79">
        <v>37</v>
      </c>
      <c r="M2253" s="79">
        <v>0</v>
      </c>
      <c r="N2253" s="79">
        <v>0</v>
      </c>
      <c r="O2253">
        <f t="shared" si="630"/>
        <v>3</v>
      </c>
      <c r="P2253" s="57">
        <f t="shared" si="631"/>
        <v>1</v>
      </c>
      <c r="Q2253" s="267">
        <f t="shared" si="632"/>
        <v>1163</v>
      </c>
      <c r="R2253" s="23" t="str">
        <f t="shared" si="633"/>
        <v/>
      </c>
      <c r="S2253" s="23">
        <f t="shared" si="634"/>
        <v>1163</v>
      </c>
      <c r="T2253" s="23" t="str">
        <f t="shared" si="635"/>
        <v/>
      </c>
      <c r="U2253" t="str">
        <f t="shared" si="636"/>
        <v/>
      </c>
      <c r="AF2253" s="22"/>
    </row>
    <row r="2254" spans="1:38" ht="14.4">
      <c r="A2254" t="str">
        <f t="shared" si="629"/>
        <v>CO_Dougl_2020g~State Representative - District 43 (Vote For 1)</v>
      </c>
      <c r="B2254" s="79" t="s">
        <v>5640</v>
      </c>
      <c r="C2254" s="79" t="s">
        <v>5168</v>
      </c>
      <c r="D2254" s="79" t="s">
        <v>5168</v>
      </c>
      <c r="E2254" s="79" t="s">
        <v>5169</v>
      </c>
      <c r="F2254" s="79" t="s">
        <v>1296</v>
      </c>
      <c r="G2254" s="79">
        <v>26758</v>
      </c>
      <c r="H2254" s="86">
        <v>52.86</v>
      </c>
      <c r="I2254" s="79">
        <v>59311</v>
      </c>
      <c r="J2254" s="79">
        <v>54415</v>
      </c>
      <c r="K2254" s="79">
        <v>42</v>
      </c>
      <c r="L2254" s="79">
        <v>42</v>
      </c>
      <c r="M2254" s="79">
        <v>0</v>
      </c>
      <c r="N2254" s="79">
        <v>0</v>
      </c>
      <c r="O2254">
        <f t="shared" si="630"/>
        <v>1</v>
      </c>
      <c r="P2254" s="57">
        <f t="shared" si="631"/>
        <v>1</v>
      </c>
      <c r="Q2254" s="267">
        <f t="shared" si="632"/>
        <v>50617</v>
      </c>
      <c r="R2254" s="23">
        <f t="shared" si="633"/>
        <v>26758</v>
      </c>
      <c r="S2254" s="23">
        <f t="shared" si="634"/>
        <v>23859</v>
      </c>
      <c r="T2254" s="23">
        <f t="shared" si="635"/>
        <v>2899</v>
      </c>
      <c r="U2254" t="str">
        <f t="shared" si="636"/>
        <v>CO_Dougl_2020g~State Representative - District 43 (Vote For 1)</v>
      </c>
      <c r="AF2254" s="22"/>
    </row>
    <row r="2255" spans="1:38" ht="14.4">
      <c r="A2255" t="str">
        <f t="shared" si="629"/>
        <v>CO_Dougl_2020g~State Representative - District 43 (Vote For 1)</v>
      </c>
      <c r="B2255" s="79" t="s">
        <v>5640</v>
      </c>
      <c r="C2255" s="79" t="s">
        <v>5168</v>
      </c>
      <c r="D2255" s="79" t="s">
        <v>5168</v>
      </c>
      <c r="E2255" s="79" t="s">
        <v>5170</v>
      </c>
      <c r="F2255" s="79" t="s">
        <v>1294</v>
      </c>
      <c r="G2255" s="79">
        <v>23859</v>
      </c>
      <c r="H2255" s="86">
        <v>47.14</v>
      </c>
      <c r="I2255" s="79">
        <v>59311</v>
      </c>
      <c r="J2255" s="79">
        <v>54415</v>
      </c>
      <c r="K2255" s="79">
        <v>42</v>
      </c>
      <c r="L2255" s="79">
        <v>42</v>
      </c>
      <c r="M2255" s="79">
        <v>0</v>
      </c>
      <c r="N2255" s="79">
        <v>0</v>
      </c>
      <c r="O2255">
        <f t="shared" si="630"/>
        <v>2</v>
      </c>
      <c r="P2255" s="57">
        <f t="shared" si="631"/>
        <v>1</v>
      </c>
      <c r="Q2255" s="267">
        <f t="shared" si="632"/>
        <v>23859</v>
      </c>
      <c r="R2255" s="23" t="str">
        <f t="shared" si="633"/>
        <v/>
      </c>
      <c r="S2255" s="23">
        <f t="shared" si="634"/>
        <v>23859</v>
      </c>
      <c r="T2255" s="23" t="str">
        <f t="shared" si="635"/>
        <v/>
      </c>
      <c r="U2255" t="str">
        <f t="shared" si="636"/>
        <v/>
      </c>
      <c r="AF2255" s="22"/>
    </row>
    <row r="2256" spans="1:38" ht="14.4">
      <c r="A2256" t="str">
        <f t="shared" si="629"/>
        <v>CO_Dougl_2020g~State Representative - District 44 (Vote For 1)</v>
      </c>
      <c r="B2256" s="79" t="s">
        <v>5640</v>
      </c>
      <c r="C2256" s="79" t="s">
        <v>5171</v>
      </c>
      <c r="D2256" s="79" t="s">
        <v>5171</v>
      </c>
      <c r="E2256" s="79" t="s">
        <v>5173</v>
      </c>
      <c r="F2256" s="79" t="s">
        <v>1296</v>
      </c>
      <c r="G2256" s="79">
        <v>32963</v>
      </c>
      <c r="H2256" s="86">
        <v>55.35</v>
      </c>
      <c r="I2256" s="79">
        <v>70673</v>
      </c>
      <c r="J2256" s="79">
        <v>63155</v>
      </c>
      <c r="K2256" s="79">
        <v>45</v>
      </c>
      <c r="L2256" s="79">
        <v>45</v>
      </c>
      <c r="M2256" s="79">
        <v>0</v>
      </c>
      <c r="N2256" s="79">
        <v>0</v>
      </c>
      <c r="O2256">
        <f t="shared" si="630"/>
        <v>1</v>
      </c>
      <c r="P2256" s="57">
        <f t="shared" si="631"/>
        <v>1</v>
      </c>
      <c r="Q2256" s="267">
        <f t="shared" si="632"/>
        <v>59553</v>
      </c>
      <c r="R2256" s="23">
        <f t="shared" si="633"/>
        <v>32963</v>
      </c>
      <c r="S2256" s="23">
        <f t="shared" si="634"/>
        <v>24795</v>
      </c>
      <c r="T2256" s="23">
        <f t="shared" si="635"/>
        <v>8168</v>
      </c>
      <c r="U2256" t="str">
        <f t="shared" si="636"/>
        <v>CO_Dougl_2020g~State Representative - District 44 (Vote For 1)</v>
      </c>
      <c r="AF2256" s="22"/>
    </row>
    <row r="2257" spans="1:38" ht="14.4">
      <c r="A2257" t="str">
        <f t="shared" si="629"/>
        <v>CO_Dougl_2020g~State Representative - District 44 (Vote For 1)</v>
      </c>
      <c r="B2257" s="79" t="s">
        <v>5640</v>
      </c>
      <c r="C2257" s="79" t="s">
        <v>5171</v>
      </c>
      <c r="D2257" s="79" t="s">
        <v>5171</v>
      </c>
      <c r="E2257" s="79" t="s">
        <v>5172</v>
      </c>
      <c r="F2257" s="79" t="s">
        <v>1294</v>
      </c>
      <c r="G2257" s="79">
        <v>24795</v>
      </c>
      <c r="H2257" s="86">
        <v>41.64</v>
      </c>
      <c r="I2257" s="79">
        <v>70673</v>
      </c>
      <c r="J2257" s="79">
        <v>63155</v>
      </c>
      <c r="K2257" s="79">
        <v>45</v>
      </c>
      <c r="L2257" s="79">
        <v>45</v>
      </c>
      <c r="M2257" s="79">
        <v>0</v>
      </c>
      <c r="N2257" s="79">
        <v>0</v>
      </c>
      <c r="O2257">
        <f t="shared" si="630"/>
        <v>2</v>
      </c>
      <c r="P2257" s="57">
        <f t="shared" si="631"/>
        <v>1</v>
      </c>
      <c r="Q2257" s="267">
        <f t="shared" si="632"/>
        <v>26590</v>
      </c>
      <c r="R2257" s="23" t="str">
        <f t="shared" si="633"/>
        <v/>
      </c>
      <c r="S2257" s="23">
        <f t="shared" si="634"/>
        <v>24795</v>
      </c>
      <c r="T2257" s="23" t="str">
        <f t="shared" si="635"/>
        <v/>
      </c>
      <c r="U2257" t="str">
        <f t="shared" si="636"/>
        <v/>
      </c>
      <c r="AF2257" s="22"/>
    </row>
    <row r="2258" spans="1:38" ht="14.4">
      <c r="A2258" t="str">
        <f t="shared" si="629"/>
        <v>CO_Dougl_2020g~State Representative - District 44 (Vote For 1)</v>
      </c>
      <c r="B2258" s="79" t="s">
        <v>5640</v>
      </c>
      <c r="C2258" s="79" t="s">
        <v>5171</v>
      </c>
      <c r="D2258" s="79" t="s">
        <v>5171</v>
      </c>
      <c r="E2258" s="79" t="s">
        <v>5174</v>
      </c>
      <c r="F2258" s="79" t="s">
        <v>4951</v>
      </c>
      <c r="G2258" s="79">
        <v>1795</v>
      </c>
      <c r="H2258" s="86">
        <v>3.01</v>
      </c>
      <c r="I2258" s="79">
        <v>70673</v>
      </c>
      <c r="J2258" s="79">
        <v>63155</v>
      </c>
      <c r="K2258" s="79">
        <v>45</v>
      </c>
      <c r="L2258" s="79">
        <v>45</v>
      </c>
      <c r="M2258" s="79">
        <v>0</v>
      </c>
      <c r="N2258" s="79">
        <v>0</v>
      </c>
      <c r="O2258">
        <f t="shared" si="630"/>
        <v>3</v>
      </c>
      <c r="P2258" s="57">
        <f t="shared" si="631"/>
        <v>1</v>
      </c>
      <c r="Q2258" s="267">
        <f t="shared" si="632"/>
        <v>1795</v>
      </c>
      <c r="R2258" s="23" t="str">
        <f t="shared" si="633"/>
        <v/>
      </c>
      <c r="S2258" s="23">
        <f t="shared" si="634"/>
        <v>1795</v>
      </c>
      <c r="T2258" s="23" t="str">
        <f t="shared" si="635"/>
        <v/>
      </c>
      <c r="U2258" t="str">
        <f t="shared" si="636"/>
        <v/>
      </c>
      <c r="AF2258" s="22"/>
    </row>
    <row r="2259" spans="1:38" ht="14.4">
      <c r="A2259" t="str">
        <f t="shared" si="629"/>
        <v>CO_Dougl_2020g~State Representative - District 45 (Vote For 1)</v>
      </c>
      <c r="B2259" s="79" t="s">
        <v>5640</v>
      </c>
      <c r="C2259" s="79" t="s">
        <v>5175</v>
      </c>
      <c r="D2259" s="79" t="s">
        <v>5175</v>
      </c>
      <c r="E2259" s="79" t="s">
        <v>5176</v>
      </c>
      <c r="F2259" s="79" t="s">
        <v>1296</v>
      </c>
      <c r="G2259" s="79">
        <v>40418</v>
      </c>
      <c r="H2259" s="86">
        <v>60.19</v>
      </c>
      <c r="I2259" s="79">
        <v>77952</v>
      </c>
      <c r="J2259" s="79">
        <v>70803</v>
      </c>
      <c r="K2259" s="79">
        <v>48</v>
      </c>
      <c r="L2259" s="79">
        <v>48</v>
      </c>
      <c r="M2259" s="79">
        <v>0</v>
      </c>
      <c r="N2259" s="79">
        <v>0</v>
      </c>
      <c r="O2259">
        <f t="shared" si="630"/>
        <v>1</v>
      </c>
      <c r="P2259" s="57">
        <f t="shared" si="631"/>
        <v>1</v>
      </c>
      <c r="Q2259" s="267">
        <f t="shared" si="632"/>
        <v>67155</v>
      </c>
      <c r="R2259" s="23">
        <f t="shared" si="633"/>
        <v>40418</v>
      </c>
      <c r="S2259" s="23">
        <f t="shared" si="634"/>
        <v>24779</v>
      </c>
      <c r="T2259" s="23">
        <f t="shared" si="635"/>
        <v>15639</v>
      </c>
      <c r="U2259" t="str">
        <f t="shared" si="636"/>
        <v>CO_Dougl_2020g~State Representative - District 45 (Vote For 1)</v>
      </c>
      <c r="AF2259" s="22"/>
    </row>
    <row r="2260" spans="1:38" ht="14.4">
      <c r="A2260" t="str">
        <f t="shared" si="629"/>
        <v>CO_Dougl_2020g~State Representative - District 45 (Vote For 1)</v>
      </c>
      <c r="B2260" s="79" t="s">
        <v>5640</v>
      </c>
      <c r="C2260" s="79" t="s">
        <v>5175</v>
      </c>
      <c r="D2260" s="79" t="s">
        <v>5175</v>
      </c>
      <c r="E2260" s="79" t="s">
        <v>5177</v>
      </c>
      <c r="F2260" s="79" t="s">
        <v>1294</v>
      </c>
      <c r="G2260" s="79">
        <v>24779</v>
      </c>
      <c r="H2260" s="86">
        <v>36.9</v>
      </c>
      <c r="I2260" s="79">
        <v>77952</v>
      </c>
      <c r="J2260" s="79">
        <v>70803</v>
      </c>
      <c r="K2260" s="79">
        <v>48</v>
      </c>
      <c r="L2260" s="79">
        <v>48</v>
      </c>
      <c r="M2260" s="79">
        <v>0</v>
      </c>
      <c r="N2260" s="79">
        <v>0</v>
      </c>
      <c r="O2260">
        <f t="shared" si="630"/>
        <v>2</v>
      </c>
      <c r="P2260" s="57">
        <f t="shared" si="631"/>
        <v>1</v>
      </c>
      <c r="Q2260" s="267">
        <f t="shared" si="632"/>
        <v>26737</v>
      </c>
      <c r="R2260" s="23" t="str">
        <f t="shared" si="633"/>
        <v/>
      </c>
      <c r="S2260" s="23">
        <f t="shared" si="634"/>
        <v>24779</v>
      </c>
      <c r="T2260" s="23" t="str">
        <f t="shared" si="635"/>
        <v/>
      </c>
      <c r="U2260" t="str">
        <f t="shared" si="636"/>
        <v/>
      </c>
      <c r="AF2260" s="22"/>
      <c r="AG2260" s="304"/>
      <c r="AH2260" s="301"/>
      <c r="AI2260" s="303"/>
      <c r="AJ2260" s="303"/>
      <c r="AK2260" s="342"/>
      <c r="AL2260" s="343"/>
    </row>
    <row r="2261" spans="1:38" ht="14.4">
      <c r="A2261" t="str">
        <f t="shared" si="629"/>
        <v>CO_Dougl_2020g~State Representative - District 45 (Vote For 1)</v>
      </c>
      <c r="B2261" s="79" t="s">
        <v>5640</v>
      </c>
      <c r="C2261" s="79" t="s">
        <v>5175</v>
      </c>
      <c r="D2261" s="79" t="s">
        <v>5175</v>
      </c>
      <c r="E2261" s="79" t="s">
        <v>5178</v>
      </c>
      <c r="F2261" s="79" t="s">
        <v>4951</v>
      </c>
      <c r="G2261" s="79">
        <v>1958</v>
      </c>
      <c r="H2261" s="86">
        <v>2.92</v>
      </c>
      <c r="I2261" s="79">
        <v>77952</v>
      </c>
      <c r="J2261" s="79">
        <v>70803</v>
      </c>
      <c r="K2261" s="79">
        <v>48</v>
      </c>
      <c r="L2261" s="79">
        <v>48</v>
      </c>
      <c r="M2261" s="79">
        <v>0</v>
      </c>
      <c r="N2261" s="79">
        <v>0</v>
      </c>
      <c r="O2261">
        <f t="shared" si="630"/>
        <v>3</v>
      </c>
      <c r="P2261" s="57">
        <f t="shared" si="631"/>
        <v>1</v>
      </c>
      <c r="Q2261" s="267">
        <f t="shared" si="632"/>
        <v>1958</v>
      </c>
      <c r="R2261" s="23" t="str">
        <f t="shared" si="633"/>
        <v/>
      </c>
      <c r="S2261" s="23">
        <f t="shared" si="634"/>
        <v>1958</v>
      </c>
      <c r="T2261" s="23" t="str">
        <f t="shared" si="635"/>
        <v/>
      </c>
      <c r="U2261" t="str">
        <f t="shared" si="636"/>
        <v/>
      </c>
      <c r="AF2261" s="22"/>
    </row>
    <row r="2262" spans="1:38" ht="14.4">
      <c r="A2262" t="str">
        <f t="shared" si="629"/>
        <v>CO_Dougl_2020g~State Senator - District 4 (Vote For 1)</v>
      </c>
      <c r="B2262" s="79" t="s">
        <v>5640</v>
      </c>
      <c r="C2262" s="79" t="s">
        <v>5004</v>
      </c>
      <c r="D2262" s="79" t="s">
        <v>5004</v>
      </c>
      <c r="E2262" s="79" t="s">
        <v>5005</v>
      </c>
      <c r="F2262" s="79" t="s">
        <v>1296</v>
      </c>
      <c r="G2262" s="79">
        <v>73832</v>
      </c>
      <c r="H2262" s="86">
        <v>62.27</v>
      </c>
      <c r="I2262" s="79">
        <v>137886</v>
      </c>
      <c r="J2262" s="79">
        <v>124615</v>
      </c>
      <c r="K2262" s="79">
        <v>89</v>
      </c>
      <c r="L2262" s="79">
        <v>89</v>
      </c>
      <c r="M2262" s="79">
        <v>0</v>
      </c>
      <c r="N2262" s="79">
        <v>0</v>
      </c>
      <c r="O2262">
        <f t="shared" si="630"/>
        <v>1</v>
      </c>
      <c r="P2262" s="57">
        <f t="shared" si="631"/>
        <v>1</v>
      </c>
      <c r="Q2262" s="267">
        <f t="shared" si="632"/>
        <v>118566</v>
      </c>
      <c r="R2262" s="23">
        <f t="shared" si="633"/>
        <v>73832</v>
      </c>
      <c r="S2262" s="23">
        <f t="shared" si="634"/>
        <v>41526</v>
      </c>
      <c r="T2262" s="23">
        <f t="shared" si="635"/>
        <v>32306</v>
      </c>
      <c r="U2262" t="str">
        <f t="shared" si="636"/>
        <v>CO_Dougl_2020g~State Senator - District 4 (Vote For 1)</v>
      </c>
      <c r="AF2262" s="22"/>
      <c r="AG2262" s="295"/>
      <c r="AH2262" s="294"/>
      <c r="AI2262" s="279"/>
      <c r="AJ2262" s="279"/>
      <c r="AL2262" s="341"/>
    </row>
    <row r="2263" spans="1:38" ht="14.4">
      <c r="A2263" t="str">
        <f t="shared" si="629"/>
        <v>CO_Dougl_2020g~State Senator - District 4 (Vote For 1)</v>
      </c>
      <c r="B2263" s="79" t="s">
        <v>5640</v>
      </c>
      <c r="C2263" s="79" t="s">
        <v>5004</v>
      </c>
      <c r="D2263" s="79" t="s">
        <v>5004</v>
      </c>
      <c r="E2263" s="79" t="s">
        <v>5006</v>
      </c>
      <c r="F2263" s="79" t="s">
        <v>1294</v>
      </c>
      <c r="G2263" s="79">
        <v>41526</v>
      </c>
      <c r="H2263" s="86">
        <v>35.020000000000003</v>
      </c>
      <c r="I2263" s="79">
        <v>137886</v>
      </c>
      <c r="J2263" s="79">
        <v>124615</v>
      </c>
      <c r="K2263" s="79">
        <v>89</v>
      </c>
      <c r="L2263" s="79">
        <v>89</v>
      </c>
      <c r="M2263" s="79">
        <v>0</v>
      </c>
      <c r="N2263" s="79">
        <v>0</v>
      </c>
      <c r="O2263">
        <f t="shared" si="630"/>
        <v>2</v>
      </c>
      <c r="P2263" s="57">
        <f t="shared" si="631"/>
        <v>1</v>
      </c>
      <c r="Q2263" s="267">
        <f t="shared" si="632"/>
        <v>44734</v>
      </c>
      <c r="R2263" s="23" t="str">
        <f t="shared" si="633"/>
        <v/>
      </c>
      <c r="S2263" s="23">
        <f t="shared" si="634"/>
        <v>41526</v>
      </c>
      <c r="T2263" s="23" t="str">
        <f t="shared" si="635"/>
        <v/>
      </c>
      <c r="U2263" t="str">
        <f t="shared" si="636"/>
        <v/>
      </c>
      <c r="AF2263" s="22"/>
    </row>
    <row r="2264" spans="1:38" ht="14.4">
      <c r="A2264" t="str">
        <f t="shared" si="629"/>
        <v>CO_Dougl_2020g~State Senator - District 4 (Vote For 1)</v>
      </c>
      <c r="B2264" s="79" t="s">
        <v>5640</v>
      </c>
      <c r="C2264" s="79" t="s">
        <v>5004</v>
      </c>
      <c r="D2264" s="79" t="s">
        <v>5004</v>
      </c>
      <c r="E2264" s="79" t="s">
        <v>5007</v>
      </c>
      <c r="F2264" s="79" t="s">
        <v>4951</v>
      </c>
      <c r="G2264" s="79">
        <v>3208</v>
      </c>
      <c r="H2264" s="86">
        <v>2.71</v>
      </c>
      <c r="I2264" s="79">
        <v>137886</v>
      </c>
      <c r="J2264" s="79">
        <v>124615</v>
      </c>
      <c r="K2264" s="79">
        <v>89</v>
      </c>
      <c r="L2264" s="79">
        <v>89</v>
      </c>
      <c r="M2264" s="79">
        <v>0</v>
      </c>
      <c r="N2264" s="79">
        <v>0</v>
      </c>
      <c r="O2264">
        <f t="shared" si="630"/>
        <v>3</v>
      </c>
      <c r="P2264" s="57">
        <f t="shared" si="631"/>
        <v>1</v>
      </c>
      <c r="Q2264" s="267">
        <f t="shared" si="632"/>
        <v>3208</v>
      </c>
      <c r="R2264" s="23" t="str">
        <f t="shared" si="633"/>
        <v/>
      </c>
      <c r="S2264" s="23">
        <f t="shared" si="634"/>
        <v>3208</v>
      </c>
      <c r="T2264" s="23" t="str">
        <f t="shared" si="635"/>
        <v/>
      </c>
      <c r="U2264" t="str">
        <f t="shared" si="636"/>
        <v/>
      </c>
      <c r="AF2264" s="22"/>
      <c r="AL2264" s="23"/>
    </row>
    <row r="2265" spans="1:38" ht="14.4">
      <c r="A2265" t="str">
        <f t="shared" si="629"/>
        <v>CO_Dougl_2020g~Town of Castle Rock Councilmember - District 1 (Vote For 1)</v>
      </c>
      <c r="B2265" s="79" t="s">
        <v>5640</v>
      </c>
      <c r="C2265" s="79" t="s">
        <v>5521</v>
      </c>
      <c r="D2265" s="79" t="s">
        <v>5521</v>
      </c>
      <c r="E2265" s="79" t="s">
        <v>5524</v>
      </c>
      <c r="F2265" s="79">
        <v>3</v>
      </c>
      <c r="G2265" s="79">
        <v>3291</v>
      </c>
      <c r="H2265" s="86">
        <v>54.95</v>
      </c>
      <c r="I2265" s="79">
        <v>9185</v>
      </c>
      <c r="J2265" s="79">
        <v>8372</v>
      </c>
      <c r="K2265" s="79">
        <v>7</v>
      </c>
      <c r="L2265" s="79">
        <v>7</v>
      </c>
      <c r="M2265" s="79">
        <v>0</v>
      </c>
      <c r="N2265" s="79">
        <v>0</v>
      </c>
      <c r="O2265">
        <f t="shared" si="630"/>
        <v>1</v>
      </c>
      <c r="P2265" s="57">
        <f t="shared" si="631"/>
        <v>1</v>
      </c>
      <c r="Q2265" s="267">
        <f t="shared" si="632"/>
        <v>5989</v>
      </c>
      <c r="R2265" s="23">
        <f t="shared" si="633"/>
        <v>3291</v>
      </c>
      <c r="S2265" s="23">
        <f t="shared" si="634"/>
        <v>1919</v>
      </c>
      <c r="T2265" s="23">
        <f t="shared" si="635"/>
        <v>1372</v>
      </c>
      <c r="U2265" t="str">
        <f t="shared" si="636"/>
        <v>CO_Dougl_2020g~Town of Castle Rock Councilmember - District 1 (Vote For 1)</v>
      </c>
      <c r="AF2265" s="22"/>
      <c r="AG2265" s="302"/>
      <c r="AH2265" s="301"/>
      <c r="AI2265" s="303"/>
      <c r="AJ2265" s="303"/>
      <c r="AK2265" s="342"/>
      <c r="AL2265" s="343"/>
    </row>
    <row r="2266" spans="1:38" ht="14.4">
      <c r="A2266" t="str">
        <f t="shared" si="629"/>
        <v>CO_Dougl_2020g~Town of Castle Rock Councilmember - District 1 (Vote For 1)</v>
      </c>
      <c r="B2266" s="79" t="s">
        <v>5640</v>
      </c>
      <c r="C2266" s="79" t="s">
        <v>5521</v>
      </c>
      <c r="D2266" s="79" t="s">
        <v>5521</v>
      </c>
      <c r="E2266" s="79" t="s">
        <v>5522</v>
      </c>
      <c r="F2266" s="79">
        <v>1</v>
      </c>
      <c r="G2266" s="79">
        <v>1919</v>
      </c>
      <c r="H2266" s="86">
        <v>32.04</v>
      </c>
      <c r="I2266" s="79">
        <v>9185</v>
      </c>
      <c r="J2266" s="79">
        <v>8372</v>
      </c>
      <c r="K2266" s="79">
        <v>7</v>
      </c>
      <c r="L2266" s="79">
        <v>7</v>
      </c>
      <c r="M2266" s="79">
        <v>0</v>
      </c>
      <c r="N2266" s="79">
        <v>0</v>
      </c>
      <c r="O2266">
        <f t="shared" si="630"/>
        <v>2</v>
      </c>
      <c r="P2266" s="57">
        <f t="shared" si="631"/>
        <v>1</v>
      </c>
      <c r="Q2266" s="267">
        <f t="shared" si="632"/>
        <v>2698</v>
      </c>
      <c r="R2266" s="23" t="str">
        <f t="shared" si="633"/>
        <v/>
      </c>
      <c r="S2266" s="23">
        <f t="shared" si="634"/>
        <v>1919</v>
      </c>
      <c r="T2266" s="23" t="str">
        <f t="shared" si="635"/>
        <v/>
      </c>
      <c r="U2266" t="str">
        <f t="shared" si="636"/>
        <v/>
      </c>
      <c r="AF2266" s="22"/>
      <c r="AG2266" s="23"/>
      <c r="AH2266" s="8"/>
    </row>
    <row r="2267" spans="1:38" ht="14.4">
      <c r="A2267" t="str">
        <f t="shared" si="629"/>
        <v>CO_Dougl_2020g~Town of Castle Rock Councilmember - District 1 (Vote For 1)</v>
      </c>
      <c r="B2267" s="79" t="s">
        <v>5640</v>
      </c>
      <c r="C2267" s="79" t="s">
        <v>5521</v>
      </c>
      <c r="D2267" s="79" t="s">
        <v>5521</v>
      </c>
      <c r="E2267" s="79" t="s">
        <v>5523</v>
      </c>
      <c r="F2267" s="79">
        <v>2</v>
      </c>
      <c r="G2267" s="79">
        <v>779</v>
      </c>
      <c r="H2267" s="86">
        <v>13.01</v>
      </c>
      <c r="I2267" s="79">
        <v>9185</v>
      </c>
      <c r="J2267" s="79">
        <v>8372</v>
      </c>
      <c r="K2267" s="79">
        <v>7</v>
      </c>
      <c r="L2267" s="79">
        <v>7</v>
      </c>
      <c r="M2267" s="79">
        <v>0</v>
      </c>
      <c r="N2267" s="79">
        <v>0</v>
      </c>
      <c r="O2267">
        <f t="shared" si="630"/>
        <v>3</v>
      </c>
      <c r="P2267" s="57">
        <f t="shared" si="631"/>
        <v>1</v>
      </c>
      <c r="Q2267" s="267">
        <f t="shared" si="632"/>
        <v>779</v>
      </c>
      <c r="R2267" s="23" t="str">
        <f t="shared" si="633"/>
        <v/>
      </c>
      <c r="S2267" s="23">
        <f t="shared" si="634"/>
        <v>779</v>
      </c>
      <c r="T2267" s="23" t="str">
        <f t="shared" si="635"/>
        <v/>
      </c>
      <c r="U2267" t="str">
        <f t="shared" si="636"/>
        <v/>
      </c>
      <c r="AF2267" s="22"/>
      <c r="AL2267" s="344"/>
    </row>
    <row r="2268" spans="1:38" ht="14.4">
      <c r="A2268" t="str">
        <f t="shared" si="629"/>
        <v>CO_Dougl_2020g~Town of Castle Rock Councilmember - District 2 (Vote For 1)</v>
      </c>
      <c r="B2268" s="79" t="s">
        <v>5640</v>
      </c>
      <c r="C2268" s="79" t="s">
        <v>5525</v>
      </c>
      <c r="D2268" s="79" t="s">
        <v>5525</v>
      </c>
      <c r="E2268" s="79" t="s">
        <v>5529</v>
      </c>
      <c r="F2268" s="79">
        <v>4</v>
      </c>
      <c r="G2268" s="79">
        <v>2882</v>
      </c>
      <c r="H2268" s="86">
        <v>44.24</v>
      </c>
      <c r="I2268" s="79">
        <v>16002</v>
      </c>
      <c r="J2268" s="79">
        <v>14415</v>
      </c>
      <c r="K2268" s="79">
        <v>10</v>
      </c>
      <c r="L2268" s="79">
        <v>10</v>
      </c>
      <c r="M2268" s="79">
        <v>0</v>
      </c>
      <c r="N2268" s="79">
        <v>0</v>
      </c>
      <c r="O2268">
        <f t="shared" si="630"/>
        <v>1</v>
      </c>
      <c r="P2268" s="57">
        <f t="shared" si="631"/>
        <v>1</v>
      </c>
      <c r="Q2268" s="267">
        <f t="shared" si="632"/>
        <v>6515</v>
      </c>
      <c r="R2268" s="23">
        <f t="shared" si="633"/>
        <v>2882</v>
      </c>
      <c r="S2268" s="23">
        <f t="shared" si="634"/>
        <v>1778</v>
      </c>
      <c r="T2268" s="23">
        <f t="shared" si="635"/>
        <v>1104</v>
      </c>
      <c r="U2268" t="str">
        <f t="shared" si="636"/>
        <v>CO_Dougl_2020g~Town of Castle Rock Councilmember - District 2 (Vote For 1)</v>
      </c>
      <c r="AF2268" s="22"/>
    </row>
    <row r="2269" spans="1:38" ht="14.4">
      <c r="A2269" t="str">
        <f t="shared" si="629"/>
        <v>CO_Dougl_2020g~Town of Castle Rock Councilmember - District 2 (Vote For 1)</v>
      </c>
      <c r="B2269" s="79" t="s">
        <v>5640</v>
      </c>
      <c r="C2269" s="79" t="s">
        <v>5525</v>
      </c>
      <c r="D2269" s="79" t="s">
        <v>5525</v>
      </c>
      <c r="E2269" s="79" t="s">
        <v>5528</v>
      </c>
      <c r="F2269" s="79">
        <v>3</v>
      </c>
      <c r="G2269" s="79">
        <v>1778</v>
      </c>
      <c r="H2269" s="86">
        <v>27.29</v>
      </c>
      <c r="I2269" s="79">
        <v>16002</v>
      </c>
      <c r="J2269" s="79">
        <v>14415</v>
      </c>
      <c r="K2269" s="79">
        <v>10</v>
      </c>
      <c r="L2269" s="79">
        <v>10</v>
      </c>
      <c r="M2269" s="79">
        <v>0</v>
      </c>
      <c r="N2269" s="79">
        <v>0</v>
      </c>
      <c r="O2269">
        <f t="shared" si="630"/>
        <v>2</v>
      </c>
      <c r="P2269" s="57">
        <f t="shared" si="631"/>
        <v>1</v>
      </c>
      <c r="Q2269" s="267">
        <f t="shared" si="632"/>
        <v>3633</v>
      </c>
      <c r="R2269" s="23" t="str">
        <f t="shared" si="633"/>
        <v/>
      </c>
      <c r="S2269" s="23">
        <f t="shared" si="634"/>
        <v>1778</v>
      </c>
      <c r="T2269" s="23" t="str">
        <f t="shared" si="635"/>
        <v/>
      </c>
      <c r="U2269" t="str">
        <f t="shared" si="636"/>
        <v/>
      </c>
      <c r="AF2269" s="22"/>
    </row>
    <row r="2270" spans="1:38" ht="14.4">
      <c r="A2270" t="str">
        <f t="shared" si="629"/>
        <v>CO_Dougl_2020g~Town of Castle Rock Councilmember - District 2 (Vote For 1)</v>
      </c>
      <c r="B2270" s="79" t="s">
        <v>5640</v>
      </c>
      <c r="C2270" s="79" t="s">
        <v>5525</v>
      </c>
      <c r="D2270" s="79" t="s">
        <v>5525</v>
      </c>
      <c r="E2270" s="79" t="s">
        <v>5526</v>
      </c>
      <c r="F2270" s="79">
        <v>1</v>
      </c>
      <c r="G2270" s="79">
        <v>990</v>
      </c>
      <c r="H2270" s="86">
        <v>15.2</v>
      </c>
      <c r="I2270" s="79">
        <v>16002</v>
      </c>
      <c r="J2270" s="79">
        <v>14415</v>
      </c>
      <c r="K2270" s="79">
        <v>10</v>
      </c>
      <c r="L2270" s="79">
        <v>10</v>
      </c>
      <c r="M2270" s="79">
        <v>0</v>
      </c>
      <c r="N2270" s="79">
        <v>0</v>
      </c>
      <c r="O2270">
        <f t="shared" si="630"/>
        <v>3</v>
      </c>
      <c r="P2270" s="57">
        <f t="shared" si="631"/>
        <v>1</v>
      </c>
      <c r="Q2270" s="267">
        <f t="shared" si="632"/>
        <v>1855</v>
      </c>
      <c r="R2270" s="23" t="str">
        <f t="shared" si="633"/>
        <v/>
      </c>
      <c r="S2270" s="23">
        <f t="shared" si="634"/>
        <v>990</v>
      </c>
      <c r="T2270" s="23" t="str">
        <f t="shared" si="635"/>
        <v/>
      </c>
      <c r="U2270" t="str">
        <f t="shared" si="636"/>
        <v/>
      </c>
      <c r="AF2270" s="22"/>
      <c r="AH2270" s="8"/>
    </row>
    <row r="2271" spans="1:38" ht="14.4">
      <c r="A2271" t="str">
        <f t="shared" si="629"/>
        <v>CO_Dougl_2020g~Town of Castle Rock Councilmember - District 2 (Vote For 1)</v>
      </c>
      <c r="B2271" s="79" t="s">
        <v>5640</v>
      </c>
      <c r="C2271" s="79" t="s">
        <v>5525</v>
      </c>
      <c r="D2271" s="79" t="s">
        <v>5525</v>
      </c>
      <c r="E2271" s="79" t="s">
        <v>5527</v>
      </c>
      <c r="F2271" s="79">
        <v>2</v>
      </c>
      <c r="G2271" s="79">
        <v>865</v>
      </c>
      <c r="H2271" s="86">
        <v>13.28</v>
      </c>
      <c r="I2271" s="79">
        <v>16002</v>
      </c>
      <c r="J2271" s="79">
        <v>14415</v>
      </c>
      <c r="K2271" s="79">
        <v>10</v>
      </c>
      <c r="L2271" s="79">
        <v>10</v>
      </c>
      <c r="M2271" s="79">
        <v>0</v>
      </c>
      <c r="N2271" s="79">
        <v>0</v>
      </c>
      <c r="O2271">
        <f t="shared" si="630"/>
        <v>4</v>
      </c>
      <c r="P2271" s="57">
        <f t="shared" si="631"/>
        <v>1</v>
      </c>
      <c r="Q2271" s="267">
        <f t="shared" si="632"/>
        <v>865</v>
      </c>
      <c r="R2271" s="23" t="str">
        <f t="shared" si="633"/>
        <v/>
      </c>
      <c r="S2271" s="23">
        <f t="shared" si="634"/>
        <v>865</v>
      </c>
      <c r="T2271" s="23" t="str">
        <f t="shared" si="635"/>
        <v/>
      </c>
      <c r="U2271" t="str">
        <f t="shared" si="636"/>
        <v/>
      </c>
      <c r="AF2271" s="22"/>
    </row>
    <row r="2272" spans="1:38" ht="14.4">
      <c r="A2272" t="str">
        <f t="shared" si="629"/>
        <v>CO_Dougl_2020g~Town of Castle Rock Councilmember - District 4 (Vote For 1)</v>
      </c>
      <c r="B2272" s="79" t="s">
        <v>5640</v>
      </c>
      <c r="C2272" s="79" t="s">
        <v>5530</v>
      </c>
      <c r="D2272" s="79" t="s">
        <v>5530</v>
      </c>
      <c r="E2272" s="79" t="s">
        <v>5531</v>
      </c>
      <c r="F2272" s="79">
        <v>1</v>
      </c>
      <c r="G2272" s="79">
        <v>2782</v>
      </c>
      <c r="H2272" s="86">
        <v>54.63</v>
      </c>
      <c r="I2272" s="79">
        <v>11971</v>
      </c>
      <c r="J2272" s="79">
        <v>10515</v>
      </c>
      <c r="K2272" s="79">
        <v>9</v>
      </c>
      <c r="L2272" s="79">
        <v>9</v>
      </c>
      <c r="M2272" s="79">
        <v>0</v>
      </c>
      <c r="N2272" s="79">
        <v>0</v>
      </c>
      <c r="O2272">
        <f t="shared" si="630"/>
        <v>1</v>
      </c>
      <c r="P2272" s="57">
        <f t="shared" si="631"/>
        <v>1</v>
      </c>
      <c r="Q2272" s="267">
        <f t="shared" si="632"/>
        <v>5092</v>
      </c>
      <c r="R2272" s="23">
        <f t="shared" si="633"/>
        <v>2782</v>
      </c>
      <c r="S2272" s="23">
        <f t="shared" si="634"/>
        <v>2310</v>
      </c>
      <c r="T2272" s="23">
        <f t="shared" si="635"/>
        <v>472</v>
      </c>
      <c r="U2272" t="str">
        <f t="shared" si="636"/>
        <v>CO_Dougl_2020g~Town of Castle Rock Councilmember - District 4 (Vote For 1)</v>
      </c>
      <c r="AF2272" s="22"/>
    </row>
    <row r="2273" spans="1:38" ht="14.4">
      <c r="A2273" t="str">
        <f t="shared" si="629"/>
        <v>CO_Dougl_2020g~Town of Castle Rock Councilmember - District 4 (Vote For 1)</v>
      </c>
      <c r="B2273" s="79" t="s">
        <v>5640</v>
      </c>
      <c r="C2273" s="79" t="s">
        <v>5530</v>
      </c>
      <c r="D2273" s="79" t="s">
        <v>5530</v>
      </c>
      <c r="E2273" s="79" t="s">
        <v>5532</v>
      </c>
      <c r="F2273" s="79">
        <v>2</v>
      </c>
      <c r="G2273" s="79">
        <v>2310</v>
      </c>
      <c r="H2273" s="86">
        <v>45.37</v>
      </c>
      <c r="I2273" s="79">
        <v>11971</v>
      </c>
      <c r="J2273" s="79">
        <v>10515</v>
      </c>
      <c r="K2273" s="79">
        <v>9</v>
      </c>
      <c r="L2273" s="79">
        <v>9</v>
      </c>
      <c r="M2273" s="79">
        <v>0</v>
      </c>
      <c r="N2273" s="79">
        <v>0</v>
      </c>
      <c r="O2273">
        <f t="shared" si="630"/>
        <v>2</v>
      </c>
      <c r="P2273" s="57">
        <f t="shared" si="631"/>
        <v>1</v>
      </c>
      <c r="Q2273" s="267">
        <f t="shared" si="632"/>
        <v>2310</v>
      </c>
      <c r="R2273" s="23" t="str">
        <f t="shared" si="633"/>
        <v/>
      </c>
      <c r="S2273" s="23">
        <f t="shared" si="634"/>
        <v>2310</v>
      </c>
      <c r="T2273" s="23" t="str">
        <f t="shared" si="635"/>
        <v/>
      </c>
      <c r="U2273" t="str">
        <f t="shared" si="636"/>
        <v/>
      </c>
      <c r="AF2273" s="22"/>
    </row>
    <row r="2274" spans="1:38" ht="14.4">
      <c r="A2274" t="str">
        <f t="shared" si="629"/>
        <v>CO_Dougl_2020g~Town of Castle Rock Councilmember - District 6 (Vote For 1)</v>
      </c>
      <c r="B2274" s="79" t="s">
        <v>5640</v>
      </c>
      <c r="C2274" s="79" t="s">
        <v>5533</v>
      </c>
      <c r="D2274" s="79" t="s">
        <v>5533</v>
      </c>
      <c r="E2274" s="79" t="s">
        <v>5534</v>
      </c>
      <c r="F2274" s="79">
        <v>1</v>
      </c>
      <c r="G2274" s="79">
        <v>2995</v>
      </c>
      <c r="H2274" s="86">
        <v>47.37</v>
      </c>
      <c r="I2274" s="79">
        <v>10427</v>
      </c>
      <c r="J2274" s="79">
        <v>9420</v>
      </c>
      <c r="K2274" s="79">
        <v>6</v>
      </c>
      <c r="L2274" s="79">
        <v>6</v>
      </c>
      <c r="M2274" s="79">
        <v>0</v>
      </c>
      <c r="N2274" s="79">
        <v>0</v>
      </c>
      <c r="O2274">
        <f t="shared" si="630"/>
        <v>1</v>
      </c>
      <c r="P2274" s="57">
        <f t="shared" si="631"/>
        <v>1</v>
      </c>
      <c r="Q2274" s="267">
        <f t="shared" si="632"/>
        <v>6323</v>
      </c>
      <c r="R2274" s="23">
        <f t="shared" si="633"/>
        <v>2995</v>
      </c>
      <c r="S2274" s="23">
        <f t="shared" si="634"/>
        <v>2003</v>
      </c>
      <c r="T2274" s="23">
        <f t="shared" si="635"/>
        <v>992</v>
      </c>
      <c r="U2274" t="str">
        <f t="shared" si="636"/>
        <v>CO_Dougl_2020g~Town of Castle Rock Councilmember - District 6 (Vote For 1)</v>
      </c>
      <c r="AF2274" s="22"/>
    </row>
    <row r="2275" spans="1:38" ht="14.4">
      <c r="A2275" t="str">
        <f t="shared" si="629"/>
        <v>CO_Dougl_2020g~Town of Castle Rock Councilmember - District 6 (Vote For 1)</v>
      </c>
      <c r="B2275" s="79" t="s">
        <v>5640</v>
      </c>
      <c r="C2275" s="79" t="s">
        <v>5533</v>
      </c>
      <c r="D2275" s="79" t="s">
        <v>5533</v>
      </c>
      <c r="E2275" s="79" t="s">
        <v>5535</v>
      </c>
      <c r="F2275" s="79">
        <v>2</v>
      </c>
      <c r="G2275" s="79">
        <v>2003</v>
      </c>
      <c r="H2275" s="86">
        <v>31.68</v>
      </c>
      <c r="I2275" s="79">
        <v>10427</v>
      </c>
      <c r="J2275" s="79">
        <v>9420</v>
      </c>
      <c r="K2275" s="79">
        <v>6</v>
      </c>
      <c r="L2275" s="79">
        <v>6</v>
      </c>
      <c r="M2275" s="79">
        <v>0</v>
      </c>
      <c r="N2275" s="79">
        <v>0</v>
      </c>
      <c r="O2275">
        <f t="shared" si="630"/>
        <v>2</v>
      </c>
      <c r="P2275" s="57">
        <f t="shared" si="631"/>
        <v>1</v>
      </c>
      <c r="Q2275" s="267">
        <f t="shared" si="632"/>
        <v>3328</v>
      </c>
      <c r="R2275" s="23" t="str">
        <f t="shared" si="633"/>
        <v/>
      </c>
      <c r="S2275" s="23">
        <f t="shared" si="634"/>
        <v>2003</v>
      </c>
      <c r="T2275" s="23" t="str">
        <f t="shared" si="635"/>
        <v/>
      </c>
      <c r="U2275" t="str">
        <f t="shared" si="636"/>
        <v/>
      </c>
      <c r="AF2275" s="22"/>
    </row>
    <row r="2276" spans="1:38" ht="14.4">
      <c r="A2276" t="str">
        <f t="shared" si="629"/>
        <v>CO_Dougl_2020g~Town of Castle Rock Councilmember - District 6 (Vote For 1)</v>
      </c>
      <c r="B2276" s="79" t="s">
        <v>5640</v>
      </c>
      <c r="C2276" s="79" t="s">
        <v>5533</v>
      </c>
      <c r="D2276" s="79" t="s">
        <v>5533</v>
      </c>
      <c r="E2276" s="79" t="s">
        <v>5536</v>
      </c>
      <c r="F2276" s="79">
        <v>3</v>
      </c>
      <c r="G2276" s="79">
        <v>1325</v>
      </c>
      <c r="H2276" s="86">
        <v>20.96</v>
      </c>
      <c r="I2276" s="79">
        <v>10427</v>
      </c>
      <c r="J2276" s="79">
        <v>9420</v>
      </c>
      <c r="K2276" s="79">
        <v>6</v>
      </c>
      <c r="L2276" s="79">
        <v>6</v>
      </c>
      <c r="M2276" s="79">
        <v>0</v>
      </c>
      <c r="N2276" s="79">
        <v>0</v>
      </c>
      <c r="O2276">
        <f t="shared" si="630"/>
        <v>3</v>
      </c>
      <c r="P2276" s="57">
        <f t="shared" si="631"/>
        <v>1</v>
      </c>
      <c r="Q2276" s="267">
        <f t="shared" si="632"/>
        <v>1325</v>
      </c>
      <c r="R2276" s="23" t="str">
        <f t="shared" si="633"/>
        <v/>
      </c>
      <c r="S2276" s="23">
        <f t="shared" si="634"/>
        <v>1325</v>
      </c>
      <c r="T2276" s="23" t="str">
        <f t="shared" si="635"/>
        <v/>
      </c>
      <c r="U2276" t="str">
        <f t="shared" si="636"/>
        <v/>
      </c>
      <c r="AF2276" s="22"/>
    </row>
    <row r="2277" spans="1:38" ht="14.4">
      <c r="A2277" t="str">
        <f t="shared" si="629"/>
        <v>CO_Dougl_2020g~Town of Parker Councilmember (Vote For 3)</v>
      </c>
      <c r="B2277" s="79" t="s">
        <v>5640</v>
      </c>
      <c r="C2277" s="79" t="s">
        <v>5580</v>
      </c>
      <c r="D2277" s="79" t="s">
        <v>5580</v>
      </c>
      <c r="E2277" s="79" t="s">
        <v>5591</v>
      </c>
      <c r="F2277" s="79">
        <v>11</v>
      </c>
      <c r="G2277" s="79">
        <v>8700</v>
      </c>
      <c r="H2277" s="86">
        <v>11.1</v>
      </c>
      <c r="I2277" s="79">
        <v>46780</v>
      </c>
      <c r="J2277" s="79">
        <v>41752</v>
      </c>
      <c r="K2277" s="79">
        <v>30</v>
      </c>
      <c r="L2277" s="79">
        <v>30</v>
      </c>
      <c r="M2277" s="79">
        <v>0</v>
      </c>
      <c r="N2277" s="79">
        <v>0</v>
      </c>
      <c r="O2277">
        <f t="shared" si="630"/>
        <v>1</v>
      </c>
      <c r="P2277" s="57">
        <f t="shared" si="631"/>
        <v>3</v>
      </c>
      <c r="Q2277" s="267">
        <f t="shared" si="632"/>
        <v>26121.666666666668</v>
      </c>
      <c r="R2277" s="23">
        <f t="shared" si="633"/>
        <v>8590</v>
      </c>
      <c r="S2277" s="23">
        <f t="shared" si="634"/>
        <v>8315</v>
      </c>
      <c r="T2277" s="23">
        <f t="shared" si="635"/>
        <v>275</v>
      </c>
      <c r="U2277" t="str">
        <f t="shared" si="636"/>
        <v>CO_Dougl_2020g~Town of Parker Councilmember (Vote For 3)</v>
      </c>
      <c r="AF2277" s="22"/>
    </row>
    <row r="2278" spans="1:38" ht="14.4">
      <c r="A2278" t="str">
        <f t="shared" si="629"/>
        <v>CO_Dougl_2020g~Town of Parker Councilmember (Vote For 3)</v>
      </c>
      <c r="B2278" s="79" t="s">
        <v>5640</v>
      </c>
      <c r="C2278" s="79" t="s">
        <v>5580</v>
      </c>
      <c r="D2278" s="79" t="s">
        <v>5580</v>
      </c>
      <c r="E2278" s="79" t="s">
        <v>5588</v>
      </c>
      <c r="F2278" s="79">
        <v>8</v>
      </c>
      <c r="G2278" s="79">
        <v>8689</v>
      </c>
      <c r="H2278" s="86">
        <v>11.09</v>
      </c>
      <c r="I2278" s="79">
        <v>46780</v>
      </c>
      <c r="J2278" s="79">
        <v>41752</v>
      </c>
      <c r="K2278" s="79">
        <v>30</v>
      </c>
      <c r="L2278" s="79">
        <v>30</v>
      </c>
      <c r="M2278" s="79">
        <v>0</v>
      </c>
      <c r="N2278" s="79">
        <v>0</v>
      </c>
      <c r="O2278">
        <f t="shared" si="630"/>
        <v>2</v>
      </c>
      <c r="P2278" s="57">
        <f t="shared" si="631"/>
        <v>3</v>
      </c>
      <c r="Q2278" s="267">
        <f t="shared" si="632"/>
        <v>69665</v>
      </c>
      <c r="R2278" s="23">
        <f t="shared" si="633"/>
        <v>8590</v>
      </c>
      <c r="S2278" s="23">
        <f t="shared" si="634"/>
        <v>8315</v>
      </c>
      <c r="T2278" s="23" t="str">
        <f t="shared" si="635"/>
        <v/>
      </c>
      <c r="U2278" t="str">
        <f t="shared" si="636"/>
        <v/>
      </c>
      <c r="AF2278" s="22"/>
    </row>
    <row r="2279" spans="1:38" ht="14.4">
      <c r="A2279" t="str">
        <f t="shared" si="629"/>
        <v>CO_Dougl_2020g~Town of Parker Councilmember (Vote For 3)</v>
      </c>
      <c r="B2279" s="79" t="s">
        <v>5640</v>
      </c>
      <c r="C2279" s="79" t="s">
        <v>5580</v>
      </c>
      <c r="D2279" s="79" t="s">
        <v>5580</v>
      </c>
      <c r="E2279" s="79" t="s">
        <v>5585</v>
      </c>
      <c r="F2279" s="79">
        <v>5</v>
      </c>
      <c r="G2279" s="79">
        <v>8590</v>
      </c>
      <c r="H2279" s="86">
        <v>10.96</v>
      </c>
      <c r="I2279" s="79">
        <v>46780</v>
      </c>
      <c r="J2279" s="79">
        <v>41752</v>
      </c>
      <c r="K2279" s="79">
        <v>30</v>
      </c>
      <c r="L2279" s="79">
        <v>30</v>
      </c>
      <c r="M2279" s="79">
        <v>0</v>
      </c>
      <c r="N2279" s="79">
        <v>0</v>
      </c>
      <c r="O2279">
        <f t="shared" si="630"/>
        <v>3</v>
      </c>
      <c r="P2279" s="57">
        <f t="shared" si="631"/>
        <v>3</v>
      </c>
      <c r="Q2279" s="267">
        <f t="shared" si="632"/>
        <v>60976</v>
      </c>
      <c r="R2279" s="23">
        <f t="shared" si="633"/>
        <v>8590</v>
      </c>
      <c r="S2279" s="23">
        <f t="shared" si="634"/>
        <v>8315</v>
      </c>
      <c r="T2279" s="23" t="str">
        <f t="shared" si="635"/>
        <v/>
      </c>
      <c r="U2279" t="str">
        <f t="shared" si="636"/>
        <v/>
      </c>
      <c r="AF2279" s="22"/>
    </row>
    <row r="2280" spans="1:38" ht="14.4">
      <c r="A2280" t="str">
        <f t="shared" si="629"/>
        <v>CO_Dougl_2020g~Town of Parker Councilmember (Vote For 3)</v>
      </c>
      <c r="B2280" s="79" t="s">
        <v>5640</v>
      </c>
      <c r="C2280" s="79" t="s">
        <v>5580</v>
      </c>
      <c r="D2280" s="79" t="s">
        <v>5580</v>
      </c>
      <c r="E2280" s="79" t="s">
        <v>5589</v>
      </c>
      <c r="F2280" s="79">
        <v>9</v>
      </c>
      <c r="G2280" s="79">
        <v>8315</v>
      </c>
      <c r="H2280" s="86">
        <v>10.61</v>
      </c>
      <c r="I2280" s="79">
        <v>46780</v>
      </c>
      <c r="J2280" s="79">
        <v>41752</v>
      </c>
      <c r="K2280" s="79">
        <v>30</v>
      </c>
      <c r="L2280" s="79">
        <v>30</v>
      </c>
      <c r="M2280" s="79">
        <v>0</v>
      </c>
      <c r="N2280" s="79">
        <v>0</v>
      </c>
      <c r="O2280">
        <f t="shared" si="630"/>
        <v>4</v>
      </c>
      <c r="P2280" s="57">
        <f t="shared" si="631"/>
        <v>3</v>
      </c>
      <c r="Q2280" s="267">
        <f t="shared" si="632"/>
        <v>52386</v>
      </c>
      <c r="R2280" s="23" t="str">
        <f t="shared" si="633"/>
        <v/>
      </c>
      <c r="S2280" s="23">
        <f t="shared" si="634"/>
        <v>8315</v>
      </c>
      <c r="T2280" s="23" t="str">
        <f t="shared" si="635"/>
        <v/>
      </c>
      <c r="U2280" t="str">
        <f t="shared" si="636"/>
        <v/>
      </c>
      <c r="AF2280" s="22"/>
    </row>
    <row r="2281" spans="1:38" ht="14.4">
      <c r="A2281" t="str">
        <f t="shared" si="629"/>
        <v>CO_Dougl_2020g~Town of Parker Councilmember (Vote For 3)</v>
      </c>
      <c r="B2281" s="79" t="s">
        <v>5640</v>
      </c>
      <c r="C2281" s="79" t="s">
        <v>5580</v>
      </c>
      <c r="D2281" s="79" t="s">
        <v>5580</v>
      </c>
      <c r="E2281" s="79" t="s">
        <v>5584</v>
      </c>
      <c r="F2281" s="79">
        <v>4</v>
      </c>
      <c r="G2281" s="79">
        <v>7842</v>
      </c>
      <c r="H2281" s="86">
        <v>10.01</v>
      </c>
      <c r="I2281" s="79">
        <v>46780</v>
      </c>
      <c r="J2281" s="79">
        <v>41752</v>
      </c>
      <c r="K2281" s="79">
        <v>30</v>
      </c>
      <c r="L2281" s="79">
        <v>30</v>
      </c>
      <c r="M2281" s="79">
        <v>0</v>
      </c>
      <c r="N2281" s="79">
        <v>0</v>
      </c>
      <c r="O2281">
        <f t="shared" si="630"/>
        <v>5</v>
      </c>
      <c r="P2281" s="57">
        <f t="shared" si="631"/>
        <v>3</v>
      </c>
      <c r="Q2281" s="267">
        <f t="shared" si="632"/>
        <v>44071</v>
      </c>
      <c r="R2281" s="23" t="str">
        <f t="shared" si="633"/>
        <v/>
      </c>
      <c r="S2281" s="23">
        <f t="shared" si="634"/>
        <v>7842</v>
      </c>
      <c r="T2281" s="23" t="str">
        <f t="shared" si="635"/>
        <v/>
      </c>
      <c r="U2281" t="str">
        <f t="shared" si="636"/>
        <v/>
      </c>
      <c r="AF2281" s="22"/>
    </row>
    <row r="2282" spans="1:38" ht="14.4">
      <c r="A2282" t="str">
        <f t="shared" si="629"/>
        <v>CO_Dougl_2020g~Town of Parker Councilmember (Vote For 3)</v>
      </c>
      <c r="B2282" s="79" t="s">
        <v>5640</v>
      </c>
      <c r="C2282" s="79" t="s">
        <v>5580</v>
      </c>
      <c r="D2282" s="79" t="s">
        <v>5580</v>
      </c>
      <c r="E2282" s="79" t="s">
        <v>5582</v>
      </c>
      <c r="F2282" s="79">
        <v>2</v>
      </c>
      <c r="G2282" s="79">
        <v>7193</v>
      </c>
      <c r="H2282" s="86">
        <v>9.18</v>
      </c>
      <c r="I2282" s="79">
        <v>46780</v>
      </c>
      <c r="J2282" s="79">
        <v>41752</v>
      </c>
      <c r="K2282" s="79">
        <v>30</v>
      </c>
      <c r="L2282" s="79">
        <v>30</v>
      </c>
      <c r="M2282" s="79">
        <v>0</v>
      </c>
      <c r="N2282" s="79">
        <v>0</v>
      </c>
      <c r="O2282">
        <f t="shared" si="630"/>
        <v>6</v>
      </c>
      <c r="P2282" s="57">
        <f t="shared" si="631"/>
        <v>3</v>
      </c>
      <c r="Q2282" s="267">
        <f t="shared" si="632"/>
        <v>36229</v>
      </c>
      <c r="R2282" s="23" t="str">
        <f t="shared" si="633"/>
        <v/>
      </c>
      <c r="S2282" s="23">
        <f t="shared" si="634"/>
        <v>7193</v>
      </c>
      <c r="T2282" s="23" t="str">
        <f t="shared" si="635"/>
        <v/>
      </c>
      <c r="U2282" t="str">
        <f t="shared" si="636"/>
        <v/>
      </c>
      <c r="AF2282" s="22"/>
    </row>
    <row r="2283" spans="1:38" ht="14.4">
      <c r="A2283" t="str">
        <f t="shared" si="629"/>
        <v>CO_Dougl_2020g~Town of Parker Councilmember (Vote For 3)</v>
      </c>
      <c r="B2283" s="79" t="s">
        <v>5640</v>
      </c>
      <c r="C2283" s="79" t="s">
        <v>5580</v>
      </c>
      <c r="D2283" s="79" t="s">
        <v>5580</v>
      </c>
      <c r="E2283" s="79" t="s">
        <v>5586</v>
      </c>
      <c r="F2283" s="79">
        <v>6</v>
      </c>
      <c r="G2283" s="79">
        <v>6500</v>
      </c>
      <c r="H2283" s="86">
        <v>8.2899999999999991</v>
      </c>
      <c r="I2283" s="79">
        <v>46780</v>
      </c>
      <c r="J2283" s="79">
        <v>41752</v>
      </c>
      <c r="K2283" s="79">
        <v>30</v>
      </c>
      <c r="L2283" s="79">
        <v>30</v>
      </c>
      <c r="M2283" s="79">
        <v>0</v>
      </c>
      <c r="N2283" s="79">
        <v>0</v>
      </c>
      <c r="O2283">
        <f t="shared" si="630"/>
        <v>7</v>
      </c>
      <c r="P2283" s="57">
        <f t="shared" si="631"/>
        <v>3</v>
      </c>
      <c r="Q2283" s="267">
        <f t="shared" si="632"/>
        <v>29036</v>
      </c>
      <c r="R2283" s="23" t="str">
        <f t="shared" si="633"/>
        <v/>
      </c>
      <c r="S2283" s="23">
        <f t="shared" si="634"/>
        <v>6500</v>
      </c>
      <c r="T2283" s="23" t="str">
        <f t="shared" si="635"/>
        <v/>
      </c>
      <c r="U2283" t="str">
        <f t="shared" si="636"/>
        <v/>
      </c>
      <c r="AF2283" s="22"/>
    </row>
    <row r="2284" spans="1:38" ht="14.4">
      <c r="A2284" t="str">
        <f t="shared" si="629"/>
        <v>CO_Dougl_2020g~Town of Parker Councilmember (Vote For 3)</v>
      </c>
      <c r="B2284" s="79" t="s">
        <v>5640</v>
      </c>
      <c r="C2284" s="79" t="s">
        <v>5580</v>
      </c>
      <c r="D2284" s="79" t="s">
        <v>5580</v>
      </c>
      <c r="E2284" s="79" t="s">
        <v>5581</v>
      </c>
      <c r="F2284" s="79">
        <v>1</v>
      </c>
      <c r="G2284" s="79">
        <v>6150</v>
      </c>
      <c r="H2284" s="86">
        <v>7.85</v>
      </c>
      <c r="I2284" s="79">
        <v>46780</v>
      </c>
      <c r="J2284" s="79">
        <v>41752</v>
      </c>
      <c r="K2284" s="79">
        <v>30</v>
      </c>
      <c r="L2284" s="79">
        <v>30</v>
      </c>
      <c r="M2284" s="79">
        <v>0</v>
      </c>
      <c r="N2284" s="79">
        <v>0</v>
      </c>
      <c r="O2284">
        <f t="shared" si="630"/>
        <v>8</v>
      </c>
      <c r="P2284" s="57">
        <f t="shared" si="631"/>
        <v>3</v>
      </c>
      <c r="Q2284" s="267">
        <f t="shared" si="632"/>
        <v>22536</v>
      </c>
      <c r="R2284" s="23" t="str">
        <f t="shared" si="633"/>
        <v/>
      </c>
      <c r="S2284" s="23">
        <f t="shared" si="634"/>
        <v>6150</v>
      </c>
      <c r="T2284" s="23" t="str">
        <f t="shared" si="635"/>
        <v/>
      </c>
      <c r="U2284" t="str">
        <f t="shared" si="636"/>
        <v/>
      </c>
      <c r="AF2284" s="22"/>
    </row>
    <row r="2285" spans="1:38" ht="14.4">
      <c r="A2285" t="str">
        <f t="shared" si="629"/>
        <v>CO_Dougl_2020g~Town of Parker Councilmember (Vote For 3)</v>
      </c>
      <c r="B2285" s="79" t="s">
        <v>5640</v>
      </c>
      <c r="C2285" s="79" t="s">
        <v>5580</v>
      </c>
      <c r="D2285" s="79" t="s">
        <v>5580</v>
      </c>
      <c r="E2285" s="79" t="s">
        <v>5583</v>
      </c>
      <c r="F2285" s="79">
        <v>3</v>
      </c>
      <c r="G2285" s="79">
        <v>5619</v>
      </c>
      <c r="H2285" s="86">
        <v>7.17</v>
      </c>
      <c r="I2285" s="79">
        <v>46780</v>
      </c>
      <c r="J2285" s="79">
        <v>41752</v>
      </c>
      <c r="K2285" s="79">
        <v>30</v>
      </c>
      <c r="L2285" s="79">
        <v>30</v>
      </c>
      <c r="M2285" s="79">
        <v>0</v>
      </c>
      <c r="N2285" s="79">
        <v>0</v>
      </c>
      <c r="O2285">
        <f t="shared" si="630"/>
        <v>9</v>
      </c>
      <c r="P2285" s="57">
        <f t="shared" si="631"/>
        <v>3</v>
      </c>
      <c r="Q2285" s="267">
        <f t="shared" si="632"/>
        <v>16386</v>
      </c>
      <c r="R2285" s="23" t="str">
        <f t="shared" si="633"/>
        <v/>
      </c>
      <c r="S2285" s="23">
        <f t="shared" si="634"/>
        <v>5619</v>
      </c>
      <c r="T2285" s="23" t="str">
        <f t="shared" si="635"/>
        <v/>
      </c>
      <c r="U2285" t="str">
        <f t="shared" si="636"/>
        <v/>
      </c>
      <c r="AF2285" s="22"/>
    </row>
    <row r="2286" spans="1:38" ht="14.4">
      <c r="A2286" t="str">
        <f t="shared" si="629"/>
        <v>CO_Dougl_2020g~Town of Parker Councilmember (Vote For 3)</v>
      </c>
      <c r="B2286" s="79" t="s">
        <v>5640</v>
      </c>
      <c r="C2286" s="79" t="s">
        <v>5580</v>
      </c>
      <c r="D2286" s="79" t="s">
        <v>5580</v>
      </c>
      <c r="E2286" s="79" t="s">
        <v>5592</v>
      </c>
      <c r="F2286" s="79">
        <v>12</v>
      </c>
      <c r="G2286" s="79">
        <v>4930</v>
      </c>
      <c r="H2286" s="86">
        <v>6.29</v>
      </c>
      <c r="I2286" s="79">
        <v>46780</v>
      </c>
      <c r="J2286" s="79">
        <v>41752</v>
      </c>
      <c r="K2286" s="79">
        <v>30</v>
      </c>
      <c r="L2286" s="79">
        <v>30</v>
      </c>
      <c r="M2286" s="79">
        <v>0</v>
      </c>
      <c r="N2286" s="79">
        <v>0</v>
      </c>
      <c r="O2286">
        <f t="shared" si="630"/>
        <v>10</v>
      </c>
      <c r="P2286" s="57">
        <f t="shared" si="631"/>
        <v>3</v>
      </c>
      <c r="Q2286" s="267">
        <f t="shared" si="632"/>
        <v>10767</v>
      </c>
      <c r="R2286" s="23" t="str">
        <f t="shared" si="633"/>
        <v/>
      </c>
      <c r="S2286" s="23">
        <f t="shared" si="634"/>
        <v>4930</v>
      </c>
      <c r="T2286" s="23" t="str">
        <f t="shared" si="635"/>
        <v/>
      </c>
      <c r="U2286" t="str">
        <f t="shared" si="636"/>
        <v/>
      </c>
      <c r="AF2286" s="22"/>
    </row>
    <row r="2287" spans="1:38" ht="14.4">
      <c r="A2287" t="str">
        <f t="shared" si="629"/>
        <v>CO_Dougl_2020g~Town of Parker Councilmember (Vote For 3)</v>
      </c>
      <c r="B2287" s="79" t="s">
        <v>5640</v>
      </c>
      <c r="C2287" s="79" t="s">
        <v>5580</v>
      </c>
      <c r="D2287" s="79" t="s">
        <v>5580</v>
      </c>
      <c r="E2287" s="79" t="s">
        <v>5590</v>
      </c>
      <c r="F2287" s="79">
        <v>10</v>
      </c>
      <c r="G2287" s="79">
        <v>3649</v>
      </c>
      <c r="H2287" s="86">
        <v>4.66</v>
      </c>
      <c r="I2287" s="79">
        <v>46780</v>
      </c>
      <c r="J2287" s="79">
        <v>41752</v>
      </c>
      <c r="K2287" s="79">
        <v>30</v>
      </c>
      <c r="L2287" s="79">
        <v>30</v>
      </c>
      <c r="M2287" s="79">
        <v>0</v>
      </c>
      <c r="N2287" s="79">
        <v>0</v>
      </c>
      <c r="O2287">
        <f t="shared" si="630"/>
        <v>11</v>
      </c>
      <c r="P2287" s="57">
        <f t="shared" si="631"/>
        <v>3</v>
      </c>
      <c r="Q2287" s="267">
        <f t="shared" si="632"/>
        <v>5837</v>
      </c>
      <c r="R2287" s="23" t="str">
        <f t="shared" si="633"/>
        <v/>
      </c>
      <c r="S2287" s="23">
        <f t="shared" si="634"/>
        <v>3649</v>
      </c>
      <c r="T2287" s="23" t="str">
        <f t="shared" si="635"/>
        <v/>
      </c>
      <c r="U2287" t="str">
        <f t="shared" si="636"/>
        <v/>
      </c>
      <c r="AF2287" s="22"/>
    </row>
    <row r="2288" spans="1:38" ht="14.4">
      <c r="A2288" t="str">
        <f t="shared" si="629"/>
        <v>CO_Dougl_2020g~Town of Parker Councilmember (Vote For 3)</v>
      </c>
      <c r="B2288" s="79" t="s">
        <v>5640</v>
      </c>
      <c r="C2288" s="79" t="s">
        <v>5580</v>
      </c>
      <c r="D2288" s="79" t="s">
        <v>5580</v>
      </c>
      <c r="E2288" s="79" t="s">
        <v>5587</v>
      </c>
      <c r="F2288" s="79">
        <v>7</v>
      </c>
      <c r="G2288" s="79">
        <v>2188</v>
      </c>
      <c r="H2288" s="86">
        <v>2.79</v>
      </c>
      <c r="I2288" s="79">
        <v>46780</v>
      </c>
      <c r="J2288" s="79">
        <v>41752</v>
      </c>
      <c r="K2288" s="79">
        <v>30</v>
      </c>
      <c r="L2288" s="79">
        <v>30</v>
      </c>
      <c r="M2288" s="79">
        <v>0</v>
      </c>
      <c r="N2288" s="79">
        <v>0</v>
      </c>
      <c r="O2288">
        <f t="shared" si="630"/>
        <v>12</v>
      </c>
      <c r="P2288" s="57">
        <f t="shared" si="631"/>
        <v>3</v>
      </c>
      <c r="Q2288" s="267">
        <f t="shared" si="632"/>
        <v>2188</v>
      </c>
      <c r="R2288" s="23" t="str">
        <f t="shared" si="633"/>
        <v/>
      </c>
      <c r="S2288" s="23">
        <f t="shared" si="634"/>
        <v>2188</v>
      </c>
      <c r="T2288" s="23" t="str">
        <f t="shared" si="635"/>
        <v/>
      </c>
      <c r="U2288" t="str">
        <f t="shared" si="636"/>
        <v/>
      </c>
      <c r="AF2288" s="22"/>
      <c r="AL2288" s="344"/>
    </row>
    <row r="2289" spans="1:38" ht="14.4">
      <c r="A2289" t="str">
        <f t="shared" si="629"/>
        <v>CO_Dougl_2020g~Town of Parker Mayor (Vote For 1)</v>
      </c>
      <c r="B2289" s="79" t="s">
        <v>5640</v>
      </c>
      <c r="C2289" s="79" t="s">
        <v>5593</v>
      </c>
      <c r="D2289" s="79" t="s">
        <v>5593</v>
      </c>
      <c r="E2289" s="79" t="s">
        <v>5595</v>
      </c>
      <c r="F2289" s="79">
        <v>2</v>
      </c>
      <c r="G2289" s="79">
        <v>13233</v>
      </c>
      <c r="H2289" s="86">
        <v>43.08</v>
      </c>
      <c r="I2289" s="79">
        <v>46780</v>
      </c>
      <c r="J2289" s="79">
        <v>41752</v>
      </c>
      <c r="K2289" s="79">
        <v>30</v>
      </c>
      <c r="L2289" s="79">
        <v>30</v>
      </c>
      <c r="M2289" s="79">
        <v>0</v>
      </c>
      <c r="N2289" s="79">
        <v>0</v>
      </c>
      <c r="O2289">
        <f t="shared" si="630"/>
        <v>1</v>
      </c>
      <c r="P2289" s="57">
        <f t="shared" si="631"/>
        <v>1</v>
      </c>
      <c r="Q2289" s="267">
        <f t="shared" si="632"/>
        <v>30715</v>
      </c>
      <c r="R2289" s="23">
        <f t="shared" si="633"/>
        <v>13233</v>
      </c>
      <c r="S2289" s="23">
        <f t="shared" si="634"/>
        <v>12505</v>
      </c>
      <c r="T2289" s="23">
        <f t="shared" si="635"/>
        <v>728</v>
      </c>
      <c r="U2289" t="str">
        <f t="shared" si="636"/>
        <v>CO_Dougl_2020g~Town of Parker Mayor (Vote For 1)</v>
      </c>
      <c r="AF2289" s="22"/>
    </row>
    <row r="2290" spans="1:38" ht="14.4">
      <c r="A2290" t="str">
        <f t="shared" ref="A2290:A2353" si="637">CONCATENATE(B2290,"~",D2290)</f>
        <v>CO_Dougl_2020g~Town of Parker Mayor (Vote For 1)</v>
      </c>
      <c r="B2290" s="79" t="s">
        <v>5640</v>
      </c>
      <c r="C2290" s="79" t="s">
        <v>5593</v>
      </c>
      <c r="D2290" s="79" t="s">
        <v>5593</v>
      </c>
      <c r="E2290" s="79" t="s">
        <v>5596</v>
      </c>
      <c r="F2290" s="79">
        <v>3</v>
      </c>
      <c r="G2290" s="79">
        <v>12505</v>
      </c>
      <c r="H2290" s="86">
        <v>40.71</v>
      </c>
      <c r="I2290" s="79">
        <v>46780</v>
      </c>
      <c r="J2290" s="79">
        <v>41752</v>
      </c>
      <c r="K2290" s="79">
        <v>30</v>
      </c>
      <c r="L2290" s="79">
        <v>30</v>
      </c>
      <c r="M2290" s="79">
        <v>0</v>
      </c>
      <c r="N2290" s="79">
        <v>0</v>
      </c>
      <c r="O2290">
        <f t="shared" si="630"/>
        <v>2</v>
      </c>
      <c r="P2290" s="57">
        <f t="shared" si="631"/>
        <v>1</v>
      </c>
      <c r="Q2290" s="267">
        <f t="shared" si="632"/>
        <v>17482</v>
      </c>
      <c r="R2290" s="23" t="str">
        <f t="shared" si="633"/>
        <v/>
      </c>
      <c r="S2290" s="23">
        <f t="shared" si="634"/>
        <v>12505</v>
      </c>
      <c r="T2290" s="23" t="str">
        <f t="shared" si="635"/>
        <v/>
      </c>
      <c r="U2290" t="str">
        <f t="shared" si="636"/>
        <v/>
      </c>
      <c r="AF2290" s="22"/>
      <c r="AL2290" s="344"/>
    </row>
    <row r="2291" spans="1:38" ht="14.4">
      <c r="A2291" t="str">
        <f t="shared" si="637"/>
        <v>CO_Dougl_2020g~Town of Parker Mayor (Vote For 1)</v>
      </c>
      <c r="B2291" s="79" t="s">
        <v>5640</v>
      </c>
      <c r="C2291" s="79" t="s">
        <v>5593</v>
      </c>
      <c r="D2291" s="79" t="s">
        <v>5593</v>
      </c>
      <c r="E2291" s="79" t="s">
        <v>5594</v>
      </c>
      <c r="F2291" s="79">
        <v>1</v>
      </c>
      <c r="G2291" s="79">
        <v>4977</v>
      </c>
      <c r="H2291" s="86">
        <v>16.2</v>
      </c>
      <c r="I2291" s="79">
        <v>46780</v>
      </c>
      <c r="J2291" s="79">
        <v>41752</v>
      </c>
      <c r="K2291" s="79">
        <v>30</v>
      </c>
      <c r="L2291" s="79">
        <v>30</v>
      </c>
      <c r="M2291" s="79">
        <v>0</v>
      </c>
      <c r="N2291" s="79">
        <v>0</v>
      </c>
      <c r="O2291">
        <f t="shared" si="630"/>
        <v>3</v>
      </c>
      <c r="P2291" s="57">
        <f t="shared" si="631"/>
        <v>1</v>
      </c>
      <c r="Q2291" s="267">
        <f t="shared" si="632"/>
        <v>4977</v>
      </c>
      <c r="R2291" s="23" t="str">
        <f t="shared" si="633"/>
        <v/>
      </c>
      <c r="S2291" s="23">
        <f t="shared" si="634"/>
        <v>4977</v>
      </c>
      <c r="T2291" s="23" t="str">
        <f t="shared" si="635"/>
        <v/>
      </c>
      <c r="U2291" t="str">
        <f t="shared" si="636"/>
        <v/>
      </c>
      <c r="AF2291" s="22"/>
    </row>
    <row r="2292" spans="1:38" ht="14.4">
      <c r="A2292" t="str">
        <f t="shared" si="637"/>
        <v>CO_El Pa_2020g~Calhan Fire Protection District Ballot Issue 7B (Vote for 1)</v>
      </c>
      <c r="B2292" s="79" t="s">
        <v>5638</v>
      </c>
      <c r="C2292" s="81" t="s">
        <v>5359</v>
      </c>
      <c r="D2292" s="79" t="s">
        <v>5359</v>
      </c>
      <c r="E2292" s="79" t="s">
        <v>5274</v>
      </c>
      <c r="F2292" s="79" t="s">
        <v>1508</v>
      </c>
      <c r="G2292" s="79">
        <v>1042</v>
      </c>
      <c r="H2292" s="79">
        <v>64.64</v>
      </c>
      <c r="I2292" s="79">
        <v>2309</v>
      </c>
      <c r="J2292" s="79">
        <v>1871</v>
      </c>
      <c r="K2292" s="79">
        <v>3</v>
      </c>
      <c r="L2292" s="79">
        <v>3</v>
      </c>
      <c r="M2292" s="79">
        <v>0</v>
      </c>
      <c r="N2292" s="79">
        <v>0</v>
      </c>
      <c r="O2292">
        <f t="shared" si="630"/>
        <v>1</v>
      </c>
      <c r="P2292" s="57">
        <f t="shared" si="631"/>
        <v>1</v>
      </c>
      <c r="Q2292" s="267">
        <f t="shared" si="632"/>
        <v>1042</v>
      </c>
      <c r="R2292" s="23">
        <f t="shared" si="633"/>
        <v>1042</v>
      </c>
      <c r="S2292" s="23">
        <f t="shared" si="634"/>
        <v>0</v>
      </c>
      <c r="T2292" s="23" t="str">
        <f t="shared" si="635"/>
        <v/>
      </c>
      <c r="U2292" t="str">
        <f t="shared" si="636"/>
        <v>CO_El Pa_2020g~Calhan Fire Protection District Ballot Issue 7B (Vote for 1)</v>
      </c>
      <c r="AF2292" s="22"/>
    </row>
    <row r="2293" spans="1:38" ht="14.4">
      <c r="A2293" t="str">
        <f t="shared" si="637"/>
        <v>CO_El Pa_2020g~Calhan Fire Protection District Ballot Issue 7B (Vote for 1) (Vote for 1)</v>
      </c>
      <c r="B2293" s="79" t="s">
        <v>5638</v>
      </c>
      <c r="C2293" s="81" t="s">
        <v>5360</v>
      </c>
      <c r="D2293" s="79" t="s">
        <v>5360</v>
      </c>
      <c r="E2293" s="79" t="s">
        <v>5275</v>
      </c>
      <c r="F2293" s="79" t="s">
        <v>1509</v>
      </c>
      <c r="G2293" s="79">
        <v>570</v>
      </c>
      <c r="H2293" s="79">
        <v>35.36</v>
      </c>
      <c r="I2293" s="79">
        <v>2309</v>
      </c>
      <c r="J2293" s="79">
        <v>1871</v>
      </c>
      <c r="K2293" s="79">
        <v>3</v>
      </c>
      <c r="L2293" s="79">
        <v>3</v>
      </c>
      <c r="M2293" s="79">
        <v>0</v>
      </c>
      <c r="N2293" s="79">
        <v>0</v>
      </c>
      <c r="O2293">
        <f t="shared" si="630"/>
        <v>1</v>
      </c>
      <c r="P2293" s="57">
        <f t="shared" si="631"/>
        <v>1</v>
      </c>
      <c r="Q2293" s="267">
        <f t="shared" si="632"/>
        <v>570</v>
      </c>
      <c r="R2293" s="23">
        <f t="shared" si="633"/>
        <v>570</v>
      </c>
      <c r="S2293" s="23">
        <f t="shared" si="634"/>
        <v>0</v>
      </c>
      <c r="T2293" s="23" t="str">
        <f t="shared" si="635"/>
        <v/>
      </c>
      <c r="U2293" t="str">
        <f t="shared" si="636"/>
        <v>CO_El Pa_2020g~Calhan Fire Protection District Ballot Issue 7B (Vote for 1) (Vote for 1)</v>
      </c>
      <c r="AF2293" s="22"/>
    </row>
    <row r="2294" spans="1:38" ht="14.4">
      <c r="A2294" t="str">
        <f t="shared" si="637"/>
        <v>CO_El Pa_2020g~City of Colorado Springs Ballot Issue 2A (Vote for 1)</v>
      </c>
      <c r="B2294" s="79" t="s">
        <v>5638</v>
      </c>
      <c r="C2294" s="81" t="s">
        <v>5379</v>
      </c>
      <c r="D2294" s="79" t="s">
        <v>5379</v>
      </c>
      <c r="E2294" s="79" t="s">
        <v>5274</v>
      </c>
      <c r="F2294" s="79" t="s">
        <v>1508</v>
      </c>
      <c r="G2294" s="79">
        <v>137557</v>
      </c>
      <c r="H2294" s="79">
        <v>58.84</v>
      </c>
      <c r="I2294" s="79">
        <v>348129</v>
      </c>
      <c r="J2294" s="79">
        <v>268417</v>
      </c>
      <c r="K2294" s="79">
        <v>201</v>
      </c>
      <c r="L2294" s="79">
        <v>201</v>
      </c>
      <c r="M2294" s="79">
        <v>0</v>
      </c>
      <c r="N2294" s="79">
        <v>0</v>
      </c>
      <c r="O2294">
        <f t="shared" si="630"/>
        <v>1</v>
      </c>
      <c r="P2294" s="57">
        <f t="shared" si="631"/>
        <v>1</v>
      </c>
      <c r="Q2294" s="267">
        <f t="shared" si="632"/>
        <v>233789</v>
      </c>
      <c r="R2294" s="23">
        <f t="shared" si="633"/>
        <v>137557</v>
      </c>
      <c r="S2294" s="23">
        <f t="shared" si="634"/>
        <v>96232</v>
      </c>
      <c r="T2294" s="23">
        <f t="shared" si="635"/>
        <v>41325</v>
      </c>
      <c r="U2294" t="str">
        <f t="shared" si="636"/>
        <v>CO_El Pa_2020g~City of Colorado Springs Ballot Issue 2A (Vote for 1)</v>
      </c>
      <c r="AF2294" s="22" t="str">
        <f t="shared" ref="AF2294:AF2357" si="638">LEFT(AL2023,14)</f>
        <v/>
      </c>
    </row>
    <row r="2295" spans="1:38" ht="14.4">
      <c r="A2295" t="str">
        <f t="shared" si="637"/>
        <v>CO_El Pa_2020g~City of Colorado Springs Ballot Issue 2A (Vote for 1)</v>
      </c>
      <c r="B2295" s="79" t="s">
        <v>5638</v>
      </c>
      <c r="C2295" s="81" t="s">
        <v>5379</v>
      </c>
      <c r="D2295" s="79" t="s">
        <v>5379</v>
      </c>
      <c r="E2295" s="79" t="s">
        <v>5275</v>
      </c>
      <c r="F2295" s="79" t="s">
        <v>1509</v>
      </c>
      <c r="G2295" s="79">
        <v>96232</v>
      </c>
      <c r="H2295" s="79">
        <v>41.16</v>
      </c>
      <c r="I2295" s="79">
        <v>348129</v>
      </c>
      <c r="J2295" s="79">
        <v>268417</v>
      </c>
      <c r="K2295" s="79">
        <v>201</v>
      </c>
      <c r="L2295" s="79">
        <v>201</v>
      </c>
      <c r="M2295" s="79">
        <v>0</v>
      </c>
      <c r="N2295" s="79">
        <v>0</v>
      </c>
      <c r="O2295">
        <f t="shared" si="630"/>
        <v>2</v>
      </c>
      <c r="P2295" s="57">
        <f t="shared" si="631"/>
        <v>1</v>
      </c>
      <c r="Q2295" s="267">
        <f t="shared" si="632"/>
        <v>96232</v>
      </c>
      <c r="R2295" s="23" t="str">
        <f t="shared" si="633"/>
        <v/>
      </c>
      <c r="S2295" s="23">
        <f t="shared" si="634"/>
        <v>96232</v>
      </c>
      <c r="T2295" s="23" t="str">
        <f t="shared" si="635"/>
        <v/>
      </c>
      <c r="U2295" t="str">
        <f t="shared" si="636"/>
        <v/>
      </c>
      <c r="AF2295" s="22" t="str">
        <f t="shared" si="638"/>
        <v/>
      </c>
    </row>
    <row r="2296" spans="1:38" ht="14.4">
      <c r="A2296" t="str">
        <f t="shared" si="637"/>
        <v>CO_El Pa_2020g~City of Colorado Springs Ballot Question 2B (Vote for 1)</v>
      </c>
      <c r="B2296" s="79" t="s">
        <v>5638</v>
      </c>
      <c r="C2296" s="81" t="s">
        <v>5380</v>
      </c>
      <c r="D2296" s="79" t="s">
        <v>5380</v>
      </c>
      <c r="E2296" s="79" t="s">
        <v>5274</v>
      </c>
      <c r="F2296" s="79" t="s">
        <v>1508</v>
      </c>
      <c r="G2296" s="79">
        <v>132595</v>
      </c>
      <c r="H2296" s="79">
        <v>59.34</v>
      </c>
      <c r="I2296" s="79">
        <v>348129</v>
      </c>
      <c r="J2296" s="79">
        <v>268417</v>
      </c>
      <c r="K2296" s="79">
        <v>201</v>
      </c>
      <c r="L2296" s="79">
        <v>201</v>
      </c>
      <c r="M2296" s="79">
        <v>0</v>
      </c>
      <c r="N2296" s="79">
        <v>0</v>
      </c>
      <c r="O2296">
        <f t="shared" si="630"/>
        <v>1</v>
      </c>
      <c r="P2296" s="57">
        <f t="shared" si="631"/>
        <v>1</v>
      </c>
      <c r="Q2296" s="267">
        <f t="shared" si="632"/>
        <v>223460</v>
      </c>
      <c r="R2296" s="23">
        <f t="shared" si="633"/>
        <v>132595</v>
      </c>
      <c r="S2296" s="23">
        <f t="shared" si="634"/>
        <v>90865</v>
      </c>
      <c r="T2296" s="23">
        <f t="shared" si="635"/>
        <v>41730</v>
      </c>
      <c r="U2296" t="str">
        <f t="shared" si="636"/>
        <v>CO_El Pa_2020g~City of Colorado Springs Ballot Question 2B (Vote for 1)</v>
      </c>
      <c r="AF2296" s="22" t="str">
        <f t="shared" si="638"/>
        <v/>
      </c>
    </row>
    <row r="2297" spans="1:38" ht="14.4">
      <c r="A2297" t="str">
        <f t="shared" si="637"/>
        <v>CO_El Pa_2020g~City of Colorado Springs Ballot Question 2B (Vote for 1)</v>
      </c>
      <c r="B2297" s="79" t="s">
        <v>5638</v>
      </c>
      <c r="C2297" s="81" t="s">
        <v>5380</v>
      </c>
      <c r="D2297" s="79" t="s">
        <v>5380</v>
      </c>
      <c r="E2297" s="79" t="s">
        <v>5275</v>
      </c>
      <c r="F2297" s="79" t="s">
        <v>1509</v>
      </c>
      <c r="G2297" s="79">
        <v>90865</v>
      </c>
      <c r="H2297" s="79">
        <v>40.659999999999997</v>
      </c>
      <c r="I2297" s="79">
        <v>348129</v>
      </c>
      <c r="J2297" s="79">
        <v>268417</v>
      </c>
      <c r="K2297" s="79">
        <v>201</v>
      </c>
      <c r="L2297" s="79">
        <v>201</v>
      </c>
      <c r="M2297" s="79">
        <v>0</v>
      </c>
      <c r="N2297" s="79">
        <v>0</v>
      </c>
      <c r="O2297">
        <f t="shared" si="630"/>
        <v>2</v>
      </c>
      <c r="P2297" s="57">
        <f t="shared" si="631"/>
        <v>1</v>
      </c>
      <c r="Q2297" s="267">
        <f t="shared" si="632"/>
        <v>90865</v>
      </c>
      <c r="R2297" s="23" t="str">
        <f t="shared" si="633"/>
        <v/>
      </c>
      <c r="S2297" s="23">
        <f t="shared" si="634"/>
        <v>90865</v>
      </c>
      <c r="T2297" s="23" t="str">
        <f t="shared" si="635"/>
        <v/>
      </c>
      <c r="U2297" t="str">
        <f t="shared" si="636"/>
        <v/>
      </c>
      <c r="AF2297" s="22" t="str">
        <f t="shared" si="638"/>
        <v/>
      </c>
    </row>
    <row r="2298" spans="1:38" ht="14.4">
      <c r="A2298" t="str">
        <f t="shared" si="637"/>
        <v>CO_El Pa_2020g~City of Colorado Springs Ballot Question 2C (Vote for 1)</v>
      </c>
      <c r="B2298" s="79" t="s">
        <v>5638</v>
      </c>
      <c r="C2298" s="81" t="s">
        <v>5381</v>
      </c>
      <c r="D2298" s="79" t="s">
        <v>5381</v>
      </c>
      <c r="E2298" s="79" t="s">
        <v>5274</v>
      </c>
      <c r="F2298" s="79" t="s">
        <v>1508</v>
      </c>
      <c r="G2298" s="79">
        <v>113748</v>
      </c>
      <c r="H2298" s="79">
        <v>51.74</v>
      </c>
      <c r="I2298" s="79">
        <v>348129</v>
      </c>
      <c r="J2298" s="79">
        <v>268417</v>
      </c>
      <c r="K2298" s="79">
        <v>201</v>
      </c>
      <c r="L2298" s="79">
        <v>201</v>
      </c>
      <c r="M2298" s="79">
        <v>0</v>
      </c>
      <c r="N2298" s="79">
        <v>0</v>
      </c>
      <c r="O2298">
        <f t="shared" si="630"/>
        <v>1</v>
      </c>
      <c r="P2298" s="57">
        <f t="shared" si="631"/>
        <v>1</v>
      </c>
      <c r="Q2298" s="267">
        <f t="shared" si="632"/>
        <v>219853</v>
      </c>
      <c r="R2298" s="23">
        <f t="shared" si="633"/>
        <v>113748</v>
      </c>
      <c r="S2298" s="23">
        <f t="shared" si="634"/>
        <v>106105</v>
      </c>
      <c r="T2298" s="23">
        <f t="shared" si="635"/>
        <v>7643</v>
      </c>
      <c r="U2298" t="str">
        <f t="shared" si="636"/>
        <v>CO_El Pa_2020g~City of Colorado Springs Ballot Question 2C (Vote for 1)</v>
      </c>
      <c r="AF2298" s="22" t="str">
        <f t="shared" si="638"/>
        <v/>
      </c>
    </row>
    <row r="2299" spans="1:38" ht="14.4">
      <c r="A2299" t="str">
        <f t="shared" si="637"/>
        <v>CO_El Pa_2020g~City of Colorado Springs Ballot Question 2C (Vote for 1)</v>
      </c>
      <c r="B2299" s="79" t="s">
        <v>5638</v>
      </c>
      <c r="C2299" s="81" t="s">
        <v>5381</v>
      </c>
      <c r="D2299" s="79" t="s">
        <v>5381</v>
      </c>
      <c r="E2299" s="79" t="s">
        <v>5275</v>
      </c>
      <c r="F2299" s="79" t="s">
        <v>1509</v>
      </c>
      <c r="G2299" s="79">
        <v>106105</v>
      </c>
      <c r="H2299" s="79">
        <v>48.26</v>
      </c>
      <c r="I2299" s="79">
        <v>348129</v>
      </c>
      <c r="J2299" s="79">
        <v>268417</v>
      </c>
      <c r="K2299" s="79">
        <v>201</v>
      </c>
      <c r="L2299" s="79">
        <v>201</v>
      </c>
      <c r="M2299" s="79">
        <v>0</v>
      </c>
      <c r="N2299" s="79">
        <v>0</v>
      </c>
      <c r="O2299">
        <f t="shared" si="630"/>
        <v>2</v>
      </c>
      <c r="P2299" s="57">
        <f t="shared" si="631"/>
        <v>1</v>
      </c>
      <c r="Q2299" s="267">
        <f t="shared" si="632"/>
        <v>106105</v>
      </c>
      <c r="R2299" s="23" t="str">
        <f t="shared" si="633"/>
        <v/>
      </c>
      <c r="S2299" s="23">
        <f t="shared" si="634"/>
        <v>106105</v>
      </c>
      <c r="T2299" s="23" t="str">
        <f t="shared" si="635"/>
        <v/>
      </c>
      <c r="U2299" t="str">
        <f t="shared" si="636"/>
        <v/>
      </c>
      <c r="AF2299" s="22" t="str">
        <f t="shared" si="638"/>
        <v/>
      </c>
    </row>
    <row r="2300" spans="1:38" ht="14.4">
      <c r="A2300" t="str">
        <f t="shared" si="637"/>
        <v>CO_El Pa_2020g~Colorado Springs School District 11 Ballot Issue 4A (Vote for 1)</v>
      </c>
      <c r="B2300" s="79" t="s">
        <v>5638</v>
      </c>
      <c r="C2300" s="81" t="s">
        <v>5401</v>
      </c>
      <c r="D2300" s="79" t="s">
        <v>5401</v>
      </c>
      <c r="E2300" s="79" t="s">
        <v>5274</v>
      </c>
      <c r="F2300" s="79" t="s">
        <v>1508</v>
      </c>
      <c r="G2300" s="79">
        <v>88193</v>
      </c>
      <c r="H2300" s="79">
        <v>74.22</v>
      </c>
      <c r="I2300" s="79">
        <v>177759</v>
      </c>
      <c r="J2300" s="79">
        <v>133117</v>
      </c>
      <c r="K2300" s="79">
        <v>106</v>
      </c>
      <c r="L2300" s="79">
        <v>106</v>
      </c>
      <c r="M2300" s="79">
        <v>0</v>
      </c>
      <c r="N2300" s="79">
        <v>0</v>
      </c>
      <c r="O2300">
        <f t="shared" si="630"/>
        <v>1</v>
      </c>
      <c r="P2300" s="57">
        <f t="shared" si="631"/>
        <v>1</v>
      </c>
      <c r="Q2300" s="267">
        <f t="shared" si="632"/>
        <v>118829</v>
      </c>
      <c r="R2300" s="23">
        <f t="shared" si="633"/>
        <v>88193</v>
      </c>
      <c r="S2300" s="23">
        <f t="shared" si="634"/>
        <v>30636</v>
      </c>
      <c r="T2300" s="23">
        <f t="shared" si="635"/>
        <v>57557</v>
      </c>
      <c r="U2300" t="str">
        <f t="shared" si="636"/>
        <v>CO_El Pa_2020g~Colorado Springs School District 11 Ballot Issue 4A (Vote for 1)</v>
      </c>
      <c r="AF2300" s="22" t="str">
        <f t="shared" si="638"/>
        <v/>
      </c>
    </row>
    <row r="2301" spans="1:38" ht="14.4">
      <c r="A2301" t="str">
        <f t="shared" si="637"/>
        <v>CO_El Pa_2020g~Colorado Springs School District 11 Ballot Issue 4A (Vote for 1)</v>
      </c>
      <c r="B2301" s="79" t="s">
        <v>5638</v>
      </c>
      <c r="C2301" s="81" t="s">
        <v>5401</v>
      </c>
      <c r="D2301" s="79" t="s">
        <v>5401</v>
      </c>
      <c r="E2301" s="79" t="s">
        <v>5275</v>
      </c>
      <c r="F2301" s="79" t="s">
        <v>1509</v>
      </c>
      <c r="G2301" s="79">
        <v>30636</v>
      </c>
      <c r="H2301" s="79">
        <v>25.78</v>
      </c>
      <c r="I2301" s="79">
        <v>177759</v>
      </c>
      <c r="J2301" s="79">
        <v>133117</v>
      </c>
      <c r="K2301" s="79">
        <v>106</v>
      </c>
      <c r="L2301" s="79">
        <v>106</v>
      </c>
      <c r="M2301" s="79">
        <v>0</v>
      </c>
      <c r="N2301" s="79">
        <v>0</v>
      </c>
      <c r="O2301">
        <f t="shared" si="630"/>
        <v>2</v>
      </c>
      <c r="P2301" s="57">
        <f t="shared" si="631"/>
        <v>1</v>
      </c>
      <c r="Q2301" s="267">
        <f t="shared" si="632"/>
        <v>30636</v>
      </c>
      <c r="R2301" s="23" t="str">
        <f t="shared" si="633"/>
        <v/>
      </c>
      <c r="S2301" s="23">
        <f t="shared" si="634"/>
        <v>30636</v>
      </c>
      <c r="T2301" s="23" t="str">
        <f t="shared" si="635"/>
        <v/>
      </c>
      <c r="U2301" t="str">
        <f t="shared" si="636"/>
        <v/>
      </c>
      <c r="AF2301" s="22" t="str">
        <f t="shared" si="638"/>
        <v/>
      </c>
    </row>
    <row r="2302" spans="1:38" ht="14.4">
      <c r="A2302" t="str">
        <f t="shared" si="637"/>
        <v>CO_El Pa_2020g~District Attorney - 4th Judicial District (Vote for 1)</v>
      </c>
      <c r="B2302" s="79" t="s">
        <v>5638</v>
      </c>
      <c r="C2302" s="81" t="s">
        <v>5405</v>
      </c>
      <c r="D2302" s="79" t="s">
        <v>5405</v>
      </c>
      <c r="E2302" s="79" t="s">
        <v>5209</v>
      </c>
      <c r="F2302" s="79" t="s">
        <v>1296</v>
      </c>
      <c r="G2302" s="79">
        <v>275569</v>
      </c>
      <c r="H2302" s="79">
        <v>100</v>
      </c>
      <c r="I2302" s="79">
        <v>493740</v>
      </c>
      <c r="J2302" s="79">
        <v>383167</v>
      </c>
      <c r="K2302" s="79">
        <v>291</v>
      </c>
      <c r="L2302" s="79">
        <v>291</v>
      </c>
      <c r="M2302" s="79">
        <v>0</v>
      </c>
      <c r="N2302" s="79">
        <v>0</v>
      </c>
      <c r="O2302">
        <f t="shared" si="630"/>
        <v>1</v>
      </c>
      <c r="P2302" s="57">
        <f t="shared" si="631"/>
        <v>1</v>
      </c>
      <c r="Q2302" s="267">
        <f t="shared" si="632"/>
        <v>275569</v>
      </c>
      <c r="R2302" s="23">
        <f t="shared" si="633"/>
        <v>275569</v>
      </c>
      <c r="S2302" s="23">
        <f t="shared" si="634"/>
        <v>0</v>
      </c>
      <c r="T2302" s="23" t="str">
        <f t="shared" si="635"/>
        <v/>
      </c>
      <c r="U2302" t="str">
        <f t="shared" si="636"/>
        <v>CO_El Pa_2020g~District Attorney - 4th Judicial District (Vote for 1)</v>
      </c>
      <c r="AF2302" s="22" t="str">
        <f t="shared" si="638"/>
        <v/>
      </c>
    </row>
    <row r="2303" spans="1:38" ht="14.4">
      <c r="A2303" t="str">
        <f t="shared" si="637"/>
        <v>CO_El Pa_2020g~District Court Judge - 4th Judicial District - Bain (Vote for 1)</v>
      </c>
      <c r="B2303" s="79" t="s">
        <v>5638</v>
      </c>
      <c r="C2303" s="81" t="s">
        <v>5419</v>
      </c>
      <c r="D2303" s="79" t="s">
        <v>5419</v>
      </c>
      <c r="E2303" s="79" t="s">
        <v>1393</v>
      </c>
      <c r="F2303" s="79" t="s">
        <v>1508</v>
      </c>
      <c r="G2303" s="79">
        <v>232676</v>
      </c>
      <c r="H2303" s="79">
        <v>75.63</v>
      </c>
      <c r="I2303" s="79">
        <v>493740</v>
      </c>
      <c r="J2303" s="79">
        <v>383167</v>
      </c>
      <c r="K2303" s="79">
        <v>291</v>
      </c>
      <c r="L2303" s="79">
        <v>291</v>
      </c>
      <c r="M2303" s="79">
        <v>0</v>
      </c>
      <c r="N2303" s="79">
        <v>0</v>
      </c>
      <c r="O2303">
        <f t="shared" si="630"/>
        <v>1</v>
      </c>
      <c r="P2303" s="57">
        <f t="shared" si="631"/>
        <v>1</v>
      </c>
      <c r="Q2303" s="267">
        <f t="shared" si="632"/>
        <v>307632</v>
      </c>
      <c r="R2303" s="23">
        <f t="shared" si="633"/>
        <v>232676</v>
      </c>
      <c r="S2303" s="23">
        <f t="shared" si="634"/>
        <v>74956</v>
      </c>
      <c r="T2303" s="23">
        <f t="shared" si="635"/>
        <v>157720</v>
      </c>
      <c r="U2303" t="str">
        <f t="shared" si="636"/>
        <v>CO_El Pa_2020g~District Court Judge - 4th Judicial District - Bain (Vote for 1)</v>
      </c>
      <c r="AF2303" s="22" t="str">
        <f t="shared" si="638"/>
        <v/>
      </c>
    </row>
    <row r="2304" spans="1:38" ht="14.4">
      <c r="A2304" t="str">
        <f t="shared" si="637"/>
        <v>CO_El Pa_2020g~District Court Judge - 4th Judicial District - Bain (Vote for 1)</v>
      </c>
      <c r="B2304" s="79" t="s">
        <v>5638</v>
      </c>
      <c r="C2304" s="81" t="s">
        <v>5419</v>
      </c>
      <c r="D2304" s="79" t="s">
        <v>5419</v>
      </c>
      <c r="E2304" s="79" t="s">
        <v>1394</v>
      </c>
      <c r="F2304" s="79" t="s">
        <v>1509</v>
      </c>
      <c r="G2304" s="79">
        <v>74956</v>
      </c>
      <c r="H2304" s="79">
        <v>24.37</v>
      </c>
      <c r="I2304" s="79">
        <v>493740</v>
      </c>
      <c r="J2304" s="79">
        <v>383167</v>
      </c>
      <c r="K2304" s="79">
        <v>291</v>
      </c>
      <c r="L2304" s="79">
        <v>291</v>
      </c>
      <c r="M2304" s="79">
        <v>0</v>
      </c>
      <c r="N2304" s="79">
        <v>0</v>
      </c>
      <c r="O2304">
        <f t="shared" si="630"/>
        <v>2</v>
      </c>
      <c r="P2304" s="57">
        <f t="shared" si="631"/>
        <v>1</v>
      </c>
      <c r="Q2304" s="267">
        <f t="shared" si="632"/>
        <v>74956</v>
      </c>
      <c r="R2304" s="23" t="str">
        <f t="shared" si="633"/>
        <v/>
      </c>
      <c r="S2304" s="23">
        <f t="shared" si="634"/>
        <v>74956</v>
      </c>
      <c r="T2304" s="23" t="str">
        <f t="shared" si="635"/>
        <v/>
      </c>
      <c r="U2304" t="str">
        <f t="shared" si="636"/>
        <v/>
      </c>
      <c r="AF2304" s="22" t="str">
        <f t="shared" si="638"/>
        <v/>
      </c>
    </row>
    <row r="2305" spans="1:38" ht="14.4">
      <c r="A2305" t="str">
        <f t="shared" si="637"/>
        <v>CO_El Pa_2020g~District Court Judge - 4th Judicial District - DuBois (Vote for 1)</v>
      </c>
      <c r="B2305" s="79" t="s">
        <v>5638</v>
      </c>
      <c r="C2305" s="81" t="s">
        <v>5420</v>
      </c>
      <c r="D2305" s="79" t="s">
        <v>5420</v>
      </c>
      <c r="E2305" s="79" t="s">
        <v>1393</v>
      </c>
      <c r="F2305" s="79" t="s">
        <v>1508</v>
      </c>
      <c r="G2305" s="79">
        <v>235983</v>
      </c>
      <c r="H2305" s="79">
        <v>76.8</v>
      </c>
      <c r="I2305" s="79">
        <v>493740</v>
      </c>
      <c r="J2305" s="79">
        <v>383167</v>
      </c>
      <c r="K2305" s="79">
        <v>291</v>
      </c>
      <c r="L2305" s="79">
        <v>291</v>
      </c>
      <c r="M2305" s="79">
        <v>0</v>
      </c>
      <c r="N2305" s="79">
        <v>0</v>
      </c>
      <c r="O2305">
        <f t="shared" si="630"/>
        <v>1</v>
      </c>
      <c r="P2305" s="57">
        <f t="shared" si="631"/>
        <v>1</v>
      </c>
      <c r="Q2305" s="267">
        <f t="shared" si="632"/>
        <v>307281</v>
      </c>
      <c r="R2305" s="23">
        <f t="shared" si="633"/>
        <v>235983</v>
      </c>
      <c r="S2305" s="23">
        <f t="shared" si="634"/>
        <v>71298</v>
      </c>
      <c r="T2305" s="23">
        <f t="shared" si="635"/>
        <v>164685</v>
      </c>
      <c r="U2305" t="str">
        <f t="shared" si="636"/>
        <v>CO_El Pa_2020g~District Court Judge - 4th Judicial District - DuBois (Vote for 1)</v>
      </c>
      <c r="AF2305" s="22" t="str">
        <f t="shared" si="638"/>
        <v/>
      </c>
    </row>
    <row r="2306" spans="1:38" ht="14.4">
      <c r="A2306" t="str">
        <f t="shared" si="637"/>
        <v>CO_El Pa_2020g~District Court Judge - 4th Judicial District - DuBois (Vote for 1)</v>
      </c>
      <c r="B2306" s="79" t="s">
        <v>5638</v>
      </c>
      <c r="C2306" s="81" t="s">
        <v>5420</v>
      </c>
      <c r="D2306" s="79" t="s">
        <v>5420</v>
      </c>
      <c r="E2306" s="79" t="s">
        <v>1394</v>
      </c>
      <c r="F2306" s="79" t="s">
        <v>1509</v>
      </c>
      <c r="G2306" s="79">
        <v>71298</v>
      </c>
      <c r="H2306" s="79">
        <v>23.2</v>
      </c>
      <c r="I2306" s="79">
        <v>493740</v>
      </c>
      <c r="J2306" s="79">
        <v>383167</v>
      </c>
      <c r="K2306" s="79">
        <v>291</v>
      </c>
      <c r="L2306" s="79">
        <v>291</v>
      </c>
      <c r="M2306" s="79">
        <v>0</v>
      </c>
      <c r="N2306" s="79">
        <v>0</v>
      </c>
      <c r="O2306">
        <f t="shared" ref="O2306:O2369" si="639">IF(OR(LOWER(LEFT(E2306,8))="write-in",LOWER(LEFT(E2306,8))="not qual"),IF(A2306=A2305,-ABS(O2305),0),IF(A2306=A2305,ABS(O2305)+1,1))</f>
        <v>2</v>
      </c>
      <c r="P2306" s="57">
        <f t="shared" ref="P2306:P2369" si="640">1*LEFT(RIGHT(A2306,2),1)</f>
        <v>1</v>
      </c>
      <c r="Q2306" s="267">
        <f t="shared" ref="Q2306:Q2369" si="641">IF(A2306&lt;&gt;A2307,G2306,IF(A2306=A2305,G2306+Q2307,MAX(G2306,(G2306+Q2307)/P2306)))</f>
        <v>71298</v>
      </c>
      <c r="R2306" s="23" t="str">
        <f t="shared" ref="R2306:R2369" si="642">IF(O2306&gt;P2306,"",IF(O2306=P2306,G2306,IF(A2306=A2307,R2307,IF(O2306&lt;=0,1,G2306))))</f>
        <v/>
      </c>
      <c r="S2306" s="23">
        <f t="shared" ref="S2306:S2369" si="643">IF(AND(O2306&gt;P2306,LOWER(LEFT(E2306,8))&lt;&gt;"write-in",LOWER(LEFT(E2306,8))&lt;&gt;"not qual"),G2306,IF(A2306=A2307,S2307,0))</f>
        <v>71298</v>
      </c>
      <c r="T2306" s="23" t="str">
        <f t="shared" ref="T2306:T2369" si="644">IF(OR(A2306=A2305,S2306=0),"",R2306-ABS(S2306))</f>
        <v/>
      </c>
      <c r="U2306" t="str">
        <f t="shared" ref="U2306:U2369" si="645">IF(A2306=A2305,"",A2306)</f>
        <v/>
      </c>
      <c r="AF2306" s="22" t="str">
        <f t="shared" si="638"/>
        <v/>
      </c>
    </row>
    <row r="2307" spans="1:38" ht="14.4">
      <c r="A2307" t="str">
        <f t="shared" si="637"/>
        <v>CO_El Pa_2020g~District Court Judge - 4th Judicial District - Kane (Vote for 1)</v>
      </c>
      <c r="B2307" s="79" t="s">
        <v>5638</v>
      </c>
      <c r="C2307" s="81" t="s">
        <v>5421</v>
      </c>
      <c r="D2307" s="79" t="s">
        <v>5421</v>
      </c>
      <c r="E2307" s="79" t="s">
        <v>1393</v>
      </c>
      <c r="F2307" s="79" t="s">
        <v>1508</v>
      </c>
      <c r="G2307" s="79">
        <v>226952</v>
      </c>
      <c r="H2307" s="79">
        <v>74.209999999999994</v>
      </c>
      <c r="I2307" s="79">
        <v>493740</v>
      </c>
      <c r="J2307" s="79">
        <v>383167</v>
      </c>
      <c r="K2307" s="79">
        <v>291</v>
      </c>
      <c r="L2307" s="79">
        <v>291</v>
      </c>
      <c r="M2307" s="79">
        <v>0</v>
      </c>
      <c r="N2307" s="79">
        <v>0</v>
      </c>
      <c r="O2307">
        <f t="shared" si="639"/>
        <v>1</v>
      </c>
      <c r="P2307" s="57">
        <f t="shared" si="640"/>
        <v>1</v>
      </c>
      <c r="Q2307" s="267">
        <f t="shared" si="641"/>
        <v>305823</v>
      </c>
      <c r="R2307" s="23">
        <f t="shared" si="642"/>
        <v>226952</v>
      </c>
      <c r="S2307" s="23">
        <f t="shared" si="643"/>
        <v>78871</v>
      </c>
      <c r="T2307" s="23">
        <f t="shared" si="644"/>
        <v>148081</v>
      </c>
      <c r="U2307" t="str">
        <f t="shared" si="645"/>
        <v>CO_El Pa_2020g~District Court Judge - 4th Judicial District - Kane (Vote for 1)</v>
      </c>
      <c r="AF2307" s="22" t="str">
        <f t="shared" si="638"/>
        <v/>
      </c>
      <c r="AL2307" s="344"/>
    </row>
    <row r="2308" spans="1:38" ht="14.4">
      <c r="A2308" t="str">
        <f t="shared" si="637"/>
        <v>CO_El Pa_2020g~District Court Judge - 4th Judicial District - Kane (Vote for 1)</v>
      </c>
      <c r="B2308" s="79" t="s">
        <v>5638</v>
      </c>
      <c r="C2308" s="81" t="s">
        <v>5421</v>
      </c>
      <c r="D2308" s="79" t="s">
        <v>5421</v>
      </c>
      <c r="E2308" s="79" t="s">
        <v>1394</v>
      </c>
      <c r="F2308" s="79" t="s">
        <v>1509</v>
      </c>
      <c r="G2308" s="79">
        <v>78871</v>
      </c>
      <c r="H2308" s="79">
        <v>25.79</v>
      </c>
      <c r="I2308" s="79">
        <v>493740</v>
      </c>
      <c r="J2308" s="79">
        <v>383167</v>
      </c>
      <c r="K2308" s="79">
        <v>291</v>
      </c>
      <c r="L2308" s="79">
        <v>291</v>
      </c>
      <c r="M2308" s="79">
        <v>0</v>
      </c>
      <c r="N2308" s="79">
        <v>0</v>
      </c>
      <c r="O2308">
        <f t="shared" si="639"/>
        <v>2</v>
      </c>
      <c r="P2308" s="57">
        <f t="shared" si="640"/>
        <v>1</v>
      </c>
      <c r="Q2308" s="267">
        <f t="shared" si="641"/>
        <v>78871</v>
      </c>
      <c r="R2308" s="23" t="str">
        <f t="shared" si="642"/>
        <v/>
      </c>
      <c r="S2308" s="23">
        <f t="shared" si="643"/>
        <v>78871</v>
      </c>
      <c r="T2308" s="23" t="str">
        <f t="shared" si="644"/>
        <v/>
      </c>
      <c r="U2308" t="str">
        <f t="shared" si="645"/>
        <v/>
      </c>
      <c r="AF2308" s="22" t="str">
        <f t="shared" si="638"/>
        <v/>
      </c>
      <c r="AL2308" s="23"/>
    </row>
    <row r="2309" spans="1:38" ht="14.4">
      <c r="A2309" t="str">
        <f t="shared" si="637"/>
        <v>CO_El Pa_2020g~District Court Judge - 4th Judicial District - McHenry (Vote for 1)</v>
      </c>
      <c r="B2309" s="79" t="s">
        <v>5638</v>
      </c>
      <c r="C2309" s="81" t="s">
        <v>5422</v>
      </c>
      <c r="D2309" s="79" t="s">
        <v>5422</v>
      </c>
      <c r="E2309" s="79" t="s">
        <v>1393</v>
      </c>
      <c r="F2309" s="79" t="s">
        <v>1508</v>
      </c>
      <c r="G2309" s="79">
        <v>224278</v>
      </c>
      <c r="H2309" s="79">
        <v>73.36</v>
      </c>
      <c r="I2309" s="79">
        <v>493740</v>
      </c>
      <c r="J2309" s="79">
        <v>383167</v>
      </c>
      <c r="K2309" s="79">
        <v>291</v>
      </c>
      <c r="L2309" s="79">
        <v>291</v>
      </c>
      <c r="M2309" s="79">
        <v>0</v>
      </c>
      <c r="N2309" s="79">
        <v>0</v>
      </c>
      <c r="O2309">
        <f t="shared" si="639"/>
        <v>1</v>
      </c>
      <c r="P2309" s="57">
        <f t="shared" si="640"/>
        <v>1</v>
      </c>
      <c r="Q2309" s="267">
        <f t="shared" si="641"/>
        <v>305719</v>
      </c>
      <c r="R2309" s="23">
        <f t="shared" si="642"/>
        <v>224278</v>
      </c>
      <c r="S2309" s="23">
        <f t="shared" si="643"/>
        <v>81441</v>
      </c>
      <c r="T2309" s="23">
        <f t="shared" si="644"/>
        <v>142837</v>
      </c>
      <c r="U2309" t="str">
        <f t="shared" si="645"/>
        <v>CO_El Pa_2020g~District Court Judge - 4th Judicial District - McHenry (Vote for 1)</v>
      </c>
      <c r="AF2309" s="22" t="str">
        <f t="shared" si="638"/>
        <v/>
      </c>
    </row>
    <row r="2310" spans="1:38" ht="14.4">
      <c r="A2310" t="str">
        <f t="shared" si="637"/>
        <v>CO_El Pa_2020g~District Court Judge - 4th Judicial District - McHenry (Vote for 1)</v>
      </c>
      <c r="B2310" s="79" t="s">
        <v>5638</v>
      </c>
      <c r="C2310" s="81" t="s">
        <v>5422</v>
      </c>
      <c r="D2310" s="79" t="s">
        <v>5422</v>
      </c>
      <c r="E2310" s="79" t="s">
        <v>1394</v>
      </c>
      <c r="F2310" s="79" t="s">
        <v>1509</v>
      </c>
      <c r="G2310" s="79">
        <v>81441</v>
      </c>
      <c r="H2310" s="79">
        <v>26.64</v>
      </c>
      <c r="I2310" s="79">
        <v>493740</v>
      </c>
      <c r="J2310" s="79">
        <v>383167</v>
      </c>
      <c r="K2310" s="79">
        <v>291</v>
      </c>
      <c r="L2310" s="79">
        <v>291</v>
      </c>
      <c r="M2310" s="79">
        <v>0</v>
      </c>
      <c r="N2310" s="79">
        <v>0</v>
      </c>
      <c r="O2310">
        <f t="shared" si="639"/>
        <v>2</v>
      </c>
      <c r="P2310" s="57">
        <f t="shared" si="640"/>
        <v>1</v>
      </c>
      <c r="Q2310" s="267">
        <f t="shared" si="641"/>
        <v>81441</v>
      </c>
      <c r="R2310" s="23" t="str">
        <f t="shared" si="642"/>
        <v/>
      </c>
      <c r="S2310" s="23">
        <f t="shared" si="643"/>
        <v>81441</v>
      </c>
      <c r="T2310" s="23" t="str">
        <f t="shared" si="644"/>
        <v/>
      </c>
      <c r="U2310" t="str">
        <f t="shared" si="645"/>
        <v/>
      </c>
      <c r="AF2310" s="22" t="str">
        <f t="shared" si="638"/>
        <v/>
      </c>
      <c r="AL2310" s="344"/>
    </row>
    <row r="2311" spans="1:38" ht="14.4">
      <c r="A2311" t="str">
        <f t="shared" si="637"/>
        <v>CO_El Pa_2020g~District Court Judge - 4th Judicial District - Prince (Vote for 1)</v>
      </c>
      <c r="B2311" s="79" t="s">
        <v>5638</v>
      </c>
      <c r="C2311" s="81" t="s">
        <v>5423</v>
      </c>
      <c r="D2311" s="79" t="s">
        <v>5423</v>
      </c>
      <c r="E2311" s="79" t="s">
        <v>1393</v>
      </c>
      <c r="F2311" s="79" t="s">
        <v>1508</v>
      </c>
      <c r="G2311" s="79">
        <v>232063</v>
      </c>
      <c r="H2311" s="79">
        <v>75.989999999999995</v>
      </c>
      <c r="I2311" s="79">
        <v>493740</v>
      </c>
      <c r="J2311" s="79">
        <v>383167</v>
      </c>
      <c r="K2311" s="79">
        <v>291</v>
      </c>
      <c r="L2311" s="79">
        <v>291</v>
      </c>
      <c r="M2311" s="79">
        <v>0</v>
      </c>
      <c r="N2311" s="79">
        <v>0</v>
      </c>
      <c r="O2311">
        <f t="shared" si="639"/>
        <v>1</v>
      </c>
      <c r="P2311" s="57">
        <f t="shared" si="640"/>
        <v>1</v>
      </c>
      <c r="Q2311" s="267">
        <f t="shared" si="641"/>
        <v>305397</v>
      </c>
      <c r="R2311" s="23">
        <f t="shared" si="642"/>
        <v>232063</v>
      </c>
      <c r="S2311" s="23">
        <f t="shared" si="643"/>
        <v>73334</v>
      </c>
      <c r="T2311" s="23">
        <f t="shared" si="644"/>
        <v>158729</v>
      </c>
      <c r="U2311" t="str">
        <f t="shared" si="645"/>
        <v>CO_El Pa_2020g~District Court Judge - 4th Judicial District - Prince (Vote for 1)</v>
      </c>
      <c r="AF2311" s="22" t="str">
        <f t="shared" si="638"/>
        <v/>
      </c>
    </row>
    <row r="2312" spans="1:38" ht="14.4">
      <c r="A2312" t="str">
        <f t="shared" si="637"/>
        <v>CO_El Pa_2020g~District Court Judge - 4th Judicial District - Prince (Vote for 1)</v>
      </c>
      <c r="B2312" s="79" t="s">
        <v>5638</v>
      </c>
      <c r="C2312" s="81" t="s">
        <v>5423</v>
      </c>
      <c r="D2312" s="79" t="s">
        <v>5423</v>
      </c>
      <c r="E2312" s="79" t="s">
        <v>1394</v>
      </c>
      <c r="F2312" s="79" t="s">
        <v>1509</v>
      </c>
      <c r="G2312" s="79">
        <v>73334</v>
      </c>
      <c r="H2312" s="79">
        <v>24.01</v>
      </c>
      <c r="I2312" s="79">
        <v>493740</v>
      </c>
      <c r="J2312" s="79">
        <v>383167</v>
      </c>
      <c r="K2312" s="79">
        <v>291</v>
      </c>
      <c r="L2312" s="79">
        <v>291</v>
      </c>
      <c r="M2312" s="79">
        <v>0</v>
      </c>
      <c r="N2312" s="79">
        <v>0</v>
      </c>
      <c r="O2312">
        <f t="shared" si="639"/>
        <v>2</v>
      </c>
      <c r="P2312" s="57">
        <f t="shared" si="640"/>
        <v>1</v>
      </c>
      <c r="Q2312" s="267">
        <f t="shared" si="641"/>
        <v>73334</v>
      </c>
      <c r="R2312" s="23" t="str">
        <f t="shared" si="642"/>
        <v/>
      </c>
      <c r="S2312" s="23">
        <f t="shared" si="643"/>
        <v>73334</v>
      </c>
      <c r="T2312" s="23" t="str">
        <f t="shared" si="644"/>
        <v/>
      </c>
      <c r="U2312" t="str">
        <f t="shared" si="645"/>
        <v/>
      </c>
      <c r="AF2312" s="22" t="str">
        <f t="shared" si="638"/>
        <v/>
      </c>
    </row>
    <row r="2313" spans="1:38" ht="14.4">
      <c r="A2313" t="str">
        <f t="shared" si="637"/>
        <v>CO_El Pa_2020g~District Court Judge - 4th Judicial District - Sokol (Vote for 1)</v>
      </c>
      <c r="B2313" s="79" t="s">
        <v>5638</v>
      </c>
      <c r="C2313" s="81" t="s">
        <v>5424</v>
      </c>
      <c r="D2313" s="79" t="s">
        <v>5424</v>
      </c>
      <c r="E2313" s="79" t="s">
        <v>1393</v>
      </c>
      <c r="F2313" s="79" t="s">
        <v>1508</v>
      </c>
      <c r="G2313" s="79">
        <v>230843</v>
      </c>
      <c r="H2313" s="79">
        <v>75.459999999999994</v>
      </c>
      <c r="I2313" s="79">
        <v>493740</v>
      </c>
      <c r="J2313" s="79">
        <v>383167</v>
      </c>
      <c r="K2313" s="79">
        <v>291</v>
      </c>
      <c r="L2313" s="79">
        <v>291</v>
      </c>
      <c r="M2313" s="79">
        <v>0</v>
      </c>
      <c r="N2313" s="79">
        <v>0</v>
      </c>
      <c r="O2313">
        <f t="shared" si="639"/>
        <v>1</v>
      </c>
      <c r="P2313" s="57">
        <f t="shared" si="640"/>
        <v>1</v>
      </c>
      <c r="Q2313" s="267">
        <f t="shared" si="641"/>
        <v>305934</v>
      </c>
      <c r="R2313" s="23">
        <f t="shared" si="642"/>
        <v>230843</v>
      </c>
      <c r="S2313" s="23">
        <f t="shared" si="643"/>
        <v>75091</v>
      </c>
      <c r="T2313" s="23">
        <f t="shared" si="644"/>
        <v>155752</v>
      </c>
      <c r="U2313" t="str">
        <f t="shared" si="645"/>
        <v>CO_El Pa_2020g~District Court Judge - 4th Judicial District - Sokol (Vote for 1)</v>
      </c>
      <c r="AF2313" s="22" t="str">
        <f t="shared" si="638"/>
        <v/>
      </c>
    </row>
    <row r="2314" spans="1:38" ht="14.4">
      <c r="A2314" t="str">
        <f t="shared" si="637"/>
        <v>CO_El Pa_2020g~District Court Judge - 4th Judicial District - Sokol (Vote for 1)</v>
      </c>
      <c r="B2314" s="79" t="s">
        <v>5638</v>
      </c>
      <c r="C2314" s="81" t="s">
        <v>5424</v>
      </c>
      <c r="D2314" s="79" t="s">
        <v>5424</v>
      </c>
      <c r="E2314" s="79" t="s">
        <v>1394</v>
      </c>
      <c r="F2314" s="79" t="s">
        <v>1509</v>
      </c>
      <c r="G2314" s="79">
        <v>75091</v>
      </c>
      <c r="H2314" s="79">
        <v>24.54</v>
      </c>
      <c r="I2314" s="79">
        <v>493740</v>
      </c>
      <c r="J2314" s="79">
        <v>383167</v>
      </c>
      <c r="K2314" s="79">
        <v>291</v>
      </c>
      <c r="L2314" s="79">
        <v>291</v>
      </c>
      <c r="M2314" s="79">
        <v>0</v>
      </c>
      <c r="N2314" s="79">
        <v>0</v>
      </c>
      <c r="O2314">
        <f t="shared" si="639"/>
        <v>2</v>
      </c>
      <c r="P2314" s="57">
        <f t="shared" si="640"/>
        <v>1</v>
      </c>
      <c r="Q2314" s="267">
        <f t="shared" si="641"/>
        <v>75091</v>
      </c>
      <c r="R2314" s="23" t="str">
        <f t="shared" si="642"/>
        <v/>
      </c>
      <c r="S2314" s="23">
        <f t="shared" si="643"/>
        <v>75091</v>
      </c>
      <c r="T2314" s="23" t="str">
        <f t="shared" si="644"/>
        <v/>
      </c>
      <c r="U2314" t="str">
        <f t="shared" si="645"/>
        <v/>
      </c>
      <c r="AF2314" s="22" t="str">
        <f t="shared" si="638"/>
        <v/>
      </c>
      <c r="AL2314" s="23"/>
    </row>
    <row r="2315" spans="1:38" ht="14.4">
      <c r="A2315" t="str">
        <f t="shared" si="637"/>
        <v>CO_El Pa_2020g~District Court Judge - 4th Judicial District - Werner (Vote for 1)</v>
      </c>
      <c r="B2315" s="79" t="s">
        <v>5638</v>
      </c>
      <c r="C2315" s="81" t="s">
        <v>5425</v>
      </c>
      <c r="D2315" s="79" t="s">
        <v>5425</v>
      </c>
      <c r="E2315" s="79" t="s">
        <v>1393</v>
      </c>
      <c r="F2315" s="79" t="s">
        <v>1508</v>
      </c>
      <c r="G2315" s="79">
        <v>173740</v>
      </c>
      <c r="H2315" s="79">
        <v>56.9</v>
      </c>
      <c r="I2315" s="79">
        <v>493740</v>
      </c>
      <c r="J2315" s="79">
        <v>383167</v>
      </c>
      <c r="K2315" s="79">
        <v>291</v>
      </c>
      <c r="L2315" s="79">
        <v>291</v>
      </c>
      <c r="M2315" s="79">
        <v>0</v>
      </c>
      <c r="N2315" s="79">
        <v>0</v>
      </c>
      <c r="O2315">
        <f t="shared" si="639"/>
        <v>1</v>
      </c>
      <c r="P2315" s="57">
        <f t="shared" si="640"/>
        <v>1</v>
      </c>
      <c r="Q2315" s="267">
        <f t="shared" si="641"/>
        <v>305335</v>
      </c>
      <c r="R2315" s="23">
        <f t="shared" si="642"/>
        <v>173740</v>
      </c>
      <c r="S2315" s="23">
        <f t="shared" si="643"/>
        <v>131595</v>
      </c>
      <c r="T2315" s="23">
        <f t="shared" si="644"/>
        <v>42145</v>
      </c>
      <c r="U2315" t="str">
        <f t="shared" si="645"/>
        <v>CO_El Pa_2020g~District Court Judge - 4th Judicial District - Werner (Vote for 1)</v>
      </c>
      <c r="AF2315" s="22" t="str">
        <f t="shared" si="638"/>
        <v/>
      </c>
    </row>
    <row r="2316" spans="1:38" ht="14.4">
      <c r="A2316" t="str">
        <f t="shared" si="637"/>
        <v>CO_El Pa_2020g~District Court Judge - 4th Judicial District - Werner (Vote for 1)</v>
      </c>
      <c r="B2316" s="79" t="s">
        <v>5638</v>
      </c>
      <c r="C2316" s="81" t="s">
        <v>5425</v>
      </c>
      <c r="D2316" s="79" t="s">
        <v>5425</v>
      </c>
      <c r="E2316" s="79" t="s">
        <v>1394</v>
      </c>
      <c r="F2316" s="79" t="s">
        <v>1509</v>
      </c>
      <c r="G2316" s="79">
        <v>131595</v>
      </c>
      <c r="H2316" s="79">
        <v>43.1</v>
      </c>
      <c r="I2316" s="79">
        <v>493740</v>
      </c>
      <c r="J2316" s="79">
        <v>383167</v>
      </c>
      <c r="K2316" s="79">
        <v>291</v>
      </c>
      <c r="L2316" s="79">
        <v>291</v>
      </c>
      <c r="M2316" s="79">
        <v>0</v>
      </c>
      <c r="N2316" s="79">
        <v>0</v>
      </c>
      <c r="O2316">
        <f t="shared" si="639"/>
        <v>2</v>
      </c>
      <c r="P2316" s="57">
        <f t="shared" si="640"/>
        <v>1</v>
      </c>
      <c r="Q2316" s="267">
        <f t="shared" si="641"/>
        <v>131595</v>
      </c>
      <c r="R2316" s="23" t="str">
        <f t="shared" si="642"/>
        <v/>
      </c>
      <c r="S2316" s="23">
        <f t="shared" si="643"/>
        <v>131595</v>
      </c>
      <c r="T2316" s="23" t="str">
        <f t="shared" si="644"/>
        <v/>
      </c>
      <c r="U2316" t="str">
        <f t="shared" si="645"/>
        <v/>
      </c>
      <c r="AF2316" s="22" t="str">
        <f t="shared" si="638"/>
        <v/>
      </c>
    </row>
    <row r="2317" spans="1:38" ht="14.4">
      <c r="A2317" t="str">
        <f t="shared" si="637"/>
        <v>CO_El Pa_2020g~Donald Wescott Fire Protection District Ballot Issue 6B (Vote for 1)</v>
      </c>
      <c r="B2317" s="79" t="s">
        <v>5638</v>
      </c>
      <c r="C2317" s="81" t="s">
        <v>5426</v>
      </c>
      <c r="D2317" s="79" t="s">
        <v>5426</v>
      </c>
      <c r="E2317" s="79" t="s">
        <v>5274</v>
      </c>
      <c r="F2317" s="79" t="s">
        <v>1508</v>
      </c>
      <c r="G2317" s="79">
        <v>3664</v>
      </c>
      <c r="H2317" s="79">
        <v>62.37</v>
      </c>
      <c r="I2317" s="79">
        <v>16320</v>
      </c>
      <c r="J2317" s="79">
        <v>14210</v>
      </c>
      <c r="K2317" s="79">
        <v>11</v>
      </c>
      <c r="L2317" s="79">
        <v>11</v>
      </c>
      <c r="M2317" s="79">
        <v>0</v>
      </c>
      <c r="N2317" s="79">
        <v>0</v>
      </c>
      <c r="O2317">
        <f t="shared" si="639"/>
        <v>1</v>
      </c>
      <c r="P2317" s="57">
        <f t="shared" si="640"/>
        <v>1</v>
      </c>
      <c r="Q2317" s="267">
        <f t="shared" si="641"/>
        <v>5875</v>
      </c>
      <c r="R2317" s="23">
        <f t="shared" si="642"/>
        <v>3664</v>
      </c>
      <c r="S2317" s="23">
        <f t="shared" si="643"/>
        <v>2211</v>
      </c>
      <c r="T2317" s="23">
        <f t="shared" si="644"/>
        <v>1453</v>
      </c>
      <c r="U2317" t="str">
        <f t="shared" si="645"/>
        <v>CO_El Pa_2020g~Donald Wescott Fire Protection District Ballot Issue 6B (Vote for 1)</v>
      </c>
      <c r="AF2317" s="22" t="str">
        <f t="shared" si="638"/>
        <v/>
      </c>
      <c r="AG2317" s="23"/>
      <c r="AH2317" s="8"/>
    </row>
    <row r="2318" spans="1:38" ht="14.4">
      <c r="A2318" t="str">
        <f t="shared" si="637"/>
        <v>CO_El Pa_2020g~Donald Wescott Fire Protection District Ballot Issue 6B (Vote for 1)</v>
      </c>
      <c r="B2318" s="79" t="s">
        <v>5638</v>
      </c>
      <c r="C2318" s="81" t="s">
        <v>5426</v>
      </c>
      <c r="D2318" s="79" t="s">
        <v>5426</v>
      </c>
      <c r="E2318" s="79" t="s">
        <v>5275</v>
      </c>
      <c r="F2318" s="79" t="s">
        <v>1509</v>
      </c>
      <c r="G2318" s="79">
        <v>2211</v>
      </c>
      <c r="H2318" s="79">
        <v>37.630000000000003</v>
      </c>
      <c r="I2318" s="79">
        <v>16320</v>
      </c>
      <c r="J2318" s="79">
        <v>14210</v>
      </c>
      <c r="K2318" s="79">
        <v>11</v>
      </c>
      <c r="L2318" s="79">
        <v>11</v>
      </c>
      <c r="M2318" s="79">
        <v>0</v>
      </c>
      <c r="N2318" s="79">
        <v>0</v>
      </c>
      <c r="O2318">
        <f t="shared" si="639"/>
        <v>2</v>
      </c>
      <c r="P2318" s="57">
        <f t="shared" si="640"/>
        <v>1</v>
      </c>
      <c r="Q2318" s="267">
        <f t="shared" si="641"/>
        <v>2211</v>
      </c>
      <c r="R2318" s="23" t="str">
        <f t="shared" si="642"/>
        <v/>
      </c>
      <c r="S2318" s="23">
        <f t="shared" si="643"/>
        <v>2211</v>
      </c>
      <c r="T2318" s="23" t="str">
        <f t="shared" si="644"/>
        <v/>
      </c>
      <c r="U2318" t="str">
        <f t="shared" si="645"/>
        <v/>
      </c>
      <c r="AF2318" s="22" t="str">
        <f t="shared" si="638"/>
        <v/>
      </c>
    </row>
    <row r="2319" spans="1:38" ht="14.4">
      <c r="A2319" t="str">
        <f t="shared" si="637"/>
        <v>CO_El Pa_2020g~Donald Wescott Fire Protection District Northern Subdistrict Ballot Issue 6C (Vote for 1)</v>
      </c>
      <c r="B2319" s="79" t="s">
        <v>5638</v>
      </c>
      <c r="C2319" s="81" t="s">
        <v>5427</v>
      </c>
      <c r="D2319" s="79" t="s">
        <v>5427</v>
      </c>
      <c r="E2319" s="79" t="s">
        <v>5274</v>
      </c>
      <c r="F2319" s="79" t="s">
        <v>1508</v>
      </c>
      <c r="G2319" s="79">
        <v>3569</v>
      </c>
      <c r="H2319" s="79">
        <v>62.7</v>
      </c>
      <c r="I2319" s="79">
        <v>13849</v>
      </c>
      <c r="J2319" s="79">
        <v>12069</v>
      </c>
      <c r="K2319" s="79">
        <v>9</v>
      </c>
      <c r="L2319" s="79">
        <v>9</v>
      </c>
      <c r="M2319" s="79">
        <v>0</v>
      </c>
      <c r="N2319" s="79">
        <v>0</v>
      </c>
      <c r="O2319">
        <f t="shared" si="639"/>
        <v>1</v>
      </c>
      <c r="P2319" s="57">
        <f t="shared" si="640"/>
        <v>1</v>
      </c>
      <c r="Q2319" s="267">
        <f t="shared" si="641"/>
        <v>5692</v>
      </c>
      <c r="R2319" s="23">
        <f t="shared" si="642"/>
        <v>3569</v>
      </c>
      <c r="S2319" s="23">
        <f t="shared" si="643"/>
        <v>2123</v>
      </c>
      <c r="T2319" s="23">
        <f t="shared" si="644"/>
        <v>1446</v>
      </c>
      <c r="U2319" t="str">
        <f t="shared" si="645"/>
        <v>CO_El Pa_2020g~Donald Wescott Fire Protection District Northern Subdistrict Ballot Issue 6C (Vote for 1)</v>
      </c>
      <c r="AF2319" s="22" t="str">
        <f t="shared" si="638"/>
        <v/>
      </c>
    </row>
    <row r="2320" spans="1:38" ht="14.4">
      <c r="A2320" t="str">
        <f t="shared" si="637"/>
        <v>CO_El Pa_2020g~Donald Wescott Fire Protection District Northern Subdistrict Ballot Issue 6C (Vote for 1)</v>
      </c>
      <c r="B2320" s="79" t="s">
        <v>5638</v>
      </c>
      <c r="C2320" s="81" t="s">
        <v>5427</v>
      </c>
      <c r="D2320" s="79" t="s">
        <v>5427</v>
      </c>
      <c r="E2320" s="79" t="s">
        <v>5275</v>
      </c>
      <c r="F2320" s="79" t="s">
        <v>1509</v>
      </c>
      <c r="G2320" s="79">
        <v>2123</v>
      </c>
      <c r="H2320" s="79">
        <v>37.299999999999997</v>
      </c>
      <c r="I2320" s="79">
        <v>13849</v>
      </c>
      <c r="J2320" s="79">
        <v>12069</v>
      </c>
      <c r="K2320" s="79">
        <v>9</v>
      </c>
      <c r="L2320" s="79">
        <v>9</v>
      </c>
      <c r="M2320" s="79">
        <v>0</v>
      </c>
      <c r="N2320" s="79">
        <v>0</v>
      </c>
      <c r="O2320">
        <f t="shared" si="639"/>
        <v>2</v>
      </c>
      <c r="P2320" s="57">
        <f t="shared" si="640"/>
        <v>1</v>
      </c>
      <c r="Q2320" s="267">
        <f t="shared" si="641"/>
        <v>2123</v>
      </c>
      <c r="R2320" s="23" t="str">
        <f t="shared" si="642"/>
        <v/>
      </c>
      <c r="S2320" s="23">
        <f t="shared" si="643"/>
        <v>2123</v>
      </c>
      <c r="T2320" s="23" t="str">
        <f t="shared" si="644"/>
        <v/>
      </c>
      <c r="U2320" t="str">
        <f t="shared" si="645"/>
        <v/>
      </c>
      <c r="AF2320" s="22" t="str">
        <f t="shared" si="638"/>
        <v/>
      </c>
    </row>
    <row r="2321" spans="1:38" ht="14.4">
      <c r="A2321" t="str">
        <f t="shared" si="637"/>
        <v>CO_El Pa_2020g~El Paso County Commissioner - District 2 (Vote for 1)</v>
      </c>
      <c r="B2321" s="79" t="s">
        <v>5638</v>
      </c>
      <c r="C2321" s="81" t="s">
        <v>5435</v>
      </c>
      <c r="D2321" s="79" t="s">
        <v>5435</v>
      </c>
      <c r="E2321" s="79" t="s">
        <v>5436</v>
      </c>
      <c r="F2321" s="79" t="s">
        <v>1296</v>
      </c>
      <c r="G2321" s="79">
        <v>48904</v>
      </c>
      <c r="H2321" s="79">
        <v>63.29</v>
      </c>
      <c r="I2321" s="79">
        <v>102961</v>
      </c>
      <c r="J2321" s="79">
        <v>82209</v>
      </c>
      <c r="K2321" s="79">
        <v>61</v>
      </c>
      <c r="L2321" s="79">
        <v>61</v>
      </c>
      <c r="M2321" s="79">
        <v>0</v>
      </c>
      <c r="N2321" s="79">
        <v>0</v>
      </c>
      <c r="O2321">
        <f t="shared" si="639"/>
        <v>1</v>
      </c>
      <c r="P2321" s="57">
        <f t="shared" si="640"/>
        <v>1</v>
      </c>
      <c r="Q2321" s="267">
        <f t="shared" si="641"/>
        <v>77273</v>
      </c>
      <c r="R2321" s="23">
        <f t="shared" si="642"/>
        <v>48904</v>
      </c>
      <c r="S2321" s="23">
        <f t="shared" si="643"/>
        <v>25124</v>
      </c>
      <c r="T2321" s="23">
        <f t="shared" si="644"/>
        <v>23780</v>
      </c>
      <c r="U2321" t="str">
        <f t="shared" si="645"/>
        <v>CO_El Pa_2020g~El Paso County Commissioner - District 2 (Vote for 1)</v>
      </c>
      <c r="AF2321" s="22" t="str">
        <f t="shared" si="638"/>
        <v/>
      </c>
    </row>
    <row r="2322" spans="1:38" ht="14.4">
      <c r="A2322" t="str">
        <f t="shared" si="637"/>
        <v>CO_El Pa_2020g~El Paso County Commissioner - District 2 (Vote for 1)</v>
      </c>
      <c r="B2322" s="79" t="s">
        <v>5638</v>
      </c>
      <c r="C2322" s="81" t="s">
        <v>5435</v>
      </c>
      <c r="D2322" s="79" t="s">
        <v>5435</v>
      </c>
      <c r="E2322" s="79" t="s">
        <v>5437</v>
      </c>
      <c r="F2322" s="79" t="s">
        <v>1294</v>
      </c>
      <c r="G2322" s="79">
        <v>25124</v>
      </c>
      <c r="H2322" s="79">
        <v>32.51</v>
      </c>
      <c r="I2322" s="79">
        <v>102961</v>
      </c>
      <c r="J2322" s="79">
        <v>82209</v>
      </c>
      <c r="K2322" s="79">
        <v>61</v>
      </c>
      <c r="L2322" s="79">
        <v>61</v>
      </c>
      <c r="M2322" s="79">
        <v>0</v>
      </c>
      <c r="N2322" s="79">
        <v>0</v>
      </c>
      <c r="O2322">
        <f t="shared" si="639"/>
        <v>2</v>
      </c>
      <c r="P2322" s="57">
        <f t="shared" si="640"/>
        <v>1</v>
      </c>
      <c r="Q2322" s="267">
        <f t="shared" si="641"/>
        <v>28369</v>
      </c>
      <c r="R2322" s="23" t="str">
        <f t="shared" si="642"/>
        <v/>
      </c>
      <c r="S2322" s="23">
        <f t="shared" si="643"/>
        <v>25124</v>
      </c>
      <c r="T2322" s="23" t="str">
        <f t="shared" si="644"/>
        <v/>
      </c>
      <c r="U2322" t="str">
        <f t="shared" si="645"/>
        <v/>
      </c>
      <c r="AF2322" s="22" t="str">
        <f t="shared" si="638"/>
        <v/>
      </c>
    </row>
    <row r="2323" spans="1:38" ht="14.4">
      <c r="A2323" t="str">
        <f t="shared" si="637"/>
        <v>CO_El Pa_2020g~El Paso County Commissioner - District 2 (Vote for 1)</v>
      </c>
      <c r="B2323" s="79" t="s">
        <v>5638</v>
      </c>
      <c r="C2323" s="81" t="s">
        <v>5435</v>
      </c>
      <c r="D2323" s="79" t="s">
        <v>5435</v>
      </c>
      <c r="E2323" s="79" t="s">
        <v>5438</v>
      </c>
      <c r="F2323" s="79" t="s">
        <v>4951</v>
      </c>
      <c r="G2323" s="79">
        <v>3245</v>
      </c>
      <c r="H2323" s="79">
        <v>4.2</v>
      </c>
      <c r="I2323" s="79">
        <v>102961</v>
      </c>
      <c r="J2323" s="79">
        <v>82209</v>
      </c>
      <c r="K2323" s="79">
        <v>61</v>
      </c>
      <c r="L2323" s="79">
        <v>61</v>
      </c>
      <c r="M2323" s="79">
        <v>0</v>
      </c>
      <c r="N2323" s="79">
        <v>0</v>
      </c>
      <c r="O2323">
        <f t="shared" si="639"/>
        <v>3</v>
      </c>
      <c r="P2323" s="57">
        <f t="shared" si="640"/>
        <v>1</v>
      </c>
      <c r="Q2323" s="267">
        <f t="shared" si="641"/>
        <v>3245</v>
      </c>
      <c r="R2323" s="23" t="str">
        <f t="shared" si="642"/>
        <v/>
      </c>
      <c r="S2323" s="23">
        <f t="shared" si="643"/>
        <v>3245</v>
      </c>
      <c r="T2323" s="23" t="str">
        <f t="shared" si="644"/>
        <v/>
      </c>
      <c r="U2323" t="str">
        <f t="shared" si="645"/>
        <v/>
      </c>
      <c r="AF2323" s="22" t="str">
        <f t="shared" si="638"/>
        <v/>
      </c>
    </row>
    <row r="2324" spans="1:38" ht="14.4">
      <c r="A2324" t="str">
        <f t="shared" si="637"/>
        <v>CO_El Pa_2020g~El Paso County Commissioner - District 3 (Vote for 1)</v>
      </c>
      <c r="B2324" s="79" t="s">
        <v>5638</v>
      </c>
      <c r="C2324" s="81" t="s">
        <v>5439</v>
      </c>
      <c r="D2324" s="79" t="s">
        <v>5439</v>
      </c>
      <c r="E2324" s="79" t="s">
        <v>5440</v>
      </c>
      <c r="F2324" s="79" t="s">
        <v>1296</v>
      </c>
      <c r="G2324" s="79">
        <v>42303</v>
      </c>
      <c r="H2324" s="79">
        <v>52.67</v>
      </c>
      <c r="I2324" s="79">
        <v>108911</v>
      </c>
      <c r="J2324" s="79">
        <v>85493</v>
      </c>
      <c r="K2324" s="79">
        <v>64</v>
      </c>
      <c r="L2324" s="79">
        <v>64</v>
      </c>
      <c r="M2324" s="79">
        <v>0</v>
      </c>
      <c r="N2324" s="79">
        <v>0</v>
      </c>
      <c r="O2324">
        <f t="shared" si="639"/>
        <v>1</v>
      </c>
      <c r="P2324" s="57">
        <f t="shared" si="640"/>
        <v>1</v>
      </c>
      <c r="Q2324" s="267">
        <f t="shared" si="641"/>
        <v>80317</v>
      </c>
      <c r="R2324" s="23">
        <f t="shared" si="642"/>
        <v>42303</v>
      </c>
      <c r="S2324" s="23">
        <f t="shared" si="643"/>
        <v>34640</v>
      </c>
      <c r="T2324" s="23">
        <f t="shared" si="644"/>
        <v>7663</v>
      </c>
      <c r="U2324" t="str">
        <f t="shared" si="645"/>
        <v>CO_El Pa_2020g~El Paso County Commissioner - District 3 (Vote for 1)</v>
      </c>
      <c r="AF2324" s="22" t="str">
        <f t="shared" si="638"/>
        <v/>
      </c>
    </row>
    <row r="2325" spans="1:38" ht="14.4">
      <c r="A2325" t="str">
        <f t="shared" si="637"/>
        <v>CO_El Pa_2020g~El Paso County Commissioner - District 3 (Vote for 1)</v>
      </c>
      <c r="B2325" s="79" t="s">
        <v>5638</v>
      </c>
      <c r="C2325" s="81" t="s">
        <v>5439</v>
      </c>
      <c r="D2325" s="79" t="s">
        <v>5439</v>
      </c>
      <c r="E2325" s="79" t="s">
        <v>5441</v>
      </c>
      <c r="F2325" s="79" t="s">
        <v>1294</v>
      </c>
      <c r="G2325" s="79">
        <v>34640</v>
      </c>
      <c r="H2325" s="79">
        <v>43.13</v>
      </c>
      <c r="I2325" s="79">
        <v>108911</v>
      </c>
      <c r="J2325" s="79">
        <v>85493</v>
      </c>
      <c r="K2325" s="79">
        <v>64</v>
      </c>
      <c r="L2325" s="79">
        <v>64</v>
      </c>
      <c r="M2325" s="79">
        <v>0</v>
      </c>
      <c r="N2325" s="79">
        <v>0</v>
      </c>
      <c r="O2325">
        <f t="shared" si="639"/>
        <v>2</v>
      </c>
      <c r="P2325" s="57">
        <f t="shared" si="640"/>
        <v>1</v>
      </c>
      <c r="Q2325" s="267">
        <f t="shared" si="641"/>
        <v>38014</v>
      </c>
      <c r="R2325" s="23" t="str">
        <f t="shared" si="642"/>
        <v/>
      </c>
      <c r="S2325" s="23">
        <f t="shared" si="643"/>
        <v>34640</v>
      </c>
      <c r="T2325" s="23" t="str">
        <f t="shared" si="644"/>
        <v/>
      </c>
      <c r="U2325" t="str">
        <f t="shared" si="645"/>
        <v/>
      </c>
      <c r="AF2325" s="22" t="str">
        <f t="shared" si="638"/>
        <v/>
      </c>
    </row>
    <row r="2326" spans="1:38" ht="14.4">
      <c r="A2326" t="str">
        <f t="shared" si="637"/>
        <v>CO_El Pa_2020g~El Paso County Commissioner - District 3 (Vote for 1)</v>
      </c>
      <c r="B2326" s="79" t="s">
        <v>5638</v>
      </c>
      <c r="C2326" s="81" t="s">
        <v>5439</v>
      </c>
      <c r="D2326" s="79" t="s">
        <v>5439</v>
      </c>
      <c r="E2326" s="79" t="s">
        <v>1245</v>
      </c>
      <c r="F2326" s="79" t="s">
        <v>4951</v>
      </c>
      <c r="G2326" s="79">
        <v>3374</v>
      </c>
      <c r="H2326" s="79">
        <v>4.2</v>
      </c>
      <c r="I2326" s="79">
        <v>108911</v>
      </c>
      <c r="J2326" s="79">
        <v>85493</v>
      </c>
      <c r="K2326" s="79">
        <v>64</v>
      </c>
      <c r="L2326" s="79">
        <v>64</v>
      </c>
      <c r="M2326" s="79">
        <v>0</v>
      </c>
      <c r="N2326" s="79">
        <v>0</v>
      </c>
      <c r="O2326">
        <f t="shared" si="639"/>
        <v>3</v>
      </c>
      <c r="P2326" s="57">
        <f t="shared" si="640"/>
        <v>1</v>
      </c>
      <c r="Q2326" s="267">
        <f t="shared" si="641"/>
        <v>3374</v>
      </c>
      <c r="R2326" s="23" t="str">
        <f t="shared" si="642"/>
        <v/>
      </c>
      <c r="S2326" s="23">
        <f t="shared" si="643"/>
        <v>3374</v>
      </c>
      <c r="T2326" s="23" t="str">
        <f t="shared" si="644"/>
        <v/>
      </c>
      <c r="U2326" t="str">
        <f t="shared" si="645"/>
        <v/>
      </c>
      <c r="AF2326" s="22" t="str">
        <f t="shared" si="638"/>
        <v/>
      </c>
    </row>
    <row r="2327" spans="1:38" ht="14.4">
      <c r="A2327" t="str">
        <f t="shared" si="637"/>
        <v>CO_El Pa_2020g~El Paso County Commissioner - District 4 (Vote for 1)</v>
      </c>
      <c r="B2327" s="79" t="s">
        <v>5638</v>
      </c>
      <c r="C2327" s="81" t="s">
        <v>5442</v>
      </c>
      <c r="D2327" s="79" t="s">
        <v>5442</v>
      </c>
      <c r="E2327" s="79" t="s">
        <v>5443</v>
      </c>
      <c r="F2327" s="79" t="s">
        <v>1296</v>
      </c>
      <c r="G2327" s="79">
        <v>29036</v>
      </c>
      <c r="H2327" s="79">
        <v>55.62</v>
      </c>
      <c r="I2327" s="79">
        <v>79634</v>
      </c>
      <c r="J2327" s="79">
        <v>55499</v>
      </c>
      <c r="K2327" s="79">
        <v>48</v>
      </c>
      <c r="L2327" s="79">
        <v>48</v>
      </c>
      <c r="M2327" s="79">
        <v>0</v>
      </c>
      <c r="N2327" s="79">
        <v>0</v>
      </c>
      <c r="O2327">
        <f t="shared" si="639"/>
        <v>1</v>
      </c>
      <c r="P2327" s="57">
        <f t="shared" si="640"/>
        <v>1</v>
      </c>
      <c r="Q2327" s="267">
        <f t="shared" si="641"/>
        <v>52207</v>
      </c>
      <c r="R2327" s="23">
        <f t="shared" si="642"/>
        <v>29036</v>
      </c>
      <c r="S2327" s="23">
        <f t="shared" si="643"/>
        <v>19601</v>
      </c>
      <c r="T2327" s="23">
        <f t="shared" si="644"/>
        <v>9435</v>
      </c>
      <c r="U2327" t="str">
        <f t="shared" si="645"/>
        <v>CO_El Pa_2020g~El Paso County Commissioner - District 4 (Vote for 1)</v>
      </c>
      <c r="AF2327" s="22" t="str">
        <f t="shared" si="638"/>
        <v/>
      </c>
    </row>
    <row r="2328" spans="1:38" ht="14.4">
      <c r="A2328" t="str">
        <f t="shared" si="637"/>
        <v>CO_El Pa_2020g~El Paso County Commissioner - District 4 (Vote for 1)</v>
      </c>
      <c r="B2328" s="79" t="s">
        <v>5638</v>
      </c>
      <c r="C2328" s="81" t="s">
        <v>5442</v>
      </c>
      <c r="D2328" s="79" t="s">
        <v>5442</v>
      </c>
      <c r="E2328" s="79" t="s">
        <v>5444</v>
      </c>
      <c r="F2328" s="79" t="s">
        <v>1294</v>
      </c>
      <c r="G2328" s="79">
        <v>19601</v>
      </c>
      <c r="H2328" s="79">
        <v>37.54</v>
      </c>
      <c r="I2328" s="79">
        <v>79634</v>
      </c>
      <c r="J2328" s="79">
        <v>55499</v>
      </c>
      <c r="K2328" s="79">
        <v>48</v>
      </c>
      <c r="L2328" s="79">
        <v>48</v>
      </c>
      <c r="M2328" s="79">
        <v>0</v>
      </c>
      <c r="N2328" s="79">
        <v>0</v>
      </c>
      <c r="O2328">
        <f t="shared" si="639"/>
        <v>2</v>
      </c>
      <c r="P2328" s="57">
        <f t="shared" si="640"/>
        <v>1</v>
      </c>
      <c r="Q2328" s="267">
        <f t="shared" si="641"/>
        <v>23171</v>
      </c>
      <c r="R2328" s="23" t="str">
        <f t="shared" si="642"/>
        <v/>
      </c>
      <c r="S2328" s="23">
        <f t="shared" si="643"/>
        <v>19601</v>
      </c>
      <c r="T2328" s="23" t="str">
        <f t="shared" si="644"/>
        <v/>
      </c>
      <c r="U2328" t="str">
        <f t="shared" si="645"/>
        <v/>
      </c>
      <c r="AF2328" s="22" t="str">
        <f t="shared" si="638"/>
        <v/>
      </c>
    </row>
    <row r="2329" spans="1:38" ht="14.4">
      <c r="A2329" t="str">
        <f t="shared" si="637"/>
        <v>CO_El Pa_2020g~El Paso County Commissioner - District 4 (Vote for 1)</v>
      </c>
      <c r="B2329" s="79" t="s">
        <v>5638</v>
      </c>
      <c r="C2329" s="81" t="s">
        <v>5442</v>
      </c>
      <c r="D2329" s="79" t="s">
        <v>5442</v>
      </c>
      <c r="E2329" s="79" t="s">
        <v>5445</v>
      </c>
      <c r="F2329" s="79" t="s">
        <v>4951</v>
      </c>
      <c r="G2329" s="79">
        <v>3570</v>
      </c>
      <c r="H2329" s="79">
        <v>6.84</v>
      </c>
      <c r="I2329" s="79">
        <v>79634</v>
      </c>
      <c r="J2329" s="79">
        <v>55499</v>
      </c>
      <c r="K2329" s="79">
        <v>48</v>
      </c>
      <c r="L2329" s="79">
        <v>48</v>
      </c>
      <c r="M2329" s="79">
        <v>0</v>
      </c>
      <c r="N2329" s="79">
        <v>0</v>
      </c>
      <c r="O2329">
        <f t="shared" si="639"/>
        <v>3</v>
      </c>
      <c r="P2329" s="57">
        <f t="shared" si="640"/>
        <v>1</v>
      </c>
      <c r="Q2329" s="267">
        <f t="shared" si="641"/>
        <v>3570</v>
      </c>
      <c r="R2329" s="23" t="str">
        <f t="shared" si="642"/>
        <v/>
      </c>
      <c r="S2329" s="23">
        <f t="shared" si="643"/>
        <v>3570</v>
      </c>
      <c r="T2329" s="23" t="str">
        <f t="shared" si="644"/>
        <v/>
      </c>
      <c r="U2329" t="str">
        <f t="shared" si="645"/>
        <v/>
      </c>
      <c r="AF2329" s="22" t="str">
        <f t="shared" si="638"/>
        <v/>
      </c>
    </row>
    <row r="2330" spans="1:38" ht="14.4">
      <c r="A2330" t="str">
        <f t="shared" si="637"/>
        <v>CO_El Pa_2020g~El Paso County Court Judge - Findorff (Vote for 1)</v>
      </c>
      <c r="B2330" s="79" t="s">
        <v>5638</v>
      </c>
      <c r="C2330" s="81" t="s">
        <v>5446</v>
      </c>
      <c r="D2330" s="79" t="s">
        <v>5446</v>
      </c>
      <c r="E2330" s="79" t="s">
        <v>1393</v>
      </c>
      <c r="F2330" s="79" t="s">
        <v>1508</v>
      </c>
      <c r="G2330" s="79">
        <v>237028</v>
      </c>
      <c r="H2330" s="79">
        <v>77.319999999999993</v>
      </c>
      <c r="I2330" s="79">
        <v>493740</v>
      </c>
      <c r="J2330" s="79">
        <v>383167</v>
      </c>
      <c r="K2330" s="79">
        <v>291</v>
      </c>
      <c r="L2330" s="79">
        <v>291</v>
      </c>
      <c r="M2330" s="79">
        <v>0</v>
      </c>
      <c r="N2330" s="79">
        <v>0</v>
      </c>
      <c r="O2330">
        <f t="shared" si="639"/>
        <v>1</v>
      </c>
      <c r="P2330" s="57">
        <f t="shared" si="640"/>
        <v>1</v>
      </c>
      <c r="Q2330" s="267">
        <f t="shared" si="641"/>
        <v>306545</v>
      </c>
      <c r="R2330" s="23">
        <f t="shared" si="642"/>
        <v>237028</v>
      </c>
      <c r="S2330" s="23">
        <f t="shared" si="643"/>
        <v>69517</v>
      </c>
      <c r="T2330" s="23">
        <f t="shared" si="644"/>
        <v>167511</v>
      </c>
      <c r="U2330" t="str">
        <f t="shared" si="645"/>
        <v>CO_El Pa_2020g~El Paso County Court Judge - Findorff (Vote for 1)</v>
      </c>
      <c r="AF2330" s="22" t="str">
        <f t="shared" si="638"/>
        <v/>
      </c>
      <c r="AL2330" s="344"/>
    </row>
    <row r="2331" spans="1:38" ht="14.4">
      <c r="A2331" t="str">
        <f t="shared" si="637"/>
        <v>CO_El Pa_2020g~El Paso County Court Judge - Findorff (Vote for 1)</v>
      </c>
      <c r="B2331" s="79" t="s">
        <v>5638</v>
      </c>
      <c r="C2331" s="81" t="s">
        <v>5446</v>
      </c>
      <c r="D2331" s="79" t="s">
        <v>5446</v>
      </c>
      <c r="E2331" s="79" t="s">
        <v>1394</v>
      </c>
      <c r="F2331" s="79" t="s">
        <v>1509</v>
      </c>
      <c r="G2331" s="79">
        <v>69517</v>
      </c>
      <c r="H2331" s="79">
        <v>22.68</v>
      </c>
      <c r="I2331" s="79">
        <v>493740</v>
      </c>
      <c r="J2331" s="79">
        <v>383167</v>
      </c>
      <c r="K2331" s="79">
        <v>291</v>
      </c>
      <c r="L2331" s="79">
        <v>291</v>
      </c>
      <c r="M2331" s="79">
        <v>0</v>
      </c>
      <c r="N2331" s="79">
        <v>0</v>
      </c>
      <c r="O2331">
        <f t="shared" si="639"/>
        <v>2</v>
      </c>
      <c r="P2331" s="57">
        <f t="shared" si="640"/>
        <v>1</v>
      </c>
      <c r="Q2331" s="267">
        <f t="shared" si="641"/>
        <v>69517</v>
      </c>
      <c r="R2331" s="23" t="str">
        <f t="shared" si="642"/>
        <v/>
      </c>
      <c r="S2331" s="23">
        <f t="shared" si="643"/>
        <v>69517</v>
      </c>
      <c r="T2331" s="23" t="str">
        <f t="shared" si="644"/>
        <v/>
      </c>
      <c r="U2331" t="str">
        <f t="shared" si="645"/>
        <v/>
      </c>
      <c r="AF2331" s="22" t="str">
        <f t="shared" si="638"/>
        <v/>
      </c>
    </row>
    <row r="2332" spans="1:38" ht="14.4">
      <c r="A2332" t="str">
        <f t="shared" si="637"/>
        <v>CO_El Pa_2020g~El Paso County Court Judge - Gerhart (Vote for 1)</v>
      </c>
      <c r="B2332" s="79" t="s">
        <v>5638</v>
      </c>
      <c r="C2332" s="81" t="s">
        <v>5447</v>
      </c>
      <c r="D2332" s="79" t="s">
        <v>5447</v>
      </c>
      <c r="E2332" s="79" t="s">
        <v>1393</v>
      </c>
      <c r="F2332" s="79" t="s">
        <v>1508</v>
      </c>
      <c r="G2332" s="79">
        <v>236961</v>
      </c>
      <c r="H2332" s="79">
        <v>77.38</v>
      </c>
      <c r="I2332" s="79">
        <v>493740</v>
      </c>
      <c r="J2332" s="79">
        <v>383167</v>
      </c>
      <c r="K2332" s="79">
        <v>291</v>
      </c>
      <c r="L2332" s="79">
        <v>291</v>
      </c>
      <c r="M2332" s="79">
        <v>0</v>
      </c>
      <c r="N2332" s="79">
        <v>0</v>
      </c>
      <c r="O2332">
        <f t="shared" si="639"/>
        <v>1</v>
      </c>
      <c r="P2332" s="57">
        <f t="shared" si="640"/>
        <v>1</v>
      </c>
      <c r="Q2332" s="267">
        <f t="shared" si="641"/>
        <v>306235</v>
      </c>
      <c r="R2332" s="23">
        <f t="shared" si="642"/>
        <v>236961</v>
      </c>
      <c r="S2332" s="23">
        <f t="shared" si="643"/>
        <v>69274</v>
      </c>
      <c r="T2332" s="23">
        <f t="shared" si="644"/>
        <v>167687</v>
      </c>
      <c r="U2332" t="str">
        <f t="shared" si="645"/>
        <v>CO_El Pa_2020g~El Paso County Court Judge - Gerhart (Vote for 1)</v>
      </c>
      <c r="AF2332" s="22" t="str">
        <f t="shared" si="638"/>
        <v/>
      </c>
    </row>
    <row r="2333" spans="1:38" ht="14.4">
      <c r="A2333" t="str">
        <f t="shared" si="637"/>
        <v>CO_El Pa_2020g~El Paso County Court Judge - Gerhart (Vote for 1)</v>
      </c>
      <c r="B2333" s="79" t="s">
        <v>5638</v>
      </c>
      <c r="C2333" s="81" t="s">
        <v>5447</v>
      </c>
      <c r="D2333" s="79" t="s">
        <v>5447</v>
      </c>
      <c r="E2333" s="79" t="s">
        <v>1394</v>
      </c>
      <c r="F2333" s="79" t="s">
        <v>1509</v>
      </c>
      <c r="G2333" s="79">
        <v>69274</v>
      </c>
      <c r="H2333" s="79">
        <v>22.62</v>
      </c>
      <c r="I2333" s="79">
        <v>493740</v>
      </c>
      <c r="J2333" s="79">
        <v>383167</v>
      </c>
      <c r="K2333" s="79">
        <v>291</v>
      </c>
      <c r="L2333" s="79">
        <v>291</v>
      </c>
      <c r="M2333" s="79">
        <v>0</v>
      </c>
      <c r="N2333" s="79">
        <v>0</v>
      </c>
      <c r="O2333">
        <f t="shared" si="639"/>
        <v>2</v>
      </c>
      <c r="P2333" s="57">
        <f t="shared" si="640"/>
        <v>1</v>
      </c>
      <c r="Q2333" s="267">
        <f t="shared" si="641"/>
        <v>69274</v>
      </c>
      <c r="R2333" s="23" t="str">
        <f t="shared" si="642"/>
        <v/>
      </c>
      <c r="S2333" s="23">
        <f t="shared" si="643"/>
        <v>69274</v>
      </c>
      <c r="T2333" s="23" t="str">
        <f t="shared" si="644"/>
        <v/>
      </c>
      <c r="U2333" t="str">
        <f t="shared" si="645"/>
        <v/>
      </c>
      <c r="AF2333" s="22" t="str">
        <f t="shared" si="638"/>
        <v/>
      </c>
    </row>
    <row r="2334" spans="1:38" ht="14.4">
      <c r="A2334" t="str">
        <f t="shared" si="637"/>
        <v>CO_El Pa_2020g~Miami Yoder School District JT 60 Ballot Question 5A (Vote for 1)</v>
      </c>
      <c r="B2334" s="79" t="s">
        <v>5638</v>
      </c>
      <c r="C2334" s="81" t="s">
        <v>5482</v>
      </c>
      <c r="D2334" s="79" t="s">
        <v>5482</v>
      </c>
      <c r="E2334" s="79" t="s">
        <v>5275</v>
      </c>
      <c r="F2334" s="79" t="s">
        <v>1509</v>
      </c>
      <c r="G2334" s="79">
        <v>859</v>
      </c>
      <c r="H2334" s="79">
        <v>74.569999999999993</v>
      </c>
      <c r="I2334" s="79">
        <v>1549</v>
      </c>
      <c r="J2334" s="79">
        <v>1190</v>
      </c>
      <c r="K2334" s="79">
        <v>1</v>
      </c>
      <c r="L2334" s="79">
        <v>1</v>
      </c>
      <c r="M2334" s="79">
        <v>0</v>
      </c>
      <c r="N2334" s="79">
        <v>0</v>
      </c>
      <c r="O2334">
        <f t="shared" si="639"/>
        <v>1</v>
      </c>
      <c r="P2334" s="57">
        <f t="shared" si="640"/>
        <v>1</v>
      </c>
      <c r="Q2334" s="267">
        <f t="shared" si="641"/>
        <v>1152</v>
      </c>
      <c r="R2334" s="23">
        <f t="shared" si="642"/>
        <v>859</v>
      </c>
      <c r="S2334" s="23">
        <f t="shared" si="643"/>
        <v>293</v>
      </c>
      <c r="T2334" s="23">
        <f t="shared" si="644"/>
        <v>566</v>
      </c>
      <c r="U2334" t="str">
        <f t="shared" si="645"/>
        <v>CO_El Pa_2020g~Miami Yoder School District JT 60 Ballot Question 5A (Vote for 1)</v>
      </c>
      <c r="AF2334" s="22" t="str">
        <f t="shared" si="638"/>
        <v/>
      </c>
    </row>
    <row r="2335" spans="1:38" ht="14.4">
      <c r="A2335" t="str">
        <f t="shared" si="637"/>
        <v>CO_El Pa_2020g~Miami Yoder School District JT 60 Ballot Question 5A (Vote for 1)</v>
      </c>
      <c r="B2335" s="79" t="s">
        <v>5638</v>
      </c>
      <c r="C2335" s="81" t="s">
        <v>5482</v>
      </c>
      <c r="D2335" s="79" t="s">
        <v>5482</v>
      </c>
      <c r="E2335" s="79" t="s">
        <v>5274</v>
      </c>
      <c r="F2335" s="79" t="s">
        <v>1508</v>
      </c>
      <c r="G2335" s="79">
        <v>293</v>
      </c>
      <c r="H2335" s="79">
        <v>25.43</v>
      </c>
      <c r="I2335" s="79">
        <v>1549</v>
      </c>
      <c r="J2335" s="79">
        <v>1190</v>
      </c>
      <c r="K2335" s="79">
        <v>1</v>
      </c>
      <c r="L2335" s="79">
        <v>1</v>
      </c>
      <c r="M2335" s="79">
        <v>0</v>
      </c>
      <c r="N2335" s="79">
        <v>0</v>
      </c>
      <c r="O2335">
        <f t="shared" si="639"/>
        <v>2</v>
      </c>
      <c r="P2335" s="57">
        <f t="shared" si="640"/>
        <v>1</v>
      </c>
      <c r="Q2335" s="267">
        <f t="shared" si="641"/>
        <v>293</v>
      </c>
      <c r="R2335" s="23" t="str">
        <f t="shared" si="642"/>
        <v/>
      </c>
      <c r="S2335" s="23">
        <f t="shared" si="643"/>
        <v>293</v>
      </c>
      <c r="T2335" s="23" t="str">
        <f t="shared" si="644"/>
        <v/>
      </c>
      <c r="U2335" t="str">
        <f t="shared" si="645"/>
        <v/>
      </c>
      <c r="AF2335" s="22" t="str">
        <f t="shared" si="638"/>
        <v/>
      </c>
    </row>
    <row r="2336" spans="1:38" ht="14.4">
      <c r="A2336" t="str">
        <f t="shared" si="637"/>
        <v>CO_El Pa_2020g~Northeast Teller County Fire Protection District Ballot Issue 7A (Vote for 1)</v>
      </c>
      <c r="B2336" s="79" t="s">
        <v>5638</v>
      </c>
      <c r="C2336" s="81" t="s">
        <v>5483</v>
      </c>
      <c r="D2336" s="79" t="s">
        <v>5483</v>
      </c>
      <c r="E2336" s="79" t="s">
        <v>5274</v>
      </c>
      <c r="F2336" s="79" t="s">
        <v>1508</v>
      </c>
      <c r="G2336" s="79">
        <v>23</v>
      </c>
      <c r="H2336" s="79">
        <v>79.31</v>
      </c>
      <c r="I2336" s="79">
        <v>3253</v>
      </c>
      <c r="J2336" s="79">
        <v>2781</v>
      </c>
      <c r="K2336" s="79">
        <v>2</v>
      </c>
      <c r="L2336" s="79">
        <v>2</v>
      </c>
      <c r="M2336" s="79">
        <v>0</v>
      </c>
      <c r="N2336" s="79">
        <v>0</v>
      </c>
      <c r="O2336">
        <f t="shared" si="639"/>
        <v>1</v>
      </c>
      <c r="P2336" s="57">
        <f t="shared" si="640"/>
        <v>1</v>
      </c>
      <c r="Q2336" s="267">
        <f t="shared" si="641"/>
        <v>29</v>
      </c>
      <c r="R2336" s="23">
        <f t="shared" si="642"/>
        <v>23</v>
      </c>
      <c r="S2336" s="23">
        <f t="shared" si="643"/>
        <v>6</v>
      </c>
      <c r="T2336" s="23">
        <f t="shared" si="644"/>
        <v>17</v>
      </c>
      <c r="U2336" t="str">
        <f t="shared" si="645"/>
        <v>CO_El Pa_2020g~Northeast Teller County Fire Protection District Ballot Issue 7A (Vote for 1)</v>
      </c>
      <c r="AF2336" s="22" t="str">
        <f t="shared" si="638"/>
        <v/>
      </c>
    </row>
    <row r="2337" spans="1:38" ht="14.4">
      <c r="A2337" t="str">
        <f t="shared" si="637"/>
        <v>CO_El Pa_2020g~Northeast Teller County Fire Protection District Ballot Issue 7A (Vote for 1)</v>
      </c>
      <c r="B2337" s="79" t="s">
        <v>5638</v>
      </c>
      <c r="C2337" s="81" t="s">
        <v>5483</v>
      </c>
      <c r="D2337" s="79" t="s">
        <v>5483</v>
      </c>
      <c r="E2337" s="79" t="s">
        <v>5275</v>
      </c>
      <c r="F2337" s="79" t="s">
        <v>1509</v>
      </c>
      <c r="G2337" s="79">
        <v>6</v>
      </c>
      <c r="H2337" s="79">
        <v>20.69</v>
      </c>
      <c r="I2337" s="79">
        <v>3253</v>
      </c>
      <c r="J2337" s="79">
        <v>2781</v>
      </c>
      <c r="K2337" s="79">
        <v>2</v>
      </c>
      <c r="L2337" s="79">
        <v>2</v>
      </c>
      <c r="M2337" s="79">
        <v>0</v>
      </c>
      <c r="N2337" s="79">
        <v>0</v>
      </c>
      <c r="O2337">
        <f t="shared" si="639"/>
        <v>2</v>
      </c>
      <c r="P2337" s="57">
        <f t="shared" si="640"/>
        <v>1</v>
      </c>
      <c r="Q2337" s="267">
        <f t="shared" si="641"/>
        <v>6</v>
      </c>
      <c r="R2337" s="23" t="str">
        <f t="shared" si="642"/>
        <v/>
      </c>
      <c r="S2337" s="23">
        <f t="shared" si="643"/>
        <v>6</v>
      </c>
      <c r="T2337" s="23" t="str">
        <f t="shared" si="644"/>
        <v/>
      </c>
      <c r="U2337" t="str">
        <f t="shared" si="645"/>
        <v/>
      </c>
      <c r="AF2337" s="22" t="str">
        <f t="shared" si="638"/>
        <v/>
      </c>
    </row>
    <row r="2338" spans="1:38" ht="14.4">
      <c r="A2338" t="str">
        <f t="shared" si="637"/>
        <v>CO_El Pa_2020g~Representative to the 117th United States Congress - District 5 (Vote for 1)</v>
      </c>
      <c r="B2338" s="79" t="s">
        <v>5638</v>
      </c>
      <c r="C2338" s="81" t="s">
        <v>5963</v>
      </c>
      <c r="D2338" s="79" t="s">
        <v>5963</v>
      </c>
      <c r="E2338" s="79" t="s">
        <v>4989</v>
      </c>
      <c r="F2338" s="79" t="s">
        <v>1296</v>
      </c>
      <c r="G2338" s="79">
        <v>210639</v>
      </c>
      <c r="H2338" s="79">
        <v>56.76</v>
      </c>
      <c r="I2338" s="79">
        <v>493740</v>
      </c>
      <c r="J2338" s="79">
        <v>383167</v>
      </c>
      <c r="K2338" s="79">
        <v>291</v>
      </c>
      <c r="L2338" s="79">
        <v>291</v>
      </c>
      <c r="M2338" s="79">
        <v>0</v>
      </c>
      <c r="N2338" s="79">
        <v>0</v>
      </c>
      <c r="O2338">
        <f t="shared" si="639"/>
        <v>1</v>
      </c>
      <c r="P2338" s="57">
        <f t="shared" si="640"/>
        <v>1</v>
      </c>
      <c r="Q2338" s="267">
        <f t="shared" si="641"/>
        <v>371128</v>
      </c>
      <c r="R2338" s="23">
        <f t="shared" si="642"/>
        <v>210639</v>
      </c>
      <c r="S2338" s="23">
        <f t="shared" si="643"/>
        <v>141402</v>
      </c>
      <c r="T2338" s="23">
        <f t="shared" si="644"/>
        <v>69237</v>
      </c>
      <c r="U2338" t="str">
        <f t="shared" si="645"/>
        <v>CO_El Pa_2020g~Representative to the 117th United States Congress - District 5 (Vote for 1)</v>
      </c>
      <c r="AF2338" s="22" t="str">
        <f t="shared" si="638"/>
        <v/>
      </c>
    </row>
    <row r="2339" spans="1:38" ht="14.4">
      <c r="A2339" t="str">
        <f t="shared" si="637"/>
        <v>CO_El Pa_2020g~Representative to the 117th United States Congress - District 5 (Vote for 1)</v>
      </c>
      <c r="B2339" s="79" t="s">
        <v>5638</v>
      </c>
      <c r="C2339" s="81" t="s">
        <v>5963</v>
      </c>
      <c r="D2339" s="79" t="s">
        <v>5963</v>
      </c>
      <c r="E2339" s="79" t="s">
        <v>4990</v>
      </c>
      <c r="F2339" s="79" t="s">
        <v>1294</v>
      </c>
      <c r="G2339" s="79">
        <v>141402</v>
      </c>
      <c r="H2339" s="79">
        <v>38.1</v>
      </c>
      <c r="I2339" s="79">
        <v>493740</v>
      </c>
      <c r="J2339" s="79">
        <v>383167</v>
      </c>
      <c r="K2339" s="79">
        <v>291</v>
      </c>
      <c r="L2339" s="79">
        <v>291</v>
      </c>
      <c r="M2339" s="79">
        <v>0</v>
      </c>
      <c r="N2339" s="79">
        <v>0</v>
      </c>
      <c r="O2339">
        <f t="shared" si="639"/>
        <v>2</v>
      </c>
      <c r="P2339" s="57">
        <f t="shared" si="640"/>
        <v>1</v>
      </c>
      <c r="Q2339" s="267">
        <f t="shared" si="641"/>
        <v>160489</v>
      </c>
      <c r="R2339" s="23" t="str">
        <f t="shared" si="642"/>
        <v/>
      </c>
      <c r="S2339" s="23">
        <f t="shared" si="643"/>
        <v>141402</v>
      </c>
      <c r="T2339" s="23" t="str">
        <f t="shared" si="644"/>
        <v/>
      </c>
      <c r="U2339" t="str">
        <f t="shared" si="645"/>
        <v/>
      </c>
      <c r="AF2339" s="22" t="str">
        <f t="shared" si="638"/>
        <v/>
      </c>
    </row>
    <row r="2340" spans="1:38" ht="14.4">
      <c r="A2340" t="str">
        <f t="shared" si="637"/>
        <v>CO_El Pa_2020g~Representative to the 117th United States Congress - District 5 (Vote for 1)</v>
      </c>
      <c r="B2340" s="79" t="s">
        <v>5638</v>
      </c>
      <c r="C2340" s="81" t="s">
        <v>5963</v>
      </c>
      <c r="D2340" s="79" t="s">
        <v>5963</v>
      </c>
      <c r="E2340" s="79" t="s">
        <v>4991</v>
      </c>
      <c r="F2340" s="79" t="s">
        <v>4951</v>
      </c>
      <c r="G2340" s="79">
        <v>13005</v>
      </c>
      <c r="H2340" s="79">
        <v>3.5</v>
      </c>
      <c r="I2340" s="79">
        <v>493740</v>
      </c>
      <c r="J2340" s="79">
        <v>383167</v>
      </c>
      <c r="K2340" s="79">
        <v>291</v>
      </c>
      <c r="L2340" s="79">
        <v>291</v>
      </c>
      <c r="M2340" s="79">
        <v>0</v>
      </c>
      <c r="N2340" s="79">
        <v>0</v>
      </c>
      <c r="O2340">
        <f t="shared" si="639"/>
        <v>3</v>
      </c>
      <c r="P2340" s="57">
        <f t="shared" si="640"/>
        <v>1</v>
      </c>
      <c r="Q2340" s="267">
        <f t="shared" si="641"/>
        <v>19087</v>
      </c>
      <c r="R2340" s="23" t="str">
        <f t="shared" si="642"/>
        <v/>
      </c>
      <c r="S2340" s="23">
        <f t="shared" si="643"/>
        <v>13005</v>
      </c>
      <c r="T2340" s="23" t="str">
        <f t="shared" si="644"/>
        <v/>
      </c>
      <c r="U2340" t="str">
        <f t="shared" si="645"/>
        <v/>
      </c>
      <c r="AF2340" s="22" t="str">
        <f t="shared" si="638"/>
        <v/>
      </c>
      <c r="AL2340" s="23"/>
    </row>
    <row r="2341" spans="1:38" ht="14.4">
      <c r="A2341" t="str">
        <f t="shared" si="637"/>
        <v>CO_El Pa_2020g~Representative to the 117th United States Congress - District 5 (Vote for 1)</v>
      </c>
      <c r="B2341" s="79" t="s">
        <v>5638</v>
      </c>
      <c r="C2341" s="81" t="s">
        <v>5963</v>
      </c>
      <c r="D2341" s="79" t="s">
        <v>5963</v>
      </c>
      <c r="E2341" s="79" t="s">
        <v>4993</v>
      </c>
      <c r="F2341" s="79" t="s">
        <v>4955</v>
      </c>
      <c r="G2341" s="79">
        <v>3168</v>
      </c>
      <c r="H2341" s="79">
        <v>0.85</v>
      </c>
      <c r="I2341" s="79">
        <v>493740</v>
      </c>
      <c r="J2341" s="79">
        <v>383167</v>
      </c>
      <c r="K2341" s="79">
        <v>291</v>
      </c>
      <c r="L2341" s="79">
        <v>291</v>
      </c>
      <c r="M2341" s="79">
        <v>0</v>
      </c>
      <c r="N2341" s="79">
        <v>0</v>
      </c>
      <c r="O2341">
        <f t="shared" si="639"/>
        <v>4</v>
      </c>
      <c r="P2341" s="57">
        <f t="shared" si="640"/>
        <v>1</v>
      </c>
      <c r="Q2341" s="267">
        <f t="shared" si="641"/>
        <v>6082</v>
      </c>
      <c r="R2341" s="23" t="str">
        <f t="shared" si="642"/>
        <v/>
      </c>
      <c r="S2341" s="23">
        <f t="shared" si="643"/>
        <v>3168</v>
      </c>
      <c r="T2341" s="23" t="str">
        <f t="shared" si="644"/>
        <v/>
      </c>
      <c r="U2341" t="str">
        <f t="shared" si="645"/>
        <v/>
      </c>
      <c r="AF2341" s="22" t="str">
        <f t="shared" si="638"/>
        <v/>
      </c>
    </row>
    <row r="2342" spans="1:38" ht="14.4">
      <c r="A2342" t="str">
        <f t="shared" si="637"/>
        <v>CO_El Pa_2020g~Representative to the 117th United States Congress - District 5 (Vote for 1)</v>
      </c>
      <c r="B2342" s="79" t="s">
        <v>5638</v>
      </c>
      <c r="C2342" s="81" t="s">
        <v>5963</v>
      </c>
      <c r="D2342" s="79" t="s">
        <v>5963</v>
      </c>
      <c r="E2342" s="79" t="s">
        <v>4992</v>
      </c>
      <c r="F2342" s="79" t="s">
        <v>4946</v>
      </c>
      <c r="G2342" s="79">
        <v>2914</v>
      </c>
      <c r="H2342" s="79">
        <v>0.79</v>
      </c>
      <c r="I2342" s="79">
        <v>493740</v>
      </c>
      <c r="J2342" s="79">
        <v>383167</v>
      </c>
      <c r="K2342" s="79">
        <v>291</v>
      </c>
      <c r="L2342" s="79">
        <v>291</v>
      </c>
      <c r="M2342" s="79">
        <v>0</v>
      </c>
      <c r="N2342" s="79">
        <v>0</v>
      </c>
      <c r="O2342">
        <f t="shared" si="639"/>
        <v>5</v>
      </c>
      <c r="P2342" s="57">
        <f t="shared" si="640"/>
        <v>1</v>
      </c>
      <c r="Q2342" s="267">
        <f t="shared" si="641"/>
        <v>2914</v>
      </c>
      <c r="R2342" s="23" t="str">
        <f t="shared" si="642"/>
        <v/>
      </c>
      <c r="S2342" s="23">
        <f t="shared" si="643"/>
        <v>2914</v>
      </c>
      <c r="T2342" s="23" t="str">
        <f t="shared" si="644"/>
        <v/>
      </c>
      <c r="U2342" t="str">
        <f t="shared" si="645"/>
        <v/>
      </c>
      <c r="AF2342" s="22" t="str">
        <f t="shared" si="638"/>
        <v/>
      </c>
    </row>
    <row r="2343" spans="1:38" ht="14.4">
      <c r="A2343" t="str">
        <f t="shared" si="637"/>
        <v>CO_El Pa_2020g~State Representative - District 14 (Vote for 1)</v>
      </c>
      <c r="B2343" s="79" t="s">
        <v>5638</v>
      </c>
      <c r="C2343" s="81" t="s">
        <v>5498</v>
      </c>
      <c r="D2343" s="79" t="s">
        <v>5498</v>
      </c>
      <c r="E2343" s="79" t="s">
        <v>5085</v>
      </c>
      <c r="F2343" s="79" t="s">
        <v>1296</v>
      </c>
      <c r="G2343" s="79">
        <v>34013</v>
      </c>
      <c r="H2343" s="79">
        <v>60.86</v>
      </c>
      <c r="I2343" s="79">
        <v>71258</v>
      </c>
      <c r="J2343" s="79">
        <v>58917</v>
      </c>
      <c r="K2343" s="79">
        <v>42</v>
      </c>
      <c r="L2343" s="79">
        <v>42</v>
      </c>
      <c r="M2343" s="79">
        <v>0</v>
      </c>
      <c r="N2343" s="79">
        <v>0</v>
      </c>
      <c r="O2343">
        <f t="shared" si="639"/>
        <v>1</v>
      </c>
      <c r="P2343" s="57">
        <f t="shared" si="640"/>
        <v>1</v>
      </c>
      <c r="Q2343" s="267">
        <f t="shared" si="641"/>
        <v>55890</v>
      </c>
      <c r="R2343" s="23">
        <f t="shared" si="642"/>
        <v>34013</v>
      </c>
      <c r="S2343" s="23">
        <f t="shared" si="643"/>
        <v>19688</v>
      </c>
      <c r="T2343" s="23">
        <f t="shared" si="644"/>
        <v>14325</v>
      </c>
      <c r="U2343" t="str">
        <f t="shared" si="645"/>
        <v>CO_El Pa_2020g~State Representative - District 14 (Vote for 1)</v>
      </c>
      <c r="AF2343" s="22" t="str">
        <f t="shared" si="638"/>
        <v/>
      </c>
    </row>
    <row r="2344" spans="1:38" ht="14.4">
      <c r="A2344" t="str">
        <f t="shared" si="637"/>
        <v>CO_El Pa_2020g~State Representative - District 14 (Vote for 1)</v>
      </c>
      <c r="B2344" s="79" t="s">
        <v>5638</v>
      </c>
      <c r="C2344" s="81" t="s">
        <v>5498</v>
      </c>
      <c r="D2344" s="79" t="s">
        <v>5498</v>
      </c>
      <c r="E2344" s="79" t="s">
        <v>5084</v>
      </c>
      <c r="F2344" s="79" t="s">
        <v>1294</v>
      </c>
      <c r="G2344" s="79">
        <v>19688</v>
      </c>
      <c r="H2344" s="79">
        <v>35.229999999999997</v>
      </c>
      <c r="I2344" s="79">
        <v>71258</v>
      </c>
      <c r="J2344" s="79">
        <v>58917</v>
      </c>
      <c r="K2344" s="79">
        <v>42</v>
      </c>
      <c r="L2344" s="79">
        <v>42</v>
      </c>
      <c r="M2344" s="79">
        <v>0</v>
      </c>
      <c r="N2344" s="79">
        <v>0</v>
      </c>
      <c r="O2344">
        <f t="shared" si="639"/>
        <v>2</v>
      </c>
      <c r="P2344" s="57">
        <f t="shared" si="640"/>
        <v>1</v>
      </c>
      <c r="Q2344" s="267">
        <f t="shared" si="641"/>
        <v>21877</v>
      </c>
      <c r="R2344" s="23" t="str">
        <f t="shared" si="642"/>
        <v/>
      </c>
      <c r="S2344" s="23">
        <f t="shared" si="643"/>
        <v>19688</v>
      </c>
      <c r="T2344" s="23" t="str">
        <f t="shared" si="644"/>
        <v/>
      </c>
      <c r="U2344" t="str">
        <f t="shared" si="645"/>
        <v/>
      </c>
      <c r="AF2344" s="22" t="str">
        <f t="shared" si="638"/>
        <v/>
      </c>
      <c r="AL2344" s="23"/>
    </row>
    <row r="2345" spans="1:38" ht="14.4">
      <c r="A2345" t="str">
        <f t="shared" si="637"/>
        <v>CO_El Pa_2020g~State Representative - District 14 (Vote for 1)</v>
      </c>
      <c r="B2345" s="79" t="s">
        <v>5638</v>
      </c>
      <c r="C2345" s="81" t="s">
        <v>5498</v>
      </c>
      <c r="D2345" s="79" t="s">
        <v>5498</v>
      </c>
      <c r="E2345" s="79" t="s">
        <v>5086</v>
      </c>
      <c r="F2345" s="79" t="s">
        <v>4951</v>
      </c>
      <c r="G2345" s="79">
        <v>2189</v>
      </c>
      <c r="H2345" s="79">
        <v>3.92</v>
      </c>
      <c r="I2345" s="79">
        <v>71258</v>
      </c>
      <c r="J2345" s="79">
        <v>58917</v>
      </c>
      <c r="K2345" s="79">
        <v>42</v>
      </c>
      <c r="L2345" s="79">
        <v>42</v>
      </c>
      <c r="M2345" s="79">
        <v>0</v>
      </c>
      <c r="N2345" s="79">
        <v>0</v>
      </c>
      <c r="O2345">
        <f t="shared" si="639"/>
        <v>3</v>
      </c>
      <c r="P2345" s="57">
        <f t="shared" si="640"/>
        <v>1</v>
      </c>
      <c r="Q2345" s="267">
        <f t="shared" si="641"/>
        <v>2189</v>
      </c>
      <c r="R2345" s="23" t="str">
        <f t="shared" si="642"/>
        <v/>
      </c>
      <c r="S2345" s="23">
        <f t="shared" si="643"/>
        <v>2189</v>
      </c>
      <c r="T2345" s="23" t="str">
        <f t="shared" si="644"/>
        <v/>
      </c>
      <c r="U2345" t="str">
        <f t="shared" si="645"/>
        <v/>
      </c>
      <c r="AF2345" s="22" t="str">
        <f t="shared" si="638"/>
        <v/>
      </c>
    </row>
    <row r="2346" spans="1:38" ht="14.4">
      <c r="A2346" t="str">
        <f t="shared" si="637"/>
        <v>CO_El Pa_2020g~State Representative - District 15 (Vote for 1)</v>
      </c>
      <c r="B2346" s="79" t="s">
        <v>5638</v>
      </c>
      <c r="C2346" s="81" t="s">
        <v>5499</v>
      </c>
      <c r="D2346" s="79" t="s">
        <v>5499</v>
      </c>
      <c r="E2346" s="79" t="s">
        <v>5088</v>
      </c>
      <c r="F2346" s="79" t="s">
        <v>1296</v>
      </c>
      <c r="G2346" s="79">
        <v>28944</v>
      </c>
      <c r="H2346" s="79">
        <v>59.14</v>
      </c>
      <c r="I2346" s="79">
        <v>65643</v>
      </c>
      <c r="J2346" s="79">
        <v>51974</v>
      </c>
      <c r="K2346" s="79">
        <v>37</v>
      </c>
      <c r="L2346" s="79">
        <v>37</v>
      </c>
      <c r="M2346" s="79">
        <v>0</v>
      </c>
      <c r="N2346" s="79">
        <v>0</v>
      </c>
      <c r="O2346">
        <f t="shared" si="639"/>
        <v>1</v>
      </c>
      <c r="P2346" s="57">
        <f t="shared" si="640"/>
        <v>1</v>
      </c>
      <c r="Q2346" s="267">
        <f t="shared" si="641"/>
        <v>48938</v>
      </c>
      <c r="R2346" s="23">
        <f t="shared" si="642"/>
        <v>28944</v>
      </c>
      <c r="S2346" s="23">
        <f t="shared" si="643"/>
        <v>17535</v>
      </c>
      <c r="T2346" s="23">
        <f t="shared" si="644"/>
        <v>11409</v>
      </c>
      <c r="U2346" t="str">
        <f t="shared" si="645"/>
        <v>CO_El Pa_2020g~State Representative - District 15 (Vote for 1)</v>
      </c>
      <c r="AF2346" s="22" t="str">
        <f t="shared" si="638"/>
        <v/>
      </c>
    </row>
    <row r="2347" spans="1:38" ht="14.4">
      <c r="A2347" t="str">
        <f t="shared" si="637"/>
        <v>CO_El Pa_2020g~State Representative - District 15 (Vote for 1)</v>
      </c>
      <c r="B2347" s="79" t="s">
        <v>5638</v>
      </c>
      <c r="C2347" s="81" t="s">
        <v>5499</v>
      </c>
      <c r="D2347" s="79" t="s">
        <v>5499</v>
      </c>
      <c r="E2347" s="79" t="s">
        <v>5087</v>
      </c>
      <c r="F2347" s="79" t="s">
        <v>1294</v>
      </c>
      <c r="G2347" s="79">
        <v>17535</v>
      </c>
      <c r="H2347" s="79">
        <v>35.83</v>
      </c>
      <c r="I2347" s="79">
        <v>65643</v>
      </c>
      <c r="J2347" s="79">
        <v>51974</v>
      </c>
      <c r="K2347" s="79">
        <v>37</v>
      </c>
      <c r="L2347" s="79">
        <v>37</v>
      </c>
      <c r="M2347" s="79">
        <v>0</v>
      </c>
      <c r="N2347" s="79">
        <v>0</v>
      </c>
      <c r="O2347">
        <f t="shared" si="639"/>
        <v>2</v>
      </c>
      <c r="P2347" s="57">
        <f t="shared" si="640"/>
        <v>1</v>
      </c>
      <c r="Q2347" s="267">
        <f t="shared" si="641"/>
        <v>19994</v>
      </c>
      <c r="R2347" s="23" t="str">
        <f t="shared" si="642"/>
        <v/>
      </c>
      <c r="S2347" s="23">
        <f t="shared" si="643"/>
        <v>17535</v>
      </c>
      <c r="T2347" s="23" t="str">
        <f t="shared" si="644"/>
        <v/>
      </c>
      <c r="U2347" t="str">
        <f t="shared" si="645"/>
        <v/>
      </c>
      <c r="AF2347" s="22" t="str">
        <f t="shared" si="638"/>
        <v/>
      </c>
    </row>
    <row r="2348" spans="1:38" ht="14.4">
      <c r="A2348" t="str">
        <f t="shared" si="637"/>
        <v>CO_El Pa_2020g~State Representative - District 15 (Vote for 1)</v>
      </c>
      <c r="B2348" s="79" t="s">
        <v>5638</v>
      </c>
      <c r="C2348" s="81" t="s">
        <v>5499</v>
      </c>
      <c r="D2348" s="79" t="s">
        <v>5499</v>
      </c>
      <c r="E2348" s="79" t="s">
        <v>5089</v>
      </c>
      <c r="F2348" s="79" t="s">
        <v>4951</v>
      </c>
      <c r="G2348" s="79">
        <v>2459</v>
      </c>
      <c r="H2348" s="79">
        <v>5.0199999999999996</v>
      </c>
      <c r="I2348" s="79">
        <v>65643</v>
      </c>
      <c r="J2348" s="79">
        <v>51974</v>
      </c>
      <c r="K2348" s="79">
        <v>37</v>
      </c>
      <c r="L2348" s="79">
        <v>37</v>
      </c>
      <c r="M2348" s="79">
        <v>0</v>
      </c>
      <c r="N2348" s="79">
        <v>0</v>
      </c>
      <c r="O2348">
        <f t="shared" si="639"/>
        <v>3</v>
      </c>
      <c r="P2348" s="57">
        <f t="shared" si="640"/>
        <v>1</v>
      </c>
      <c r="Q2348" s="267">
        <f t="shared" si="641"/>
        <v>2459</v>
      </c>
      <c r="R2348" s="23" t="str">
        <f t="shared" si="642"/>
        <v/>
      </c>
      <c r="S2348" s="23">
        <f t="shared" si="643"/>
        <v>2459</v>
      </c>
      <c r="T2348" s="23" t="str">
        <f t="shared" si="644"/>
        <v/>
      </c>
      <c r="U2348" t="str">
        <f t="shared" si="645"/>
        <v/>
      </c>
      <c r="AF2348" s="22" t="str">
        <f t="shared" si="638"/>
        <v/>
      </c>
    </row>
    <row r="2349" spans="1:38" ht="14.4">
      <c r="A2349" t="str">
        <f t="shared" si="637"/>
        <v>CO_El Pa_2020g~State Representative - District 16 (Vote for 1)</v>
      </c>
      <c r="B2349" s="79" t="s">
        <v>5638</v>
      </c>
      <c r="C2349" s="81" t="s">
        <v>5500</v>
      </c>
      <c r="D2349" s="79" t="s">
        <v>5500</v>
      </c>
      <c r="E2349" s="79" t="s">
        <v>5090</v>
      </c>
      <c r="F2349" s="79" t="s">
        <v>1296</v>
      </c>
      <c r="G2349" s="79">
        <v>23842</v>
      </c>
      <c r="H2349" s="79">
        <v>54.53</v>
      </c>
      <c r="I2349" s="79">
        <v>59783</v>
      </c>
      <c r="J2349" s="79">
        <v>46314</v>
      </c>
      <c r="K2349" s="79">
        <v>33</v>
      </c>
      <c r="L2349" s="79">
        <v>33</v>
      </c>
      <c r="M2349" s="79">
        <v>0</v>
      </c>
      <c r="N2349" s="79">
        <v>0</v>
      </c>
      <c r="O2349">
        <f t="shared" si="639"/>
        <v>1</v>
      </c>
      <c r="P2349" s="57">
        <f t="shared" si="640"/>
        <v>1</v>
      </c>
      <c r="Q2349" s="267">
        <f t="shared" si="641"/>
        <v>43725</v>
      </c>
      <c r="R2349" s="23">
        <f t="shared" si="642"/>
        <v>23842</v>
      </c>
      <c r="S2349" s="23">
        <f t="shared" si="643"/>
        <v>18070</v>
      </c>
      <c r="T2349" s="23">
        <f t="shared" si="644"/>
        <v>5772</v>
      </c>
      <c r="U2349" t="str">
        <f t="shared" si="645"/>
        <v>CO_El Pa_2020g~State Representative - District 16 (Vote for 1)</v>
      </c>
      <c r="AF2349" s="22" t="str">
        <f t="shared" si="638"/>
        <v/>
      </c>
    </row>
    <row r="2350" spans="1:38" ht="14.4">
      <c r="A2350" t="str">
        <f t="shared" si="637"/>
        <v>CO_El Pa_2020g~State Representative - District 16 (Vote for 1)</v>
      </c>
      <c r="B2350" s="79" t="s">
        <v>5638</v>
      </c>
      <c r="C2350" s="81" t="s">
        <v>5500</v>
      </c>
      <c r="D2350" s="79" t="s">
        <v>5500</v>
      </c>
      <c r="E2350" s="79" t="s">
        <v>5091</v>
      </c>
      <c r="F2350" s="79" t="s">
        <v>1294</v>
      </c>
      <c r="G2350" s="79">
        <v>18070</v>
      </c>
      <c r="H2350" s="79">
        <v>41.33</v>
      </c>
      <c r="I2350" s="79">
        <v>59783</v>
      </c>
      <c r="J2350" s="79">
        <v>46314</v>
      </c>
      <c r="K2350" s="79">
        <v>33</v>
      </c>
      <c r="L2350" s="79">
        <v>33</v>
      </c>
      <c r="M2350" s="79">
        <v>0</v>
      </c>
      <c r="N2350" s="79">
        <v>0</v>
      </c>
      <c r="O2350">
        <f t="shared" si="639"/>
        <v>2</v>
      </c>
      <c r="P2350" s="57">
        <f t="shared" si="640"/>
        <v>1</v>
      </c>
      <c r="Q2350" s="267">
        <f t="shared" si="641"/>
        <v>19883</v>
      </c>
      <c r="R2350" s="23" t="str">
        <f t="shared" si="642"/>
        <v/>
      </c>
      <c r="S2350" s="23">
        <f t="shared" si="643"/>
        <v>18070</v>
      </c>
      <c r="T2350" s="23" t="str">
        <f t="shared" si="644"/>
        <v/>
      </c>
      <c r="U2350" t="str">
        <f t="shared" si="645"/>
        <v/>
      </c>
      <c r="AF2350" s="22" t="str">
        <f t="shared" si="638"/>
        <v/>
      </c>
    </row>
    <row r="2351" spans="1:38" ht="14.4">
      <c r="A2351" t="str">
        <f t="shared" si="637"/>
        <v>CO_El Pa_2020g~State Representative - District 16 (Vote for 1)</v>
      </c>
      <c r="B2351" s="79" t="s">
        <v>5638</v>
      </c>
      <c r="C2351" s="81" t="s">
        <v>5500</v>
      </c>
      <c r="D2351" s="79" t="s">
        <v>5500</v>
      </c>
      <c r="E2351" s="79" t="s">
        <v>5092</v>
      </c>
      <c r="F2351" s="79" t="s">
        <v>4951</v>
      </c>
      <c r="G2351" s="79">
        <v>1813</v>
      </c>
      <c r="H2351" s="79">
        <v>4.1500000000000004</v>
      </c>
      <c r="I2351" s="79">
        <v>59783</v>
      </c>
      <c r="J2351" s="79">
        <v>46314</v>
      </c>
      <c r="K2351" s="79">
        <v>33</v>
      </c>
      <c r="L2351" s="79">
        <v>33</v>
      </c>
      <c r="M2351" s="79">
        <v>0</v>
      </c>
      <c r="N2351" s="79">
        <v>0</v>
      </c>
      <c r="O2351">
        <f t="shared" si="639"/>
        <v>3</v>
      </c>
      <c r="P2351" s="57">
        <f t="shared" si="640"/>
        <v>1</v>
      </c>
      <c r="Q2351" s="267">
        <f t="shared" si="641"/>
        <v>1813</v>
      </c>
      <c r="R2351" s="23" t="str">
        <f t="shared" si="642"/>
        <v/>
      </c>
      <c r="S2351" s="23">
        <f t="shared" si="643"/>
        <v>1813</v>
      </c>
      <c r="T2351" s="23" t="str">
        <f t="shared" si="644"/>
        <v/>
      </c>
      <c r="U2351" t="str">
        <f t="shared" si="645"/>
        <v/>
      </c>
      <c r="AF2351" s="22" t="str">
        <f t="shared" si="638"/>
        <v/>
      </c>
    </row>
    <row r="2352" spans="1:38" ht="14.4">
      <c r="A2352" t="str">
        <f t="shared" si="637"/>
        <v>CO_El Pa_2020g~State Representative - District 17 (Vote for 1)</v>
      </c>
      <c r="B2352" s="79" t="s">
        <v>5638</v>
      </c>
      <c r="C2352" s="81" t="s">
        <v>5501</v>
      </c>
      <c r="D2352" s="79" t="s">
        <v>5501</v>
      </c>
      <c r="E2352" s="79" t="s">
        <v>5093</v>
      </c>
      <c r="F2352" s="79" t="s">
        <v>1294</v>
      </c>
      <c r="G2352" s="79">
        <v>15780</v>
      </c>
      <c r="H2352" s="79">
        <v>56.76</v>
      </c>
      <c r="I2352" s="79">
        <v>45474</v>
      </c>
      <c r="J2352" s="79">
        <v>29049</v>
      </c>
      <c r="K2352" s="79">
        <v>27</v>
      </c>
      <c r="L2352" s="79">
        <v>27</v>
      </c>
      <c r="M2352" s="79">
        <v>0</v>
      </c>
      <c r="N2352" s="79">
        <v>0</v>
      </c>
      <c r="O2352">
        <f t="shared" si="639"/>
        <v>1</v>
      </c>
      <c r="P2352" s="57">
        <f t="shared" si="640"/>
        <v>1</v>
      </c>
      <c r="Q2352" s="267">
        <f t="shared" si="641"/>
        <v>27799</v>
      </c>
      <c r="R2352" s="23">
        <f t="shared" si="642"/>
        <v>15780</v>
      </c>
      <c r="S2352" s="23">
        <f t="shared" si="643"/>
        <v>10398</v>
      </c>
      <c r="T2352" s="23">
        <f t="shared" si="644"/>
        <v>5382</v>
      </c>
      <c r="U2352" t="str">
        <f t="shared" si="645"/>
        <v>CO_El Pa_2020g~State Representative - District 17 (Vote for 1)</v>
      </c>
      <c r="AF2352" s="22" t="str">
        <f t="shared" si="638"/>
        <v/>
      </c>
    </row>
    <row r="2353" spans="1:32" ht="14.4">
      <c r="A2353" t="str">
        <f t="shared" si="637"/>
        <v>CO_El Pa_2020g~State Representative - District 17 (Vote for 1)</v>
      </c>
      <c r="B2353" s="79" t="s">
        <v>5638</v>
      </c>
      <c r="C2353" s="81" t="s">
        <v>5501</v>
      </c>
      <c r="D2353" s="79" t="s">
        <v>5501</v>
      </c>
      <c r="E2353" s="79" t="s">
        <v>5094</v>
      </c>
      <c r="F2353" s="79" t="s">
        <v>1296</v>
      </c>
      <c r="G2353" s="79">
        <v>10398</v>
      </c>
      <c r="H2353" s="79">
        <v>37.4</v>
      </c>
      <c r="I2353" s="79">
        <v>45474</v>
      </c>
      <c r="J2353" s="79">
        <v>29049</v>
      </c>
      <c r="K2353" s="79">
        <v>27</v>
      </c>
      <c r="L2353" s="79">
        <v>27</v>
      </c>
      <c r="M2353" s="79">
        <v>0</v>
      </c>
      <c r="N2353" s="79">
        <v>0</v>
      </c>
      <c r="O2353">
        <f t="shared" si="639"/>
        <v>2</v>
      </c>
      <c r="P2353" s="57">
        <f t="shared" si="640"/>
        <v>1</v>
      </c>
      <c r="Q2353" s="267">
        <f t="shared" si="641"/>
        <v>12019</v>
      </c>
      <c r="R2353" s="23" t="str">
        <f t="shared" si="642"/>
        <v/>
      </c>
      <c r="S2353" s="23">
        <f t="shared" si="643"/>
        <v>10398</v>
      </c>
      <c r="T2353" s="23" t="str">
        <f t="shared" si="644"/>
        <v/>
      </c>
      <c r="U2353" t="str">
        <f t="shared" si="645"/>
        <v/>
      </c>
      <c r="AF2353" s="22" t="str">
        <f t="shared" si="638"/>
        <v/>
      </c>
    </row>
    <row r="2354" spans="1:32" ht="14.4">
      <c r="A2354" t="str">
        <f t="shared" ref="A2354:A2417" si="646">CONCATENATE(B2354,"~",D2354)</f>
        <v>CO_El Pa_2020g~State Representative - District 17 (Vote for 1)</v>
      </c>
      <c r="B2354" s="79" t="s">
        <v>5638</v>
      </c>
      <c r="C2354" s="81" t="s">
        <v>5501</v>
      </c>
      <c r="D2354" s="79" t="s">
        <v>5501</v>
      </c>
      <c r="E2354" s="79" t="s">
        <v>5095</v>
      </c>
      <c r="F2354" s="79" t="s">
        <v>4951</v>
      </c>
      <c r="G2354" s="79">
        <v>1621</v>
      </c>
      <c r="H2354" s="79">
        <v>5.83</v>
      </c>
      <c r="I2354" s="79">
        <v>45474</v>
      </c>
      <c r="J2354" s="79">
        <v>29049</v>
      </c>
      <c r="K2354" s="79">
        <v>27</v>
      </c>
      <c r="L2354" s="79">
        <v>27</v>
      </c>
      <c r="M2354" s="79">
        <v>0</v>
      </c>
      <c r="N2354" s="79">
        <v>0</v>
      </c>
      <c r="O2354">
        <f t="shared" si="639"/>
        <v>3</v>
      </c>
      <c r="P2354" s="57">
        <f t="shared" si="640"/>
        <v>1</v>
      </c>
      <c r="Q2354" s="267">
        <f t="shared" si="641"/>
        <v>1621</v>
      </c>
      <c r="R2354" s="23" t="str">
        <f t="shared" si="642"/>
        <v/>
      </c>
      <c r="S2354" s="23">
        <f t="shared" si="643"/>
        <v>1621</v>
      </c>
      <c r="T2354" s="23" t="str">
        <f t="shared" si="644"/>
        <v/>
      </c>
      <c r="U2354" t="str">
        <f t="shared" si="645"/>
        <v/>
      </c>
      <c r="AF2354" s="22" t="str">
        <f t="shared" si="638"/>
        <v/>
      </c>
    </row>
    <row r="2355" spans="1:32" ht="14.4">
      <c r="A2355" t="str">
        <f t="shared" si="646"/>
        <v>CO_El Pa_2020g~State Representative - District 18 (Vote for 1)</v>
      </c>
      <c r="B2355" s="79" t="s">
        <v>5638</v>
      </c>
      <c r="C2355" s="81" t="s">
        <v>5502</v>
      </c>
      <c r="D2355" s="79" t="s">
        <v>5502</v>
      </c>
      <c r="E2355" s="79" t="s">
        <v>5096</v>
      </c>
      <c r="F2355" s="79" t="s">
        <v>1294</v>
      </c>
      <c r="G2355" s="79">
        <v>26325</v>
      </c>
      <c r="H2355" s="79">
        <v>59.07</v>
      </c>
      <c r="I2355" s="79">
        <v>63759</v>
      </c>
      <c r="J2355" s="79">
        <v>46919</v>
      </c>
      <c r="K2355" s="79">
        <v>39</v>
      </c>
      <c r="L2355" s="79">
        <v>39</v>
      </c>
      <c r="M2355" s="79">
        <v>0</v>
      </c>
      <c r="N2355" s="79">
        <v>0</v>
      </c>
      <c r="O2355">
        <f t="shared" si="639"/>
        <v>1</v>
      </c>
      <c r="P2355" s="57">
        <f t="shared" si="640"/>
        <v>1</v>
      </c>
      <c r="Q2355" s="267">
        <f t="shared" si="641"/>
        <v>44563</v>
      </c>
      <c r="R2355" s="23">
        <f t="shared" si="642"/>
        <v>26325</v>
      </c>
      <c r="S2355" s="23">
        <f t="shared" si="643"/>
        <v>16331</v>
      </c>
      <c r="T2355" s="23">
        <f t="shared" si="644"/>
        <v>9994</v>
      </c>
      <c r="U2355" t="str">
        <f t="shared" si="645"/>
        <v>CO_El Pa_2020g~State Representative - District 18 (Vote for 1)</v>
      </c>
      <c r="AF2355" s="22" t="str">
        <f t="shared" si="638"/>
        <v/>
      </c>
    </row>
    <row r="2356" spans="1:32" ht="14.4">
      <c r="A2356" t="str">
        <f t="shared" si="646"/>
        <v>CO_El Pa_2020g~State Representative - District 18 (Vote for 1)</v>
      </c>
      <c r="B2356" s="79" t="s">
        <v>5638</v>
      </c>
      <c r="C2356" s="81" t="s">
        <v>5502</v>
      </c>
      <c r="D2356" s="79" t="s">
        <v>5502</v>
      </c>
      <c r="E2356" s="79" t="s">
        <v>5097</v>
      </c>
      <c r="F2356" s="79" t="s">
        <v>1296</v>
      </c>
      <c r="G2356" s="79">
        <v>16331</v>
      </c>
      <c r="H2356" s="79">
        <v>36.65</v>
      </c>
      <c r="I2356" s="79">
        <v>63759</v>
      </c>
      <c r="J2356" s="79">
        <v>46919</v>
      </c>
      <c r="K2356" s="79">
        <v>39</v>
      </c>
      <c r="L2356" s="79">
        <v>39</v>
      </c>
      <c r="M2356" s="79">
        <v>0</v>
      </c>
      <c r="N2356" s="79">
        <v>0</v>
      </c>
      <c r="O2356">
        <f t="shared" si="639"/>
        <v>2</v>
      </c>
      <c r="P2356" s="57">
        <f t="shared" si="640"/>
        <v>1</v>
      </c>
      <c r="Q2356" s="267">
        <f t="shared" si="641"/>
        <v>18238</v>
      </c>
      <c r="R2356" s="23" t="str">
        <f t="shared" si="642"/>
        <v/>
      </c>
      <c r="S2356" s="23">
        <f t="shared" si="643"/>
        <v>16331</v>
      </c>
      <c r="T2356" s="23" t="str">
        <f t="shared" si="644"/>
        <v/>
      </c>
      <c r="U2356" t="str">
        <f t="shared" si="645"/>
        <v/>
      </c>
      <c r="AF2356" s="22" t="str">
        <f t="shared" si="638"/>
        <v/>
      </c>
    </row>
    <row r="2357" spans="1:32" ht="14.4">
      <c r="A2357" t="str">
        <f t="shared" si="646"/>
        <v>CO_El Pa_2020g~State Representative - District 18 (Vote for 1)</v>
      </c>
      <c r="B2357" s="79" t="s">
        <v>5638</v>
      </c>
      <c r="C2357" s="81" t="s">
        <v>5502</v>
      </c>
      <c r="D2357" s="79" t="s">
        <v>5502</v>
      </c>
      <c r="E2357" s="79" t="s">
        <v>5098</v>
      </c>
      <c r="F2357" s="79" t="s">
        <v>4951</v>
      </c>
      <c r="G2357" s="79">
        <v>1907</v>
      </c>
      <c r="H2357" s="79">
        <v>4.28</v>
      </c>
      <c r="I2357" s="79">
        <v>63759</v>
      </c>
      <c r="J2357" s="79">
        <v>46919</v>
      </c>
      <c r="K2357" s="79">
        <v>39</v>
      </c>
      <c r="L2357" s="79">
        <v>39</v>
      </c>
      <c r="M2357" s="79">
        <v>0</v>
      </c>
      <c r="N2357" s="79">
        <v>0</v>
      </c>
      <c r="O2357">
        <f t="shared" si="639"/>
        <v>3</v>
      </c>
      <c r="P2357" s="57">
        <f t="shared" si="640"/>
        <v>1</v>
      </c>
      <c r="Q2357" s="267">
        <f t="shared" si="641"/>
        <v>1907</v>
      </c>
      <c r="R2357" s="23" t="str">
        <f t="shared" si="642"/>
        <v/>
      </c>
      <c r="S2357" s="23">
        <f t="shared" si="643"/>
        <v>1907</v>
      </c>
      <c r="T2357" s="23" t="str">
        <f t="shared" si="644"/>
        <v/>
      </c>
      <c r="U2357" t="str">
        <f t="shared" si="645"/>
        <v/>
      </c>
      <c r="AF2357" s="22" t="str">
        <f t="shared" si="638"/>
        <v/>
      </c>
    </row>
    <row r="2358" spans="1:32" ht="14.4">
      <c r="A2358" t="str">
        <f t="shared" si="646"/>
        <v>CO_El Pa_2020g~State Representative - District 19 (Vote for 1)</v>
      </c>
      <c r="B2358" s="79" t="s">
        <v>5638</v>
      </c>
      <c r="C2358" s="81" t="s">
        <v>5503</v>
      </c>
      <c r="D2358" s="79" t="s">
        <v>5503</v>
      </c>
      <c r="E2358" s="79" t="s">
        <v>5099</v>
      </c>
      <c r="F2358" s="79" t="s">
        <v>1296</v>
      </c>
      <c r="G2358" s="79">
        <v>48521</v>
      </c>
      <c r="H2358" s="79">
        <v>74.97</v>
      </c>
      <c r="I2358" s="79">
        <v>79258</v>
      </c>
      <c r="J2358" s="79">
        <v>67395</v>
      </c>
      <c r="K2358" s="79">
        <v>50</v>
      </c>
      <c r="L2358" s="79">
        <v>50</v>
      </c>
      <c r="M2358" s="79">
        <v>0</v>
      </c>
      <c r="N2358" s="79">
        <v>0</v>
      </c>
      <c r="O2358">
        <f t="shared" si="639"/>
        <v>1</v>
      </c>
      <c r="P2358" s="57">
        <f t="shared" si="640"/>
        <v>1</v>
      </c>
      <c r="Q2358" s="267">
        <f t="shared" si="641"/>
        <v>64719</v>
      </c>
      <c r="R2358" s="23">
        <f t="shared" si="642"/>
        <v>48521</v>
      </c>
      <c r="S2358" s="23">
        <f t="shared" si="643"/>
        <v>16198</v>
      </c>
      <c r="T2358" s="23">
        <f t="shared" si="644"/>
        <v>32323</v>
      </c>
      <c r="U2358" t="str">
        <f t="shared" si="645"/>
        <v>CO_El Pa_2020g~State Representative - District 19 (Vote for 1)</v>
      </c>
      <c r="AF2358" s="22" t="str">
        <f t="shared" ref="AF2358:AF2421" si="647">LEFT(AL2087,14)</f>
        <v/>
      </c>
    </row>
    <row r="2359" spans="1:32" ht="14.4">
      <c r="A2359" t="str">
        <f t="shared" si="646"/>
        <v>CO_El Pa_2020g~State Representative - District 19 (Vote for 1)</v>
      </c>
      <c r="B2359" s="79" t="s">
        <v>5638</v>
      </c>
      <c r="C2359" s="81" t="s">
        <v>5503</v>
      </c>
      <c r="D2359" s="79" t="s">
        <v>5503</v>
      </c>
      <c r="E2359" s="79" t="s">
        <v>5100</v>
      </c>
      <c r="F2359" s="79" t="s">
        <v>1294</v>
      </c>
      <c r="G2359" s="79">
        <v>16198</v>
      </c>
      <c r="H2359" s="79">
        <v>25.03</v>
      </c>
      <c r="I2359" s="79">
        <v>79258</v>
      </c>
      <c r="J2359" s="79">
        <v>67395</v>
      </c>
      <c r="K2359" s="79">
        <v>50</v>
      </c>
      <c r="L2359" s="79">
        <v>50</v>
      </c>
      <c r="M2359" s="79">
        <v>0</v>
      </c>
      <c r="N2359" s="79">
        <v>0</v>
      </c>
      <c r="O2359">
        <f t="shared" si="639"/>
        <v>2</v>
      </c>
      <c r="P2359" s="57">
        <f t="shared" si="640"/>
        <v>1</v>
      </c>
      <c r="Q2359" s="267">
        <f t="shared" si="641"/>
        <v>16198</v>
      </c>
      <c r="R2359" s="23" t="str">
        <f t="shared" si="642"/>
        <v/>
      </c>
      <c r="S2359" s="23">
        <f t="shared" si="643"/>
        <v>16198</v>
      </c>
      <c r="T2359" s="23" t="str">
        <f t="shared" si="644"/>
        <v/>
      </c>
      <c r="U2359" t="str">
        <f t="shared" si="645"/>
        <v/>
      </c>
      <c r="AF2359" s="22" t="str">
        <f t="shared" si="647"/>
        <v/>
      </c>
    </row>
    <row r="2360" spans="1:32" ht="14.4">
      <c r="A2360" t="str">
        <f t="shared" si="646"/>
        <v>CO_El Pa_2020g~State Representative - District 20 (Vote for 1)</v>
      </c>
      <c r="B2360" s="79" t="s">
        <v>5638</v>
      </c>
      <c r="C2360" s="81" t="s">
        <v>5504</v>
      </c>
      <c r="D2360" s="79" t="s">
        <v>5504</v>
      </c>
      <c r="E2360" s="79" t="s">
        <v>5101</v>
      </c>
      <c r="F2360" s="79" t="s">
        <v>1296</v>
      </c>
      <c r="G2360" s="79">
        <v>27376</v>
      </c>
      <c r="H2360" s="79">
        <v>58.72</v>
      </c>
      <c r="I2360" s="79">
        <v>60124</v>
      </c>
      <c r="J2360" s="79">
        <v>48750</v>
      </c>
      <c r="K2360" s="79">
        <v>35</v>
      </c>
      <c r="L2360" s="79">
        <v>35</v>
      </c>
      <c r="M2360" s="79">
        <v>0</v>
      </c>
      <c r="N2360" s="79">
        <v>0</v>
      </c>
      <c r="O2360">
        <f t="shared" si="639"/>
        <v>1</v>
      </c>
      <c r="P2360" s="57">
        <f t="shared" si="640"/>
        <v>1</v>
      </c>
      <c r="Q2360" s="267">
        <f t="shared" si="641"/>
        <v>46621</v>
      </c>
      <c r="R2360" s="23">
        <f t="shared" si="642"/>
        <v>27376</v>
      </c>
      <c r="S2360" s="23">
        <f t="shared" si="643"/>
        <v>17799</v>
      </c>
      <c r="T2360" s="23">
        <f t="shared" si="644"/>
        <v>9577</v>
      </c>
      <c r="U2360" t="str">
        <f t="shared" si="645"/>
        <v>CO_El Pa_2020g~State Representative - District 20 (Vote for 1)</v>
      </c>
      <c r="AF2360" s="22" t="str">
        <f t="shared" si="647"/>
        <v/>
      </c>
    </row>
    <row r="2361" spans="1:32" ht="14.4">
      <c r="A2361" t="str">
        <f t="shared" si="646"/>
        <v>CO_El Pa_2020g~State Representative - District 20 (Vote for 1)</v>
      </c>
      <c r="B2361" s="79" t="s">
        <v>5638</v>
      </c>
      <c r="C2361" s="81" t="s">
        <v>5504</v>
      </c>
      <c r="D2361" s="79" t="s">
        <v>5504</v>
      </c>
      <c r="E2361" s="79" t="s">
        <v>5102</v>
      </c>
      <c r="F2361" s="79" t="s">
        <v>1294</v>
      </c>
      <c r="G2361" s="79">
        <v>17799</v>
      </c>
      <c r="H2361" s="79">
        <v>38.18</v>
      </c>
      <c r="I2361" s="79">
        <v>60124</v>
      </c>
      <c r="J2361" s="79">
        <v>48750</v>
      </c>
      <c r="K2361" s="79">
        <v>35</v>
      </c>
      <c r="L2361" s="79">
        <v>35</v>
      </c>
      <c r="M2361" s="79">
        <v>0</v>
      </c>
      <c r="N2361" s="79">
        <v>0</v>
      </c>
      <c r="O2361">
        <f t="shared" si="639"/>
        <v>2</v>
      </c>
      <c r="P2361" s="57">
        <f t="shared" si="640"/>
        <v>1</v>
      </c>
      <c r="Q2361" s="267">
        <f t="shared" si="641"/>
        <v>19245</v>
      </c>
      <c r="R2361" s="23" t="str">
        <f t="shared" si="642"/>
        <v/>
      </c>
      <c r="S2361" s="23">
        <f t="shared" si="643"/>
        <v>17799</v>
      </c>
      <c r="T2361" s="23" t="str">
        <f t="shared" si="644"/>
        <v/>
      </c>
      <c r="U2361" t="str">
        <f t="shared" si="645"/>
        <v/>
      </c>
      <c r="AF2361" s="22" t="str">
        <f t="shared" si="647"/>
        <v/>
      </c>
    </row>
    <row r="2362" spans="1:32" ht="14.4">
      <c r="A2362" t="str">
        <f t="shared" si="646"/>
        <v>CO_El Pa_2020g~State Representative - District 20 (Vote for 1)</v>
      </c>
      <c r="B2362" s="79" t="s">
        <v>5638</v>
      </c>
      <c r="C2362" s="81" t="s">
        <v>5504</v>
      </c>
      <c r="D2362" s="79" t="s">
        <v>5504</v>
      </c>
      <c r="E2362" s="79" t="s">
        <v>5103</v>
      </c>
      <c r="F2362" s="79" t="s">
        <v>4951</v>
      </c>
      <c r="G2362" s="79">
        <v>1446</v>
      </c>
      <c r="H2362" s="79">
        <v>3.1</v>
      </c>
      <c r="I2362" s="79">
        <v>60124</v>
      </c>
      <c r="J2362" s="79">
        <v>48750</v>
      </c>
      <c r="K2362" s="79">
        <v>35</v>
      </c>
      <c r="L2362" s="79">
        <v>35</v>
      </c>
      <c r="M2362" s="79">
        <v>0</v>
      </c>
      <c r="N2362" s="79">
        <v>0</v>
      </c>
      <c r="O2362">
        <f t="shared" si="639"/>
        <v>3</v>
      </c>
      <c r="P2362" s="57">
        <f t="shared" si="640"/>
        <v>1</v>
      </c>
      <c r="Q2362" s="267">
        <f t="shared" si="641"/>
        <v>1446</v>
      </c>
      <c r="R2362" s="23" t="str">
        <f t="shared" si="642"/>
        <v/>
      </c>
      <c r="S2362" s="23">
        <f t="shared" si="643"/>
        <v>1446</v>
      </c>
      <c r="T2362" s="23" t="str">
        <f t="shared" si="644"/>
        <v/>
      </c>
      <c r="U2362" t="str">
        <f t="shared" si="645"/>
        <v/>
      </c>
      <c r="AF2362" s="22" t="str">
        <f t="shared" si="647"/>
        <v/>
      </c>
    </row>
    <row r="2363" spans="1:32" ht="14.4">
      <c r="A2363" t="str">
        <f t="shared" si="646"/>
        <v>CO_El Pa_2020g~State Representative - District 21 (Vote for 1)</v>
      </c>
      <c r="B2363" s="79" t="s">
        <v>5638</v>
      </c>
      <c r="C2363" s="81" t="s">
        <v>5505</v>
      </c>
      <c r="D2363" s="79" t="s">
        <v>5505</v>
      </c>
      <c r="E2363" s="79" t="s">
        <v>5104</v>
      </c>
      <c r="F2363" s="79" t="s">
        <v>1296</v>
      </c>
      <c r="G2363" s="79">
        <v>17448</v>
      </c>
      <c r="H2363" s="79">
        <v>54.2</v>
      </c>
      <c r="I2363" s="79">
        <v>48441</v>
      </c>
      <c r="J2363" s="79">
        <v>33849</v>
      </c>
      <c r="K2363" s="79">
        <v>28</v>
      </c>
      <c r="L2363" s="79">
        <v>28</v>
      </c>
      <c r="M2363" s="79">
        <v>0</v>
      </c>
      <c r="N2363" s="79">
        <v>0</v>
      </c>
      <c r="O2363">
        <f t="shared" si="639"/>
        <v>1</v>
      </c>
      <c r="P2363" s="57">
        <f t="shared" si="640"/>
        <v>1</v>
      </c>
      <c r="Q2363" s="267">
        <f t="shared" si="641"/>
        <v>32190</v>
      </c>
      <c r="R2363" s="23">
        <f t="shared" si="642"/>
        <v>17448</v>
      </c>
      <c r="S2363" s="23">
        <f t="shared" si="643"/>
        <v>12999</v>
      </c>
      <c r="T2363" s="23">
        <f t="shared" si="644"/>
        <v>4449</v>
      </c>
      <c r="U2363" t="str">
        <f t="shared" si="645"/>
        <v>CO_El Pa_2020g~State Representative - District 21 (Vote for 1)</v>
      </c>
      <c r="AF2363" s="22" t="str">
        <f t="shared" si="647"/>
        <v/>
      </c>
    </row>
    <row r="2364" spans="1:32" ht="14.4">
      <c r="A2364" t="str">
        <f t="shared" si="646"/>
        <v>CO_El Pa_2020g~State Representative - District 21 (Vote for 1)</v>
      </c>
      <c r="B2364" s="79" t="s">
        <v>5638</v>
      </c>
      <c r="C2364" s="81" t="s">
        <v>5505</v>
      </c>
      <c r="D2364" s="79" t="s">
        <v>5505</v>
      </c>
      <c r="E2364" s="79" t="s">
        <v>5105</v>
      </c>
      <c r="F2364" s="79" t="s">
        <v>1294</v>
      </c>
      <c r="G2364" s="79">
        <v>12999</v>
      </c>
      <c r="H2364" s="79">
        <v>40.380000000000003</v>
      </c>
      <c r="I2364" s="79">
        <v>48441</v>
      </c>
      <c r="J2364" s="79">
        <v>33849</v>
      </c>
      <c r="K2364" s="79">
        <v>28</v>
      </c>
      <c r="L2364" s="79">
        <v>28</v>
      </c>
      <c r="M2364" s="79">
        <v>0</v>
      </c>
      <c r="N2364" s="79">
        <v>0</v>
      </c>
      <c r="O2364">
        <f t="shared" si="639"/>
        <v>2</v>
      </c>
      <c r="P2364" s="57">
        <f t="shared" si="640"/>
        <v>1</v>
      </c>
      <c r="Q2364" s="267">
        <f t="shared" si="641"/>
        <v>14742</v>
      </c>
      <c r="R2364" s="23" t="str">
        <f t="shared" si="642"/>
        <v/>
      </c>
      <c r="S2364" s="23">
        <f t="shared" si="643"/>
        <v>12999</v>
      </c>
      <c r="T2364" s="23" t="str">
        <f t="shared" si="644"/>
        <v/>
      </c>
      <c r="U2364" t="str">
        <f t="shared" si="645"/>
        <v/>
      </c>
      <c r="AF2364" s="22" t="str">
        <f t="shared" si="647"/>
        <v/>
      </c>
    </row>
    <row r="2365" spans="1:32" ht="14.4">
      <c r="A2365" t="str">
        <f t="shared" si="646"/>
        <v>CO_El Pa_2020g~State Representative - District 21 (Vote for 1)</v>
      </c>
      <c r="B2365" s="79" t="s">
        <v>5638</v>
      </c>
      <c r="C2365" s="81" t="s">
        <v>5505</v>
      </c>
      <c r="D2365" s="79" t="s">
        <v>5505</v>
      </c>
      <c r="E2365" s="79" t="s">
        <v>5106</v>
      </c>
      <c r="F2365" s="79" t="s">
        <v>4951</v>
      </c>
      <c r="G2365" s="79">
        <v>1743</v>
      </c>
      <c r="H2365" s="79">
        <v>5.41</v>
      </c>
      <c r="I2365" s="79">
        <v>48441</v>
      </c>
      <c r="J2365" s="79">
        <v>33849</v>
      </c>
      <c r="K2365" s="79">
        <v>28</v>
      </c>
      <c r="L2365" s="79">
        <v>28</v>
      </c>
      <c r="M2365" s="79">
        <v>0</v>
      </c>
      <c r="N2365" s="79">
        <v>0</v>
      </c>
      <c r="O2365">
        <f t="shared" si="639"/>
        <v>3</v>
      </c>
      <c r="P2365" s="57">
        <f t="shared" si="640"/>
        <v>1</v>
      </c>
      <c r="Q2365" s="267">
        <f t="shared" si="641"/>
        <v>1743</v>
      </c>
      <c r="R2365" s="23" t="str">
        <f t="shared" si="642"/>
        <v/>
      </c>
      <c r="S2365" s="23">
        <f t="shared" si="643"/>
        <v>1743</v>
      </c>
      <c r="T2365" s="23" t="str">
        <f t="shared" si="644"/>
        <v/>
      </c>
      <c r="U2365" t="str">
        <f t="shared" si="645"/>
        <v/>
      </c>
      <c r="AF2365" s="22" t="str">
        <f t="shared" si="647"/>
        <v/>
      </c>
    </row>
    <row r="2366" spans="1:32" ht="14.4">
      <c r="A2366" t="str">
        <f t="shared" si="646"/>
        <v>CO_El Pa_2020g~State Senator - District 10 (Vote for 1)</v>
      </c>
      <c r="B2366" s="79" t="s">
        <v>5638</v>
      </c>
      <c r="C2366" s="81" t="s">
        <v>5512</v>
      </c>
      <c r="D2366" s="79" t="s">
        <v>5512</v>
      </c>
      <c r="E2366" s="79" t="s">
        <v>5008</v>
      </c>
      <c r="F2366" s="79" t="s">
        <v>1296</v>
      </c>
      <c r="G2366" s="79">
        <v>47463</v>
      </c>
      <c r="H2366" s="79">
        <v>56.37</v>
      </c>
      <c r="I2366" s="79">
        <v>112808</v>
      </c>
      <c r="J2366" s="79">
        <v>88327</v>
      </c>
      <c r="K2366" s="79">
        <v>64</v>
      </c>
      <c r="L2366" s="79">
        <v>64</v>
      </c>
      <c r="M2366" s="79">
        <v>0</v>
      </c>
      <c r="N2366" s="79">
        <v>0</v>
      </c>
      <c r="O2366">
        <f t="shared" si="639"/>
        <v>1</v>
      </c>
      <c r="P2366" s="57">
        <f t="shared" si="640"/>
        <v>1</v>
      </c>
      <c r="Q2366" s="267">
        <f t="shared" si="641"/>
        <v>84197</v>
      </c>
      <c r="R2366" s="23">
        <f t="shared" si="642"/>
        <v>47463</v>
      </c>
      <c r="S2366" s="23">
        <f t="shared" si="643"/>
        <v>32114</v>
      </c>
      <c r="T2366" s="23">
        <f t="shared" si="644"/>
        <v>15349</v>
      </c>
      <c r="U2366" t="str">
        <f t="shared" si="645"/>
        <v>CO_El Pa_2020g~State Senator - District 10 (Vote for 1)</v>
      </c>
      <c r="AF2366" s="22" t="str">
        <f t="shared" si="647"/>
        <v/>
      </c>
    </row>
    <row r="2367" spans="1:32" ht="14.4">
      <c r="A2367" t="str">
        <f t="shared" si="646"/>
        <v>CO_El Pa_2020g~State Senator - District 10 (Vote for 1)</v>
      </c>
      <c r="B2367" s="79" t="s">
        <v>5638</v>
      </c>
      <c r="C2367" s="81" t="s">
        <v>5512</v>
      </c>
      <c r="D2367" s="79" t="s">
        <v>5512</v>
      </c>
      <c r="E2367" s="79" t="s">
        <v>5009</v>
      </c>
      <c r="F2367" s="79" t="s">
        <v>1294</v>
      </c>
      <c r="G2367" s="79">
        <v>32114</v>
      </c>
      <c r="H2367" s="79">
        <v>38.14</v>
      </c>
      <c r="I2367" s="79">
        <v>112808</v>
      </c>
      <c r="J2367" s="79">
        <v>88327</v>
      </c>
      <c r="K2367" s="79">
        <v>64</v>
      </c>
      <c r="L2367" s="79">
        <v>64</v>
      </c>
      <c r="M2367" s="79">
        <v>0</v>
      </c>
      <c r="N2367" s="79">
        <v>0</v>
      </c>
      <c r="O2367">
        <f t="shared" si="639"/>
        <v>2</v>
      </c>
      <c r="P2367" s="57">
        <f t="shared" si="640"/>
        <v>1</v>
      </c>
      <c r="Q2367" s="267">
        <f t="shared" si="641"/>
        <v>36734</v>
      </c>
      <c r="R2367" s="23" t="str">
        <f t="shared" si="642"/>
        <v/>
      </c>
      <c r="S2367" s="23">
        <f t="shared" si="643"/>
        <v>32114</v>
      </c>
      <c r="T2367" s="23" t="str">
        <f t="shared" si="644"/>
        <v/>
      </c>
      <c r="U2367" t="str">
        <f t="shared" si="645"/>
        <v/>
      </c>
      <c r="AF2367" s="22" t="str">
        <f t="shared" si="647"/>
        <v/>
      </c>
    </row>
    <row r="2368" spans="1:32" ht="14.4">
      <c r="A2368" t="str">
        <f t="shared" si="646"/>
        <v>CO_El Pa_2020g~State Senator - District 10 (Vote for 1)</v>
      </c>
      <c r="B2368" s="79" t="s">
        <v>5638</v>
      </c>
      <c r="C2368" s="81" t="s">
        <v>5512</v>
      </c>
      <c r="D2368" s="79" t="s">
        <v>5512</v>
      </c>
      <c r="E2368" s="79" t="s">
        <v>5010</v>
      </c>
      <c r="F2368" s="79" t="s">
        <v>4951</v>
      </c>
      <c r="G2368" s="79">
        <v>4620</v>
      </c>
      <c r="H2368" s="79">
        <v>5.49</v>
      </c>
      <c r="I2368" s="79">
        <v>112808</v>
      </c>
      <c r="J2368" s="79">
        <v>88327</v>
      </c>
      <c r="K2368" s="79">
        <v>64</v>
      </c>
      <c r="L2368" s="79">
        <v>64</v>
      </c>
      <c r="M2368" s="79">
        <v>0</v>
      </c>
      <c r="N2368" s="79">
        <v>0</v>
      </c>
      <c r="O2368">
        <f t="shared" si="639"/>
        <v>3</v>
      </c>
      <c r="P2368" s="57">
        <f t="shared" si="640"/>
        <v>1</v>
      </c>
      <c r="Q2368" s="267">
        <f t="shared" si="641"/>
        <v>4620</v>
      </c>
      <c r="R2368" s="23" t="str">
        <f t="shared" si="642"/>
        <v/>
      </c>
      <c r="S2368" s="23">
        <f t="shared" si="643"/>
        <v>4620</v>
      </c>
      <c r="T2368" s="23" t="str">
        <f t="shared" si="644"/>
        <v/>
      </c>
      <c r="U2368" t="str">
        <f t="shared" si="645"/>
        <v/>
      </c>
      <c r="AF2368" s="22" t="str">
        <f t="shared" si="647"/>
        <v/>
      </c>
    </row>
    <row r="2369" spans="1:38" ht="14.4">
      <c r="A2369" t="str">
        <f t="shared" si="646"/>
        <v>CO_El Pa_2020g~State Senator - District 12 (Vote for 1)</v>
      </c>
      <c r="B2369" s="79" t="s">
        <v>5638</v>
      </c>
      <c r="C2369" s="81" t="s">
        <v>5513</v>
      </c>
      <c r="D2369" s="79" t="s">
        <v>5513</v>
      </c>
      <c r="E2369" s="79" t="s">
        <v>5011</v>
      </c>
      <c r="F2369" s="79" t="s">
        <v>1296</v>
      </c>
      <c r="G2369" s="79">
        <v>45808</v>
      </c>
      <c r="H2369" s="79">
        <v>58.35</v>
      </c>
      <c r="I2369" s="79">
        <v>107266</v>
      </c>
      <c r="J2369" s="79">
        <v>81972</v>
      </c>
      <c r="K2369" s="79">
        <v>62</v>
      </c>
      <c r="L2369" s="79">
        <v>62</v>
      </c>
      <c r="M2369" s="79">
        <v>0</v>
      </c>
      <c r="N2369" s="79">
        <v>0</v>
      </c>
      <c r="O2369">
        <f t="shared" si="639"/>
        <v>1</v>
      </c>
      <c r="P2369" s="57">
        <f t="shared" si="640"/>
        <v>1</v>
      </c>
      <c r="Q2369" s="267">
        <f t="shared" si="641"/>
        <v>78512</v>
      </c>
      <c r="R2369" s="23">
        <f t="shared" si="642"/>
        <v>45808</v>
      </c>
      <c r="S2369" s="23">
        <f t="shared" si="643"/>
        <v>29656</v>
      </c>
      <c r="T2369" s="23">
        <f t="shared" si="644"/>
        <v>16152</v>
      </c>
      <c r="U2369" t="str">
        <f t="shared" si="645"/>
        <v>CO_El Pa_2020g~State Senator - District 12 (Vote for 1)</v>
      </c>
      <c r="AF2369" s="22" t="str">
        <f t="shared" si="647"/>
        <v/>
      </c>
    </row>
    <row r="2370" spans="1:38" ht="14.4">
      <c r="A2370" t="str">
        <f t="shared" si="646"/>
        <v>CO_El Pa_2020g~State Senator - District 12 (Vote for 1)</v>
      </c>
      <c r="B2370" s="79" t="s">
        <v>5638</v>
      </c>
      <c r="C2370" s="81" t="s">
        <v>5513</v>
      </c>
      <c r="D2370" s="79" t="s">
        <v>5513</v>
      </c>
      <c r="E2370" s="79" t="s">
        <v>5012</v>
      </c>
      <c r="F2370" s="79" t="s">
        <v>1294</v>
      </c>
      <c r="G2370" s="79">
        <v>29656</v>
      </c>
      <c r="H2370" s="79">
        <v>37.770000000000003</v>
      </c>
      <c r="I2370" s="79">
        <v>107266</v>
      </c>
      <c r="J2370" s="79">
        <v>81972</v>
      </c>
      <c r="K2370" s="79">
        <v>62</v>
      </c>
      <c r="L2370" s="79">
        <v>62</v>
      </c>
      <c r="M2370" s="79">
        <v>0</v>
      </c>
      <c r="N2370" s="79">
        <v>0</v>
      </c>
      <c r="O2370">
        <f t="shared" ref="O2370:O2433" si="648">IF(OR(LOWER(LEFT(E2370,8))="write-in",LOWER(LEFT(E2370,8))="not qual"),IF(A2370=A2369,-ABS(O2369),0),IF(A2370=A2369,ABS(O2369)+1,1))</f>
        <v>2</v>
      </c>
      <c r="P2370" s="57">
        <f t="shared" ref="P2370:P2433" si="649">1*LEFT(RIGHT(A2370,2),1)</f>
        <v>1</v>
      </c>
      <c r="Q2370" s="267">
        <f t="shared" ref="Q2370:Q2433" si="650">IF(A2370&lt;&gt;A2371,G2370,IF(A2370=A2369,G2370+Q2371,MAX(G2370,(G2370+Q2371)/P2370)))</f>
        <v>32704</v>
      </c>
      <c r="R2370" s="23" t="str">
        <f t="shared" ref="R2370:R2433" si="651">IF(O2370&gt;P2370,"",IF(O2370=P2370,G2370,IF(A2370=A2371,R2371,IF(O2370&lt;=0,1,G2370))))</f>
        <v/>
      </c>
      <c r="S2370" s="23">
        <f t="shared" ref="S2370:S2433" si="652">IF(AND(O2370&gt;P2370,LOWER(LEFT(E2370,8))&lt;&gt;"write-in",LOWER(LEFT(E2370,8))&lt;&gt;"not qual"),G2370,IF(A2370=A2371,S2371,0))</f>
        <v>29656</v>
      </c>
      <c r="T2370" s="23" t="str">
        <f t="shared" ref="T2370:T2433" si="653">IF(OR(A2370=A2369,S2370=0),"",R2370-ABS(S2370))</f>
        <v/>
      </c>
      <c r="U2370" t="str">
        <f t="shared" ref="U2370:U2433" si="654">IF(A2370=A2369,"",A2370)</f>
        <v/>
      </c>
      <c r="AF2370" s="22" t="str">
        <f t="shared" si="647"/>
        <v/>
      </c>
    </row>
    <row r="2371" spans="1:38" ht="14.4">
      <c r="A2371" t="str">
        <f t="shared" si="646"/>
        <v>CO_El Pa_2020g~State Senator - District 12 (Vote for 1)</v>
      </c>
      <c r="B2371" s="79" t="s">
        <v>5638</v>
      </c>
      <c r="C2371" s="81" t="s">
        <v>5513</v>
      </c>
      <c r="D2371" s="79" t="s">
        <v>5513</v>
      </c>
      <c r="E2371" s="79" t="s">
        <v>5013</v>
      </c>
      <c r="F2371" s="79" t="s">
        <v>4951</v>
      </c>
      <c r="G2371" s="79">
        <v>3048</v>
      </c>
      <c r="H2371" s="79">
        <v>3.88</v>
      </c>
      <c r="I2371" s="79">
        <v>107266</v>
      </c>
      <c r="J2371" s="79">
        <v>81972</v>
      </c>
      <c r="K2371" s="79">
        <v>62</v>
      </c>
      <c r="L2371" s="79">
        <v>62</v>
      </c>
      <c r="M2371" s="79">
        <v>0</v>
      </c>
      <c r="N2371" s="79">
        <v>0</v>
      </c>
      <c r="O2371">
        <f t="shared" si="648"/>
        <v>3</v>
      </c>
      <c r="P2371" s="57">
        <f t="shared" si="649"/>
        <v>1</v>
      </c>
      <c r="Q2371" s="267">
        <f t="shared" si="650"/>
        <v>3048</v>
      </c>
      <c r="R2371" s="23" t="str">
        <f t="shared" si="651"/>
        <v/>
      </c>
      <c r="S2371" s="23">
        <f t="shared" si="652"/>
        <v>3048</v>
      </c>
      <c r="T2371" s="23" t="str">
        <f t="shared" si="653"/>
        <v/>
      </c>
      <c r="U2371" t="str">
        <f t="shared" si="654"/>
        <v/>
      </c>
      <c r="AF2371" s="22" t="str">
        <f t="shared" si="647"/>
        <v/>
      </c>
    </row>
    <row r="2372" spans="1:38" ht="14.4">
      <c r="A2372" t="str">
        <f t="shared" si="646"/>
        <v>CO_El Pa_2020g~Town of Monument Ballot Issue 2E (Vote for 1)</v>
      </c>
      <c r="B2372" s="79" t="s">
        <v>5638</v>
      </c>
      <c r="C2372" s="81" t="s">
        <v>5567</v>
      </c>
      <c r="D2372" s="79" t="s">
        <v>5567</v>
      </c>
      <c r="E2372" s="79" t="s">
        <v>5275</v>
      </c>
      <c r="F2372" s="79" t="s">
        <v>1509</v>
      </c>
      <c r="G2372" s="79">
        <v>3568</v>
      </c>
      <c r="H2372" s="79">
        <v>57.45</v>
      </c>
      <c r="I2372" s="79">
        <v>12337</v>
      </c>
      <c r="J2372" s="79">
        <v>10750</v>
      </c>
      <c r="K2372" s="79">
        <v>7</v>
      </c>
      <c r="L2372" s="79">
        <v>7</v>
      </c>
      <c r="M2372" s="79">
        <v>0</v>
      </c>
      <c r="N2372" s="79">
        <v>0</v>
      </c>
      <c r="O2372">
        <f t="shared" si="648"/>
        <v>1</v>
      </c>
      <c r="P2372" s="57">
        <f t="shared" si="649"/>
        <v>1</v>
      </c>
      <c r="Q2372" s="267">
        <f t="shared" si="650"/>
        <v>6211</v>
      </c>
      <c r="R2372" s="23">
        <f t="shared" si="651"/>
        <v>3568</v>
      </c>
      <c r="S2372" s="23">
        <f t="shared" si="652"/>
        <v>2643</v>
      </c>
      <c r="T2372" s="23">
        <f t="shared" si="653"/>
        <v>925</v>
      </c>
      <c r="U2372" t="str">
        <f t="shared" si="654"/>
        <v>CO_El Pa_2020g~Town of Monument Ballot Issue 2E (Vote for 1)</v>
      </c>
      <c r="AF2372" s="22" t="str">
        <f t="shared" si="647"/>
        <v/>
      </c>
    </row>
    <row r="2373" spans="1:38" ht="14.4">
      <c r="A2373" t="str">
        <f t="shared" si="646"/>
        <v>CO_El Pa_2020g~Town of Monument Ballot Issue 2E (Vote for 1)</v>
      </c>
      <c r="B2373" s="79" t="s">
        <v>5638</v>
      </c>
      <c r="C2373" s="81" t="s">
        <v>5567</v>
      </c>
      <c r="D2373" s="79" t="s">
        <v>5567</v>
      </c>
      <c r="E2373" s="79" t="s">
        <v>5274</v>
      </c>
      <c r="F2373" s="79" t="s">
        <v>1508</v>
      </c>
      <c r="G2373" s="79">
        <v>2643</v>
      </c>
      <c r="H2373" s="79">
        <v>42.55</v>
      </c>
      <c r="I2373" s="79">
        <v>12337</v>
      </c>
      <c r="J2373" s="79">
        <v>10750</v>
      </c>
      <c r="K2373" s="79">
        <v>7</v>
      </c>
      <c r="L2373" s="79">
        <v>7</v>
      </c>
      <c r="M2373" s="79">
        <v>0</v>
      </c>
      <c r="N2373" s="79">
        <v>0</v>
      </c>
      <c r="O2373">
        <f t="shared" si="648"/>
        <v>2</v>
      </c>
      <c r="P2373" s="57">
        <f t="shared" si="649"/>
        <v>1</v>
      </c>
      <c r="Q2373" s="267">
        <f t="shared" si="650"/>
        <v>2643</v>
      </c>
      <c r="R2373" s="23" t="str">
        <f t="shared" si="651"/>
        <v/>
      </c>
      <c r="S2373" s="23">
        <f t="shared" si="652"/>
        <v>2643</v>
      </c>
      <c r="T2373" s="23" t="str">
        <f t="shared" si="653"/>
        <v/>
      </c>
      <c r="U2373" t="str">
        <f t="shared" si="654"/>
        <v/>
      </c>
      <c r="AF2373" s="22" t="str">
        <f t="shared" si="647"/>
        <v/>
      </c>
      <c r="AL2373" s="344"/>
    </row>
    <row r="2374" spans="1:38" ht="14.4">
      <c r="A2374" t="str">
        <f t="shared" si="646"/>
        <v>CO_El Pa_2020g~Town of Monument Ballot Question 2F (Vote for 1)</v>
      </c>
      <c r="B2374" s="79" t="s">
        <v>5638</v>
      </c>
      <c r="C2374" s="81" t="s">
        <v>5568</v>
      </c>
      <c r="D2374" s="79" t="s">
        <v>5568</v>
      </c>
      <c r="E2374" s="79" t="s">
        <v>5274</v>
      </c>
      <c r="F2374" s="79" t="s">
        <v>1508</v>
      </c>
      <c r="G2374" s="79">
        <v>3713</v>
      </c>
      <c r="H2374" s="79">
        <v>62.57</v>
      </c>
      <c r="I2374" s="79">
        <v>12337</v>
      </c>
      <c r="J2374" s="79">
        <v>10750</v>
      </c>
      <c r="K2374" s="79">
        <v>7</v>
      </c>
      <c r="L2374" s="79">
        <v>7</v>
      </c>
      <c r="M2374" s="79">
        <v>0</v>
      </c>
      <c r="N2374" s="79">
        <v>0</v>
      </c>
      <c r="O2374">
        <f t="shared" si="648"/>
        <v>1</v>
      </c>
      <c r="P2374" s="57">
        <f t="shared" si="649"/>
        <v>1</v>
      </c>
      <c r="Q2374" s="267">
        <f t="shared" si="650"/>
        <v>5934</v>
      </c>
      <c r="R2374" s="23">
        <f t="shared" si="651"/>
        <v>3713</v>
      </c>
      <c r="S2374" s="23">
        <f t="shared" si="652"/>
        <v>2221</v>
      </c>
      <c r="T2374" s="23">
        <f t="shared" si="653"/>
        <v>1492</v>
      </c>
      <c r="U2374" t="str">
        <f t="shared" si="654"/>
        <v>CO_El Pa_2020g~Town of Monument Ballot Question 2F (Vote for 1)</v>
      </c>
      <c r="AF2374" s="22" t="str">
        <f t="shared" si="647"/>
        <v/>
      </c>
    </row>
    <row r="2375" spans="1:38" ht="14.4">
      <c r="A2375" t="str">
        <f t="shared" si="646"/>
        <v>CO_El Pa_2020g~Town of Monument Ballot Question 2F (Vote for 1)</v>
      </c>
      <c r="B2375" s="79" t="s">
        <v>5638</v>
      </c>
      <c r="C2375" s="81" t="s">
        <v>5568</v>
      </c>
      <c r="D2375" s="79" t="s">
        <v>5568</v>
      </c>
      <c r="E2375" s="79" t="s">
        <v>5275</v>
      </c>
      <c r="F2375" s="79" t="s">
        <v>1509</v>
      </c>
      <c r="G2375" s="79">
        <v>2221</v>
      </c>
      <c r="H2375" s="79">
        <v>37.43</v>
      </c>
      <c r="I2375" s="79">
        <v>12337</v>
      </c>
      <c r="J2375" s="79">
        <v>10750</v>
      </c>
      <c r="K2375" s="79">
        <v>7</v>
      </c>
      <c r="L2375" s="79">
        <v>7</v>
      </c>
      <c r="M2375" s="79">
        <v>0</v>
      </c>
      <c r="N2375" s="79">
        <v>0</v>
      </c>
      <c r="O2375">
        <f t="shared" si="648"/>
        <v>2</v>
      </c>
      <c r="P2375" s="57">
        <f t="shared" si="649"/>
        <v>1</v>
      </c>
      <c r="Q2375" s="267">
        <f t="shared" si="650"/>
        <v>2221</v>
      </c>
      <c r="R2375" s="23" t="str">
        <f t="shared" si="651"/>
        <v/>
      </c>
      <c r="S2375" s="23">
        <f t="shared" si="652"/>
        <v>2221</v>
      </c>
      <c r="T2375" s="23" t="str">
        <f t="shared" si="653"/>
        <v/>
      </c>
      <c r="U2375" t="str">
        <f t="shared" si="654"/>
        <v/>
      </c>
      <c r="AF2375" s="22" t="str">
        <f t="shared" si="647"/>
        <v/>
      </c>
    </row>
    <row r="2376" spans="1:38" ht="14.4">
      <c r="A2376" t="str">
        <f t="shared" si="646"/>
        <v>CO_El Pa_2020g~Town of Palmer Lake Ballot Question 2D (Vote for 1)</v>
      </c>
      <c r="B2376" s="79" t="s">
        <v>5638</v>
      </c>
      <c r="C2376" s="81" t="s">
        <v>5569</v>
      </c>
      <c r="D2376" s="79" t="s">
        <v>5569</v>
      </c>
      <c r="E2376" s="79" t="s">
        <v>5274</v>
      </c>
      <c r="F2376" s="79" t="s">
        <v>1508</v>
      </c>
      <c r="G2376" s="79">
        <v>1027</v>
      </c>
      <c r="H2376" s="79">
        <v>58.02</v>
      </c>
      <c r="I2376" s="79">
        <v>3886</v>
      </c>
      <c r="J2376" s="79">
        <v>3309</v>
      </c>
      <c r="K2376" s="79">
        <v>2</v>
      </c>
      <c r="L2376" s="79">
        <v>2</v>
      </c>
      <c r="M2376" s="79">
        <v>0</v>
      </c>
      <c r="N2376" s="79">
        <v>0</v>
      </c>
      <c r="O2376">
        <f t="shared" si="648"/>
        <v>1</v>
      </c>
      <c r="P2376" s="57">
        <f t="shared" si="649"/>
        <v>1</v>
      </c>
      <c r="Q2376" s="267">
        <f t="shared" si="650"/>
        <v>1770</v>
      </c>
      <c r="R2376" s="23">
        <f t="shared" si="651"/>
        <v>1027</v>
      </c>
      <c r="S2376" s="23">
        <f t="shared" si="652"/>
        <v>743</v>
      </c>
      <c r="T2376" s="23">
        <f t="shared" si="653"/>
        <v>284</v>
      </c>
      <c r="U2376" t="str">
        <f t="shared" si="654"/>
        <v>CO_El Pa_2020g~Town of Palmer Lake Ballot Question 2D (Vote for 1)</v>
      </c>
      <c r="AF2376" s="22" t="str">
        <f t="shared" si="647"/>
        <v/>
      </c>
    </row>
    <row r="2377" spans="1:38" ht="14.4">
      <c r="A2377" t="str">
        <f t="shared" si="646"/>
        <v>CO_El Pa_2020g~Town of Palmer Lake Ballot Question 2D (Vote for 1)</v>
      </c>
      <c r="B2377" s="79" t="s">
        <v>5638</v>
      </c>
      <c r="C2377" s="81" t="s">
        <v>5569</v>
      </c>
      <c r="D2377" s="79" t="s">
        <v>5569</v>
      </c>
      <c r="E2377" s="79" t="s">
        <v>5275</v>
      </c>
      <c r="F2377" s="79" t="s">
        <v>1509</v>
      </c>
      <c r="G2377" s="79">
        <v>743</v>
      </c>
      <c r="H2377" s="79">
        <v>41.98</v>
      </c>
      <c r="I2377" s="79">
        <v>3886</v>
      </c>
      <c r="J2377" s="79">
        <v>3309</v>
      </c>
      <c r="K2377" s="79">
        <v>2</v>
      </c>
      <c r="L2377" s="79">
        <v>2</v>
      </c>
      <c r="M2377" s="79">
        <v>0</v>
      </c>
      <c r="N2377" s="79">
        <v>0</v>
      </c>
      <c r="O2377">
        <f t="shared" si="648"/>
        <v>2</v>
      </c>
      <c r="P2377" s="57">
        <f t="shared" si="649"/>
        <v>1</v>
      </c>
      <c r="Q2377" s="267">
        <f t="shared" si="650"/>
        <v>743</v>
      </c>
      <c r="R2377" s="23" t="str">
        <f t="shared" si="651"/>
        <v/>
      </c>
      <c r="S2377" s="23">
        <f t="shared" si="652"/>
        <v>743</v>
      </c>
      <c r="T2377" s="23" t="str">
        <f t="shared" si="653"/>
        <v/>
      </c>
      <c r="U2377" t="str">
        <f t="shared" si="654"/>
        <v/>
      </c>
      <c r="AF2377" s="22" t="str">
        <f t="shared" si="647"/>
        <v/>
      </c>
    </row>
    <row r="2378" spans="1:38" ht="14.4">
      <c r="A2378" t="str">
        <f t="shared" si="646"/>
        <v>CO_El Pa_2020g~Town of Palmer Lake Mayor (Vote for 1)</v>
      </c>
      <c r="B2378" s="79" t="s">
        <v>5638</v>
      </c>
      <c r="C2378" s="81" t="s">
        <v>5570</v>
      </c>
      <c r="D2378" s="79" t="s">
        <v>5570</v>
      </c>
      <c r="E2378" s="79" t="s">
        <v>5572</v>
      </c>
      <c r="F2378" s="79">
        <v>2</v>
      </c>
      <c r="G2378" s="79">
        <v>1020</v>
      </c>
      <c r="H2378" s="79">
        <v>62.08</v>
      </c>
      <c r="I2378" s="79">
        <v>3886</v>
      </c>
      <c r="J2378" s="79">
        <v>3309</v>
      </c>
      <c r="K2378" s="79">
        <v>2</v>
      </c>
      <c r="L2378" s="79">
        <v>2</v>
      </c>
      <c r="M2378" s="79">
        <v>0</v>
      </c>
      <c r="N2378" s="79">
        <v>0</v>
      </c>
      <c r="O2378">
        <f t="shared" si="648"/>
        <v>1</v>
      </c>
      <c r="P2378" s="57">
        <f t="shared" si="649"/>
        <v>1</v>
      </c>
      <c r="Q2378" s="267">
        <f t="shared" si="650"/>
        <v>1643</v>
      </c>
      <c r="R2378" s="23">
        <f t="shared" si="651"/>
        <v>1020</v>
      </c>
      <c r="S2378" s="23">
        <f t="shared" si="652"/>
        <v>623</v>
      </c>
      <c r="T2378" s="23">
        <f t="shared" si="653"/>
        <v>397</v>
      </c>
      <c r="U2378" t="str">
        <f t="shared" si="654"/>
        <v>CO_El Pa_2020g~Town of Palmer Lake Mayor (Vote for 1)</v>
      </c>
      <c r="AF2378" s="22" t="str">
        <f t="shared" si="647"/>
        <v/>
      </c>
    </row>
    <row r="2379" spans="1:38" ht="14.4">
      <c r="A2379" t="str">
        <f t="shared" si="646"/>
        <v>CO_El Pa_2020g~Town of Palmer Lake Mayor (Vote for 1)</v>
      </c>
      <c r="B2379" s="79" t="s">
        <v>5638</v>
      </c>
      <c r="C2379" s="81" t="s">
        <v>5570</v>
      </c>
      <c r="D2379" s="79" t="s">
        <v>5570</v>
      </c>
      <c r="E2379" s="79" t="s">
        <v>5571</v>
      </c>
      <c r="F2379" s="79">
        <v>1</v>
      </c>
      <c r="G2379" s="79">
        <v>623</v>
      </c>
      <c r="H2379" s="79">
        <v>37.92</v>
      </c>
      <c r="I2379" s="79">
        <v>3886</v>
      </c>
      <c r="J2379" s="79">
        <v>3309</v>
      </c>
      <c r="K2379" s="79">
        <v>2</v>
      </c>
      <c r="L2379" s="79">
        <v>2</v>
      </c>
      <c r="M2379" s="79">
        <v>0</v>
      </c>
      <c r="N2379" s="79">
        <v>0</v>
      </c>
      <c r="O2379">
        <f t="shared" si="648"/>
        <v>2</v>
      </c>
      <c r="P2379" s="57">
        <f t="shared" si="649"/>
        <v>1</v>
      </c>
      <c r="Q2379" s="267">
        <f t="shared" si="650"/>
        <v>623</v>
      </c>
      <c r="R2379" s="23" t="str">
        <f t="shared" si="651"/>
        <v/>
      </c>
      <c r="S2379" s="23">
        <f t="shared" si="652"/>
        <v>623</v>
      </c>
      <c r="T2379" s="23" t="str">
        <f t="shared" si="653"/>
        <v/>
      </c>
      <c r="U2379" t="str">
        <f t="shared" si="654"/>
        <v/>
      </c>
      <c r="AF2379" s="22" t="str">
        <f t="shared" si="647"/>
        <v/>
      </c>
    </row>
    <row r="2380" spans="1:38" ht="14.4">
      <c r="A2380" t="str">
        <f t="shared" si="646"/>
        <v>CO_El Pa_2020g~Town of Palmer Lake Trustee (Vote for 1)</v>
      </c>
      <c r="B2380" s="79" t="s">
        <v>5638</v>
      </c>
      <c r="C2380" s="81" t="s">
        <v>5573</v>
      </c>
      <c r="D2380" s="79" t="s">
        <v>5573</v>
      </c>
      <c r="E2380" s="79" t="s">
        <v>5574</v>
      </c>
      <c r="F2380" s="79">
        <v>1</v>
      </c>
      <c r="G2380" s="79">
        <v>846</v>
      </c>
      <c r="H2380" s="79">
        <v>18.38</v>
      </c>
      <c r="I2380" s="79">
        <v>3886</v>
      </c>
      <c r="J2380" s="79">
        <v>3309</v>
      </c>
      <c r="K2380" s="79">
        <v>2</v>
      </c>
      <c r="L2380" s="79">
        <v>2</v>
      </c>
      <c r="M2380" s="79">
        <v>0</v>
      </c>
      <c r="N2380" s="79">
        <v>0</v>
      </c>
      <c r="O2380">
        <f t="shared" si="648"/>
        <v>1</v>
      </c>
      <c r="P2380" s="57">
        <f t="shared" si="649"/>
        <v>1</v>
      </c>
      <c r="Q2380" s="267">
        <f t="shared" si="650"/>
        <v>4602</v>
      </c>
      <c r="R2380" s="23">
        <f t="shared" si="651"/>
        <v>846</v>
      </c>
      <c r="S2380" s="23">
        <f t="shared" si="652"/>
        <v>827</v>
      </c>
      <c r="T2380" s="23">
        <f t="shared" si="653"/>
        <v>19</v>
      </c>
      <c r="U2380" t="str">
        <f t="shared" si="654"/>
        <v>CO_El Pa_2020g~Town of Palmer Lake Trustee (Vote for 1)</v>
      </c>
      <c r="AF2380" s="22" t="str">
        <f t="shared" si="647"/>
        <v/>
      </c>
      <c r="AH2380" s="8"/>
    </row>
    <row r="2381" spans="1:38" ht="14.4">
      <c r="A2381" t="str">
        <f t="shared" si="646"/>
        <v>CO_El Pa_2020g~Town of Palmer Lake Trustee (Vote for 1)</v>
      </c>
      <c r="B2381" s="79" t="s">
        <v>5638</v>
      </c>
      <c r="C2381" s="81" t="s">
        <v>5573</v>
      </c>
      <c r="D2381" s="79" t="s">
        <v>5573</v>
      </c>
      <c r="E2381" s="79" t="s">
        <v>5577</v>
      </c>
      <c r="F2381" s="79">
        <v>4</v>
      </c>
      <c r="G2381" s="79">
        <v>827</v>
      </c>
      <c r="H2381" s="79">
        <v>17.97</v>
      </c>
      <c r="I2381" s="79">
        <v>3886</v>
      </c>
      <c r="J2381" s="79">
        <v>3309</v>
      </c>
      <c r="K2381" s="79">
        <v>2</v>
      </c>
      <c r="L2381" s="79">
        <v>2</v>
      </c>
      <c r="M2381" s="79">
        <v>0</v>
      </c>
      <c r="N2381" s="79">
        <v>0</v>
      </c>
      <c r="O2381">
        <f t="shared" si="648"/>
        <v>2</v>
      </c>
      <c r="P2381" s="57">
        <f t="shared" si="649"/>
        <v>1</v>
      </c>
      <c r="Q2381" s="267">
        <f t="shared" si="650"/>
        <v>3756</v>
      </c>
      <c r="R2381" s="23" t="str">
        <f t="shared" si="651"/>
        <v/>
      </c>
      <c r="S2381" s="23">
        <f t="shared" si="652"/>
        <v>827</v>
      </c>
      <c r="T2381" s="23" t="str">
        <f t="shared" si="653"/>
        <v/>
      </c>
      <c r="U2381" t="str">
        <f t="shared" si="654"/>
        <v/>
      </c>
      <c r="AF2381" s="22" t="str">
        <f t="shared" si="647"/>
        <v/>
      </c>
    </row>
    <row r="2382" spans="1:38" ht="14.4">
      <c r="A2382" t="str">
        <f t="shared" si="646"/>
        <v>CO_El Pa_2020g~Town of Palmer Lake Trustee (Vote for 1)</v>
      </c>
      <c r="B2382" s="79" t="s">
        <v>5638</v>
      </c>
      <c r="C2382" s="81" t="s">
        <v>5573</v>
      </c>
      <c r="D2382" s="79" t="s">
        <v>5573</v>
      </c>
      <c r="E2382" s="79" t="s">
        <v>5579</v>
      </c>
      <c r="F2382" s="79">
        <v>6</v>
      </c>
      <c r="G2382" s="79">
        <v>810</v>
      </c>
      <c r="H2382" s="79">
        <v>17.600000000000001</v>
      </c>
      <c r="I2382" s="79">
        <v>3886</v>
      </c>
      <c r="J2382" s="79">
        <v>3309</v>
      </c>
      <c r="K2382" s="79">
        <v>2</v>
      </c>
      <c r="L2382" s="79">
        <v>2</v>
      </c>
      <c r="M2382" s="79">
        <v>0</v>
      </c>
      <c r="N2382" s="79">
        <v>0</v>
      </c>
      <c r="O2382">
        <f t="shared" si="648"/>
        <v>3</v>
      </c>
      <c r="P2382" s="57">
        <f t="shared" si="649"/>
        <v>1</v>
      </c>
      <c r="Q2382" s="267">
        <f t="shared" si="650"/>
        <v>2929</v>
      </c>
      <c r="R2382" s="23" t="str">
        <f t="shared" si="651"/>
        <v/>
      </c>
      <c r="S2382" s="23">
        <f t="shared" si="652"/>
        <v>810</v>
      </c>
      <c r="T2382" s="23" t="str">
        <f t="shared" si="653"/>
        <v/>
      </c>
      <c r="U2382" t="str">
        <f t="shared" si="654"/>
        <v/>
      </c>
      <c r="AF2382" s="22" t="str">
        <f t="shared" si="647"/>
        <v/>
      </c>
    </row>
    <row r="2383" spans="1:38" ht="14.4">
      <c r="A2383" t="str">
        <f t="shared" si="646"/>
        <v>CO_El Pa_2020g~Town of Palmer Lake Trustee (Vote for 1)</v>
      </c>
      <c r="B2383" s="79" t="s">
        <v>5638</v>
      </c>
      <c r="C2383" s="81" t="s">
        <v>5573</v>
      </c>
      <c r="D2383" s="79" t="s">
        <v>5573</v>
      </c>
      <c r="E2383" s="79" t="s">
        <v>5576</v>
      </c>
      <c r="F2383" s="79">
        <v>3</v>
      </c>
      <c r="G2383" s="79">
        <v>724</v>
      </c>
      <c r="H2383" s="79">
        <v>15.73</v>
      </c>
      <c r="I2383" s="79">
        <v>3886</v>
      </c>
      <c r="J2383" s="79">
        <v>3309</v>
      </c>
      <c r="K2383" s="79">
        <v>2</v>
      </c>
      <c r="L2383" s="79">
        <v>2</v>
      </c>
      <c r="M2383" s="79">
        <v>0</v>
      </c>
      <c r="N2383" s="79">
        <v>0</v>
      </c>
      <c r="O2383">
        <f t="shared" si="648"/>
        <v>4</v>
      </c>
      <c r="P2383" s="57">
        <f t="shared" si="649"/>
        <v>1</v>
      </c>
      <c r="Q2383" s="267">
        <f t="shared" si="650"/>
        <v>2119</v>
      </c>
      <c r="R2383" s="23" t="str">
        <f t="shared" si="651"/>
        <v/>
      </c>
      <c r="S2383" s="23">
        <f t="shared" si="652"/>
        <v>724</v>
      </c>
      <c r="T2383" s="23" t="str">
        <f t="shared" si="653"/>
        <v/>
      </c>
      <c r="U2383" t="str">
        <f t="shared" si="654"/>
        <v/>
      </c>
      <c r="AF2383" s="22" t="str">
        <f t="shared" si="647"/>
        <v/>
      </c>
    </row>
    <row r="2384" spans="1:38" ht="14.4">
      <c r="A2384" t="str">
        <f t="shared" si="646"/>
        <v>CO_El Pa_2020g~Town of Palmer Lake Trustee (Vote for 1)</v>
      </c>
      <c r="B2384" s="79" t="s">
        <v>5638</v>
      </c>
      <c r="C2384" s="81" t="s">
        <v>5573</v>
      </c>
      <c r="D2384" s="79" t="s">
        <v>5573</v>
      </c>
      <c r="E2384" s="79" t="s">
        <v>5578</v>
      </c>
      <c r="F2384" s="79">
        <v>5</v>
      </c>
      <c r="G2384" s="79">
        <v>712</v>
      </c>
      <c r="H2384" s="79">
        <v>15.47</v>
      </c>
      <c r="I2384" s="79">
        <v>3886</v>
      </c>
      <c r="J2384" s="79">
        <v>3309</v>
      </c>
      <c r="K2384" s="79">
        <v>2</v>
      </c>
      <c r="L2384" s="79">
        <v>2</v>
      </c>
      <c r="M2384" s="79">
        <v>0</v>
      </c>
      <c r="N2384" s="79">
        <v>0</v>
      </c>
      <c r="O2384">
        <f t="shared" si="648"/>
        <v>5</v>
      </c>
      <c r="P2384" s="57">
        <f t="shared" si="649"/>
        <v>1</v>
      </c>
      <c r="Q2384" s="267">
        <f t="shared" si="650"/>
        <v>1395</v>
      </c>
      <c r="R2384" s="23" t="str">
        <f t="shared" si="651"/>
        <v/>
      </c>
      <c r="S2384" s="23">
        <f t="shared" si="652"/>
        <v>712</v>
      </c>
      <c r="T2384" s="23" t="str">
        <f t="shared" si="653"/>
        <v/>
      </c>
      <c r="U2384" t="str">
        <f t="shared" si="654"/>
        <v/>
      </c>
      <c r="AF2384" s="22" t="str">
        <f t="shared" si="647"/>
        <v/>
      </c>
    </row>
    <row r="2385" spans="1:38" ht="14.4">
      <c r="A2385" t="str">
        <f t="shared" si="646"/>
        <v>CO_El Pa_2020g~Town of Palmer Lake Trustee (Vote for 1)</v>
      </c>
      <c r="B2385" s="79" t="s">
        <v>5638</v>
      </c>
      <c r="C2385" s="81" t="s">
        <v>5573</v>
      </c>
      <c r="D2385" s="79" t="s">
        <v>5573</v>
      </c>
      <c r="E2385" s="79" t="s">
        <v>5575</v>
      </c>
      <c r="F2385" s="79">
        <v>2</v>
      </c>
      <c r="G2385" s="79">
        <v>683</v>
      </c>
      <c r="H2385" s="79">
        <v>14.84</v>
      </c>
      <c r="I2385" s="79">
        <v>3886</v>
      </c>
      <c r="J2385" s="79">
        <v>3309</v>
      </c>
      <c r="K2385" s="79">
        <v>2</v>
      </c>
      <c r="L2385" s="79">
        <v>2</v>
      </c>
      <c r="M2385" s="79">
        <v>0</v>
      </c>
      <c r="N2385" s="79">
        <v>0</v>
      </c>
      <c r="O2385">
        <f t="shared" si="648"/>
        <v>6</v>
      </c>
      <c r="P2385" s="57">
        <f t="shared" si="649"/>
        <v>1</v>
      </c>
      <c r="Q2385" s="267">
        <f t="shared" si="650"/>
        <v>683</v>
      </c>
      <c r="R2385" s="23" t="str">
        <f t="shared" si="651"/>
        <v/>
      </c>
      <c r="S2385" s="23">
        <f t="shared" si="652"/>
        <v>683</v>
      </c>
      <c r="T2385" s="23" t="str">
        <f t="shared" si="653"/>
        <v/>
      </c>
      <c r="U2385" t="str">
        <f t="shared" si="654"/>
        <v/>
      </c>
      <c r="AF2385" s="22" t="str">
        <f t="shared" si="647"/>
        <v/>
      </c>
    </row>
    <row r="2386" spans="1:38" ht="14.4">
      <c r="A2386" t="str">
        <f t="shared" si="646"/>
        <v>CO_El Pa_2020g~Triview Metropolitan District Ballot Issue 6A (Vote for 1)</v>
      </c>
      <c r="B2386" s="79" t="s">
        <v>5638</v>
      </c>
      <c r="C2386" s="81" t="s">
        <v>5611</v>
      </c>
      <c r="D2386" s="79" t="s">
        <v>5611</v>
      </c>
      <c r="E2386" s="79" t="s">
        <v>5274</v>
      </c>
      <c r="F2386" s="79" t="s">
        <v>1508</v>
      </c>
      <c r="G2386" s="79">
        <v>2095</v>
      </c>
      <c r="H2386" s="79">
        <v>59.03</v>
      </c>
      <c r="I2386" s="79">
        <v>8875</v>
      </c>
      <c r="J2386" s="79">
        <v>7797</v>
      </c>
      <c r="K2386" s="79">
        <v>6</v>
      </c>
      <c r="L2386" s="79">
        <v>6</v>
      </c>
      <c r="M2386" s="79">
        <v>0</v>
      </c>
      <c r="N2386" s="79">
        <v>0</v>
      </c>
      <c r="O2386">
        <f t="shared" si="648"/>
        <v>1</v>
      </c>
      <c r="P2386" s="57">
        <f t="shared" si="649"/>
        <v>1</v>
      </c>
      <c r="Q2386" s="267">
        <f t="shared" si="650"/>
        <v>3549</v>
      </c>
      <c r="R2386" s="23">
        <f t="shared" si="651"/>
        <v>2095</v>
      </c>
      <c r="S2386" s="23">
        <f t="shared" si="652"/>
        <v>1454</v>
      </c>
      <c r="T2386" s="23">
        <f t="shared" si="653"/>
        <v>641</v>
      </c>
      <c r="U2386" t="str">
        <f t="shared" si="654"/>
        <v>CO_El Pa_2020g~Triview Metropolitan District Ballot Issue 6A (Vote for 1)</v>
      </c>
      <c r="AF2386" s="22" t="str">
        <f t="shared" si="647"/>
        <v/>
      </c>
      <c r="AL2386" s="344"/>
    </row>
    <row r="2387" spans="1:38" ht="14.4">
      <c r="A2387" t="str">
        <f t="shared" si="646"/>
        <v>CO_El Pa_2020g~Triview Metropolitan District Ballot Issue 6A (Vote for 1)</v>
      </c>
      <c r="B2387" s="79" t="s">
        <v>5638</v>
      </c>
      <c r="C2387" s="81" t="s">
        <v>5611</v>
      </c>
      <c r="D2387" s="79" t="s">
        <v>5611</v>
      </c>
      <c r="E2387" s="79" t="s">
        <v>5275</v>
      </c>
      <c r="F2387" s="79" t="s">
        <v>1509</v>
      </c>
      <c r="G2387" s="79">
        <v>1454</v>
      </c>
      <c r="H2387" s="79">
        <v>40.97</v>
      </c>
      <c r="I2387" s="79">
        <v>8875</v>
      </c>
      <c r="J2387" s="79">
        <v>7797</v>
      </c>
      <c r="K2387" s="79">
        <v>6</v>
      </c>
      <c r="L2387" s="79">
        <v>6</v>
      </c>
      <c r="M2387" s="79">
        <v>0</v>
      </c>
      <c r="N2387" s="79">
        <v>0</v>
      </c>
      <c r="O2387">
        <f t="shared" si="648"/>
        <v>2</v>
      </c>
      <c r="P2387" s="57">
        <f t="shared" si="649"/>
        <v>1</v>
      </c>
      <c r="Q2387" s="267">
        <f t="shared" si="650"/>
        <v>1454</v>
      </c>
      <c r="R2387" s="23" t="str">
        <f t="shared" si="651"/>
        <v/>
      </c>
      <c r="S2387" s="23">
        <f t="shared" si="652"/>
        <v>1454</v>
      </c>
      <c r="T2387" s="23" t="str">
        <f t="shared" si="653"/>
        <v/>
      </c>
      <c r="U2387" t="str">
        <f t="shared" si="654"/>
        <v/>
      </c>
      <c r="AF2387" s="22" t="str">
        <f t="shared" si="647"/>
        <v/>
      </c>
    </row>
    <row r="2388" spans="1:38" ht="14.4">
      <c r="A2388" t="str">
        <f t="shared" si="646"/>
        <v>CO_Jeffe_2020g~Blue Mountain Water District Ballot Issue 6A (Vote For 1)</v>
      </c>
      <c r="B2388" s="79" t="s">
        <v>5637</v>
      </c>
      <c r="C2388" s="79" t="s">
        <v>5351</v>
      </c>
      <c r="D2388" s="79" t="s">
        <v>5351</v>
      </c>
      <c r="E2388" s="79" t="s">
        <v>5274</v>
      </c>
      <c r="F2388" s="79" t="s">
        <v>1508</v>
      </c>
      <c r="G2388" s="82">
        <v>219</v>
      </c>
      <c r="H2388" s="83">
        <v>90.5</v>
      </c>
      <c r="I2388" s="82">
        <v>3736</v>
      </c>
      <c r="J2388" s="82">
        <v>3498</v>
      </c>
      <c r="K2388" s="79">
        <v>3</v>
      </c>
      <c r="L2388" s="79">
        <v>3</v>
      </c>
      <c r="M2388" s="79">
        <v>0</v>
      </c>
      <c r="N2388" s="79">
        <v>7</v>
      </c>
      <c r="O2388">
        <f t="shared" si="648"/>
        <v>1</v>
      </c>
      <c r="P2388" s="57">
        <f t="shared" si="649"/>
        <v>1</v>
      </c>
      <c r="Q2388" s="267">
        <f t="shared" si="650"/>
        <v>242</v>
      </c>
      <c r="R2388" s="23">
        <f t="shared" si="651"/>
        <v>219</v>
      </c>
      <c r="S2388" s="23">
        <f t="shared" si="652"/>
        <v>23</v>
      </c>
      <c r="T2388" s="23">
        <f t="shared" si="653"/>
        <v>196</v>
      </c>
      <c r="U2388" t="str">
        <f t="shared" si="654"/>
        <v>CO_Jeffe_2020g~Blue Mountain Water District Ballot Issue 6A (Vote For 1)</v>
      </c>
      <c r="AF2388" s="22" t="str">
        <f t="shared" si="647"/>
        <v/>
      </c>
    </row>
    <row r="2389" spans="1:38" ht="14.4">
      <c r="A2389" t="str">
        <f t="shared" si="646"/>
        <v>CO_Jeffe_2020g~Blue Mountain Water District Ballot Issue 6A (Vote For 1)</v>
      </c>
      <c r="B2389" s="79" t="s">
        <v>5637</v>
      </c>
      <c r="C2389" s="79" t="s">
        <v>5351</v>
      </c>
      <c r="D2389" s="79" t="s">
        <v>5351</v>
      </c>
      <c r="E2389" s="79" t="s">
        <v>5275</v>
      </c>
      <c r="F2389" s="79" t="s">
        <v>1509</v>
      </c>
      <c r="G2389" s="82">
        <v>23</v>
      </c>
      <c r="H2389" s="83">
        <v>9.5</v>
      </c>
      <c r="I2389" s="82">
        <v>3736</v>
      </c>
      <c r="J2389" s="82">
        <v>3498</v>
      </c>
      <c r="K2389" s="79">
        <v>3</v>
      </c>
      <c r="L2389" s="79">
        <v>3</v>
      </c>
      <c r="M2389" s="79">
        <v>0</v>
      </c>
      <c r="N2389" s="79">
        <v>7</v>
      </c>
      <c r="O2389">
        <f t="shared" si="648"/>
        <v>2</v>
      </c>
      <c r="P2389" s="57">
        <f t="shared" si="649"/>
        <v>1</v>
      </c>
      <c r="Q2389" s="267">
        <f t="shared" si="650"/>
        <v>23</v>
      </c>
      <c r="R2389" s="23" t="str">
        <f t="shared" si="651"/>
        <v/>
      </c>
      <c r="S2389" s="23">
        <f t="shared" si="652"/>
        <v>23</v>
      </c>
      <c r="T2389" s="23" t="str">
        <f t="shared" si="653"/>
        <v/>
      </c>
      <c r="U2389" t="str">
        <f t="shared" si="654"/>
        <v/>
      </c>
      <c r="AF2389" s="22" t="str">
        <f t="shared" si="647"/>
        <v/>
      </c>
    </row>
    <row r="2390" spans="1:38" ht="14.4">
      <c r="A2390" t="str">
        <f t="shared" si="646"/>
        <v>CO_Jeffe_2020g~City of Edgewater Ballot Question 2A (Vote For 1)</v>
      </c>
      <c r="B2390" s="79" t="s">
        <v>5637</v>
      </c>
      <c r="C2390" s="79" t="s">
        <v>5387</v>
      </c>
      <c r="D2390" s="79" t="s">
        <v>5387</v>
      </c>
      <c r="E2390" s="79" t="s">
        <v>5274</v>
      </c>
      <c r="F2390" s="79" t="s">
        <v>1508</v>
      </c>
      <c r="G2390" s="82">
        <v>1514</v>
      </c>
      <c r="H2390" s="83">
        <v>63.22</v>
      </c>
      <c r="I2390" s="82">
        <v>3154</v>
      </c>
      <c r="J2390" s="82">
        <v>2754</v>
      </c>
      <c r="K2390" s="79">
        <v>2</v>
      </c>
      <c r="L2390" s="79">
        <v>2</v>
      </c>
      <c r="M2390" s="79">
        <v>0</v>
      </c>
      <c r="N2390" s="79">
        <v>359</v>
      </c>
      <c r="O2390">
        <f t="shared" si="648"/>
        <v>1</v>
      </c>
      <c r="P2390" s="57">
        <f t="shared" si="649"/>
        <v>1</v>
      </c>
      <c r="Q2390" s="267">
        <f t="shared" si="650"/>
        <v>2395</v>
      </c>
      <c r="R2390" s="23">
        <f t="shared" si="651"/>
        <v>1514</v>
      </c>
      <c r="S2390" s="23">
        <f t="shared" si="652"/>
        <v>881</v>
      </c>
      <c r="T2390" s="23">
        <f t="shared" si="653"/>
        <v>633</v>
      </c>
      <c r="U2390" t="str">
        <f t="shared" si="654"/>
        <v>CO_Jeffe_2020g~City of Edgewater Ballot Question 2A (Vote For 1)</v>
      </c>
      <c r="AF2390" s="22" t="str">
        <f t="shared" si="647"/>
        <v/>
      </c>
    </row>
    <row r="2391" spans="1:38" ht="14.4">
      <c r="A2391" t="str">
        <f t="shared" si="646"/>
        <v>CO_Jeffe_2020g~City of Edgewater Ballot Question 2A (Vote For 1)</v>
      </c>
      <c r="B2391" s="79" t="s">
        <v>5637</v>
      </c>
      <c r="C2391" s="79" t="s">
        <v>5387</v>
      </c>
      <c r="D2391" s="79" t="s">
        <v>5387</v>
      </c>
      <c r="E2391" s="79" t="s">
        <v>5275</v>
      </c>
      <c r="F2391" s="79" t="s">
        <v>1509</v>
      </c>
      <c r="G2391" s="82">
        <v>881</v>
      </c>
      <c r="H2391" s="83">
        <v>36.78</v>
      </c>
      <c r="I2391" s="82">
        <v>3154</v>
      </c>
      <c r="J2391" s="82">
        <v>2754</v>
      </c>
      <c r="K2391" s="79">
        <v>2</v>
      </c>
      <c r="L2391" s="79">
        <v>2</v>
      </c>
      <c r="M2391" s="79">
        <v>0</v>
      </c>
      <c r="N2391" s="79">
        <v>359</v>
      </c>
      <c r="O2391">
        <f t="shared" si="648"/>
        <v>2</v>
      </c>
      <c r="P2391" s="57">
        <f t="shared" si="649"/>
        <v>1</v>
      </c>
      <c r="Q2391" s="267">
        <f t="shared" si="650"/>
        <v>881</v>
      </c>
      <c r="R2391" s="23" t="str">
        <f t="shared" si="651"/>
        <v/>
      </c>
      <c r="S2391" s="23">
        <f t="shared" si="652"/>
        <v>881</v>
      </c>
      <c r="T2391" s="23" t="str">
        <f t="shared" si="653"/>
        <v/>
      </c>
      <c r="U2391" t="str">
        <f t="shared" si="654"/>
        <v/>
      </c>
      <c r="AF2391" s="22" t="str">
        <f t="shared" si="647"/>
        <v/>
      </c>
      <c r="AG2391" s="23"/>
      <c r="AH2391" s="8"/>
    </row>
    <row r="2392" spans="1:38" ht="14.4">
      <c r="A2392" t="str">
        <f t="shared" si="646"/>
        <v>CO_Jeffe_2020g~City of Lakewood Ballot Question 2B (Vote For 1)</v>
      </c>
      <c r="B2392" s="79" t="s">
        <v>5637</v>
      </c>
      <c r="C2392" s="79" t="s">
        <v>5394</v>
      </c>
      <c r="D2392" s="79" t="s">
        <v>5394</v>
      </c>
      <c r="E2392" s="79" t="s">
        <v>5274</v>
      </c>
      <c r="F2392" s="79" t="s">
        <v>1508</v>
      </c>
      <c r="G2392" s="82">
        <v>58178</v>
      </c>
      <c r="H2392" s="83">
        <v>66.010000000000005</v>
      </c>
      <c r="I2392" s="82">
        <v>115671</v>
      </c>
      <c r="J2392" s="82">
        <v>101816</v>
      </c>
      <c r="K2392" s="79">
        <v>85</v>
      </c>
      <c r="L2392" s="79">
        <v>85</v>
      </c>
      <c r="M2392" s="79">
        <v>14</v>
      </c>
      <c r="N2392" s="79">
        <v>6043</v>
      </c>
      <c r="O2392">
        <f t="shared" si="648"/>
        <v>1</v>
      </c>
      <c r="P2392" s="57">
        <f t="shared" si="649"/>
        <v>1</v>
      </c>
      <c r="Q2392" s="267">
        <f t="shared" si="650"/>
        <v>88138</v>
      </c>
      <c r="R2392" s="23">
        <f t="shared" si="651"/>
        <v>58178</v>
      </c>
      <c r="S2392" s="23">
        <f t="shared" si="652"/>
        <v>29960</v>
      </c>
      <c r="T2392" s="23">
        <f t="shared" si="653"/>
        <v>28218</v>
      </c>
      <c r="U2392" t="str">
        <f t="shared" si="654"/>
        <v>CO_Jeffe_2020g~City of Lakewood Ballot Question 2B (Vote For 1)</v>
      </c>
      <c r="AF2392" s="22" t="str">
        <f t="shared" si="647"/>
        <v/>
      </c>
      <c r="AL2392" s="344"/>
    </row>
    <row r="2393" spans="1:38" ht="14.4">
      <c r="A2393" t="str">
        <f t="shared" si="646"/>
        <v>CO_Jeffe_2020g~City of Lakewood Ballot Question 2B (Vote For 1)</v>
      </c>
      <c r="B2393" s="79" t="s">
        <v>5637</v>
      </c>
      <c r="C2393" s="79" t="s">
        <v>5394</v>
      </c>
      <c r="D2393" s="79" t="s">
        <v>5394</v>
      </c>
      <c r="E2393" s="79" t="s">
        <v>5275</v>
      </c>
      <c r="F2393" s="79" t="s">
        <v>1509</v>
      </c>
      <c r="G2393" s="82">
        <v>29960</v>
      </c>
      <c r="H2393" s="83">
        <v>33.99</v>
      </c>
      <c r="I2393" s="82">
        <v>115671</v>
      </c>
      <c r="J2393" s="82">
        <v>101816</v>
      </c>
      <c r="K2393" s="79">
        <v>85</v>
      </c>
      <c r="L2393" s="79">
        <v>85</v>
      </c>
      <c r="M2393" s="79">
        <v>14</v>
      </c>
      <c r="N2393" s="79">
        <v>6043</v>
      </c>
      <c r="O2393">
        <f t="shared" si="648"/>
        <v>2</v>
      </c>
      <c r="P2393" s="57">
        <f t="shared" si="649"/>
        <v>1</v>
      </c>
      <c r="Q2393" s="267">
        <f t="shared" si="650"/>
        <v>29960</v>
      </c>
      <c r="R2393" s="23" t="str">
        <f t="shared" si="651"/>
        <v/>
      </c>
      <c r="S2393" s="23">
        <f t="shared" si="652"/>
        <v>29960</v>
      </c>
      <c r="T2393" s="23" t="str">
        <f t="shared" si="653"/>
        <v/>
      </c>
      <c r="U2393" t="str">
        <f t="shared" si="654"/>
        <v/>
      </c>
      <c r="AF2393" s="22" t="str">
        <f t="shared" si="647"/>
        <v/>
      </c>
    </row>
    <row r="2394" spans="1:38" ht="14.4">
      <c r="A2394" t="str">
        <f t="shared" si="646"/>
        <v>CO_Jeffe_2020g~District Attorney - 1st Judicial District (Vote For 1)</v>
      </c>
      <c r="B2394" s="79" t="s">
        <v>5637</v>
      </c>
      <c r="C2394" s="79" t="s">
        <v>5203</v>
      </c>
      <c r="D2394" s="79" t="s">
        <v>5203</v>
      </c>
      <c r="E2394" s="79" t="s">
        <v>5205</v>
      </c>
      <c r="F2394" s="79" t="s">
        <v>1294</v>
      </c>
      <c r="G2394" s="82">
        <v>194099</v>
      </c>
      <c r="H2394" s="83">
        <v>54.86</v>
      </c>
      <c r="I2394" s="82">
        <v>422719</v>
      </c>
      <c r="J2394" s="82">
        <v>381245</v>
      </c>
      <c r="K2394" s="79">
        <v>309</v>
      </c>
      <c r="L2394" s="79">
        <v>309</v>
      </c>
      <c r="M2394" s="79">
        <v>15</v>
      </c>
      <c r="N2394" s="79">
        <v>27416</v>
      </c>
      <c r="O2394">
        <f t="shared" si="648"/>
        <v>1</v>
      </c>
      <c r="P2394" s="57">
        <f t="shared" si="649"/>
        <v>1</v>
      </c>
      <c r="Q2394" s="267">
        <f t="shared" si="650"/>
        <v>353814</v>
      </c>
      <c r="R2394" s="23">
        <f t="shared" si="651"/>
        <v>194099</v>
      </c>
      <c r="S2394" s="23">
        <f t="shared" si="652"/>
        <v>159715</v>
      </c>
      <c r="T2394" s="23">
        <f t="shared" si="653"/>
        <v>34384</v>
      </c>
      <c r="U2394" t="str">
        <f t="shared" si="654"/>
        <v>CO_Jeffe_2020g~District Attorney - 1st Judicial District (Vote For 1)</v>
      </c>
      <c r="AF2394" s="22" t="str">
        <f t="shared" si="647"/>
        <v/>
      </c>
    </row>
    <row r="2395" spans="1:38" ht="14.4">
      <c r="A2395" t="str">
        <f t="shared" si="646"/>
        <v>CO_Jeffe_2020g~District Attorney - 1st Judicial District (Vote For 1)</v>
      </c>
      <c r="B2395" s="79" t="s">
        <v>5637</v>
      </c>
      <c r="C2395" s="79" t="s">
        <v>5203</v>
      </c>
      <c r="D2395" s="79" t="s">
        <v>5203</v>
      </c>
      <c r="E2395" s="79" t="s">
        <v>5204</v>
      </c>
      <c r="F2395" s="79" t="s">
        <v>1296</v>
      </c>
      <c r="G2395" s="82">
        <v>159715</v>
      </c>
      <c r="H2395" s="83">
        <v>45.14</v>
      </c>
      <c r="I2395" s="82">
        <v>422719</v>
      </c>
      <c r="J2395" s="82">
        <v>381245</v>
      </c>
      <c r="K2395" s="79">
        <v>309</v>
      </c>
      <c r="L2395" s="79">
        <v>309</v>
      </c>
      <c r="M2395" s="79">
        <v>15</v>
      </c>
      <c r="N2395" s="79">
        <v>27416</v>
      </c>
      <c r="O2395">
        <f t="shared" si="648"/>
        <v>2</v>
      </c>
      <c r="P2395" s="57">
        <f t="shared" si="649"/>
        <v>1</v>
      </c>
      <c r="Q2395" s="267">
        <f t="shared" si="650"/>
        <v>159715</v>
      </c>
      <c r="R2395" s="23" t="str">
        <f t="shared" si="651"/>
        <v/>
      </c>
      <c r="S2395" s="23">
        <f t="shared" si="652"/>
        <v>159715</v>
      </c>
      <c r="T2395" s="23" t="str">
        <f t="shared" si="653"/>
        <v/>
      </c>
      <c r="U2395" t="str">
        <f t="shared" si="654"/>
        <v/>
      </c>
      <c r="AF2395" s="22" t="str">
        <f t="shared" si="647"/>
        <v/>
      </c>
    </row>
    <row r="2396" spans="1:38" ht="14.4">
      <c r="A2396" t="str">
        <f t="shared" si="646"/>
        <v>CO_Jeffe_2020g~District Court Judge - 1st Judicial District - Arp (Vote For 1)</v>
      </c>
      <c r="B2396" s="79" t="s">
        <v>5637</v>
      </c>
      <c r="C2396" s="79" t="s">
        <v>5239</v>
      </c>
      <c r="D2396" s="79" t="s">
        <v>5239</v>
      </c>
      <c r="E2396" s="79" t="s">
        <v>1393</v>
      </c>
      <c r="F2396" s="79" t="s">
        <v>1508</v>
      </c>
      <c r="G2396" s="82">
        <v>225064</v>
      </c>
      <c r="H2396" s="83">
        <v>75.150000000000006</v>
      </c>
      <c r="I2396" s="82">
        <v>422719</v>
      </c>
      <c r="J2396" s="82">
        <v>381245</v>
      </c>
      <c r="K2396" s="79">
        <v>309</v>
      </c>
      <c r="L2396" s="79">
        <v>309</v>
      </c>
      <c r="M2396" s="79">
        <v>45</v>
      </c>
      <c r="N2396" s="79">
        <v>81729</v>
      </c>
      <c r="O2396">
        <f t="shared" si="648"/>
        <v>1</v>
      </c>
      <c r="P2396" s="57">
        <f t="shared" si="649"/>
        <v>1</v>
      </c>
      <c r="Q2396" s="267">
        <f t="shared" si="650"/>
        <v>299471</v>
      </c>
      <c r="R2396" s="23">
        <f t="shared" si="651"/>
        <v>225064</v>
      </c>
      <c r="S2396" s="23">
        <f t="shared" si="652"/>
        <v>74407</v>
      </c>
      <c r="T2396" s="23">
        <f t="shared" si="653"/>
        <v>150657</v>
      </c>
      <c r="U2396" t="str">
        <f t="shared" si="654"/>
        <v>CO_Jeffe_2020g~District Court Judge - 1st Judicial District - Arp (Vote For 1)</v>
      </c>
      <c r="AF2396" s="22" t="str">
        <f t="shared" si="647"/>
        <v/>
      </c>
    </row>
    <row r="2397" spans="1:38" ht="14.4">
      <c r="A2397" t="str">
        <f t="shared" si="646"/>
        <v>CO_Jeffe_2020g~District Court Judge - 1st Judicial District - Arp (Vote For 1)</v>
      </c>
      <c r="B2397" s="79" t="s">
        <v>5637</v>
      </c>
      <c r="C2397" s="79" t="s">
        <v>5239</v>
      </c>
      <c r="D2397" s="79" t="s">
        <v>5239</v>
      </c>
      <c r="E2397" s="79" t="s">
        <v>1394</v>
      </c>
      <c r="F2397" s="79" t="s">
        <v>1509</v>
      </c>
      <c r="G2397" s="82">
        <v>74407</v>
      </c>
      <c r="H2397" s="83">
        <v>24.85</v>
      </c>
      <c r="I2397" s="82">
        <v>422719</v>
      </c>
      <c r="J2397" s="82">
        <v>381245</v>
      </c>
      <c r="K2397" s="79">
        <v>309</v>
      </c>
      <c r="L2397" s="79">
        <v>309</v>
      </c>
      <c r="M2397" s="79">
        <v>45</v>
      </c>
      <c r="N2397" s="79">
        <v>81729</v>
      </c>
      <c r="O2397">
        <f t="shared" si="648"/>
        <v>2</v>
      </c>
      <c r="P2397" s="57">
        <f t="shared" si="649"/>
        <v>1</v>
      </c>
      <c r="Q2397" s="267">
        <f t="shared" si="650"/>
        <v>74407</v>
      </c>
      <c r="R2397" s="23" t="str">
        <f t="shared" si="651"/>
        <v/>
      </c>
      <c r="S2397" s="23">
        <f t="shared" si="652"/>
        <v>74407</v>
      </c>
      <c r="T2397" s="23" t="str">
        <f t="shared" si="653"/>
        <v/>
      </c>
      <c r="U2397" t="str">
        <f t="shared" si="654"/>
        <v/>
      </c>
      <c r="AF2397" s="22" t="str">
        <f t="shared" si="647"/>
        <v/>
      </c>
    </row>
    <row r="2398" spans="1:38" ht="14.4">
      <c r="A2398" t="str">
        <f t="shared" si="646"/>
        <v>CO_Jeffe_2020g~District Court Judge - 1st Judicial District - Meinster (Vote For 1)</v>
      </c>
      <c r="B2398" s="79" t="s">
        <v>5637</v>
      </c>
      <c r="C2398" s="79" t="s">
        <v>5240</v>
      </c>
      <c r="D2398" s="79" t="s">
        <v>5240</v>
      </c>
      <c r="E2398" s="79" t="s">
        <v>1393</v>
      </c>
      <c r="F2398" s="79" t="s">
        <v>1508</v>
      </c>
      <c r="G2398" s="82">
        <v>225206</v>
      </c>
      <c r="H2398" s="83">
        <v>75.489999999999995</v>
      </c>
      <c r="I2398" s="82">
        <v>422719</v>
      </c>
      <c r="J2398" s="82">
        <v>381245</v>
      </c>
      <c r="K2398" s="79">
        <v>309</v>
      </c>
      <c r="L2398" s="79">
        <v>309</v>
      </c>
      <c r="M2398" s="79">
        <v>32</v>
      </c>
      <c r="N2398" s="79">
        <v>82907</v>
      </c>
      <c r="O2398">
        <f t="shared" si="648"/>
        <v>1</v>
      </c>
      <c r="P2398" s="57">
        <f t="shared" si="649"/>
        <v>1</v>
      </c>
      <c r="Q2398" s="267">
        <f t="shared" si="650"/>
        <v>298306</v>
      </c>
      <c r="R2398" s="23">
        <f t="shared" si="651"/>
        <v>225206</v>
      </c>
      <c r="S2398" s="23">
        <f t="shared" si="652"/>
        <v>73100</v>
      </c>
      <c r="T2398" s="23">
        <f t="shared" si="653"/>
        <v>152106</v>
      </c>
      <c r="U2398" t="str">
        <f t="shared" si="654"/>
        <v>CO_Jeffe_2020g~District Court Judge - 1st Judicial District - Meinster (Vote For 1)</v>
      </c>
      <c r="AF2398" s="22" t="str">
        <f t="shared" si="647"/>
        <v/>
      </c>
    </row>
    <row r="2399" spans="1:38" ht="14.4">
      <c r="A2399" t="str">
        <f t="shared" si="646"/>
        <v>CO_Jeffe_2020g~District Court Judge - 1st Judicial District - Meinster (Vote For 1)</v>
      </c>
      <c r="B2399" s="79" t="s">
        <v>5637</v>
      </c>
      <c r="C2399" s="79" t="s">
        <v>5240</v>
      </c>
      <c r="D2399" s="79" t="s">
        <v>5240</v>
      </c>
      <c r="E2399" s="79" t="s">
        <v>1394</v>
      </c>
      <c r="F2399" s="79" t="s">
        <v>1509</v>
      </c>
      <c r="G2399" s="82">
        <v>73100</v>
      </c>
      <c r="H2399" s="83">
        <v>24.51</v>
      </c>
      <c r="I2399" s="82">
        <v>422719</v>
      </c>
      <c r="J2399" s="82">
        <v>381245</v>
      </c>
      <c r="K2399" s="79">
        <v>309</v>
      </c>
      <c r="L2399" s="79">
        <v>309</v>
      </c>
      <c r="M2399" s="79">
        <v>32</v>
      </c>
      <c r="N2399" s="79">
        <v>82907</v>
      </c>
      <c r="O2399">
        <f t="shared" si="648"/>
        <v>2</v>
      </c>
      <c r="P2399" s="57">
        <f t="shared" si="649"/>
        <v>1</v>
      </c>
      <c r="Q2399" s="267">
        <f t="shared" si="650"/>
        <v>73100</v>
      </c>
      <c r="R2399" s="23" t="str">
        <f t="shared" si="651"/>
        <v/>
      </c>
      <c r="S2399" s="23">
        <f t="shared" si="652"/>
        <v>73100</v>
      </c>
      <c r="T2399" s="23" t="str">
        <f t="shared" si="653"/>
        <v/>
      </c>
      <c r="U2399" t="str">
        <f t="shared" si="654"/>
        <v/>
      </c>
      <c r="AF2399" s="22" t="str">
        <f t="shared" si="647"/>
        <v/>
      </c>
    </row>
    <row r="2400" spans="1:38" ht="14.4">
      <c r="A2400" t="str">
        <f t="shared" si="646"/>
        <v>CO_Jeffe_2020g~District Court Judge - 1st Judicial District - Oeffler (Vote For 1)</v>
      </c>
      <c r="B2400" s="79" t="s">
        <v>5637</v>
      </c>
      <c r="C2400" s="79" t="s">
        <v>5241</v>
      </c>
      <c r="D2400" s="79" t="s">
        <v>5241</v>
      </c>
      <c r="E2400" s="79" t="s">
        <v>1393</v>
      </c>
      <c r="F2400" s="79" t="s">
        <v>1508</v>
      </c>
      <c r="G2400" s="82">
        <v>224678</v>
      </c>
      <c r="H2400" s="83">
        <v>75.349999999999994</v>
      </c>
      <c r="I2400" s="82">
        <v>422719</v>
      </c>
      <c r="J2400" s="82">
        <v>381245</v>
      </c>
      <c r="K2400" s="79">
        <v>309</v>
      </c>
      <c r="L2400" s="79">
        <v>309</v>
      </c>
      <c r="M2400" s="79">
        <v>20</v>
      </c>
      <c r="N2400" s="79">
        <v>83055</v>
      </c>
      <c r="O2400">
        <f t="shared" si="648"/>
        <v>1</v>
      </c>
      <c r="P2400" s="57">
        <f t="shared" si="649"/>
        <v>1</v>
      </c>
      <c r="Q2400" s="267">
        <f t="shared" si="650"/>
        <v>298170</v>
      </c>
      <c r="R2400" s="23">
        <f t="shared" si="651"/>
        <v>224678</v>
      </c>
      <c r="S2400" s="23">
        <f t="shared" si="652"/>
        <v>73492</v>
      </c>
      <c r="T2400" s="23">
        <f t="shared" si="653"/>
        <v>151186</v>
      </c>
      <c r="U2400" t="str">
        <f t="shared" si="654"/>
        <v>CO_Jeffe_2020g~District Court Judge - 1st Judicial District - Oeffler (Vote For 1)</v>
      </c>
      <c r="AF2400" s="22" t="str">
        <f t="shared" si="647"/>
        <v/>
      </c>
    </row>
    <row r="2401" spans="1:32" ht="14.4">
      <c r="A2401" t="str">
        <f t="shared" si="646"/>
        <v>CO_Jeffe_2020g~District Court Judge - 1st Judicial District - Oeffler (Vote For 1)</v>
      </c>
      <c r="B2401" s="79" t="s">
        <v>5637</v>
      </c>
      <c r="C2401" s="79" t="s">
        <v>5241</v>
      </c>
      <c r="D2401" s="79" t="s">
        <v>5241</v>
      </c>
      <c r="E2401" s="79" t="s">
        <v>1394</v>
      </c>
      <c r="F2401" s="79" t="s">
        <v>1509</v>
      </c>
      <c r="G2401" s="82">
        <v>73492</v>
      </c>
      <c r="H2401" s="83">
        <v>24.65</v>
      </c>
      <c r="I2401" s="82">
        <v>422719</v>
      </c>
      <c r="J2401" s="82">
        <v>381245</v>
      </c>
      <c r="K2401" s="79">
        <v>309</v>
      </c>
      <c r="L2401" s="79">
        <v>309</v>
      </c>
      <c r="M2401" s="79">
        <v>20</v>
      </c>
      <c r="N2401" s="79">
        <v>83055</v>
      </c>
      <c r="O2401">
        <f t="shared" si="648"/>
        <v>2</v>
      </c>
      <c r="P2401" s="57">
        <f t="shared" si="649"/>
        <v>1</v>
      </c>
      <c r="Q2401" s="267">
        <f t="shared" si="650"/>
        <v>73492</v>
      </c>
      <c r="R2401" s="23" t="str">
        <f t="shared" si="651"/>
        <v/>
      </c>
      <c r="S2401" s="23">
        <f t="shared" si="652"/>
        <v>73492</v>
      </c>
      <c r="T2401" s="23" t="str">
        <f t="shared" si="653"/>
        <v/>
      </c>
      <c r="U2401" t="str">
        <f t="shared" si="654"/>
        <v/>
      </c>
      <c r="AF2401" s="22" t="str">
        <f t="shared" si="647"/>
        <v/>
      </c>
    </row>
    <row r="2402" spans="1:32" ht="14.4">
      <c r="A2402" t="str">
        <f t="shared" si="646"/>
        <v>CO_Jeffe_2020g~District Court Judge - 1st Judicial District - Russell (Vote For 1)</v>
      </c>
      <c r="B2402" s="79" t="s">
        <v>5637</v>
      </c>
      <c r="C2402" s="79" t="s">
        <v>5242</v>
      </c>
      <c r="D2402" s="79" t="s">
        <v>5242</v>
      </c>
      <c r="E2402" s="79" t="s">
        <v>1393</v>
      </c>
      <c r="F2402" s="79" t="s">
        <v>1508</v>
      </c>
      <c r="G2402" s="82">
        <v>221886</v>
      </c>
      <c r="H2402" s="83">
        <v>74.44</v>
      </c>
      <c r="I2402" s="82">
        <v>422719</v>
      </c>
      <c r="J2402" s="82">
        <v>381245</v>
      </c>
      <c r="K2402" s="79">
        <v>309</v>
      </c>
      <c r="L2402" s="79">
        <v>309</v>
      </c>
      <c r="M2402" s="79">
        <v>31</v>
      </c>
      <c r="N2402" s="79">
        <v>83133</v>
      </c>
      <c r="O2402">
        <f t="shared" si="648"/>
        <v>1</v>
      </c>
      <c r="P2402" s="57">
        <f t="shared" si="649"/>
        <v>1</v>
      </c>
      <c r="Q2402" s="267">
        <f t="shared" si="650"/>
        <v>298081</v>
      </c>
      <c r="R2402" s="23">
        <f t="shared" si="651"/>
        <v>221886</v>
      </c>
      <c r="S2402" s="23">
        <f t="shared" si="652"/>
        <v>76195</v>
      </c>
      <c r="T2402" s="23">
        <f t="shared" si="653"/>
        <v>145691</v>
      </c>
      <c r="U2402" t="str">
        <f t="shared" si="654"/>
        <v>CO_Jeffe_2020g~District Court Judge - 1st Judicial District - Russell (Vote For 1)</v>
      </c>
      <c r="AF2402" s="22" t="str">
        <f t="shared" si="647"/>
        <v/>
      </c>
    </row>
    <row r="2403" spans="1:32" ht="14.4">
      <c r="A2403" t="str">
        <f t="shared" si="646"/>
        <v>CO_Jeffe_2020g~District Court Judge - 1st Judicial District - Russell (Vote For 1)</v>
      </c>
      <c r="B2403" s="79" t="s">
        <v>5637</v>
      </c>
      <c r="C2403" s="79" t="s">
        <v>5242</v>
      </c>
      <c r="D2403" s="79" t="s">
        <v>5242</v>
      </c>
      <c r="E2403" s="79" t="s">
        <v>1394</v>
      </c>
      <c r="F2403" s="79" t="s">
        <v>1509</v>
      </c>
      <c r="G2403" s="82">
        <v>76195</v>
      </c>
      <c r="H2403" s="83">
        <v>25.56</v>
      </c>
      <c r="I2403" s="82">
        <v>422719</v>
      </c>
      <c r="J2403" s="82">
        <v>381245</v>
      </c>
      <c r="K2403" s="79">
        <v>309</v>
      </c>
      <c r="L2403" s="79">
        <v>309</v>
      </c>
      <c r="M2403" s="79">
        <v>31</v>
      </c>
      <c r="N2403" s="79">
        <v>83133</v>
      </c>
      <c r="O2403">
        <f t="shared" si="648"/>
        <v>2</v>
      </c>
      <c r="P2403" s="57">
        <f t="shared" si="649"/>
        <v>1</v>
      </c>
      <c r="Q2403" s="267">
        <f t="shared" si="650"/>
        <v>76195</v>
      </c>
      <c r="R2403" s="23" t="str">
        <f t="shared" si="651"/>
        <v/>
      </c>
      <c r="S2403" s="23">
        <f t="shared" si="652"/>
        <v>76195</v>
      </c>
      <c r="T2403" s="23" t="str">
        <f t="shared" si="653"/>
        <v/>
      </c>
      <c r="U2403" t="str">
        <f t="shared" si="654"/>
        <v/>
      </c>
      <c r="AF2403" s="22" t="str">
        <f t="shared" si="647"/>
        <v/>
      </c>
    </row>
    <row r="2404" spans="1:32" ht="14.4">
      <c r="A2404" t="str">
        <f t="shared" si="646"/>
        <v>CO_Jeffe_2020g~District Court Judge - 1st Judicial District - Zenisek (Vote For 1)</v>
      </c>
      <c r="B2404" s="79" t="s">
        <v>5637</v>
      </c>
      <c r="C2404" s="79" t="s">
        <v>5243</v>
      </c>
      <c r="D2404" s="79" t="s">
        <v>5243</v>
      </c>
      <c r="E2404" s="79" t="s">
        <v>1393</v>
      </c>
      <c r="F2404" s="79" t="s">
        <v>1508</v>
      </c>
      <c r="G2404" s="82">
        <v>219200</v>
      </c>
      <c r="H2404" s="83">
        <v>74.010000000000005</v>
      </c>
      <c r="I2404" s="82">
        <v>422719</v>
      </c>
      <c r="J2404" s="82">
        <v>381245</v>
      </c>
      <c r="K2404" s="79">
        <v>309</v>
      </c>
      <c r="L2404" s="79">
        <v>309</v>
      </c>
      <c r="M2404" s="79">
        <v>36</v>
      </c>
      <c r="N2404" s="79">
        <v>85017</v>
      </c>
      <c r="O2404">
        <f t="shared" si="648"/>
        <v>1</v>
      </c>
      <c r="P2404" s="57">
        <f t="shared" si="649"/>
        <v>1</v>
      </c>
      <c r="Q2404" s="267">
        <f t="shared" si="650"/>
        <v>296192</v>
      </c>
      <c r="R2404" s="23">
        <f t="shared" si="651"/>
        <v>219200</v>
      </c>
      <c r="S2404" s="23">
        <f t="shared" si="652"/>
        <v>76992</v>
      </c>
      <c r="T2404" s="23">
        <f t="shared" si="653"/>
        <v>142208</v>
      </c>
      <c r="U2404" t="str">
        <f t="shared" si="654"/>
        <v>CO_Jeffe_2020g~District Court Judge - 1st Judicial District - Zenisek (Vote For 1)</v>
      </c>
      <c r="AF2404" s="22" t="str">
        <f t="shared" si="647"/>
        <v/>
      </c>
    </row>
    <row r="2405" spans="1:32" ht="14.4">
      <c r="A2405" t="str">
        <f t="shared" si="646"/>
        <v>CO_Jeffe_2020g~District Court Judge - 1st Judicial District - Zenisek (Vote For 1)</v>
      </c>
      <c r="B2405" s="79" t="s">
        <v>5637</v>
      </c>
      <c r="C2405" s="79" t="s">
        <v>5243</v>
      </c>
      <c r="D2405" s="79" t="s">
        <v>5243</v>
      </c>
      <c r="E2405" s="79" t="s">
        <v>1394</v>
      </c>
      <c r="F2405" s="79" t="s">
        <v>1509</v>
      </c>
      <c r="G2405" s="82">
        <v>76992</v>
      </c>
      <c r="H2405" s="83">
        <v>25.99</v>
      </c>
      <c r="I2405" s="82">
        <v>422719</v>
      </c>
      <c r="J2405" s="82">
        <v>381245</v>
      </c>
      <c r="K2405" s="79">
        <v>309</v>
      </c>
      <c r="L2405" s="79">
        <v>309</v>
      </c>
      <c r="M2405" s="79">
        <v>36</v>
      </c>
      <c r="N2405" s="79">
        <v>85017</v>
      </c>
      <c r="O2405">
        <f t="shared" si="648"/>
        <v>2</v>
      </c>
      <c r="P2405" s="57">
        <f t="shared" si="649"/>
        <v>1</v>
      </c>
      <c r="Q2405" s="267">
        <f t="shared" si="650"/>
        <v>76992</v>
      </c>
      <c r="R2405" s="23" t="str">
        <f t="shared" si="651"/>
        <v/>
      </c>
      <c r="S2405" s="23">
        <f t="shared" si="652"/>
        <v>76992</v>
      </c>
      <c r="T2405" s="23" t="str">
        <f t="shared" si="653"/>
        <v/>
      </c>
      <c r="U2405" t="str">
        <f t="shared" si="654"/>
        <v/>
      </c>
      <c r="AF2405" s="22" t="str">
        <f t="shared" si="647"/>
        <v/>
      </c>
    </row>
    <row r="2406" spans="1:32" ht="14.4">
      <c r="A2406" t="str">
        <f t="shared" si="646"/>
        <v>CO_Jeffe_2020g~Foothills Park &amp; Recreation District Ballot Issue 6E (Vote For 1)</v>
      </c>
      <c r="B2406" s="79" t="s">
        <v>5637</v>
      </c>
      <c r="C2406" s="79" t="s">
        <v>5448</v>
      </c>
      <c r="D2406" s="79" t="s">
        <v>5448</v>
      </c>
      <c r="E2406" s="79" t="s">
        <v>5274</v>
      </c>
      <c r="F2406" s="79" t="s">
        <v>1508</v>
      </c>
      <c r="G2406" s="82">
        <v>47809</v>
      </c>
      <c r="H2406" s="83">
        <v>77.510000000000005</v>
      </c>
      <c r="I2406" s="82">
        <v>91687</v>
      </c>
      <c r="J2406" s="82">
        <v>84058</v>
      </c>
      <c r="K2406" s="79">
        <v>63</v>
      </c>
      <c r="L2406" s="79">
        <v>63</v>
      </c>
      <c r="M2406" s="79">
        <v>4</v>
      </c>
      <c r="N2406" s="79">
        <v>3709</v>
      </c>
      <c r="O2406">
        <f t="shared" si="648"/>
        <v>1</v>
      </c>
      <c r="P2406" s="57">
        <f t="shared" si="649"/>
        <v>1</v>
      </c>
      <c r="Q2406" s="267">
        <f t="shared" si="650"/>
        <v>61682</v>
      </c>
      <c r="R2406" s="23">
        <f t="shared" si="651"/>
        <v>47809</v>
      </c>
      <c r="S2406" s="23">
        <f t="shared" si="652"/>
        <v>13873</v>
      </c>
      <c r="T2406" s="23">
        <f t="shared" si="653"/>
        <v>33936</v>
      </c>
      <c r="U2406" t="str">
        <f t="shared" si="654"/>
        <v>CO_Jeffe_2020g~Foothills Park &amp; Recreation District Ballot Issue 6E (Vote For 1)</v>
      </c>
      <c r="AF2406" s="22" t="str">
        <f t="shared" si="647"/>
        <v/>
      </c>
    </row>
    <row r="2407" spans="1:32" ht="14.4">
      <c r="A2407" t="str">
        <f t="shared" si="646"/>
        <v>CO_Jeffe_2020g~Foothills Park &amp; Recreation District Ballot Issue 6E (Vote For 1)</v>
      </c>
      <c r="B2407" s="79" t="s">
        <v>5637</v>
      </c>
      <c r="C2407" s="79" t="s">
        <v>5448</v>
      </c>
      <c r="D2407" s="79" t="s">
        <v>5448</v>
      </c>
      <c r="E2407" s="79" t="s">
        <v>5275</v>
      </c>
      <c r="F2407" s="79" t="s">
        <v>1509</v>
      </c>
      <c r="G2407" s="82">
        <v>13873</v>
      </c>
      <c r="H2407" s="83">
        <v>22.49</v>
      </c>
      <c r="I2407" s="82">
        <v>91687</v>
      </c>
      <c r="J2407" s="82">
        <v>84058</v>
      </c>
      <c r="K2407" s="79">
        <v>63</v>
      </c>
      <c r="L2407" s="79">
        <v>63</v>
      </c>
      <c r="M2407" s="79">
        <v>4</v>
      </c>
      <c r="N2407" s="79">
        <v>3709</v>
      </c>
      <c r="O2407">
        <f t="shared" si="648"/>
        <v>2</v>
      </c>
      <c r="P2407" s="57">
        <f t="shared" si="649"/>
        <v>1</v>
      </c>
      <c r="Q2407" s="267">
        <f t="shared" si="650"/>
        <v>13873</v>
      </c>
      <c r="R2407" s="23" t="str">
        <f t="shared" si="651"/>
        <v/>
      </c>
      <c r="S2407" s="23">
        <f t="shared" si="652"/>
        <v>13873</v>
      </c>
      <c r="T2407" s="23" t="str">
        <f t="shared" si="653"/>
        <v/>
      </c>
      <c r="U2407" t="str">
        <f t="shared" si="654"/>
        <v/>
      </c>
      <c r="AF2407" s="22" t="str">
        <f t="shared" si="647"/>
        <v/>
      </c>
    </row>
    <row r="2408" spans="1:32" ht="14.4">
      <c r="A2408" t="str">
        <f t="shared" si="646"/>
        <v>CO_Jeffe_2020g~Forest Hills Metropolitan District Ballot Issue 6C (Vote For 1)</v>
      </c>
      <c r="B2408" s="79" t="s">
        <v>5637</v>
      </c>
      <c r="C2408" s="79" t="s">
        <v>5449</v>
      </c>
      <c r="D2408" s="79" t="s">
        <v>5449</v>
      </c>
      <c r="E2408" s="79" t="s">
        <v>5274</v>
      </c>
      <c r="F2408" s="79" t="s">
        <v>1508</v>
      </c>
      <c r="G2408" s="82">
        <v>139</v>
      </c>
      <c r="H2408" s="83">
        <v>51.48</v>
      </c>
      <c r="I2408" s="82">
        <v>1263</v>
      </c>
      <c r="J2408" s="82">
        <v>1159</v>
      </c>
      <c r="K2408" s="79">
        <v>2</v>
      </c>
      <c r="L2408" s="79">
        <v>2</v>
      </c>
      <c r="M2408" s="79">
        <v>0</v>
      </c>
      <c r="N2408" s="79">
        <v>13</v>
      </c>
      <c r="O2408">
        <f t="shared" si="648"/>
        <v>1</v>
      </c>
      <c r="P2408" s="57">
        <f t="shared" si="649"/>
        <v>1</v>
      </c>
      <c r="Q2408" s="267">
        <f t="shared" si="650"/>
        <v>270</v>
      </c>
      <c r="R2408" s="23">
        <f t="shared" si="651"/>
        <v>139</v>
      </c>
      <c r="S2408" s="23">
        <f t="shared" si="652"/>
        <v>131</v>
      </c>
      <c r="T2408" s="23">
        <f t="shared" si="653"/>
        <v>8</v>
      </c>
      <c r="U2408" t="str">
        <f t="shared" si="654"/>
        <v>CO_Jeffe_2020g~Forest Hills Metropolitan District Ballot Issue 6C (Vote For 1)</v>
      </c>
      <c r="AF2408" s="22" t="str">
        <f t="shared" si="647"/>
        <v/>
      </c>
    </row>
    <row r="2409" spans="1:32" ht="14.4">
      <c r="A2409" t="str">
        <f t="shared" si="646"/>
        <v>CO_Jeffe_2020g~Forest Hills Metropolitan District Ballot Issue 6C (Vote For 1)</v>
      </c>
      <c r="B2409" s="79" t="s">
        <v>5637</v>
      </c>
      <c r="C2409" s="79" t="s">
        <v>5449</v>
      </c>
      <c r="D2409" s="79" t="s">
        <v>5449</v>
      </c>
      <c r="E2409" s="79" t="s">
        <v>5275</v>
      </c>
      <c r="F2409" s="79" t="s">
        <v>1509</v>
      </c>
      <c r="G2409" s="82">
        <v>131</v>
      </c>
      <c r="H2409" s="83">
        <v>48.52</v>
      </c>
      <c r="I2409" s="82">
        <v>1263</v>
      </c>
      <c r="J2409" s="82">
        <v>1159</v>
      </c>
      <c r="K2409" s="79">
        <v>2</v>
      </c>
      <c r="L2409" s="79">
        <v>2</v>
      </c>
      <c r="M2409" s="79">
        <v>0</v>
      </c>
      <c r="N2409" s="79">
        <v>13</v>
      </c>
      <c r="O2409">
        <f t="shared" si="648"/>
        <v>2</v>
      </c>
      <c r="P2409" s="57">
        <f t="shared" si="649"/>
        <v>1</v>
      </c>
      <c r="Q2409" s="267">
        <f t="shared" si="650"/>
        <v>131</v>
      </c>
      <c r="R2409" s="23" t="str">
        <f t="shared" si="651"/>
        <v/>
      </c>
      <c r="S2409" s="23">
        <f t="shared" si="652"/>
        <v>131</v>
      </c>
      <c r="T2409" s="23" t="str">
        <f t="shared" si="653"/>
        <v/>
      </c>
      <c r="U2409" t="str">
        <f t="shared" si="654"/>
        <v/>
      </c>
      <c r="AF2409" s="22" t="str">
        <f t="shared" si="647"/>
        <v/>
      </c>
    </row>
    <row r="2410" spans="1:32" ht="14.4">
      <c r="A2410" t="str">
        <f t="shared" si="646"/>
        <v>CO_Jeffe_2020g~Forest Hills Metropolitan District Ballot Issue 6D (Vote For 1)</v>
      </c>
      <c r="B2410" s="79" t="s">
        <v>5637</v>
      </c>
      <c r="C2410" s="79" t="s">
        <v>5450</v>
      </c>
      <c r="D2410" s="79" t="s">
        <v>5450</v>
      </c>
      <c r="E2410" s="79" t="s">
        <v>5274</v>
      </c>
      <c r="F2410" s="79" t="s">
        <v>1508</v>
      </c>
      <c r="G2410" s="82">
        <v>168</v>
      </c>
      <c r="H2410" s="83">
        <v>62.45</v>
      </c>
      <c r="I2410" s="82">
        <v>1263</v>
      </c>
      <c r="J2410" s="82">
        <v>1159</v>
      </c>
      <c r="K2410" s="79">
        <v>2</v>
      </c>
      <c r="L2410" s="79">
        <v>2</v>
      </c>
      <c r="M2410" s="79">
        <v>0</v>
      </c>
      <c r="N2410" s="79">
        <v>14</v>
      </c>
      <c r="O2410">
        <f t="shared" si="648"/>
        <v>1</v>
      </c>
      <c r="P2410" s="57">
        <f t="shared" si="649"/>
        <v>1</v>
      </c>
      <c r="Q2410" s="267">
        <f t="shared" si="650"/>
        <v>269</v>
      </c>
      <c r="R2410" s="23">
        <f t="shared" si="651"/>
        <v>168</v>
      </c>
      <c r="S2410" s="23">
        <f t="shared" si="652"/>
        <v>101</v>
      </c>
      <c r="T2410" s="23">
        <f t="shared" si="653"/>
        <v>67</v>
      </c>
      <c r="U2410" t="str">
        <f t="shared" si="654"/>
        <v>CO_Jeffe_2020g~Forest Hills Metropolitan District Ballot Issue 6D (Vote For 1)</v>
      </c>
      <c r="AF2410" s="22" t="str">
        <f t="shared" si="647"/>
        <v/>
      </c>
    </row>
    <row r="2411" spans="1:32" ht="14.4">
      <c r="A2411" t="str">
        <f t="shared" si="646"/>
        <v>CO_Jeffe_2020g~Forest Hills Metropolitan District Ballot Issue 6D (Vote For 1)</v>
      </c>
      <c r="B2411" s="79" t="s">
        <v>5637</v>
      </c>
      <c r="C2411" s="79" t="s">
        <v>5450</v>
      </c>
      <c r="D2411" s="79" t="s">
        <v>5450</v>
      </c>
      <c r="E2411" s="79" t="s">
        <v>5275</v>
      </c>
      <c r="F2411" s="79" t="s">
        <v>1509</v>
      </c>
      <c r="G2411" s="82">
        <v>101</v>
      </c>
      <c r="H2411" s="83">
        <v>37.549999999999997</v>
      </c>
      <c r="I2411" s="82">
        <v>1263</v>
      </c>
      <c r="J2411" s="82">
        <v>1159</v>
      </c>
      <c r="K2411" s="79">
        <v>2</v>
      </c>
      <c r="L2411" s="79">
        <v>2</v>
      </c>
      <c r="M2411" s="79">
        <v>0</v>
      </c>
      <c r="N2411" s="79">
        <v>14</v>
      </c>
      <c r="O2411">
        <f t="shared" si="648"/>
        <v>2</v>
      </c>
      <c r="P2411" s="57">
        <f t="shared" si="649"/>
        <v>1</v>
      </c>
      <c r="Q2411" s="267">
        <f t="shared" si="650"/>
        <v>101</v>
      </c>
      <c r="R2411" s="23" t="str">
        <f t="shared" si="651"/>
        <v/>
      </c>
      <c r="S2411" s="23">
        <f t="shared" si="652"/>
        <v>101</v>
      </c>
      <c r="T2411" s="23" t="str">
        <f t="shared" si="653"/>
        <v/>
      </c>
      <c r="U2411" t="str">
        <f t="shared" si="654"/>
        <v/>
      </c>
      <c r="AF2411" s="22" t="str">
        <f t="shared" si="647"/>
        <v/>
      </c>
    </row>
    <row r="2412" spans="1:32" ht="14.4">
      <c r="A2412" t="str">
        <f t="shared" si="646"/>
        <v>CO_Jeffe_2020g~Jefferson County Commissioner - District 1 (Vote For 1)</v>
      </c>
      <c r="B2412" s="79" t="s">
        <v>5637</v>
      </c>
      <c r="C2412" s="79" t="s">
        <v>5456</v>
      </c>
      <c r="D2412" s="79" t="s">
        <v>5456</v>
      </c>
      <c r="E2412" s="79" t="s">
        <v>5457</v>
      </c>
      <c r="F2412" s="79" t="s">
        <v>1294</v>
      </c>
      <c r="G2412" s="82">
        <v>185307</v>
      </c>
      <c r="H2412" s="83">
        <v>51.89</v>
      </c>
      <c r="I2412" s="82">
        <v>422719</v>
      </c>
      <c r="J2412" s="82">
        <v>381245</v>
      </c>
      <c r="K2412" s="79">
        <v>309</v>
      </c>
      <c r="L2412" s="79">
        <v>309</v>
      </c>
      <c r="M2412" s="79">
        <v>16</v>
      </c>
      <c r="N2412" s="79">
        <v>24129</v>
      </c>
      <c r="O2412">
        <f t="shared" si="648"/>
        <v>1</v>
      </c>
      <c r="P2412" s="57">
        <f t="shared" si="649"/>
        <v>1</v>
      </c>
      <c r="Q2412" s="267">
        <f t="shared" si="650"/>
        <v>357100</v>
      </c>
      <c r="R2412" s="23">
        <f t="shared" si="651"/>
        <v>185307</v>
      </c>
      <c r="S2412" s="23">
        <f t="shared" si="652"/>
        <v>155443</v>
      </c>
      <c r="T2412" s="23">
        <f t="shared" si="653"/>
        <v>29864</v>
      </c>
      <c r="U2412" t="str">
        <f t="shared" si="654"/>
        <v>CO_Jeffe_2020g~Jefferson County Commissioner - District 1 (Vote For 1)</v>
      </c>
      <c r="AF2412" s="22" t="str">
        <f t="shared" si="647"/>
        <v/>
      </c>
    </row>
    <row r="2413" spans="1:32" ht="14.4">
      <c r="A2413" t="str">
        <f t="shared" si="646"/>
        <v>CO_Jeffe_2020g~Jefferson County Commissioner - District 1 (Vote For 1)</v>
      </c>
      <c r="B2413" s="79" t="s">
        <v>5637</v>
      </c>
      <c r="C2413" s="79" t="s">
        <v>5456</v>
      </c>
      <c r="D2413" s="79" t="s">
        <v>5456</v>
      </c>
      <c r="E2413" s="79" t="s">
        <v>5458</v>
      </c>
      <c r="F2413" s="79" t="s">
        <v>1296</v>
      </c>
      <c r="G2413" s="82">
        <v>155443</v>
      </c>
      <c r="H2413" s="83">
        <v>43.53</v>
      </c>
      <c r="I2413" s="82">
        <v>422719</v>
      </c>
      <c r="J2413" s="82">
        <v>381245</v>
      </c>
      <c r="K2413" s="79">
        <v>309</v>
      </c>
      <c r="L2413" s="79">
        <v>309</v>
      </c>
      <c r="M2413" s="79">
        <v>16</v>
      </c>
      <c r="N2413" s="79">
        <v>24129</v>
      </c>
      <c r="O2413">
        <f t="shared" si="648"/>
        <v>2</v>
      </c>
      <c r="P2413" s="57">
        <f t="shared" si="649"/>
        <v>1</v>
      </c>
      <c r="Q2413" s="267">
        <f t="shared" si="650"/>
        <v>171793</v>
      </c>
      <c r="R2413" s="23" t="str">
        <f t="shared" si="651"/>
        <v/>
      </c>
      <c r="S2413" s="23">
        <f t="shared" si="652"/>
        <v>155443</v>
      </c>
      <c r="T2413" s="23" t="str">
        <f t="shared" si="653"/>
        <v/>
      </c>
      <c r="U2413" t="str">
        <f t="shared" si="654"/>
        <v/>
      </c>
      <c r="AF2413" s="22" t="str">
        <f t="shared" si="647"/>
        <v/>
      </c>
    </row>
    <row r="2414" spans="1:32" ht="14.4">
      <c r="A2414" t="str">
        <f t="shared" si="646"/>
        <v>CO_Jeffe_2020g~Jefferson County Commissioner - District 1 (Vote For 1)</v>
      </c>
      <c r="B2414" s="79" t="s">
        <v>5637</v>
      </c>
      <c r="C2414" s="79" t="s">
        <v>5456</v>
      </c>
      <c r="D2414" s="79" t="s">
        <v>5456</v>
      </c>
      <c r="E2414" s="79" t="s">
        <v>5459</v>
      </c>
      <c r="F2414" s="79" t="s">
        <v>4951</v>
      </c>
      <c r="G2414" s="82">
        <v>16350</v>
      </c>
      <c r="H2414" s="83">
        <v>4.58</v>
      </c>
      <c r="I2414" s="82">
        <v>422719</v>
      </c>
      <c r="J2414" s="82">
        <v>381245</v>
      </c>
      <c r="K2414" s="79">
        <v>309</v>
      </c>
      <c r="L2414" s="79">
        <v>309</v>
      </c>
      <c r="M2414" s="79">
        <v>16</v>
      </c>
      <c r="N2414" s="79">
        <v>24129</v>
      </c>
      <c r="O2414">
        <f t="shared" si="648"/>
        <v>3</v>
      </c>
      <c r="P2414" s="57">
        <f t="shared" si="649"/>
        <v>1</v>
      </c>
      <c r="Q2414" s="267">
        <f t="shared" si="650"/>
        <v>16350</v>
      </c>
      <c r="R2414" s="23" t="str">
        <f t="shared" si="651"/>
        <v/>
      </c>
      <c r="S2414" s="23">
        <f t="shared" si="652"/>
        <v>16350</v>
      </c>
      <c r="T2414" s="23" t="str">
        <f t="shared" si="653"/>
        <v/>
      </c>
      <c r="U2414" t="str">
        <f t="shared" si="654"/>
        <v/>
      </c>
      <c r="AF2414" s="22" t="str">
        <f t="shared" si="647"/>
        <v/>
      </c>
    </row>
    <row r="2415" spans="1:32" ht="14.4">
      <c r="A2415" t="str">
        <f t="shared" si="646"/>
        <v>CO_Jeffe_2020g~Jefferson County Commissioner - District 2 (Vote For 1)</v>
      </c>
      <c r="B2415" s="79" t="s">
        <v>5637</v>
      </c>
      <c r="C2415" s="79" t="s">
        <v>5460</v>
      </c>
      <c r="D2415" s="79" t="s">
        <v>5460</v>
      </c>
      <c r="E2415" s="79" t="s">
        <v>5462</v>
      </c>
      <c r="F2415" s="79" t="s">
        <v>1294</v>
      </c>
      <c r="G2415" s="82">
        <v>196236</v>
      </c>
      <c r="H2415" s="83">
        <v>55.55</v>
      </c>
      <c r="I2415" s="82">
        <v>422719</v>
      </c>
      <c r="J2415" s="82">
        <v>381245</v>
      </c>
      <c r="K2415" s="79">
        <v>309</v>
      </c>
      <c r="L2415" s="79">
        <v>309</v>
      </c>
      <c r="M2415" s="79">
        <v>23</v>
      </c>
      <c r="N2415" s="79">
        <v>27938</v>
      </c>
      <c r="O2415">
        <f t="shared" si="648"/>
        <v>1</v>
      </c>
      <c r="P2415" s="57">
        <f t="shared" si="649"/>
        <v>1</v>
      </c>
      <c r="Q2415" s="267">
        <f t="shared" si="650"/>
        <v>353284</v>
      </c>
      <c r="R2415" s="23">
        <f t="shared" si="651"/>
        <v>196236</v>
      </c>
      <c r="S2415" s="23">
        <f t="shared" si="652"/>
        <v>157048</v>
      </c>
      <c r="T2415" s="23">
        <f t="shared" si="653"/>
        <v>39188</v>
      </c>
      <c r="U2415" t="str">
        <f t="shared" si="654"/>
        <v>CO_Jeffe_2020g~Jefferson County Commissioner - District 2 (Vote For 1)</v>
      </c>
      <c r="AF2415" s="22" t="str">
        <f t="shared" si="647"/>
        <v/>
      </c>
    </row>
    <row r="2416" spans="1:32" ht="14.4">
      <c r="A2416" t="str">
        <f t="shared" si="646"/>
        <v>CO_Jeffe_2020g~Jefferson County Commissioner - District 2 (Vote For 1)</v>
      </c>
      <c r="B2416" s="79" t="s">
        <v>5637</v>
      </c>
      <c r="C2416" s="79" t="s">
        <v>5460</v>
      </c>
      <c r="D2416" s="79" t="s">
        <v>5460</v>
      </c>
      <c r="E2416" s="79" t="s">
        <v>5461</v>
      </c>
      <c r="F2416" s="79" t="s">
        <v>1296</v>
      </c>
      <c r="G2416" s="82">
        <v>157048</v>
      </c>
      <c r="H2416" s="83">
        <v>44.45</v>
      </c>
      <c r="I2416" s="82">
        <v>422719</v>
      </c>
      <c r="J2416" s="82">
        <v>381245</v>
      </c>
      <c r="K2416" s="79">
        <v>309</v>
      </c>
      <c r="L2416" s="79">
        <v>309</v>
      </c>
      <c r="M2416" s="79">
        <v>23</v>
      </c>
      <c r="N2416" s="79">
        <v>27938</v>
      </c>
      <c r="O2416">
        <f t="shared" si="648"/>
        <v>2</v>
      </c>
      <c r="P2416" s="57">
        <f t="shared" si="649"/>
        <v>1</v>
      </c>
      <c r="Q2416" s="267">
        <f t="shared" si="650"/>
        <v>157048</v>
      </c>
      <c r="R2416" s="23" t="str">
        <f t="shared" si="651"/>
        <v/>
      </c>
      <c r="S2416" s="23">
        <f t="shared" si="652"/>
        <v>157048</v>
      </c>
      <c r="T2416" s="23" t="str">
        <f t="shared" si="653"/>
        <v/>
      </c>
      <c r="U2416" t="str">
        <f t="shared" si="654"/>
        <v/>
      </c>
      <c r="AF2416" s="22" t="str">
        <f t="shared" si="647"/>
        <v/>
      </c>
    </row>
    <row r="2417" spans="1:38" ht="14.4">
      <c r="A2417" t="str">
        <f t="shared" si="646"/>
        <v>CO_Jeffe_2020g~Jefferson County Court Judge - Burback (Vote For 1)</v>
      </c>
      <c r="B2417" s="79" t="s">
        <v>5637</v>
      </c>
      <c r="C2417" s="79" t="s">
        <v>5266</v>
      </c>
      <c r="D2417" s="79" t="s">
        <v>5266</v>
      </c>
      <c r="E2417" s="79" t="s">
        <v>1393</v>
      </c>
      <c r="F2417" s="79" t="s">
        <v>1508</v>
      </c>
      <c r="G2417" s="82">
        <v>213882</v>
      </c>
      <c r="H2417" s="83">
        <v>71.83</v>
      </c>
      <c r="I2417" s="82">
        <v>422719</v>
      </c>
      <c r="J2417" s="82">
        <v>381245</v>
      </c>
      <c r="K2417" s="79">
        <v>309</v>
      </c>
      <c r="L2417" s="79">
        <v>309</v>
      </c>
      <c r="M2417" s="79">
        <v>66</v>
      </c>
      <c r="N2417" s="79">
        <v>83423</v>
      </c>
      <c r="O2417">
        <f t="shared" si="648"/>
        <v>1</v>
      </c>
      <c r="P2417" s="57">
        <f t="shared" si="649"/>
        <v>1</v>
      </c>
      <c r="Q2417" s="267">
        <f t="shared" si="650"/>
        <v>297756</v>
      </c>
      <c r="R2417" s="23">
        <f t="shared" si="651"/>
        <v>213882</v>
      </c>
      <c r="S2417" s="23">
        <f t="shared" si="652"/>
        <v>83874</v>
      </c>
      <c r="T2417" s="23">
        <f t="shared" si="653"/>
        <v>130008</v>
      </c>
      <c r="U2417" t="str">
        <f t="shared" si="654"/>
        <v>CO_Jeffe_2020g~Jefferson County Court Judge - Burback (Vote For 1)</v>
      </c>
      <c r="AF2417" s="22" t="str">
        <f t="shared" si="647"/>
        <v/>
      </c>
    </row>
    <row r="2418" spans="1:38" ht="14.4">
      <c r="A2418" t="str">
        <f t="shared" ref="A2418:A2481" si="655">CONCATENATE(B2418,"~",D2418)</f>
        <v>CO_Jeffe_2020g~Jefferson County Court Judge - Burback (Vote For 1)</v>
      </c>
      <c r="B2418" s="79" t="s">
        <v>5637</v>
      </c>
      <c r="C2418" s="79" t="s">
        <v>5266</v>
      </c>
      <c r="D2418" s="79" t="s">
        <v>5266</v>
      </c>
      <c r="E2418" s="79" t="s">
        <v>1394</v>
      </c>
      <c r="F2418" s="79" t="s">
        <v>1509</v>
      </c>
      <c r="G2418" s="82">
        <v>83874</v>
      </c>
      <c r="H2418" s="83">
        <v>28.17</v>
      </c>
      <c r="I2418" s="82">
        <v>422719</v>
      </c>
      <c r="J2418" s="82">
        <v>381245</v>
      </c>
      <c r="K2418" s="79">
        <v>309</v>
      </c>
      <c r="L2418" s="79">
        <v>309</v>
      </c>
      <c r="M2418" s="79">
        <v>66</v>
      </c>
      <c r="N2418" s="79">
        <v>83423</v>
      </c>
      <c r="O2418">
        <f t="shared" si="648"/>
        <v>2</v>
      </c>
      <c r="P2418" s="57">
        <f t="shared" si="649"/>
        <v>1</v>
      </c>
      <c r="Q2418" s="267">
        <f t="shared" si="650"/>
        <v>83874</v>
      </c>
      <c r="R2418" s="23" t="str">
        <f t="shared" si="651"/>
        <v/>
      </c>
      <c r="S2418" s="23">
        <f t="shared" si="652"/>
        <v>83874</v>
      </c>
      <c r="T2418" s="23" t="str">
        <f t="shared" si="653"/>
        <v/>
      </c>
      <c r="U2418" t="str">
        <f t="shared" si="654"/>
        <v/>
      </c>
      <c r="AF2418" s="22" t="str">
        <f t="shared" si="647"/>
        <v/>
      </c>
    </row>
    <row r="2419" spans="1:38" ht="14.4">
      <c r="A2419" t="str">
        <f t="shared" si="655"/>
        <v>CO_Jeffe_2020g~Jefferson County Court Judge - Carpenter (Vote For 1)</v>
      </c>
      <c r="B2419" s="79" t="s">
        <v>5637</v>
      </c>
      <c r="C2419" s="79" t="s">
        <v>5267</v>
      </c>
      <c r="D2419" s="79" t="s">
        <v>5267</v>
      </c>
      <c r="E2419" s="79" t="s">
        <v>1393</v>
      </c>
      <c r="F2419" s="79" t="s">
        <v>1508</v>
      </c>
      <c r="G2419" s="82">
        <v>219449</v>
      </c>
      <c r="H2419" s="83">
        <v>73.61</v>
      </c>
      <c r="I2419" s="82">
        <v>422719</v>
      </c>
      <c r="J2419" s="82">
        <v>381245</v>
      </c>
      <c r="K2419" s="79">
        <v>309</v>
      </c>
      <c r="L2419" s="79">
        <v>309</v>
      </c>
      <c r="M2419" s="79">
        <v>41</v>
      </c>
      <c r="N2419" s="79">
        <v>83091</v>
      </c>
      <c r="O2419">
        <f t="shared" si="648"/>
        <v>1</v>
      </c>
      <c r="P2419" s="57">
        <f t="shared" si="649"/>
        <v>1</v>
      </c>
      <c r="Q2419" s="267">
        <f t="shared" si="650"/>
        <v>298113</v>
      </c>
      <c r="R2419" s="23">
        <f t="shared" si="651"/>
        <v>219449</v>
      </c>
      <c r="S2419" s="23">
        <f t="shared" si="652"/>
        <v>78664</v>
      </c>
      <c r="T2419" s="23">
        <f t="shared" si="653"/>
        <v>140785</v>
      </c>
      <c r="U2419" t="str">
        <f t="shared" si="654"/>
        <v>CO_Jeffe_2020g~Jefferson County Court Judge - Carpenter (Vote For 1)</v>
      </c>
      <c r="AF2419" s="22" t="str">
        <f t="shared" si="647"/>
        <v/>
      </c>
    </row>
    <row r="2420" spans="1:38" ht="14.4">
      <c r="A2420" t="str">
        <f t="shared" si="655"/>
        <v>CO_Jeffe_2020g~Jefferson County Court Judge - Carpenter (Vote For 1)</v>
      </c>
      <c r="B2420" s="79" t="s">
        <v>5637</v>
      </c>
      <c r="C2420" s="79" t="s">
        <v>5267</v>
      </c>
      <c r="D2420" s="79" t="s">
        <v>5267</v>
      </c>
      <c r="E2420" s="79" t="s">
        <v>1394</v>
      </c>
      <c r="F2420" s="79" t="s">
        <v>1509</v>
      </c>
      <c r="G2420" s="82">
        <v>78664</v>
      </c>
      <c r="H2420" s="83">
        <v>26.39</v>
      </c>
      <c r="I2420" s="82">
        <v>422719</v>
      </c>
      <c r="J2420" s="82">
        <v>381245</v>
      </c>
      <c r="K2420" s="79">
        <v>309</v>
      </c>
      <c r="L2420" s="79">
        <v>309</v>
      </c>
      <c r="M2420" s="79">
        <v>41</v>
      </c>
      <c r="N2420" s="79">
        <v>83091</v>
      </c>
      <c r="O2420">
        <f t="shared" si="648"/>
        <v>2</v>
      </c>
      <c r="P2420" s="57">
        <f t="shared" si="649"/>
        <v>1</v>
      </c>
      <c r="Q2420" s="267">
        <f t="shared" si="650"/>
        <v>78664</v>
      </c>
      <c r="R2420" s="23" t="str">
        <f t="shared" si="651"/>
        <v/>
      </c>
      <c r="S2420" s="23">
        <f t="shared" si="652"/>
        <v>78664</v>
      </c>
      <c r="T2420" s="23" t="str">
        <f t="shared" si="653"/>
        <v/>
      </c>
      <c r="U2420" t="str">
        <f t="shared" si="654"/>
        <v/>
      </c>
      <c r="AF2420" s="22" t="str">
        <f t="shared" si="647"/>
        <v/>
      </c>
    </row>
    <row r="2421" spans="1:38" ht="14.4">
      <c r="A2421" t="str">
        <f t="shared" si="655"/>
        <v>CO_Jeffe_2020g~Jefferson County Court Judge - Moore (Vote For 1)</v>
      </c>
      <c r="B2421" s="79" t="s">
        <v>5637</v>
      </c>
      <c r="C2421" s="79" t="s">
        <v>5268</v>
      </c>
      <c r="D2421" s="79" t="s">
        <v>5268</v>
      </c>
      <c r="E2421" s="79" t="s">
        <v>1393</v>
      </c>
      <c r="F2421" s="79" t="s">
        <v>1508</v>
      </c>
      <c r="G2421" s="82">
        <v>227583</v>
      </c>
      <c r="H2421" s="83">
        <v>76.31</v>
      </c>
      <c r="I2421" s="82">
        <v>422719</v>
      </c>
      <c r="J2421" s="82">
        <v>381245</v>
      </c>
      <c r="K2421" s="79">
        <v>309</v>
      </c>
      <c r="L2421" s="79">
        <v>309</v>
      </c>
      <c r="M2421" s="79">
        <v>24</v>
      </c>
      <c r="N2421" s="79">
        <v>82977</v>
      </c>
      <c r="O2421">
        <f t="shared" si="648"/>
        <v>1</v>
      </c>
      <c r="P2421" s="57">
        <f t="shared" si="649"/>
        <v>1</v>
      </c>
      <c r="Q2421" s="267">
        <f t="shared" si="650"/>
        <v>298244</v>
      </c>
      <c r="R2421" s="23">
        <f t="shared" si="651"/>
        <v>227583</v>
      </c>
      <c r="S2421" s="23">
        <f t="shared" si="652"/>
        <v>70661</v>
      </c>
      <c r="T2421" s="23">
        <f t="shared" si="653"/>
        <v>156922</v>
      </c>
      <c r="U2421" t="str">
        <f t="shared" si="654"/>
        <v>CO_Jeffe_2020g~Jefferson County Court Judge - Moore (Vote For 1)</v>
      </c>
      <c r="AF2421" s="22" t="str">
        <f t="shared" si="647"/>
        <v/>
      </c>
    </row>
    <row r="2422" spans="1:38" ht="14.4">
      <c r="A2422" t="str">
        <f t="shared" si="655"/>
        <v>CO_Jeffe_2020g~Jefferson County Court Judge - Moore (Vote For 1)</v>
      </c>
      <c r="B2422" s="79" t="s">
        <v>5637</v>
      </c>
      <c r="C2422" s="79" t="s">
        <v>5268</v>
      </c>
      <c r="D2422" s="79" t="s">
        <v>5268</v>
      </c>
      <c r="E2422" s="79" t="s">
        <v>1394</v>
      </c>
      <c r="F2422" s="79" t="s">
        <v>1509</v>
      </c>
      <c r="G2422" s="82">
        <v>70661</v>
      </c>
      <c r="H2422" s="83">
        <v>23.69</v>
      </c>
      <c r="I2422" s="82">
        <v>422719</v>
      </c>
      <c r="J2422" s="82">
        <v>381245</v>
      </c>
      <c r="K2422" s="79">
        <v>309</v>
      </c>
      <c r="L2422" s="79">
        <v>309</v>
      </c>
      <c r="M2422" s="79">
        <v>24</v>
      </c>
      <c r="N2422" s="79">
        <v>82977</v>
      </c>
      <c r="O2422">
        <f t="shared" si="648"/>
        <v>2</v>
      </c>
      <c r="P2422" s="57">
        <f t="shared" si="649"/>
        <v>1</v>
      </c>
      <c r="Q2422" s="267">
        <f t="shared" si="650"/>
        <v>70661</v>
      </c>
      <c r="R2422" s="23" t="str">
        <f t="shared" si="651"/>
        <v/>
      </c>
      <c r="S2422" s="23">
        <f t="shared" si="652"/>
        <v>70661</v>
      </c>
      <c r="T2422" s="23" t="str">
        <f t="shared" si="653"/>
        <v/>
      </c>
      <c r="U2422" t="str">
        <f t="shared" si="654"/>
        <v/>
      </c>
      <c r="AF2422" s="22" t="str">
        <f t="shared" ref="AF2422:AF2485" si="656">LEFT(AL2151,14)</f>
        <v/>
      </c>
    </row>
    <row r="2423" spans="1:38" ht="14.4">
      <c r="A2423" t="str">
        <f t="shared" si="655"/>
        <v>CO_Jeffe_2020g~Jefferson County Court Judge - Sargent (Vote For 1)</v>
      </c>
      <c r="B2423" s="79" t="s">
        <v>5637</v>
      </c>
      <c r="C2423" s="79" t="s">
        <v>5269</v>
      </c>
      <c r="D2423" s="79" t="s">
        <v>5269</v>
      </c>
      <c r="E2423" s="79" t="s">
        <v>1393</v>
      </c>
      <c r="F2423" s="79" t="s">
        <v>1508</v>
      </c>
      <c r="G2423" s="82">
        <v>220237</v>
      </c>
      <c r="H2423" s="83">
        <v>73.98</v>
      </c>
      <c r="I2423" s="82">
        <v>422719</v>
      </c>
      <c r="J2423" s="82">
        <v>381245</v>
      </c>
      <c r="K2423" s="79">
        <v>309</v>
      </c>
      <c r="L2423" s="79">
        <v>309</v>
      </c>
      <c r="M2423" s="79">
        <v>27</v>
      </c>
      <c r="N2423" s="79">
        <v>83519</v>
      </c>
      <c r="O2423">
        <f t="shared" si="648"/>
        <v>1</v>
      </c>
      <c r="P2423" s="57">
        <f t="shared" si="649"/>
        <v>1</v>
      </c>
      <c r="Q2423" s="267">
        <f t="shared" si="650"/>
        <v>297699</v>
      </c>
      <c r="R2423" s="23">
        <f t="shared" si="651"/>
        <v>220237</v>
      </c>
      <c r="S2423" s="23">
        <f t="shared" si="652"/>
        <v>77462</v>
      </c>
      <c r="T2423" s="23">
        <f t="shared" si="653"/>
        <v>142775</v>
      </c>
      <c r="U2423" t="str">
        <f t="shared" si="654"/>
        <v>CO_Jeffe_2020g~Jefferson County Court Judge - Sargent (Vote For 1)</v>
      </c>
      <c r="AF2423" s="22" t="str">
        <f t="shared" si="656"/>
        <v/>
      </c>
    </row>
    <row r="2424" spans="1:38" ht="14.4">
      <c r="A2424" t="str">
        <f t="shared" si="655"/>
        <v>CO_Jeffe_2020g~Jefferson County Court Judge - Sargent (Vote For 1)</v>
      </c>
      <c r="B2424" s="79" t="s">
        <v>5637</v>
      </c>
      <c r="C2424" s="79" t="s">
        <v>5269</v>
      </c>
      <c r="D2424" s="79" t="s">
        <v>5269</v>
      </c>
      <c r="E2424" s="79" t="s">
        <v>1394</v>
      </c>
      <c r="F2424" s="79" t="s">
        <v>1509</v>
      </c>
      <c r="G2424" s="82">
        <v>77462</v>
      </c>
      <c r="H2424" s="83">
        <v>26.02</v>
      </c>
      <c r="I2424" s="82">
        <v>422719</v>
      </c>
      <c r="J2424" s="82">
        <v>381245</v>
      </c>
      <c r="K2424" s="79">
        <v>309</v>
      </c>
      <c r="L2424" s="79">
        <v>309</v>
      </c>
      <c r="M2424" s="79">
        <v>27</v>
      </c>
      <c r="N2424" s="79">
        <v>83519</v>
      </c>
      <c r="O2424">
        <f t="shared" si="648"/>
        <v>2</v>
      </c>
      <c r="P2424" s="57">
        <f t="shared" si="649"/>
        <v>1</v>
      </c>
      <c r="Q2424" s="267">
        <f t="shared" si="650"/>
        <v>77462</v>
      </c>
      <c r="R2424" s="23" t="str">
        <f t="shared" si="651"/>
        <v/>
      </c>
      <c r="S2424" s="23">
        <f t="shared" si="652"/>
        <v>77462</v>
      </c>
      <c r="T2424" s="23" t="str">
        <f t="shared" si="653"/>
        <v/>
      </c>
      <c r="U2424" t="str">
        <f t="shared" si="654"/>
        <v/>
      </c>
      <c r="AF2424" s="22" t="str">
        <f t="shared" si="656"/>
        <v/>
      </c>
      <c r="AL2424" s="344"/>
    </row>
    <row r="2425" spans="1:38" ht="14.4">
      <c r="A2425" t="str">
        <f t="shared" si="655"/>
        <v>CO_Jeffe_2020g~Jefferson County Surveyor (Vote For 1)</v>
      </c>
      <c r="B2425" s="79" t="s">
        <v>5637</v>
      </c>
      <c r="C2425" s="79" t="s">
        <v>5463</v>
      </c>
      <c r="D2425" s="79" t="s">
        <v>5463</v>
      </c>
      <c r="E2425" s="79" t="s">
        <v>5464</v>
      </c>
      <c r="F2425" s="79" t="s">
        <v>1296</v>
      </c>
      <c r="G2425" s="82">
        <v>251893</v>
      </c>
      <c r="H2425" s="83">
        <v>100</v>
      </c>
      <c r="I2425" s="82">
        <v>422719</v>
      </c>
      <c r="J2425" s="82">
        <v>381245</v>
      </c>
      <c r="K2425" s="79">
        <v>309</v>
      </c>
      <c r="L2425" s="79">
        <v>309</v>
      </c>
      <c r="M2425" s="79">
        <v>0</v>
      </c>
      <c r="N2425" s="79">
        <v>129352</v>
      </c>
      <c r="O2425">
        <f t="shared" si="648"/>
        <v>1</v>
      </c>
      <c r="P2425" s="57">
        <f t="shared" si="649"/>
        <v>1</v>
      </c>
      <c r="Q2425" s="267">
        <f t="shared" si="650"/>
        <v>251893</v>
      </c>
      <c r="R2425" s="23">
        <f t="shared" si="651"/>
        <v>251893</v>
      </c>
      <c r="S2425" s="23">
        <f t="shared" si="652"/>
        <v>0</v>
      </c>
      <c r="T2425" s="23" t="str">
        <f t="shared" si="653"/>
        <v/>
      </c>
      <c r="U2425" t="str">
        <f t="shared" si="654"/>
        <v>CO_Jeffe_2020g~Jefferson County Surveyor (Vote For 1)</v>
      </c>
      <c r="AF2425" s="22" t="str">
        <f t="shared" si="656"/>
        <v/>
      </c>
    </row>
    <row r="2426" spans="1:38" ht="14.4">
      <c r="A2426" t="str">
        <f t="shared" si="655"/>
        <v>CO_Jeffe_2020g~Lookout Mountain Water District Ballot Issue 6B (Vote For 1)</v>
      </c>
      <c r="B2426" s="79" t="s">
        <v>5637</v>
      </c>
      <c r="C2426" s="79" t="s">
        <v>5479</v>
      </c>
      <c r="D2426" s="79" t="s">
        <v>5479</v>
      </c>
      <c r="E2426" s="79" t="s">
        <v>5274</v>
      </c>
      <c r="F2426" s="79" t="s">
        <v>1508</v>
      </c>
      <c r="G2426" s="82">
        <v>585</v>
      </c>
      <c r="H2426" s="83">
        <v>65.8</v>
      </c>
      <c r="I2426" s="82">
        <v>5332</v>
      </c>
      <c r="J2426" s="82">
        <v>4972</v>
      </c>
      <c r="K2426" s="79">
        <v>5</v>
      </c>
      <c r="L2426" s="79">
        <v>5</v>
      </c>
      <c r="M2426" s="79">
        <v>0</v>
      </c>
      <c r="N2426" s="79">
        <v>86</v>
      </c>
      <c r="O2426">
        <f t="shared" si="648"/>
        <v>1</v>
      </c>
      <c r="P2426" s="57">
        <f t="shared" si="649"/>
        <v>1</v>
      </c>
      <c r="Q2426" s="267">
        <f t="shared" si="650"/>
        <v>889</v>
      </c>
      <c r="R2426" s="23">
        <f t="shared" si="651"/>
        <v>585</v>
      </c>
      <c r="S2426" s="23">
        <f t="shared" si="652"/>
        <v>304</v>
      </c>
      <c r="T2426" s="23">
        <f t="shared" si="653"/>
        <v>281</v>
      </c>
      <c r="U2426" t="str">
        <f t="shared" si="654"/>
        <v>CO_Jeffe_2020g~Lookout Mountain Water District Ballot Issue 6B (Vote For 1)</v>
      </c>
      <c r="AF2426" s="22" t="str">
        <f t="shared" si="656"/>
        <v/>
      </c>
    </row>
    <row r="2427" spans="1:38" ht="14.4">
      <c r="A2427" t="str">
        <f t="shared" si="655"/>
        <v>CO_Jeffe_2020g~Lookout Mountain Water District Ballot Issue 6B (Vote For 1)</v>
      </c>
      <c r="B2427" s="79" t="s">
        <v>5637</v>
      </c>
      <c r="C2427" s="79" t="s">
        <v>5479</v>
      </c>
      <c r="D2427" s="79" t="s">
        <v>5479</v>
      </c>
      <c r="E2427" s="79" t="s">
        <v>5275</v>
      </c>
      <c r="F2427" s="79" t="s">
        <v>1509</v>
      </c>
      <c r="G2427" s="82">
        <v>304</v>
      </c>
      <c r="H2427" s="83">
        <v>34.200000000000003</v>
      </c>
      <c r="I2427" s="82">
        <v>5332</v>
      </c>
      <c r="J2427" s="82">
        <v>4972</v>
      </c>
      <c r="K2427" s="79">
        <v>5</v>
      </c>
      <c r="L2427" s="79">
        <v>5</v>
      </c>
      <c r="M2427" s="79">
        <v>0</v>
      </c>
      <c r="N2427" s="79">
        <v>86</v>
      </c>
      <c r="O2427">
        <f t="shared" si="648"/>
        <v>2</v>
      </c>
      <c r="P2427" s="57">
        <f t="shared" si="649"/>
        <v>1</v>
      </c>
      <c r="Q2427" s="267">
        <f t="shared" si="650"/>
        <v>304</v>
      </c>
      <c r="R2427" s="23" t="str">
        <f t="shared" si="651"/>
        <v/>
      </c>
      <c r="S2427" s="23">
        <f t="shared" si="652"/>
        <v>304</v>
      </c>
      <c r="T2427" s="23" t="str">
        <f t="shared" si="653"/>
        <v/>
      </c>
      <c r="U2427" t="str">
        <f t="shared" si="654"/>
        <v/>
      </c>
      <c r="AF2427" s="22" t="str">
        <f t="shared" si="656"/>
        <v/>
      </c>
    </row>
    <row r="2428" spans="1:38" ht="14.4">
      <c r="A2428" t="str">
        <f t="shared" si="655"/>
        <v>CO_Jeffe_2020g~Regional Transportation District Director - District M (Vote For 1)</v>
      </c>
      <c r="B2428" s="79" t="s">
        <v>5637</v>
      </c>
      <c r="C2428" s="79" t="s">
        <v>5233</v>
      </c>
      <c r="D2428" s="79" t="s">
        <v>5233</v>
      </c>
      <c r="E2428" s="79" t="s">
        <v>5234</v>
      </c>
      <c r="F2428" s="79">
        <v>1</v>
      </c>
      <c r="G2428" s="82">
        <v>74617</v>
      </c>
      <c r="H2428" s="83">
        <v>100</v>
      </c>
      <c r="I2428" s="82">
        <v>132089</v>
      </c>
      <c r="J2428" s="82">
        <v>116267</v>
      </c>
      <c r="K2428" s="79">
        <v>98</v>
      </c>
      <c r="L2428" s="79">
        <v>98</v>
      </c>
      <c r="M2428" s="79">
        <v>0</v>
      </c>
      <c r="N2428" s="79">
        <v>41650</v>
      </c>
      <c r="O2428">
        <f t="shared" si="648"/>
        <v>1</v>
      </c>
      <c r="P2428" s="57">
        <f t="shared" si="649"/>
        <v>1</v>
      </c>
      <c r="Q2428" s="267">
        <f t="shared" si="650"/>
        <v>74617</v>
      </c>
      <c r="R2428" s="23">
        <f t="shared" si="651"/>
        <v>74617</v>
      </c>
      <c r="S2428" s="23">
        <f t="shared" si="652"/>
        <v>0</v>
      </c>
      <c r="T2428" s="23" t="str">
        <f t="shared" si="653"/>
        <v/>
      </c>
      <c r="U2428" t="str">
        <f t="shared" si="654"/>
        <v>CO_Jeffe_2020g~Regional Transportation District Director - District M (Vote For 1)</v>
      </c>
      <c r="AF2428" s="22" t="str">
        <f t="shared" si="656"/>
        <v/>
      </c>
    </row>
    <row r="2429" spans="1:38" ht="14.4">
      <c r="A2429" t="str">
        <f t="shared" si="655"/>
        <v>CO_Jeffe_2020g~State Representative - District 22 (Vote For 1)</v>
      </c>
      <c r="B2429" s="79" t="s">
        <v>5637</v>
      </c>
      <c r="C2429" s="79" t="s">
        <v>5107</v>
      </c>
      <c r="D2429" s="79" t="s">
        <v>5107</v>
      </c>
      <c r="E2429" s="79" t="s">
        <v>5109</v>
      </c>
      <c r="F2429" s="79" t="s">
        <v>1296</v>
      </c>
      <c r="G2429" s="82">
        <v>26421</v>
      </c>
      <c r="H2429" s="83">
        <v>51.27</v>
      </c>
      <c r="I2429" s="82">
        <v>59378</v>
      </c>
      <c r="J2429" s="82">
        <v>54459</v>
      </c>
      <c r="K2429" s="79">
        <v>41</v>
      </c>
      <c r="L2429" s="79">
        <v>41</v>
      </c>
      <c r="M2429" s="79">
        <v>3</v>
      </c>
      <c r="N2429" s="79">
        <v>2927</v>
      </c>
      <c r="O2429">
        <f t="shared" si="648"/>
        <v>1</v>
      </c>
      <c r="P2429" s="57">
        <f t="shared" si="649"/>
        <v>1</v>
      </c>
      <c r="Q2429" s="267">
        <f t="shared" si="650"/>
        <v>51529</v>
      </c>
      <c r="R2429" s="23">
        <f t="shared" si="651"/>
        <v>26421</v>
      </c>
      <c r="S2429" s="23">
        <f t="shared" si="652"/>
        <v>23467</v>
      </c>
      <c r="T2429" s="23">
        <f t="shared" si="653"/>
        <v>2954</v>
      </c>
      <c r="U2429" t="str">
        <f t="shared" si="654"/>
        <v>CO_Jeffe_2020g~State Representative - District 22 (Vote For 1)</v>
      </c>
      <c r="AF2429" s="22" t="str">
        <f t="shared" si="656"/>
        <v/>
      </c>
    </row>
    <row r="2430" spans="1:38" ht="14.4">
      <c r="A2430" t="str">
        <f t="shared" si="655"/>
        <v>CO_Jeffe_2020g~State Representative - District 22 (Vote For 1)</v>
      </c>
      <c r="B2430" s="79" t="s">
        <v>5637</v>
      </c>
      <c r="C2430" s="79" t="s">
        <v>5107</v>
      </c>
      <c r="D2430" s="79" t="s">
        <v>5107</v>
      </c>
      <c r="E2430" s="79" t="s">
        <v>5108</v>
      </c>
      <c r="F2430" s="79" t="s">
        <v>1294</v>
      </c>
      <c r="G2430" s="82">
        <v>23467</v>
      </c>
      <c r="H2430" s="83">
        <v>45.54</v>
      </c>
      <c r="I2430" s="82">
        <v>59378</v>
      </c>
      <c r="J2430" s="82">
        <v>54459</v>
      </c>
      <c r="K2430" s="79">
        <v>41</v>
      </c>
      <c r="L2430" s="79">
        <v>41</v>
      </c>
      <c r="M2430" s="79">
        <v>3</v>
      </c>
      <c r="N2430" s="79">
        <v>2927</v>
      </c>
      <c r="O2430">
        <f t="shared" si="648"/>
        <v>2</v>
      </c>
      <c r="P2430" s="57">
        <f t="shared" si="649"/>
        <v>1</v>
      </c>
      <c r="Q2430" s="267">
        <f t="shared" si="650"/>
        <v>25108</v>
      </c>
      <c r="R2430" s="23" t="str">
        <f t="shared" si="651"/>
        <v/>
      </c>
      <c r="S2430" s="23">
        <f t="shared" si="652"/>
        <v>23467</v>
      </c>
      <c r="T2430" s="23" t="str">
        <f t="shared" si="653"/>
        <v/>
      </c>
      <c r="U2430" t="str">
        <f t="shared" si="654"/>
        <v/>
      </c>
      <c r="AF2430" s="22" t="str">
        <f t="shared" si="656"/>
        <v/>
      </c>
    </row>
    <row r="2431" spans="1:38" ht="14.4">
      <c r="A2431" t="str">
        <f t="shared" si="655"/>
        <v>CO_Jeffe_2020g~State Representative - District 22 (Vote For 1)</v>
      </c>
      <c r="B2431" s="79" t="s">
        <v>5637</v>
      </c>
      <c r="C2431" s="79" t="s">
        <v>5107</v>
      </c>
      <c r="D2431" s="79" t="s">
        <v>5107</v>
      </c>
      <c r="E2431" s="79" t="s">
        <v>5110</v>
      </c>
      <c r="F2431" s="79" t="s">
        <v>4951</v>
      </c>
      <c r="G2431" s="82">
        <v>1641</v>
      </c>
      <c r="H2431" s="83">
        <v>3.18</v>
      </c>
      <c r="I2431" s="82">
        <v>59378</v>
      </c>
      <c r="J2431" s="82">
        <v>54459</v>
      </c>
      <c r="K2431" s="79">
        <v>41</v>
      </c>
      <c r="L2431" s="79">
        <v>41</v>
      </c>
      <c r="M2431" s="79">
        <v>3</v>
      </c>
      <c r="N2431" s="79">
        <v>2927</v>
      </c>
      <c r="O2431">
        <f t="shared" si="648"/>
        <v>3</v>
      </c>
      <c r="P2431" s="57">
        <f t="shared" si="649"/>
        <v>1</v>
      </c>
      <c r="Q2431" s="267">
        <f t="shared" si="650"/>
        <v>1641</v>
      </c>
      <c r="R2431" s="23" t="str">
        <f t="shared" si="651"/>
        <v/>
      </c>
      <c r="S2431" s="23">
        <f t="shared" si="652"/>
        <v>1641</v>
      </c>
      <c r="T2431" s="23" t="str">
        <f t="shared" si="653"/>
        <v/>
      </c>
      <c r="U2431" t="str">
        <f t="shared" si="654"/>
        <v/>
      </c>
      <c r="AF2431" s="22" t="str">
        <f t="shared" si="656"/>
        <v/>
      </c>
    </row>
    <row r="2432" spans="1:38" ht="14.4">
      <c r="A2432" t="str">
        <f t="shared" si="655"/>
        <v>CO_Jeffe_2020g~State Representative - District 23 (Vote For 1)</v>
      </c>
      <c r="B2432" s="79" t="s">
        <v>5637</v>
      </c>
      <c r="C2432" s="79" t="s">
        <v>5111</v>
      </c>
      <c r="D2432" s="79" t="s">
        <v>5111</v>
      </c>
      <c r="E2432" s="79" t="s">
        <v>5112</v>
      </c>
      <c r="F2432" s="79" t="s">
        <v>1294</v>
      </c>
      <c r="G2432" s="82">
        <v>29615</v>
      </c>
      <c r="H2432" s="83">
        <v>60.22</v>
      </c>
      <c r="I2432" s="82">
        <v>59482</v>
      </c>
      <c r="J2432" s="82">
        <v>52301</v>
      </c>
      <c r="K2432" s="79">
        <v>45</v>
      </c>
      <c r="L2432" s="79">
        <v>45</v>
      </c>
      <c r="M2432" s="79">
        <v>4</v>
      </c>
      <c r="N2432" s="79">
        <v>3119</v>
      </c>
      <c r="O2432">
        <f t="shared" si="648"/>
        <v>1</v>
      </c>
      <c r="P2432" s="57">
        <f t="shared" si="649"/>
        <v>1</v>
      </c>
      <c r="Q2432" s="267">
        <f t="shared" si="650"/>
        <v>49178</v>
      </c>
      <c r="R2432" s="23">
        <f t="shared" si="651"/>
        <v>29615</v>
      </c>
      <c r="S2432" s="23">
        <f t="shared" si="652"/>
        <v>17126</v>
      </c>
      <c r="T2432" s="23">
        <f t="shared" si="653"/>
        <v>12489</v>
      </c>
      <c r="U2432" t="str">
        <f t="shared" si="654"/>
        <v>CO_Jeffe_2020g~State Representative - District 23 (Vote For 1)</v>
      </c>
      <c r="AF2432" s="22" t="str">
        <f t="shared" si="656"/>
        <v/>
      </c>
    </row>
    <row r="2433" spans="1:38" ht="14.4">
      <c r="A2433" t="str">
        <f t="shared" si="655"/>
        <v>CO_Jeffe_2020g~State Representative - District 23 (Vote For 1)</v>
      </c>
      <c r="B2433" s="79" t="s">
        <v>5637</v>
      </c>
      <c r="C2433" s="79" t="s">
        <v>5111</v>
      </c>
      <c r="D2433" s="79" t="s">
        <v>5111</v>
      </c>
      <c r="E2433" s="79" t="s">
        <v>5113</v>
      </c>
      <c r="F2433" s="79" t="s">
        <v>1296</v>
      </c>
      <c r="G2433" s="82">
        <v>17126</v>
      </c>
      <c r="H2433" s="83">
        <v>34.82</v>
      </c>
      <c r="I2433" s="82">
        <v>59482</v>
      </c>
      <c r="J2433" s="82">
        <v>52301</v>
      </c>
      <c r="K2433" s="79">
        <v>45</v>
      </c>
      <c r="L2433" s="79">
        <v>45</v>
      </c>
      <c r="M2433" s="79">
        <v>4</v>
      </c>
      <c r="N2433" s="79">
        <v>3119</v>
      </c>
      <c r="O2433">
        <f t="shared" si="648"/>
        <v>2</v>
      </c>
      <c r="P2433" s="57">
        <f t="shared" si="649"/>
        <v>1</v>
      </c>
      <c r="Q2433" s="267">
        <f t="shared" si="650"/>
        <v>19563</v>
      </c>
      <c r="R2433" s="23" t="str">
        <f t="shared" si="651"/>
        <v/>
      </c>
      <c r="S2433" s="23">
        <f t="shared" si="652"/>
        <v>17126</v>
      </c>
      <c r="T2433" s="23" t="str">
        <f t="shared" si="653"/>
        <v/>
      </c>
      <c r="U2433" t="str">
        <f t="shared" si="654"/>
        <v/>
      </c>
      <c r="AF2433" s="22" t="str">
        <f t="shared" si="656"/>
        <v/>
      </c>
    </row>
    <row r="2434" spans="1:38" ht="14.4">
      <c r="A2434" t="str">
        <f t="shared" si="655"/>
        <v>CO_Jeffe_2020g~State Representative - District 23 (Vote For 1)</v>
      </c>
      <c r="B2434" s="79" t="s">
        <v>5637</v>
      </c>
      <c r="C2434" s="79" t="s">
        <v>5111</v>
      </c>
      <c r="D2434" s="79" t="s">
        <v>5111</v>
      </c>
      <c r="E2434" s="79" t="s">
        <v>5114</v>
      </c>
      <c r="F2434" s="79" t="s">
        <v>4951</v>
      </c>
      <c r="G2434" s="82">
        <v>2437</v>
      </c>
      <c r="H2434" s="83">
        <v>4.96</v>
      </c>
      <c r="I2434" s="82">
        <v>59482</v>
      </c>
      <c r="J2434" s="82">
        <v>52301</v>
      </c>
      <c r="K2434" s="79">
        <v>45</v>
      </c>
      <c r="L2434" s="79">
        <v>45</v>
      </c>
      <c r="M2434" s="79">
        <v>4</v>
      </c>
      <c r="N2434" s="79">
        <v>3119</v>
      </c>
      <c r="O2434">
        <f t="shared" ref="O2434:O2497" si="657">IF(OR(LOWER(LEFT(E2434,8))="write-in",LOWER(LEFT(E2434,8))="not qual"),IF(A2434=A2433,-ABS(O2433),0),IF(A2434=A2433,ABS(O2433)+1,1))</f>
        <v>3</v>
      </c>
      <c r="P2434" s="57">
        <f t="shared" ref="P2434:P2497" si="658">1*LEFT(RIGHT(A2434,2),1)</f>
        <v>1</v>
      </c>
      <c r="Q2434" s="267">
        <f t="shared" ref="Q2434:Q2497" si="659">IF(A2434&lt;&gt;A2435,G2434,IF(A2434=A2433,G2434+Q2435,MAX(G2434,(G2434+Q2435)/P2434)))</f>
        <v>2437</v>
      </c>
      <c r="R2434" s="23" t="str">
        <f t="shared" ref="R2434:R2497" si="660">IF(O2434&gt;P2434,"",IF(O2434=P2434,G2434,IF(A2434=A2435,R2435,IF(O2434&lt;=0,1,G2434))))</f>
        <v/>
      </c>
      <c r="S2434" s="23">
        <f t="shared" ref="S2434:S2497" si="661">IF(AND(O2434&gt;P2434,LOWER(LEFT(E2434,8))&lt;&gt;"write-in",LOWER(LEFT(E2434,8))&lt;&gt;"not qual"),G2434,IF(A2434=A2435,S2435,0))</f>
        <v>2437</v>
      </c>
      <c r="T2434" s="23" t="str">
        <f t="shared" ref="T2434:T2497" si="662">IF(OR(A2434=A2433,S2434=0),"",R2434-ABS(S2434))</f>
        <v/>
      </c>
      <c r="U2434" t="str">
        <f t="shared" ref="U2434:U2497" si="663">IF(A2434=A2433,"",A2434)</f>
        <v/>
      </c>
      <c r="AF2434" s="22" t="str">
        <f t="shared" si="656"/>
        <v/>
      </c>
    </row>
    <row r="2435" spans="1:38" ht="14.4">
      <c r="A2435" t="str">
        <f t="shared" si="655"/>
        <v>CO_Jeffe_2020g~State Representative - District 24 (Vote For 1)</v>
      </c>
      <c r="B2435" s="79" t="s">
        <v>5637</v>
      </c>
      <c r="C2435" s="79" t="s">
        <v>5115</v>
      </c>
      <c r="D2435" s="79" t="s">
        <v>5115</v>
      </c>
      <c r="E2435" s="79" t="s">
        <v>5116</v>
      </c>
      <c r="F2435" s="79" t="s">
        <v>1294</v>
      </c>
      <c r="G2435" s="82">
        <v>30671</v>
      </c>
      <c r="H2435" s="83">
        <v>64.03</v>
      </c>
      <c r="I2435" s="82">
        <v>57289</v>
      </c>
      <c r="J2435" s="82">
        <v>51392</v>
      </c>
      <c r="K2435" s="79">
        <v>42</v>
      </c>
      <c r="L2435" s="79">
        <v>42</v>
      </c>
      <c r="M2435" s="79">
        <v>2</v>
      </c>
      <c r="N2435" s="79">
        <v>3491</v>
      </c>
      <c r="O2435">
        <f t="shared" si="657"/>
        <v>1</v>
      </c>
      <c r="P2435" s="57">
        <f t="shared" si="658"/>
        <v>1</v>
      </c>
      <c r="Q2435" s="267">
        <f t="shared" si="659"/>
        <v>47899</v>
      </c>
      <c r="R2435" s="23">
        <f t="shared" si="660"/>
        <v>30671</v>
      </c>
      <c r="S2435" s="23">
        <f t="shared" si="661"/>
        <v>17228</v>
      </c>
      <c r="T2435" s="23">
        <f t="shared" si="662"/>
        <v>13443</v>
      </c>
      <c r="U2435" t="str">
        <f t="shared" si="663"/>
        <v>CO_Jeffe_2020g~State Representative - District 24 (Vote For 1)</v>
      </c>
      <c r="AF2435" s="22" t="str">
        <f t="shared" si="656"/>
        <v/>
      </c>
    </row>
    <row r="2436" spans="1:38" ht="14.4">
      <c r="A2436" t="str">
        <f t="shared" si="655"/>
        <v>CO_Jeffe_2020g~State Representative - District 24 (Vote For 1)</v>
      </c>
      <c r="B2436" s="79" t="s">
        <v>5637</v>
      </c>
      <c r="C2436" s="79" t="s">
        <v>5115</v>
      </c>
      <c r="D2436" s="79" t="s">
        <v>5115</v>
      </c>
      <c r="E2436" s="79" t="s">
        <v>5117</v>
      </c>
      <c r="F2436" s="79" t="s">
        <v>1296</v>
      </c>
      <c r="G2436" s="82">
        <v>17228</v>
      </c>
      <c r="H2436" s="83">
        <v>35.97</v>
      </c>
      <c r="I2436" s="82">
        <v>57289</v>
      </c>
      <c r="J2436" s="82">
        <v>51392</v>
      </c>
      <c r="K2436" s="79">
        <v>42</v>
      </c>
      <c r="L2436" s="79">
        <v>42</v>
      </c>
      <c r="M2436" s="79">
        <v>2</v>
      </c>
      <c r="N2436" s="79">
        <v>3491</v>
      </c>
      <c r="O2436">
        <f t="shared" si="657"/>
        <v>2</v>
      </c>
      <c r="P2436" s="57">
        <f t="shared" si="658"/>
        <v>1</v>
      </c>
      <c r="Q2436" s="267">
        <f t="shared" si="659"/>
        <v>17228</v>
      </c>
      <c r="R2436" s="23" t="str">
        <f t="shared" si="660"/>
        <v/>
      </c>
      <c r="S2436" s="23">
        <f t="shared" si="661"/>
        <v>17228</v>
      </c>
      <c r="T2436" s="23" t="str">
        <f t="shared" si="662"/>
        <v/>
      </c>
      <c r="U2436" t="str">
        <f t="shared" si="663"/>
        <v/>
      </c>
      <c r="AF2436" s="22" t="str">
        <f t="shared" si="656"/>
        <v/>
      </c>
    </row>
    <row r="2437" spans="1:38" ht="14.4">
      <c r="A2437" t="str">
        <f t="shared" si="655"/>
        <v>CO_Jeffe_2020g~State Representative - District 25 (Vote For 1)</v>
      </c>
      <c r="B2437" s="79" t="s">
        <v>5637</v>
      </c>
      <c r="C2437" s="79" t="s">
        <v>5118</v>
      </c>
      <c r="D2437" s="79" t="s">
        <v>5118</v>
      </c>
      <c r="E2437" s="79" t="s">
        <v>5119</v>
      </c>
      <c r="F2437" s="79" t="s">
        <v>1294</v>
      </c>
      <c r="G2437" s="82">
        <v>30249</v>
      </c>
      <c r="H2437" s="83">
        <v>52.82</v>
      </c>
      <c r="I2437" s="82">
        <v>65156</v>
      </c>
      <c r="J2437" s="82">
        <v>60299</v>
      </c>
      <c r="K2437" s="79">
        <v>51</v>
      </c>
      <c r="L2437" s="79">
        <v>51</v>
      </c>
      <c r="M2437" s="79">
        <v>0</v>
      </c>
      <c r="N2437" s="79">
        <v>3027</v>
      </c>
      <c r="O2437">
        <f t="shared" si="657"/>
        <v>1</v>
      </c>
      <c r="P2437" s="57">
        <f t="shared" si="658"/>
        <v>1</v>
      </c>
      <c r="Q2437" s="267">
        <f t="shared" si="659"/>
        <v>57272</v>
      </c>
      <c r="R2437" s="23">
        <f t="shared" si="660"/>
        <v>30249</v>
      </c>
      <c r="S2437" s="23">
        <f t="shared" si="661"/>
        <v>27023</v>
      </c>
      <c r="T2437" s="23">
        <f t="shared" si="662"/>
        <v>3226</v>
      </c>
      <c r="U2437" t="str">
        <f t="shared" si="663"/>
        <v>CO_Jeffe_2020g~State Representative - District 25 (Vote For 1)</v>
      </c>
      <c r="AF2437" s="22" t="str">
        <f t="shared" si="656"/>
        <v/>
      </c>
    </row>
    <row r="2438" spans="1:38" ht="14.4">
      <c r="A2438" t="str">
        <f t="shared" si="655"/>
        <v>CO_Jeffe_2020g~State Representative - District 25 (Vote For 1)</v>
      </c>
      <c r="B2438" s="79" t="s">
        <v>5637</v>
      </c>
      <c r="C2438" s="79" t="s">
        <v>5118</v>
      </c>
      <c r="D2438" s="79" t="s">
        <v>5118</v>
      </c>
      <c r="E2438" s="79" t="s">
        <v>5120</v>
      </c>
      <c r="F2438" s="79" t="s">
        <v>1296</v>
      </c>
      <c r="G2438" s="82">
        <v>27023</v>
      </c>
      <c r="H2438" s="83">
        <v>47.18</v>
      </c>
      <c r="I2438" s="82">
        <v>65156</v>
      </c>
      <c r="J2438" s="82">
        <v>60299</v>
      </c>
      <c r="K2438" s="79">
        <v>51</v>
      </c>
      <c r="L2438" s="79">
        <v>51</v>
      </c>
      <c r="M2438" s="79">
        <v>0</v>
      </c>
      <c r="N2438" s="79">
        <v>3027</v>
      </c>
      <c r="O2438">
        <f t="shared" si="657"/>
        <v>2</v>
      </c>
      <c r="P2438" s="57">
        <f t="shared" si="658"/>
        <v>1</v>
      </c>
      <c r="Q2438" s="267">
        <f t="shared" si="659"/>
        <v>27023</v>
      </c>
      <c r="R2438" s="23" t="str">
        <f t="shared" si="660"/>
        <v/>
      </c>
      <c r="S2438" s="23">
        <f t="shared" si="661"/>
        <v>27023</v>
      </c>
      <c r="T2438" s="23" t="str">
        <f t="shared" si="662"/>
        <v/>
      </c>
      <c r="U2438" t="str">
        <f t="shared" si="663"/>
        <v/>
      </c>
      <c r="AF2438" s="22" t="str">
        <f t="shared" si="656"/>
        <v/>
      </c>
    </row>
    <row r="2439" spans="1:38" ht="14.4">
      <c r="A2439" t="str">
        <f t="shared" si="655"/>
        <v>CO_Jeffe_2020g~State Representative - District 27 (Vote For 1)</v>
      </c>
      <c r="B2439" s="79" t="s">
        <v>5637</v>
      </c>
      <c r="C2439" s="79" t="s">
        <v>5121</v>
      </c>
      <c r="D2439" s="79" t="s">
        <v>5121</v>
      </c>
      <c r="E2439" s="79" t="s">
        <v>5122</v>
      </c>
      <c r="F2439" s="79" t="s">
        <v>1294</v>
      </c>
      <c r="G2439" s="82">
        <v>29566</v>
      </c>
      <c r="H2439" s="83">
        <v>48.7</v>
      </c>
      <c r="I2439" s="82">
        <v>69203</v>
      </c>
      <c r="J2439" s="82">
        <v>63532</v>
      </c>
      <c r="K2439" s="79">
        <v>49</v>
      </c>
      <c r="L2439" s="79">
        <v>49</v>
      </c>
      <c r="M2439" s="79">
        <v>3</v>
      </c>
      <c r="N2439" s="79">
        <v>2821</v>
      </c>
      <c r="O2439">
        <f t="shared" si="657"/>
        <v>1</v>
      </c>
      <c r="P2439" s="57">
        <f t="shared" si="658"/>
        <v>1</v>
      </c>
      <c r="Q2439" s="267">
        <f t="shared" si="659"/>
        <v>60708</v>
      </c>
      <c r="R2439" s="23">
        <f t="shared" si="660"/>
        <v>29566</v>
      </c>
      <c r="S2439" s="23">
        <f t="shared" si="661"/>
        <v>27674</v>
      </c>
      <c r="T2439" s="23">
        <f t="shared" si="662"/>
        <v>1892</v>
      </c>
      <c r="U2439" t="str">
        <f t="shared" si="663"/>
        <v>CO_Jeffe_2020g~State Representative - District 27 (Vote For 1)</v>
      </c>
      <c r="AF2439" s="22" t="str">
        <f t="shared" si="656"/>
        <v/>
      </c>
      <c r="AG2439" s="23"/>
      <c r="AH2439" s="8"/>
      <c r="AL2439" s="23"/>
    </row>
    <row r="2440" spans="1:38" ht="14.4">
      <c r="A2440" t="str">
        <f t="shared" si="655"/>
        <v>CO_Jeffe_2020g~State Representative - District 27 (Vote For 1)</v>
      </c>
      <c r="B2440" s="79" t="s">
        <v>5637</v>
      </c>
      <c r="C2440" s="79" t="s">
        <v>5121</v>
      </c>
      <c r="D2440" s="79" t="s">
        <v>5121</v>
      </c>
      <c r="E2440" s="79" t="s">
        <v>5123</v>
      </c>
      <c r="F2440" s="79" t="s">
        <v>1296</v>
      </c>
      <c r="G2440" s="82">
        <v>27674</v>
      </c>
      <c r="H2440" s="83">
        <v>45.59</v>
      </c>
      <c r="I2440" s="82">
        <v>69203</v>
      </c>
      <c r="J2440" s="82">
        <v>63532</v>
      </c>
      <c r="K2440" s="79">
        <v>49</v>
      </c>
      <c r="L2440" s="79">
        <v>49</v>
      </c>
      <c r="M2440" s="79">
        <v>3</v>
      </c>
      <c r="N2440" s="79">
        <v>2821</v>
      </c>
      <c r="O2440">
        <f t="shared" si="657"/>
        <v>2</v>
      </c>
      <c r="P2440" s="57">
        <f t="shared" si="658"/>
        <v>1</v>
      </c>
      <c r="Q2440" s="267">
        <f t="shared" si="659"/>
        <v>31142</v>
      </c>
      <c r="R2440" s="23" t="str">
        <f t="shared" si="660"/>
        <v/>
      </c>
      <c r="S2440" s="23">
        <f t="shared" si="661"/>
        <v>27674</v>
      </c>
      <c r="T2440" s="23" t="str">
        <f t="shared" si="662"/>
        <v/>
      </c>
      <c r="U2440" t="str">
        <f t="shared" si="663"/>
        <v/>
      </c>
      <c r="AF2440" s="22" t="str">
        <f t="shared" si="656"/>
        <v/>
      </c>
    </row>
    <row r="2441" spans="1:38" ht="14.4">
      <c r="A2441" t="str">
        <f t="shared" si="655"/>
        <v>CO_Jeffe_2020g~State Representative - District 27 (Vote For 1)</v>
      </c>
      <c r="B2441" s="79" t="s">
        <v>5637</v>
      </c>
      <c r="C2441" s="79" t="s">
        <v>5121</v>
      </c>
      <c r="D2441" s="79" t="s">
        <v>5121</v>
      </c>
      <c r="E2441" s="79" t="s">
        <v>5124</v>
      </c>
      <c r="F2441" s="79" t="s">
        <v>4951</v>
      </c>
      <c r="G2441" s="82">
        <v>3468</v>
      </c>
      <c r="H2441" s="83">
        <v>5.71</v>
      </c>
      <c r="I2441" s="82">
        <v>69203</v>
      </c>
      <c r="J2441" s="82">
        <v>63532</v>
      </c>
      <c r="K2441" s="79">
        <v>49</v>
      </c>
      <c r="L2441" s="79">
        <v>49</v>
      </c>
      <c r="M2441" s="79">
        <v>3</v>
      </c>
      <c r="N2441" s="79">
        <v>2821</v>
      </c>
      <c r="O2441">
        <f t="shared" si="657"/>
        <v>3</v>
      </c>
      <c r="P2441" s="57">
        <f t="shared" si="658"/>
        <v>1</v>
      </c>
      <c r="Q2441" s="267">
        <f t="shared" si="659"/>
        <v>3468</v>
      </c>
      <c r="R2441" s="23" t="str">
        <f t="shared" si="660"/>
        <v/>
      </c>
      <c r="S2441" s="23">
        <f t="shared" si="661"/>
        <v>3468</v>
      </c>
      <c r="T2441" s="23" t="str">
        <f t="shared" si="662"/>
        <v/>
      </c>
      <c r="U2441" t="str">
        <f t="shared" si="663"/>
        <v/>
      </c>
      <c r="AF2441" s="22" t="str">
        <f t="shared" si="656"/>
        <v/>
      </c>
    </row>
    <row r="2442" spans="1:38" ht="14.4">
      <c r="A2442" t="str">
        <f t="shared" si="655"/>
        <v>CO_Jeffe_2020g~State Representative - District 28 (Vote For 1)</v>
      </c>
      <c r="B2442" s="79" t="s">
        <v>5637</v>
      </c>
      <c r="C2442" s="79" t="s">
        <v>5125</v>
      </c>
      <c r="D2442" s="79" t="s">
        <v>5125</v>
      </c>
      <c r="E2442" s="79" t="s">
        <v>5126</v>
      </c>
      <c r="F2442" s="79" t="s">
        <v>1294</v>
      </c>
      <c r="G2442" s="82">
        <v>26592</v>
      </c>
      <c r="H2442" s="83">
        <v>57.63</v>
      </c>
      <c r="I2442" s="82">
        <v>56076</v>
      </c>
      <c r="J2442" s="82">
        <v>49383</v>
      </c>
      <c r="K2442" s="79">
        <v>40</v>
      </c>
      <c r="L2442" s="79">
        <v>40</v>
      </c>
      <c r="M2442" s="79">
        <v>5</v>
      </c>
      <c r="N2442" s="79">
        <v>3237</v>
      </c>
      <c r="O2442">
        <f t="shared" si="657"/>
        <v>1</v>
      </c>
      <c r="P2442" s="57">
        <f t="shared" si="658"/>
        <v>1</v>
      </c>
      <c r="Q2442" s="267">
        <f t="shared" si="659"/>
        <v>46141</v>
      </c>
      <c r="R2442" s="23">
        <f t="shared" si="660"/>
        <v>26592</v>
      </c>
      <c r="S2442" s="23">
        <f t="shared" si="661"/>
        <v>17030</v>
      </c>
      <c r="T2442" s="23">
        <f t="shared" si="662"/>
        <v>9562</v>
      </c>
      <c r="U2442" t="str">
        <f t="shared" si="663"/>
        <v>CO_Jeffe_2020g~State Representative - District 28 (Vote For 1)</v>
      </c>
      <c r="AF2442" s="22" t="str">
        <f t="shared" si="656"/>
        <v/>
      </c>
    </row>
    <row r="2443" spans="1:38" ht="14.4">
      <c r="A2443" t="str">
        <f t="shared" si="655"/>
        <v>CO_Jeffe_2020g~State Representative - District 28 (Vote For 1)</v>
      </c>
      <c r="B2443" s="79" t="s">
        <v>5637</v>
      </c>
      <c r="C2443" s="79" t="s">
        <v>5125</v>
      </c>
      <c r="D2443" s="79" t="s">
        <v>5125</v>
      </c>
      <c r="E2443" s="79" t="s">
        <v>5127</v>
      </c>
      <c r="F2443" s="79" t="s">
        <v>1296</v>
      </c>
      <c r="G2443" s="82">
        <v>17030</v>
      </c>
      <c r="H2443" s="83">
        <v>36.909999999999997</v>
      </c>
      <c r="I2443" s="82">
        <v>56076</v>
      </c>
      <c r="J2443" s="82">
        <v>49383</v>
      </c>
      <c r="K2443" s="79">
        <v>40</v>
      </c>
      <c r="L2443" s="79">
        <v>40</v>
      </c>
      <c r="M2443" s="79">
        <v>5</v>
      </c>
      <c r="N2443" s="79">
        <v>3237</v>
      </c>
      <c r="O2443">
        <f t="shared" si="657"/>
        <v>2</v>
      </c>
      <c r="P2443" s="57">
        <f t="shared" si="658"/>
        <v>1</v>
      </c>
      <c r="Q2443" s="267">
        <f t="shared" si="659"/>
        <v>19549</v>
      </c>
      <c r="R2443" s="23" t="str">
        <f t="shared" si="660"/>
        <v/>
      </c>
      <c r="S2443" s="23">
        <f t="shared" si="661"/>
        <v>17030</v>
      </c>
      <c r="T2443" s="23" t="str">
        <f t="shared" si="662"/>
        <v/>
      </c>
      <c r="U2443" t="str">
        <f t="shared" si="663"/>
        <v/>
      </c>
      <c r="AF2443" s="22" t="str">
        <f t="shared" si="656"/>
        <v/>
      </c>
    </row>
    <row r="2444" spans="1:38" ht="14.4">
      <c r="A2444" t="str">
        <f t="shared" si="655"/>
        <v>CO_Jeffe_2020g~State Representative - District 28 (Vote For 1)</v>
      </c>
      <c r="B2444" s="79" t="s">
        <v>5637</v>
      </c>
      <c r="C2444" s="79" t="s">
        <v>5125</v>
      </c>
      <c r="D2444" s="79" t="s">
        <v>5125</v>
      </c>
      <c r="E2444" s="79" t="s">
        <v>5128</v>
      </c>
      <c r="F2444" s="79" t="s">
        <v>4951</v>
      </c>
      <c r="G2444" s="82">
        <v>2519</v>
      </c>
      <c r="H2444" s="83">
        <v>5.46</v>
      </c>
      <c r="I2444" s="82">
        <v>56076</v>
      </c>
      <c r="J2444" s="82">
        <v>49383</v>
      </c>
      <c r="K2444" s="79">
        <v>40</v>
      </c>
      <c r="L2444" s="79">
        <v>40</v>
      </c>
      <c r="M2444" s="79">
        <v>5</v>
      </c>
      <c r="N2444" s="79">
        <v>3237</v>
      </c>
      <c r="O2444">
        <f t="shared" si="657"/>
        <v>3</v>
      </c>
      <c r="P2444" s="57">
        <f t="shared" si="658"/>
        <v>1</v>
      </c>
      <c r="Q2444" s="267">
        <f t="shared" si="659"/>
        <v>2519</v>
      </c>
      <c r="R2444" s="23" t="str">
        <f t="shared" si="660"/>
        <v/>
      </c>
      <c r="S2444" s="23">
        <f t="shared" si="661"/>
        <v>2519</v>
      </c>
      <c r="T2444" s="23" t="str">
        <f t="shared" si="662"/>
        <v/>
      </c>
      <c r="U2444" t="str">
        <f t="shared" si="663"/>
        <v/>
      </c>
      <c r="AF2444" s="22" t="str">
        <f t="shared" si="656"/>
        <v/>
      </c>
    </row>
    <row r="2445" spans="1:38" ht="14.4">
      <c r="A2445" t="str">
        <f t="shared" si="655"/>
        <v>CO_Jeffe_2020g~State Representative - District 29 (Vote For 1)</v>
      </c>
      <c r="B2445" s="79" t="s">
        <v>5637</v>
      </c>
      <c r="C2445" s="79" t="s">
        <v>5129</v>
      </c>
      <c r="D2445" s="79" t="s">
        <v>5129</v>
      </c>
      <c r="E2445" s="79" t="s">
        <v>5130</v>
      </c>
      <c r="F2445" s="79" t="s">
        <v>1294</v>
      </c>
      <c r="G2445" s="82">
        <v>26226</v>
      </c>
      <c r="H2445" s="83">
        <v>56.1</v>
      </c>
      <c r="I2445" s="82">
        <v>55899</v>
      </c>
      <c r="J2445" s="82">
        <v>49654</v>
      </c>
      <c r="K2445" s="79">
        <v>40</v>
      </c>
      <c r="L2445" s="79">
        <v>40</v>
      </c>
      <c r="M2445" s="79">
        <v>5</v>
      </c>
      <c r="N2445" s="79">
        <v>2902</v>
      </c>
      <c r="O2445">
        <f t="shared" si="657"/>
        <v>1</v>
      </c>
      <c r="P2445" s="57">
        <f t="shared" si="658"/>
        <v>1</v>
      </c>
      <c r="Q2445" s="267">
        <f t="shared" si="659"/>
        <v>46747</v>
      </c>
      <c r="R2445" s="23">
        <f t="shared" si="660"/>
        <v>26226</v>
      </c>
      <c r="S2445" s="23">
        <f t="shared" si="661"/>
        <v>17931</v>
      </c>
      <c r="T2445" s="23">
        <f t="shared" si="662"/>
        <v>8295</v>
      </c>
      <c r="U2445" t="str">
        <f t="shared" si="663"/>
        <v>CO_Jeffe_2020g~State Representative - District 29 (Vote For 1)</v>
      </c>
      <c r="AF2445" s="22" t="str">
        <f t="shared" si="656"/>
        <v/>
      </c>
      <c r="AG2445" s="23"/>
      <c r="AH2445" s="8"/>
      <c r="AL2445" s="344"/>
    </row>
    <row r="2446" spans="1:38" ht="14.4">
      <c r="A2446" t="str">
        <f t="shared" si="655"/>
        <v>CO_Jeffe_2020g~State Representative - District 29 (Vote For 1)</v>
      </c>
      <c r="B2446" s="79" t="s">
        <v>5637</v>
      </c>
      <c r="C2446" s="79" t="s">
        <v>5129</v>
      </c>
      <c r="D2446" s="79" t="s">
        <v>5129</v>
      </c>
      <c r="E2446" s="79" t="s">
        <v>5131</v>
      </c>
      <c r="F2446" s="79" t="s">
        <v>1296</v>
      </c>
      <c r="G2446" s="82">
        <v>17931</v>
      </c>
      <c r="H2446" s="83">
        <v>38.36</v>
      </c>
      <c r="I2446" s="82">
        <v>55899</v>
      </c>
      <c r="J2446" s="82">
        <v>49654</v>
      </c>
      <c r="K2446" s="79">
        <v>40</v>
      </c>
      <c r="L2446" s="79">
        <v>40</v>
      </c>
      <c r="M2446" s="79">
        <v>5</v>
      </c>
      <c r="N2446" s="79">
        <v>2902</v>
      </c>
      <c r="O2446">
        <f t="shared" si="657"/>
        <v>2</v>
      </c>
      <c r="P2446" s="57">
        <f t="shared" si="658"/>
        <v>1</v>
      </c>
      <c r="Q2446" s="267">
        <f t="shared" si="659"/>
        <v>20521</v>
      </c>
      <c r="R2446" s="23" t="str">
        <f t="shared" si="660"/>
        <v/>
      </c>
      <c r="S2446" s="23">
        <f t="shared" si="661"/>
        <v>17931</v>
      </c>
      <c r="T2446" s="23" t="str">
        <f t="shared" si="662"/>
        <v/>
      </c>
      <c r="U2446" t="str">
        <f t="shared" si="663"/>
        <v/>
      </c>
      <c r="AF2446" s="22" t="str">
        <f t="shared" si="656"/>
        <v/>
      </c>
    </row>
    <row r="2447" spans="1:38" ht="14.4">
      <c r="A2447" t="str">
        <f t="shared" si="655"/>
        <v>CO_Jeffe_2020g~State Representative - District 29 (Vote For 1)</v>
      </c>
      <c r="B2447" s="79" t="s">
        <v>5637</v>
      </c>
      <c r="C2447" s="79" t="s">
        <v>5129</v>
      </c>
      <c r="D2447" s="79" t="s">
        <v>5129</v>
      </c>
      <c r="E2447" s="79" t="s">
        <v>5132</v>
      </c>
      <c r="F2447" s="79" t="s">
        <v>4951</v>
      </c>
      <c r="G2447" s="82">
        <v>2590</v>
      </c>
      <c r="H2447" s="83">
        <v>5.54</v>
      </c>
      <c r="I2447" s="82">
        <v>55899</v>
      </c>
      <c r="J2447" s="82">
        <v>49654</v>
      </c>
      <c r="K2447" s="79">
        <v>40</v>
      </c>
      <c r="L2447" s="79">
        <v>40</v>
      </c>
      <c r="M2447" s="79">
        <v>5</v>
      </c>
      <c r="N2447" s="79">
        <v>2902</v>
      </c>
      <c r="O2447">
        <f t="shared" si="657"/>
        <v>3</v>
      </c>
      <c r="P2447" s="57">
        <f t="shared" si="658"/>
        <v>1</v>
      </c>
      <c r="Q2447" s="267">
        <f t="shared" si="659"/>
        <v>2590</v>
      </c>
      <c r="R2447" s="23" t="str">
        <f t="shared" si="660"/>
        <v/>
      </c>
      <c r="S2447" s="23">
        <f t="shared" si="661"/>
        <v>2590</v>
      </c>
      <c r="T2447" s="23" t="str">
        <f t="shared" si="662"/>
        <v/>
      </c>
      <c r="U2447" t="str">
        <f t="shared" si="663"/>
        <v/>
      </c>
      <c r="AF2447" s="22" t="str">
        <f t="shared" si="656"/>
        <v/>
      </c>
      <c r="AH2447" s="8"/>
      <c r="AL2447" s="23"/>
    </row>
    <row r="2448" spans="1:38" ht="14.4">
      <c r="A2448" t="str">
        <f t="shared" si="655"/>
        <v>CO_Jeffe_2020g~State Senator - District 19 (Vote For 1)</v>
      </c>
      <c r="B2448" s="79" t="s">
        <v>5637</v>
      </c>
      <c r="C2448" s="79" t="s">
        <v>5021</v>
      </c>
      <c r="D2448" s="79" t="s">
        <v>5021</v>
      </c>
      <c r="E2448" s="79" t="s">
        <v>5022</v>
      </c>
      <c r="F2448" s="79" t="s">
        <v>1294</v>
      </c>
      <c r="G2448" s="82">
        <v>54694</v>
      </c>
      <c r="H2448" s="83">
        <v>59.17</v>
      </c>
      <c r="I2448" s="82">
        <v>108287</v>
      </c>
      <c r="J2448" s="82">
        <v>97275</v>
      </c>
      <c r="K2448" s="79">
        <v>79</v>
      </c>
      <c r="L2448" s="79">
        <v>79</v>
      </c>
      <c r="M2448" s="79">
        <v>3</v>
      </c>
      <c r="N2448" s="79">
        <v>4838</v>
      </c>
      <c r="O2448">
        <f t="shared" si="657"/>
        <v>1</v>
      </c>
      <c r="P2448" s="57">
        <f t="shared" si="658"/>
        <v>1</v>
      </c>
      <c r="Q2448" s="267">
        <f t="shared" si="659"/>
        <v>92434</v>
      </c>
      <c r="R2448" s="23">
        <f t="shared" si="660"/>
        <v>54694</v>
      </c>
      <c r="S2448" s="23">
        <f t="shared" si="661"/>
        <v>37740</v>
      </c>
      <c r="T2448" s="23">
        <f t="shared" si="662"/>
        <v>16954</v>
      </c>
      <c r="U2448" t="str">
        <f t="shared" si="663"/>
        <v>CO_Jeffe_2020g~State Senator - District 19 (Vote For 1)</v>
      </c>
      <c r="AF2448" s="22" t="str">
        <f t="shared" si="656"/>
        <v/>
      </c>
    </row>
    <row r="2449" spans="1:45" ht="14.4">
      <c r="A2449" t="str">
        <f t="shared" si="655"/>
        <v>CO_Jeffe_2020g~State Senator - District 19 (Vote For 1)</v>
      </c>
      <c r="B2449" s="79" t="s">
        <v>5637</v>
      </c>
      <c r="C2449" s="79" t="s">
        <v>5021</v>
      </c>
      <c r="D2449" s="79" t="s">
        <v>5021</v>
      </c>
      <c r="E2449" s="79" t="s">
        <v>5023</v>
      </c>
      <c r="F2449" s="79" t="s">
        <v>1296</v>
      </c>
      <c r="G2449" s="82">
        <v>37740</v>
      </c>
      <c r="H2449" s="83">
        <v>40.83</v>
      </c>
      <c r="I2449" s="82">
        <v>108287</v>
      </c>
      <c r="J2449" s="82">
        <v>97275</v>
      </c>
      <c r="K2449" s="79">
        <v>79</v>
      </c>
      <c r="L2449" s="79">
        <v>79</v>
      </c>
      <c r="M2449" s="79">
        <v>3</v>
      </c>
      <c r="N2449" s="79">
        <v>4838</v>
      </c>
      <c r="O2449">
        <f t="shared" si="657"/>
        <v>2</v>
      </c>
      <c r="P2449" s="57">
        <f t="shared" si="658"/>
        <v>1</v>
      </c>
      <c r="Q2449" s="267">
        <f t="shared" si="659"/>
        <v>37740</v>
      </c>
      <c r="R2449" s="23" t="str">
        <f t="shared" si="660"/>
        <v/>
      </c>
      <c r="S2449" s="23">
        <f t="shared" si="661"/>
        <v>37740</v>
      </c>
      <c r="T2449" s="23" t="str">
        <f t="shared" si="662"/>
        <v/>
      </c>
      <c r="U2449" t="str">
        <f t="shared" si="663"/>
        <v/>
      </c>
      <c r="AF2449" s="22" t="str">
        <f t="shared" si="656"/>
        <v/>
      </c>
    </row>
    <row r="2450" spans="1:45" ht="14.4">
      <c r="A2450" t="str">
        <f t="shared" si="655"/>
        <v>CO_Jeffe_2020g~w/Adams_Regent of the University of Colorado - Congressional District 7 (Vote For 1)</v>
      </c>
      <c r="B2450" s="79" t="s">
        <v>5637</v>
      </c>
      <c r="C2450" s="79" t="s">
        <v>5002</v>
      </c>
      <c r="D2450" s="79" t="s">
        <v>5644</v>
      </c>
      <c r="E2450" s="79" t="s">
        <v>5003</v>
      </c>
      <c r="F2450" s="79" t="s">
        <v>1294</v>
      </c>
      <c r="G2450" s="82">
        <v>181700</v>
      </c>
      <c r="H2450" s="83">
        <v>100</v>
      </c>
      <c r="I2450" s="82">
        <v>305017</v>
      </c>
      <c r="J2450" s="82">
        <v>272825</v>
      </c>
      <c r="K2450" s="79">
        <v>224</v>
      </c>
      <c r="L2450" s="79">
        <v>224</v>
      </c>
      <c r="M2450" s="79">
        <v>0</v>
      </c>
      <c r="N2450" s="79">
        <v>91125</v>
      </c>
      <c r="O2450">
        <f t="shared" si="657"/>
        <v>1</v>
      </c>
      <c r="P2450" s="57">
        <f t="shared" si="658"/>
        <v>1</v>
      </c>
      <c r="Q2450" s="267">
        <f t="shared" si="659"/>
        <v>181700</v>
      </c>
      <c r="R2450" s="23">
        <f t="shared" si="660"/>
        <v>181700</v>
      </c>
      <c r="S2450" s="23">
        <f t="shared" si="661"/>
        <v>0</v>
      </c>
      <c r="T2450" s="23" t="str">
        <f t="shared" si="662"/>
        <v/>
      </c>
      <c r="U2450" t="str">
        <f t="shared" si="663"/>
        <v>CO_Jeffe_2020g~w/Adams_Regent of the University of Colorado - Congressional District 7 (Vote For 1)</v>
      </c>
      <c r="AF2450" s="22" t="str">
        <f t="shared" si="656"/>
        <v/>
      </c>
      <c r="AL2450" s="344"/>
    </row>
    <row r="2451" spans="1:45" ht="14.4">
      <c r="A2451" t="str">
        <f t="shared" si="655"/>
        <v>CO_Jeffe_2020g~w/Adams_Representative to the 117th United States Congress - District 7 (Vote For 1)</v>
      </c>
      <c r="B2451" s="79" t="s">
        <v>5637</v>
      </c>
      <c r="C2451" s="79" t="s">
        <v>4994</v>
      </c>
      <c r="D2451" s="79" t="s">
        <v>5966</v>
      </c>
      <c r="E2451" s="79" t="s">
        <v>4996</v>
      </c>
      <c r="F2451" s="79" t="s">
        <v>1294</v>
      </c>
      <c r="G2451" s="82">
        <v>155764</v>
      </c>
      <c r="H2451" s="83">
        <v>59.35</v>
      </c>
      <c r="I2451" s="82">
        <v>305017</v>
      </c>
      <c r="J2451" s="82">
        <v>272825</v>
      </c>
      <c r="K2451" s="79">
        <v>224</v>
      </c>
      <c r="L2451" s="79">
        <v>224</v>
      </c>
      <c r="M2451" s="79">
        <v>112</v>
      </c>
      <c r="N2451" s="79">
        <v>10255</v>
      </c>
      <c r="O2451">
        <f t="shared" si="657"/>
        <v>1</v>
      </c>
      <c r="P2451" s="57">
        <f t="shared" si="658"/>
        <v>1</v>
      </c>
      <c r="Q2451" s="267">
        <f t="shared" si="659"/>
        <v>262442</v>
      </c>
      <c r="R2451" s="23">
        <f t="shared" si="660"/>
        <v>155764</v>
      </c>
      <c r="S2451" s="23">
        <f t="shared" si="661"/>
        <v>99044</v>
      </c>
      <c r="T2451" s="23">
        <f t="shared" si="662"/>
        <v>56720</v>
      </c>
      <c r="U2451" t="str">
        <f t="shared" si="663"/>
        <v>CO_Jeffe_2020g~w/Adams_Representative to the 117th United States Congress - District 7 (Vote For 1)</v>
      </c>
      <c r="AF2451" s="22" t="str">
        <f t="shared" si="656"/>
        <v/>
      </c>
    </row>
    <row r="2452" spans="1:45" ht="14.4">
      <c r="A2452" t="str">
        <f t="shared" si="655"/>
        <v>CO_Jeffe_2020g~w/Adams_Representative to the 117th United States Congress - District 7 (Vote For 1)</v>
      </c>
      <c r="B2452" s="79" t="s">
        <v>5637</v>
      </c>
      <c r="C2452" s="79" t="s">
        <v>4994</v>
      </c>
      <c r="D2452" s="79" t="s">
        <v>5966</v>
      </c>
      <c r="E2452" s="79" t="s">
        <v>4995</v>
      </c>
      <c r="F2452" s="79" t="s">
        <v>1296</v>
      </c>
      <c r="G2452" s="82">
        <v>99044</v>
      </c>
      <c r="H2452" s="83">
        <v>37.74</v>
      </c>
      <c r="I2452" s="82">
        <v>305017</v>
      </c>
      <c r="J2452" s="82">
        <v>272825</v>
      </c>
      <c r="K2452" s="79">
        <v>224</v>
      </c>
      <c r="L2452" s="79">
        <v>224</v>
      </c>
      <c r="M2452" s="79">
        <v>112</v>
      </c>
      <c r="N2452" s="79">
        <v>10255</v>
      </c>
      <c r="O2452">
        <f t="shared" si="657"/>
        <v>2</v>
      </c>
      <c r="P2452" s="57">
        <f t="shared" si="658"/>
        <v>1</v>
      </c>
      <c r="Q2452" s="267">
        <f t="shared" si="659"/>
        <v>106678</v>
      </c>
      <c r="R2452" s="23" t="str">
        <f t="shared" si="660"/>
        <v/>
      </c>
      <c r="S2452" s="23">
        <f t="shared" si="661"/>
        <v>99044</v>
      </c>
      <c r="T2452" s="23" t="str">
        <f t="shared" si="662"/>
        <v/>
      </c>
      <c r="U2452" t="str">
        <f t="shared" si="663"/>
        <v/>
      </c>
      <c r="AF2452" s="22" t="str">
        <f t="shared" si="656"/>
        <v/>
      </c>
      <c r="AG2452" s="23"/>
      <c r="AH2452" s="8"/>
      <c r="AL2452" s="344"/>
      <c r="AO2452" s="356"/>
      <c r="AP2452" s="356"/>
      <c r="AQ2452" s="394"/>
      <c r="AR2452" s="394"/>
      <c r="AS2452" s="394"/>
    </row>
    <row r="2453" spans="1:45" ht="14.4">
      <c r="A2453" t="str">
        <f t="shared" si="655"/>
        <v>CO_Jeffe_2020g~w/Adams_Representative to the 117th United States Congress - District 7 (Vote For 1)</v>
      </c>
      <c r="B2453" s="79" t="s">
        <v>5637</v>
      </c>
      <c r="C2453" s="79" t="s">
        <v>4994</v>
      </c>
      <c r="D2453" s="79" t="s">
        <v>5966</v>
      </c>
      <c r="E2453" s="79" t="s">
        <v>4998</v>
      </c>
      <c r="F2453" s="79" t="s">
        <v>4951</v>
      </c>
      <c r="G2453" s="82">
        <v>6501</v>
      </c>
      <c r="H2453" s="83">
        <v>2.48</v>
      </c>
      <c r="I2453" s="82">
        <v>305017</v>
      </c>
      <c r="J2453" s="82">
        <v>272825</v>
      </c>
      <c r="K2453" s="79">
        <v>224</v>
      </c>
      <c r="L2453" s="79">
        <v>224</v>
      </c>
      <c r="M2453" s="79">
        <v>112</v>
      </c>
      <c r="N2453" s="79">
        <v>10255</v>
      </c>
      <c r="O2453">
        <f t="shared" si="657"/>
        <v>3</v>
      </c>
      <c r="P2453" s="57">
        <f t="shared" si="658"/>
        <v>1</v>
      </c>
      <c r="Q2453" s="267">
        <f t="shared" si="659"/>
        <v>7634</v>
      </c>
      <c r="R2453" s="23" t="str">
        <f t="shared" si="660"/>
        <v/>
      </c>
      <c r="S2453" s="23">
        <f t="shared" si="661"/>
        <v>6501</v>
      </c>
      <c r="T2453" s="23" t="str">
        <f t="shared" si="662"/>
        <v/>
      </c>
      <c r="U2453" t="str">
        <f t="shared" si="663"/>
        <v/>
      </c>
      <c r="AF2453" s="22" t="str">
        <f t="shared" si="656"/>
        <v/>
      </c>
      <c r="AG2453" s="23"/>
      <c r="AH2453" s="8"/>
    </row>
    <row r="2454" spans="1:45" ht="14.4">
      <c r="A2454" t="str">
        <f t="shared" si="655"/>
        <v>CO_Jeffe_2020g~w/Adams_Representative to the 117th United States Congress - District 7 (Vote For 1)</v>
      </c>
      <c r="B2454" s="79" t="s">
        <v>5637</v>
      </c>
      <c r="C2454" s="79" t="s">
        <v>4994</v>
      </c>
      <c r="D2454" s="79" t="s">
        <v>5966</v>
      </c>
      <c r="E2454" s="79" t="s">
        <v>4997</v>
      </c>
      <c r="F2454" s="79" t="s">
        <v>4946</v>
      </c>
      <c r="G2454" s="82">
        <v>1133</v>
      </c>
      <c r="H2454" s="83">
        <v>0.43</v>
      </c>
      <c r="I2454" s="82">
        <v>305017</v>
      </c>
      <c r="J2454" s="82">
        <v>272825</v>
      </c>
      <c r="K2454" s="79">
        <v>224</v>
      </c>
      <c r="L2454" s="79">
        <v>224</v>
      </c>
      <c r="M2454" s="79">
        <v>112</v>
      </c>
      <c r="N2454" s="79">
        <v>10255</v>
      </c>
      <c r="O2454">
        <f t="shared" si="657"/>
        <v>4</v>
      </c>
      <c r="P2454" s="57">
        <f t="shared" si="658"/>
        <v>1</v>
      </c>
      <c r="Q2454" s="267">
        <f t="shared" si="659"/>
        <v>1133</v>
      </c>
      <c r="R2454" s="23" t="str">
        <f t="shared" si="660"/>
        <v/>
      </c>
      <c r="S2454" s="23">
        <f t="shared" si="661"/>
        <v>1133</v>
      </c>
      <c r="T2454" s="23" t="str">
        <f t="shared" si="662"/>
        <v/>
      </c>
      <c r="U2454" t="str">
        <f t="shared" si="663"/>
        <v/>
      </c>
      <c r="AF2454" s="22" t="str">
        <f t="shared" si="656"/>
        <v/>
      </c>
      <c r="AH2454" s="8"/>
    </row>
    <row r="2455" spans="1:45" ht="14.4">
      <c r="A2455" t="str">
        <f t="shared" si="655"/>
        <v>CO_Jeffe_2020g~w/Adams_State Board of Education Member - Congressional District 7 (Vote For 1)</v>
      </c>
      <c r="B2455" s="79" t="s">
        <v>5637</v>
      </c>
      <c r="C2455" s="79" t="s">
        <v>4999</v>
      </c>
      <c r="D2455" s="79" t="s">
        <v>5645</v>
      </c>
      <c r="E2455" s="79" t="s">
        <v>5000</v>
      </c>
      <c r="F2455" s="79" t="s">
        <v>1294</v>
      </c>
      <c r="G2455" s="82">
        <v>157661</v>
      </c>
      <c r="H2455" s="83">
        <v>61.67</v>
      </c>
      <c r="I2455" s="82">
        <v>305017</v>
      </c>
      <c r="J2455" s="82">
        <v>272825</v>
      </c>
      <c r="K2455" s="79">
        <v>224</v>
      </c>
      <c r="L2455" s="79">
        <v>224</v>
      </c>
      <c r="M2455" s="79">
        <v>21</v>
      </c>
      <c r="N2455" s="79">
        <v>17156</v>
      </c>
      <c r="O2455">
        <f t="shared" si="657"/>
        <v>1</v>
      </c>
      <c r="P2455" s="57">
        <f t="shared" si="658"/>
        <v>1</v>
      </c>
      <c r="Q2455" s="267">
        <f t="shared" si="659"/>
        <v>255648</v>
      </c>
      <c r="R2455" s="23">
        <f t="shared" si="660"/>
        <v>157661</v>
      </c>
      <c r="S2455" s="23">
        <f t="shared" si="661"/>
        <v>97987</v>
      </c>
      <c r="T2455" s="23">
        <f t="shared" si="662"/>
        <v>59674</v>
      </c>
      <c r="U2455" t="str">
        <f t="shared" si="663"/>
        <v>CO_Jeffe_2020g~w/Adams_State Board of Education Member - Congressional District 7 (Vote For 1)</v>
      </c>
      <c r="AF2455" s="22" t="str">
        <f t="shared" si="656"/>
        <v/>
      </c>
      <c r="AH2455" s="8"/>
    </row>
    <row r="2456" spans="1:45" ht="14.4">
      <c r="A2456" t="str">
        <f t="shared" si="655"/>
        <v>CO_Jeffe_2020g~w/Adams_State Board of Education Member - Congressional District 7 (Vote For 1)</v>
      </c>
      <c r="B2456" s="79" t="s">
        <v>5637</v>
      </c>
      <c r="C2456" s="79" t="s">
        <v>4999</v>
      </c>
      <c r="D2456" s="79" t="s">
        <v>5645</v>
      </c>
      <c r="E2456" s="79" t="s">
        <v>5001</v>
      </c>
      <c r="F2456" s="79" t="s">
        <v>1296</v>
      </c>
      <c r="G2456" s="82">
        <v>97987</v>
      </c>
      <c r="H2456" s="83">
        <v>38.33</v>
      </c>
      <c r="I2456" s="82">
        <v>305017</v>
      </c>
      <c r="J2456" s="82">
        <v>272825</v>
      </c>
      <c r="K2456" s="79">
        <v>224</v>
      </c>
      <c r="L2456" s="79">
        <v>224</v>
      </c>
      <c r="M2456" s="79">
        <v>21</v>
      </c>
      <c r="N2456" s="79">
        <v>17156</v>
      </c>
      <c r="O2456">
        <f t="shared" si="657"/>
        <v>2</v>
      </c>
      <c r="P2456" s="57">
        <f t="shared" si="658"/>
        <v>1</v>
      </c>
      <c r="Q2456" s="267">
        <f t="shared" si="659"/>
        <v>97987</v>
      </c>
      <c r="R2456" s="23" t="str">
        <f t="shared" si="660"/>
        <v/>
      </c>
      <c r="S2456" s="23">
        <f t="shared" si="661"/>
        <v>97987</v>
      </c>
      <c r="T2456" s="23" t="str">
        <f t="shared" si="662"/>
        <v/>
      </c>
      <c r="U2456" t="str">
        <f t="shared" si="663"/>
        <v/>
      </c>
      <c r="AF2456" s="22" t="str">
        <f t="shared" si="656"/>
        <v/>
      </c>
    </row>
    <row r="2457" spans="1:45" ht="14.4">
      <c r="A2457" t="str">
        <f t="shared" si="655"/>
        <v>CO_Larim_2020g~City of Loveland Ballot Issue 2A (Vote For 1)</v>
      </c>
      <c r="B2457" s="79" t="s">
        <v>5642</v>
      </c>
      <c r="C2457" s="79" t="s">
        <v>5398</v>
      </c>
      <c r="D2457" s="79" t="s">
        <v>5398</v>
      </c>
      <c r="E2457" s="79" t="s">
        <v>5275</v>
      </c>
      <c r="F2457" s="79" t="s">
        <v>1509</v>
      </c>
      <c r="G2457" s="79">
        <v>27608</v>
      </c>
      <c r="H2457" s="79">
        <v>59.21</v>
      </c>
      <c r="I2457" s="79">
        <v>58559</v>
      </c>
      <c r="J2457" s="79">
        <v>48957</v>
      </c>
      <c r="K2457" s="79">
        <v>47</v>
      </c>
      <c r="L2457" s="79">
        <v>47</v>
      </c>
      <c r="M2457" s="79">
        <v>7</v>
      </c>
      <c r="N2457" s="79">
        <v>2324</v>
      </c>
      <c r="O2457">
        <f t="shared" si="657"/>
        <v>1</v>
      </c>
      <c r="P2457" s="57">
        <f t="shared" si="658"/>
        <v>1</v>
      </c>
      <c r="Q2457" s="267">
        <f t="shared" si="659"/>
        <v>46626</v>
      </c>
      <c r="R2457" s="23">
        <f t="shared" si="660"/>
        <v>27608</v>
      </c>
      <c r="S2457" s="23">
        <f t="shared" si="661"/>
        <v>19018</v>
      </c>
      <c r="T2457" s="23">
        <f t="shared" si="662"/>
        <v>8590</v>
      </c>
      <c r="U2457" t="str">
        <f t="shared" si="663"/>
        <v>CO_Larim_2020g~City of Loveland Ballot Issue 2A (Vote For 1)</v>
      </c>
      <c r="AF2457" s="22" t="str">
        <f t="shared" si="656"/>
        <v/>
      </c>
    </row>
    <row r="2458" spans="1:45" ht="14.4">
      <c r="A2458" t="str">
        <f t="shared" si="655"/>
        <v>CO_Larim_2020g~City of Loveland Ballot Issue 2A (Vote For 1)</v>
      </c>
      <c r="B2458" s="79" t="s">
        <v>5642</v>
      </c>
      <c r="C2458" s="79" t="s">
        <v>5398</v>
      </c>
      <c r="D2458" s="79" t="s">
        <v>5398</v>
      </c>
      <c r="E2458" s="79" t="s">
        <v>5274</v>
      </c>
      <c r="F2458" s="79" t="s">
        <v>1508</v>
      </c>
      <c r="G2458" s="79">
        <v>19018</v>
      </c>
      <c r="H2458" s="79">
        <v>40.79</v>
      </c>
      <c r="I2458" s="79">
        <v>58559</v>
      </c>
      <c r="J2458" s="79">
        <v>48957</v>
      </c>
      <c r="K2458" s="79">
        <v>47</v>
      </c>
      <c r="L2458" s="79">
        <v>47</v>
      </c>
      <c r="M2458" s="79">
        <v>7</v>
      </c>
      <c r="N2458" s="79">
        <v>2324</v>
      </c>
      <c r="O2458">
        <f t="shared" si="657"/>
        <v>2</v>
      </c>
      <c r="P2458" s="57">
        <f t="shared" si="658"/>
        <v>1</v>
      </c>
      <c r="Q2458" s="267">
        <f t="shared" si="659"/>
        <v>19018</v>
      </c>
      <c r="R2458" s="23" t="str">
        <f t="shared" si="660"/>
        <v/>
      </c>
      <c r="S2458" s="23">
        <f t="shared" si="661"/>
        <v>19018</v>
      </c>
      <c r="T2458" s="23" t="str">
        <f t="shared" si="662"/>
        <v/>
      </c>
      <c r="U2458" t="str">
        <f t="shared" si="663"/>
        <v/>
      </c>
      <c r="AF2458" s="22" t="str">
        <f t="shared" si="656"/>
        <v/>
      </c>
    </row>
    <row r="2459" spans="1:45" ht="14.4">
      <c r="A2459" t="str">
        <f t="shared" si="655"/>
        <v>CO_Larim_2020g~District Attorney - 8th Judicial District (Vote For 1)</v>
      </c>
      <c r="B2459" s="79" t="s">
        <v>5642</v>
      </c>
      <c r="C2459" s="79" t="s">
        <v>5210</v>
      </c>
      <c r="D2459" s="79" t="s">
        <v>5210</v>
      </c>
      <c r="E2459" s="79" t="s">
        <v>5211</v>
      </c>
      <c r="F2459" s="79" t="s">
        <v>1294</v>
      </c>
      <c r="G2459" s="79">
        <v>112394</v>
      </c>
      <c r="H2459" s="79">
        <v>53.36</v>
      </c>
      <c r="I2459" s="79">
        <v>271328</v>
      </c>
      <c r="J2459" s="79">
        <v>226683</v>
      </c>
      <c r="K2459" s="79">
        <v>280</v>
      </c>
      <c r="L2459" s="79">
        <v>280</v>
      </c>
      <c r="M2459" s="79">
        <v>12</v>
      </c>
      <c r="N2459" s="79">
        <v>16027</v>
      </c>
      <c r="O2459">
        <f t="shared" si="657"/>
        <v>1</v>
      </c>
      <c r="P2459" s="57">
        <f t="shared" si="658"/>
        <v>1</v>
      </c>
      <c r="Q2459" s="267">
        <f t="shared" si="659"/>
        <v>210644</v>
      </c>
      <c r="R2459" s="23">
        <f t="shared" si="660"/>
        <v>112394</v>
      </c>
      <c r="S2459" s="23">
        <f t="shared" si="661"/>
        <v>98250</v>
      </c>
      <c r="T2459" s="23">
        <f t="shared" si="662"/>
        <v>14144</v>
      </c>
      <c r="U2459" t="str">
        <f t="shared" si="663"/>
        <v>CO_Larim_2020g~District Attorney - 8th Judicial District (Vote For 1)</v>
      </c>
      <c r="AF2459" s="22" t="str">
        <f t="shared" si="656"/>
        <v/>
      </c>
    </row>
    <row r="2460" spans="1:45" ht="14.4">
      <c r="A2460" t="str">
        <f t="shared" si="655"/>
        <v>CO_Larim_2020g~District Attorney - 8th Judicial District (Vote For 1)</v>
      </c>
      <c r="B2460" s="79" t="s">
        <v>5642</v>
      </c>
      <c r="C2460" s="79" t="s">
        <v>5210</v>
      </c>
      <c r="D2460" s="79" t="s">
        <v>5210</v>
      </c>
      <c r="E2460" s="79" t="s">
        <v>5212</v>
      </c>
      <c r="F2460" s="79" t="s">
        <v>1296</v>
      </c>
      <c r="G2460" s="79">
        <v>98250</v>
      </c>
      <c r="H2460" s="79">
        <v>46.64</v>
      </c>
      <c r="I2460" s="79">
        <v>271328</v>
      </c>
      <c r="J2460" s="79">
        <v>226683</v>
      </c>
      <c r="K2460" s="79">
        <v>280</v>
      </c>
      <c r="L2460" s="79">
        <v>280</v>
      </c>
      <c r="M2460" s="79">
        <v>12</v>
      </c>
      <c r="N2460" s="79">
        <v>16027</v>
      </c>
      <c r="O2460">
        <f t="shared" si="657"/>
        <v>2</v>
      </c>
      <c r="P2460" s="57">
        <f t="shared" si="658"/>
        <v>1</v>
      </c>
      <c r="Q2460" s="267">
        <f t="shared" si="659"/>
        <v>98250</v>
      </c>
      <c r="R2460" s="23" t="str">
        <f t="shared" si="660"/>
        <v/>
      </c>
      <c r="S2460" s="23">
        <f t="shared" si="661"/>
        <v>98250</v>
      </c>
      <c r="T2460" s="23" t="str">
        <f t="shared" si="662"/>
        <v/>
      </c>
      <c r="U2460" t="str">
        <f t="shared" si="663"/>
        <v/>
      </c>
      <c r="AF2460" s="22" t="str">
        <f t="shared" si="656"/>
        <v/>
      </c>
      <c r="AO2460" s="356"/>
      <c r="AP2460" s="356"/>
      <c r="AQ2460" s="394"/>
      <c r="AR2460" s="394"/>
      <c r="AS2460" s="394"/>
    </row>
    <row r="2461" spans="1:45" ht="14.4">
      <c r="A2461" t="str">
        <f t="shared" si="655"/>
        <v>CO_Larim_2020g~District Court Judge - 8th Judicial District - Blanco (Vote For 1)</v>
      </c>
      <c r="B2461" s="79" t="s">
        <v>5642</v>
      </c>
      <c r="C2461" s="79" t="s">
        <v>5250</v>
      </c>
      <c r="D2461" s="79" t="s">
        <v>5250</v>
      </c>
      <c r="E2461" s="79" t="s">
        <v>1393</v>
      </c>
      <c r="F2461" s="79" t="s">
        <v>1508</v>
      </c>
      <c r="G2461" s="79">
        <v>137294</v>
      </c>
      <c r="H2461" s="79">
        <v>76.16</v>
      </c>
      <c r="I2461" s="79">
        <v>271328</v>
      </c>
      <c r="J2461" s="79">
        <v>226683</v>
      </c>
      <c r="K2461" s="79">
        <v>280</v>
      </c>
      <c r="L2461" s="79">
        <v>280</v>
      </c>
      <c r="M2461" s="79">
        <v>18</v>
      </c>
      <c r="N2461" s="79">
        <v>46397</v>
      </c>
      <c r="O2461">
        <f t="shared" si="657"/>
        <v>1</v>
      </c>
      <c r="P2461" s="57">
        <f t="shared" si="658"/>
        <v>1</v>
      </c>
      <c r="Q2461" s="267">
        <f t="shared" si="659"/>
        <v>180268</v>
      </c>
      <c r="R2461" s="23">
        <f t="shared" si="660"/>
        <v>137294</v>
      </c>
      <c r="S2461" s="23">
        <f t="shared" si="661"/>
        <v>42974</v>
      </c>
      <c r="T2461" s="23">
        <f t="shared" si="662"/>
        <v>94320</v>
      </c>
      <c r="U2461" t="str">
        <f t="shared" si="663"/>
        <v>CO_Larim_2020g~District Court Judge - 8th Judicial District - Blanco (Vote For 1)</v>
      </c>
      <c r="AF2461" s="22" t="str">
        <f t="shared" si="656"/>
        <v/>
      </c>
    </row>
    <row r="2462" spans="1:45" ht="14.4">
      <c r="A2462" t="str">
        <f t="shared" si="655"/>
        <v>CO_Larim_2020g~District Court Judge - 8th Judicial District - Blanco (Vote For 1)</v>
      </c>
      <c r="B2462" s="79" t="s">
        <v>5642</v>
      </c>
      <c r="C2462" s="79" t="s">
        <v>5250</v>
      </c>
      <c r="D2462" s="79" t="s">
        <v>5250</v>
      </c>
      <c r="E2462" s="79" t="s">
        <v>1394</v>
      </c>
      <c r="F2462" s="79" t="s">
        <v>1509</v>
      </c>
      <c r="G2462" s="79">
        <v>42974</v>
      </c>
      <c r="H2462" s="79">
        <v>23.84</v>
      </c>
      <c r="I2462" s="79">
        <v>271328</v>
      </c>
      <c r="J2462" s="79">
        <v>226683</v>
      </c>
      <c r="K2462" s="79">
        <v>280</v>
      </c>
      <c r="L2462" s="79">
        <v>280</v>
      </c>
      <c r="M2462" s="79">
        <v>18</v>
      </c>
      <c r="N2462" s="79">
        <v>46397</v>
      </c>
      <c r="O2462">
        <f t="shared" si="657"/>
        <v>2</v>
      </c>
      <c r="P2462" s="57">
        <f t="shared" si="658"/>
        <v>1</v>
      </c>
      <c r="Q2462" s="267">
        <f t="shared" si="659"/>
        <v>42974</v>
      </c>
      <c r="R2462" s="23" t="str">
        <f t="shared" si="660"/>
        <v/>
      </c>
      <c r="S2462" s="23">
        <f t="shared" si="661"/>
        <v>42974</v>
      </c>
      <c r="T2462" s="23" t="str">
        <f t="shared" si="662"/>
        <v/>
      </c>
      <c r="U2462" t="str">
        <f t="shared" si="663"/>
        <v/>
      </c>
      <c r="AF2462" s="22" t="str">
        <f t="shared" si="656"/>
        <v/>
      </c>
    </row>
    <row r="2463" spans="1:45" ht="14.4">
      <c r="A2463" t="str">
        <f t="shared" si="655"/>
        <v>CO_Larim_2020g~District Court Judge - 8th Judicial District - Field (Vote For 1)</v>
      </c>
      <c r="B2463" s="79" t="s">
        <v>5642</v>
      </c>
      <c r="C2463" s="79" t="s">
        <v>5251</v>
      </c>
      <c r="D2463" s="79" t="s">
        <v>5251</v>
      </c>
      <c r="E2463" s="79" t="s">
        <v>1393</v>
      </c>
      <c r="F2463" s="79" t="s">
        <v>1508</v>
      </c>
      <c r="G2463" s="79">
        <v>139537</v>
      </c>
      <c r="H2463" s="79">
        <v>77.45</v>
      </c>
      <c r="I2463" s="79">
        <v>271328</v>
      </c>
      <c r="J2463" s="79">
        <v>226683</v>
      </c>
      <c r="K2463" s="79">
        <v>280</v>
      </c>
      <c r="L2463" s="79">
        <v>280</v>
      </c>
      <c r="M2463" s="79">
        <v>15</v>
      </c>
      <c r="N2463" s="79">
        <v>46511</v>
      </c>
      <c r="O2463">
        <f t="shared" si="657"/>
        <v>1</v>
      </c>
      <c r="P2463" s="57">
        <f t="shared" si="658"/>
        <v>1</v>
      </c>
      <c r="Q2463" s="267">
        <f t="shared" si="659"/>
        <v>180157</v>
      </c>
      <c r="R2463" s="23">
        <f t="shared" si="660"/>
        <v>139537</v>
      </c>
      <c r="S2463" s="23">
        <f t="shared" si="661"/>
        <v>40620</v>
      </c>
      <c r="T2463" s="23">
        <f t="shared" si="662"/>
        <v>98917</v>
      </c>
      <c r="U2463" t="str">
        <f t="shared" si="663"/>
        <v>CO_Larim_2020g~District Court Judge - 8th Judicial District - Field (Vote For 1)</v>
      </c>
      <c r="AF2463" s="22" t="str">
        <f t="shared" si="656"/>
        <v/>
      </c>
    </row>
    <row r="2464" spans="1:45" ht="14.4">
      <c r="A2464" t="str">
        <f t="shared" si="655"/>
        <v>CO_Larim_2020g~District Court Judge - 8th Judicial District - Field (Vote For 1)</v>
      </c>
      <c r="B2464" s="79" t="s">
        <v>5642</v>
      </c>
      <c r="C2464" s="79" t="s">
        <v>5251</v>
      </c>
      <c r="D2464" s="79" t="s">
        <v>5251</v>
      </c>
      <c r="E2464" s="79" t="s">
        <v>1394</v>
      </c>
      <c r="F2464" s="79" t="s">
        <v>1509</v>
      </c>
      <c r="G2464" s="79">
        <v>40620</v>
      </c>
      <c r="H2464" s="79">
        <v>22.55</v>
      </c>
      <c r="I2464" s="79">
        <v>271328</v>
      </c>
      <c r="J2464" s="79">
        <v>226683</v>
      </c>
      <c r="K2464" s="79">
        <v>280</v>
      </c>
      <c r="L2464" s="79">
        <v>280</v>
      </c>
      <c r="M2464" s="79">
        <v>15</v>
      </c>
      <c r="N2464" s="79">
        <v>46511</v>
      </c>
      <c r="O2464">
        <f t="shared" si="657"/>
        <v>2</v>
      </c>
      <c r="P2464" s="57">
        <f t="shared" si="658"/>
        <v>1</v>
      </c>
      <c r="Q2464" s="267">
        <f t="shared" si="659"/>
        <v>40620</v>
      </c>
      <c r="R2464" s="23" t="str">
        <f t="shared" si="660"/>
        <v/>
      </c>
      <c r="S2464" s="23">
        <f t="shared" si="661"/>
        <v>40620</v>
      </c>
      <c r="T2464" s="23" t="str">
        <f t="shared" si="662"/>
        <v/>
      </c>
      <c r="U2464" t="str">
        <f t="shared" si="663"/>
        <v/>
      </c>
      <c r="AF2464" s="22" t="str">
        <f t="shared" si="656"/>
        <v/>
      </c>
    </row>
    <row r="2465" spans="1:38" ht="14.4">
      <c r="A2465" t="str">
        <f t="shared" si="655"/>
        <v>CO_Larim_2020g~District Court Judge - 8th Judicial District - Jouard (Vote For 1)</v>
      </c>
      <c r="B2465" s="79" t="s">
        <v>5642</v>
      </c>
      <c r="C2465" s="79" t="s">
        <v>5252</v>
      </c>
      <c r="D2465" s="79" t="s">
        <v>5252</v>
      </c>
      <c r="E2465" s="79" t="s">
        <v>1393</v>
      </c>
      <c r="F2465" s="79" t="s">
        <v>1508</v>
      </c>
      <c r="G2465" s="79">
        <v>138371</v>
      </c>
      <c r="H2465" s="79">
        <v>77.069999999999993</v>
      </c>
      <c r="I2465" s="79">
        <v>271328</v>
      </c>
      <c r="J2465" s="79">
        <v>226683</v>
      </c>
      <c r="K2465" s="79">
        <v>280</v>
      </c>
      <c r="L2465" s="79">
        <v>280</v>
      </c>
      <c r="M2465" s="79">
        <v>9</v>
      </c>
      <c r="N2465" s="79">
        <v>47127</v>
      </c>
      <c r="O2465">
        <f t="shared" si="657"/>
        <v>1</v>
      </c>
      <c r="P2465" s="57">
        <f t="shared" si="658"/>
        <v>1</v>
      </c>
      <c r="Q2465" s="267">
        <f t="shared" si="659"/>
        <v>179547</v>
      </c>
      <c r="R2465" s="23">
        <f t="shared" si="660"/>
        <v>138371</v>
      </c>
      <c r="S2465" s="23">
        <f t="shared" si="661"/>
        <v>41176</v>
      </c>
      <c r="T2465" s="23">
        <f t="shared" si="662"/>
        <v>97195</v>
      </c>
      <c r="U2465" t="str">
        <f t="shared" si="663"/>
        <v>CO_Larim_2020g~District Court Judge - 8th Judicial District - Jouard (Vote For 1)</v>
      </c>
      <c r="AF2465" s="22" t="str">
        <f t="shared" si="656"/>
        <v/>
      </c>
    </row>
    <row r="2466" spans="1:38" ht="14.4">
      <c r="A2466" t="str">
        <f t="shared" si="655"/>
        <v>CO_Larim_2020g~District Court Judge - 8th Judicial District - Jouard (Vote For 1)</v>
      </c>
      <c r="B2466" s="79" t="s">
        <v>5642</v>
      </c>
      <c r="C2466" s="79" t="s">
        <v>5252</v>
      </c>
      <c r="D2466" s="79" t="s">
        <v>5252</v>
      </c>
      <c r="E2466" s="79" t="s">
        <v>1394</v>
      </c>
      <c r="F2466" s="79" t="s">
        <v>1509</v>
      </c>
      <c r="G2466" s="79">
        <v>41176</v>
      </c>
      <c r="H2466" s="79">
        <v>22.93</v>
      </c>
      <c r="I2466" s="79">
        <v>271328</v>
      </c>
      <c r="J2466" s="79">
        <v>226683</v>
      </c>
      <c r="K2466" s="79">
        <v>280</v>
      </c>
      <c r="L2466" s="79">
        <v>280</v>
      </c>
      <c r="M2466" s="79">
        <v>9</v>
      </c>
      <c r="N2466" s="79">
        <v>47127</v>
      </c>
      <c r="O2466">
        <f t="shared" si="657"/>
        <v>2</v>
      </c>
      <c r="P2466" s="57">
        <f t="shared" si="658"/>
        <v>1</v>
      </c>
      <c r="Q2466" s="267">
        <f t="shared" si="659"/>
        <v>41176</v>
      </c>
      <c r="R2466" s="23" t="str">
        <f t="shared" si="660"/>
        <v/>
      </c>
      <c r="S2466" s="23">
        <f t="shared" si="661"/>
        <v>41176</v>
      </c>
      <c r="T2466" s="23" t="str">
        <f t="shared" si="662"/>
        <v/>
      </c>
      <c r="U2466" t="str">
        <f t="shared" si="663"/>
        <v/>
      </c>
      <c r="AF2466" s="22" t="str">
        <f t="shared" si="656"/>
        <v/>
      </c>
    </row>
    <row r="2467" spans="1:38" ht="14.4">
      <c r="A2467" t="str">
        <f t="shared" si="655"/>
        <v>CO_Larim_2020g~District Court Judge - 8th Judicial District - Villaseñor (Vote For 1)</v>
      </c>
      <c r="B2467" s="79" t="s">
        <v>5642</v>
      </c>
      <c r="C2467" s="79" t="s">
        <v>5253</v>
      </c>
      <c r="D2467" s="79" t="s">
        <v>5253</v>
      </c>
      <c r="E2467" s="79" t="s">
        <v>1393</v>
      </c>
      <c r="F2467" s="79" t="s">
        <v>1508</v>
      </c>
      <c r="G2467" s="79">
        <v>104777</v>
      </c>
      <c r="H2467" s="79">
        <v>58.22</v>
      </c>
      <c r="I2467" s="79">
        <v>271328</v>
      </c>
      <c r="J2467" s="79">
        <v>226683</v>
      </c>
      <c r="K2467" s="79">
        <v>280</v>
      </c>
      <c r="L2467" s="79">
        <v>280</v>
      </c>
      <c r="M2467" s="79">
        <v>46</v>
      </c>
      <c r="N2467" s="79">
        <v>46673</v>
      </c>
      <c r="O2467">
        <f t="shared" si="657"/>
        <v>1</v>
      </c>
      <c r="P2467" s="57">
        <f t="shared" si="658"/>
        <v>1</v>
      </c>
      <c r="Q2467" s="267">
        <f t="shared" si="659"/>
        <v>179964</v>
      </c>
      <c r="R2467" s="23">
        <f t="shared" si="660"/>
        <v>104777</v>
      </c>
      <c r="S2467" s="23">
        <f t="shared" si="661"/>
        <v>75187</v>
      </c>
      <c r="T2467" s="23">
        <f t="shared" si="662"/>
        <v>29590</v>
      </c>
      <c r="U2467" t="str">
        <f t="shared" si="663"/>
        <v>CO_Larim_2020g~District Court Judge - 8th Judicial District - Villaseñor (Vote For 1)</v>
      </c>
      <c r="AF2467" s="22" t="str">
        <f t="shared" si="656"/>
        <v/>
      </c>
    </row>
    <row r="2468" spans="1:38" ht="14.4">
      <c r="A2468" t="str">
        <f t="shared" si="655"/>
        <v>CO_Larim_2020g~District Court Judge - 8th Judicial District - Villaseñor (Vote For 1)</v>
      </c>
      <c r="B2468" s="79" t="s">
        <v>5642</v>
      </c>
      <c r="C2468" s="79" t="s">
        <v>5253</v>
      </c>
      <c r="D2468" s="79" t="s">
        <v>5253</v>
      </c>
      <c r="E2468" s="79" t="s">
        <v>1394</v>
      </c>
      <c r="F2468" s="79" t="s">
        <v>1509</v>
      </c>
      <c r="G2468" s="79">
        <v>75187</v>
      </c>
      <c r="H2468" s="79">
        <v>41.78</v>
      </c>
      <c r="I2468" s="79">
        <v>271328</v>
      </c>
      <c r="J2468" s="79">
        <v>226683</v>
      </c>
      <c r="K2468" s="79">
        <v>280</v>
      </c>
      <c r="L2468" s="79">
        <v>280</v>
      </c>
      <c r="M2468" s="79">
        <v>46</v>
      </c>
      <c r="N2468" s="79">
        <v>46673</v>
      </c>
      <c r="O2468">
        <f t="shared" si="657"/>
        <v>2</v>
      </c>
      <c r="P2468" s="57">
        <f t="shared" si="658"/>
        <v>1</v>
      </c>
      <c r="Q2468" s="267">
        <f t="shared" si="659"/>
        <v>75187</v>
      </c>
      <c r="R2468" s="23" t="str">
        <f t="shared" si="660"/>
        <v/>
      </c>
      <c r="S2468" s="23">
        <f t="shared" si="661"/>
        <v>75187</v>
      </c>
      <c r="T2468" s="23" t="str">
        <f t="shared" si="662"/>
        <v/>
      </c>
      <c r="U2468" t="str">
        <f t="shared" si="663"/>
        <v/>
      </c>
      <c r="AF2468" s="22" t="str">
        <f t="shared" si="656"/>
        <v/>
      </c>
    </row>
    <row r="2469" spans="1:38" ht="14.4">
      <c r="A2469" t="str">
        <f t="shared" si="655"/>
        <v>CO_Larim_2020g~Larimer County Commissioner - District 2 (Vote For 1)</v>
      </c>
      <c r="B2469" s="79" t="s">
        <v>5642</v>
      </c>
      <c r="C2469" s="79" t="s">
        <v>5467</v>
      </c>
      <c r="D2469" s="79" t="s">
        <v>5467</v>
      </c>
      <c r="E2469" s="79" t="s">
        <v>5468</v>
      </c>
      <c r="F2469" s="79" t="s">
        <v>1294</v>
      </c>
      <c r="G2469" s="79">
        <v>113409</v>
      </c>
      <c r="H2469" s="79">
        <v>53.19</v>
      </c>
      <c r="I2469" s="79">
        <v>271328</v>
      </c>
      <c r="J2469" s="79">
        <v>226683</v>
      </c>
      <c r="K2469" s="79">
        <v>280</v>
      </c>
      <c r="L2469" s="79">
        <v>280</v>
      </c>
      <c r="M2469" s="79">
        <v>17</v>
      </c>
      <c r="N2469" s="79">
        <v>13464</v>
      </c>
      <c r="O2469">
        <f t="shared" si="657"/>
        <v>1</v>
      </c>
      <c r="P2469" s="57">
        <f t="shared" si="658"/>
        <v>1</v>
      </c>
      <c r="Q2469" s="267">
        <f t="shared" si="659"/>
        <v>213202</v>
      </c>
      <c r="R2469" s="23">
        <f t="shared" si="660"/>
        <v>113409</v>
      </c>
      <c r="S2469" s="23">
        <f t="shared" si="661"/>
        <v>99793</v>
      </c>
      <c r="T2469" s="23">
        <f t="shared" si="662"/>
        <v>13616</v>
      </c>
      <c r="U2469" t="str">
        <f t="shared" si="663"/>
        <v>CO_Larim_2020g~Larimer County Commissioner - District 2 (Vote For 1)</v>
      </c>
      <c r="AF2469" s="22" t="str">
        <f t="shared" si="656"/>
        <v/>
      </c>
    </row>
    <row r="2470" spans="1:38" ht="14.4">
      <c r="A2470" t="str">
        <f t="shared" si="655"/>
        <v>CO_Larim_2020g~Larimer County Commissioner - District 2 (Vote For 1)</v>
      </c>
      <c r="B2470" s="79" t="s">
        <v>5642</v>
      </c>
      <c r="C2470" s="79" t="s">
        <v>5467</v>
      </c>
      <c r="D2470" s="79" t="s">
        <v>5467</v>
      </c>
      <c r="E2470" s="79" t="s">
        <v>5469</v>
      </c>
      <c r="F2470" s="79" t="s">
        <v>1296</v>
      </c>
      <c r="G2470" s="79">
        <v>99793</v>
      </c>
      <c r="H2470" s="79">
        <v>46.81</v>
      </c>
      <c r="I2470" s="79">
        <v>271328</v>
      </c>
      <c r="J2470" s="79">
        <v>226683</v>
      </c>
      <c r="K2470" s="79">
        <v>280</v>
      </c>
      <c r="L2470" s="79">
        <v>280</v>
      </c>
      <c r="M2470" s="79">
        <v>17</v>
      </c>
      <c r="N2470" s="79">
        <v>13464</v>
      </c>
      <c r="O2470">
        <f t="shared" si="657"/>
        <v>2</v>
      </c>
      <c r="P2470" s="57">
        <f t="shared" si="658"/>
        <v>1</v>
      </c>
      <c r="Q2470" s="267">
        <f t="shared" si="659"/>
        <v>99793</v>
      </c>
      <c r="R2470" s="23" t="str">
        <f t="shared" si="660"/>
        <v/>
      </c>
      <c r="S2470" s="23">
        <f t="shared" si="661"/>
        <v>99793</v>
      </c>
      <c r="T2470" s="23" t="str">
        <f t="shared" si="662"/>
        <v/>
      </c>
      <c r="U2470" t="str">
        <f t="shared" si="663"/>
        <v/>
      </c>
      <c r="AF2470" s="22" t="str">
        <f t="shared" si="656"/>
        <v/>
      </c>
    </row>
    <row r="2471" spans="1:38" ht="14.4">
      <c r="A2471" t="str">
        <f t="shared" si="655"/>
        <v>CO_Larim_2020g~Larimer County Commissioner - District 3 (Vote For 1)</v>
      </c>
      <c r="B2471" s="79" t="s">
        <v>5642</v>
      </c>
      <c r="C2471" s="79" t="s">
        <v>5470</v>
      </c>
      <c r="D2471" s="79" t="s">
        <v>5470</v>
      </c>
      <c r="E2471" s="79" t="s">
        <v>5471</v>
      </c>
      <c r="F2471" s="79" t="s">
        <v>1294</v>
      </c>
      <c r="G2471" s="79">
        <v>111030</v>
      </c>
      <c r="H2471" s="79">
        <v>52.63</v>
      </c>
      <c r="I2471" s="79">
        <v>271328</v>
      </c>
      <c r="J2471" s="79">
        <v>226683</v>
      </c>
      <c r="K2471" s="79">
        <v>280</v>
      </c>
      <c r="L2471" s="79">
        <v>280</v>
      </c>
      <c r="M2471" s="79">
        <v>6</v>
      </c>
      <c r="N2471" s="79">
        <v>15727</v>
      </c>
      <c r="O2471">
        <f t="shared" si="657"/>
        <v>1</v>
      </c>
      <c r="P2471" s="57">
        <f t="shared" si="658"/>
        <v>1</v>
      </c>
      <c r="Q2471" s="267">
        <f t="shared" si="659"/>
        <v>210950</v>
      </c>
      <c r="R2471" s="23">
        <f t="shared" si="660"/>
        <v>111030</v>
      </c>
      <c r="S2471" s="23">
        <f t="shared" si="661"/>
        <v>99920</v>
      </c>
      <c r="T2471" s="23">
        <f t="shared" si="662"/>
        <v>11110</v>
      </c>
      <c r="U2471" t="str">
        <f t="shared" si="663"/>
        <v>CO_Larim_2020g~Larimer County Commissioner - District 3 (Vote For 1)</v>
      </c>
      <c r="AF2471" s="22" t="str">
        <f t="shared" si="656"/>
        <v/>
      </c>
    </row>
    <row r="2472" spans="1:38" ht="14.4">
      <c r="A2472" t="str">
        <f t="shared" si="655"/>
        <v>CO_Larim_2020g~Larimer County Commissioner - District 3 (Vote For 1)</v>
      </c>
      <c r="B2472" s="79" t="s">
        <v>5642</v>
      </c>
      <c r="C2472" s="79" t="s">
        <v>5470</v>
      </c>
      <c r="D2472" s="79" t="s">
        <v>5470</v>
      </c>
      <c r="E2472" s="79" t="s">
        <v>5472</v>
      </c>
      <c r="F2472" s="79" t="s">
        <v>1296</v>
      </c>
      <c r="G2472" s="79">
        <v>99920</v>
      </c>
      <c r="H2472" s="79">
        <v>47.37</v>
      </c>
      <c r="I2472" s="79">
        <v>271328</v>
      </c>
      <c r="J2472" s="79">
        <v>226683</v>
      </c>
      <c r="K2472" s="79">
        <v>280</v>
      </c>
      <c r="L2472" s="79">
        <v>280</v>
      </c>
      <c r="M2472" s="79">
        <v>6</v>
      </c>
      <c r="N2472" s="79">
        <v>15727</v>
      </c>
      <c r="O2472">
        <f t="shared" si="657"/>
        <v>2</v>
      </c>
      <c r="P2472" s="57">
        <f t="shared" si="658"/>
        <v>1</v>
      </c>
      <c r="Q2472" s="267">
        <f t="shared" si="659"/>
        <v>99920</v>
      </c>
      <c r="R2472" s="23" t="str">
        <f t="shared" si="660"/>
        <v/>
      </c>
      <c r="S2472" s="23">
        <f t="shared" si="661"/>
        <v>99920</v>
      </c>
      <c r="T2472" s="23" t="str">
        <f t="shared" si="662"/>
        <v/>
      </c>
      <c r="U2472" t="str">
        <f t="shared" si="663"/>
        <v/>
      </c>
      <c r="AF2472" s="22" t="str">
        <f t="shared" si="656"/>
        <v/>
      </c>
    </row>
    <row r="2473" spans="1:38" ht="14.4">
      <c r="A2473" t="str">
        <f t="shared" si="655"/>
        <v>CO_Larim_2020g~Larimer County Court Judge - Berenato (Vote For 1)</v>
      </c>
      <c r="B2473" s="79" t="s">
        <v>5642</v>
      </c>
      <c r="C2473" s="79" t="s">
        <v>5270</v>
      </c>
      <c r="D2473" s="79" t="s">
        <v>5270</v>
      </c>
      <c r="E2473" s="79" t="s">
        <v>1393</v>
      </c>
      <c r="F2473" s="79" t="s">
        <v>1508</v>
      </c>
      <c r="G2473" s="79">
        <v>138045</v>
      </c>
      <c r="H2473" s="79">
        <v>76.989999999999995</v>
      </c>
      <c r="I2473" s="79">
        <v>271328</v>
      </c>
      <c r="J2473" s="79">
        <v>226683</v>
      </c>
      <c r="K2473" s="79">
        <v>280</v>
      </c>
      <c r="L2473" s="79">
        <v>280</v>
      </c>
      <c r="M2473" s="79">
        <v>15</v>
      </c>
      <c r="N2473" s="79">
        <v>47363</v>
      </c>
      <c r="O2473">
        <f t="shared" si="657"/>
        <v>1</v>
      </c>
      <c r="P2473" s="57">
        <f t="shared" si="658"/>
        <v>1</v>
      </c>
      <c r="Q2473" s="267">
        <f t="shared" si="659"/>
        <v>179305</v>
      </c>
      <c r="R2473" s="23">
        <f t="shared" si="660"/>
        <v>138045</v>
      </c>
      <c r="S2473" s="23">
        <f t="shared" si="661"/>
        <v>41260</v>
      </c>
      <c r="T2473" s="23">
        <f t="shared" si="662"/>
        <v>96785</v>
      </c>
      <c r="U2473" t="str">
        <f t="shared" si="663"/>
        <v>CO_Larim_2020g~Larimer County Court Judge - Berenato (Vote For 1)</v>
      </c>
      <c r="AF2473" s="22" t="str">
        <f t="shared" si="656"/>
        <v/>
      </c>
    </row>
    <row r="2474" spans="1:38" ht="14.4">
      <c r="A2474" t="str">
        <f t="shared" si="655"/>
        <v>CO_Larim_2020g~Larimer County Court Judge - Berenato (Vote For 1)</v>
      </c>
      <c r="B2474" s="79" t="s">
        <v>5642</v>
      </c>
      <c r="C2474" s="79" t="s">
        <v>5270</v>
      </c>
      <c r="D2474" s="79" t="s">
        <v>5270</v>
      </c>
      <c r="E2474" s="79" t="s">
        <v>1394</v>
      </c>
      <c r="F2474" s="79" t="s">
        <v>1509</v>
      </c>
      <c r="G2474" s="79">
        <v>41260</v>
      </c>
      <c r="H2474" s="79">
        <v>23.01</v>
      </c>
      <c r="I2474" s="79">
        <v>271328</v>
      </c>
      <c r="J2474" s="79">
        <v>226683</v>
      </c>
      <c r="K2474" s="79">
        <v>280</v>
      </c>
      <c r="L2474" s="79">
        <v>280</v>
      </c>
      <c r="M2474" s="79">
        <v>15</v>
      </c>
      <c r="N2474" s="79">
        <v>47363</v>
      </c>
      <c r="O2474">
        <f t="shared" si="657"/>
        <v>2</v>
      </c>
      <c r="P2474" s="57">
        <f t="shared" si="658"/>
        <v>1</v>
      </c>
      <c r="Q2474" s="267">
        <f t="shared" si="659"/>
        <v>41260</v>
      </c>
      <c r="R2474" s="23" t="str">
        <f t="shared" si="660"/>
        <v/>
      </c>
      <c r="S2474" s="23">
        <f t="shared" si="661"/>
        <v>41260</v>
      </c>
      <c r="T2474" s="23" t="str">
        <f t="shared" si="662"/>
        <v/>
      </c>
      <c r="U2474" t="str">
        <f t="shared" si="663"/>
        <v/>
      </c>
      <c r="AF2474" s="22" t="str">
        <f t="shared" si="656"/>
        <v/>
      </c>
    </row>
    <row r="2475" spans="1:38" ht="14.4">
      <c r="A2475" t="str">
        <f t="shared" si="655"/>
        <v>CO_Larim_2020g~Larimer County Court Judge - Ecton (Vote For 1)</v>
      </c>
      <c r="B2475" s="79" t="s">
        <v>5642</v>
      </c>
      <c r="C2475" s="79" t="s">
        <v>5271</v>
      </c>
      <c r="D2475" s="79" t="s">
        <v>5271</v>
      </c>
      <c r="E2475" s="79" t="s">
        <v>1393</v>
      </c>
      <c r="F2475" s="79" t="s">
        <v>1508</v>
      </c>
      <c r="G2475" s="79">
        <v>133273</v>
      </c>
      <c r="H2475" s="79">
        <v>75.16</v>
      </c>
      <c r="I2475" s="79">
        <v>271328</v>
      </c>
      <c r="J2475" s="79">
        <v>226683</v>
      </c>
      <c r="K2475" s="79">
        <v>280</v>
      </c>
      <c r="L2475" s="79">
        <v>280</v>
      </c>
      <c r="M2475" s="79">
        <v>10</v>
      </c>
      <c r="N2475" s="79">
        <v>49358</v>
      </c>
      <c r="O2475">
        <f t="shared" si="657"/>
        <v>1</v>
      </c>
      <c r="P2475" s="57">
        <f t="shared" si="658"/>
        <v>1</v>
      </c>
      <c r="Q2475" s="267">
        <f t="shared" si="659"/>
        <v>177315</v>
      </c>
      <c r="R2475" s="23">
        <f t="shared" si="660"/>
        <v>133273</v>
      </c>
      <c r="S2475" s="23">
        <f t="shared" si="661"/>
        <v>44042</v>
      </c>
      <c r="T2475" s="23">
        <f t="shared" si="662"/>
        <v>89231</v>
      </c>
      <c r="U2475" t="str">
        <f t="shared" si="663"/>
        <v>CO_Larim_2020g~Larimer County Court Judge - Ecton (Vote For 1)</v>
      </c>
      <c r="AF2475" s="22" t="str">
        <f t="shared" si="656"/>
        <v/>
      </c>
    </row>
    <row r="2476" spans="1:38" ht="14.4">
      <c r="A2476" t="str">
        <f t="shared" si="655"/>
        <v>CO_Larim_2020g~Larimer County Court Judge - Ecton (Vote For 1)</v>
      </c>
      <c r="B2476" s="79" t="s">
        <v>5642</v>
      </c>
      <c r="C2476" s="79" t="s">
        <v>5271</v>
      </c>
      <c r="D2476" s="79" t="s">
        <v>5271</v>
      </c>
      <c r="E2476" s="79" t="s">
        <v>1394</v>
      </c>
      <c r="F2476" s="79" t="s">
        <v>1509</v>
      </c>
      <c r="G2476" s="79">
        <v>44042</v>
      </c>
      <c r="H2476" s="79">
        <v>24.84</v>
      </c>
      <c r="I2476" s="79">
        <v>271328</v>
      </c>
      <c r="J2476" s="79">
        <v>226683</v>
      </c>
      <c r="K2476" s="79">
        <v>280</v>
      </c>
      <c r="L2476" s="79">
        <v>280</v>
      </c>
      <c r="M2476" s="79">
        <v>10</v>
      </c>
      <c r="N2476" s="79">
        <v>49358</v>
      </c>
      <c r="O2476">
        <f t="shared" si="657"/>
        <v>2</v>
      </c>
      <c r="P2476" s="57">
        <f t="shared" si="658"/>
        <v>1</v>
      </c>
      <c r="Q2476" s="267">
        <f t="shared" si="659"/>
        <v>44042</v>
      </c>
      <c r="R2476" s="23" t="str">
        <f t="shared" si="660"/>
        <v/>
      </c>
      <c r="S2476" s="23">
        <f t="shared" si="661"/>
        <v>44042</v>
      </c>
      <c r="T2476" s="23" t="str">
        <f t="shared" si="662"/>
        <v/>
      </c>
      <c r="U2476" t="str">
        <f t="shared" si="663"/>
        <v/>
      </c>
      <c r="AF2476" s="22" t="str">
        <f t="shared" si="656"/>
        <v/>
      </c>
    </row>
    <row r="2477" spans="1:38" ht="14.4">
      <c r="A2477" t="str">
        <f t="shared" si="655"/>
        <v>CO_Larim_2020g~Larimer County Court Judge - Lehman (Vote For 1)</v>
      </c>
      <c r="B2477" s="79" t="s">
        <v>5642</v>
      </c>
      <c r="C2477" s="79" t="s">
        <v>5272</v>
      </c>
      <c r="D2477" s="79" t="s">
        <v>5272</v>
      </c>
      <c r="E2477" s="79" t="s">
        <v>1393</v>
      </c>
      <c r="F2477" s="79" t="s">
        <v>1508</v>
      </c>
      <c r="G2477" s="79">
        <v>139207</v>
      </c>
      <c r="H2477" s="79">
        <v>78.349999999999994</v>
      </c>
      <c r="I2477" s="79">
        <v>271328</v>
      </c>
      <c r="J2477" s="79">
        <v>226683</v>
      </c>
      <c r="K2477" s="79">
        <v>280</v>
      </c>
      <c r="L2477" s="79">
        <v>280</v>
      </c>
      <c r="M2477" s="79">
        <v>6</v>
      </c>
      <c r="N2477" s="79">
        <v>49011</v>
      </c>
      <c r="O2477">
        <f t="shared" si="657"/>
        <v>1</v>
      </c>
      <c r="P2477" s="57">
        <f t="shared" si="658"/>
        <v>1</v>
      </c>
      <c r="Q2477" s="267">
        <f t="shared" si="659"/>
        <v>177666</v>
      </c>
      <c r="R2477" s="23">
        <f t="shared" si="660"/>
        <v>139207</v>
      </c>
      <c r="S2477" s="23">
        <f t="shared" si="661"/>
        <v>38459</v>
      </c>
      <c r="T2477" s="23">
        <f t="shared" si="662"/>
        <v>100748</v>
      </c>
      <c r="U2477" t="str">
        <f t="shared" si="663"/>
        <v>CO_Larim_2020g~Larimer County Court Judge - Lehman (Vote For 1)</v>
      </c>
      <c r="AF2477" s="22" t="str">
        <f t="shared" si="656"/>
        <v/>
      </c>
      <c r="AL2477" s="23"/>
    </row>
    <row r="2478" spans="1:38" ht="14.4">
      <c r="A2478" t="str">
        <f t="shared" si="655"/>
        <v>CO_Larim_2020g~Larimer County Court Judge - Lehman (Vote For 1)</v>
      </c>
      <c r="B2478" s="79" t="s">
        <v>5642</v>
      </c>
      <c r="C2478" s="79" t="s">
        <v>5272</v>
      </c>
      <c r="D2478" s="79" t="s">
        <v>5272</v>
      </c>
      <c r="E2478" s="79" t="s">
        <v>1394</v>
      </c>
      <c r="F2478" s="79" t="s">
        <v>1509</v>
      </c>
      <c r="G2478" s="79">
        <v>38459</v>
      </c>
      <c r="H2478" s="79">
        <v>21.65</v>
      </c>
      <c r="I2478" s="79">
        <v>271328</v>
      </c>
      <c r="J2478" s="79">
        <v>226683</v>
      </c>
      <c r="K2478" s="79">
        <v>280</v>
      </c>
      <c r="L2478" s="79">
        <v>280</v>
      </c>
      <c r="M2478" s="79">
        <v>6</v>
      </c>
      <c r="N2478" s="79">
        <v>49011</v>
      </c>
      <c r="O2478">
        <f t="shared" si="657"/>
        <v>2</v>
      </c>
      <c r="P2478" s="57">
        <f t="shared" si="658"/>
        <v>1</v>
      </c>
      <c r="Q2478" s="267">
        <f t="shared" si="659"/>
        <v>38459</v>
      </c>
      <c r="R2478" s="23" t="str">
        <f t="shared" si="660"/>
        <v/>
      </c>
      <c r="S2478" s="23">
        <f t="shared" si="661"/>
        <v>38459</v>
      </c>
      <c r="T2478" s="23" t="str">
        <f t="shared" si="662"/>
        <v/>
      </c>
      <c r="U2478" t="str">
        <f t="shared" si="663"/>
        <v/>
      </c>
      <c r="AF2478" s="22" t="str">
        <f t="shared" si="656"/>
        <v/>
      </c>
      <c r="AH2478" s="8"/>
    </row>
    <row r="2479" spans="1:38" ht="14.4">
      <c r="A2479" t="str">
        <f t="shared" si="655"/>
        <v>CO_Larim_2020g~Larimer County Crystal View Public Improvement District No. 69 Ballot Issue 6I (Vote For 1)</v>
      </c>
      <c r="B2479" s="79" t="s">
        <v>5642</v>
      </c>
      <c r="C2479" s="79" t="s">
        <v>5473</v>
      </c>
      <c r="D2479" s="79" t="s">
        <v>5473</v>
      </c>
      <c r="E2479" s="79" t="s">
        <v>5274</v>
      </c>
      <c r="F2479" s="79" t="s">
        <v>1508</v>
      </c>
      <c r="G2479" s="79">
        <v>42</v>
      </c>
      <c r="H2479" s="79">
        <v>60.87</v>
      </c>
      <c r="I2479" s="79">
        <v>80</v>
      </c>
      <c r="J2479" s="79">
        <v>78</v>
      </c>
      <c r="K2479" s="79">
        <v>2</v>
      </c>
      <c r="L2479" s="79">
        <v>2</v>
      </c>
      <c r="M2479" s="79">
        <v>0</v>
      </c>
      <c r="N2479" s="79">
        <v>9</v>
      </c>
      <c r="O2479">
        <f t="shared" si="657"/>
        <v>1</v>
      </c>
      <c r="P2479" s="57">
        <f t="shared" si="658"/>
        <v>1</v>
      </c>
      <c r="Q2479" s="267">
        <f t="shared" si="659"/>
        <v>69</v>
      </c>
      <c r="R2479" s="23">
        <f t="shared" si="660"/>
        <v>42</v>
      </c>
      <c r="S2479" s="23">
        <f t="shared" si="661"/>
        <v>27</v>
      </c>
      <c r="T2479" s="23">
        <f t="shared" si="662"/>
        <v>15</v>
      </c>
      <c r="U2479" t="str">
        <f t="shared" si="663"/>
        <v>CO_Larim_2020g~Larimer County Crystal View Public Improvement District No. 69 Ballot Issue 6I (Vote For 1)</v>
      </c>
      <c r="AF2479" s="22" t="str">
        <f t="shared" si="656"/>
        <v/>
      </c>
    </row>
    <row r="2480" spans="1:38" ht="14.4">
      <c r="A2480" t="str">
        <f t="shared" si="655"/>
        <v>CO_Larim_2020g~Larimer County Crystal View Public Improvement District No. 69 Ballot Issue 6I (Vote For 1)</v>
      </c>
      <c r="B2480" s="79" t="s">
        <v>5642</v>
      </c>
      <c r="C2480" s="79" t="s">
        <v>5473</v>
      </c>
      <c r="D2480" s="79" t="s">
        <v>5473</v>
      </c>
      <c r="E2480" s="79" t="s">
        <v>5275</v>
      </c>
      <c r="F2480" s="79" t="s">
        <v>1509</v>
      </c>
      <c r="G2480" s="79">
        <v>27</v>
      </c>
      <c r="H2480" s="79">
        <v>39.130000000000003</v>
      </c>
      <c r="I2480" s="79">
        <v>80</v>
      </c>
      <c r="J2480" s="79">
        <v>78</v>
      </c>
      <c r="K2480" s="79">
        <v>2</v>
      </c>
      <c r="L2480" s="79">
        <v>2</v>
      </c>
      <c r="M2480" s="79">
        <v>0</v>
      </c>
      <c r="N2480" s="79">
        <v>9</v>
      </c>
      <c r="O2480">
        <f t="shared" si="657"/>
        <v>2</v>
      </c>
      <c r="P2480" s="57">
        <f t="shared" si="658"/>
        <v>1</v>
      </c>
      <c r="Q2480" s="267">
        <f t="shared" si="659"/>
        <v>27</v>
      </c>
      <c r="R2480" s="23" t="str">
        <f t="shared" si="660"/>
        <v/>
      </c>
      <c r="S2480" s="23">
        <f t="shared" si="661"/>
        <v>27</v>
      </c>
      <c r="T2480" s="23" t="str">
        <f t="shared" si="662"/>
        <v/>
      </c>
      <c r="U2480" t="str">
        <f t="shared" si="663"/>
        <v/>
      </c>
      <c r="AF2480" s="22" t="str">
        <f t="shared" si="656"/>
        <v/>
      </c>
    </row>
    <row r="2481" spans="1:45" ht="14.4">
      <c r="A2481" t="str">
        <f t="shared" si="655"/>
        <v>CO_Larim_2020g~Larimer County Glenn Ridge Estates Public Improvement District No. 72 Ballot Issue 6D (Vote For 1)</v>
      </c>
      <c r="B2481" s="79" t="s">
        <v>5642</v>
      </c>
      <c r="C2481" s="79" t="s">
        <v>5474</v>
      </c>
      <c r="D2481" s="79" t="s">
        <v>5474</v>
      </c>
      <c r="E2481" s="79" t="s">
        <v>5274</v>
      </c>
      <c r="F2481" s="79" t="s">
        <v>1508</v>
      </c>
      <c r="G2481" s="79">
        <v>18</v>
      </c>
      <c r="H2481" s="79">
        <v>50</v>
      </c>
      <c r="I2481" s="79">
        <v>39</v>
      </c>
      <c r="J2481" s="79">
        <v>36</v>
      </c>
      <c r="K2481" s="79">
        <v>2</v>
      </c>
      <c r="L2481" s="79">
        <v>2</v>
      </c>
      <c r="M2481" s="79">
        <v>0</v>
      </c>
      <c r="N2481" s="79">
        <v>0</v>
      </c>
      <c r="O2481">
        <f t="shared" si="657"/>
        <v>1</v>
      </c>
      <c r="P2481" s="57">
        <f t="shared" si="658"/>
        <v>1</v>
      </c>
      <c r="Q2481" s="267">
        <f t="shared" si="659"/>
        <v>36</v>
      </c>
      <c r="R2481" s="23">
        <f t="shared" si="660"/>
        <v>18</v>
      </c>
      <c r="S2481" s="23">
        <f t="shared" si="661"/>
        <v>18</v>
      </c>
      <c r="T2481" s="23">
        <f t="shared" si="662"/>
        <v>0</v>
      </c>
      <c r="U2481" t="str">
        <f t="shared" si="663"/>
        <v>CO_Larim_2020g~Larimer County Glenn Ridge Estates Public Improvement District No. 72 Ballot Issue 6D (Vote For 1)</v>
      </c>
      <c r="AF2481" s="22" t="str">
        <f t="shared" si="656"/>
        <v/>
      </c>
      <c r="AL2481" s="23"/>
    </row>
    <row r="2482" spans="1:45" ht="14.4">
      <c r="A2482" t="str">
        <f t="shared" ref="A2482:A2545" si="664">CONCATENATE(B2482,"~",D2482)</f>
        <v>CO_Larim_2020g~Larimer County Glenn Ridge Estates Public Improvement District No. 72 Ballot Issue 6D (Vote For 1)</v>
      </c>
      <c r="B2482" s="79" t="s">
        <v>5642</v>
      </c>
      <c r="C2482" s="79" t="s">
        <v>5474</v>
      </c>
      <c r="D2482" s="79" t="s">
        <v>5474</v>
      </c>
      <c r="E2482" s="79" t="s">
        <v>5275</v>
      </c>
      <c r="F2482" s="79" t="s">
        <v>1509</v>
      </c>
      <c r="G2482" s="79">
        <v>18</v>
      </c>
      <c r="H2482" s="79">
        <v>50</v>
      </c>
      <c r="I2482" s="79">
        <v>39</v>
      </c>
      <c r="J2482" s="79">
        <v>36</v>
      </c>
      <c r="K2482" s="79">
        <v>2</v>
      </c>
      <c r="L2482" s="79">
        <v>2</v>
      </c>
      <c r="M2482" s="79">
        <v>0</v>
      </c>
      <c r="N2482" s="79">
        <v>0</v>
      </c>
      <c r="O2482">
        <f t="shared" si="657"/>
        <v>2</v>
      </c>
      <c r="P2482" s="57">
        <f t="shared" si="658"/>
        <v>1</v>
      </c>
      <c r="Q2482" s="267">
        <f t="shared" si="659"/>
        <v>18</v>
      </c>
      <c r="R2482" s="23" t="str">
        <f t="shared" si="660"/>
        <v/>
      </c>
      <c r="S2482" s="23">
        <f t="shared" si="661"/>
        <v>18</v>
      </c>
      <c r="T2482" s="23" t="str">
        <f t="shared" si="662"/>
        <v/>
      </c>
      <c r="U2482" t="str">
        <f t="shared" si="663"/>
        <v/>
      </c>
      <c r="AF2482" s="22" t="str">
        <f t="shared" si="656"/>
        <v/>
      </c>
      <c r="AL2482" s="23"/>
    </row>
    <row r="2483" spans="1:45" ht="14.4">
      <c r="A2483" t="str">
        <f t="shared" si="664"/>
        <v>CO_Larim_2020g~Larimer County Meadows at Rolling Hills Public Improvement District No. 73 Ballot Issue 6H (Vote For 1)</v>
      </c>
      <c r="B2483" s="79" t="s">
        <v>5642</v>
      </c>
      <c r="C2483" s="79" t="s">
        <v>5475</v>
      </c>
      <c r="D2483" s="79" t="s">
        <v>5475</v>
      </c>
      <c r="E2483" s="79" t="s">
        <v>5274</v>
      </c>
      <c r="F2483" s="79" t="s">
        <v>1508</v>
      </c>
      <c r="G2483" s="79">
        <v>24</v>
      </c>
      <c r="H2483" s="79">
        <v>100</v>
      </c>
      <c r="I2483" s="79">
        <v>24</v>
      </c>
      <c r="J2483" s="79">
        <v>24</v>
      </c>
      <c r="K2483" s="79">
        <v>2</v>
      </c>
      <c r="L2483" s="79">
        <v>2</v>
      </c>
      <c r="M2483" s="79">
        <v>0</v>
      </c>
      <c r="N2483" s="79">
        <v>0</v>
      </c>
      <c r="O2483">
        <f t="shared" si="657"/>
        <v>1</v>
      </c>
      <c r="P2483" s="57">
        <f t="shared" si="658"/>
        <v>1</v>
      </c>
      <c r="Q2483" s="267">
        <f t="shared" si="659"/>
        <v>24</v>
      </c>
      <c r="R2483" s="23">
        <f t="shared" si="660"/>
        <v>24</v>
      </c>
      <c r="S2483" s="23">
        <f t="shared" si="661"/>
        <v>0</v>
      </c>
      <c r="T2483" s="23" t="str">
        <f t="shared" si="662"/>
        <v/>
      </c>
      <c r="U2483" t="str">
        <f t="shared" si="663"/>
        <v>CO_Larim_2020g~Larimer County Meadows at Rolling Hills Public Improvement District No. 73 Ballot Issue 6H (Vote For 1)</v>
      </c>
      <c r="AF2483" s="22" t="str">
        <f t="shared" si="656"/>
        <v/>
      </c>
    </row>
    <row r="2484" spans="1:45" ht="14.4">
      <c r="A2484" t="str">
        <f t="shared" si="664"/>
        <v>CO_Larim_2020g~Larimer County Meadows at Rolling Hills Public Improvement District No. 73 Ballot Issue 6H (Vote For 1)</v>
      </c>
      <c r="B2484" s="79" t="s">
        <v>5642</v>
      </c>
      <c r="C2484" s="79" t="s">
        <v>5475</v>
      </c>
      <c r="D2484" s="79" t="s">
        <v>5475</v>
      </c>
      <c r="E2484" s="79" t="s">
        <v>5275</v>
      </c>
      <c r="F2484" s="79" t="s">
        <v>1509</v>
      </c>
      <c r="G2484" s="79">
        <v>0</v>
      </c>
      <c r="H2484" s="79">
        <v>0</v>
      </c>
      <c r="I2484" s="79">
        <v>24</v>
      </c>
      <c r="J2484" s="79">
        <v>24</v>
      </c>
      <c r="K2484" s="79">
        <v>2</v>
      </c>
      <c r="L2484" s="79">
        <v>2</v>
      </c>
      <c r="M2484" s="79">
        <v>0</v>
      </c>
      <c r="N2484" s="79">
        <v>0</v>
      </c>
      <c r="O2484">
        <f t="shared" si="657"/>
        <v>2</v>
      </c>
      <c r="P2484" s="57">
        <f t="shared" si="658"/>
        <v>1</v>
      </c>
      <c r="Q2484" s="267">
        <f t="shared" si="659"/>
        <v>0</v>
      </c>
      <c r="R2484" s="23" t="str">
        <f t="shared" si="660"/>
        <v/>
      </c>
      <c r="S2484" s="23">
        <f t="shared" si="661"/>
        <v>0</v>
      </c>
      <c r="T2484" s="23" t="str">
        <f t="shared" si="662"/>
        <v/>
      </c>
      <c r="U2484" t="str">
        <f t="shared" si="663"/>
        <v/>
      </c>
      <c r="AF2484" s="22" t="str">
        <f t="shared" si="656"/>
        <v/>
      </c>
    </row>
    <row r="2485" spans="1:45" ht="14.4">
      <c r="A2485" t="str">
        <f t="shared" si="664"/>
        <v>CO_Larim_2020g~Larimer County Rockview Wildflower Ridge Public Improvement District No. 71 Ballot Issue 6F (Vote For 1)</v>
      </c>
      <c r="B2485" s="79" t="s">
        <v>5642</v>
      </c>
      <c r="C2485" s="79" t="s">
        <v>5476</v>
      </c>
      <c r="D2485" s="79" t="s">
        <v>5476</v>
      </c>
      <c r="E2485" s="79" t="s">
        <v>5274</v>
      </c>
      <c r="F2485" s="79" t="s">
        <v>1508</v>
      </c>
      <c r="G2485" s="79">
        <v>68</v>
      </c>
      <c r="H2485" s="79">
        <v>69.39</v>
      </c>
      <c r="I2485" s="79">
        <v>98</v>
      </c>
      <c r="J2485" s="79">
        <v>100</v>
      </c>
      <c r="K2485" s="79">
        <v>2</v>
      </c>
      <c r="L2485" s="79">
        <v>2</v>
      </c>
      <c r="M2485" s="79">
        <v>0</v>
      </c>
      <c r="N2485" s="79">
        <v>2</v>
      </c>
      <c r="O2485">
        <f t="shared" si="657"/>
        <v>1</v>
      </c>
      <c r="P2485" s="57">
        <f t="shared" si="658"/>
        <v>1</v>
      </c>
      <c r="Q2485" s="267">
        <f t="shared" si="659"/>
        <v>98</v>
      </c>
      <c r="R2485" s="23">
        <f t="shared" si="660"/>
        <v>68</v>
      </c>
      <c r="S2485" s="23">
        <f t="shared" si="661"/>
        <v>30</v>
      </c>
      <c r="T2485" s="23">
        <f t="shared" si="662"/>
        <v>38</v>
      </c>
      <c r="U2485" t="str">
        <f t="shared" si="663"/>
        <v>CO_Larim_2020g~Larimer County Rockview Wildflower Ridge Public Improvement District No. 71 Ballot Issue 6F (Vote For 1)</v>
      </c>
      <c r="AF2485" s="22" t="str">
        <f t="shared" si="656"/>
        <v/>
      </c>
    </row>
    <row r="2486" spans="1:45" ht="14.4">
      <c r="A2486" t="str">
        <f t="shared" si="664"/>
        <v>CO_Larim_2020g~Larimer County Rockview Wildflower Ridge Public Improvement District No. 71 Ballot Issue 6F (Vote For 1)</v>
      </c>
      <c r="B2486" s="79" t="s">
        <v>5642</v>
      </c>
      <c r="C2486" s="79" t="s">
        <v>5476</v>
      </c>
      <c r="D2486" s="79" t="s">
        <v>5476</v>
      </c>
      <c r="E2486" s="79" t="s">
        <v>5275</v>
      </c>
      <c r="F2486" s="79" t="s">
        <v>1509</v>
      </c>
      <c r="G2486" s="79">
        <v>30</v>
      </c>
      <c r="H2486" s="79">
        <v>30.61</v>
      </c>
      <c r="I2486" s="79">
        <v>98</v>
      </c>
      <c r="J2486" s="79">
        <v>100</v>
      </c>
      <c r="K2486" s="79">
        <v>2</v>
      </c>
      <c r="L2486" s="79">
        <v>2</v>
      </c>
      <c r="M2486" s="79">
        <v>0</v>
      </c>
      <c r="N2486" s="79">
        <v>2</v>
      </c>
      <c r="O2486">
        <f t="shared" si="657"/>
        <v>2</v>
      </c>
      <c r="P2486" s="57">
        <f t="shared" si="658"/>
        <v>1</v>
      </c>
      <c r="Q2486" s="267">
        <f t="shared" si="659"/>
        <v>30</v>
      </c>
      <c r="R2486" s="23" t="str">
        <f t="shared" si="660"/>
        <v/>
      </c>
      <c r="S2486" s="23">
        <f t="shared" si="661"/>
        <v>30</v>
      </c>
      <c r="T2486" s="23" t="str">
        <f t="shared" si="662"/>
        <v/>
      </c>
      <c r="U2486" t="str">
        <f t="shared" si="663"/>
        <v/>
      </c>
      <c r="AF2486" s="22" t="str">
        <f t="shared" ref="AF2486:AF2549" si="665">LEFT(AL2215,14)</f>
        <v/>
      </c>
      <c r="AO2486" s="356"/>
      <c r="AP2486" s="356"/>
      <c r="AQ2486" s="394"/>
      <c r="AR2486" s="394"/>
      <c r="AS2486" s="394"/>
    </row>
    <row r="2487" spans="1:45" ht="14.4">
      <c r="A2487" t="str">
        <f t="shared" si="664"/>
        <v>CO_Larim_2020g~Larimer County Trappers Point Public Improvement District No. 70 Ballot Issue 6E (Vote For 1)</v>
      </c>
      <c r="B2487" s="79" t="s">
        <v>5642</v>
      </c>
      <c r="C2487" s="79" t="s">
        <v>5477</v>
      </c>
      <c r="D2487" s="79" t="s">
        <v>5477</v>
      </c>
      <c r="E2487" s="79" t="s">
        <v>5274</v>
      </c>
      <c r="F2487" s="79" t="s">
        <v>1508</v>
      </c>
      <c r="G2487" s="79">
        <v>51</v>
      </c>
      <c r="H2487" s="79">
        <v>69.86</v>
      </c>
      <c r="I2487" s="79">
        <v>88</v>
      </c>
      <c r="J2487" s="79">
        <v>77</v>
      </c>
      <c r="K2487" s="79">
        <v>2</v>
      </c>
      <c r="L2487" s="79">
        <v>2</v>
      </c>
      <c r="M2487" s="79">
        <v>0</v>
      </c>
      <c r="N2487" s="79">
        <v>4</v>
      </c>
      <c r="O2487">
        <f t="shared" si="657"/>
        <v>1</v>
      </c>
      <c r="P2487" s="57">
        <f t="shared" si="658"/>
        <v>1</v>
      </c>
      <c r="Q2487" s="267">
        <f t="shared" si="659"/>
        <v>73</v>
      </c>
      <c r="R2487" s="23">
        <f t="shared" si="660"/>
        <v>51</v>
      </c>
      <c r="S2487" s="23">
        <f t="shared" si="661"/>
        <v>22</v>
      </c>
      <c r="T2487" s="23">
        <f t="shared" si="662"/>
        <v>29</v>
      </c>
      <c r="U2487" t="str">
        <f t="shared" si="663"/>
        <v>CO_Larim_2020g~Larimer County Trappers Point Public Improvement District No. 70 Ballot Issue 6E (Vote For 1)</v>
      </c>
      <c r="AF2487" s="22" t="str">
        <f t="shared" si="665"/>
        <v/>
      </c>
    </row>
    <row r="2488" spans="1:45" ht="14.4">
      <c r="A2488" t="str">
        <f t="shared" si="664"/>
        <v>CO_Larim_2020g~Larimer County Trappers Point Public Improvement District No. 70 Ballot Issue 6E (Vote For 1)</v>
      </c>
      <c r="B2488" s="79" t="s">
        <v>5642</v>
      </c>
      <c r="C2488" s="79" t="s">
        <v>5477</v>
      </c>
      <c r="D2488" s="79" t="s">
        <v>5477</v>
      </c>
      <c r="E2488" s="79" t="s">
        <v>5275</v>
      </c>
      <c r="F2488" s="79" t="s">
        <v>1509</v>
      </c>
      <c r="G2488" s="79">
        <v>22</v>
      </c>
      <c r="H2488" s="79">
        <v>30.14</v>
      </c>
      <c r="I2488" s="79">
        <v>88</v>
      </c>
      <c r="J2488" s="79">
        <v>77</v>
      </c>
      <c r="K2488" s="79">
        <v>2</v>
      </c>
      <c r="L2488" s="79">
        <v>2</v>
      </c>
      <c r="M2488" s="79">
        <v>0</v>
      </c>
      <c r="N2488" s="79">
        <v>4</v>
      </c>
      <c r="O2488">
        <f t="shared" si="657"/>
        <v>2</v>
      </c>
      <c r="P2488" s="57">
        <f t="shared" si="658"/>
        <v>1</v>
      </c>
      <c r="Q2488" s="267">
        <f t="shared" si="659"/>
        <v>22</v>
      </c>
      <c r="R2488" s="23" t="str">
        <f t="shared" si="660"/>
        <v/>
      </c>
      <c r="S2488" s="23">
        <f t="shared" si="661"/>
        <v>22</v>
      </c>
      <c r="T2488" s="23" t="str">
        <f t="shared" si="662"/>
        <v/>
      </c>
      <c r="U2488" t="str">
        <f t="shared" si="663"/>
        <v/>
      </c>
      <c r="AF2488" s="22" t="str">
        <f t="shared" si="665"/>
        <v/>
      </c>
    </row>
    <row r="2489" spans="1:45" ht="14.4">
      <c r="A2489" t="str">
        <f t="shared" si="664"/>
        <v>CO_Larim_2020g~Larimer County Vine Drive Public Improvement District No. 29 Ballot Issue 6G (Vote For 1)</v>
      </c>
      <c r="B2489" s="79" t="s">
        <v>5642</v>
      </c>
      <c r="C2489" s="79" t="s">
        <v>5478</v>
      </c>
      <c r="D2489" s="79" t="s">
        <v>5478</v>
      </c>
      <c r="E2489" s="79" t="s">
        <v>5275</v>
      </c>
      <c r="F2489" s="79" t="s">
        <v>1509</v>
      </c>
      <c r="G2489" s="79">
        <v>37</v>
      </c>
      <c r="H2489" s="79">
        <v>52.11</v>
      </c>
      <c r="I2489" s="79">
        <v>102</v>
      </c>
      <c r="J2489" s="79">
        <v>79</v>
      </c>
      <c r="K2489" s="79">
        <v>2</v>
      </c>
      <c r="L2489" s="79">
        <v>2</v>
      </c>
      <c r="M2489" s="79">
        <v>0</v>
      </c>
      <c r="N2489" s="79">
        <v>8</v>
      </c>
      <c r="O2489">
        <f t="shared" si="657"/>
        <v>1</v>
      </c>
      <c r="P2489" s="57">
        <f t="shared" si="658"/>
        <v>1</v>
      </c>
      <c r="Q2489" s="267">
        <f t="shared" si="659"/>
        <v>71</v>
      </c>
      <c r="R2489" s="23">
        <f t="shared" si="660"/>
        <v>37</v>
      </c>
      <c r="S2489" s="23">
        <f t="shared" si="661"/>
        <v>34</v>
      </c>
      <c r="T2489" s="23">
        <f t="shared" si="662"/>
        <v>3</v>
      </c>
      <c r="U2489" t="str">
        <f t="shared" si="663"/>
        <v>CO_Larim_2020g~Larimer County Vine Drive Public Improvement District No. 29 Ballot Issue 6G (Vote For 1)</v>
      </c>
      <c r="AF2489" s="22" t="str">
        <f t="shared" si="665"/>
        <v/>
      </c>
    </row>
    <row r="2490" spans="1:45" ht="14.4">
      <c r="A2490" t="str">
        <f t="shared" si="664"/>
        <v>CO_Larim_2020g~Larimer County Vine Drive Public Improvement District No. 29 Ballot Issue 6G (Vote For 1)</v>
      </c>
      <c r="B2490" s="79" t="s">
        <v>5642</v>
      </c>
      <c r="C2490" s="79" t="s">
        <v>5478</v>
      </c>
      <c r="D2490" s="79" t="s">
        <v>5478</v>
      </c>
      <c r="E2490" s="79" t="s">
        <v>5274</v>
      </c>
      <c r="F2490" s="79" t="s">
        <v>1508</v>
      </c>
      <c r="G2490" s="79">
        <v>34</v>
      </c>
      <c r="H2490" s="79">
        <v>47.89</v>
      </c>
      <c r="I2490" s="79">
        <v>102</v>
      </c>
      <c r="J2490" s="79">
        <v>79</v>
      </c>
      <c r="K2490" s="79">
        <v>2</v>
      </c>
      <c r="L2490" s="79">
        <v>2</v>
      </c>
      <c r="M2490" s="79">
        <v>0</v>
      </c>
      <c r="N2490" s="79">
        <v>8</v>
      </c>
      <c r="O2490">
        <f t="shared" si="657"/>
        <v>2</v>
      </c>
      <c r="P2490" s="57">
        <f t="shared" si="658"/>
        <v>1</v>
      </c>
      <c r="Q2490" s="267">
        <f t="shared" si="659"/>
        <v>34</v>
      </c>
      <c r="R2490" s="23" t="str">
        <f t="shared" si="660"/>
        <v/>
      </c>
      <c r="S2490" s="23">
        <f t="shared" si="661"/>
        <v>34</v>
      </c>
      <c r="T2490" s="23" t="str">
        <f t="shared" si="662"/>
        <v/>
      </c>
      <c r="U2490" t="str">
        <f t="shared" si="663"/>
        <v/>
      </c>
      <c r="AF2490" s="22" t="str">
        <f t="shared" si="665"/>
        <v/>
      </c>
    </row>
    <row r="2491" spans="1:45" ht="14.4">
      <c r="A2491" t="str">
        <f t="shared" si="664"/>
        <v>CO_Larim_2020g~Loveland Rural Fire Protection District Ballot Issue 6A (Vote For 1)</v>
      </c>
      <c r="B2491" s="79" t="s">
        <v>5642</v>
      </c>
      <c r="C2491" s="79" t="s">
        <v>5480</v>
      </c>
      <c r="D2491" s="79" t="s">
        <v>5480</v>
      </c>
      <c r="E2491" s="79" t="s">
        <v>5274</v>
      </c>
      <c r="F2491" s="79" t="s">
        <v>1508</v>
      </c>
      <c r="G2491" s="79">
        <v>11930</v>
      </c>
      <c r="H2491" s="79">
        <v>85.71</v>
      </c>
      <c r="I2491" s="79">
        <v>16999</v>
      </c>
      <c r="J2491" s="79">
        <v>14564</v>
      </c>
      <c r="K2491" s="79">
        <v>46</v>
      </c>
      <c r="L2491" s="79">
        <v>46</v>
      </c>
      <c r="M2491" s="79">
        <v>1</v>
      </c>
      <c r="N2491" s="79">
        <v>644</v>
      </c>
      <c r="O2491">
        <f t="shared" si="657"/>
        <v>1</v>
      </c>
      <c r="P2491" s="57">
        <f t="shared" si="658"/>
        <v>1</v>
      </c>
      <c r="Q2491" s="267">
        <f t="shared" si="659"/>
        <v>13919</v>
      </c>
      <c r="R2491" s="23">
        <f t="shared" si="660"/>
        <v>11930</v>
      </c>
      <c r="S2491" s="23">
        <f t="shared" si="661"/>
        <v>1989</v>
      </c>
      <c r="T2491" s="23">
        <f t="shared" si="662"/>
        <v>9941</v>
      </c>
      <c r="U2491" t="str">
        <f t="shared" si="663"/>
        <v>CO_Larim_2020g~Loveland Rural Fire Protection District Ballot Issue 6A (Vote For 1)</v>
      </c>
      <c r="AF2491" s="22" t="str">
        <f t="shared" si="665"/>
        <v/>
      </c>
    </row>
    <row r="2492" spans="1:45" ht="14.4">
      <c r="A2492" t="str">
        <f t="shared" si="664"/>
        <v>CO_Larim_2020g~Loveland Rural Fire Protection District Ballot Issue 6A (Vote For 1)</v>
      </c>
      <c r="B2492" s="79" t="s">
        <v>5642</v>
      </c>
      <c r="C2492" s="79" t="s">
        <v>5480</v>
      </c>
      <c r="D2492" s="79" t="s">
        <v>5480</v>
      </c>
      <c r="E2492" s="79" t="s">
        <v>5275</v>
      </c>
      <c r="F2492" s="79" t="s">
        <v>1509</v>
      </c>
      <c r="G2492" s="79">
        <v>1989</v>
      </c>
      <c r="H2492" s="79">
        <v>14.29</v>
      </c>
      <c r="I2492" s="79">
        <v>16999</v>
      </c>
      <c r="J2492" s="79">
        <v>14564</v>
      </c>
      <c r="K2492" s="79">
        <v>46</v>
      </c>
      <c r="L2492" s="79">
        <v>46</v>
      </c>
      <c r="M2492" s="79">
        <v>1</v>
      </c>
      <c r="N2492" s="79">
        <v>644</v>
      </c>
      <c r="O2492">
        <f t="shared" si="657"/>
        <v>2</v>
      </c>
      <c r="P2492" s="57">
        <f t="shared" si="658"/>
        <v>1</v>
      </c>
      <c r="Q2492" s="267">
        <f t="shared" si="659"/>
        <v>1989</v>
      </c>
      <c r="R2492" s="23" t="str">
        <f t="shared" si="660"/>
        <v/>
      </c>
      <c r="S2492" s="23">
        <f t="shared" si="661"/>
        <v>1989</v>
      </c>
      <c r="T2492" s="23" t="str">
        <f t="shared" si="662"/>
        <v/>
      </c>
      <c r="U2492" t="str">
        <f t="shared" si="663"/>
        <v/>
      </c>
      <c r="AF2492" s="22" t="str">
        <f t="shared" si="665"/>
        <v/>
      </c>
    </row>
    <row r="2493" spans="1:45" ht="14.4">
      <c r="A2493" t="str">
        <f t="shared" si="664"/>
        <v>CO_Larim_2020g~Loveland Rural Fire Protection District Ballot Issue 6B (Vote For 1)</v>
      </c>
      <c r="B2493" s="79" t="s">
        <v>5642</v>
      </c>
      <c r="C2493" s="79" t="s">
        <v>5481</v>
      </c>
      <c r="D2493" s="79" t="s">
        <v>5481</v>
      </c>
      <c r="E2493" s="79" t="s">
        <v>5274</v>
      </c>
      <c r="F2493" s="79" t="s">
        <v>1508</v>
      </c>
      <c r="G2493" s="79">
        <v>9673</v>
      </c>
      <c r="H2493" s="79">
        <v>69.84</v>
      </c>
      <c r="I2493" s="79">
        <v>16999</v>
      </c>
      <c r="J2493" s="79">
        <v>14564</v>
      </c>
      <c r="K2493" s="79">
        <v>46</v>
      </c>
      <c r="L2493" s="79">
        <v>46</v>
      </c>
      <c r="M2493" s="79">
        <v>1</v>
      </c>
      <c r="N2493" s="79">
        <v>713</v>
      </c>
      <c r="O2493">
        <f t="shared" si="657"/>
        <v>1</v>
      </c>
      <c r="P2493" s="57">
        <f t="shared" si="658"/>
        <v>1</v>
      </c>
      <c r="Q2493" s="267">
        <f t="shared" si="659"/>
        <v>13850</v>
      </c>
      <c r="R2493" s="23">
        <f t="shared" si="660"/>
        <v>9673</v>
      </c>
      <c r="S2493" s="23">
        <f t="shared" si="661"/>
        <v>4177</v>
      </c>
      <c r="T2493" s="23">
        <f t="shared" si="662"/>
        <v>5496</v>
      </c>
      <c r="U2493" t="str">
        <f t="shared" si="663"/>
        <v>CO_Larim_2020g~Loveland Rural Fire Protection District Ballot Issue 6B (Vote For 1)</v>
      </c>
      <c r="AF2493" s="22" t="str">
        <f t="shared" si="665"/>
        <v/>
      </c>
    </row>
    <row r="2494" spans="1:45" ht="14.4">
      <c r="A2494" t="str">
        <f t="shared" si="664"/>
        <v>CO_Larim_2020g~Loveland Rural Fire Protection District Ballot Issue 6B (Vote For 1)</v>
      </c>
      <c r="B2494" s="79" t="s">
        <v>5642</v>
      </c>
      <c r="C2494" s="79" t="s">
        <v>5481</v>
      </c>
      <c r="D2494" s="79" t="s">
        <v>5481</v>
      </c>
      <c r="E2494" s="79" t="s">
        <v>5275</v>
      </c>
      <c r="F2494" s="79" t="s">
        <v>1509</v>
      </c>
      <c r="G2494" s="79">
        <v>4177</v>
      </c>
      <c r="H2494" s="79">
        <v>30.16</v>
      </c>
      <c r="I2494" s="79">
        <v>16999</v>
      </c>
      <c r="J2494" s="79">
        <v>14564</v>
      </c>
      <c r="K2494" s="79">
        <v>46</v>
      </c>
      <c r="L2494" s="79">
        <v>46</v>
      </c>
      <c r="M2494" s="79">
        <v>1</v>
      </c>
      <c r="N2494" s="79">
        <v>713</v>
      </c>
      <c r="O2494">
        <f t="shared" si="657"/>
        <v>2</v>
      </c>
      <c r="P2494" s="57">
        <f t="shared" si="658"/>
        <v>1</v>
      </c>
      <c r="Q2494" s="267">
        <f t="shared" si="659"/>
        <v>4177</v>
      </c>
      <c r="R2494" s="23" t="str">
        <f t="shared" si="660"/>
        <v/>
      </c>
      <c r="S2494" s="23">
        <f t="shared" si="661"/>
        <v>4177</v>
      </c>
      <c r="T2494" s="23" t="str">
        <f t="shared" si="662"/>
        <v/>
      </c>
      <c r="U2494" t="str">
        <f t="shared" si="663"/>
        <v/>
      </c>
      <c r="AF2494" s="22" t="str">
        <f t="shared" si="665"/>
        <v/>
      </c>
    </row>
    <row r="2495" spans="1:45" ht="14.4">
      <c r="A2495" t="str">
        <f t="shared" si="664"/>
        <v>CO_Larim_2020g~Poudre Canyon Fire Protection District Ballot Issue 6C (Vote For 1)</v>
      </c>
      <c r="B2495" s="79" t="s">
        <v>5642</v>
      </c>
      <c r="C2495" s="79" t="s">
        <v>5484</v>
      </c>
      <c r="D2495" s="79" t="s">
        <v>5484</v>
      </c>
      <c r="E2495" s="79" t="s">
        <v>5274</v>
      </c>
      <c r="F2495" s="79" t="s">
        <v>1508</v>
      </c>
      <c r="G2495" s="79">
        <v>262</v>
      </c>
      <c r="H2495" s="79">
        <v>66.16</v>
      </c>
      <c r="I2495" s="79">
        <v>428</v>
      </c>
      <c r="J2495" s="79">
        <v>414</v>
      </c>
      <c r="K2495" s="79">
        <v>6</v>
      </c>
      <c r="L2495" s="79">
        <v>6</v>
      </c>
      <c r="M2495" s="79">
        <v>0</v>
      </c>
      <c r="N2495" s="79">
        <v>18</v>
      </c>
      <c r="O2495">
        <f t="shared" si="657"/>
        <v>1</v>
      </c>
      <c r="P2495" s="57">
        <f t="shared" si="658"/>
        <v>1</v>
      </c>
      <c r="Q2495" s="267">
        <f t="shared" si="659"/>
        <v>396</v>
      </c>
      <c r="R2495" s="23">
        <f t="shared" si="660"/>
        <v>262</v>
      </c>
      <c r="S2495" s="23">
        <f t="shared" si="661"/>
        <v>134</v>
      </c>
      <c r="T2495" s="23">
        <f t="shared" si="662"/>
        <v>128</v>
      </c>
      <c r="U2495" t="str">
        <f t="shared" si="663"/>
        <v>CO_Larim_2020g~Poudre Canyon Fire Protection District Ballot Issue 6C (Vote For 1)</v>
      </c>
      <c r="AF2495" s="22" t="str">
        <f t="shared" si="665"/>
        <v/>
      </c>
    </row>
    <row r="2496" spans="1:45" ht="14.4">
      <c r="A2496" t="str">
        <f t="shared" si="664"/>
        <v>CO_Larim_2020g~Poudre Canyon Fire Protection District Ballot Issue 6C (Vote For 1)</v>
      </c>
      <c r="B2496" s="79" t="s">
        <v>5642</v>
      </c>
      <c r="C2496" s="79" t="s">
        <v>5484</v>
      </c>
      <c r="D2496" s="79" t="s">
        <v>5484</v>
      </c>
      <c r="E2496" s="79" t="s">
        <v>5275</v>
      </c>
      <c r="F2496" s="79" t="s">
        <v>1509</v>
      </c>
      <c r="G2496" s="79">
        <v>134</v>
      </c>
      <c r="H2496" s="79">
        <v>33.840000000000003</v>
      </c>
      <c r="I2496" s="79">
        <v>428</v>
      </c>
      <c r="J2496" s="79">
        <v>414</v>
      </c>
      <c r="K2496" s="79">
        <v>6</v>
      </c>
      <c r="L2496" s="79">
        <v>6</v>
      </c>
      <c r="M2496" s="79">
        <v>0</v>
      </c>
      <c r="N2496" s="79">
        <v>18</v>
      </c>
      <c r="O2496">
        <f t="shared" si="657"/>
        <v>2</v>
      </c>
      <c r="P2496" s="57">
        <f t="shared" si="658"/>
        <v>1</v>
      </c>
      <c r="Q2496" s="267">
        <f t="shared" si="659"/>
        <v>134</v>
      </c>
      <c r="R2496" s="23" t="str">
        <f t="shared" si="660"/>
        <v/>
      </c>
      <c r="S2496" s="23">
        <f t="shared" si="661"/>
        <v>134</v>
      </c>
      <c r="T2496" s="23" t="str">
        <f t="shared" si="662"/>
        <v/>
      </c>
      <c r="U2496" t="str">
        <f t="shared" si="663"/>
        <v/>
      </c>
      <c r="AF2496" s="22" t="str">
        <f t="shared" si="665"/>
        <v/>
      </c>
    </row>
    <row r="2497" spans="1:38" ht="14.4">
      <c r="A2497" t="str">
        <f t="shared" si="664"/>
        <v>CO_Larim_2020g~State Representative - District 51 (Vote For 1)</v>
      </c>
      <c r="B2497" s="79" t="s">
        <v>5642</v>
      </c>
      <c r="C2497" s="79" t="s">
        <v>5188</v>
      </c>
      <c r="D2497" s="79" t="s">
        <v>5188</v>
      </c>
      <c r="E2497" s="79" t="s">
        <v>5189</v>
      </c>
      <c r="F2497" s="79" t="s">
        <v>1296</v>
      </c>
      <c r="G2497" s="79">
        <v>37654</v>
      </c>
      <c r="H2497" s="79">
        <v>100</v>
      </c>
      <c r="I2497" s="79">
        <v>68746</v>
      </c>
      <c r="J2497" s="79">
        <v>57576</v>
      </c>
      <c r="K2497" s="79">
        <v>81</v>
      </c>
      <c r="L2497" s="79">
        <v>81</v>
      </c>
      <c r="M2497" s="79">
        <v>8</v>
      </c>
      <c r="N2497" s="79">
        <v>17524</v>
      </c>
      <c r="O2497">
        <f t="shared" si="657"/>
        <v>1</v>
      </c>
      <c r="P2497" s="57">
        <f t="shared" si="658"/>
        <v>1</v>
      </c>
      <c r="Q2497" s="267">
        <f t="shared" si="659"/>
        <v>37654</v>
      </c>
      <c r="R2497" s="23">
        <f t="shared" si="660"/>
        <v>37654</v>
      </c>
      <c r="S2497" s="23">
        <f t="shared" si="661"/>
        <v>0</v>
      </c>
      <c r="T2497" s="23" t="str">
        <f t="shared" si="662"/>
        <v/>
      </c>
      <c r="U2497" t="str">
        <f t="shared" si="663"/>
        <v>CO_Larim_2020g~State Representative - District 51 (Vote For 1)</v>
      </c>
      <c r="AF2497" s="22" t="str">
        <f t="shared" si="665"/>
        <v/>
      </c>
    </row>
    <row r="2498" spans="1:38" ht="14.4">
      <c r="A2498" t="str">
        <f t="shared" si="664"/>
        <v>CO_Larim_2020g~State Representative - District 52 (Vote For 1)</v>
      </c>
      <c r="B2498" s="79" t="s">
        <v>5642</v>
      </c>
      <c r="C2498" s="79" t="s">
        <v>5190</v>
      </c>
      <c r="D2498" s="79" t="s">
        <v>5190</v>
      </c>
      <c r="E2498" s="79" t="s">
        <v>5192</v>
      </c>
      <c r="F2498" s="79" t="s">
        <v>1294</v>
      </c>
      <c r="G2498" s="79">
        <v>36140</v>
      </c>
      <c r="H2498" s="79">
        <v>63.77</v>
      </c>
      <c r="I2498" s="79">
        <v>72707</v>
      </c>
      <c r="J2498" s="79">
        <v>60551</v>
      </c>
      <c r="K2498" s="79">
        <v>57</v>
      </c>
      <c r="L2498" s="79">
        <v>57</v>
      </c>
      <c r="M2498" s="79">
        <v>7</v>
      </c>
      <c r="N2498" s="79">
        <v>3876</v>
      </c>
      <c r="O2498">
        <f t="shared" ref="O2498:O2561" si="666">IF(OR(LOWER(LEFT(E2498,8))="write-in",LOWER(LEFT(E2498,8))="not qual"),IF(A2498=A2497,-ABS(O2497),0),IF(A2498=A2497,ABS(O2497)+1,1))</f>
        <v>1</v>
      </c>
      <c r="P2498" s="57">
        <f t="shared" ref="P2498:P2561" si="667">1*LEFT(RIGHT(A2498,2),1)</f>
        <v>1</v>
      </c>
      <c r="Q2498" s="267">
        <f t="shared" ref="Q2498:Q2561" si="668">IF(A2498&lt;&gt;A2499,G2498,IF(A2498=A2497,G2498+Q2499,MAX(G2498,(G2498+Q2499)/P2498)))</f>
        <v>56668</v>
      </c>
      <c r="R2498" s="23">
        <f t="shared" ref="R2498:R2561" si="669">IF(O2498&gt;P2498,"",IF(O2498=P2498,G2498,IF(A2498=A2499,R2499,IF(O2498&lt;=0,1,G2498))))</f>
        <v>36140</v>
      </c>
      <c r="S2498" s="23">
        <f t="shared" ref="S2498:S2561" si="670">IF(AND(O2498&gt;P2498,LOWER(LEFT(E2498,8))&lt;&gt;"write-in",LOWER(LEFT(E2498,8))&lt;&gt;"not qual"),G2498,IF(A2498=A2499,S2499,0))</f>
        <v>20528</v>
      </c>
      <c r="T2498" s="23">
        <f t="shared" ref="T2498:T2561" si="671">IF(OR(A2498=A2497,S2498=0),"",R2498-ABS(S2498))</f>
        <v>15612</v>
      </c>
      <c r="U2498" t="str">
        <f t="shared" ref="U2498:U2561" si="672">IF(A2498=A2497,"",A2498)</f>
        <v>CO_Larim_2020g~State Representative - District 52 (Vote For 1)</v>
      </c>
      <c r="AF2498" s="22" t="str">
        <f t="shared" si="665"/>
        <v/>
      </c>
    </row>
    <row r="2499" spans="1:38" ht="14.4">
      <c r="A2499" t="str">
        <f t="shared" si="664"/>
        <v>CO_Larim_2020g~State Representative - District 52 (Vote For 1)</v>
      </c>
      <c r="B2499" s="79" t="s">
        <v>5642</v>
      </c>
      <c r="C2499" s="79" t="s">
        <v>5190</v>
      </c>
      <c r="D2499" s="79" t="s">
        <v>5190</v>
      </c>
      <c r="E2499" s="79" t="s">
        <v>5191</v>
      </c>
      <c r="F2499" s="79" t="s">
        <v>1296</v>
      </c>
      <c r="G2499" s="79">
        <v>20528</v>
      </c>
      <c r="H2499" s="79">
        <v>36.229999999999997</v>
      </c>
      <c r="I2499" s="79">
        <v>72707</v>
      </c>
      <c r="J2499" s="79">
        <v>60551</v>
      </c>
      <c r="K2499" s="79">
        <v>57</v>
      </c>
      <c r="L2499" s="79">
        <v>57</v>
      </c>
      <c r="M2499" s="79">
        <v>7</v>
      </c>
      <c r="N2499" s="79">
        <v>3876</v>
      </c>
      <c r="O2499">
        <f t="shared" si="666"/>
        <v>2</v>
      </c>
      <c r="P2499" s="57">
        <f t="shared" si="667"/>
        <v>1</v>
      </c>
      <c r="Q2499" s="267">
        <f t="shared" si="668"/>
        <v>20528</v>
      </c>
      <c r="R2499" s="23" t="str">
        <f t="shared" si="669"/>
        <v/>
      </c>
      <c r="S2499" s="23">
        <f t="shared" si="670"/>
        <v>20528</v>
      </c>
      <c r="T2499" s="23" t="str">
        <f t="shared" si="671"/>
        <v/>
      </c>
      <c r="U2499" t="str">
        <f t="shared" si="672"/>
        <v/>
      </c>
      <c r="AF2499" s="22" t="str">
        <f t="shared" si="665"/>
        <v/>
      </c>
      <c r="AL2499" s="23"/>
    </row>
    <row r="2500" spans="1:38" ht="14.4">
      <c r="A2500" t="str">
        <f t="shared" si="664"/>
        <v>CO_Larim_2020g~State Representative - District 53 (Vote For 1)</v>
      </c>
      <c r="B2500" s="79" t="s">
        <v>5642</v>
      </c>
      <c r="C2500" s="79" t="s">
        <v>5193</v>
      </c>
      <c r="D2500" s="79" t="s">
        <v>5193</v>
      </c>
      <c r="E2500" s="79" t="s">
        <v>5194</v>
      </c>
      <c r="F2500" s="79" t="s">
        <v>1294</v>
      </c>
      <c r="G2500" s="79">
        <v>32184</v>
      </c>
      <c r="H2500" s="79">
        <v>75.319999999999993</v>
      </c>
      <c r="I2500" s="79">
        <v>60850</v>
      </c>
      <c r="J2500" s="79">
        <v>48056</v>
      </c>
      <c r="K2500" s="79">
        <v>48</v>
      </c>
      <c r="L2500" s="79">
        <v>48</v>
      </c>
      <c r="M2500" s="79">
        <v>4</v>
      </c>
      <c r="N2500" s="79">
        <v>5325</v>
      </c>
      <c r="O2500">
        <f t="shared" si="666"/>
        <v>1</v>
      </c>
      <c r="P2500" s="57">
        <f t="shared" si="667"/>
        <v>1</v>
      </c>
      <c r="Q2500" s="267">
        <f t="shared" si="668"/>
        <v>42727</v>
      </c>
      <c r="R2500" s="23">
        <f t="shared" si="669"/>
        <v>32184</v>
      </c>
      <c r="S2500" s="23">
        <f t="shared" si="670"/>
        <v>10543</v>
      </c>
      <c r="T2500" s="23">
        <f t="shared" si="671"/>
        <v>21641</v>
      </c>
      <c r="U2500" t="str">
        <f t="shared" si="672"/>
        <v>CO_Larim_2020g~State Representative - District 53 (Vote For 1)</v>
      </c>
      <c r="AF2500" s="22" t="str">
        <f t="shared" si="665"/>
        <v/>
      </c>
      <c r="AH2500" s="8"/>
    </row>
    <row r="2501" spans="1:38" ht="14.4">
      <c r="A2501" t="str">
        <f t="shared" si="664"/>
        <v>CO_Larim_2020g~State Representative - District 53 (Vote For 1)</v>
      </c>
      <c r="B2501" s="79" t="s">
        <v>5642</v>
      </c>
      <c r="C2501" s="79" t="s">
        <v>5193</v>
      </c>
      <c r="D2501" s="79" t="s">
        <v>5193</v>
      </c>
      <c r="E2501" s="79" t="s">
        <v>5195</v>
      </c>
      <c r="F2501" s="79" t="s">
        <v>4951</v>
      </c>
      <c r="G2501" s="79">
        <v>10543</v>
      </c>
      <c r="H2501" s="79">
        <v>24.68</v>
      </c>
      <c r="I2501" s="79">
        <v>60850</v>
      </c>
      <c r="J2501" s="79">
        <v>48056</v>
      </c>
      <c r="K2501" s="79">
        <v>48</v>
      </c>
      <c r="L2501" s="79">
        <v>48</v>
      </c>
      <c r="M2501" s="79">
        <v>4</v>
      </c>
      <c r="N2501" s="79">
        <v>5325</v>
      </c>
      <c r="O2501">
        <f t="shared" si="666"/>
        <v>2</v>
      </c>
      <c r="P2501" s="57">
        <f t="shared" si="667"/>
        <v>1</v>
      </c>
      <c r="Q2501" s="267">
        <f t="shared" si="668"/>
        <v>10543</v>
      </c>
      <c r="R2501" s="23" t="str">
        <f t="shared" si="669"/>
        <v/>
      </c>
      <c r="S2501" s="23">
        <f t="shared" si="670"/>
        <v>10543</v>
      </c>
      <c r="T2501" s="23" t="str">
        <f t="shared" si="671"/>
        <v/>
      </c>
      <c r="U2501" t="str">
        <f t="shared" si="672"/>
        <v/>
      </c>
      <c r="AF2501" s="22" t="str">
        <f t="shared" si="665"/>
        <v/>
      </c>
    </row>
    <row r="2502" spans="1:38" ht="14.4">
      <c r="A2502" t="str">
        <f t="shared" si="664"/>
        <v>CO_Larim_2020g~State Senator - District 14 (Vote For 1)</v>
      </c>
      <c r="B2502" s="79" t="s">
        <v>5642</v>
      </c>
      <c r="C2502" s="79" t="s">
        <v>5014</v>
      </c>
      <c r="D2502" s="79" t="s">
        <v>5014</v>
      </c>
      <c r="E2502" s="79" t="s">
        <v>5016</v>
      </c>
      <c r="F2502" s="79" t="s">
        <v>1294</v>
      </c>
      <c r="G2502" s="79">
        <v>63409</v>
      </c>
      <c r="H2502" s="79">
        <v>66.650000000000006</v>
      </c>
      <c r="I2502" s="79">
        <v>125143</v>
      </c>
      <c r="J2502" s="79">
        <v>101583</v>
      </c>
      <c r="K2502" s="79">
        <v>97</v>
      </c>
      <c r="L2502" s="79">
        <v>97</v>
      </c>
      <c r="M2502" s="79">
        <v>12</v>
      </c>
      <c r="N2502" s="79">
        <v>6438</v>
      </c>
      <c r="O2502">
        <f t="shared" si="666"/>
        <v>1</v>
      </c>
      <c r="P2502" s="57">
        <f t="shared" si="667"/>
        <v>1</v>
      </c>
      <c r="Q2502" s="267">
        <f t="shared" si="668"/>
        <v>95133</v>
      </c>
      <c r="R2502" s="23">
        <f t="shared" si="669"/>
        <v>63409</v>
      </c>
      <c r="S2502" s="23">
        <f t="shared" si="670"/>
        <v>31724</v>
      </c>
      <c r="T2502" s="23">
        <f t="shared" si="671"/>
        <v>31685</v>
      </c>
      <c r="U2502" t="str">
        <f t="shared" si="672"/>
        <v>CO_Larim_2020g~State Senator - District 14 (Vote For 1)</v>
      </c>
      <c r="AF2502" s="22" t="str">
        <f t="shared" si="665"/>
        <v/>
      </c>
    </row>
    <row r="2503" spans="1:38" ht="14.4">
      <c r="A2503" t="str">
        <f t="shared" si="664"/>
        <v>CO_Larim_2020g~State Senator - District 14 (Vote For 1)</v>
      </c>
      <c r="B2503" s="79" t="s">
        <v>5642</v>
      </c>
      <c r="C2503" s="79" t="s">
        <v>5014</v>
      </c>
      <c r="D2503" s="79" t="s">
        <v>5014</v>
      </c>
      <c r="E2503" s="79" t="s">
        <v>5015</v>
      </c>
      <c r="F2503" s="79" t="s">
        <v>1296</v>
      </c>
      <c r="G2503" s="79">
        <v>31724</v>
      </c>
      <c r="H2503" s="79">
        <v>33.35</v>
      </c>
      <c r="I2503" s="79">
        <v>125143</v>
      </c>
      <c r="J2503" s="79">
        <v>101583</v>
      </c>
      <c r="K2503" s="79">
        <v>97</v>
      </c>
      <c r="L2503" s="79">
        <v>97</v>
      </c>
      <c r="M2503" s="79">
        <v>12</v>
      </c>
      <c r="N2503" s="79">
        <v>6438</v>
      </c>
      <c r="O2503">
        <f t="shared" si="666"/>
        <v>2</v>
      </c>
      <c r="P2503" s="57">
        <f t="shared" si="667"/>
        <v>1</v>
      </c>
      <c r="Q2503" s="267">
        <f t="shared" si="668"/>
        <v>31724</v>
      </c>
      <c r="R2503" s="23" t="str">
        <f t="shared" si="669"/>
        <v/>
      </c>
      <c r="S2503" s="23">
        <f t="shared" si="670"/>
        <v>31724</v>
      </c>
      <c r="T2503" s="23" t="str">
        <f t="shared" si="671"/>
        <v/>
      </c>
      <c r="U2503" t="str">
        <f t="shared" si="672"/>
        <v/>
      </c>
      <c r="AF2503" s="22" t="str">
        <f t="shared" si="665"/>
        <v/>
      </c>
    </row>
    <row r="2504" spans="1:38" ht="14.4">
      <c r="A2504" t="str">
        <f t="shared" si="664"/>
        <v>CO_Larim_2020g~w/Weld__State Representative - District 49 (Vote For 1)</v>
      </c>
      <c r="B2504" s="79" t="s">
        <v>5642</v>
      </c>
      <c r="C2504" s="79" t="s">
        <v>5182</v>
      </c>
      <c r="D2504" s="79" t="s">
        <v>5654</v>
      </c>
      <c r="E2504" s="79" t="s">
        <v>5184</v>
      </c>
      <c r="F2504" s="79" t="s">
        <v>1296</v>
      </c>
      <c r="G2504" s="79">
        <v>33467</v>
      </c>
      <c r="H2504" s="79">
        <v>58.83</v>
      </c>
      <c r="I2504" s="79">
        <v>69025</v>
      </c>
      <c r="J2504" s="79">
        <v>60500</v>
      </c>
      <c r="K2504" s="79">
        <v>94</v>
      </c>
      <c r="L2504" s="79">
        <v>94</v>
      </c>
      <c r="M2504" s="79">
        <v>1</v>
      </c>
      <c r="N2504" s="79">
        <v>3613</v>
      </c>
      <c r="O2504">
        <f t="shared" si="666"/>
        <v>1</v>
      </c>
      <c r="P2504" s="57">
        <f t="shared" si="667"/>
        <v>1</v>
      </c>
      <c r="Q2504" s="267">
        <f t="shared" si="668"/>
        <v>56886</v>
      </c>
      <c r="R2504" s="23">
        <f t="shared" si="669"/>
        <v>33467</v>
      </c>
      <c r="S2504" s="23">
        <f t="shared" si="670"/>
        <v>23419</v>
      </c>
      <c r="T2504" s="23">
        <f t="shared" si="671"/>
        <v>10048</v>
      </c>
      <c r="U2504" t="str">
        <f t="shared" si="672"/>
        <v>CO_Larim_2020g~w/Weld__State Representative - District 49 (Vote For 1)</v>
      </c>
      <c r="AF2504" s="22" t="str">
        <f t="shared" si="665"/>
        <v/>
      </c>
    </row>
    <row r="2505" spans="1:38" ht="14.4">
      <c r="A2505" t="str">
        <f t="shared" si="664"/>
        <v>CO_Larim_2020g~w/Weld__State Representative - District 49 (Vote For 1)</v>
      </c>
      <c r="B2505" s="79" t="s">
        <v>5642</v>
      </c>
      <c r="C2505" s="79" t="s">
        <v>5182</v>
      </c>
      <c r="D2505" s="79" t="s">
        <v>5654</v>
      </c>
      <c r="E2505" s="79" t="s">
        <v>5183</v>
      </c>
      <c r="F2505" s="79" t="s">
        <v>1294</v>
      </c>
      <c r="G2505" s="79">
        <v>23419</v>
      </c>
      <c r="H2505" s="79">
        <v>41.17</v>
      </c>
      <c r="I2505" s="79">
        <v>69025</v>
      </c>
      <c r="J2505" s="79">
        <v>60500</v>
      </c>
      <c r="K2505" s="79">
        <v>94</v>
      </c>
      <c r="L2505" s="79">
        <v>94</v>
      </c>
      <c r="M2505" s="79">
        <v>1</v>
      </c>
      <c r="N2505" s="79">
        <v>3613</v>
      </c>
      <c r="O2505">
        <f t="shared" si="666"/>
        <v>2</v>
      </c>
      <c r="P2505" s="57">
        <f t="shared" si="667"/>
        <v>1</v>
      </c>
      <c r="Q2505" s="267">
        <f t="shared" si="668"/>
        <v>23419</v>
      </c>
      <c r="R2505" s="23" t="str">
        <f t="shared" si="669"/>
        <v/>
      </c>
      <c r="S2505" s="23">
        <f t="shared" si="670"/>
        <v>23419</v>
      </c>
      <c r="T2505" s="23" t="str">
        <f t="shared" si="671"/>
        <v/>
      </c>
      <c r="U2505" t="str">
        <f t="shared" si="672"/>
        <v/>
      </c>
      <c r="AF2505" s="22" t="str">
        <f t="shared" si="665"/>
        <v/>
      </c>
    </row>
    <row r="2506" spans="1:38" ht="14.4">
      <c r="A2506" t="str">
        <f t="shared" si="664"/>
        <v>CO_Larim_2020g~w/Weld__Town of Berthoud Ballot Question 3B (Vote For 1)</v>
      </c>
      <c r="B2506" s="79" t="s">
        <v>5642</v>
      </c>
      <c r="C2506" s="79" t="s">
        <v>5286</v>
      </c>
      <c r="D2506" s="79" t="s">
        <v>5655</v>
      </c>
      <c r="E2506" s="79" t="s">
        <v>5274</v>
      </c>
      <c r="F2506" s="79" t="s">
        <v>1508</v>
      </c>
      <c r="G2506" s="79">
        <v>5022</v>
      </c>
      <c r="H2506" s="79">
        <v>77.459999999999994</v>
      </c>
      <c r="I2506" s="79">
        <v>7557</v>
      </c>
      <c r="J2506" s="79">
        <v>6844</v>
      </c>
      <c r="K2506" s="79">
        <v>10</v>
      </c>
      <c r="L2506" s="79">
        <v>10</v>
      </c>
      <c r="M2506" s="79">
        <v>0</v>
      </c>
      <c r="N2506" s="79">
        <v>361</v>
      </c>
      <c r="O2506">
        <f t="shared" si="666"/>
        <v>1</v>
      </c>
      <c r="P2506" s="57">
        <f t="shared" si="667"/>
        <v>1</v>
      </c>
      <c r="Q2506" s="267">
        <f t="shared" si="668"/>
        <v>6483</v>
      </c>
      <c r="R2506" s="23">
        <f t="shared" si="669"/>
        <v>5022</v>
      </c>
      <c r="S2506" s="23">
        <f t="shared" si="670"/>
        <v>1461</v>
      </c>
      <c r="T2506" s="23">
        <f t="shared" si="671"/>
        <v>3561</v>
      </c>
      <c r="U2506" t="str">
        <f t="shared" si="672"/>
        <v>CO_Larim_2020g~w/Weld__Town of Berthoud Ballot Question 3B (Vote For 1)</v>
      </c>
      <c r="AF2506" s="22" t="str">
        <f t="shared" si="665"/>
        <v/>
      </c>
    </row>
    <row r="2507" spans="1:38" ht="14.4">
      <c r="A2507" t="str">
        <f t="shared" si="664"/>
        <v>CO_Larim_2020g~w/Weld__Town of Berthoud Ballot Question 3B (Vote For 1)</v>
      </c>
      <c r="B2507" s="79" t="s">
        <v>5642</v>
      </c>
      <c r="C2507" s="79" t="s">
        <v>5286</v>
      </c>
      <c r="D2507" s="79" t="s">
        <v>5655</v>
      </c>
      <c r="E2507" s="79" t="s">
        <v>5275</v>
      </c>
      <c r="F2507" s="79" t="s">
        <v>1509</v>
      </c>
      <c r="G2507" s="79">
        <v>1461</v>
      </c>
      <c r="H2507" s="79">
        <v>22.54</v>
      </c>
      <c r="I2507" s="79">
        <v>7557</v>
      </c>
      <c r="J2507" s="79">
        <v>6844</v>
      </c>
      <c r="K2507" s="79">
        <v>10</v>
      </c>
      <c r="L2507" s="79">
        <v>10</v>
      </c>
      <c r="M2507" s="79">
        <v>0</v>
      </c>
      <c r="N2507" s="79">
        <v>361</v>
      </c>
      <c r="O2507">
        <f t="shared" si="666"/>
        <v>2</v>
      </c>
      <c r="P2507" s="57">
        <f t="shared" si="667"/>
        <v>1</v>
      </c>
      <c r="Q2507" s="267">
        <f t="shared" si="668"/>
        <v>1461</v>
      </c>
      <c r="R2507" s="23" t="str">
        <f t="shared" si="669"/>
        <v/>
      </c>
      <c r="S2507" s="23">
        <f t="shared" si="670"/>
        <v>1461</v>
      </c>
      <c r="T2507" s="23" t="str">
        <f t="shared" si="671"/>
        <v/>
      </c>
      <c r="U2507" t="str">
        <f t="shared" si="672"/>
        <v/>
      </c>
      <c r="AF2507" s="22" t="str">
        <f t="shared" si="665"/>
        <v/>
      </c>
    </row>
    <row r="2508" spans="1:38" ht="14.4">
      <c r="A2508" t="str">
        <f t="shared" si="664"/>
        <v>CO_state_2020g~Amendment 76 (CONSTITUTIONAL) (Vote For 1)</v>
      </c>
      <c r="B2508" s="79" t="s">
        <v>4940</v>
      </c>
      <c r="C2508" s="79" t="s">
        <v>5277</v>
      </c>
      <c r="D2508" s="79" t="s">
        <v>5277</v>
      </c>
      <c r="E2508" s="79" t="s">
        <v>5274</v>
      </c>
      <c r="F2508" s="79" t="s">
        <v>1508</v>
      </c>
      <c r="G2508" s="82">
        <v>1985239</v>
      </c>
      <c r="H2508" s="83">
        <v>62.9</v>
      </c>
      <c r="I2508" s="82">
        <v>3909131</v>
      </c>
      <c r="J2508" s="82">
        <v>3295189</v>
      </c>
      <c r="K2508" s="79">
        <v>64</v>
      </c>
      <c r="L2508" s="79">
        <v>64</v>
      </c>
      <c r="M2508" s="79">
        <v>0</v>
      </c>
      <c r="N2508" s="79">
        <v>0</v>
      </c>
      <c r="O2508">
        <f t="shared" si="666"/>
        <v>1</v>
      </c>
      <c r="P2508" s="57">
        <f t="shared" si="667"/>
        <v>1</v>
      </c>
      <c r="Q2508" s="267">
        <f t="shared" si="668"/>
        <v>3156376</v>
      </c>
      <c r="R2508" s="23">
        <f t="shared" si="669"/>
        <v>1985239</v>
      </c>
      <c r="S2508" s="23">
        <f t="shared" si="670"/>
        <v>1171137</v>
      </c>
      <c r="T2508" s="23">
        <f t="shared" si="671"/>
        <v>814102</v>
      </c>
      <c r="U2508" t="str">
        <f t="shared" si="672"/>
        <v>CO_state_2020g~Amendment 76 (CONSTITUTIONAL) (Vote For 1)</v>
      </c>
      <c r="AF2508" s="22" t="str">
        <f t="shared" si="665"/>
        <v/>
      </c>
    </row>
    <row r="2509" spans="1:38" ht="14.4">
      <c r="A2509" t="str">
        <f t="shared" si="664"/>
        <v>CO_state_2020g~Amendment 76 (CONSTITUTIONAL) (Vote For 1)</v>
      </c>
      <c r="B2509" s="79" t="s">
        <v>4940</v>
      </c>
      <c r="C2509" s="79" t="s">
        <v>5277</v>
      </c>
      <c r="D2509" s="79" t="s">
        <v>5277</v>
      </c>
      <c r="E2509" s="79" t="s">
        <v>5275</v>
      </c>
      <c r="F2509" s="79" t="s">
        <v>1509</v>
      </c>
      <c r="G2509" s="82">
        <v>1171137</v>
      </c>
      <c r="H2509" s="83">
        <v>37.1</v>
      </c>
      <c r="I2509" s="82">
        <v>3909131</v>
      </c>
      <c r="J2509" s="82">
        <v>3295189</v>
      </c>
      <c r="K2509" s="79">
        <v>64</v>
      </c>
      <c r="L2509" s="79">
        <v>64</v>
      </c>
      <c r="M2509" s="79">
        <v>0</v>
      </c>
      <c r="N2509" s="79">
        <v>0</v>
      </c>
      <c r="O2509">
        <f t="shared" si="666"/>
        <v>2</v>
      </c>
      <c r="P2509" s="57">
        <f t="shared" si="667"/>
        <v>1</v>
      </c>
      <c r="Q2509" s="267">
        <f t="shared" si="668"/>
        <v>1171137</v>
      </c>
      <c r="R2509" s="23" t="str">
        <f t="shared" si="669"/>
        <v/>
      </c>
      <c r="S2509" s="23">
        <f t="shared" si="670"/>
        <v>1171137</v>
      </c>
      <c r="T2509" s="23" t="str">
        <f t="shared" si="671"/>
        <v/>
      </c>
      <c r="U2509" t="str">
        <f t="shared" si="672"/>
        <v/>
      </c>
      <c r="AF2509" s="22" t="str">
        <f t="shared" si="665"/>
        <v/>
      </c>
    </row>
    <row r="2510" spans="1:38" ht="14.4">
      <c r="A2510" t="str">
        <f t="shared" si="664"/>
        <v>CO_state_2020g~Amendment 77 (CONSTITUTIONAL) (Vote For 1)</v>
      </c>
      <c r="B2510" s="79" t="s">
        <v>4940</v>
      </c>
      <c r="C2510" s="79" t="s">
        <v>5278</v>
      </c>
      <c r="D2510" s="79" t="s">
        <v>5278</v>
      </c>
      <c r="E2510" s="79" t="s">
        <v>5274</v>
      </c>
      <c r="F2510" s="79" t="s">
        <v>1508</v>
      </c>
      <c r="G2510" s="82">
        <v>1854153</v>
      </c>
      <c r="H2510" s="83">
        <v>60.54</v>
      </c>
      <c r="I2510" s="82">
        <v>3909131</v>
      </c>
      <c r="J2510" s="82">
        <v>3295189</v>
      </c>
      <c r="K2510" s="79">
        <v>64</v>
      </c>
      <c r="L2510" s="79">
        <v>64</v>
      </c>
      <c r="M2510" s="79">
        <v>0</v>
      </c>
      <c r="N2510" s="79">
        <v>0</v>
      </c>
      <c r="O2510">
        <f t="shared" si="666"/>
        <v>1</v>
      </c>
      <c r="P2510" s="57">
        <f t="shared" si="667"/>
        <v>1</v>
      </c>
      <c r="Q2510" s="267">
        <f t="shared" si="668"/>
        <v>3062567</v>
      </c>
      <c r="R2510" s="23">
        <f t="shared" si="669"/>
        <v>1854153</v>
      </c>
      <c r="S2510" s="23">
        <f t="shared" si="670"/>
        <v>1208414</v>
      </c>
      <c r="T2510" s="23">
        <f t="shared" si="671"/>
        <v>645739</v>
      </c>
      <c r="U2510" t="str">
        <f t="shared" si="672"/>
        <v>CO_state_2020g~Amendment 77 (CONSTITUTIONAL) (Vote For 1)</v>
      </c>
      <c r="AF2510" s="22" t="str">
        <f t="shared" si="665"/>
        <v/>
      </c>
    </row>
    <row r="2511" spans="1:38" ht="14.4">
      <c r="A2511" t="str">
        <f t="shared" si="664"/>
        <v>CO_state_2020g~Amendment 77 (CONSTITUTIONAL) (Vote For 1)</v>
      </c>
      <c r="B2511" s="79" t="s">
        <v>4940</v>
      </c>
      <c r="C2511" s="79" t="s">
        <v>5278</v>
      </c>
      <c r="D2511" s="79" t="s">
        <v>5278</v>
      </c>
      <c r="E2511" s="79" t="s">
        <v>5275</v>
      </c>
      <c r="F2511" s="79" t="s">
        <v>1509</v>
      </c>
      <c r="G2511" s="82">
        <v>1208414</v>
      </c>
      <c r="H2511" s="83">
        <v>39.46</v>
      </c>
      <c r="I2511" s="82">
        <v>3909131</v>
      </c>
      <c r="J2511" s="82">
        <v>3295189</v>
      </c>
      <c r="K2511" s="79">
        <v>64</v>
      </c>
      <c r="L2511" s="79">
        <v>64</v>
      </c>
      <c r="M2511" s="79">
        <v>0</v>
      </c>
      <c r="N2511" s="79">
        <v>0</v>
      </c>
      <c r="O2511">
        <f t="shared" si="666"/>
        <v>2</v>
      </c>
      <c r="P2511" s="57">
        <f t="shared" si="667"/>
        <v>1</v>
      </c>
      <c r="Q2511" s="267">
        <f t="shared" si="668"/>
        <v>1208414</v>
      </c>
      <c r="R2511" s="23" t="str">
        <f t="shared" si="669"/>
        <v/>
      </c>
      <c r="S2511" s="23">
        <f t="shared" si="670"/>
        <v>1208414</v>
      </c>
      <c r="T2511" s="23" t="str">
        <f t="shared" si="671"/>
        <v/>
      </c>
      <c r="U2511" t="str">
        <f t="shared" si="672"/>
        <v/>
      </c>
      <c r="AF2511" s="22" t="str">
        <f t="shared" si="665"/>
        <v/>
      </c>
    </row>
    <row r="2512" spans="1:38" ht="14.4">
      <c r="A2512" t="str">
        <f t="shared" si="664"/>
        <v>CO_state_2020g~Amendment B (CONSTITUTIONAL) (Vote For 1)</v>
      </c>
      <c r="B2512" s="79" t="s">
        <v>4940</v>
      </c>
      <c r="C2512" s="79" t="s">
        <v>5273</v>
      </c>
      <c r="D2512" s="79" t="s">
        <v>5273</v>
      </c>
      <c r="E2512" s="79" t="s">
        <v>5274</v>
      </c>
      <c r="F2512" s="79" t="s">
        <v>1508</v>
      </c>
      <c r="G2512" s="82">
        <v>1740395</v>
      </c>
      <c r="H2512" s="83">
        <v>57.52</v>
      </c>
      <c r="I2512" s="82">
        <v>3909131</v>
      </c>
      <c r="J2512" s="82">
        <v>3295189</v>
      </c>
      <c r="K2512" s="79">
        <v>64</v>
      </c>
      <c r="L2512" s="79">
        <v>64</v>
      </c>
      <c r="M2512" s="79">
        <v>0</v>
      </c>
      <c r="N2512" s="79">
        <v>0</v>
      </c>
      <c r="O2512">
        <f t="shared" si="666"/>
        <v>1</v>
      </c>
      <c r="P2512" s="57">
        <f t="shared" si="667"/>
        <v>1</v>
      </c>
      <c r="Q2512" s="267">
        <f t="shared" si="668"/>
        <v>3025531</v>
      </c>
      <c r="R2512" s="23">
        <f t="shared" si="669"/>
        <v>1740395</v>
      </c>
      <c r="S2512" s="23">
        <f t="shared" si="670"/>
        <v>1285136</v>
      </c>
      <c r="T2512" s="23">
        <f t="shared" si="671"/>
        <v>455259</v>
      </c>
      <c r="U2512" t="str">
        <f t="shared" si="672"/>
        <v>CO_state_2020g~Amendment B (CONSTITUTIONAL) (Vote For 1)</v>
      </c>
      <c r="AF2512" s="22" t="str">
        <f t="shared" si="665"/>
        <v/>
      </c>
    </row>
    <row r="2513" spans="1:45" ht="14.4">
      <c r="A2513" t="str">
        <f t="shared" si="664"/>
        <v>CO_state_2020g~Amendment B (CONSTITUTIONAL) (Vote For 1)</v>
      </c>
      <c r="B2513" s="79" t="s">
        <v>4940</v>
      </c>
      <c r="C2513" s="79" t="s">
        <v>5273</v>
      </c>
      <c r="D2513" s="79" t="s">
        <v>5273</v>
      </c>
      <c r="E2513" s="79" t="s">
        <v>5275</v>
      </c>
      <c r="F2513" s="79" t="s">
        <v>1509</v>
      </c>
      <c r="G2513" s="82">
        <v>1285136</v>
      </c>
      <c r="H2513" s="83">
        <v>42.48</v>
      </c>
      <c r="I2513" s="82">
        <v>3909131</v>
      </c>
      <c r="J2513" s="82">
        <v>3295189</v>
      </c>
      <c r="K2513" s="79">
        <v>64</v>
      </c>
      <c r="L2513" s="79">
        <v>64</v>
      </c>
      <c r="M2513" s="79">
        <v>0</v>
      </c>
      <c r="N2513" s="79">
        <v>0</v>
      </c>
      <c r="O2513">
        <f t="shared" si="666"/>
        <v>2</v>
      </c>
      <c r="P2513" s="57">
        <f t="shared" si="667"/>
        <v>1</v>
      </c>
      <c r="Q2513" s="267">
        <f t="shared" si="668"/>
        <v>1285136</v>
      </c>
      <c r="R2513" s="23" t="str">
        <f t="shared" si="669"/>
        <v/>
      </c>
      <c r="S2513" s="23">
        <f t="shared" si="670"/>
        <v>1285136</v>
      </c>
      <c r="T2513" s="23" t="str">
        <f t="shared" si="671"/>
        <v/>
      </c>
      <c r="U2513" t="str">
        <f t="shared" si="672"/>
        <v/>
      </c>
      <c r="AF2513" s="22" t="str">
        <f t="shared" si="665"/>
        <v/>
      </c>
    </row>
    <row r="2514" spans="1:45" ht="14.4">
      <c r="A2514" t="str">
        <f t="shared" si="664"/>
        <v>CO_state_2020g~Amendment C (CONSTITUTIONAL) (Vote For 1)</v>
      </c>
      <c r="B2514" s="79" t="s">
        <v>4940</v>
      </c>
      <c r="C2514" s="79" t="s">
        <v>5276</v>
      </c>
      <c r="D2514" s="79" t="s">
        <v>5276</v>
      </c>
      <c r="E2514" s="79" t="s">
        <v>5274</v>
      </c>
      <c r="F2514" s="79" t="s">
        <v>1508</v>
      </c>
      <c r="G2514" s="82">
        <v>1586973</v>
      </c>
      <c r="H2514" s="83">
        <v>52.35</v>
      </c>
      <c r="I2514" s="82">
        <v>3909131</v>
      </c>
      <c r="J2514" s="82">
        <v>3295189</v>
      </c>
      <c r="K2514" s="79">
        <v>64</v>
      </c>
      <c r="L2514" s="79">
        <v>64</v>
      </c>
      <c r="M2514" s="79">
        <v>0</v>
      </c>
      <c r="N2514" s="79">
        <v>0</v>
      </c>
      <c r="O2514">
        <f t="shared" si="666"/>
        <v>1</v>
      </c>
      <c r="P2514" s="57">
        <f t="shared" si="667"/>
        <v>1</v>
      </c>
      <c r="Q2514" s="267">
        <f t="shared" si="668"/>
        <v>3031526</v>
      </c>
      <c r="R2514" s="23">
        <f t="shared" si="669"/>
        <v>1586973</v>
      </c>
      <c r="S2514" s="23">
        <f t="shared" si="670"/>
        <v>1444553</v>
      </c>
      <c r="T2514" s="23">
        <f t="shared" si="671"/>
        <v>142420</v>
      </c>
      <c r="U2514" t="str">
        <f t="shared" si="672"/>
        <v>CO_state_2020g~Amendment C (CONSTITUTIONAL) (Vote For 1)</v>
      </c>
      <c r="AF2514" s="22" t="str">
        <f t="shared" si="665"/>
        <v/>
      </c>
    </row>
    <row r="2515" spans="1:45" ht="14.4">
      <c r="A2515" t="str">
        <f t="shared" si="664"/>
        <v>CO_state_2020g~Amendment C (CONSTITUTIONAL) (Vote For 1)</v>
      </c>
      <c r="B2515" s="79" t="s">
        <v>4940</v>
      </c>
      <c r="C2515" s="79" t="s">
        <v>5276</v>
      </c>
      <c r="D2515" s="79" t="s">
        <v>5276</v>
      </c>
      <c r="E2515" s="79" t="s">
        <v>5275</v>
      </c>
      <c r="F2515" s="79" t="s">
        <v>1509</v>
      </c>
      <c r="G2515" s="82">
        <v>1444553</v>
      </c>
      <c r="H2515" s="83">
        <v>47.65</v>
      </c>
      <c r="I2515" s="82">
        <v>3909131</v>
      </c>
      <c r="J2515" s="82">
        <v>3295189</v>
      </c>
      <c r="K2515" s="79">
        <v>64</v>
      </c>
      <c r="L2515" s="79">
        <v>64</v>
      </c>
      <c r="M2515" s="79">
        <v>0</v>
      </c>
      <c r="N2515" s="79">
        <v>0</v>
      </c>
      <c r="O2515">
        <f t="shared" si="666"/>
        <v>2</v>
      </c>
      <c r="P2515" s="57">
        <f t="shared" si="667"/>
        <v>1</v>
      </c>
      <c r="Q2515" s="267">
        <f t="shared" si="668"/>
        <v>1444553</v>
      </c>
      <c r="R2515" s="23" t="str">
        <f t="shared" si="669"/>
        <v/>
      </c>
      <c r="S2515" s="23">
        <f t="shared" si="670"/>
        <v>1444553</v>
      </c>
      <c r="T2515" s="23" t="str">
        <f t="shared" si="671"/>
        <v/>
      </c>
      <c r="U2515" t="str">
        <f t="shared" si="672"/>
        <v/>
      </c>
      <c r="AF2515" s="22" t="str">
        <f t="shared" si="665"/>
        <v/>
      </c>
    </row>
    <row r="2516" spans="1:45" ht="14.4">
      <c r="A2516" t="str">
        <f t="shared" si="664"/>
        <v>CO_state_2020g~Colorado Court of Appeals Judge - Tow (Vote For 1)</v>
      </c>
      <c r="B2516" s="79" t="s">
        <v>4940</v>
      </c>
      <c r="C2516" s="79" t="s">
        <v>5237</v>
      </c>
      <c r="D2516" s="79" t="s">
        <v>5237</v>
      </c>
      <c r="E2516" s="79" t="s">
        <v>1393</v>
      </c>
      <c r="F2516" s="79" t="s">
        <v>1508</v>
      </c>
      <c r="G2516" s="82">
        <v>1874419</v>
      </c>
      <c r="H2516" s="83">
        <v>70.790000000000006</v>
      </c>
      <c r="I2516" s="82">
        <v>3909131</v>
      </c>
      <c r="J2516" s="82">
        <v>3295189</v>
      </c>
      <c r="K2516" s="79">
        <v>64</v>
      </c>
      <c r="L2516" s="79">
        <v>64</v>
      </c>
      <c r="M2516" s="79">
        <v>0</v>
      </c>
      <c r="N2516" s="79">
        <v>0</v>
      </c>
      <c r="O2516">
        <f t="shared" si="666"/>
        <v>1</v>
      </c>
      <c r="P2516" s="57">
        <f t="shared" si="667"/>
        <v>1</v>
      </c>
      <c r="Q2516" s="267">
        <f t="shared" si="668"/>
        <v>2647785</v>
      </c>
      <c r="R2516" s="23">
        <f t="shared" si="669"/>
        <v>1874419</v>
      </c>
      <c r="S2516" s="23">
        <f t="shared" si="670"/>
        <v>773366</v>
      </c>
      <c r="T2516" s="23">
        <f t="shared" si="671"/>
        <v>1101053</v>
      </c>
      <c r="U2516" t="str">
        <f t="shared" si="672"/>
        <v>CO_state_2020g~Colorado Court of Appeals Judge - Tow (Vote For 1)</v>
      </c>
      <c r="AF2516" s="22" t="str">
        <f t="shared" si="665"/>
        <v/>
      </c>
    </row>
    <row r="2517" spans="1:45" ht="14.4">
      <c r="A2517" t="str">
        <f t="shared" si="664"/>
        <v>CO_state_2020g~Colorado Court of Appeals Judge - Tow (Vote For 1)</v>
      </c>
      <c r="B2517" s="79" t="s">
        <v>4940</v>
      </c>
      <c r="C2517" s="79" t="s">
        <v>5237</v>
      </c>
      <c r="D2517" s="79" t="s">
        <v>5237</v>
      </c>
      <c r="E2517" s="79" t="s">
        <v>1394</v>
      </c>
      <c r="F2517" s="79" t="s">
        <v>1509</v>
      </c>
      <c r="G2517" s="82">
        <v>773366</v>
      </c>
      <c r="H2517" s="83">
        <v>29.21</v>
      </c>
      <c r="I2517" s="82">
        <v>3909131</v>
      </c>
      <c r="J2517" s="82">
        <v>3295189</v>
      </c>
      <c r="K2517" s="79">
        <v>64</v>
      </c>
      <c r="L2517" s="79">
        <v>64</v>
      </c>
      <c r="M2517" s="79">
        <v>0</v>
      </c>
      <c r="N2517" s="79">
        <v>0</v>
      </c>
      <c r="O2517">
        <f t="shared" si="666"/>
        <v>2</v>
      </c>
      <c r="P2517" s="57">
        <f t="shared" si="667"/>
        <v>1</v>
      </c>
      <c r="Q2517" s="267">
        <f t="shared" si="668"/>
        <v>773366</v>
      </c>
      <c r="R2517" s="23" t="str">
        <f t="shared" si="669"/>
        <v/>
      </c>
      <c r="S2517" s="23">
        <f t="shared" si="670"/>
        <v>773366</v>
      </c>
      <c r="T2517" s="23" t="str">
        <f t="shared" si="671"/>
        <v/>
      </c>
      <c r="U2517" t="str">
        <f t="shared" si="672"/>
        <v/>
      </c>
      <c r="AF2517" s="22" t="str">
        <f t="shared" si="665"/>
        <v/>
      </c>
    </row>
    <row r="2518" spans="1:45" ht="14.4">
      <c r="A2518" t="str">
        <f t="shared" si="664"/>
        <v>CO_state_2020g~Colorado Court of Appeals Judge - Welling (Vote For 1)</v>
      </c>
      <c r="B2518" s="79" t="s">
        <v>4940</v>
      </c>
      <c r="C2518" s="79" t="s">
        <v>5238</v>
      </c>
      <c r="D2518" s="79" t="s">
        <v>5238</v>
      </c>
      <c r="E2518" s="79" t="s">
        <v>1393</v>
      </c>
      <c r="F2518" s="79" t="s">
        <v>1508</v>
      </c>
      <c r="G2518" s="82">
        <v>1851374</v>
      </c>
      <c r="H2518" s="83">
        <v>70.08</v>
      </c>
      <c r="I2518" s="82">
        <v>3909131</v>
      </c>
      <c r="J2518" s="82">
        <v>3295189</v>
      </c>
      <c r="K2518" s="79">
        <v>64</v>
      </c>
      <c r="L2518" s="79">
        <v>64</v>
      </c>
      <c r="M2518" s="79">
        <v>0</v>
      </c>
      <c r="N2518" s="79">
        <v>0</v>
      </c>
      <c r="O2518">
        <f t="shared" si="666"/>
        <v>1</v>
      </c>
      <c r="P2518" s="57">
        <f t="shared" si="667"/>
        <v>1</v>
      </c>
      <c r="Q2518" s="267">
        <f t="shared" si="668"/>
        <v>2641875</v>
      </c>
      <c r="R2518" s="23">
        <f t="shared" si="669"/>
        <v>1851374</v>
      </c>
      <c r="S2518" s="23">
        <f t="shared" si="670"/>
        <v>790501</v>
      </c>
      <c r="T2518" s="23">
        <f t="shared" si="671"/>
        <v>1060873</v>
      </c>
      <c r="U2518" t="str">
        <f t="shared" si="672"/>
        <v>CO_state_2020g~Colorado Court of Appeals Judge - Welling (Vote For 1)</v>
      </c>
      <c r="AF2518" s="22" t="str">
        <f t="shared" si="665"/>
        <v/>
      </c>
    </row>
    <row r="2519" spans="1:45" ht="14.4">
      <c r="A2519" t="str">
        <f t="shared" si="664"/>
        <v>CO_state_2020g~Colorado Court of Appeals Judge - Welling (Vote For 1)</v>
      </c>
      <c r="B2519" s="79" t="s">
        <v>4940</v>
      </c>
      <c r="C2519" s="79" t="s">
        <v>5238</v>
      </c>
      <c r="D2519" s="79" t="s">
        <v>5238</v>
      </c>
      <c r="E2519" s="79" t="s">
        <v>1394</v>
      </c>
      <c r="F2519" s="79" t="s">
        <v>1509</v>
      </c>
      <c r="G2519" s="82">
        <v>790501</v>
      </c>
      <c r="H2519" s="83">
        <v>29.92</v>
      </c>
      <c r="I2519" s="82">
        <v>3909131</v>
      </c>
      <c r="J2519" s="82">
        <v>3295189</v>
      </c>
      <c r="K2519" s="79">
        <v>64</v>
      </c>
      <c r="L2519" s="79">
        <v>64</v>
      </c>
      <c r="M2519" s="79">
        <v>0</v>
      </c>
      <c r="N2519" s="79">
        <v>0</v>
      </c>
      <c r="O2519">
        <f t="shared" si="666"/>
        <v>2</v>
      </c>
      <c r="P2519" s="57">
        <f t="shared" si="667"/>
        <v>1</v>
      </c>
      <c r="Q2519" s="267">
        <f t="shared" si="668"/>
        <v>790501</v>
      </c>
      <c r="R2519" s="23" t="str">
        <f t="shared" si="669"/>
        <v/>
      </c>
      <c r="S2519" s="23">
        <f t="shared" si="670"/>
        <v>790501</v>
      </c>
      <c r="T2519" s="23" t="str">
        <f t="shared" si="671"/>
        <v/>
      </c>
      <c r="U2519" t="str">
        <f t="shared" si="672"/>
        <v/>
      </c>
      <c r="AF2519" s="22" t="str">
        <f t="shared" si="665"/>
        <v/>
      </c>
    </row>
    <row r="2520" spans="1:45" ht="14.4">
      <c r="A2520" t="str">
        <f t="shared" si="664"/>
        <v>CO_state_2020g~Justice of the Colorado Supreme Court - Hart (Vote For 1)</v>
      </c>
      <c r="B2520" s="79" t="s">
        <v>4940</v>
      </c>
      <c r="C2520" s="79" t="s">
        <v>5235</v>
      </c>
      <c r="D2520" s="79" t="s">
        <v>5235</v>
      </c>
      <c r="E2520" s="79" t="s">
        <v>1393</v>
      </c>
      <c r="F2520" s="79" t="s">
        <v>1508</v>
      </c>
      <c r="G2520" s="82">
        <v>2021131</v>
      </c>
      <c r="H2520" s="83">
        <v>74.569999999999993</v>
      </c>
      <c r="I2520" s="82">
        <v>3909131</v>
      </c>
      <c r="J2520" s="82">
        <v>3295189</v>
      </c>
      <c r="K2520" s="79">
        <v>64</v>
      </c>
      <c r="L2520" s="79">
        <v>64</v>
      </c>
      <c r="M2520" s="79">
        <v>0</v>
      </c>
      <c r="N2520" s="79">
        <v>0</v>
      </c>
      <c r="O2520">
        <f t="shared" si="666"/>
        <v>1</v>
      </c>
      <c r="P2520" s="57">
        <f t="shared" si="667"/>
        <v>1</v>
      </c>
      <c r="Q2520" s="267">
        <f t="shared" si="668"/>
        <v>2710506</v>
      </c>
      <c r="R2520" s="23">
        <f t="shared" si="669"/>
        <v>2021131</v>
      </c>
      <c r="S2520" s="23">
        <f t="shared" si="670"/>
        <v>689375</v>
      </c>
      <c r="T2520" s="23">
        <f t="shared" si="671"/>
        <v>1331756</v>
      </c>
      <c r="U2520" t="str">
        <f t="shared" si="672"/>
        <v>CO_state_2020g~Justice of the Colorado Supreme Court - Hart (Vote For 1)</v>
      </c>
      <c r="AF2520" s="22" t="str">
        <f t="shared" si="665"/>
        <v/>
      </c>
    </row>
    <row r="2521" spans="1:45" ht="14.4">
      <c r="A2521" t="str">
        <f t="shared" si="664"/>
        <v>CO_state_2020g~Justice of the Colorado Supreme Court - Hart (Vote For 1)</v>
      </c>
      <c r="B2521" s="79" t="s">
        <v>4940</v>
      </c>
      <c r="C2521" s="79" t="s">
        <v>5235</v>
      </c>
      <c r="D2521" s="79" t="s">
        <v>5235</v>
      </c>
      <c r="E2521" s="79" t="s">
        <v>1394</v>
      </c>
      <c r="F2521" s="79" t="s">
        <v>1509</v>
      </c>
      <c r="G2521" s="82">
        <v>689375</v>
      </c>
      <c r="H2521" s="83">
        <v>25.43</v>
      </c>
      <c r="I2521" s="82">
        <v>3909131</v>
      </c>
      <c r="J2521" s="82">
        <v>3295189</v>
      </c>
      <c r="K2521" s="79">
        <v>64</v>
      </c>
      <c r="L2521" s="79">
        <v>64</v>
      </c>
      <c r="M2521" s="79">
        <v>0</v>
      </c>
      <c r="N2521" s="79">
        <v>0</v>
      </c>
      <c r="O2521">
        <f t="shared" si="666"/>
        <v>2</v>
      </c>
      <c r="P2521" s="57">
        <f t="shared" si="667"/>
        <v>1</v>
      </c>
      <c r="Q2521" s="267">
        <f t="shared" si="668"/>
        <v>689375</v>
      </c>
      <c r="R2521" s="23" t="str">
        <f t="shared" si="669"/>
        <v/>
      </c>
      <c r="S2521" s="23">
        <f t="shared" si="670"/>
        <v>689375</v>
      </c>
      <c r="T2521" s="23" t="str">
        <f t="shared" si="671"/>
        <v/>
      </c>
      <c r="U2521" t="str">
        <f t="shared" si="672"/>
        <v/>
      </c>
      <c r="AF2521" s="22" t="str">
        <f t="shared" si="665"/>
        <v/>
      </c>
    </row>
    <row r="2522" spans="1:45" ht="14.4">
      <c r="A2522" t="str">
        <f t="shared" si="664"/>
        <v>CO_state_2020g~Justice of the Colorado Supreme Court - Samour (Vote For 1)</v>
      </c>
      <c r="B2522" s="79" t="s">
        <v>4940</v>
      </c>
      <c r="C2522" s="79" t="s">
        <v>5236</v>
      </c>
      <c r="D2522" s="79" t="s">
        <v>5236</v>
      </c>
      <c r="E2522" s="79" t="s">
        <v>1393</v>
      </c>
      <c r="F2522" s="79" t="s">
        <v>1508</v>
      </c>
      <c r="G2522" s="82">
        <v>1966512</v>
      </c>
      <c r="H2522" s="83">
        <v>73.45</v>
      </c>
      <c r="I2522" s="82">
        <v>3909131</v>
      </c>
      <c r="J2522" s="82">
        <v>3295189</v>
      </c>
      <c r="K2522" s="79">
        <v>64</v>
      </c>
      <c r="L2522" s="79">
        <v>64</v>
      </c>
      <c r="M2522" s="79">
        <v>0</v>
      </c>
      <c r="N2522" s="79">
        <v>0</v>
      </c>
      <c r="O2522">
        <f t="shared" si="666"/>
        <v>1</v>
      </c>
      <c r="P2522" s="57">
        <f t="shared" si="667"/>
        <v>1</v>
      </c>
      <c r="Q2522" s="267">
        <f t="shared" si="668"/>
        <v>2677375</v>
      </c>
      <c r="R2522" s="23">
        <f t="shared" si="669"/>
        <v>1966512</v>
      </c>
      <c r="S2522" s="23">
        <f t="shared" si="670"/>
        <v>710863</v>
      </c>
      <c r="T2522" s="23">
        <f t="shared" si="671"/>
        <v>1255649</v>
      </c>
      <c r="U2522" t="str">
        <f t="shared" si="672"/>
        <v>CO_state_2020g~Justice of the Colorado Supreme Court - Samour (Vote For 1)</v>
      </c>
      <c r="AF2522" s="22" t="str">
        <f t="shared" si="665"/>
        <v/>
      </c>
    </row>
    <row r="2523" spans="1:45" ht="14.4">
      <c r="A2523" t="str">
        <f t="shared" si="664"/>
        <v>CO_state_2020g~Justice of the Colorado Supreme Court - Samour (Vote For 1)</v>
      </c>
      <c r="B2523" s="79" t="s">
        <v>4940</v>
      </c>
      <c r="C2523" s="79" t="s">
        <v>5236</v>
      </c>
      <c r="D2523" s="79" t="s">
        <v>5236</v>
      </c>
      <c r="E2523" s="79" t="s">
        <v>1394</v>
      </c>
      <c r="F2523" s="79" t="s">
        <v>1509</v>
      </c>
      <c r="G2523" s="82">
        <v>710863</v>
      </c>
      <c r="H2523" s="83">
        <v>26.55</v>
      </c>
      <c r="I2523" s="82">
        <v>3909131</v>
      </c>
      <c r="J2523" s="82">
        <v>3295189</v>
      </c>
      <c r="K2523" s="79">
        <v>64</v>
      </c>
      <c r="L2523" s="79">
        <v>64</v>
      </c>
      <c r="M2523" s="79">
        <v>0</v>
      </c>
      <c r="N2523" s="79">
        <v>0</v>
      </c>
      <c r="O2523">
        <f t="shared" si="666"/>
        <v>2</v>
      </c>
      <c r="P2523" s="57">
        <f t="shared" si="667"/>
        <v>1</v>
      </c>
      <c r="Q2523" s="267">
        <f t="shared" si="668"/>
        <v>710863</v>
      </c>
      <c r="R2523" s="23" t="str">
        <f t="shared" si="669"/>
        <v/>
      </c>
      <c r="S2523" s="23">
        <f t="shared" si="670"/>
        <v>710863</v>
      </c>
      <c r="T2523" s="23" t="str">
        <f t="shared" si="671"/>
        <v/>
      </c>
      <c r="U2523" t="str">
        <f t="shared" si="672"/>
        <v/>
      </c>
      <c r="AF2523" s="22" t="str">
        <f t="shared" si="665"/>
        <v/>
      </c>
    </row>
    <row r="2524" spans="1:45" ht="14.4">
      <c r="A2524" t="str">
        <f t="shared" si="664"/>
        <v>CO_state_2020g~Presidential Electors (Vote For 1)</v>
      </c>
      <c r="B2524" s="79" t="s">
        <v>4940</v>
      </c>
      <c r="C2524" s="79" t="s">
        <v>1292</v>
      </c>
      <c r="D2524" s="79" t="s">
        <v>1292</v>
      </c>
      <c r="E2524" s="79" t="s">
        <v>4941</v>
      </c>
      <c r="F2524" s="79" t="s">
        <v>1294</v>
      </c>
      <c r="G2524" s="82">
        <v>1804352</v>
      </c>
      <c r="H2524" s="83">
        <v>55.4</v>
      </c>
      <c r="I2524" s="82">
        <v>3909131</v>
      </c>
      <c r="J2524" s="82">
        <v>3295189</v>
      </c>
      <c r="K2524" s="79">
        <v>64</v>
      </c>
      <c r="L2524" s="79">
        <v>64</v>
      </c>
      <c r="M2524" s="79">
        <v>0</v>
      </c>
      <c r="N2524" s="79">
        <v>0</v>
      </c>
      <c r="O2524">
        <f t="shared" si="666"/>
        <v>1</v>
      </c>
      <c r="P2524" s="57">
        <f t="shared" si="667"/>
        <v>1</v>
      </c>
      <c r="Q2524" s="267">
        <f t="shared" si="668"/>
        <v>3256952</v>
      </c>
      <c r="R2524" s="23">
        <f t="shared" si="669"/>
        <v>1804352</v>
      </c>
      <c r="S2524" s="23">
        <f t="shared" si="670"/>
        <v>1364607</v>
      </c>
      <c r="T2524" s="23">
        <f t="shared" si="671"/>
        <v>439745</v>
      </c>
      <c r="U2524" t="str">
        <f t="shared" si="672"/>
        <v>CO_state_2020g~Presidential Electors (Vote For 1)</v>
      </c>
      <c r="AF2524" s="22" t="str">
        <f t="shared" si="665"/>
        <v/>
      </c>
    </row>
    <row r="2525" spans="1:45" ht="14.4">
      <c r="A2525" t="str">
        <f t="shared" si="664"/>
        <v>CO_state_2020g~Presidential Electors (Vote For 1)</v>
      </c>
      <c r="B2525" s="79" t="s">
        <v>4940</v>
      </c>
      <c r="C2525" s="79" t="s">
        <v>1292</v>
      </c>
      <c r="D2525" s="79" t="s">
        <v>1292</v>
      </c>
      <c r="E2525" s="79" t="s">
        <v>4942</v>
      </c>
      <c r="F2525" s="79" t="s">
        <v>1296</v>
      </c>
      <c r="G2525" s="82">
        <v>1364607</v>
      </c>
      <c r="H2525" s="83">
        <v>41.9</v>
      </c>
      <c r="I2525" s="82">
        <v>3909131</v>
      </c>
      <c r="J2525" s="82">
        <v>3295189</v>
      </c>
      <c r="K2525" s="79">
        <v>64</v>
      </c>
      <c r="L2525" s="79">
        <v>64</v>
      </c>
      <c r="M2525" s="79">
        <v>0</v>
      </c>
      <c r="N2525" s="79">
        <v>0</v>
      </c>
      <c r="O2525">
        <f t="shared" si="666"/>
        <v>2</v>
      </c>
      <c r="P2525" s="57">
        <f t="shared" si="667"/>
        <v>1</v>
      </c>
      <c r="Q2525" s="267">
        <f t="shared" si="668"/>
        <v>1452600</v>
      </c>
      <c r="R2525" s="23" t="str">
        <f t="shared" si="669"/>
        <v/>
      </c>
      <c r="S2525" s="23">
        <f t="shared" si="670"/>
        <v>1364607</v>
      </c>
      <c r="T2525" s="23" t="str">
        <f t="shared" si="671"/>
        <v/>
      </c>
      <c r="U2525" t="str">
        <f t="shared" si="672"/>
        <v/>
      </c>
      <c r="AF2525" s="22" t="str">
        <f t="shared" si="665"/>
        <v/>
      </c>
      <c r="AO2525" s="356"/>
      <c r="AP2525" s="356"/>
      <c r="AQ2525" s="394"/>
      <c r="AR2525" s="394"/>
      <c r="AS2525" s="394"/>
    </row>
    <row r="2526" spans="1:45" ht="14.4">
      <c r="A2526" t="str">
        <f t="shared" si="664"/>
        <v>CO_state_2020g~Presidential Electors (Vote For 1)</v>
      </c>
      <c r="B2526" s="79" t="s">
        <v>4940</v>
      </c>
      <c r="C2526" s="79" t="s">
        <v>1292</v>
      </c>
      <c r="D2526" s="79" t="s">
        <v>1292</v>
      </c>
      <c r="E2526" s="79" t="s">
        <v>4950</v>
      </c>
      <c r="F2526" s="79" t="s">
        <v>4951</v>
      </c>
      <c r="G2526" s="82">
        <v>52460</v>
      </c>
      <c r="H2526" s="83">
        <v>1.61</v>
      </c>
      <c r="I2526" s="82">
        <v>3909131</v>
      </c>
      <c r="J2526" s="82">
        <v>3295189</v>
      </c>
      <c r="K2526" s="79">
        <v>64</v>
      </c>
      <c r="L2526" s="79">
        <v>64</v>
      </c>
      <c r="M2526" s="79">
        <v>0</v>
      </c>
      <c r="N2526" s="79">
        <v>0</v>
      </c>
      <c r="O2526">
        <f t="shared" si="666"/>
        <v>3</v>
      </c>
      <c r="P2526" s="57">
        <f t="shared" si="667"/>
        <v>1</v>
      </c>
      <c r="Q2526" s="267">
        <f t="shared" si="668"/>
        <v>87993</v>
      </c>
      <c r="R2526" s="23" t="str">
        <f t="shared" si="669"/>
        <v/>
      </c>
      <c r="S2526" s="23">
        <f t="shared" si="670"/>
        <v>52460</v>
      </c>
      <c r="T2526" s="23" t="str">
        <f t="shared" si="671"/>
        <v/>
      </c>
      <c r="U2526" t="str">
        <f t="shared" si="672"/>
        <v/>
      </c>
      <c r="AF2526" s="22" t="str">
        <f t="shared" si="665"/>
        <v/>
      </c>
    </row>
    <row r="2527" spans="1:45" ht="14.4">
      <c r="A2527" t="str">
        <f t="shared" si="664"/>
        <v>CO_state_2020g~Presidential Electors (Vote For 1)</v>
      </c>
      <c r="B2527" s="79" t="s">
        <v>4940</v>
      </c>
      <c r="C2527" s="79" t="s">
        <v>1292</v>
      </c>
      <c r="D2527" s="79" t="s">
        <v>1292</v>
      </c>
      <c r="E2527" s="79" t="s">
        <v>4947</v>
      </c>
      <c r="F2527" s="79" t="s">
        <v>1306</v>
      </c>
      <c r="G2527" s="82">
        <v>8986</v>
      </c>
      <c r="H2527" s="83">
        <v>0.28000000000000003</v>
      </c>
      <c r="I2527" s="82">
        <v>3909131</v>
      </c>
      <c r="J2527" s="82">
        <v>3295189</v>
      </c>
      <c r="K2527" s="79">
        <v>64</v>
      </c>
      <c r="L2527" s="79">
        <v>64</v>
      </c>
      <c r="M2527" s="79">
        <v>0</v>
      </c>
      <c r="N2527" s="79">
        <v>0</v>
      </c>
      <c r="O2527">
        <f t="shared" si="666"/>
        <v>4</v>
      </c>
      <c r="P2527" s="57">
        <f t="shared" si="667"/>
        <v>1</v>
      </c>
      <c r="Q2527" s="267">
        <f t="shared" si="668"/>
        <v>35533</v>
      </c>
      <c r="R2527" s="23" t="str">
        <f t="shared" si="669"/>
        <v/>
      </c>
      <c r="S2527" s="23">
        <f t="shared" si="670"/>
        <v>8986</v>
      </c>
      <c r="T2527" s="23" t="str">
        <f t="shared" si="671"/>
        <v/>
      </c>
      <c r="U2527" t="str">
        <f t="shared" si="672"/>
        <v/>
      </c>
      <c r="AF2527" s="22" t="str">
        <f t="shared" si="665"/>
        <v/>
      </c>
      <c r="AO2527" s="356"/>
      <c r="AP2527" s="356"/>
      <c r="AQ2527" s="394"/>
      <c r="AR2527" s="394"/>
      <c r="AS2527" s="394"/>
    </row>
    <row r="2528" spans="1:45" ht="14.4">
      <c r="A2528" t="str">
        <f t="shared" si="664"/>
        <v>CO_state_2020g~Presidential Electors (Vote For 1)</v>
      </c>
      <c r="B2528" s="79" t="s">
        <v>4940</v>
      </c>
      <c r="C2528" s="79" t="s">
        <v>1292</v>
      </c>
      <c r="D2528" s="79" t="s">
        <v>1292</v>
      </c>
      <c r="E2528" s="79" t="s">
        <v>4974</v>
      </c>
      <c r="F2528" s="79" t="s">
        <v>4955</v>
      </c>
      <c r="G2528" s="82">
        <v>8089</v>
      </c>
      <c r="H2528" s="83">
        <v>0.25</v>
      </c>
      <c r="I2528" s="82">
        <v>3909131</v>
      </c>
      <c r="J2528" s="82">
        <v>3295189</v>
      </c>
      <c r="K2528" s="79">
        <v>64</v>
      </c>
      <c r="L2528" s="79">
        <v>64</v>
      </c>
      <c r="M2528" s="79">
        <v>0</v>
      </c>
      <c r="N2528" s="79">
        <v>0</v>
      </c>
      <c r="O2528">
        <f t="shared" si="666"/>
        <v>5</v>
      </c>
      <c r="P2528" s="57">
        <f t="shared" si="667"/>
        <v>1</v>
      </c>
      <c r="Q2528" s="267">
        <f t="shared" si="668"/>
        <v>26547</v>
      </c>
      <c r="R2528" s="23" t="str">
        <f t="shared" si="669"/>
        <v/>
      </c>
      <c r="S2528" s="23">
        <f t="shared" si="670"/>
        <v>8089</v>
      </c>
      <c r="T2528" s="23" t="str">
        <f t="shared" si="671"/>
        <v/>
      </c>
      <c r="U2528" t="str">
        <f t="shared" si="672"/>
        <v/>
      </c>
      <c r="AF2528" s="22" t="str">
        <f t="shared" si="665"/>
        <v/>
      </c>
      <c r="AO2528" s="356"/>
      <c r="AP2528" s="356"/>
      <c r="AQ2528" s="394"/>
      <c r="AR2528" s="394"/>
      <c r="AS2528" s="394"/>
    </row>
    <row r="2529" spans="1:45" ht="14.4">
      <c r="A2529" t="str">
        <f t="shared" si="664"/>
        <v>CO_state_2020g~Presidential Electors (Vote For 1)</v>
      </c>
      <c r="B2529" s="79" t="s">
        <v>4940</v>
      </c>
      <c r="C2529" s="79" t="s">
        <v>1292</v>
      </c>
      <c r="D2529" s="79" t="s">
        <v>1292</v>
      </c>
      <c r="E2529" s="79" t="s">
        <v>4943</v>
      </c>
      <c r="F2529" s="79" t="s">
        <v>4944</v>
      </c>
      <c r="G2529" s="82">
        <v>5061</v>
      </c>
      <c r="H2529" s="83">
        <v>0.16</v>
      </c>
      <c r="I2529" s="82">
        <v>3909131</v>
      </c>
      <c r="J2529" s="82">
        <v>3295189</v>
      </c>
      <c r="K2529" s="79">
        <v>64</v>
      </c>
      <c r="L2529" s="79">
        <v>64</v>
      </c>
      <c r="M2529" s="79">
        <v>0</v>
      </c>
      <c r="N2529" s="79">
        <v>0</v>
      </c>
      <c r="O2529">
        <f t="shared" si="666"/>
        <v>6</v>
      </c>
      <c r="P2529" s="57">
        <f t="shared" si="667"/>
        <v>1</v>
      </c>
      <c r="Q2529" s="267">
        <f t="shared" si="668"/>
        <v>18458</v>
      </c>
      <c r="R2529" s="23" t="str">
        <f t="shared" si="669"/>
        <v/>
      </c>
      <c r="S2529" s="23">
        <f t="shared" si="670"/>
        <v>5061</v>
      </c>
      <c r="T2529" s="23" t="str">
        <f t="shared" si="671"/>
        <v/>
      </c>
      <c r="U2529" t="str">
        <f t="shared" si="672"/>
        <v/>
      </c>
      <c r="AF2529" s="22" t="str">
        <f t="shared" si="665"/>
        <v/>
      </c>
      <c r="AO2529" s="356"/>
      <c r="AP2529" s="356"/>
      <c r="AQ2529" s="394"/>
      <c r="AR2529" s="394"/>
      <c r="AS2529" s="394"/>
    </row>
    <row r="2530" spans="1:45" ht="14.4">
      <c r="A2530" t="str">
        <f t="shared" si="664"/>
        <v>CO_state_2020g~Presidential Electors (Vote For 1)</v>
      </c>
      <c r="B2530" s="79" t="s">
        <v>4940</v>
      </c>
      <c r="C2530" s="79" t="s">
        <v>1292</v>
      </c>
      <c r="D2530" s="79" t="s">
        <v>1292</v>
      </c>
      <c r="E2530" s="79" t="s">
        <v>4945</v>
      </c>
      <c r="F2530" s="79" t="s">
        <v>4946</v>
      </c>
      <c r="G2530" s="82">
        <v>2730</v>
      </c>
      <c r="H2530" s="83">
        <v>0.08</v>
      </c>
      <c r="I2530" s="82">
        <v>3909131</v>
      </c>
      <c r="J2530" s="82">
        <v>3295189</v>
      </c>
      <c r="K2530" s="79">
        <v>64</v>
      </c>
      <c r="L2530" s="79">
        <v>64</v>
      </c>
      <c r="M2530" s="79">
        <v>0</v>
      </c>
      <c r="N2530" s="79">
        <v>0</v>
      </c>
      <c r="O2530">
        <f t="shared" si="666"/>
        <v>7</v>
      </c>
      <c r="P2530" s="57">
        <f t="shared" si="667"/>
        <v>1</v>
      </c>
      <c r="Q2530" s="267">
        <f t="shared" si="668"/>
        <v>13397</v>
      </c>
      <c r="R2530" s="23" t="str">
        <f t="shared" si="669"/>
        <v/>
      </c>
      <c r="S2530" s="23">
        <f t="shared" si="670"/>
        <v>2730</v>
      </c>
      <c r="T2530" s="23" t="str">
        <f t="shared" si="671"/>
        <v/>
      </c>
      <c r="U2530" t="str">
        <f t="shared" si="672"/>
        <v/>
      </c>
      <c r="AF2530" s="22" t="str">
        <f t="shared" si="665"/>
        <v/>
      </c>
    </row>
    <row r="2531" spans="1:45" ht="14.4">
      <c r="A2531" t="str">
        <f t="shared" si="664"/>
        <v>CO_state_2020g~Presidential Electors (Vote For 1)</v>
      </c>
      <c r="B2531" s="79" t="s">
        <v>4940</v>
      </c>
      <c r="C2531" s="79" t="s">
        <v>1292</v>
      </c>
      <c r="D2531" s="79" t="s">
        <v>1292</v>
      </c>
      <c r="E2531" s="79" t="s">
        <v>4952</v>
      </c>
      <c r="F2531" s="79" t="s">
        <v>4953</v>
      </c>
      <c r="G2531" s="82">
        <v>2515</v>
      </c>
      <c r="H2531" s="83">
        <v>0.08</v>
      </c>
      <c r="I2531" s="82">
        <v>3909131</v>
      </c>
      <c r="J2531" s="82">
        <v>3295189</v>
      </c>
      <c r="K2531" s="79">
        <v>64</v>
      </c>
      <c r="L2531" s="79">
        <v>64</v>
      </c>
      <c r="M2531" s="79">
        <v>0</v>
      </c>
      <c r="N2531" s="79">
        <v>0</v>
      </c>
      <c r="O2531">
        <f t="shared" si="666"/>
        <v>8</v>
      </c>
      <c r="P2531" s="57">
        <f t="shared" si="667"/>
        <v>1</v>
      </c>
      <c r="Q2531" s="267">
        <f t="shared" si="668"/>
        <v>10667</v>
      </c>
      <c r="R2531" s="23" t="str">
        <f t="shared" si="669"/>
        <v/>
      </c>
      <c r="S2531" s="23">
        <f t="shared" si="670"/>
        <v>2515</v>
      </c>
      <c r="T2531" s="23" t="str">
        <f t="shared" si="671"/>
        <v/>
      </c>
      <c r="U2531" t="str">
        <f t="shared" si="672"/>
        <v/>
      </c>
      <c r="AF2531" s="22" t="str">
        <f t="shared" si="665"/>
        <v/>
      </c>
      <c r="AO2531" s="356"/>
      <c r="AP2531" s="356"/>
      <c r="AQ2531" s="394"/>
      <c r="AR2531" s="394"/>
      <c r="AS2531" s="394"/>
    </row>
    <row r="2532" spans="1:45" ht="14.4">
      <c r="A2532" t="str">
        <f t="shared" si="664"/>
        <v>CO_state_2020g~Presidential Electors (Vote For 1)</v>
      </c>
      <c r="B2532" s="79" t="s">
        <v>4940</v>
      </c>
      <c r="C2532" s="79" t="s">
        <v>1292</v>
      </c>
      <c r="D2532" s="79" t="s">
        <v>1292</v>
      </c>
      <c r="E2532" s="79" t="s">
        <v>4954</v>
      </c>
      <c r="F2532" s="79" t="s">
        <v>4955</v>
      </c>
      <c r="G2532" s="82">
        <v>2011</v>
      </c>
      <c r="H2532" s="83">
        <v>0.06</v>
      </c>
      <c r="I2532" s="82">
        <v>3909131</v>
      </c>
      <c r="J2532" s="82">
        <v>3295189</v>
      </c>
      <c r="K2532" s="79">
        <v>64</v>
      </c>
      <c r="L2532" s="79">
        <v>64</v>
      </c>
      <c r="M2532" s="79">
        <v>0</v>
      </c>
      <c r="N2532" s="79">
        <v>0</v>
      </c>
      <c r="O2532">
        <f t="shared" si="666"/>
        <v>9</v>
      </c>
      <c r="P2532" s="57">
        <f t="shared" si="667"/>
        <v>1</v>
      </c>
      <c r="Q2532" s="267">
        <f t="shared" si="668"/>
        <v>8152</v>
      </c>
      <c r="R2532" s="23" t="str">
        <f t="shared" si="669"/>
        <v/>
      </c>
      <c r="S2532" s="23">
        <f t="shared" si="670"/>
        <v>2011</v>
      </c>
      <c r="T2532" s="23" t="str">
        <f t="shared" si="671"/>
        <v/>
      </c>
      <c r="U2532" t="str">
        <f t="shared" si="672"/>
        <v/>
      </c>
      <c r="AF2532" s="22" t="str">
        <f t="shared" si="665"/>
        <v/>
      </c>
      <c r="AO2532" s="356"/>
      <c r="AP2532" s="356"/>
      <c r="AQ2532" s="394"/>
      <c r="AR2532" s="394"/>
      <c r="AS2532" s="394"/>
    </row>
    <row r="2533" spans="1:45" ht="14.4">
      <c r="A2533" t="str">
        <f t="shared" si="664"/>
        <v>CO_state_2020g~Presidential Electors (Vote For 1)</v>
      </c>
      <c r="B2533" s="79" t="s">
        <v>4940</v>
      </c>
      <c r="C2533" s="79" t="s">
        <v>1292</v>
      </c>
      <c r="D2533" s="79" t="s">
        <v>1292</v>
      </c>
      <c r="E2533" s="79" t="s">
        <v>4969</v>
      </c>
      <c r="F2533" s="79" t="s">
        <v>4970</v>
      </c>
      <c r="G2533" s="82">
        <v>1035</v>
      </c>
      <c r="H2533" s="83">
        <v>0.03</v>
      </c>
      <c r="I2533" s="82">
        <v>3909131</v>
      </c>
      <c r="J2533" s="82">
        <v>3295189</v>
      </c>
      <c r="K2533" s="79">
        <v>64</v>
      </c>
      <c r="L2533" s="79">
        <v>64</v>
      </c>
      <c r="M2533" s="79">
        <v>0</v>
      </c>
      <c r="N2533" s="79">
        <v>0</v>
      </c>
      <c r="O2533">
        <f t="shared" si="666"/>
        <v>10</v>
      </c>
      <c r="P2533" s="57">
        <f t="shared" si="667"/>
        <v>1</v>
      </c>
      <c r="Q2533" s="267">
        <f t="shared" si="668"/>
        <v>6141</v>
      </c>
      <c r="R2533" s="23" t="str">
        <f t="shared" si="669"/>
        <v/>
      </c>
      <c r="S2533" s="23">
        <f t="shared" si="670"/>
        <v>1035</v>
      </c>
      <c r="T2533" s="23" t="str">
        <f t="shared" si="671"/>
        <v/>
      </c>
      <c r="U2533" t="str">
        <f t="shared" si="672"/>
        <v/>
      </c>
      <c r="AF2533" s="22" t="str">
        <f t="shared" si="665"/>
        <v/>
      </c>
      <c r="AO2533" s="356"/>
      <c r="AP2533" s="356"/>
      <c r="AQ2533" s="394"/>
      <c r="AR2533" s="394"/>
      <c r="AS2533" s="394"/>
    </row>
    <row r="2534" spans="1:45" ht="14.4">
      <c r="A2534" t="str">
        <f t="shared" si="664"/>
        <v>CO_state_2020g~Presidential Electors (Vote For 1)</v>
      </c>
      <c r="B2534" s="79" t="s">
        <v>4940</v>
      </c>
      <c r="C2534" s="79" t="s">
        <v>1292</v>
      </c>
      <c r="D2534" s="79" t="s">
        <v>1292</v>
      </c>
      <c r="E2534" s="79" t="s">
        <v>4967</v>
      </c>
      <c r="F2534" s="79" t="s">
        <v>4968</v>
      </c>
      <c r="G2534" s="82">
        <v>762</v>
      </c>
      <c r="H2534" s="83">
        <v>0.02</v>
      </c>
      <c r="I2534" s="82">
        <v>3909131</v>
      </c>
      <c r="J2534" s="82">
        <v>3295189</v>
      </c>
      <c r="K2534" s="79">
        <v>64</v>
      </c>
      <c r="L2534" s="79">
        <v>64</v>
      </c>
      <c r="M2534" s="79">
        <v>0</v>
      </c>
      <c r="N2534" s="79">
        <v>0</v>
      </c>
      <c r="O2534">
        <f t="shared" si="666"/>
        <v>11</v>
      </c>
      <c r="P2534" s="57">
        <f t="shared" si="667"/>
        <v>1</v>
      </c>
      <c r="Q2534" s="267">
        <f t="shared" si="668"/>
        <v>5106</v>
      </c>
      <c r="R2534" s="23" t="str">
        <f t="shared" si="669"/>
        <v/>
      </c>
      <c r="S2534" s="23">
        <f t="shared" si="670"/>
        <v>762</v>
      </c>
      <c r="T2534" s="23" t="str">
        <f t="shared" si="671"/>
        <v/>
      </c>
      <c r="U2534" t="str">
        <f t="shared" si="672"/>
        <v/>
      </c>
      <c r="AF2534" s="22" t="str">
        <f t="shared" si="665"/>
        <v/>
      </c>
      <c r="AO2534" s="356"/>
      <c r="AP2534" s="356"/>
      <c r="AQ2534" s="394"/>
      <c r="AR2534" s="394"/>
      <c r="AS2534" s="394"/>
    </row>
    <row r="2535" spans="1:45" ht="14.4">
      <c r="A2535" t="str">
        <f t="shared" si="664"/>
        <v>CO_state_2020g~Presidential Electors (Vote For 1)</v>
      </c>
      <c r="B2535" s="79" t="s">
        <v>4940</v>
      </c>
      <c r="C2535" s="79" t="s">
        <v>1292</v>
      </c>
      <c r="D2535" s="79" t="s">
        <v>1292</v>
      </c>
      <c r="E2535" s="79" t="s">
        <v>4958</v>
      </c>
      <c r="F2535" s="79" t="s">
        <v>4959</v>
      </c>
      <c r="G2535" s="82">
        <v>636</v>
      </c>
      <c r="H2535" s="83">
        <v>0.02</v>
      </c>
      <c r="I2535" s="82">
        <v>3909131</v>
      </c>
      <c r="J2535" s="82">
        <v>3295189</v>
      </c>
      <c r="K2535" s="79">
        <v>64</v>
      </c>
      <c r="L2535" s="79">
        <v>64</v>
      </c>
      <c r="M2535" s="79">
        <v>0</v>
      </c>
      <c r="N2535" s="79">
        <v>0</v>
      </c>
      <c r="O2535">
        <f t="shared" si="666"/>
        <v>12</v>
      </c>
      <c r="P2535" s="57">
        <f t="shared" si="667"/>
        <v>1</v>
      </c>
      <c r="Q2535" s="267">
        <f t="shared" si="668"/>
        <v>4344</v>
      </c>
      <c r="R2535" s="23" t="str">
        <f t="shared" si="669"/>
        <v/>
      </c>
      <c r="S2535" s="23">
        <f t="shared" si="670"/>
        <v>636</v>
      </c>
      <c r="T2535" s="23" t="str">
        <f t="shared" si="671"/>
        <v/>
      </c>
      <c r="U2535" t="str">
        <f t="shared" si="672"/>
        <v/>
      </c>
      <c r="AF2535" s="22" t="str">
        <f t="shared" si="665"/>
        <v/>
      </c>
    </row>
    <row r="2536" spans="1:45" ht="14.4">
      <c r="A2536" t="str">
        <f t="shared" si="664"/>
        <v>CO_state_2020g~Presidential Electors (Vote For 1)</v>
      </c>
      <c r="B2536" s="79" t="s">
        <v>4940</v>
      </c>
      <c r="C2536" s="79" t="s">
        <v>1292</v>
      </c>
      <c r="D2536" s="79" t="s">
        <v>1292</v>
      </c>
      <c r="E2536" s="79" t="s">
        <v>4971</v>
      </c>
      <c r="F2536" s="79" t="s">
        <v>4955</v>
      </c>
      <c r="G2536" s="82">
        <v>614</v>
      </c>
      <c r="H2536" s="83">
        <v>0.02</v>
      </c>
      <c r="I2536" s="82">
        <v>3909131</v>
      </c>
      <c r="J2536" s="82">
        <v>3295189</v>
      </c>
      <c r="K2536" s="79">
        <v>64</v>
      </c>
      <c r="L2536" s="79">
        <v>64</v>
      </c>
      <c r="M2536" s="79">
        <v>0</v>
      </c>
      <c r="N2536" s="79">
        <v>0</v>
      </c>
      <c r="O2536">
        <f t="shared" si="666"/>
        <v>13</v>
      </c>
      <c r="P2536" s="57">
        <f t="shared" si="667"/>
        <v>1</v>
      </c>
      <c r="Q2536" s="267">
        <f t="shared" si="668"/>
        <v>3708</v>
      </c>
      <c r="R2536" s="23" t="str">
        <f t="shared" si="669"/>
        <v/>
      </c>
      <c r="S2536" s="23">
        <f t="shared" si="670"/>
        <v>614</v>
      </c>
      <c r="T2536" s="23" t="str">
        <f t="shared" si="671"/>
        <v/>
      </c>
      <c r="U2536" t="str">
        <f t="shared" si="672"/>
        <v/>
      </c>
      <c r="AF2536" s="22" t="str">
        <f t="shared" si="665"/>
        <v/>
      </c>
      <c r="AO2536" s="356"/>
      <c r="AP2536" s="356"/>
      <c r="AQ2536" s="394"/>
      <c r="AR2536" s="394"/>
      <c r="AS2536" s="394"/>
    </row>
    <row r="2537" spans="1:45" ht="14.4">
      <c r="A2537" t="str">
        <f t="shared" si="664"/>
        <v>CO_state_2020g~Presidential Electors (Vote For 1)</v>
      </c>
      <c r="B2537" s="79" t="s">
        <v>4940</v>
      </c>
      <c r="C2537" s="79" t="s">
        <v>1292</v>
      </c>
      <c r="D2537" s="79" t="s">
        <v>1292</v>
      </c>
      <c r="E2537" s="79" t="s">
        <v>4972</v>
      </c>
      <c r="F2537" s="79" t="s">
        <v>4955</v>
      </c>
      <c r="G2537" s="82">
        <v>572</v>
      </c>
      <c r="H2537" s="83">
        <v>0.02</v>
      </c>
      <c r="I2537" s="82">
        <v>3909131</v>
      </c>
      <c r="J2537" s="82">
        <v>3295189</v>
      </c>
      <c r="K2537" s="79">
        <v>64</v>
      </c>
      <c r="L2537" s="79">
        <v>64</v>
      </c>
      <c r="M2537" s="79">
        <v>0</v>
      </c>
      <c r="N2537" s="79">
        <v>0</v>
      </c>
      <c r="O2537">
        <f t="shared" si="666"/>
        <v>14</v>
      </c>
      <c r="P2537" s="57">
        <f t="shared" si="667"/>
        <v>1</v>
      </c>
      <c r="Q2537" s="267">
        <f t="shared" si="668"/>
        <v>3094</v>
      </c>
      <c r="R2537" s="23" t="str">
        <f t="shared" si="669"/>
        <v/>
      </c>
      <c r="S2537" s="23">
        <f t="shared" si="670"/>
        <v>572</v>
      </c>
      <c r="T2537" s="23" t="str">
        <f t="shared" si="671"/>
        <v/>
      </c>
      <c r="U2537" t="str">
        <f t="shared" si="672"/>
        <v/>
      </c>
      <c r="AF2537" s="22" t="str">
        <f t="shared" si="665"/>
        <v/>
      </c>
      <c r="AO2537" s="356"/>
      <c r="AP2537" s="356"/>
      <c r="AQ2537" s="394"/>
      <c r="AR2537" s="394"/>
      <c r="AS2537" s="394"/>
    </row>
    <row r="2538" spans="1:45" ht="14.4">
      <c r="A2538" t="str">
        <f t="shared" si="664"/>
        <v>CO_state_2020g~Presidential Electors (Vote For 1)</v>
      </c>
      <c r="B2538" s="79" t="s">
        <v>4940</v>
      </c>
      <c r="C2538" s="79" t="s">
        <v>1292</v>
      </c>
      <c r="D2538" s="79" t="s">
        <v>1292</v>
      </c>
      <c r="E2538" s="79" t="s">
        <v>4956</v>
      </c>
      <c r="F2538" s="79" t="s">
        <v>4957</v>
      </c>
      <c r="G2538" s="82">
        <v>568</v>
      </c>
      <c r="H2538" s="83">
        <v>0.02</v>
      </c>
      <c r="I2538" s="82">
        <v>3909131</v>
      </c>
      <c r="J2538" s="82">
        <v>3295189</v>
      </c>
      <c r="K2538" s="79">
        <v>64</v>
      </c>
      <c r="L2538" s="79">
        <v>64</v>
      </c>
      <c r="M2538" s="79">
        <v>0</v>
      </c>
      <c r="N2538" s="79">
        <v>0</v>
      </c>
      <c r="O2538">
        <f t="shared" si="666"/>
        <v>15</v>
      </c>
      <c r="P2538" s="57">
        <f t="shared" si="667"/>
        <v>1</v>
      </c>
      <c r="Q2538" s="267">
        <f t="shared" si="668"/>
        <v>2522</v>
      </c>
      <c r="R2538" s="23" t="str">
        <f t="shared" si="669"/>
        <v/>
      </c>
      <c r="S2538" s="23">
        <f t="shared" si="670"/>
        <v>568</v>
      </c>
      <c r="T2538" s="23" t="str">
        <f t="shared" si="671"/>
        <v/>
      </c>
      <c r="U2538" t="str">
        <f t="shared" si="672"/>
        <v/>
      </c>
      <c r="AF2538" s="22" t="str">
        <f t="shared" si="665"/>
        <v/>
      </c>
    </row>
    <row r="2539" spans="1:45" ht="14.4">
      <c r="A2539" t="str">
        <f t="shared" si="664"/>
        <v>CO_state_2020g~Presidential Electors (Vote For 1)</v>
      </c>
      <c r="B2539" s="79" t="s">
        <v>4940</v>
      </c>
      <c r="C2539" s="79" t="s">
        <v>1292</v>
      </c>
      <c r="D2539" s="79" t="s">
        <v>1292</v>
      </c>
      <c r="E2539" s="79" t="s">
        <v>4962</v>
      </c>
      <c r="F2539" s="79" t="s">
        <v>4955</v>
      </c>
      <c r="G2539" s="82">
        <v>495</v>
      </c>
      <c r="H2539" s="83">
        <v>0.02</v>
      </c>
      <c r="I2539" s="82">
        <v>3909131</v>
      </c>
      <c r="J2539" s="82">
        <v>3295189</v>
      </c>
      <c r="K2539" s="79">
        <v>64</v>
      </c>
      <c r="L2539" s="79">
        <v>64</v>
      </c>
      <c r="M2539" s="79">
        <v>0</v>
      </c>
      <c r="N2539" s="79">
        <v>0</v>
      </c>
      <c r="O2539">
        <f t="shared" si="666"/>
        <v>16</v>
      </c>
      <c r="P2539" s="57">
        <f t="shared" si="667"/>
        <v>1</v>
      </c>
      <c r="Q2539" s="267">
        <f t="shared" si="668"/>
        <v>1954</v>
      </c>
      <c r="R2539" s="23" t="str">
        <f t="shared" si="669"/>
        <v/>
      </c>
      <c r="S2539" s="23">
        <f t="shared" si="670"/>
        <v>495</v>
      </c>
      <c r="T2539" s="23" t="str">
        <f t="shared" si="671"/>
        <v/>
      </c>
      <c r="U2539" t="str">
        <f t="shared" si="672"/>
        <v/>
      </c>
      <c r="AF2539" s="22" t="str">
        <f t="shared" si="665"/>
        <v/>
      </c>
    </row>
    <row r="2540" spans="1:45" ht="14.4">
      <c r="A2540" t="str">
        <f t="shared" si="664"/>
        <v>CO_state_2020g~Presidential Electors (Vote For 1)</v>
      </c>
      <c r="B2540" s="79" t="s">
        <v>4940</v>
      </c>
      <c r="C2540" s="79" t="s">
        <v>1292</v>
      </c>
      <c r="D2540" s="79" t="s">
        <v>1292</v>
      </c>
      <c r="E2540" s="79" t="s">
        <v>4960</v>
      </c>
      <c r="F2540" s="79" t="s">
        <v>4961</v>
      </c>
      <c r="G2540" s="82">
        <v>379</v>
      </c>
      <c r="H2540" s="83">
        <v>0.01</v>
      </c>
      <c r="I2540" s="82">
        <v>3909131</v>
      </c>
      <c r="J2540" s="82">
        <v>3295189</v>
      </c>
      <c r="K2540" s="79">
        <v>64</v>
      </c>
      <c r="L2540" s="79">
        <v>64</v>
      </c>
      <c r="M2540" s="79">
        <v>0</v>
      </c>
      <c r="N2540" s="79">
        <v>0</v>
      </c>
      <c r="O2540">
        <f t="shared" si="666"/>
        <v>17</v>
      </c>
      <c r="P2540" s="57">
        <f t="shared" si="667"/>
        <v>1</v>
      </c>
      <c r="Q2540" s="267">
        <f t="shared" si="668"/>
        <v>1459</v>
      </c>
      <c r="R2540" s="23" t="str">
        <f t="shared" si="669"/>
        <v/>
      </c>
      <c r="S2540" s="23">
        <f t="shared" si="670"/>
        <v>379</v>
      </c>
      <c r="T2540" s="23" t="str">
        <f t="shared" si="671"/>
        <v/>
      </c>
      <c r="U2540" t="str">
        <f t="shared" si="672"/>
        <v/>
      </c>
      <c r="AF2540" s="22" t="str">
        <f t="shared" si="665"/>
        <v/>
      </c>
    </row>
    <row r="2541" spans="1:45" ht="14.4">
      <c r="A2541" t="str">
        <f t="shared" si="664"/>
        <v>CO_state_2020g~Presidential Electors (Vote For 1)</v>
      </c>
      <c r="B2541" s="79" t="s">
        <v>4940</v>
      </c>
      <c r="C2541" s="79" t="s">
        <v>1292</v>
      </c>
      <c r="D2541" s="79" t="s">
        <v>1292</v>
      </c>
      <c r="E2541" s="79" t="s">
        <v>4948</v>
      </c>
      <c r="F2541" s="79" t="s">
        <v>4949</v>
      </c>
      <c r="G2541" s="82">
        <v>355</v>
      </c>
      <c r="H2541" s="83">
        <v>0.01</v>
      </c>
      <c r="I2541" s="82">
        <v>3909131</v>
      </c>
      <c r="J2541" s="82">
        <v>3295189</v>
      </c>
      <c r="K2541" s="79">
        <v>64</v>
      </c>
      <c r="L2541" s="79">
        <v>64</v>
      </c>
      <c r="M2541" s="79">
        <v>0</v>
      </c>
      <c r="N2541" s="79">
        <v>0</v>
      </c>
      <c r="O2541">
        <f t="shared" si="666"/>
        <v>18</v>
      </c>
      <c r="P2541" s="57">
        <f t="shared" si="667"/>
        <v>1</v>
      </c>
      <c r="Q2541" s="267">
        <f t="shared" si="668"/>
        <v>1080</v>
      </c>
      <c r="R2541" s="23" t="str">
        <f t="shared" si="669"/>
        <v/>
      </c>
      <c r="S2541" s="23">
        <f t="shared" si="670"/>
        <v>355</v>
      </c>
      <c r="T2541" s="23" t="str">
        <f t="shared" si="671"/>
        <v/>
      </c>
      <c r="U2541" t="str">
        <f t="shared" si="672"/>
        <v/>
      </c>
      <c r="AF2541" s="22" t="str">
        <f t="shared" si="665"/>
        <v/>
      </c>
    </row>
    <row r="2542" spans="1:45" ht="14.4">
      <c r="A2542" t="str">
        <f t="shared" si="664"/>
        <v>CO_state_2020g~Presidential Electors (Vote For 1)</v>
      </c>
      <c r="B2542" s="79" t="s">
        <v>4940</v>
      </c>
      <c r="C2542" s="79" t="s">
        <v>1292</v>
      </c>
      <c r="D2542" s="79" t="s">
        <v>1292</v>
      </c>
      <c r="E2542" s="79" t="s">
        <v>4963</v>
      </c>
      <c r="F2542" s="79" t="s">
        <v>4964</v>
      </c>
      <c r="G2542" s="82">
        <v>354</v>
      </c>
      <c r="H2542" s="83">
        <v>0.01</v>
      </c>
      <c r="I2542" s="82">
        <v>3909131</v>
      </c>
      <c r="J2542" s="82">
        <v>3295189</v>
      </c>
      <c r="K2542" s="79">
        <v>64</v>
      </c>
      <c r="L2542" s="79">
        <v>64</v>
      </c>
      <c r="M2542" s="79">
        <v>0</v>
      </c>
      <c r="N2542" s="79">
        <v>0</v>
      </c>
      <c r="O2542">
        <f t="shared" si="666"/>
        <v>19</v>
      </c>
      <c r="P2542" s="57">
        <f t="shared" si="667"/>
        <v>1</v>
      </c>
      <c r="Q2542" s="267">
        <f t="shared" si="668"/>
        <v>725</v>
      </c>
      <c r="R2542" s="23" t="str">
        <f t="shared" si="669"/>
        <v/>
      </c>
      <c r="S2542" s="23">
        <f t="shared" si="670"/>
        <v>354</v>
      </c>
      <c r="T2542" s="23" t="str">
        <f t="shared" si="671"/>
        <v/>
      </c>
      <c r="U2542" t="str">
        <f t="shared" si="672"/>
        <v/>
      </c>
      <c r="AF2542" s="22" t="str">
        <f t="shared" si="665"/>
        <v/>
      </c>
    </row>
    <row r="2543" spans="1:45" ht="14.4">
      <c r="A2543" t="str">
        <f t="shared" si="664"/>
        <v>CO_state_2020g~Presidential Electors (Vote For 1)</v>
      </c>
      <c r="B2543" s="79" t="s">
        <v>4940</v>
      </c>
      <c r="C2543" s="79" t="s">
        <v>1292</v>
      </c>
      <c r="D2543" s="79" t="s">
        <v>1292</v>
      </c>
      <c r="E2543" s="79" t="s">
        <v>4965</v>
      </c>
      <c r="F2543" s="79" t="s">
        <v>4966</v>
      </c>
      <c r="G2543" s="82">
        <v>196</v>
      </c>
      <c r="H2543" s="83">
        <v>0.01</v>
      </c>
      <c r="I2543" s="82">
        <v>3909131</v>
      </c>
      <c r="J2543" s="82">
        <v>3295189</v>
      </c>
      <c r="K2543" s="79">
        <v>64</v>
      </c>
      <c r="L2543" s="79">
        <v>64</v>
      </c>
      <c r="M2543" s="79">
        <v>0</v>
      </c>
      <c r="N2543" s="79">
        <v>0</v>
      </c>
      <c r="O2543">
        <f t="shared" si="666"/>
        <v>20</v>
      </c>
      <c r="P2543" s="57">
        <f t="shared" si="667"/>
        <v>1</v>
      </c>
      <c r="Q2543" s="267">
        <f t="shared" si="668"/>
        <v>371</v>
      </c>
      <c r="R2543" s="23" t="str">
        <f t="shared" si="669"/>
        <v/>
      </c>
      <c r="S2543" s="23">
        <f t="shared" si="670"/>
        <v>196</v>
      </c>
      <c r="T2543" s="23" t="str">
        <f t="shared" si="671"/>
        <v/>
      </c>
      <c r="U2543" t="str">
        <f t="shared" si="672"/>
        <v/>
      </c>
      <c r="AF2543" s="22" t="str">
        <f t="shared" si="665"/>
        <v/>
      </c>
    </row>
    <row r="2544" spans="1:45" ht="14.4">
      <c r="A2544" t="str">
        <f t="shared" si="664"/>
        <v>CO_state_2020g~Presidential Electors (Vote For 1)</v>
      </c>
      <c r="B2544" s="79" t="s">
        <v>4940</v>
      </c>
      <c r="C2544" s="79" t="s">
        <v>1292</v>
      </c>
      <c r="D2544" s="79" t="s">
        <v>1292</v>
      </c>
      <c r="E2544" s="79" t="s">
        <v>4973</v>
      </c>
      <c r="F2544" s="79" t="s">
        <v>4955</v>
      </c>
      <c r="G2544" s="82">
        <v>175</v>
      </c>
      <c r="H2544" s="83">
        <v>0.01</v>
      </c>
      <c r="I2544" s="82">
        <v>3909131</v>
      </c>
      <c r="J2544" s="82">
        <v>3295189</v>
      </c>
      <c r="K2544" s="79">
        <v>64</v>
      </c>
      <c r="L2544" s="79">
        <v>64</v>
      </c>
      <c r="M2544" s="79">
        <v>0</v>
      </c>
      <c r="N2544" s="79">
        <v>0</v>
      </c>
      <c r="O2544">
        <f t="shared" si="666"/>
        <v>21</v>
      </c>
      <c r="P2544" s="57">
        <f t="shared" si="667"/>
        <v>1</v>
      </c>
      <c r="Q2544" s="267">
        <f t="shared" si="668"/>
        <v>175</v>
      </c>
      <c r="R2544" s="23" t="str">
        <f t="shared" si="669"/>
        <v/>
      </c>
      <c r="S2544" s="23">
        <f t="shared" si="670"/>
        <v>175</v>
      </c>
      <c r="T2544" s="23" t="str">
        <f t="shared" si="671"/>
        <v/>
      </c>
      <c r="U2544" t="str">
        <f t="shared" si="672"/>
        <v/>
      </c>
      <c r="AF2544" s="22" t="str">
        <f t="shared" si="665"/>
        <v/>
      </c>
    </row>
    <row r="2545" spans="1:38" ht="14.4">
      <c r="A2545" t="str">
        <f t="shared" si="664"/>
        <v>CO_state_2020g~Proposition 113 (STATUTORY) (Vote For 1)</v>
      </c>
      <c r="B2545" s="79" t="s">
        <v>4940</v>
      </c>
      <c r="C2545" s="79" t="s">
        <v>5280</v>
      </c>
      <c r="D2545" s="79" t="s">
        <v>5280</v>
      </c>
      <c r="E2545" s="79" t="s">
        <v>5274</v>
      </c>
      <c r="F2545" s="79" t="s">
        <v>1508</v>
      </c>
      <c r="G2545" s="82">
        <v>1644716</v>
      </c>
      <c r="H2545" s="83">
        <v>52.33</v>
      </c>
      <c r="I2545" s="82">
        <v>3909131</v>
      </c>
      <c r="J2545" s="82">
        <v>3295189</v>
      </c>
      <c r="K2545" s="79">
        <v>64</v>
      </c>
      <c r="L2545" s="79">
        <v>64</v>
      </c>
      <c r="M2545" s="79">
        <v>0</v>
      </c>
      <c r="N2545" s="79">
        <v>0</v>
      </c>
      <c r="O2545">
        <f t="shared" si="666"/>
        <v>1</v>
      </c>
      <c r="P2545" s="57">
        <f t="shared" si="667"/>
        <v>1</v>
      </c>
      <c r="Q2545" s="267">
        <f t="shared" si="668"/>
        <v>3143216</v>
      </c>
      <c r="R2545" s="23">
        <f t="shared" si="669"/>
        <v>1644716</v>
      </c>
      <c r="S2545" s="23">
        <f t="shared" si="670"/>
        <v>1498500</v>
      </c>
      <c r="T2545" s="23">
        <f t="shared" si="671"/>
        <v>146216</v>
      </c>
      <c r="U2545" t="str">
        <f t="shared" si="672"/>
        <v>CO_state_2020g~Proposition 113 (STATUTORY) (Vote For 1)</v>
      </c>
      <c r="AF2545" s="22" t="str">
        <f t="shared" si="665"/>
        <v/>
      </c>
    </row>
    <row r="2546" spans="1:38" ht="14.4">
      <c r="A2546" t="str">
        <f t="shared" ref="A2546:A2609" si="673">CONCATENATE(B2546,"~",D2546)</f>
        <v>CO_state_2020g~Proposition 113 (STATUTORY) (Vote For 1)</v>
      </c>
      <c r="B2546" s="79" t="s">
        <v>4940</v>
      </c>
      <c r="C2546" s="79" t="s">
        <v>5280</v>
      </c>
      <c r="D2546" s="79" t="s">
        <v>5280</v>
      </c>
      <c r="E2546" s="79" t="s">
        <v>5275</v>
      </c>
      <c r="F2546" s="79" t="s">
        <v>1509</v>
      </c>
      <c r="G2546" s="82">
        <v>1498500</v>
      </c>
      <c r="H2546" s="83">
        <v>47.67</v>
      </c>
      <c r="I2546" s="82">
        <v>3909131</v>
      </c>
      <c r="J2546" s="82">
        <v>3295189</v>
      </c>
      <c r="K2546" s="79">
        <v>64</v>
      </c>
      <c r="L2546" s="79">
        <v>64</v>
      </c>
      <c r="M2546" s="79">
        <v>0</v>
      </c>
      <c r="N2546" s="79">
        <v>0</v>
      </c>
      <c r="O2546">
        <f t="shared" si="666"/>
        <v>2</v>
      </c>
      <c r="P2546" s="57">
        <f t="shared" si="667"/>
        <v>1</v>
      </c>
      <c r="Q2546" s="267">
        <f t="shared" si="668"/>
        <v>1498500</v>
      </c>
      <c r="R2546" s="23" t="str">
        <f t="shared" si="669"/>
        <v/>
      </c>
      <c r="S2546" s="23">
        <f t="shared" si="670"/>
        <v>1498500</v>
      </c>
      <c r="T2546" s="23" t="str">
        <f t="shared" si="671"/>
        <v/>
      </c>
      <c r="U2546" t="str">
        <f t="shared" si="672"/>
        <v/>
      </c>
      <c r="AF2546" s="22" t="str">
        <f t="shared" si="665"/>
        <v/>
      </c>
    </row>
    <row r="2547" spans="1:38" ht="14.4">
      <c r="A2547" t="str">
        <f t="shared" si="673"/>
        <v>CO_state_2020g~Proposition 114 (STATUTORY) (Vote For 1)</v>
      </c>
      <c r="B2547" s="79" t="s">
        <v>4940</v>
      </c>
      <c r="C2547" s="79" t="s">
        <v>5281</v>
      </c>
      <c r="D2547" s="79" t="s">
        <v>5281</v>
      </c>
      <c r="E2547" s="79" t="s">
        <v>5274</v>
      </c>
      <c r="F2547" s="79" t="s">
        <v>1508</v>
      </c>
      <c r="G2547" s="82">
        <v>1590299</v>
      </c>
      <c r="H2547" s="83">
        <v>50.91</v>
      </c>
      <c r="I2547" s="82">
        <v>3909131</v>
      </c>
      <c r="J2547" s="82">
        <v>3295189</v>
      </c>
      <c r="K2547" s="79">
        <v>64</v>
      </c>
      <c r="L2547" s="79">
        <v>64</v>
      </c>
      <c r="M2547" s="79">
        <v>0</v>
      </c>
      <c r="N2547" s="79">
        <v>0</v>
      </c>
      <c r="O2547">
        <f t="shared" si="666"/>
        <v>1</v>
      </c>
      <c r="P2547" s="57">
        <f t="shared" si="667"/>
        <v>1</v>
      </c>
      <c r="Q2547" s="267">
        <f t="shared" si="668"/>
        <v>3123612</v>
      </c>
      <c r="R2547" s="23">
        <f t="shared" si="669"/>
        <v>1590299</v>
      </c>
      <c r="S2547" s="23">
        <f t="shared" si="670"/>
        <v>1533313</v>
      </c>
      <c r="T2547" s="23">
        <f t="shared" si="671"/>
        <v>56986</v>
      </c>
      <c r="U2547" t="str">
        <f t="shared" si="672"/>
        <v>CO_state_2020g~Proposition 114 (STATUTORY) (Vote For 1)</v>
      </c>
      <c r="AF2547" s="22" t="str">
        <f t="shared" si="665"/>
        <v/>
      </c>
    </row>
    <row r="2548" spans="1:38" ht="14.4">
      <c r="A2548" t="str">
        <f t="shared" si="673"/>
        <v>CO_state_2020g~Proposition 114 (STATUTORY) (Vote For 1)</v>
      </c>
      <c r="B2548" s="79" t="s">
        <v>4940</v>
      </c>
      <c r="C2548" s="79" t="s">
        <v>5281</v>
      </c>
      <c r="D2548" s="79" t="s">
        <v>5281</v>
      </c>
      <c r="E2548" s="79" t="s">
        <v>5275</v>
      </c>
      <c r="F2548" s="79" t="s">
        <v>1509</v>
      </c>
      <c r="G2548" s="82">
        <v>1533313</v>
      </c>
      <c r="H2548" s="83">
        <v>49.09</v>
      </c>
      <c r="I2548" s="82">
        <v>3909131</v>
      </c>
      <c r="J2548" s="82">
        <v>3295189</v>
      </c>
      <c r="K2548" s="79">
        <v>64</v>
      </c>
      <c r="L2548" s="79">
        <v>64</v>
      </c>
      <c r="M2548" s="79">
        <v>0</v>
      </c>
      <c r="N2548" s="79">
        <v>0</v>
      </c>
      <c r="O2548">
        <f t="shared" si="666"/>
        <v>2</v>
      </c>
      <c r="P2548" s="57">
        <f t="shared" si="667"/>
        <v>1</v>
      </c>
      <c r="Q2548" s="267">
        <f t="shared" si="668"/>
        <v>1533313</v>
      </c>
      <c r="R2548" s="23" t="str">
        <f t="shared" si="669"/>
        <v/>
      </c>
      <c r="S2548" s="23">
        <f t="shared" si="670"/>
        <v>1533313</v>
      </c>
      <c r="T2548" s="23" t="str">
        <f t="shared" si="671"/>
        <v/>
      </c>
      <c r="U2548" t="str">
        <f t="shared" si="672"/>
        <v/>
      </c>
      <c r="AF2548" s="22" t="str">
        <f t="shared" si="665"/>
        <v/>
      </c>
    </row>
    <row r="2549" spans="1:38" ht="14.4">
      <c r="A2549" t="str">
        <f t="shared" si="673"/>
        <v>CO_state_2020g~Proposition 115 (STATUTORY) (Vote For 1)</v>
      </c>
      <c r="B2549" s="79" t="s">
        <v>4940</v>
      </c>
      <c r="C2549" s="79" t="s">
        <v>5282</v>
      </c>
      <c r="D2549" s="79" t="s">
        <v>5282</v>
      </c>
      <c r="E2549" s="79" t="s">
        <v>5275</v>
      </c>
      <c r="F2549" s="79" t="s">
        <v>1509</v>
      </c>
      <c r="G2549" s="82">
        <v>1859479</v>
      </c>
      <c r="H2549" s="83">
        <v>58.99</v>
      </c>
      <c r="I2549" s="82">
        <v>3909131</v>
      </c>
      <c r="J2549" s="82">
        <v>3295189</v>
      </c>
      <c r="K2549" s="79">
        <v>64</v>
      </c>
      <c r="L2549" s="79">
        <v>64</v>
      </c>
      <c r="M2549" s="79">
        <v>0</v>
      </c>
      <c r="N2549" s="79">
        <v>0</v>
      </c>
      <c r="O2549">
        <f t="shared" si="666"/>
        <v>1</v>
      </c>
      <c r="P2549" s="57">
        <f t="shared" si="667"/>
        <v>1</v>
      </c>
      <c r="Q2549" s="267">
        <f t="shared" si="668"/>
        <v>3152266</v>
      </c>
      <c r="R2549" s="23">
        <f t="shared" si="669"/>
        <v>1859479</v>
      </c>
      <c r="S2549" s="23">
        <f t="shared" si="670"/>
        <v>1292787</v>
      </c>
      <c r="T2549" s="23">
        <f t="shared" si="671"/>
        <v>566692</v>
      </c>
      <c r="U2549" t="str">
        <f t="shared" si="672"/>
        <v>CO_state_2020g~Proposition 115 (STATUTORY) (Vote For 1)</v>
      </c>
      <c r="AF2549" s="22" t="str">
        <f t="shared" si="665"/>
        <v/>
      </c>
    </row>
    <row r="2550" spans="1:38" ht="14.4">
      <c r="A2550" t="str">
        <f t="shared" si="673"/>
        <v>CO_state_2020g~Proposition 115 (STATUTORY) (Vote For 1)</v>
      </c>
      <c r="B2550" s="79" t="s">
        <v>4940</v>
      </c>
      <c r="C2550" s="79" t="s">
        <v>5282</v>
      </c>
      <c r="D2550" s="79" t="s">
        <v>5282</v>
      </c>
      <c r="E2550" s="79" t="s">
        <v>5274</v>
      </c>
      <c r="F2550" s="79" t="s">
        <v>1508</v>
      </c>
      <c r="G2550" s="82">
        <v>1292787</v>
      </c>
      <c r="H2550" s="83">
        <v>41.01</v>
      </c>
      <c r="I2550" s="82">
        <v>3909131</v>
      </c>
      <c r="J2550" s="82">
        <v>3295189</v>
      </c>
      <c r="K2550" s="79">
        <v>64</v>
      </c>
      <c r="L2550" s="79">
        <v>64</v>
      </c>
      <c r="M2550" s="79">
        <v>0</v>
      </c>
      <c r="N2550" s="79">
        <v>0</v>
      </c>
      <c r="O2550">
        <f t="shared" si="666"/>
        <v>2</v>
      </c>
      <c r="P2550" s="57">
        <f t="shared" si="667"/>
        <v>1</v>
      </c>
      <c r="Q2550" s="267">
        <f t="shared" si="668"/>
        <v>1292787</v>
      </c>
      <c r="R2550" s="23" t="str">
        <f t="shared" si="669"/>
        <v/>
      </c>
      <c r="S2550" s="23">
        <f t="shared" si="670"/>
        <v>1292787</v>
      </c>
      <c r="T2550" s="23" t="str">
        <f t="shared" si="671"/>
        <v/>
      </c>
      <c r="U2550" t="str">
        <f t="shared" si="672"/>
        <v/>
      </c>
      <c r="AF2550" s="22" t="str">
        <f t="shared" ref="AF2550:AF2613" si="674">LEFT(AL2279,14)</f>
        <v/>
      </c>
    </row>
    <row r="2551" spans="1:38" ht="14.4">
      <c r="A2551" t="str">
        <f t="shared" si="673"/>
        <v>CO_state_2020g~Proposition 116 (STATUTORY) (Vote For 1)</v>
      </c>
      <c r="B2551" s="79" t="s">
        <v>4940</v>
      </c>
      <c r="C2551" s="79" t="s">
        <v>5283</v>
      </c>
      <c r="D2551" s="79" t="s">
        <v>5283</v>
      </c>
      <c r="E2551" s="79" t="s">
        <v>5274</v>
      </c>
      <c r="F2551" s="79" t="s">
        <v>1508</v>
      </c>
      <c r="G2551" s="82">
        <v>1821702</v>
      </c>
      <c r="H2551" s="83">
        <v>57.86</v>
      </c>
      <c r="I2551" s="82">
        <v>3909131</v>
      </c>
      <c r="J2551" s="82">
        <v>3295189</v>
      </c>
      <c r="K2551" s="79">
        <v>64</v>
      </c>
      <c r="L2551" s="79">
        <v>64</v>
      </c>
      <c r="M2551" s="79">
        <v>0</v>
      </c>
      <c r="N2551" s="79">
        <v>0</v>
      </c>
      <c r="O2551">
        <f t="shared" si="666"/>
        <v>1</v>
      </c>
      <c r="P2551" s="57">
        <f t="shared" si="667"/>
        <v>1</v>
      </c>
      <c r="Q2551" s="267">
        <f t="shared" si="668"/>
        <v>3148727</v>
      </c>
      <c r="R2551" s="23">
        <f t="shared" si="669"/>
        <v>1821702</v>
      </c>
      <c r="S2551" s="23">
        <f t="shared" si="670"/>
        <v>1327025</v>
      </c>
      <c r="T2551" s="23">
        <f t="shared" si="671"/>
        <v>494677</v>
      </c>
      <c r="U2551" t="str">
        <f t="shared" si="672"/>
        <v>CO_state_2020g~Proposition 116 (STATUTORY) (Vote For 1)</v>
      </c>
      <c r="AF2551" s="22" t="str">
        <f t="shared" si="674"/>
        <v/>
      </c>
    </row>
    <row r="2552" spans="1:38" ht="14.4">
      <c r="A2552" t="str">
        <f t="shared" si="673"/>
        <v>CO_state_2020g~Proposition 116 (STATUTORY) (Vote For 1)</v>
      </c>
      <c r="B2552" s="79" t="s">
        <v>4940</v>
      </c>
      <c r="C2552" s="79" t="s">
        <v>5283</v>
      </c>
      <c r="D2552" s="79" t="s">
        <v>5283</v>
      </c>
      <c r="E2552" s="79" t="s">
        <v>5275</v>
      </c>
      <c r="F2552" s="79" t="s">
        <v>1509</v>
      </c>
      <c r="G2552" s="82">
        <v>1327025</v>
      </c>
      <c r="H2552" s="83">
        <v>42.14</v>
      </c>
      <c r="I2552" s="82">
        <v>3909131</v>
      </c>
      <c r="J2552" s="82">
        <v>3295189</v>
      </c>
      <c r="K2552" s="79">
        <v>64</v>
      </c>
      <c r="L2552" s="79">
        <v>64</v>
      </c>
      <c r="M2552" s="79">
        <v>0</v>
      </c>
      <c r="N2552" s="79">
        <v>0</v>
      </c>
      <c r="O2552">
        <f t="shared" si="666"/>
        <v>2</v>
      </c>
      <c r="P2552" s="57">
        <f t="shared" si="667"/>
        <v>1</v>
      </c>
      <c r="Q2552" s="267">
        <f t="shared" si="668"/>
        <v>1327025</v>
      </c>
      <c r="R2552" s="23" t="str">
        <f t="shared" si="669"/>
        <v/>
      </c>
      <c r="S2552" s="23">
        <f t="shared" si="670"/>
        <v>1327025</v>
      </c>
      <c r="T2552" s="23" t="str">
        <f t="shared" si="671"/>
        <v/>
      </c>
      <c r="U2552" t="str">
        <f t="shared" si="672"/>
        <v/>
      </c>
      <c r="AF2552" s="22" t="str">
        <f t="shared" si="674"/>
        <v/>
      </c>
    </row>
    <row r="2553" spans="1:38" ht="14.4">
      <c r="A2553" t="str">
        <f t="shared" si="673"/>
        <v>CO_state_2020g~Proposition 117 (STATUTORY) (Vote For 1)</v>
      </c>
      <c r="B2553" s="79" t="s">
        <v>4940</v>
      </c>
      <c r="C2553" s="79" t="s">
        <v>5284</v>
      </c>
      <c r="D2553" s="79" t="s">
        <v>5284</v>
      </c>
      <c r="E2553" s="79" t="s">
        <v>5274</v>
      </c>
      <c r="F2553" s="79" t="s">
        <v>1508</v>
      </c>
      <c r="G2553" s="82">
        <v>1573114</v>
      </c>
      <c r="H2553" s="83">
        <v>52.55</v>
      </c>
      <c r="I2553" s="82">
        <v>3909131</v>
      </c>
      <c r="J2553" s="82">
        <v>3295189</v>
      </c>
      <c r="K2553" s="79">
        <v>64</v>
      </c>
      <c r="L2553" s="79">
        <v>64</v>
      </c>
      <c r="M2553" s="79">
        <v>0</v>
      </c>
      <c r="N2553" s="79">
        <v>0</v>
      </c>
      <c r="O2553">
        <f t="shared" si="666"/>
        <v>1</v>
      </c>
      <c r="P2553" s="57">
        <f t="shared" si="667"/>
        <v>1</v>
      </c>
      <c r="Q2553" s="267">
        <f t="shared" si="668"/>
        <v>2993559</v>
      </c>
      <c r="R2553" s="23">
        <f t="shared" si="669"/>
        <v>1573114</v>
      </c>
      <c r="S2553" s="23">
        <f t="shared" si="670"/>
        <v>1420445</v>
      </c>
      <c r="T2553" s="23">
        <f t="shared" si="671"/>
        <v>152669</v>
      </c>
      <c r="U2553" t="str">
        <f t="shared" si="672"/>
        <v>CO_state_2020g~Proposition 117 (STATUTORY) (Vote For 1)</v>
      </c>
      <c r="AF2553" s="22" t="str">
        <f t="shared" si="674"/>
        <v/>
      </c>
    </row>
    <row r="2554" spans="1:38" ht="14.4">
      <c r="A2554" t="str">
        <f t="shared" si="673"/>
        <v>CO_state_2020g~Proposition 117 (STATUTORY) (Vote For 1)</v>
      </c>
      <c r="B2554" s="79" t="s">
        <v>4940</v>
      </c>
      <c r="C2554" s="79" t="s">
        <v>5284</v>
      </c>
      <c r="D2554" s="79" t="s">
        <v>5284</v>
      </c>
      <c r="E2554" s="79" t="s">
        <v>5275</v>
      </c>
      <c r="F2554" s="79" t="s">
        <v>1509</v>
      </c>
      <c r="G2554" s="82">
        <v>1420445</v>
      </c>
      <c r="H2554" s="83">
        <v>47.45</v>
      </c>
      <c r="I2554" s="82">
        <v>3909131</v>
      </c>
      <c r="J2554" s="82">
        <v>3295189</v>
      </c>
      <c r="K2554" s="79">
        <v>64</v>
      </c>
      <c r="L2554" s="79">
        <v>64</v>
      </c>
      <c r="M2554" s="79">
        <v>0</v>
      </c>
      <c r="N2554" s="79">
        <v>0</v>
      </c>
      <c r="O2554">
        <f t="shared" si="666"/>
        <v>2</v>
      </c>
      <c r="P2554" s="57">
        <f t="shared" si="667"/>
        <v>1</v>
      </c>
      <c r="Q2554" s="267">
        <f t="shared" si="668"/>
        <v>1420445</v>
      </c>
      <c r="R2554" s="23" t="str">
        <f t="shared" si="669"/>
        <v/>
      </c>
      <c r="S2554" s="23">
        <f t="shared" si="670"/>
        <v>1420445</v>
      </c>
      <c r="T2554" s="23" t="str">
        <f t="shared" si="671"/>
        <v/>
      </c>
      <c r="U2554" t="str">
        <f t="shared" si="672"/>
        <v/>
      </c>
      <c r="AF2554" s="22" t="str">
        <f t="shared" si="674"/>
        <v/>
      </c>
      <c r="AG2554" s="23"/>
      <c r="AH2554" s="8"/>
    </row>
    <row r="2555" spans="1:38" ht="14.4">
      <c r="A2555" t="str">
        <f t="shared" si="673"/>
        <v>CO_state_2020g~Proposition 118 (STATUTORY) (Vote For 1)</v>
      </c>
      <c r="B2555" s="79" t="s">
        <v>4940</v>
      </c>
      <c r="C2555" s="79" t="s">
        <v>5285</v>
      </c>
      <c r="D2555" s="79" t="s">
        <v>5285</v>
      </c>
      <c r="E2555" s="79" t="s">
        <v>5274</v>
      </c>
      <c r="F2555" s="79" t="s">
        <v>1508</v>
      </c>
      <c r="G2555" s="82">
        <v>1804546</v>
      </c>
      <c r="H2555" s="83">
        <v>57.75</v>
      </c>
      <c r="I2555" s="82">
        <v>3909131</v>
      </c>
      <c r="J2555" s="82">
        <v>3295189</v>
      </c>
      <c r="K2555" s="79">
        <v>64</v>
      </c>
      <c r="L2555" s="79">
        <v>64</v>
      </c>
      <c r="M2555" s="79">
        <v>0</v>
      </c>
      <c r="N2555" s="79">
        <v>0</v>
      </c>
      <c r="O2555">
        <f t="shared" si="666"/>
        <v>1</v>
      </c>
      <c r="P2555" s="57">
        <f t="shared" si="667"/>
        <v>1</v>
      </c>
      <c r="Q2555" s="267">
        <f t="shared" si="668"/>
        <v>3124932</v>
      </c>
      <c r="R2555" s="23">
        <f t="shared" si="669"/>
        <v>1804546</v>
      </c>
      <c r="S2555" s="23">
        <f t="shared" si="670"/>
        <v>1320386</v>
      </c>
      <c r="T2555" s="23">
        <f t="shared" si="671"/>
        <v>484160</v>
      </c>
      <c r="U2555" t="str">
        <f t="shared" si="672"/>
        <v>CO_state_2020g~Proposition 118 (STATUTORY) (Vote For 1)</v>
      </c>
      <c r="AF2555" s="22" t="str">
        <f t="shared" si="674"/>
        <v/>
      </c>
      <c r="AG2555" s="23"/>
      <c r="AH2555" s="8"/>
      <c r="AL2555" s="344"/>
    </row>
    <row r="2556" spans="1:38" ht="14.4">
      <c r="A2556" t="str">
        <f t="shared" si="673"/>
        <v>CO_state_2020g~Proposition 118 (STATUTORY) (Vote For 1)</v>
      </c>
      <c r="B2556" s="79" t="s">
        <v>4940</v>
      </c>
      <c r="C2556" s="79" t="s">
        <v>5285</v>
      </c>
      <c r="D2556" s="79" t="s">
        <v>5285</v>
      </c>
      <c r="E2556" s="79" t="s">
        <v>5275</v>
      </c>
      <c r="F2556" s="79" t="s">
        <v>1509</v>
      </c>
      <c r="G2556" s="82">
        <v>1320386</v>
      </c>
      <c r="H2556" s="83">
        <v>42.25</v>
      </c>
      <c r="I2556" s="82">
        <v>3909131</v>
      </c>
      <c r="J2556" s="82">
        <v>3295189</v>
      </c>
      <c r="K2556" s="79">
        <v>64</v>
      </c>
      <c r="L2556" s="79">
        <v>64</v>
      </c>
      <c r="M2556" s="79">
        <v>0</v>
      </c>
      <c r="N2556" s="79">
        <v>0</v>
      </c>
      <c r="O2556">
        <f t="shared" si="666"/>
        <v>2</v>
      </c>
      <c r="P2556" s="57">
        <f t="shared" si="667"/>
        <v>1</v>
      </c>
      <c r="Q2556" s="267">
        <f t="shared" si="668"/>
        <v>1320386</v>
      </c>
      <c r="R2556" s="23" t="str">
        <f t="shared" si="669"/>
        <v/>
      </c>
      <c r="S2556" s="23">
        <f t="shared" si="670"/>
        <v>1320386</v>
      </c>
      <c r="T2556" s="23" t="str">
        <f t="shared" si="671"/>
        <v/>
      </c>
      <c r="U2556" t="str">
        <f t="shared" si="672"/>
        <v/>
      </c>
      <c r="AF2556" s="22" t="str">
        <f t="shared" si="674"/>
        <v/>
      </c>
    </row>
    <row r="2557" spans="1:38" ht="14.4">
      <c r="A2557" t="str">
        <f t="shared" si="673"/>
        <v>CO_state_2020g~Proposition EE (STATUTORY) (Vote For 1)</v>
      </c>
      <c r="B2557" s="79" t="s">
        <v>4940</v>
      </c>
      <c r="C2557" s="79" t="s">
        <v>5279</v>
      </c>
      <c r="D2557" s="79" t="s">
        <v>5279</v>
      </c>
      <c r="E2557" s="79" t="s">
        <v>5274</v>
      </c>
      <c r="F2557" s="79" t="s">
        <v>1508</v>
      </c>
      <c r="G2557" s="82">
        <v>2134608</v>
      </c>
      <c r="H2557" s="83">
        <v>67.56</v>
      </c>
      <c r="I2557" s="82">
        <v>3909131</v>
      </c>
      <c r="J2557" s="82">
        <v>3295189</v>
      </c>
      <c r="K2557" s="79">
        <v>64</v>
      </c>
      <c r="L2557" s="79">
        <v>64</v>
      </c>
      <c r="M2557" s="79">
        <v>0</v>
      </c>
      <c r="N2557" s="79">
        <v>0</v>
      </c>
      <c r="O2557">
        <f t="shared" si="666"/>
        <v>1</v>
      </c>
      <c r="P2557" s="57">
        <f t="shared" si="667"/>
        <v>1</v>
      </c>
      <c r="Q2557" s="267">
        <f t="shared" si="668"/>
        <v>3159790</v>
      </c>
      <c r="R2557" s="23">
        <f t="shared" si="669"/>
        <v>2134608</v>
      </c>
      <c r="S2557" s="23">
        <f t="shared" si="670"/>
        <v>1025182</v>
      </c>
      <c r="T2557" s="23">
        <f t="shared" si="671"/>
        <v>1109426</v>
      </c>
      <c r="U2557" t="str">
        <f t="shared" si="672"/>
        <v>CO_state_2020g~Proposition EE (STATUTORY) (Vote For 1)</v>
      </c>
      <c r="AF2557" s="22" t="str">
        <f t="shared" si="674"/>
        <v/>
      </c>
    </row>
    <row r="2558" spans="1:38" ht="14.4">
      <c r="A2558" t="str">
        <f t="shared" si="673"/>
        <v>CO_state_2020g~Proposition EE (STATUTORY) (Vote For 1)</v>
      </c>
      <c r="B2558" s="79" t="s">
        <v>4940</v>
      </c>
      <c r="C2558" s="79" t="s">
        <v>5279</v>
      </c>
      <c r="D2558" s="79" t="s">
        <v>5279</v>
      </c>
      <c r="E2558" s="79" t="s">
        <v>5275</v>
      </c>
      <c r="F2558" s="79" t="s">
        <v>1509</v>
      </c>
      <c r="G2558" s="82">
        <v>1025182</v>
      </c>
      <c r="H2558" s="83">
        <v>32.44</v>
      </c>
      <c r="I2558" s="82">
        <v>3909131</v>
      </c>
      <c r="J2558" s="82">
        <v>3295189</v>
      </c>
      <c r="K2558" s="79">
        <v>64</v>
      </c>
      <c r="L2558" s="79">
        <v>64</v>
      </c>
      <c r="M2558" s="79">
        <v>0</v>
      </c>
      <c r="N2558" s="79">
        <v>0</v>
      </c>
      <c r="O2558">
        <f t="shared" si="666"/>
        <v>2</v>
      </c>
      <c r="P2558" s="57">
        <f t="shared" si="667"/>
        <v>1</v>
      </c>
      <c r="Q2558" s="267">
        <f t="shared" si="668"/>
        <v>1025182</v>
      </c>
      <c r="R2558" s="23" t="str">
        <f t="shared" si="669"/>
        <v/>
      </c>
      <c r="S2558" s="23">
        <f t="shared" si="670"/>
        <v>1025182</v>
      </c>
      <c r="T2558" s="23" t="str">
        <f t="shared" si="671"/>
        <v/>
      </c>
      <c r="U2558" t="str">
        <f t="shared" si="672"/>
        <v/>
      </c>
      <c r="AF2558" s="22" t="str">
        <f t="shared" si="674"/>
        <v/>
      </c>
    </row>
    <row r="2559" spans="1:38" ht="14.4">
      <c r="A2559" t="str">
        <f t="shared" si="673"/>
        <v>CO_state_2020g~United States Senator (Vote For 1)</v>
      </c>
      <c r="B2559" s="79" t="s">
        <v>4940</v>
      </c>
      <c r="C2559" s="79" t="s">
        <v>4975</v>
      </c>
      <c r="D2559" s="79" t="s">
        <v>4975</v>
      </c>
      <c r="E2559" s="79" t="s">
        <v>4976</v>
      </c>
      <c r="F2559" s="79" t="s">
        <v>1294</v>
      </c>
      <c r="G2559" s="82">
        <v>1731114</v>
      </c>
      <c r="H2559" s="83">
        <v>53.5</v>
      </c>
      <c r="I2559" s="82">
        <v>3909131</v>
      </c>
      <c r="J2559" s="82">
        <v>3295189</v>
      </c>
      <c r="K2559" s="79">
        <v>64</v>
      </c>
      <c r="L2559" s="79">
        <v>64</v>
      </c>
      <c r="M2559" s="79">
        <v>0</v>
      </c>
      <c r="N2559" s="79">
        <v>0</v>
      </c>
      <c r="O2559">
        <f t="shared" si="666"/>
        <v>1</v>
      </c>
      <c r="P2559" s="57">
        <f t="shared" si="667"/>
        <v>1</v>
      </c>
      <c r="Q2559" s="267">
        <f t="shared" si="668"/>
        <v>3235659</v>
      </c>
      <c r="R2559" s="23">
        <f t="shared" si="669"/>
        <v>1731114</v>
      </c>
      <c r="S2559" s="23">
        <f t="shared" si="670"/>
        <v>1429492</v>
      </c>
      <c r="T2559" s="23">
        <f t="shared" si="671"/>
        <v>301622</v>
      </c>
      <c r="U2559" t="str">
        <f t="shared" si="672"/>
        <v>CO_state_2020g~United States Senator (Vote For 1)</v>
      </c>
      <c r="AF2559" s="22" t="str">
        <f t="shared" si="674"/>
        <v/>
      </c>
    </row>
    <row r="2560" spans="1:38" ht="14.4">
      <c r="A2560" t="str">
        <f t="shared" si="673"/>
        <v>CO_state_2020g~United States Senator (Vote For 1)</v>
      </c>
      <c r="B2560" s="79" t="s">
        <v>4940</v>
      </c>
      <c r="C2560" s="79" t="s">
        <v>4975</v>
      </c>
      <c r="D2560" s="79" t="s">
        <v>4975</v>
      </c>
      <c r="E2560" s="79" t="s">
        <v>4977</v>
      </c>
      <c r="F2560" s="79" t="s">
        <v>1296</v>
      </c>
      <c r="G2560" s="82">
        <v>1429492</v>
      </c>
      <c r="H2560" s="83">
        <v>44.18</v>
      </c>
      <c r="I2560" s="82">
        <v>3909131</v>
      </c>
      <c r="J2560" s="82">
        <v>3295189</v>
      </c>
      <c r="K2560" s="79">
        <v>64</v>
      </c>
      <c r="L2560" s="79">
        <v>64</v>
      </c>
      <c r="M2560" s="79">
        <v>0</v>
      </c>
      <c r="N2560" s="79">
        <v>0</v>
      </c>
      <c r="O2560">
        <f t="shared" si="666"/>
        <v>2</v>
      </c>
      <c r="P2560" s="57">
        <f t="shared" si="667"/>
        <v>1</v>
      </c>
      <c r="Q2560" s="267">
        <f t="shared" si="668"/>
        <v>1504545</v>
      </c>
      <c r="R2560" s="23" t="str">
        <f t="shared" si="669"/>
        <v/>
      </c>
      <c r="S2560" s="23">
        <f t="shared" si="670"/>
        <v>1429492</v>
      </c>
      <c r="T2560" s="23" t="str">
        <f t="shared" si="671"/>
        <v/>
      </c>
      <c r="U2560" t="str">
        <f t="shared" si="672"/>
        <v/>
      </c>
      <c r="AF2560" s="22" t="str">
        <f t="shared" si="674"/>
        <v/>
      </c>
    </row>
    <row r="2561" spans="1:45" ht="14.4">
      <c r="A2561" t="str">
        <f t="shared" si="673"/>
        <v>CO_state_2020g~United States Senator (Vote For 1)</v>
      </c>
      <c r="B2561" s="79" t="s">
        <v>4940</v>
      </c>
      <c r="C2561" s="79" t="s">
        <v>4975</v>
      </c>
      <c r="D2561" s="79" t="s">
        <v>4975</v>
      </c>
      <c r="E2561" s="79" t="s">
        <v>4980</v>
      </c>
      <c r="F2561" s="79" t="s">
        <v>4951</v>
      </c>
      <c r="G2561" s="82">
        <v>56262</v>
      </c>
      <c r="H2561" s="83">
        <v>1.74</v>
      </c>
      <c r="I2561" s="82">
        <v>3909131</v>
      </c>
      <c r="J2561" s="82">
        <v>3295189</v>
      </c>
      <c r="K2561" s="79">
        <v>64</v>
      </c>
      <c r="L2561" s="79">
        <v>64</v>
      </c>
      <c r="M2561" s="79">
        <v>0</v>
      </c>
      <c r="N2561" s="79">
        <v>0</v>
      </c>
      <c r="O2561">
        <f t="shared" si="666"/>
        <v>3</v>
      </c>
      <c r="P2561" s="57">
        <f t="shared" si="667"/>
        <v>1</v>
      </c>
      <c r="Q2561" s="267">
        <f t="shared" si="668"/>
        <v>75053</v>
      </c>
      <c r="R2561" s="23" t="str">
        <f t="shared" si="669"/>
        <v/>
      </c>
      <c r="S2561" s="23">
        <f t="shared" si="670"/>
        <v>56262</v>
      </c>
      <c r="T2561" s="23" t="str">
        <f t="shared" si="671"/>
        <v/>
      </c>
      <c r="U2561" t="str">
        <f t="shared" si="672"/>
        <v/>
      </c>
      <c r="AF2561" s="22" t="str">
        <f t="shared" si="674"/>
        <v/>
      </c>
    </row>
    <row r="2562" spans="1:45" ht="14.4">
      <c r="A2562" t="str">
        <f t="shared" si="673"/>
        <v>CO_state_2020g~United States Senator (Vote For 1)</v>
      </c>
      <c r="B2562" s="79" t="s">
        <v>4940</v>
      </c>
      <c r="C2562" s="79" t="s">
        <v>4975</v>
      </c>
      <c r="D2562" s="79" t="s">
        <v>4975</v>
      </c>
      <c r="E2562" s="79" t="s">
        <v>4978</v>
      </c>
      <c r="F2562" s="79" t="s">
        <v>4949</v>
      </c>
      <c r="G2562" s="82">
        <v>9820</v>
      </c>
      <c r="H2562" s="83">
        <v>0.3</v>
      </c>
      <c r="I2562" s="82">
        <v>3909131</v>
      </c>
      <c r="J2562" s="82">
        <v>3295189</v>
      </c>
      <c r="K2562" s="79">
        <v>64</v>
      </c>
      <c r="L2562" s="79">
        <v>64</v>
      </c>
      <c r="M2562" s="79">
        <v>0</v>
      </c>
      <c r="N2562" s="79">
        <v>0</v>
      </c>
      <c r="O2562">
        <f t="shared" ref="O2562:O2625" si="675">IF(OR(LOWER(LEFT(E2562,8))="write-in",LOWER(LEFT(E2562,8))="not qual"),IF(A2562=A2561,-ABS(O2561),0),IF(A2562=A2561,ABS(O2561)+1,1))</f>
        <v>4</v>
      </c>
      <c r="P2562" s="57">
        <f t="shared" ref="P2562:P2625" si="676">1*LEFT(RIGHT(A2562,2),1)</f>
        <v>1</v>
      </c>
      <c r="Q2562" s="267">
        <f t="shared" ref="Q2562:Q2625" si="677">IF(A2562&lt;&gt;A2563,G2562,IF(A2562=A2561,G2562+Q2563,MAX(G2562,(G2562+Q2563)/P2562)))</f>
        <v>18791</v>
      </c>
      <c r="R2562" s="23" t="str">
        <f t="shared" ref="R2562:R2625" si="678">IF(O2562&gt;P2562,"",IF(O2562=P2562,G2562,IF(A2562=A2563,R2563,IF(O2562&lt;=0,1,G2562))))</f>
        <v/>
      </c>
      <c r="S2562" s="23">
        <f t="shared" ref="S2562:S2625" si="679">IF(AND(O2562&gt;P2562,LOWER(LEFT(E2562,8))&lt;&gt;"write-in",LOWER(LEFT(E2562,8))&lt;&gt;"not qual"),G2562,IF(A2562=A2563,S2563,0))</f>
        <v>9820</v>
      </c>
      <c r="T2562" s="23" t="str">
        <f t="shared" ref="T2562:T2625" si="680">IF(OR(A2562=A2561,S2562=0),"",R2562-ABS(S2562))</f>
        <v/>
      </c>
      <c r="U2562" t="str">
        <f t="shared" ref="U2562:U2625" si="681">IF(A2562=A2561,"",A2562)</f>
        <v/>
      </c>
      <c r="AF2562" s="22" t="str">
        <f t="shared" si="674"/>
        <v/>
      </c>
    </row>
    <row r="2563" spans="1:45" ht="14.4">
      <c r="A2563" t="str">
        <f t="shared" si="673"/>
        <v>CO_state_2020g~United States Senator (Vote For 1)</v>
      </c>
      <c r="B2563" s="79" t="s">
        <v>4940</v>
      </c>
      <c r="C2563" s="79" t="s">
        <v>4975</v>
      </c>
      <c r="D2563" s="79" t="s">
        <v>4975</v>
      </c>
      <c r="E2563" s="79" t="s">
        <v>4979</v>
      </c>
      <c r="F2563" s="79" t="s">
        <v>4946</v>
      </c>
      <c r="G2563" s="82">
        <v>8971</v>
      </c>
      <c r="H2563" s="83">
        <v>0.28000000000000003</v>
      </c>
      <c r="I2563" s="82">
        <v>3909131</v>
      </c>
      <c r="J2563" s="82">
        <v>3295189</v>
      </c>
      <c r="K2563" s="79">
        <v>64</v>
      </c>
      <c r="L2563" s="79">
        <v>64</v>
      </c>
      <c r="M2563" s="79">
        <v>0</v>
      </c>
      <c r="N2563" s="79">
        <v>0</v>
      </c>
      <c r="O2563">
        <f t="shared" si="675"/>
        <v>5</v>
      </c>
      <c r="P2563" s="57">
        <f t="shared" si="676"/>
        <v>1</v>
      </c>
      <c r="Q2563" s="267">
        <f t="shared" si="677"/>
        <v>8971</v>
      </c>
      <c r="R2563" s="23" t="str">
        <f t="shared" si="678"/>
        <v/>
      </c>
      <c r="S2563" s="23">
        <f t="shared" si="679"/>
        <v>8971</v>
      </c>
      <c r="T2563" s="23" t="str">
        <f t="shared" si="680"/>
        <v/>
      </c>
      <c r="U2563" t="str">
        <f t="shared" si="681"/>
        <v/>
      </c>
      <c r="AF2563" s="22" t="str">
        <f t="shared" si="674"/>
        <v/>
      </c>
    </row>
    <row r="2564" spans="1:45" ht="14.4">
      <c r="A2564" t="str">
        <f t="shared" si="673"/>
        <v>CO_Weld__2020g~City of Dacono Council Members (Vote For 2)</v>
      </c>
      <c r="B2564" s="79" t="s">
        <v>5641</v>
      </c>
      <c r="C2564" s="79" t="s">
        <v>5382</v>
      </c>
      <c r="D2564" s="79" t="s">
        <v>5382</v>
      </c>
      <c r="E2564" s="79" t="s">
        <v>5385</v>
      </c>
      <c r="F2564" s="79">
        <v>3</v>
      </c>
      <c r="G2564" s="82">
        <v>1263</v>
      </c>
      <c r="H2564" s="83">
        <v>32.01</v>
      </c>
      <c r="I2564" s="82">
        <v>4953</v>
      </c>
      <c r="J2564" s="82">
        <v>3797</v>
      </c>
      <c r="K2564" s="79">
        <v>3</v>
      </c>
      <c r="L2564" s="79">
        <v>3</v>
      </c>
      <c r="M2564" s="79">
        <v>0</v>
      </c>
      <c r="N2564" s="79">
        <v>0</v>
      </c>
      <c r="O2564">
        <f t="shared" si="675"/>
        <v>1</v>
      </c>
      <c r="P2564" s="57">
        <f t="shared" si="676"/>
        <v>2</v>
      </c>
      <c r="Q2564" s="267">
        <f t="shared" si="677"/>
        <v>1973</v>
      </c>
      <c r="R2564" s="23">
        <f t="shared" si="678"/>
        <v>1172</v>
      </c>
      <c r="S2564" s="23">
        <f t="shared" si="679"/>
        <v>802</v>
      </c>
      <c r="T2564" s="23">
        <f t="shared" si="680"/>
        <v>370</v>
      </c>
      <c r="U2564" t="str">
        <f t="shared" si="681"/>
        <v>CO_Weld__2020g~City of Dacono Council Members (Vote For 2)</v>
      </c>
      <c r="AF2564" s="22" t="str">
        <f t="shared" si="674"/>
        <v/>
      </c>
    </row>
    <row r="2565" spans="1:45" ht="14.4">
      <c r="A2565" t="str">
        <f t="shared" si="673"/>
        <v>CO_Weld__2020g~City of Dacono Council Members (Vote For 2)</v>
      </c>
      <c r="B2565" s="79" t="s">
        <v>5641</v>
      </c>
      <c r="C2565" s="79" t="s">
        <v>5382</v>
      </c>
      <c r="D2565" s="79" t="s">
        <v>5382</v>
      </c>
      <c r="E2565" s="79" t="s">
        <v>5383</v>
      </c>
      <c r="F2565" s="79">
        <v>1</v>
      </c>
      <c r="G2565" s="82">
        <v>1172</v>
      </c>
      <c r="H2565" s="83">
        <v>29.7</v>
      </c>
      <c r="I2565" s="82">
        <v>4953</v>
      </c>
      <c r="J2565" s="82">
        <v>3797</v>
      </c>
      <c r="K2565" s="79">
        <v>3</v>
      </c>
      <c r="L2565" s="79">
        <v>3</v>
      </c>
      <c r="M2565" s="79">
        <v>0</v>
      </c>
      <c r="N2565" s="79">
        <v>0</v>
      </c>
      <c r="O2565">
        <f t="shared" si="675"/>
        <v>2</v>
      </c>
      <c r="P2565" s="57">
        <f t="shared" si="676"/>
        <v>2</v>
      </c>
      <c r="Q2565" s="267">
        <f t="shared" si="677"/>
        <v>2683</v>
      </c>
      <c r="R2565" s="23">
        <f t="shared" si="678"/>
        <v>1172</v>
      </c>
      <c r="S2565" s="23">
        <f t="shared" si="679"/>
        <v>802</v>
      </c>
      <c r="T2565" s="23" t="str">
        <f t="shared" si="680"/>
        <v/>
      </c>
      <c r="U2565" t="str">
        <f t="shared" si="681"/>
        <v/>
      </c>
      <c r="AF2565" s="22" t="str">
        <f t="shared" si="674"/>
        <v/>
      </c>
    </row>
    <row r="2566" spans="1:45" ht="14.4">
      <c r="A2566" t="str">
        <f t="shared" si="673"/>
        <v>CO_Weld__2020g~City of Dacono Council Members (Vote For 2)</v>
      </c>
      <c r="B2566" s="79" t="s">
        <v>5641</v>
      </c>
      <c r="C2566" s="79" t="s">
        <v>5382</v>
      </c>
      <c r="D2566" s="79" t="s">
        <v>5382</v>
      </c>
      <c r="E2566" s="79" t="s">
        <v>5386</v>
      </c>
      <c r="F2566" s="79">
        <v>4</v>
      </c>
      <c r="G2566" s="82">
        <v>802</v>
      </c>
      <c r="H2566" s="83">
        <v>20.32</v>
      </c>
      <c r="I2566" s="82">
        <v>4953</v>
      </c>
      <c r="J2566" s="82">
        <v>3797</v>
      </c>
      <c r="K2566" s="79">
        <v>3</v>
      </c>
      <c r="L2566" s="79">
        <v>3</v>
      </c>
      <c r="M2566" s="79">
        <v>0</v>
      </c>
      <c r="N2566" s="79">
        <v>0</v>
      </c>
      <c r="O2566">
        <f t="shared" si="675"/>
        <v>3</v>
      </c>
      <c r="P2566" s="57">
        <f t="shared" si="676"/>
        <v>2</v>
      </c>
      <c r="Q2566" s="267">
        <f t="shared" si="677"/>
        <v>1511</v>
      </c>
      <c r="R2566" s="23" t="str">
        <f t="shared" si="678"/>
        <v/>
      </c>
      <c r="S2566" s="23">
        <f t="shared" si="679"/>
        <v>802</v>
      </c>
      <c r="T2566" s="23" t="str">
        <f t="shared" si="680"/>
        <v/>
      </c>
      <c r="U2566" t="str">
        <f t="shared" si="681"/>
        <v/>
      </c>
      <c r="AF2566" s="22" t="str">
        <f t="shared" si="674"/>
        <v/>
      </c>
      <c r="AO2566" s="356"/>
      <c r="AP2566" s="356"/>
      <c r="AQ2566" s="394"/>
      <c r="AR2566" s="394"/>
      <c r="AS2566" s="394"/>
    </row>
    <row r="2567" spans="1:45" ht="14.4">
      <c r="A2567" t="str">
        <f t="shared" si="673"/>
        <v>CO_Weld__2020g~City of Dacono Council Members (Vote For 2)</v>
      </c>
      <c r="B2567" s="79" t="s">
        <v>5641</v>
      </c>
      <c r="C2567" s="79" t="s">
        <v>5382</v>
      </c>
      <c r="D2567" s="79" t="s">
        <v>5382</v>
      </c>
      <c r="E2567" s="79" t="s">
        <v>5384</v>
      </c>
      <c r="F2567" s="79">
        <v>2</v>
      </c>
      <c r="G2567" s="82">
        <v>709</v>
      </c>
      <c r="H2567" s="83">
        <v>17.97</v>
      </c>
      <c r="I2567" s="82">
        <v>4953</v>
      </c>
      <c r="J2567" s="82">
        <v>3797</v>
      </c>
      <c r="K2567" s="79">
        <v>3</v>
      </c>
      <c r="L2567" s="79">
        <v>3</v>
      </c>
      <c r="M2567" s="79">
        <v>0</v>
      </c>
      <c r="N2567" s="79">
        <v>0</v>
      </c>
      <c r="O2567">
        <f t="shared" si="675"/>
        <v>4</v>
      </c>
      <c r="P2567" s="57">
        <f t="shared" si="676"/>
        <v>2</v>
      </c>
      <c r="Q2567" s="267">
        <f t="shared" si="677"/>
        <v>709</v>
      </c>
      <c r="R2567" s="23" t="str">
        <f t="shared" si="678"/>
        <v/>
      </c>
      <c r="S2567" s="23">
        <f t="shared" si="679"/>
        <v>709</v>
      </c>
      <c r="T2567" s="23" t="str">
        <f t="shared" si="680"/>
        <v/>
      </c>
      <c r="U2567" t="str">
        <f t="shared" si="681"/>
        <v/>
      </c>
      <c r="AF2567" s="22" t="str">
        <f t="shared" si="674"/>
        <v/>
      </c>
    </row>
    <row r="2568" spans="1:45" ht="14.4">
      <c r="A2568" t="str">
        <f t="shared" si="673"/>
        <v>CO_Weld__2020g~City of Fort Lupton Ballot Issue 2A (Vote For 1)</v>
      </c>
      <c r="B2568" s="79" t="s">
        <v>5641</v>
      </c>
      <c r="C2568" s="79" t="s">
        <v>5390</v>
      </c>
      <c r="D2568" s="79" t="s">
        <v>5390</v>
      </c>
      <c r="E2568" s="79" t="s">
        <v>5274</v>
      </c>
      <c r="F2568" s="79" t="s">
        <v>1508</v>
      </c>
      <c r="G2568" s="82">
        <v>2340</v>
      </c>
      <c r="H2568" s="83">
        <v>70.38</v>
      </c>
      <c r="I2568" s="82">
        <v>9145</v>
      </c>
      <c r="J2568" s="82">
        <v>6849</v>
      </c>
      <c r="K2568" s="79">
        <v>7</v>
      </c>
      <c r="L2568" s="79">
        <v>7</v>
      </c>
      <c r="M2568" s="79">
        <v>0</v>
      </c>
      <c r="N2568" s="79">
        <v>0</v>
      </c>
      <c r="O2568">
        <f t="shared" si="675"/>
        <v>1</v>
      </c>
      <c r="P2568" s="57">
        <f t="shared" si="676"/>
        <v>1</v>
      </c>
      <c r="Q2568" s="267">
        <f t="shared" si="677"/>
        <v>3325</v>
      </c>
      <c r="R2568" s="23">
        <f t="shared" si="678"/>
        <v>2340</v>
      </c>
      <c r="S2568" s="23">
        <f t="shared" si="679"/>
        <v>985</v>
      </c>
      <c r="T2568" s="23">
        <f t="shared" si="680"/>
        <v>1355</v>
      </c>
      <c r="U2568" t="str">
        <f t="shared" si="681"/>
        <v>CO_Weld__2020g~City of Fort Lupton Ballot Issue 2A (Vote For 1)</v>
      </c>
      <c r="AF2568" s="22" t="str">
        <f t="shared" si="674"/>
        <v/>
      </c>
    </row>
    <row r="2569" spans="1:45" ht="14.4">
      <c r="A2569" t="str">
        <f t="shared" si="673"/>
        <v>CO_Weld__2020g~City of Fort Lupton Ballot Issue 2A (Vote For 1)</v>
      </c>
      <c r="B2569" s="79" t="s">
        <v>5641</v>
      </c>
      <c r="C2569" s="79" t="s">
        <v>5390</v>
      </c>
      <c r="D2569" s="79" t="s">
        <v>5390</v>
      </c>
      <c r="E2569" s="79" t="s">
        <v>5275</v>
      </c>
      <c r="F2569" s="79" t="s">
        <v>1509</v>
      </c>
      <c r="G2569" s="82">
        <v>985</v>
      </c>
      <c r="H2569" s="83">
        <v>29.62</v>
      </c>
      <c r="I2569" s="82">
        <v>9145</v>
      </c>
      <c r="J2569" s="82">
        <v>6849</v>
      </c>
      <c r="K2569" s="79">
        <v>7</v>
      </c>
      <c r="L2569" s="79">
        <v>7</v>
      </c>
      <c r="M2569" s="79">
        <v>0</v>
      </c>
      <c r="N2569" s="79">
        <v>0</v>
      </c>
      <c r="O2569">
        <f t="shared" si="675"/>
        <v>2</v>
      </c>
      <c r="P2569" s="57">
        <f t="shared" si="676"/>
        <v>1</v>
      </c>
      <c r="Q2569" s="267">
        <f t="shared" si="677"/>
        <v>985</v>
      </c>
      <c r="R2569" s="23" t="str">
        <f t="shared" si="678"/>
        <v/>
      </c>
      <c r="S2569" s="23">
        <f t="shared" si="679"/>
        <v>985</v>
      </c>
      <c r="T2569" s="23" t="str">
        <f t="shared" si="680"/>
        <v/>
      </c>
      <c r="U2569" t="str">
        <f t="shared" si="681"/>
        <v/>
      </c>
      <c r="AF2569" s="22" t="str">
        <f t="shared" si="674"/>
        <v/>
      </c>
    </row>
    <row r="2570" spans="1:45" ht="14.4">
      <c r="A2570" t="str">
        <f t="shared" si="673"/>
        <v>CO_Weld__2020g~City of Fort Lupton Ballot Issue 2B (Vote For 1)</v>
      </c>
      <c r="B2570" s="79" t="s">
        <v>5641</v>
      </c>
      <c r="C2570" s="79" t="s">
        <v>5391</v>
      </c>
      <c r="D2570" s="79" t="s">
        <v>5391</v>
      </c>
      <c r="E2570" s="79" t="s">
        <v>5274</v>
      </c>
      <c r="F2570" s="79" t="s">
        <v>1508</v>
      </c>
      <c r="G2570" s="82">
        <v>1864</v>
      </c>
      <c r="H2570" s="83">
        <v>55.58</v>
      </c>
      <c r="I2570" s="82">
        <v>9145</v>
      </c>
      <c r="J2570" s="82">
        <v>6849</v>
      </c>
      <c r="K2570" s="79">
        <v>7</v>
      </c>
      <c r="L2570" s="79">
        <v>7</v>
      </c>
      <c r="M2570" s="79">
        <v>0</v>
      </c>
      <c r="N2570" s="79">
        <v>0</v>
      </c>
      <c r="O2570">
        <f t="shared" si="675"/>
        <v>1</v>
      </c>
      <c r="P2570" s="57">
        <f t="shared" si="676"/>
        <v>1</v>
      </c>
      <c r="Q2570" s="267">
        <f t="shared" si="677"/>
        <v>3354</v>
      </c>
      <c r="R2570" s="23">
        <f t="shared" si="678"/>
        <v>1864</v>
      </c>
      <c r="S2570" s="23">
        <f t="shared" si="679"/>
        <v>1490</v>
      </c>
      <c r="T2570" s="23">
        <f t="shared" si="680"/>
        <v>374</v>
      </c>
      <c r="U2570" t="str">
        <f t="shared" si="681"/>
        <v>CO_Weld__2020g~City of Fort Lupton Ballot Issue 2B (Vote For 1)</v>
      </c>
      <c r="AF2570" s="22" t="str">
        <f t="shared" si="674"/>
        <v/>
      </c>
    </row>
    <row r="2571" spans="1:45" ht="14.4">
      <c r="A2571" t="str">
        <f t="shared" si="673"/>
        <v>CO_Weld__2020g~City of Fort Lupton Ballot Issue 2B (Vote For 1)</v>
      </c>
      <c r="B2571" s="79" t="s">
        <v>5641</v>
      </c>
      <c r="C2571" s="79" t="s">
        <v>5391</v>
      </c>
      <c r="D2571" s="79" t="s">
        <v>5391</v>
      </c>
      <c r="E2571" s="79" t="s">
        <v>5275</v>
      </c>
      <c r="F2571" s="79" t="s">
        <v>1509</v>
      </c>
      <c r="G2571" s="82">
        <v>1490</v>
      </c>
      <c r="H2571" s="83">
        <v>44.42</v>
      </c>
      <c r="I2571" s="82">
        <v>9145</v>
      </c>
      <c r="J2571" s="82">
        <v>6849</v>
      </c>
      <c r="K2571" s="79">
        <v>7</v>
      </c>
      <c r="L2571" s="79">
        <v>7</v>
      </c>
      <c r="M2571" s="79">
        <v>0</v>
      </c>
      <c r="N2571" s="79">
        <v>0</v>
      </c>
      <c r="O2571">
        <f t="shared" si="675"/>
        <v>2</v>
      </c>
      <c r="P2571" s="57">
        <f t="shared" si="676"/>
        <v>1</v>
      </c>
      <c r="Q2571" s="267">
        <f t="shared" si="677"/>
        <v>1490</v>
      </c>
      <c r="R2571" s="23" t="str">
        <f t="shared" si="678"/>
        <v/>
      </c>
      <c r="S2571" s="23">
        <f t="shared" si="679"/>
        <v>1490</v>
      </c>
      <c r="T2571" s="23" t="str">
        <f t="shared" si="680"/>
        <v/>
      </c>
      <c r="U2571" t="str">
        <f t="shared" si="681"/>
        <v/>
      </c>
      <c r="AF2571" s="22" t="str">
        <f t="shared" si="674"/>
        <v/>
      </c>
    </row>
    <row r="2572" spans="1:45" ht="14.4">
      <c r="A2572" t="str">
        <f t="shared" si="673"/>
        <v>CO_Weld__2020g~City of Fort Lupton Ballot Question 2C (Vote For 1)</v>
      </c>
      <c r="B2572" s="79" t="s">
        <v>5641</v>
      </c>
      <c r="C2572" s="79" t="s">
        <v>5392</v>
      </c>
      <c r="D2572" s="79" t="s">
        <v>5392</v>
      </c>
      <c r="E2572" s="79" t="s">
        <v>5274</v>
      </c>
      <c r="F2572" s="79" t="s">
        <v>1508</v>
      </c>
      <c r="G2572" s="82">
        <v>2029</v>
      </c>
      <c r="H2572" s="83">
        <v>59.96</v>
      </c>
      <c r="I2572" s="82">
        <v>9145</v>
      </c>
      <c r="J2572" s="82">
        <v>6849</v>
      </c>
      <c r="K2572" s="79">
        <v>7</v>
      </c>
      <c r="L2572" s="79">
        <v>7</v>
      </c>
      <c r="M2572" s="79">
        <v>0</v>
      </c>
      <c r="N2572" s="79">
        <v>0</v>
      </c>
      <c r="O2572">
        <f t="shared" si="675"/>
        <v>1</v>
      </c>
      <c r="P2572" s="57">
        <f t="shared" si="676"/>
        <v>1</v>
      </c>
      <c r="Q2572" s="267">
        <f t="shared" si="677"/>
        <v>3384</v>
      </c>
      <c r="R2572" s="23">
        <f t="shared" si="678"/>
        <v>2029</v>
      </c>
      <c r="S2572" s="23">
        <f t="shared" si="679"/>
        <v>1355</v>
      </c>
      <c r="T2572" s="23">
        <f t="shared" si="680"/>
        <v>674</v>
      </c>
      <c r="U2572" t="str">
        <f t="shared" si="681"/>
        <v>CO_Weld__2020g~City of Fort Lupton Ballot Question 2C (Vote For 1)</v>
      </c>
      <c r="AF2572" s="22" t="str">
        <f t="shared" si="674"/>
        <v/>
      </c>
    </row>
    <row r="2573" spans="1:45" ht="14.4">
      <c r="A2573" t="str">
        <f t="shared" si="673"/>
        <v>CO_Weld__2020g~City of Fort Lupton Ballot Question 2C (Vote For 1)</v>
      </c>
      <c r="B2573" s="79" t="s">
        <v>5641</v>
      </c>
      <c r="C2573" s="79" t="s">
        <v>5392</v>
      </c>
      <c r="D2573" s="79" t="s">
        <v>5392</v>
      </c>
      <c r="E2573" s="79" t="s">
        <v>5275</v>
      </c>
      <c r="F2573" s="79" t="s">
        <v>1509</v>
      </c>
      <c r="G2573" s="82">
        <v>1355</v>
      </c>
      <c r="H2573" s="83">
        <v>40.04</v>
      </c>
      <c r="I2573" s="82">
        <v>9145</v>
      </c>
      <c r="J2573" s="82">
        <v>6849</v>
      </c>
      <c r="K2573" s="79">
        <v>7</v>
      </c>
      <c r="L2573" s="79">
        <v>7</v>
      </c>
      <c r="M2573" s="79">
        <v>0</v>
      </c>
      <c r="N2573" s="79">
        <v>0</v>
      </c>
      <c r="O2573">
        <f t="shared" si="675"/>
        <v>2</v>
      </c>
      <c r="P2573" s="57">
        <f t="shared" si="676"/>
        <v>1</v>
      </c>
      <c r="Q2573" s="267">
        <f t="shared" si="677"/>
        <v>1355</v>
      </c>
      <c r="R2573" s="23" t="str">
        <f t="shared" si="678"/>
        <v/>
      </c>
      <c r="S2573" s="23">
        <f t="shared" si="679"/>
        <v>1355</v>
      </c>
      <c r="T2573" s="23" t="str">
        <f t="shared" si="680"/>
        <v/>
      </c>
      <c r="U2573" t="str">
        <f t="shared" si="681"/>
        <v/>
      </c>
      <c r="AF2573" s="22" t="str">
        <f t="shared" si="674"/>
        <v/>
      </c>
    </row>
    <row r="2574" spans="1:45" ht="14.4">
      <c r="A2574" t="str">
        <f t="shared" si="673"/>
        <v>CO_Weld__2020g~City of Greeley Ballot Issue 2I (Vote For 1)</v>
      </c>
      <c r="B2574" s="79" t="s">
        <v>5641</v>
      </c>
      <c r="C2574" s="79" t="s">
        <v>5393</v>
      </c>
      <c r="D2574" s="79" t="s">
        <v>5393</v>
      </c>
      <c r="E2574" s="79" t="s">
        <v>5274</v>
      </c>
      <c r="F2574" s="79" t="s">
        <v>1508</v>
      </c>
      <c r="G2574" s="82">
        <v>31577</v>
      </c>
      <c r="H2574" s="83">
        <v>72.48</v>
      </c>
      <c r="I2574" s="82">
        <v>68095</v>
      </c>
      <c r="J2574" s="82">
        <v>49064</v>
      </c>
      <c r="K2574" s="79">
        <v>52</v>
      </c>
      <c r="L2574" s="79">
        <v>52</v>
      </c>
      <c r="M2574" s="79">
        <v>0</v>
      </c>
      <c r="N2574" s="79">
        <v>0</v>
      </c>
      <c r="O2574">
        <f t="shared" si="675"/>
        <v>1</v>
      </c>
      <c r="P2574" s="57">
        <f t="shared" si="676"/>
        <v>1</v>
      </c>
      <c r="Q2574" s="267">
        <f t="shared" si="677"/>
        <v>43569</v>
      </c>
      <c r="R2574" s="23">
        <f t="shared" si="678"/>
        <v>31577</v>
      </c>
      <c r="S2574" s="23">
        <f t="shared" si="679"/>
        <v>11992</v>
      </c>
      <c r="T2574" s="23">
        <f t="shared" si="680"/>
        <v>19585</v>
      </c>
      <c r="U2574" t="str">
        <f t="shared" si="681"/>
        <v>CO_Weld__2020g~City of Greeley Ballot Issue 2I (Vote For 1)</v>
      </c>
      <c r="AF2574" s="22" t="str">
        <f t="shared" si="674"/>
        <v/>
      </c>
    </row>
    <row r="2575" spans="1:45" ht="14.4">
      <c r="A2575" t="str">
        <f t="shared" si="673"/>
        <v>CO_Weld__2020g~City of Greeley Ballot Issue 2I (Vote For 1)</v>
      </c>
      <c r="B2575" s="79" t="s">
        <v>5641</v>
      </c>
      <c r="C2575" s="79" t="s">
        <v>5393</v>
      </c>
      <c r="D2575" s="79" t="s">
        <v>5393</v>
      </c>
      <c r="E2575" s="79" t="s">
        <v>5275</v>
      </c>
      <c r="F2575" s="79" t="s">
        <v>1509</v>
      </c>
      <c r="G2575" s="82">
        <v>11992</v>
      </c>
      <c r="H2575" s="83">
        <v>27.52</v>
      </c>
      <c r="I2575" s="82">
        <v>68095</v>
      </c>
      <c r="J2575" s="82">
        <v>49064</v>
      </c>
      <c r="K2575" s="79">
        <v>52</v>
      </c>
      <c r="L2575" s="79">
        <v>52</v>
      </c>
      <c r="M2575" s="79">
        <v>0</v>
      </c>
      <c r="N2575" s="79">
        <v>0</v>
      </c>
      <c r="O2575">
        <f t="shared" si="675"/>
        <v>2</v>
      </c>
      <c r="P2575" s="57">
        <f t="shared" si="676"/>
        <v>1</v>
      </c>
      <c r="Q2575" s="267">
        <f t="shared" si="677"/>
        <v>11992</v>
      </c>
      <c r="R2575" s="23" t="str">
        <f t="shared" si="678"/>
        <v/>
      </c>
      <c r="S2575" s="23">
        <f t="shared" si="679"/>
        <v>11992</v>
      </c>
      <c r="T2575" s="23" t="str">
        <f t="shared" si="680"/>
        <v/>
      </c>
      <c r="U2575" t="str">
        <f t="shared" si="681"/>
        <v/>
      </c>
      <c r="AF2575" s="22" t="str">
        <f t="shared" si="674"/>
        <v/>
      </c>
    </row>
    <row r="2576" spans="1:45" ht="14.4">
      <c r="A2576" t="str">
        <f t="shared" si="673"/>
        <v>CO_Weld__2020g~District Attorney - 19th Judicial District (Vote For 1)</v>
      </c>
      <c r="B2576" s="79" t="s">
        <v>5641</v>
      </c>
      <c r="C2576" s="79" t="s">
        <v>5215</v>
      </c>
      <c r="D2576" s="79" t="s">
        <v>5215</v>
      </c>
      <c r="E2576" s="79" t="s">
        <v>5216</v>
      </c>
      <c r="F2576" s="79" t="s">
        <v>1296</v>
      </c>
      <c r="G2576" s="82">
        <v>124521</v>
      </c>
      <c r="H2576" s="83">
        <v>100</v>
      </c>
      <c r="I2576" s="82">
        <v>217352</v>
      </c>
      <c r="J2576" s="82">
        <v>168816</v>
      </c>
      <c r="K2576" s="79">
        <v>156</v>
      </c>
      <c r="L2576" s="79">
        <v>156</v>
      </c>
      <c r="M2576" s="79">
        <v>0</v>
      </c>
      <c r="N2576" s="79">
        <v>0</v>
      </c>
      <c r="O2576">
        <f t="shared" si="675"/>
        <v>1</v>
      </c>
      <c r="P2576" s="57">
        <f t="shared" si="676"/>
        <v>1</v>
      </c>
      <c r="Q2576" s="267">
        <f t="shared" si="677"/>
        <v>124521</v>
      </c>
      <c r="R2576" s="23">
        <f t="shared" si="678"/>
        <v>124521</v>
      </c>
      <c r="S2576" s="23">
        <f t="shared" si="679"/>
        <v>0</v>
      </c>
      <c r="T2576" s="23" t="str">
        <f t="shared" si="680"/>
        <v/>
      </c>
      <c r="U2576" t="str">
        <f t="shared" si="681"/>
        <v>CO_Weld__2020g~District Attorney - 19th Judicial District (Vote For 1)</v>
      </c>
      <c r="AF2576" s="22" t="str">
        <f t="shared" si="674"/>
        <v/>
      </c>
    </row>
    <row r="2577" spans="1:32" ht="14.4">
      <c r="A2577" t="str">
        <f t="shared" si="673"/>
        <v>CO_Weld__2020g~District Court Judge - 19th Judicial District - Kerns (Vote For 1)</v>
      </c>
      <c r="B2577" s="79" t="s">
        <v>5641</v>
      </c>
      <c r="C2577" s="79" t="s">
        <v>5254</v>
      </c>
      <c r="D2577" s="79" t="s">
        <v>5254</v>
      </c>
      <c r="E2577" s="79" t="s">
        <v>1393</v>
      </c>
      <c r="F2577" s="79" t="s">
        <v>1508</v>
      </c>
      <c r="G2577" s="82">
        <v>99100</v>
      </c>
      <c r="H2577" s="83">
        <v>72.34</v>
      </c>
      <c r="I2577" s="82">
        <v>217352</v>
      </c>
      <c r="J2577" s="82">
        <v>168816</v>
      </c>
      <c r="K2577" s="79">
        <v>156</v>
      </c>
      <c r="L2577" s="79">
        <v>156</v>
      </c>
      <c r="M2577" s="79">
        <v>0</v>
      </c>
      <c r="N2577" s="79">
        <v>0</v>
      </c>
      <c r="O2577">
        <f t="shared" si="675"/>
        <v>1</v>
      </c>
      <c r="P2577" s="57">
        <f t="shared" si="676"/>
        <v>1</v>
      </c>
      <c r="Q2577" s="267">
        <f t="shared" si="677"/>
        <v>136986</v>
      </c>
      <c r="R2577" s="23">
        <f t="shared" si="678"/>
        <v>99100</v>
      </c>
      <c r="S2577" s="23">
        <f t="shared" si="679"/>
        <v>37886</v>
      </c>
      <c r="T2577" s="23">
        <f t="shared" si="680"/>
        <v>61214</v>
      </c>
      <c r="U2577" t="str">
        <f t="shared" si="681"/>
        <v>CO_Weld__2020g~District Court Judge - 19th Judicial District - Kerns (Vote For 1)</v>
      </c>
      <c r="AF2577" s="22" t="str">
        <f t="shared" si="674"/>
        <v/>
      </c>
    </row>
    <row r="2578" spans="1:32" ht="14.4">
      <c r="A2578" t="str">
        <f t="shared" si="673"/>
        <v>CO_Weld__2020g~District Court Judge - 19th Judicial District - Kerns (Vote For 1)</v>
      </c>
      <c r="B2578" s="79" t="s">
        <v>5641</v>
      </c>
      <c r="C2578" s="79" t="s">
        <v>5254</v>
      </c>
      <c r="D2578" s="79" t="s">
        <v>5254</v>
      </c>
      <c r="E2578" s="79" t="s">
        <v>1394</v>
      </c>
      <c r="F2578" s="79" t="s">
        <v>1509</v>
      </c>
      <c r="G2578" s="82">
        <v>37886</v>
      </c>
      <c r="H2578" s="83">
        <v>27.66</v>
      </c>
      <c r="I2578" s="82">
        <v>217352</v>
      </c>
      <c r="J2578" s="82">
        <v>168816</v>
      </c>
      <c r="K2578" s="79">
        <v>156</v>
      </c>
      <c r="L2578" s="79">
        <v>156</v>
      </c>
      <c r="M2578" s="79">
        <v>0</v>
      </c>
      <c r="N2578" s="79">
        <v>0</v>
      </c>
      <c r="O2578">
        <f t="shared" si="675"/>
        <v>2</v>
      </c>
      <c r="P2578" s="57">
        <f t="shared" si="676"/>
        <v>1</v>
      </c>
      <c r="Q2578" s="267">
        <f t="shared" si="677"/>
        <v>37886</v>
      </c>
      <c r="R2578" s="23" t="str">
        <f t="shared" si="678"/>
        <v/>
      </c>
      <c r="S2578" s="23">
        <f t="shared" si="679"/>
        <v>37886</v>
      </c>
      <c r="T2578" s="23" t="str">
        <f t="shared" si="680"/>
        <v/>
      </c>
      <c r="U2578" t="str">
        <f t="shared" si="681"/>
        <v/>
      </c>
      <c r="AF2578" s="22" t="str">
        <f t="shared" si="674"/>
        <v/>
      </c>
    </row>
    <row r="2579" spans="1:32" ht="14.4">
      <c r="A2579" t="str">
        <f t="shared" si="673"/>
        <v>CO_Weld__2020g~District Court Judge - 19th Judicial District - Kopcow (Vote For 1)</v>
      </c>
      <c r="B2579" s="79" t="s">
        <v>5641</v>
      </c>
      <c r="C2579" s="79" t="s">
        <v>5255</v>
      </c>
      <c r="D2579" s="79" t="s">
        <v>5255</v>
      </c>
      <c r="E2579" s="79" t="s">
        <v>1393</v>
      </c>
      <c r="F2579" s="79" t="s">
        <v>1508</v>
      </c>
      <c r="G2579" s="82">
        <v>100730</v>
      </c>
      <c r="H2579" s="83">
        <v>73.31</v>
      </c>
      <c r="I2579" s="82">
        <v>217352</v>
      </c>
      <c r="J2579" s="82">
        <v>168816</v>
      </c>
      <c r="K2579" s="79">
        <v>156</v>
      </c>
      <c r="L2579" s="79">
        <v>156</v>
      </c>
      <c r="M2579" s="79">
        <v>0</v>
      </c>
      <c r="N2579" s="79">
        <v>0</v>
      </c>
      <c r="O2579">
        <f t="shared" si="675"/>
        <v>1</v>
      </c>
      <c r="P2579" s="57">
        <f t="shared" si="676"/>
        <v>1</v>
      </c>
      <c r="Q2579" s="267">
        <f t="shared" si="677"/>
        <v>137397</v>
      </c>
      <c r="R2579" s="23">
        <f t="shared" si="678"/>
        <v>100730</v>
      </c>
      <c r="S2579" s="23">
        <f t="shared" si="679"/>
        <v>36667</v>
      </c>
      <c r="T2579" s="23">
        <f t="shared" si="680"/>
        <v>64063</v>
      </c>
      <c r="U2579" t="str">
        <f t="shared" si="681"/>
        <v>CO_Weld__2020g~District Court Judge - 19th Judicial District - Kopcow (Vote For 1)</v>
      </c>
      <c r="AF2579" s="22" t="str">
        <f t="shared" si="674"/>
        <v/>
      </c>
    </row>
    <row r="2580" spans="1:32" ht="14.4">
      <c r="A2580" t="str">
        <f t="shared" si="673"/>
        <v>CO_Weld__2020g~District Court Judge - 19th Judicial District - Kopcow (Vote For 1)</v>
      </c>
      <c r="B2580" s="79" t="s">
        <v>5641</v>
      </c>
      <c r="C2580" s="79" t="s">
        <v>5255</v>
      </c>
      <c r="D2580" s="79" t="s">
        <v>5255</v>
      </c>
      <c r="E2580" s="79" t="s">
        <v>1394</v>
      </c>
      <c r="F2580" s="79" t="s">
        <v>1509</v>
      </c>
      <c r="G2580" s="82">
        <v>36667</v>
      </c>
      <c r="H2580" s="83">
        <v>26.69</v>
      </c>
      <c r="I2580" s="82">
        <v>217352</v>
      </c>
      <c r="J2580" s="82">
        <v>168816</v>
      </c>
      <c r="K2580" s="79">
        <v>156</v>
      </c>
      <c r="L2580" s="79">
        <v>156</v>
      </c>
      <c r="M2580" s="79">
        <v>0</v>
      </c>
      <c r="N2580" s="79">
        <v>0</v>
      </c>
      <c r="O2580">
        <f t="shared" si="675"/>
        <v>2</v>
      </c>
      <c r="P2580" s="57">
        <f t="shared" si="676"/>
        <v>1</v>
      </c>
      <c r="Q2580" s="267">
        <f t="shared" si="677"/>
        <v>36667</v>
      </c>
      <c r="R2580" s="23" t="str">
        <f t="shared" si="678"/>
        <v/>
      </c>
      <c r="S2580" s="23">
        <f t="shared" si="679"/>
        <v>36667</v>
      </c>
      <c r="T2580" s="23" t="str">
        <f t="shared" si="680"/>
        <v/>
      </c>
      <c r="U2580" t="str">
        <f t="shared" si="681"/>
        <v/>
      </c>
      <c r="AF2580" s="22" t="str">
        <f t="shared" si="674"/>
        <v/>
      </c>
    </row>
    <row r="2581" spans="1:32" ht="14.4">
      <c r="A2581" t="str">
        <f t="shared" si="673"/>
        <v>CO_Weld__2020g~Fort Lupton Fire Protection District Ballot Issue 6D (Vote For 1)</v>
      </c>
      <c r="B2581" s="79" t="s">
        <v>5641</v>
      </c>
      <c r="C2581" s="79" t="s">
        <v>5451</v>
      </c>
      <c r="D2581" s="79" t="s">
        <v>5451</v>
      </c>
      <c r="E2581" s="79" t="s">
        <v>5274</v>
      </c>
      <c r="F2581" s="79" t="s">
        <v>1508</v>
      </c>
      <c r="G2581" s="82">
        <v>2691</v>
      </c>
      <c r="H2581" s="83">
        <v>50.73</v>
      </c>
      <c r="I2581" s="82">
        <v>13795</v>
      </c>
      <c r="J2581" s="82">
        <v>10585</v>
      </c>
      <c r="K2581" s="79">
        <v>11</v>
      </c>
      <c r="L2581" s="79">
        <v>11</v>
      </c>
      <c r="M2581" s="79">
        <v>0</v>
      </c>
      <c r="N2581" s="79">
        <v>0</v>
      </c>
      <c r="O2581">
        <f t="shared" si="675"/>
        <v>1</v>
      </c>
      <c r="P2581" s="57">
        <f t="shared" si="676"/>
        <v>1</v>
      </c>
      <c r="Q2581" s="267">
        <f t="shared" si="677"/>
        <v>5305</v>
      </c>
      <c r="R2581" s="23">
        <f t="shared" si="678"/>
        <v>2691</v>
      </c>
      <c r="S2581" s="23">
        <f t="shared" si="679"/>
        <v>2614</v>
      </c>
      <c r="T2581" s="23">
        <f t="shared" si="680"/>
        <v>77</v>
      </c>
      <c r="U2581" t="str">
        <f t="shared" si="681"/>
        <v>CO_Weld__2020g~Fort Lupton Fire Protection District Ballot Issue 6D (Vote For 1)</v>
      </c>
      <c r="AF2581" s="22" t="str">
        <f t="shared" si="674"/>
        <v/>
      </c>
    </row>
    <row r="2582" spans="1:32" ht="14.4">
      <c r="A2582" t="str">
        <f t="shared" si="673"/>
        <v>CO_Weld__2020g~Fort Lupton Fire Protection District Ballot Issue 6D (Vote For 1)</v>
      </c>
      <c r="B2582" s="79" t="s">
        <v>5641</v>
      </c>
      <c r="C2582" s="79" t="s">
        <v>5451</v>
      </c>
      <c r="D2582" s="79" t="s">
        <v>5451</v>
      </c>
      <c r="E2582" s="79" t="s">
        <v>5275</v>
      </c>
      <c r="F2582" s="79" t="s">
        <v>1509</v>
      </c>
      <c r="G2582" s="82">
        <v>2614</v>
      </c>
      <c r="H2582" s="83">
        <v>49.27</v>
      </c>
      <c r="I2582" s="82">
        <v>13795</v>
      </c>
      <c r="J2582" s="82">
        <v>10585</v>
      </c>
      <c r="K2582" s="79">
        <v>11</v>
      </c>
      <c r="L2582" s="79">
        <v>11</v>
      </c>
      <c r="M2582" s="79">
        <v>0</v>
      </c>
      <c r="N2582" s="79">
        <v>0</v>
      </c>
      <c r="O2582">
        <f t="shared" si="675"/>
        <v>2</v>
      </c>
      <c r="P2582" s="57">
        <f t="shared" si="676"/>
        <v>1</v>
      </c>
      <c r="Q2582" s="267">
        <f t="shared" si="677"/>
        <v>2614</v>
      </c>
      <c r="R2582" s="23" t="str">
        <f t="shared" si="678"/>
        <v/>
      </c>
      <c r="S2582" s="23">
        <f t="shared" si="679"/>
        <v>2614</v>
      </c>
      <c r="T2582" s="23" t="str">
        <f t="shared" si="680"/>
        <v/>
      </c>
      <c r="U2582" t="str">
        <f t="shared" si="681"/>
        <v/>
      </c>
      <c r="AF2582" s="22" t="str">
        <f t="shared" si="674"/>
        <v/>
      </c>
    </row>
    <row r="2583" spans="1:32" ht="14.4">
      <c r="A2583" t="str">
        <f t="shared" si="673"/>
        <v>CO_Weld__2020g~Frederick-Firestone Fire Protection District Ballot Issue 6B (Vote For 1)</v>
      </c>
      <c r="B2583" s="79" t="s">
        <v>5641</v>
      </c>
      <c r="C2583" s="79" t="s">
        <v>5453</v>
      </c>
      <c r="D2583" s="79" t="s">
        <v>5453</v>
      </c>
      <c r="E2583" s="79" t="s">
        <v>5275</v>
      </c>
      <c r="F2583" s="79" t="s">
        <v>1509</v>
      </c>
      <c r="G2583" s="82">
        <v>9305</v>
      </c>
      <c r="H2583" s="83">
        <v>54.37</v>
      </c>
      <c r="I2583" s="82">
        <v>34798</v>
      </c>
      <c r="J2583" s="82">
        <v>28209</v>
      </c>
      <c r="K2583" s="79">
        <v>23</v>
      </c>
      <c r="L2583" s="79">
        <v>23</v>
      </c>
      <c r="M2583" s="79">
        <v>0</v>
      </c>
      <c r="N2583" s="79">
        <v>0</v>
      </c>
      <c r="O2583">
        <f t="shared" si="675"/>
        <v>1</v>
      </c>
      <c r="P2583" s="57">
        <f t="shared" si="676"/>
        <v>1</v>
      </c>
      <c r="Q2583" s="267">
        <f t="shared" si="677"/>
        <v>17115</v>
      </c>
      <c r="R2583" s="23">
        <f t="shared" si="678"/>
        <v>9305</v>
      </c>
      <c r="S2583" s="23">
        <f t="shared" si="679"/>
        <v>7810</v>
      </c>
      <c r="T2583" s="23">
        <f t="shared" si="680"/>
        <v>1495</v>
      </c>
      <c r="U2583" t="str">
        <f t="shared" si="681"/>
        <v>CO_Weld__2020g~Frederick-Firestone Fire Protection District Ballot Issue 6B (Vote For 1)</v>
      </c>
      <c r="AF2583" s="22" t="str">
        <f t="shared" si="674"/>
        <v/>
      </c>
    </row>
    <row r="2584" spans="1:32" ht="14.4">
      <c r="A2584" t="str">
        <f t="shared" si="673"/>
        <v>CO_Weld__2020g~Frederick-Firestone Fire Protection District Ballot Issue 6B (Vote For 1)</v>
      </c>
      <c r="B2584" s="79" t="s">
        <v>5641</v>
      </c>
      <c r="C2584" s="79" t="s">
        <v>5453</v>
      </c>
      <c r="D2584" s="79" t="s">
        <v>5453</v>
      </c>
      <c r="E2584" s="79" t="s">
        <v>5274</v>
      </c>
      <c r="F2584" s="79" t="s">
        <v>1508</v>
      </c>
      <c r="G2584" s="82">
        <v>7810</v>
      </c>
      <c r="H2584" s="83">
        <v>45.63</v>
      </c>
      <c r="I2584" s="82">
        <v>34798</v>
      </c>
      <c r="J2584" s="82">
        <v>28209</v>
      </c>
      <c r="K2584" s="79">
        <v>23</v>
      </c>
      <c r="L2584" s="79">
        <v>23</v>
      </c>
      <c r="M2584" s="79">
        <v>0</v>
      </c>
      <c r="N2584" s="79">
        <v>0</v>
      </c>
      <c r="O2584">
        <f t="shared" si="675"/>
        <v>2</v>
      </c>
      <c r="P2584" s="57">
        <f t="shared" si="676"/>
        <v>1</v>
      </c>
      <c r="Q2584" s="267">
        <f t="shared" si="677"/>
        <v>7810</v>
      </c>
      <c r="R2584" s="23" t="str">
        <f t="shared" si="678"/>
        <v/>
      </c>
      <c r="S2584" s="23">
        <f t="shared" si="679"/>
        <v>7810</v>
      </c>
      <c r="T2584" s="23" t="str">
        <f t="shared" si="680"/>
        <v/>
      </c>
      <c r="U2584" t="str">
        <f t="shared" si="681"/>
        <v/>
      </c>
      <c r="AF2584" s="22" t="str">
        <f t="shared" si="674"/>
        <v/>
      </c>
    </row>
    <row r="2585" spans="1:32" ht="14.4">
      <c r="A2585" t="str">
        <f t="shared" si="673"/>
        <v>CO_Weld__2020g~Frederick-Firestone Fire Protection District Ballot Question 6C (Vote For 1)</v>
      </c>
      <c r="B2585" s="79" t="s">
        <v>5641</v>
      </c>
      <c r="C2585" s="79" t="s">
        <v>5454</v>
      </c>
      <c r="D2585" s="79" t="s">
        <v>5454</v>
      </c>
      <c r="E2585" s="79" t="s">
        <v>5274</v>
      </c>
      <c r="F2585" s="79" t="s">
        <v>1508</v>
      </c>
      <c r="G2585" s="82">
        <v>14193</v>
      </c>
      <c r="H2585" s="83">
        <v>81.87</v>
      </c>
      <c r="I2585" s="82">
        <v>34798</v>
      </c>
      <c r="J2585" s="82">
        <v>28209</v>
      </c>
      <c r="K2585" s="79">
        <v>23</v>
      </c>
      <c r="L2585" s="79">
        <v>23</v>
      </c>
      <c r="M2585" s="79">
        <v>0</v>
      </c>
      <c r="N2585" s="79">
        <v>0</v>
      </c>
      <c r="O2585">
        <f t="shared" si="675"/>
        <v>1</v>
      </c>
      <c r="P2585" s="57">
        <f t="shared" si="676"/>
        <v>1</v>
      </c>
      <c r="Q2585" s="267">
        <f t="shared" si="677"/>
        <v>17335</v>
      </c>
      <c r="R2585" s="23">
        <f t="shared" si="678"/>
        <v>14193</v>
      </c>
      <c r="S2585" s="23">
        <f t="shared" si="679"/>
        <v>3142</v>
      </c>
      <c r="T2585" s="23">
        <f t="shared" si="680"/>
        <v>11051</v>
      </c>
      <c r="U2585" t="str">
        <f t="shared" si="681"/>
        <v>CO_Weld__2020g~Frederick-Firestone Fire Protection District Ballot Question 6C (Vote For 1)</v>
      </c>
      <c r="AF2585" s="22" t="str">
        <f t="shared" si="674"/>
        <v/>
      </c>
    </row>
    <row r="2586" spans="1:32" ht="14.4">
      <c r="A2586" t="str">
        <f t="shared" si="673"/>
        <v>CO_Weld__2020g~Frederick-Firestone Fire Protection District Ballot Question 6C (Vote For 1)</v>
      </c>
      <c r="B2586" s="79" t="s">
        <v>5641</v>
      </c>
      <c r="C2586" s="79" t="s">
        <v>5454</v>
      </c>
      <c r="D2586" s="79" t="s">
        <v>5454</v>
      </c>
      <c r="E2586" s="79" t="s">
        <v>5275</v>
      </c>
      <c r="F2586" s="79" t="s">
        <v>1509</v>
      </c>
      <c r="G2586" s="82">
        <v>3142</v>
      </c>
      <c r="H2586" s="83">
        <v>18.13</v>
      </c>
      <c r="I2586" s="82">
        <v>34798</v>
      </c>
      <c r="J2586" s="82">
        <v>28209</v>
      </c>
      <c r="K2586" s="79">
        <v>23</v>
      </c>
      <c r="L2586" s="79">
        <v>23</v>
      </c>
      <c r="M2586" s="79">
        <v>0</v>
      </c>
      <c r="N2586" s="79">
        <v>0</v>
      </c>
      <c r="O2586">
        <f t="shared" si="675"/>
        <v>2</v>
      </c>
      <c r="P2586" s="57">
        <f t="shared" si="676"/>
        <v>1</v>
      </c>
      <c r="Q2586" s="267">
        <f t="shared" si="677"/>
        <v>3142</v>
      </c>
      <c r="R2586" s="23" t="str">
        <f t="shared" si="678"/>
        <v/>
      </c>
      <c r="S2586" s="23">
        <f t="shared" si="679"/>
        <v>3142</v>
      </c>
      <c r="T2586" s="23" t="str">
        <f t="shared" si="680"/>
        <v/>
      </c>
      <c r="U2586" t="str">
        <f t="shared" si="681"/>
        <v/>
      </c>
      <c r="AF2586" s="22" t="str">
        <f t="shared" si="674"/>
        <v/>
      </c>
    </row>
    <row r="2587" spans="1:32" ht="14.4">
      <c r="A2587" t="str">
        <f t="shared" si="673"/>
        <v>CO_Weld__2020g~Hudson Fire Protection District Ballot Issue 6A (Vote For 1)</v>
      </c>
      <c r="B2587" s="79" t="s">
        <v>5641</v>
      </c>
      <c r="C2587" s="79" t="s">
        <v>5455</v>
      </c>
      <c r="D2587" s="79" t="s">
        <v>5455</v>
      </c>
      <c r="E2587" s="79" t="s">
        <v>5275</v>
      </c>
      <c r="F2587" s="79" t="s">
        <v>1509</v>
      </c>
      <c r="G2587" s="82">
        <v>2296</v>
      </c>
      <c r="H2587" s="83">
        <v>51.35</v>
      </c>
      <c r="I2587" s="82">
        <v>11118</v>
      </c>
      <c r="J2587" s="82">
        <v>8302</v>
      </c>
      <c r="K2587" s="79">
        <v>9</v>
      </c>
      <c r="L2587" s="79">
        <v>9</v>
      </c>
      <c r="M2587" s="79">
        <v>0</v>
      </c>
      <c r="N2587" s="79">
        <v>0</v>
      </c>
      <c r="O2587">
        <f t="shared" si="675"/>
        <v>1</v>
      </c>
      <c r="P2587" s="57">
        <f t="shared" si="676"/>
        <v>1</v>
      </c>
      <c r="Q2587" s="267">
        <f t="shared" si="677"/>
        <v>4471</v>
      </c>
      <c r="R2587" s="23">
        <f t="shared" si="678"/>
        <v>2296</v>
      </c>
      <c r="S2587" s="23">
        <f t="shared" si="679"/>
        <v>2175</v>
      </c>
      <c r="T2587" s="23">
        <f t="shared" si="680"/>
        <v>121</v>
      </c>
      <c r="U2587" t="str">
        <f t="shared" si="681"/>
        <v>CO_Weld__2020g~Hudson Fire Protection District Ballot Issue 6A (Vote For 1)</v>
      </c>
      <c r="AF2587" s="22" t="str">
        <f t="shared" si="674"/>
        <v/>
      </c>
    </row>
    <row r="2588" spans="1:32" ht="14.4">
      <c r="A2588" t="str">
        <f t="shared" si="673"/>
        <v>CO_Weld__2020g~Hudson Fire Protection District Ballot Issue 6A (Vote For 1)</v>
      </c>
      <c r="B2588" s="79" t="s">
        <v>5641</v>
      </c>
      <c r="C2588" s="79" t="s">
        <v>5455</v>
      </c>
      <c r="D2588" s="79" t="s">
        <v>5455</v>
      </c>
      <c r="E2588" s="79" t="s">
        <v>5274</v>
      </c>
      <c r="F2588" s="79" t="s">
        <v>1508</v>
      </c>
      <c r="G2588" s="82">
        <v>2175</v>
      </c>
      <c r="H2588" s="83">
        <v>48.65</v>
      </c>
      <c r="I2588" s="82">
        <v>11118</v>
      </c>
      <c r="J2588" s="82">
        <v>8302</v>
      </c>
      <c r="K2588" s="79">
        <v>9</v>
      </c>
      <c r="L2588" s="79">
        <v>9</v>
      </c>
      <c r="M2588" s="79">
        <v>0</v>
      </c>
      <c r="N2588" s="79">
        <v>0</v>
      </c>
      <c r="O2588">
        <f t="shared" si="675"/>
        <v>2</v>
      </c>
      <c r="P2588" s="57">
        <f t="shared" si="676"/>
        <v>1</v>
      </c>
      <c r="Q2588" s="267">
        <f t="shared" si="677"/>
        <v>2175</v>
      </c>
      <c r="R2588" s="23" t="str">
        <f t="shared" si="678"/>
        <v/>
      </c>
      <c r="S2588" s="23">
        <f t="shared" si="679"/>
        <v>2175</v>
      </c>
      <c r="T2588" s="23" t="str">
        <f t="shared" si="680"/>
        <v/>
      </c>
      <c r="U2588" t="str">
        <f t="shared" si="681"/>
        <v/>
      </c>
      <c r="AF2588" s="22" t="str">
        <f t="shared" si="674"/>
        <v/>
      </c>
    </row>
    <row r="2589" spans="1:32" ht="14.4">
      <c r="A2589" t="str">
        <f t="shared" si="673"/>
        <v>CO_Weld__2020g~Prairie School District RE-11J Ballot Question 5E (Vote For 1)</v>
      </c>
      <c r="B2589" s="79" t="s">
        <v>5641</v>
      </c>
      <c r="C2589" s="79" t="s">
        <v>5485</v>
      </c>
      <c r="D2589" s="79" t="s">
        <v>5485</v>
      </c>
      <c r="E2589" s="79" t="s">
        <v>5274</v>
      </c>
      <c r="F2589" s="79" t="s">
        <v>1508</v>
      </c>
      <c r="G2589" s="82">
        <v>139</v>
      </c>
      <c r="H2589" s="83">
        <v>55.38</v>
      </c>
      <c r="I2589" s="82">
        <v>771</v>
      </c>
      <c r="J2589" s="82">
        <v>655</v>
      </c>
      <c r="K2589" s="79">
        <v>3</v>
      </c>
      <c r="L2589" s="79">
        <v>3</v>
      </c>
      <c r="M2589" s="79">
        <v>0</v>
      </c>
      <c r="N2589" s="79">
        <v>0</v>
      </c>
      <c r="O2589">
        <f t="shared" si="675"/>
        <v>1</v>
      </c>
      <c r="P2589" s="57">
        <f t="shared" si="676"/>
        <v>1</v>
      </c>
      <c r="Q2589" s="267">
        <f t="shared" si="677"/>
        <v>251</v>
      </c>
      <c r="R2589" s="23">
        <f t="shared" si="678"/>
        <v>139</v>
      </c>
      <c r="S2589" s="23">
        <f t="shared" si="679"/>
        <v>112</v>
      </c>
      <c r="T2589" s="23">
        <f t="shared" si="680"/>
        <v>27</v>
      </c>
      <c r="U2589" t="str">
        <f t="shared" si="681"/>
        <v>CO_Weld__2020g~Prairie School District RE-11J Ballot Question 5E (Vote For 1)</v>
      </c>
      <c r="AF2589" s="22" t="str">
        <f t="shared" si="674"/>
        <v/>
      </c>
    </row>
    <row r="2590" spans="1:32" ht="14.4">
      <c r="A2590" t="str">
        <f t="shared" si="673"/>
        <v>CO_Weld__2020g~Prairie School District RE-11J Ballot Question 5E (Vote For 1)</v>
      </c>
      <c r="B2590" s="79" t="s">
        <v>5641</v>
      </c>
      <c r="C2590" s="79" t="s">
        <v>5485</v>
      </c>
      <c r="D2590" s="79" t="s">
        <v>5485</v>
      </c>
      <c r="E2590" s="79" t="s">
        <v>5275</v>
      </c>
      <c r="F2590" s="79" t="s">
        <v>1509</v>
      </c>
      <c r="G2590" s="82">
        <v>112</v>
      </c>
      <c r="H2590" s="83">
        <v>44.62</v>
      </c>
      <c r="I2590" s="82">
        <v>771</v>
      </c>
      <c r="J2590" s="82">
        <v>655</v>
      </c>
      <c r="K2590" s="79">
        <v>3</v>
      </c>
      <c r="L2590" s="79">
        <v>3</v>
      </c>
      <c r="M2590" s="79">
        <v>0</v>
      </c>
      <c r="N2590" s="79">
        <v>0</v>
      </c>
      <c r="O2590">
        <f t="shared" si="675"/>
        <v>2</v>
      </c>
      <c r="P2590" s="57">
        <f t="shared" si="676"/>
        <v>1</v>
      </c>
      <c r="Q2590" s="267">
        <f t="shared" si="677"/>
        <v>112</v>
      </c>
      <c r="R2590" s="23" t="str">
        <f t="shared" si="678"/>
        <v/>
      </c>
      <c r="S2590" s="23">
        <f t="shared" si="679"/>
        <v>112</v>
      </c>
      <c r="T2590" s="23" t="str">
        <f t="shared" si="680"/>
        <v/>
      </c>
      <c r="U2590" t="str">
        <f t="shared" si="681"/>
        <v/>
      </c>
      <c r="AF2590" s="22" t="str">
        <f t="shared" si="674"/>
        <v/>
      </c>
    </row>
    <row r="2591" spans="1:32" ht="14.4">
      <c r="A2591" t="str">
        <f t="shared" si="673"/>
        <v>CO_Weld__2020g~State Representative - District 48 (Vote For 1)</v>
      </c>
      <c r="B2591" s="79" t="s">
        <v>5641</v>
      </c>
      <c r="C2591" s="79" t="s">
        <v>5179</v>
      </c>
      <c r="D2591" s="79" t="s">
        <v>5179</v>
      </c>
      <c r="E2591" s="79" t="s">
        <v>5180</v>
      </c>
      <c r="F2591" s="79" t="s">
        <v>1296</v>
      </c>
      <c r="G2591" s="82">
        <v>37670</v>
      </c>
      <c r="H2591" s="83">
        <v>66.709999999999994</v>
      </c>
      <c r="I2591" s="82">
        <v>73665</v>
      </c>
      <c r="J2591" s="82">
        <v>59313</v>
      </c>
      <c r="K2591" s="79">
        <v>54</v>
      </c>
      <c r="L2591" s="79">
        <v>54</v>
      </c>
      <c r="M2591" s="79">
        <v>0</v>
      </c>
      <c r="N2591" s="79">
        <v>0</v>
      </c>
      <c r="O2591">
        <f t="shared" si="675"/>
        <v>1</v>
      </c>
      <c r="P2591" s="57">
        <f t="shared" si="676"/>
        <v>1</v>
      </c>
      <c r="Q2591" s="267">
        <f t="shared" si="677"/>
        <v>56472</v>
      </c>
      <c r="R2591" s="23">
        <f t="shared" si="678"/>
        <v>37670</v>
      </c>
      <c r="S2591" s="23">
        <f t="shared" si="679"/>
        <v>18802</v>
      </c>
      <c r="T2591" s="23">
        <f t="shared" si="680"/>
        <v>18868</v>
      </c>
      <c r="U2591" t="str">
        <f t="shared" si="681"/>
        <v>CO_Weld__2020g~State Representative - District 48 (Vote For 1)</v>
      </c>
      <c r="AF2591" s="22" t="str">
        <f t="shared" si="674"/>
        <v/>
      </c>
    </row>
    <row r="2592" spans="1:32" ht="14.4">
      <c r="A2592" t="str">
        <f t="shared" si="673"/>
        <v>CO_Weld__2020g~State Representative - District 48 (Vote For 1)</v>
      </c>
      <c r="B2592" s="79" t="s">
        <v>5641</v>
      </c>
      <c r="C2592" s="79" t="s">
        <v>5179</v>
      </c>
      <c r="D2592" s="79" t="s">
        <v>5179</v>
      </c>
      <c r="E2592" s="79" t="s">
        <v>5181</v>
      </c>
      <c r="F2592" s="79" t="s">
        <v>1294</v>
      </c>
      <c r="G2592" s="82">
        <v>18802</v>
      </c>
      <c r="H2592" s="83">
        <v>33.29</v>
      </c>
      <c r="I2592" s="82">
        <v>73665</v>
      </c>
      <c r="J2592" s="82">
        <v>59313</v>
      </c>
      <c r="K2592" s="79">
        <v>54</v>
      </c>
      <c r="L2592" s="79">
        <v>54</v>
      </c>
      <c r="M2592" s="79">
        <v>0</v>
      </c>
      <c r="N2592" s="79">
        <v>0</v>
      </c>
      <c r="O2592">
        <f t="shared" si="675"/>
        <v>2</v>
      </c>
      <c r="P2592" s="57">
        <f t="shared" si="676"/>
        <v>1</v>
      </c>
      <c r="Q2592" s="267">
        <f t="shared" si="677"/>
        <v>18802</v>
      </c>
      <c r="R2592" s="23" t="str">
        <f t="shared" si="678"/>
        <v/>
      </c>
      <c r="S2592" s="23">
        <f t="shared" si="679"/>
        <v>18802</v>
      </c>
      <c r="T2592" s="23" t="str">
        <f t="shared" si="680"/>
        <v/>
      </c>
      <c r="U2592" t="str">
        <f t="shared" si="681"/>
        <v/>
      </c>
      <c r="AF2592" s="22" t="str">
        <f t="shared" si="674"/>
        <v/>
      </c>
    </row>
    <row r="2593" spans="1:32" ht="14.4">
      <c r="A2593" t="str">
        <f t="shared" si="673"/>
        <v>CO_Weld__2020g~State Representative - District 50 (Vote For 1)</v>
      </c>
      <c r="B2593" s="79" t="s">
        <v>5641</v>
      </c>
      <c r="C2593" s="79" t="s">
        <v>5185</v>
      </c>
      <c r="D2593" s="79" t="s">
        <v>5185</v>
      </c>
      <c r="E2593" s="79" t="s">
        <v>5186</v>
      </c>
      <c r="F2593" s="79" t="s">
        <v>1294</v>
      </c>
      <c r="G2593" s="82">
        <v>16402</v>
      </c>
      <c r="H2593" s="83">
        <v>62.14</v>
      </c>
      <c r="I2593" s="82">
        <v>46122</v>
      </c>
      <c r="J2593" s="82">
        <v>30271</v>
      </c>
      <c r="K2593" s="79">
        <v>31</v>
      </c>
      <c r="L2593" s="79">
        <v>31</v>
      </c>
      <c r="M2593" s="79">
        <v>0</v>
      </c>
      <c r="N2593" s="79">
        <v>0</v>
      </c>
      <c r="O2593">
        <f t="shared" si="675"/>
        <v>1</v>
      </c>
      <c r="P2593" s="57">
        <f t="shared" si="676"/>
        <v>1</v>
      </c>
      <c r="Q2593" s="267">
        <f t="shared" si="677"/>
        <v>26394</v>
      </c>
      <c r="R2593" s="23">
        <f t="shared" si="678"/>
        <v>16402</v>
      </c>
      <c r="S2593" s="23">
        <f t="shared" si="679"/>
        <v>9992</v>
      </c>
      <c r="T2593" s="23">
        <f t="shared" si="680"/>
        <v>6410</v>
      </c>
      <c r="U2593" t="str">
        <f t="shared" si="681"/>
        <v>CO_Weld__2020g~State Representative - District 50 (Vote For 1)</v>
      </c>
      <c r="AF2593" s="22" t="str">
        <f t="shared" si="674"/>
        <v/>
      </c>
    </row>
    <row r="2594" spans="1:32" ht="14.4">
      <c r="A2594" t="str">
        <f t="shared" si="673"/>
        <v>CO_Weld__2020g~State Representative - District 50 (Vote For 1)</v>
      </c>
      <c r="B2594" s="79" t="s">
        <v>5641</v>
      </c>
      <c r="C2594" s="79" t="s">
        <v>5185</v>
      </c>
      <c r="D2594" s="79" t="s">
        <v>5185</v>
      </c>
      <c r="E2594" s="79" t="s">
        <v>5187</v>
      </c>
      <c r="F2594" s="79" t="s">
        <v>4951</v>
      </c>
      <c r="G2594" s="82">
        <v>9992</v>
      </c>
      <c r="H2594" s="83">
        <v>37.86</v>
      </c>
      <c r="I2594" s="82">
        <v>46122</v>
      </c>
      <c r="J2594" s="82">
        <v>30271</v>
      </c>
      <c r="K2594" s="79">
        <v>31</v>
      </c>
      <c r="L2594" s="79">
        <v>31</v>
      </c>
      <c r="M2594" s="79">
        <v>0</v>
      </c>
      <c r="N2594" s="79">
        <v>0</v>
      </c>
      <c r="O2594">
        <f t="shared" si="675"/>
        <v>2</v>
      </c>
      <c r="P2594" s="57">
        <f t="shared" si="676"/>
        <v>1</v>
      </c>
      <c r="Q2594" s="267">
        <f t="shared" si="677"/>
        <v>9992</v>
      </c>
      <c r="R2594" s="23" t="str">
        <f t="shared" si="678"/>
        <v/>
      </c>
      <c r="S2594" s="23">
        <f t="shared" si="679"/>
        <v>9992</v>
      </c>
      <c r="T2594" s="23" t="str">
        <f t="shared" si="680"/>
        <v/>
      </c>
      <c r="U2594" t="str">
        <f t="shared" si="681"/>
        <v/>
      </c>
      <c r="AF2594" s="22" t="str">
        <f t="shared" si="674"/>
        <v/>
      </c>
    </row>
    <row r="2595" spans="1:32" ht="14.4">
      <c r="A2595" t="str">
        <f t="shared" si="673"/>
        <v>CO_Weld__2020g~State Representative - District 63 (Vote For 1)</v>
      </c>
      <c r="B2595" s="79" t="s">
        <v>5641</v>
      </c>
      <c r="C2595" s="79" t="s">
        <v>5199</v>
      </c>
      <c r="D2595" s="79" t="s">
        <v>5199</v>
      </c>
      <c r="E2595" s="79" t="s">
        <v>5200</v>
      </c>
      <c r="F2595" s="79" t="s">
        <v>1296</v>
      </c>
      <c r="G2595" s="82">
        <v>35064</v>
      </c>
      <c r="H2595" s="83">
        <v>59.75</v>
      </c>
      <c r="I2595" s="82">
        <v>76577</v>
      </c>
      <c r="J2595" s="82">
        <v>61510</v>
      </c>
      <c r="K2595" s="79">
        <v>55</v>
      </c>
      <c r="L2595" s="79">
        <v>55</v>
      </c>
      <c r="M2595" s="79">
        <v>0</v>
      </c>
      <c r="N2595" s="79">
        <v>0</v>
      </c>
      <c r="O2595">
        <f t="shared" si="675"/>
        <v>1</v>
      </c>
      <c r="P2595" s="57">
        <f t="shared" si="676"/>
        <v>1</v>
      </c>
      <c r="Q2595" s="267">
        <f t="shared" si="677"/>
        <v>58681</v>
      </c>
      <c r="R2595" s="23">
        <f t="shared" si="678"/>
        <v>35064</v>
      </c>
      <c r="S2595" s="23">
        <f t="shared" si="679"/>
        <v>20906</v>
      </c>
      <c r="T2595" s="23">
        <f t="shared" si="680"/>
        <v>14158</v>
      </c>
      <c r="U2595" t="str">
        <f t="shared" si="681"/>
        <v>CO_Weld__2020g~State Representative - District 63 (Vote For 1)</v>
      </c>
      <c r="AF2595" s="22" t="str">
        <f t="shared" si="674"/>
        <v/>
      </c>
    </row>
    <row r="2596" spans="1:32" ht="14.4">
      <c r="A2596" t="str">
        <f t="shared" si="673"/>
        <v>CO_Weld__2020g~State Representative - District 63 (Vote For 1)</v>
      </c>
      <c r="B2596" s="79" t="s">
        <v>5641</v>
      </c>
      <c r="C2596" s="79" t="s">
        <v>5199</v>
      </c>
      <c r="D2596" s="79" t="s">
        <v>5199</v>
      </c>
      <c r="E2596" s="79" t="s">
        <v>5201</v>
      </c>
      <c r="F2596" s="79" t="s">
        <v>1294</v>
      </c>
      <c r="G2596" s="82">
        <v>20906</v>
      </c>
      <c r="H2596" s="83">
        <v>35.630000000000003</v>
      </c>
      <c r="I2596" s="82">
        <v>76577</v>
      </c>
      <c r="J2596" s="82">
        <v>61510</v>
      </c>
      <c r="K2596" s="79">
        <v>55</v>
      </c>
      <c r="L2596" s="79">
        <v>55</v>
      </c>
      <c r="M2596" s="79">
        <v>0</v>
      </c>
      <c r="N2596" s="79">
        <v>0</v>
      </c>
      <c r="O2596">
        <f t="shared" si="675"/>
        <v>2</v>
      </c>
      <c r="P2596" s="57">
        <f t="shared" si="676"/>
        <v>1</v>
      </c>
      <c r="Q2596" s="267">
        <f t="shared" si="677"/>
        <v>23617</v>
      </c>
      <c r="R2596" s="23" t="str">
        <f t="shared" si="678"/>
        <v/>
      </c>
      <c r="S2596" s="23">
        <f t="shared" si="679"/>
        <v>20906</v>
      </c>
      <c r="T2596" s="23" t="str">
        <f t="shared" si="680"/>
        <v/>
      </c>
      <c r="U2596" t="str">
        <f t="shared" si="681"/>
        <v/>
      </c>
      <c r="AF2596" s="22" t="str">
        <f t="shared" si="674"/>
        <v/>
      </c>
    </row>
    <row r="2597" spans="1:32" ht="14.4">
      <c r="A2597" t="str">
        <f t="shared" si="673"/>
        <v>CO_Weld__2020g~State Representative - District 63 (Vote For 1)</v>
      </c>
      <c r="B2597" s="79" t="s">
        <v>5641</v>
      </c>
      <c r="C2597" s="79" t="s">
        <v>5199</v>
      </c>
      <c r="D2597" s="79" t="s">
        <v>5199</v>
      </c>
      <c r="E2597" s="79" t="s">
        <v>5202</v>
      </c>
      <c r="F2597" s="79" t="s">
        <v>4951</v>
      </c>
      <c r="G2597" s="82">
        <v>2711</v>
      </c>
      <c r="H2597" s="83">
        <v>4.62</v>
      </c>
      <c r="I2597" s="82">
        <v>76577</v>
      </c>
      <c r="J2597" s="82">
        <v>61510</v>
      </c>
      <c r="K2597" s="79">
        <v>55</v>
      </c>
      <c r="L2597" s="79">
        <v>55</v>
      </c>
      <c r="M2597" s="79">
        <v>0</v>
      </c>
      <c r="N2597" s="79">
        <v>0</v>
      </c>
      <c r="O2597">
        <f t="shared" si="675"/>
        <v>3</v>
      </c>
      <c r="P2597" s="57">
        <f t="shared" si="676"/>
        <v>1</v>
      </c>
      <c r="Q2597" s="267">
        <f t="shared" si="677"/>
        <v>2711</v>
      </c>
      <c r="R2597" s="23" t="str">
        <f t="shared" si="678"/>
        <v/>
      </c>
      <c r="S2597" s="23">
        <f t="shared" si="679"/>
        <v>2711</v>
      </c>
      <c r="T2597" s="23" t="str">
        <f t="shared" si="680"/>
        <v/>
      </c>
      <c r="U2597" t="str">
        <f t="shared" si="681"/>
        <v/>
      </c>
      <c r="AF2597" s="22" t="str">
        <f t="shared" si="674"/>
        <v/>
      </c>
    </row>
    <row r="2598" spans="1:32" ht="14.4">
      <c r="A2598" t="str">
        <f t="shared" si="673"/>
        <v>CO_Weld__2020g~Town of Eaton Ballot Issue 2H (Vote For 1)</v>
      </c>
      <c r="B2598" s="79" t="s">
        <v>5641</v>
      </c>
      <c r="C2598" s="79" t="s">
        <v>5537</v>
      </c>
      <c r="D2598" s="79" t="s">
        <v>5537</v>
      </c>
      <c r="E2598" s="79" t="s">
        <v>5275</v>
      </c>
      <c r="F2598" s="79" t="s">
        <v>1509</v>
      </c>
      <c r="G2598" s="82">
        <v>1713</v>
      </c>
      <c r="H2598" s="83">
        <v>50.31</v>
      </c>
      <c r="I2598" s="82">
        <v>6291</v>
      </c>
      <c r="J2598" s="82">
        <v>5265</v>
      </c>
      <c r="K2598" s="79">
        <v>5</v>
      </c>
      <c r="L2598" s="79">
        <v>5</v>
      </c>
      <c r="M2598" s="79">
        <v>0</v>
      </c>
      <c r="N2598" s="79">
        <v>0</v>
      </c>
      <c r="O2598">
        <f t="shared" si="675"/>
        <v>1</v>
      </c>
      <c r="P2598" s="57">
        <f t="shared" si="676"/>
        <v>1</v>
      </c>
      <c r="Q2598" s="267">
        <f t="shared" si="677"/>
        <v>3405</v>
      </c>
      <c r="R2598" s="23">
        <f t="shared" si="678"/>
        <v>1713</v>
      </c>
      <c r="S2598" s="23">
        <f t="shared" si="679"/>
        <v>1692</v>
      </c>
      <c r="T2598" s="23">
        <f t="shared" si="680"/>
        <v>21</v>
      </c>
      <c r="U2598" t="str">
        <f t="shared" si="681"/>
        <v>CO_Weld__2020g~Town of Eaton Ballot Issue 2H (Vote For 1)</v>
      </c>
      <c r="AF2598" s="22" t="str">
        <f t="shared" si="674"/>
        <v/>
      </c>
    </row>
    <row r="2599" spans="1:32" ht="14.4">
      <c r="A2599" t="str">
        <f t="shared" si="673"/>
        <v>CO_Weld__2020g~Town of Eaton Ballot Issue 2H (Vote For 1)</v>
      </c>
      <c r="B2599" s="79" t="s">
        <v>5641</v>
      </c>
      <c r="C2599" s="79" t="s">
        <v>5537</v>
      </c>
      <c r="D2599" s="79" t="s">
        <v>5537</v>
      </c>
      <c r="E2599" s="79" t="s">
        <v>5274</v>
      </c>
      <c r="F2599" s="79" t="s">
        <v>1508</v>
      </c>
      <c r="G2599" s="82">
        <v>1692</v>
      </c>
      <c r="H2599" s="83">
        <v>49.69</v>
      </c>
      <c r="I2599" s="82">
        <v>6291</v>
      </c>
      <c r="J2599" s="82">
        <v>5265</v>
      </c>
      <c r="K2599" s="79">
        <v>5</v>
      </c>
      <c r="L2599" s="79">
        <v>5</v>
      </c>
      <c r="M2599" s="79">
        <v>0</v>
      </c>
      <c r="N2599" s="79">
        <v>0</v>
      </c>
      <c r="O2599">
        <f t="shared" si="675"/>
        <v>2</v>
      </c>
      <c r="P2599" s="57">
        <f t="shared" si="676"/>
        <v>1</v>
      </c>
      <c r="Q2599" s="267">
        <f t="shared" si="677"/>
        <v>1692</v>
      </c>
      <c r="R2599" s="23" t="str">
        <f t="shared" si="678"/>
        <v/>
      </c>
      <c r="S2599" s="23">
        <f t="shared" si="679"/>
        <v>1692</v>
      </c>
      <c r="T2599" s="23" t="str">
        <f t="shared" si="680"/>
        <v/>
      </c>
      <c r="U2599" t="str">
        <f t="shared" si="681"/>
        <v/>
      </c>
      <c r="AF2599" s="22" t="str">
        <f t="shared" si="674"/>
        <v/>
      </c>
    </row>
    <row r="2600" spans="1:32" ht="14.4">
      <c r="A2600" t="str">
        <f t="shared" si="673"/>
        <v>CO_Weld__2020g~Town of Gilcrest Mayor (Vote For 1)</v>
      </c>
      <c r="B2600" s="79" t="s">
        <v>5641</v>
      </c>
      <c r="C2600" s="79" t="s">
        <v>5538</v>
      </c>
      <c r="D2600" s="79" t="s">
        <v>5538</v>
      </c>
      <c r="E2600" s="79" t="s">
        <v>5539</v>
      </c>
      <c r="F2600" s="79">
        <v>1</v>
      </c>
      <c r="G2600" s="82">
        <v>345</v>
      </c>
      <c r="H2600" s="83">
        <v>100</v>
      </c>
      <c r="I2600" s="82">
        <v>1697</v>
      </c>
      <c r="J2600" s="82">
        <v>1320</v>
      </c>
      <c r="K2600" s="79">
        <v>1</v>
      </c>
      <c r="L2600" s="79">
        <v>1</v>
      </c>
      <c r="M2600" s="79">
        <v>0</v>
      </c>
      <c r="N2600" s="79">
        <v>0</v>
      </c>
      <c r="O2600">
        <f t="shared" si="675"/>
        <v>1</v>
      </c>
      <c r="P2600" s="57">
        <f t="shared" si="676"/>
        <v>1</v>
      </c>
      <c r="Q2600" s="267">
        <f t="shared" si="677"/>
        <v>345</v>
      </c>
      <c r="R2600" s="23">
        <f t="shared" si="678"/>
        <v>345</v>
      </c>
      <c r="S2600" s="23">
        <f t="shared" si="679"/>
        <v>0</v>
      </c>
      <c r="T2600" s="23" t="str">
        <f t="shared" si="680"/>
        <v/>
      </c>
      <c r="U2600" t="str">
        <f t="shared" si="681"/>
        <v>CO_Weld__2020g~Town of Gilcrest Mayor (Vote For 1)</v>
      </c>
      <c r="AF2600" s="22" t="str">
        <f t="shared" si="674"/>
        <v/>
      </c>
    </row>
    <row r="2601" spans="1:32" ht="14.4">
      <c r="A2601" t="str">
        <f t="shared" si="673"/>
        <v>CO_Weld__2020g~Town of Gilcrest Trustee (Vote For 3)</v>
      </c>
      <c r="B2601" s="79" t="s">
        <v>5641</v>
      </c>
      <c r="C2601" s="79" t="s">
        <v>5540</v>
      </c>
      <c r="D2601" s="79" t="s">
        <v>5540</v>
      </c>
      <c r="E2601" s="79" t="s">
        <v>5541</v>
      </c>
      <c r="F2601" s="79">
        <v>1</v>
      </c>
      <c r="G2601" s="82">
        <v>201</v>
      </c>
      <c r="H2601" s="83">
        <v>23.02</v>
      </c>
      <c r="I2601" s="82">
        <v>1697</v>
      </c>
      <c r="J2601" s="82">
        <v>1320</v>
      </c>
      <c r="K2601" s="79">
        <v>1</v>
      </c>
      <c r="L2601" s="79">
        <v>1</v>
      </c>
      <c r="M2601" s="79">
        <v>0</v>
      </c>
      <c r="N2601" s="79">
        <v>0</v>
      </c>
      <c r="O2601">
        <f t="shared" si="675"/>
        <v>1</v>
      </c>
      <c r="P2601" s="57">
        <f t="shared" si="676"/>
        <v>3</v>
      </c>
      <c r="Q2601" s="267">
        <f t="shared" si="677"/>
        <v>291</v>
      </c>
      <c r="R2601" s="23">
        <f t="shared" si="678"/>
        <v>114</v>
      </c>
      <c r="S2601" s="23">
        <f t="shared" si="679"/>
        <v>113</v>
      </c>
      <c r="T2601" s="23">
        <f t="shared" si="680"/>
        <v>1</v>
      </c>
      <c r="U2601" t="str">
        <f t="shared" si="681"/>
        <v>CO_Weld__2020g~Town of Gilcrest Trustee (Vote For 3)</v>
      </c>
      <c r="AF2601" s="22" t="str">
        <f t="shared" si="674"/>
        <v/>
      </c>
    </row>
    <row r="2602" spans="1:32" ht="14.4">
      <c r="A2602" t="str">
        <f t="shared" si="673"/>
        <v>CO_Weld__2020g~Town of Gilcrest Trustee (Vote For 3)</v>
      </c>
      <c r="B2602" s="79" t="s">
        <v>5641</v>
      </c>
      <c r="C2602" s="79" t="s">
        <v>5540</v>
      </c>
      <c r="D2602" s="79" t="s">
        <v>5540</v>
      </c>
      <c r="E2602" s="79" t="s">
        <v>5543</v>
      </c>
      <c r="F2602" s="79">
        <v>3</v>
      </c>
      <c r="G2602" s="82">
        <v>124</v>
      </c>
      <c r="H2602" s="83">
        <v>14.2</v>
      </c>
      <c r="I2602" s="82">
        <v>1697</v>
      </c>
      <c r="J2602" s="82">
        <v>1320</v>
      </c>
      <c r="K2602" s="79">
        <v>1</v>
      </c>
      <c r="L2602" s="79">
        <v>1</v>
      </c>
      <c r="M2602" s="79">
        <v>0</v>
      </c>
      <c r="N2602" s="79">
        <v>0</v>
      </c>
      <c r="O2602">
        <f t="shared" si="675"/>
        <v>2</v>
      </c>
      <c r="P2602" s="57">
        <f t="shared" si="676"/>
        <v>3</v>
      </c>
      <c r="Q2602" s="267">
        <f t="shared" si="677"/>
        <v>672</v>
      </c>
      <c r="R2602" s="23">
        <f t="shared" si="678"/>
        <v>114</v>
      </c>
      <c r="S2602" s="23">
        <f t="shared" si="679"/>
        <v>113</v>
      </c>
      <c r="T2602" s="23" t="str">
        <f t="shared" si="680"/>
        <v/>
      </c>
      <c r="U2602" t="str">
        <f t="shared" si="681"/>
        <v/>
      </c>
      <c r="AF2602" s="22" t="str">
        <f t="shared" si="674"/>
        <v/>
      </c>
    </row>
    <row r="2603" spans="1:32" ht="14.4">
      <c r="A2603" t="str">
        <f t="shared" si="673"/>
        <v>CO_Weld__2020g~Town of Gilcrest Trustee (Vote For 3)</v>
      </c>
      <c r="B2603" s="79" t="s">
        <v>5641</v>
      </c>
      <c r="C2603" s="79" t="s">
        <v>5540</v>
      </c>
      <c r="D2603" s="79" t="s">
        <v>5540</v>
      </c>
      <c r="E2603" s="79" t="s">
        <v>5542</v>
      </c>
      <c r="F2603" s="79">
        <v>2</v>
      </c>
      <c r="G2603" s="82">
        <v>114</v>
      </c>
      <c r="H2603" s="83">
        <v>13.06</v>
      </c>
      <c r="I2603" s="82">
        <v>1697</v>
      </c>
      <c r="J2603" s="82">
        <v>1320</v>
      </c>
      <c r="K2603" s="79">
        <v>1</v>
      </c>
      <c r="L2603" s="79">
        <v>1</v>
      </c>
      <c r="M2603" s="79">
        <v>0</v>
      </c>
      <c r="N2603" s="79">
        <v>0</v>
      </c>
      <c r="O2603">
        <f t="shared" si="675"/>
        <v>3</v>
      </c>
      <c r="P2603" s="57">
        <f t="shared" si="676"/>
        <v>3</v>
      </c>
      <c r="Q2603" s="267">
        <f t="shared" si="677"/>
        <v>548</v>
      </c>
      <c r="R2603" s="23">
        <f t="shared" si="678"/>
        <v>114</v>
      </c>
      <c r="S2603" s="23">
        <f t="shared" si="679"/>
        <v>113</v>
      </c>
      <c r="T2603" s="23" t="str">
        <f t="shared" si="680"/>
        <v/>
      </c>
      <c r="U2603" t="str">
        <f t="shared" si="681"/>
        <v/>
      </c>
      <c r="AF2603" s="22" t="str">
        <f t="shared" si="674"/>
        <v/>
      </c>
    </row>
    <row r="2604" spans="1:32" ht="14.4">
      <c r="A2604" t="str">
        <f t="shared" si="673"/>
        <v>CO_Weld__2020g~Town of Gilcrest Trustee (Vote For 3)</v>
      </c>
      <c r="B2604" s="79" t="s">
        <v>5641</v>
      </c>
      <c r="C2604" s="79" t="s">
        <v>5540</v>
      </c>
      <c r="D2604" s="79" t="s">
        <v>5540</v>
      </c>
      <c r="E2604" s="79" t="s">
        <v>5545</v>
      </c>
      <c r="F2604" s="79">
        <v>5</v>
      </c>
      <c r="G2604" s="82">
        <v>113</v>
      </c>
      <c r="H2604" s="83">
        <v>12.94</v>
      </c>
      <c r="I2604" s="82">
        <v>1697</v>
      </c>
      <c r="J2604" s="82">
        <v>1320</v>
      </c>
      <c r="K2604" s="79">
        <v>1</v>
      </c>
      <c r="L2604" s="79">
        <v>1</v>
      </c>
      <c r="M2604" s="79">
        <v>0</v>
      </c>
      <c r="N2604" s="79">
        <v>0</v>
      </c>
      <c r="O2604">
        <f t="shared" si="675"/>
        <v>4</v>
      </c>
      <c r="P2604" s="57">
        <f t="shared" si="676"/>
        <v>3</v>
      </c>
      <c r="Q2604" s="267">
        <f t="shared" si="677"/>
        <v>434</v>
      </c>
      <c r="R2604" s="23" t="str">
        <f t="shared" si="678"/>
        <v/>
      </c>
      <c r="S2604" s="23">
        <f t="shared" si="679"/>
        <v>113</v>
      </c>
      <c r="T2604" s="23" t="str">
        <f t="shared" si="680"/>
        <v/>
      </c>
      <c r="U2604" t="str">
        <f t="shared" si="681"/>
        <v/>
      </c>
      <c r="AF2604" s="22" t="str">
        <f t="shared" si="674"/>
        <v/>
      </c>
    </row>
    <row r="2605" spans="1:32" ht="14.4">
      <c r="A2605" t="str">
        <f t="shared" si="673"/>
        <v>CO_Weld__2020g~Town of Gilcrest Trustee (Vote For 3)</v>
      </c>
      <c r="B2605" s="79" t="s">
        <v>5641</v>
      </c>
      <c r="C2605" s="79" t="s">
        <v>5540</v>
      </c>
      <c r="D2605" s="79" t="s">
        <v>5540</v>
      </c>
      <c r="E2605" s="79" t="s">
        <v>5547</v>
      </c>
      <c r="F2605" s="79">
        <v>7</v>
      </c>
      <c r="G2605" s="82">
        <v>111</v>
      </c>
      <c r="H2605" s="83">
        <v>12.71</v>
      </c>
      <c r="I2605" s="82">
        <v>1697</v>
      </c>
      <c r="J2605" s="82">
        <v>1320</v>
      </c>
      <c r="K2605" s="79">
        <v>1</v>
      </c>
      <c r="L2605" s="79">
        <v>1</v>
      </c>
      <c r="M2605" s="79">
        <v>0</v>
      </c>
      <c r="N2605" s="79">
        <v>0</v>
      </c>
      <c r="O2605">
        <f t="shared" si="675"/>
        <v>5</v>
      </c>
      <c r="P2605" s="57">
        <f t="shared" si="676"/>
        <v>3</v>
      </c>
      <c r="Q2605" s="267">
        <f t="shared" si="677"/>
        <v>321</v>
      </c>
      <c r="R2605" s="23" t="str">
        <f t="shared" si="678"/>
        <v/>
      </c>
      <c r="S2605" s="23">
        <f t="shared" si="679"/>
        <v>111</v>
      </c>
      <c r="T2605" s="23" t="str">
        <f t="shared" si="680"/>
        <v/>
      </c>
      <c r="U2605" t="str">
        <f t="shared" si="681"/>
        <v/>
      </c>
      <c r="AF2605" s="22" t="str">
        <f t="shared" si="674"/>
        <v/>
      </c>
    </row>
    <row r="2606" spans="1:32" ht="14.4">
      <c r="A2606" t="str">
        <f t="shared" si="673"/>
        <v>CO_Weld__2020g~Town of Gilcrest Trustee (Vote For 3)</v>
      </c>
      <c r="B2606" s="79" t="s">
        <v>5641</v>
      </c>
      <c r="C2606" s="79" t="s">
        <v>5540</v>
      </c>
      <c r="D2606" s="79" t="s">
        <v>5540</v>
      </c>
      <c r="E2606" s="79" t="s">
        <v>5544</v>
      </c>
      <c r="F2606" s="79">
        <v>4</v>
      </c>
      <c r="G2606" s="82">
        <v>105</v>
      </c>
      <c r="H2606" s="83">
        <v>12.03</v>
      </c>
      <c r="I2606" s="82">
        <v>1697</v>
      </c>
      <c r="J2606" s="82">
        <v>1320</v>
      </c>
      <c r="K2606" s="79">
        <v>1</v>
      </c>
      <c r="L2606" s="79">
        <v>1</v>
      </c>
      <c r="M2606" s="79">
        <v>0</v>
      </c>
      <c r="N2606" s="79">
        <v>0</v>
      </c>
      <c r="O2606">
        <f t="shared" si="675"/>
        <v>6</v>
      </c>
      <c r="P2606" s="57">
        <f t="shared" si="676"/>
        <v>3</v>
      </c>
      <c r="Q2606" s="267">
        <f t="shared" si="677"/>
        <v>210</v>
      </c>
      <c r="R2606" s="23" t="str">
        <f t="shared" si="678"/>
        <v/>
      </c>
      <c r="S2606" s="23">
        <f t="shared" si="679"/>
        <v>105</v>
      </c>
      <c r="T2606" s="23" t="str">
        <f t="shared" si="680"/>
        <v/>
      </c>
      <c r="U2606" t="str">
        <f t="shared" si="681"/>
        <v/>
      </c>
      <c r="AF2606" s="22" t="str">
        <f t="shared" si="674"/>
        <v/>
      </c>
    </row>
    <row r="2607" spans="1:32" ht="14.4">
      <c r="A2607" t="str">
        <f t="shared" si="673"/>
        <v>CO_Weld__2020g~Town of Gilcrest Trustee (Vote For 3)</v>
      </c>
      <c r="B2607" s="79" t="s">
        <v>5641</v>
      </c>
      <c r="C2607" s="79" t="s">
        <v>5540</v>
      </c>
      <c r="D2607" s="79" t="s">
        <v>5540</v>
      </c>
      <c r="E2607" s="79" t="s">
        <v>5546</v>
      </c>
      <c r="F2607" s="79">
        <v>6</v>
      </c>
      <c r="G2607" s="82">
        <v>105</v>
      </c>
      <c r="H2607" s="83">
        <v>12.03</v>
      </c>
      <c r="I2607" s="82">
        <v>1697</v>
      </c>
      <c r="J2607" s="82">
        <v>1320</v>
      </c>
      <c r="K2607" s="79">
        <v>1</v>
      </c>
      <c r="L2607" s="79">
        <v>1</v>
      </c>
      <c r="M2607" s="79">
        <v>0</v>
      </c>
      <c r="N2607" s="79">
        <v>0</v>
      </c>
      <c r="O2607">
        <f t="shared" si="675"/>
        <v>7</v>
      </c>
      <c r="P2607" s="57">
        <f t="shared" si="676"/>
        <v>3</v>
      </c>
      <c r="Q2607" s="267">
        <f t="shared" si="677"/>
        <v>105</v>
      </c>
      <c r="R2607" s="23" t="str">
        <f t="shared" si="678"/>
        <v/>
      </c>
      <c r="S2607" s="23">
        <f t="shared" si="679"/>
        <v>105</v>
      </c>
      <c r="T2607" s="23" t="str">
        <f t="shared" si="680"/>
        <v/>
      </c>
      <c r="U2607" t="str">
        <f t="shared" si="681"/>
        <v/>
      </c>
      <c r="AF2607" s="22" t="str">
        <f t="shared" si="674"/>
        <v/>
      </c>
    </row>
    <row r="2608" spans="1:32" ht="14.4">
      <c r="A2608" t="str">
        <f t="shared" si="673"/>
        <v>CO_Weld__2020g~Town of Hudson Town Council (Vote For 3)</v>
      </c>
      <c r="B2608" s="79" t="s">
        <v>5641</v>
      </c>
      <c r="C2608" s="79" t="s">
        <v>5548</v>
      </c>
      <c r="D2608" s="79" t="s">
        <v>5548</v>
      </c>
      <c r="E2608" s="79" t="s">
        <v>5554</v>
      </c>
      <c r="F2608" s="79">
        <v>6</v>
      </c>
      <c r="G2608" s="82">
        <v>381</v>
      </c>
      <c r="H2608" s="83">
        <v>21.86</v>
      </c>
      <c r="I2608" s="82">
        <v>2377</v>
      </c>
      <c r="J2608" s="82">
        <v>1796</v>
      </c>
      <c r="K2608" s="79">
        <v>2</v>
      </c>
      <c r="L2608" s="79">
        <v>2</v>
      </c>
      <c r="M2608" s="79">
        <v>0</v>
      </c>
      <c r="N2608" s="79">
        <v>0</v>
      </c>
      <c r="O2608">
        <f t="shared" si="675"/>
        <v>1</v>
      </c>
      <c r="P2608" s="57">
        <f t="shared" si="676"/>
        <v>3</v>
      </c>
      <c r="Q2608" s="267">
        <f t="shared" si="677"/>
        <v>581</v>
      </c>
      <c r="R2608" s="23">
        <f t="shared" si="678"/>
        <v>311</v>
      </c>
      <c r="S2608" s="23">
        <f t="shared" si="679"/>
        <v>297</v>
      </c>
      <c r="T2608" s="23">
        <f t="shared" si="680"/>
        <v>14</v>
      </c>
      <c r="U2608" t="str">
        <f t="shared" si="681"/>
        <v>CO_Weld__2020g~Town of Hudson Town Council (Vote For 3)</v>
      </c>
      <c r="AF2608" s="22" t="str">
        <f t="shared" si="674"/>
        <v/>
      </c>
    </row>
    <row r="2609" spans="1:32" ht="14.4">
      <c r="A2609" t="str">
        <f t="shared" si="673"/>
        <v>CO_Weld__2020g~Town of Hudson Town Council (Vote For 3)</v>
      </c>
      <c r="B2609" s="79" t="s">
        <v>5641</v>
      </c>
      <c r="C2609" s="79" t="s">
        <v>5548</v>
      </c>
      <c r="D2609" s="79" t="s">
        <v>5548</v>
      </c>
      <c r="E2609" s="79" t="s">
        <v>5552</v>
      </c>
      <c r="F2609" s="79">
        <v>4</v>
      </c>
      <c r="G2609" s="82">
        <v>357</v>
      </c>
      <c r="H2609" s="83">
        <v>20.48</v>
      </c>
      <c r="I2609" s="82">
        <v>2377</v>
      </c>
      <c r="J2609" s="82">
        <v>1796</v>
      </c>
      <c r="K2609" s="79">
        <v>2</v>
      </c>
      <c r="L2609" s="79">
        <v>2</v>
      </c>
      <c r="M2609" s="79">
        <v>0</v>
      </c>
      <c r="N2609" s="79">
        <v>0</v>
      </c>
      <c r="O2609">
        <f t="shared" si="675"/>
        <v>2</v>
      </c>
      <c r="P2609" s="57">
        <f t="shared" si="676"/>
        <v>3</v>
      </c>
      <c r="Q2609" s="267">
        <f t="shared" si="677"/>
        <v>1362</v>
      </c>
      <c r="R2609" s="23">
        <f t="shared" si="678"/>
        <v>311</v>
      </c>
      <c r="S2609" s="23">
        <f t="shared" si="679"/>
        <v>297</v>
      </c>
      <c r="T2609" s="23" t="str">
        <f t="shared" si="680"/>
        <v/>
      </c>
      <c r="U2609" t="str">
        <f t="shared" si="681"/>
        <v/>
      </c>
      <c r="AF2609" s="22" t="str">
        <f t="shared" si="674"/>
        <v/>
      </c>
    </row>
    <row r="2610" spans="1:32" ht="14.4">
      <c r="A2610" t="str">
        <f t="shared" ref="A2610:A2656" si="682">CONCATENATE(B2610,"~",D2610)</f>
        <v>CO_Weld__2020g~Town of Hudson Town Council (Vote For 3)</v>
      </c>
      <c r="B2610" s="79" t="s">
        <v>5641</v>
      </c>
      <c r="C2610" s="79" t="s">
        <v>5548</v>
      </c>
      <c r="D2610" s="79" t="s">
        <v>5548</v>
      </c>
      <c r="E2610" s="79" t="s">
        <v>5550</v>
      </c>
      <c r="F2610" s="79">
        <v>2</v>
      </c>
      <c r="G2610" s="82">
        <v>311</v>
      </c>
      <c r="H2610" s="83">
        <v>17.84</v>
      </c>
      <c r="I2610" s="82">
        <v>2377</v>
      </c>
      <c r="J2610" s="82">
        <v>1796</v>
      </c>
      <c r="K2610" s="79">
        <v>2</v>
      </c>
      <c r="L2610" s="79">
        <v>2</v>
      </c>
      <c r="M2610" s="79">
        <v>0</v>
      </c>
      <c r="N2610" s="79">
        <v>0</v>
      </c>
      <c r="O2610">
        <f t="shared" si="675"/>
        <v>3</v>
      </c>
      <c r="P2610" s="57">
        <f t="shared" si="676"/>
        <v>3</v>
      </c>
      <c r="Q2610" s="267">
        <f t="shared" si="677"/>
        <v>1005</v>
      </c>
      <c r="R2610" s="23">
        <f t="shared" si="678"/>
        <v>311</v>
      </c>
      <c r="S2610" s="23">
        <f t="shared" si="679"/>
        <v>297</v>
      </c>
      <c r="T2610" s="23" t="str">
        <f t="shared" si="680"/>
        <v/>
      </c>
      <c r="U2610" t="str">
        <f t="shared" si="681"/>
        <v/>
      </c>
      <c r="AF2610" s="22" t="str">
        <f t="shared" si="674"/>
        <v/>
      </c>
    </row>
    <row r="2611" spans="1:32" ht="14.4">
      <c r="A2611" t="str">
        <f t="shared" si="682"/>
        <v>CO_Weld__2020g~Town of Hudson Town Council (Vote For 3)</v>
      </c>
      <c r="B2611" s="79" t="s">
        <v>5641</v>
      </c>
      <c r="C2611" s="79" t="s">
        <v>5548</v>
      </c>
      <c r="D2611" s="79" t="s">
        <v>5548</v>
      </c>
      <c r="E2611" s="79" t="s">
        <v>5551</v>
      </c>
      <c r="F2611" s="79">
        <v>3</v>
      </c>
      <c r="G2611" s="82">
        <v>297</v>
      </c>
      <c r="H2611" s="83">
        <v>17.04</v>
      </c>
      <c r="I2611" s="82">
        <v>2377</v>
      </c>
      <c r="J2611" s="82">
        <v>1796</v>
      </c>
      <c r="K2611" s="79">
        <v>2</v>
      </c>
      <c r="L2611" s="79">
        <v>2</v>
      </c>
      <c r="M2611" s="79">
        <v>0</v>
      </c>
      <c r="N2611" s="79">
        <v>0</v>
      </c>
      <c r="O2611">
        <f t="shared" si="675"/>
        <v>4</v>
      </c>
      <c r="P2611" s="57">
        <f t="shared" si="676"/>
        <v>3</v>
      </c>
      <c r="Q2611" s="267">
        <f t="shared" si="677"/>
        <v>694</v>
      </c>
      <c r="R2611" s="23" t="str">
        <f t="shared" si="678"/>
        <v/>
      </c>
      <c r="S2611" s="23">
        <f t="shared" si="679"/>
        <v>297</v>
      </c>
      <c r="T2611" s="23" t="str">
        <f t="shared" si="680"/>
        <v/>
      </c>
      <c r="U2611" t="str">
        <f t="shared" si="681"/>
        <v/>
      </c>
      <c r="AF2611" s="22" t="str">
        <f t="shared" si="674"/>
        <v/>
      </c>
    </row>
    <row r="2612" spans="1:32" ht="14.4">
      <c r="A2612" t="str">
        <f t="shared" si="682"/>
        <v>CO_Weld__2020g~Town of Hudson Town Council (Vote For 3)</v>
      </c>
      <c r="B2612" s="79" t="s">
        <v>5641</v>
      </c>
      <c r="C2612" s="79" t="s">
        <v>5548</v>
      </c>
      <c r="D2612" s="79" t="s">
        <v>5548</v>
      </c>
      <c r="E2612" s="79" t="s">
        <v>5553</v>
      </c>
      <c r="F2612" s="79">
        <v>5</v>
      </c>
      <c r="G2612" s="82">
        <v>210</v>
      </c>
      <c r="H2612" s="83">
        <v>12.05</v>
      </c>
      <c r="I2612" s="82">
        <v>2377</v>
      </c>
      <c r="J2612" s="82">
        <v>1796</v>
      </c>
      <c r="K2612" s="79">
        <v>2</v>
      </c>
      <c r="L2612" s="79">
        <v>2</v>
      </c>
      <c r="M2612" s="79">
        <v>0</v>
      </c>
      <c r="N2612" s="79">
        <v>0</v>
      </c>
      <c r="O2612">
        <f t="shared" si="675"/>
        <v>5</v>
      </c>
      <c r="P2612" s="57">
        <f t="shared" si="676"/>
        <v>3</v>
      </c>
      <c r="Q2612" s="267">
        <f t="shared" si="677"/>
        <v>397</v>
      </c>
      <c r="R2612" s="23" t="str">
        <f t="shared" si="678"/>
        <v/>
      </c>
      <c r="S2612" s="23">
        <f t="shared" si="679"/>
        <v>210</v>
      </c>
      <c r="T2612" s="23" t="str">
        <f t="shared" si="680"/>
        <v/>
      </c>
      <c r="U2612" t="str">
        <f t="shared" si="681"/>
        <v/>
      </c>
      <c r="AF2612" s="22" t="str">
        <f t="shared" si="674"/>
        <v/>
      </c>
    </row>
    <row r="2613" spans="1:32" ht="14.4">
      <c r="A2613" t="str">
        <f t="shared" si="682"/>
        <v>CO_Weld__2020g~Town of Hudson Town Council (Vote For 3)</v>
      </c>
      <c r="B2613" s="79" t="s">
        <v>5641</v>
      </c>
      <c r="C2613" s="79" t="s">
        <v>5548</v>
      </c>
      <c r="D2613" s="79" t="s">
        <v>5548</v>
      </c>
      <c r="E2613" s="79" t="s">
        <v>5549</v>
      </c>
      <c r="F2613" s="79">
        <v>1</v>
      </c>
      <c r="G2613" s="82">
        <v>187</v>
      </c>
      <c r="H2613" s="83">
        <v>10.73</v>
      </c>
      <c r="I2613" s="82">
        <v>2377</v>
      </c>
      <c r="J2613" s="82">
        <v>1796</v>
      </c>
      <c r="K2613" s="79">
        <v>2</v>
      </c>
      <c r="L2613" s="79">
        <v>2</v>
      </c>
      <c r="M2613" s="79">
        <v>0</v>
      </c>
      <c r="N2613" s="79">
        <v>0</v>
      </c>
      <c r="O2613">
        <f t="shared" si="675"/>
        <v>6</v>
      </c>
      <c r="P2613" s="57">
        <f t="shared" si="676"/>
        <v>3</v>
      </c>
      <c r="Q2613" s="267">
        <f t="shared" si="677"/>
        <v>187</v>
      </c>
      <c r="R2613" s="23" t="str">
        <f t="shared" si="678"/>
        <v/>
      </c>
      <c r="S2613" s="23">
        <f t="shared" si="679"/>
        <v>187</v>
      </c>
      <c r="T2613" s="23" t="str">
        <f t="shared" si="680"/>
        <v/>
      </c>
      <c r="U2613" t="str">
        <f t="shared" si="681"/>
        <v/>
      </c>
      <c r="AF2613" s="22" t="str">
        <f t="shared" si="674"/>
        <v/>
      </c>
    </row>
    <row r="2614" spans="1:32" ht="14.4">
      <c r="A2614" t="str">
        <f t="shared" si="682"/>
        <v>CO_Weld__2020g~Town of Lochbuie Mayor (Vote For 1)</v>
      </c>
      <c r="B2614" s="79" t="s">
        <v>5641</v>
      </c>
      <c r="C2614" s="79" t="s">
        <v>5555</v>
      </c>
      <c r="D2614" s="79" t="s">
        <v>5555</v>
      </c>
      <c r="E2614" s="79" t="s">
        <v>5557</v>
      </c>
      <c r="F2614" s="79">
        <v>2</v>
      </c>
      <c r="G2614" s="82">
        <v>1183</v>
      </c>
      <c r="H2614" s="83">
        <v>44.76</v>
      </c>
      <c r="I2614" s="82">
        <v>4600</v>
      </c>
      <c r="J2614" s="82">
        <v>3383</v>
      </c>
      <c r="K2614" s="79">
        <v>2</v>
      </c>
      <c r="L2614" s="79">
        <v>2</v>
      </c>
      <c r="M2614" s="79">
        <v>0</v>
      </c>
      <c r="N2614" s="79">
        <v>0</v>
      </c>
      <c r="O2614">
        <f t="shared" si="675"/>
        <v>1</v>
      </c>
      <c r="P2614" s="57">
        <f t="shared" si="676"/>
        <v>1</v>
      </c>
      <c r="Q2614" s="267">
        <f t="shared" si="677"/>
        <v>2643</v>
      </c>
      <c r="R2614" s="23">
        <f t="shared" si="678"/>
        <v>1183</v>
      </c>
      <c r="S2614" s="23">
        <f t="shared" si="679"/>
        <v>907</v>
      </c>
      <c r="T2614" s="23">
        <f t="shared" si="680"/>
        <v>276</v>
      </c>
      <c r="U2614" t="str">
        <f t="shared" si="681"/>
        <v>CO_Weld__2020g~Town of Lochbuie Mayor (Vote For 1)</v>
      </c>
      <c r="AF2614" s="22" t="str">
        <f t="shared" ref="AF2614:AF2677" si="683">LEFT(AL2343,14)</f>
        <v/>
      </c>
    </row>
    <row r="2615" spans="1:32" ht="14.4">
      <c r="A2615" t="str">
        <f t="shared" si="682"/>
        <v>CO_Weld__2020g~Town of Lochbuie Mayor (Vote For 1)</v>
      </c>
      <c r="B2615" s="79" t="s">
        <v>5641</v>
      </c>
      <c r="C2615" s="79" t="s">
        <v>5555</v>
      </c>
      <c r="D2615" s="79" t="s">
        <v>5555</v>
      </c>
      <c r="E2615" s="79" t="s">
        <v>5556</v>
      </c>
      <c r="F2615" s="79">
        <v>1</v>
      </c>
      <c r="G2615" s="82">
        <v>907</v>
      </c>
      <c r="H2615" s="83">
        <v>34.32</v>
      </c>
      <c r="I2615" s="82">
        <v>4600</v>
      </c>
      <c r="J2615" s="82">
        <v>3383</v>
      </c>
      <c r="K2615" s="79">
        <v>2</v>
      </c>
      <c r="L2615" s="79">
        <v>2</v>
      </c>
      <c r="M2615" s="79">
        <v>0</v>
      </c>
      <c r="N2615" s="79">
        <v>0</v>
      </c>
      <c r="O2615">
        <f t="shared" si="675"/>
        <v>2</v>
      </c>
      <c r="P2615" s="57">
        <f t="shared" si="676"/>
        <v>1</v>
      </c>
      <c r="Q2615" s="267">
        <f t="shared" si="677"/>
        <v>1460</v>
      </c>
      <c r="R2615" s="23" t="str">
        <f t="shared" si="678"/>
        <v/>
      </c>
      <c r="S2615" s="23">
        <f t="shared" si="679"/>
        <v>907</v>
      </c>
      <c r="T2615" s="23" t="str">
        <f t="shared" si="680"/>
        <v/>
      </c>
      <c r="U2615" t="str">
        <f t="shared" si="681"/>
        <v/>
      </c>
      <c r="AF2615" s="22" t="str">
        <f t="shared" si="683"/>
        <v/>
      </c>
    </row>
    <row r="2616" spans="1:32" ht="14.4">
      <c r="A2616" t="str">
        <f t="shared" si="682"/>
        <v>CO_Weld__2020g~Town of Lochbuie Mayor (Vote For 1)</v>
      </c>
      <c r="B2616" s="79" t="s">
        <v>5641</v>
      </c>
      <c r="C2616" s="79" t="s">
        <v>5555</v>
      </c>
      <c r="D2616" s="79" t="s">
        <v>5555</v>
      </c>
      <c r="E2616" s="79" t="s">
        <v>5558</v>
      </c>
      <c r="F2616" s="79">
        <v>4</v>
      </c>
      <c r="G2616" s="82">
        <v>553</v>
      </c>
      <c r="H2616" s="83">
        <v>20.92</v>
      </c>
      <c r="I2616" s="82">
        <v>4600</v>
      </c>
      <c r="J2616" s="82">
        <v>3383</v>
      </c>
      <c r="K2616" s="79">
        <v>2</v>
      </c>
      <c r="L2616" s="79">
        <v>2</v>
      </c>
      <c r="M2616" s="79">
        <v>0</v>
      </c>
      <c r="N2616" s="79">
        <v>0</v>
      </c>
      <c r="O2616">
        <f t="shared" si="675"/>
        <v>3</v>
      </c>
      <c r="P2616" s="57">
        <f t="shared" si="676"/>
        <v>1</v>
      </c>
      <c r="Q2616" s="267">
        <f t="shared" si="677"/>
        <v>553</v>
      </c>
      <c r="R2616" s="23" t="str">
        <f t="shared" si="678"/>
        <v/>
      </c>
      <c r="S2616" s="23">
        <f t="shared" si="679"/>
        <v>553</v>
      </c>
      <c r="T2616" s="23" t="str">
        <f t="shared" si="680"/>
        <v/>
      </c>
      <c r="U2616" t="str">
        <f t="shared" si="681"/>
        <v/>
      </c>
      <c r="AF2616" s="22" t="str">
        <f t="shared" si="683"/>
        <v/>
      </c>
    </row>
    <row r="2617" spans="1:32" ht="14.4">
      <c r="A2617" t="str">
        <f t="shared" si="682"/>
        <v>CO_Weld__2020g~Town of Lochbuie Trustee (Vote For 4)</v>
      </c>
      <c r="B2617" s="79" t="s">
        <v>5641</v>
      </c>
      <c r="C2617" s="79" t="s">
        <v>5559</v>
      </c>
      <c r="D2617" s="79" t="s">
        <v>5559</v>
      </c>
      <c r="E2617" s="79" t="s">
        <v>5562</v>
      </c>
      <c r="F2617" s="79">
        <v>3</v>
      </c>
      <c r="G2617" s="82">
        <v>1183</v>
      </c>
      <c r="H2617" s="83">
        <v>26.98</v>
      </c>
      <c r="I2617" s="82">
        <v>4600</v>
      </c>
      <c r="J2617" s="82">
        <v>3383</v>
      </c>
      <c r="K2617" s="79">
        <v>2</v>
      </c>
      <c r="L2617" s="79">
        <v>2</v>
      </c>
      <c r="M2617" s="79">
        <v>0</v>
      </c>
      <c r="N2617" s="79">
        <v>0</v>
      </c>
      <c r="O2617">
        <f t="shared" si="675"/>
        <v>1</v>
      </c>
      <c r="P2617" s="57">
        <f t="shared" si="676"/>
        <v>4</v>
      </c>
      <c r="Q2617" s="267">
        <f t="shared" si="677"/>
        <v>1183</v>
      </c>
      <c r="R2617" s="23">
        <f t="shared" si="678"/>
        <v>1036</v>
      </c>
      <c r="S2617" s="23">
        <f t="shared" si="679"/>
        <v>0</v>
      </c>
      <c r="T2617" s="23" t="str">
        <f t="shared" si="680"/>
        <v/>
      </c>
      <c r="U2617" t="str">
        <f t="shared" si="681"/>
        <v>CO_Weld__2020g~Town of Lochbuie Trustee (Vote For 4)</v>
      </c>
      <c r="AF2617" s="22" t="str">
        <f t="shared" si="683"/>
        <v/>
      </c>
    </row>
    <row r="2618" spans="1:32" ht="14.4">
      <c r="A2618" t="str">
        <f t="shared" si="682"/>
        <v>CO_Weld__2020g~Town of Lochbuie Trustee (Vote For 4)</v>
      </c>
      <c r="B2618" s="79" t="s">
        <v>5641</v>
      </c>
      <c r="C2618" s="79" t="s">
        <v>5559</v>
      </c>
      <c r="D2618" s="79" t="s">
        <v>5559</v>
      </c>
      <c r="E2618" s="79" t="s">
        <v>5563</v>
      </c>
      <c r="F2618" s="79">
        <v>4</v>
      </c>
      <c r="G2618" s="82">
        <v>1110</v>
      </c>
      <c r="H2618" s="83">
        <v>25.32</v>
      </c>
      <c r="I2618" s="82">
        <v>4600</v>
      </c>
      <c r="J2618" s="82">
        <v>3383</v>
      </c>
      <c r="K2618" s="79">
        <v>2</v>
      </c>
      <c r="L2618" s="79">
        <v>2</v>
      </c>
      <c r="M2618" s="79">
        <v>0</v>
      </c>
      <c r="N2618" s="79">
        <v>0</v>
      </c>
      <c r="O2618">
        <f t="shared" si="675"/>
        <v>2</v>
      </c>
      <c r="P2618" s="57">
        <f t="shared" si="676"/>
        <v>4</v>
      </c>
      <c r="Q2618" s="267">
        <f t="shared" si="677"/>
        <v>3201</v>
      </c>
      <c r="R2618" s="23">
        <f t="shared" si="678"/>
        <v>1036</v>
      </c>
      <c r="S2618" s="23">
        <f t="shared" si="679"/>
        <v>0</v>
      </c>
      <c r="T2618" s="23" t="str">
        <f t="shared" si="680"/>
        <v/>
      </c>
      <c r="U2618" t="str">
        <f t="shared" si="681"/>
        <v/>
      </c>
      <c r="AF2618" s="22" t="str">
        <f t="shared" si="683"/>
        <v/>
      </c>
    </row>
    <row r="2619" spans="1:32" ht="14.4">
      <c r="A2619" t="str">
        <f t="shared" si="682"/>
        <v>CO_Weld__2020g~Town of Lochbuie Trustee (Vote For 4)</v>
      </c>
      <c r="B2619" s="79" t="s">
        <v>5641</v>
      </c>
      <c r="C2619" s="79" t="s">
        <v>5559</v>
      </c>
      <c r="D2619" s="79" t="s">
        <v>5559</v>
      </c>
      <c r="E2619" s="79" t="s">
        <v>5560</v>
      </c>
      <c r="F2619" s="79">
        <v>1</v>
      </c>
      <c r="G2619" s="82">
        <v>1055</v>
      </c>
      <c r="H2619" s="83">
        <v>24.06</v>
      </c>
      <c r="I2619" s="82">
        <v>4600</v>
      </c>
      <c r="J2619" s="82">
        <v>3383</v>
      </c>
      <c r="K2619" s="79">
        <v>2</v>
      </c>
      <c r="L2619" s="79">
        <v>2</v>
      </c>
      <c r="M2619" s="79">
        <v>0</v>
      </c>
      <c r="N2619" s="79">
        <v>0</v>
      </c>
      <c r="O2619">
        <f t="shared" si="675"/>
        <v>3</v>
      </c>
      <c r="P2619" s="57">
        <f t="shared" si="676"/>
        <v>4</v>
      </c>
      <c r="Q2619" s="267">
        <f t="shared" si="677"/>
        <v>2091</v>
      </c>
      <c r="R2619" s="23">
        <f t="shared" si="678"/>
        <v>1036</v>
      </c>
      <c r="S2619" s="23">
        <f t="shared" si="679"/>
        <v>0</v>
      </c>
      <c r="T2619" s="23" t="str">
        <f t="shared" si="680"/>
        <v/>
      </c>
      <c r="U2619" t="str">
        <f t="shared" si="681"/>
        <v/>
      </c>
      <c r="AF2619" s="22" t="str">
        <f t="shared" si="683"/>
        <v/>
      </c>
    </row>
    <row r="2620" spans="1:32" ht="14.4">
      <c r="A2620" t="str">
        <f t="shared" si="682"/>
        <v>CO_Weld__2020g~Town of Lochbuie Trustee (Vote For 4)</v>
      </c>
      <c r="B2620" s="79" t="s">
        <v>5641</v>
      </c>
      <c r="C2620" s="79" t="s">
        <v>5559</v>
      </c>
      <c r="D2620" s="79" t="s">
        <v>5559</v>
      </c>
      <c r="E2620" s="79" t="s">
        <v>5561</v>
      </c>
      <c r="F2620" s="79">
        <v>2</v>
      </c>
      <c r="G2620" s="82">
        <v>1036</v>
      </c>
      <c r="H2620" s="83">
        <v>23.63</v>
      </c>
      <c r="I2620" s="82">
        <v>4600</v>
      </c>
      <c r="J2620" s="82">
        <v>3383</v>
      </c>
      <c r="K2620" s="79">
        <v>2</v>
      </c>
      <c r="L2620" s="79">
        <v>2</v>
      </c>
      <c r="M2620" s="79">
        <v>0</v>
      </c>
      <c r="N2620" s="79">
        <v>0</v>
      </c>
      <c r="O2620">
        <f t="shared" si="675"/>
        <v>4</v>
      </c>
      <c r="P2620" s="57">
        <f t="shared" si="676"/>
        <v>4</v>
      </c>
      <c r="Q2620" s="267">
        <f t="shared" si="677"/>
        <v>1036</v>
      </c>
      <c r="R2620" s="23">
        <f t="shared" si="678"/>
        <v>1036</v>
      </c>
      <c r="S2620" s="23">
        <f t="shared" si="679"/>
        <v>0</v>
      </c>
      <c r="T2620" s="23" t="str">
        <f t="shared" si="680"/>
        <v/>
      </c>
      <c r="U2620" t="str">
        <f t="shared" si="681"/>
        <v/>
      </c>
      <c r="AF2620" s="22" t="str">
        <f t="shared" si="683"/>
        <v/>
      </c>
    </row>
    <row r="2621" spans="1:32" ht="14.4">
      <c r="A2621" t="str">
        <f t="shared" si="682"/>
        <v>CO_Weld__2020g~Town of Mead Ballot Issue 2D (Vote For 1)</v>
      </c>
      <c r="B2621" s="79" t="s">
        <v>5641</v>
      </c>
      <c r="C2621" s="79" t="s">
        <v>5564</v>
      </c>
      <c r="D2621" s="79" t="s">
        <v>5564</v>
      </c>
      <c r="E2621" s="79" t="s">
        <v>5275</v>
      </c>
      <c r="F2621" s="79" t="s">
        <v>1509</v>
      </c>
      <c r="G2621" s="82">
        <v>1653</v>
      </c>
      <c r="H2621" s="83">
        <v>55.62</v>
      </c>
      <c r="I2621" s="82">
        <v>6071</v>
      </c>
      <c r="J2621" s="82">
        <v>5134</v>
      </c>
      <c r="K2621" s="79">
        <v>4</v>
      </c>
      <c r="L2621" s="79">
        <v>4</v>
      </c>
      <c r="M2621" s="79">
        <v>0</v>
      </c>
      <c r="N2621" s="79">
        <v>0</v>
      </c>
      <c r="O2621">
        <f t="shared" si="675"/>
        <v>1</v>
      </c>
      <c r="P2621" s="57">
        <f t="shared" si="676"/>
        <v>1</v>
      </c>
      <c r="Q2621" s="267">
        <f t="shared" si="677"/>
        <v>2972</v>
      </c>
      <c r="R2621" s="23">
        <f t="shared" si="678"/>
        <v>1653</v>
      </c>
      <c r="S2621" s="23">
        <f t="shared" si="679"/>
        <v>1319</v>
      </c>
      <c r="T2621" s="23">
        <f t="shared" si="680"/>
        <v>334</v>
      </c>
      <c r="U2621" t="str">
        <f t="shared" si="681"/>
        <v>CO_Weld__2020g~Town of Mead Ballot Issue 2D (Vote For 1)</v>
      </c>
      <c r="AF2621" s="22" t="str">
        <f t="shared" si="683"/>
        <v/>
      </c>
    </row>
    <row r="2622" spans="1:32" ht="14.4">
      <c r="A2622" t="str">
        <f t="shared" si="682"/>
        <v>CO_Weld__2020g~Town of Mead Ballot Issue 2D (Vote For 1)</v>
      </c>
      <c r="B2622" s="79" t="s">
        <v>5641</v>
      </c>
      <c r="C2622" s="79" t="s">
        <v>5564</v>
      </c>
      <c r="D2622" s="79" t="s">
        <v>5564</v>
      </c>
      <c r="E2622" s="79" t="s">
        <v>5274</v>
      </c>
      <c r="F2622" s="79" t="s">
        <v>1508</v>
      </c>
      <c r="G2622" s="82">
        <v>1319</v>
      </c>
      <c r="H2622" s="83">
        <v>44.38</v>
      </c>
      <c r="I2622" s="82">
        <v>6071</v>
      </c>
      <c r="J2622" s="82">
        <v>5134</v>
      </c>
      <c r="K2622" s="79">
        <v>4</v>
      </c>
      <c r="L2622" s="79">
        <v>4</v>
      </c>
      <c r="M2622" s="79">
        <v>0</v>
      </c>
      <c r="N2622" s="79">
        <v>0</v>
      </c>
      <c r="O2622">
        <f t="shared" si="675"/>
        <v>2</v>
      </c>
      <c r="P2622" s="57">
        <f t="shared" si="676"/>
        <v>1</v>
      </c>
      <c r="Q2622" s="267">
        <f t="shared" si="677"/>
        <v>1319</v>
      </c>
      <c r="R2622" s="23" t="str">
        <f t="shared" si="678"/>
        <v/>
      </c>
      <c r="S2622" s="23">
        <f t="shared" si="679"/>
        <v>1319</v>
      </c>
      <c r="T2622" s="23" t="str">
        <f t="shared" si="680"/>
        <v/>
      </c>
      <c r="U2622" t="str">
        <f t="shared" si="681"/>
        <v/>
      </c>
      <c r="AF2622" s="22" t="str">
        <f t="shared" si="683"/>
        <v/>
      </c>
    </row>
    <row r="2623" spans="1:32" ht="14.4">
      <c r="A2623" t="str">
        <f t="shared" si="682"/>
        <v>CO_Weld__2020g~Town of Mead Ballot Issue 2E (Vote For 1)</v>
      </c>
      <c r="B2623" s="79" t="s">
        <v>5641</v>
      </c>
      <c r="C2623" s="79" t="s">
        <v>5565</v>
      </c>
      <c r="D2623" s="79" t="s">
        <v>5565</v>
      </c>
      <c r="E2623" s="79" t="s">
        <v>5275</v>
      </c>
      <c r="F2623" s="79" t="s">
        <v>1509</v>
      </c>
      <c r="G2623" s="82">
        <v>1643</v>
      </c>
      <c r="H2623" s="83">
        <v>54.99</v>
      </c>
      <c r="I2623" s="82">
        <v>6071</v>
      </c>
      <c r="J2623" s="82">
        <v>5134</v>
      </c>
      <c r="K2623" s="79">
        <v>4</v>
      </c>
      <c r="L2623" s="79">
        <v>4</v>
      </c>
      <c r="M2623" s="79">
        <v>0</v>
      </c>
      <c r="N2623" s="79">
        <v>0</v>
      </c>
      <c r="O2623">
        <f t="shared" si="675"/>
        <v>1</v>
      </c>
      <c r="P2623" s="57">
        <f t="shared" si="676"/>
        <v>1</v>
      </c>
      <c r="Q2623" s="267">
        <f t="shared" si="677"/>
        <v>2988</v>
      </c>
      <c r="R2623" s="23">
        <f t="shared" si="678"/>
        <v>1643</v>
      </c>
      <c r="S2623" s="23">
        <f t="shared" si="679"/>
        <v>1345</v>
      </c>
      <c r="T2623" s="23">
        <f t="shared" si="680"/>
        <v>298</v>
      </c>
      <c r="U2623" t="str">
        <f t="shared" si="681"/>
        <v>CO_Weld__2020g~Town of Mead Ballot Issue 2E (Vote For 1)</v>
      </c>
      <c r="AF2623" s="22" t="str">
        <f t="shared" si="683"/>
        <v/>
      </c>
    </row>
    <row r="2624" spans="1:32" ht="14.4">
      <c r="A2624" t="str">
        <f t="shared" si="682"/>
        <v>CO_Weld__2020g~Town of Mead Ballot Issue 2E (Vote For 1)</v>
      </c>
      <c r="B2624" s="79" t="s">
        <v>5641</v>
      </c>
      <c r="C2624" s="79" t="s">
        <v>5565</v>
      </c>
      <c r="D2624" s="79" t="s">
        <v>5565</v>
      </c>
      <c r="E2624" s="79" t="s">
        <v>5274</v>
      </c>
      <c r="F2624" s="79" t="s">
        <v>1508</v>
      </c>
      <c r="G2624" s="82">
        <v>1345</v>
      </c>
      <c r="H2624" s="83">
        <v>45.01</v>
      </c>
      <c r="I2624" s="82">
        <v>6071</v>
      </c>
      <c r="J2624" s="82">
        <v>5134</v>
      </c>
      <c r="K2624" s="79">
        <v>4</v>
      </c>
      <c r="L2624" s="79">
        <v>4</v>
      </c>
      <c r="M2624" s="79">
        <v>0</v>
      </c>
      <c r="N2624" s="79">
        <v>0</v>
      </c>
      <c r="O2624">
        <f t="shared" si="675"/>
        <v>2</v>
      </c>
      <c r="P2624" s="57">
        <f t="shared" si="676"/>
        <v>1</v>
      </c>
      <c r="Q2624" s="267">
        <f t="shared" si="677"/>
        <v>1345</v>
      </c>
      <c r="R2624" s="23" t="str">
        <f t="shared" si="678"/>
        <v/>
      </c>
      <c r="S2624" s="23">
        <f t="shared" si="679"/>
        <v>1345</v>
      </c>
      <c r="T2624" s="23" t="str">
        <f t="shared" si="680"/>
        <v/>
      </c>
      <c r="U2624" t="str">
        <f t="shared" si="681"/>
        <v/>
      </c>
      <c r="AF2624" s="22" t="str">
        <f t="shared" si="683"/>
        <v/>
      </c>
    </row>
    <row r="2625" spans="1:45" ht="14.4">
      <c r="A2625" t="str">
        <f t="shared" si="682"/>
        <v>CO_Weld__2020g~Town of Milliken Ballot Question 2F (Vote For 1)</v>
      </c>
      <c r="B2625" s="79" t="s">
        <v>5641</v>
      </c>
      <c r="C2625" s="79" t="s">
        <v>5566</v>
      </c>
      <c r="D2625" s="79" t="s">
        <v>5566</v>
      </c>
      <c r="E2625" s="79" t="s">
        <v>5274</v>
      </c>
      <c r="F2625" s="79" t="s">
        <v>1508</v>
      </c>
      <c r="G2625" s="82">
        <v>3128</v>
      </c>
      <c r="H2625" s="83">
        <v>79.27</v>
      </c>
      <c r="I2625" s="82">
        <v>8258</v>
      </c>
      <c r="J2625" s="82">
        <v>6412</v>
      </c>
      <c r="K2625" s="79">
        <v>5</v>
      </c>
      <c r="L2625" s="79">
        <v>5</v>
      </c>
      <c r="M2625" s="79">
        <v>0</v>
      </c>
      <c r="N2625" s="79">
        <v>0</v>
      </c>
      <c r="O2625">
        <f t="shared" si="675"/>
        <v>1</v>
      </c>
      <c r="P2625" s="57">
        <f t="shared" si="676"/>
        <v>1</v>
      </c>
      <c r="Q2625" s="267">
        <f t="shared" si="677"/>
        <v>3946</v>
      </c>
      <c r="R2625" s="23">
        <f t="shared" si="678"/>
        <v>3128</v>
      </c>
      <c r="S2625" s="23">
        <f t="shared" si="679"/>
        <v>818</v>
      </c>
      <c r="T2625" s="23">
        <f t="shared" si="680"/>
        <v>2310</v>
      </c>
      <c r="U2625" t="str">
        <f t="shared" si="681"/>
        <v>CO_Weld__2020g~Town of Milliken Ballot Question 2F (Vote For 1)</v>
      </c>
      <c r="AF2625" s="22" t="str">
        <f t="shared" si="683"/>
        <v/>
      </c>
    </row>
    <row r="2626" spans="1:45" ht="14.4">
      <c r="A2626" t="str">
        <f t="shared" si="682"/>
        <v>CO_Weld__2020g~Town of Milliken Ballot Question 2F (Vote For 1)</v>
      </c>
      <c r="B2626" s="79" t="s">
        <v>5641</v>
      </c>
      <c r="C2626" s="79" t="s">
        <v>5566</v>
      </c>
      <c r="D2626" s="79" t="s">
        <v>5566</v>
      </c>
      <c r="E2626" s="79" t="s">
        <v>5275</v>
      </c>
      <c r="F2626" s="79" t="s">
        <v>1509</v>
      </c>
      <c r="G2626" s="82">
        <v>818</v>
      </c>
      <c r="H2626" s="83">
        <v>20.73</v>
      </c>
      <c r="I2626" s="82">
        <v>8258</v>
      </c>
      <c r="J2626" s="82">
        <v>6412</v>
      </c>
      <c r="K2626" s="79">
        <v>5</v>
      </c>
      <c r="L2626" s="79">
        <v>5</v>
      </c>
      <c r="M2626" s="79">
        <v>0</v>
      </c>
      <c r="N2626" s="79">
        <v>0</v>
      </c>
      <c r="O2626">
        <f t="shared" ref="O2626:O2689" si="684">IF(OR(LOWER(LEFT(E2626,8))="write-in",LOWER(LEFT(E2626,8))="not qual"),IF(A2626=A2625,-ABS(O2625),0),IF(A2626=A2625,ABS(O2625)+1,1))</f>
        <v>2</v>
      </c>
      <c r="P2626" s="57">
        <f t="shared" ref="P2626:P2689" si="685">1*LEFT(RIGHT(A2626,2),1)</f>
        <v>1</v>
      </c>
      <c r="Q2626" s="267">
        <f t="shared" ref="Q2626:Q2689" si="686">IF(A2626&lt;&gt;A2627,G2626,IF(A2626=A2625,G2626+Q2627,MAX(G2626,(G2626+Q2627)/P2626)))</f>
        <v>818</v>
      </c>
      <c r="R2626" s="23" t="str">
        <f t="shared" ref="R2626:R2689" si="687">IF(O2626&gt;P2626,"",IF(O2626=P2626,G2626,IF(A2626=A2627,R2627,IF(O2626&lt;=0,1,G2626))))</f>
        <v/>
      </c>
      <c r="S2626" s="23">
        <f t="shared" ref="S2626:S2689" si="688">IF(AND(O2626&gt;P2626,LOWER(LEFT(E2626,8))&lt;&gt;"write-in",LOWER(LEFT(E2626,8))&lt;&gt;"not qual"),G2626,IF(A2626=A2627,S2627,0))</f>
        <v>818</v>
      </c>
      <c r="T2626" s="23" t="str">
        <f t="shared" ref="T2626:T2689" si="689">IF(OR(A2626=A2625,S2626=0),"",R2626-ABS(S2626))</f>
        <v/>
      </c>
      <c r="U2626" t="str">
        <f t="shared" ref="U2626:U2689" si="690">IF(A2626=A2625,"",A2626)</f>
        <v/>
      </c>
      <c r="AF2626" s="22" t="str">
        <f t="shared" si="683"/>
        <v/>
      </c>
    </row>
    <row r="2627" spans="1:45" ht="14.4">
      <c r="A2627" t="str">
        <f t="shared" si="682"/>
        <v>CO_Weld__2020g~Town of Severance Ballot Question 2G (Vote For 1)</v>
      </c>
      <c r="B2627" s="79" t="s">
        <v>5641</v>
      </c>
      <c r="C2627" s="79" t="s">
        <v>5597</v>
      </c>
      <c r="D2627" s="79" t="s">
        <v>5597</v>
      </c>
      <c r="E2627" s="79" t="s">
        <v>5274</v>
      </c>
      <c r="F2627" s="79" t="s">
        <v>1508</v>
      </c>
      <c r="G2627" s="82">
        <v>3364</v>
      </c>
      <c r="H2627" s="83">
        <v>77.58</v>
      </c>
      <c r="I2627" s="82">
        <v>9396</v>
      </c>
      <c r="J2627" s="82">
        <v>8129</v>
      </c>
      <c r="K2627" s="79">
        <v>5</v>
      </c>
      <c r="L2627" s="79">
        <v>5</v>
      </c>
      <c r="M2627" s="79">
        <v>0</v>
      </c>
      <c r="N2627" s="79">
        <v>0</v>
      </c>
      <c r="O2627">
        <f t="shared" si="684"/>
        <v>1</v>
      </c>
      <c r="P2627" s="57">
        <f t="shared" si="685"/>
        <v>1</v>
      </c>
      <c r="Q2627" s="267">
        <f t="shared" si="686"/>
        <v>4336</v>
      </c>
      <c r="R2627" s="23">
        <f t="shared" si="687"/>
        <v>3364</v>
      </c>
      <c r="S2627" s="23">
        <f t="shared" si="688"/>
        <v>972</v>
      </c>
      <c r="T2627" s="23">
        <f t="shared" si="689"/>
        <v>2392</v>
      </c>
      <c r="U2627" t="str">
        <f t="shared" si="690"/>
        <v>CO_Weld__2020g~Town of Severance Ballot Question 2G (Vote For 1)</v>
      </c>
      <c r="AF2627" s="22" t="str">
        <f t="shared" si="683"/>
        <v/>
      </c>
    </row>
    <row r="2628" spans="1:45" ht="14.4">
      <c r="A2628" t="str">
        <f t="shared" si="682"/>
        <v>CO_Weld__2020g~Town of Severance Ballot Question 2G (Vote For 1)</v>
      </c>
      <c r="B2628" s="79" t="s">
        <v>5641</v>
      </c>
      <c r="C2628" s="79" t="s">
        <v>5597</v>
      </c>
      <c r="D2628" s="79" t="s">
        <v>5597</v>
      </c>
      <c r="E2628" s="79" t="s">
        <v>5275</v>
      </c>
      <c r="F2628" s="79" t="s">
        <v>1509</v>
      </c>
      <c r="G2628" s="82">
        <v>972</v>
      </c>
      <c r="H2628" s="83">
        <v>22.42</v>
      </c>
      <c r="I2628" s="82">
        <v>9396</v>
      </c>
      <c r="J2628" s="82">
        <v>8129</v>
      </c>
      <c r="K2628" s="79">
        <v>5</v>
      </c>
      <c r="L2628" s="79">
        <v>5</v>
      </c>
      <c r="M2628" s="79">
        <v>0</v>
      </c>
      <c r="N2628" s="79">
        <v>0</v>
      </c>
      <c r="O2628">
        <f t="shared" si="684"/>
        <v>2</v>
      </c>
      <c r="P2628" s="57">
        <f t="shared" si="685"/>
        <v>1</v>
      </c>
      <c r="Q2628" s="267">
        <f t="shared" si="686"/>
        <v>972</v>
      </c>
      <c r="R2628" s="23" t="str">
        <f t="shared" si="687"/>
        <v/>
      </c>
      <c r="S2628" s="23">
        <f t="shared" si="688"/>
        <v>972</v>
      </c>
      <c r="T2628" s="23" t="str">
        <f t="shared" si="689"/>
        <v/>
      </c>
      <c r="U2628" t="str">
        <f t="shared" si="690"/>
        <v/>
      </c>
      <c r="AF2628" s="22" t="str">
        <f t="shared" si="683"/>
        <v/>
      </c>
    </row>
    <row r="2629" spans="1:45" ht="14.4">
      <c r="A2629" t="str">
        <f t="shared" si="682"/>
        <v>CO_Weld__2020g~Town of Severance Charter Commissioner (Vote For 5)</v>
      </c>
      <c r="B2629" s="79" t="s">
        <v>5641</v>
      </c>
      <c r="C2629" s="79" t="s">
        <v>5598</v>
      </c>
      <c r="D2629" s="79" t="s">
        <v>5598</v>
      </c>
      <c r="E2629" s="79" t="s">
        <v>5601</v>
      </c>
      <c r="F2629" s="79">
        <v>3</v>
      </c>
      <c r="G2629" s="82">
        <v>2635</v>
      </c>
      <c r="H2629" s="83">
        <v>20.57</v>
      </c>
      <c r="I2629" s="82">
        <v>9396</v>
      </c>
      <c r="J2629" s="82">
        <v>8129</v>
      </c>
      <c r="K2629" s="79">
        <v>5</v>
      </c>
      <c r="L2629" s="79">
        <v>5</v>
      </c>
      <c r="M2629" s="79">
        <v>0</v>
      </c>
      <c r="N2629" s="79">
        <v>0</v>
      </c>
      <c r="O2629">
        <f t="shared" si="684"/>
        <v>1</v>
      </c>
      <c r="P2629" s="57">
        <f t="shared" si="685"/>
        <v>5</v>
      </c>
      <c r="Q2629" s="267">
        <f t="shared" si="686"/>
        <v>2635</v>
      </c>
      <c r="R2629" s="23">
        <f t="shared" si="687"/>
        <v>2491</v>
      </c>
      <c r="S2629" s="23">
        <f t="shared" si="688"/>
        <v>0</v>
      </c>
      <c r="T2629" s="23" t="str">
        <f t="shared" si="689"/>
        <v/>
      </c>
      <c r="U2629" t="str">
        <f t="shared" si="690"/>
        <v>CO_Weld__2020g~Town of Severance Charter Commissioner (Vote For 5)</v>
      </c>
      <c r="AF2629" s="22" t="str">
        <f t="shared" si="683"/>
        <v/>
      </c>
    </row>
    <row r="2630" spans="1:45" ht="14.4">
      <c r="A2630" t="str">
        <f t="shared" si="682"/>
        <v>CO_Weld__2020g~Town of Severance Charter Commissioner (Vote For 5)</v>
      </c>
      <c r="B2630" s="79" t="s">
        <v>5641</v>
      </c>
      <c r="C2630" s="79" t="s">
        <v>5598</v>
      </c>
      <c r="D2630" s="79" t="s">
        <v>5598</v>
      </c>
      <c r="E2630" s="79" t="s">
        <v>5603</v>
      </c>
      <c r="F2630" s="79">
        <v>5</v>
      </c>
      <c r="G2630" s="82">
        <v>2576</v>
      </c>
      <c r="H2630" s="83">
        <v>20.11</v>
      </c>
      <c r="I2630" s="82">
        <v>9396</v>
      </c>
      <c r="J2630" s="82">
        <v>8129</v>
      </c>
      <c r="K2630" s="79">
        <v>5</v>
      </c>
      <c r="L2630" s="79">
        <v>5</v>
      </c>
      <c r="M2630" s="79">
        <v>0</v>
      </c>
      <c r="N2630" s="79">
        <v>0</v>
      </c>
      <c r="O2630">
        <f t="shared" si="684"/>
        <v>2</v>
      </c>
      <c r="P2630" s="57">
        <f t="shared" si="685"/>
        <v>5</v>
      </c>
      <c r="Q2630" s="267">
        <f t="shared" si="686"/>
        <v>10176</v>
      </c>
      <c r="R2630" s="23">
        <f t="shared" si="687"/>
        <v>2491</v>
      </c>
      <c r="S2630" s="23">
        <f t="shared" si="688"/>
        <v>0</v>
      </c>
      <c r="T2630" s="23" t="str">
        <f t="shared" si="689"/>
        <v/>
      </c>
      <c r="U2630" t="str">
        <f t="shared" si="690"/>
        <v/>
      </c>
      <c r="AF2630" s="22" t="str">
        <f t="shared" si="683"/>
        <v/>
      </c>
    </row>
    <row r="2631" spans="1:45" ht="14.4">
      <c r="A2631" t="str">
        <f t="shared" si="682"/>
        <v>CO_Weld__2020g~Town of Severance Charter Commissioner (Vote For 5)</v>
      </c>
      <c r="B2631" s="79" t="s">
        <v>5641</v>
      </c>
      <c r="C2631" s="79" t="s">
        <v>5598</v>
      </c>
      <c r="D2631" s="79" t="s">
        <v>5598</v>
      </c>
      <c r="E2631" s="79" t="s">
        <v>5599</v>
      </c>
      <c r="F2631" s="79">
        <v>1</v>
      </c>
      <c r="G2631" s="82">
        <v>2563</v>
      </c>
      <c r="H2631" s="83">
        <v>20.010000000000002</v>
      </c>
      <c r="I2631" s="82">
        <v>9396</v>
      </c>
      <c r="J2631" s="82">
        <v>8129</v>
      </c>
      <c r="K2631" s="79">
        <v>5</v>
      </c>
      <c r="L2631" s="79">
        <v>5</v>
      </c>
      <c r="M2631" s="79">
        <v>0</v>
      </c>
      <c r="N2631" s="79">
        <v>0</v>
      </c>
      <c r="O2631">
        <f t="shared" si="684"/>
        <v>3</v>
      </c>
      <c r="P2631" s="57">
        <f t="shared" si="685"/>
        <v>5</v>
      </c>
      <c r="Q2631" s="267">
        <f t="shared" si="686"/>
        <v>7600</v>
      </c>
      <c r="R2631" s="23">
        <f t="shared" si="687"/>
        <v>2491</v>
      </c>
      <c r="S2631" s="23">
        <f t="shared" si="688"/>
        <v>0</v>
      </c>
      <c r="T2631" s="23" t="str">
        <f t="shared" si="689"/>
        <v/>
      </c>
      <c r="U2631" t="str">
        <f t="shared" si="690"/>
        <v/>
      </c>
      <c r="AF2631" s="22" t="str">
        <f t="shared" si="683"/>
        <v/>
      </c>
    </row>
    <row r="2632" spans="1:45" ht="14.4">
      <c r="A2632" t="str">
        <f t="shared" si="682"/>
        <v>CO_Weld__2020g~Town of Severance Charter Commissioner (Vote For 5)</v>
      </c>
      <c r="B2632" s="79" t="s">
        <v>5641</v>
      </c>
      <c r="C2632" s="79" t="s">
        <v>5598</v>
      </c>
      <c r="D2632" s="79" t="s">
        <v>5598</v>
      </c>
      <c r="E2632" s="79" t="s">
        <v>5600</v>
      </c>
      <c r="F2632" s="79">
        <v>2</v>
      </c>
      <c r="G2632" s="82">
        <v>2546</v>
      </c>
      <c r="H2632" s="83">
        <v>19.87</v>
      </c>
      <c r="I2632" s="82">
        <v>9396</v>
      </c>
      <c r="J2632" s="82">
        <v>8129</v>
      </c>
      <c r="K2632" s="79">
        <v>5</v>
      </c>
      <c r="L2632" s="79">
        <v>5</v>
      </c>
      <c r="M2632" s="79">
        <v>0</v>
      </c>
      <c r="N2632" s="79">
        <v>0</v>
      </c>
      <c r="O2632">
        <f t="shared" si="684"/>
        <v>4</v>
      </c>
      <c r="P2632" s="57">
        <f t="shared" si="685"/>
        <v>5</v>
      </c>
      <c r="Q2632" s="267">
        <f t="shared" si="686"/>
        <v>5037</v>
      </c>
      <c r="R2632" s="23">
        <f t="shared" si="687"/>
        <v>2491</v>
      </c>
      <c r="S2632" s="23">
        <f t="shared" si="688"/>
        <v>0</v>
      </c>
      <c r="T2632" s="23" t="str">
        <f t="shared" si="689"/>
        <v/>
      </c>
      <c r="U2632" t="str">
        <f t="shared" si="690"/>
        <v/>
      </c>
      <c r="AF2632" s="22" t="str">
        <f t="shared" si="683"/>
        <v/>
      </c>
    </row>
    <row r="2633" spans="1:45" ht="14.4">
      <c r="A2633" t="str">
        <f t="shared" si="682"/>
        <v>CO_Weld__2020g~Town of Severance Charter Commissioner (Vote For 5)</v>
      </c>
      <c r="B2633" s="79" t="s">
        <v>5641</v>
      </c>
      <c r="C2633" s="79" t="s">
        <v>5598</v>
      </c>
      <c r="D2633" s="79" t="s">
        <v>5598</v>
      </c>
      <c r="E2633" s="79" t="s">
        <v>5602</v>
      </c>
      <c r="F2633" s="79">
        <v>4</v>
      </c>
      <c r="G2633" s="82">
        <v>2491</v>
      </c>
      <c r="H2633" s="83">
        <v>19.440000000000001</v>
      </c>
      <c r="I2633" s="82">
        <v>9396</v>
      </c>
      <c r="J2633" s="82">
        <v>8129</v>
      </c>
      <c r="K2633" s="79">
        <v>5</v>
      </c>
      <c r="L2633" s="79">
        <v>5</v>
      </c>
      <c r="M2633" s="79">
        <v>0</v>
      </c>
      <c r="N2633" s="79">
        <v>0</v>
      </c>
      <c r="O2633">
        <f t="shared" si="684"/>
        <v>5</v>
      </c>
      <c r="P2633" s="57">
        <f t="shared" si="685"/>
        <v>5</v>
      </c>
      <c r="Q2633" s="267">
        <f t="shared" si="686"/>
        <v>2491</v>
      </c>
      <c r="R2633" s="23">
        <f t="shared" si="687"/>
        <v>2491</v>
      </c>
      <c r="S2633" s="23">
        <f t="shared" si="688"/>
        <v>0</v>
      </c>
      <c r="T2633" s="23" t="str">
        <f t="shared" si="689"/>
        <v/>
      </c>
      <c r="U2633" t="str">
        <f t="shared" si="690"/>
        <v/>
      </c>
      <c r="AF2633" s="22" t="str">
        <f t="shared" si="683"/>
        <v/>
      </c>
    </row>
    <row r="2634" spans="1:45" ht="14.4">
      <c r="A2634" t="str">
        <f t="shared" si="682"/>
        <v>CO_Weld__2020g~w/Adams_Weld County School District RE-3J Ballot Issue 5C (Vote For 1)</v>
      </c>
      <c r="B2634" s="79" t="s">
        <v>5641</v>
      </c>
      <c r="C2634" s="79" t="s">
        <v>5289</v>
      </c>
      <c r="D2634" s="79" t="s">
        <v>5646</v>
      </c>
      <c r="E2634" s="79" t="s">
        <v>5274</v>
      </c>
      <c r="F2634" s="79" t="s">
        <v>1508</v>
      </c>
      <c r="G2634" s="82">
        <v>5170</v>
      </c>
      <c r="H2634" s="83">
        <v>67.989999999999995</v>
      </c>
      <c r="I2634" s="82">
        <v>13376</v>
      </c>
      <c r="J2634" s="82">
        <v>9957</v>
      </c>
      <c r="K2634" s="79">
        <v>10</v>
      </c>
      <c r="L2634" s="79">
        <v>10</v>
      </c>
      <c r="M2634" s="79">
        <v>0</v>
      </c>
      <c r="N2634" s="79">
        <v>0</v>
      </c>
      <c r="O2634">
        <f t="shared" si="684"/>
        <v>1</v>
      </c>
      <c r="P2634" s="57">
        <f t="shared" si="685"/>
        <v>1</v>
      </c>
      <c r="Q2634" s="267">
        <f t="shared" si="686"/>
        <v>7604</v>
      </c>
      <c r="R2634" s="23">
        <f t="shared" si="687"/>
        <v>5170</v>
      </c>
      <c r="S2634" s="23">
        <f t="shared" si="688"/>
        <v>2434</v>
      </c>
      <c r="T2634" s="23">
        <f t="shared" si="689"/>
        <v>2736</v>
      </c>
      <c r="U2634" t="str">
        <f t="shared" si="690"/>
        <v>CO_Weld__2020g~w/Adams_Weld County School District RE-3J Ballot Issue 5C (Vote For 1)</v>
      </c>
      <c r="AF2634" s="22" t="str">
        <f t="shared" si="683"/>
        <v/>
      </c>
    </row>
    <row r="2635" spans="1:45" ht="14.4">
      <c r="A2635" t="str">
        <f t="shared" si="682"/>
        <v>CO_Weld__2020g~w/Adams_Weld County School District RE-3J Ballot Issue 5C (Vote For 1)</v>
      </c>
      <c r="B2635" s="79" t="s">
        <v>5641</v>
      </c>
      <c r="C2635" s="79" t="s">
        <v>5289</v>
      </c>
      <c r="D2635" s="79" t="s">
        <v>5646</v>
      </c>
      <c r="E2635" s="79" t="s">
        <v>5275</v>
      </c>
      <c r="F2635" s="79" t="s">
        <v>1509</v>
      </c>
      <c r="G2635" s="82">
        <v>2434</v>
      </c>
      <c r="H2635" s="83">
        <v>32.01</v>
      </c>
      <c r="I2635" s="82">
        <v>13376</v>
      </c>
      <c r="J2635" s="82">
        <v>9957</v>
      </c>
      <c r="K2635" s="79">
        <v>10</v>
      </c>
      <c r="L2635" s="79">
        <v>10</v>
      </c>
      <c r="M2635" s="79">
        <v>0</v>
      </c>
      <c r="N2635" s="79">
        <v>0</v>
      </c>
      <c r="O2635">
        <f t="shared" si="684"/>
        <v>2</v>
      </c>
      <c r="P2635" s="57">
        <f t="shared" si="685"/>
        <v>1</v>
      </c>
      <c r="Q2635" s="267">
        <f t="shared" si="686"/>
        <v>2434</v>
      </c>
      <c r="R2635" s="23" t="str">
        <f t="shared" si="687"/>
        <v/>
      </c>
      <c r="S2635" s="23">
        <f t="shared" si="688"/>
        <v>2434</v>
      </c>
      <c r="T2635" s="23" t="str">
        <f t="shared" si="689"/>
        <v/>
      </c>
      <c r="U2635" t="str">
        <f t="shared" si="690"/>
        <v/>
      </c>
      <c r="AF2635" s="22" t="str">
        <f t="shared" si="683"/>
        <v/>
      </c>
    </row>
    <row r="2636" spans="1:45" ht="14.4">
      <c r="A2636" t="str">
        <f t="shared" si="682"/>
        <v>CO_Weld__2020g~w/Larim_Town of Windsor Ballot Issue 3A (Vote For 1)</v>
      </c>
      <c r="B2636" s="79" t="s">
        <v>5641</v>
      </c>
      <c r="C2636" s="79" t="s">
        <v>5287</v>
      </c>
      <c r="D2636" s="79" t="s">
        <v>5649</v>
      </c>
      <c r="E2636" s="79" t="s">
        <v>5275</v>
      </c>
      <c r="F2636" s="79" t="s">
        <v>1509</v>
      </c>
      <c r="G2636" s="82">
        <v>8237</v>
      </c>
      <c r="H2636" s="83">
        <v>56.33</v>
      </c>
      <c r="I2636" s="82">
        <v>19281</v>
      </c>
      <c r="J2636" s="82">
        <v>16241</v>
      </c>
      <c r="K2636" s="79">
        <v>14</v>
      </c>
      <c r="L2636" s="79">
        <v>14</v>
      </c>
      <c r="M2636" s="79">
        <v>0</v>
      </c>
      <c r="N2636" s="79">
        <v>0</v>
      </c>
      <c r="O2636">
        <f t="shared" si="684"/>
        <v>1</v>
      </c>
      <c r="P2636" s="57">
        <f t="shared" si="685"/>
        <v>1</v>
      </c>
      <c r="Q2636" s="267">
        <f t="shared" si="686"/>
        <v>14623</v>
      </c>
      <c r="R2636" s="23">
        <f t="shared" si="687"/>
        <v>8237</v>
      </c>
      <c r="S2636" s="23">
        <f t="shared" si="688"/>
        <v>6386</v>
      </c>
      <c r="T2636" s="23">
        <f t="shared" si="689"/>
        <v>1851</v>
      </c>
      <c r="U2636" t="str">
        <f t="shared" si="690"/>
        <v>CO_Weld__2020g~w/Larim_Town of Windsor Ballot Issue 3A (Vote For 1)</v>
      </c>
      <c r="AF2636" s="22" t="str">
        <f t="shared" si="683"/>
        <v/>
      </c>
    </row>
    <row r="2637" spans="1:45" ht="14.4">
      <c r="A2637" t="str">
        <f t="shared" si="682"/>
        <v>CO_Weld__2020g~w/Larim_Town of Windsor Ballot Issue 3A (Vote For 1)</v>
      </c>
      <c r="B2637" s="79" t="s">
        <v>5641</v>
      </c>
      <c r="C2637" s="79" t="s">
        <v>5287</v>
      </c>
      <c r="D2637" s="79" t="s">
        <v>5649</v>
      </c>
      <c r="E2637" s="79" t="s">
        <v>5274</v>
      </c>
      <c r="F2637" s="79" t="s">
        <v>1508</v>
      </c>
      <c r="G2637" s="82">
        <v>6386</v>
      </c>
      <c r="H2637" s="83">
        <v>43.67</v>
      </c>
      <c r="I2637" s="82">
        <v>19281</v>
      </c>
      <c r="J2637" s="82">
        <v>16241</v>
      </c>
      <c r="K2637" s="79">
        <v>14</v>
      </c>
      <c r="L2637" s="79">
        <v>14</v>
      </c>
      <c r="M2637" s="79">
        <v>0</v>
      </c>
      <c r="N2637" s="79">
        <v>0</v>
      </c>
      <c r="O2637">
        <f t="shared" si="684"/>
        <v>2</v>
      </c>
      <c r="P2637" s="57">
        <f t="shared" si="685"/>
        <v>1</v>
      </c>
      <c r="Q2637" s="267">
        <f t="shared" si="686"/>
        <v>6386</v>
      </c>
      <c r="R2637" s="23" t="str">
        <f t="shared" si="687"/>
        <v/>
      </c>
      <c r="S2637" s="23">
        <f t="shared" si="688"/>
        <v>6386</v>
      </c>
      <c r="T2637" s="23" t="str">
        <f t="shared" si="689"/>
        <v/>
      </c>
      <c r="U2637" t="str">
        <f t="shared" si="690"/>
        <v/>
      </c>
      <c r="AF2637" s="22" t="str">
        <f t="shared" si="683"/>
        <v/>
      </c>
    </row>
    <row r="2638" spans="1:45" ht="14.4">
      <c r="A2638" t="str">
        <f t="shared" si="682"/>
        <v>CO_Weld__2020g~w/Larim_Weld County School District RE-5J Ballot Issue 5A (Vote For 1)</v>
      </c>
      <c r="B2638" s="79" t="s">
        <v>5641</v>
      </c>
      <c r="C2638" s="79" t="s">
        <v>5291</v>
      </c>
      <c r="D2638" s="79" t="s">
        <v>5650</v>
      </c>
      <c r="E2638" s="79" t="s">
        <v>5274</v>
      </c>
      <c r="F2638" s="79" t="s">
        <v>1508</v>
      </c>
      <c r="G2638" s="82">
        <v>6823</v>
      </c>
      <c r="H2638" s="83">
        <v>54.13</v>
      </c>
      <c r="I2638" s="82">
        <v>23269</v>
      </c>
      <c r="J2638" s="82">
        <v>18648</v>
      </c>
      <c r="K2638" s="79">
        <v>16</v>
      </c>
      <c r="L2638" s="79">
        <v>16</v>
      </c>
      <c r="M2638" s="79">
        <v>0</v>
      </c>
      <c r="N2638" s="79">
        <v>0</v>
      </c>
      <c r="O2638">
        <f t="shared" si="684"/>
        <v>1</v>
      </c>
      <c r="P2638" s="57">
        <f t="shared" si="685"/>
        <v>1</v>
      </c>
      <c r="Q2638" s="267">
        <f t="shared" si="686"/>
        <v>12604</v>
      </c>
      <c r="R2638" s="23">
        <f t="shared" si="687"/>
        <v>6823</v>
      </c>
      <c r="S2638" s="23">
        <f t="shared" si="688"/>
        <v>5781</v>
      </c>
      <c r="T2638" s="23">
        <f t="shared" si="689"/>
        <v>1042</v>
      </c>
      <c r="U2638" t="str">
        <f t="shared" si="690"/>
        <v>CO_Weld__2020g~w/Larim_Weld County School District RE-5J Ballot Issue 5A (Vote For 1)</v>
      </c>
      <c r="AF2638" s="22" t="str">
        <f t="shared" si="683"/>
        <v/>
      </c>
    </row>
    <row r="2639" spans="1:45" ht="14.4">
      <c r="A2639" t="str">
        <f t="shared" si="682"/>
        <v>CO_Weld__2020g~w/Larim_Weld County School District RE-5J Ballot Issue 5A (Vote For 1)</v>
      </c>
      <c r="B2639" s="79" t="s">
        <v>5641</v>
      </c>
      <c r="C2639" s="79" t="s">
        <v>5291</v>
      </c>
      <c r="D2639" s="79" t="s">
        <v>5650</v>
      </c>
      <c r="E2639" s="79" t="s">
        <v>5275</v>
      </c>
      <c r="F2639" s="79" t="s">
        <v>1509</v>
      </c>
      <c r="G2639" s="82">
        <v>5781</v>
      </c>
      <c r="H2639" s="83">
        <v>45.87</v>
      </c>
      <c r="I2639" s="82">
        <v>23269</v>
      </c>
      <c r="J2639" s="82">
        <v>18648</v>
      </c>
      <c r="K2639" s="79">
        <v>16</v>
      </c>
      <c r="L2639" s="79">
        <v>16</v>
      </c>
      <c r="M2639" s="79">
        <v>0</v>
      </c>
      <c r="N2639" s="79">
        <v>0</v>
      </c>
      <c r="O2639">
        <f t="shared" si="684"/>
        <v>2</v>
      </c>
      <c r="P2639" s="57">
        <f t="shared" si="685"/>
        <v>1</v>
      </c>
      <c r="Q2639" s="267">
        <f t="shared" si="686"/>
        <v>5781</v>
      </c>
      <c r="R2639" s="23" t="str">
        <f t="shared" si="687"/>
        <v/>
      </c>
      <c r="S2639" s="23">
        <f t="shared" si="688"/>
        <v>5781</v>
      </c>
      <c r="T2639" s="23" t="str">
        <f t="shared" si="689"/>
        <v/>
      </c>
      <c r="U2639" t="str">
        <f t="shared" si="690"/>
        <v/>
      </c>
      <c r="AF2639" s="22" t="str">
        <f t="shared" si="683"/>
        <v/>
      </c>
      <c r="AO2639" s="356"/>
      <c r="AP2639" s="356"/>
      <c r="AQ2639" s="394"/>
      <c r="AR2639" s="394"/>
      <c r="AS2639" s="394"/>
    </row>
    <row r="2640" spans="1:45" ht="14.4">
      <c r="A2640" t="str">
        <f t="shared" si="682"/>
        <v>CO_Weld__2020g~w/Larim_Weld County School District RE-5J Ballot Issue 5B (Vote For 1)</v>
      </c>
      <c r="B2640" s="79" t="s">
        <v>5641</v>
      </c>
      <c r="C2640" s="79" t="s">
        <v>5292</v>
      </c>
      <c r="D2640" s="79" t="s">
        <v>5651</v>
      </c>
      <c r="E2640" s="79" t="s">
        <v>5274</v>
      </c>
      <c r="F2640" s="79" t="s">
        <v>1508</v>
      </c>
      <c r="G2640" s="82">
        <v>6988</v>
      </c>
      <c r="H2640" s="83">
        <v>55.44</v>
      </c>
      <c r="I2640" s="82">
        <v>23269</v>
      </c>
      <c r="J2640" s="82">
        <v>18648</v>
      </c>
      <c r="K2640" s="79">
        <v>16</v>
      </c>
      <c r="L2640" s="79">
        <v>16</v>
      </c>
      <c r="M2640" s="79">
        <v>0</v>
      </c>
      <c r="N2640" s="79">
        <v>0</v>
      </c>
      <c r="O2640">
        <f t="shared" si="684"/>
        <v>1</v>
      </c>
      <c r="P2640" s="57">
        <f t="shared" si="685"/>
        <v>1</v>
      </c>
      <c r="Q2640" s="267">
        <f t="shared" si="686"/>
        <v>12604</v>
      </c>
      <c r="R2640" s="23">
        <f t="shared" si="687"/>
        <v>6988</v>
      </c>
      <c r="S2640" s="23">
        <f t="shared" si="688"/>
        <v>5616</v>
      </c>
      <c r="T2640" s="23">
        <f t="shared" si="689"/>
        <v>1372</v>
      </c>
      <c r="U2640" t="str">
        <f t="shared" si="690"/>
        <v>CO_Weld__2020g~w/Larim_Weld County School District RE-5J Ballot Issue 5B (Vote For 1)</v>
      </c>
      <c r="AF2640" s="22" t="str">
        <f t="shared" si="683"/>
        <v/>
      </c>
    </row>
    <row r="2641" spans="1:45" ht="14.4">
      <c r="A2641" t="str">
        <f t="shared" si="682"/>
        <v>CO_Weld__2020g~w/Larim_Weld County School District RE-5J Ballot Issue 5B (Vote For 1)</v>
      </c>
      <c r="B2641" s="79" t="s">
        <v>5641</v>
      </c>
      <c r="C2641" s="79" t="s">
        <v>5292</v>
      </c>
      <c r="D2641" s="79" t="s">
        <v>5651</v>
      </c>
      <c r="E2641" s="79" t="s">
        <v>5275</v>
      </c>
      <c r="F2641" s="79" t="s">
        <v>1509</v>
      </c>
      <c r="G2641" s="82">
        <v>5616</v>
      </c>
      <c r="H2641" s="83">
        <v>44.56</v>
      </c>
      <c r="I2641" s="82">
        <v>23269</v>
      </c>
      <c r="J2641" s="82">
        <v>18648</v>
      </c>
      <c r="K2641" s="79">
        <v>16</v>
      </c>
      <c r="L2641" s="79">
        <v>16</v>
      </c>
      <c r="M2641" s="79">
        <v>0</v>
      </c>
      <c r="N2641" s="79">
        <v>0</v>
      </c>
      <c r="O2641">
        <f t="shared" si="684"/>
        <v>2</v>
      </c>
      <c r="P2641" s="57">
        <f t="shared" si="685"/>
        <v>1</v>
      </c>
      <c r="Q2641" s="267">
        <f t="shared" si="686"/>
        <v>5616</v>
      </c>
      <c r="R2641" s="23" t="str">
        <f t="shared" si="687"/>
        <v/>
      </c>
      <c r="S2641" s="23">
        <f t="shared" si="688"/>
        <v>5616</v>
      </c>
      <c r="T2641" s="23" t="str">
        <f t="shared" si="689"/>
        <v/>
      </c>
      <c r="U2641" t="str">
        <f t="shared" si="690"/>
        <v/>
      </c>
      <c r="AF2641" s="22" t="str">
        <f t="shared" si="683"/>
        <v/>
      </c>
    </row>
    <row r="2642" spans="1:45" ht="14.4">
      <c r="A2642" t="str">
        <f t="shared" si="682"/>
        <v>CO_Weld__2020g~Weld County Commissioner - At-Large (Vote For 1)</v>
      </c>
      <c r="B2642" s="79" t="s">
        <v>5641</v>
      </c>
      <c r="C2642" s="79" t="s">
        <v>5617</v>
      </c>
      <c r="D2642" s="79" t="s">
        <v>5617</v>
      </c>
      <c r="E2642" s="79" t="s">
        <v>5619</v>
      </c>
      <c r="F2642" s="79" t="s">
        <v>1296</v>
      </c>
      <c r="G2642" s="82">
        <v>99460</v>
      </c>
      <c r="H2642" s="83">
        <v>62.46</v>
      </c>
      <c r="I2642" s="82">
        <v>217352</v>
      </c>
      <c r="J2642" s="82">
        <v>168816</v>
      </c>
      <c r="K2642" s="79">
        <v>156</v>
      </c>
      <c r="L2642" s="79">
        <v>156</v>
      </c>
      <c r="M2642" s="79">
        <v>0</v>
      </c>
      <c r="N2642" s="79">
        <v>0</v>
      </c>
      <c r="O2642">
        <f t="shared" si="684"/>
        <v>1</v>
      </c>
      <c r="P2642" s="57">
        <f t="shared" si="685"/>
        <v>1</v>
      </c>
      <c r="Q2642" s="267">
        <f t="shared" si="686"/>
        <v>159242</v>
      </c>
      <c r="R2642" s="23">
        <f t="shared" si="687"/>
        <v>99460</v>
      </c>
      <c r="S2642" s="23">
        <f t="shared" si="688"/>
        <v>59782</v>
      </c>
      <c r="T2642" s="23">
        <f t="shared" si="689"/>
        <v>39678</v>
      </c>
      <c r="U2642" t="str">
        <f t="shared" si="690"/>
        <v>CO_Weld__2020g~Weld County Commissioner - At-Large (Vote For 1)</v>
      </c>
      <c r="AF2642" s="22" t="str">
        <f t="shared" si="683"/>
        <v/>
      </c>
    </row>
    <row r="2643" spans="1:45" ht="14.4">
      <c r="A2643" t="str">
        <f t="shared" si="682"/>
        <v>CO_Weld__2020g~Weld County Commissioner - At-Large (Vote For 1)</v>
      </c>
      <c r="B2643" s="79" t="s">
        <v>5641</v>
      </c>
      <c r="C2643" s="79" t="s">
        <v>5617</v>
      </c>
      <c r="D2643" s="79" t="s">
        <v>5617</v>
      </c>
      <c r="E2643" s="79" t="s">
        <v>5618</v>
      </c>
      <c r="F2643" s="79" t="s">
        <v>1294</v>
      </c>
      <c r="G2643" s="82">
        <v>59782</v>
      </c>
      <c r="H2643" s="83">
        <v>37.54</v>
      </c>
      <c r="I2643" s="82">
        <v>217352</v>
      </c>
      <c r="J2643" s="82">
        <v>168816</v>
      </c>
      <c r="K2643" s="79">
        <v>156</v>
      </c>
      <c r="L2643" s="79">
        <v>156</v>
      </c>
      <c r="M2643" s="79">
        <v>0</v>
      </c>
      <c r="N2643" s="79">
        <v>0</v>
      </c>
      <c r="O2643">
        <f t="shared" si="684"/>
        <v>2</v>
      </c>
      <c r="P2643" s="57">
        <f t="shared" si="685"/>
        <v>1</v>
      </c>
      <c r="Q2643" s="267">
        <f t="shared" si="686"/>
        <v>59782</v>
      </c>
      <c r="R2643" s="23" t="str">
        <f t="shared" si="687"/>
        <v/>
      </c>
      <c r="S2643" s="23">
        <f t="shared" si="688"/>
        <v>59782</v>
      </c>
      <c r="T2643" s="23" t="str">
        <f t="shared" si="689"/>
        <v/>
      </c>
      <c r="U2643" t="str">
        <f t="shared" si="690"/>
        <v/>
      </c>
      <c r="AF2643" s="22" t="str">
        <f t="shared" si="683"/>
        <v/>
      </c>
    </row>
    <row r="2644" spans="1:45" ht="14.4">
      <c r="A2644" t="str">
        <f t="shared" si="682"/>
        <v>CO_Weld__2020g~Weld County Commissioner - District 1 (Vote For 1)</v>
      </c>
      <c r="B2644" s="79" t="s">
        <v>5641</v>
      </c>
      <c r="C2644" s="79" t="s">
        <v>5620</v>
      </c>
      <c r="D2644" s="79" t="s">
        <v>5620</v>
      </c>
      <c r="E2644" s="79" t="s">
        <v>5622</v>
      </c>
      <c r="F2644" s="79" t="s">
        <v>1296</v>
      </c>
      <c r="G2644" s="82">
        <v>33669</v>
      </c>
      <c r="H2644" s="83">
        <v>65.72</v>
      </c>
      <c r="I2644" s="82">
        <v>70736</v>
      </c>
      <c r="J2644" s="82">
        <v>54691</v>
      </c>
      <c r="K2644" s="79">
        <v>54</v>
      </c>
      <c r="L2644" s="79">
        <v>54</v>
      </c>
      <c r="M2644" s="79">
        <v>0</v>
      </c>
      <c r="N2644" s="79">
        <v>0</v>
      </c>
      <c r="O2644">
        <f t="shared" si="684"/>
        <v>1</v>
      </c>
      <c r="P2644" s="57">
        <f t="shared" si="685"/>
        <v>1</v>
      </c>
      <c r="Q2644" s="267">
        <f t="shared" si="686"/>
        <v>51233</v>
      </c>
      <c r="R2644" s="23">
        <f t="shared" si="687"/>
        <v>33669</v>
      </c>
      <c r="S2644" s="23">
        <f t="shared" si="688"/>
        <v>17564</v>
      </c>
      <c r="T2644" s="23">
        <f t="shared" si="689"/>
        <v>16105</v>
      </c>
      <c r="U2644" t="str">
        <f t="shared" si="690"/>
        <v>CO_Weld__2020g~Weld County Commissioner - District 1 (Vote For 1)</v>
      </c>
      <c r="AF2644" s="22" t="str">
        <f t="shared" si="683"/>
        <v/>
      </c>
    </row>
    <row r="2645" spans="1:45" ht="14.4">
      <c r="A2645" t="str">
        <f t="shared" si="682"/>
        <v>CO_Weld__2020g~Weld County Commissioner - District 1 (Vote For 1)</v>
      </c>
      <c r="B2645" s="79" t="s">
        <v>5641</v>
      </c>
      <c r="C2645" s="79" t="s">
        <v>5620</v>
      </c>
      <c r="D2645" s="79" t="s">
        <v>5620</v>
      </c>
      <c r="E2645" s="79" t="s">
        <v>5621</v>
      </c>
      <c r="F2645" s="79" t="s">
        <v>1294</v>
      </c>
      <c r="G2645" s="82">
        <v>17564</v>
      </c>
      <c r="H2645" s="83">
        <v>34.28</v>
      </c>
      <c r="I2645" s="82">
        <v>70736</v>
      </c>
      <c r="J2645" s="82">
        <v>54691</v>
      </c>
      <c r="K2645" s="79">
        <v>54</v>
      </c>
      <c r="L2645" s="79">
        <v>54</v>
      </c>
      <c r="M2645" s="79">
        <v>0</v>
      </c>
      <c r="N2645" s="79">
        <v>0</v>
      </c>
      <c r="O2645">
        <f t="shared" si="684"/>
        <v>2</v>
      </c>
      <c r="P2645" s="57">
        <f t="shared" si="685"/>
        <v>1</v>
      </c>
      <c r="Q2645" s="267">
        <f t="shared" si="686"/>
        <v>17564</v>
      </c>
      <c r="R2645" s="23" t="str">
        <f t="shared" si="687"/>
        <v/>
      </c>
      <c r="S2645" s="23">
        <f t="shared" si="688"/>
        <v>17564</v>
      </c>
      <c r="T2645" s="23" t="str">
        <f t="shared" si="689"/>
        <v/>
      </c>
      <c r="U2645" t="str">
        <f t="shared" si="690"/>
        <v/>
      </c>
      <c r="AF2645" s="22" t="str">
        <f t="shared" si="683"/>
        <v/>
      </c>
      <c r="AG2645" s="23"/>
      <c r="AH2645" s="8"/>
    </row>
    <row r="2646" spans="1:45" ht="14.4">
      <c r="A2646" t="str">
        <f t="shared" si="682"/>
        <v>CO_Weld__2020g~Weld County Commissioner - District 3 (Vote For 1)</v>
      </c>
      <c r="B2646" s="79" t="s">
        <v>5641</v>
      </c>
      <c r="C2646" s="79" t="s">
        <v>5623</v>
      </c>
      <c r="D2646" s="79" t="s">
        <v>5623</v>
      </c>
      <c r="E2646" s="79" t="s">
        <v>5625</v>
      </c>
      <c r="F2646" s="79" t="s">
        <v>1296</v>
      </c>
      <c r="G2646" s="82">
        <v>26358</v>
      </c>
      <c r="H2646" s="83">
        <v>55.52</v>
      </c>
      <c r="I2646" s="82">
        <v>66973</v>
      </c>
      <c r="J2646" s="82">
        <v>50555</v>
      </c>
      <c r="K2646" s="79">
        <v>47</v>
      </c>
      <c r="L2646" s="79">
        <v>47</v>
      </c>
      <c r="M2646" s="79">
        <v>0</v>
      </c>
      <c r="N2646" s="79">
        <v>0</v>
      </c>
      <c r="O2646">
        <f t="shared" si="684"/>
        <v>1</v>
      </c>
      <c r="P2646" s="57">
        <f t="shared" si="685"/>
        <v>1</v>
      </c>
      <c r="Q2646" s="267">
        <f t="shared" si="686"/>
        <v>47472</v>
      </c>
      <c r="R2646" s="23">
        <f t="shared" si="687"/>
        <v>26358</v>
      </c>
      <c r="S2646" s="23">
        <f t="shared" si="688"/>
        <v>18819</v>
      </c>
      <c r="T2646" s="23">
        <f t="shared" si="689"/>
        <v>7539</v>
      </c>
      <c r="U2646" t="str">
        <f t="shared" si="690"/>
        <v>CO_Weld__2020g~Weld County Commissioner - District 3 (Vote For 1)</v>
      </c>
      <c r="AF2646" s="22" t="str">
        <f t="shared" si="683"/>
        <v/>
      </c>
    </row>
    <row r="2647" spans="1:45" ht="14.4">
      <c r="A2647" t="str">
        <f t="shared" si="682"/>
        <v>CO_Weld__2020g~Weld County Commissioner - District 3 (Vote For 1)</v>
      </c>
      <c r="B2647" s="79" t="s">
        <v>5641</v>
      </c>
      <c r="C2647" s="79" t="s">
        <v>5623</v>
      </c>
      <c r="D2647" s="79" t="s">
        <v>5623</v>
      </c>
      <c r="E2647" s="79" t="s">
        <v>5624</v>
      </c>
      <c r="F2647" s="79" t="s">
        <v>1294</v>
      </c>
      <c r="G2647" s="82">
        <v>18819</v>
      </c>
      <c r="H2647" s="83">
        <v>39.64</v>
      </c>
      <c r="I2647" s="82">
        <v>66973</v>
      </c>
      <c r="J2647" s="82">
        <v>50555</v>
      </c>
      <c r="K2647" s="79">
        <v>47</v>
      </c>
      <c r="L2647" s="79">
        <v>47</v>
      </c>
      <c r="M2647" s="79">
        <v>0</v>
      </c>
      <c r="N2647" s="79">
        <v>0</v>
      </c>
      <c r="O2647">
        <f t="shared" si="684"/>
        <v>2</v>
      </c>
      <c r="P2647" s="57">
        <f t="shared" si="685"/>
        <v>1</v>
      </c>
      <c r="Q2647" s="267">
        <f t="shared" si="686"/>
        <v>21114</v>
      </c>
      <c r="R2647" s="23" t="str">
        <f t="shared" si="687"/>
        <v/>
      </c>
      <c r="S2647" s="23">
        <f t="shared" si="688"/>
        <v>18819</v>
      </c>
      <c r="T2647" s="23" t="str">
        <f t="shared" si="689"/>
        <v/>
      </c>
      <c r="U2647" t="str">
        <f t="shared" si="690"/>
        <v/>
      </c>
      <c r="AF2647" s="22" t="str">
        <f t="shared" si="683"/>
        <v/>
      </c>
    </row>
    <row r="2648" spans="1:45" ht="14.4">
      <c r="A2648" t="str">
        <f t="shared" si="682"/>
        <v>CO_Weld__2020g~Weld County Commissioner - District 3 (Vote For 1)</v>
      </c>
      <c r="B2648" s="79" t="s">
        <v>5641</v>
      </c>
      <c r="C2648" s="79" t="s">
        <v>5623</v>
      </c>
      <c r="D2648" s="79" t="s">
        <v>5623</v>
      </c>
      <c r="E2648" s="79" t="s">
        <v>5626</v>
      </c>
      <c r="F2648" s="79" t="s">
        <v>4951</v>
      </c>
      <c r="G2648" s="82">
        <v>2295</v>
      </c>
      <c r="H2648" s="83">
        <v>4.83</v>
      </c>
      <c r="I2648" s="82">
        <v>66973</v>
      </c>
      <c r="J2648" s="82">
        <v>50555</v>
      </c>
      <c r="K2648" s="79">
        <v>47</v>
      </c>
      <c r="L2648" s="79">
        <v>47</v>
      </c>
      <c r="M2648" s="79">
        <v>0</v>
      </c>
      <c r="N2648" s="79">
        <v>0</v>
      </c>
      <c r="O2648">
        <f t="shared" si="684"/>
        <v>3</v>
      </c>
      <c r="P2648" s="57">
        <f t="shared" si="685"/>
        <v>1</v>
      </c>
      <c r="Q2648" s="267">
        <f t="shared" si="686"/>
        <v>2295</v>
      </c>
      <c r="R2648" s="23" t="str">
        <f t="shared" si="687"/>
        <v/>
      </c>
      <c r="S2648" s="23">
        <f t="shared" si="688"/>
        <v>2295</v>
      </c>
      <c r="T2648" s="23" t="str">
        <f t="shared" si="689"/>
        <v/>
      </c>
      <c r="U2648" t="str">
        <f t="shared" si="690"/>
        <v/>
      </c>
      <c r="AF2648" s="22" t="str">
        <f t="shared" si="683"/>
        <v/>
      </c>
    </row>
    <row r="2649" spans="1:45" ht="14.4">
      <c r="A2649" t="str">
        <f t="shared" si="682"/>
        <v>CO_Weld__2020g~Weld County Council - At-Large (Vote For 1)</v>
      </c>
      <c r="B2649" s="79" t="s">
        <v>5641</v>
      </c>
      <c r="C2649" s="79" t="s">
        <v>5627</v>
      </c>
      <c r="D2649" s="79" t="s">
        <v>5627</v>
      </c>
      <c r="E2649" s="79" t="s">
        <v>5628</v>
      </c>
      <c r="F2649" s="79">
        <v>1</v>
      </c>
      <c r="G2649" s="82">
        <v>66215</v>
      </c>
      <c r="H2649" s="83">
        <v>54.52</v>
      </c>
      <c r="I2649" s="82">
        <v>217352</v>
      </c>
      <c r="J2649" s="82">
        <v>168816</v>
      </c>
      <c r="K2649" s="79">
        <v>156</v>
      </c>
      <c r="L2649" s="79">
        <v>156</v>
      </c>
      <c r="M2649" s="79">
        <v>0</v>
      </c>
      <c r="N2649" s="79">
        <v>0</v>
      </c>
      <c r="O2649">
        <f t="shared" si="684"/>
        <v>1</v>
      </c>
      <c r="P2649" s="57">
        <f t="shared" si="685"/>
        <v>1</v>
      </c>
      <c r="Q2649" s="267">
        <f t="shared" si="686"/>
        <v>121454</v>
      </c>
      <c r="R2649" s="23">
        <f t="shared" si="687"/>
        <v>66215</v>
      </c>
      <c r="S2649" s="23">
        <f t="shared" si="688"/>
        <v>55239</v>
      </c>
      <c r="T2649" s="23">
        <f t="shared" si="689"/>
        <v>10976</v>
      </c>
      <c r="U2649" t="str">
        <f t="shared" si="690"/>
        <v>CO_Weld__2020g~Weld County Council - At-Large (Vote For 1)</v>
      </c>
      <c r="AF2649" s="22" t="str">
        <f t="shared" si="683"/>
        <v/>
      </c>
      <c r="AO2649" s="356"/>
      <c r="AP2649" s="356"/>
      <c r="AQ2649" s="394"/>
      <c r="AR2649" s="394"/>
      <c r="AS2649" s="394"/>
    </row>
    <row r="2650" spans="1:45" ht="14.4">
      <c r="A2650" t="str">
        <f t="shared" si="682"/>
        <v>CO_Weld__2020g~Weld County Council - At-Large (Vote For 1)</v>
      </c>
      <c r="B2650" s="79" t="s">
        <v>5641</v>
      </c>
      <c r="C2650" s="79" t="s">
        <v>5627</v>
      </c>
      <c r="D2650" s="79" t="s">
        <v>5627</v>
      </c>
      <c r="E2650" s="79" t="s">
        <v>5629</v>
      </c>
      <c r="F2650" s="79">
        <v>2</v>
      </c>
      <c r="G2650" s="82">
        <v>55239</v>
      </c>
      <c r="H2650" s="83">
        <v>45.48</v>
      </c>
      <c r="I2650" s="82">
        <v>217352</v>
      </c>
      <c r="J2650" s="82">
        <v>168816</v>
      </c>
      <c r="K2650" s="79">
        <v>156</v>
      </c>
      <c r="L2650" s="79">
        <v>156</v>
      </c>
      <c r="M2650" s="79">
        <v>0</v>
      </c>
      <c r="N2650" s="79">
        <v>0</v>
      </c>
      <c r="O2650">
        <f t="shared" si="684"/>
        <v>2</v>
      </c>
      <c r="P2650" s="57">
        <f t="shared" si="685"/>
        <v>1</v>
      </c>
      <c r="Q2650" s="267">
        <f t="shared" si="686"/>
        <v>55239</v>
      </c>
      <c r="R2650" s="23" t="str">
        <f t="shared" si="687"/>
        <v/>
      </c>
      <c r="S2650" s="23">
        <f t="shared" si="688"/>
        <v>55239</v>
      </c>
      <c r="T2650" s="23" t="str">
        <f t="shared" si="689"/>
        <v/>
      </c>
      <c r="U2650" t="str">
        <f t="shared" si="690"/>
        <v/>
      </c>
      <c r="AF2650" s="22" t="str">
        <f t="shared" si="683"/>
        <v/>
      </c>
    </row>
    <row r="2651" spans="1:45" ht="14.4">
      <c r="A2651" t="str">
        <f t="shared" si="682"/>
        <v>CO_Weld__2020g~Weld County Council - District 1 (Vote For 1)</v>
      </c>
      <c r="B2651" s="79" t="s">
        <v>5641</v>
      </c>
      <c r="C2651" s="79" t="s">
        <v>5630</v>
      </c>
      <c r="D2651" s="79" t="s">
        <v>5630</v>
      </c>
      <c r="E2651" s="79" t="s">
        <v>5632</v>
      </c>
      <c r="F2651" s="79">
        <v>2</v>
      </c>
      <c r="G2651" s="82">
        <v>19960</v>
      </c>
      <c r="H2651" s="83">
        <v>52.75</v>
      </c>
      <c r="I2651" s="82">
        <v>70736</v>
      </c>
      <c r="J2651" s="82">
        <v>54691</v>
      </c>
      <c r="K2651" s="79">
        <v>54</v>
      </c>
      <c r="L2651" s="79">
        <v>54</v>
      </c>
      <c r="M2651" s="79">
        <v>0</v>
      </c>
      <c r="N2651" s="79">
        <v>0</v>
      </c>
      <c r="O2651">
        <f t="shared" si="684"/>
        <v>1</v>
      </c>
      <c r="P2651" s="57">
        <f t="shared" si="685"/>
        <v>1</v>
      </c>
      <c r="Q2651" s="267">
        <f t="shared" si="686"/>
        <v>37840</v>
      </c>
      <c r="R2651" s="23">
        <f t="shared" si="687"/>
        <v>19960</v>
      </c>
      <c r="S2651" s="23">
        <f t="shared" si="688"/>
        <v>17880</v>
      </c>
      <c r="T2651" s="23">
        <f t="shared" si="689"/>
        <v>2080</v>
      </c>
      <c r="U2651" t="str">
        <f t="shared" si="690"/>
        <v>CO_Weld__2020g~Weld County Council - District 1 (Vote For 1)</v>
      </c>
      <c r="AF2651" s="22" t="str">
        <f t="shared" si="683"/>
        <v/>
      </c>
    </row>
    <row r="2652" spans="1:45" ht="14.4">
      <c r="A2652" t="str">
        <f t="shared" si="682"/>
        <v>CO_Weld__2020g~Weld County Council - District 1 (Vote For 1)</v>
      </c>
      <c r="B2652" s="79" t="s">
        <v>5641</v>
      </c>
      <c r="C2652" s="79" t="s">
        <v>5630</v>
      </c>
      <c r="D2652" s="79" t="s">
        <v>5630</v>
      </c>
      <c r="E2652" s="79" t="s">
        <v>5631</v>
      </c>
      <c r="F2652" s="79">
        <v>1</v>
      </c>
      <c r="G2652" s="82">
        <v>17880</v>
      </c>
      <c r="H2652" s="83">
        <v>47.25</v>
      </c>
      <c r="I2652" s="82">
        <v>70736</v>
      </c>
      <c r="J2652" s="82">
        <v>54691</v>
      </c>
      <c r="K2652" s="79">
        <v>54</v>
      </c>
      <c r="L2652" s="79">
        <v>54</v>
      </c>
      <c r="M2652" s="79">
        <v>0</v>
      </c>
      <c r="N2652" s="79">
        <v>0</v>
      </c>
      <c r="O2652">
        <f t="shared" si="684"/>
        <v>2</v>
      </c>
      <c r="P2652" s="57">
        <f t="shared" si="685"/>
        <v>1</v>
      </c>
      <c r="Q2652" s="267">
        <f t="shared" si="686"/>
        <v>17880</v>
      </c>
      <c r="R2652" s="23" t="str">
        <f t="shared" si="687"/>
        <v/>
      </c>
      <c r="S2652" s="23">
        <f t="shared" si="688"/>
        <v>17880</v>
      </c>
      <c r="T2652" s="23" t="str">
        <f t="shared" si="689"/>
        <v/>
      </c>
      <c r="U2652" t="str">
        <f t="shared" si="690"/>
        <v/>
      </c>
      <c r="AF2652" s="22" t="str">
        <f t="shared" si="683"/>
        <v/>
      </c>
    </row>
    <row r="2653" spans="1:45" ht="14.4">
      <c r="A2653" t="str">
        <f t="shared" si="682"/>
        <v>CO_Weld__2020g~Weld County School District RE-1 Ballot Question 4A (Vote For 1)</v>
      </c>
      <c r="B2653" s="79" t="s">
        <v>5641</v>
      </c>
      <c r="C2653" s="79" t="s">
        <v>5633</v>
      </c>
      <c r="D2653" s="79" t="s">
        <v>5633</v>
      </c>
      <c r="E2653" s="79" t="s">
        <v>5274</v>
      </c>
      <c r="F2653" s="79" t="s">
        <v>1508</v>
      </c>
      <c r="G2653" s="82">
        <v>3146</v>
      </c>
      <c r="H2653" s="83">
        <v>64.28</v>
      </c>
      <c r="I2653" s="82">
        <v>18882</v>
      </c>
      <c r="J2653" s="82">
        <v>14854</v>
      </c>
      <c r="K2653" s="79">
        <v>14</v>
      </c>
      <c r="L2653" s="79">
        <v>14</v>
      </c>
      <c r="M2653" s="79">
        <v>0</v>
      </c>
      <c r="N2653" s="79">
        <v>0</v>
      </c>
      <c r="O2653">
        <f t="shared" si="684"/>
        <v>1</v>
      </c>
      <c r="P2653" s="57">
        <f t="shared" si="685"/>
        <v>1</v>
      </c>
      <c r="Q2653" s="267">
        <f t="shared" si="686"/>
        <v>4894</v>
      </c>
      <c r="R2653" s="23">
        <f t="shared" si="687"/>
        <v>3146</v>
      </c>
      <c r="S2653" s="23">
        <f t="shared" si="688"/>
        <v>1748</v>
      </c>
      <c r="T2653" s="23">
        <f t="shared" si="689"/>
        <v>1398</v>
      </c>
      <c r="U2653" t="str">
        <f t="shared" si="690"/>
        <v>CO_Weld__2020g~Weld County School District RE-1 Ballot Question 4A (Vote For 1)</v>
      </c>
      <c r="AF2653" s="22" t="str">
        <f t="shared" si="683"/>
        <v/>
      </c>
    </row>
    <row r="2654" spans="1:45" ht="14.4">
      <c r="A2654" t="str">
        <f t="shared" si="682"/>
        <v>CO_Weld__2020g~Weld County School District RE-1 Ballot Question 4A (Vote For 1)</v>
      </c>
      <c r="B2654" s="79" t="s">
        <v>5641</v>
      </c>
      <c r="C2654" s="79" t="s">
        <v>5633</v>
      </c>
      <c r="D2654" s="79" t="s">
        <v>5633</v>
      </c>
      <c r="E2654" s="79" t="s">
        <v>5275</v>
      </c>
      <c r="F2654" s="79" t="s">
        <v>1509</v>
      </c>
      <c r="G2654" s="82">
        <v>1748</v>
      </c>
      <c r="H2654" s="83">
        <v>35.72</v>
      </c>
      <c r="I2654" s="82">
        <v>18882</v>
      </c>
      <c r="J2654" s="82">
        <v>14854</v>
      </c>
      <c r="K2654" s="79">
        <v>14</v>
      </c>
      <c r="L2654" s="79">
        <v>14</v>
      </c>
      <c r="M2654" s="79">
        <v>0</v>
      </c>
      <c r="N2654" s="79">
        <v>0</v>
      </c>
      <c r="O2654">
        <f t="shared" si="684"/>
        <v>2</v>
      </c>
      <c r="P2654" s="57">
        <f t="shared" si="685"/>
        <v>1</v>
      </c>
      <c r="Q2654" s="267">
        <f t="shared" si="686"/>
        <v>1748</v>
      </c>
      <c r="R2654" s="23" t="str">
        <f t="shared" si="687"/>
        <v/>
      </c>
      <c r="S2654" s="23">
        <f t="shared" si="688"/>
        <v>1748</v>
      </c>
      <c r="T2654" s="23" t="str">
        <f t="shared" si="689"/>
        <v/>
      </c>
      <c r="U2654" t="str">
        <f t="shared" si="690"/>
        <v/>
      </c>
      <c r="AF2654" s="22" t="str">
        <f t="shared" si="683"/>
        <v/>
      </c>
    </row>
    <row r="2655" spans="1:45" ht="14.4">
      <c r="A2655" t="str">
        <f t="shared" si="682"/>
        <v>CO_Weld__2020g~Weld RE-8 School District Ballot Issue 5D (Vote For 1)</v>
      </c>
      <c r="B2655" s="79" t="s">
        <v>5641</v>
      </c>
      <c r="C2655" s="79" t="s">
        <v>5290</v>
      </c>
      <c r="D2655" s="79" t="s">
        <v>5290</v>
      </c>
      <c r="E2655" s="79" t="s">
        <v>5274</v>
      </c>
      <c r="F2655" s="79" t="s">
        <v>1508</v>
      </c>
      <c r="G2655" s="82">
        <v>4455</v>
      </c>
      <c r="H2655" s="83">
        <v>68.52</v>
      </c>
      <c r="I2655" s="82">
        <v>12695</v>
      </c>
      <c r="J2655" s="82">
        <v>9628</v>
      </c>
      <c r="K2655" s="79">
        <v>9</v>
      </c>
      <c r="L2655" s="79">
        <v>9</v>
      </c>
      <c r="M2655" s="79">
        <v>0</v>
      </c>
      <c r="N2655" s="79">
        <v>0</v>
      </c>
      <c r="O2655">
        <f t="shared" si="684"/>
        <v>1</v>
      </c>
      <c r="P2655" s="57">
        <f t="shared" si="685"/>
        <v>1</v>
      </c>
      <c r="Q2655" s="267">
        <f t="shared" si="686"/>
        <v>6502</v>
      </c>
      <c r="R2655" s="23">
        <f t="shared" si="687"/>
        <v>4455</v>
      </c>
      <c r="S2655" s="23">
        <f t="shared" si="688"/>
        <v>2047</v>
      </c>
      <c r="T2655" s="23">
        <f t="shared" si="689"/>
        <v>2408</v>
      </c>
      <c r="U2655" t="str">
        <f t="shared" si="690"/>
        <v>CO_Weld__2020g~Weld RE-8 School District Ballot Issue 5D (Vote For 1)</v>
      </c>
      <c r="AF2655" s="22" t="str">
        <f t="shared" si="683"/>
        <v/>
      </c>
    </row>
    <row r="2656" spans="1:45" ht="14.4">
      <c r="A2656" t="str">
        <f t="shared" si="682"/>
        <v>CO_Weld__2020g~Weld RE-8 School District Ballot Issue 5D (Vote For 1)</v>
      </c>
      <c r="B2656" s="79" t="s">
        <v>5641</v>
      </c>
      <c r="C2656" s="79" t="s">
        <v>5290</v>
      </c>
      <c r="D2656" s="79" t="s">
        <v>5290</v>
      </c>
      <c r="E2656" s="79" t="s">
        <v>5275</v>
      </c>
      <c r="F2656" s="79" t="s">
        <v>1509</v>
      </c>
      <c r="G2656" s="82">
        <v>2047</v>
      </c>
      <c r="H2656" s="83">
        <v>31.48</v>
      </c>
      <c r="I2656" s="82">
        <v>12695</v>
      </c>
      <c r="J2656" s="82">
        <v>9628</v>
      </c>
      <c r="K2656" s="79">
        <v>9</v>
      </c>
      <c r="L2656" s="79">
        <v>9</v>
      </c>
      <c r="M2656" s="79">
        <v>0</v>
      </c>
      <c r="N2656" s="79">
        <v>0</v>
      </c>
      <c r="O2656">
        <f t="shared" si="684"/>
        <v>2</v>
      </c>
      <c r="P2656" s="57">
        <f t="shared" si="685"/>
        <v>1</v>
      </c>
      <c r="Q2656" s="267">
        <f t="shared" si="686"/>
        <v>2047</v>
      </c>
      <c r="R2656" s="23" t="str">
        <f t="shared" si="687"/>
        <v/>
      </c>
      <c r="S2656" s="23">
        <f t="shared" si="688"/>
        <v>2047</v>
      </c>
      <c r="T2656" s="23" t="str">
        <f t="shared" si="689"/>
        <v/>
      </c>
      <c r="U2656" t="str">
        <f t="shared" si="690"/>
        <v/>
      </c>
      <c r="AF2656" s="22" t="str">
        <f t="shared" si="683"/>
        <v/>
      </c>
    </row>
    <row r="2657" spans="1:32">
      <c r="A2657" s="23" t="str">
        <f t="shared" ref="A2657:A2720" si="691">CONCATENATE("MN_Henne_2021g~",D2657)</f>
        <v>MN_Henne_2021g~Bloomington-Council Member at Large (vote for 1)</v>
      </c>
      <c r="B2657" s="317" t="str">
        <f t="shared" ref="B2657:B2720" si="692">LEFT(A2657,14)</f>
        <v>MN_Henne_2021g</v>
      </c>
      <c r="C2657" s="317" t="str">
        <f t="shared" ref="C2657:C2688" si="693">IF(AND(D2657=D2656,E2657=E2656),99,"")</f>
        <v/>
      </c>
      <c r="D2657" t="s">
        <v>6539</v>
      </c>
      <c r="E2657" t="s">
        <v>6540</v>
      </c>
      <c r="F2657" t="s">
        <v>6541</v>
      </c>
      <c r="G2657" s="318">
        <v>7127</v>
      </c>
      <c r="O2657">
        <f t="shared" si="684"/>
        <v>1</v>
      </c>
      <c r="P2657" s="57">
        <f t="shared" si="685"/>
        <v>1</v>
      </c>
      <c r="Q2657" s="267">
        <f t="shared" si="686"/>
        <v>15196</v>
      </c>
      <c r="R2657" s="23">
        <f t="shared" si="687"/>
        <v>7127</v>
      </c>
      <c r="S2657" s="23">
        <f t="shared" si="688"/>
        <v>4653</v>
      </c>
      <c r="T2657" s="23">
        <f t="shared" si="689"/>
        <v>2474</v>
      </c>
      <c r="U2657" t="str">
        <f t="shared" si="690"/>
        <v>MN_Henne_2021g~Bloomington-Council Member at Large (vote for 1)</v>
      </c>
      <c r="AF2657" s="22" t="str">
        <f t="shared" si="683"/>
        <v/>
      </c>
    </row>
    <row r="2658" spans="1:32">
      <c r="A2658" s="23" t="str">
        <f t="shared" si="691"/>
        <v>MN_Henne_2021g~Bloomington-Council Member at Large (vote for 1)</v>
      </c>
      <c r="B2658" s="317" t="str">
        <f t="shared" si="692"/>
        <v>MN_Henne_2021g</v>
      </c>
      <c r="C2658" s="317" t="str">
        <f t="shared" si="693"/>
        <v/>
      </c>
      <c r="D2658" t="s">
        <v>6539</v>
      </c>
      <c r="E2658" t="s">
        <v>6542</v>
      </c>
      <c r="F2658" t="s">
        <v>6541</v>
      </c>
      <c r="G2658" s="318">
        <v>4653</v>
      </c>
      <c r="O2658">
        <f t="shared" si="684"/>
        <v>2</v>
      </c>
      <c r="P2658" s="57">
        <f t="shared" si="685"/>
        <v>1</v>
      </c>
      <c r="Q2658" s="267">
        <f t="shared" si="686"/>
        <v>8069</v>
      </c>
      <c r="R2658" s="23" t="str">
        <f t="shared" si="687"/>
        <v/>
      </c>
      <c r="S2658" s="23">
        <f t="shared" si="688"/>
        <v>4653</v>
      </c>
      <c r="T2658" s="23" t="str">
        <f t="shared" si="689"/>
        <v/>
      </c>
      <c r="U2658" t="str">
        <f t="shared" si="690"/>
        <v/>
      </c>
      <c r="AF2658" s="22" t="str">
        <f t="shared" si="683"/>
        <v/>
      </c>
    </row>
    <row r="2659" spans="1:32">
      <c r="A2659" s="23" t="str">
        <f t="shared" si="691"/>
        <v>MN_Henne_2021g~Bloomington-Council Member at Large (vote for 1)</v>
      </c>
      <c r="B2659" s="317" t="str">
        <f t="shared" si="692"/>
        <v>MN_Henne_2021g</v>
      </c>
      <c r="C2659" s="317" t="str">
        <f t="shared" si="693"/>
        <v/>
      </c>
      <c r="D2659" t="s">
        <v>6539</v>
      </c>
      <c r="E2659" t="s">
        <v>6543</v>
      </c>
      <c r="F2659" t="s">
        <v>6541</v>
      </c>
      <c r="G2659" s="318">
        <v>3394</v>
      </c>
      <c r="O2659">
        <f t="shared" si="684"/>
        <v>3</v>
      </c>
      <c r="P2659" s="57">
        <f t="shared" si="685"/>
        <v>1</v>
      </c>
      <c r="Q2659" s="267">
        <f t="shared" si="686"/>
        <v>3416</v>
      </c>
      <c r="R2659" s="23" t="str">
        <f t="shared" si="687"/>
        <v/>
      </c>
      <c r="S2659" s="23">
        <f t="shared" si="688"/>
        <v>3394</v>
      </c>
      <c r="T2659" s="23" t="str">
        <f t="shared" si="689"/>
        <v/>
      </c>
      <c r="U2659" t="str">
        <f t="shared" si="690"/>
        <v/>
      </c>
      <c r="AF2659" s="22" t="str">
        <f t="shared" si="683"/>
        <v/>
      </c>
    </row>
    <row r="2660" spans="1:32">
      <c r="A2660" s="23" t="str">
        <f t="shared" si="691"/>
        <v>MN_Henne_2021g~Bloomington-Council Member at Large (vote for 1)</v>
      </c>
      <c r="B2660" s="317" t="str">
        <f t="shared" si="692"/>
        <v>MN_Henne_2021g</v>
      </c>
      <c r="C2660" s="317" t="str">
        <f t="shared" si="693"/>
        <v/>
      </c>
      <c r="D2660" t="s">
        <v>6539</v>
      </c>
      <c r="E2660" t="s">
        <v>15</v>
      </c>
      <c r="F2660" t="s">
        <v>6544</v>
      </c>
      <c r="G2660" s="318">
        <v>22</v>
      </c>
      <c r="O2660">
        <f t="shared" si="684"/>
        <v>-3</v>
      </c>
      <c r="P2660" s="57">
        <f t="shared" si="685"/>
        <v>1</v>
      </c>
      <c r="Q2660" s="267">
        <f t="shared" si="686"/>
        <v>22</v>
      </c>
      <c r="R2660" s="23">
        <f t="shared" si="687"/>
        <v>1</v>
      </c>
      <c r="S2660" s="23">
        <f t="shared" si="688"/>
        <v>0</v>
      </c>
      <c r="T2660" s="23" t="str">
        <f t="shared" si="689"/>
        <v/>
      </c>
      <c r="U2660" t="str">
        <f t="shared" si="690"/>
        <v/>
      </c>
      <c r="AF2660" s="22" t="str">
        <f t="shared" si="683"/>
        <v/>
      </c>
    </row>
    <row r="2661" spans="1:32">
      <c r="A2661" s="23" t="str">
        <f t="shared" si="691"/>
        <v>MN_Henne_2021g~Bloomington-Council Member Ward 3 (vote for 1)</v>
      </c>
      <c r="B2661" s="317" t="str">
        <f t="shared" si="692"/>
        <v>MN_Henne_2021g</v>
      </c>
      <c r="C2661" s="317" t="str">
        <f t="shared" si="693"/>
        <v/>
      </c>
      <c r="D2661" t="s">
        <v>6545</v>
      </c>
      <c r="E2661" t="s">
        <v>6546</v>
      </c>
      <c r="F2661" t="s">
        <v>6541</v>
      </c>
      <c r="G2661" s="318">
        <v>2326</v>
      </c>
      <c r="O2661">
        <f t="shared" si="684"/>
        <v>1</v>
      </c>
      <c r="P2661" s="57">
        <f t="shared" si="685"/>
        <v>1</v>
      </c>
      <c r="Q2661" s="267">
        <f t="shared" si="686"/>
        <v>4498</v>
      </c>
      <c r="R2661" s="23">
        <f t="shared" si="687"/>
        <v>2326</v>
      </c>
      <c r="S2661" s="23">
        <f t="shared" si="688"/>
        <v>1610</v>
      </c>
      <c r="T2661" s="23">
        <f t="shared" si="689"/>
        <v>716</v>
      </c>
      <c r="U2661" t="str">
        <f t="shared" si="690"/>
        <v>MN_Henne_2021g~Bloomington-Council Member Ward 3 (vote for 1)</v>
      </c>
      <c r="AF2661" s="22" t="str">
        <f t="shared" si="683"/>
        <v/>
      </c>
    </row>
    <row r="2662" spans="1:32">
      <c r="A2662" s="23" t="str">
        <f t="shared" si="691"/>
        <v>MN_Henne_2021g~Bloomington-Council Member Ward 3 (vote for 1)</v>
      </c>
      <c r="B2662" s="317" t="str">
        <f t="shared" si="692"/>
        <v>MN_Henne_2021g</v>
      </c>
      <c r="C2662" s="317" t="str">
        <f t="shared" si="693"/>
        <v/>
      </c>
      <c r="D2662" t="s">
        <v>6545</v>
      </c>
      <c r="E2662" t="s">
        <v>6547</v>
      </c>
      <c r="F2662" t="s">
        <v>6541</v>
      </c>
      <c r="G2662" s="318">
        <v>1610</v>
      </c>
      <c r="O2662">
        <f t="shared" si="684"/>
        <v>2</v>
      </c>
      <c r="P2662" s="57">
        <f t="shared" si="685"/>
        <v>1</v>
      </c>
      <c r="Q2662" s="267">
        <f t="shared" si="686"/>
        <v>2172</v>
      </c>
      <c r="R2662" s="23" t="str">
        <f t="shared" si="687"/>
        <v/>
      </c>
      <c r="S2662" s="23">
        <f t="shared" si="688"/>
        <v>1610</v>
      </c>
      <c r="T2662" s="23" t="str">
        <f t="shared" si="689"/>
        <v/>
      </c>
      <c r="U2662" t="str">
        <f t="shared" si="690"/>
        <v/>
      </c>
      <c r="AF2662" s="22" t="str">
        <f t="shared" si="683"/>
        <v/>
      </c>
    </row>
    <row r="2663" spans="1:32">
      <c r="A2663" s="23" t="str">
        <f t="shared" si="691"/>
        <v>MN_Henne_2021g~Bloomington-Council Member Ward 3 (vote for 1)</v>
      </c>
      <c r="B2663" s="317" t="str">
        <f t="shared" si="692"/>
        <v>MN_Henne_2021g</v>
      </c>
      <c r="C2663" s="317" t="str">
        <f t="shared" si="693"/>
        <v/>
      </c>
      <c r="D2663" t="s">
        <v>6545</v>
      </c>
      <c r="E2663" t="s">
        <v>6548</v>
      </c>
      <c r="F2663" t="s">
        <v>6541</v>
      </c>
      <c r="G2663" s="318">
        <v>284</v>
      </c>
      <c r="O2663">
        <f t="shared" si="684"/>
        <v>3</v>
      </c>
      <c r="P2663" s="57">
        <f t="shared" si="685"/>
        <v>1</v>
      </c>
      <c r="Q2663" s="267">
        <f t="shared" si="686"/>
        <v>562</v>
      </c>
      <c r="R2663" s="23" t="str">
        <f t="shared" si="687"/>
        <v/>
      </c>
      <c r="S2663" s="23">
        <f t="shared" si="688"/>
        <v>284</v>
      </c>
      <c r="T2663" s="23" t="str">
        <f t="shared" si="689"/>
        <v/>
      </c>
      <c r="U2663" t="str">
        <f t="shared" si="690"/>
        <v/>
      </c>
      <c r="AF2663" s="22" t="str">
        <f t="shared" si="683"/>
        <v/>
      </c>
    </row>
    <row r="2664" spans="1:32">
      <c r="A2664" s="23" t="str">
        <f t="shared" si="691"/>
        <v>MN_Henne_2021g~Bloomington-Council Member Ward 3 (vote for 1)</v>
      </c>
      <c r="B2664" s="317" t="str">
        <f t="shared" si="692"/>
        <v>MN_Henne_2021g</v>
      </c>
      <c r="C2664" s="317" t="str">
        <f t="shared" si="693"/>
        <v/>
      </c>
      <c r="D2664" t="s">
        <v>6545</v>
      </c>
      <c r="E2664" t="s">
        <v>6549</v>
      </c>
      <c r="F2664" t="s">
        <v>6541</v>
      </c>
      <c r="G2664" s="318">
        <v>271</v>
      </c>
      <c r="O2664">
        <f t="shared" si="684"/>
        <v>4</v>
      </c>
      <c r="P2664" s="57">
        <f t="shared" si="685"/>
        <v>1</v>
      </c>
      <c r="Q2664" s="267">
        <f t="shared" si="686"/>
        <v>278</v>
      </c>
      <c r="R2664" s="23" t="str">
        <f t="shared" si="687"/>
        <v/>
      </c>
      <c r="S2664" s="23">
        <f t="shared" si="688"/>
        <v>271</v>
      </c>
      <c r="T2664" s="23" t="str">
        <f t="shared" si="689"/>
        <v/>
      </c>
      <c r="U2664" t="str">
        <f t="shared" si="690"/>
        <v/>
      </c>
      <c r="AF2664" s="22" t="str">
        <f t="shared" si="683"/>
        <v/>
      </c>
    </row>
    <row r="2665" spans="1:32">
      <c r="A2665" s="23" t="str">
        <f t="shared" si="691"/>
        <v>MN_Henne_2021g~Bloomington-Council Member Ward 3 (vote for 1)</v>
      </c>
      <c r="B2665" s="317" t="str">
        <f t="shared" si="692"/>
        <v>MN_Henne_2021g</v>
      </c>
      <c r="C2665" s="317" t="str">
        <f t="shared" si="693"/>
        <v/>
      </c>
      <c r="D2665" t="s">
        <v>6545</v>
      </c>
      <c r="E2665" t="s">
        <v>15</v>
      </c>
      <c r="F2665" t="s">
        <v>6544</v>
      </c>
      <c r="G2665" s="318">
        <v>7</v>
      </c>
      <c r="O2665">
        <f t="shared" si="684"/>
        <v>-4</v>
      </c>
      <c r="P2665" s="57">
        <f t="shared" si="685"/>
        <v>1</v>
      </c>
      <c r="Q2665" s="267">
        <f t="shared" si="686"/>
        <v>7</v>
      </c>
      <c r="R2665" s="23">
        <f t="shared" si="687"/>
        <v>1</v>
      </c>
      <c r="S2665" s="23">
        <f t="shared" si="688"/>
        <v>0</v>
      </c>
      <c r="T2665" s="23" t="str">
        <f t="shared" si="689"/>
        <v/>
      </c>
      <c r="U2665" t="str">
        <f t="shared" si="690"/>
        <v/>
      </c>
      <c r="AF2665" s="22" t="str">
        <f t="shared" si="683"/>
        <v/>
      </c>
    </row>
    <row r="2666" spans="1:32">
      <c r="A2666" s="23" t="str">
        <f t="shared" si="691"/>
        <v>MN_Henne_2021g~Bloomington-Council Member Ward 4 (vote for 1)</v>
      </c>
      <c r="B2666" s="317" t="str">
        <f t="shared" si="692"/>
        <v>MN_Henne_2021g</v>
      </c>
      <c r="C2666" s="317" t="str">
        <f t="shared" si="693"/>
        <v/>
      </c>
      <c r="D2666" t="s">
        <v>6550</v>
      </c>
      <c r="E2666" t="s">
        <v>6551</v>
      </c>
      <c r="F2666" t="s">
        <v>6541</v>
      </c>
      <c r="G2666" s="318">
        <v>1228</v>
      </c>
      <c r="O2666">
        <f t="shared" si="684"/>
        <v>1</v>
      </c>
      <c r="P2666" s="57">
        <f t="shared" si="685"/>
        <v>1</v>
      </c>
      <c r="Q2666" s="267">
        <f t="shared" si="686"/>
        <v>2455</v>
      </c>
      <c r="R2666" s="23">
        <f t="shared" si="687"/>
        <v>1228</v>
      </c>
      <c r="S2666" s="23">
        <f t="shared" si="688"/>
        <v>846</v>
      </c>
      <c r="T2666" s="23">
        <f t="shared" si="689"/>
        <v>382</v>
      </c>
      <c r="U2666" t="str">
        <f t="shared" si="690"/>
        <v>MN_Henne_2021g~Bloomington-Council Member Ward 4 (vote for 1)</v>
      </c>
      <c r="AF2666" s="22" t="str">
        <f t="shared" si="683"/>
        <v/>
      </c>
    </row>
    <row r="2667" spans="1:32">
      <c r="A2667" s="23" t="str">
        <f t="shared" si="691"/>
        <v>MN_Henne_2021g~Bloomington-Council Member Ward 4 (vote for 1)</v>
      </c>
      <c r="B2667" s="317" t="str">
        <f t="shared" si="692"/>
        <v>MN_Henne_2021g</v>
      </c>
      <c r="C2667" s="317" t="str">
        <f t="shared" si="693"/>
        <v/>
      </c>
      <c r="D2667" t="s">
        <v>6550</v>
      </c>
      <c r="E2667" t="s">
        <v>6552</v>
      </c>
      <c r="F2667" t="s">
        <v>6541</v>
      </c>
      <c r="G2667" s="318">
        <v>846</v>
      </c>
      <c r="O2667">
        <f t="shared" si="684"/>
        <v>2</v>
      </c>
      <c r="P2667" s="57">
        <f t="shared" si="685"/>
        <v>1</v>
      </c>
      <c r="Q2667" s="267">
        <f t="shared" si="686"/>
        <v>1227</v>
      </c>
      <c r="R2667" s="23" t="str">
        <f t="shared" si="687"/>
        <v/>
      </c>
      <c r="S2667" s="23">
        <f t="shared" si="688"/>
        <v>846</v>
      </c>
      <c r="T2667" s="23" t="str">
        <f t="shared" si="689"/>
        <v/>
      </c>
      <c r="U2667" t="str">
        <f t="shared" si="690"/>
        <v/>
      </c>
      <c r="AF2667" s="22" t="str">
        <f t="shared" si="683"/>
        <v/>
      </c>
    </row>
    <row r="2668" spans="1:32">
      <c r="A2668" s="23" t="str">
        <f t="shared" si="691"/>
        <v>MN_Henne_2021g~Bloomington-Council Member Ward 4 (vote for 1)</v>
      </c>
      <c r="B2668" s="317" t="str">
        <f t="shared" si="692"/>
        <v>MN_Henne_2021g</v>
      </c>
      <c r="C2668" s="317" t="str">
        <f t="shared" si="693"/>
        <v/>
      </c>
      <c r="D2668" t="s">
        <v>6550</v>
      </c>
      <c r="E2668" t="s">
        <v>6553</v>
      </c>
      <c r="F2668" t="s">
        <v>6541</v>
      </c>
      <c r="G2668" s="318">
        <v>209</v>
      </c>
      <c r="O2668">
        <f t="shared" si="684"/>
        <v>3</v>
      </c>
      <c r="P2668" s="57">
        <f t="shared" si="685"/>
        <v>1</v>
      </c>
      <c r="Q2668" s="267">
        <f t="shared" si="686"/>
        <v>381</v>
      </c>
      <c r="R2668" s="23" t="str">
        <f t="shared" si="687"/>
        <v/>
      </c>
      <c r="S2668" s="23">
        <f t="shared" si="688"/>
        <v>209</v>
      </c>
      <c r="T2668" s="23" t="str">
        <f t="shared" si="689"/>
        <v/>
      </c>
      <c r="U2668" t="str">
        <f t="shared" si="690"/>
        <v/>
      </c>
      <c r="AF2668" s="22" t="str">
        <f t="shared" si="683"/>
        <v/>
      </c>
    </row>
    <row r="2669" spans="1:32">
      <c r="A2669" s="23" t="str">
        <f t="shared" si="691"/>
        <v>MN_Henne_2021g~Bloomington-Council Member Ward 4 (vote for 1)</v>
      </c>
      <c r="B2669" s="317" t="str">
        <f t="shared" si="692"/>
        <v>MN_Henne_2021g</v>
      </c>
      <c r="C2669" s="317" t="str">
        <f t="shared" si="693"/>
        <v/>
      </c>
      <c r="D2669" t="s">
        <v>6550</v>
      </c>
      <c r="E2669" t="s">
        <v>6554</v>
      </c>
      <c r="F2669" t="s">
        <v>6541</v>
      </c>
      <c r="G2669" s="318">
        <v>168</v>
      </c>
      <c r="O2669">
        <f t="shared" si="684"/>
        <v>4</v>
      </c>
      <c r="P2669" s="57">
        <f t="shared" si="685"/>
        <v>1</v>
      </c>
      <c r="Q2669" s="267">
        <f t="shared" si="686"/>
        <v>172</v>
      </c>
      <c r="R2669" s="23" t="str">
        <f t="shared" si="687"/>
        <v/>
      </c>
      <c r="S2669" s="23">
        <f t="shared" si="688"/>
        <v>168</v>
      </c>
      <c r="T2669" s="23" t="str">
        <f t="shared" si="689"/>
        <v/>
      </c>
      <c r="U2669" t="str">
        <f t="shared" si="690"/>
        <v/>
      </c>
      <c r="AF2669" s="22" t="str">
        <f t="shared" si="683"/>
        <v/>
      </c>
    </row>
    <row r="2670" spans="1:32">
      <c r="A2670" s="23" t="str">
        <f t="shared" si="691"/>
        <v>MN_Henne_2021g~Bloomington-Council Member Ward 4 (vote for 1)</v>
      </c>
      <c r="B2670" s="317" t="str">
        <f t="shared" si="692"/>
        <v>MN_Henne_2021g</v>
      </c>
      <c r="C2670" s="317" t="str">
        <f t="shared" si="693"/>
        <v/>
      </c>
      <c r="D2670" t="s">
        <v>6550</v>
      </c>
      <c r="E2670" t="s">
        <v>15</v>
      </c>
      <c r="F2670" t="s">
        <v>6544</v>
      </c>
      <c r="G2670" s="318">
        <v>4</v>
      </c>
      <c r="O2670">
        <f t="shared" si="684"/>
        <v>-4</v>
      </c>
      <c r="P2670" s="57">
        <f t="shared" si="685"/>
        <v>1</v>
      </c>
      <c r="Q2670" s="267">
        <f t="shared" si="686"/>
        <v>4</v>
      </c>
      <c r="R2670" s="23">
        <f t="shared" si="687"/>
        <v>1</v>
      </c>
      <c r="S2670" s="23">
        <f t="shared" si="688"/>
        <v>0</v>
      </c>
      <c r="T2670" s="23" t="str">
        <f t="shared" si="689"/>
        <v/>
      </c>
      <c r="U2670" t="str">
        <f t="shared" si="690"/>
        <v/>
      </c>
      <c r="AF2670" s="22" t="str">
        <f t="shared" si="683"/>
        <v/>
      </c>
    </row>
    <row r="2671" spans="1:32">
      <c r="A2671" s="23" t="str">
        <f t="shared" si="691"/>
        <v>MN_Henne_2021g~Golden Valley-Council Member (vote for 2)</v>
      </c>
      <c r="B2671" s="317" t="str">
        <f t="shared" si="692"/>
        <v>MN_Henne_2021g</v>
      </c>
      <c r="C2671" s="317" t="str">
        <f t="shared" si="693"/>
        <v/>
      </c>
      <c r="D2671" t="s">
        <v>6555</v>
      </c>
      <c r="E2671" t="s">
        <v>6556</v>
      </c>
      <c r="F2671" t="s">
        <v>6541</v>
      </c>
      <c r="G2671" s="318">
        <v>2715</v>
      </c>
      <c r="O2671">
        <f t="shared" si="684"/>
        <v>1</v>
      </c>
      <c r="P2671" s="57">
        <f t="shared" si="685"/>
        <v>2</v>
      </c>
      <c r="Q2671" s="267">
        <f t="shared" si="686"/>
        <v>4630</v>
      </c>
      <c r="R2671" s="23">
        <f t="shared" si="687"/>
        <v>2260</v>
      </c>
      <c r="S2671" s="23">
        <f t="shared" si="688"/>
        <v>1859</v>
      </c>
      <c r="T2671" s="23">
        <f t="shared" si="689"/>
        <v>401</v>
      </c>
      <c r="U2671" t="str">
        <f t="shared" si="690"/>
        <v>MN_Henne_2021g~Golden Valley-Council Member (vote for 2)</v>
      </c>
      <c r="AF2671" s="22" t="str">
        <f t="shared" si="683"/>
        <v/>
      </c>
    </row>
    <row r="2672" spans="1:32">
      <c r="A2672" s="23" t="str">
        <f t="shared" si="691"/>
        <v>MN_Henne_2021g~Golden Valley-Council Member (vote for 2)</v>
      </c>
      <c r="B2672" s="317" t="str">
        <f t="shared" si="692"/>
        <v>MN_Henne_2021g</v>
      </c>
      <c r="C2672" s="317" t="str">
        <f t="shared" si="693"/>
        <v/>
      </c>
      <c r="D2672" t="s">
        <v>6555</v>
      </c>
      <c r="E2672" t="s">
        <v>6557</v>
      </c>
      <c r="F2672" t="s">
        <v>6541</v>
      </c>
      <c r="G2672" s="318">
        <v>2260</v>
      </c>
      <c r="O2672">
        <f t="shared" si="684"/>
        <v>2</v>
      </c>
      <c r="P2672" s="57">
        <f t="shared" si="685"/>
        <v>2</v>
      </c>
      <c r="Q2672" s="267">
        <f t="shared" si="686"/>
        <v>6545</v>
      </c>
      <c r="R2672" s="23">
        <f t="shared" si="687"/>
        <v>2260</v>
      </c>
      <c r="S2672" s="23">
        <f t="shared" si="688"/>
        <v>1859</v>
      </c>
      <c r="T2672" s="23" t="str">
        <f t="shared" si="689"/>
        <v/>
      </c>
      <c r="U2672" t="str">
        <f t="shared" si="690"/>
        <v/>
      </c>
      <c r="AF2672" s="22" t="str">
        <f t="shared" si="683"/>
        <v/>
      </c>
    </row>
    <row r="2673" spans="1:32">
      <c r="A2673" s="23" t="str">
        <f t="shared" si="691"/>
        <v>MN_Henne_2021g~Golden Valley-Council Member (vote for 2)</v>
      </c>
      <c r="B2673" s="317" t="str">
        <f t="shared" si="692"/>
        <v>MN_Henne_2021g</v>
      </c>
      <c r="C2673" s="317" t="str">
        <f t="shared" si="693"/>
        <v/>
      </c>
      <c r="D2673" t="s">
        <v>6555</v>
      </c>
      <c r="E2673" t="s">
        <v>6558</v>
      </c>
      <c r="F2673" t="s">
        <v>6541</v>
      </c>
      <c r="G2673" s="318">
        <v>1859</v>
      </c>
      <c r="O2673">
        <f t="shared" si="684"/>
        <v>3</v>
      </c>
      <c r="P2673" s="57">
        <f t="shared" si="685"/>
        <v>2</v>
      </c>
      <c r="Q2673" s="267">
        <f t="shared" si="686"/>
        <v>4285</v>
      </c>
      <c r="R2673" s="23" t="str">
        <f t="shared" si="687"/>
        <v/>
      </c>
      <c r="S2673" s="23">
        <f t="shared" si="688"/>
        <v>1859</v>
      </c>
      <c r="T2673" s="23" t="str">
        <f t="shared" si="689"/>
        <v/>
      </c>
      <c r="U2673" t="str">
        <f t="shared" si="690"/>
        <v/>
      </c>
      <c r="AF2673" s="22" t="str">
        <f t="shared" si="683"/>
        <v/>
      </c>
    </row>
    <row r="2674" spans="1:32">
      <c r="A2674" s="23" t="str">
        <f t="shared" si="691"/>
        <v>MN_Henne_2021g~Golden Valley-Council Member (vote for 2)</v>
      </c>
      <c r="B2674" s="317" t="str">
        <f t="shared" si="692"/>
        <v>MN_Henne_2021g</v>
      </c>
      <c r="C2674" s="317" t="str">
        <f t="shared" si="693"/>
        <v/>
      </c>
      <c r="D2674" t="s">
        <v>6555</v>
      </c>
      <c r="E2674" t="s">
        <v>6559</v>
      </c>
      <c r="F2674" t="s">
        <v>6541</v>
      </c>
      <c r="G2674" s="318">
        <v>1764</v>
      </c>
      <c r="O2674">
        <f t="shared" si="684"/>
        <v>4</v>
      </c>
      <c r="P2674" s="57">
        <f t="shared" si="685"/>
        <v>2</v>
      </c>
      <c r="Q2674" s="267">
        <f t="shared" si="686"/>
        <v>2426</v>
      </c>
      <c r="R2674" s="23" t="str">
        <f t="shared" si="687"/>
        <v/>
      </c>
      <c r="S2674" s="23">
        <f t="shared" si="688"/>
        <v>1764</v>
      </c>
      <c r="T2674" s="23" t="str">
        <f t="shared" si="689"/>
        <v/>
      </c>
      <c r="U2674" t="str">
        <f t="shared" si="690"/>
        <v/>
      </c>
      <c r="AF2674" s="22" t="str">
        <f t="shared" si="683"/>
        <v/>
      </c>
    </row>
    <row r="2675" spans="1:32">
      <c r="A2675" s="23" t="str">
        <f t="shared" si="691"/>
        <v>MN_Henne_2021g~Golden Valley-Council Member (vote for 2)</v>
      </c>
      <c r="B2675" s="317" t="str">
        <f t="shared" si="692"/>
        <v>MN_Henne_2021g</v>
      </c>
      <c r="C2675" s="317" t="str">
        <f t="shared" si="693"/>
        <v/>
      </c>
      <c r="D2675" t="s">
        <v>6555</v>
      </c>
      <c r="E2675" t="s">
        <v>6560</v>
      </c>
      <c r="F2675" t="s">
        <v>6541</v>
      </c>
      <c r="G2675" s="318">
        <v>232</v>
      </c>
      <c r="O2675">
        <f t="shared" si="684"/>
        <v>5</v>
      </c>
      <c r="P2675" s="57">
        <f t="shared" si="685"/>
        <v>2</v>
      </c>
      <c r="Q2675" s="267">
        <f t="shared" si="686"/>
        <v>662</v>
      </c>
      <c r="R2675" s="23" t="str">
        <f t="shared" si="687"/>
        <v/>
      </c>
      <c r="S2675" s="23">
        <f t="shared" si="688"/>
        <v>232</v>
      </c>
      <c r="T2675" s="23" t="str">
        <f t="shared" si="689"/>
        <v/>
      </c>
      <c r="U2675" t="str">
        <f t="shared" si="690"/>
        <v/>
      </c>
      <c r="AF2675" s="22" t="str">
        <f t="shared" si="683"/>
        <v/>
      </c>
    </row>
    <row r="2676" spans="1:32">
      <c r="A2676" s="23" t="str">
        <f t="shared" si="691"/>
        <v>MN_Henne_2021g~Golden Valley-Council Member (vote for 2)</v>
      </c>
      <c r="B2676" s="317" t="str">
        <f t="shared" si="692"/>
        <v>MN_Henne_2021g</v>
      </c>
      <c r="C2676" s="317" t="str">
        <f t="shared" si="693"/>
        <v/>
      </c>
      <c r="D2676" t="s">
        <v>6555</v>
      </c>
      <c r="E2676" t="s">
        <v>6561</v>
      </c>
      <c r="F2676" t="s">
        <v>6541</v>
      </c>
      <c r="G2676" s="318">
        <v>206</v>
      </c>
      <c r="O2676">
        <f t="shared" si="684"/>
        <v>6</v>
      </c>
      <c r="P2676" s="57">
        <f t="shared" si="685"/>
        <v>2</v>
      </c>
      <c r="Q2676" s="267">
        <f t="shared" si="686"/>
        <v>430</v>
      </c>
      <c r="R2676" s="23" t="str">
        <f t="shared" si="687"/>
        <v/>
      </c>
      <c r="S2676" s="23">
        <f t="shared" si="688"/>
        <v>206</v>
      </c>
      <c r="T2676" s="23" t="str">
        <f t="shared" si="689"/>
        <v/>
      </c>
      <c r="U2676" t="str">
        <f t="shared" si="690"/>
        <v/>
      </c>
      <c r="AF2676" s="22" t="str">
        <f t="shared" si="683"/>
        <v/>
      </c>
    </row>
    <row r="2677" spans="1:32">
      <c r="A2677" s="23" t="str">
        <f t="shared" si="691"/>
        <v>MN_Henne_2021g~Golden Valley-Council Member (vote for 2)</v>
      </c>
      <c r="B2677" s="317" t="str">
        <f t="shared" si="692"/>
        <v>MN_Henne_2021g</v>
      </c>
      <c r="C2677" s="317" t="str">
        <f t="shared" si="693"/>
        <v/>
      </c>
      <c r="D2677" t="s">
        <v>6555</v>
      </c>
      <c r="E2677" t="s">
        <v>6562</v>
      </c>
      <c r="F2677" t="s">
        <v>6541</v>
      </c>
      <c r="G2677" s="318">
        <v>200</v>
      </c>
      <c r="O2677">
        <f t="shared" si="684"/>
        <v>7</v>
      </c>
      <c r="P2677" s="57">
        <f t="shared" si="685"/>
        <v>2</v>
      </c>
      <c r="Q2677" s="267">
        <f t="shared" si="686"/>
        <v>224</v>
      </c>
      <c r="R2677" s="23" t="str">
        <f t="shared" si="687"/>
        <v/>
      </c>
      <c r="S2677" s="23">
        <f t="shared" si="688"/>
        <v>200</v>
      </c>
      <c r="T2677" s="23" t="str">
        <f t="shared" si="689"/>
        <v/>
      </c>
      <c r="U2677" t="str">
        <f t="shared" si="690"/>
        <v/>
      </c>
      <c r="AF2677" s="22" t="str">
        <f t="shared" si="683"/>
        <v/>
      </c>
    </row>
    <row r="2678" spans="1:32">
      <c r="A2678" s="23" t="str">
        <f t="shared" si="691"/>
        <v>MN_Henne_2021g~Golden Valley-Council Member (vote for 2)</v>
      </c>
      <c r="B2678" s="317" t="str">
        <f t="shared" si="692"/>
        <v>MN_Henne_2021g</v>
      </c>
      <c r="C2678" s="317" t="str">
        <f t="shared" si="693"/>
        <v/>
      </c>
      <c r="D2678" t="s">
        <v>6555</v>
      </c>
      <c r="E2678" t="s">
        <v>15</v>
      </c>
      <c r="F2678" t="s">
        <v>6544</v>
      </c>
      <c r="G2678" s="318">
        <v>24</v>
      </c>
      <c r="O2678">
        <f t="shared" si="684"/>
        <v>-7</v>
      </c>
      <c r="P2678" s="57">
        <f t="shared" si="685"/>
        <v>2</v>
      </c>
      <c r="Q2678" s="267">
        <f t="shared" si="686"/>
        <v>24</v>
      </c>
      <c r="R2678" s="23">
        <f t="shared" si="687"/>
        <v>1</v>
      </c>
      <c r="S2678" s="23">
        <f t="shared" si="688"/>
        <v>0</v>
      </c>
      <c r="T2678" s="23" t="str">
        <f t="shared" si="689"/>
        <v/>
      </c>
      <c r="U2678" t="str">
        <f t="shared" si="690"/>
        <v/>
      </c>
      <c r="AF2678" s="22" t="str">
        <f t="shared" ref="AF2678:AF2741" si="694">LEFT(AL2407,14)</f>
        <v/>
      </c>
    </row>
    <row r="2679" spans="1:32">
      <c r="A2679" s="23" t="str">
        <f t="shared" si="691"/>
        <v>MN_Henne_2021g~Hopkins-Council Member (vote for 2)</v>
      </c>
      <c r="B2679" s="317" t="str">
        <f t="shared" si="692"/>
        <v>MN_Henne_2021g</v>
      </c>
      <c r="C2679" s="317" t="str">
        <f t="shared" si="693"/>
        <v/>
      </c>
      <c r="D2679" t="s">
        <v>6563</v>
      </c>
      <c r="E2679" t="s">
        <v>6564</v>
      </c>
      <c r="F2679" t="s">
        <v>6541</v>
      </c>
      <c r="G2679" s="318">
        <v>1537</v>
      </c>
      <c r="O2679">
        <f t="shared" si="684"/>
        <v>1</v>
      </c>
      <c r="P2679" s="57">
        <f t="shared" si="685"/>
        <v>2</v>
      </c>
      <c r="Q2679" s="267">
        <f t="shared" si="686"/>
        <v>2360</v>
      </c>
      <c r="R2679" s="23">
        <f t="shared" si="687"/>
        <v>1251</v>
      </c>
      <c r="S2679" s="23">
        <f t="shared" si="688"/>
        <v>979</v>
      </c>
      <c r="T2679" s="23">
        <f t="shared" si="689"/>
        <v>272</v>
      </c>
      <c r="U2679" t="str">
        <f t="shared" si="690"/>
        <v>MN_Henne_2021g~Hopkins-Council Member (vote for 2)</v>
      </c>
      <c r="AF2679" s="22" t="str">
        <f t="shared" si="694"/>
        <v/>
      </c>
    </row>
    <row r="2680" spans="1:32">
      <c r="A2680" s="23" t="str">
        <f t="shared" si="691"/>
        <v>MN_Henne_2021g~Hopkins-Council Member (vote for 2)</v>
      </c>
      <c r="B2680" s="317" t="str">
        <f t="shared" si="692"/>
        <v>MN_Henne_2021g</v>
      </c>
      <c r="C2680" s="317" t="str">
        <f t="shared" si="693"/>
        <v/>
      </c>
      <c r="D2680" t="s">
        <v>6563</v>
      </c>
      <c r="E2680" t="s">
        <v>6565</v>
      </c>
      <c r="F2680" t="s">
        <v>6541</v>
      </c>
      <c r="G2680" s="318">
        <v>1251</v>
      </c>
      <c r="O2680">
        <f t="shared" si="684"/>
        <v>2</v>
      </c>
      <c r="P2680" s="57">
        <f t="shared" si="685"/>
        <v>2</v>
      </c>
      <c r="Q2680" s="267">
        <f t="shared" si="686"/>
        <v>3183</v>
      </c>
      <c r="R2680" s="23">
        <f t="shared" si="687"/>
        <v>1251</v>
      </c>
      <c r="S2680" s="23">
        <f t="shared" si="688"/>
        <v>979</v>
      </c>
      <c r="T2680" s="23" t="str">
        <f t="shared" si="689"/>
        <v/>
      </c>
      <c r="U2680" t="str">
        <f t="shared" si="690"/>
        <v/>
      </c>
      <c r="AF2680" s="22" t="str">
        <f t="shared" si="694"/>
        <v/>
      </c>
    </row>
    <row r="2681" spans="1:32">
      <c r="A2681" s="23" t="str">
        <f t="shared" si="691"/>
        <v>MN_Henne_2021g~Hopkins-Council Member (vote for 2)</v>
      </c>
      <c r="B2681" s="317" t="str">
        <f t="shared" si="692"/>
        <v>MN_Henne_2021g</v>
      </c>
      <c r="C2681" s="317" t="str">
        <f t="shared" si="693"/>
        <v/>
      </c>
      <c r="D2681" t="s">
        <v>6563</v>
      </c>
      <c r="E2681" t="s">
        <v>6566</v>
      </c>
      <c r="F2681" t="s">
        <v>6541</v>
      </c>
      <c r="G2681" s="318">
        <v>979</v>
      </c>
      <c r="O2681">
        <f t="shared" si="684"/>
        <v>3</v>
      </c>
      <c r="P2681" s="57">
        <f t="shared" si="685"/>
        <v>2</v>
      </c>
      <c r="Q2681" s="267">
        <f t="shared" si="686"/>
        <v>1932</v>
      </c>
      <c r="R2681" s="23" t="str">
        <f t="shared" si="687"/>
        <v/>
      </c>
      <c r="S2681" s="23">
        <f t="shared" si="688"/>
        <v>979</v>
      </c>
      <c r="T2681" s="23" t="str">
        <f t="shared" si="689"/>
        <v/>
      </c>
      <c r="U2681" t="str">
        <f t="shared" si="690"/>
        <v/>
      </c>
      <c r="AF2681" s="22" t="str">
        <f t="shared" si="694"/>
        <v/>
      </c>
    </row>
    <row r="2682" spans="1:32">
      <c r="A2682" s="23" t="str">
        <f t="shared" si="691"/>
        <v>MN_Henne_2021g~Hopkins-Council Member (vote for 2)</v>
      </c>
      <c r="B2682" s="317" t="str">
        <f t="shared" si="692"/>
        <v>MN_Henne_2021g</v>
      </c>
      <c r="C2682" s="317" t="str">
        <f t="shared" si="693"/>
        <v/>
      </c>
      <c r="D2682" t="s">
        <v>6563</v>
      </c>
      <c r="E2682" t="s">
        <v>6567</v>
      </c>
      <c r="F2682" t="s">
        <v>6541</v>
      </c>
      <c r="G2682" s="318">
        <v>923</v>
      </c>
      <c r="O2682">
        <f t="shared" si="684"/>
        <v>4</v>
      </c>
      <c r="P2682" s="57">
        <f t="shared" si="685"/>
        <v>2</v>
      </c>
      <c r="Q2682" s="267">
        <f t="shared" si="686"/>
        <v>953</v>
      </c>
      <c r="R2682" s="23" t="str">
        <f t="shared" si="687"/>
        <v/>
      </c>
      <c r="S2682" s="23">
        <f t="shared" si="688"/>
        <v>923</v>
      </c>
      <c r="T2682" s="23" t="str">
        <f t="shared" si="689"/>
        <v/>
      </c>
      <c r="U2682" t="str">
        <f t="shared" si="690"/>
        <v/>
      </c>
      <c r="AF2682" s="22" t="str">
        <f t="shared" si="694"/>
        <v/>
      </c>
    </row>
    <row r="2683" spans="1:32">
      <c r="A2683" s="23" t="str">
        <f t="shared" si="691"/>
        <v>MN_Henne_2021g~Hopkins-Council Member (vote for 2)</v>
      </c>
      <c r="B2683" s="317" t="str">
        <f t="shared" si="692"/>
        <v>MN_Henne_2021g</v>
      </c>
      <c r="C2683" s="317" t="str">
        <f t="shared" si="693"/>
        <v/>
      </c>
      <c r="D2683" t="s">
        <v>6563</v>
      </c>
      <c r="E2683" t="s">
        <v>15</v>
      </c>
      <c r="F2683" t="s">
        <v>6544</v>
      </c>
      <c r="G2683" s="318">
        <v>30</v>
      </c>
      <c r="O2683">
        <f t="shared" si="684"/>
        <v>-4</v>
      </c>
      <c r="P2683" s="57">
        <f t="shared" si="685"/>
        <v>2</v>
      </c>
      <c r="Q2683" s="267">
        <f t="shared" si="686"/>
        <v>30</v>
      </c>
      <c r="R2683" s="23">
        <f t="shared" si="687"/>
        <v>1</v>
      </c>
      <c r="S2683" s="23">
        <f t="shared" si="688"/>
        <v>0</v>
      </c>
      <c r="T2683" s="23" t="str">
        <f t="shared" si="689"/>
        <v/>
      </c>
      <c r="U2683" t="str">
        <f t="shared" si="690"/>
        <v/>
      </c>
      <c r="AF2683" s="22" t="str">
        <f t="shared" si="694"/>
        <v/>
      </c>
    </row>
    <row r="2684" spans="1:32">
      <c r="A2684" s="23" t="str">
        <f t="shared" si="691"/>
        <v>MN_Henne_2021g~Hopkins-Mayor (vote for 1)</v>
      </c>
      <c r="B2684" s="317" t="str">
        <f t="shared" si="692"/>
        <v>MN_Henne_2021g</v>
      </c>
      <c r="C2684" s="317" t="str">
        <f t="shared" si="693"/>
        <v/>
      </c>
      <c r="D2684" t="s">
        <v>6568</v>
      </c>
      <c r="E2684" t="s">
        <v>6569</v>
      </c>
      <c r="F2684" t="s">
        <v>6541</v>
      </c>
      <c r="G2684" s="318">
        <v>1560</v>
      </c>
      <c r="O2684">
        <f t="shared" si="684"/>
        <v>1</v>
      </c>
      <c r="P2684" s="57">
        <f t="shared" si="685"/>
        <v>1</v>
      </c>
      <c r="Q2684" s="267">
        <f t="shared" si="686"/>
        <v>2656</v>
      </c>
      <c r="R2684" s="23">
        <f t="shared" si="687"/>
        <v>1560</v>
      </c>
      <c r="S2684" s="23">
        <f t="shared" si="688"/>
        <v>581</v>
      </c>
      <c r="T2684" s="23">
        <f t="shared" si="689"/>
        <v>979</v>
      </c>
      <c r="U2684" t="str">
        <f t="shared" si="690"/>
        <v>MN_Henne_2021g~Hopkins-Mayor (vote for 1)</v>
      </c>
      <c r="AF2684" s="22" t="str">
        <f t="shared" si="694"/>
        <v/>
      </c>
    </row>
    <row r="2685" spans="1:32">
      <c r="A2685" s="23" t="str">
        <f t="shared" si="691"/>
        <v>MN_Henne_2021g~Hopkins-Mayor (vote for 1)</v>
      </c>
      <c r="B2685" s="317" t="str">
        <f t="shared" si="692"/>
        <v>MN_Henne_2021g</v>
      </c>
      <c r="C2685" s="317" t="str">
        <f t="shared" si="693"/>
        <v/>
      </c>
      <c r="D2685" t="s">
        <v>6568</v>
      </c>
      <c r="E2685" t="s">
        <v>6570</v>
      </c>
      <c r="F2685" t="s">
        <v>6541</v>
      </c>
      <c r="G2685" s="318">
        <v>581</v>
      </c>
      <c r="O2685">
        <f t="shared" si="684"/>
        <v>2</v>
      </c>
      <c r="P2685" s="57">
        <f t="shared" si="685"/>
        <v>1</v>
      </c>
      <c r="Q2685" s="267">
        <f t="shared" si="686"/>
        <v>1096</v>
      </c>
      <c r="R2685" s="23" t="str">
        <f t="shared" si="687"/>
        <v/>
      </c>
      <c r="S2685" s="23">
        <f t="shared" si="688"/>
        <v>581</v>
      </c>
      <c r="T2685" s="23" t="str">
        <f t="shared" si="689"/>
        <v/>
      </c>
      <c r="U2685" t="str">
        <f t="shared" si="690"/>
        <v/>
      </c>
      <c r="AF2685" s="22" t="str">
        <f t="shared" si="694"/>
        <v/>
      </c>
    </row>
    <row r="2686" spans="1:32">
      <c r="A2686" s="23" t="str">
        <f t="shared" si="691"/>
        <v>MN_Henne_2021g~Hopkins-Mayor (vote for 1)</v>
      </c>
      <c r="B2686" s="317" t="str">
        <f t="shared" si="692"/>
        <v>MN_Henne_2021g</v>
      </c>
      <c r="C2686" s="317" t="str">
        <f t="shared" si="693"/>
        <v/>
      </c>
      <c r="D2686" t="s">
        <v>6568</v>
      </c>
      <c r="E2686" t="s">
        <v>6571</v>
      </c>
      <c r="F2686" t="s">
        <v>6541</v>
      </c>
      <c r="G2686" s="318">
        <v>505</v>
      </c>
      <c r="O2686">
        <f t="shared" si="684"/>
        <v>3</v>
      </c>
      <c r="P2686" s="57">
        <f t="shared" si="685"/>
        <v>1</v>
      </c>
      <c r="Q2686" s="267">
        <f t="shared" si="686"/>
        <v>515</v>
      </c>
      <c r="R2686" s="23" t="str">
        <f t="shared" si="687"/>
        <v/>
      </c>
      <c r="S2686" s="23">
        <f t="shared" si="688"/>
        <v>505</v>
      </c>
      <c r="T2686" s="23" t="str">
        <f t="shared" si="689"/>
        <v/>
      </c>
      <c r="U2686" t="str">
        <f t="shared" si="690"/>
        <v/>
      </c>
      <c r="AF2686" s="22" t="str">
        <f t="shared" si="694"/>
        <v/>
      </c>
    </row>
    <row r="2687" spans="1:32">
      <c r="A2687" s="23" t="str">
        <f t="shared" si="691"/>
        <v>MN_Henne_2021g~Hopkins-Mayor (vote for 1)</v>
      </c>
      <c r="B2687" s="317" t="str">
        <f t="shared" si="692"/>
        <v>MN_Henne_2021g</v>
      </c>
      <c r="C2687" s="317" t="str">
        <f t="shared" si="693"/>
        <v/>
      </c>
      <c r="D2687" t="s">
        <v>6568</v>
      </c>
      <c r="E2687" t="s">
        <v>15</v>
      </c>
      <c r="F2687" t="s">
        <v>6544</v>
      </c>
      <c r="G2687" s="318">
        <v>10</v>
      </c>
      <c r="O2687">
        <f t="shared" si="684"/>
        <v>-3</v>
      </c>
      <c r="P2687" s="57">
        <f t="shared" si="685"/>
        <v>1</v>
      </c>
      <c r="Q2687" s="267">
        <f t="shared" si="686"/>
        <v>10</v>
      </c>
      <c r="R2687" s="23">
        <f t="shared" si="687"/>
        <v>1</v>
      </c>
      <c r="S2687" s="23">
        <f t="shared" si="688"/>
        <v>0</v>
      </c>
      <c r="T2687" s="23" t="str">
        <f t="shared" si="689"/>
        <v/>
      </c>
      <c r="U2687" t="str">
        <f t="shared" si="690"/>
        <v/>
      </c>
      <c r="AF2687" s="22" t="str">
        <f t="shared" si="694"/>
        <v/>
      </c>
    </row>
    <row r="2688" spans="1:32">
      <c r="A2688" s="23" t="str">
        <f t="shared" si="691"/>
        <v>MN_Henne_2021g~Independence-Council Member (vote for 2)</v>
      </c>
      <c r="B2688" s="317" t="str">
        <f t="shared" si="692"/>
        <v>MN_Henne_2021g</v>
      </c>
      <c r="C2688" s="317" t="str">
        <f t="shared" si="693"/>
        <v/>
      </c>
      <c r="D2688" t="s">
        <v>6572</v>
      </c>
      <c r="E2688" t="s">
        <v>6573</v>
      </c>
      <c r="F2688" t="s">
        <v>6541</v>
      </c>
      <c r="G2688" s="318">
        <v>409</v>
      </c>
      <c r="O2688">
        <f t="shared" si="684"/>
        <v>1</v>
      </c>
      <c r="P2688" s="57">
        <f t="shared" si="685"/>
        <v>2</v>
      </c>
      <c r="Q2688" s="267">
        <f t="shared" si="686"/>
        <v>622.5</v>
      </c>
      <c r="R2688" s="23">
        <f t="shared" si="687"/>
        <v>393</v>
      </c>
      <c r="S2688" s="23">
        <f t="shared" si="688"/>
        <v>329</v>
      </c>
      <c r="T2688" s="23">
        <f t="shared" si="689"/>
        <v>64</v>
      </c>
      <c r="U2688" t="str">
        <f t="shared" si="690"/>
        <v>MN_Henne_2021g~Independence-Council Member (vote for 2)</v>
      </c>
      <c r="AF2688" s="22" t="str">
        <f t="shared" si="694"/>
        <v/>
      </c>
    </row>
    <row r="2689" spans="1:32">
      <c r="A2689" s="23" t="str">
        <f t="shared" si="691"/>
        <v>MN_Henne_2021g~Independence-Council Member (vote for 2)</v>
      </c>
      <c r="B2689" s="317" t="str">
        <f t="shared" si="692"/>
        <v>MN_Henne_2021g</v>
      </c>
      <c r="C2689" s="317" t="str">
        <f t="shared" ref="C2689:C2720" si="695">IF(AND(D2689=D2688,E2689=E2688),99,"")</f>
        <v/>
      </c>
      <c r="D2689" t="s">
        <v>6572</v>
      </c>
      <c r="E2689" t="s">
        <v>6574</v>
      </c>
      <c r="F2689" t="s">
        <v>6541</v>
      </c>
      <c r="G2689" s="318">
        <v>393</v>
      </c>
      <c r="O2689">
        <f t="shared" si="684"/>
        <v>2</v>
      </c>
      <c r="P2689" s="57">
        <f t="shared" si="685"/>
        <v>2</v>
      </c>
      <c r="Q2689" s="267">
        <f t="shared" si="686"/>
        <v>836</v>
      </c>
      <c r="R2689" s="23">
        <f t="shared" si="687"/>
        <v>393</v>
      </c>
      <c r="S2689" s="23">
        <f t="shared" si="688"/>
        <v>329</v>
      </c>
      <c r="T2689" s="23" t="str">
        <f t="shared" si="689"/>
        <v/>
      </c>
      <c r="U2689" t="str">
        <f t="shared" si="690"/>
        <v/>
      </c>
      <c r="AF2689" s="22" t="str">
        <f t="shared" si="694"/>
        <v/>
      </c>
    </row>
    <row r="2690" spans="1:32">
      <c r="A2690" s="23" t="str">
        <f t="shared" si="691"/>
        <v>MN_Henne_2021g~Independence-Council Member (vote for 2)</v>
      </c>
      <c r="B2690" s="317" t="str">
        <f t="shared" si="692"/>
        <v>MN_Henne_2021g</v>
      </c>
      <c r="C2690" s="317" t="str">
        <f t="shared" si="695"/>
        <v/>
      </c>
      <c r="D2690" t="s">
        <v>6572</v>
      </c>
      <c r="E2690" t="s">
        <v>6575</v>
      </c>
      <c r="F2690" t="s">
        <v>6541</v>
      </c>
      <c r="G2690" s="318">
        <v>329</v>
      </c>
      <c r="O2690">
        <f t="shared" ref="O2690:O2753" si="696">IF(OR(LOWER(LEFT(E2690,8))="write-in",LOWER(LEFT(E2690,8))="not qual"),IF(A2690=A2689,-ABS(O2689),0),IF(A2690=A2689,ABS(O2689)+1,1))</f>
        <v>3</v>
      </c>
      <c r="P2690" s="57">
        <f t="shared" ref="P2690:P2753" si="697">1*LEFT(RIGHT(A2690,2),1)</f>
        <v>2</v>
      </c>
      <c r="Q2690" s="267">
        <f t="shared" ref="Q2690:Q2753" si="698">IF(A2690&lt;&gt;A2691,G2690,IF(A2690=A2689,G2690+Q2691,MAX(G2690,(G2690+Q2691)/P2690)))</f>
        <v>443</v>
      </c>
      <c r="R2690" s="23" t="str">
        <f t="shared" ref="R2690:R2753" si="699">IF(O2690&gt;P2690,"",IF(O2690=P2690,G2690,IF(A2690=A2691,R2691,IF(O2690&lt;=0,1,G2690))))</f>
        <v/>
      </c>
      <c r="S2690" s="23">
        <f t="shared" ref="S2690:S2753" si="700">IF(AND(O2690&gt;P2690,LOWER(LEFT(E2690,8))&lt;&gt;"write-in",LOWER(LEFT(E2690,8))&lt;&gt;"not qual"),G2690,IF(A2690=A2691,S2691,0))</f>
        <v>329</v>
      </c>
      <c r="T2690" s="23" t="str">
        <f t="shared" ref="T2690:T2753" si="701">IF(OR(A2690=A2689,S2690=0),"",R2690-ABS(S2690))</f>
        <v/>
      </c>
      <c r="U2690" t="str">
        <f t="shared" ref="U2690:U2753" si="702">IF(A2690=A2689,"",A2690)</f>
        <v/>
      </c>
      <c r="AF2690" s="22" t="str">
        <f t="shared" si="694"/>
        <v/>
      </c>
    </row>
    <row r="2691" spans="1:32">
      <c r="A2691" s="23" t="str">
        <f t="shared" si="691"/>
        <v>MN_Henne_2021g~Independence-Council Member (vote for 2)</v>
      </c>
      <c r="B2691" s="317" t="str">
        <f t="shared" si="692"/>
        <v>MN_Henne_2021g</v>
      </c>
      <c r="C2691" s="317" t="str">
        <f t="shared" si="695"/>
        <v/>
      </c>
      <c r="D2691" t="s">
        <v>6572</v>
      </c>
      <c r="E2691" t="s">
        <v>15</v>
      </c>
      <c r="F2691" t="s">
        <v>6544</v>
      </c>
      <c r="G2691" s="318">
        <v>114</v>
      </c>
      <c r="O2691">
        <f t="shared" si="696"/>
        <v>-3</v>
      </c>
      <c r="P2691" s="57">
        <f t="shared" si="697"/>
        <v>2</v>
      </c>
      <c r="Q2691" s="267">
        <f t="shared" si="698"/>
        <v>114</v>
      </c>
      <c r="R2691" s="23">
        <f t="shared" si="699"/>
        <v>1</v>
      </c>
      <c r="S2691" s="23">
        <f t="shared" si="700"/>
        <v>0</v>
      </c>
      <c r="T2691" s="23" t="str">
        <f t="shared" si="701"/>
        <v/>
      </c>
      <c r="U2691" t="str">
        <f t="shared" si="702"/>
        <v/>
      </c>
      <c r="AF2691" s="22" t="str">
        <f t="shared" si="694"/>
        <v/>
      </c>
    </row>
    <row r="2692" spans="1:32">
      <c r="A2692" s="23" t="str">
        <f t="shared" si="691"/>
        <v>MN_Henne_2021g~ISD #11-School Board Member District 3 (vote for 1)</v>
      </c>
      <c r="B2692" s="317" t="str">
        <f t="shared" si="692"/>
        <v>MN_Henne_2021g</v>
      </c>
      <c r="C2692" s="317" t="str">
        <f t="shared" si="695"/>
        <v/>
      </c>
      <c r="D2692" t="s">
        <v>6576</v>
      </c>
      <c r="E2692" t="s">
        <v>6577</v>
      </c>
      <c r="F2692" t="s">
        <v>6541</v>
      </c>
      <c r="G2692" s="318">
        <v>2224</v>
      </c>
      <c r="O2692">
        <f t="shared" si="696"/>
        <v>1</v>
      </c>
      <c r="P2692" s="57">
        <f t="shared" si="697"/>
        <v>1</v>
      </c>
      <c r="Q2692" s="267">
        <f t="shared" si="698"/>
        <v>4340</v>
      </c>
      <c r="R2692" s="23">
        <f t="shared" si="699"/>
        <v>2224</v>
      </c>
      <c r="S2692" s="23">
        <f t="shared" si="700"/>
        <v>2062</v>
      </c>
      <c r="T2692" s="23">
        <f t="shared" si="701"/>
        <v>162</v>
      </c>
      <c r="U2692" t="str">
        <f t="shared" si="702"/>
        <v>MN_Henne_2021g~ISD #11-School Board Member District 3 (vote for 1)</v>
      </c>
      <c r="AF2692" s="22" t="str">
        <f t="shared" si="694"/>
        <v/>
      </c>
    </row>
    <row r="2693" spans="1:32">
      <c r="A2693" s="23" t="str">
        <f t="shared" si="691"/>
        <v>MN_Henne_2021g~ISD #11-School Board Member District 3 (vote for 1)</v>
      </c>
      <c r="B2693" s="317" t="str">
        <f t="shared" si="692"/>
        <v>MN_Henne_2021g</v>
      </c>
      <c r="C2693" s="317" t="str">
        <f t="shared" si="695"/>
        <v/>
      </c>
      <c r="D2693" t="s">
        <v>6576</v>
      </c>
      <c r="E2693" t="s">
        <v>6578</v>
      </c>
      <c r="F2693" t="s">
        <v>6541</v>
      </c>
      <c r="G2693" s="318">
        <v>2062</v>
      </c>
      <c r="O2693">
        <f t="shared" si="696"/>
        <v>2</v>
      </c>
      <c r="P2693" s="57">
        <f t="shared" si="697"/>
        <v>1</v>
      </c>
      <c r="Q2693" s="267">
        <f t="shared" si="698"/>
        <v>2116</v>
      </c>
      <c r="R2693" s="23" t="str">
        <f t="shared" si="699"/>
        <v/>
      </c>
      <c r="S2693" s="23">
        <f t="shared" si="700"/>
        <v>2062</v>
      </c>
      <c r="T2693" s="23" t="str">
        <f t="shared" si="701"/>
        <v/>
      </c>
      <c r="U2693" t="str">
        <f t="shared" si="702"/>
        <v/>
      </c>
      <c r="AF2693" s="22" t="str">
        <f t="shared" si="694"/>
        <v/>
      </c>
    </row>
    <row r="2694" spans="1:32">
      <c r="A2694" s="23" t="str">
        <f t="shared" si="691"/>
        <v>MN_Henne_2021g~ISD #11-School Board Member District 3 (vote for 1)</v>
      </c>
      <c r="B2694" s="317" t="str">
        <f t="shared" si="692"/>
        <v>MN_Henne_2021g</v>
      </c>
      <c r="C2694" s="317" t="str">
        <f t="shared" si="695"/>
        <v/>
      </c>
      <c r="D2694" t="s">
        <v>6576</v>
      </c>
      <c r="E2694" t="s">
        <v>15</v>
      </c>
      <c r="F2694" t="s">
        <v>6544</v>
      </c>
      <c r="G2694" s="318">
        <v>54</v>
      </c>
      <c r="O2694">
        <f t="shared" si="696"/>
        <v>-2</v>
      </c>
      <c r="P2694" s="57">
        <f t="shared" si="697"/>
        <v>1</v>
      </c>
      <c r="Q2694" s="267">
        <f t="shared" si="698"/>
        <v>54</v>
      </c>
      <c r="R2694" s="23">
        <f t="shared" si="699"/>
        <v>1</v>
      </c>
      <c r="S2694" s="23">
        <f t="shared" si="700"/>
        <v>0</v>
      </c>
      <c r="T2694" s="23" t="str">
        <f t="shared" si="701"/>
        <v/>
      </c>
      <c r="U2694" t="str">
        <f t="shared" si="702"/>
        <v/>
      </c>
      <c r="AF2694" s="22" t="str">
        <f t="shared" si="694"/>
        <v/>
      </c>
    </row>
    <row r="2695" spans="1:32">
      <c r="A2695" s="23" t="str">
        <f t="shared" si="691"/>
        <v>MN_Henne_2021g~ISD #11-School Board Member District 4 (vote for 1)</v>
      </c>
      <c r="B2695" s="317" t="str">
        <f t="shared" si="692"/>
        <v>MN_Henne_2021g</v>
      </c>
      <c r="C2695" s="317" t="str">
        <f t="shared" si="695"/>
        <v/>
      </c>
      <c r="D2695" t="s">
        <v>6579</v>
      </c>
      <c r="E2695" t="s">
        <v>6580</v>
      </c>
      <c r="F2695" t="s">
        <v>6541</v>
      </c>
      <c r="G2695" s="318">
        <v>5371</v>
      </c>
      <c r="O2695">
        <f t="shared" si="696"/>
        <v>1</v>
      </c>
      <c r="P2695" s="57">
        <f t="shared" si="697"/>
        <v>1</v>
      </c>
      <c r="Q2695" s="267">
        <f t="shared" si="698"/>
        <v>8005</v>
      </c>
      <c r="R2695" s="23">
        <f t="shared" si="699"/>
        <v>5371</v>
      </c>
      <c r="S2695" s="23">
        <f t="shared" si="700"/>
        <v>2620</v>
      </c>
      <c r="T2695" s="23">
        <f t="shared" si="701"/>
        <v>2751</v>
      </c>
      <c r="U2695" t="str">
        <f t="shared" si="702"/>
        <v>MN_Henne_2021g~ISD #11-School Board Member District 4 (vote for 1)</v>
      </c>
      <c r="AF2695" s="22" t="str">
        <f t="shared" si="694"/>
        <v/>
      </c>
    </row>
    <row r="2696" spans="1:32">
      <c r="A2696" s="23" t="str">
        <f t="shared" si="691"/>
        <v>MN_Henne_2021g~ISD #11-School Board Member District 4 (vote for 1)</v>
      </c>
      <c r="B2696" s="317" t="str">
        <f t="shared" si="692"/>
        <v>MN_Henne_2021g</v>
      </c>
      <c r="C2696" s="317" t="str">
        <f t="shared" si="695"/>
        <v/>
      </c>
      <c r="D2696" t="s">
        <v>6579</v>
      </c>
      <c r="E2696" t="s">
        <v>6581</v>
      </c>
      <c r="F2696" t="s">
        <v>6541</v>
      </c>
      <c r="G2696" s="318">
        <v>2620</v>
      </c>
      <c r="O2696">
        <f t="shared" si="696"/>
        <v>2</v>
      </c>
      <c r="P2696" s="57">
        <f t="shared" si="697"/>
        <v>1</v>
      </c>
      <c r="Q2696" s="267">
        <f t="shared" si="698"/>
        <v>2634</v>
      </c>
      <c r="R2696" s="23" t="str">
        <f t="shared" si="699"/>
        <v/>
      </c>
      <c r="S2696" s="23">
        <f t="shared" si="700"/>
        <v>2620</v>
      </c>
      <c r="T2696" s="23" t="str">
        <f t="shared" si="701"/>
        <v/>
      </c>
      <c r="U2696" t="str">
        <f t="shared" si="702"/>
        <v/>
      </c>
      <c r="AF2696" s="22" t="str">
        <f t="shared" si="694"/>
        <v/>
      </c>
    </row>
    <row r="2697" spans="1:32">
      <c r="A2697" s="23" t="str">
        <f t="shared" si="691"/>
        <v>MN_Henne_2021g~ISD #11-School Board Member District 4 (vote for 1)</v>
      </c>
      <c r="B2697" s="317" t="str">
        <f t="shared" si="692"/>
        <v>MN_Henne_2021g</v>
      </c>
      <c r="C2697" s="317" t="str">
        <f t="shared" si="695"/>
        <v/>
      </c>
      <c r="D2697" t="s">
        <v>6579</v>
      </c>
      <c r="E2697" t="s">
        <v>15</v>
      </c>
      <c r="F2697" t="s">
        <v>6544</v>
      </c>
      <c r="G2697" s="318">
        <v>14</v>
      </c>
      <c r="O2697">
        <f t="shared" si="696"/>
        <v>-2</v>
      </c>
      <c r="P2697" s="57">
        <f t="shared" si="697"/>
        <v>1</v>
      </c>
      <c r="Q2697" s="267">
        <f t="shared" si="698"/>
        <v>14</v>
      </c>
      <c r="R2697" s="23">
        <f t="shared" si="699"/>
        <v>1</v>
      </c>
      <c r="S2697" s="23">
        <f t="shared" si="700"/>
        <v>0</v>
      </c>
      <c r="T2697" s="23" t="str">
        <f t="shared" si="701"/>
        <v/>
      </c>
      <c r="U2697" t="str">
        <f t="shared" si="702"/>
        <v/>
      </c>
      <c r="AF2697" s="22" t="str">
        <f t="shared" si="694"/>
        <v/>
      </c>
    </row>
    <row r="2698" spans="1:32">
      <c r="A2698" s="23" t="str">
        <f t="shared" si="691"/>
        <v>MN_Henne_2021g~ISD #11-School Board Member District 6 (vote for 1)</v>
      </c>
      <c r="B2698" s="317" t="str">
        <f t="shared" si="692"/>
        <v>MN_Henne_2021g</v>
      </c>
      <c r="C2698" s="317" t="str">
        <f t="shared" si="695"/>
        <v/>
      </c>
      <c r="D2698" t="s">
        <v>6582</v>
      </c>
      <c r="E2698" t="s">
        <v>6583</v>
      </c>
      <c r="F2698" t="s">
        <v>6541</v>
      </c>
      <c r="G2698" s="318">
        <v>2201</v>
      </c>
      <c r="O2698">
        <f t="shared" si="696"/>
        <v>1</v>
      </c>
      <c r="P2698" s="57">
        <f t="shared" si="697"/>
        <v>1</v>
      </c>
      <c r="Q2698" s="267">
        <f t="shared" si="698"/>
        <v>3759</v>
      </c>
      <c r="R2698" s="23">
        <f t="shared" si="699"/>
        <v>2201</v>
      </c>
      <c r="S2698" s="23">
        <f t="shared" si="700"/>
        <v>1416</v>
      </c>
      <c r="T2698" s="23">
        <f t="shared" si="701"/>
        <v>785</v>
      </c>
      <c r="U2698" t="str">
        <f t="shared" si="702"/>
        <v>MN_Henne_2021g~ISD #11-School Board Member District 6 (vote for 1)</v>
      </c>
      <c r="AF2698" s="22" t="str">
        <f t="shared" si="694"/>
        <v/>
      </c>
    </row>
    <row r="2699" spans="1:32">
      <c r="A2699" s="23" t="str">
        <f t="shared" si="691"/>
        <v>MN_Henne_2021g~ISD #11-School Board Member District 6 (vote for 1)</v>
      </c>
      <c r="B2699" s="317" t="str">
        <f t="shared" si="692"/>
        <v>MN_Henne_2021g</v>
      </c>
      <c r="C2699" s="317" t="str">
        <f t="shared" si="695"/>
        <v/>
      </c>
      <c r="D2699" t="s">
        <v>6582</v>
      </c>
      <c r="E2699" t="s">
        <v>6584</v>
      </c>
      <c r="F2699" t="s">
        <v>6541</v>
      </c>
      <c r="G2699" s="318">
        <v>1416</v>
      </c>
      <c r="O2699">
        <f t="shared" si="696"/>
        <v>2</v>
      </c>
      <c r="P2699" s="57">
        <f t="shared" si="697"/>
        <v>1</v>
      </c>
      <c r="Q2699" s="267">
        <f t="shared" si="698"/>
        <v>1558</v>
      </c>
      <c r="R2699" s="23" t="str">
        <f t="shared" si="699"/>
        <v/>
      </c>
      <c r="S2699" s="23">
        <f t="shared" si="700"/>
        <v>1416</v>
      </c>
      <c r="T2699" s="23" t="str">
        <f t="shared" si="701"/>
        <v/>
      </c>
      <c r="U2699" t="str">
        <f t="shared" si="702"/>
        <v/>
      </c>
      <c r="AF2699" s="22" t="str">
        <f t="shared" si="694"/>
        <v/>
      </c>
    </row>
    <row r="2700" spans="1:32">
      <c r="A2700" s="23" t="str">
        <f t="shared" si="691"/>
        <v>MN_Henne_2021g~ISD #11-School Board Member District 6 (vote for 1)</v>
      </c>
      <c r="B2700" s="317" t="str">
        <f t="shared" si="692"/>
        <v>MN_Henne_2021g</v>
      </c>
      <c r="C2700" s="317" t="str">
        <f t="shared" si="695"/>
        <v/>
      </c>
      <c r="D2700" t="s">
        <v>6582</v>
      </c>
      <c r="E2700" t="s">
        <v>15</v>
      </c>
      <c r="F2700" t="s">
        <v>6544</v>
      </c>
      <c r="G2700" s="318">
        <v>142</v>
      </c>
      <c r="O2700">
        <f t="shared" si="696"/>
        <v>-2</v>
      </c>
      <c r="P2700" s="57">
        <f t="shared" si="697"/>
        <v>1</v>
      </c>
      <c r="Q2700" s="267">
        <f t="shared" si="698"/>
        <v>142</v>
      </c>
      <c r="R2700" s="23">
        <f t="shared" si="699"/>
        <v>1</v>
      </c>
      <c r="S2700" s="23">
        <f t="shared" si="700"/>
        <v>0</v>
      </c>
      <c r="T2700" s="23" t="str">
        <f t="shared" si="701"/>
        <v/>
      </c>
      <c r="U2700" t="str">
        <f t="shared" si="702"/>
        <v/>
      </c>
      <c r="AF2700" s="22" t="str">
        <f t="shared" si="694"/>
        <v/>
      </c>
    </row>
    <row r="2701" spans="1:32">
      <c r="A2701" s="23" t="str">
        <f t="shared" si="691"/>
        <v>MN_Henne_2021g~ISD #11-SCHOOL DISTRICT QUESTION 1 (vote for 1)</v>
      </c>
      <c r="B2701" s="317" t="str">
        <f t="shared" si="692"/>
        <v>MN_Henne_2021g</v>
      </c>
      <c r="C2701" s="317" t="str">
        <f t="shared" si="695"/>
        <v/>
      </c>
      <c r="D2701" t="s">
        <v>6585</v>
      </c>
      <c r="E2701" t="s">
        <v>1981</v>
      </c>
      <c r="F2701" t="s">
        <v>6541</v>
      </c>
      <c r="G2701" s="318">
        <v>16335</v>
      </c>
      <c r="O2701">
        <f t="shared" si="696"/>
        <v>1</v>
      </c>
      <c r="P2701" s="57">
        <f t="shared" si="697"/>
        <v>1</v>
      </c>
      <c r="Q2701" s="267">
        <f t="shared" si="698"/>
        <v>26884</v>
      </c>
      <c r="R2701" s="23">
        <f t="shared" si="699"/>
        <v>16335</v>
      </c>
      <c r="S2701" s="23">
        <f t="shared" si="700"/>
        <v>10549</v>
      </c>
      <c r="T2701" s="23">
        <f t="shared" si="701"/>
        <v>5786</v>
      </c>
      <c r="U2701" t="str">
        <f t="shared" si="702"/>
        <v>MN_Henne_2021g~ISD #11-SCHOOL DISTRICT QUESTION 1 (vote for 1)</v>
      </c>
      <c r="AF2701" s="22" t="str">
        <f t="shared" si="694"/>
        <v/>
      </c>
    </row>
    <row r="2702" spans="1:32">
      <c r="A2702" s="23" t="str">
        <f t="shared" si="691"/>
        <v>MN_Henne_2021g~ISD #11-SCHOOL DISTRICT QUESTION 1 (vote for 1)</v>
      </c>
      <c r="B2702" s="317" t="str">
        <f t="shared" si="692"/>
        <v>MN_Henne_2021g</v>
      </c>
      <c r="C2702" s="317" t="str">
        <f t="shared" si="695"/>
        <v/>
      </c>
      <c r="D2702" t="s">
        <v>6585</v>
      </c>
      <c r="E2702" t="s">
        <v>1982</v>
      </c>
      <c r="F2702" t="s">
        <v>6541</v>
      </c>
      <c r="G2702" s="318">
        <v>10549</v>
      </c>
      <c r="O2702">
        <f t="shared" si="696"/>
        <v>2</v>
      </c>
      <c r="P2702" s="57">
        <f t="shared" si="697"/>
        <v>1</v>
      </c>
      <c r="Q2702" s="267">
        <f t="shared" si="698"/>
        <v>10549</v>
      </c>
      <c r="R2702" s="23" t="str">
        <f t="shared" si="699"/>
        <v/>
      </c>
      <c r="S2702" s="23">
        <f t="shared" si="700"/>
        <v>10549</v>
      </c>
      <c r="T2702" s="23" t="str">
        <f t="shared" si="701"/>
        <v/>
      </c>
      <c r="U2702" t="str">
        <f t="shared" si="702"/>
        <v/>
      </c>
      <c r="AF2702" s="22" t="str">
        <f t="shared" si="694"/>
        <v/>
      </c>
    </row>
    <row r="2703" spans="1:32">
      <c r="A2703" s="23" t="str">
        <f t="shared" si="691"/>
        <v>MN_Henne_2021g~ISD #11-SCHOOL DISTRICT QUESTION 2 (vote for 1)</v>
      </c>
      <c r="B2703" s="317" t="str">
        <f t="shared" si="692"/>
        <v>MN_Henne_2021g</v>
      </c>
      <c r="C2703" s="317" t="str">
        <f t="shared" si="695"/>
        <v/>
      </c>
      <c r="D2703" t="s">
        <v>6586</v>
      </c>
      <c r="E2703" t="s">
        <v>1981</v>
      </c>
      <c r="F2703" t="s">
        <v>6541</v>
      </c>
      <c r="G2703" s="318">
        <v>16127</v>
      </c>
      <c r="O2703">
        <f t="shared" si="696"/>
        <v>1</v>
      </c>
      <c r="P2703" s="57">
        <f t="shared" si="697"/>
        <v>1</v>
      </c>
      <c r="Q2703" s="267">
        <f t="shared" si="698"/>
        <v>26895</v>
      </c>
      <c r="R2703" s="23">
        <f t="shared" si="699"/>
        <v>16127</v>
      </c>
      <c r="S2703" s="23">
        <f t="shared" si="700"/>
        <v>10768</v>
      </c>
      <c r="T2703" s="23">
        <f t="shared" si="701"/>
        <v>5359</v>
      </c>
      <c r="U2703" t="str">
        <f t="shared" si="702"/>
        <v>MN_Henne_2021g~ISD #11-SCHOOL DISTRICT QUESTION 2 (vote for 1)</v>
      </c>
      <c r="AF2703" s="22" t="str">
        <f t="shared" si="694"/>
        <v/>
      </c>
    </row>
    <row r="2704" spans="1:32">
      <c r="A2704" s="23" t="str">
        <f t="shared" si="691"/>
        <v>MN_Henne_2021g~ISD #11-SCHOOL DISTRICT QUESTION 2 (vote for 1)</v>
      </c>
      <c r="B2704" s="317" t="str">
        <f t="shared" si="692"/>
        <v>MN_Henne_2021g</v>
      </c>
      <c r="C2704" s="317" t="str">
        <f t="shared" si="695"/>
        <v/>
      </c>
      <c r="D2704" t="s">
        <v>6586</v>
      </c>
      <c r="E2704" t="s">
        <v>1982</v>
      </c>
      <c r="F2704" t="s">
        <v>6541</v>
      </c>
      <c r="G2704" s="318">
        <v>10768</v>
      </c>
      <c r="O2704">
        <f t="shared" si="696"/>
        <v>2</v>
      </c>
      <c r="P2704" s="57">
        <f t="shared" si="697"/>
        <v>1</v>
      </c>
      <c r="Q2704" s="267">
        <f t="shared" si="698"/>
        <v>10768</v>
      </c>
      <c r="R2704" s="23" t="str">
        <f t="shared" si="699"/>
        <v/>
      </c>
      <c r="S2704" s="23">
        <f t="shared" si="700"/>
        <v>10768</v>
      </c>
      <c r="T2704" s="23" t="str">
        <f t="shared" si="701"/>
        <v/>
      </c>
      <c r="U2704" t="str">
        <f t="shared" si="702"/>
        <v/>
      </c>
      <c r="AF2704" s="22" t="str">
        <f t="shared" si="694"/>
        <v/>
      </c>
    </row>
    <row r="2705" spans="1:45">
      <c r="A2705" s="23" t="str">
        <f t="shared" si="691"/>
        <v>MN_Henne_2021g~ISD #11-SCHOOL DISTRICT QUESTION 3 (vote for 1)</v>
      </c>
      <c r="B2705" s="317" t="str">
        <f t="shared" si="692"/>
        <v>MN_Henne_2021g</v>
      </c>
      <c r="C2705" s="317" t="str">
        <f t="shared" si="695"/>
        <v/>
      </c>
      <c r="D2705" t="s">
        <v>6587</v>
      </c>
      <c r="E2705" t="s">
        <v>1982</v>
      </c>
      <c r="F2705" t="s">
        <v>6541</v>
      </c>
      <c r="G2705" s="318">
        <v>14654</v>
      </c>
      <c r="O2705">
        <f t="shared" si="696"/>
        <v>1</v>
      </c>
      <c r="P2705" s="57">
        <f t="shared" si="697"/>
        <v>1</v>
      </c>
      <c r="Q2705" s="267">
        <f t="shared" si="698"/>
        <v>26873</v>
      </c>
      <c r="R2705" s="23">
        <f t="shared" si="699"/>
        <v>14654</v>
      </c>
      <c r="S2705" s="23">
        <f t="shared" si="700"/>
        <v>12219</v>
      </c>
      <c r="T2705" s="23">
        <f t="shared" si="701"/>
        <v>2435</v>
      </c>
      <c r="U2705" t="str">
        <f t="shared" si="702"/>
        <v>MN_Henne_2021g~ISD #11-SCHOOL DISTRICT QUESTION 3 (vote for 1)</v>
      </c>
      <c r="AF2705" s="22" t="str">
        <f t="shared" si="694"/>
        <v/>
      </c>
    </row>
    <row r="2706" spans="1:45">
      <c r="A2706" s="23" t="str">
        <f t="shared" si="691"/>
        <v>MN_Henne_2021g~ISD #11-SCHOOL DISTRICT QUESTION 3 (vote for 1)</v>
      </c>
      <c r="B2706" s="317" t="str">
        <f t="shared" si="692"/>
        <v>MN_Henne_2021g</v>
      </c>
      <c r="C2706" s="317" t="str">
        <f t="shared" si="695"/>
        <v/>
      </c>
      <c r="D2706" t="s">
        <v>6587</v>
      </c>
      <c r="E2706" t="s">
        <v>1981</v>
      </c>
      <c r="F2706" t="s">
        <v>6541</v>
      </c>
      <c r="G2706" s="318">
        <v>12219</v>
      </c>
      <c r="O2706">
        <f t="shared" si="696"/>
        <v>2</v>
      </c>
      <c r="P2706" s="57">
        <f t="shared" si="697"/>
        <v>1</v>
      </c>
      <c r="Q2706" s="267">
        <f t="shared" si="698"/>
        <v>12219</v>
      </c>
      <c r="R2706" s="23" t="str">
        <f t="shared" si="699"/>
        <v/>
      </c>
      <c r="S2706" s="23">
        <f t="shared" si="700"/>
        <v>12219</v>
      </c>
      <c r="T2706" s="23" t="str">
        <f t="shared" si="701"/>
        <v/>
      </c>
      <c r="U2706" t="str">
        <f t="shared" si="702"/>
        <v/>
      </c>
      <c r="AF2706" s="22" t="str">
        <f t="shared" si="694"/>
        <v/>
      </c>
    </row>
    <row r="2707" spans="1:45">
      <c r="A2707" s="23" t="str">
        <f t="shared" si="691"/>
        <v>MN_Henne_2021g~ISD #270-School Board Member (vote for 3)</v>
      </c>
      <c r="B2707" s="317" t="str">
        <f t="shared" si="692"/>
        <v>MN_Henne_2021g</v>
      </c>
      <c r="C2707" s="317" t="str">
        <f t="shared" si="695"/>
        <v/>
      </c>
      <c r="D2707" t="s">
        <v>6588</v>
      </c>
      <c r="E2707" t="s">
        <v>6589</v>
      </c>
      <c r="F2707" t="s">
        <v>6541</v>
      </c>
      <c r="G2707" s="318">
        <v>6026</v>
      </c>
      <c r="O2707">
        <f t="shared" si="696"/>
        <v>1</v>
      </c>
      <c r="P2707" s="57">
        <f t="shared" si="697"/>
        <v>3</v>
      </c>
      <c r="Q2707" s="267">
        <f t="shared" si="698"/>
        <v>7172.333333333333</v>
      </c>
      <c r="R2707" s="23">
        <f t="shared" si="699"/>
        <v>5371</v>
      </c>
      <c r="S2707" s="23">
        <f t="shared" si="700"/>
        <v>2804</v>
      </c>
      <c r="T2707" s="23">
        <f t="shared" si="701"/>
        <v>2567</v>
      </c>
      <c r="U2707" t="str">
        <f t="shared" si="702"/>
        <v>MN_Henne_2021g~ISD #270-School Board Member (vote for 3)</v>
      </c>
      <c r="AF2707" s="22" t="str">
        <f t="shared" si="694"/>
        <v/>
      </c>
    </row>
    <row r="2708" spans="1:45">
      <c r="A2708" s="23" t="str">
        <f t="shared" si="691"/>
        <v>MN_Henne_2021g~ISD #270-School Board Member (vote for 3)</v>
      </c>
      <c r="B2708" s="317" t="str">
        <f t="shared" si="692"/>
        <v>MN_Henne_2021g</v>
      </c>
      <c r="C2708" s="317" t="str">
        <f t="shared" si="695"/>
        <v/>
      </c>
      <c r="D2708" t="s">
        <v>6588</v>
      </c>
      <c r="E2708" t="s">
        <v>6590</v>
      </c>
      <c r="F2708" t="s">
        <v>6541</v>
      </c>
      <c r="G2708" s="318">
        <v>5371</v>
      </c>
      <c r="O2708">
        <f t="shared" si="696"/>
        <v>2</v>
      </c>
      <c r="P2708" s="57">
        <f t="shared" si="697"/>
        <v>3</v>
      </c>
      <c r="Q2708" s="267">
        <f t="shared" si="698"/>
        <v>15491</v>
      </c>
      <c r="R2708" s="23">
        <f t="shared" si="699"/>
        <v>5371</v>
      </c>
      <c r="S2708" s="23">
        <f t="shared" si="700"/>
        <v>2804</v>
      </c>
      <c r="T2708" s="23" t="str">
        <f t="shared" si="701"/>
        <v/>
      </c>
      <c r="U2708" t="str">
        <f t="shared" si="702"/>
        <v/>
      </c>
      <c r="AF2708" s="22" t="str">
        <f t="shared" si="694"/>
        <v/>
      </c>
    </row>
    <row r="2709" spans="1:45">
      <c r="A2709" s="23" t="str">
        <f t="shared" si="691"/>
        <v>MN_Henne_2021g~ISD #270-School Board Member (vote for 3)</v>
      </c>
      <c r="B2709" s="317" t="str">
        <f t="shared" si="692"/>
        <v>MN_Henne_2021g</v>
      </c>
      <c r="C2709" s="317" t="str">
        <f t="shared" si="695"/>
        <v/>
      </c>
      <c r="D2709" t="s">
        <v>6588</v>
      </c>
      <c r="E2709" t="s">
        <v>6591</v>
      </c>
      <c r="F2709" t="s">
        <v>6541</v>
      </c>
      <c r="G2709" s="318">
        <v>5371</v>
      </c>
      <c r="O2709">
        <f t="shared" si="696"/>
        <v>3</v>
      </c>
      <c r="P2709" s="57">
        <f t="shared" si="697"/>
        <v>3</v>
      </c>
      <c r="Q2709" s="267">
        <f t="shared" si="698"/>
        <v>10120</v>
      </c>
      <c r="R2709" s="23">
        <f t="shared" si="699"/>
        <v>5371</v>
      </c>
      <c r="S2709" s="23">
        <f t="shared" si="700"/>
        <v>2804</v>
      </c>
      <c r="T2709" s="23" t="str">
        <f t="shared" si="701"/>
        <v/>
      </c>
      <c r="U2709" t="str">
        <f t="shared" si="702"/>
        <v/>
      </c>
      <c r="AF2709" s="22" t="str">
        <f t="shared" si="694"/>
        <v/>
      </c>
      <c r="AO2709" s="356"/>
      <c r="AP2709" s="356"/>
      <c r="AQ2709" s="394"/>
      <c r="AR2709" s="394"/>
      <c r="AS2709" s="394"/>
    </row>
    <row r="2710" spans="1:45">
      <c r="A2710" s="23" t="str">
        <f t="shared" si="691"/>
        <v>MN_Henne_2021g~ISD #270-School Board Member (vote for 3)</v>
      </c>
      <c r="B2710" s="317" t="str">
        <f t="shared" si="692"/>
        <v>MN_Henne_2021g</v>
      </c>
      <c r="C2710" s="317" t="str">
        <f t="shared" si="695"/>
        <v/>
      </c>
      <c r="D2710" t="s">
        <v>6588</v>
      </c>
      <c r="E2710" t="s">
        <v>6592</v>
      </c>
      <c r="F2710" t="s">
        <v>6541</v>
      </c>
      <c r="G2710" s="318">
        <v>2804</v>
      </c>
      <c r="O2710">
        <f t="shared" si="696"/>
        <v>4</v>
      </c>
      <c r="P2710" s="57">
        <f t="shared" si="697"/>
        <v>3</v>
      </c>
      <c r="Q2710" s="267">
        <f t="shared" si="698"/>
        <v>4749</v>
      </c>
      <c r="R2710" s="23" t="str">
        <f t="shared" si="699"/>
        <v/>
      </c>
      <c r="S2710" s="23">
        <f t="shared" si="700"/>
        <v>2804</v>
      </c>
      <c r="T2710" s="23" t="str">
        <f t="shared" si="701"/>
        <v/>
      </c>
      <c r="U2710" t="str">
        <f t="shared" si="702"/>
        <v/>
      </c>
      <c r="AF2710" s="22" t="str">
        <f t="shared" si="694"/>
        <v/>
      </c>
    </row>
    <row r="2711" spans="1:45">
      <c r="A2711" s="23" t="str">
        <f t="shared" si="691"/>
        <v>MN_Henne_2021g~ISD #270-School Board Member (vote for 3)</v>
      </c>
      <c r="B2711" s="317" t="str">
        <f t="shared" si="692"/>
        <v>MN_Henne_2021g</v>
      </c>
      <c r="C2711" s="317" t="str">
        <f t="shared" si="695"/>
        <v/>
      </c>
      <c r="D2711" t="s">
        <v>6588</v>
      </c>
      <c r="E2711" t="s">
        <v>6593</v>
      </c>
      <c r="F2711" t="s">
        <v>6541</v>
      </c>
      <c r="G2711" s="318">
        <v>1673</v>
      </c>
      <c r="O2711">
        <f t="shared" si="696"/>
        <v>5</v>
      </c>
      <c r="P2711" s="57">
        <f t="shared" si="697"/>
        <v>3</v>
      </c>
      <c r="Q2711" s="267">
        <f t="shared" si="698"/>
        <v>1945</v>
      </c>
      <c r="R2711" s="23" t="str">
        <f t="shared" si="699"/>
        <v/>
      </c>
      <c r="S2711" s="23">
        <f t="shared" si="700"/>
        <v>1673</v>
      </c>
      <c r="T2711" s="23" t="str">
        <f t="shared" si="701"/>
        <v/>
      </c>
      <c r="U2711" t="str">
        <f t="shared" si="702"/>
        <v/>
      </c>
      <c r="AF2711" s="22" t="str">
        <f t="shared" si="694"/>
        <v/>
      </c>
    </row>
    <row r="2712" spans="1:45">
      <c r="A2712" s="23" t="str">
        <f t="shared" si="691"/>
        <v>MN_Henne_2021g~ISD #270-School Board Member (vote for 3)</v>
      </c>
      <c r="B2712" s="317" t="str">
        <f t="shared" si="692"/>
        <v>MN_Henne_2021g</v>
      </c>
      <c r="C2712" s="317" t="str">
        <f t="shared" si="695"/>
        <v/>
      </c>
      <c r="D2712" t="s">
        <v>6588</v>
      </c>
      <c r="E2712" t="s">
        <v>15</v>
      </c>
      <c r="F2712" t="s">
        <v>6544</v>
      </c>
      <c r="G2712" s="318">
        <v>272</v>
      </c>
      <c r="O2712">
        <f t="shared" si="696"/>
        <v>-5</v>
      </c>
      <c r="P2712" s="57">
        <f t="shared" si="697"/>
        <v>3</v>
      </c>
      <c r="Q2712" s="267">
        <f t="shared" si="698"/>
        <v>272</v>
      </c>
      <c r="R2712" s="23">
        <f t="shared" si="699"/>
        <v>1</v>
      </c>
      <c r="S2712" s="23">
        <f t="shared" si="700"/>
        <v>0</v>
      </c>
      <c r="T2712" s="23" t="str">
        <f t="shared" si="701"/>
        <v/>
      </c>
      <c r="U2712" t="str">
        <f t="shared" si="702"/>
        <v/>
      </c>
      <c r="AF2712" s="22" t="str">
        <f t="shared" si="694"/>
        <v/>
      </c>
    </row>
    <row r="2713" spans="1:45">
      <c r="A2713" s="23" t="str">
        <f t="shared" si="691"/>
        <v>MN_Henne_2021g~ISD #271-School Board Member (vote for 4)</v>
      </c>
      <c r="B2713" s="317" t="str">
        <f t="shared" si="692"/>
        <v>MN_Henne_2021g</v>
      </c>
      <c r="C2713" s="317" t="str">
        <f t="shared" si="695"/>
        <v/>
      </c>
      <c r="D2713" t="s">
        <v>6594</v>
      </c>
      <c r="E2713" t="s">
        <v>6595</v>
      </c>
      <c r="F2713" t="s">
        <v>6541</v>
      </c>
      <c r="G2713" s="318">
        <v>7876</v>
      </c>
      <c r="O2713">
        <f t="shared" si="696"/>
        <v>1</v>
      </c>
      <c r="P2713" s="57">
        <f t="shared" si="697"/>
        <v>4</v>
      </c>
      <c r="Q2713" s="267">
        <f t="shared" si="698"/>
        <v>13329.75</v>
      </c>
      <c r="R2713" s="23">
        <f t="shared" si="699"/>
        <v>6702</v>
      </c>
      <c r="S2713" s="23">
        <f t="shared" si="700"/>
        <v>5887</v>
      </c>
      <c r="T2713" s="23">
        <f t="shared" si="701"/>
        <v>815</v>
      </c>
      <c r="U2713" t="str">
        <f t="shared" si="702"/>
        <v>MN_Henne_2021g~ISD #271-School Board Member (vote for 4)</v>
      </c>
      <c r="AF2713" s="22" t="str">
        <f t="shared" si="694"/>
        <v/>
      </c>
    </row>
    <row r="2714" spans="1:45">
      <c r="A2714" s="23" t="str">
        <f t="shared" si="691"/>
        <v>MN_Henne_2021g~ISD #271-School Board Member (vote for 4)</v>
      </c>
      <c r="B2714" s="317" t="str">
        <f t="shared" si="692"/>
        <v>MN_Henne_2021g</v>
      </c>
      <c r="C2714" s="317" t="str">
        <f t="shared" si="695"/>
        <v/>
      </c>
      <c r="D2714" t="s">
        <v>6594</v>
      </c>
      <c r="E2714" t="s">
        <v>6596</v>
      </c>
      <c r="F2714" t="s">
        <v>6541</v>
      </c>
      <c r="G2714" s="318">
        <v>6936</v>
      </c>
      <c r="O2714">
        <f t="shared" si="696"/>
        <v>2</v>
      </c>
      <c r="P2714" s="57">
        <f t="shared" si="697"/>
        <v>4</v>
      </c>
      <c r="Q2714" s="267">
        <f t="shared" si="698"/>
        <v>45443</v>
      </c>
      <c r="R2714" s="23">
        <f t="shared" si="699"/>
        <v>6702</v>
      </c>
      <c r="S2714" s="23">
        <f t="shared" si="700"/>
        <v>5887</v>
      </c>
      <c r="T2714" s="23" t="str">
        <f t="shared" si="701"/>
        <v/>
      </c>
      <c r="U2714" t="str">
        <f t="shared" si="702"/>
        <v/>
      </c>
      <c r="AF2714" s="22" t="str">
        <f t="shared" si="694"/>
        <v/>
      </c>
    </row>
    <row r="2715" spans="1:45">
      <c r="A2715" s="23" t="str">
        <f t="shared" si="691"/>
        <v>MN_Henne_2021g~ISD #271-School Board Member (vote for 4)</v>
      </c>
      <c r="B2715" s="317" t="str">
        <f t="shared" si="692"/>
        <v>MN_Henne_2021g</v>
      </c>
      <c r="C2715" s="317" t="str">
        <f t="shared" si="695"/>
        <v/>
      </c>
      <c r="D2715" t="s">
        <v>6594</v>
      </c>
      <c r="E2715" t="s">
        <v>6597</v>
      </c>
      <c r="F2715" t="s">
        <v>6541</v>
      </c>
      <c r="G2715" s="318">
        <v>6730</v>
      </c>
      <c r="O2715">
        <f t="shared" si="696"/>
        <v>3</v>
      </c>
      <c r="P2715" s="57">
        <f t="shared" si="697"/>
        <v>4</v>
      </c>
      <c r="Q2715" s="267">
        <f t="shared" si="698"/>
        <v>38507</v>
      </c>
      <c r="R2715" s="23">
        <f t="shared" si="699"/>
        <v>6702</v>
      </c>
      <c r="S2715" s="23">
        <f t="shared" si="700"/>
        <v>5887</v>
      </c>
      <c r="T2715" s="23" t="str">
        <f t="shared" si="701"/>
        <v/>
      </c>
      <c r="U2715" t="str">
        <f t="shared" si="702"/>
        <v/>
      </c>
      <c r="AF2715" s="22" t="str">
        <f t="shared" si="694"/>
        <v/>
      </c>
    </row>
    <row r="2716" spans="1:45">
      <c r="A2716" s="23" t="str">
        <f t="shared" si="691"/>
        <v>MN_Henne_2021g~ISD #271-School Board Member (vote for 4)</v>
      </c>
      <c r="B2716" s="317" t="str">
        <f t="shared" si="692"/>
        <v>MN_Henne_2021g</v>
      </c>
      <c r="C2716" s="317" t="str">
        <f t="shared" si="695"/>
        <v/>
      </c>
      <c r="D2716" t="s">
        <v>6594</v>
      </c>
      <c r="E2716" t="s">
        <v>6598</v>
      </c>
      <c r="F2716" t="s">
        <v>6541</v>
      </c>
      <c r="G2716" s="318">
        <v>6702</v>
      </c>
      <c r="O2716">
        <f t="shared" si="696"/>
        <v>4</v>
      </c>
      <c r="P2716" s="57">
        <f t="shared" si="697"/>
        <v>4</v>
      </c>
      <c r="Q2716" s="267">
        <f t="shared" si="698"/>
        <v>31777</v>
      </c>
      <c r="R2716" s="23">
        <f t="shared" si="699"/>
        <v>6702</v>
      </c>
      <c r="S2716" s="23">
        <f t="shared" si="700"/>
        <v>5887</v>
      </c>
      <c r="T2716" s="23" t="str">
        <f t="shared" si="701"/>
        <v/>
      </c>
      <c r="U2716" t="str">
        <f t="shared" si="702"/>
        <v/>
      </c>
      <c r="AF2716" s="22" t="str">
        <f t="shared" si="694"/>
        <v/>
      </c>
    </row>
    <row r="2717" spans="1:45">
      <c r="A2717" s="23" t="str">
        <f t="shared" si="691"/>
        <v>MN_Henne_2021g~ISD #271-School Board Member (vote for 4)</v>
      </c>
      <c r="B2717" s="317" t="str">
        <f t="shared" si="692"/>
        <v>MN_Henne_2021g</v>
      </c>
      <c r="C2717" s="317" t="str">
        <f t="shared" si="695"/>
        <v/>
      </c>
      <c r="D2717" t="s">
        <v>6594</v>
      </c>
      <c r="E2717" t="s">
        <v>6599</v>
      </c>
      <c r="F2717" t="s">
        <v>6541</v>
      </c>
      <c r="G2717" s="318">
        <v>5887</v>
      </c>
      <c r="O2717">
        <f t="shared" si="696"/>
        <v>5</v>
      </c>
      <c r="P2717" s="57">
        <f t="shared" si="697"/>
        <v>4</v>
      </c>
      <c r="Q2717" s="267">
        <f t="shared" si="698"/>
        <v>25075</v>
      </c>
      <c r="R2717" s="23" t="str">
        <f t="shared" si="699"/>
        <v/>
      </c>
      <c r="S2717" s="23">
        <f t="shared" si="700"/>
        <v>5887</v>
      </c>
      <c r="T2717" s="23" t="str">
        <f t="shared" si="701"/>
        <v/>
      </c>
      <c r="U2717" t="str">
        <f t="shared" si="702"/>
        <v/>
      </c>
      <c r="AF2717" s="22" t="str">
        <f t="shared" si="694"/>
        <v/>
      </c>
    </row>
    <row r="2718" spans="1:45">
      <c r="A2718" s="23" t="str">
        <f t="shared" si="691"/>
        <v>MN_Henne_2021g~ISD #271-School Board Member (vote for 4)</v>
      </c>
      <c r="B2718" s="317" t="str">
        <f t="shared" si="692"/>
        <v>MN_Henne_2021g</v>
      </c>
      <c r="C2718" s="317" t="str">
        <f t="shared" si="695"/>
        <v/>
      </c>
      <c r="D2718" t="s">
        <v>6594</v>
      </c>
      <c r="E2718" t="s">
        <v>6600</v>
      </c>
      <c r="F2718" t="s">
        <v>6541</v>
      </c>
      <c r="G2718" s="318">
        <v>5700</v>
      </c>
      <c r="O2718">
        <f t="shared" si="696"/>
        <v>6</v>
      </c>
      <c r="P2718" s="57">
        <f t="shared" si="697"/>
        <v>4</v>
      </c>
      <c r="Q2718" s="267">
        <f t="shared" si="698"/>
        <v>19188</v>
      </c>
      <c r="R2718" s="23" t="str">
        <f t="shared" si="699"/>
        <v/>
      </c>
      <c r="S2718" s="23">
        <f t="shared" si="700"/>
        <v>5700</v>
      </c>
      <c r="T2718" s="23" t="str">
        <f t="shared" si="701"/>
        <v/>
      </c>
      <c r="U2718" t="str">
        <f t="shared" si="702"/>
        <v/>
      </c>
      <c r="AF2718" s="22" t="str">
        <f t="shared" si="694"/>
        <v/>
      </c>
    </row>
    <row r="2719" spans="1:45">
      <c r="A2719" s="23" t="str">
        <f t="shared" si="691"/>
        <v>MN_Henne_2021g~ISD #271-School Board Member (vote for 4)</v>
      </c>
      <c r="B2719" s="317" t="str">
        <f t="shared" si="692"/>
        <v>MN_Henne_2021g</v>
      </c>
      <c r="C2719" s="317" t="str">
        <f t="shared" si="695"/>
        <v/>
      </c>
      <c r="D2719" t="s">
        <v>6594</v>
      </c>
      <c r="E2719" t="s">
        <v>6601</v>
      </c>
      <c r="F2719" t="s">
        <v>6541</v>
      </c>
      <c r="G2719" s="318">
        <v>5401</v>
      </c>
      <c r="O2719">
        <f t="shared" si="696"/>
        <v>7</v>
      </c>
      <c r="P2719" s="57">
        <f t="shared" si="697"/>
        <v>4</v>
      </c>
      <c r="Q2719" s="267">
        <f t="shared" si="698"/>
        <v>13488</v>
      </c>
      <c r="R2719" s="23" t="str">
        <f t="shared" si="699"/>
        <v/>
      </c>
      <c r="S2719" s="23">
        <f t="shared" si="700"/>
        <v>5401</v>
      </c>
      <c r="T2719" s="23" t="str">
        <f t="shared" si="701"/>
        <v/>
      </c>
      <c r="U2719" t="str">
        <f t="shared" si="702"/>
        <v/>
      </c>
      <c r="AF2719" s="22" t="str">
        <f t="shared" si="694"/>
        <v/>
      </c>
      <c r="AG2719" s="89"/>
      <c r="AH2719" s="274"/>
      <c r="AI2719" s="279"/>
      <c r="AJ2719" s="280"/>
      <c r="AK2719" s="92"/>
      <c r="AL2719" s="23"/>
    </row>
    <row r="2720" spans="1:45">
      <c r="A2720" s="23" t="str">
        <f t="shared" si="691"/>
        <v>MN_Henne_2021g~ISD #271-School Board Member (vote for 4)</v>
      </c>
      <c r="B2720" s="317" t="str">
        <f t="shared" si="692"/>
        <v>MN_Henne_2021g</v>
      </c>
      <c r="C2720" s="317" t="str">
        <f t="shared" si="695"/>
        <v/>
      </c>
      <c r="D2720" t="s">
        <v>6594</v>
      </c>
      <c r="E2720" t="s">
        <v>6602</v>
      </c>
      <c r="F2720" t="s">
        <v>6541</v>
      </c>
      <c r="G2720" s="318">
        <v>4046</v>
      </c>
      <c r="O2720">
        <f t="shared" si="696"/>
        <v>8</v>
      </c>
      <c r="P2720" s="57">
        <f t="shared" si="697"/>
        <v>4</v>
      </c>
      <c r="Q2720" s="267">
        <f t="shared" si="698"/>
        <v>8087</v>
      </c>
      <c r="R2720" s="23" t="str">
        <f t="shared" si="699"/>
        <v/>
      </c>
      <c r="S2720" s="23">
        <f t="shared" si="700"/>
        <v>4046</v>
      </c>
      <c r="T2720" s="23" t="str">
        <f t="shared" si="701"/>
        <v/>
      </c>
      <c r="U2720" t="str">
        <f t="shared" si="702"/>
        <v/>
      </c>
      <c r="AF2720" s="22" t="str">
        <f t="shared" si="694"/>
        <v/>
      </c>
      <c r="AG2720" s="23"/>
      <c r="AH2720" s="8"/>
      <c r="AL2720" s="344"/>
    </row>
    <row r="2721" spans="1:38">
      <c r="A2721" s="23" t="str">
        <f t="shared" ref="A2721:A2784" si="703">CONCATENATE("MN_Henne_2021g~",D2721)</f>
        <v>MN_Henne_2021g~ISD #271-School Board Member (vote for 4)</v>
      </c>
      <c r="B2721" s="317" t="str">
        <f t="shared" ref="B2721:B2784" si="704">LEFT(A2721,14)</f>
        <v>MN_Henne_2021g</v>
      </c>
      <c r="C2721" s="317" t="str">
        <f t="shared" ref="C2721:C2752" si="705">IF(AND(D2721=D2720,E2721=E2720),99,"")</f>
        <v/>
      </c>
      <c r="D2721" t="s">
        <v>6594</v>
      </c>
      <c r="E2721" t="s">
        <v>6603</v>
      </c>
      <c r="F2721" t="s">
        <v>6541</v>
      </c>
      <c r="G2721" s="318">
        <v>2137</v>
      </c>
      <c r="O2721">
        <f t="shared" si="696"/>
        <v>9</v>
      </c>
      <c r="P2721" s="57">
        <f t="shared" si="697"/>
        <v>4</v>
      </c>
      <c r="Q2721" s="267">
        <f t="shared" si="698"/>
        <v>4041</v>
      </c>
      <c r="R2721" s="23" t="str">
        <f t="shared" si="699"/>
        <v/>
      </c>
      <c r="S2721" s="23">
        <f t="shared" si="700"/>
        <v>2137</v>
      </c>
      <c r="T2721" s="23" t="str">
        <f t="shared" si="701"/>
        <v/>
      </c>
      <c r="U2721" t="str">
        <f t="shared" si="702"/>
        <v/>
      </c>
      <c r="AF2721" s="22" t="str">
        <f t="shared" si="694"/>
        <v/>
      </c>
    </row>
    <row r="2722" spans="1:38">
      <c r="A2722" s="23" t="str">
        <f t="shared" si="703"/>
        <v>MN_Henne_2021g~ISD #271-School Board Member (vote for 4)</v>
      </c>
      <c r="B2722" s="317" t="str">
        <f t="shared" si="704"/>
        <v>MN_Henne_2021g</v>
      </c>
      <c r="C2722" s="317" t="str">
        <f t="shared" si="705"/>
        <v/>
      </c>
      <c r="D2722" t="s">
        <v>6594</v>
      </c>
      <c r="E2722" t="s">
        <v>6604</v>
      </c>
      <c r="F2722" t="s">
        <v>6541</v>
      </c>
      <c r="G2722" s="318">
        <v>1798</v>
      </c>
      <c r="O2722">
        <f t="shared" si="696"/>
        <v>10</v>
      </c>
      <c r="P2722" s="57">
        <f t="shared" si="697"/>
        <v>4</v>
      </c>
      <c r="Q2722" s="267">
        <f t="shared" si="698"/>
        <v>1904</v>
      </c>
      <c r="R2722" s="23" t="str">
        <f t="shared" si="699"/>
        <v/>
      </c>
      <c r="S2722" s="23">
        <f t="shared" si="700"/>
        <v>1798</v>
      </c>
      <c r="T2722" s="23" t="str">
        <f t="shared" si="701"/>
        <v/>
      </c>
      <c r="U2722" t="str">
        <f t="shared" si="702"/>
        <v/>
      </c>
      <c r="AF2722" s="22" t="str">
        <f t="shared" si="694"/>
        <v/>
      </c>
    </row>
    <row r="2723" spans="1:38">
      <c r="A2723" s="23" t="str">
        <f t="shared" si="703"/>
        <v>MN_Henne_2021g~ISD #271-School Board Member (vote for 4)</v>
      </c>
      <c r="B2723" s="317" t="str">
        <f t="shared" si="704"/>
        <v>MN_Henne_2021g</v>
      </c>
      <c r="C2723" s="317" t="str">
        <f t="shared" si="705"/>
        <v/>
      </c>
      <c r="D2723" t="s">
        <v>6594</v>
      </c>
      <c r="E2723" t="s">
        <v>15</v>
      </c>
      <c r="F2723" t="s">
        <v>6544</v>
      </c>
      <c r="G2723" s="318">
        <v>106</v>
      </c>
      <c r="O2723">
        <f t="shared" si="696"/>
        <v>-10</v>
      </c>
      <c r="P2723" s="57">
        <f t="shared" si="697"/>
        <v>4</v>
      </c>
      <c r="Q2723" s="267">
        <f t="shared" si="698"/>
        <v>106</v>
      </c>
      <c r="R2723" s="23">
        <f t="shared" si="699"/>
        <v>1</v>
      </c>
      <c r="S2723" s="23">
        <f t="shared" si="700"/>
        <v>0</v>
      </c>
      <c r="T2723" s="23" t="str">
        <f t="shared" si="701"/>
        <v/>
      </c>
      <c r="U2723" t="str">
        <f t="shared" si="702"/>
        <v/>
      </c>
      <c r="AF2723" s="22" t="str">
        <f t="shared" si="694"/>
        <v/>
      </c>
      <c r="AH2723" s="8"/>
      <c r="AL2723" s="23"/>
    </row>
    <row r="2724" spans="1:38">
      <c r="A2724" s="23" t="str">
        <f t="shared" si="703"/>
        <v>MN_Henne_2021g~ISD #272-Special Election for School Board Member (vote for 1)</v>
      </c>
      <c r="B2724" s="317" t="str">
        <f t="shared" si="704"/>
        <v>MN_Henne_2021g</v>
      </c>
      <c r="C2724" s="317" t="str">
        <f t="shared" si="705"/>
        <v/>
      </c>
      <c r="D2724" t="s">
        <v>6605</v>
      </c>
      <c r="E2724" t="s">
        <v>6606</v>
      </c>
      <c r="F2724" t="s">
        <v>6541</v>
      </c>
      <c r="G2724" s="318">
        <v>1979</v>
      </c>
      <c r="O2724">
        <f t="shared" si="696"/>
        <v>1</v>
      </c>
      <c r="P2724" s="57">
        <f t="shared" si="697"/>
        <v>1</v>
      </c>
      <c r="Q2724" s="267">
        <f t="shared" si="698"/>
        <v>5070</v>
      </c>
      <c r="R2724" s="23">
        <f t="shared" si="699"/>
        <v>1979</v>
      </c>
      <c r="S2724" s="23">
        <f t="shared" si="700"/>
        <v>1841</v>
      </c>
      <c r="T2724" s="23">
        <f t="shared" si="701"/>
        <v>138</v>
      </c>
      <c r="U2724" t="str">
        <f t="shared" si="702"/>
        <v>MN_Henne_2021g~ISD #272-Special Election for School Board Member (vote for 1)</v>
      </c>
      <c r="AF2724" s="22" t="str">
        <f t="shared" si="694"/>
        <v/>
      </c>
    </row>
    <row r="2725" spans="1:38">
      <c r="A2725" s="23" t="str">
        <f t="shared" si="703"/>
        <v>MN_Henne_2021g~ISD #272-Special Election for School Board Member (vote for 1)</v>
      </c>
      <c r="B2725" s="317" t="str">
        <f t="shared" si="704"/>
        <v>MN_Henne_2021g</v>
      </c>
      <c r="C2725" s="317" t="str">
        <f t="shared" si="705"/>
        <v/>
      </c>
      <c r="D2725" t="s">
        <v>6605</v>
      </c>
      <c r="E2725" t="s">
        <v>6607</v>
      </c>
      <c r="F2725" t="s">
        <v>6541</v>
      </c>
      <c r="G2725" s="318">
        <v>1841</v>
      </c>
      <c r="O2725">
        <f t="shared" si="696"/>
        <v>2</v>
      </c>
      <c r="P2725" s="57">
        <f t="shared" si="697"/>
        <v>1</v>
      </c>
      <c r="Q2725" s="267">
        <f t="shared" si="698"/>
        <v>3091</v>
      </c>
      <c r="R2725" s="23" t="str">
        <f t="shared" si="699"/>
        <v/>
      </c>
      <c r="S2725" s="23">
        <f t="shared" si="700"/>
        <v>1841</v>
      </c>
      <c r="T2725" s="23" t="str">
        <f t="shared" si="701"/>
        <v/>
      </c>
      <c r="U2725" t="str">
        <f t="shared" si="702"/>
        <v/>
      </c>
      <c r="AF2725" s="22" t="str">
        <f t="shared" si="694"/>
        <v/>
      </c>
      <c r="AG2725" s="23"/>
      <c r="AH2725" s="8"/>
    </row>
    <row r="2726" spans="1:38">
      <c r="A2726" s="23" t="str">
        <f t="shared" si="703"/>
        <v>MN_Henne_2021g~ISD #272-Special Election for School Board Member (vote for 1)</v>
      </c>
      <c r="B2726" s="317" t="str">
        <f t="shared" si="704"/>
        <v>MN_Henne_2021g</v>
      </c>
      <c r="C2726" s="317" t="str">
        <f t="shared" si="705"/>
        <v/>
      </c>
      <c r="D2726" t="s">
        <v>6605</v>
      </c>
      <c r="E2726" t="s">
        <v>6608</v>
      </c>
      <c r="F2726" t="s">
        <v>6541</v>
      </c>
      <c r="G2726" s="318">
        <v>566</v>
      </c>
      <c r="O2726">
        <f t="shared" si="696"/>
        <v>3</v>
      </c>
      <c r="P2726" s="57">
        <f t="shared" si="697"/>
        <v>1</v>
      </c>
      <c r="Q2726" s="267">
        <f t="shared" si="698"/>
        <v>1250</v>
      </c>
      <c r="R2726" s="23" t="str">
        <f t="shared" si="699"/>
        <v/>
      </c>
      <c r="S2726" s="23">
        <f t="shared" si="700"/>
        <v>566</v>
      </c>
      <c r="T2726" s="23" t="str">
        <f t="shared" si="701"/>
        <v/>
      </c>
      <c r="U2726" t="str">
        <f t="shared" si="702"/>
        <v/>
      </c>
      <c r="AF2726" s="22" t="str">
        <f t="shared" si="694"/>
        <v/>
      </c>
      <c r="AG2726" s="23"/>
      <c r="AH2726" s="8"/>
      <c r="AL2726" s="344"/>
    </row>
    <row r="2727" spans="1:38">
      <c r="A2727" s="23" t="str">
        <f t="shared" si="703"/>
        <v>MN_Henne_2021g~ISD #272-Special Election for School Board Member (vote for 1)</v>
      </c>
      <c r="B2727" s="317" t="str">
        <f t="shared" si="704"/>
        <v>MN_Henne_2021g</v>
      </c>
      <c r="C2727" s="317" t="str">
        <f t="shared" si="705"/>
        <v/>
      </c>
      <c r="D2727" t="s">
        <v>6605</v>
      </c>
      <c r="E2727" t="s">
        <v>6609</v>
      </c>
      <c r="F2727" t="s">
        <v>6541</v>
      </c>
      <c r="G2727" s="318">
        <v>363</v>
      </c>
      <c r="O2727">
        <f t="shared" si="696"/>
        <v>4</v>
      </c>
      <c r="P2727" s="57">
        <f t="shared" si="697"/>
        <v>1</v>
      </c>
      <c r="Q2727" s="267">
        <f t="shared" si="698"/>
        <v>684</v>
      </c>
      <c r="R2727" s="23" t="str">
        <f t="shared" si="699"/>
        <v/>
      </c>
      <c r="S2727" s="23">
        <f t="shared" si="700"/>
        <v>363</v>
      </c>
      <c r="T2727" s="23" t="str">
        <f t="shared" si="701"/>
        <v/>
      </c>
      <c r="U2727" t="str">
        <f t="shared" si="702"/>
        <v/>
      </c>
      <c r="AF2727" s="22" t="str">
        <f t="shared" si="694"/>
        <v/>
      </c>
    </row>
    <row r="2728" spans="1:38">
      <c r="A2728" s="23" t="str">
        <f t="shared" si="703"/>
        <v>MN_Henne_2021g~ISD #272-Special Election for School Board Member (vote for 1)</v>
      </c>
      <c r="B2728" s="317" t="str">
        <f t="shared" si="704"/>
        <v>MN_Henne_2021g</v>
      </c>
      <c r="C2728" s="317" t="str">
        <f t="shared" si="705"/>
        <v/>
      </c>
      <c r="D2728" t="s">
        <v>6605</v>
      </c>
      <c r="E2728" t="s">
        <v>6610</v>
      </c>
      <c r="F2728" t="s">
        <v>6541</v>
      </c>
      <c r="G2728" s="318">
        <v>311</v>
      </c>
      <c r="O2728">
        <f t="shared" si="696"/>
        <v>5</v>
      </c>
      <c r="P2728" s="57">
        <f t="shared" si="697"/>
        <v>1</v>
      </c>
      <c r="Q2728" s="267">
        <f t="shared" si="698"/>
        <v>321</v>
      </c>
      <c r="R2728" s="23" t="str">
        <f t="shared" si="699"/>
        <v/>
      </c>
      <c r="S2728" s="23">
        <f t="shared" si="700"/>
        <v>311</v>
      </c>
      <c r="T2728" s="23" t="str">
        <f t="shared" si="701"/>
        <v/>
      </c>
      <c r="U2728" t="str">
        <f t="shared" si="702"/>
        <v/>
      </c>
      <c r="AF2728" s="22" t="str">
        <f t="shared" si="694"/>
        <v/>
      </c>
    </row>
    <row r="2729" spans="1:38">
      <c r="A2729" s="23" t="str">
        <f t="shared" si="703"/>
        <v>MN_Henne_2021g~ISD #272-Special Election for School Board Member (vote for 1)</v>
      </c>
      <c r="B2729" s="317" t="str">
        <f t="shared" si="704"/>
        <v>MN_Henne_2021g</v>
      </c>
      <c r="C2729" s="317" t="str">
        <f t="shared" si="705"/>
        <v/>
      </c>
      <c r="D2729" t="s">
        <v>6605</v>
      </c>
      <c r="E2729" t="s">
        <v>15</v>
      </c>
      <c r="F2729" t="s">
        <v>6544</v>
      </c>
      <c r="G2729" s="318">
        <v>10</v>
      </c>
      <c r="O2729">
        <f t="shared" si="696"/>
        <v>-5</v>
      </c>
      <c r="P2729" s="57">
        <f t="shared" si="697"/>
        <v>1</v>
      </c>
      <c r="Q2729" s="267">
        <f t="shared" si="698"/>
        <v>10</v>
      </c>
      <c r="R2729" s="23">
        <f t="shared" si="699"/>
        <v>1</v>
      </c>
      <c r="S2729" s="23">
        <f t="shared" si="700"/>
        <v>0</v>
      </c>
      <c r="T2729" s="23" t="str">
        <f t="shared" si="701"/>
        <v/>
      </c>
      <c r="U2729" t="str">
        <f t="shared" si="702"/>
        <v/>
      </c>
      <c r="AF2729" s="22" t="str">
        <f t="shared" si="694"/>
        <v/>
      </c>
    </row>
    <row r="2730" spans="1:38">
      <c r="A2730" s="23" t="str">
        <f t="shared" si="703"/>
        <v>MN_Henne_2021g~ISD #273-School Board Member (vote for 4)</v>
      </c>
      <c r="B2730" s="317" t="str">
        <f t="shared" si="704"/>
        <v>MN_Henne_2021g</v>
      </c>
      <c r="C2730" s="317" t="str">
        <f t="shared" si="705"/>
        <v/>
      </c>
      <c r="D2730" t="s">
        <v>6611</v>
      </c>
      <c r="E2730" t="s">
        <v>6612</v>
      </c>
      <c r="F2730" t="s">
        <v>6541</v>
      </c>
      <c r="G2730" s="318">
        <v>5917</v>
      </c>
      <c r="O2730">
        <f t="shared" si="696"/>
        <v>1</v>
      </c>
      <c r="P2730" s="57">
        <f t="shared" si="697"/>
        <v>4</v>
      </c>
      <c r="Q2730" s="267">
        <f t="shared" si="698"/>
        <v>7764.25</v>
      </c>
      <c r="R2730" s="23">
        <f t="shared" si="699"/>
        <v>5380</v>
      </c>
      <c r="S2730" s="23">
        <f t="shared" si="700"/>
        <v>3906</v>
      </c>
      <c r="T2730" s="23">
        <f t="shared" si="701"/>
        <v>1474</v>
      </c>
      <c r="U2730" t="str">
        <f t="shared" si="702"/>
        <v>MN_Henne_2021g~ISD #273-School Board Member (vote for 4)</v>
      </c>
      <c r="AF2730" s="22" t="str">
        <f t="shared" si="694"/>
        <v/>
      </c>
    </row>
    <row r="2731" spans="1:38">
      <c r="A2731" s="23" t="str">
        <f t="shared" si="703"/>
        <v>MN_Henne_2021g~ISD #273-School Board Member (vote for 4)</v>
      </c>
      <c r="B2731" s="317" t="str">
        <f t="shared" si="704"/>
        <v>MN_Henne_2021g</v>
      </c>
      <c r="C2731" s="317" t="str">
        <f t="shared" si="705"/>
        <v/>
      </c>
      <c r="D2731" t="s">
        <v>6611</v>
      </c>
      <c r="E2731" t="s">
        <v>6613</v>
      </c>
      <c r="F2731" t="s">
        <v>6541</v>
      </c>
      <c r="G2731" s="318">
        <v>5776</v>
      </c>
      <c r="O2731">
        <f t="shared" si="696"/>
        <v>2</v>
      </c>
      <c r="P2731" s="57">
        <f t="shared" si="697"/>
        <v>4</v>
      </c>
      <c r="Q2731" s="267">
        <f t="shared" si="698"/>
        <v>25140</v>
      </c>
      <c r="R2731" s="23">
        <f t="shared" si="699"/>
        <v>5380</v>
      </c>
      <c r="S2731" s="23">
        <f t="shared" si="700"/>
        <v>3906</v>
      </c>
      <c r="T2731" s="23" t="str">
        <f t="shared" si="701"/>
        <v/>
      </c>
      <c r="U2731" t="str">
        <f t="shared" si="702"/>
        <v/>
      </c>
      <c r="AF2731" s="22" t="str">
        <f t="shared" si="694"/>
        <v/>
      </c>
      <c r="AH2731" s="8"/>
      <c r="AL2731" s="23"/>
    </row>
    <row r="2732" spans="1:38">
      <c r="A2732" s="23" t="str">
        <f t="shared" si="703"/>
        <v>MN_Henne_2021g~ISD #273-School Board Member (vote for 4)</v>
      </c>
      <c r="B2732" s="317" t="str">
        <f t="shared" si="704"/>
        <v>MN_Henne_2021g</v>
      </c>
      <c r="C2732" s="317" t="str">
        <f t="shared" si="705"/>
        <v/>
      </c>
      <c r="D2732" t="s">
        <v>6611</v>
      </c>
      <c r="E2732" t="s">
        <v>6614</v>
      </c>
      <c r="F2732" t="s">
        <v>6541</v>
      </c>
      <c r="G2732" s="318">
        <v>5745</v>
      </c>
      <c r="O2732">
        <f t="shared" si="696"/>
        <v>3</v>
      </c>
      <c r="P2732" s="57">
        <f t="shared" si="697"/>
        <v>4</v>
      </c>
      <c r="Q2732" s="267">
        <f t="shared" si="698"/>
        <v>19364</v>
      </c>
      <c r="R2732" s="23">
        <f t="shared" si="699"/>
        <v>5380</v>
      </c>
      <c r="S2732" s="23">
        <f t="shared" si="700"/>
        <v>3906</v>
      </c>
      <c r="T2732" s="23" t="str">
        <f t="shared" si="701"/>
        <v/>
      </c>
      <c r="U2732" t="str">
        <f t="shared" si="702"/>
        <v/>
      </c>
      <c r="AF2732" s="22" t="str">
        <f t="shared" si="694"/>
        <v/>
      </c>
      <c r="AH2732" s="8"/>
      <c r="AL2732" s="23"/>
    </row>
    <row r="2733" spans="1:38">
      <c r="A2733" s="23" t="str">
        <f t="shared" si="703"/>
        <v>MN_Henne_2021g~ISD #273-School Board Member (vote for 4)</v>
      </c>
      <c r="B2733" s="317" t="str">
        <f t="shared" si="704"/>
        <v>MN_Henne_2021g</v>
      </c>
      <c r="C2733" s="317" t="str">
        <f t="shared" si="705"/>
        <v/>
      </c>
      <c r="D2733" t="s">
        <v>6611</v>
      </c>
      <c r="E2733" t="s">
        <v>6615</v>
      </c>
      <c r="F2733" t="s">
        <v>6541</v>
      </c>
      <c r="G2733" s="318">
        <v>5380</v>
      </c>
      <c r="O2733">
        <f t="shared" si="696"/>
        <v>4</v>
      </c>
      <c r="P2733" s="57">
        <f t="shared" si="697"/>
        <v>4</v>
      </c>
      <c r="Q2733" s="267">
        <f t="shared" si="698"/>
        <v>13619</v>
      </c>
      <c r="R2733" s="23">
        <f t="shared" si="699"/>
        <v>5380</v>
      </c>
      <c r="S2733" s="23">
        <f t="shared" si="700"/>
        <v>3906</v>
      </c>
      <c r="T2733" s="23" t="str">
        <f t="shared" si="701"/>
        <v/>
      </c>
      <c r="U2733" t="str">
        <f t="shared" si="702"/>
        <v/>
      </c>
      <c r="AF2733" s="22" t="str">
        <f t="shared" si="694"/>
        <v/>
      </c>
    </row>
    <row r="2734" spans="1:38">
      <c r="A2734" s="23" t="str">
        <f t="shared" si="703"/>
        <v>MN_Henne_2021g~ISD #273-School Board Member (vote for 4)</v>
      </c>
      <c r="B2734" s="317" t="str">
        <f t="shared" si="704"/>
        <v>MN_Henne_2021g</v>
      </c>
      <c r="C2734" s="317" t="str">
        <f t="shared" si="705"/>
        <v/>
      </c>
      <c r="D2734" t="s">
        <v>6611</v>
      </c>
      <c r="E2734" t="s">
        <v>6616</v>
      </c>
      <c r="F2734" t="s">
        <v>6541</v>
      </c>
      <c r="G2734" s="318">
        <v>3906</v>
      </c>
      <c r="O2734">
        <f t="shared" si="696"/>
        <v>5</v>
      </c>
      <c r="P2734" s="57">
        <f t="shared" si="697"/>
        <v>4</v>
      </c>
      <c r="Q2734" s="267">
        <f t="shared" si="698"/>
        <v>8239</v>
      </c>
      <c r="R2734" s="23" t="str">
        <f t="shared" si="699"/>
        <v/>
      </c>
      <c r="S2734" s="23">
        <f t="shared" si="700"/>
        <v>3906</v>
      </c>
      <c r="T2734" s="23" t="str">
        <f t="shared" si="701"/>
        <v/>
      </c>
      <c r="U2734" t="str">
        <f t="shared" si="702"/>
        <v/>
      </c>
      <c r="AF2734" s="22" t="str">
        <f t="shared" si="694"/>
        <v/>
      </c>
    </row>
    <row r="2735" spans="1:38">
      <c r="A2735" s="23" t="str">
        <f t="shared" si="703"/>
        <v>MN_Henne_2021g~ISD #273-School Board Member (vote for 4)</v>
      </c>
      <c r="B2735" s="317" t="str">
        <f t="shared" si="704"/>
        <v>MN_Henne_2021g</v>
      </c>
      <c r="C2735" s="317" t="str">
        <f t="shared" si="705"/>
        <v/>
      </c>
      <c r="D2735" t="s">
        <v>6611</v>
      </c>
      <c r="E2735" t="s">
        <v>6617</v>
      </c>
      <c r="F2735" t="s">
        <v>6541</v>
      </c>
      <c r="G2735" s="318">
        <v>3741</v>
      </c>
      <c r="O2735">
        <f t="shared" si="696"/>
        <v>6</v>
      </c>
      <c r="P2735" s="57">
        <f t="shared" si="697"/>
        <v>4</v>
      </c>
      <c r="Q2735" s="267">
        <f t="shared" si="698"/>
        <v>4333</v>
      </c>
      <c r="R2735" s="23" t="str">
        <f t="shared" si="699"/>
        <v/>
      </c>
      <c r="S2735" s="23">
        <f t="shared" si="700"/>
        <v>3741</v>
      </c>
      <c r="T2735" s="23" t="str">
        <f t="shared" si="701"/>
        <v/>
      </c>
      <c r="U2735" t="str">
        <f t="shared" si="702"/>
        <v/>
      </c>
      <c r="AF2735" s="22" t="str">
        <f t="shared" si="694"/>
        <v/>
      </c>
      <c r="AH2735" s="8"/>
      <c r="AL2735" s="23"/>
    </row>
    <row r="2736" spans="1:38">
      <c r="A2736" s="23" t="str">
        <f t="shared" si="703"/>
        <v>MN_Henne_2021g~ISD #273-School Board Member (vote for 4)</v>
      </c>
      <c r="B2736" s="317" t="str">
        <f t="shared" si="704"/>
        <v>MN_Henne_2021g</v>
      </c>
      <c r="C2736" s="317" t="str">
        <f t="shared" si="705"/>
        <v/>
      </c>
      <c r="D2736" t="s">
        <v>6611</v>
      </c>
      <c r="E2736" t="s">
        <v>15</v>
      </c>
      <c r="F2736" t="s">
        <v>6544</v>
      </c>
      <c r="G2736" s="318">
        <v>592</v>
      </c>
      <c r="O2736">
        <f t="shared" si="696"/>
        <v>-6</v>
      </c>
      <c r="P2736" s="57">
        <f t="shared" si="697"/>
        <v>4</v>
      </c>
      <c r="Q2736" s="267">
        <f t="shared" si="698"/>
        <v>592</v>
      </c>
      <c r="R2736" s="23">
        <f t="shared" si="699"/>
        <v>1</v>
      </c>
      <c r="S2736" s="23">
        <f t="shared" si="700"/>
        <v>0</v>
      </c>
      <c r="T2736" s="23" t="str">
        <f t="shared" si="701"/>
        <v/>
      </c>
      <c r="U2736" t="str">
        <f t="shared" si="702"/>
        <v/>
      </c>
      <c r="AF2736" s="22" t="str">
        <f t="shared" si="694"/>
        <v/>
      </c>
    </row>
    <row r="2737" spans="1:38">
      <c r="A2737" s="23" t="str">
        <f t="shared" si="703"/>
        <v>MN_Henne_2021g~ISD #276-School Board Member (vote for 3)</v>
      </c>
      <c r="B2737" s="317" t="str">
        <f t="shared" si="704"/>
        <v>MN_Henne_2021g</v>
      </c>
      <c r="C2737" s="317" t="str">
        <f t="shared" si="705"/>
        <v/>
      </c>
      <c r="D2737" t="s">
        <v>6618</v>
      </c>
      <c r="E2737" t="s">
        <v>6619</v>
      </c>
      <c r="F2737" t="s">
        <v>6541</v>
      </c>
      <c r="G2737" s="318">
        <v>4872</v>
      </c>
      <c r="O2737">
        <f t="shared" si="696"/>
        <v>1</v>
      </c>
      <c r="P2737" s="57">
        <f t="shared" si="697"/>
        <v>3</v>
      </c>
      <c r="Q2737" s="267">
        <f t="shared" si="698"/>
        <v>9492.3333333333339</v>
      </c>
      <c r="R2737" s="23">
        <f t="shared" si="699"/>
        <v>4567</v>
      </c>
      <c r="S2737" s="23">
        <f t="shared" si="700"/>
        <v>4522</v>
      </c>
      <c r="T2737" s="23">
        <f t="shared" si="701"/>
        <v>45</v>
      </c>
      <c r="U2737" t="str">
        <f t="shared" si="702"/>
        <v>MN_Henne_2021g~ISD #276-School Board Member (vote for 3)</v>
      </c>
      <c r="AF2737" s="22" t="str">
        <f t="shared" si="694"/>
        <v/>
      </c>
      <c r="AH2737" s="8"/>
      <c r="AL2737" s="23"/>
    </row>
    <row r="2738" spans="1:38">
      <c r="A2738" s="23" t="str">
        <f t="shared" si="703"/>
        <v>MN_Henne_2021g~ISD #276-School Board Member (vote for 3)</v>
      </c>
      <c r="B2738" s="317" t="str">
        <f t="shared" si="704"/>
        <v>MN_Henne_2021g</v>
      </c>
      <c r="C2738" s="317" t="str">
        <f t="shared" si="705"/>
        <v/>
      </c>
      <c r="D2738" t="s">
        <v>6618</v>
      </c>
      <c r="E2738" t="s">
        <v>6620</v>
      </c>
      <c r="F2738" t="s">
        <v>6541</v>
      </c>
      <c r="G2738" s="318">
        <v>4789</v>
      </c>
      <c r="O2738">
        <f t="shared" si="696"/>
        <v>2</v>
      </c>
      <c r="P2738" s="57">
        <f t="shared" si="697"/>
        <v>3</v>
      </c>
      <c r="Q2738" s="267">
        <f t="shared" si="698"/>
        <v>23605</v>
      </c>
      <c r="R2738" s="23">
        <f t="shared" si="699"/>
        <v>4567</v>
      </c>
      <c r="S2738" s="23">
        <f t="shared" si="700"/>
        <v>4522</v>
      </c>
      <c r="T2738" s="23" t="str">
        <f t="shared" si="701"/>
        <v/>
      </c>
      <c r="U2738" t="str">
        <f t="shared" si="702"/>
        <v/>
      </c>
      <c r="AF2738" s="22" t="str">
        <f t="shared" si="694"/>
        <v/>
      </c>
      <c r="AH2738" s="8"/>
      <c r="AL2738" s="23"/>
    </row>
    <row r="2739" spans="1:38">
      <c r="A2739" s="23" t="str">
        <f t="shared" si="703"/>
        <v>MN_Henne_2021g~ISD #276-School Board Member (vote for 3)</v>
      </c>
      <c r="B2739" s="317" t="str">
        <f t="shared" si="704"/>
        <v>MN_Henne_2021g</v>
      </c>
      <c r="C2739" s="317" t="str">
        <f t="shared" si="705"/>
        <v/>
      </c>
      <c r="D2739" t="s">
        <v>6618</v>
      </c>
      <c r="E2739" t="s">
        <v>6621</v>
      </c>
      <c r="F2739" t="s">
        <v>6541</v>
      </c>
      <c r="G2739" s="318">
        <v>4567</v>
      </c>
      <c r="O2739">
        <f t="shared" si="696"/>
        <v>3</v>
      </c>
      <c r="P2739" s="57">
        <f t="shared" si="697"/>
        <v>3</v>
      </c>
      <c r="Q2739" s="267">
        <f t="shared" si="698"/>
        <v>18816</v>
      </c>
      <c r="R2739" s="23">
        <f t="shared" si="699"/>
        <v>4567</v>
      </c>
      <c r="S2739" s="23">
        <f t="shared" si="700"/>
        <v>4522</v>
      </c>
      <c r="T2739" s="23" t="str">
        <f t="shared" si="701"/>
        <v/>
      </c>
      <c r="U2739" t="str">
        <f t="shared" si="702"/>
        <v/>
      </c>
      <c r="AF2739" s="22" t="str">
        <f t="shared" si="694"/>
        <v/>
      </c>
    </row>
    <row r="2740" spans="1:38">
      <c r="A2740" s="23" t="str">
        <f t="shared" si="703"/>
        <v>MN_Henne_2021g~ISD #276-School Board Member (vote for 3)</v>
      </c>
      <c r="B2740" s="317" t="str">
        <f t="shared" si="704"/>
        <v>MN_Henne_2021g</v>
      </c>
      <c r="C2740" s="317" t="str">
        <f t="shared" si="705"/>
        <v/>
      </c>
      <c r="D2740" t="s">
        <v>6618</v>
      </c>
      <c r="E2740" t="s">
        <v>6622</v>
      </c>
      <c r="F2740" t="s">
        <v>6541</v>
      </c>
      <c r="G2740" s="318">
        <v>4522</v>
      </c>
      <c r="O2740">
        <f t="shared" si="696"/>
        <v>4</v>
      </c>
      <c r="P2740" s="57">
        <f t="shared" si="697"/>
        <v>3</v>
      </c>
      <c r="Q2740" s="267">
        <f t="shared" si="698"/>
        <v>14249</v>
      </c>
      <c r="R2740" s="23" t="str">
        <f t="shared" si="699"/>
        <v/>
      </c>
      <c r="S2740" s="23">
        <f t="shared" si="700"/>
        <v>4522</v>
      </c>
      <c r="T2740" s="23" t="str">
        <f t="shared" si="701"/>
        <v/>
      </c>
      <c r="U2740" t="str">
        <f t="shared" si="702"/>
        <v/>
      </c>
      <c r="AF2740" s="22" t="str">
        <f t="shared" si="694"/>
        <v/>
      </c>
    </row>
    <row r="2741" spans="1:38">
      <c r="A2741" s="23" t="str">
        <f t="shared" si="703"/>
        <v>MN_Henne_2021g~ISD #276-School Board Member (vote for 3)</v>
      </c>
      <c r="B2741" s="317" t="str">
        <f t="shared" si="704"/>
        <v>MN_Henne_2021g</v>
      </c>
      <c r="C2741" s="317" t="str">
        <f t="shared" si="705"/>
        <v/>
      </c>
      <c r="D2741" t="s">
        <v>6618</v>
      </c>
      <c r="E2741" t="s">
        <v>6623</v>
      </c>
      <c r="F2741" t="s">
        <v>6541</v>
      </c>
      <c r="G2741" s="318">
        <v>3823</v>
      </c>
      <c r="O2741">
        <f t="shared" si="696"/>
        <v>5</v>
      </c>
      <c r="P2741" s="57">
        <f t="shared" si="697"/>
        <v>3</v>
      </c>
      <c r="Q2741" s="267">
        <f t="shared" si="698"/>
        <v>9727</v>
      </c>
      <c r="R2741" s="23" t="str">
        <f t="shared" si="699"/>
        <v/>
      </c>
      <c r="S2741" s="23">
        <f t="shared" si="700"/>
        <v>3823</v>
      </c>
      <c r="T2741" s="23" t="str">
        <f t="shared" si="701"/>
        <v/>
      </c>
      <c r="U2741" t="str">
        <f t="shared" si="702"/>
        <v/>
      </c>
      <c r="AF2741" s="22" t="str">
        <f t="shared" si="694"/>
        <v/>
      </c>
      <c r="AH2741" s="8"/>
      <c r="AL2741" s="23"/>
    </row>
    <row r="2742" spans="1:38">
      <c r="A2742" s="23" t="str">
        <f t="shared" si="703"/>
        <v>MN_Henne_2021g~ISD #276-School Board Member (vote for 3)</v>
      </c>
      <c r="B2742" s="317" t="str">
        <f t="shared" si="704"/>
        <v>MN_Henne_2021g</v>
      </c>
      <c r="C2742" s="317" t="str">
        <f t="shared" si="705"/>
        <v/>
      </c>
      <c r="D2742" t="s">
        <v>6618</v>
      </c>
      <c r="E2742" t="s">
        <v>6624</v>
      </c>
      <c r="F2742" t="s">
        <v>6541</v>
      </c>
      <c r="G2742" s="318">
        <v>3232</v>
      </c>
      <c r="O2742">
        <f t="shared" si="696"/>
        <v>6</v>
      </c>
      <c r="P2742" s="57">
        <f t="shared" si="697"/>
        <v>3</v>
      </c>
      <c r="Q2742" s="267">
        <f t="shared" si="698"/>
        <v>5904</v>
      </c>
      <c r="R2742" s="23" t="str">
        <f t="shared" si="699"/>
        <v/>
      </c>
      <c r="S2742" s="23">
        <f t="shared" si="700"/>
        <v>3232</v>
      </c>
      <c r="T2742" s="23" t="str">
        <f t="shared" si="701"/>
        <v/>
      </c>
      <c r="U2742" t="str">
        <f t="shared" si="702"/>
        <v/>
      </c>
      <c r="AF2742" s="22" t="str">
        <f t="shared" ref="AF2742:AF2805" si="706">LEFT(AL2471,14)</f>
        <v/>
      </c>
    </row>
    <row r="2743" spans="1:38">
      <c r="A2743" s="23" t="str">
        <f t="shared" si="703"/>
        <v>MN_Henne_2021g~ISD #276-School Board Member (vote for 3)</v>
      </c>
      <c r="B2743" s="317" t="str">
        <f t="shared" si="704"/>
        <v>MN_Henne_2021g</v>
      </c>
      <c r="C2743" s="317" t="str">
        <f t="shared" si="705"/>
        <v/>
      </c>
      <c r="D2743" t="s">
        <v>6618</v>
      </c>
      <c r="E2743" t="s">
        <v>6625</v>
      </c>
      <c r="F2743" t="s">
        <v>6541</v>
      </c>
      <c r="G2743" s="318">
        <v>2429</v>
      </c>
      <c r="O2743">
        <f t="shared" si="696"/>
        <v>7</v>
      </c>
      <c r="P2743" s="57">
        <f t="shared" si="697"/>
        <v>3</v>
      </c>
      <c r="Q2743" s="267">
        <f t="shared" si="698"/>
        <v>2672</v>
      </c>
      <c r="R2743" s="23" t="str">
        <f t="shared" si="699"/>
        <v/>
      </c>
      <c r="S2743" s="23">
        <f t="shared" si="700"/>
        <v>2429</v>
      </c>
      <c r="T2743" s="23" t="str">
        <f t="shared" si="701"/>
        <v/>
      </c>
      <c r="U2743" t="str">
        <f t="shared" si="702"/>
        <v/>
      </c>
      <c r="AF2743" s="22" t="str">
        <f t="shared" si="706"/>
        <v/>
      </c>
    </row>
    <row r="2744" spans="1:38">
      <c r="A2744" s="23" t="str">
        <f t="shared" si="703"/>
        <v>MN_Henne_2021g~ISD #276-School Board Member (vote for 3)</v>
      </c>
      <c r="B2744" s="317" t="str">
        <f t="shared" si="704"/>
        <v>MN_Henne_2021g</v>
      </c>
      <c r="C2744" s="317" t="str">
        <f t="shared" si="705"/>
        <v/>
      </c>
      <c r="D2744" t="s">
        <v>6618</v>
      </c>
      <c r="E2744" t="s">
        <v>6626</v>
      </c>
      <c r="F2744" t="s">
        <v>6541</v>
      </c>
      <c r="G2744" s="318">
        <v>194</v>
      </c>
      <c r="O2744">
        <f t="shared" si="696"/>
        <v>8</v>
      </c>
      <c r="P2744" s="57">
        <f t="shared" si="697"/>
        <v>3</v>
      </c>
      <c r="Q2744" s="267">
        <f t="shared" si="698"/>
        <v>243</v>
      </c>
      <c r="R2744" s="23" t="str">
        <f t="shared" si="699"/>
        <v/>
      </c>
      <c r="S2744" s="23">
        <f t="shared" si="700"/>
        <v>194</v>
      </c>
      <c r="T2744" s="23" t="str">
        <f t="shared" si="701"/>
        <v/>
      </c>
      <c r="U2744" t="str">
        <f t="shared" si="702"/>
        <v/>
      </c>
      <c r="AF2744" s="22" t="str">
        <f t="shared" si="706"/>
        <v/>
      </c>
      <c r="AG2744" s="23"/>
      <c r="AH2744" s="8"/>
      <c r="AL2744" s="344"/>
    </row>
    <row r="2745" spans="1:38">
      <c r="A2745" s="23" t="str">
        <f t="shared" si="703"/>
        <v>MN_Henne_2021g~ISD #276-School Board Member (vote for 3)</v>
      </c>
      <c r="B2745" s="317" t="str">
        <f t="shared" si="704"/>
        <v>MN_Henne_2021g</v>
      </c>
      <c r="C2745" s="317" t="str">
        <f t="shared" si="705"/>
        <v/>
      </c>
      <c r="D2745" t="s">
        <v>6618</v>
      </c>
      <c r="E2745" t="s">
        <v>15</v>
      </c>
      <c r="F2745" t="s">
        <v>6544</v>
      </c>
      <c r="G2745" s="318">
        <v>49</v>
      </c>
      <c r="O2745">
        <f t="shared" si="696"/>
        <v>-8</v>
      </c>
      <c r="P2745" s="57">
        <f t="shared" si="697"/>
        <v>3</v>
      </c>
      <c r="Q2745" s="267">
        <f t="shared" si="698"/>
        <v>49</v>
      </c>
      <c r="R2745" s="23">
        <f t="shared" si="699"/>
        <v>1</v>
      </c>
      <c r="S2745" s="23">
        <f t="shared" si="700"/>
        <v>0</v>
      </c>
      <c r="T2745" s="23" t="str">
        <f t="shared" si="701"/>
        <v/>
      </c>
      <c r="U2745" t="str">
        <f t="shared" si="702"/>
        <v/>
      </c>
      <c r="AF2745" s="22" t="str">
        <f t="shared" si="706"/>
        <v/>
      </c>
      <c r="AH2745" s="8"/>
      <c r="AL2745" s="23"/>
    </row>
    <row r="2746" spans="1:38">
      <c r="A2746" s="23" t="str">
        <f t="shared" si="703"/>
        <v>MN_Henne_2021g~ISD #277-School Board Member (vote for 3)</v>
      </c>
      <c r="B2746" s="317" t="str">
        <f t="shared" si="704"/>
        <v>MN_Henne_2021g</v>
      </c>
      <c r="C2746" s="317" t="str">
        <f t="shared" si="705"/>
        <v/>
      </c>
      <c r="D2746" t="s">
        <v>6627</v>
      </c>
      <c r="E2746" t="s">
        <v>6628</v>
      </c>
      <c r="F2746" t="s">
        <v>6541</v>
      </c>
      <c r="G2746" s="318">
        <v>1372</v>
      </c>
      <c r="O2746">
        <f t="shared" si="696"/>
        <v>1</v>
      </c>
      <c r="P2746" s="57">
        <f t="shared" si="697"/>
        <v>3</v>
      </c>
      <c r="Q2746" s="267">
        <f t="shared" si="698"/>
        <v>2452.3333333333335</v>
      </c>
      <c r="R2746" s="23">
        <f t="shared" si="699"/>
        <v>1319</v>
      </c>
      <c r="S2746" s="23">
        <f t="shared" si="700"/>
        <v>1060</v>
      </c>
      <c r="T2746" s="23">
        <f t="shared" si="701"/>
        <v>259</v>
      </c>
      <c r="U2746" t="str">
        <f t="shared" si="702"/>
        <v>MN_Henne_2021g~ISD #277-School Board Member (vote for 3)</v>
      </c>
      <c r="AF2746" s="22" t="str">
        <f t="shared" si="706"/>
        <v/>
      </c>
    </row>
    <row r="2747" spans="1:38">
      <c r="A2747" s="23" t="str">
        <f t="shared" si="703"/>
        <v>MN_Henne_2021g~ISD #277-School Board Member (vote for 3)</v>
      </c>
      <c r="B2747" s="317" t="str">
        <f t="shared" si="704"/>
        <v>MN_Henne_2021g</v>
      </c>
      <c r="C2747" s="317" t="str">
        <f t="shared" si="705"/>
        <v/>
      </c>
      <c r="D2747" t="s">
        <v>6627</v>
      </c>
      <c r="E2747" t="s">
        <v>6629</v>
      </c>
      <c r="F2747" t="s">
        <v>6541</v>
      </c>
      <c r="G2747" s="318">
        <v>1365</v>
      </c>
      <c r="O2747">
        <f t="shared" si="696"/>
        <v>2</v>
      </c>
      <c r="P2747" s="57">
        <f t="shared" si="697"/>
        <v>3</v>
      </c>
      <c r="Q2747" s="267">
        <f t="shared" si="698"/>
        <v>5985</v>
      </c>
      <c r="R2747" s="23">
        <f t="shared" si="699"/>
        <v>1319</v>
      </c>
      <c r="S2747" s="23">
        <f t="shared" si="700"/>
        <v>1060</v>
      </c>
      <c r="T2747" s="23" t="str">
        <f t="shared" si="701"/>
        <v/>
      </c>
      <c r="U2747" t="str">
        <f t="shared" si="702"/>
        <v/>
      </c>
      <c r="AF2747" s="22" t="str">
        <f t="shared" si="706"/>
        <v/>
      </c>
      <c r="AH2747" s="8"/>
      <c r="AL2747" s="23"/>
    </row>
    <row r="2748" spans="1:38">
      <c r="A2748" s="23" t="str">
        <f t="shared" si="703"/>
        <v>MN_Henne_2021g~ISD #277-School Board Member (vote for 3)</v>
      </c>
      <c r="B2748" s="317" t="str">
        <f t="shared" si="704"/>
        <v>MN_Henne_2021g</v>
      </c>
      <c r="C2748" s="317" t="str">
        <f t="shared" si="705"/>
        <v/>
      </c>
      <c r="D2748" t="s">
        <v>6627</v>
      </c>
      <c r="E2748" t="s">
        <v>6630</v>
      </c>
      <c r="F2748" t="s">
        <v>6541</v>
      </c>
      <c r="G2748" s="318">
        <v>1319</v>
      </c>
      <c r="O2748">
        <f t="shared" si="696"/>
        <v>3</v>
      </c>
      <c r="P2748" s="57">
        <f t="shared" si="697"/>
        <v>3</v>
      </c>
      <c r="Q2748" s="267">
        <f t="shared" si="698"/>
        <v>4620</v>
      </c>
      <c r="R2748" s="23">
        <f t="shared" si="699"/>
        <v>1319</v>
      </c>
      <c r="S2748" s="23">
        <f t="shared" si="700"/>
        <v>1060</v>
      </c>
      <c r="T2748" s="23" t="str">
        <f t="shared" si="701"/>
        <v/>
      </c>
      <c r="U2748" t="str">
        <f t="shared" si="702"/>
        <v/>
      </c>
      <c r="AF2748" s="22" t="str">
        <f t="shared" si="706"/>
        <v/>
      </c>
    </row>
    <row r="2749" spans="1:38">
      <c r="A2749" s="23" t="str">
        <f t="shared" si="703"/>
        <v>MN_Henne_2021g~ISD #277-School Board Member (vote for 3)</v>
      </c>
      <c r="B2749" s="317" t="str">
        <f t="shared" si="704"/>
        <v>MN_Henne_2021g</v>
      </c>
      <c r="C2749" s="317" t="str">
        <f t="shared" si="705"/>
        <v/>
      </c>
      <c r="D2749" t="s">
        <v>6627</v>
      </c>
      <c r="E2749" t="s">
        <v>6631</v>
      </c>
      <c r="F2749" t="s">
        <v>6541</v>
      </c>
      <c r="G2749" s="318">
        <v>1060</v>
      </c>
      <c r="O2749">
        <f t="shared" si="696"/>
        <v>4</v>
      </c>
      <c r="P2749" s="57">
        <f t="shared" si="697"/>
        <v>3</v>
      </c>
      <c r="Q2749" s="267">
        <f t="shared" si="698"/>
        <v>3301</v>
      </c>
      <c r="R2749" s="23" t="str">
        <f t="shared" si="699"/>
        <v/>
      </c>
      <c r="S2749" s="23">
        <f t="shared" si="700"/>
        <v>1060</v>
      </c>
      <c r="T2749" s="23" t="str">
        <f t="shared" si="701"/>
        <v/>
      </c>
      <c r="U2749" t="str">
        <f t="shared" si="702"/>
        <v/>
      </c>
      <c r="AF2749" s="22" t="str">
        <f t="shared" si="706"/>
        <v/>
      </c>
    </row>
    <row r="2750" spans="1:38">
      <c r="A2750" s="23" t="str">
        <f t="shared" si="703"/>
        <v>MN_Henne_2021g~ISD #277-School Board Member (vote for 3)</v>
      </c>
      <c r="B2750" s="317" t="str">
        <f t="shared" si="704"/>
        <v>MN_Henne_2021g</v>
      </c>
      <c r="C2750" s="317" t="str">
        <f t="shared" si="705"/>
        <v/>
      </c>
      <c r="D2750" t="s">
        <v>6627</v>
      </c>
      <c r="E2750" t="s">
        <v>6632</v>
      </c>
      <c r="F2750" t="s">
        <v>6541</v>
      </c>
      <c r="G2750" s="318">
        <v>1055</v>
      </c>
      <c r="O2750">
        <f t="shared" si="696"/>
        <v>5</v>
      </c>
      <c r="P2750" s="57">
        <f t="shared" si="697"/>
        <v>3</v>
      </c>
      <c r="Q2750" s="267">
        <f t="shared" si="698"/>
        <v>2241</v>
      </c>
      <c r="R2750" s="23" t="str">
        <f t="shared" si="699"/>
        <v/>
      </c>
      <c r="S2750" s="23">
        <f t="shared" si="700"/>
        <v>1055</v>
      </c>
      <c r="T2750" s="23" t="str">
        <f t="shared" si="701"/>
        <v/>
      </c>
      <c r="U2750" t="str">
        <f t="shared" si="702"/>
        <v/>
      </c>
      <c r="AF2750" s="22" t="str">
        <f t="shared" si="706"/>
        <v/>
      </c>
      <c r="AH2750" s="8"/>
      <c r="AL2750" s="23"/>
    </row>
    <row r="2751" spans="1:38">
      <c r="A2751" s="23" t="str">
        <f t="shared" si="703"/>
        <v>MN_Henne_2021g~ISD #277-School Board Member (vote for 3)</v>
      </c>
      <c r="B2751" s="317" t="str">
        <f t="shared" si="704"/>
        <v>MN_Henne_2021g</v>
      </c>
      <c r="C2751" s="317" t="str">
        <f t="shared" si="705"/>
        <v/>
      </c>
      <c r="D2751" t="s">
        <v>6627</v>
      </c>
      <c r="E2751" t="s">
        <v>6633</v>
      </c>
      <c r="F2751" t="s">
        <v>6541</v>
      </c>
      <c r="G2751" s="318">
        <v>820</v>
      </c>
      <c r="O2751">
        <f t="shared" si="696"/>
        <v>6</v>
      </c>
      <c r="P2751" s="57">
        <f t="shared" si="697"/>
        <v>3</v>
      </c>
      <c r="Q2751" s="267">
        <f t="shared" si="698"/>
        <v>1186</v>
      </c>
      <c r="R2751" s="23" t="str">
        <f t="shared" si="699"/>
        <v/>
      </c>
      <c r="S2751" s="23">
        <f t="shared" si="700"/>
        <v>820</v>
      </c>
      <c r="T2751" s="23" t="str">
        <f t="shared" si="701"/>
        <v/>
      </c>
      <c r="U2751" t="str">
        <f t="shared" si="702"/>
        <v/>
      </c>
      <c r="AF2751" s="22" t="str">
        <f t="shared" si="706"/>
        <v/>
      </c>
      <c r="AH2751" s="8"/>
      <c r="AL2751" s="23"/>
    </row>
    <row r="2752" spans="1:38">
      <c r="A2752" s="23" t="str">
        <f t="shared" si="703"/>
        <v>MN_Henne_2021g~ISD #277-School Board Member (vote for 3)</v>
      </c>
      <c r="B2752" s="317" t="str">
        <f t="shared" si="704"/>
        <v>MN_Henne_2021g</v>
      </c>
      <c r="C2752" s="317" t="str">
        <f t="shared" si="705"/>
        <v/>
      </c>
      <c r="D2752" t="s">
        <v>6627</v>
      </c>
      <c r="E2752" t="s">
        <v>6634</v>
      </c>
      <c r="F2752" t="s">
        <v>6541</v>
      </c>
      <c r="G2752" s="318">
        <v>344</v>
      </c>
      <c r="O2752">
        <f t="shared" si="696"/>
        <v>7</v>
      </c>
      <c r="P2752" s="57">
        <f t="shared" si="697"/>
        <v>3</v>
      </c>
      <c r="Q2752" s="267">
        <f t="shared" si="698"/>
        <v>366</v>
      </c>
      <c r="R2752" s="23" t="str">
        <f t="shared" si="699"/>
        <v/>
      </c>
      <c r="S2752" s="23">
        <f t="shared" si="700"/>
        <v>344</v>
      </c>
      <c r="T2752" s="23" t="str">
        <f t="shared" si="701"/>
        <v/>
      </c>
      <c r="U2752" t="str">
        <f t="shared" si="702"/>
        <v/>
      </c>
      <c r="AF2752" s="22" t="str">
        <f t="shared" si="706"/>
        <v/>
      </c>
      <c r="AG2752" s="23"/>
      <c r="AH2752" s="8"/>
      <c r="AL2752" s="344"/>
    </row>
    <row r="2753" spans="1:38">
      <c r="A2753" s="23" t="str">
        <f t="shared" si="703"/>
        <v>MN_Henne_2021g~ISD #277-School Board Member (vote for 3)</v>
      </c>
      <c r="B2753" s="317" t="str">
        <f t="shared" si="704"/>
        <v>MN_Henne_2021g</v>
      </c>
      <c r="C2753" s="317" t="str">
        <f t="shared" ref="C2753:C2784" si="707">IF(AND(D2753=D2752,E2753=E2752),99,"")</f>
        <v/>
      </c>
      <c r="D2753" t="s">
        <v>6627</v>
      </c>
      <c r="E2753" t="s">
        <v>15</v>
      </c>
      <c r="F2753" t="s">
        <v>6544</v>
      </c>
      <c r="G2753" s="318">
        <v>22</v>
      </c>
      <c r="O2753">
        <f t="shared" si="696"/>
        <v>-7</v>
      </c>
      <c r="P2753" s="57">
        <f t="shared" si="697"/>
        <v>3</v>
      </c>
      <c r="Q2753" s="267">
        <f t="shared" si="698"/>
        <v>22</v>
      </c>
      <c r="R2753" s="23">
        <f t="shared" si="699"/>
        <v>1</v>
      </c>
      <c r="S2753" s="23">
        <f t="shared" si="700"/>
        <v>0</v>
      </c>
      <c r="T2753" s="23" t="str">
        <f t="shared" si="701"/>
        <v/>
      </c>
      <c r="U2753" t="str">
        <f t="shared" si="702"/>
        <v/>
      </c>
      <c r="AF2753" s="22" t="str">
        <f t="shared" si="706"/>
        <v/>
      </c>
    </row>
    <row r="2754" spans="1:38">
      <c r="A2754" s="23" t="str">
        <f t="shared" si="703"/>
        <v>MN_Henne_2021g~ISD #280-School Board Member (vote for 3)</v>
      </c>
      <c r="B2754" s="317" t="str">
        <f t="shared" si="704"/>
        <v>MN_Henne_2021g</v>
      </c>
      <c r="C2754" s="317" t="str">
        <f t="shared" si="707"/>
        <v/>
      </c>
      <c r="D2754" t="s">
        <v>6635</v>
      </c>
      <c r="E2754" t="s">
        <v>6636</v>
      </c>
      <c r="F2754" t="s">
        <v>6541</v>
      </c>
      <c r="G2754" s="318">
        <v>998</v>
      </c>
      <c r="O2754">
        <f t="shared" ref="O2754:O2817" si="708">IF(OR(LOWER(LEFT(E2754,8))="write-in",LOWER(LEFT(E2754,8))="not qual"),IF(A2754=A2753,-ABS(O2753),0),IF(A2754=A2753,ABS(O2753)+1,1))</f>
        <v>1</v>
      </c>
      <c r="P2754" s="57">
        <f t="shared" ref="P2754:P2817" si="709">1*LEFT(RIGHT(A2754,2),1)</f>
        <v>3</v>
      </c>
      <c r="Q2754" s="267">
        <f t="shared" ref="Q2754:Q2817" si="710">IF(A2754&lt;&gt;A2755,G2754,IF(A2754=A2753,G2754+Q2755,MAX(G2754,(G2754+Q2755)/P2754)))</f>
        <v>1004.3333333333334</v>
      </c>
      <c r="R2754" s="23">
        <f t="shared" ref="R2754:R2817" si="711">IF(O2754&gt;P2754,"",IF(O2754=P2754,G2754,IF(A2754=A2755,R2755,IF(O2754&lt;=0,1,G2754))))</f>
        <v>937</v>
      </c>
      <c r="S2754" s="23">
        <f t="shared" ref="S2754:S2817" si="712">IF(AND(O2754&gt;P2754,LOWER(LEFT(E2754,8))&lt;&gt;"write-in",LOWER(LEFT(E2754,8))&lt;&gt;"not qual"),G2754,IF(A2754=A2755,S2755,0))</f>
        <v>0</v>
      </c>
      <c r="T2754" s="23" t="str">
        <f t="shared" ref="T2754:T2817" si="713">IF(OR(A2754=A2753,S2754=0),"",R2754-ABS(S2754))</f>
        <v/>
      </c>
      <c r="U2754" t="str">
        <f t="shared" ref="U2754:U2817" si="714">IF(A2754=A2753,"",A2754)</f>
        <v>MN_Henne_2021g~ISD #280-School Board Member (vote for 3)</v>
      </c>
      <c r="AF2754" s="22" t="str">
        <f t="shared" si="706"/>
        <v/>
      </c>
      <c r="AH2754" s="8"/>
      <c r="AL2754" s="23"/>
    </row>
    <row r="2755" spans="1:38">
      <c r="A2755" s="23" t="str">
        <f t="shared" si="703"/>
        <v>MN_Henne_2021g~ISD #280-School Board Member (vote for 3)</v>
      </c>
      <c r="B2755" s="317" t="str">
        <f t="shared" si="704"/>
        <v>MN_Henne_2021g</v>
      </c>
      <c r="C2755" s="317" t="str">
        <f t="shared" si="707"/>
        <v/>
      </c>
      <c r="D2755" t="s">
        <v>6635</v>
      </c>
      <c r="E2755" t="s">
        <v>6637</v>
      </c>
      <c r="F2755" t="s">
        <v>6541</v>
      </c>
      <c r="G2755" s="318">
        <v>971</v>
      </c>
      <c r="O2755">
        <f t="shared" si="708"/>
        <v>2</v>
      </c>
      <c r="P2755" s="57">
        <f t="shared" si="709"/>
        <v>3</v>
      </c>
      <c r="Q2755" s="267">
        <f t="shared" si="710"/>
        <v>2015</v>
      </c>
      <c r="R2755" s="23">
        <f t="shared" si="711"/>
        <v>937</v>
      </c>
      <c r="S2755" s="23">
        <f t="shared" si="712"/>
        <v>0</v>
      </c>
      <c r="T2755" s="23" t="str">
        <f t="shared" si="713"/>
        <v/>
      </c>
      <c r="U2755" t="str">
        <f t="shared" si="714"/>
        <v/>
      </c>
      <c r="AF2755" s="22" t="str">
        <f t="shared" si="706"/>
        <v/>
      </c>
      <c r="AH2755" s="8"/>
      <c r="AL2755" s="23"/>
    </row>
    <row r="2756" spans="1:38">
      <c r="A2756" s="23" t="str">
        <f t="shared" si="703"/>
        <v>MN_Henne_2021g~ISD #280-School Board Member (vote for 3)</v>
      </c>
      <c r="B2756" s="317" t="str">
        <f t="shared" si="704"/>
        <v>MN_Henne_2021g</v>
      </c>
      <c r="C2756" s="317" t="str">
        <f t="shared" si="707"/>
        <v/>
      </c>
      <c r="D2756" t="s">
        <v>6635</v>
      </c>
      <c r="E2756" t="s">
        <v>6638</v>
      </c>
      <c r="F2756" t="s">
        <v>6541</v>
      </c>
      <c r="G2756" s="318">
        <v>937</v>
      </c>
      <c r="O2756">
        <f t="shared" si="708"/>
        <v>3</v>
      </c>
      <c r="P2756" s="57">
        <f t="shared" si="709"/>
        <v>3</v>
      </c>
      <c r="Q2756" s="267">
        <f t="shared" si="710"/>
        <v>1044</v>
      </c>
      <c r="R2756" s="23">
        <f t="shared" si="711"/>
        <v>937</v>
      </c>
      <c r="S2756" s="23">
        <f t="shared" si="712"/>
        <v>0</v>
      </c>
      <c r="T2756" s="23" t="str">
        <f t="shared" si="713"/>
        <v/>
      </c>
      <c r="U2756" t="str">
        <f t="shared" si="714"/>
        <v/>
      </c>
      <c r="AF2756" s="22" t="str">
        <f t="shared" si="706"/>
        <v/>
      </c>
    </row>
    <row r="2757" spans="1:38">
      <c r="A2757" s="23" t="str">
        <f t="shared" si="703"/>
        <v>MN_Henne_2021g~ISD #280-School Board Member (vote for 3)</v>
      </c>
      <c r="B2757" s="317" t="str">
        <f t="shared" si="704"/>
        <v>MN_Henne_2021g</v>
      </c>
      <c r="C2757" s="317" t="str">
        <f t="shared" si="707"/>
        <v/>
      </c>
      <c r="D2757" t="s">
        <v>6635</v>
      </c>
      <c r="E2757" t="s">
        <v>15</v>
      </c>
      <c r="F2757" t="s">
        <v>6544</v>
      </c>
      <c r="G2757" s="318">
        <v>107</v>
      </c>
      <c r="O2757">
        <f t="shared" si="708"/>
        <v>-3</v>
      </c>
      <c r="P2757" s="57">
        <f t="shared" si="709"/>
        <v>3</v>
      </c>
      <c r="Q2757" s="267">
        <f t="shared" si="710"/>
        <v>107</v>
      </c>
      <c r="R2757" s="23">
        <f t="shared" si="711"/>
        <v>1</v>
      </c>
      <c r="S2757" s="23">
        <f t="shared" si="712"/>
        <v>0</v>
      </c>
      <c r="T2757" s="23" t="str">
        <f t="shared" si="713"/>
        <v/>
      </c>
      <c r="U2757" t="str">
        <f t="shared" si="714"/>
        <v/>
      </c>
      <c r="AF2757" s="22" t="str">
        <f t="shared" si="706"/>
        <v/>
      </c>
      <c r="AH2757" s="8"/>
      <c r="AL2757" s="23"/>
    </row>
    <row r="2758" spans="1:38">
      <c r="A2758" s="23" t="str">
        <f t="shared" si="703"/>
        <v>MN_Henne_2021g~ISD #282-School Board Member (vote for 3)</v>
      </c>
      <c r="B2758" s="317" t="str">
        <f t="shared" si="704"/>
        <v>MN_Henne_2021g</v>
      </c>
      <c r="C2758" s="317" t="str">
        <f t="shared" si="707"/>
        <v/>
      </c>
      <c r="D2758" t="s">
        <v>6639</v>
      </c>
      <c r="E2758" t="s">
        <v>6640</v>
      </c>
      <c r="F2758" t="s">
        <v>6541</v>
      </c>
      <c r="G2758" s="318">
        <v>1396</v>
      </c>
      <c r="O2758">
        <f t="shared" si="708"/>
        <v>1</v>
      </c>
      <c r="P2758" s="57">
        <f t="shared" si="709"/>
        <v>3</v>
      </c>
      <c r="Q2758" s="267">
        <f t="shared" si="710"/>
        <v>1396</v>
      </c>
      <c r="R2758" s="23">
        <f t="shared" si="711"/>
        <v>1293</v>
      </c>
      <c r="S2758" s="23">
        <f t="shared" si="712"/>
        <v>0</v>
      </c>
      <c r="T2758" s="23" t="str">
        <f t="shared" si="713"/>
        <v/>
      </c>
      <c r="U2758" t="str">
        <f t="shared" si="714"/>
        <v>MN_Henne_2021g~ISD #282-School Board Member (vote for 3)</v>
      </c>
      <c r="AF2758" s="22" t="str">
        <f t="shared" si="706"/>
        <v/>
      </c>
      <c r="AH2758" s="8"/>
      <c r="AL2758" s="23"/>
    </row>
    <row r="2759" spans="1:38">
      <c r="A2759" s="23" t="str">
        <f t="shared" si="703"/>
        <v>MN_Henne_2021g~ISD #282-School Board Member (vote for 3)</v>
      </c>
      <c r="B2759" s="317" t="str">
        <f t="shared" si="704"/>
        <v>MN_Henne_2021g</v>
      </c>
      <c r="C2759" s="317" t="str">
        <f t="shared" si="707"/>
        <v/>
      </c>
      <c r="D2759" t="s">
        <v>6639</v>
      </c>
      <c r="E2759" t="s">
        <v>6641</v>
      </c>
      <c r="F2759" t="s">
        <v>6541</v>
      </c>
      <c r="G2759" s="318">
        <v>1368</v>
      </c>
      <c r="O2759">
        <f t="shared" si="708"/>
        <v>2</v>
      </c>
      <c r="P2759" s="57">
        <f t="shared" si="709"/>
        <v>3</v>
      </c>
      <c r="Q2759" s="267">
        <f t="shared" si="710"/>
        <v>2726</v>
      </c>
      <c r="R2759" s="23">
        <f t="shared" si="711"/>
        <v>1293</v>
      </c>
      <c r="S2759" s="23">
        <f t="shared" si="712"/>
        <v>0</v>
      </c>
      <c r="T2759" s="23" t="str">
        <f t="shared" si="713"/>
        <v/>
      </c>
      <c r="U2759" t="str">
        <f t="shared" si="714"/>
        <v/>
      </c>
      <c r="AF2759" s="22" t="str">
        <f t="shared" si="706"/>
        <v/>
      </c>
      <c r="AH2759" s="8"/>
      <c r="AL2759" s="23"/>
    </row>
    <row r="2760" spans="1:38">
      <c r="A2760" s="23" t="str">
        <f t="shared" si="703"/>
        <v>MN_Henne_2021g~ISD #282-School Board Member (vote for 3)</v>
      </c>
      <c r="B2760" s="317" t="str">
        <f t="shared" si="704"/>
        <v>MN_Henne_2021g</v>
      </c>
      <c r="C2760" s="317" t="str">
        <f t="shared" si="707"/>
        <v/>
      </c>
      <c r="D2760" t="s">
        <v>6639</v>
      </c>
      <c r="E2760" t="s">
        <v>6642</v>
      </c>
      <c r="F2760" t="s">
        <v>6541</v>
      </c>
      <c r="G2760" s="318">
        <v>1293</v>
      </c>
      <c r="O2760">
        <f t="shared" si="708"/>
        <v>3</v>
      </c>
      <c r="P2760" s="57">
        <f t="shared" si="709"/>
        <v>3</v>
      </c>
      <c r="Q2760" s="267">
        <f t="shared" si="710"/>
        <v>1358</v>
      </c>
      <c r="R2760" s="23">
        <f t="shared" si="711"/>
        <v>1293</v>
      </c>
      <c r="S2760" s="23">
        <f t="shared" si="712"/>
        <v>0</v>
      </c>
      <c r="T2760" s="23" t="str">
        <f t="shared" si="713"/>
        <v/>
      </c>
      <c r="U2760" t="str">
        <f t="shared" si="714"/>
        <v/>
      </c>
      <c r="AF2760" s="22" t="str">
        <f t="shared" si="706"/>
        <v/>
      </c>
      <c r="AH2760" s="8"/>
      <c r="AL2760" s="23"/>
    </row>
    <row r="2761" spans="1:38">
      <c r="A2761" s="23" t="str">
        <f t="shared" si="703"/>
        <v>MN_Henne_2021g~ISD #282-School Board Member (vote for 3)</v>
      </c>
      <c r="B2761" s="317" t="str">
        <f t="shared" si="704"/>
        <v>MN_Henne_2021g</v>
      </c>
      <c r="C2761" s="317" t="str">
        <f t="shared" si="707"/>
        <v/>
      </c>
      <c r="D2761" t="s">
        <v>6639</v>
      </c>
      <c r="E2761" t="s">
        <v>15</v>
      </c>
      <c r="F2761" t="s">
        <v>6544</v>
      </c>
      <c r="G2761" s="318">
        <v>65</v>
      </c>
      <c r="O2761">
        <f t="shared" si="708"/>
        <v>-3</v>
      </c>
      <c r="P2761" s="57">
        <f t="shared" si="709"/>
        <v>3</v>
      </c>
      <c r="Q2761" s="267">
        <f t="shared" si="710"/>
        <v>65</v>
      </c>
      <c r="R2761" s="23">
        <f t="shared" si="711"/>
        <v>1</v>
      </c>
      <c r="S2761" s="23">
        <f t="shared" si="712"/>
        <v>0</v>
      </c>
      <c r="T2761" s="23" t="str">
        <f t="shared" si="713"/>
        <v/>
      </c>
      <c r="U2761" t="str">
        <f t="shared" si="714"/>
        <v/>
      </c>
      <c r="AF2761" s="22" t="str">
        <f t="shared" si="706"/>
        <v/>
      </c>
    </row>
    <row r="2762" spans="1:38">
      <c r="A2762" s="23" t="str">
        <f t="shared" si="703"/>
        <v>MN_Henne_2021g~ISD #283-School Board Member (vote for 3)</v>
      </c>
      <c r="B2762" s="317" t="str">
        <f t="shared" si="704"/>
        <v>MN_Henne_2021g</v>
      </c>
      <c r="C2762" s="317" t="str">
        <f t="shared" si="707"/>
        <v/>
      </c>
      <c r="D2762" t="s">
        <v>6643</v>
      </c>
      <c r="E2762" t="s">
        <v>6644</v>
      </c>
      <c r="F2762" t="s">
        <v>6541</v>
      </c>
      <c r="G2762" s="318">
        <v>3418</v>
      </c>
      <c r="O2762">
        <f t="shared" si="708"/>
        <v>1</v>
      </c>
      <c r="P2762" s="57">
        <f t="shared" si="709"/>
        <v>3</v>
      </c>
      <c r="Q2762" s="267">
        <f t="shared" si="710"/>
        <v>3418</v>
      </c>
      <c r="R2762" s="23">
        <f t="shared" si="711"/>
        <v>2886</v>
      </c>
      <c r="S2762" s="23">
        <f t="shared" si="712"/>
        <v>0</v>
      </c>
      <c r="T2762" s="23" t="str">
        <f t="shared" si="713"/>
        <v/>
      </c>
      <c r="U2762" t="str">
        <f t="shared" si="714"/>
        <v>MN_Henne_2021g~ISD #283-School Board Member (vote for 3)</v>
      </c>
      <c r="AF2762" s="22" t="str">
        <f t="shared" si="706"/>
        <v/>
      </c>
      <c r="AG2762" s="23"/>
      <c r="AH2762" s="8"/>
      <c r="AL2762" s="344"/>
    </row>
    <row r="2763" spans="1:38">
      <c r="A2763" s="23" t="str">
        <f t="shared" si="703"/>
        <v>MN_Henne_2021g~ISD #283-School Board Member (vote for 3)</v>
      </c>
      <c r="B2763" s="317" t="str">
        <f t="shared" si="704"/>
        <v>MN_Henne_2021g</v>
      </c>
      <c r="C2763" s="317" t="str">
        <f t="shared" si="707"/>
        <v/>
      </c>
      <c r="D2763" t="s">
        <v>6643</v>
      </c>
      <c r="E2763" t="s">
        <v>6645</v>
      </c>
      <c r="F2763" t="s">
        <v>6541</v>
      </c>
      <c r="G2763" s="318">
        <v>3168</v>
      </c>
      <c r="O2763">
        <f t="shared" si="708"/>
        <v>2</v>
      </c>
      <c r="P2763" s="57">
        <f t="shared" si="709"/>
        <v>3</v>
      </c>
      <c r="Q2763" s="267">
        <f t="shared" si="710"/>
        <v>6312</v>
      </c>
      <c r="R2763" s="23">
        <f t="shared" si="711"/>
        <v>2886</v>
      </c>
      <c r="S2763" s="23">
        <f t="shared" si="712"/>
        <v>0</v>
      </c>
      <c r="T2763" s="23" t="str">
        <f t="shared" si="713"/>
        <v/>
      </c>
      <c r="U2763" t="str">
        <f t="shared" si="714"/>
        <v/>
      </c>
      <c r="AF2763" s="22" t="str">
        <f t="shared" si="706"/>
        <v/>
      </c>
    </row>
    <row r="2764" spans="1:38">
      <c r="A2764" s="23" t="str">
        <f t="shared" si="703"/>
        <v>MN_Henne_2021g~ISD #283-School Board Member (vote for 3)</v>
      </c>
      <c r="B2764" s="317" t="str">
        <f t="shared" si="704"/>
        <v>MN_Henne_2021g</v>
      </c>
      <c r="C2764" s="317" t="str">
        <f t="shared" si="707"/>
        <v/>
      </c>
      <c r="D2764" t="s">
        <v>6643</v>
      </c>
      <c r="E2764" t="s">
        <v>6646</v>
      </c>
      <c r="F2764" t="s">
        <v>6541</v>
      </c>
      <c r="G2764" s="318">
        <v>2886</v>
      </c>
      <c r="O2764">
        <f t="shared" si="708"/>
        <v>3</v>
      </c>
      <c r="P2764" s="57">
        <f t="shared" si="709"/>
        <v>3</v>
      </c>
      <c r="Q2764" s="267">
        <f t="shared" si="710"/>
        <v>3144</v>
      </c>
      <c r="R2764" s="23">
        <f t="shared" si="711"/>
        <v>2886</v>
      </c>
      <c r="S2764" s="23">
        <f t="shared" si="712"/>
        <v>0</v>
      </c>
      <c r="T2764" s="23" t="str">
        <f t="shared" si="713"/>
        <v/>
      </c>
      <c r="U2764" t="str">
        <f t="shared" si="714"/>
        <v/>
      </c>
      <c r="AF2764" s="22" t="str">
        <f t="shared" si="706"/>
        <v/>
      </c>
      <c r="AH2764" s="8"/>
      <c r="AL2764" s="23"/>
    </row>
    <row r="2765" spans="1:38">
      <c r="A2765" s="23" t="str">
        <f t="shared" si="703"/>
        <v>MN_Henne_2021g~ISD #283-School Board Member (vote for 3)</v>
      </c>
      <c r="B2765" s="317" t="str">
        <f t="shared" si="704"/>
        <v>MN_Henne_2021g</v>
      </c>
      <c r="C2765" s="317" t="str">
        <f t="shared" si="707"/>
        <v/>
      </c>
      <c r="D2765" t="s">
        <v>6643</v>
      </c>
      <c r="E2765" t="s">
        <v>15</v>
      </c>
      <c r="F2765" t="s">
        <v>6544</v>
      </c>
      <c r="G2765" s="318">
        <v>258</v>
      </c>
      <c r="O2765">
        <f t="shared" si="708"/>
        <v>-3</v>
      </c>
      <c r="P2765" s="57">
        <f t="shared" si="709"/>
        <v>3</v>
      </c>
      <c r="Q2765" s="267">
        <f t="shared" si="710"/>
        <v>258</v>
      </c>
      <c r="R2765" s="23">
        <f t="shared" si="711"/>
        <v>1</v>
      </c>
      <c r="S2765" s="23">
        <f t="shared" si="712"/>
        <v>0</v>
      </c>
      <c r="T2765" s="23" t="str">
        <f t="shared" si="713"/>
        <v/>
      </c>
      <c r="U2765" t="str">
        <f t="shared" si="714"/>
        <v/>
      </c>
      <c r="AF2765" s="22" t="str">
        <f t="shared" si="706"/>
        <v/>
      </c>
    </row>
    <row r="2766" spans="1:38">
      <c r="A2766" s="23" t="str">
        <f t="shared" si="703"/>
        <v>MN_Henne_2021g~ISD #284-School Board Member (vote for 3)</v>
      </c>
      <c r="B2766" s="317" t="str">
        <f t="shared" si="704"/>
        <v>MN_Henne_2021g</v>
      </c>
      <c r="C2766" s="317" t="str">
        <f t="shared" si="707"/>
        <v/>
      </c>
      <c r="D2766" t="s">
        <v>6647</v>
      </c>
      <c r="E2766" t="s">
        <v>6648</v>
      </c>
      <c r="F2766" t="s">
        <v>6541</v>
      </c>
      <c r="G2766" s="318">
        <v>6125</v>
      </c>
      <c r="O2766">
        <f t="shared" si="708"/>
        <v>1</v>
      </c>
      <c r="P2766" s="57">
        <f t="shared" si="709"/>
        <v>3</v>
      </c>
      <c r="Q2766" s="267">
        <f t="shared" si="710"/>
        <v>11577.333333333334</v>
      </c>
      <c r="R2766" s="23">
        <f t="shared" si="711"/>
        <v>4809</v>
      </c>
      <c r="S2766" s="23">
        <f t="shared" si="712"/>
        <v>4492</v>
      </c>
      <c r="T2766" s="23">
        <f t="shared" si="713"/>
        <v>317</v>
      </c>
      <c r="U2766" t="str">
        <f t="shared" si="714"/>
        <v>MN_Henne_2021g~ISD #284-School Board Member (vote for 3)</v>
      </c>
      <c r="AF2766" s="22" t="str">
        <f t="shared" si="706"/>
        <v/>
      </c>
    </row>
    <row r="2767" spans="1:38">
      <c r="A2767" s="23" t="str">
        <f t="shared" si="703"/>
        <v>MN_Henne_2021g~ISD #284-School Board Member (vote for 3)</v>
      </c>
      <c r="B2767" s="317" t="str">
        <f t="shared" si="704"/>
        <v>MN_Henne_2021g</v>
      </c>
      <c r="C2767" s="317" t="str">
        <f t="shared" si="707"/>
        <v/>
      </c>
      <c r="D2767" t="s">
        <v>6647</v>
      </c>
      <c r="E2767" t="s">
        <v>6649</v>
      </c>
      <c r="F2767" t="s">
        <v>6541</v>
      </c>
      <c r="G2767" s="318">
        <v>5632</v>
      </c>
      <c r="O2767">
        <f t="shared" si="708"/>
        <v>2</v>
      </c>
      <c r="P2767" s="57">
        <f t="shared" si="709"/>
        <v>3</v>
      </c>
      <c r="Q2767" s="267">
        <f t="shared" si="710"/>
        <v>28607</v>
      </c>
      <c r="R2767" s="23">
        <f t="shared" si="711"/>
        <v>4809</v>
      </c>
      <c r="S2767" s="23">
        <f t="shared" si="712"/>
        <v>4492</v>
      </c>
      <c r="T2767" s="23" t="str">
        <f t="shared" si="713"/>
        <v/>
      </c>
      <c r="U2767" t="str">
        <f t="shared" si="714"/>
        <v/>
      </c>
      <c r="AF2767" s="22" t="str">
        <f t="shared" si="706"/>
        <v/>
      </c>
    </row>
    <row r="2768" spans="1:38">
      <c r="A2768" s="23" t="str">
        <f t="shared" si="703"/>
        <v>MN_Henne_2021g~ISD #284-School Board Member (vote for 3)</v>
      </c>
      <c r="B2768" s="317" t="str">
        <f t="shared" si="704"/>
        <v>MN_Henne_2021g</v>
      </c>
      <c r="C2768" s="317" t="str">
        <f t="shared" si="707"/>
        <v/>
      </c>
      <c r="D2768" t="s">
        <v>6647</v>
      </c>
      <c r="E2768" t="s">
        <v>6650</v>
      </c>
      <c r="F2768" t="s">
        <v>6541</v>
      </c>
      <c r="G2768" s="318">
        <v>4809</v>
      </c>
      <c r="O2768">
        <f t="shared" si="708"/>
        <v>3</v>
      </c>
      <c r="P2768" s="57">
        <f t="shared" si="709"/>
        <v>3</v>
      </c>
      <c r="Q2768" s="267">
        <f t="shared" si="710"/>
        <v>22975</v>
      </c>
      <c r="R2768" s="23">
        <f t="shared" si="711"/>
        <v>4809</v>
      </c>
      <c r="S2768" s="23">
        <f t="shared" si="712"/>
        <v>4492</v>
      </c>
      <c r="T2768" s="23" t="str">
        <f t="shared" si="713"/>
        <v/>
      </c>
      <c r="U2768" t="str">
        <f t="shared" si="714"/>
        <v/>
      </c>
      <c r="AF2768" s="22" t="str">
        <f t="shared" si="706"/>
        <v/>
      </c>
      <c r="AH2768" s="8"/>
      <c r="AL2768" s="23"/>
    </row>
    <row r="2769" spans="1:47">
      <c r="A2769" s="23" t="str">
        <f t="shared" si="703"/>
        <v>MN_Henne_2021g~ISD #284-School Board Member (vote for 3)</v>
      </c>
      <c r="B2769" s="317" t="str">
        <f t="shared" si="704"/>
        <v>MN_Henne_2021g</v>
      </c>
      <c r="C2769" s="317" t="str">
        <f t="shared" si="707"/>
        <v/>
      </c>
      <c r="D2769" t="s">
        <v>6647</v>
      </c>
      <c r="E2769" t="s">
        <v>6651</v>
      </c>
      <c r="F2769" t="s">
        <v>6541</v>
      </c>
      <c r="G2769" s="318">
        <v>4492</v>
      </c>
      <c r="O2769">
        <f t="shared" si="708"/>
        <v>4</v>
      </c>
      <c r="P2769" s="57">
        <f t="shared" si="709"/>
        <v>3</v>
      </c>
      <c r="Q2769" s="267">
        <f t="shared" si="710"/>
        <v>18166</v>
      </c>
      <c r="R2769" s="23" t="str">
        <f t="shared" si="711"/>
        <v/>
      </c>
      <c r="S2769" s="23">
        <f t="shared" si="712"/>
        <v>4492</v>
      </c>
      <c r="T2769" s="23" t="str">
        <f t="shared" si="713"/>
        <v/>
      </c>
      <c r="U2769" t="str">
        <f t="shared" si="714"/>
        <v/>
      </c>
      <c r="AF2769" s="22" t="str">
        <f t="shared" si="706"/>
        <v/>
      </c>
      <c r="AU2769" s="1"/>
    </row>
    <row r="2770" spans="1:47">
      <c r="A2770" s="23" t="str">
        <f t="shared" si="703"/>
        <v>MN_Henne_2021g~ISD #284-School Board Member (vote for 3)</v>
      </c>
      <c r="B2770" s="317" t="str">
        <f t="shared" si="704"/>
        <v>MN_Henne_2021g</v>
      </c>
      <c r="C2770" s="317" t="str">
        <f t="shared" si="707"/>
        <v/>
      </c>
      <c r="D2770" t="s">
        <v>6647</v>
      </c>
      <c r="E2770" t="s">
        <v>6652</v>
      </c>
      <c r="F2770" t="s">
        <v>6541</v>
      </c>
      <c r="G2770" s="318">
        <v>4375</v>
      </c>
      <c r="O2770">
        <f t="shared" si="708"/>
        <v>5</v>
      </c>
      <c r="P2770" s="57">
        <f t="shared" si="709"/>
        <v>3</v>
      </c>
      <c r="Q2770" s="267">
        <f t="shared" si="710"/>
        <v>13674</v>
      </c>
      <c r="R2770" s="23" t="str">
        <f t="shared" si="711"/>
        <v/>
      </c>
      <c r="S2770" s="23">
        <f t="shared" si="712"/>
        <v>4375</v>
      </c>
      <c r="T2770" s="23" t="str">
        <f t="shared" si="713"/>
        <v/>
      </c>
      <c r="U2770" t="str">
        <f t="shared" si="714"/>
        <v/>
      </c>
      <c r="AF2770" s="22" t="str">
        <f t="shared" si="706"/>
        <v/>
      </c>
      <c r="AU2770" s="1"/>
    </row>
    <row r="2771" spans="1:47">
      <c r="A2771" s="23" t="str">
        <f t="shared" si="703"/>
        <v>MN_Henne_2021g~ISD #284-School Board Member (vote for 3)</v>
      </c>
      <c r="B2771" s="317" t="str">
        <f t="shared" si="704"/>
        <v>MN_Henne_2021g</v>
      </c>
      <c r="C2771" s="317" t="str">
        <f t="shared" si="707"/>
        <v/>
      </c>
      <c r="D2771" t="s">
        <v>6647</v>
      </c>
      <c r="E2771" t="s">
        <v>6653</v>
      </c>
      <c r="F2771" t="s">
        <v>6541</v>
      </c>
      <c r="G2771" s="318">
        <v>4281</v>
      </c>
      <c r="O2771">
        <f t="shared" si="708"/>
        <v>6</v>
      </c>
      <c r="P2771" s="57">
        <f t="shared" si="709"/>
        <v>3</v>
      </c>
      <c r="Q2771" s="267">
        <f t="shared" si="710"/>
        <v>9299</v>
      </c>
      <c r="R2771" s="23" t="str">
        <f t="shared" si="711"/>
        <v/>
      </c>
      <c r="S2771" s="23">
        <f t="shared" si="712"/>
        <v>4281</v>
      </c>
      <c r="T2771" s="23" t="str">
        <f t="shared" si="713"/>
        <v/>
      </c>
      <c r="U2771" t="str">
        <f t="shared" si="714"/>
        <v/>
      </c>
      <c r="AF2771" s="22" t="str">
        <f t="shared" si="706"/>
        <v/>
      </c>
      <c r="AH2771" s="8"/>
      <c r="AL2771" s="23"/>
      <c r="AU2771" s="1"/>
    </row>
    <row r="2772" spans="1:47">
      <c r="A2772" s="23" t="str">
        <f t="shared" si="703"/>
        <v>MN_Henne_2021g~ISD #284-School Board Member (vote for 3)</v>
      </c>
      <c r="B2772" s="317" t="str">
        <f t="shared" si="704"/>
        <v>MN_Henne_2021g</v>
      </c>
      <c r="C2772" s="317" t="str">
        <f t="shared" si="707"/>
        <v/>
      </c>
      <c r="D2772" t="s">
        <v>6647</v>
      </c>
      <c r="E2772" t="s">
        <v>6654</v>
      </c>
      <c r="F2772" t="s">
        <v>6541</v>
      </c>
      <c r="G2772" s="318">
        <v>1831</v>
      </c>
      <c r="O2772">
        <f t="shared" si="708"/>
        <v>7</v>
      </c>
      <c r="P2772" s="57">
        <f t="shared" si="709"/>
        <v>3</v>
      </c>
      <c r="Q2772" s="267">
        <f t="shared" si="710"/>
        <v>5018</v>
      </c>
      <c r="R2772" s="23" t="str">
        <f t="shared" si="711"/>
        <v/>
      </c>
      <c r="S2772" s="23">
        <f t="shared" si="712"/>
        <v>1831</v>
      </c>
      <c r="T2772" s="23" t="str">
        <f t="shared" si="713"/>
        <v/>
      </c>
      <c r="U2772" t="str">
        <f t="shared" si="714"/>
        <v/>
      </c>
      <c r="AF2772" s="22" t="str">
        <f t="shared" si="706"/>
        <v/>
      </c>
      <c r="AU2772" s="1"/>
    </row>
    <row r="2773" spans="1:47">
      <c r="A2773" s="23" t="str">
        <f t="shared" si="703"/>
        <v>MN_Henne_2021g~ISD #284-School Board Member (vote for 3)</v>
      </c>
      <c r="B2773" s="317" t="str">
        <f t="shared" si="704"/>
        <v>MN_Henne_2021g</v>
      </c>
      <c r="C2773" s="317" t="str">
        <f t="shared" si="707"/>
        <v/>
      </c>
      <c r="D2773" t="s">
        <v>6647</v>
      </c>
      <c r="E2773" t="s">
        <v>6655</v>
      </c>
      <c r="F2773" t="s">
        <v>6541</v>
      </c>
      <c r="G2773" s="318">
        <v>1674</v>
      </c>
      <c r="O2773">
        <f t="shared" si="708"/>
        <v>8</v>
      </c>
      <c r="P2773" s="57">
        <f t="shared" si="709"/>
        <v>3</v>
      </c>
      <c r="Q2773" s="267">
        <f t="shared" si="710"/>
        <v>3187</v>
      </c>
      <c r="R2773" s="23" t="str">
        <f t="shared" si="711"/>
        <v/>
      </c>
      <c r="S2773" s="23">
        <f t="shared" si="712"/>
        <v>1674</v>
      </c>
      <c r="T2773" s="23" t="str">
        <f t="shared" si="713"/>
        <v/>
      </c>
      <c r="U2773" t="str">
        <f t="shared" si="714"/>
        <v/>
      </c>
      <c r="AF2773" s="22" t="str">
        <f t="shared" si="706"/>
        <v/>
      </c>
      <c r="AU2773" s="1"/>
    </row>
    <row r="2774" spans="1:47">
      <c r="A2774" s="23" t="str">
        <f t="shared" si="703"/>
        <v>MN_Henne_2021g~ISD #284-School Board Member (vote for 3)</v>
      </c>
      <c r="B2774" s="317" t="str">
        <f t="shared" si="704"/>
        <v>MN_Henne_2021g</v>
      </c>
      <c r="C2774" s="317" t="str">
        <f t="shared" si="707"/>
        <v/>
      </c>
      <c r="D2774" t="s">
        <v>6647</v>
      </c>
      <c r="E2774" t="s">
        <v>6656</v>
      </c>
      <c r="F2774" t="s">
        <v>6541</v>
      </c>
      <c r="G2774" s="318">
        <v>938</v>
      </c>
      <c r="O2774">
        <f t="shared" si="708"/>
        <v>9</v>
      </c>
      <c r="P2774" s="57">
        <f t="shared" si="709"/>
        <v>3</v>
      </c>
      <c r="Q2774" s="267">
        <f t="shared" si="710"/>
        <v>1513</v>
      </c>
      <c r="R2774" s="23" t="str">
        <f t="shared" si="711"/>
        <v/>
      </c>
      <c r="S2774" s="23">
        <f t="shared" si="712"/>
        <v>938</v>
      </c>
      <c r="T2774" s="23" t="str">
        <f t="shared" si="713"/>
        <v/>
      </c>
      <c r="U2774" t="str">
        <f t="shared" si="714"/>
        <v/>
      </c>
      <c r="AF2774" s="22" t="str">
        <f t="shared" si="706"/>
        <v/>
      </c>
      <c r="AU2774" s="1"/>
    </row>
    <row r="2775" spans="1:47">
      <c r="A2775" s="23" t="str">
        <f t="shared" si="703"/>
        <v>MN_Henne_2021g~ISD #284-School Board Member (vote for 3)</v>
      </c>
      <c r="B2775" s="317" t="str">
        <f t="shared" si="704"/>
        <v>MN_Henne_2021g</v>
      </c>
      <c r="C2775" s="317" t="str">
        <f t="shared" si="707"/>
        <v/>
      </c>
      <c r="D2775" t="s">
        <v>6647</v>
      </c>
      <c r="E2775" t="s">
        <v>6657</v>
      </c>
      <c r="F2775" t="s">
        <v>6541</v>
      </c>
      <c r="G2775" s="318">
        <v>426</v>
      </c>
      <c r="O2775">
        <f t="shared" si="708"/>
        <v>10</v>
      </c>
      <c r="P2775" s="57">
        <f t="shared" si="709"/>
        <v>3</v>
      </c>
      <c r="Q2775" s="267">
        <f t="shared" si="710"/>
        <v>575</v>
      </c>
      <c r="R2775" s="23" t="str">
        <f t="shared" si="711"/>
        <v/>
      </c>
      <c r="S2775" s="23">
        <f t="shared" si="712"/>
        <v>426</v>
      </c>
      <c r="T2775" s="23" t="str">
        <f t="shared" si="713"/>
        <v/>
      </c>
      <c r="U2775" t="str">
        <f t="shared" si="714"/>
        <v/>
      </c>
      <c r="AF2775" s="22" t="str">
        <f t="shared" si="706"/>
        <v/>
      </c>
      <c r="AU2775" s="1"/>
    </row>
    <row r="2776" spans="1:47">
      <c r="A2776" s="23" t="str">
        <f t="shared" si="703"/>
        <v>MN_Henne_2021g~ISD #284-School Board Member (vote for 3)</v>
      </c>
      <c r="B2776" s="317" t="str">
        <f t="shared" si="704"/>
        <v>MN_Henne_2021g</v>
      </c>
      <c r="C2776" s="317" t="str">
        <f t="shared" si="707"/>
        <v/>
      </c>
      <c r="D2776" t="s">
        <v>6647</v>
      </c>
      <c r="E2776" t="s">
        <v>6658</v>
      </c>
      <c r="F2776" t="s">
        <v>6541</v>
      </c>
      <c r="G2776" s="318">
        <v>56</v>
      </c>
      <c r="O2776">
        <f t="shared" si="708"/>
        <v>11</v>
      </c>
      <c r="P2776" s="57">
        <f t="shared" si="709"/>
        <v>3</v>
      </c>
      <c r="Q2776" s="267">
        <f t="shared" si="710"/>
        <v>149</v>
      </c>
      <c r="R2776" s="23" t="str">
        <f t="shared" si="711"/>
        <v/>
      </c>
      <c r="S2776" s="23">
        <f t="shared" si="712"/>
        <v>56</v>
      </c>
      <c r="T2776" s="23" t="str">
        <f t="shared" si="713"/>
        <v/>
      </c>
      <c r="U2776" t="str">
        <f t="shared" si="714"/>
        <v/>
      </c>
      <c r="AF2776" s="22" t="str">
        <f t="shared" si="706"/>
        <v/>
      </c>
      <c r="AU2776" s="1"/>
    </row>
    <row r="2777" spans="1:47">
      <c r="A2777" s="23" t="str">
        <f t="shared" si="703"/>
        <v>MN_Henne_2021g~ISD #284-School Board Member (vote for 3)</v>
      </c>
      <c r="B2777" s="317" t="str">
        <f t="shared" si="704"/>
        <v>MN_Henne_2021g</v>
      </c>
      <c r="C2777" s="317" t="str">
        <f t="shared" si="707"/>
        <v/>
      </c>
      <c r="D2777" t="s">
        <v>6647</v>
      </c>
      <c r="E2777" t="s">
        <v>6659</v>
      </c>
      <c r="F2777" t="s">
        <v>6541</v>
      </c>
      <c r="G2777" s="318">
        <v>54</v>
      </c>
      <c r="O2777">
        <f t="shared" si="708"/>
        <v>12</v>
      </c>
      <c r="P2777" s="57">
        <f t="shared" si="709"/>
        <v>3</v>
      </c>
      <c r="Q2777" s="267">
        <f t="shared" si="710"/>
        <v>93</v>
      </c>
      <c r="R2777" s="23" t="str">
        <f t="shared" si="711"/>
        <v/>
      </c>
      <c r="S2777" s="23">
        <f t="shared" si="712"/>
        <v>54</v>
      </c>
      <c r="T2777" s="23" t="str">
        <f t="shared" si="713"/>
        <v/>
      </c>
      <c r="U2777" t="str">
        <f t="shared" si="714"/>
        <v/>
      </c>
      <c r="AF2777" s="22" t="str">
        <f t="shared" si="706"/>
        <v/>
      </c>
      <c r="AU2777" s="1"/>
    </row>
    <row r="2778" spans="1:47">
      <c r="A2778" s="23" t="str">
        <f t="shared" si="703"/>
        <v>MN_Henne_2021g~ISD #284-School Board Member (vote for 3)</v>
      </c>
      <c r="B2778" s="317" t="str">
        <f t="shared" si="704"/>
        <v>MN_Henne_2021g</v>
      </c>
      <c r="C2778" s="317" t="str">
        <f t="shared" si="707"/>
        <v/>
      </c>
      <c r="D2778" t="s">
        <v>6647</v>
      </c>
      <c r="E2778" t="s">
        <v>15</v>
      </c>
      <c r="F2778" t="s">
        <v>6544</v>
      </c>
      <c r="G2778" s="318">
        <v>39</v>
      </c>
      <c r="O2778">
        <f t="shared" si="708"/>
        <v>-12</v>
      </c>
      <c r="P2778" s="57">
        <f t="shared" si="709"/>
        <v>3</v>
      </c>
      <c r="Q2778" s="267">
        <f t="shared" si="710"/>
        <v>39</v>
      </c>
      <c r="R2778" s="23">
        <f t="shared" si="711"/>
        <v>1</v>
      </c>
      <c r="S2778" s="23">
        <f t="shared" si="712"/>
        <v>0</v>
      </c>
      <c r="T2778" s="23" t="str">
        <f t="shared" si="713"/>
        <v/>
      </c>
      <c r="U2778" t="str">
        <f t="shared" si="714"/>
        <v/>
      </c>
      <c r="AF2778" s="22" t="str">
        <f t="shared" si="706"/>
        <v/>
      </c>
      <c r="AU2778" s="1"/>
    </row>
    <row r="2779" spans="1:47">
      <c r="A2779" s="23" t="str">
        <f t="shared" si="703"/>
        <v>MN_Henne_2021g~ISD #879-SCHOOL DISTRICT QUESTION 1 (vote for 1)</v>
      </c>
      <c r="B2779" s="317" t="str">
        <f t="shared" si="704"/>
        <v>MN_Henne_2021g</v>
      </c>
      <c r="C2779" s="317" t="str">
        <f t="shared" si="707"/>
        <v/>
      </c>
      <c r="D2779" t="s">
        <v>6660</v>
      </c>
      <c r="E2779" t="s">
        <v>1982</v>
      </c>
      <c r="F2779" t="s">
        <v>6541</v>
      </c>
      <c r="G2779" s="318">
        <v>1906</v>
      </c>
      <c r="O2779">
        <f t="shared" si="708"/>
        <v>1</v>
      </c>
      <c r="P2779" s="57">
        <f t="shared" si="709"/>
        <v>1</v>
      </c>
      <c r="Q2779" s="267">
        <f t="shared" si="710"/>
        <v>2991</v>
      </c>
      <c r="R2779" s="23">
        <f t="shared" si="711"/>
        <v>1906</v>
      </c>
      <c r="S2779" s="23">
        <f t="shared" si="712"/>
        <v>1085</v>
      </c>
      <c r="T2779" s="23">
        <f t="shared" si="713"/>
        <v>821</v>
      </c>
      <c r="U2779" t="str">
        <f t="shared" si="714"/>
        <v>MN_Henne_2021g~ISD #879-SCHOOL DISTRICT QUESTION 1 (vote for 1)</v>
      </c>
      <c r="AF2779" s="22" t="str">
        <f t="shared" si="706"/>
        <v/>
      </c>
      <c r="AU2779" s="1"/>
    </row>
    <row r="2780" spans="1:47">
      <c r="A2780" s="23" t="str">
        <f t="shared" si="703"/>
        <v>MN_Henne_2021g~ISD #879-SCHOOL DISTRICT QUESTION 1 (vote for 1)</v>
      </c>
      <c r="B2780" s="317" t="str">
        <f t="shared" si="704"/>
        <v>MN_Henne_2021g</v>
      </c>
      <c r="C2780" s="317" t="str">
        <f t="shared" si="707"/>
        <v/>
      </c>
      <c r="D2780" t="s">
        <v>6660</v>
      </c>
      <c r="E2780" t="s">
        <v>1981</v>
      </c>
      <c r="F2780" t="s">
        <v>6541</v>
      </c>
      <c r="G2780" s="318">
        <v>1085</v>
      </c>
      <c r="O2780">
        <f t="shared" si="708"/>
        <v>2</v>
      </c>
      <c r="P2780" s="57">
        <f t="shared" si="709"/>
        <v>1</v>
      </c>
      <c r="Q2780" s="267">
        <f t="shared" si="710"/>
        <v>1085</v>
      </c>
      <c r="R2780" s="23" t="str">
        <f t="shared" si="711"/>
        <v/>
      </c>
      <c r="S2780" s="23">
        <f t="shared" si="712"/>
        <v>1085</v>
      </c>
      <c r="T2780" s="23" t="str">
        <f t="shared" si="713"/>
        <v/>
      </c>
      <c r="U2780" t="str">
        <f t="shared" si="714"/>
        <v/>
      </c>
      <c r="AF2780" s="22" t="str">
        <f t="shared" si="706"/>
        <v/>
      </c>
      <c r="AU2780" s="1"/>
    </row>
    <row r="2781" spans="1:47">
      <c r="A2781" s="23" t="str">
        <f t="shared" si="703"/>
        <v>MN_Henne_2021g~Minneapolis-Board of Estimate and Taxation (vote for 2)</v>
      </c>
      <c r="B2781" s="317" t="str">
        <f t="shared" si="704"/>
        <v>MN_Henne_2021g</v>
      </c>
      <c r="C2781" s="317" t="str">
        <f t="shared" si="707"/>
        <v/>
      </c>
      <c r="D2781" t="s">
        <v>6661</v>
      </c>
      <c r="E2781" t="s">
        <v>6662</v>
      </c>
      <c r="F2781" t="s">
        <v>6541</v>
      </c>
      <c r="G2781" s="318">
        <v>42610</v>
      </c>
      <c r="O2781">
        <f t="shared" si="708"/>
        <v>1</v>
      </c>
      <c r="P2781" s="57">
        <f t="shared" si="709"/>
        <v>2</v>
      </c>
      <c r="Q2781" s="267">
        <f t="shared" si="710"/>
        <v>47713.5</v>
      </c>
      <c r="R2781" s="23">
        <f t="shared" si="711"/>
        <v>25547</v>
      </c>
      <c r="S2781" s="23">
        <f t="shared" si="712"/>
        <v>20749</v>
      </c>
      <c r="T2781" s="23">
        <f t="shared" si="713"/>
        <v>4798</v>
      </c>
      <c r="U2781" t="str">
        <f t="shared" si="714"/>
        <v>MN_Henne_2021g~Minneapolis-Board of Estimate and Taxation (vote for 2)</v>
      </c>
      <c r="AF2781" s="22" t="str">
        <f t="shared" si="706"/>
        <v/>
      </c>
      <c r="AU2781" s="1"/>
    </row>
    <row r="2782" spans="1:47">
      <c r="A2782" s="23" t="str">
        <f t="shared" si="703"/>
        <v>MN_Henne_2021g~Minneapolis-Board of Estimate and Taxation (vote for 2)</v>
      </c>
      <c r="B2782" s="317" t="str">
        <f t="shared" si="704"/>
        <v>MN_Henne_2021g</v>
      </c>
      <c r="C2782" s="317" t="str">
        <f t="shared" si="707"/>
        <v/>
      </c>
      <c r="D2782" t="s">
        <v>6661</v>
      </c>
      <c r="E2782" t="s">
        <v>6663</v>
      </c>
      <c r="F2782" t="s">
        <v>6541</v>
      </c>
      <c r="G2782" s="318">
        <v>25547</v>
      </c>
      <c r="O2782">
        <f t="shared" si="708"/>
        <v>2</v>
      </c>
      <c r="P2782" s="57">
        <f t="shared" si="709"/>
        <v>2</v>
      </c>
      <c r="Q2782" s="267">
        <f t="shared" si="710"/>
        <v>52817</v>
      </c>
      <c r="R2782" s="23">
        <f t="shared" si="711"/>
        <v>25547</v>
      </c>
      <c r="S2782" s="23">
        <f t="shared" si="712"/>
        <v>20749</v>
      </c>
      <c r="T2782" s="23" t="str">
        <f t="shared" si="713"/>
        <v/>
      </c>
      <c r="U2782" t="str">
        <f t="shared" si="714"/>
        <v/>
      </c>
      <c r="AF2782" s="22" t="str">
        <f t="shared" si="706"/>
        <v/>
      </c>
      <c r="AU2782" s="1"/>
    </row>
    <row r="2783" spans="1:47">
      <c r="A2783" s="23" t="str">
        <f t="shared" si="703"/>
        <v>MN_Henne_2021g~Minneapolis-Board of Estimate and Taxation (vote for 2)</v>
      </c>
      <c r="B2783" s="317" t="str">
        <f t="shared" si="704"/>
        <v>MN_Henne_2021g</v>
      </c>
      <c r="C2783" s="317" t="str">
        <f t="shared" si="707"/>
        <v/>
      </c>
      <c r="D2783" t="s">
        <v>6661</v>
      </c>
      <c r="E2783" t="s">
        <v>6664</v>
      </c>
      <c r="F2783" t="s">
        <v>6541</v>
      </c>
      <c r="G2783" s="318">
        <v>20749</v>
      </c>
      <c r="O2783">
        <f t="shared" si="708"/>
        <v>3</v>
      </c>
      <c r="P2783" s="57">
        <f t="shared" si="709"/>
        <v>2</v>
      </c>
      <c r="Q2783" s="267">
        <f t="shared" si="710"/>
        <v>27270</v>
      </c>
      <c r="R2783" s="23" t="str">
        <f t="shared" si="711"/>
        <v/>
      </c>
      <c r="S2783" s="23">
        <f t="shared" si="712"/>
        <v>20749</v>
      </c>
      <c r="T2783" s="23" t="str">
        <f t="shared" si="713"/>
        <v/>
      </c>
      <c r="U2783" t="str">
        <f t="shared" si="714"/>
        <v/>
      </c>
      <c r="AF2783" s="22" t="str">
        <f t="shared" si="706"/>
        <v/>
      </c>
      <c r="AH2783" s="8"/>
      <c r="AL2783" s="23"/>
      <c r="AU2783" s="1"/>
    </row>
    <row r="2784" spans="1:47">
      <c r="A2784" s="23" t="str">
        <f t="shared" si="703"/>
        <v>MN_Henne_2021g~Minneapolis-Board of Estimate and Taxation (vote for 2)</v>
      </c>
      <c r="B2784" s="317" t="str">
        <f t="shared" si="704"/>
        <v>MN_Henne_2021g</v>
      </c>
      <c r="C2784" s="317" t="str">
        <f t="shared" si="707"/>
        <v/>
      </c>
      <c r="D2784" t="s">
        <v>6661</v>
      </c>
      <c r="E2784" t="s">
        <v>6665</v>
      </c>
      <c r="F2784" t="s">
        <v>6541</v>
      </c>
      <c r="G2784" s="318">
        <v>5773</v>
      </c>
      <c r="O2784">
        <f t="shared" si="708"/>
        <v>4</v>
      </c>
      <c r="P2784" s="57">
        <f t="shared" si="709"/>
        <v>2</v>
      </c>
      <c r="Q2784" s="267">
        <f t="shared" si="710"/>
        <v>6521</v>
      </c>
      <c r="R2784" s="23" t="str">
        <f t="shared" si="711"/>
        <v/>
      </c>
      <c r="S2784" s="23">
        <f t="shared" si="712"/>
        <v>5773</v>
      </c>
      <c r="T2784" s="23" t="str">
        <f t="shared" si="713"/>
        <v/>
      </c>
      <c r="U2784" t="str">
        <f t="shared" si="714"/>
        <v/>
      </c>
      <c r="AF2784" s="22" t="str">
        <f t="shared" si="706"/>
        <v/>
      </c>
      <c r="AU2784" s="1"/>
    </row>
    <row r="2785" spans="1:47">
      <c r="A2785" s="23" t="str">
        <f t="shared" ref="A2785:A2848" si="715">CONCATENATE("MN_Henne_2021g~",D2785)</f>
        <v>MN_Henne_2021g~Minneapolis-Board of Estimate and Taxation (vote for 2)</v>
      </c>
      <c r="B2785" s="317" t="str">
        <f t="shared" ref="B2785:B2848" si="716">LEFT(A2785,14)</f>
        <v>MN_Henne_2021g</v>
      </c>
      <c r="C2785" s="317" t="str">
        <f t="shared" ref="C2785" si="717">IF(AND(D2785=D2784,E2785=E2784),99,"")</f>
        <v/>
      </c>
      <c r="D2785" t="s">
        <v>6661</v>
      </c>
      <c r="E2785" t="s">
        <v>15</v>
      </c>
      <c r="F2785" t="s">
        <v>6544</v>
      </c>
      <c r="G2785" s="318">
        <v>748</v>
      </c>
      <c r="O2785">
        <f t="shared" si="708"/>
        <v>-4</v>
      </c>
      <c r="P2785" s="57">
        <f t="shared" si="709"/>
        <v>2</v>
      </c>
      <c r="Q2785" s="267">
        <f t="shared" si="710"/>
        <v>748</v>
      </c>
      <c r="R2785" s="23">
        <f t="shared" si="711"/>
        <v>1</v>
      </c>
      <c r="S2785" s="23">
        <f t="shared" si="712"/>
        <v>0</v>
      </c>
      <c r="T2785" s="23" t="str">
        <f t="shared" si="713"/>
        <v/>
      </c>
      <c r="U2785" t="str">
        <f t="shared" si="714"/>
        <v/>
      </c>
      <c r="AF2785" s="22" t="str">
        <f t="shared" si="706"/>
        <v/>
      </c>
      <c r="AU2785" s="1"/>
    </row>
    <row r="2786" spans="1:47">
      <c r="A2786" s="23" t="str">
        <f t="shared" si="715"/>
        <v>MN_Henne_2021g~Minneapolis-CITY QUESTION 1 (vote for 1)</v>
      </c>
      <c r="B2786" s="317" t="str">
        <f t="shared" si="716"/>
        <v>MN_Henne_2021g</v>
      </c>
      <c r="C2786" s="317" t="s">
        <v>6030</v>
      </c>
      <c r="D2786" t="s">
        <v>6666</v>
      </c>
      <c r="E2786" t="s">
        <v>1981</v>
      </c>
      <c r="F2786" t="s">
        <v>6541</v>
      </c>
      <c r="G2786" s="318">
        <v>74037</v>
      </c>
      <c r="O2786">
        <f t="shared" si="708"/>
        <v>1</v>
      </c>
      <c r="P2786" s="57">
        <f t="shared" si="709"/>
        <v>1</v>
      </c>
      <c r="Q2786" s="267">
        <f t="shared" si="710"/>
        <v>141265</v>
      </c>
      <c r="R2786" s="23">
        <f t="shared" si="711"/>
        <v>74037</v>
      </c>
      <c r="S2786" s="23">
        <f t="shared" si="712"/>
        <v>67228</v>
      </c>
      <c r="T2786" s="23">
        <f t="shared" si="713"/>
        <v>6809</v>
      </c>
      <c r="U2786" t="str">
        <f t="shared" si="714"/>
        <v>MN_Henne_2021g~Minneapolis-CITY QUESTION 1 (vote for 1)</v>
      </c>
      <c r="AF2786" s="22" t="str">
        <f t="shared" si="706"/>
        <v/>
      </c>
      <c r="AU2786" s="1"/>
    </row>
    <row r="2787" spans="1:47">
      <c r="A2787" s="23" t="str">
        <f t="shared" si="715"/>
        <v>MN_Henne_2021g~Minneapolis-CITY QUESTION 1 (vote for 1)</v>
      </c>
      <c r="B2787" s="317" t="str">
        <f t="shared" si="716"/>
        <v>MN_Henne_2021g</v>
      </c>
      <c r="C2787" s="317" t="s">
        <v>6030</v>
      </c>
      <c r="D2787" t="s">
        <v>6666</v>
      </c>
      <c r="E2787" t="s">
        <v>1982</v>
      </c>
      <c r="F2787" t="s">
        <v>6541</v>
      </c>
      <c r="G2787" s="318">
        <v>67228</v>
      </c>
      <c r="O2787">
        <f t="shared" si="708"/>
        <v>2</v>
      </c>
      <c r="P2787" s="57">
        <f t="shared" si="709"/>
        <v>1</v>
      </c>
      <c r="Q2787" s="267">
        <f t="shared" si="710"/>
        <v>67228</v>
      </c>
      <c r="R2787" s="23" t="str">
        <f t="shared" si="711"/>
        <v/>
      </c>
      <c r="S2787" s="23">
        <f t="shared" si="712"/>
        <v>67228</v>
      </c>
      <c r="T2787" s="23" t="str">
        <f t="shared" si="713"/>
        <v/>
      </c>
      <c r="U2787" t="str">
        <f t="shared" si="714"/>
        <v/>
      </c>
      <c r="AF2787" s="22" t="str">
        <f t="shared" si="706"/>
        <v/>
      </c>
      <c r="AO2787" s="356"/>
      <c r="AP2787" s="356"/>
      <c r="AQ2787" s="394"/>
      <c r="AR2787" s="394"/>
      <c r="AS2787" s="394"/>
      <c r="AU2787" s="1"/>
    </row>
    <row r="2788" spans="1:47">
      <c r="A2788" s="23" t="str">
        <f t="shared" si="715"/>
        <v>MN_Henne_2021g~Minneapolis-CITY QUESTION 2 (vote for 1)</v>
      </c>
      <c r="B2788" s="317" t="str">
        <f t="shared" si="716"/>
        <v>MN_Henne_2021g</v>
      </c>
      <c r="C2788" s="317" t="s">
        <v>6030</v>
      </c>
      <c r="D2788" t="s">
        <v>6667</v>
      </c>
      <c r="E2788" t="s">
        <v>1982</v>
      </c>
      <c r="F2788" t="s">
        <v>6541</v>
      </c>
      <c r="G2788" s="318">
        <v>80506</v>
      </c>
      <c r="O2788">
        <f t="shared" si="708"/>
        <v>1</v>
      </c>
      <c r="P2788" s="57">
        <f t="shared" si="709"/>
        <v>1</v>
      </c>
      <c r="Q2788" s="267">
        <f t="shared" si="710"/>
        <v>143319</v>
      </c>
      <c r="R2788" s="23">
        <f t="shared" si="711"/>
        <v>80506</v>
      </c>
      <c r="S2788" s="23">
        <f t="shared" si="712"/>
        <v>62813</v>
      </c>
      <c r="T2788" s="23">
        <f t="shared" si="713"/>
        <v>17693</v>
      </c>
      <c r="U2788" t="str">
        <f t="shared" si="714"/>
        <v>MN_Henne_2021g~Minneapolis-CITY QUESTION 2 (vote for 1)</v>
      </c>
      <c r="AF2788" s="22" t="str">
        <f t="shared" si="706"/>
        <v/>
      </c>
      <c r="AH2788" s="8"/>
      <c r="AL2788" s="23"/>
      <c r="AU2788" s="1"/>
    </row>
    <row r="2789" spans="1:47">
      <c r="A2789" s="23" t="str">
        <f t="shared" si="715"/>
        <v>MN_Henne_2021g~Minneapolis-CITY QUESTION 2 (vote for 1)</v>
      </c>
      <c r="B2789" s="317" t="str">
        <f t="shared" si="716"/>
        <v>MN_Henne_2021g</v>
      </c>
      <c r="C2789" s="317" t="s">
        <v>6030</v>
      </c>
      <c r="D2789" t="s">
        <v>6667</v>
      </c>
      <c r="E2789" t="s">
        <v>1981</v>
      </c>
      <c r="F2789" t="s">
        <v>6541</v>
      </c>
      <c r="G2789" s="318">
        <v>62813</v>
      </c>
      <c r="O2789">
        <f t="shared" si="708"/>
        <v>2</v>
      </c>
      <c r="P2789" s="57">
        <f t="shared" si="709"/>
        <v>1</v>
      </c>
      <c r="Q2789" s="267">
        <f t="shared" si="710"/>
        <v>62813</v>
      </c>
      <c r="R2789" s="23" t="str">
        <f t="shared" si="711"/>
        <v/>
      </c>
      <c r="S2789" s="23">
        <f t="shared" si="712"/>
        <v>62813</v>
      </c>
      <c r="T2789" s="23" t="str">
        <f t="shared" si="713"/>
        <v/>
      </c>
      <c r="U2789" t="str">
        <f t="shared" si="714"/>
        <v/>
      </c>
      <c r="AF2789" s="22" t="str">
        <f t="shared" si="706"/>
        <v/>
      </c>
      <c r="AU2789" s="1"/>
    </row>
    <row r="2790" spans="1:47">
      <c r="A2790" s="23" t="str">
        <f t="shared" si="715"/>
        <v>MN_Henne_2021g~Minneapolis-CITY QUESTION 3 (vote for 1)</v>
      </c>
      <c r="B2790" s="317" t="str">
        <f t="shared" si="716"/>
        <v>MN_Henne_2021g</v>
      </c>
      <c r="C2790" s="317" t="s">
        <v>6030</v>
      </c>
      <c r="D2790" t="s">
        <v>6668</v>
      </c>
      <c r="E2790" t="s">
        <v>1981</v>
      </c>
      <c r="F2790" t="s">
        <v>6541</v>
      </c>
      <c r="G2790" s="318">
        <v>75598</v>
      </c>
      <c r="O2790">
        <f t="shared" si="708"/>
        <v>1</v>
      </c>
      <c r="P2790" s="57">
        <f t="shared" si="709"/>
        <v>1</v>
      </c>
      <c r="Q2790" s="267">
        <f t="shared" si="710"/>
        <v>142066</v>
      </c>
      <c r="R2790" s="23">
        <f t="shared" si="711"/>
        <v>75598</v>
      </c>
      <c r="S2790" s="23">
        <f t="shared" si="712"/>
        <v>66468</v>
      </c>
      <c r="T2790" s="23">
        <f t="shared" si="713"/>
        <v>9130</v>
      </c>
      <c r="U2790" t="str">
        <f t="shared" si="714"/>
        <v>MN_Henne_2021g~Minneapolis-CITY QUESTION 3 (vote for 1)</v>
      </c>
      <c r="AF2790" s="22" t="str">
        <f t="shared" si="706"/>
        <v/>
      </c>
      <c r="AU2790" s="1"/>
    </row>
    <row r="2791" spans="1:47">
      <c r="A2791" s="23" t="str">
        <f t="shared" si="715"/>
        <v>MN_Henne_2021g~Minneapolis-CITY QUESTION 3 (vote for 1)</v>
      </c>
      <c r="B2791" s="317" t="str">
        <f t="shared" si="716"/>
        <v>MN_Henne_2021g</v>
      </c>
      <c r="C2791" s="317" t="s">
        <v>6030</v>
      </c>
      <c r="D2791" t="s">
        <v>6668</v>
      </c>
      <c r="E2791" t="s">
        <v>1982</v>
      </c>
      <c r="F2791" t="s">
        <v>6541</v>
      </c>
      <c r="G2791" s="318">
        <v>66468</v>
      </c>
      <c r="O2791">
        <f t="shared" si="708"/>
        <v>2</v>
      </c>
      <c r="P2791" s="57">
        <f t="shared" si="709"/>
        <v>1</v>
      </c>
      <c r="Q2791" s="267">
        <f t="shared" si="710"/>
        <v>66468</v>
      </c>
      <c r="R2791" s="23" t="str">
        <f t="shared" si="711"/>
        <v/>
      </c>
      <c r="S2791" s="23">
        <f t="shared" si="712"/>
        <v>66468</v>
      </c>
      <c r="T2791" s="23" t="str">
        <f t="shared" si="713"/>
        <v/>
      </c>
      <c r="U2791" t="str">
        <f t="shared" si="714"/>
        <v/>
      </c>
      <c r="AF2791" s="22" t="str">
        <f t="shared" si="706"/>
        <v/>
      </c>
      <c r="AU2791" s="1"/>
    </row>
    <row r="2792" spans="1:47">
      <c r="A2792" s="23" t="str">
        <f t="shared" si="715"/>
        <v>MN_Henne_2021g~Minneapolis-Council Member Ward 1 (vote for 1)</v>
      </c>
      <c r="B2792" s="317" t="str">
        <f t="shared" si="716"/>
        <v>MN_Henne_2021g</v>
      </c>
      <c r="C2792" s="317" t="str">
        <f>IF(AND(D2792=D2791,E2792=E2791),99,"")</f>
        <v/>
      </c>
      <c r="D2792" t="s">
        <v>6669</v>
      </c>
      <c r="E2792" t="s">
        <v>6670</v>
      </c>
      <c r="F2792" t="s">
        <v>6671</v>
      </c>
      <c r="G2792" s="318">
        <v>5505</v>
      </c>
      <c r="O2792">
        <f t="shared" si="708"/>
        <v>1</v>
      </c>
      <c r="P2792" s="57">
        <f t="shared" si="709"/>
        <v>1</v>
      </c>
      <c r="Q2792" s="267">
        <f t="shared" si="710"/>
        <v>11415</v>
      </c>
      <c r="R2792" s="23">
        <f t="shared" si="711"/>
        <v>5505</v>
      </c>
      <c r="S2792" s="23">
        <f t="shared" si="712"/>
        <v>4892</v>
      </c>
      <c r="T2792" s="23">
        <f t="shared" si="713"/>
        <v>613</v>
      </c>
      <c r="U2792" t="str">
        <f t="shared" si="714"/>
        <v>MN_Henne_2021g~Minneapolis-Council Member Ward 1 (vote for 1)</v>
      </c>
      <c r="AF2792" s="22" t="str">
        <f t="shared" si="706"/>
        <v/>
      </c>
      <c r="AU2792" s="1"/>
    </row>
    <row r="2793" spans="1:47">
      <c r="A2793" s="23" t="str">
        <f t="shared" si="715"/>
        <v>MN_Henne_2021g~Minneapolis-Council Member Ward 1 (vote for 1)</v>
      </c>
      <c r="B2793" s="317" t="str">
        <f t="shared" si="716"/>
        <v>MN_Henne_2021g</v>
      </c>
      <c r="C2793" s="317" t="str">
        <f>IF(AND(D2793=D2792,E2793=E2792),99,"")</f>
        <v/>
      </c>
      <c r="D2793" t="s">
        <v>6669</v>
      </c>
      <c r="E2793" t="s">
        <v>6672</v>
      </c>
      <c r="F2793" t="s">
        <v>6671</v>
      </c>
      <c r="G2793" s="318">
        <v>4892</v>
      </c>
      <c r="O2793">
        <f t="shared" si="708"/>
        <v>2</v>
      </c>
      <c r="P2793" s="57">
        <f t="shared" si="709"/>
        <v>1</v>
      </c>
      <c r="Q2793" s="267">
        <f t="shared" si="710"/>
        <v>5910</v>
      </c>
      <c r="R2793" s="23" t="str">
        <f t="shared" si="711"/>
        <v/>
      </c>
      <c r="S2793" s="23">
        <f t="shared" si="712"/>
        <v>4892</v>
      </c>
      <c r="T2793" s="23" t="str">
        <f t="shared" si="713"/>
        <v/>
      </c>
      <c r="U2793" t="str">
        <f t="shared" si="714"/>
        <v/>
      </c>
      <c r="AF2793" s="22" t="str">
        <f t="shared" si="706"/>
        <v/>
      </c>
      <c r="AU2793" s="1"/>
    </row>
    <row r="2794" spans="1:47">
      <c r="A2794" s="23" t="str">
        <f t="shared" si="715"/>
        <v>MN_Henne_2021g~Minneapolis-Council Member Ward 1 (vote for 1)</v>
      </c>
      <c r="B2794" s="317" t="str">
        <f t="shared" si="716"/>
        <v>MN_Henne_2021g</v>
      </c>
      <c r="C2794" s="317" t="s">
        <v>6030</v>
      </c>
      <c r="D2794" t="s">
        <v>6669</v>
      </c>
      <c r="E2794" t="s">
        <v>6673</v>
      </c>
      <c r="F2794" t="s">
        <v>6671</v>
      </c>
      <c r="G2794" s="318">
        <v>635</v>
      </c>
      <c r="O2794">
        <f t="shared" si="708"/>
        <v>3</v>
      </c>
      <c r="P2794" s="57">
        <f t="shared" si="709"/>
        <v>1</v>
      </c>
      <c r="Q2794" s="267">
        <f t="shared" si="710"/>
        <v>1018</v>
      </c>
      <c r="R2794" s="23" t="str">
        <f t="shared" si="711"/>
        <v/>
      </c>
      <c r="S2794" s="23">
        <f t="shared" si="712"/>
        <v>635</v>
      </c>
      <c r="T2794" s="23" t="str">
        <f t="shared" si="713"/>
        <v/>
      </c>
      <c r="U2794" t="str">
        <f t="shared" si="714"/>
        <v/>
      </c>
      <c r="AF2794" s="22" t="str">
        <f t="shared" si="706"/>
        <v/>
      </c>
      <c r="AU2794" s="1"/>
    </row>
    <row r="2795" spans="1:47">
      <c r="A2795" s="23" t="str">
        <f t="shared" si="715"/>
        <v>MN_Henne_2021g~Minneapolis-Council Member Ward 1 (vote for 1)</v>
      </c>
      <c r="B2795" s="317" t="str">
        <f t="shared" si="716"/>
        <v>MN_Henne_2021g</v>
      </c>
      <c r="C2795" s="317" t="str">
        <f t="shared" ref="C2795:C2826" si="718">IF(AND(D2795=D2794,E2795=E2794),99,"")</f>
        <v/>
      </c>
      <c r="D2795" t="s">
        <v>6669</v>
      </c>
      <c r="E2795" t="s">
        <v>6674</v>
      </c>
      <c r="F2795" t="s">
        <v>6671</v>
      </c>
      <c r="G2795" s="318">
        <v>360</v>
      </c>
      <c r="O2795">
        <f t="shared" si="708"/>
        <v>4</v>
      </c>
      <c r="P2795" s="57">
        <f t="shared" si="709"/>
        <v>1</v>
      </c>
      <c r="Q2795" s="267">
        <f t="shared" si="710"/>
        <v>383</v>
      </c>
      <c r="R2795" s="23" t="str">
        <f t="shared" si="711"/>
        <v/>
      </c>
      <c r="S2795" s="23">
        <f t="shared" si="712"/>
        <v>360</v>
      </c>
      <c r="T2795" s="23" t="str">
        <f t="shared" si="713"/>
        <v/>
      </c>
      <c r="U2795" t="str">
        <f t="shared" si="714"/>
        <v/>
      </c>
      <c r="AF2795" s="22" t="str">
        <f t="shared" si="706"/>
        <v/>
      </c>
      <c r="AU2795" s="1"/>
    </row>
    <row r="2796" spans="1:47">
      <c r="A2796" s="23" t="str">
        <f t="shared" si="715"/>
        <v>MN_Henne_2021g~Minneapolis-Council Member Ward 1 (vote for 1)</v>
      </c>
      <c r="B2796" s="317" t="str">
        <f t="shared" si="716"/>
        <v>MN_Henne_2021g</v>
      </c>
      <c r="C2796" s="317" t="str">
        <f t="shared" si="718"/>
        <v/>
      </c>
      <c r="D2796" t="s">
        <v>6669</v>
      </c>
      <c r="E2796" t="s">
        <v>15</v>
      </c>
      <c r="F2796" t="s">
        <v>6544</v>
      </c>
      <c r="G2796" s="318">
        <v>23</v>
      </c>
      <c r="O2796">
        <f t="shared" si="708"/>
        <v>-4</v>
      </c>
      <c r="P2796" s="57">
        <f t="shared" si="709"/>
        <v>1</v>
      </c>
      <c r="Q2796" s="267">
        <f t="shared" si="710"/>
        <v>23</v>
      </c>
      <c r="R2796" s="23">
        <f t="shared" si="711"/>
        <v>1</v>
      </c>
      <c r="S2796" s="23">
        <f t="shared" si="712"/>
        <v>0</v>
      </c>
      <c r="T2796" s="23" t="str">
        <f t="shared" si="713"/>
        <v/>
      </c>
      <c r="U2796" t="str">
        <f t="shared" si="714"/>
        <v/>
      </c>
      <c r="AF2796" s="22" t="str">
        <f t="shared" si="706"/>
        <v/>
      </c>
      <c r="AU2796" s="1"/>
    </row>
    <row r="2797" spans="1:47">
      <c r="A2797" s="23" t="str">
        <f t="shared" si="715"/>
        <v>MN_Henne_2021g~Minneapolis-Council Member Ward 10 (vote for 1)</v>
      </c>
      <c r="B2797" s="317" t="str">
        <f t="shared" si="716"/>
        <v>MN_Henne_2021g</v>
      </c>
      <c r="C2797" s="317" t="str">
        <f t="shared" si="718"/>
        <v/>
      </c>
      <c r="D2797" t="s">
        <v>6675</v>
      </c>
      <c r="E2797" t="s">
        <v>6676</v>
      </c>
      <c r="F2797" t="s">
        <v>6671</v>
      </c>
      <c r="G2797" s="318">
        <v>3929</v>
      </c>
      <c r="O2797">
        <f t="shared" si="708"/>
        <v>1</v>
      </c>
      <c r="P2797" s="57">
        <f t="shared" si="709"/>
        <v>1</v>
      </c>
      <c r="Q2797" s="267">
        <f t="shared" si="710"/>
        <v>10639</v>
      </c>
      <c r="R2797" s="23">
        <f t="shared" si="711"/>
        <v>3929</v>
      </c>
      <c r="S2797" s="23">
        <f t="shared" si="712"/>
        <v>2083</v>
      </c>
      <c r="T2797" s="23">
        <f t="shared" si="713"/>
        <v>1846</v>
      </c>
      <c r="U2797" t="str">
        <f t="shared" si="714"/>
        <v>MN_Henne_2021g~Minneapolis-Council Member Ward 10 (vote for 1)</v>
      </c>
      <c r="AF2797" s="22" t="str">
        <f t="shared" si="706"/>
        <v/>
      </c>
      <c r="AG2797" s="23"/>
      <c r="AH2797" s="8"/>
      <c r="AL2797" s="344"/>
      <c r="AU2797" s="1"/>
    </row>
    <row r="2798" spans="1:47">
      <c r="A2798" s="23" t="str">
        <f t="shared" si="715"/>
        <v>MN_Henne_2021g~Minneapolis-Council Member Ward 10 (vote for 1)</v>
      </c>
      <c r="B2798" s="317" t="str">
        <f t="shared" si="716"/>
        <v>MN_Henne_2021g</v>
      </c>
      <c r="C2798" s="317" t="str">
        <f t="shared" si="718"/>
        <v/>
      </c>
      <c r="D2798" t="s">
        <v>6675</v>
      </c>
      <c r="E2798" t="s">
        <v>6677</v>
      </c>
      <c r="F2798" t="s">
        <v>6671</v>
      </c>
      <c r="G2798" s="318">
        <v>2083</v>
      </c>
      <c r="O2798">
        <f t="shared" si="708"/>
        <v>2</v>
      </c>
      <c r="P2798" s="57">
        <f t="shared" si="709"/>
        <v>1</v>
      </c>
      <c r="Q2798" s="267">
        <f t="shared" si="710"/>
        <v>6710</v>
      </c>
      <c r="R2798" s="23" t="str">
        <f t="shared" si="711"/>
        <v/>
      </c>
      <c r="S2798" s="23">
        <f t="shared" si="712"/>
        <v>2083</v>
      </c>
      <c r="T2798" s="23" t="str">
        <f t="shared" si="713"/>
        <v/>
      </c>
      <c r="U2798" t="str">
        <f t="shared" si="714"/>
        <v/>
      </c>
      <c r="AF2798" s="22" t="str">
        <f t="shared" si="706"/>
        <v/>
      </c>
      <c r="AU2798" s="1"/>
    </row>
    <row r="2799" spans="1:47">
      <c r="A2799" s="23" t="str">
        <f t="shared" si="715"/>
        <v>MN_Henne_2021g~Minneapolis-Council Member Ward 10 (vote for 1)</v>
      </c>
      <c r="B2799" s="317" t="str">
        <f t="shared" si="716"/>
        <v>MN_Henne_2021g</v>
      </c>
      <c r="C2799" s="317" t="str">
        <f t="shared" si="718"/>
        <v/>
      </c>
      <c r="D2799" t="s">
        <v>6675</v>
      </c>
      <c r="E2799" t="s">
        <v>6678</v>
      </c>
      <c r="F2799" t="s">
        <v>6671</v>
      </c>
      <c r="G2799" s="318">
        <v>1994</v>
      </c>
      <c r="O2799">
        <f t="shared" si="708"/>
        <v>3</v>
      </c>
      <c r="P2799" s="57">
        <f t="shared" si="709"/>
        <v>1</v>
      </c>
      <c r="Q2799" s="267">
        <f t="shared" si="710"/>
        <v>4627</v>
      </c>
      <c r="R2799" s="23" t="str">
        <f t="shared" si="711"/>
        <v/>
      </c>
      <c r="S2799" s="23">
        <f t="shared" si="712"/>
        <v>1994</v>
      </c>
      <c r="T2799" s="23" t="str">
        <f t="shared" si="713"/>
        <v/>
      </c>
      <c r="U2799" t="str">
        <f t="shared" si="714"/>
        <v/>
      </c>
      <c r="AF2799" s="22" t="str">
        <f t="shared" si="706"/>
        <v/>
      </c>
      <c r="AU2799" s="1"/>
    </row>
    <row r="2800" spans="1:47">
      <c r="A2800" s="23" t="str">
        <f t="shared" si="715"/>
        <v>MN_Henne_2021g~Minneapolis-Council Member Ward 10 (vote for 1)</v>
      </c>
      <c r="B2800" s="317" t="str">
        <f t="shared" si="716"/>
        <v>MN_Henne_2021g</v>
      </c>
      <c r="C2800" s="317" t="str">
        <f t="shared" si="718"/>
        <v/>
      </c>
      <c r="D2800" t="s">
        <v>6675</v>
      </c>
      <c r="E2800" t="s">
        <v>6679</v>
      </c>
      <c r="F2800" t="s">
        <v>6671</v>
      </c>
      <c r="G2800" s="318">
        <v>1609</v>
      </c>
      <c r="O2800">
        <f t="shared" si="708"/>
        <v>4</v>
      </c>
      <c r="P2800" s="57">
        <f t="shared" si="709"/>
        <v>1</v>
      </c>
      <c r="Q2800" s="267">
        <f t="shared" si="710"/>
        <v>2633</v>
      </c>
      <c r="R2800" s="23" t="str">
        <f t="shared" si="711"/>
        <v/>
      </c>
      <c r="S2800" s="23">
        <f t="shared" si="712"/>
        <v>1609</v>
      </c>
      <c r="T2800" s="23" t="str">
        <f t="shared" si="713"/>
        <v/>
      </c>
      <c r="U2800" t="str">
        <f t="shared" si="714"/>
        <v/>
      </c>
      <c r="AF2800" s="22" t="str">
        <f t="shared" si="706"/>
        <v/>
      </c>
      <c r="AU2800" s="1"/>
    </row>
    <row r="2801" spans="1:47">
      <c r="A2801" s="23" t="str">
        <f t="shared" si="715"/>
        <v>MN_Henne_2021g~Minneapolis-Council Member Ward 10 (vote for 1)</v>
      </c>
      <c r="B2801" s="317" t="str">
        <f t="shared" si="716"/>
        <v>MN_Henne_2021g</v>
      </c>
      <c r="C2801" s="317" t="str">
        <f t="shared" si="718"/>
        <v/>
      </c>
      <c r="D2801" t="s">
        <v>6675</v>
      </c>
      <c r="E2801" t="s">
        <v>6680</v>
      </c>
      <c r="F2801" t="s">
        <v>6671</v>
      </c>
      <c r="G2801" s="318">
        <v>625</v>
      </c>
      <c r="O2801">
        <f t="shared" si="708"/>
        <v>5</v>
      </c>
      <c r="P2801" s="57">
        <f t="shared" si="709"/>
        <v>1</v>
      </c>
      <c r="Q2801" s="267">
        <f t="shared" si="710"/>
        <v>1024</v>
      </c>
      <c r="R2801" s="23" t="str">
        <f t="shared" si="711"/>
        <v/>
      </c>
      <c r="S2801" s="23">
        <f t="shared" si="712"/>
        <v>625</v>
      </c>
      <c r="T2801" s="23" t="str">
        <f t="shared" si="713"/>
        <v/>
      </c>
      <c r="U2801" t="str">
        <f t="shared" si="714"/>
        <v/>
      </c>
      <c r="AF2801" s="22" t="str">
        <f t="shared" si="706"/>
        <v/>
      </c>
      <c r="AU2801" s="1"/>
    </row>
    <row r="2802" spans="1:47">
      <c r="A2802" s="23" t="str">
        <f t="shared" si="715"/>
        <v>MN_Henne_2021g~Minneapolis-Council Member Ward 10 (vote for 1)</v>
      </c>
      <c r="B2802" s="317" t="str">
        <f t="shared" si="716"/>
        <v>MN_Henne_2021g</v>
      </c>
      <c r="C2802" s="317" t="str">
        <f t="shared" si="718"/>
        <v/>
      </c>
      <c r="D2802" t="s">
        <v>6675</v>
      </c>
      <c r="E2802" t="s">
        <v>6681</v>
      </c>
      <c r="F2802" t="s">
        <v>6671</v>
      </c>
      <c r="G2802" s="318">
        <v>368</v>
      </c>
      <c r="O2802">
        <f t="shared" si="708"/>
        <v>6</v>
      </c>
      <c r="P2802" s="57">
        <f t="shared" si="709"/>
        <v>1</v>
      </c>
      <c r="Q2802" s="267">
        <f t="shared" si="710"/>
        <v>399</v>
      </c>
      <c r="R2802" s="23" t="str">
        <f t="shared" si="711"/>
        <v/>
      </c>
      <c r="S2802" s="23">
        <f t="shared" si="712"/>
        <v>368</v>
      </c>
      <c r="T2802" s="23" t="str">
        <f t="shared" si="713"/>
        <v/>
      </c>
      <c r="U2802" t="str">
        <f t="shared" si="714"/>
        <v/>
      </c>
      <c r="AF2802" s="22" t="str">
        <f t="shared" si="706"/>
        <v/>
      </c>
      <c r="AH2802" s="8"/>
      <c r="AL2802" s="23"/>
      <c r="AU2802" s="1"/>
    </row>
    <row r="2803" spans="1:47">
      <c r="A2803" s="23" t="str">
        <f t="shared" si="715"/>
        <v>MN_Henne_2021g~Minneapolis-Council Member Ward 10 (vote for 1)</v>
      </c>
      <c r="B2803" s="317" t="str">
        <f t="shared" si="716"/>
        <v>MN_Henne_2021g</v>
      </c>
      <c r="C2803" s="317" t="str">
        <f t="shared" si="718"/>
        <v/>
      </c>
      <c r="D2803" t="s">
        <v>6675</v>
      </c>
      <c r="E2803" t="s">
        <v>15</v>
      </c>
      <c r="F2803" t="s">
        <v>6544</v>
      </c>
      <c r="G2803" s="318">
        <v>31</v>
      </c>
      <c r="O2803">
        <f t="shared" si="708"/>
        <v>-6</v>
      </c>
      <c r="P2803" s="57">
        <f t="shared" si="709"/>
        <v>1</v>
      </c>
      <c r="Q2803" s="267">
        <f t="shared" si="710"/>
        <v>31</v>
      </c>
      <c r="R2803" s="23">
        <f t="shared" si="711"/>
        <v>1</v>
      </c>
      <c r="S2803" s="23">
        <f t="shared" si="712"/>
        <v>0</v>
      </c>
      <c r="T2803" s="23" t="str">
        <f t="shared" si="713"/>
        <v/>
      </c>
      <c r="U2803" t="str">
        <f t="shared" si="714"/>
        <v/>
      </c>
      <c r="AF2803" s="22" t="str">
        <f t="shared" si="706"/>
        <v/>
      </c>
      <c r="AH2803" s="8"/>
      <c r="AL2803" s="23"/>
      <c r="AU2803" s="1"/>
    </row>
    <row r="2804" spans="1:47">
      <c r="A2804" s="23" t="str">
        <f t="shared" si="715"/>
        <v>MN_Henne_2021g~Minneapolis-Council Member Ward 11 (vote for 1)</v>
      </c>
      <c r="B2804" s="317" t="str">
        <f t="shared" si="716"/>
        <v>MN_Henne_2021g</v>
      </c>
      <c r="C2804" s="317" t="str">
        <f t="shared" si="718"/>
        <v/>
      </c>
      <c r="D2804" t="s">
        <v>6682</v>
      </c>
      <c r="E2804" t="s">
        <v>6683</v>
      </c>
      <c r="F2804" t="s">
        <v>6671</v>
      </c>
      <c r="G2804" s="318">
        <v>7789</v>
      </c>
      <c r="O2804">
        <f t="shared" si="708"/>
        <v>1</v>
      </c>
      <c r="P2804" s="57">
        <f t="shared" si="709"/>
        <v>1</v>
      </c>
      <c r="Q2804" s="267">
        <f t="shared" si="710"/>
        <v>13354</v>
      </c>
      <c r="R2804" s="23">
        <f t="shared" si="711"/>
        <v>7789</v>
      </c>
      <c r="S2804" s="23">
        <f t="shared" si="712"/>
        <v>4049</v>
      </c>
      <c r="T2804" s="23">
        <f t="shared" si="713"/>
        <v>3740</v>
      </c>
      <c r="U2804" t="str">
        <f t="shared" si="714"/>
        <v>MN_Henne_2021g~Minneapolis-Council Member Ward 11 (vote for 1)</v>
      </c>
      <c r="AF2804" s="22" t="str">
        <f t="shared" si="706"/>
        <v/>
      </c>
      <c r="AU2804" s="1"/>
    </row>
    <row r="2805" spans="1:47">
      <c r="A2805" s="23" t="str">
        <f t="shared" si="715"/>
        <v>MN_Henne_2021g~Minneapolis-Council Member Ward 11 (vote for 1)</v>
      </c>
      <c r="B2805" s="317" t="str">
        <f t="shared" si="716"/>
        <v>MN_Henne_2021g</v>
      </c>
      <c r="C2805" s="317" t="str">
        <f t="shared" si="718"/>
        <v/>
      </c>
      <c r="D2805" t="s">
        <v>6682</v>
      </c>
      <c r="E2805" t="s">
        <v>6684</v>
      </c>
      <c r="F2805" t="s">
        <v>6671</v>
      </c>
      <c r="G2805" s="318">
        <v>4049</v>
      </c>
      <c r="O2805">
        <f t="shared" si="708"/>
        <v>2</v>
      </c>
      <c r="P2805" s="57">
        <f t="shared" si="709"/>
        <v>1</v>
      </c>
      <c r="Q2805" s="267">
        <f t="shared" si="710"/>
        <v>5565</v>
      </c>
      <c r="R2805" s="23" t="str">
        <f t="shared" si="711"/>
        <v/>
      </c>
      <c r="S2805" s="23">
        <f t="shared" si="712"/>
        <v>4049</v>
      </c>
      <c r="T2805" s="23" t="str">
        <f t="shared" si="713"/>
        <v/>
      </c>
      <c r="U2805" t="str">
        <f t="shared" si="714"/>
        <v/>
      </c>
      <c r="AF2805" s="22" t="str">
        <f t="shared" si="706"/>
        <v/>
      </c>
      <c r="AU2805" s="1"/>
    </row>
    <row r="2806" spans="1:47">
      <c r="A2806" s="23" t="str">
        <f t="shared" si="715"/>
        <v>MN_Henne_2021g~Minneapolis-Council Member Ward 11 (vote for 1)</v>
      </c>
      <c r="B2806" s="317" t="str">
        <f t="shared" si="716"/>
        <v>MN_Henne_2021g</v>
      </c>
      <c r="C2806" s="317" t="str">
        <f t="shared" si="718"/>
        <v/>
      </c>
      <c r="D2806" t="s">
        <v>6682</v>
      </c>
      <c r="E2806" t="s">
        <v>6685</v>
      </c>
      <c r="F2806" t="s">
        <v>6671</v>
      </c>
      <c r="G2806" s="318">
        <v>695</v>
      </c>
      <c r="O2806">
        <f t="shared" si="708"/>
        <v>3</v>
      </c>
      <c r="P2806" s="57">
        <f t="shared" si="709"/>
        <v>1</v>
      </c>
      <c r="Q2806" s="267">
        <f t="shared" si="710"/>
        <v>1516</v>
      </c>
      <c r="R2806" s="23" t="str">
        <f t="shared" si="711"/>
        <v/>
      </c>
      <c r="S2806" s="23">
        <f t="shared" si="712"/>
        <v>695</v>
      </c>
      <c r="T2806" s="23" t="str">
        <f t="shared" si="713"/>
        <v/>
      </c>
      <c r="U2806" t="str">
        <f t="shared" si="714"/>
        <v/>
      </c>
      <c r="AF2806" s="22" t="str">
        <f t="shared" ref="AF2806:AF2869" si="719">LEFT(AL2535,14)</f>
        <v/>
      </c>
      <c r="AU2806" s="1"/>
    </row>
    <row r="2807" spans="1:47">
      <c r="A2807" s="23" t="str">
        <f t="shared" si="715"/>
        <v>MN_Henne_2021g~Minneapolis-Council Member Ward 11 (vote for 1)</v>
      </c>
      <c r="B2807" s="317" t="str">
        <f t="shared" si="716"/>
        <v>MN_Henne_2021g</v>
      </c>
      <c r="C2807" s="317" t="str">
        <f t="shared" si="718"/>
        <v/>
      </c>
      <c r="D2807" t="s">
        <v>6682</v>
      </c>
      <c r="E2807" t="s">
        <v>6686</v>
      </c>
      <c r="F2807" t="s">
        <v>6671</v>
      </c>
      <c r="G2807" s="318">
        <v>455</v>
      </c>
      <c r="O2807">
        <f t="shared" si="708"/>
        <v>4</v>
      </c>
      <c r="P2807" s="57">
        <f t="shared" si="709"/>
        <v>1</v>
      </c>
      <c r="Q2807" s="267">
        <f t="shared" si="710"/>
        <v>821</v>
      </c>
      <c r="R2807" s="23" t="str">
        <f t="shared" si="711"/>
        <v/>
      </c>
      <c r="S2807" s="23">
        <f t="shared" si="712"/>
        <v>455</v>
      </c>
      <c r="T2807" s="23" t="str">
        <f t="shared" si="713"/>
        <v/>
      </c>
      <c r="U2807" t="str">
        <f t="shared" si="714"/>
        <v/>
      </c>
      <c r="AF2807" s="22" t="str">
        <f t="shared" si="719"/>
        <v/>
      </c>
      <c r="AH2807" s="8"/>
      <c r="AL2807" s="23"/>
      <c r="AU2807" s="1"/>
    </row>
    <row r="2808" spans="1:47">
      <c r="A2808" s="23" t="str">
        <f t="shared" si="715"/>
        <v>MN_Henne_2021g~Minneapolis-Council Member Ward 11 (vote for 1)</v>
      </c>
      <c r="B2808" s="317" t="str">
        <f t="shared" si="716"/>
        <v>MN_Henne_2021g</v>
      </c>
      <c r="C2808" s="317" t="str">
        <f t="shared" si="718"/>
        <v/>
      </c>
      <c r="D2808" t="s">
        <v>6682</v>
      </c>
      <c r="E2808" t="s">
        <v>6687</v>
      </c>
      <c r="F2808" t="s">
        <v>6671</v>
      </c>
      <c r="G2808" s="318">
        <v>345</v>
      </c>
      <c r="O2808">
        <f t="shared" si="708"/>
        <v>5</v>
      </c>
      <c r="P2808" s="57">
        <f t="shared" si="709"/>
        <v>1</v>
      </c>
      <c r="Q2808" s="267">
        <f t="shared" si="710"/>
        <v>366</v>
      </c>
      <c r="R2808" s="23" t="str">
        <f t="shared" si="711"/>
        <v/>
      </c>
      <c r="S2808" s="23">
        <f t="shared" si="712"/>
        <v>345</v>
      </c>
      <c r="T2808" s="23" t="str">
        <f t="shared" si="713"/>
        <v/>
      </c>
      <c r="U2808" t="str">
        <f t="shared" si="714"/>
        <v/>
      </c>
      <c r="AF2808" s="22" t="str">
        <f t="shared" si="719"/>
        <v/>
      </c>
      <c r="AU2808" s="1"/>
    </row>
    <row r="2809" spans="1:47">
      <c r="A2809" s="23" t="str">
        <f t="shared" si="715"/>
        <v>MN_Henne_2021g~Minneapolis-Council Member Ward 11 (vote for 1)</v>
      </c>
      <c r="B2809" s="317" t="str">
        <f t="shared" si="716"/>
        <v>MN_Henne_2021g</v>
      </c>
      <c r="C2809" s="317" t="str">
        <f t="shared" si="718"/>
        <v/>
      </c>
      <c r="D2809" t="s">
        <v>6682</v>
      </c>
      <c r="E2809" t="s">
        <v>15</v>
      </c>
      <c r="F2809" t="s">
        <v>6544</v>
      </c>
      <c r="G2809" s="318">
        <v>21</v>
      </c>
      <c r="O2809">
        <f t="shared" si="708"/>
        <v>-5</v>
      </c>
      <c r="P2809" s="57">
        <f t="shared" si="709"/>
        <v>1</v>
      </c>
      <c r="Q2809" s="267">
        <f t="shared" si="710"/>
        <v>21</v>
      </c>
      <c r="R2809" s="23">
        <f t="shared" si="711"/>
        <v>1</v>
      </c>
      <c r="S2809" s="23">
        <f t="shared" si="712"/>
        <v>0</v>
      </c>
      <c r="T2809" s="23" t="str">
        <f t="shared" si="713"/>
        <v/>
      </c>
      <c r="U2809" t="str">
        <f t="shared" si="714"/>
        <v/>
      </c>
      <c r="AF2809" s="22" t="str">
        <f t="shared" si="719"/>
        <v/>
      </c>
      <c r="AH2809" s="8"/>
      <c r="AL2809" s="23"/>
      <c r="AU2809" s="1"/>
    </row>
    <row r="2810" spans="1:47">
      <c r="A2810" s="23" t="str">
        <f t="shared" si="715"/>
        <v>MN_Henne_2021g~Minneapolis-Council Member Ward 12 (vote for 1)</v>
      </c>
      <c r="B2810" s="317" t="str">
        <f t="shared" si="716"/>
        <v>MN_Henne_2021g</v>
      </c>
      <c r="C2810" s="317" t="str">
        <f t="shared" si="718"/>
        <v/>
      </c>
      <c r="D2810" t="s">
        <v>6688</v>
      </c>
      <c r="E2810" t="s">
        <v>6689</v>
      </c>
      <c r="F2810" t="s">
        <v>6671</v>
      </c>
      <c r="G2810" s="318">
        <v>9940</v>
      </c>
      <c r="O2810">
        <f t="shared" si="708"/>
        <v>1</v>
      </c>
      <c r="P2810" s="57">
        <f t="shared" si="709"/>
        <v>1</v>
      </c>
      <c r="Q2810" s="267">
        <f t="shared" si="710"/>
        <v>15333</v>
      </c>
      <c r="R2810" s="23">
        <f t="shared" si="711"/>
        <v>9940</v>
      </c>
      <c r="S2810" s="23">
        <f t="shared" si="712"/>
        <v>4569</v>
      </c>
      <c r="T2810" s="23">
        <f t="shared" si="713"/>
        <v>5371</v>
      </c>
      <c r="U2810" t="str">
        <f t="shared" si="714"/>
        <v>MN_Henne_2021g~Minneapolis-Council Member Ward 12 (vote for 1)</v>
      </c>
      <c r="AF2810" s="22" t="str">
        <f t="shared" si="719"/>
        <v/>
      </c>
      <c r="AU2810" s="1"/>
    </row>
    <row r="2811" spans="1:47">
      <c r="A2811" s="23" t="str">
        <f t="shared" si="715"/>
        <v>MN_Henne_2021g~Minneapolis-Council Member Ward 12 (vote for 1)</v>
      </c>
      <c r="B2811" s="317" t="str">
        <f t="shared" si="716"/>
        <v>MN_Henne_2021g</v>
      </c>
      <c r="C2811" s="317" t="str">
        <f t="shared" si="718"/>
        <v/>
      </c>
      <c r="D2811" t="s">
        <v>6688</v>
      </c>
      <c r="E2811" t="s">
        <v>6690</v>
      </c>
      <c r="F2811" t="s">
        <v>6671</v>
      </c>
      <c r="G2811" s="318">
        <v>4569</v>
      </c>
      <c r="O2811">
        <f t="shared" si="708"/>
        <v>2</v>
      </c>
      <c r="P2811" s="57">
        <f t="shared" si="709"/>
        <v>1</v>
      </c>
      <c r="Q2811" s="267">
        <f t="shared" si="710"/>
        <v>5393</v>
      </c>
      <c r="R2811" s="23" t="str">
        <f t="shared" si="711"/>
        <v/>
      </c>
      <c r="S2811" s="23">
        <f t="shared" si="712"/>
        <v>4569</v>
      </c>
      <c r="T2811" s="23" t="str">
        <f t="shared" si="713"/>
        <v/>
      </c>
      <c r="U2811" t="str">
        <f t="shared" si="714"/>
        <v/>
      </c>
      <c r="AF2811" s="22" t="str">
        <f t="shared" si="719"/>
        <v/>
      </c>
      <c r="AG2811" s="89"/>
      <c r="AH2811" s="274"/>
      <c r="AI2811" s="279"/>
      <c r="AJ2811" s="280"/>
      <c r="AK2811" s="92"/>
      <c r="AL2811" s="23"/>
      <c r="AU2811" s="1"/>
    </row>
    <row r="2812" spans="1:47">
      <c r="A2812" s="23" t="str">
        <f t="shared" si="715"/>
        <v>MN_Henne_2021g~Minneapolis-Council Member Ward 12 (vote for 1)</v>
      </c>
      <c r="B2812" s="317" t="str">
        <f t="shared" si="716"/>
        <v>MN_Henne_2021g</v>
      </c>
      <c r="C2812" s="317" t="str">
        <f t="shared" si="718"/>
        <v/>
      </c>
      <c r="D2812" t="s">
        <v>6688</v>
      </c>
      <c r="E2812" t="s">
        <v>6691</v>
      </c>
      <c r="F2812" t="s">
        <v>6671</v>
      </c>
      <c r="G2812" s="318">
        <v>773</v>
      </c>
      <c r="O2812">
        <f t="shared" si="708"/>
        <v>3</v>
      </c>
      <c r="P2812" s="57">
        <f t="shared" si="709"/>
        <v>1</v>
      </c>
      <c r="Q2812" s="267">
        <f t="shared" si="710"/>
        <v>824</v>
      </c>
      <c r="R2812" s="23" t="str">
        <f t="shared" si="711"/>
        <v/>
      </c>
      <c r="S2812" s="23">
        <f t="shared" si="712"/>
        <v>773</v>
      </c>
      <c r="T2812" s="23" t="str">
        <f t="shared" si="713"/>
        <v/>
      </c>
      <c r="U2812" t="str">
        <f t="shared" si="714"/>
        <v/>
      </c>
      <c r="AF2812" s="22" t="str">
        <f t="shared" si="719"/>
        <v/>
      </c>
      <c r="AG2812" s="89"/>
      <c r="AH2812" s="274"/>
      <c r="AI2812" s="279"/>
      <c r="AJ2812" s="280"/>
      <c r="AK2812" s="92"/>
      <c r="AL2812" s="23"/>
      <c r="AU2812" s="1"/>
    </row>
    <row r="2813" spans="1:47">
      <c r="A2813" s="23" t="str">
        <f t="shared" si="715"/>
        <v>MN_Henne_2021g~Minneapolis-Council Member Ward 12 (vote for 1)</v>
      </c>
      <c r="B2813" s="317" t="str">
        <f t="shared" si="716"/>
        <v>MN_Henne_2021g</v>
      </c>
      <c r="C2813" s="317" t="str">
        <f t="shared" si="718"/>
        <v/>
      </c>
      <c r="D2813" t="s">
        <v>6688</v>
      </c>
      <c r="E2813" t="s">
        <v>15</v>
      </c>
      <c r="F2813" t="s">
        <v>6544</v>
      </c>
      <c r="G2813" s="318">
        <v>51</v>
      </c>
      <c r="O2813">
        <f t="shared" si="708"/>
        <v>-3</v>
      </c>
      <c r="P2813" s="57">
        <f t="shared" si="709"/>
        <v>1</v>
      </c>
      <c r="Q2813" s="267">
        <f t="shared" si="710"/>
        <v>51</v>
      </c>
      <c r="R2813" s="23">
        <f t="shared" si="711"/>
        <v>1</v>
      </c>
      <c r="S2813" s="23">
        <f t="shared" si="712"/>
        <v>0</v>
      </c>
      <c r="T2813" s="23" t="str">
        <f t="shared" si="713"/>
        <v/>
      </c>
      <c r="U2813" t="str">
        <f t="shared" si="714"/>
        <v/>
      </c>
      <c r="AF2813" s="22" t="str">
        <f t="shared" si="719"/>
        <v/>
      </c>
      <c r="AG2813" s="89"/>
      <c r="AH2813" s="274"/>
      <c r="AI2813" s="279"/>
      <c r="AJ2813" s="280"/>
      <c r="AK2813" s="92"/>
      <c r="AL2813" s="23"/>
      <c r="AU2813" s="1"/>
    </row>
    <row r="2814" spans="1:47">
      <c r="A2814" s="23" t="str">
        <f t="shared" si="715"/>
        <v>MN_Henne_2021g~Minneapolis-Council Member Ward 13 (vote for 1)</v>
      </c>
      <c r="B2814" s="317" t="str">
        <f t="shared" si="716"/>
        <v>MN_Henne_2021g</v>
      </c>
      <c r="C2814" s="317" t="str">
        <f t="shared" si="718"/>
        <v/>
      </c>
      <c r="D2814" t="s">
        <v>6692</v>
      </c>
      <c r="E2814" t="s">
        <v>6693</v>
      </c>
      <c r="F2814" t="s">
        <v>6671</v>
      </c>
      <c r="G2814" s="318">
        <v>10883</v>
      </c>
      <c r="O2814">
        <f t="shared" si="708"/>
        <v>1</v>
      </c>
      <c r="P2814" s="57">
        <f t="shared" si="709"/>
        <v>1</v>
      </c>
      <c r="Q2814" s="267">
        <f t="shared" si="710"/>
        <v>16442</v>
      </c>
      <c r="R2814" s="23">
        <f t="shared" si="711"/>
        <v>10883</v>
      </c>
      <c r="S2814" s="23">
        <f t="shared" si="712"/>
        <v>3282</v>
      </c>
      <c r="T2814" s="23">
        <f t="shared" si="713"/>
        <v>7601</v>
      </c>
      <c r="U2814" t="str">
        <f t="shared" si="714"/>
        <v>MN_Henne_2021g~Minneapolis-Council Member Ward 13 (vote for 1)</v>
      </c>
      <c r="AF2814" s="22" t="str">
        <f t="shared" si="719"/>
        <v/>
      </c>
      <c r="AG2814" s="89"/>
      <c r="AH2814" s="274"/>
      <c r="AI2814" s="279"/>
      <c r="AJ2814" s="280"/>
      <c r="AK2814" s="92"/>
      <c r="AL2814" s="23"/>
      <c r="AU2814" s="1"/>
    </row>
    <row r="2815" spans="1:47">
      <c r="A2815" s="23" t="str">
        <f t="shared" si="715"/>
        <v>MN_Henne_2021g~Minneapolis-Council Member Ward 13 (vote for 1)</v>
      </c>
      <c r="B2815" s="317" t="str">
        <f t="shared" si="716"/>
        <v>MN_Henne_2021g</v>
      </c>
      <c r="C2815" s="317" t="str">
        <f t="shared" si="718"/>
        <v/>
      </c>
      <c r="D2815" t="s">
        <v>6692</v>
      </c>
      <c r="E2815" t="s">
        <v>6694</v>
      </c>
      <c r="F2815" t="s">
        <v>6671</v>
      </c>
      <c r="G2815" s="318">
        <v>3282</v>
      </c>
      <c r="O2815">
        <f t="shared" si="708"/>
        <v>2</v>
      </c>
      <c r="P2815" s="57">
        <f t="shared" si="709"/>
        <v>1</v>
      </c>
      <c r="Q2815" s="267">
        <f t="shared" si="710"/>
        <v>5559</v>
      </c>
      <c r="R2815" s="23" t="str">
        <f t="shared" si="711"/>
        <v/>
      </c>
      <c r="S2815" s="23">
        <f t="shared" si="712"/>
        <v>3282</v>
      </c>
      <c r="T2815" s="23" t="str">
        <f t="shared" si="713"/>
        <v/>
      </c>
      <c r="U2815" t="str">
        <f t="shared" si="714"/>
        <v/>
      </c>
      <c r="AF2815" s="22" t="str">
        <f t="shared" si="719"/>
        <v/>
      </c>
      <c r="AG2815" s="89"/>
      <c r="AH2815" s="274"/>
      <c r="AI2815" s="279"/>
      <c r="AJ2815" s="280"/>
      <c r="AK2815" s="92"/>
      <c r="AL2815" s="23"/>
      <c r="AU2815" s="1"/>
    </row>
    <row r="2816" spans="1:47">
      <c r="A2816" s="23" t="str">
        <f t="shared" si="715"/>
        <v>MN_Henne_2021g~Minneapolis-Council Member Ward 13 (vote for 1)</v>
      </c>
      <c r="B2816" s="317" t="str">
        <f t="shared" si="716"/>
        <v>MN_Henne_2021g</v>
      </c>
      <c r="C2816" s="317" t="str">
        <f t="shared" si="718"/>
        <v/>
      </c>
      <c r="D2816" t="s">
        <v>6692</v>
      </c>
      <c r="E2816" t="s">
        <v>6695</v>
      </c>
      <c r="F2816" t="s">
        <v>6671</v>
      </c>
      <c r="G2816" s="318">
        <v>1305</v>
      </c>
      <c r="O2816">
        <f t="shared" si="708"/>
        <v>3</v>
      </c>
      <c r="P2816" s="57">
        <f t="shared" si="709"/>
        <v>1</v>
      </c>
      <c r="Q2816" s="267">
        <f t="shared" si="710"/>
        <v>2277</v>
      </c>
      <c r="R2816" s="23" t="str">
        <f t="shared" si="711"/>
        <v/>
      </c>
      <c r="S2816" s="23">
        <f t="shared" si="712"/>
        <v>1305</v>
      </c>
      <c r="T2816" s="23" t="str">
        <f t="shared" si="713"/>
        <v/>
      </c>
      <c r="U2816" t="str">
        <f t="shared" si="714"/>
        <v/>
      </c>
      <c r="AF2816" s="22" t="str">
        <f t="shared" si="719"/>
        <v/>
      </c>
      <c r="AG2816" s="89"/>
      <c r="AH2816" s="274"/>
      <c r="AI2816" s="279"/>
      <c r="AJ2816" s="280"/>
      <c r="AK2816" s="92"/>
      <c r="AL2816" s="23"/>
      <c r="AU2816" s="1"/>
    </row>
    <row r="2817" spans="1:47">
      <c r="A2817" s="23" t="str">
        <f t="shared" si="715"/>
        <v>MN_Henne_2021g~Minneapolis-Council Member Ward 13 (vote for 1)</v>
      </c>
      <c r="B2817" s="317" t="str">
        <f t="shared" si="716"/>
        <v>MN_Henne_2021g</v>
      </c>
      <c r="C2817" s="317" t="str">
        <f t="shared" si="718"/>
        <v/>
      </c>
      <c r="D2817" t="s">
        <v>6692</v>
      </c>
      <c r="E2817" t="s">
        <v>6696</v>
      </c>
      <c r="F2817" t="s">
        <v>6671</v>
      </c>
      <c r="G2817" s="318">
        <v>557</v>
      </c>
      <c r="O2817">
        <f t="shared" si="708"/>
        <v>4</v>
      </c>
      <c r="P2817" s="57">
        <f t="shared" si="709"/>
        <v>1</v>
      </c>
      <c r="Q2817" s="267">
        <f t="shared" si="710"/>
        <v>972</v>
      </c>
      <c r="R2817" s="23" t="str">
        <f t="shared" si="711"/>
        <v/>
      </c>
      <c r="S2817" s="23">
        <f t="shared" si="712"/>
        <v>557</v>
      </c>
      <c r="T2817" s="23" t="str">
        <f t="shared" si="713"/>
        <v/>
      </c>
      <c r="U2817" t="str">
        <f t="shared" si="714"/>
        <v/>
      </c>
      <c r="AF2817" s="22" t="str">
        <f t="shared" si="719"/>
        <v/>
      </c>
      <c r="AG2817" s="89"/>
      <c r="AH2817" s="274"/>
      <c r="AI2817" s="279"/>
      <c r="AJ2817" s="280"/>
      <c r="AK2817" s="92"/>
      <c r="AL2817" s="23"/>
      <c r="AU2817" s="1"/>
    </row>
    <row r="2818" spans="1:47">
      <c r="A2818" s="23" t="str">
        <f t="shared" si="715"/>
        <v>MN_Henne_2021g~Minneapolis-Council Member Ward 13 (vote for 1)</v>
      </c>
      <c r="B2818" s="317" t="str">
        <f t="shared" si="716"/>
        <v>MN_Henne_2021g</v>
      </c>
      <c r="C2818" s="317" t="str">
        <f t="shared" si="718"/>
        <v/>
      </c>
      <c r="D2818" t="s">
        <v>6692</v>
      </c>
      <c r="E2818" t="s">
        <v>6697</v>
      </c>
      <c r="F2818" t="s">
        <v>6671</v>
      </c>
      <c r="G2818" s="318">
        <v>401</v>
      </c>
      <c r="O2818">
        <f t="shared" ref="O2818:O2881" si="720">IF(OR(LOWER(LEFT(E2818,8))="write-in",LOWER(LEFT(E2818,8))="not qual"),IF(A2818=A2817,-ABS(O2817),0),IF(A2818=A2817,ABS(O2817)+1,1))</f>
        <v>5</v>
      </c>
      <c r="P2818" s="57">
        <f t="shared" ref="P2818:P2881" si="721">1*LEFT(RIGHT(A2818,2),1)</f>
        <v>1</v>
      </c>
      <c r="Q2818" s="267">
        <f t="shared" ref="Q2818:Q2881" si="722">IF(A2818&lt;&gt;A2819,G2818,IF(A2818=A2817,G2818+Q2819,MAX(G2818,(G2818+Q2819)/P2818)))</f>
        <v>415</v>
      </c>
      <c r="R2818" s="23" t="str">
        <f t="shared" ref="R2818:R2881" si="723">IF(O2818&gt;P2818,"",IF(O2818=P2818,G2818,IF(A2818=A2819,R2819,IF(O2818&lt;=0,1,G2818))))</f>
        <v/>
      </c>
      <c r="S2818" s="23">
        <f t="shared" ref="S2818:S2881" si="724">IF(AND(O2818&gt;P2818,LOWER(LEFT(E2818,8))&lt;&gt;"write-in",LOWER(LEFT(E2818,8))&lt;&gt;"not qual"),G2818,IF(A2818=A2819,S2819,0))</f>
        <v>401</v>
      </c>
      <c r="T2818" s="23" t="str">
        <f t="shared" ref="T2818:T2881" si="725">IF(OR(A2818=A2817,S2818=0),"",R2818-ABS(S2818))</f>
        <v/>
      </c>
      <c r="U2818" t="str">
        <f t="shared" ref="U2818:U2881" si="726">IF(A2818=A2817,"",A2818)</f>
        <v/>
      </c>
      <c r="AF2818" s="22" t="str">
        <f t="shared" si="719"/>
        <v/>
      </c>
      <c r="AG2818" s="89"/>
      <c r="AH2818" s="274"/>
      <c r="AI2818" s="279"/>
      <c r="AJ2818" s="280"/>
      <c r="AK2818" s="92"/>
      <c r="AL2818" s="23"/>
      <c r="AU2818" s="1"/>
    </row>
    <row r="2819" spans="1:47">
      <c r="A2819" s="23" t="str">
        <f t="shared" si="715"/>
        <v>MN_Henne_2021g~Minneapolis-Council Member Ward 13 (vote for 1)</v>
      </c>
      <c r="B2819" s="317" t="str">
        <f t="shared" si="716"/>
        <v>MN_Henne_2021g</v>
      </c>
      <c r="C2819" s="317" t="str">
        <f t="shared" si="718"/>
        <v/>
      </c>
      <c r="D2819" t="s">
        <v>6692</v>
      </c>
      <c r="E2819" t="s">
        <v>15</v>
      </c>
      <c r="F2819" t="s">
        <v>6544</v>
      </c>
      <c r="G2819" s="318">
        <v>14</v>
      </c>
      <c r="O2819">
        <f t="shared" si="720"/>
        <v>-5</v>
      </c>
      <c r="P2819" s="57">
        <f t="shared" si="721"/>
        <v>1</v>
      </c>
      <c r="Q2819" s="267">
        <f t="shared" si="722"/>
        <v>14</v>
      </c>
      <c r="R2819" s="23">
        <f t="shared" si="723"/>
        <v>1</v>
      </c>
      <c r="S2819" s="23">
        <f t="shared" si="724"/>
        <v>0</v>
      </c>
      <c r="T2819" s="23" t="str">
        <f t="shared" si="725"/>
        <v/>
      </c>
      <c r="U2819" t="str">
        <f t="shared" si="726"/>
        <v/>
      </c>
      <c r="AF2819" s="22" t="str">
        <f t="shared" si="719"/>
        <v/>
      </c>
      <c r="AG2819" s="89"/>
      <c r="AH2819" s="274"/>
      <c r="AI2819" s="279"/>
      <c r="AJ2819" s="280"/>
      <c r="AK2819" s="92"/>
      <c r="AL2819" s="23"/>
      <c r="AU2819" s="1"/>
    </row>
    <row r="2820" spans="1:47">
      <c r="A2820" s="23" t="str">
        <f t="shared" si="715"/>
        <v>MN_Henne_2021g~Minneapolis-Council Member Ward 2 (vote for 1)</v>
      </c>
      <c r="B2820" s="317" t="str">
        <f t="shared" si="716"/>
        <v>MN_Henne_2021g</v>
      </c>
      <c r="C2820" s="317" t="str">
        <f t="shared" si="718"/>
        <v/>
      </c>
      <c r="D2820" t="s">
        <v>6698</v>
      </c>
      <c r="E2820" t="s">
        <v>6699</v>
      </c>
      <c r="F2820" t="s">
        <v>6671</v>
      </c>
      <c r="G2820" s="318">
        <v>2759</v>
      </c>
      <c r="O2820">
        <f t="shared" si="720"/>
        <v>1</v>
      </c>
      <c r="P2820" s="57">
        <f t="shared" si="721"/>
        <v>1</v>
      </c>
      <c r="Q2820" s="267">
        <f t="shared" si="722"/>
        <v>9501</v>
      </c>
      <c r="R2820" s="23">
        <f t="shared" si="723"/>
        <v>2759</v>
      </c>
      <c r="S2820" s="23">
        <f t="shared" si="724"/>
        <v>2707</v>
      </c>
      <c r="T2820" s="23">
        <f t="shared" si="725"/>
        <v>52</v>
      </c>
      <c r="U2820" t="str">
        <f t="shared" si="726"/>
        <v>MN_Henne_2021g~Minneapolis-Council Member Ward 2 (vote for 1)</v>
      </c>
      <c r="AF2820" s="22" t="str">
        <f t="shared" si="719"/>
        <v/>
      </c>
      <c r="AG2820" s="89"/>
      <c r="AH2820" s="274"/>
      <c r="AI2820" s="279"/>
      <c r="AJ2820" s="280"/>
      <c r="AK2820" s="92"/>
      <c r="AL2820" s="23"/>
      <c r="AU2820" s="1"/>
    </row>
    <row r="2821" spans="1:47">
      <c r="A2821" s="23" t="str">
        <f t="shared" si="715"/>
        <v>MN_Henne_2021g~Minneapolis-Council Member Ward 2 (vote for 1)</v>
      </c>
      <c r="B2821" s="317" t="str">
        <f t="shared" si="716"/>
        <v>MN_Henne_2021g</v>
      </c>
      <c r="C2821" s="317" t="str">
        <f t="shared" si="718"/>
        <v/>
      </c>
      <c r="D2821" t="s">
        <v>6698</v>
      </c>
      <c r="E2821" t="s">
        <v>6700</v>
      </c>
      <c r="F2821" t="s">
        <v>6671</v>
      </c>
      <c r="G2821" s="318">
        <v>2707</v>
      </c>
      <c r="O2821">
        <f t="shared" si="720"/>
        <v>2</v>
      </c>
      <c r="P2821" s="57">
        <f t="shared" si="721"/>
        <v>1</v>
      </c>
      <c r="Q2821" s="267">
        <f t="shared" si="722"/>
        <v>6742</v>
      </c>
      <c r="R2821" s="23" t="str">
        <f t="shared" si="723"/>
        <v/>
      </c>
      <c r="S2821" s="23">
        <f t="shared" si="724"/>
        <v>2707</v>
      </c>
      <c r="T2821" s="23" t="str">
        <f t="shared" si="725"/>
        <v/>
      </c>
      <c r="U2821" t="str">
        <f t="shared" si="726"/>
        <v/>
      </c>
      <c r="AF2821" s="22" t="str">
        <f t="shared" si="719"/>
        <v/>
      </c>
      <c r="AG2821" s="89"/>
      <c r="AH2821" s="274"/>
      <c r="AI2821" s="279"/>
      <c r="AJ2821" s="280"/>
      <c r="AK2821" s="92"/>
      <c r="AL2821" s="23"/>
      <c r="AU2821" s="1"/>
    </row>
    <row r="2822" spans="1:47">
      <c r="A2822" s="23" t="str">
        <f t="shared" si="715"/>
        <v>MN_Henne_2021g~Minneapolis-Council Member Ward 2 (vote for 1)</v>
      </c>
      <c r="B2822" s="317" t="str">
        <f t="shared" si="716"/>
        <v>MN_Henne_2021g</v>
      </c>
      <c r="C2822" s="317" t="str">
        <f t="shared" si="718"/>
        <v/>
      </c>
      <c r="D2822" t="s">
        <v>6698</v>
      </c>
      <c r="E2822" t="s">
        <v>6701</v>
      </c>
      <c r="F2822" t="s">
        <v>6671</v>
      </c>
      <c r="G2822" s="318">
        <v>2504</v>
      </c>
      <c r="O2822">
        <f t="shared" si="720"/>
        <v>3</v>
      </c>
      <c r="P2822" s="57">
        <f t="shared" si="721"/>
        <v>1</v>
      </c>
      <c r="Q2822" s="267">
        <f t="shared" si="722"/>
        <v>4035</v>
      </c>
      <c r="R2822" s="23" t="str">
        <f t="shared" si="723"/>
        <v/>
      </c>
      <c r="S2822" s="23">
        <f t="shared" si="724"/>
        <v>2504</v>
      </c>
      <c r="T2822" s="23" t="str">
        <f t="shared" si="725"/>
        <v/>
      </c>
      <c r="U2822" t="str">
        <f t="shared" si="726"/>
        <v/>
      </c>
      <c r="AF2822" s="22" t="str">
        <f t="shared" si="719"/>
        <v/>
      </c>
      <c r="AG2822" s="89"/>
      <c r="AH2822" s="274"/>
      <c r="AI2822" s="279"/>
      <c r="AJ2822" s="280"/>
      <c r="AK2822" s="92"/>
      <c r="AL2822" s="23"/>
      <c r="AU2822" s="1"/>
    </row>
    <row r="2823" spans="1:47">
      <c r="A2823" s="23" t="str">
        <f t="shared" si="715"/>
        <v>MN_Henne_2021g~Minneapolis-Council Member Ward 2 (vote for 1)</v>
      </c>
      <c r="B2823" s="317" t="str">
        <f t="shared" si="716"/>
        <v>MN_Henne_2021g</v>
      </c>
      <c r="C2823" s="317" t="str">
        <f t="shared" si="718"/>
        <v/>
      </c>
      <c r="D2823" t="s">
        <v>6698</v>
      </c>
      <c r="E2823" t="s">
        <v>6702</v>
      </c>
      <c r="F2823" t="s">
        <v>6671</v>
      </c>
      <c r="G2823" s="318">
        <v>977</v>
      </c>
      <c r="O2823">
        <f t="shared" si="720"/>
        <v>4</v>
      </c>
      <c r="P2823" s="57">
        <f t="shared" si="721"/>
        <v>1</v>
      </c>
      <c r="Q2823" s="267">
        <f t="shared" si="722"/>
        <v>1531</v>
      </c>
      <c r="R2823" s="23" t="str">
        <f t="shared" si="723"/>
        <v/>
      </c>
      <c r="S2823" s="23">
        <f t="shared" si="724"/>
        <v>977</v>
      </c>
      <c r="T2823" s="23" t="str">
        <f t="shared" si="725"/>
        <v/>
      </c>
      <c r="U2823" t="str">
        <f t="shared" si="726"/>
        <v/>
      </c>
      <c r="AF2823" s="22" t="str">
        <f t="shared" si="719"/>
        <v/>
      </c>
      <c r="AG2823" s="89"/>
      <c r="AH2823" s="274"/>
      <c r="AI2823" s="279"/>
      <c r="AJ2823" s="280"/>
      <c r="AK2823" s="92"/>
      <c r="AL2823" s="23"/>
      <c r="AU2823" s="1"/>
    </row>
    <row r="2824" spans="1:47">
      <c r="A2824" s="23" t="str">
        <f t="shared" si="715"/>
        <v>MN_Henne_2021g~Minneapolis-Council Member Ward 2 (vote for 1)</v>
      </c>
      <c r="B2824" s="317" t="str">
        <f t="shared" si="716"/>
        <v>MN_Henne_2021g</v>
      </c>
      <c r="C2824" s="317" t="str">
        <f t="shared" si="718"/>
        <v/>
      </c>
      <c r="D2824" t="s">
        <v>6698</v>
      </c>
      <c r="E2824" t="s">
        <v>6703</v>
      </c>
      <c r="F2824" t="s">
        <v>6671</v>
      </c>
      <c r="G2824" s="318">
        <v>545</v>
      </c>
      <c r="O2824">
        <f t="shared" si="720"/>
        <v>5</v>
      </c>
      <c r="P2824" s="57">
        <f t="shared" si="721"/>
        <v>1</v>
      </c>
      <c r="Q2824" s="267">
        <f t="shared" si="722"/>
        <v>554</v>
      </c>
      <c r="R2824" s="23" t="str">
        <f t="shared" si="723"/>
        <v/>
      </c>
      <c r="S2824" s="23">
        <f t="shared" si="724"/>
        <v>545</v>
      </c>
      <c r="T2824" s="23" t="str">
        <f t="shared" si="725"/>
        <v/>
      </c>
      <c r="U2824" t="str">
        <f t="shared" si="726"/>
        <v/>
      </c>
      <c r="AF2824" s="22" t="str">
        <f t="shared" si="719"/>
        <v/>
      </c>
      <c r="AG2824" s="89"/>
      <c r="AH2824" s="274"/>
      <c r="AI2824" s="279"/>
      <c r="AJ2824" s="280"/>
      <c r="AK2824" s="92"/>
      <c r="AL2824" s="23"/>
      <c r="AU2824" s="1"/>
    </row>
    <row r="2825" spans="1:47">
      <c r="A2825" s="23" t="str">
        <f t="shared" si="715"/>
        <v>MN_Henne_2021g~Minneapolis-Council Member Ward 2 (vote for 1)</v>
      </c>
      <c r="B2825" s="317" t="str">
        <f t="shared" si="716"/>
        <v>MN_Henne_2021g</v>
      </c>
      <c r="C2825" s="317" t="str">
        <f t="shared" si="718"/>
        <v/>
      </c>
      <c r="D2825" t="s">
        <v>6698</v>
      </c>
      <c r="E2825" t="s">
        <v>15</v>
      </c>
      <c r="F2825" t="s">
        <v>6544</v>
      </c>
      <c r="G2825" s="318">
        <v>9</v>
      </c>
      <c r="O2825">
        <f t="shared" si="720"/>
        <v>-5</v>
      </c>
      <c r="P2825" s="57">
        <f t="shared" si="721"/>
        <v>1</v>
      </c>
      <c r="Q2825" s="267">
        <f t="shared" si="722"/>
        <v>9</v>
      </c>
      <c r="R2825" s="23">
        <f t="shared" si="723"/>
        <v>1</v>
      </c>
      <c r="S2825" s="23">
        <f t="shared" si="724"/>
        <v>0</v>
      </c>
      <c r="T2825" s="23" t="str">
        <f t="shared" si="725"/>
        <v/>
      </c>
      <c r="U2825" t="str">
        <f t="shared" si="726"/>
        <v/>
      </c>
      <c r="AF2825" s="22" t="str">
        <f t="shared" si="719"/>
        <v/>
      </c>
      <c r="AG2825" s="89"/>
      <c r="AH2825" s="274"/>
      <c r="AI2825" s="279"/>
      <c r="AJ2825" s="280"/>
      <c r="AK2825" s="92"/>
      <c r="AL2825" s="23"/>
      <c r="AU2825" s="1"/>
    </row>
    <row r="2826" spans="1:47">
      <c r="A2826" s="23" t="str">
        <f t="shared" si="715"/>
        <v>MN_Henne_2021g~Minneapolis-Council Member Ward 3 (vote for 1)</v>
      </c>
      <c r="B2826" s="317" t="str">
        <f t="shared" si="716"/>
        <v>MN_Henne_2021g</v>
      </c>
      <c r="C2826" s="317" t="str">
        <f t="shared" si="718"/>
        <v/>
      </c>
      <c r="D2826" t="s">
        <v>6704</v>
      </c>
      <c r="E2826" t="s">
        <v>6705</v>
      </c>
      <c r="F2826" t="s">
        <v>6671</v>
      </c>
      <c r="G2826" s="318">
        <v>5999</v>
      </c>
      <c r="O2826">
        <f t="shared" si="720"/>
        <v>1</v>
      </c>
      <c r="P2826" s="57">
        <f t="shared" si="721"/>
        <v>1</v>
      </c>
      <c r="Q2826" s="267">
        <f t="shared" si="722"/>
        <v>13300</v>
      </c>
      <c r="R2826" s="23">
        <f t="shared" si="723"/>
        <v>5999</v>
      </c>
      <c r="S2826" s="23">
        <f t="shared" si="724"/>
        <v>5218</v>
      </c>
      <c r="T2826" s="23">
        <f t="shared" si="725"/>
        <v>781</v>
      </c>
      <c r="U2826" t="str">
        <f t="shared" si="726"/>
        <v>MN_Henne_2021g~Minneapolis-Council Member Ward 3 (vote for 1)</v>
      </c>
      <c r="AF2826" s="22" t="str">
        <f t="shared" si="719"/>
        <v/>
      </c>
      <c r="AG2826" s="89"/>
      <c r="AH2826" s="274"/>
      <c r="AI2826" s="279"/>
      <c r="AJ2826" s="280"/>
      <c r="AK2826" s="92"/>
      <c r="AL2826" s="23"/>
      <c r="AU2826" s="1"/>
    </row>
    <row r="2827" spans="1:47">
      <c r="A2827" s="23" t="str">
        <f t="shared" si="715"/>
        <v>MN_Henne_2021g~Minneapolis-Council Member Ward 3 (vote for 1)</v>
      </c>
      <c r="B2827" s="317" t="str">
        <f t="shared" si="716"/>
        <v>MN_Henne_2021g</v>
      </c>
      <c r="C2827" s="317" t="str">
        <f t="shared" ref="C2827:C2858" si="727">IF(AND(D2827=D2826,E2827=E2826),99,"")</f>
        <v/>
      </c>
      <c r="D2827" t="s">
        <v>6704</v>
      </c>
      <c r="E2827" t="s">
        <v>6706</v>
      </c>
      <c r="F2827" t="s">
        <v>6671</v>
      </c>
      <c r="G2827" s="318">
        <v>5218</v>
      </c>
      <c r="O2827">
        <f t="shared" si="720"/>
        <v>2</v>
      </c>
      <c r="P2827" s="57">
        <f t="shared" si="721"/>
        <v>1</v>
      </c>
      <c r="Q2827" s="267">
        <f t="shared" si="722"/>
        <v>7301</v>
      </c>
      <c r="R2827" s="23" t="str">
        <f t="shared" si="723"/>
        <v/>
      </c>
      <c r="S2827" s="23">
        <f t="shared" si="724"/>
        <v>5218</v>
      </c>
      <c r="T2827" s="23" t="str">
        <f t="shared" si="725"/>
        <v/>
      </c>
      <c r="U2827" t="str">
        <f t="shared" si="726"/>
        <v/>
      </c>
      <c r="AF2827" s="22" t="str">
        <f t="shared" si="719"/>
        <v/>
      </c>
      <c r="AG2827" s="89"/>
      <c r="AH2827" s="274"/>
      <c r="AI2827" s="279"/>
      <c r="AJ2827" s="280"/>
      <c r="AK2827" s="92"/>
      <c r="AL2827" s="23"/>
      <c r="AU2827" s="1"/>
    </row>
    <row r="2828" spans="1:47">
      <c r="A2828" s="23" t="str">
        <f t="shared" si="715"/>
        <v>MN_Henne_2021g~Minneapolis-Council Member Ward 3 (vote for 1)</v>
      </c>
      <c r="B2828" s="317" t="str">
        <f t="shared" si="716"/>
        <v>MN_Henne_2021g</v>
      </c>
      <c r="C2828" s="317" t="str">
        <f t="shared" si="727"/>
        <v/>
      </c>
      <c r="D2828" t="s">
        <v>6704</v>
      </c>
      <c r="E2828" t="s">
        <v>6707</v>
      </c>
      <c r="F2828" t="s">
        <v>6671</v>
      </c>
      <c r="G2828" s="318">
        <v>1160</v>
      </c>
      <c r="O2828">
        <f t="shared" si="720"/>
        <v>3</v>
      </c>
      <c r="P2828" s="57">
        <f t="shared" si="721"/>
        <v>1</v>
      </c>
      <c r="Q2828" s="267">
        <f t="shared" si="722"/>
        <v>2083</v>
      </c>
      <c r="R2828" s="23" t="str">
        <f t="shared" si="723"/>
        <v/>
      </c>
      <c r="S2828" s="23">
        <f t="shared" si="724"/>
        <v>1160</v>
      </c>
      <c r="T2828" s="23" t="str">
        <f t="shared" si="725"/>
        <v/>
      </c>
      <c r="U2828" t="str">
        <f t="shared" si="726"/>
        <v/>
      </c>
      <c r="AF2828" s="22" t="str">
        <f t="shared" si="719"/>
        <v/>
      </c>
      <c r="AG2828" s="89"/>
      <c r="AH2828" s="274"/>
      <c r="AI2828" s="279"/>
      <c r="AJ2828" s="280"/>
      <c r="AK2828" s="92"/>
      <c r="AL2828" s="23"/>
      <c r="AU2828" s="1"/>
    </row>
    <row r="2829" spans="1:47">
      <c r="A2829" s="23" t="str">
        <f t="shared" si="715"/>
        <v>MN_Henne_2021g~Minneapolis-Council Member Ward 3 (vote for 1)</v>
      </c>
      <c r="B2829" s="317" t="str">
        <f t="shared" si="716"/>
        <v>MN_Henne_2021g</v>
      </c>
      <c r="C2829" s="317" t="str">
        <f t="shared" si="727"/>
        <v/>
      </c>
      <c r="D2829" t="s">
        <v>6704</v>
      </c>
      <c r="E2829" t="s">
        <v>6708</v>
      </c>
      <c r="F2829" t="s">
        <v>6671</v>
      </c>
      <c r="G2829" s="318">
        <v>880</v>
      </c>
      <c r="O2829">
        <f t="shared" si="720"/>
        <v>4</v>
      </c>
      <c r="P2829" s="57">
        <f t="shared" si="721"/>
        <v>1</v>
      </c>
      <c r="Q2829" s="267">
        <f t="shared" si="722"/>
        <v>923</v>
      </c>
      <c r="R2829" s="23" t="str">
        <f t="shared" si="723"/>
        <v/>
      </c>
      <c r="S2829" s="23">
        <f t="shared" si="724"/>
        <v>880</v>
      </c>
      <c r="T2829" s="23" t="str">
        <f t="shared" si="725"/>
        <v/>
      </c>
      <c r="U2829" t="str">
        <f t="shared" si="726"/>
        <v/>
      </c>
      <c r="AF2829" s="22" t="str">
        <f t="shared" si="719"/>
        <v/>
      </c>
      <c r="AG2829" s="89"/>
      <c r="AH2829" s="274"/>
      <c r="AI2829" s="279"/>
      <c r="AJ2829" s="280"/>
      <c r="AK2829" s="92"/>
      <c r="AL2829" s="23"/>
      <c r="AU2829" s="1"/>
    </row>
    <row r="2830" spans="1:47">
      <c r="A2830" s="23" t="str">
        <f t="shared" si="715"/>
        <v>MN_Henne_2021g~Minneapolis-Council Member Ward 3 (vote for 1)</v>
      </c>
      <c r="B2830" s="317" t="str">
        <f t="shared" si="716"/>
        <v>MN_Henne_2021g</v>
      </c>
      <c r="C2830" s="317" t="str">
        <f t="shared" si="727"/>
        <v/>
      </c>
      <c r="D2830" t="s">
        <v>6704</v>
      </c>
      <c r="E2830" t="s">
        <v>15</v>
      </c>
      <c r="F2830" t="s">
        <v>6544</v>
      </c>
      <c r="G2830" s="318">
        <v>43</v>
      </c>
      <c r="O2830">
        <f t="shared" si="720"/>
        <v>-4</v>
      </c>
      <c r="P2830" s="57">
        <f t="shared" si="721"/>
        <v>1</v>
      </c>
      <c r="Q2830" s="267">
        <f t="shared" si="722"/>
        <v>43</v>
      </c>
      <c r="R2830" s="23">
        <f t="shared" si="723"/>
        <v>1</v>
      </c>
      <c r="S2830" s="23">
        <f t="shared" si="724"/>
        <v>0</v>
      </c>
      <c r="T2830" s="23" t="str">
        <f t="shared" si="725"/>
        <v/>
      </c>
      <c r="U2830" t="str">
        <f t="shared" si="726"/>
        <v/>
      </c>
      <c r="AF2830" s="22" t="str">
        <f t="shared" si="719"/>
        <v/>
      </c>
      <c r="AG2830" s="89"/>
      <c r="AH2830" s="274"/>
      <c r="AI2830" s="279"/>
      <c r="AJ2830" s="280"/>
      <c r="AK2830" s="92"/>
      <c r="AL2830" s="23"/>
      <c r="AU2830" s="1"/>
    </row>
    <row r="2831" spans="1:47">
      <c r="A2831" s="23" t="str">
        <f t="shared" si="715"/>
        <v>MN_Henne_2021g~Minneapolis-Council Member Ward 4 (vote for 1)</v>
      </c>
      <c r="B2831" s="317" t="str">
        <f t="shared" si="716"/>
        <v>MN_Henne_2021g</v>
      </c>
      <c r="C2831" s="317" t="str">
        <f t="shared" si="727"/>
        <v/>
      </c>
      <c r="D2831" t="s">
        <v>6709</v>
      </c>
      <c r="E2831" t="s">
        <v>6710</v>
      </c>
      <c r="F2831" t="s">
        <v>6671</v>
      </c>
      <c r="G2831" s="318">
        <v>4391</v>
      </c>
      <c r="O2831">
        <f t="shared" si="720"/>
        <v>1</v>
      </c>
      <c r="P2831" s="57">
        <f t="shared" si="721"/>
        <v>1</v>
      </c>
      <c r="Q2831" s="267">
        <f t="shared" si="722"/>
        <v>7242</v>
      </c>
      <c r="R2831" s="23">
        <f t="shared" si="723"/>
        <v>4391</v>
      </c>
      <c r="S2831" s="23">
        <f t="shared" si="724"/>
        <v>2196</v>
      </c>
      <c r="T2831" s="23">
        <f t="shared" si="725"/>
        <v>2195</v>
      </c>
      <c r="U2831" t="str">
        <f t="shared" si="726"/>
        <v>MN_Henne_2021g~Minneapolis-Council Member Ward 4 (vote for 1)</v>
      </c>
      <c r="AF2831" s="22" t="str">
        <f t="shared" si="719"/>
        <v/>
      </c>
      <c r="AG2831" s="89"/>
      <c r="AH2831" s="274"/>
      <c r="AI2831" s="279"/>
      <c r="AJ2831" s="280"/>
      <c r="AK2831" s="92"/>
      <c r="AL2831" s="23"/>
      <c r="AU2831" s="1"/>
    </row>
    <row r="2832" spans="1:47">
      <c r="A2832" s="23" t="str">
        <f t="shared" si="715"/>
        <v>MN_Henne_2021g~Minneapolis-Council Member Ward 4 (vote for 1)</v>
      </c>
      <c r="B2832" s="317" t="str">
        <f t="shared" si="716"/>
        <v>MN_Henne_2021g</v>
      </c>
      <c r="C2832" s="317" t="str">
        <f t="shared" si="727"/>
        <v/>
      </c>
      <c r="D2832" t="s">
        <v>6709</v>
      </c>
      <c r="E2832" t="s">
        <v>6711</v>
      </c>
      <c r="F2832" t="s">
        <v>6671</v>
      </c>
      <c r="G2832" s="318">
        <v>2196</v>
      </c>
      <c r="O2832">
        <f t="shared" si="720"/>
        <v>2</v>
      </c>
      <c r="P2832" s="57">
        <f t="shared" si="721"/>
        <v>1</v>
      </c>
      <c r="Q2832" s="267">
        <f t="shared" si="722"/>
        <v>2851</v>
      </c>
      <c r="R2832" s="23" t="str">
        <f t="shared" si="723"/>
        <v/>
      </c>
      <c r="S2832" s="23">
        <f t="shared" si="724"/>
        <v>2196</v>
      </c>
      <c r="T2832" s="23" t="str">
        <f t="shared" si="725"/>
        <v/>
      </c>
      <c r="U2832" t="str">
        <f t="shared" si="726"/>
        <v/>
      </c>
      <c r="AF2832" s="22" t="str">
        <f t="shared" si="719"/>
        <v/>
      </c>
      <c r="AG2832" s="89"/>
      <c r="AH2832" s="274"/>
      <c r="AI2832" s="279"/>
      <c r="AJ2832" s="280"/>
      <c r="AK2832" s="92"/>
      <c r="AL2832" s="23"/>
      <c r="AU2832" s="1"/>
    </row>
    <row r="2833" spans="1:47">
      <c r="A2833" s="23" t="str">
        <f t="shared" si="715"/>
        <v>MN_Henne_2021g~Minneapolis-Council Member Ward 4 (vote for 1)</v>
      </c>
      <c r="B2833" s="317" t="str">
        <f t="shared" si="716"/>
        <v>MN_Henne_2021g</v>
      </c>
      <c r="C2833" s="317" t="str">
        <f t="shared" si="727"/>
        <v/>
      </c>
      <c r="D2833" t="s">
        <v>6709</v>
      </c>
      <c r="E2833" t="s">
        <v>6712</v>
      </c>
      <c r="F2833" t="s">
        <v>6671</v>
      </c>
      <c r="G2833" s="318">
        <v>635</v>
      </c>
      <c r="O2833">
        <f t="shared" si="720"/>
        <v>3</v>
      </c>
      <c r="P2833" s="57">
        <f t="shared" si="721"/>
        <v>1</v>
      </c>
      <c r="Q2833" s="267">
        <f t="shared" si="722"/>
        <v>655</v>
      </c>
      <c r="R2833" s="23" t="str">
        <f t="shared" si="723"/>
        <v/>
      </c>
      <c r="S2833" s="23">
        <f t="shared" si="724"/>
        <v>635</v>
      </c>
      <c r="T2833" s="23" t="str">
        <f t="shared" si="725"/>
        <v/>
      </c>
      <c r="U2833" t="str">
        <f t="shared" si="726"/>
        <v/>
      </c>
      <c r="AF2833" s="22" t="str">
        <f t="shared" si="719"/>
        <v/>
      </c>
      <c r="AG2833" s="89"/>
      <c r="AH2833" s="274"/>
      <c r="AI2833" s="279"/>
      <c r="AJ2833" s="280"/>
      <c r="AK2833" s="92"/>
      <c r="AL2833" s="23"/>
      <c r="AU2833" s="1"/>
    </row>
    <row r="2834" spans="1:47">
      <c r="A2834" s="23" t="str">
        <f t="shared" si="715"/>
        <v>MN_Henne_2021g~Minneapolis-Council Member Ward 4 (vote for 1)</v>
      </c>
      <c r="B2834" s="317" t="str">
        <f t="shared" si="716"/>
        <v>MN_Henne_2021g</v>
      </c>
      <c r="C2834" s="317" t="str">
        <f t="shared" si="727"/>
        <v/>
      </c>
      <c r="D2834" t="s">
        <v>6709</v>
      </c>
      <c r="E2834" t="s">
        <v>15</v>
      </c>
      <c r="F2834" t="s">
        <v>6544</v>
      </c>
      <c r="G2834" s="318">
        <v>20</v>
      </c>
      <c r="O2834">
        <f t="shared" si="720"/>
        <v>-3</v>
      </c>
      <c r="P2834" s="57">
        <f t="shared" si="721"/>
        <v>1</v>
      </c>
      <c r="Q2834" s="267">
        <f t="shared" si="722"/>
        <v>20</v>
      </c>
      <c r="R2834" s="23">
        <f t="shared" si="723"/>
        <v>1</v>
      </c>
      <c r="S2834" s="23">
        <f t="shared" si="724"/>
        <v>0</v>
      </c>
      <c r="T2834" s="23" t="str">
        <f t="shared" si="725"/>
        <v/>
      </c>
      <c r="U2834" t="str">
        <f t="shared" si="726"/>
        <v/>
      </c>
      <c r="AF2834" s="22" t="str">
        <f t="shared" si="719"/>
        <v/>
      </c>
      <c r="AG2834" s="89"/>
      <c r="AH2834" s="274"/>
      <c r="AI2834" s="279"/>
      <c r="AJ2834" s="280"/>
      <c r="AK2834" s="92"/>
      <c r="AL2834" s="23"/>
      <c r="AU2834" s="1"/>
    </row>
    <row r="2835" spans="1:47">
      <c r="A2835" s="23" t="str">
        <f t="shared" si="715"/>
        <v>MN_Henne_2021g~Minneapolis-Council Member Ward 5 (vote for 1)</v>
      </c>
      <c r="B2835" s="317" t="str">
        <f t="shared" si="716"/>
        <v>MN_Henne_2021g</v>
      </c>
      <c r="C2835" s="317" t="str">
        <f t="shared" si="727"/>
        <v/>
      </c>
      <c r="D2835" t="s">
        <v>6713</v>
      </c>
      <c r="E2835" t="s">
        <v>6714</v>
      </c>
      <c r="F2835" t="s">
        <v>6671</v>
      </c>
      <c r="G2835" s="318">
        <v>1744</v>
      </c>
      <c r="O2835">
        <f t="shared" si="720"/>
        <v>1</v>
      </c>
      <c r="P2835" s="57">
        <f t="shared" si="721"/>
        <v>1</v>
      </c>
      <c r="Q2835" s="267">
        <f t="shared" si="722"/>
        <v>5454</v>
      </c>
      <c r="R2835" s="23">
        <f t="shared" si="723"/>
        <v>1744</v>
      </c>
      <c r="S2835" s="23">
        <f t="shared" si="724"/>
        <v>1352</v>
      </c>
      <c r="T2835" s="23">
        <f t="shared" si="725"/>
        <v>392</v>
      </c>
      <c r="U2835" t="str">
        <f t="shared" si="726"/>
        <v>MN_Henne_2021g~Minneapolis-Council Member Ward 5 (vote for 1)</v>
      </c>
      <c r="AF2835" s="22" t="str">
        <f t="shared" si="719"/>
        <v/>
      </c>
      <c r="AG2835" s="89"/>
      <c r="AH2835" s="274"/>
      <c r="AI2835" s="279"/>
      <c r="AJ2835" s="280"/>
      <c r="AK2835" s="92"/>
      <c r="AL2835" s="23"/>
      <c r="AU2835" s="1"/>
    </row>
    <row r="2836" spans="1:47">
      <c r="A2836" s="23" t="str">
        <f t="shared" si="715"/>
        <v>MN_Henne_2021g~Minneapolis-Council Member Ward 5 (vote for 1)</v>
      </c>
      <c r="B2836" s="317" t="str">
        <f t="shared" si="716"/>
        <v>MN_Henne_2021g</v>
      </c>
      <c r="C2836" s="317" t="str">
        <f t="shared" si="727"/>
        <v/>
      </c>
      <c r="D2836" t="s">
        <v>6713</v>
      </c>
      <c r="E2836" t="s">
        <v>6715</v>
      </c>
      <c r="F2836" t="s">
        <v>6671</v>
      </c>
      <c r="G2836" s="318">
        <v>1352</v>
      </c>
      <c r="O2836">
        <f t="shared" si="720"/>
        <v>2</v>
      </c>
      <c r="P2836" s="57">
        <f t="shared" si="721"/>
        <v>1</v>
      </c>
      <c r="Q2836" s="267">
        <f t="shared" si="722"/>
        <v>3710</v>
      </c>
      <c r="R2836" s="23" t="str">
        <f t="shared" si="723"/>
        <v/>
      </c>
      <c r="S2836" s="23">
        <f t="shared" si="724"/>
        <v>1352</v>
      </c>
      <c r="T2836" s="23" t="str">
        <f t="shared" si="725"/>
        <v/>
      </c>
      <c r="U2836" t="str">
        <f t="shared" si="726"/>
        <v/>
      </c>
      <c r="AF2836" s="22" t="str">
        <f t="shared" si="719"/>
        <v/>
      </c>
      <c r="AG2836" s="89"/>
      <c r="AH2836" s="274"/>
      <c r="AI2836" s="279"/>
      <c r="AJ2836" s="280"/>
      <c r="AK2836" s="92"/>
      <c r="AL2836" s="23"/>
      <c r="AU2836" s="1"/>
    </row>
    <row r="2837" spans="1:47">
      <c r="A2837" s="23" t="str">
        <f t="shared" si="715"/>
        <v>MN_Henne_2021g~Minneapolis-Council Member Ward 5 (vote for 1)</v>
      </c>
      <c r="B2837" s="317" t="str">
        <f t="shared" si="716"/>
        <v>MN_Henne_2021g</v>
      </c>
      <c r="C2837" s="317" t="str">
        <f t="shared" si="727"/>
        <v/>
      </c>
      <c r="D2837" t="s">
        <v>6713</v>
      </c>
      <c r="E2837" t="s">
        <v>6716</v>
      </c>
      <c r="F2837" t="s">
        <v>6671</v>
      </c>
      <c r="G2837" s="318">
        <v>1344</v>
      </c>
      <c r="O2837">
        <f t="shared" si="720"/>
        <v>3</v>
      </c>
      <c r="P2837" s="57">
        <f t="shared" si="721"/>
        <v>1</v>
      </c>
      <c r="Q2837" s="267">
        <f t="shared" si="722"/>
        <v>2358</v>
      </c>
      <c r="R2837" s="23" t="str">
        <f t="shared" si="723"/>
        <v/>
      </c>
      <c r="S2837" s="23">
        <f t="shared" si="724"/>
        <v>1344</v>
      </c>
      <c r="T2837" s="23" t="str">
        <f t="shared" si="725"/>
        <v/>
      </c>
      <c r="U2837" t="str">
        <f t="shared" si="726"/>
        <v/>
      </c>
      <c r="AF2837" s="22" t="str">
        <f t="shared" si="719"/>
        <v/>
      </c>
      <c r="AU2837" s="1"/>
    </row>
    <row r="2838" spans="1:47">
      <c r="A2838" s="23" t="str">
        <f t="shared" si="715"/>
        <v>MN_Henne_2021g~Minneapolis-Council Member Ward 5 (vote for 1)</v>
      </c>
      <c r="B2838" s="317" t="str">
        <f t="shared" si="716"/>
        <v>MN_Henne_2021g</v>
      </c>
      <c r="C2838" s="317" t="str">
        <f t="shared" si="727"/>
        <v/>
      </c>
      <c r="D2838" t="s">
        <v>6713</v>
      </c>
      <c r="E2838" t="s">
        <v>6717</v>
      </c>
      <c r="F2838" t="s">
        <v>6671</v>
      </c>
      <c r="G2838" s="318">
        <v>533</v>
      </c>
      <c r="O2838">
        <f t="shared" si="720"/>
        <v>4</v>
      </c>
      <c r="P2838" s="57">
        <f t="shared" si="721"/>
        <v>1</v>
      </c>
      <c r="Q2838" s="267">
        <f t="shared" si="722"/>
        <v>1014</v>
      </c>
      <c r="R2838" s="23" t="str">
        <f t="shared" si="723"/>
        <v/>
      </c>
      <c r="S2838" s="23">
        <f t="shared" si="724"/>
        <v>533</v>
      </c>
      <c r="T2838" s="23" t="str">
        <f t="shared" si="725"/>
        <v/>
      </c>
      <c r="U2838" t="str">
        <f t="shared" si="726"/>
        <v/>
      </c>
      <c r="AF2838" s="22" t="str">
        <f t="shared" si="719"/>
        <v/>
      </c>
      <c r="AG2838" s="89"/>
      <c r="AH2838" s="274"/>
      <c r="AI2838" s="279"/>
      <c r="AJ2838" s="280"/>
      <c r="AK2838" s="92"/>
      <c r="AL2838" s="23"/>
      <c r="AU2838" s="1"/>
    </row>
    <row r="2839" spans="1:47">
      <c r="A2839" s="23" t="str">
        <f t="shared" si="715"/>
        <v>MN_Henne_2021g~Minneapolis-Council Member Ward 5 (vote for 1)</v>
      </c>
      <c r="B2839" s="317" t="str">
        <f t="shared" si="716"/>
        <v>MN_Henne_2021g</v>
      </c>
      <c r="C2839" s="317" t="str">
        <f t="shared" si="727"/>
        <v/>
      </c>
      <c r="D2839" t="s">
        <v>6713</v>
      </c>
      <c r="E2839" t="s">
        <v>6718</v>
      </c>
      <c r="F2839" t="s">
        <v>6671</v>
      </c>
      <c r="G2839" s="318">
        <v>242</v>
      </c>
      <c r="O2839">
        <f t="shared" si="720"/>
        <v>5</v>
      </c>
      <c r="P2839" s="57">
        <f t="shared" si="721"/>
        <v>1</v>
      </c>
      <c r="Q2839" s="267">
        <f t="shared" si="722"/>
        <v>481</v>
      </c>
      <c r="R2839" s="23" t="str">
        <f t="shared" si="723"/>
        <v/>
      </c>
      <c r="S2839" s="23">
        <f t="shared" si="724"/>
        <v>242</v>
      </c>
      <c r="T2839" s="23" t="str">
        <f t="shared" si="725"/>
        <v/>
      </c>
      <c r="U2839" t="str">
        <f t="shared" si="726"/>
        <v/>
      </c>
      <c r="AF2839" s="22" t="str">
        <f t="shared" si="719"/>
        <v/>
      </c>
      <c r="AG2839" s="89"/>
      <c r="AH2839" s="274"/>
      <c r="AI2839" s="279"/>
      <c r="AJ2839" s="280"/>
      <c r="AK2839" s="92"/>
      <c r="AL2839" s="23"/>
      <c r="AU2839" s="1"/>
    </row>
    <row r="2840" spans="1:47">
      <c r="A2840" s="23" t="str">
        <f t="shared" si="715"/>
        <v>MN_Henne_2021g~Minneapolis-Council Member Ward 5 (vote for 1)</v>
      </c>
      <c r="B2840" s="317" t="str">
        <f t="shared" si="716"/>
        <v>MN_Henne_2021g</v>
      </c>
      <c r="C2840" s="317" t="str">
        <f t="shared" si="727"/>
        <v/>
      </c>
      <c r="D2840" t="s">
        <v>6713</v>
      </c>
      <c r="E2840" t="s">
        <v>6719</v>
      </c>
      <c r="F2840" t="s">
        <v>6671</v>
      </c>
      <c r="G2840" s="318">
        <v>194</v>
      </c>
      <c r="O2840">
        <f t="shared" si="720"/>
        <v>6</v>
      </c>
      <c r="P2840" s="57">
        <f t="shared" si="721"/>
        <v>1</v>
      </c>
      <c r="Q2840" s="267">
        <f t="shared" si="722"/>
        <v>239</v>
      </c>
      <c r="R2840" s="23" t="str">
        <f t="shared" si="723"/>
        <v/>
      </c>
      <c r="S2840" s="23">
        <f t="shared" si="724"/>
        <v>194</v>
      </c>
      <c r="T2840" s="23" t="str">
        <f t="shared" si="725"/>
        <v/>
      </c>
      <c r="U2840" t="str">
        <f t="shared" si="726"/>
        <v/>
      </c>
      <c r="AF2840" s="22" t="str">
        <f t="shared" si="719"/>
        <v/>
      </c>
      <c r="AG2840" s="89"/>
      <c r="AH2840" s="274"/>
      <c r="AI2840" s="279"/>
      <c r="AJ2840" s="280"/>
      <c r="AK2840" s="92"/>
      <c r="AL2840" s="23"/>
      <c r="AU2840" s="1"/>
    </row>
    <row r="2841" spans="1:47">
      <c r="A2841" s="23" t="str">
        <f t="shared" si="715"/>
        <v>MN_Henne_2021g~Minneapolis-Council Member Ward 5 (vote for 1)</v>
      </c>
      <c r="B2841" s="317" t="str">
        <f t="shared" si="716"/>
        <v>MN_Henne_2021g</v>
      </c>
      <c r="C2841" s="317" t="str">
        <f t="shared" si="727"/>
        <v/>
      </c>
      <c r="D2841" t="s">
        <v>6713</v>
      </c>
      <c r="E2841" t="s">
        <v>6720</v>
      </c>
      <c r="F2841" t="s">
        <v>6671</v>
      </c>
      <c r="G2841" s="318">
        <v>38</v>
      </c>
      <c r="O2841">
        <f t="shared" si="720"/>
        <v>7</v>
      </c>
      <c r="P2841" s="57">
        <f t="shared" si="721"/>
        <v>1</v>
      </c>
      <c r="Q2841" s="267">
        <f t="shared" si="722"/>
        <v>45</v>
      </c>
      <c r="R2841" s="23" t="str">
        <f t="shared" si="723"/>
        <v/>
      </c>
      <c r="S2841" s="23">
        <f t="shared" si="724"/>
        <v>38</v>
      </c>
      <c r="T2841" s="23" t="str">
        <f t="shared" si="725"/>
        <v/>
      </c>
      <c r="U2841" t="str">
        <f t="shared" si="726"/>
        <v/>
      </c>
      <c r="AF2841" s="22" t="str">
        <f t="shared" si="719"/>
        <v/>
      </c>
      <c r="AU2841" s="1"/>
    </row>
    <row r="2842" spans="1:47">
      <c r="A2842" s="23" t="str">
        <f t="shared" si="715"/>
        <v>MN_Henne_2021g~Minneapolis-Council Member Ward 5 (vote for 1)</v>
      </c>
      <c r="B2842" s="317" t="str">
        <f t="shared" si="716"/>
        <v>MN_Henne_2021g</v>
      </c>
      <c r="C2842" s="317" t="str">
        <f t="shared" si="727"/>
        <v/>
      </c>
      <c r="D2842" t="s">
        <v>6713</v>
      </c>
      <c r="E2842" t="s">
        <v>15</v>
      </c>
      <c r="F2842" t="s">
        <v>6544</v>
      </c>
      <c r="G2842" s="318">
        <v>7</v>
      </c>
      <c r="O2842">
        <f t="shared" si="720"/>
        <v>-7</v>
      </c>
      <c r="P2842" s="57">
        <f t="shared" si="721"/>
        <v>1</v>
      </c>
      <c r="Q2842" s="267">
        <f t="shared" si="722"/>
        <v>7</v>
      </c>
      <c r="R2842" s="23">
        <f t="shared" si="723"/>
        <v>1</v>
      </c>
      <c r="S2842" s="23">
        <f t="shared" si="724"/>
        <v>0</v>
      </c>
      <c r="T2842" s="23" t="str">
        <f t="shared" si="725"/>
        <v/>
      </c>
      <c r="U2842" t="str">
        <f t="shared" si="726"/>
        <v/>
      </c>
      <c r="AF2842" s="22" t="str">
        <f t="shared" si="719"/>
        <v/>
      </c>
      <c r="AU2842" s="1"/>
    </row>
    <row r="2843" spans="1:47">
      <c r="A2843" s="23" t="str">
        <f t="shared" si="715"/>
        <v>MN_Henne_2021g~Minneapolis-Council Member Ward 6 (vote for 1)</v>
      </c>
      <c r="B2843" s="317" t="str">
        <f t="shared" si="716"/>
        <v>MN_Henne_2021g</v>
      </c>
      <c r="C2843" s="317" t="str">
        <f t="shared" si="727"/>
        <v/>
      </c>
      <c r="D2843" t="s">
        <v>6721</v>
      </c>
      <c r="E2843" t="s">
        <v>6722</v>
      </c>
      <c r="F2843" t="s">
        <v>6671</v>
      </c>
      <c r="G2843" s="318">
        <v>3722</v>
      </c>
      <c r="O2843">
        <f t="shared" si="720"/>
        <v>1</v>
      </c>
      <c r="P2843" s="57">
        <f t="shared" si="721"/>
        <v>1</v>
      </c>
      <c r="Q2843" s="267">
        <f t="shared" si="722"/>
        <v>6265</v>
      </c>
      <c r="R2843" s="23">
        <f t="shared" si="723"/>
        <v>3722</v>
      </c>
      <c r="S2843" s="23">
        <f t="shared" si="724"/>
        <v>2468</v>
      </c>
      <c r="T2843" s="23">
        <f t="shared" si="725"/>
        <v>1254</v>
      </c>
      <c r="U2843" t="str">
        <f t="shared" si="726"/>
        <v>MN_Henne_2021g~Minneapolis-Council Member Ward 6 (vote for 1)</v>
      </c>
      <c r="AF2843" s="22" t="str">
        <f t="shared" si="719"/>
        <v/>
      </c>
      <c r="AU2843" s="1"/>
    </row>
    <row r="2844" spans="1:47">
      <c r="A2844" s="23" t="str">
        <f t="shared" si="715"/>
        <v>MN_Henne_2021g~Minneapolis-Council Member Ward 6 (vote for 1)</v>
      </c>
      <c r="B2844" s="317" t="str">
        <f t="shared" si="716"/>
        <v>MN_Henne_2021g</v>
      </c>
      <c r="C2844" s="317" t="str">
        <f t="shared" si="727"/>
        <v/>
      </c>
      <c r="D2844" t="s">
        <v>6721</v>
      </c>
      <c r="E2844" t="s">
        <v>6723</v>
      </c>
      <c r="F2844" t="s">
        <v>6671</v>
      </c>
      <c r="G2844" s="318">
        <v>2468</v>
      </c>
      <c r="O2844">
        <f t="shared" si="720"/>
        <v>2</v>
      </c>
      <c r="P2844" s="57">
        <f t="shared" si="721"/>
        <v>1</v>
      </c>
      <c r="Q2844" s="267">
        <f t="shared" si="722"/>
        <v>2543</v>
      </c>
      <c r="R2844" s="23" t="str">
        <f t="shared" si="723"/>
        <v/>
      </c>
      <c r="S2844" s="23">
        <f t="shared" si="724"/>
        <v>2468</v>
      </c>
      <c r="T2844" s="23" t="str">
        <f t="shared" si="725"/>
        <v/>
      </c>
      <c r="U2844" t="str">
        <f t="shared" si="726"/>
        <v/>
      </c>
      <c r="AF2844" s="22" t="str">
        <f t="shared" si="719"/>
        <v/>
      </c>
      <c r="AU2844" s="1"/>
    </row>
    <row r="2845" spans="1:47">
      <c r="A2845" s="23" t="str">
        <f t="shared" si="715"/>
        <v>MN_Henne_2021g~Minneapolis-Council Member Ward 6 (vote for 1)</v>
      </c>
      <c r="B2845" s="317" t="str">
        <f t="shared" si="716"/>
        <v>MN_Henne_2021g</v>
      </c>
      <c r="C2845" s="317" t="str">
        <f t="shared" si="727"/>
        <v/>
      </c>
      <c r="D2845" t="s">
        <v>6721</v>
      </c>
      <c r="E2845" t="s">
        <v>15</v>
      </c>
      <c r="F2845" t="s">
        <v>6544</v>
      </c>
      <c r="G2845" s="318">
        <v>75</v>
      </c>
      <c r="O2845">
        <f t="shared" si="720"/>
        <v>-2</v>
      </c>
      <c r="P2845" s="57">
        <f t="shared" si="721"/>
        <v>1</v>
      </c>
      <c r="Q2845" s="267">
        <f t="shared" si="722"/>
        <v>75</v>
      </c>
      <c r="R2845" s="23">
        <f t="shared" si="723"/>
        <v>1</v>
      </c>
      <c r="S2845" s="23">
        <f t="shared" si="724"/>
        <v>0</v>
      </c>
      <c r="T2845" s="23" t="str">
        <f t="shared" si="725"/>
        <v/>
      </c>
      <c r="U2845" t="str">
        <f t="shared" si="726"/>
        <v/>
      </c>
      <c r="AF2845" s="22" t="str">
        <f t="shared" si="719"/>
        <v/>
      </c>
      <c r="AU2845" s="1"/>
    </row>
    <row r="2846" spans="1:47">
      <c r="A2846" s="23" t="str">
        <f t="shared" si="715"/>
        <v>MN_Henne_2021g~Minneapolis-Council Member Ward 7 (vote for 1)</v>
      </c>
      <c r="B2846" s="317" t="str">
        <f t="shared" si="716"/>
        <v>MN_Henne_2021g</v>
      </c>
      <c r="C2846" s="317" t="str">
        <f t="shared" si="727"/>
        <v/>
      </c>
      <c r="D2846" t="s">
        <v>6724</v>
      </c>
      <c r="E2846" t="s">
        <v>6725</v>
      </c>
      <c r="F2846" t="s">
        <v>6671</v>
      </c>
      <c r="G2846" s="318">
        <v>7206</v>
      </c>
      <c r="O2846">
        <f t="shared" si="720"/>
        <v>1</v>
      </c>
      <c r="P2846" s="57">
        <f t="shared" si="721"/>
        <v>1</v>
      </c>
      <c r="Q2846" s="267">
        <f t="shared" si="722"/>
        <v>11639</v>
      </c>
      <c r="R2846" s="23">
        <f t="shared" si="723"/>
        <v>7206</v>
      </c>
      <c r="S2846" s="23">
        <f t="shared" si="724"/>
        <v>3066</v>
      </c>
      <c r="T2846" s="23">
        <f t="shared" si="725"/>
        <v>4140</v>
      </c>
      <c r="U2846" t="str">
        <f t="shared" si="726"/>
        <v>MN_Henne_2021g~Minneapolis-Council Member Ward 7 (vote for 1)</v>
      </c>
      <c r="AF2846" s="22" t="str">
        <f t="shared" si="719"/>
        <v/>
      </c>
      <c r="AU2846" s="1"/>
    </row>
    <row r="2847" spans="1:47">
      <c r="A2847" s="23" t="str">
        <f t="shared" si="715"/>
        <v>MN_Henne_2021g~Minneapolis-Council Member Ward 7 (vote for 1)</v>
      </c>
      <c r="B2847" s="317" t="str">
        <f t="shared" si="716"/>
        <v>MN_Henne_2021g</v>
      </c>
      <c r="C2847" s="317" t="str">
        <f t="shared" si="727"/>
        <v/>
      </c>
      <c r="D2847" t="s">
        <v>6724</v>
      </c>
      <c r="E2847" t="s">
        <v>6726</v>
      </c>
      <c r="F2847" t="s">
        <v>6671</v>
      </c>
      <c r="G2847" s="318">
        <v>3066</v>
      </c>
      <c r="O2847">
        <f t="shared" si="720"/>
        <v>2</v>
      </c>
      <c r="P2847" s="57">
        <f t="shared" si="721"/>
        <v>1</v>
      </c>
      <c r="Q2847" s="267">
        <f t="shared" si="722"/>
        <v>4433</v>
      </c>
      <c r="R2847" s="23" t="str">
        <f t="shared" si="723"/>
        <v/>
      </c>
      <c r="S2847" s="23">
        <f t="shared" si="724"/>
        <v>3066</v>
      </c>
      <c r="T2847" s="23" t="str">
        <f t="shared" si="725"/>
        <v/>
      </c>
      <c r="U2847" t="str">
        <f t="shared" si="726"/>
        <v/>
      </c>
      <c r="AF2847" s="22" t="str">
        <f t="shared" si="719"/>
        <v/>
      </c>
      <c r="AU2847" s="1"/>
    </row>
    <row r="2848" spans="1:47">
      <c r="A2848" s="23" t="str">
        <f t="shared" si="715"/>
        <v>MN_Henne_2021g~Minneapolis-Council Member Ward 7 (vote for 1)</v>
      </c>
      <c r="B2848" s="317" t="str">
        <f t="shared" si="716"/>
        <v>MN_Henne_2021g</v>
      </c>
      <c r="C2848" s="317" t="str">
        <f t="shared" si="727"/>
        <v/>
      </c>
      <c r="D2848" t="s">
        <v>6724</v>
      </c>
      <c r="E2848" t="s">
        <v>6727</v>
      </c>
      <c r="F2848" t="s">
        <v>6671</v>
      </c>
      <c r="G2848" s="318">
        <v>833</v>
      </c>
      <c r="O2848">
        <f t="shared" si="720"/>
        <v>3</v>
      </c>
      <c r="P2848" s="57">
        <f t="shared" si="721"/>
        <v>1</v>
      </c>
      <c r="Q2848" s="267">
        <f t="shared" si="722"/>
        <v>1367</v>
      </c>
      <c r="R2848" s="23" t="str">
        <f t="shared" si="723"/>
        <v/>
      </c>
      <c r="S2848" s="23">
        <f t="shared" si="724"/>
        <v>833</v>
      </c>
      <c r="T2848" s="23" t="str">
        <f t="shared" si="725"/>
        <v/>
      </c>
      <c r="U2848" t="str">
        <f t="shared" si="726"/>
        <v/>
      </c>
      <c r="AF2848" s="22" t="str">
        <f t="shared" si="719"/>
        <v/>
      </c>
      <c r="AU2848" s="1"/>
    </row>
    <row r="2849" spans="1:47">
      <c r="A2849" s="23" t="str">
        <f t="shared" ref="A2849:A2912" si="728">CONCATENATE("MN_Henne_2021g~",D2849)</f>
        <v>MN_Henne_2021g~Minneapolis-Council Member Ward 7 (vote for 1)</v>
      </c>
      <c r="B2849" s="317" t="str">
        <f t="shared" ref="B2849:B2912" si="729">LEFT(A2849,14)</f>
        <v>MN_Henne_2021g</v>
      </c>
      <c r="C2849" s="317" t="str">
        <f t="shared" si="727"/>
        <v/>
      </c>
      <c r="D2849" t="s">
        <v>6724</v>
      </c>
      <c r="E2849" t="s">
        <v>6728</v>
      </c>
      <c r="F2849" t="s">
        <v>6671</v>
      </c>
      <c r="G2849" s="318">
        <v>477</v>
      </c>
      <c r="O2849">
        <f t="shared" si="720"/>
        <v>4</v>
      </c>
      <c r="P2849" s="57">
        <f t="shared" si="721"/>
        <v>1</v>
      </c>
      <c r="Q2849" s="267">
        <f t="shared" si="722"/>
        <v>534</v>
      </c>
      <c r="R2849" s="23" t="str">
        <f t="shared" si="723"/>
        <v/>
      </c>
      <c r="S2849" s="23">
        <f t="shared" si="724"/>
        <v>477</v>
      </c>
      <c r="T2849" s="23" t="str">
        <f t="shared" si="725"/>
        <v/>
      </c>
      <c r="U2849" t="str">
        <f t="shared" si="726"/>
        <v/>
      </c>
      <c r="AF2849" s="22" t="str">
        <f t="shared" si="719"/>
        <v/>
      </c>
      <c r="AU2849" s="1"/>
    </row>
    <row r="2850" spans="1:47">
      <c r="A2850" s="23" t="str">
        <f t="shared" si="728"/>
        <v>MN_Henne_2021g~Minneapolis-Council Member Ward 7 (vote for 1)</v>
      </c>
      <c r="B2850" s="317" t="str">
        <f t="shared" si="729"/>
        <v>MN_Henne_2021g</v>
      </c>
      <c r="C2850" s="317" t="str">
        <f t="shared" si="727"/>
        <v/>
      </c>
      <c r="D2850" t="s">
        <v>6724</v>
      </c>
      <c r="E2850" t="s">
        <v>15</v>
      </c>
      <c r="F2850" t="s">
        <v>6544</v>
      </c>
      <c r="G2850" s="318">
        <v>57</v>
      </c>
      <c r="O2850">
        <f t="shared" si="720"/>
        <v>-4</v>
      </c>
      <c r="P2850" s="57">
        <f t="shared" si="721"/>
        <v>1</v>
      </c>
      <c r="Q2850" s="267">
        <f t="shared" si="722"/>
        <v>57</v>
      </c>
      <c r="R2850" s="23">
        <f t="shared" si="723"/>
        <v>1</v>
      </c>
      <c r="S2850" s="23">
        <f t="shared" si="724"/>
        <v>0</v>
      </c>
      <c r="T2850" s="23" t="str">
        <f t="shared" si="725"/>
        <v/>
      </c>
      <c r="U2850" t="str">
        <f t="shared" si="726"/>
        <v/>
      </c>
      <c r="AF2850" s="22" t="str">
        <f t="shared" si="719"/>
        <v/>
      </c>
      <c r="AU2850" s="1"/>
    </row>
    <row r="2851" spans="1:47">
      <c r="A2851" s="23" t="str">
        <f t="shared" si="728"/>
        <v>MN_Henne_2021g~Minneapolis-Council Member Ward 8 (vote for 1)</v>
      </c>
      <c r="B2851" s="317" t="str">
        <f t="shared" si="729"/>
        <v>MN_Henne_2021g</v>
      </c>
      <c r="C2851" s="317" t="str">
        <f t="shared" si="727"/>
        <v/>
      </c>
      <c r="D2851" t="s">
        <v>6729</v>
      </c>
      <c r="E2851" t="s">
        <v>6730</v>
      </c>
      <c r="F2851" t="s">
        <v>6671</v>
      </c>
      <c r="G2851" s="318">
        <v>9013</v>
      </c>
      <c r="O2851">
        <f t="shared" si="720"/>
        <v>1</v>
      </c>
      <c r="P2851" s="57">
        <f t="shared" si="721"/>
        <v>1</v>
      </c>
      <c r="Q2851" s="267">
        <f t="shared" si="722"/>
        <v>10614</v>
      </c>
      <c r="R2851" s="23">
        <f t="shared" si="723"/>
        <v>9013</v>
      </c>
      <c r="S2851" s="23">
        <f t="shared" si="724"/>
        <v>1468</v>
      </c>
      <c r="T2851" s="23">
        <f t="shared" si="725"/>
        <v>7545</v>
      </c>
      <c r="U2851" t="str">
        <f t="shared" si="726"/>
        <v>MN_Henne_2021g~Minneapolis-Council Member Ward 8 (vote for 1)</v>
      </c>
      <c r="AF2851" s="22" t="str">
        <f t="shared" si="719"/>
        <v/>
      </c>
      <c r="AU2851" s="1"/>
    </row>
    <row r="2852" spans="1:47">
      <c r="A2852" s="23" t="str">
        <f t="shared" si="728"/>
        <v>MN_Henne_2021g~Minneapolis-Council Member Ward 8 (vote for 1)</v>
      </c>
      <c r="B2852" s="317" t="str">
        <f t="shared" si="729"/>
        <v>MN_Henne_2021g</v>
      </c>
      <c r="C2852" s="317" t="str">
        <f t="shared" si="727"/>
        <v/>
      </c>
      <c r="D2852" t="s">
        <v>6729</v>
      </c>
      <c r="E2852" t="s">
        <v>6731</v>
      </c>
      <c r="F2852" t="s">
        <v>6671</v>
      </c>
      <c r="G2852" s="318">
        <v>1468</v>
      </c>
      <c r="O2852">
        <f t="shared" si="720"/>
        <v>2</v>
      </c>
      <c r="P2852" s="57">
        <f t="shared" si="721"/>
        <v>1</v>
      </c>
      <c r="Q2852" s="267">
        <f t="shared" si="722"/>
        <v>1601</v>
      </c>
      <c r="R2852" s="23" t="str">
        <f t="shared" si="723"/>
        <v/>
      </c>
      <c r="S2852" s="23">
        <f t="shared" si="724"/>
        <v>1468</v>
      </c>
      <c r="T2852" s="23" t="str">
        <f t="shared" si="725"/>
        <v/>
      </c>
      <c r="U2852" t="str">
        <f t="shared" si="726"/>
        <v/>
      </c>
      <c r="AF2852" s="22" t="str">
        <f t="shared" si="719"/>
        <v/>
      </c>
      <c r="AU2852" s="1"/>
    </row>
    <row r="2853" spans="1:47">
      <c r="A2853" s="23" t="str">
        <f t="shared" si="728"/>
        <v>MN_Henne_2021g~Minneapolis-Council Member Ward 8 (vote for 1)</v>
      </c>
      <c r="B2853" s="317" t="str">
        <f t="shared" si="729"/>
        <v>MN_Henne_2021g</v>
      </c>
      <c r="C2853" s="317" t="str">
        <f t="shared" si="727"/>
        <v/>
      </c>
      <c r="D2853" t="s">
        <v>6729</v>
      </c>
      <c r="E2853" t="s">
        <v>15</v>
      </c>
      <c r="F2853" t="s">
        <v>6544</v>
      </c>
      <c r="G2853" s="318">
        <v>133</v>
      </c>
      <c r="O2853">
        <f t="shared" si="720"/>
        <v>-2</v>
      </c>
      <c r="P2853" s="57">
        <f t="shared" si="721"/>
        <v>1</v>
      </c>
      <c r="Q2853" s="267">
        <f t="shared" si="722"/>
        <v>133</v>
      </c>
      <c r="R2853" s="23">
        <f t="shared" si="723"/>
        <v>1</v>
      </c>
      <c r="S2853" s="23">
        <f t="shared" si="724"/>
        <v>0</v>
      </c>
      <c r="T2853" s="23" t="str">
        <f t="shared" si="725"/>
        <v/>
      </c>
      <c r="U2853" t="str">
        <f t="shared" si="726"/>
        <v/>
      </c>
      <c r="AF2853" s="22" t="str">
        <f t="shared" si="719"/>
        <v/>
      </c>
      <c r="AU2853" s="1"/>
    </row>
    <row r="2854" spans="1:47">
      <c r="A2854" s="23" t="str">
        <f t="shared" si="728"/>
        <v>MN_Henne_2021g~Minneapolis-Council Member Ward 9 (vote for 1)</v>
      </c>
      <c r="B2854" s="317" t="str">
        <f t="shared" si="729"/>
        <v>MN_Henne_2021g</v>
      </c>
      <c r="C2854" s="317" t="str">
        <f t="shared" si="727"/>
        <v/>
      </c>
      <c r="D2854" t="s">
        <v>6732</v>
      </c>
      <c r="E2854" t="s">
        <v>6733</v>
      </c>
      <c r="F2854" t="s">
        <v>6671</v>
      </c>
      <c r="G2854" s="318">
        <v>3792</v>
      </c>
      <c r="O2854">
        <f t="shared" si="720"/>
        <v>1</v>
      </c>
      <c r="P2854" s="57">
        <f t="shared" si="721"/>
        <v>1</v>
      </c>
      <c r="Q2854" s="267">
        <f t="shared" si="722"/>
        <v>6666</v>
      </c>
      <c r="R2854" s="23">
        <f t="shared" si="723"/>
        <v>3792</v>
      </c>
      <c r="S2854" s="23">
        <f t="shared" si="724"/>
        <v>906</v>
      </c>
      <c r="T2854" s="23">
        <f t="shared" si="725"/>
        <v>2886</v>
      </c>
      <c r="U2854" t="str">
        <f t="shared" si="726"/>
        <v>MN_Henne_2021g~Minneapolis-Council Member Ward 9 (vote for 1)</v>
      </c>
      <c r="AF2854" s="22" t="str">
        <f t="shared" si="719"/>
        <v/>
      </c>
      <c r="AU2854" s="1"/>
    </row>
    <row r="2855" spans="1:47">
      <c r="A2855" s="23" t="str">
        <f t="shared" si="728"/>
        <v>MN_Henne_2021g~Minneapolis-Council Member Ward 9 (vote for 1)</v>
      </c>
      <c r="B2855" s="317" t="str">
        <f t="shared" si="729"/>
        <v>MN_Henne_2021g</v>
      </c>
      <c r="C2855" s="317" t="str">
        <f t="shared" si="727"/>
        <v/>
      </c>
      <c r="D2855" t="s">
        <v>6732</v>
      </c>
      <c r="E2855" t="s">
        <v>6734</v>
      </c>
      <c r="F2855" t="s">
        <v>6671</v>
      </c>
      <c r="G2855" s="318">
        <v>906</v>
      </c>
      <c r="O2855">
        <f t="shared" si="720"/>
        <v>2</v>
      </c>
      <c r="P2855" s="57">
        <f t="shared" si="721"/>
        <v>1</v>
      </c>
      <c r="Q2855" s="267">
        <f t="shared" si="722"/>
        <v>2874</v>
      </c>
      <c r="R2855" s="23" t="str">
        <f t="shared" si="723"/>
        <v/>
      </c>
      <c r="S2855" s="23">
        <f t="shared" si="724"/>
        <v>906</v>
      </c>
      <c r="T2855" s="23" t="str">
        <f t="shared" si="725"/>
        <v/>
      </c>
      <c r="U2855" t="str">
        <f t="shared" si="726"/>
        <v/>
      </c>
      <c r="AF2855" s="22" t="str">
        <f t="shared" si="719"/>
        <v/>
      </c>
      <c r="AU2855" s="1"/>
    </row>
    <row r="2856" spans="1:47">
      <c r="A2856" s="23" t="str">
        <f t="shared" si="728"/>
        <v>MN_Henne_2021g~Minneapolis-Council Member Ward 9 (vote for 1)</v>
      </c>
      <c r="B2856" s="317" t="str">
        <f t="shared" si="729"/>
        <v>MN_Henne_2021g</v>
      </c>
      <c r="C2856" s="317" t="str">
        <f t="shared" si="727"/>
        <v/>
      </c>
      <c r="D2856" t="s">
        <v>6732</v>
      </c>
      <c r="E2856" t="s">
        <v>6735</v>
      </c>
      <c r="F2856" t="s">
        <v>6671</v>
      </c>
      <c r="G2856" s="318">
        <v>842</v>
      </c>
      <c r="O2856">
        <f t="shared" si="720"/>
        <v>3</v>
      </c>
      <c r="P2856" s="57">
        <f t="shared" si="721"/>
        <v>1</v>
      </c>
      <c r="Q2856" s="267">
        <f t="shared" si="722"/>
        <v>1968</v>
      </c>
      <c r="R2856" s="23" t="str">
        <f t="shared" si="723"/>
        <v/>
      </c>
      <c r="S2856" s="23">
        <f t="shared" si="724"/>
        <v>842</v>
      </c>
      <c r="T2856" s="23" t="str">
        <f t="shared" si="725"/>
        <v/>
      </c>
      <c r="U2856" t="str">
        <f t="shared" si="726"/>
        <v/>
      </c>
      <c r="AF2856" s="22" t="str">
        <f t="shared" si="719"/>
        <v/>
      </c>
      <c r="AU2856" s="1"/>
    </row>
    <row r="2857" spans="1:47">
      <c r="A2857" s="23" t="str">
        <f t="shared" si="728"/>
        <v>MN_Henne_2021g~Minneapolis-Council Member Ward 9 (vote for 1)</v>
      </c>
      <c r="B2857" s="317" t="str">
        <f t="shared" si="729"/>
        <v>MN_Henne_2021g</v>
      </c>
      <c r="C2857" s="317" t="str">
        <f t="shared" si="727"/>
        <v/>
      </c>
      <c r="D2857" t="s">
        <v>6732</v>
      </c>
      <c r="E2857" t="s">
        <v>6736</v>
      </c>
      <c r="F2857" t="s">
        <v>6671</v>
      </c>
      <c r="G2857" s="318">
        <v>313</v>
      </c>
      <c r="O2857">
        <f t="shared" si="720"/>
        <v>4</v>
      </c>
      <c r="P2857" s="57">
        <f t="shared" si="721"/>
        <v>1</v>
      </c>
      <c r="Q2857" s="267">
        <f t="shared" si="722"/>
        <v>1126</v>
      </c>
      <c r="R2857" s="23" t="str">
        <f t="shared" si="723"/>
        <v/>
      </c>
      <c r="S2857" s="23">
        <f t="shared" si="724"/>
        <v>313</v>
      </c>
      <c r="T2857" s="23" t="str">
        <f t="shared" si="725"/>
        <v/>
      </c>
      <c r="U2857" t="str">
        <f t="shared" si="726"/>
        <v/>
      </c>
      <c r="AF2857" s="22" t="str">
        <f t="shared" si="719"/>
        <v/>
      </c>
      <c r="AU2857" s="1"/>
    </row>
    <row r="2858" spans="1:47">
      <c r="A2858" s="23" t="str">
        <f t="shared" si="728"/>
        <v>MN_Henne_2021g~Minneapolis-Council Member Ward 9 (vote for 1)</v>
      </c>
      <c r="B2858" s="317" t="str">
        <f t="shared" si="729"/>
        <v>MN_Henne_2021g</v>
      </c>
      <c r="C2858" s="317" t="str">
        <f t="shared" si="727"/>
        <v/>
      </c>
      <c r="D2858" t="s">
        <v>6732</v>
      </c>
      <c r="E2858" t="s">
        <v>6737</v>
      </c>
      <c r="F2858" t="s">
        <v>6671</v>
      </c>
      <c r="G2858" s="318">
        <v>265</v>
      </c>
      <c r="O2858">
        <f t="shared" si="720"/>
        <v>5</v>
      </c>
      <c r="P2858" s="57">
        <f t="shared" si="721"/>
        <v>1</v>
      </c>
      <c r="Q2858" s="267">
        <f t="shared" si="722"/>
        <v>813</v>
      </c>
      <c r="R2858" s="23" t="str">
        <f t="shared" si="723"/>
        <v/>
      </c>
      <c r="S2858" s="23">
        <f t="shared" si="724"/>
        <v>265</v>
      </c>
      <c r="T2858" s="23" t="str">
        <f t="shared" si="725"/>
        <v/>
      </c>
      <c r="U2858" t="str">
        <f t="shared" si="726"/>
        <v/>
      </c>
      <c r="AF2858" s="22" t="str">
        <f t="shared" si="719"/>
        <v/>
      </c>
      <c r="AU2858" s="1"/>
    </row>
    <row r="2859" spans="1:47">
      <c r="A2859" s="23" t="str">
        <f t="shared" si="728"/>
        <v>MN_Henne_2021g~Minneapolis-Council Member Ward 9 (vote for 1)</v>
      </c>
      <c r="B2859" s="317" t="str">
        <f t="shared" si="729"/>
        <v>MN_Henne_2021g</v>
      </c>
      <c r="C2859" s="317" t="str">
        <f t="shared" ref="C2859:C2890" si="730">IF(AND(D2859=D2858,E2859=E2858),99,"")</f>
        <v/>
      </c>
      <c r="D2859" t="s">
        <v>6732</v>
      </c>
      <c r="E2859" t="s">
        <v>6738</v>
      </c>
      <c r="F2859" t="s">
        <v>6671</v>
      </c>
      <c r="G2859" s="318">
        <v>247</v>
      </c>
      <c r="O2859">
        <f t="shared" si="720"/>
        <v>6</v>
      </c>
      <c r="P2859" s="57">
        <f t="shared" si="721"/>
        <v>1</v>
      </c>
      <c r="Q2859" s="267">
        <f t="shared" si="722"/>
        <v>548</v>
      </c>
      <c r="R2859" s="23" t="str">
        <f t="shared" si="723"/>
        <v/>
      </c>
      <c r="S2859" s="23">
        <f t="shared" si="724"/>
        <v>247</v>
      </c>
      <c r="T2859" s="23" t="str">
        <f t="shared" si="725"/>
        <v/>
      </c>
      <c r="U2859" t="str">
        <f t="shared" si="726"/>
        <v/>
      </c>
      <c r="AF2859" s="22" t="str">
        <f t="shared" si="719"/>
        <v/>
      </c>
      <c r="AU2859" s="1"/>
    </row>
    <row r="2860" spans="1:47">
      <c r="A2860" s="23" t="str">
        <f t="shared" si="728"/>
        <v>MN_Henne_2021g~Minneapolis-Council Member Ward 9 (vote for 1)</v>
      </c>
      <c r="B2860" s="317" t="str">
        <f t="shared" si="729"/>
        <v>MN_Henne_2021g</v>
      </c>
      <c r="C2860" s="317" t="str">
        <f t="shared" si="730"/>
        <v/>
      </c>
      <c r="D2860" t="s">
        <v>6732</v>
      </c>
      <c r="E2860" t="s">
        <v>6739</v>
      </c>
      <c r="F2860" t="s">
        <v>6671</v>
      </c>
      <c r="G2860" s="318">
        <v>215</v>
      </c>
      <c r="O2860">
        <f t="shared" si="720"/>
        <v>7</v>
      </c>
      <c r="P2860" s="57">
        <f t="shared" si="721"/>
        <v>1</v>
      </c>
      <c r="Q2860" s="267">
        <f t="shared" si="722"/>
        <v>301</v>
      </c>
      <c r="R2860" s="23" t="str">
        <f t="shared" si="723"/>
        <v/>
      </c>
      <c r="S2860" s="23">
        <f t="shared" si="724"/>
        <v>215</v>
      </c>
      <c r="T2860" s="23" t="str">
        <f t="shared" si="725"/>
        <v/>
      </c>
      <c r="U2860" t="str">
        <f t="shared" si="726"/>
        <v/>
      </c>
      <c r="AF2860" s="22" t="str">
        <f t="shared" si="719"/>
        <v/>
      </c>
      <c r="AU2860" s="1"/>
    </row>
    <row r="2861" spans="1:47">
      <c r="A2861" s="23" t="str">
        <f t="shared" si="728"/>
        <v>MN_Henne_2021g~Minneapolis-Council Member Ward 9 (vote for 1)</v>
      </c>
      <c r="B2861" s="317" t="str">
        <f t="shared" si="729"/>
        <v>MN_Henne_2021g</v>
      </c>
      <c r="C2861" s="317" t="str">
        <f t="shared" si="730"/>
        <v/>
      </c>
      <c r="D2861" t="s">
        <v>6732</v>
      </c>
      <c r="E2861" t="s">
        <v>6740</v>
      </c>
      <c r="F2861" t="s">
        <v>6671</v>
      </c>
      <c r="G2861" s="318">
        <v>80</v>
      </c>
      <c r="O2861">
        <f t="shared" si="720"/>
        <v>8</v>
      </c>
      <c r="P2861" s="57">
        <f t="shared" si="721"/>
        <v>1</v>
      </c>
      <c r="Q2861" s="267">
        <f t="shared" si="722"/>
        <v>86</v>
      </c>
      <c r="R2861" s="23" t="str">
        <f t="shared" si="723"/>
        <v/>
      </c>
      <c r="S2861" s="23">
        <f t="shared" si="724"/>
        <v>80</v>
      </c>
      <c r="T2861" s="23" t="str">
        <f t="shared" si="725"/>
        <v/>
      </c>
      <c r="U2861" t="str">
        <f t="shared" si="726"/>
        <v/>
      </c>
      <c r="AF2861" s="22" t="str">
        <f t="shared" si="719"/>
        <v/>
      </c>
      <c r="AU2861" s="1"/>
    </row>
    <row r="2862" spans="1:47">
      <c r="A2862" s="23" t="str">
        <f t="shared" si="728"/>
        <v>MN_Henne_2021g~Minneapolis-Council Member Ward 9 (vote for 1)</v>
      </c>
      <c r="B2862" s="317" t="str">
        <f t="shared" si="729"/>
        <v>MN_Henne_2021g</v>
      </c>
      <c r="C2862" s="317" t="str">
        <f t="shared" si="730"/>
        <v/>
      </c>
      <c r="D2862" t="s">
        <v>6732</v>
      </c>
      <c r="E2862" t="s">
        <v>15</v>
      </c>
      <c r="F2862" t="s">
        <v>6544</v>
      </c>
      <c r="G2862" s="318">
        <v>6</v>
      </c>
      <c r="O2862">
        <f t="shared" si="720"/>
        <v>-8</v>
      </c>
      <c r="P2862" s="57">
        <f t="shared" si="721"/>
        <v>1</v>
      </c>
      <c r="Q2862" s="267">
        <f t="shared" si="722"/>
        <v>6</v>
      </c>
      <c r="R2862" s="23">
        <f t="shared" si="723"/>
        <v>1</v>
      </c>
      <c r="S2862" s="23">
        <f t="shared" si="724"/>
        <v>0</v>
      </c>
      <c r="T2862" s="23" t="str">
        <f t="shared" si="725"/>
        <v/>
      </c>
      <c r="U2862" t="str">
        <f t="shared" si="726"/>
        <v/>
      </c>
      <c r="AF2862" s="22" t="str">
        <f t="shared" si="719"/>
        <v/>
      </c>
      <c r="AU2862" s="1"/>
    </row>
    <row r="2863" spans="1:47">
      <c r="A2863" s="23" t="str">
        <f t="shared" si="728"/>
        <v>MN_Henne_2021g~Minneapolis-Mayor (vote for 1)</v>
      </c>
      <c r="B2863" s="317" t="str">
        <f t="shared" si="729"/>
        <v>MN_Henne_2021g</v>
      </c>
      <c r="C2863" s="317" t="str">
        <f t="shared" si="730"/>
        <v/>
      </c>
      <c r="D2863" t="s">
        <v>6741</v>
      </c>
      <c r="E2863" t="s">
        <v>6742</v>
      </c>
      <c r="F2863" t="s">
        <v>6671</v>
      </c>
      <c r="G2863" s="318">
        <v>61468</v>
      </c>
      <c r="O2863">
        <f t="shared" si="720"/>
        <v>1</v>
      </c>
      <c r="P2863" s="57">
        <f t="shared" si="721"/>
        <v>1</v>
      </c>
      <c r="Q2863" s="267">
        <f t="shared" si="722"/>
        <v>143645</v>
      </c>
      <c r="R2863" s="23">
        <f t="shared" si="723"/>
        <v>61468</v>
      </c>
      <c r="S2863" s="23">
        <f t="shared" si="724"/>
        <v>30335</v>
      </c>
      <c r="T2863" s="23">
        <f t="shared" si="725"/>
        <v>31133</v>
      </c>
      <c r="U2863" t="str">
        <f t="shared" si="726"/>
        <v>MN_Henne_2021g~Minneapolis-Mayor (vote for 1)</v>
      </c>
      <c r="AF2863" s="22" t="str">
        <f t="shared" si="719"/>
        <v/>
      </c>
      <c r="AU2863" s="1"/>
    </row>
    <row r="2864" spans="1:47">
      <c r="A2864" s="23" t="str">
        <f t="shared" si="728"/>
        <v>MN_Henne_2021g~Minneapolis-Mayor (vote for 1)</v>
      </c>
      <c r="B2864" s="317" t="str">
        <f t="shared" si="729"/>
        <v>MN_Henne_2021g</v>
      </c>
      <c r="C2864" s="317" t="str">
        <f t="shared" si="730"/>
        <v/>
      </c>
      <c r="D2864" t="s">
        <v>6741</v>
      </c>
      <c r="E2864" t="s">
        <v>6743</v>
      </c>
      <c r="F2864" t="s">
        <v>6671</v>
      </c>
      <c r="G2864" s="318">
        <v>30335</v>
      </c>
      <c r="O2864">
        <f t="shared" si="720"/>
        <v>2</v>
      </c>
      <c r="P2864" s="57">
        <f t="shared" si="721"/>
        <v>1</v>
      </c>
      <c r="Q2864" s="267">
        <f t="shared" si="722"/>
        <v>82177</v>
      </c>
      <c r="R2864" s="23" t="str">
        <f t="shared" si="723"/>
        <v/>
      </c>
      <c r="S2864" s="23">
        <f t="shared" si="724"/>
        <v>30335</v>
      </c>
      <c r="T2864" s="23" t="str">
        <f t="shared" si="725"/>
        <v/>
      </c>
      <c r="U2864" t="str">
        <f t="shared" si="726"/>
        <v/>
      </c>
      <c r="AF2864" s="22" t="str">
        <f t="shared" si="719"/>
        <v/>
      </c>
      <c r="AU2864" s="1"/>
    </row>
    <row r="2865" spans="1:47">
      <c r="A2865" s="23" t="str">
        <f t="shared" si="728"/>
        <v>MN_Henne_2021g~Minneapolis-Mayor (vote for 1)</v>
      </c>
      <c r="B2865" s="317" t="str">
        <f t="shared" si="729"/>
        <v>MN_Henne_2021g</v>
      </c>
      <c r="C2865" s="317" t="str">
        <f t="shared" si="730"/>
        <v/>
      </c>
      <c r="D2865" t="s">
        <v>6741</v>
      </c>
      <c r="E2865" t="s">
        <v>6744</v>
      </c>
      <c r="F2865" t="s">
        <v>6671</v>
      </c>
      <c r="G2865" s="318">
        <v>26444</v>
      </c>
      <c r="O2865">
        <f t="shared" si="720"/>
        <v>3</v>
      </c>
      <c r="P2865" s="57">
        <f t="shared" si="721"/>
        <v>1</v>
      </c>
      <c r="Q2865" s="267">
        <f t="shared" si="722"/>
        <v>51842</v>
      </c>
      <c r="R2865" s="23" t="str">
        <f t="shared" si="723"/>
        <v/>
      </c>
      <c r="S2865" s="23">
        <f t="shared" si="724"/>
        <v>26444</v>
      </c>
      <c r="T2865" s="23" t="str">
        <f t="shared" si="725"/>
        <v/>
      </c>
      <c r="U2865" t="str">
        <f t="shared" si="726"/>
        <v/>
      </c>
      <c r="AF2865" s="22" t="str">
        <f t="shared" si="719"/>
        <v/>
      </c>
      <c r="AU2865" s="1"/>
    </row>
    <row r="2866" spans="1:47">
      <c r="A2866" s="23" t="str">
        <f t="shared" si="728"/>
        <v>MN_Henne_2021g~Minneapolis-Mayor (vote for 1)</v>
      </c>
      <c r="B2866" s="317" t="str">
        <f t="shared" si="729"/>
        <v>MN_Henne_2021g</v>
      </c>
      <c r="C2866" s="317" t="str">
        <f t="shared" si="730"/>
        <v/>
      </c>
      <c r="D2866" t="s">
        <v>6741</v>
      </c>
      <c r="E2866" t="s">
        <v>6745</v>
      </c>
      <c r="F2866" t="s">
        <v>6671</v>
      </c>
      <c r="G2866" s="318">
        <v>6823</v>
      </c>
      <c r="O2866">
        <f t="shared" si="720"/>
        <v>4</v>
      </c>
      <c r="P2866" s="57">
        <f t="shared" si="721"/>
        <v>1</v>
      </c>
      <c r="Q2866" s="267">
        <f t="shared" si="722"/>
        <v>25398</v>
      </c>
      <c r="R2866" s="23" t="str">
        <f t="shared" si="723"/>
        <v/>
      </c>
      <c r="S2866" s="23">
        <f t="shared" si="724"/>
        <v>6823</v>
      </c>
      <c r="T2866" s="23" t="str">
        <f t="shared" si="725"/>
        <v/>
      </c>
      <c r="U2866" t="str">
        <f t="shared" si="726"/>
        <v/>
      </c>
      <c r="AF2866" s="22" t="str">
        <f t="shared" si="719"/>
        <v/>
      </c>
      <c r="AU2866" s="1"/>
    </row>
    <row r="2867" spans="1:47">
      <c r="A2867" s="23" t="str">
        <f t="shared" si="728"/>
        <v>MN_Henne_2021g~Minneapolis-Mayor (vote for 1)</v>
      </c>
      <c r="B2867" s="317" t="str">
        <f t="shared" si="729"/>
        <v>MN_Henne_2021g</v>
      </c>
      <c r="C2867" s="317" t="str">
        <f t="shared" si="730"/>
        <v/>
      </c>
      <c r="D2867" t="s">
        <v>6741</v>
      </c>
      <c r="E2867" t="s">
        <v>6746</v>
      </c>
      <c r="F2867" t="s">
        <v>6671</v>
      </c>
      <c r="G2867" s="318">
        <v>4604</v>
      </c>
      <c r="O2867">
        <f t="shared" si="720"/>
        <v>5</v>
      </c>
      <c r="P2867" s="57">
        <f t="shared" si="721"/>
        <v>1</v>
      </c>
      <c r="Q2867" s="267">
        <f t="shared" si="722"/>
        <v>18575</v>
      </c>
      <c r="R2867" s="23" t="str">
        <f t="shared" si="723"/>
        <v/>
      </c>
      <c r="S2867" s="23">
        <f t="shared" si="724"/>
        <v>4604</v>
      </c>
      <c r="T2867" s="23" t="str">
        <f t="shared" si="725"/>
        <v/>
      </c>
      <c r="U2867" t="str">
        <f t="shared" si="726"/>
        <v/>
      </c>
      <c r="AF2867" s="22" t="str">
        <f t="shared" si="719"/>
        <v/>
      </c>
      <c r="AU2867" s="1"/>
    </row>
    <row r="2868" spans="1:47">
      <c r="A2868" s="23" t="str">
        <f t="shared" si="728"/>
        <v>MN_Henne_2021g~Minneapolis-Mayor (vote for 1)</v>
      </c>
      <c r="B2868" s="317" t="str">
        <f t="shared" si="729"/>
        <v>MN_Henne_2021g</v>
      </c>
      <c r="C2868" s="317" t="str">
        <f t="shared" si="730"/>
        <v/>
      </c>
      <c r="D2868" t="s">
        <v>6741</v>
      </c>
      <c r="E2868" t="s">
        <v>6747</v>
      </c>
      <c r="F2868" t="s">
        <v>6671</v>
      </c>
      <c r="G2868" s="318">
        <v>4290</v>
      </c>
      <c r="O2868">
        <f t="shared" si="720"/>
        <v>6</v>
      </c>
      <c r="P2868" s="57">
        <f t="shared" si="721"/>
        <v>1</v>
      </c>
      <c r="Q2868" s="267">
        <f t="shared" si="722"/>
        <v>13971</v>
      </c>
      <c r="R2868" s="23" t="str">
        <f t="shared" si="723"/>
        <v/>
      </c>
      <c r="S2868" s="23">
        <f t="shared" si="724"/>
        <v>4290</v>
      </c>
      <c r="T2868" s="23" t="str">
        <f t="shared" si="725"/>
        <v/>
      </c>
      <c r="U2868" t="str">
        <f t="shared" si="726"/>
        <v/>
      </c>
      <c r="AF2868" s="22" t="str">
        <f t="shared" si="719"/>
        <v/>
      </c>
      <c r="AU2868" s="1"/>
    </row>
    <row r="2869" spans="1:47">
      <c r="A2869" s="23" t="str">
        <f t="shared" si="728"/>
        <v>MN_Henne_2021g~Minneapolis-Mayor (vote for 1)</v>
      </c>
      <c r="B2869" s="317" t="str">
        <f t="shared" si="729"/>
        <v>MN_Henne_2021g</v>
      </c>
      <c r="C2869" s="317" t="str">
        <f t="shared" si="730"/>
        <v/>
      </c>
      <c r="D2869" t="s">
        <v>6741</v>
      </c>
      <c r="E2869" t="s">
        <v>6748</v>
      </c>
      <c r="F2869" t="s">
        <v>6671</v>
      </c>
      <c r="G2869" s="318">
        <v>2778</v>
      </c>
      <c r="O2869">
        <f t="shared" si="720"/>
        <v>7</v>
      </c>
      <c r="P2869" s="57">
        <f t="shared" si="721"/>
        <v>1</v>
      </c>
      <c r="Q2869" s="267">
        <f t="shared" si="722"/>
        <v>9681</v>
      </c>
      <c r="R2869" s="23" t="str">
        <f t="shared" si="723"/>
        <v/>
      </c>
      <c r="S2869" s="23">
        <f t="shared" si="724"/>
        <v>2778</v>
      </c>
      <c r="T2869" s="23" t="str">
        <f t="shared" si="725"/>
        <v/>
      </c>
      <c r="U2869" t="str">
        <f t="shared" si="726"/>
        <v/>
      </c>
      <c r="AF2869" s="22" t="str">
        <f t="shared" si="719"/>
        <v/>
      </c>
      <c r="AU2869" s="1"/>
    </row>
    <row r="2870" spans="1:47">
      <c r="A2870" s="23" t="str">
        <f t="shared" si="728"/>
        <v>MN_Henne_2021g~Minneapolis-Mayor (vote for 1)</v>
      </c>
      <c r="B2870" s="317" t="str">
        <f t="shared" si="729"/>
        <v>MN_Henne_2021g</v>
      </c>
      <c r="C2870" s="317" t="str">
        <f t="shared" si="730"/>
        <v/>
      </c>
      <c r="D2870" t="s">
        <v>6741</v>
      </c>
      <c r="E2870" t="s">
        <v>6749</v>
      </c>
      <c r="F2870" t="s">
        <v>6671</v>
      </c>
      <c r="G2870" s="318">
        <v>1183</v>
      </c>
      <c r="O2870">
        <f t="shared" si="720"/>
        <v>8</v>
      </c>
      <c r="P2870" s="57">
        <f t="shared" si="721"/>
        <v>1</v>
      </c>
      <c r="Q2870" s="267">
        <f t="shared" si="722"/>
        <v>6903</v>
      </c>
      <c r="R2870" s="23" t="str">
        <f t="shared" si="723"/>
        <v/>
      </c>
      <c r="S2870" s="23">
        <f t="shared" si="724"/>
        <v>1183</v>
      </c>
      <c r="T2870" s="23" t="str">
        <f t="shared" si="725"/>
        <v/>
      </c>
      <c r="U2870" t="str">
        <f t="shared" si="726"/>
        <v/>
      </c>
      <c r="AF2870" s="22" t="str">
        <f t="shared" ref="AF2870:AF2933" si="731">LEFT(AL2599,14)</f>
        <v/>
      </c>
      <c r="AU2870" s="1"/>
    </row>
    <row r="2871" spans="1:47">
      <c r="A2871" s="23" t="str">
        <f t="shared" si="728"/>
        <v>MN_Henne_2021g~Minneapolis-Mayor (vote for 1)</v>
      </c>
      <c r="B2871" s="317" t="str">
        <f t="shared" si="729"/>
        <v>MN_Henne_2021g</v>
      </c>
      <c r="C2871" s="317" t="str">
        <f t="shared" si="730"/>
        <v/>
      </c>
      <c r="D2871" t="s">
        <v>6741</v>
      </c>
      <c r="E2871" t="s">
        <v>6750</v>
      </c>
      <c r="F2871" t="s">
        <v>6671</v>
      </c>
      <c r="G2871" s="318">
        <v>1176</v>
      </c>
      <c r="O2871">
        <f t="shared" si="720"/>
        <v>9</v>
      </c>
      <c r="P2871" s="57">
        <f t="shared" si="721"/>
        <v>1</v>
      </c>
      <c r="Q2871" s="267">
        <f t="shared" si="722"/>
        <v>5720</v>
      </c>
      <c r="R2871" s="23" t="str">
        <f t="shared" si="723"/>
        <v/>
      </c>
      <c r="S2871" s="23">
        <f t="shared" si="724"/>
        <v>1176</v>
      </c>
      <c r="T2871" s="23" t="str">
        <f t="shared" si="725"/>
        <v/>
      </c>
      <c r="U2871" t="str">
        <f t="shared" si="726"/>
        <v/>
      </c>
      <c r="AF2871" s="22" t="str">
        <f t="shared" si="731"/>
        <v/>
      </c>
      <c r="AU2871" s="1"/>
    </row>
    <row r="2872" spans="1:47">
      <c r="A2872" s="23" t="str">
        <f t="shared" si="728"/>
        <v>MN_Henne_2021g~Minneapolis-Mayor (vote for 1)</v>
      </c>
      <c r="B2872" s="317" t="str">
        <f t="shared" si="729"/>
        <v>MN_Henne_2021g</v>
      </c>
      <c r="C2872" s="317" t="str">
        <f t="shared" si="730"/>
        <v/>
      </c>
      <c r="D2872" t="s">
        <v>6741</v>
      </c>
      <c r="E2872" t="s">
        <v>6751</v>
      </c>
      <c r="F2872" t="s">
        <v>6671</v>
      </c>
      <c r="G2872" s="318">
        <v>1151</v>
      </c>
      <c r="O2872">
        <f t="shared" si="720"/>
        <v>10</v>
      </c>
      <c r="P2872" s="57">
        <f t="shared" si="721"/>
        <v>1</v>
      </c>
      <c r="Q2872" s="267">
        <f t="shared" si="722"/>
        <v>4544</v>
      </c>
      <c r="R2872" s="23" t="str">
        <f t="shared" si="723"/>
        <v/>
      </c>
      <c r="S2872" s="23">
        <f t="shared" si="724"/>
        <v>1151</v>
      </c>
      <c r="T2872" s="23" t="str">
        <f t="shared" si="725"/>
        <v/>
      </c>
      <c r="U2872" t="str">
        <f t="shared" si="726"/>
        <v/>
      </c>
      <c r="AF2872" s="22" t="str">
        <f t="shared" si="731"/>
        <v/>
      </c>
      <c r="AU2872" s="1"/>
    </row>
    <row r="2873" spans="1:47">
      <c r="A2873" s="23" t="str">
        <f t="shared" si="728"/>
        <v>MN_Henne_2021g~Minneapolis-Mayor (vote for 1)</v>
      </c>
      <c r="B2873" s="317" t="str">
        <f t="shared" si="729"/>
        <v>MN_Henne_2021g</v>
      </c>
      <c r="C2873" s="317" t="str">
        <f t="shared" si="730"/>
        <v/>
      </c>
      <c r="D2873" t="s">
        <v>6741</v>
      </c>
      <c r="E2873" t="s">
        <v>6752</v>
      </c>
      <c r="F2873" t="s">
        <v>6671</v>
      </c>
      <c r="G2873" s="318">
        <v>735</v>
      </c>
      <c r="O2873">
        <f t="shared" si="720"/>
        <v>11</v>
      </c>
      <c r="P2873" s="57">
        <f t="shared" si="721"/>
        <v>1</v>
      </c>
      <c r="Q2873" s="267">
        <f t="shared" si="722"/>
        <v>3393</v>
      </c>
      <c r="R2873" s="23" t="str">
        <f t="shared" si="723"/>
        <v/>
      </c>
      <c r="S2873" s="23">
        <f t="shared" si="724"/>
        <v>735</v>
      </c>
      <c r="T2873" s="23" t="str">
        <f t="shared" si="725"/>
        <v/>
      </c>
      <c r="U2873" t="str">
        <f t="shared" si="726"/>
        <v/>
      </c>
      <c r="AF2873" s="22" t="str">
        <f t="shared" si="731"/>
        <v/>
      </c>
      <c r="AU2873" s="1"/>
    </row>
    <row r="2874" spans="1:47">
      <c r="A2874" s="23" t="str">
        <f t="shared" si="728"/>
        <v>MN_Henne_2021g~Minneapolis-Mayor (vote for 1)</v>
      </c>
      <c r="B2874" s="317" t="str">
        <f t="shared" si="729"/>
        <v>MN_Henne_2021g</v>
      </c>
      <c r="C2874" s="317" t="str">
        <f t="shared" si="730"/>
        <v/>
      </c>
      <c r="D2874" t="s">
        <v>6741</v>
      </c>
      <c r="E2874" t="s">
        <v>6753</v>
      </c>
      <c r="F2874" t="s">
        <v>6671</v>
      </c>
      <c r="G2874" s="318">
        <v>684</v>
      </c>
      <c r="O2874">
        <f t="shared" si="720"/>
        <v>12</v>
      </c>
      <c r="P2874" s="57">
        <f t="shared" si="721"/>
        <v>1</v>
      </c>
      <c r="Q2874" s="267">
        <f t="shared" si="722"/>
        <v>2658</v>
      </c>
      <c r="R2874" s="23" t="str">
        <f t="shared" si="723"/>
        <v/>
      </c>
      <c r="S2874" s="23">
        <f t="shared" si="724"/>
        <v>684</v>
      </c>
      <c r="T2874" s="23" t="str">
        <f t="shared" si="725"/>
        <v/>
      </c>
      <c r="U2874" t="str">
        <f t="shared" si="726"/>
        <v/>
      </c>
      <c r="AF2874" s="22" t="str">
        <f t="shared" si="731"/>
        <v/>
      </c>
      <c r="AU2874" s="1"/>
    </row>
    <row r="2875" spans="1:47">
      <c r="A2875" s="23" t="str">
        <f t="shared" si="728"/>
        <v>MN_Henne_2021g~Minneapolis-Mayor (vote for 1)</v>
      </c>
      <c r="B2875" s="317" t="str">
        <f t="shared" si="729"/>
        <v>MN_Henne_2021g</v>
      </c>
      <c r="C2875" s="317" t="str">
        <f t="shared" si="730"/>
        <v/>
      </c>
      <c r="D2875" t="s">
        <v>6741</v>
      </c>
      <c r="E2875" t="s">
        <v>6754</v>
      </c>
      <c r="F2875" t="s">
        <v>6671</v>
      </c>
      <c r="G2875" s="318">
        <v>637</v>
      </c>
      <c r="O2875">
        <f t="shared" si="720"/>
        <v>13</v>
      </c>
      <c r="P2875" s="57">
        <f t="shared" si="721"/>
        <v>1</v>
      </c>
      <c r="Q2875" s="267">
        <f t="shared" si="722"/>
        <v>1974</v>
      </c>
      <c r="R2875" s="23" t="str">
        <f t="shared" si="723"/>
        <v/>
      </c>
      <c r="S2875" s="23">
        <f t="shared" si="724"/>
        <v>637</v>
      </c>
      <c r="T2875" s="23" t="str">
        <f t="shared" si="725"/>
        <v/>
      </c>
      <c r="U2875" t="str">
        <f t="shared" si="726"/>
        <v/>
      </c>
      <c r="AF2875" s="22" t="str">
        <f t="shared" si="731"/>
        <v/>
      </c>
      <c r="AU2875" s="1"/>
    </row>
    <row r="2876" spans="1:47">
      <c r="A2876" s="23" t="str">
        <f t="shared" si="728"/>
        <v>MN_Henne_2021g~Minneapolis-Mayor (vote for 1)</v>
      </c>
      <c r="B2876" s="317" t="str">
        <f t="shared" si="729"/>
        <v>MN_Henne_2021g</v>
      </c>
      <c r="C2876" s="317" t="str">
        <f t="shared" si="730"/>
        <v/>
      </c>
      <c r="D2876" t="s">
        <v>6741</v>
      </c>
      <c r="E2876" t="s">
        <v>6755</v>
      </c>
      <c r="F2876" t="s">
        <v>6671</v>
      </c>
      <c r="G2876" s="318">
        <v>489</v>
      </c>
      <c r="O2876">
        <f t="shared" si="720"/>
        <v>14</v>
      </c>
      <c r="P2876" s="57">
        <f t="shared" si="721"/>
        <v>1</v>
      </c>
      <c r="Q2876" s="267">
        <f t="shared" si="722"/>
        <v>1337</v>
      </c>
      <c r="R2876" s="23" t="str">
        <f t="shared" si="723"/>
        <v/>
      </c>
      <c r="S2876" s="23">
        <f t="shared" si="724"/>
        <v>489</v>
      </c>
      <c r="T2876" s="23" t="str">
        <f t="shared" si="725"/>
        <v/>
      </c>
      <c r="U2876" t="str">
        <f t="shared" si="726"/>
        <v/>
      </c>
      <c r="AF2876" s="22" t="str">
        <f t="shared" si="731"/>
        <v/>
      </c>
      <c r="AU2876" s="1"/>
    </row>
    <row r="2877" spans="1:47">
      <c r="A2877" s="23" t="str">
        <f t="shared" si="728"/>
        <v>MN_Henne_2021g~Minneapolis-Mayor (vote for 1)</v>
      </c>
      <c r="B2877" s="317" t="str">
        <f t="shared" si="729"/>
        <v>MN_Henne_2021g</v>
      </c>
      <c r="C2877" s="317" t="str">
        <f t="shared" si="730"/>
        <v/>
      </c>
      <c r="D2877" t="s">
        <v>6741</v>
      </c>
      <c r="E2877" t="s">
        <v>6756</v>
      </c>
      <c r="F2877" t="s">
        <v>6671</v>
      </c>
      <c r="G2877" s="318">
        <v>280</v>
      </c>
      <c r="O2877">
        <f t="shared" si="720"/>
        <v>15</v>
      </c>
      <c r="P2877" s="57">
        <f t="shared" si="721"/>
        <v>1</v>
      </c>
      <c r="Q2877" s="267">
        <f t="shared" si="722"/>
        <v>848</v>
      </c>
      <c r="R2877" s="23" t="str">
        <f t="shared" si="723"/>
        <v/>
      </c>
      <c r="S2877" s="23">
        <f t="shared" si="724"/>
        <v>280</v>
      </c>
      <c r="T2877" s="23" t="str">
        <f t="shared" si="725"/>
        <v/>
      </c>
      <c r="U2877" t="str">
        <f t="shared" si="726"/>
        <v/>
      </c>
      <c r="AF2877" s="22" t="str">
        <f t="shared" si="731"/>
        <v/>
      </c>
      <c r="AU2877" s="1"/>
    </row>
    <row r="2878" spans="1:47">
      <c r="A2878" s="23" t="str">
        <f t="shared" si="728"/>
        <v>MN_Henne_2021g~Minneapolis-Mayor (vote for 1)</v>
      </c>
      <c r="B2878" s="317" t="str">
        <f t="shared" si="729"/>
        <v>MN_Henne_2021g</v>
      </c>
      <c r="C2878" s="317" t="str">
        <f t="shared" si="730"/>
        <v/>
      </c>
      <c r="D2878" t="s">
        <v>6741</v>
      </c>
      <c r="E2878" t="s">
        <v>6757</v>
      </c>
      <c r="F2878" t="s">
        <v>6671</v>
      </c>
      <c r="G2878" s="318">
        <v>239</v>
      </c>
      <c r="O2878">
        <f t="shared" si="720"/>
        <v>16</v>
      </c>
      <c r="P2878" s="57">
        <f t="shared" si="721"/>
        <v>1</v>
      </c>
      <c r="Q2878" s="267">
        <f t="shared" si="722"/>
        <v>568</v>
      </c>
      <c r="R2878" s="23" t="str">
        <f t="shared" si="723"/>
        <v/>
      </c>
      <c r="S2878" s="23">
        <f t="shared" si="724"/>
        <v>239</v>
      </c>
      <c r="T2878" s="23" t="str">
        <f t="shared" si="725"/>
        <v/>
      </c>
      <c r="U2878" t="str">
        <f t="shared" si="726"/>
        <v/>
      </c>
      <c r="AF2878" s="22" t="str">
        <f t="shared" si="731"/>
        <v/>
      </c>
      <c r="AU2878" s="1"/>
    </row>
    <row r="2879" spans="1:47">
      <c r="A2879" s="23" t="str">
        <f t="shared" si="728"/>
        <v>MN_Henne_2021g~Minneapolis-Mayor (vote for 1)</v>
      </c>
      <c r="B2879" s="317" t="str">
        <f t="shared" si="729"/>
        <v>MN_Henne_2021g</v>
      </c>
      <c r="C2879" s="317" t="str">
        <f t="shared" si="730"/>
        <v/>
      </c>
      <c r="D2879" t="s">
        <v>6741</v>
      </c>
      <c r="E2879" t="s">
        <v>6758</v>
      </c>
      <c r="F2879" t="s">
        <v>6671</v>
      </c>
      <c r="G2879" s="318">
        <v>183</v>
      </c>
      <c r="O2879">
        <f t="shared" si="720"/>
        <v>17</v>
      </c>
      <c r="P2879" s="57">
        <f t="shared" si="721"/>
        <v>1</v>
      </c>
      <c r="Q2879" s="267">
        <f t="shared" si="722"/>
        <v>329</v>
      </c>
      <c r="R2879" s="23" t="str">
        <f t="shared" si="723"/>
        <v/>
      </c>
      <c r="S2879" s="23">
        <f t="shared" si="724"/>
        <v>183</v>
      </c>
      <c r="T2879" s="23" t="str">
        <f t="shared" si="725"/>
        <v/>
      </c>
      <c r="U2879" t="str">
        <f t="shared" si="726"/>
        <v/>
      </c>
      <c r="AF2879" s="22" t="str">
        <f t="shared" si="731"/>
        <v/>
      </c>
      <c r="AU2879" s="1"/>
    </row>
    <row r="2880" spans="1:47">
      <c r="A2880" s="23" t="str">
        <f t="shared" si="728"/>
        <v>MN_Henne_2021g~Minneapolis-Mayor (vote for 1)</v>
      </c>
      <c r="B2880" s="317" t="str">
        <f t="shared" si="729"/>
        <v>MN_Henne_2021g</v>
      </c>
      <c r="C2880" s="317" t="str">
        <f t="shared" si="730"/>
        <v/>
      </c>
      <c r="D2880" t="s">
        <v>6741</v>
      </c>
      <c r="E2880" t="s">
        <v>15</v>
      </c>
      <c r="F2880" t="s">
        <v>6544</v>
      </c>
      <c r="G2880" s="318">
        <v>146</v>
      </c>
      <c r="O2880">
        <f t="shared" si="720"/>
        <v>-17</v>
      </c>
      <c r="P2880" s="57">
        <f t="shared" si="721"/>
        <v>1</v>
      </c>
      <c r="Q2880" s="267">
        <f t="shared" si="722"/>
        <v>146</v>
      </c>
      <c r="R2880" s="23">
        <f t="shared" si="723"/>
        <v>1</v>
      </c>
      <c r="S2880" s="23">
        <f t="shared" si="724"/>
        <v>0</v>
      </c>
      <c r="T2880" s="23" t="str">
        <f t="shared" si="725"/>
        <v/>
      </c>
      <c r="U2880" t="str">
        <f t="shared" si="726"/>
        <v/>
      </c>
      <c r="AF2880" s="22" t="str">
        <f t="shared" si="731"/>
        <v/>
      </c>
      <c r="AU2880" s="1"/>
    </row>
    <row r="2881" spans="1:47">
      <c r="A2881" s="23" t="str">
        <f t="shared" si="728"/>
        <v>MN_Henne_2021g~Minneapolis-Park and Recreation Commissioner at Large (vote for 2)</v>
      </c>
      <c r="B2881" s="317" t="str">
        <f t="shared" si="729"/>
        <v>MN_Henne_2021g</v>
      </c>
      <c r="C2881" s="317" t="str">
        <f t="shared" si="730"/>
        <v/>
      </c>
      <c r="D2881" t="s">
        <v>6759</v>
      </c>
      <c r="E2881" t="s">
        <v>6760</v>
      </c>
      <c r="F2881" t="s">
        <v>6541</v>
      </c>
      <c r="G2881" s="318">
        <v>31578</v>
      </c>
      <c r="O2881">
        <f t="shared" si="720"/>
        <v>1</v>
      </c>
      <c r="P2881" s="57">
        <f t="shared" si="721"/>
        <v>2</v>
      </c>
      <c r="Q2881" s="267">
        <f t="shared" si="722"/>
        <v>31578</v>
      </c>
      <c r="R2881" s="23">
        <f t="shared" si="723"/>
        <v>31578</v>
      </c>
      <c r="S2881" s="23">
        <f t="shared" si="724"/>
        <v>0</v>
      </c>
      <c r="T2881" s="23" t="str">
        <f t="shared" si="725"/>
        <v/>
      </c>
      <c r="U2881" t="str">
        <f t="shared" si="726"/>
        <v>MN_Henne_2021g~Minneapolis-Park and Recreation Commissioner at Large (vote for 2)</v>
      </c>
      <c r="AF2881" s="22" t="str">
        <f t="shared" si="731"/>
        <v/>
      </c>
      <c r="AK2881" s="92"/>
      <c r="AU2881" s="1"/>
    </row>
    <row r="2882" spans="1:47">
      <c r="A2882" s="23" t="str">
        <f t="shared" si="728"/>
        <v>MN_Henne_2021g~Minneapolis-Park and Recreation Commissioner at Large (vote for 3)</v>
      </c>
      <c r="B2882" s="317" t="str">
        <f t="shared" si="729"/>
        <v>MN_Henne_2021g</v>
      </c>
      <c r="C2882" s="317" t="str">
        <f t="shared" si="730"/>
        <v/>
      </c>
      <c r="D2882" t="s">
        <v>6761</v>
      </c>
      <c r="E2882" t="s">
        <v>6762</v>
      </c>
      <c r="F2882" t="s">
        <v>6541</v>
      </c>
      <c r="G2882" s="318">
        <v>20679</v>
      </c>
      <c r="O2882">
        <f t="shared" ref="O2882:O2945" si="732">IF(OR(LOWER(LEFT(E2882,8))="write-in",LOWER(LEFT(E2882,8))="not qual"),IF(A2882=A2881,-ABS(O2881),0),IF(A2882=A2881,ABS(O2881)+1,1))</f>
        <v>1</v>
      </c>
      <c r="P2882" s="57">
        <f t="shared" ref="P2882:P2945" si="733">1*LEFT(RIGHT(A2882,2),1)</f>
        <v>3</v>
      </c>
      <c r="Q2882" s="267">
        <f t="shared" ref="Q2882:Q2945" si="734">IF(A2882&lt;&gt;A2883,G2882,IF(A2882=A2881,G2882+Q2883,MAX(G2882,(G2882+Q2883)/P2882)))</f>
        <v>24963.333333333332</v>
      </c>
      <c r="R2882" s="23">
        <f t="shared" ref="R2882:R2945" si="735">IF(O2882&gt;P2882,"",IF(O2882=P2882,G2882,IF(A2882=A2883,R2883,IF(O2882&lt;=0,1,G2882))))</f>
        <v>12044</v>
      </c>
      <c r="S2882" s="23">
        <f t="shared" ref="S2882:S2945" si="736">IF(AND(O2882&gt;P2882,LOWER(LEFT(E2882,8))&lt;&gt;"write-in",LOWER(LEFT(E2882,8))&lt;&gt;"not qual"),G2882,IF(A2882=A2883,S2883,0))</f>
        <v>11888</v>
      </c>
      <c r="T2882" s="23">
        <f t="shared" ref="T2882:T2945" si="737">IF(OR(A2882=A2881,S2882=0),"",R2882-ABS(S2882))</f>
        <v>156</v>
      </c>
      <c r="U2882" t="str">
        <f t="shared" ref="U2882:U2945" si="738">IF(A2882=A2881,"",A2882)</f>
        <v>MN_Henne_2021g~Minneapolis-Park and Recreation Commissioner at Large (vote for 3)</v>
      </c>
      <c r="AF2882" s="22" t="str">
        <f t="shared" si="731"/>
        <v/>
      </c>
      <c r="AG2882" s="89"/>
      <c r="AH2882" s="274"/>
      <c r="AI2882" s="279"/>
      <c r="AJ2882" s="280"/>
      <c r="AK2882" s="92"/>
      <c r="AU2882" s="1"/>
    </row>
    <row r="2883" spans="1:47">
      <c r="A2883" s="23" t="str">
        <f t="shared" si="728"/>
        <v>MN_Henne_2021g~Minneapolis-Park and Recreation Commissioner at Large (vote for 3)</v>
      </c>
      <c r="B2883" s="317" t="str">
        <f t="shared" si="729"/>
        <v>MN_Henne_2021g</v>
      </c>
      <c r="C2883" s="317" t="str">
        <f t="shared" si="730"/>
        <v/>
      </c>
      <c r="D2883" t="s">
        <v>6761</v>
      </c>
      <c r="E2883" t="s">
        <v>6763</v>
      </c>
      <c r="F2883" t="s">
        <v>6541</v>
      </c>
      <c r="G2883" s="318">
        <v>12762</v>
      </c>
      <c r="O2883">
        <f t="shared" si="732"/>
        <v>2</v>
      </c>
      <c r="P2883" s="57">
        <f t="shared" si="733"/>
        <v>3</v>
      </c>
      <c r="Q2883" s="267">
        <f t="shared" si="734"/>
        <v>54211</v>
      </c>
      <c r="R2883" s="23">
        <f t="shared" si="735"/>
        <v>12044</v>
      </c>
      <c r="S2883" s="23">
        <f t="shared" si="736"/>
        <v>11888</v>
      </c>
      <c r="T2883" s="23" t="str">
        <f t="shared" si="737"/>
        <v/>
      </c>
      <c r="U2883" t="str">
        <f t="shared" si="738"/>
        <v/>
      </c>
      <c r="AF2883" s="22" t="str">
        <f t="shared" si="731"/>
        <v/>
      </c>
      <c r="AG2883" s="89"/>
      <c r="AH2883" s="274"/>
      <c r="AI2883" s="279"/>
      <c r="AJ2883" s="280"/>
      <c r="AK2883" s="92"/>
      <c r="AU2883" s="1"/>
    </row>
    <row r="2884" spans="1:47">
      <c r="A2884" s="23" t="str">
        <f t="shared" si="728"/>
        <v>MN_Henne_2021g~Minneapolis-Park and Recreation Commissioner at Large (vote for 3)</v>
      </c>
      <c r="B2884" s="317" t="str">
        <f t="shared" si="729"/>
        <v>MN_Henne_2021g</v>
      </c>
      <c r="C2884" s="317" t="str">
        <f t="shared" si="730"/>
        <v/>
      </c>
      <c r="D2884" t="s">
        <v>6761</v>
      </c>
      <c r="E2884" t="s">
        <v>6764</v>
      </c>
      <c r="F2884" t="s">
        <v>6541</v>
      </c>
      <c r="G2884" s="318">
        <v>12044</v>
      </c>
      <c r="O2884">
        <f t="shared" si="732"/>
        <v>3</v>
      </c>
      <c r="P2884" s="57">
        <f t="shared" si="733"/>
        <v>3</v>
      </c>
      <c r="Q2884" s="267">
        <f t="shared" si="734"/>
        <v>41449</v>
      </c>
      <c r="R2884" s="23">
        <f t="shared" si="735"/>
        <v>12044</v>
      </c>
      <c r="S2884" s="23">
        <f t="shared" si="736"/>
        <v>11888</v>
      </c>
      <c r="T2884" s="23" t="str">
        <f t="shared" si="737"/>
        <v/>
      </c>
      <c r="U2884" t="str">
        <f t="shared" si="738"/>
        <v/>
      </c>
      <c r="AF2884" s="22" t="str">
        <f t="shared" si="731"/>
        <v/>
      </c>
      <c r="AG2884" s="89"/>
      <c r="AH2884" s="274"/>
      <c r="AI2884" s="279"/>
      <c r="AJ2884" s="280"/>
      <c r="AK2884" s="92"/>
      <c r="AL2884" s="23"/>
      <c r="AU2884" s="1"/>
    </row>
    <row r="2885" spans="1:47">
      <c r="A2885" s="23" t="str">
        <f t="shared" si="728"/>
        <v>MN_Henne_2021g~Minneapolis-Park and Recreation Commissioner at Large (vote for 3)</v>
      </c>
      <c r="B2885" s="317" t="str">
        <f t="shared" si="729"/>
        <v>MN_Henne_2021g</v>
      </c>
      <c r="C2885" s="317" t="str">
        <f t="shared" si="730"/>
        <v/>
      </c>
      <c r="D2885" t="s">
        <v>6761</v>
      </c>
      <c r="E2885" t="s">
        <v>6765</v>
      </c>
      <c r="F2885" t="s">
        <v>6541</v>
      </c>
      <c r="G2885" s="318">
        <v>11888</v>
      </c>
      <c r="O2885">
        <f t="shared" si="732"/>
        <v>4</v>
      </c>
      <c r="P2885" s="57">
        <f t="shared" si="733"/>
        <v>3</v>
      </c>
      <c r="Q2885" s="267">
        <f t="shared" si="734"/>
        <v>29405</v>
      </c>
      <c r="R2885" s="23" t="str">
        <f t="shared" si="735"/>
        <v/>
      </c>
      <c r="S2885" s="23">
        <f t="shared" si="736"/>
        <v>11888</v>
      </c>
      <c r="T2885" s="23" t="str">
        <f t="shared" si="737"/>
        <v/>
      </c>
      <c r="U2885" t="str">
        <f t="shared" si="738"/>
        <v/>
      </c>
      <c r="AF2885" s="22" t="str">
        <f t="shared" si="731"/>
        <v/>
      </c>
      <c r="AG2885" s="89"/>
      <c r="AH2885" s="274"/>
      <c r="AI2885" s="279"/>
      <c r="AJ2885" s="280"/>
      <c r="AK2885" s="92"/>
      <c r="AL2885" s="23"/>
      <c r="AU2885" s="1"/>
    </row>
    <row r="2886" spans="1:47">
      <c r="A2886" s="23" t="str">
        <f t="shared" si="728"/>
        <v>MN_Henne_2021g~Minneapolis-Park and Recreation Commissioner at Large (vote for 3)</v>
      </c>
      <c r="B2886" s="317" t="str">
        <f t="shared" si="729"/>
        <v>MN_Henne_2021g</v>
      </c>
      <c r="C2886" s="317" t="str">
        <f t="shared" si="730"/>
        <v/>
      </c>
      <c r="D2886" t="s">
        <v>6761</v>
      </c>
      <c r="E2886" t="s">
        <v>6766</v>
      </c>
      <c r="F2886" t="s">
        <v>6541</v>
      </c>
      <c r="G2886" s="318">
        <v>9692</v>
      </c>
      <c r="O2886">
        <f t="shared" si="732"/>
        <v>5</v>
      </c>
      <c r="P2886" s="57">
        <f t="shared" si="733"/>
        <v>3</v>
      </c>
      <c r="Q2886" s="267">
        <f t="shared" si="734"/>
        <v>17517</v>
      </c>
      <c r="R2886" s="23" t="str">
        <f t="shared" si="735"/>
        <v/>
      </c>
      <c r="S2886" s="23">
        <f t="shared" si="736"/>
        <v>9692</v>
      </c>
      <c r="T2886" s="23" t="str">
        <f t="shared" si="737"/>
        <v/>
      </c>
      <c r="U2886" t="str">
        <f t="shared" si="738"/>
        <v/>
      </c>
      <c r="AF2886" s="22" t="str">
        <f t="shared" si="731"/>
        <v/>
      </c>
      <c r="AG2886" s="89"/>
      <c r="AH2886" s="274"/>
      <c r="AI2886" s="279"/>
      <c r="AJ2886" s="280"/>
      <c r="AK2886" s="92"/>
      <c r="AL2886" s="23"/>
      <c r="AU2886" s="1"/>
    </row>
    <row r="2887" spans="1:47">
      <c r="A2887" s="23" t="str">
        <f t="shared" si="728"/>
        <v>MN_Henne_2021g~Minneapolis-Park and Recreation Commissioner at Large (vote for 3)</v>
      </c>
      <c r="B2887" s="317" t="str">
        <f t="shared" si="729"/>
        <v>MN_Henne_2021g</v>
      </c>
      <c r="C2887" s="317" t="str">
        <f t="shared" si="730"/>
        <v/>
      </c>
      <c r="D2887" t="s">
        <v>6761</v>
      </c>
      <c r="E2887" t="s">
        <v>6767</v>
      </c>
      <c r="F2887" t="s">
        <v>6541</v>
      </c>
      <c r="G2887" s="318">
        <v>7251</v>
      </c>
      <c r="O2887">
        <f t="shared" si="732"/>
        <v>6</v>
      </c>
      <c r="P2887" s="57">
        <f t="shared" si="733"/>
        <v>3</v>
      </c>
      <c r="Q2887" s="267">
        <f t="shared" si="734"/>
        <v>7825</v>
      </c>
      <c r="R2887" s="23" t="str">
        <f t="shared" si="735"/>
        <v/>
      </c>
      <c r="S2887" s="23">
        <f t="shared" si="736"/>
        <v>7251</v>
      </c>
      <c r="T2887" s="23" t="str">
        <f t="shared" si="737"/>
        <v/>
      </c>
      <c r="U2887" t="str">
        <f t="shared" si="738"/>
        <v/>
      </c>
      <c r="AF2887" s="22" t="str">
        <f t="shared" si="731"/>
        <v/>
      </c>
      <c r="AG2887" s="89"/>
      <c r="AH2887" s="274"/>
      <c r="AI2887" s="279"/>
      <c r="AJ2887" s="280"/>
      <c r="AK2887" s="92"/>
      <c r="AL2887" s="23"/>
      <c r="AU2887" s="1"/>
    </row>
    <row r="2888" spans="1:47">
      <c r="A2888" s="23" t="str">
        <f t="shared" si="728"/>
        <v>MN_Henne_2021g~Minneapolis-Park and Recreation Commissioner at Large (vote for 3)</v>
      </c>
      <c r="B2888" s="317" t="str">
        <f t="shared" si="729"/>
        <v>MN_Henne_2021g</v>
      </c>
      <c r="C2888" s="317" t="str">
        <f t="shared" si="730"/>
        <v/>
      </c>
      <c r="D2888" t="s">
        <v>6761</v>
      </c>
      <c r="E2888" t="s">
        <v>15</v>
      </c>
      <c r="F2888" t="s">
        <v>6544</v>
      </c>
      <c r="G2888" s="318">
        <v>574</v>
      </c>
      <c r="O2888">
        <f t="shared" si="732"/>
        <v>-6</v>
      </c>
      <c r="P2888" s="57">
        <f t="shared" si="733"/>
        <v>3</v>
      </c>
      <c r="Q2888" s="267">
        <f t="shared" si="734"/>
        <v>574</v>
      </c>
      <c r="R2888" s="23">
        <f t="shared" si="735"/>
        <v>1</v>
      </c>
      <c r="S2888" s="23">
        <f t="shared" si="736"/>
        <v>0</v>
      </c>
      <c r="T2888" s="23" t="str">
        <f t="shared" si="737"/>
        <v/>
      </c>
      <c r="U2888" t="str">
        <f t="shared" si="738"/>
        <v/>
      </c>
      <c r="AF2888" s="22" t="str">
        <f t="shared" si="731"/>
        <v/>
      </c>
      <c r="AG2888" s="89"/>
      <c r="AH2888" s="274"/>
      <c r="AI2888" s="279"/>
      <c r="AJ2888" s="280"/>
      <c r="AK2888" s="92"/>
      <c r="AL2888" s="23"/>
      <c r="AU2888" s="1"/>
    </row>
    <row r="2889" spans="1:47">
      <c r="A2889" s="23" t="str">
        <f t="shared" si="728"/>
        <v>MN_Henne_2021g~Minneapolis-Park and Recreation Commissioner District 1 (vote for 1)</v>
      </c>
      <c r="B2889" s="317" t="str">
        <f t="shared" si="729"/>
        <v>MN_Henne_2021g</v>
      </c>
      <c r="C2889" s="317" t="str">
        <f t="shared" si="730"/>
        <v/>
      </c>
      <c r="D2889" t="s">
        <v>6768</v>
      </c>
      <c r="E2889" t="s">
        <v>6769</v>
      </c>
      <c r="F2889" t="s">
        <v>6541</v>
      </c>
      <c r="G2889" s="318">
        <v>14418</v>
      </c>
      <c r="O2889">
        <f t="shared" si="732"/>
        <v>1</v>
      </c>
      <c r="P2889" s="57">
        <f t="shared" si="733"/>
        <v>1</v>
      </c>
      <c r="Q2889" s="267">
        <f t="shared" si="734"/>
        <v>14699</v>
      </c>
      <c r="R2889" s="23">
        <f t="shared" si="735"/>
        <v>14418</v>
      </c>
      <c r="S2889" s="23">
        <f t="shared" si="736"/>
        <v>0</v>
      </c>
      <c r="T2889" s="23" t="str">
        <f t="shared" si="737"/>
        <v/>
      </c>
      <c r="U2889" t="str">
        <f t="shared" si="738"/>
        <v>MN_Henne_2021g~Minneapolis-Park and Recreation Commissioner District 1 (vote for 1)</v>
      </c>
      <c r="AF2889" s="22" t="str">
        <f t="shared" si="731"/>
        <v/>
      </c>
      <c r="AG2889" s="89"/>
      <c r="AH2889" s="274"/>
      <c r="AI2889" s="279"/>
      <c r="AJ2889" s="280"/>
      <c r="AK2889" s="92"/>
      <c r="AL2889" s="23"/>
      <c r="AU2889" s="1"/>
    </row>
    <row r="2890" spans="1:47">
      <c r="A2890" s="23" t="str">
        <f t="shared" si="728"/>
        <v>MN_Henne_2021g~Minneapolis-Park and Recreation Commissioner District 1 (vote for 1)</v>
      </c>
      <c r="B2890" s="317" t="str">
        <f t="shared" si="729"/>
        <v>MN_Henne_2021g</v>
      </c>
      <c r="C2890" s="317" t="str">
        <f t="shared" si="730"/>
        <v/>
      </c>
      <c r="D2890" t="s">
        <v>6768</v>
      </c>
      <c r="E2890" t="s">
        <v>15</v>
      </c>
      <c r="F2890" t="s">
        <v>6544</v>
      </c>
      <c r="G2890" s="318">
        <v>281</v>
      </c>
      <c r="O2890">
        <f t="shared" si="732"/>
        <v>-1</v>
      </c>
      <c r="P2890" s="57">
        <f t="shared" si="733"/>
        <v>1</v>
      </c>
      <c r="Q2890" s="267">
        <f t="shared" si="734"/>
        <v>281</v>
      </c>
      <c r="R2890" s="23">
        <f t="shared" si="735"/>
        <v>1</v>
      </c>
      <c r="S2890" s="23">
        <f t="shared" si="736"/>
        <v>0</v>
      </c>
      <c r="T2890" s="23" t="str">
        <f t="shared" si="737"/>
        <v/>
      </c>
      <c r="U2890" t="str">
        <f t="shared" si="738"/>
        <v/>
      </c>
      <c r="AF2890" s="22" t="str">
        <f t="shared" si="731"/>
        <v/>
      </c>
      <c r="AG2890" s="89"/>
      <c r="AH2890" s="274"/>
      <c r="AI2890" s="279"/>
      <c r="AJ2890" s="280"/>
      <c r="AK2890" s="92"/>
      <c r="AL2890" s="23"/>
      <c r="AU2890" s="1"/>
    </row>
    <row r="2891" spans="1:47">
      <c r="A2891" s="23" t="str">
        <f t="shared" si="728"/>
        <v>MN_Henne_2021g~Minneapolis-Park and Recreation Commissioner District 2 (vote for 1)</v>
      </c>
      <c r="B2891" s="317" t="str">
        <f t="shared" si="729"/>
        <v>MN_Henne_2021g</v>
      </c>
      <c r="C2891" s="317" t="str">
        <f t="shared" ref="C2891:C2922" si="739">IF(AND(D2891=D2890,E2891=E2890),99,"")</f>
        <v/>
      </c>
      <c r="D2891" t="s">
        <v>6770</v>
      </c>
      <c r="E2891" t="s">
        <v>6771</v>
      </c>
      <c r="F2891" t="s">
        <v>6541</v>
      </c>
      <c r="G2891" s="318">
        <v>4470</v>
      </c>
      <c r="O2891">
        <f t="shared" si="732"/>
        <v>1</v>
      </c>
      <c r="P2891" s="57">
        <f t="shared" si="733"/>
        <v>1</v>
      </c>
      <c r="Q2891" s="267">
        <f t="shared" si="734"/>
        <v>10783</v>
      </c>
      <c r="R2891" s="23">
        <f t="shared" si="735"/>
        <v>4470</v>
      </c>
      <c r="S2891" s="23">
        <f t="shared" si="736"/>
        <v>3200</v>
      </c>
      <c r="T2891" s="23">
        <f t="shared" si="737"/>
        <v>1270</v>
      </c>
      <c r="U2891" t="str">
        <f t="shared" si="738"/>
        <v>MN_Henne_2021g~Minneapolis-Park and Recreation Commissioner District 2 (vote for 1)</v>
      </c>
      <c r="AF2891" s="22" t="str">
        <f t="shared" si="731"/>
        <v/>
      </c>
      <c r="AG2891" s="89"/>
      <c r="AH2891" s="274"/>
      <c r="AI2891" s="279"/>
      <c r="AJ2891" s="280"/>
      <c r="AK2891" s="92"/>
      <c r="AL2891" s="23"/>
      <c r="AU2891" s="1"/>
    </row>
    <row r="2892" spans="1:47">
      <c r="A2892" s="23" t="str">
        <f t="shared" si="728"/>
        <v>MN_Henne_2021g~Minneapolis-Park and Recreation Commissioner District 2 (vote for 1)</v>
      </c>
      <c r="B2892" s="317" t="str">
        <f t="shared" si="729"/>
        <v>MN_Henne_2021g</v>
      </c>
      <c r="C2892" s="317" t="str">
        <f t="shared" si="739"/>
        <v/>
      </c>
      <c r="D2892" t="s">
        <v>6770</v>
      </c>
      <c r="E2892" t="s">
        <v>6772</v>
      </c>
      <c r="F2892" t="s">
        <v>6541</v>
      </c>
      <c r="G2892" s="318">
        <v>3200</v>
      </c>
      <c r="O2892">
        <f t="shared" si="732"/>
        <v>2</v>
      </c>
      <c r="P2892" s="57">
        <f t="shared" si="733"/>
        <v>1</v>
      </c>
      <c r="Q2892" s="267">
        <f t="shared" si="734"/>
        <v>6313</v>
      </c>
      <c r="R2892" s="23" t="str">
        <f t="shared" si="735"/>
        <v/>
      </c>
      <c r="S2892" s="23">
        <f t="shared" si="736"/>
        <v>3200</v>
      </c>
      <c r="T2892" s="23" t="str">
        <f t="shared" si="737"/>
        <v/>
      </c>
      <c r="U2892" t="str">
        <f t="shared" si="738"/>
        <v/>
      </c>
      <c r="AF2892" s="22" t="str">
        <f t="shared" si="731"/>
        <v/>
      </c>
      <c r="AG2892" s="89"/>
      <c r="AH2892" s="274"/>
      <c r="AI2892" s="279"/>
      <c r="AJ2892" s="280"/>
      <c r="AK2892" s="92"/>
      <c r="AL2892" s="23"/>
      <c r="AU2892" s="1"/>
    </row>
    <row r="2893" spans="1:47">
      <c r="A2893" s="23" t="str">
        <f t="shared" si="728"/>
        <v>MN_Henne_2021g~Minneapolis-Park and Recreation Commissioner District 2 (vote for 1)</v>
      </c>
      <c r="B2893" s="317" t="str">
        <f t="shared" si="729"/>
        <v>MN_Henne_2021g</v>
      </c>
      <c r="C2893" s="317" t="str">
        <f t="shared" si="739"/>
        <v/>
      </c>
      <c r="D2893" t="s">
        <v>6770</v>
      </c>
      <c r="E2893" t="s">
        <v>6773</v>
      </c>
      <c r="F2893" t="s">
        <v>6541</v>
      </c>
      <c r="G2893" s="318">
        <v>3041</v>
      </c>
      <c r="O2893">
        <f t="shared" si="732"/>
        <v>3</v>
      </c>
      <c r="P2893" s="57">
        <f t="shared" si="733"/>
        <v>1</v>
      </c>
      <c r="Q2893" s="267">
        <f t="shared" si="734"/>
        <v>3113</v>
      </c>
      <c r="R2893" s="23" t="str">
        <f t="shared" si="735"/>
        <v/>
      </c>
      <c r="S2893" s="23">
        <f t="shared" si="736"/>
        <v>3041</v>
      </c>
      <c r="T2893" s="23" t="str">
        <f t="shared" si="737"/>
        <v/>
      </c>
      <c r="U2893" t="str">
        <f t="shared" si="738"/>
        <v/>
      </c>
      <c r="AF2893" s="22" t="str">
        <f t="shared" si="731"/>
        <v/>
      </c>
      <c r="AG2893" s="89"/>
      <c r="AH2893" s="274"/>
      <c r="AI2893" s="279"/>
      <c r="AJ2893" s="280"/>
      <c r="AK2893" s="92"/>
      <c r="AL2893" s="23"/>
      <c r="AU2893" s="1"/>
    </row>
    <row r="2894" spans="1:47">
      <c r="A2894" s="23" t="str">
        <f t="shared" si="728"/>
        <v>MN_Henne_2021g~Minneapolis-Park and Recreation Commissioner District 2 (vote for 1)</v>
      </c>
      <c r="B2894" s="317" t="str">
        <f t="shared" si="729"/>
        <v>MN_Henne_2021g</v>
      </c>
      <c r="C2894" s="317" t="str">
        <f t="shared" si="739"/>
        <v/>
      </c>
      <c r="D2894" t="s">
        <v>6770</v>
      </c>
      <c r="E2894" t="s">
        <v>15</v>
      </c>
      <c r="F2894" t="s">
        <v>6544</v>
      </c>
      <c r="G2894" s="318">
        <v>72</v>
      </c>
      <c r="O2894">
        <f t="shared" si="732"/>
        <v>-3</v>
      </c>
      <c r="P2894" s="57">
        <f t="shared" si="733"/>
        <v>1</v>
      </c>
      <c r="Q2894" s="267">
        <f t="shared" si="734"/>
        <v>72</v>
      </c>
      <c r="R2894" s="23">
        <f t="shared" si="735"/>
        <v>1</v>
      </c>
      <c r="S2894" s="23">
        <f t="shared" si="736"/>
        <v>0</v>
      </c>
      <c r="T2894" s="23" t="str">
        <f t="shared" si="737"/>
        <v/>
      </c>
      <c r="U2894" t="str">
        <f t="shared" si="738"/>
        <v/>
      </c>
      <c r="AF2894" s="22" t="str">
        <f t="shared" si="731"/>
        <v/>
      </c>
      <c r="AG2894" s="89"/>
      <c r="AH2894" s="274"/>
      <c r="AI2894" s="279"/>
      <c r="AJ2894" s="280"/>
      <c r="AK2894" s="92"/>
      <c r="AL2894" s="23"/>
      <c r="AU2894" s="1"/>
    </row>
    <row r="2895" spans="1:47">
      <c r="A2895" s="23" t="str">
        <f t="shared" si="728"/>
        <v>MN_Henne_2021g~Minneapolis-Park and Recreation Commissioner District 3 (vote for 1)</v>
      </c>
      <c r="B2895" s="317" t="str">
        <f t="shared" si="729"/>
        <v>MN_Henne_2021g</v>
      </c>
      <c r="C2895" s="317" t="str">
        <f t="shared" si="739"/>
        <v/>
      </c>
      <c r="D2895" t="s">
        <v>6774</v>
      </c>
      <c r="E2895" t="s">
        <v>6775</v>
      </c>
      <c r="F2895" t="s">
        <v>6541</v>
      </c>
      <c r="G2895" s="318">
        <v>9058</v>
      </c>
      <c r="O2895">
        <f t="shared" si="732"/>
        <v>1</v>
      </c>
      <c r="P2895" s="57">
        <f t="shared" si="733"/>
        <v>1</v>
      </c>
      <c r="Q2895" s="267">
        <f t="shared" si="734"/>
        <v>15120</v>
      </c>
      <c r="R2895" s="23">
        <f t="shared" si="735"/>
        <v>9058</v>
      </c>
      <c r="S2895" s="23">
        <f t="shared" si="736"/>
        <v>3092</v>
      </c>
      <c r="T2895" s="23">
        <f t="shared" si="737"/>
        <v>5966</v>
      </c>
      <c r="U2895" t="str">
        <f t="shared" si="738"/>
        <v>MN_Henne_2021g~Minneapolis-Park and Recreation Commissioner District 3 (vote for 1)</v>
      </c>
      <c r="AF2895" s="22" t="str">
        <f t="shared" si="731"/>
        <v/>
      </c>
      <c r="AG2895" s="89"/>
      <c r="AH2895" s="274"/>
      <c r="AI2895" s="279"/>
      <c r="AJ2895" s="280"/>
      <c r="AK2895" s="92"/>
      <c r="AL2895" s="23"/>
      <c r="AU2895" s="1"/>
    </row>
    <row r="2896" spans="1:47">
      <c r="A2896" s="23" t="str">
        <f t="shared" si="728"/>
        <v>MN_Henne_2021g~Minneapolis-Park and Recreation Commissioner District 3 (vote for 1)</v>
      </c>
      <c r="B2896" s="317" t="str">
        <f t="shared" si="729"/>
        <v>MN_Henne_2021g</v>
      </c>
      <c r="C2896" s="317" t="str">
        <f t="shared" si="739"/>
        <v/>
      </c>
      <c r="D2896" t="s">
        <v>6774</v>
      </c>
      <c r="E2896" t="s">
        <v>6776</v>
      </c>
      <c r="F2896" t="s">
        <v>6541</v>
      </c>
      <c r="G2896" s="318">
        <v>3092</v>
      </c>
      <c r="O2896">
        <f t="shared" si="732"/>
        <v>2</v>
      </c>
      <c r="P2896" s="57">
        <f t="shared" si="733"/>
        <v>1</v>
      </c>
      <c r="Q2896" s="267">
        <f t="shared" si="734"/>
        <v>6062</v>
      </c>
      <c r="R2896" s="23" t="str">
        <f t="shared" si="735"/>
        <v/>
      </c>
      <c r="S2896" s="23">
        <f t="shared" si="736"/>
        <v>3092</v>
      </c>
      <c r="T2896" s="23" t="str">
        <f t="shared" si="737"/>
        <v/>
      </c>
      <c r="U2896" t="str">
        <f t="shared" si="738"/>
        <v/>
      </c>
      <c r="AF2896" s="22" t="str">
        <f t="shared" si="731"/>
        <v/>
      </c>
      <c r="AG2896" s="89"/>
      <c r="AH2896" s="274"/>
      <c r="AI2896" s="279"/>
      <c r="AJ2896" s="280"/>
      <c r="AK2896" s="92"/>
      <c r="AL2896" s="23"/>
      <c r="AU2896" s="1"/>
    </row>
    <row r="2897" spans="1:47">
      <c r="A2897" s="23" t="str">
        <f t="shared" si="728"/>
        <v>MN_Henne_2021g~Minneapolis-Park and Recreation Commissioner District 3 (vote for 1)</v>
      </c>
      <c r="B2897" s="317" t="str">
        <f t="shared" si="729"/>
        <v>MN_Henne_2021g</v>
      </c>
      <c r="C2897" s="317" t="str">
        <f t="shared" si="739"/>
        <v/>
      </c>
      <c r="D2897" t="s">
        <v>6774</v>
      </c>
      <c r="E2897" t="s">
        <v>6777</v>
      </c>
      <c r="F2897" t="s">
        <v>6541</v>
      </c>
      <c r="G2897" s="318">
        <v>2906</v>
      </c>
      <c r="O2897">
        <f t="shared" si="732"/>
        <v>3</v>
      </c>
      <c r="P2897" s="57">
        <f t="shared" si="733"/>
        <v>1</v>
      </c>
      <c r="Q2897" s="267">
        <f t="shared" si="734"/>
        <v>2970</v>
      </c>
      <c r="R2897" s="23" t="str">
        <f t="shared" si="735"/>
        <v/>
      </c>
      <c r="S2897" s="23">
        <f t="shared" si="736"/>
        <v>2906</v>
      </c>
      <c r="T2897" s="23" t="str">
        <f t="shared" si="737"/>
        <v/>
      </c>
      <c r="U2897" t="str">
        <f t="shared" si="738"/>
        <v/>
      </c>
      <c r="AF2897" s="22" t="str">
        <f t="shared" si="731"/>
        <v/>
      </c>
      <c r="AG2897" s="89"/>
      <c r="AH2897" s="274"/>
      <c r="AI2897" s="279"/>
      <c r="AJ2897" s="280"/>
      <c r="AK2897" s="92"/>
      <c r="AL2897" s="23"/>
      <c r="AU2897" s="1"/>
    </row>
    <row r="2898" spans="1:47">
      <c r="A2898" s="23" t="str">
        <f t="shared" si="728"/>
        <v>MN_Henne_2021g~Minneapolis-Park and Recreation Commissioner District 3 (vote for 1)</v>
      </c>
      <c r="B2898" s="317" t="str">
        <f t="shared" si="729"/>
        <v>MN_Henne_2021g</v>
      </c>
      <c r="C2898" s="317" t="str">
        <f t="shared" si="739"/>
        <v/>
      </c>
      <c r="D2898" t="s">
        <v>6774</v>
      </c>
      <c r="E2898" t="s">
        <v>15</v>
      </c>
      <c r="F2898" t="s">
        <v>6544</v>
      </c>
      <c r="G2898" s="318">
        <v>64</v>
      </c>
      <c r="O2898">
        <f t="shared" si="732"/>
        <v>-3</v>
      </c>
      <c r="P2898" s="57">
        <f t="shared" si="733"/>
        <v>1</v>
      </c>
      <c r="Q2898" s="267">
        <f t="shared" si="734"/>
        <v>64</v>
      </c>
      <c r="R2898" s="23">
        <f t="shared" si="735"/>
        <v>1</v>
      </c>
      <c r="S2898" s="23">
        <f t="shared" si="736"/>
        <v>0</v>
      </c>
      <c r="T2898" s="23" t="str">
        <f t="shared" si="737"/>
        <v/>
      </c>
      <c r="U2898" t="str">
        <f t="shared" si="738"/>
        <v/>
      </c>
      <c r="AF2898" s="22" t="str">
        <f t="shared" si="731"/>
        <v/>
      </c>
      <c r="AG2898" s="89"/>
      <c r="AH2898" s="274"/>
      <c r="AI2898" s="279"/>
      <c r="AJ2898" s="280"/>
      <c r="AK2898" s="92"/>
      <c r="AL2898" s="23"/>
      <c r="AU2898" s="1"/>
    </row>
    <row r="2899" spans="1:47">
      <c r="A2899" s="23" t="str">
        <f t="shared" si="728"/>
        <v>MN_Henne_2021g~Minneapolis-Park and Recreation Commissioner District 4 (vote for 1)</v>
      </c>
      <c r="B2899" s="317" t="str">
        <f t="shared" si="729"/>
        <v>MN_Henne_2021g</v>
      </c>
      <c r="C2899" s="317" t="str">
        <f t="shared" si="739"/>
        <v/>
      </c>
      <c r="D2899" t="s">
        <v>6778</v>
      </c>
      <c r="E2899" t="s">
        <v>6779</v>
      </c>
      <c r="F2899" t="s">
        <v>6541</v>
      </c>
      <c r="G2899" s="318">
        <v>11893</v>
      </c>
      <c r="O2899">
        <f t="shared" si="732"/>
        <v>1</v>
      </c>
      <c r="P2899" s="57">
        <f t="shared" si="733"/>
        <v>1</v>
      </c>
      <c r="Q2899" s="267">
        <f t="shared" si="734"/>
        <v>19329</v>
      </c>
      <c r="R2899" s="23">
        <f t="shared" si="735"/>
        <v>11893</v>
      </c>
      <c r="S2899" s="23">
        <f t="shared" si="736"/>
        <v>7306</v>
      </c>
      <c r="T2899" s="23">
        <f t="shared" si="737"/>
        <v>4587</v>
      </c>
      <c r="U2899" t="str">
        <f t="shared" si="738"/>
        <v>MN_Henne_2021g~Minneapolis-Park and Recreation Commissioner District 4 (vote for 1)</v>
      </c>
      <c r="AF2899" s="22" t="str">
        <f t="shared" si="731"/>
        <v/>
      </c>
      <c r="AG2899" s="89"/>
      <c r="AH2899" s="274"/>
      <c r="AI2899" s="279"/>
      <c r="AJ2899" s="280"/>
      <c r="AK2899" s="92"/>
      <c r="AL2899" s="23"/>
      <c r="AU2899" s="1"/>
    </row>
    <row r="2900" spans="1:47">
      <c r="A2900" s="23" t="str">
        <f t="shared" si="728"/>
        <v>MN_Henne_2021g~Minneapolis-Park and Recreation Commissioner District 4 (vote for 1)</v>
      </c>
      <c r="B2900" s="317" t="str">
        <f t="shared" si="729"/>
        <v>MN_Henne_2021g</v>
      </c>
      <c r="C2900" s="317" t="str">
        <f t="shared" si="739"/>
        <v/>
      </c>
      <c r="D2900" t="s">
        <v>6778</v>
      </c>
      <c r="E2900" t="s">
        <v>6780</v>
      </c>
      <c r="F2900" t="s">
        <v>6541</v>
      </c>
      <c r="G2900" s="318">
        <v>7306</v>
      </c>
      <c r="O2900">
        <f t="shared" si="732"/>
        <v>2</v>
      </c>
      <c r="P2900" s="57">
        <f t="shared" si="733"/>
        <v>1</v>
      </c>
      <c r="Q2900" s="267">
        <f t="shared" si="734"/>
        <v>7436</v>
      </c>
      <c r="R2900" s="23" t="str">
        <f t="shared" si="735"/>
        <v/>
      </c>
      <c r="S2900" s="23">
        <f t="shared" si="736"/>
        <v>7306</v>
      </c>
      <c r="T2900" s="23" t="str">
        <f t="shared" si="737"/>
        <v/>
      </c>
      <c r="U2900" t="str">
        <f t="shared" si="738"/>
        <v/>
      </c>
      <c r="AF2900" s="22" t="str">
        <f t="shared" si="731"/>
        <v/>
      </c>
      <c r="AG2900" s="89"/>
      <c r="AH2900" s="274"/>
      <c r="AI2900" s="279"/>
      <c r="AJ2900" s="280"/>
      <c r="AK2900" s="92"/>
      <c r="AL2900" s="23"/>
      <c r="AU2900" s="1"/>
    </row>
    <row r="2901" spans="1:47">
      <c r="A2901" s="23" t="str">
        <f t="shared" si="728"/>
        <v>MN_Henne_2021g~Minneapolis-Park and Recreation Commissioner District 4 (vote for 1)</v>
      </c>
      <c r="B2901" s="317" t="str">
        <f t="shared" si="729"/>
        <v>MN_Henne_2021g</v>
      </c>
      <c r="C2901" s="317" t="str">
        <f t="shared" si="739"/>
        <v/>
      </c>
      <c r="D2901" t="s">
        <v>6778</v>
      </c>
      <c r="E2901" t="s">
        <v>15</v>
      </c>
      <c r="F2901" t="s">
        <v>6544</v>
      </c>
      <c r="G2901" s="318">
        <v>130</v>
      </c>
      <c r="O2901">
        <f t="shared" si="732"/>
        <v>-2</v>
      </c>
      <c r="P2901" s="57">
        <f t="shared" si="733"/>
        <v>1</v>
      </c>
      <c r="Q2901" s="267">
        <f t="shared" si="734"/>
        <v>130</v>
      </c>
      <c r="R2901" s="23">
        <f t="shared" si="735"/>
        <v>1</v>
      </c>
      <c r="S2901" s="23">
        <f t="shared" si="736"/>
        <v>0</v>
      </c>
      <c r="T2901" s="23" t="str">
        <f t="shared" si="737"/>
        <v/>
      </c>
      <c r="U2901" t="str">
        <f t="shared" si="738"/>
        <v/>
      </c>
      <c r="AF2901" s="22" t="str">
        <f t="shared" si="731"/>
        <v/>
      </c>
      <c r="AG2901" s="89"/>
      <c r="AH2901" s="274"/>
      <c r="AI2901" s="279"/>
      <c r="AJ2901" s="280"/>
      <c r="AK2901" s="92"/>
      <c r="AL2901" s="23"/>
      <c r="AU2901" s="1"/>
    </row>
    <row r="2902" spans="1:47">
      <c r="A2902" s="23" t="str">
        <f t="shared" si="728"/>
        <v>MN_Henne_2021g~Minneapolis-Park and Recreation Commissioner District 5 (vote for 1)</v>
      </c>
      <c r="B2902" s="317" t="str">
        <f t="shared" si="729"/>
        <v>MN_Henne_2021g</v>
      </c>
      <c r="C2902" s="317" t="str">
        <f t="shared" si="739"/>
        <v/>
      </c>
      <c r="D2902" t="s">
        <v>6781</v>
      </c>
      <c r="E2902" t="s">
        <v>6782</v>
      </c>
      <c r="F2902" t="s">
        <v>6541</v>
      </c>
      <c r="G2902" s="318">
        <v>13319</v>
      </c>
      <c r="O2902">
        <f t="shared" si="732"/>
        <v>1</v>
      </c>
      <c r="P2902" s="57">
        <f t="shared" si="733"/>
        <v>1</v>
      </c>
      <c r="Q2902" s="267">
        <f t="shared" si="734"/>
        <v>21973</v>
      </c>
      <c r="R2902" s="23">
        <f t="shared" si="735"/>
        <v>13319</v>
      </c>
      <c r="S2902" s="23">
        <f t="shared" si="736"/>
        <v>5884</v>
      </c>
      <c r="T2902" s="23">
        <f t="shared" si="737"/>
        <v>7435</v>
      </c>
      <c r="U2902" t="str">
        <f t="shared" si="738"/>
        <v>MN_Henne_2021g~Minneapolis-Park and Recreation Commissioner District 5 (vote for 1)</v>
      </c>
      <c r="AF2902" s="22" t="str">
        <f t="shared" si="731"/>
        <v/>
      </c>
      <c r="AG2902" s="89"/>
      <c r="AH2902" s="274"/>
      <c r="AI2902" s="279"/>
      <c r="AJ2902" s="280"/>
      <c r="AK2902" s="92"/>
      <c r="AL2902" s="23"/>
      <c r="AU2902" s="1"/>
    </row>
    <row r="2903" spans="1:47">
      <c r="A2903" s="23" t="str">
        <f t="shared" si="728"/>
        <v>MN_Henne_2021g~Minneapolis-Park and Recreation Commissioner District 5 (vote for 1)</v>
      </c>
      <c r="B2903" s="317" t="str">
        <f t="shared" si="729"/>
        <v>MN_Henne_2021g</v>
      </c>
      <c r="C2903" s="317" t="str">
        <f t="shared" si="739"/>
        <v/>
      </c>
      <c r="D2903" t="s">
        <v>6781</v>
      </c>
      <c r="E2903" t="s">
        <v>6783</v>
      </c>
      <c r="F2903" t="s">
        <v>6541</v>
      </c>
      <c r="G2903" s="318">
        <v>5884</v>
      </c>
      <c r="O2903">
        <f t="shared" si="732"/>
        <v>2</v>
      </c>
      <c r="P2903" s="57">
        <f t="shared" si="733"/>
        <v>1</v>
      </c>
      <c r="Q2903" s="267">
        <f t="shared" si="734"/>
        <v>8654</v>
      </c>
      <c r="R2903" s="23" t="str">
        <f t="shared" si="735"/>
        <v/>
      </c>
      <c r="S2903" s="23">
        <f t="shared" si="736"/>
        <v>5884</v>
      </c>
      <c r="T2903" s="23" t="str">
        <f t="shared" si="737"/>
        <v/>
      </c>
      <c r="U2903" t="str">
        <f t="shared" si="738"/>
        <v/>
      </c>
      <c r="AF2903" s="22" t="str">
        <f t="shared" si="731"/>
        <v/>
      </c>
      <c r="AG2903" s="89"/>
      <c r="AH2903" s="274"/>
      <c r="AI2903" s="279"/>
      <c r="AJ2903" s="280"/>
      <c r="AK2903" s="92"/>
      <c r="AL2903" s="23"/>
      <c r="AU2903" s="1"/>
    </row>
    <row r="2904" spans="1:47">
      <c r="A2904" s="23" t="str">
        <f t="shared" si="728"/>
        <v>MN_Henne_2021g~Minneapolis-Park and Recreation Commissioner District 5 (vote for 1)</v>
      </c>
      <c r="B2904" s="317" t="str">
        <f t="shared" si="729"/>
        <v>MN_Henne_2021g</v>
      </c>
      <c r="C2904" s="317" t="str">
        <f t="shared" si="739"/>
        <v/>
      </c>
      <c r="D2904" t="s">
        <v>6781</v>
      </c>
      <c r="E2904" t="s">
        <v>6784</v>
      </c>
      <c r="F2904" t="s">
        <v>6541</v>
      </c>
      <c r="G2904" s="318">
        <v>2665</v>
      </c>
      <c r="O2904">
        <f t="shared" si="732"/>
        <v>3</v>
      </c>
      <c r="P2904" s="57">
        <f t="shared" si="733"/>
        <v>1</v>
      </c>
      <c r="Q2904" s="267">
        <f t="shared" si="734"/>
        <v>2770</v>
      </c>
      <c r="R2904" s="23" t="str">
        <f t="shared" si="735"/>
        <v/>
      </c>
      <c r="S2904" s="23">
        <f t="shared" si="736"/>
        <v>2665</v>
      </c>
      <c r="T2904" s="23" t="str">
        <f t="shared" si="737"/>
        <v/>
      </c>
      <c r="U2904" t="str">
        <f t="shared" si="738"/>
        <v/>
      </c>
      <c r="AF2904" s="22" t="str">
        <f t="shared" si="731"/>
        <v/>
      </c>
      <c r="AG2904" s="89"/>
      <c r="AH2904" s="274"/>
      <c r="AI2904" s="279"/>
      <c r="AJ2904" s="280"/>
      <c r="AK2904" s="92"/>
      <c r="AL2904" s="23"/>
      <c r="AU2904" s="1"/>
    </row>
    <row r="2905" spans="1:47">
      <c r="A2905" s="23" t="str">
        <f t="shared" si="728"/>
        <v>MN_Henne_2021g~Minneapolis-Park and Recreation Commissioner District 5 (vote for 1)</v>
      </c>
      <c r="B2905" s="317" t="str">
        <f t="shared" si="729"/>
        <v>MN_Henne_2021g</v>
      </c>
      <c r="C2905" s="317" t="str">
        <f t="shared" si="739"/>
        <v/>
      </c>
      <c r="D2905" t="s">
        <v>6781</v>
      </c>
      <c r="E2905" t="s">
        <v>15</v>
      </c>
      <c r="F2905" t="s">
        <v>6544</v>
      </c>
      <c r="G2905" s="318">
        <v>105</v>
      </c>
      <c r="O2905">
        <f t="shared" si="732"/>
        <v>-3</v>
      </c>
      <c r="P2905" s="57">
        <f t="shared" si="733"/>
        <v>1</v>
      </c>
      <c r="Q2905" s="267">
        <f t="shared" si="734"/>
        <v>105</v>
      </c>
      <c r="R2905" s="23">
        <f t="shared" si="735"/>
        <v>1</v>
      </c>
      <c r="S2905" s="23">
        <f t="shared" si="736"/>
        <v>0</v>
      </c>
      <c r="T2905" s="23" t="str">
        <f t="shared" si="737"/>
        <v/>
      </c>
      <c r="U2905" t="str">
        <f t="shared" si="738"/>
        <v/>
      </c>
      <c r="AF2905" s="22" t="str">
        <f t="shared" si="731"/>
        <v/>
      </c>
      <c r="AG2905" s="89"/>
      <c r="AH2905" s="274"/>
      <c r="AI2905" s="279"/>
      <c r="AJ2905" s="280"/>
      <c r="AK2905" s="92"/>
      <c r="AL2905" s="23"/>
      <c r="AU2905" s="1"/>
    </row>
    <row r="2906" spans="1:47">
      <c r="A2906" s="23" t="str">
        <f t="shared" si="728"/>
        <v>MN_Henne_2021g~Minneapolis-Park and Recreation Commissioner District 6 (vote for 1)</v>
      </c>
      <c r="B2906" s="317" t="str">
        <f t="shared" si="729"/>
        <v>MN_Henne_2021g</v>
      </c>
      <c r="C2906" s="317" t="str">
        <f t="shared" si="739"/>
        <v/>
      </c>
      <c r="D2906" t="s">
        <v>6785</v>
      </c>
      <c r="E2906" t="s">
        <v>6786</v>
      </c>
      <c r="F2906" t="s">
        <v>6541</v>
      </c>
      <c r="G2906" s="318">
        <v>6552</v>
      </c>
      <c r="O2906">
        <f t="shared" si="732"/>
        <v>1</v>
      </c>
      <c r="P2906" s="57">
        <f t="shared" si="733"/>
        <v>1</v>
      </c>
      <c r="Q2906" s="267">
        <f t="shared" si="734"/>
        <v>24492</v>
      </c>
      <c r="R2906" s="23">
        <f t="shared" si="735"/>
        <v>6552</v>
      </c>
      <c r="S2906" s="23">
        <f t="shared" si="736"/>
        <v>6440</v>
      </c>
      <c r="T2906" s="23">
        <f t="shared" si="737"/>
        <v>112</v>
      </c>
      <c r="U2906" t="str">
        <f t="shared" si="738"/>
        <v>MN_Henne_2021g~Minneapolis-Park and Recreation Commissioner District 6 (vote for 1)</v>
      </c>
      <c r="AF2906" s="22" t="str">
        <f t="shared" si="731"/>
        <v/>
      </c>
      <c r="AG2906" s="89"/>
      <c r="AH2906" s="274"/>
      <c r="AI2906" s="279"/>
      <c r="AJ2906" s="280"/>
      <c r="AK2906" s="92"/>
      <c r="AL2906" s="23"/>
      <c r="AU2906" s="1"/>
    </row>
    <row r="2907" spans="1:47">
      <c r="A2907" s="23" t="str">
        <f t="shared" si="728"/>
        <v>MN_Henne_2021g~Minneapolis-Park and Recreation Commissioner District 6 (vote for 1)</v>
      </c>
      <c r="B2907" s="317" t="str">
        <f t="shared" si="729"/>
        <v>MN_Henne_2021g</v>
      </c>
      <c r="C2907" s="317" t="str">
        <f t="shared" si="739"/>
        <v/>
      </c>
      <c r="D2907" t="s">
        <v>6785</v>
      </c>
      <c r="E2907" t="s">
        <v>6787</v>
      </c>
      <c r="F2907" t="s">
        <v>6541</v>
      </c>
      <c r="G2907" s="318">
        <v>6440</v>
      </c>
      <c r="O2907">
        <f t="shared" si="732"/>
        <v>2</v>
      </c>
      <c r="P2907" s="57">
        <f t="shared" si="733"/>
        <v>1</v>
      </c>
      <c r="Q2907" s="267">
        <f t="shared" si="734"/>
        <v>17940</v>
      </c>
      <c r="R2907" s="23" t="str">
        <f t="shared" si="735"/>
        <v/>
      </c>
      <c r="S2907" s="23">
        <f t="shared" si="736"/>
        <v>6440</v>
      </c>
      <c r="T2907" s="23" t="str">
        <f t="shared" si="737"/>
        <v/>
      </c>
      <c r="U2907" t="str">
        <f t="shared" si="738"/>
        <v/>
      </c>
      <c r="AF2907" s="22" t="str">
        <f t="shared" si="731"/>
        <v/>
      </c>
      <c r="AG2907" s="89"/>
      <c r="AH2907" s="274"/>
      <c r="AI2907" s="279"/>
      <c r="AJ2907" s="280"/>
      <c r="AK2907" s="92"/>
      <c r="AL2907" s="23"/>
      <c r="AU2907" s="1"/>
    </row>
    <row r="2908" spans="1:47">
      <c r="A2908" s="23" t="str">
        <f t="shared" si="728"/>
        <v>MN_Henne_2021g~Minneapolis-Park and Recreation Commissioner District 6 (vote for 1)</v>
      </c>
      <c r="B2908" s="317" t="str">
        <f t="shared" si="729"/>
        <v>MN_Henne_2021g</v>
      </c>
      <c r="C2908" s="317" t="str">
        <f t="shared" si="739"/>
        <v/>
      </c>
      <c r="D2908" t="s">
        <v>6785</v>
      </c>
      <c r="E2908" t="s">
        <v>6788</v>
      </c>
      <c r="F2908" t="s">
        <v>6541</v>
      </c>
      <c r="G2908" s="318">
        <v>6201</v>
      </c>
      <c r="O2908">
        <f t="shared" si="732"/>
        <v>3</v>
      </c>
      <c r="P2908" s="57">
        <f t="shared" si="733"/>
        <v>1</v>
      </c>
      <c r="Q2908" s="267">
        <f t="shared" si="734"/>
        <v>11500</v>
      </c>
      <c r="R2908" s="23" t="str">
        <f t="shared" si="735"/>
        <v/>
      </c>
      <c r="S2908" s="23">
        <f t="shared" si="736"/>
        <v>6201</v>
      </c>
      <c r="T2908" s="23" t="str">
        <f t="shared" si="737"/>
        <v/>
      </c>
      <c r="U2908" t="str">
        <f t="shared" si="738"/>
        <v/>
      </c>
      <c r="AF2908" s="22" t="str">
        <f t="shared" si="731"/>
        <v/>
      </c>
      <c r="AG2908" s="89"/>
      <c r="AH2908" s="274"/>
      <c r="AI2908" s="279"/>
      <c r="AJ2908" s="280"/>
      <c r="AK2908" s="92"/>
      <c r="AL2908" s="23"/>
      <c r="AU2908" s="1"/>
    </row>
    <row r="2909" spans="1:47">
      <c r="A2909" s="23" t="str">
        <f t="shared" si="728"/>
        <v>MN_Henne_2021g~Minneapolis-Park and Recreation Commissioner District 6 (vote for 1)</v>
      </c>
      <c r="B2909" s="317" t="str">
        <f t="shared" si="729"/>
        <v>MN_Henne_2021g</v>
      </c>
      <c r="C2909" s="317" t="str">
        <f t="shared" si="739"/>
        <v/>
      </c>
      <c r="D2909" t="s">
        <v>6785</v>
      </c>
      <c r="E2909" t="s">
        <v>6789</v>
      </c>
      <c r="F2909" t="s">
        <v>6541</v>
      </c>
      <c r="G2909" s="318">
        <v>5237</v>
      </c>
      <c r="O2909">
        <f t="shared" si="732"/>
        <v>4</v>
      </c>
      <c r="P2909" s="57">
        <f t="shared" si="733"/>
        <v>1</v>
      </c>
      <c r="Q2909" s="267">
        <f t="shared" si="734"/>
        <v>5299</v>
      </c>
      <c r="R2909" s="23" t="str">
        <f t="shared" si="735"/>
        <v/>
      </c>
      <c r="S2909" s="23">
        <f t="shared" si="736"/>
        <v>5237</v>
      </c>
      <c r="T2909" s="23" t="str">
        <f t="shared" si="737"/>
        <v/>
      </c>
      <c r="U2909" t="str">
        <f t="shared" si="738"/>
        <v/>
      </c>
      <c r="AF2909" s="22" t="str">
        <f t="shared" si="731"/>
        <v/>
      </c>
      <c r="AG2909" s="89"/>
      <c r="AH2909" s="274"/>
      <c r="AI2909" s="279"/>
      <c r="AJ2909" s="280"/>
      <c r="AK2909" s="92"/>
      <c r="AL2909" s="23"/>
      <c r="AU2909" s="1"/>
    </row>
    <row r="2910" spans="1:47">
      <c r="A2910" s="23" t="str">
        <f t="shared" si="728"/>
        <v>MN_Henne_2021g~Minneapolis-Park and Recreation Commissioner District 6 (vote for 1)</v>
      </c>
      <c r="B2910" s="317" t="str">
        <f t="shared" si="729"/>
        <v>MN_Henne_2021g</v>
      </c>
      <c r="C2910" s="317" t="str">
        <f t="shared" si="739"/>
        <v/>
      </c>
      <c r="D2910" t="s">
        <v>6785</v>
      </c>
      <c r="E2910" t="s">
        <v>15</v>
      </c>
      <c r="F2910" t="s">
        <v>6544</v>
      </c>
      <c r="G2910" s="318">
        <v>62</v>
      </c>
      <c r="O2910">
        <f t="shared" si="732"/>
        <v>-4</v>
      </c>
      <c r="P2910" s="57">
        <f t="shared" si="733"/>
        <v>1</v>
      </c>
      <c r="Q2910" s="267">
        <f t="shared" si="734"/>
        <v>62</v>
      </c>
      <c r="R2910" s="23">
        <f t="shared" si="735"/>
        <v>1</v>
      </c>
      <c r="S2910" s="23">
        <f t="shared" si="736"/>
        <v>0</v>
      </c>
      <c r="T2910" s="23" t="str">
        <f t="shared" si="737"/>
        <v/>
      </c>
      <c r="U2910" t="str">
        <f t="shared" si="738"/>
        <v/>
      </c>
      <c r="AF2910" s="22" t="str">
        <f t="shared" si="731"/>
        <v/>
      </c>
      <c r="AG2910" s="89"/>
      <c r="AH2910" s="274"/>
      <c r="AI2910" s="279"/>
      <c r="AJ2910" s="280"/>
      <c r="AK2910" s="92"/>
      <c r="AL2910" s="23"/>
      <c r="AU2910" s="1"/>
    </row>
    <row r="2911" spans="1:47">
      <c r="A2911" s="23" t="str">
        <f t="shared" si="728"/>
        <v>MN_Henne_2021g~Minnetonka-Council Member Seat A (vote for 1)</v>
      </c>
      <c r="B2911" s="317" t="str">
        <f t="shared" si="729"/>
        <v>MN_Henne_2021g</v>
      </c>
      <c r="C2911" s="317" t="str">
        <f t="shared" si="739"/>
        <v/>
      </c>
      <c r="D2911" t="s">
        <v>6790</v>
      </c>
      <c r="E2911" t="s">
        <v>6791</v>
      </c>
      <c r="F2911" t="s">
        <v>6541</v>
      </c>
      <c r="G2911" s="318">
        <v>5881</v>
      </c>
      <c r="O2911">
        <f t="shared" si="732"/>
        <v>1</v>
      </c>
      <c r="P2911" s="57">
        <f t="shared" si="733"/>
        <v>1</v>
      </c>
      <c r="Q2911" s="267">
        <f t="shared" si="734"/>
        <v>10789</v>
      </c>
      <c r="R2911" s="23">
        <f t="shared" si="735"/>
        <v>5881</v>
      </c>
      <c r="S2911" s="23">
        <f t="shared" si="736"/>
        <v>2138</v>
      </c>
      <c r="T2911" s="23">
        <f t="shared" si="737"/>
        <v>3743</v>
      </c>
      <c r="U2911" t="str">
        <f t="shared" si="738"/>
        <v>MN_Henne_2021g~Minnetonka-Council Member Seat A (vote for 1)</v>
      </c>
      <c r="AF2911" s="22" t="str">
        <f t="shared" si="731"/>
        <v/>
      </c>
      <c r="AG2911" s="89"/>
      <c r="AH2911" s="274"/>
      <c r="AI2911" s="279"/>
      <c r="AJ2911" s="280"/>
      <c r="AK2911" s="92"/>
      <c r="AL2911" s="23"/>
      <c r="AU2911" s="1"/>
    </row>
    <row r="2912" spans="1:47">
      <c r="A2912" s="23" t="str">
        <f t="shared" si="728"/>
        <v>MN_Henne_2021g~Minnetonka-Council Member Seat A (vote for 1)</v>
      </c>
      <c r="B2912" s="317" t="str">
        <f t="shared" si="729"/>
        <v>MN_Henne_2021g</v>
      </c>
      <c r="C2912" s="317" t="str">
        <f t="shared" si="739"/>
        <v/>
      </c>
      <c r="D2912" t="s">
        <v>6790</v>
      </c>
      <c r="E2912" t="s">
        <v>6792</v>
      </c>
      <c r="F2912" t="s">
        <v>6541</v>
      </c>
      <c r="G2912" s="318">
        <v>2138</v>
      </c>
      <c r="O2912">
        <f t="shared" si="732"/>
        <v>2</v>
      </c>
      <c r="P2912" s="57">
        <f t="shared" si="733"/>
        <v>1</v>
      </c>
      <c r="Q2912" s="267">
        <f t="shared" si="734"/>
        <v>4908</v>
      </c>
      <c r="R2912" s="23" t="str">
        <f t="shared" si="735"/>
        <v/>
      </c>
      <c r="S2912" s="23">
        <f t="shared" si="736"/>
        <v>2138</v>
      </c>
      <c r="T2912" s="23" t="str">
        <f t="shared" si="737"/>
        <v/>
      </c>
      <c r="U2912" t="str">
        <f t="shared" si="738"/>
        <v/>
      </c>
      <c r="AF2912" s="22" t="str">
        <f t="shared" si="731"/>
        <v/>
      </c>
      <c r="AG2912" s="89"/>
      <c r="AH2912" s="274"/>
      <c r="AI2912" s="279"/>
      <c r="AJ2912" s="280"/>
      <c r="AK2912" s="92"/>
      <c r="AL2912" s="23"/>
      <c r="AU2912" s="1"/>
    </row>
    <row r="2913" spans="1:47">
      <c r="A2913" s="23" t="str">
        <f t="shared" ref="A2913:A2935" si="740">CONCATENATE("MN_Henne_2021g~",D2913)</f>
        <v>MN_Henne_2021g~Minnetonka-Council Member Seat A (vote for 1)</v>
      </c>
      <c r="B2913" s="317" t="str">
        <f t="shared" ref="B2913:B2935" si="741">LEFT(A2913,14)</f>
        <v>MN_Henne_2021g</v>
      </c>
      <c r="C2913" s="317" t="str">
        <f t="shared" si="739"/>
        <v/>
      </c>
      <c r="D2913" t="s">
        <v>6790</v>
      </c>
      <c r="E2913" t="s">
        <v>6793</v>
      </c>
      <c r="F2913" t="s">
        <v>6541</v>
      </c>
      <c r="G2913" s="318">
        <v>1084</v>
      </c>
      <c r="O2913">
        <f t="shared" si="732"/>
        <v>3</v>
      </c>
      <c r="P2913" s="57">
        <f t="shared" si="733"/>
        <v>1</v>
      </c>
      <c r="Q2913" s="267">
        <f t="shared" si="734"/>
        <v>2770</v>
      </c>
      <c r="R2913" s="23" t="str">
        <f t="shared" si="735"/>
        <v/>
      </c>
      <c r="S2913" s="23">
        <f t="shared" si="736"/>
        <v>1084</v>
      </c>
      <c r="T2913" s="23" t="str">
        <f t="shared" si="737"/>
        <v/>
      </c>
      <c r="U2913" t="str">
        <f t="shared" si="738"/>
        <v/>
      </c>
      <c r="AF2913" s="22" t="str">
        <f t="shared" si="731"/>
        <v/>
      </c>
      <c r="AG2913" s="89"/>
      <c r="AH2913" s="274"/>
      <c r="AI2913" s="279"/>
      <c r="AJ2913" s="280"/>
      <c r="AK2913" s="92"/>
      <c r="AL2913" s="23"/>
      <c r="AU2913" s="1"/>
    </row>
    <row r="2914" spans="1:47">
      <c r="A2914" s="23" t="str">
        <f t="shared" si="740"/>
        <v>MN_Henne_2021g~Minnetonka-Council Member Seat A (vote for 1)</v>
      </c>
      <c r="B2914" s="317" t="str">
        <f t="shared" si="741"/>
        <v>MN_Henne_2021g</v>
      </c>
      <c r="C2914" s="317" t="str">
        <f t="shared" si="739"/>
        <v/>
      </c>
      <c r="D2914" t="s">
        <v>6790</v>
      </c>
      <c r="E2914" t="s">
        <v>6794</v>
      </c>
      <c r="F2914" t="s">
        <v>6541</v>
      </c>
      <c r="G2914" s="318">
        <v>1014</v>
      </c>
      <c r="O2914">
        <f t="shared" si="732"/>
        <v>4</v>
      </c>
      <c r="P2914" s="57">
        <f t="shared" si="733"/>
        <v>1</v>
      </c>
      <c r="Q2914" s="267">
        <f t="shared" si="734"/>
        <v>1686</v>
      </c>
      <c r="R2914" s="23" t="str">
        <f t="shared" si="735"/>
        <v/>
      </c>
      <c r="S2914" s="23">
        <f t="shared" si="736"/>
        <v>1014</v>
      </c>
      <c r="T2914" s="23" t="str">
        <f t="shared" si="737"/>
        <v/>
      </c>
      <c r="U2914" t="str">
        <f t="shared" si="738"/>
        <v/>
      </c>
      <c r="AF2914" s="22" t="str">
        <f t="shared" si="731"/>
        <v/>
      </c>
      <c r="AG2914" s="89"/>
      <c r="AH2914" s="274"/>
      <c r="AI2914" s="279"/>
      <c r="AJ2914" s="280"/>
      <c r="AK2914" s="92"/>
      <c r="AL2914" s="23"/>
      <c r="AU2914" s="1"/>
    </row>
    <row r="2915" spans="1:47">
      <c r="A2915" s="23" t="str">
        <f t="shared" si="740"/>
        <v>MN_Henne_2021g~Minnetonka-Council Member Seat A (vote for 1)</v>
      </c>
      <c r="B2915" s="317" t="str">
        <f t="shared" si="741"/>
        <v>MN_Henne_2021g</v>
      </c>
      <c r="C2915" s="317" t="str">
        <f t="shared" si="739"/>
        <v/>
      </c>
      <c r="D2915" t="s">
        <v>6790</v>
      </c>
      <c r="E2915" t="s">
        <v>6795</v>
      </c>
      <c r="F2915" t="s">
        <v>6541</v>
      </c>
      <c r="G2915" s="318">
        <v>654</v>
      </c>
      <c r="O2915">
        <f t="shared" si="732"/>
        <v>5</v>
      </c>
      <c r="P2915" s="57">
        <f t="shared" si="733"/>
        <v>1</v>
      </c>
      <c r="Q2915" s="267">
        <f t="shared" si="734"/>
        <v>672</v>
      </c>
      <c r="R2915" s="23" t="str">
        <f t="shared" si="735"/>
        <v/>
      </c>
      <c r="S2915" s="23">
        <f t="shared" si="736"/>
        <v>654</v>
      </c>
      <c r="T2915" s="23" t="str">
        <f t="shared" si="737"/>
        <v/>
      </c>
      <c r="U2915" t="str">
        <f t="shared" si="738"/>
        <v/>
      </c>
      <c r="AF2915" s="22" t="str">
        <f t="shared" si="731"/>
        <v/>
      </c>
      <c r="AG2915" s="89"/>
      <c r="AH2915" s="274"/>
      <c r="AI2915" s="279"/>
      <c r="AJ2915" s="280"/>
      <c r="AK2915" s="92"/>
      <c r="AL2915" s="23"/>
      <c r="AU2915" s="1"/>
    </row>
    <row r="2916" spans="1:47">
      <c r="A2916" s="23" t="str">
        <f t="shared" si="740"/>
        <v>MN_Henne_2021g~Minnetonka-Council Member Seat A (vote for 1)</v>
      </c>
      <c r="B2916" s="317" t="str">
        <f t="shared" si="741"/>
        <v>MN_Henne_2021g</v>
      </c>
      <c r="C2916" s="317" t="str">
        <f t="shared" si="739"/>
        <v/>
      </c>
      <c r="D2916" t="s">
        <v>6790</v>
      </c>
      <c r="E2916" t="s">
        <v>15</v>
      </c>
      <c r="F2916" t="s">
        <v>6544</v>
      </c>
      <c r="G2916" s="318">
        <v>18</v>
      </c>
      <c r="O2916">
        <f t="shared" si="732"/>
        <v>-5</v>
      </c>
      <c r="P2916" s="57">
        <f t="shared" si="733"/>
        <v>1</v>
      </c>
      <c r="Q2916" s="267">
        <f t="shared" si="734"/>
        <v>18</v>
      </c>
      <c r="R2916" s="23">
        <f t="shared" si="735"/>
        <v>1</v>
      </c>
      <c r="S2916" s="23">
        <f t="shared" si="736"/>
        <v>0</v>
      </c>
      <c r="T2916" s="23" t="str">
        <f t="shared" si="737"/>
        <v/>
      </c>
      <c r="U2916" t="str">
        <f t="shared" si="738"/>
        <v/>
      </c>
      <c r="AF2916" s="22" t="str">
        <f t="shared" si="731"/>
        <v/>
      </c>
      <c r="AG2916" s="89"/>
      <c r="AH2916" s="274"/>
      <c r="AI2916" s="279"/>
      <c r="AJ2916" s="280"/>
      <c r="AK2916" s="92"/>
      <c r="AL2916" s="23"/>
      <c r="AU2916" s="1"/>
    </row>
    <row r="2917" spans="1:47">
      <c r="A2917" s="23" t="str">
        <f t="shared" si="740"/>
        <v>MN_Henne_2021g~Minnetonka-Council Member Seat B (vote for 1)</v>
      </c>
      <c r="B2917" s="317" t="str">
        <f t="shared" si="741"/>
        <v>MN_Henne_2021g</v>
      </c>
      <c r="C2917" s="317" t="str">
        <f t="shared" si="739"/>
        <v/>
      </c>
      <c r="D2917" t="s">
        <v>6796</v>
      </c>
      <c r="E2917" t="s">
        <v>6797</v>
      </c>
      <c r="F2917" t="s">
        <v>6541</v>
      </c>
      <c r="G2917" s="318">
        <v>4137</v>
      </c>
      <c r="O2917">
        <f t="shared" si="732"/>
        <v>1</v>
      </c>
      <c r="P2917" s="57">
        <f t="shared" si="733"/>
        <v>1</v>
      </c>
      <c r="Q2917" s="267">
        <f t="shared" si="734"/>
        <v>10175</v>
      </c>
      <c r="R2917" s="23">
        <f t="shared" si="735"/>
        <v>4137</v>
      </c>
      <c r="S2917" s="23">
        <f t="shared" si="736"/>
        <v>2220</v>
      </c>
      <c r="T2917" s="23">
        <f t="shared" si="737"/>
        <v>1917</v>
      </c>
      <c r="U2917" t="str">
        <f t="shared" si="738"/>
        <v>MN_Henne_2021g~Minnetonka-Council Member Seat B (vote for 1)</v>
      </c>
      <c r="AF2917" s="22" t="str">
        <f t="shared" si="731"/>
        <v/>
      </c>
      <c r="AG2917" s="89"/>
      <c r="AH2917" s="274"/>
      <c r="AI2917" s="279"/>
      <c r="AJ2917" s="280"/>
      <c r="AK2917" s="92"/>
      <c r="AL2917" s="23"/>
      <c r="AU2917" s="1"/>
    </row>
    <row r="2918" spans="1:47">
      <c r="A2918" s="23" t="str">
        <f t="shared" si="740"/>
        <v>MN_Henne_2021g~Minnetonka-Council Member Seat B (vote for 1)</v>
      </c>
      <c r="B2918" s="317" t="str">
        <f t="shared" si="741"/>
        <v>MN_Henne_2021g</v>
      </c>
      <c r="C2918" s="317" t="str">
        <f t="shared" si="739"/>
        <v/>
      </c>
      <c r="D2918" t="s">
        <v>6796</v>
      </c>
      <c r="E2918" t="s">
        <v>6798</v>
      </c>
      <c r="F2918" t="s">
        <v>6541</v>
      </c>
      <c r="G2918" s="318">
        <v>2220</v>
      </c>
      <c r="O2918">
        <f t="shared" si="732"/>
        <v>2</v>
      </c>
      <c r="P2918" s="57">
        <f t="shared" si="733"/>
        <v>1</v>
      </c>
      <c r="Q2918" s="267">
        <f t="shared" si="734"/>
        <v>6038</v>
      </c>
      <c r="R2918" s="23" t="str">
        <f t="shared" si="735"/>
        <v/>
      </c>
      <c r="S2918" s="23">
        <f t="shared" si="736"/>
        <v>2220</v>
      </c>
      <c r="T2918" s="23" t="str">
        <f t="shared" si="737"/>
        <v/>
      </c>
      <c r="U2918" t="str">
        <f t="shared" si="738"/>
        <v/>
      </c>
      <c r="AF2918" s="22" t="str">
        <f t="shared" si="731"/>
        <v/>
      </c>
      <c r="AG2918" s="89"/>
      <c r="AH2918" s="274"/>
      <c r="AI2918" s="279"/>
      <c r="AJ2918" s="280"/>
      <c r="AK2918" s="92"/>
      <c r="AL2918" s="23"/>
      <c r="AU2918" s="1"/>
    </row>
    <row r="2919" spans="1:47">
      <c r="A2919" s="23" t="str">
        <f t="shared" si="740"/>
        <v>MN_Henne_2021g~Minnetonka-Council Member Seat B (vote for 1)</v>
      </c>
      <c r="B2919" s="317" t="str">
        <f t="shared" si="741"/>
        <v>MN_Henne_2021g</v>
      </c>
      <c r="C2919" s="317" t="str">
        <f t="shared" si="739"/>
        <v/>
      </c>
      <c r="D2919" t="s">
        <v>6796</v>
      </c>
      <c r="E2919" t="s">
        <v>6799</v>
      </c>
      <c r="F2919" t="s">
        <v>6541</v>
      </c>
      <c r="G2919" s="318">
        <v>1332</v>
      </c>
      <c r="O2919">
        <f t="shared" si="732"/>
        <v>3</v>
      </c>
      <c r="P2919" s="57">
        <f t="shared" si="733"/>
        <v>1</v>
      </c>
      <c r="Q2919" s="267">
        <f t="shared" si="734"/>
        <v>3818</v>
      </c>
      <c r="R2919" s="23" t="str">
        <f t="shared" si="735"/>
        <v/>
      </c>
      <c r="S2919" s="23">
        <f t="shared" si="736"/>
        <v>1332</v>
      </c>
      <c r="T2919" s="23" t="str">
        <f t="shared" si="737"/>
        <v/>
      </c>
      <c r="U2919" t="str">
        <f t="shared" si="738"/>
        <v/>
      </c>
      <c r="AF2919" s="22" t="str">
        <f t="shared" si="731"/>
        <v/>
      </c>
      <c r="AG2919" s="89"/>
      <c r="AH2919" s="274"/>
      <c r="AI2919" s="279"/>
      <c r="AJ2919" s="280"/>
      <c r="AK2919" s="92"/>
      <c r="AL2919" s="23"/>
      <c r="AU2919" s="1"/>
    </row>
    <row r="2920" spans="1:47">
      <c r="A2920" s="23" t="str">
        <f t="shared" si="740"/>
        <v>MN_Henne_2021g~Minnetonka-Council Member Seat B (vote for 1)</v>
      </c>
      <c r="B2920" s="317" t="str">
        <f t="shared" si="741"/>
        <v>MN_Henne_2021g</v>
      </c>
      <c r="C2920" s="317" t="str">
        <f t="shared" si="739"/>
        <v/>
      </c>
      <c r="D2920" t="s">
        <v>6796</v>
      </c>
      <c r="E2920" t="s">
        <v>6800</v>
      </c>
      <c r="F2920" t="s">
        <v>6541</v>
      </c>
      <c r="G2920" s="318">
        <v>1328</v>
      </c>
      <c r="O2920">
        <f t="shared" si="732"/>
        <v>4</v>
      </c>
      <c r="P2920" s="57">
        <f t="shared" si="733"/>
        <v>1</v>
      </c>
      <c r="Q2920" s="267">
        <f t="shared" si="734"/>
        <v>2486</v>
      </c>
      <c r="R2920" s="23" t="str">
        <f t="shared" si="735"/>
        <v/>
      </c>
      <c r="S2920" s="23">
        <f t="shared" si="736"/>
        <v>1328</v>
      </c>
      <c r="T2920" s="23" t="str">
        <f t="shared" si="737"/>
        <v/>
      </c>
      <c r="U2920" t="str">
        <f t="shared" si="738"/>
        <v/>
      </c>
      <c r="AF2920" s="22" t="str">
        <f t="shared" si="731"/>
        <v/>
      </c>
      <c r="AG2920" s="89"/>
      <c r="AH2920" s="274"/>
      <c r="AI2920" s="279"/>
      <c r="AJ2920" s="280"/>
      <c r="AK2920" s="92"/>
      <c r="AL2920" s="23"/>
      <c r="AU2920" s="1"/>
    </row>
    <row r="2921" spans="1:47">
      <c r="A2921" s="23" t="str">
        <f t="shared" si="740"/>
        <v>MN_Henne_2021g~Minnetonka-Council Member Seat B (vote for 1)</v>
      </c>
      <c r="B2921" s="317" t="str">
        <f t="shared" si="741"/>
        <v>MN_Henne_2021g</v>
      </c>
      <c r="C2921" s="317" t="str">
        <f t="shared" si="739"/>
        <v/>
      </c>
      <c r="D2921" t="s">
        <v>6796</v>
      </c>
      <c r="E2921" t="s">
        <v>6801</v>
      </c>
      <c r="F2921" t="s">
        <v>6541</v>
      </c>
      <c r="G2921" s="318">
        <v>1130</v>
      </c>
      <c r="O2921">
        <f t="shared" si="732"/>
        <v>5</v>
      </c>
      <c r="P2921" s="57">
        <f t="shared" si="733"/>
        <v>1</v>
      </c>
      <c r="Q2921" s="267">
        <f t="shared" si="734"/>
        <v>1158</v>
      </c>
      <c r="R2921" s="23" t="str">
        <f t="shared" si="735"/>
        <v/>
      </c>
      <c r="S2921" s="23">
        <f t="shared" si="736"/>
        <v>1130</v>
      </c>
      <c r="T2921" s="23" t="str">
        <f t="shared" si="737"/>
        <v/>
      </c>
      <c r="U2921" t="str">
        <f t="shared" si="738"/>
        <v/>
      </c>
      <c r="AF2921" s="22" t="str">
        <f t="shared" si="731"/>
        <v/>
      </c>
      <c r="AG2921" s="89"/>
      <c r="AH2921" s="274"/>
      <c r="AI2921" s="279"/>
      <c r="AJ2921" s="280"/>
      <c r="AK2921" s="92"/>
      <c r="AL2921" s="23"/>
      <c r="AU2921" s="1"/>
    </row>
    <row r="2922" spans="1:47">
      <c r="A2922" s="23" t="str">
        <f t="shared" si="740"/>
        <v>MN_Henne_2021g~Minnetonka-Council Member Seat B (vote for 1)</v>
      </c>
      <c r="B2922" s="317" t="str">
        <f t="shared" si="741"/>
        <v>MN_Henne_2021g</v>
      </c>
      <c r="C2922" s="317" t="str">
        <f t="shared" si="739"/>
        <v/>
      </c>
      <c r="D2922" t="s">
        <v>6796</v>
      </c>
      <c r="E2922" t="s">
        <v>15</v>
      </c>
      <c r="F2922" t="s">
        <v>6544</v>
      </c>
      <c r="G2922" s="318">
        <v>28</v>
      </c>
      <c r="O2922">
        <f t="shared" si="732"/>
        <v>-5</v>
      </c>
      <c r="P2922" s="57">
        <f t="shared" si="733"/>
        <v>1</v>
      </c>
      <c r="Q2922" s="267">
        <f t="shared" si="734"/>
        <v>28</v>
      </c>
      <c r="R2922" s="23">
        <f t="shared" si="735"/>
        <v>1</v>
      </c>
      <c r="S2922" s="23">
        <f t="shared" si="736"/>
        <v>0</v>
      </c>
      <c r="T2922" s="23" t="str">
        <f t="shared" si="737"/>
        <v/>
      </c>
      <c r="U2922" t="str">
        <f t="shared" si="738"/>
        <v/>
      </c>
      <c r="AF2922" s="22" t="str">
        <f t="shared" si="731"/>
        <v/>
      </c>
      <c r="AG2922" s="89"/>
      <c r="AH2922" s="274"/>
      <c r="AI2922" s="279"/>
      <c r="AJ2922" s="280"/>
      <c r="AK2922" s="92"/>
      <c r="AL2922" s="23"/>
      <c r="AU2922" s="1"/>
    </row>
    <row r="2923" spans="1:47">
      <c r="A2923" s="23" t="str">
        <f t="shared" si="740"/>
        <v>MN_Henne_2021g~Minnetonka-Mayor (vote for 1)</v>
      </c>
      <c r="B2923" s="317" t="str">
        <f t="shared" si="741"/>
        <v>MN_Henne_2021g</v>
      </c>
      <c r="C2923" s="317" t="str">
        <f t="shared" ref="C2923:C2935" si="742">IF(AND(D2923=D2922,E2923=E2922),99,"")</f>
        <v/>
      </c>
      <c r="D2923" t="s">
        <v>6802</v>
      </c>
      <c r="E2923" t="s">
        <v>6803</v>
      </c>
      <c r="F2923" t="s">
        <v>6541</v>
      </c>
      <c r="G2923" s="318">
        <v>6897</v>
      </c>
      <c r="O2923">
        <f t="shared" si="732"/>
        <v>1</v>
      </c>
      <c r="P2923" s="57">
        <f t="shared" si="733"/>
        <v>1</v>
      </c>
      <c r="Q2923" s="267">
        <f t="shared" si="734"/>
        <v>11016</v>
      </c>
      <c r="R2923" s="23">
        <f t="shared" si="735"/>
        <v>6897</v>
      </c>
      <c r="S2923" s="23">
        <f t="shared" si="736"/>
        <v>4100</v>
      </c>
      <c r="T2923" s="23">
        <f t="shared" si="737"/>
        <v>2797</v>
      </c>
      <c r="U2923" t="str">
        <f t="shared" si="738"/>
        <v>MN_Henne_2021g~Minnetonka-Mayor (vote for 1)</v>
      </c>
      <c r="AF2923" s="22" t="str">
        <f t="shared" si="731"/>
        <v/>
      </c>
      <c r="AG2923" s="89"/>
      <c r="AH2923" s="274"/>
      <c r="AI2923" s="279"/>
      <c r="AJ2923" s="280"/>
      <c r="AK2923" s="92"/>
      <c r="AL2923" s="23"/>
      <c r="AU2923" s="1"/>
    </row>
    <row r="2924" spans="1:47">
      <c r="A2924" s="23" t="str">
        <f t="shared" si="740"/>
        <v>MN_Henne_2021g~Minnetonka-Mayor (vote for 1)</v>
      </c>
      <c r="B2924" s="317" t="str">
        <f t="shared" si="741"/>
        <v>MN_Henne_2021g</v>
      </c>
      <c r="C2924" s="317" t="str">
        <f t="shared" si="742"/>
        <v/>
      </c>
      <c r="D2924" t="s">
        <v>6802</v>
      </c>
      <c r="E2924" t="s">
        <v>6804</v>
      </c>
      <c r="F2924" t="s">
        <v>6541</v>
      </c>
      <c r="G2924" s="318">
        <v>4100</v>
      </c>
      <c r="O2924">
        <f t="shared" si="732"/>
        <v>2</v>
      </c>
      <c r="P2924" s="57">
        <f t="shared" si="733"/>
        <v>1</v>
      </c>
      <c r="Q2924" s="267">
        <f t="shared" si="734"/>
        <v>4119</v>
      </c>
      <c r="R2924" s="23" t="str">
        <f t="shared" si="735"/>
        <v/>
      </c>
      <c r="S2924" s="23">
        <f t="shared" si="736"/>
        <v>4100</v>
      </c>
      <c r="T2924" s="23" t="str">
        <f t="shared" si="737"/>
        <v/>
      </c>
      <c r="U2924" t="str">
        <f t="shared" si="738"/>
        <v/>
      </c>
      <c r="AF2924" s="22" t="str">
        <f t="shared" si="731"/>
        <v/>
      </c>
      <c r="AG2924" s="89"/>
      <c r="AH2924" s="274"/>
      <c r="AI2924" s="279"/>
      <c r="AJ2924" s="280"/>
      <c r="AK2924" s="92"/>
      <c r="AL2924" s="23"/>
      <c r="AU2924" s="1"/>
    </row>
    <row r="2925" spans="1:47">
      <c r="A2925" s="23" t="str">
        <f t="shared" si="740"/>
        <v>MN_Henne_2021g~Minnetonka-Mayor (vote for 1)</v>
      </c>
      <c r="B2925" s="317" t="str">
        <f t="shared" si="741"/>
        <v>MN_Henne_2021g</v>
      </c>
      <c r="C2925" s="317" t="str">
        <f t="shared" si="742"/>
        <v/>
      </c>
      <c r="D2925" t="s">
        <v>6802</v>
      </c>
      <c r="E2925" t="s">
        <v>15</v>
      </c>
      <c r="F2925" t="s">
        <v>6544</v>
      </c>
      <c r="G2925" s="318">
        <v>19</v>
      </c>
      <c r="O2925">
        <f t="shared" si="732"/>
        <v>-2</v>
      </c>
      <c r="P2925" s="57">
        <f t="shared" si="733"/>
        <v>1</v>
      </c>
      <c r="Q2925" s="267">
        <f t="shared" si="734"/>
        <v>19</v>
      </c>
      <c r="R2925" s="23">
        <f t="shared" si="735"/>
        <v>1</v>
      </c>
      <c r="S2925" s="23">
        <f t="shared" si="736"/>
        <v>0</v>
      </c>
      <c r="T2925" s="23" t="str">
        <f t="shared" si="737"/>
        <v/>
      </c>
      <c r="U2925" t="str">
        <f t="shared" si="738"/>
        <v/>
      </c>
      <c r="AF2925" s="22" t="str">
        <f t="shared" si="731"/>
        <v/>
      </c>
      <c r="AG2925" s="89"/>
      <c r="AH2925" s="274"/>
      <c r="AI2925" s="279"/>
      <c r="AJ2925" s="280"/>
      <c r="AK2925" s="92"/>
      <c r="AL2925" s="23"/>
      <c r="AU2925" s="1"/>
    </row>
    <row r="2926" spans="1:47">
      <c r="A2926" s="23" t="str">
        <f t="shared" si="740"/>
        <v>MN_Henne_2021g~St Louis Park-Council Member Ward 1 (vote for 1)</v>
      </c>
      <c r="B2926" s="317" t="str">
        <f t="shared" si="741"/>
        <v>MN_Henne_2021g</v>
      </c>
      <c r="C2926" s="317" t="str">
        <f t="shared" si="742"/>
        <v/>
      </c>
      <c r="D2926" t="s">
        <v>6805</v>
      </c>
      <c r="E2926" t="s">
        <v>6806</v>
      </c>
      <c r="F2926" t="s">
        <v>6541</v>
      </c>
      <c r="G2926" s="318">
        <v>818</v>
      </c>
      <c r="O2926">
        <f t="shared" si="732"/>
        <v>1</v>
      </c>
      <c r="P2926" s="57">
        <f t="shared" si="733"/>
        <v>1</v>
      </c>
      <c r="Q2926" s="267">
        <f t="shared" si="734"/>
        <v>888</v>
      </c>
      <c r="R2926" s="23">
        <f t="shared" si="735"/>
        <v>818</v>
      </c>
      <c r="S2926" s="23">
        <f t="shared" si="736"/>
        <v>0</v>
      </c>
      <c r="T2926" s="23" t="str">
        <f t="shared" si="737"/>
        <v/>
      </c>
      <c r="U2926" t="str">
        <f t="shared" si="738"/>
        <v>MN_Henne_2021g~St Louis Park-Council Member Ward 1 (vote for 1)</v>
      </c>
      <c r="AF2926" s="22" t="str">
        <f t="shared" si="731"/>
        <v/>
      </c>
      <c r="AG2926" s="89"/>
      <c r="AH2926" s="274"/>
      <c r="AI2926" s="279"/>
      <c r="AJ2926" s="280"/>
      <c r="AK2926" s="92"/>
      <c r="AL2926" s="23"/>
      <c r="AU2926" s="1"/>
    </row>
    <row r="2927" spans="1:47">
      <c r="A2927" s="23" t="str">
        <f t="shared" si="740"/>
        <v>MN_Henne_2021g~St Louis Park-Council Member Ward 1 (vote for 1)</v>
      </c>
      <c r="B2927" s="317" t="str">
        <f t="shared" si="741"/>
        <v>MN_Henne_2021g</v>
      </c>
      <c r="C2927" s="317" t="str">
        <f t="shared" si="742"/>
        <v/>
      </c>
      <c r="D2927" t="s">
        <v>6805</v>
      </c>
      <c r="E2927" t="s">
        <v>15</v>
      </c>
      <c r="F2927" t="s">
        <v>6544</v>
      </c>
      <c r="G2927" s="318">
        <v>70</v>
      </c>
      <c r="O2927">
        <f t="shared" si="732"/>
        <v>-1</v>
      </c>
      <c r="P2927" s="57">
        <f t="shared" si="733"/>
        <v>1</v>
      </c>
      <c r="Q2927" s="267">
        <f t="shared" si="734"/>
        <v>70</v>
      </c>
      <c r="R2927" s="23">
        <f t="shared" si="735"/>
        <v>1</v>
      </c>
      <c r="S2927" s="23">
        <f t="shared" si="736"/>
        <v>0</v>
      </c>
      <c r="T2927" s="23" t="str">
        <f t="shared" si="737"/>
        <v/>
      </c>
      <c r="U2927" t="str">
        <f t="shared" si="738"/>
        <v/>
      </c>
      <c r="AF2927" s="22" t="str">
        <f t="shared" si="731"/>
        <v/>
      </c>
      <c r="AG2927" s="89"/>
      <c r="AH2927" s="274"/>
      <c r="AI2927" s="279"/>
      <c r="AJ2927" s="280"/>
      <c r="AK2927" s="92"/>
      <c r="AL2927" s="23"/>
      <c r="AU2927" s="1"/>
    </row>
    <row r="2928" spans="1:47">
      <c r="A2928" s="23" t="str">
        <f t="shared" si="740"/>
        <v>MN_Henne_2021g~St Louis Park-Council Member Ward 2 (vote for 1)</v>
      </c>
      <c r="B2928" s="317" t="str">
        <f t="shared" si="741"/>
        <v>MN_Henne_2021g</v>
      </c>
      <c r="C2928" s="317" t="str">
        <f t="shared" si="742"/>
        <v/>
      </c>
      <c r="D2928" t="s">
        <v>6807</v>
      </c>
      <c r="E2928" t="s">
        <v>6808</v>
      </c>
      <c r="F2928" t="s">
        <v>6541</v>
      </c>
      <c r="G2928" s="318">
        <v>965</v>
      </c>
      <c r="O2928">
        <f t="shared" si="732"/>
        <v>1</v>
      </c>
      <c r="P2928" s="57">
        <f t="shared" si="733"/>
        <v>1</v>
      </c>
      <c r="Q2928" s="267">
        <f t="shared" si="734"/>
        <v>1576</v>
      </c>
      <c r="R2928" s="23">
        <f t="shared" si="735"/>
        <v>965</v>
      </c>
      <c r="S2928" s="23">
        <f t="shared" si="736"/>
        <v>0</v>
      </c>
      <c r="T2928" s="23" t="str">
        <f t="shared" si="737"/>
        <v/>
      </c>
      <c r="U2928" t="str">
        <f t="shared" si="738"/>
        <v>MN_Henne_2021g~St Louis Park-Council Member Ward 2 (vote for 1)</v>
      </c>
      <c r="AF2928" s="22" t="str">
        <f t="shared" si="731"/>
        <v/>
      </c>
      <c r="AG2928" s="89"/>
      <c r="AH2928" s="274"/>
      <c r="AI2928" s="279"/>
      <c r="AJ2928" s="280"/>
      <c r="AK2928" s="92"/>
      <c r="AL2928" s="23"/>
      <c r="AU2928" s="1"/>
    </row>
    <row r="2929" spans="1:47">
      <c r="A2929" s="23" t="str">
        <f t="shared" si="740"/>
        <v>MN_Henne_2021g~St Louis Park-Council Member Ward 2 (vote for 1)</v>
      </c>
      <c r="B2929" s="317" t="str">
        <f t="shared" si="741"/>
        <v>MN_Henne_2021g</v>
      </c>
      <c r="C2929" s="317" t="str">
        <f t="shared" si="742"/>
        <v/>
      </c>
      <c r="D2929" t="s">
        <v>6807</v>
      </c>
      <c r="E2929" t="s">
        <v>15</v>
      </c>
      <c r="F2929" t="s">
        <v>6544</v>
      </c>
      <c r="G2929" s="318">
        <v>611</v>
      </c>
      <c r="O2929">
        <f t="shared" si="732"/>
        <v>-1</v>
      </c>
      <c r="P2929" s="57">
        <f t="shared" si="733"/>
        <v>1</v>
      </c>
      <c r="Q2929" s="267">
        <f t="shared" si="734"/>
        <v>611</v>
      </c>
      <c r="R2929" s="23">
        <f t="shared" si="735"/>
        <v>1</v>
      </c>
      <c r="S2929" s="23">
        <f t="shared" si="736"/>
        <v>0</v>
      </c>
      <c r="T2929" s="23" t="str">
        <f t="shared" si="737"/>
        <v/>
      </c>
      <c r="U2929" t="str">
        <f t="shared" si="738"/>
        <v/>
      </c>
      <c r="AF2929" s="22" t="str">
        <f t="shared" si="731"/>
        <v/>
      </c>
      <c r="AG2929" s="89"/>
      <c r="AH2929" s="274"/>
      <c r="AI2929" s="279"/>
      <c r="AJ2929" s="280"/>
      <c r="AK2929" s="92"/>
      <c r="AL2929" s="23"/>
      <c r="AU2929" s="1"/>
    </row>
    <row r="2930" spans="1:47">
      <c r="A2930" s="23" t="str">
        <f t="shared" si="740"/>
        <v>MN_Henne_2021g~St Louis Park-Council Member Ward 3 (vote for 1)</v>
      </c>
      <c r="B2930" s="317" t="str">
        <f t="shared" si="741"/>
        <v>MN_Henne_2021g</v>
      </c>
      <c r="C2930" s="317" t="str">
        <f t="shared" si="742"/>
        <v/>
      </c>
      <c r="D2930" t="s">
        <v>6809</v>
      </c>
      <c r="E2930" t="s">
        <v>6810</v>
      </c>
      <c r="F2930" t="s">
        <v>6541</v>
      </c>
      <c r="G2930" s="318">
        <v>581</v>
      </c>
      <c r="O2930">
        <f t="shared" si="732"/>
        <v>1</v>
      </c>
      <c r="P2930" s="57">
        <f t="shared" si="733"/>
        <v>1</v>
      </c>
      <c r="Q2930" s="267">
        <f t="shared" si="734"/>
        <v>1344</v>
      </c>
      <c r="R2930" s="23">
        <f t="shared" si="735"/>
        <v>581</v>
      </c>
      <c r="S2930" s="23">
        <f t="shared" si="736"/>
        <v>502</v>
      </c>
      <c r="T2930" s="23">
        <f t="shared" si="737"/>
        <v>79</v>
      </c>
      <c r="U2930" t="str">
        <f t="shared" si="738"/>
        <v>MN_Henne_2021g~St Louis Park-Council Member Ward 3 (vote for 1)</v>
      </c>
      <c r="AF2930" s="22" t="str">
        <f t="shared" si="731"/>
        <v/>
      </c>
      <c r="AG2930" s="89"/>
      <c r="AH2930" s="274"/>
      <c r="AI2930" s="279"/>
      <c r="AJ2930" s="280"/>
      <c r="AK2930" s="92"/>
      <c r="AL2930" s="23"/>
      <c r="AU2930" s="1"/>
    </row>
    <row r="2931" spans="1:47">
      <c r="A2931" s="23" t="str">
        <f t="shared" si="740"/>
        <v>MN_Henne_2021g~St Louis Park-Council Member Ward 3 (vote for 1)</v>
      </c>
      <c r="B2931" s="317" t="str">
        <f t="shared" si="741"/>
        <v>MN_Henne_2021g</v>
      </c>
      <c r="C2931" s="317" t="str">
        <f t="shared" si="742"/>
        <v/>
      </c>
      <c r="D2931" t="s">
        <v>6809</v>
      </c>
      <c r="E2931" t="s">
        <v>6811</v>
      </c>
      <c r="F2931" t="s">
        <v>6541</v>
      </c>
      <c r="G2931" s="318">
        <v>502</v>
      </c>
      <c r="O2931">
        <f t="shared" si="732"/>
        <v>2</v>
      </c>
      <c r="P2931" s="57">
        <f t="shared" si="733"/>
        <v>1</v>
      </c>
      <c r="Q2931" s="267">
        <f t="shared" si="734"/>
        <v>763</v>
      </c>
      <c r="R2931" s="23" t="str">
        <f t="shared" si="735"/>
        <v/>
      </c>
      <c r="S2931" s="23">
        <f t="shared" si="736"/>
        <v>502</v>
      </c>
      <c r="T2931" s="23" t="str">
        <f t="shared" si="737"/>
        <v/>
      </c>
      <c r="U2931" t="str">
        <f t="shared" si="738"/>
        <v/>
      </c>
      <c r="AF2931" s="22" t="str">
        <f t="shared" si="731"/>
        <v/>
      </c>
      <c r="AG2931" s="89"/>
      <c r="AH2931" s="274"/>
      <c r="AI2931" s="279"/>
      <c r="AJ2931" s="280"/>
      <c r="AK2931" s="92"/>
      <c r="AL2931" s="23"/>
      <c r="AU2931" s="1"/>
    </row>
    <row r="2932" spans="1:47">
      <c r="A2932" s="23" t="str">
        <f t="shared" si="740"/>
        <v>MN_Henne_2021g~St Louis Park-Council Member Ward 3 (vote for 1)</v>
      </c>
      <c r="B2932" s="317" t="str">
        <f t="shared" si="741"/>
        <v>MN_Henne_2021g</v>
      </c>
      <c r="C2932" s="317" t="str">
        <f t="shared" si="742"/>
        <v/>
      </c>
      <c r="D2932" t="s">
        <v>6809</v>
      </c>
      <c r="E2932" t="s">
        <v>6812</v>
      </c>
      <c r="F2932" t="s">
        <v>6541</v>
      </c>
      <c r="G2932" s="318">
        <v>255</v>
      </c>
      <c r="O2932">
        <f t="shared" si="732"/>
        <v>3</v>
      </c>
      <c r="P2932" s="57">
        <f t="shared" si="733"/>
        <v>1</v>
      </c>
      <c r="Q2932" s="267">
        <f t="shared" si="734"/>
        <v>261</v>
      </c>
      <c r="R2932" s="23" t="str">
        <f t="shared" si="735"/>
        <v/>
      </c>
      <c r="S2932" s="23">
        <f t="shared" si="736"/>
        <v>255</v>
      </c>
      <c r="T2932" s="23" t="str">
        <f t="shared" si="737"/>
        <v/>
      </c>
      <c r="U2932" t="str">
        <f t="shared" si="738"/>
        <v/>
      </c>
      <c r="AF2932" s="22" t="str">
        <f t="shared" si="731"/>
        <v/>
      </c>
      <c r="AG2932" s="89"/>
      <c r="AH2932" s="274"/>
      <c r="AI2932" s="279"/>
      <c r="AJ2932" s="280"/>
      <c r="AK2932" s="92"/>
      <c r="AL2932" s="23"/>
      <c r="AU2932" s="1"/>
    </row>
    <row r="2933" spans="1:47">
      <c r="A2933" s="23" t="str">
        <f t="shared" si="740"/>
        <v>MN_Henne_2021g~St Louis Park-Council Member Ward 3 (vote for 1)</v>
      </c>
      <c r="B2933" s="317" t="str">
        <f t="shared" si="741"/>
        <v>MN_Henne_2021g</v>
      </c>
      <c r="C2933" s="317" t="str">
        <f t="shared" si="742"/>
        <v/>
      </c>
      <c r="D2933" t="s">
        <v>6809</v>
      </c>
      <c r="E2933" t="s">
        <v>15</v>
      </c>
      <c r="F2933" t="s">
        <v>6544</v>
      </c>
      <c r="G2933" s="318">
        <v>6</v>
      </c>
      <c r="O2933">
        <f t="shared" si="732"/>
        <v>-3</v>
      </c>
      <c r="P2933" s="57">
        <f t="shared" si="733"/>
        <v>1</v>
      </c>
      <c r="Q2933" s="267">
        <f t="shared" si="734"/>
        <v>6</v>
      </c>
      <c r="R2933" s="23">
        <f t="shared" si="735"/>
        <v>1</v>
      </c>
      <c r="S2933" s="23">
        <f t="shared" si="736"/>
        <v>0</v>
      </c>
      <c r="T2933" s="23" t="str">
        <f t="shared" si="737"/>
        <v/>
      </c>
      <c r="U2933" t="str">
        <f t="shared" si="738"/>
        <v/>
      </c>
      <c r="AF2933" s="22" t="str">
        <f t="shared" si="731"/>
        <v/>
      </c>
      <c r="AG2933" s="89"/>
      <c r="AH2933" s="274"/>
      <c r="AI2933" s="279"/>
      <c r="AJ2933" s="280"/>
      <c r="AK2933" s="92"/>
      <c r="AL2933" s="23"/>
      <c r="AU2933" s="1"/>
    </row>
    <row r="2934" spans="1:47">
      <c r="A2934" s="23" t="str">
        <f t="shared" si="740"/>
        <v>MN_Henne_2021g~St Louis Park-Council Member Ward 4 (vote for 1)</v>
      </c>
      <c r="B2934" s="317" t="str">
        <f t="shared" si="741"/>
        <v>MN_Henne_2021g</v>
      </c>
      <c r="C2934" s="317" t="str">
        <f t="shared" si="742"/>
        <v/>
      </c>
      <c r="D2934" t="s">
        <v>6813</v>
      </c>
      <c r="E2934" t="s">
        <v>6814</v>
      </c>
      <c r="F2934" t="s">
        <v>6541</v>
      </c>
      <c r="G2934" s="318">
        <v>667</v>
      </c>
      <c r="O2934">
        <f t="shared" si="732"/>
        <v>1</v>
      </c>
      <c r="P2934" s="57">
        <f t="shared" si="733"/>
        <v>1</v>
      </c>
      <c r="Q2934" s="267">
        <f t="shared" si="734"/>
        <v>699</v>
      </c>
      <c r="R2934" s="23">
        <f t="shared" si="735"/>
        <v>667</v>
      </c>
      <c r="S2934" s="23">
        <f t="shared" si="736"/>
        <v>0</v>
      </c>
      <c r="T2934" s="23" t="str">
        <f t="shared" si="737"/>
        <v/>
      </c>
      <c r="U2934" t="str">
        <f t="shared" si="738"/>
        <v>MN_Henne_2021g~St Louis Park-Council Member Ward 4 (vote for 1)</v>
      </c>
      <c r="AF2934" s="22" t="str">
        <f t="shared" ref="AF2934:AF2997" si="743">LEFT(AL2663,14)</f>
        <v/>
      </c>
      <c r="AG2934" s="89"/>
      <c r="AH2934" s="274"/>
      <c r="AI2934" s="279"/>
      <c r="AJ2934" s="280"/>
      <c r="AK2934" s="92"/>
      <c r="AL2934" s="23"/>
      <c r="AU2934" s="1"/>
    </row>
    <row r="2935" spans="1:47">
      <c r="A2935" s="23" t="str">
        <f t="shared" si="740"/>
        <v>MN_Henne_2021g~St Louis Park-Council Member Ward 4 (vote for 1)</v>
      </c>
      <c r="B2935" s="317" t="str">
        <f t="shared" si="741"/>
        <v>MN_Henne_2021g</v>
      </c>
      <c r="C2935" s="317" t="str">
        <f t="shared" si="742"/>
        <v/>
      </c>
      <c r="D2935" t="s">
        <v>6813</v>
      </c>
      <c r="E2935" t="s">
        <v>15</v>
      </c>
      <c r="F2935" t="s">
        <v>6544</v>
      </c>
      <c r="G2935" s="318">
        <v>32</v>
      </c>
      <c r="O2935">
        <f t="shared" si="732"/>
        <v>-1</v>
      </c>
      <c r="P2935" s="57">
        <f t="shared" si="733"/>
        <v>1</v>
      </c>
      <c r="Q2935" s="267">
        <f t="shared" si="734"/>
        <v>32</v>
      </c>
      <c r="R2935" s="23">
        <f t="shared" si="735"/>
        <v>1</v>
      </c>
      <c r="S2935" s="23">
        <f t="shared" si="736"/>
        <v>0</v>
      </c>
      <c r="T2935" s="23" t="str">
        <f t="shared" si="737"/>
        <v/>
      </c>
      <c r="U2935" t="str">
        <f t="shared" si="738"/>
        <v/>
      </c>
      <c r="AF2935" s="22" t="str">
        <f t="shared" si="743"/>
        <v/>
      </c>
      <c r="AG2935" s="89"/>
      <c r="AH2935" s="274"/>
      <c r="AI2935" s="279"/>
      <c r="AJ2935" s="280"/>
      <c r="AK2935" s="92"/>
      <c r="AL2935" s="23"/>
      <c r="AU2935" s="1"/>
    </row>
    <row r="2936" spans="1:47">
      <c r="A2936" t="str">
        <f t="shared" ref="A2936:A2999" si="744">CONCATENATE(B2936,"~Gen-",LOWER(D2936))</f>
        <v>PA_Alleg_2019g~Gen-auditor bellevue (vote for 1)</v>
      </c>
      <c r="B2936" s="55" t="s">
        <v>1528</v>
      </c>
      <c r="C2936">
        <v>516</v>
      </c>
      <c r="D2936" s="55" t="s">
        <v>502</v>
      </c>
      <c r="E2936" s="55" t="s">
        <v>503</v>
      </c>
      <c r="F2936" t="s">
        <v>1294</v>
      </c>
      <c r="G2936" s="62">
        <f>925+889</f>
        <v>1814</v>
      </c>
      <c r="H2936">
        <v>57.99</v>
      </c>
      <c r="I2936">
        <v>6273</v>
      </c>
      <c r="J2936">
        <v>0</v>
      </c>
      <c r="K2936">
        <v>6</v>
      </c>
      <c r="L2936">
        <v>6</v>
      </c>
      <c r="M2936">
        <v>0</v>
      </c>
      <c r="N2936" s="23">
        <v>0</v>
      </c>
      <c r="O2936">
        <f t="shared" si="732"/>
        <v>1</v>
      </c>
      <c r="P2936" s="57">
        <f t="shared" si="733"/>
        <v>1</v>
      </c>
      <c r="Q2936" s="267">
        <f t="shared" si="734"/>
        <v>4361</v>
      </c>
      <c r="R2936" s="23">
        <f t="shared" si="735"/>
        <v>1814</v>
      </c>
      <c r="S2936" s="23">
        <f t="shared" si="736"/>
        <v>1263</v>
      </c>
      <c r="T2936" s="23">
        <f t="shared" si="737"/>
        <v>551</v>
      </c>
      <c r="U2936" t="str">
        <f t="shared" si="738"/>
        <v>PA_Alleg_2019g~Gen-auditor bellevue (vote for 1)</v>
      </c>
      <c r="AF2936" s="22" t="str">
        <f t="shared" si="743"/>
        <v/>
      </c>
      <c r="AG2936" s="89"/>
      <c r="AH2936" s="274"/>
      <c r="AI2936" s="279"/>
      <c r="AJ2936" s="280"/>
      <c r="AK2936" s="92"/>
      <c r="AL2936" s="23"/>
      <c r="AU2936" s="1"/>
    </row>
    <row r="2937" spans="1:47">
      <c r="A2937" t="str">
        <f t="shared" si="744"/>
        <v>PA_Alleg_2019g~Gen-auditor bellevue (vote for 1)</v>
      </c>
      <c r="B2937" s="55" t="s">
        <v>1528</v>
      </c>
      <c r="C2937">
        <v>507</v>
      </c>
      <c r="D2937" s="55" t="s">
        <v>502</v>
      </c>
      <c r="E2937" s="55" t="s">
        <v>524</v>
      </c>
      <c r="F2937" t="s">
        <v>1294</v>
      </c>
      <c r="G2937" s="62">
        <v>1263</v>
      </c>
      <c r="H2937">
        <v>97.98</v>
      </c>
      <c r="I2937">
        <v>6273</v>
      </c>
      <c r="J2937">
        <v>0</v>
      </c>
      <c r="K2937">
        <v>6</v>
      </c>
      <c r="L2937">
        <v>6</v>
      </c>
      <c r="M2937">
        <v>0</v>
      </c>
      <c r="N2937" s="23">
        <v>0</v>
      </c>
      <c r="O2937">
        <f t="shared" si="732"/>
        <v>2</v>
      </c>
      <c r="P2937" s="57">
        <f t="shared" si="733"/>
        <v>1</v>
      </c>
      <c r="Q2937" s="267">
        <f t="shared" si="734"/>
        <v>2547</v>
      </c>
      <c r="R2937" s="23" t="str">
        <f t="shared" si="735"/>
        <v/>
      </c>
      <c r="S2937" s="23">
        <f t="shared" si="736"/>
        <v>1263</v>
      </c>
      <c r="T2937" s="23" t="str">
        <f t="shared" si="737"/>
        <v/>
      </c>
      <c r="U2937" t="str">
        <f t="shared" si="738"/>
        <v/>
      </c>
      <c r="AF2937" s="22" t="str">
        <f t="shared" si="743"/>
        <v/>
      </c>
      <c r="AG2937" s="89"/>
      <c r="AH2937" s="274"/>
      <c r="AI2937" s="279"/>
      <c r="AJ2937" s="280"/>
      <c r="AK2937" s="92"/>
      <c r="AL2937" s="23"/>
      <c r="AU2937" s="1"/>
    </row>
    <row r="2938" spans="1:47">
      <c r="A2938" t="str">
        <f t="shared" si="744"/>
        <v>PA_Alleg_2019g~Gen-auditor bellevue (vote for 1)</v>
      </c>
      <c r="B2938" s="55" t="s">
        <v>1528</v>
      </c>
      <c r="C2938">
        <v>517</v>
      </c>
      <c r="D2938" s="55" t="s">
        <v>502</v>
      </c>
      <c r="E2938" s="55" t="s">
        <v>1134</v>
      </c>
      <c r="F2938" t="s">
        <v>1296</v>
      </c>
      <c r="G2938" s="62">
        <v>637</v>
      </c>
      <c r="H2938">
        <v>41.55</v>
      </c>
      <c r="I2938">
        <v>6273</v>
      </c>
      <c r="J2938">
        <v>0</v>
      </c>
      <c r="K2938">
        <v>6</v>
      </c>
      <c r="L2938">
        <v>6</v>
      </c>
      <c r="M2938">
        <v>0</v>
      </c>
      <c r="N2938" s="23">
        <v>0</v>
      </c>
      <c r="O2938">
        <f t="shared" si="732"/>
        <v>3</v>
      </c>
      <c r="P2938" s="57">
        <f t="shared" si="733"/>
        <v>1</v>
      </c>
      <c r="Q2938" s="267">
        <f t="shared" si="734"/>
        <v>1284</v>
      </c>
      <c r="R2938" s="23" t="str">
        <f t="shared" si="735"/>
        <v/>
      </c>
      <c r="S2938" s="23">
        <f t="shared" si="736"/>
        <v>637</v>
      </c>
      <c r="T2938" s="23" t="str">
        <f t="shared" si="737"/>
        <v/>
      </c>
      <c r="U2938" t="str">
        <f t="shared" si="738"/>
        <v/>
      </c>
      <c r="AF2938" s="22" t="str">
        <f t="shared" si="743"/>
        <v/>
      </c>
      <c r="AG2938" s="89"/>
      <c r="AH2938" s="274"/>
      <c r="AI2938" s="279"/>
      <c r="AJ2938" s="280"/>
      <c r="AK2938" s="92"/>
      <c r="AL2938" s="23"/>
      <c r="AU2938" s="1"/>
    </row>
    <row r="2939" spans="1:47">
      <c r="A2939" t="str">
        <f t="shared" si="744"/>
        <v>PA_Alleg_2019g~Gen-auditor bellevue (vote for 1)</v>
      </c>
      <c r="B2939" s="55" t="s">
        <v>1528</v>
      </c>
      <c r="C2939">
        <v>483</v>
      </c>
      <c r="D2939" s="55" t="s">
        <v>502</v>
      </c>
      <c r="E2939" s="55" t="s">
        <v>1132</v>
      </c>
      <c r="F2939" t="s">
        <v>1296</v>
      </c>
      <c r="G2939" s="62">
        <v>607</v>
      </c>
      <c r="H2939">
        <v>39.44</v>
      </c>
      <c r="I2939">
        <v>6273</v>
      </c>
      <c r="J2939">
        <v>0</v>
      </c>
      <c r="K2939">
        <v>6</v>
      </c>
      <c r="L2939">
        <v>6</v>
      </c>
      <c r="M2939">
        <v>0</v>
      </c>
      <c r="N2939" s="23">
        <v>0</v>
      </c>
      <c r="O2939">
        <f t="shared" si="732"/>
        <v>4</v>
      </c>
      <c r="P2939" s="57">
        <f t="shared" si="733"/>
        <v>1</v>
      </c>
      <c r="Q2939" s="267">
        <f t="shared" si="734"/>
        <v>647</v>
      </c>
      <c r="R2939" s="23" t="str">
        <f t="shared" si="735"/>
        <v/>
      </c>
      <c r="S2939" s="23">
        <f t="shared" si="736"/>
        <v>607</v>
      </c>
      <c r="T2939" s="23" t="str">
        <f t="shared" si="737"/>
        <v/>
      </c>
      <c r="U2939" t="str">
        <f t="shared" si="738"/>
        <v/>
      </c>
      <c r="AF2939" s="22" t="str">
        <f t="shared" si="743"/>
        <v/>
      </c>
      <c r="AG2939" s="89"/>
      <c r="AH2939" s="274"/>
      <c r="AI2939" s="279"/>
      <c r="AJ2939" s="280"/>
      <c r="AK2939" s="92"/>
      <c r="AL2939" s="23"/>
      <c r="AU2939" s="1"/>
    </row>
    <row r="2940" spans="1:47">
      <c r="A2940" t="str">
        <f t="shared" si="744"/>
        <v>PA_Alleg_2019g~Gen-auditor bellevue (vote for 1)</v>
      </c>
      <c r="B2940" s="55" t="s">
        <v>1528</v>
      </c>
      <c r="C2940">
        <v>508</v>
      </c>
      <c r="D2940" s="55" t="s">
        <v>502</v>
      </c>
      <c r="E2940" s="55" t="s">
        <v>15</v>
      </c>
      <c r="G2940" s="62">
        <v>26</v>
      </c>
      <c r="H2940">
        <v>2.02</v>
      </c>
      <c r="I2940">
        <v>6273</v>
      </c>
      <c r="J2940">
        <v>0</v>
      </c>
      <c r="K2940">
        <v>6</v>
      </c>
      <c r="L2940">
        <v>6</v>
      </c>
      <c r="M2940">
        <v>0</v>
      </c>
      <c r="N2940" s="23">
        <v>0</v>
      </c>
      <c r="O2940">
        <f t="shared" si="732"/>
        <v>-4</v>
      </c>
      <c r="P2940" s="57">
        <f t="shared" si="733"/>
        <v>1</v>
      </c>
      <c r="Q2940" s="267">
        <f t="shared" si="734"/>
        <v>40</v>
      </c>
      <c r="R2940" s="23" t="str">
        <f t="shared" si="735"/>
        <v/>
      </c>
      <c r="S2940" s="23">
        <f t="shared" si="736"/>
        <v>0</v>
      </c>
      <c r="T2940" s="23" t="str">
        <f t="shared" si="737"/>
        <v/>
      </c>
      <c r="U2940" t="str">
        <f t="shared" si="738"/>
        <v/>
      </c>
      <c r="AF2940" s="22" t="str">
        <f t="shared" si="743"/>
        <v/>
      </c>
      <c r="AG2940" s="89"/>
      <c r="AH2940" s="274"/>
      <c r="AI2940" s="279"/>
      <c r="AJ2940" s="280"/>
      <c r="AK2940" s="92"/>
      <c r="AL2940" s="23"/>
      <c r="AU2940" s="1"/>
    </row>
    <row r="2941" spans="1:47">
      <c r="A2941" t="str">
        <f t="shared" si="744"/>
        <v>PA_Alleg_2019g~Gen-auditor bellevue (vote for 1)</v>
      </c>
      <c r="B2941" s="55" t="s">
        <v>1528</v>
      </c>
      <c r="C2941">
        <v>484</v>
      </c>
      <c r="D2941" s="55" t="s">
        <v>502</v>
      </c>
      <c r="E2941" s="55" t="s">
        <v>15</v>
      </c>
      <c r="G2941" s="62">
        <v>7</v>
      </c>
      <c r="H2941">
        <v>0.45</v>
      </c>
      <c r="I2941">
        <v>6273</v>
      </c>
      <c r="J2941">
        <v>0</v>
      </c>
      <c r="K2941">
        <v>6</v>
      </c>
      <c r="L2941">
        <v>6</v>
      </c>
      <c r="M2941">
        <v>0</v>
      </c>
      <c r="N2941" s="23">
        <v>0</v>
      </c>
      <c r="O2941">
        <f t="shared" si="732"/>
        <v>-4</v>
      </c>
      <c r="P2941" s="57">
        <f t="shared" si="733"/>
        <v>1</v>
      </c>
      <c r="Q2941" s="267">
        <f t="shared" si="734"/>
        <v>14</v>
      </c>
      <c r="R2941" s="23" t="str">
        <f t="shared" si="735"/>
        <v/>
      </c>
      <c r="S2941" s="23">
        <f t="shared" si="736"/>
        <v>0</v>
      </c>
      <c r="T2941" s="23" t="str">
        <f t="shared" si="737"/>
        <v/>
      </c>
      <c r="U2941" t="str">
        <f t="shared" si="738"/>
        <v/>
      </c>
      <c r="AF2941" s="22" t="str">
        <f t="shared" si="743"/>
        <v/>
      </c>
      <c r="AG2941" s="89"/>
      <c r="AH2941" s="274"/>
      <c r="AI2941" s="279"/>
      <c r="AJ2941" s="280"/>
      <c r="AK2941" s="92"/>
      <c r="AL2941" s="23"/>
      <c r="AU2941" s="1"/>
    </row>
    <row r="2942" spans="1:47">
      <c r="A2942" t="str">
        <f t="shared" si="744"/>
        <v>PA_Alleg_2019g~Gen-auditor bellevue (vote for 1)</v>
      </c>
      <c r="B2942" s="55" t="s">
        <v>1528</v>
      </c>
      <c r="C2942">
        <v>518</v>
      </c>
      <c r="D2942" s="55" t="s">
        <v>502</v>
      </c>
      <c r="E2942" s="55" t="s">
        <v>15</v>
      </c>
      <c r="G2942" s="62">
        <v>7</v>
      </c>
      <c r="H2942">
        <v>0.46</v>
      </c>
      <c r="I2942">
        <v>6273</v>
      </c>
      <c r="J2942">
        <v>0</v>
      </c>
      <c r="K2942">
        <v>6</v>
      </c>
      <c r="L2942">
        <v>6</v>
      </c>
      <c r="M2942">
        <v>0</v>
      </c>
      <c r="N2942" s="23">
        <v>0</v>
      </c>
      <c r="O2942">
        <f t="shared" si="732"/>
        <v>-4</v>
      </c>
      <c r="P2942" s="57">
        <f t="shared" si="733"/>
        <v>1</v>
      </c>
      <c r="Q2942" s="267">
        <f t="shared" si="734"/>
        <v>7</v>
      </c>
      <c r="R2942" s="23" t="str">
        <f t="shared" si="735"/>
        <v/>
      </c>
      <c r="S2942" s="23">
        <f t="shared" si="736"/>
        <v>0</v>
      </c>
      <c r="T2942" s="23" t="str">
        <f t="shared" si="737"/>
        <v/>
      </c>
      <c r="U2942" t="str">
        <f t="shared" si="738"/>
        <v/>
      </c>
      <c r="AF2942" s="22" t="str">
        <f t="shared" si="743"/>
        <v/>
      </c>
      <c r="AG2942" s="89"/>
      <c r="AH2942" s="274"/>
      <c r="AI2942" s="279"/>
      <c r="AJ2942" s="280"/>
      <c r="AK2942" s="92"/>
      <c r="AL2942" s="23"/>
      <c r="AU2942" s="1"/>
    </row>
    <row r="2943" spans="1:47">
      <c r="A2943" t="str">
        <f t="shared" si="744"/>
        <v>PA_Alleg_2019g~Gen-auditor bellevue (vote for 1)</v>
      </c>
      <c r="B2943" s="55" t="s">
        <v>1528</v>
      </c>
      <c r="C2943">
        <v>482</v>
      </c>
      <c r="D2943" s="55" t="s">
        <v>502</v>
      </c>
      <c r="E2943" s="55" t="s">
        <v>503</v>
      </c>
      <c r="F2943" t="s">
        <v>1294</v>
      </c>
      <c r="G2943" s="62">
        <v>0</v>
      </c>
      <c r="H2943">
        <v>60.1</v>
      </c>
      <c r="I2943">
        <v>6273</v>
      </c>
      <c r="J2943">
        <v>0</v>
      </c>
      <c r="K2943">
        <v>6</v>
      </c>
      <c r="L2943">
        <v>6</v>
      </c>
      <c r="M2943">
        <v>0</v>
      </c>
      <c r="N2943" s="23">
        <v>0</v>
      </c>
      <c r="O2943">
        <f t="shared" si="732"/>
        <v>5</v>
      </c>
      <c r="P2943" s="57">
        <f t="shared" si="733"/>
        <v>1</v>
      </c>
      <c r="Q2943" s="267">
        <f t="shared" si="734"/>
        <v>0</v>
      </c>
      <c r="R2943" s="23" t="str">
        <f t="shared" si="735"/>
        <v/>
      </c>
      <c r="S2943" s="23">
        <f t="shared" si="736"/>
        <v>0</v>
      </c>
      <c r="T2943" s="23" t="str">
        <f t="shared" si="737"/>
        <v/>
      </c>
      <c r="U2943" t="str">
        <f t="shared" si="738"/>
        <v/>
      </c>
      <c r="AF2943" s="22" t="str">
        <f t="shared" si="743"/>
        <v/>
      </c>
      <c r="AG2943" s="89"/>
      <c r="AH2943" s="274"/>
      <c r="AI2943" s="279"/>
      <c r="AJ2943" s="280"/>
      <c r="AK2943" s="92"/>
      <c r="AL2943" s="23"/>
      <c r="AU2943" s="1"/>
    </row>
    <row r="2944" spans="1:47">
      <c r="A2944" t="str">
        <f t="shared" si="744"/>
        <v>PA_Alleg_2019g~Gen-auditor east deer (vote for 1)</v>
      </c>
      <c r="B2944" s="55" t="s">
        <v>1528</v>
      </c>
      <c r="C2944">
        <v>485</v>
      </c>
      <c r="D2944" s="55" t="s">
        <v>504</v>
      </c>
      <c r="E2944" s="55" t="s">
        <v>505</v>
      </c>
      <c r="F2944" t="s">
        <v>1294</v>
      </c>
      <c r="G2944" s="62">
        <v>157</v>
      </c>
      <c r="H2944">
        <v>100</v>
      </c>
      <c r="I2944">
        <v>896</v>
      </c>
      <c r="J2944">
        <v>0</v>
      </c>
      <c r="K2944">
        <v>2</v>
      </c>
      <c r="L2944">
        <v>2</v>
      </c>
      <c r="M2944">
        <v>0</v>
      </c>
      <c r="N2944" s="23">
        <v>0</v>
      </c>
      <c r="O2944">
        <f t="shared" si="732"/>
        <v>1</v>
      </c>
      <c r="P2944" s="57">
        <f t="shared" si="733"/>
        <v>1</v>
      </c>
      <c r="Q2944" s="267">
        <f t="shared" si="734"/>
        <v>157</v>
      </c>
      <c r="R2944" s="23">
        <f t="shared" si="735"/>
        <v>157</v>
      </c>
      <c r="S2944" s="23">
        <f t="shared" si="736"/>
        <v>0</v>
      </c>
      <c r="T2944" s="23" t="str">
        <f t="shared" si="737"/>
        <v/>
      </c>
      <c r="U2944" t="str">
        <f t="shared" si="738"/>
        <v>PA_Alleg_2019g~Gen-auditor east deer (vote for 1)</v>
      </c>
      <c r="AF2944" s="22" t="str">
        <f t="shared" si="743"/>
        <v/>
      </c>
      <c r="AG2944" s="89"/>
      <c r="AH2944" s="274"/>
      <c r="AI2944" s="279"/>
      <c r="AJ2944" s="280"/>
      <c r="AK2944" s="92"/>
      <c r="AL2944" s="23"/>
      <c r="AU2944" s="1"/>
    </row>
    <row r="2945" spans="1:47">
      <c r="A2945" t="str">
        <f t="shared" si="744"/>
        <v>PA_Alleg_2019g~Gen-auditor east deer (vote for 1)</v>
      </c>
      <c r="B2945" s="55" t="s">
        <v>1528</v>
      </c>
      <c r="C2945">
        <v>486</v>
      </c>
      <c r="D2945" s="55" t="s">
        <v>504</v>
      </c>
      <c r="E2945" s="55" t="s">
        <v>15</v>
      </c>
      <c r="G2945" s="62">
        <v>0</v>
      </c>
      <c r="H2945">
        <v>0</v>
      </c>
      <c r="I2945">
        <v>896</v>
      </c>
      <c r="J2945">
        <v>0</v>
      </c>
      <c r="K2945">
        <v>2</v>
      </c>
      <c r="L2945">
        <v>2</v>
      </c>
      <c r="M2945">
        <v>0</v>
      </c>
      <c r="N2945" s="23">
        <v>0</v>
      </c>
      <c r="O2945">
        <f t="shared" si="732"/>
        <v>-1</v>
      </c>
      <c r="P2945" s="57">
        <f t="shared" si="733"/>
        <v>1</v>
      </c>
      <c r="Q2945" s="267">
        <f t="shared" si="734"/>
        <v>0</v>
      </c>
      <c r="R2945" s="23">
        <f t="shared" si="735"/>
        <v>1</v>
      </c>
      <c r="S2945" s="23">
        <f t="shared" si="736"/>
        <v>0</v>
      </c>
      <c r="T2945" s="23" t="str">
        <f t="shared" si="737"/>
        <v/>
      </c>
      <c r="U2945" t="str">
        <f t="shared" si="738"/>
        <v/>
      </c>
      <c r="AF2945" s="22" t="str">
        <f t="shared" si="743"/>
        <v/>
      </c>
      <c r="AG2945" s="89"/>
      <c r="AH2945" s="274"/>
      <c r="AI2945" s="279"/>
      <c r="AJ2945" s="280"/>
      <c r="AK2945" s="92"/>
      <c r="AL2945" s="23"/>
      <c r="AU2945" s="1"/>
    </row>
    <row r="2946" spans="1:47">
      <c r="A2946" t="str">
        <f t="shared" si="744"/>
        <v>PA_Alleg_2019g~Gen-auditor fawn (vote for 1)</v>
      </c>
      <c r="B2946" s="55" t="s">
        <v>1528</v>
      </c>
      <c r="C2946">
        <v>487</v>
      </c>
      <c r="D2946" s="55" t="s">
        <v>506</v>
      </c>
      <c r="E2946" s="55" t="s">
        <v>15</v>
      </c>
      <c r="G2946" s="62">
        <v>14</v>
      </c>
      <c r="H2946">
        <v>100</v>
      </c>
      <c r="I2946">
        <v>1489</v>
      </c>
      <c r="J2946">
        <v>0</v>
      </c>
      <c r="K2946">
        <v>2</v>
      </c>
      <c r="L2946">
        <v>2</v>
      </c>
      <c r="M2946">
        <v>0</v>
      </c>
      <c r="N2946" s="23">
        <v>0</v>
      </c>
      <c r="O2946">
        <f t="shared" ref="O2946:O3009" si="745">IF(OR(LOWER(LEFT(E2946,8))="write-in",LOWER(LEFT(E2946,8))="not qual"),IF(A2946=A2945,-ABS(O2945),0),IF(A2946=A2945,ABS(O2945)+1,1))</f>
        <v>0</v>
      </c>
      <c r="P2946" s="57">
        <f t="shared" ref="P2946:P3009" si="746">1*LEFT(RIGHT(A2946,2),1)</f>
        <v>1</v>
      </c>
      <c r="Q2946" s="267">
        <f t="shared" ref="Q2946:Q3009" si="747">IF(A2946&lt;&gt;A2947,G2946,IF(A2946=A2945,G2946+Q2947,MAX(G2946,(G2946+Q2947)/P2946)))</f>
        <v>32</v>
      </c>
      <c r="R2946" s="23">
        <f t="shared" ref="R2946:R3009" si="748">IF(O2946&gt;P2946,"",IF(O2946=P2946,G2946,IF(A2946=A2947,R2947,IF(O2946&lt;=0,1,G2946))))</f>
        <v>1</v>
      </c>
      <c r="S2946" s="23">
        <f t="shared" ref="S2946:S3009" si="749">IF(AND(O2946&gt;P2946,LOWER(LEFT(E2946,8))&lt;&gt;"write-in",LOWER(LEFT(E2946,8))&lt;&gt;"not qual"),G2946,IF(A2946=A2947,S2947,0))</f>
        <v>0</v>
      </c>
      <c r="T2946" s="23" t="str">
        <f t="shared" ref="T2946:T3009" si="750">IF(OR(A2946=A2945,S2946=0),"",R2946-ABS(S2946))</f>
        <v/>
      </c>
      <c r="U2946" t="str">
        <f t="shared" ref="U2946:U3009" si="751">IF(A2946=A2945,"",A2946)</f>
        <v>PA_Alleg_2019g~Gen-auditor fawn (vote for 1)</v>
      </c>
      <c r="AF2946" s="22" t="str">
        <f t="shared" si="743"/>
        <v/>
      </c>
      <c r="AG2946" s="89"/>
      <c r="AH2946" s="274"/>
      <c r="AI2946" s="279"/>
      <c r="AJ2946" s="280"/>
      <c r="AK2946" s="92"/>
      <c r="AL2946" s="23"/>
      <c r="AU2946" s="1"/>
    </row>
    <row r="2947" spans="1:47">
      <c r="A2947" t="str">
        <f t="shared" si="744"/>
        <v>PA_Alleg_2019g~Gen-auditor fawn (vote for 1)</v>
      </c>
      <c r="B2947" s="55" t="s">
        <v>1528</v>
      </c>
      <c r="C2947">
        <v>509</v>
      </c>
      <c r="D2947" s="55" t="s">
        <v>506</v>
      </c>
      <c r="E2947" s="55" t="s">
        <v>15</v>
      </c>
      <c r="G2947" s="62">
        <v>10</v>
      </c>
      <c r="H2947">
        <v>100</v>
      </c>
      <c r="I2947">
        <v>1489</v>
      </c>
      <c r="J2947">
        <v>0</v>
      </c>
      <c r="K2947">
        <v>2</v>
      </c>
      <c r="L2947">
        <v>2</v>
      </c>
      <c r="M2947">
        <v>0</v>
      </c>
      <c r="N2947" s="23">
        <v>0</v>
      </c>
      <c r="O2947">
        <f t="shared" si="745"/>
        <v>0</v>
      </c>
      <c r="P2947" s="57">
        <f t="shared" si="746"/>
        <v>1</v>
      </c>
      <c r="Q2947" s="267">
        <f t="shared" si="747"/>
        <v>18</v>
      </c>
      <c r="R2947" s="23">
        <f t="shared" si="748"/>
        <v>1</v>
      </c>
      <c r="S2947" s="23">
        <f t="shared" si="749"/>
        <v>0</v>
      </c>
      <c r="T2947" s="23" t="str">
        <f t="shared" si="750"/>
        <v/>
      </c>
      <c r="U2947" t="str">
        <f t="shared" si="751"/>
        <v/>
      </c>
      <c r="AF2947" s="22" t="str">
        <f t="shared" si="743"/>
        <v/>
      </c>
      <c r="AG2947" s="89"/>
      <c r="AH2947" s="274"/>
      <c r="AI2947" s="279"/>
      <c r="AJ2947" s="280"/>
      <c r="AK2947" s="92"/>
      <c r="AL2947" s="23"/>
      <c r="AU2947" s="1"/>
    </row>
    <row r="2948" spans="1:47">
      <c r="A2948" t="str">
        <f t="shared" si="744"/>
        <v>PA_Alleg_2019g~Gen-auditor fawn (vote for 1)</v>
      </c>
      <c r="B2948" s="55" t="s">
        <v>1528</v>
      </c>
      <c r="C2948">
        <v>519</v>
      </c>
      <c r="D2948" s="55" t="s">
        <v>506</v>
      </c>
      <c r="E2948" s="55" t="s">
        <v>15</v>
      </c>
      <c r="G2948" s="62">
        <v>8</v>
      </c>
      <c r="H2948">
        <v>100</v>
      </c>
      <c r="I2948">
        <v>1489</v>
      </c>
      <c r="J2948">
        <v>0</v>
      </c>
      <c r="K2948">
        <v>2</v>
      </c>
      <c r="L2948">
        <v>2</v>
      </c>
      <c r="M2948">
        <v>0</v>
      </c>
      <c r="N2948" s="23">
        <v>0</v>
      </c>
      <c r="O2948">
        <f t="shared" si="745"/>
        <v>0</v>
      </c>
      <c r="P2948" s="57">
        <f t="shared" si="746"/>
        <v>1</v>
      </c>
      <c r="Q2948" s="267">
        <f t="shared" si="747"/>
        <v>8</v>
      </c>
      <c r="R2948" s="23">
        <f t="shared" si="748"/>
        <v>1</v>
      </c>
      <c r="S2948" s="23">
        <f t="shared" si="749"/>
        <v>0</v>
      </c>
      <c r="T2948" s="23" t="str">
        <f t="shared" si="750"/>
        <v/>
      </c>
      <c r="U2948" t="str">
        <f t="shared" si="751"/>
        <v/>
      </c>
      <c r="AF2948" s="22" t="str">
        <f t="shared" si="743"/>
        <v/>
      </c>
      <c r="AG2948" s="89"/>
      <c r="AH2948" s="274"/>
      <c r="AI2948" s="279"/>
      <c r="AJ2948" s="280"/>
      <c r="AK2948" s="92"/>
      <c r="AL2948" s="23"/>
      <c r="AU2948" s="1"/>
    </row>
    <row r="2949" spans="1:47">
      <c r="A2949" t="str">
        <f t="shared" si="744"/>
        <v>PA_Alleg_2019g~Gen-auditor findlay (vote for 1)</v>
      </c>
      <c r="B2949" s="55" t="s">
        <v>1528</v>
      </c>
      <c r="C2949">
        <v>520</v>
      </c>
      <c r="D2949" s="55" t="s">
        <v>507</v>
      </c>
      <c r="E2949" s="55" t="s">
        <v>15</v>
      </c>
      <c r="G2949" s="62">
        <v>41</v>
      </c>
      <c r="H2949">
        <v>100</v>
      </c>
      <c r="I2949">
        <v>4416</v>
      </c>
      <c r="J2949">
        <v>0</v>
      </c>
      <c r="K2949">
        <v>3</v>
      </c>
      <c r="L2949">
        <v>3</v>
      </c>
      <c r="M2949">
        <v>0</v>
      </c>
      <c r="N2949" s="23">
        <v>0</v>
      </c>
      <c r="O2949">
        <f t="shared" si="745"/>
        <v>0</v>
      </c>
      <c r="P2949" s="57">
        <f t="shared" si="746"/>
        <v>1</v>
      </c>
      <c r="Q2949" s="267">
        <f t="shared" si="747"/>
        <v>81</v>
      </c>
      <c r="R2949" s="23">
        <f t="shared" si="748"/>
        <v>1</v>
      </c>
      <c r="S2949" s="23">
        <f t="shared" si="749"/>
        <v>0</v>
      </c>
      <c r="T2949" s="23" t="str">
        <f t="shared" si="750"/>
        <v/>
      </c>
      <c r="U2949" t="str">
        <f t="shared" si="751"/>
        <v>PA_Alleg_2019g~Gen-auditor findlay (vote for 1)</v>
      </c>
      <c r="AF2949" s="22" t="str">
        <f t="shared" si="743"/>
        <v/>
      </c>
      <c r="AG2949" s="89"/>
      <c r="AH2949" s="274"/>
      <c r="AI2949" s="279"/>
      <c r="AJ2949" s="280"/>
      <c r="AK2949" s="92"/>
      <c r="AL2949" s="23"/>
      <c r="AU2949" s="1"/>
    </row>
    <row r="2950" spans="1:47">
      <c r="A2950" t="str">
        <f t="shared" si="744"/>
        <v>PA_Alleg_2019g~Gen-auditor findlay (vote for 1)</v>
      </c>
      <c r="B2950" s="55" t="s">
        <v>1528</v>
      </c>
      <c r="C2950">
        <v>488</v>
      </c>
      <c r="D2950" s="55" t="s">
        <v>507</v>
      </c>
      <c r="E2950" s="55" t="s">
        <v>15</v>
      </c>
      <c r="G2950" s="62">
        <v>40</v>
      </c>
      <c r="H2950">
        <v>100</v>
      </c>
      <c r="I2950">
        <v>4416</v>
      </c>
      <c r="J2950">
        <v>0</v>
      </c>
      <c r="K2950">
        <v>3</v>
      </c>
      <c r="L2950">
        <v>3</v>
      </c>
      <c r="M2950">
        <v>0</v>
      </c>
      <c r="N2950" s="23">
        <v>0</v>
      </c>
      <c r="O2950">
        <f t="shared" si="745"/>
        <v>0</v>
      </c>
      <c r="P2950" s="57">
        <f t="shared" si="746"/>
        <v>1</v>
      </c>
      <c r="Q2950" s="267">
        <f t="shared" si="747"/>
        <v>40</v>
      </c>
      <c r="R2950" s="23">
        <f t="shared" si="748"/>
        <v>1</v>
      </c>
      <c r="S2950" s="23">
        <f t="shared" si="749"/>
        <v>0</v>
      </c>
      <c r="T2950" s="23" t="str">
        <f t="shared" si="750"/>
        <v/>
      </c>
      <c r="U2950" t="str">
        <f t="shared" si="751"/>
        <v/>
      </c>
      <c r="AF2950" s="22" t="str">
        <f t="shared" si="743"/>
        <v/>
      </c>
      <c r="AG2950" s="89"/>
      <c r="AH2950" s="274"/>
      <c r="AI2950" s="279"/>
      <c r="AJ2950" s="280"/>
      <c r="AK2950" s="92"/>
      <c r="AL2950" s="23"/>
      <c r="AU2950" s="1"/>
    </row>
    <row r="2951" spans="1:47">
      <c r="A2951" t="str">
        <f t="shared" si="744"/>
        <v>PA_Alleg_2019g~Gen-auditor forward (vote for 1)</v>
      </c>
      <c r="B2951" s="55" t="s">
        <v>1528</v>
      </c>
      <c r="C2951">
        <v>489</v>
      </c>
      <c r="D2951" s="55" t="s">
        <v>508</v>
      </c>
      <c r="E2951" s="55" t="s">
        <v>15</v>
      </c>
      <c r="G2951" s="62">
        <v>3</v>
      </c>
      <c r="H2951">
        <v>100</v>
      </c>
      <c r="I2951">
        <v>2118</v>
      </c>
      <c r="J2951">
        <v>0</v>
      </c>
      <c r="K2951">
        <v>4</v>
      </c>
      <c r="L2951">
        <v>4</v>
      </c>
      <c r="M2951">
        <v>0</v>
      </c>
      <c r="N2951" s="23">
        <v>0</v>
      </c>
      <c r="O2951">
        <f t="shared" si="745"/>
        <v>0</v>
      </c>
      <c r="P2951" s="57">
        <f t="shared" si="746"/>
        <v>1</v>
      </c>
      <c r="Q2951" s="267">
        <f t="shared" si="747"/>
        <v>9</v>
      </c>
      <c r="R2951" s="23">
        <f t="shared" si="748"/>
        <v>1</v>
      </c>
      <c r="S2951" s="23">
        <f t="shared" si="749"/>
        <v>0</v>
      </c>
      <c r="T2951" s="23" t="str">
        <f t="shared" si="750"/>
        <v/>
      </c>
      <c r="U2951" t="str">
        <f t="shared" si="751"/>
        <v>PA_Alleg_2019g~Gen-auditor forward (vote for 1)</v>
      </c>
      <c r="AF2951" s="22" t="str">
        <f t="shared" si="743"/>
        <v/>
      </c>
      <c r="AG2951" s="89"/>
      <c r="AH2951" s="274"/>
      <c r="AI2951" s="279"/>
      <c r="AJ2951" s="280"/>
      <c r="AK2951" s="92"/>
      <c r="AL2951" s="23"/>
      <c r="AU2951" s="1"/>
    </row>
    <row r="2952" spans="1:47">
      <c r="A2952" t="str">
        <f t="shared" si="744"/>
        <v>PA_Alleg_2019g~Gen-auditor forward (vote for 1)</v>
      </c>
      <c r="B2952" s="55" t="s">
        <v>1528</v>
      </c>
      <c r="C2952">
        <v>510</v>
      </c>
      <c r="D2952" s="55" t="s">
        <v>508</v>
      </c>
      <c r="E2952" s="55" t="s">
        <v>15</v>
      </c>
      <c r="G2952" s="62">
        <v>3</v>
      </c>
      <c r="H2952">
        <v>100</v>
      </c>
      <c r="I2952">
        <v>2118</v>
      </c>
      <c r="J2952">
        <v>0</v>
      </c>
      <c r="K2952">
        <v>4</v>
      </c>
      <c r="L2952">
        <v>4</v>
      </c>
      <c r="M2952">
        <v>0</v>
      </c>
      <c r="N2952" s="23">
        <v>0</v>
      </c>
      <c r="O2952">
        <f t="shared" si="745"/>
        <v>0</v>
      </c>
      <c r="P2952" s="57">
        <f t="shared" si="746"/>
        <v>1</v>
      </c>
      <c r="Q2952" s="267">
        <f t="shared" si="747"/>
        <v>6</v>
      </c>
      <c r="R2952" s="23">
        <f t="shared" si="748"/>
        <v>1</v>
      </c>
      <c r="S2952" s="23">
        <f t="shared" si="749"/>
        <v>0</v>
      </c>
      <c r="T2952" s="23" t="str">
        <f t="shared" si="750"/>
        <v/>
      </c>
      <c r="U2952" t="str">
        <f t="shared" si="751"/>
        <v/>
      </c>
      <c r="AF2952" s="22" t="str">
        <f t="shared" si="743"/>
        <v/>
      </c>
      <c r="AG2952" s="89"/>
      <c r="AH2952" s="274"/>
      <c r="AI2952" s="279"/>
      <c r="AJ2952" s="280"/>
      <c r="AK2952" s="92"/>
      <c r="AL2952" s="23"/>
      <c r="AU2952" s="1"/>
    </row>
    <row r="2953" spans="1:47">
      <c r="A2953" t="str">
        <f t="shared" si="744"/>
        <v>PA_Alleg_2019g~Gen-auditor forward (vote for 1)</v>
      </c>
      <c r="B2953" s="55" t="s">
        <v>1528</v>
      </c>
      <c r="C2953">
        <v>521</v>
      </c>
      <c r="D2953" s="55" t="s">
        <v>508</v>
      </c>
      <c r="E2953" s="55" t="s">
        <v>15</v>
      </c>
      <c r="G2953" s="62">
        <v>3</v>
      </c>
      <c r="H2953">
        <v>100</v>
      </c>
      <c r="I2953">
        <v>2118</v>
      </c>
      <c r="J2953">
        <v>0</v>
      </c>
      <c r="K2953">
        <v>4</v>
      </c>
      <c r="L2953">
        <v>4</v>
      </c>
      <c r="M2953">
        <v>0</v>
      </c>
      <c r="N2953" s="23">
        <v>0</v>
      </c>
      <c r="O2953">
        <f t="shared" si="745"/>
        <v>0</v>
      </c>
      <c r="P2953" s="57">
        <f t="shared" si="746"/>
        <v>1</v>
      </c>
      <c r="Q2953" s="267">
        <f t="shared" si="747"/>
        <v>3</v>
      </c>
      <c r="R2953" s="23">
        <f t="shared" si="748"/>
        <v>1</v>
      </c>
      <c r="S2953" s="23">
        <f t="shared" si="749"/>
        <v>0</v>
      </c>
      <c r="T2953" s="23" t="str">
        <f t="shared" si="750"/>
        <v/>
      </c>
      <c r="U2953" t="str">
        <f t="shared" si="751"/>
        <v/>
      </c>
      <c r="AF2953" s="22" t="str">
        <f t="shared" si="743"/>
        <v/>
      </c>
      <c r="AG2953" s="89"/>
      <c r="AH2953" s="274"/>
      <c r="AI2953" s="279"/>
      <c r="AJ2953" s="280"/>
      <c r="AK2953" s="92"/>
      <c r="AL2953" s="23"/>
      <c r="AU2953" s="1"/>
    </row>
    <row r="2954" spans="1:47">
      <c r="A2954" t="str">
        <f t="shared" si="744"/>
        <v>PA_Alleg_2019g~Gen-auditor frazer (vote for 1)</v>
      </c>
      <c r="B2954" s="55" t="s">
        <v>1528</v>
      </c>
      <c r="C2954">
        <v>490</v>
      </c>
      <c r="D2954" s="55" t="s">
        <v>509</v>
      </c>
      <c r="E2954" s="55" t="s">
        <v>510</v>
      </c>
      <c r="F2954" t="s">
        <v>1294</v>
      </c>
      <c r="G2954" s="62">
        <v>132</v>
      </c>
      <c r="H2954">
        <v>97.06</v>
      </c>
      <c r="I2954">
        <v>770</v>
      </c>
      <c r="J2954">
        <v>0</v>
      </c>
      <c r="K2954">
        <v>1</v>
      </c>
      <c r="L2954">
        <v>1</v>
      </c>
      <c r="M2954">
        <v>0</v>
      </c>
      <c r="N2954" s="23">
        <v>0</v>
      </c>
      <c r="O2954">
        <f t="shared" si="745"/>
        <v>1</v>
      </c>
      <c r="P2954" s="57">
        <f t="shared" si="746"/>
        <v>1</v>
      </c>
      <c r="Q2954" s="267">
        <f t="shared" si="747"/>
        <v>270</v>
      </c>
      <c r="R2954" s="23">
        <f t="shared" si="748"/>
        <v>132</v>
      </c>
      <c r="S2954" s="23">
        <f t="shared" si="749"/>
        <v>130</v>
      </c>
      <c r="T2954" s="23">
        <f t="shared" si="750"/>
        <v>2</v>
      </c>
      <c r="U2954" t="str">
        <f t="shared" si="751"/>
        <v>PA_Alleg_2019g~Gen-auditor frazer (vote for 1)</v>
      </c>
      <c r="AF2954" s="22" t="str">
        <f t="shared" si="743"/>
        <v/>
      </c>
      <c r="AG2954" s="89"/>
      <c r="AH2954" s="274"/>
      <c r="AI2954" s="279"/>
      <c r="AJ2954" s="280"/>
      <c r="AK2954" s="92"/>
      <c r="AL2954" s="23"/>
      <c r="AU2954" s="1"/>
    </row>
    <row r="2955" spans="1:47">
      <c r="A2955" t="str">
        <f t="shared" si="744"/>
        <v>PA_Alleg_2019g~Gen-auditor frazer (vote for 1)</v>
      </c>
      <c r="B2955" s="55" t="s">
        <v>1528</v>
      </c>
      <c r="C2955">
        <v>522</v>
      </c>
      <c r="D2955" s="55" t="s">
        <v>509</v>
      </c>
      <c r="E2955" s="55" t="s">
        <v>525</v>
      </c>
      <c r="F2955" t="s">
        <v>1294</v>
      </c>
      <c r="G2955" s="62">
        <v>130</v>
      </c>
      <c r="H2955">
        <v>97.01</v>
      </c>
      <c r="I2955">
        <v>770</v>
      </c>
      <c r="J2955">
        <v>0</v>
      </c>
      <c r="K2955">
        <v>1</v>
      </c>
      <c r="L2955">
        <v>1</v>
      </c>
      <c r="M2955">
        <v>0</v>
      </c>
      <c r="N2955" s="23">
        <v>0</v>
      </c>
      <c r="O2955">
        <f t="shared" si="745"/>
        <v>2</v>
      </c>
      <c r="P2955" s="57">
        <f t="shared" si="746"/>
        <v>1</v>
      </c>
      <c r="Q2955" s="267">
        <f t="shared" si="747"/>
        <v>138</v>
      </c>
      <c r="R2955" s="23" t="str">
        <f t="shared" si="748"/>
        <v/>
      </c>
      <c r="S2955" s="23">
        <f t="shared" si="749"/>
        <v>130</v>
      </c>
      <c r="T2955" s="23" t="str">
        <f t="shared" si="750"/>
        <v/>
      </c>
      <c r="U2955" t="str">
        <f t="shared" si="751"/>
        <v/>
      </c>
      <c r="AF2955" s="22" t="str">
        <f t="shared" si="743"/>
        <v/>
      </c>
      <c r="AG2955" s="89"/>
      <c r="AH2955" s="274"/>
      <c r="AI2955" s="279"/>
      <c r="AJ2955" s="280"/>
      <c r="AK2955" s="92"/>
      <c r="AL2955" s="23"/>
      <c r="AU2955" s="1"/>
    </row>
    <row r="2956" spans="1:47">
      <c r="A2956" t="str">
        <f t="shared" si="744"/>
        <v>PA_Alleg_2019g~Gen-auditor frazer (vote for 1)</v>
      </c>
      <c r="B2956" s="55" t="s">
        <v>1528</v>
      </c>
      <c r="C2956">
        <v>491</v>
      </c>
      <c r="D2956" s="55" t="s">
        <v>509</v>
      </c>
      <c r="E2956" s="55" t="s">
        <v>15</v>
      </c>
      <c r="G2956" s="62">
        <v>4</v>
      </c>
      <c r="H2956">
        <v>2.94</v>
      </c>
      <c r="I2956">
        <v>770</v>
      </c>
      <c r="J2956">
        <v>0</v>
      </c>
      <c r="K2956">
        <v>1</v>
      </c>
      <c r="L2956">
        <v>1</v>
      </c>
      <c r="M2956">
        <v>0</v>
      </c>
      <c r="N2956" s="23">
        <v>0</v>
      </c>
      <c r="O2956">
        <f t="shared" si="745"/>
        <v>-2</v>
      </c>
      <c r="P2956" s="57">
        <f t="shared" si="746"/>
        <v>1</v>
      </c>
      <c r="Q2956" s="267">
        <f t="shared" si="747"/>
        <v>8</v>
      </c>
      <c r="R2956" s="23">
        <f t="shared" si="748"/>
        <v>1</v>
      </c>
      <c r="S2956" s="23">
        <f t="shared" si="749"/>
        <v>0</v>
      </c>
      <c r="T2956" s="23" t="str">
        <f t="shared" si="750"/>
        <v/>
      </c>
      <c r="U2956" t="str">
        <f t="shared" si="751"/>
        <v/>
      </c>
      <c r="AF2956" s="22" t="str">
        <f t="shared" si="743"/>
        <v/>
      </c>
      <c r="AG2956" s="89"/>
      <c r="AH2956" s="274"/>
      <c r="AI2956" s="279"/>
      <c r="AJ2956" s="280"/>
      <c r="AK2956" s="92"/>
      <c r="AL2956" s="23"/>
      <c r="AU2956" s="1"/>
    </row>
    <row r="2957" spans="1:47">
      <c r="A2957" t="str">
        <f t="shared" si="744"/>
        <v>PA_Alleg_2019g~Gen-auditor frazer (vote for 1)</v>
      </c>
      <c r="B2957" s="55" t="s">
        <v>1528</v>
      </c>
      <c r="C2957">
        <v>523</v>
      </c>
      <c r="D2957" s="55" t="s">
        <v>509</v>
      </c>
      <c r="E2957" s="55" t="s">
        <v>15</v>
      </c>
      <c r="G2957" s="62">
        <v>4</v>
      </c>
      <c r="H2957">
        <v>2.99</v>
      </c>
      <c r="I2957">
        <v>770</v>
      </c>
      <c r="J2957">
        <v>0</v>
      </c>
      <c r="K2957">
        <v>1</v>
      </c>
      <c r="L2957">
        <v>1</v>
      </c>
      <c r="M2957">
        <v>0</v>
      </c>
      <c r="N2957" s="23">
        <v>0</v>
      </c>
      <c r="O2957">
        <f t="shared" si="745"/>
        <v>-2</v>
      </c>
      <c r="P2957" s="57">
        <f t="shared" si="746"/>
        <v>1</v>
      </c>
      <c r="Q2957" s="267">
        <f t="shared" si="747"/>
        <v>4</v>
      </c>
      <c r="R2957" s="23">
        <f t="shared" si="748"/>
        <v>1</v>
      </c>
      <c r="S2957" s="23">
        <f t="shared" si="749"/>
        <v>0</v>
      </c>
      <c r="T2957" s="23" t="str">
        <f t="shared" si="750"/>
        <v/>
      </c>
      <c r="U2957" t="str">
        <f t="shared" si="751"/>
        <v/>
      </c>
      <c r="AF2957" s="22" t="str">
        <f t="shared" si="743"/>
        <v/>
      </c>
      <c r="AG2957" s="89"/>
      <c r="AH2957" s="274"/>
      <c r="AI2957" s="279"/>
      <c r="AJ2957" s="280"/>
      <c r="AK2957" s="92"/>
      <c r="AL2957" s="23"/>
      <c r="AU2957" s="1"/>
    </row>
    <row r="2958" spans="1:47">
      <c r="A2958" t="str">
        <f t="shared" si="744"/>
        <v>PA_Alleg_2019g~Gen-auditor glenfield (vote for 1)</v>
      </c>
      <c r="B2958" s="55" t="s">
        <v>1528</v>
      </c>
      <c r="C2958">
        <v>492</v>
      </c>
      <c r="D2958" s="55" t="s">
        <v>511</v>
      </c>
      <c r="E2958" s="55" t="s">
        <v>15</v>
      </c>
      <c r="G2958" s="62">
        <v>7</v>
      </c>
      <c r="H2958">
        <v>100</v>
      </c>
      <c r="I2958">
        <v>153</v>
      </c>
      <c r="J2958">
        <v>0</v>
      </c>
      <c r="K2958">
        <v>1</v>
      </c>
      <c r="L2958">
        <v>1</v>
      </c>
      <c r="M2958">
        <v>0</v>
      </c>
      <c r="N2958" s="23">
        <v>0</v>
      </c>
      <c r="O2958">
        <f t="shared" si="745"/>
        <v>0</v>
      </c>
      <c r="P2958" s="57">
        <f t="shared" si="746"/>
        <v>1</v>
      </c>
      <c r="Q2958" s="267">
        <f t="shared" si="747"/>
        <v>18</v>
      </c>
      <c r="R2958" s="23">
        <f t="shared" si="748"/>
        <v>1</v>
      </c>
      <c r="S2958" s="23">
        <f t="shared" si="749"/>
        <v>0</v>
      </c>
      <c r="T2958" s="23" t="str">
        <f t="shared" si="750"/>
        <v/>
      </c>
      <c r="U2958" t="str">
        <f t="shared" si="751"/>
        <v>PA_Alleg_2019g~Gen-auditor glenfield (vote for 1)</v>
      </c>
      <c r="AF2958" s="22" t="str">
        <f t="shared" si="743"/>
        <v/>
      </c>
      <c r="AG2958" s="89"/>
      <c r="AH2958" s="274"/>
      <c r="AI2958" s="279"/>
      <c r="AJ2958" s="280"/>
      <c r="AK2958" s="92"/>
      <c r="AL2958" s="23"/>
      <c r="AU2958" s="1"/>
    </row>
    <row r="2959" spans="1:47">
      <c r="A2959" t="str">
        <f t="shared" si="744"/>
        <v>PA_Alleg_2019g~Gen-auditor glenfield (vote for 1)</v>
      </c>
      <c r="B2959" s="55" t="s">
        <v>1528</v>
      </c>
      <c r="C2959">
        <v>511</v>
      </c>
      <c r="D2959" s="55" t="s">
        <v>511</v>
      </c>
      <c r="E2959" s="55" t="s">
        <v>15</v>
      </c>
      <c r="G2959" s="62">
        <v>7</v>
      </c>
      <c r="H2959">
        <v>100</v>
      </c>
      <c r="I2959">
        <v>153</v>
      </c>
      <c r="J2959">
        <v>0</v>
      </c>
      <c r="K2959">
        <v>1</v>
      </c>
      <c r="L2959">
        <v>1</v>
      </c>
      <c r="M2959">
        <v>0</v>
      </c>
      <c r="N2959" s="23">
        <v>0</v>
      </c>
      <c r="O2959">
        <f t="shared" si="745"/>
        <v>0</v>
      </c>
      <c r="P2959" s="57">
        <f t="shared" si="746"/>
        <v>1</v>
      </c>
      <c r="Q2959" s="267">
        <f t="shared" si="747"/>
        <v>11</v>
      </c>
      <c r="R2959" s="23">
        <f t="shared" si="748"/>
        <v>1</v>
      </c>
      <c r="S2959" s="23">
        <f t="shared" si="749"/>
        <v>0</v>
      </c>
      <c r="T2959" s="23" t="str">
        <f t="shared" si="750"/>
        <v/>
      </c>
      <c r="U2959" t="str">
        <f t="shared" si="751"/>
        <v/>
      </c>
      <c r="AF2959" s="22" t="str">
        <f t="shared" si="743"/>
        <v/>
      </c>
      <c r="AG2959" s="89"/>
      <c r="AH2959" s="274"/>
      <c r="AI2959" s="279"/>
      <c r="AJ2959" s="280"/>
      <c r="AK2959" s="92"/>
      <c r="AL2959" s="23"/>
      <c r="AU2959" s="1"/>
    </row>
    <row r="2960" spans="1:47">
      <c r="A2960" t="str">
        <f t="shared" si="744"/>
        <v>PA_Alleg_2019g~Gen-auditor glenfield (vote for 1)</v>
      </c>
      <c r="B2960" s="55" t="s">
        <v>1528</v>
      </c>
      <c r="C2960">
        <v>524</v>
      </c>
      <c r="D2960" s="55" t="s">
        <v>511</v>
      </c>
      <c r="E2960" s="55" t="s">
        <v>15</v>
      </c>
      <c r="G2960" s="62">
        <v>4</v>
      </c>
      <c r="H2960">
        <v>100</v>
      </c>
      <c r="I2960">
        <v>153</v>
      </c>
      <c r="J2960">
        <v>0</v>
      </c>
      <c r="K2960">
        <v>1</v>
      </c>
      <c r="L2960">
        <v>1</v>
      </c>
      <c r="M2960">
        <v>0</v>
      </c>
      <c r="N2960" s="23">
        <v>0</v>
      </c>
      <c r="O2960">
        <f t="shared" si="745"/>
        <v>0</v>
      </c>
      <c r="P2960" s="57">
        <f t="shared" si="746"/>
        <v>1</v>
      </c>
      <c r="Q2960" s="267">
        <f t="shared" si="747"/>
        <v>4</v>
      </c>
      <c r="R2960" s="23">
        <f t="shared" si="748"/>
        <v>1</v>
      </c>
      <c r="S2960" s="23">
        <f t="shared" si="749"/>
        <v>0</v>
      </c>
      <c r="T2960" s="23" t="str">
        <f t="shared" si="750"/>
        <v/>
      </c>
      <c r="U2960" t="str">
        <f t="shared" si="751"/>
        <v/>
      </c>
      <c r="AF2960" s="22" t="str">
        <f t="shared" si="743"/>
        <v/>
      </c>
      <c r="AG2960" s="89"/>
      <c r="AH2960" s="274"/>
      <c r="AI2960" s="279"/>
      <c r="AJ2960" s="280"/>
      <c r="AK2960" s="92"/>
      <c r="AL2960" s="23"/>
      <c r="AU2960" s="1"/>
    </row>
    <row r="2961" spans="1:47">
      <c r="A2961" t="str">
        <f t="shared" si="744"/>
        <v>PA_Alleg_2019g~Gen-auditor harmar (vote for 1)</v>
      </c>
      <c r="B2961" s="55" t="s">
        <v>1528</v>
      </c>
      <c r="C2961">
        <v>493</v>
      </c>
      <c r="D2961" s="55" t="s">
        <v>512</v>
      </c>
      <c r="E2961" s="55" t="s">
        <v>15</v>
      </c>
      <c r="G2961" s="62">
        <v>8</v>
      </c>
      <c r="H2961">
        <v>100</v>
      </c>
      <c r="I2961">
        <v>2425</v>
      </c>
      <c r="J2961">
        <v>0</v>
      </c>
      <c r="K2961">
        <v>3</v>
      </c>
      <c r="L2961">
        <v>3</v>
      </c>
      <c r="M2961">
        <v>0</v>
      </c>
      <c r="N2961" s="23">
        <v>0</v>
      </c>
      <c r="O2961">
        <f t="shared" si="745"/>
        <v>0</v>
      </c>
      <c r="P2961" s="57">
        <f t="shared" si="746"/>
        <v>1</v>
      </c>
      <c r="Q2961" s="267">
        <f t="shared" si="747"/>
        <v>16</v>
      </c>
      <c r="R2961" s="23">
        <f t="shared" si="748"/>
        <v>1</v>
      </c>
      <c r="S2961" s="23">
        <f t="shared" si="749"/>
        <v>0</v>
      </c>
      <c r="T2961" s="23" t="str">
        <f t="shared" si="750"/>
        <v/>
      </c>
      <c r="U2961" t="str">
        <f t="shared" si="751"/>
        <v>PA_Alleg_2019g~Gen-auditor harmar (vote for 1)</v>
      </c>
      <c r="AF2961" s="22" t="str">
        <f t="shared" si="743"/>
        <v/>
      </c>
      <c r="AG2961" s="89"/>
      <c r="AH2961" s="274"/>
      <c r="AI2961" s="279"/>
      <c r="AJ2961" s="280"/>
      <c r="AK2961" s="92"/>
      <c r="AL2961" s="23"/>
      <c r="AU2961" s="1"/>
    </row>
    <row r="2962" spans="1:47">
      <c r="A2962" t="str">
        <f t="shared" si="744"/>
        <v>PA_Alleg_2019g~Gen-auditor harmar (vote for 1)</v>
      </c>
      <c r="B2962" s="55" t="s">
        <v>1528</v>
      </c>
      <c r="C2962">
        <v>512</v>
      </c>
      <c r="D2962" s="55" t="s">
        <v>512</v>
      </c>
      <c r="E2962" s="55" t="s">
        <v>15</v>
      </c>
      <c r="G2962" s="62">
        <v>8</v>
      </c>
      <c r="H2962">
        <v>100</v>
      </c>
      <c r="I2962">
        <v>2425</v>
      </c>
      <c r="J2962">
        <v>0</v>
      </c>
      <c r="K2962">
        <v>3</v>
      </c>
      <c r="L2962">
        <v>3</v>
      </c>
      <c r="M2962">
        <v>0</v>
      </c>
      <c r="N2962" s="23">
        <v>0</v>
      </c>
      <c r="O2962">
        <f t="shared" si="745"/>
        <v>0</v>
      </c>
      <c r="P2962" s="57">
        <f t="shared" si="746"/>
        <v>1</v>
      </c>
      <c r="Q2962" s="267">
        <f t="shared" si="747"/>
        <v>8</v>
      </c>
      <c r="R2962" s="23">
        <f t="shared" si="748"/>
        <v>1</v>
      </c>
      <c r="S2962" s="23">
        <f t="shared" si="749"/>
        <v>0</v>
      </c>
      <c r="T2962" s="23" t="str">
        <f t="shared" si="750"/>
        <v/>
      </c>
      <c r="U2962" t="str">
        <f t="shared" si="751"/>
        <v/>
      </c>
      <c r="AF2962" s="22" t="str">
        <f t="shared" si="743"/>
        <v/>
      </c>
      <c r="AG2962" s="89"/>
      <c r="AH2962" s="274"/>
      <c r="AI2962" s="279"/>
      <c r="AJ2962" s="280"/>
      <c r="AK2962" s="92"/>
      <c r="AL2962" s="23"/>
      <c r="AU2962" s="1"/>
    </row>
    <row r="2963" spans="1:47">
      <c r="A2963" t="str">
        <f t="shared" si="744"/>
        <v>PA_Alleg_2019g~Gen-auditor indiana (vote for 1)</v>
      </c>
      <c r="B2963" s="55" t="s">
        <v>1528</v>
      </c>
      <c r="C2963">
        <v>525</v>
      </c>
      <c r="D2963" s="55" t="s">
        <v>513</v>
      </c>
      <c r="E2963" s="55" t="s">
        <v>15</v>
      </c>
      <c r="G2963" s="62">
        <v>49</v>
      </c>
      <c r="H2963">
        <v>100</v>
      </c>
      <c r="I2963">
        <v>5191</v>
      </c>
      <c r="J2963">
        <v>0</v>
      </c>
      <c r="K2963">
        <v>5</v>
      </c>
      <c r="L2963">
        <v>5</v>
      </c>
      <c r="M2963">
        <v>0</v>
      </c>
      <c r="N2963" s="23">
        <v>0</v>
      </c>
      <c r="O2963">
        <f t="shared" si="745"/>
        <v>0</v>
      </c>
      <c r="P2963" s="57">
        <f t="shared" si="746"/>
        <v>1</v>
      </c>
      <c r="Q2963" s="267">
        <f t="shared" si="747"/>
        <v>131</v>
      </c>
      <c r="R2963" s="23">
        <f t="shared" si="748"/>
        <v>1</v>
      </c>
      <c r="S2963" s="23">
        <f t="shared" si="749"/>
        <v>0</v>
      </c>
      <c r="T2963" s="23" t="str">
        <f t="shared" si="750"/>
        <v/>
      </c>
      <c r="U2963" t="str">
        <f t="shared" si="751"/>
        <v>PA_Alleg_2019g~Gen-auditor indiana (vote for 1)</v>
      </c>
      <c r="AF2963" s="22" t="str">
        <f t="shared" si="743"/>
        <v/>
      </c>
      <c r="AG2963" s="89"/>
      <c r="AH2963" s="274"/>
      <c r="AI2963" s="279"/>
      <c r="AJ2963" s="280"/>
      <c r="AK2963" s="92"/>
      <c r="AL2963" s="23"/>
      <c r="AU2963" s="1"/>
    </row>
    <row r="2964" spans="1:47">
      <c r="A2964" t="str">
        <f t="shared" si="744"/>
        <v>PA_Alleg_2019g~Gen-auditor indiana (vote for 1)</v>
      </c>
      <c r="B2964" s="55" t="s">
        <v>1528</v>
      </c>
      <c r="C2964">
        <v>494</v>
      </c>
      <c r="D2964" s="55" t="s">
        <v>513</v>
      </c>
      <c r="E2964" s="55" t="s">
        <v>15</v>
      </c>
      <c r="G2964" s="62">
        <v>44</v>
      </c>
      <c r="H2964">
        <v>100</v>
      </c>
      <c r="I2964">
        <v>5191</v>
      </c>
      <c r="J2964">
        <v>0</v>
      </c>
      <c r="K2964">
        <v>5</v>
      </c>
      <c r="L2964">
        <v>5</v>
      </c>
      <c r="M2964">
        <v>0</v>
      </c>
      <c r="N2964" s="23">
        <v>0</v>
      </c>
      <c r="O2964">
        <f t="shared" si="745"/>
        <v>0</v>
      </c>
      <c r="P2964" s="57">
        <f t="shared" si="746"/>
        <v>1</v>
      </c>
      <c r="Q2964" s="267">
        <f t="shared" si="747"/>
        <v>82</v>
      </c>
      <c r="R2964" s="23">
        <f t="shared" si="748"/>
        <v>1</v>
      </c>
      <c r="S2964" s="23">
        <f t="shared" si="749"/>
        <v>0</v>
      </c>
      <c r="T2964" s="23" t="str">
        <f t="shared" si="750"/>
        <v/>
      </c>
      <c r="U2964" t="str">
        <f t="shared" si="751"/>
        <v/>
      </c>
      <c r="AF2964" s="22" t="str">
        <f t="shared" si="743"/>
        <v/>
      </c>
      <c r="AG2964" s="89"/>
      <c r="AH2964" s="274"/>
      <c r="AI2964" s="279"/>
      <c r="AJ2964" s="280"/>
      <c r="AK2964" s="92"/>
      <c r="AL2964" s="23"/>
      <c r="AU2964" s="1"/>
    </row>
    <row r="2965" spans="1:47">
      <c r="A2965" t="str">
        <f t="shared" si="744"/>
        <v>PA_Alleg_2019g~Gen-auditor indiana (vote for 1)</v>
      </c>
      <c r="B2965" s="55" t="s">
        <v>1528</v>
      </c>
      <c r="C2965">
        <v>513</v>
      </c>
      <c r="D2965" s="55" t="s">
        <v>513</v>
      </c>
      <c r="E2965" s="55" t="s">
        <v>15</v>
      </c>
      <c r="G2965" s="62">
        <v>38</v>
      </c>
      <c r="H2965">
        <v>100</v>
      </c>
      <c r="I2965">
        <v>5191</v>
      </c>
      <c r="J2965">
        <v>0</v>
      </c>
      <c r="K2965">
        <v>5</v>
      </c>
      <c r="L2965">
        <v>5</v>
      </c>
      <c r="M2965">
        <v>0</v>
      </c>
      <c r="N2965" s="23">
        <v>0</v>
      </c>
      <c r="O2965">
        <f t="shared" si="745"/>
        <v>0</v>
      </c>
      <c r="P2965" s="57">
        <f t="shared" si="746"/>
        <v>1</v>
      </c>
      <c r="Q2965" s="267">
        <f t="shared" si="747"/>
        <v>38</v>
      </c>
      <c r="R2965" s="23">
        <f t="shared" si="748"/>
        <v>1</v>
      </c>
      <c r="S2965" s="23">
        <f t="shared" si="749"/>
        <v>0</v>
      </c>
      <c r="T2965" s="23" t="str">
        <f t="shared" si="750"/>
        <v/>
      </c>
      <c r="U2965" t="str">
        <f t="shared" si="751"/>
        <v/>
      </c>
      <c r="AF2965" s="22" t="str">
        <f t="shared" si="743"/>
        <v/>
      </c>
      <c r="AG2965" s="89"/>
      <c r="AH2965" s="274"/>
      <c r="AI2965" s="279"/>
      <c r="AJ2965" s="280"/>
      <c r="AK2965" s="92"/>
      <c r="AL2965" s="23"/>
      <c r="AU2965" s="1"/>
    </row>
    <row r="2966" spans="1:47">
      <c r="A2966" t="str">
        <f t="shared" si="744"/>
        <v>PA_Alleg_2019g~Gen-auditor kilbuck (vote for 1)</v>
      </c>
      <c r="B2966" s="55" t="s">
        <v>1528</v>
      </c>
      <c r="C2966">
        <v>495</v>
      </c>
      <c r="D2966" s="55" t="s">
        <v>514</v>
      </c>
      <c r="E2966" s="55" t="s">
        <v>15</v>
      </c>
      <c r="G2966" s="62">
        <v>3</v>
      </c>
      <c r="H2966">
        <v>100</v>
      </c>
      <c r="I2966">
        <v>607</v>
      </c>
      <c r="J2966">
        <v>0</v>
      </c>
      <c r="K2966">
        <v>1</v>
      </c>
      <c r="L2966">
        <v>1</v>
      </c>
      <c r="M2966">
        <v>0</v>
      </c>
      <c r="N2966" s="23">
        <v>0</v>
      </c>
      <c r="O2966">
        <f t="shared" si="745"/>
        <v>0</v>
      </c>
      <c r="P2966" s="57">
        <f t="shared" si="746"/>
        <v>1</v>
      </c>
      <c r="Q2966" s="267">
        <f t="shared" si="747"/>
        <v>8</v>
      </c>
      <c r="R2966" s="23">
        <f t="shared" si="748"/>
        <v>1</v>
      </c>
      <c r="S2966" s="23">
        <f t="shared" si="749"/>
        <v>0</v>
      </c>
      <c r="T2966" s="23" t="str">
        <f t="shared" si="750"/>
        <v/>
      </c>
      <c r="U2966" t="str">
        <f t="shared" si="751"/>
        <v>PA_Alleg_2019g~Gen-auditor kilbuck (vote for 1)</v>
      </c>
      <c r="AF2966" s="22" t="str">
        <f t="shared" si="743"/>
        <v/>
      </c>
      <c r="AG2966" s="89"/>
      <c r="AH2966" s="274"/>
      <c r="AI2966" s="279"/>
      <c r="AJ2966" s="280"/>
      <c r="AK2966" s="92"/>
      <c r="AL2966" s="23"/>
      <c r="AU2966" s="1"/>
    </row>
    <row r="2967" spans="1:47">
      <c r="A2967" t="str">
        <f t="shared" si="744"/>
        <v>PA_Alleg_2019g~Gen-auditor kilbuck (vote for 1)</v>
      </c>
      <c r="B2967" s="55" t="s">
        <v>1528</v>
      </c>
      <c r="C2967">
        <v>514</v>
      </c>
      <c r="D2967" s="55" t="s">
        <v>514</v>
      </c>
      <c r="E2967" s="55" t="s">
        <v>15</v>
      </c>
      <c r="G2967" s="62">
        <v>3</v>
      </c>
      <c r="H2967">
        <v>100</v>
      </c>
      <c r="I2967">
        <v>607</v>
      </c>
      <c r="J2967">
        <v>0</v>
      </c>
      <c r="K2967">
        <v>1</v>
      </c>
      <c r="L2967">
        <v>1</v>
      </c>
      <c r="M2967">
        <v>0</v>
      </c>
      <c r="N2967" s="23">
        <v>0</v>
      </c>
      <c r="O2967">
        <f t="shared" si="745"/>
        <v>0</v>
      </c>
      <c r="P2967" s="57">
        <f t="shared" si="746"/>
        <v>1</v>
      </c>
      <c r="Q2967" s="267">
        <f t="shared" si="747"/>
        <v>5</v>
      </c>
      <c r="R2967" s="23">
        <f t="shared" si="748"/>
        <v>1</v>
      </c>
      <c r="S2967" s="23">
        <f t="shared" si="749"/>
        <v>0</v>
      </c>
      <c r="T2967" s="23" t="str">
        <f t="shared" si="750"/>
        <v/>
      </c>
      <c r="U2967" t="str">
        <f t="shared" si="751"/>
        <v/>
      </c>
      <c r="AF2967" s="22" t="str">
        <f t="shared" si="743"/>
        <v/>
      </c>
      <c r="AG2967" s="89"/>
      <c r="AH2967" s="274"/>
      <c r="AI2967" s="279"/>
      <c r="AJ2967" s="280"/>
      <c r="AK2967" s="92"/>
      <c r="AL2967" s="23"/>
      <c r="AU2967" s="1"/>
    </row>
    <row r="2968" spans="1:47">
      <c r="A2968" t="str">
        <f t="shared" si="744"/>
        <v>PA_Alleg_2019g~Gen-auditor kilbuck (vote for 1)</v>
      </c>
      <c r="B2968" s="55" t="s">
        <v>1528</v>
      </c>
      <c r="C2968">
        <v>526</v>
      </c>
      <c r="D2968" s="55" t="s">
        <v>514</v>
      </c>
      <c r="E2968" s="55" t="s">
        <v>15</v>
      </c>
      <c r="G2968" s="62">
        <v>2</v>
      </c>
      <c r="H2968">
        <v>100</v>
      </c>
      <c r="I2968">
        <v>607</v>
      </c>
      <c r="J2968">
        <v>0</v>
      </c>
      <c r="K2968">
        <v>1</v>
      </c>
      <c r="L2968">
        <v>1</v>
      </c>
      <c r="M2968">
        <v>0</v>
      </c>
      <c r="N2968" s="23">
        <v>0</v>
      </c>
      <c r="O2968">
        <f t="shared" si="745"/>
        <v>0</v>
      </c>
      <c r="P2968" s="57">
        <f t="shared" si="746"/>
        <v>1</v>
      </c>
      <c r="Q2968" s="267">
        <f t="shared" si="747"/>
        <v>2</v>
      </c>
      <c r="R2968" s="23">
        <f t="shared" si="748"/>
        <v>1</v>
      </c>
      <c r="S2968" s="23">
        <f t="shared" si="749"/>
        <v>0</v>
      </c>
      <c r="T2968" s="23" t="str">
        <f t="shared" si="750"/>
        <v/>
      </c>
      <c r="U2968" t="str">
        <f t="shared" si="751"/>
        <v/>
      </c>
      <c r="AF2968" s="22" t="str">
        <f t="shared" si="743"/>
        <v/>
      </c>
      <c r="AG2968" s="89"/>
      <c r="AH2968" s="274"/>
      <c r="AI2968" s="279"/>
      <c r="AJ2968" s="280"/>
      <c r="AK2968" s="92"/>
      <c r="AL2968" s="23"/>
      <c r="AU2968" s="1"/>
    </row>
    <row r="2969" spans="1:47">
      <c r="A2969" t="str">
        <f t="shared" si="744"/>
        <v>PA_Alleg_2019g~Gen-auditor marshall (vote for 1)</v>
      </c>
      <c r="B2969" s="55" t="s">
        <v>1528</v>
      </c>
      <c r="C2969">
        <v>496</v>
      </c>
      <c r="D2969" s="55" t="s">
        <v>515</v>
      </c>
      <c r="E2969" s="55" t="s">
        <v>15</v>
      </c>
      <c r="G2969" s="62">
        <v>59</v>
      </c>
      <c r="H2969">
        <v>100</v>
      </c>
      <c r="I2969">
        <v>6909</v>
      </c>
      <c r="J2969">
        <v>0</v>
      </c>
      <c r="K2969">
        <v>6</v>
      </c>
      <c r="L2969">
        <v>6</v>
      </c>
      <c r="M2969">
        <v>0</v>
      </c>
      <c r="N2969" s="23">
        <v>0</v>
      </c>
      <c r="O2969">
        <f t="shared" si="745"/>
        <v>0</v>
      </c>
      <c r="P2969" s="57">
        <f t="shared" si="746"/>
        <v>1</v>
      </c>
      <c r="Q2969" s="267">
        <f t="shared" si="747"/>
        <v>59</v>
      </c>
      <c r="R2969" s="23">
        <f t="shared" si="748"/>
        <v>1</v>
      </c>
      <c r="S2969" s="23">
        <f t="shared" si="749"/>
        <v>0</v>
      </c>
      <c r="T2969" s="23" t="str">
        <f t="shared" si="750"/>
        <v/>
      </c>
      <c r="U2969" t="str">
        <f t="shared" si="751"/>
        <v>PA_Alleg_2019g~Gen-auditor marshall (vote for 1)</v>
      </c>
      <c r="AF2969" s="22" t="str">
        <f t="shared" si="743"/>
        <v/>
      </c>
      <c r="AG2969" s="89"/>
      <c r="AH2969" s="274"/>
      <c r="AI2969" s="279"/>
      <c r="AJ2969" s="280"/>
      <c r="AK2969" s="92"/>
      <c r="AL2969" s="23"/>
      <c r="AU2969" s="1"/>
    </row>
    <row r="2970" spans="1:47">
      <c r="A2970" t="str">
        <f t="shared" si="744"/>
        <v>PA_Alleg_2019g~Gen-auditor moon (vote for 1)</v>
      </c>
      <c r="B2970" s="55" t="s">
        <v>1528</v>
      </c>
      <c r="C2970">
        <v>527</v>
      </c>
      <c r="D2970" s="55" t="s">
        <v>516</v>
      </c>
      <c r="E2970" s="55" t="s">
        <v>517</v>
      </c>
      <c r="F2970" t="s">
        <v>1294</v>
      </c>
      <c r="G2970" s="62">
        <f>2406+3527</f>
        <v>5933</v>
      </c>
      <c r="H2970">
        <v>98.63</v>
      </c>
      <c r="I2970">
        <v>19127</v>
      </c>
      <c r="J2970">
        <v>0</v>
      </c>
      <c r="K2970">
        <v>13</v>
      </c>
      <c r="L2970">
        <v>13</v>
      </c>
      <c r="M2970">
        <v>0</v>
      </c>
      <c r="N2970" s="23">
        <v>0</v>
      </c>
      <c r="O2970">
        <f t="shared" si="745"/>
        <v>1</v>
      </c>
      <c r="P2970" s="57">
        <f t="shared" si="746"/>
        <v>1</v>
      </c>
      <c r="Q2970" s="267">
        <f t="shared" si="747"/>
        <v>8607</v>
      </c>
      <c r="R2970" s="23">
        <f t="shared" si="748"/>
        <v>5933</v>
      </c>
      <c r="S2970" s="23">
        <f t="shared" si="749"/>
        <v>2619</v>
      </c>
      <c r="T2970" s="23">
        <f t="shared" si="750"/>
        <v>3314</v>
      </c>
      <c r="U2970" t="str">
        <f t="shared" si="751"/>
        <v>PA_Alleg_2019g~Gen-auditor moon (vote for 1)</v>
      </c>
      <c r="AF2970" s="22" t="str">
        <f t="shared" si="743"/>
        <v/>
      </c>
      <c r="AG2970" s="89"/>
      <c r="AH2970" s="274"/>
      <c r="AI2970" s="279"/>
      <c r="AJ2970" s="280"/>
      <c r="AK2970" s="92"/>
      <c r="AL2970" s="23"/>
      <c r="AU2970" s="1"/>
    </row>
    <row r="2971" spans="1:47">
      <c r="A2971" t="str">
        <f t="shared" si="744"/>
        <v>PA_Alleg_2019g~Gen-auditor moon (vote for 1)</v>
      </c>
      <c r="B2971" s="55" t="s">
        <v>1528</v>
      </c>
      <c r="C2971">
        <v>498</v>
      </c>
      <c r="D2971" s="55" t="s">
        <v>516</v>
      </c>
      <c r="E2971" s="55" t="s">
        <v>1133</v>
      </c>
      <c r="F2971" t="s">
        <v>1296</v>
      </c>
      <c r="G2971" s="62">
        <v>2619</v>
      </c>
      <c r="H2971">
        <v>52.06</v>
      </c>
      <c r="I2971">
        <v>19127</v>
      </c>
      <c r="J2971">
        <v>0</v>
      </c>
      <c r="K2971">
        <v>13</v>
      </c>
      <c r="L2971">
        <v>13</v>
      </c>
      <c r="M2971">
        <v>0</v>
      </c>
      <c r="N2971" s="23">
        <v>0</v>
      </c>
      <c r="O2971">
        <f t="shared" si="745"/>
        <v>2</v>
      </c>
      <c r="P2971" s="57">
        <f t="shared" si="746"/>
        <v>1</v>
      </c>
      <c r="Q2971" s="267">
        <f t="shared" si="747"/>
        <v>2674</v>
      </c>
      <c r="R2971" s="23" t="str">
        <f t="shared" si="748"/>
        <v/>
      </c>
      <c r="S2971" s="23">
        <f t="shared" si="749"/>
        <v>2619</v>
      </c>
      <c r="T2971" s="23" t="str">
        <f t="shared" si="750"/>
        <v/>
      </c>
      <c r="U2971" t="str">
        <f t="shared" si="751"/>
        <v/>
      </c>
      <c r="AF2971" s="22" t="str">
        <f t="shared" si="743"/>
        <v/>
      </c>
      <c r="AG2971" s="89"/>
      <c r="AH2971" s="274"/>
      <c r="AI2971" s="279"/>
      <c r="AJ2971" s="280"/>
      <c r="AK2971" s="92"/>
      <c r="AL2971" s="23"/>
      <c r="AU2971" s="1"/>
    </row>
    <row r="2972" spans="1:47">
      <c r="A2972" t="str">
        <f t="shared" si="744"/>
        <v>PA_Alleg_2019g~Gen-auditor moon (vote for 1)</v>
      </c>
      <c r="B2972" s="55" t="s">
        <v>1528</v>
      </c>
      <c r="C2972">
        <v>528</v>
      </c>
      <c r="D2972" s="55" t="s">
        <v>516</v>
      </c>
      <c r="E2972" s="55" t="s">
        <v>15</v>
      </c>
      <c r="G2972" s="62">
        <v>49</v>
      </c>
      <c r="H2972">
        <v>1.37</v>
      </c>
      <c r="I2972">
        <v>19127</v>
      </c>
      <c r="J2972">
        <v>0</v>
      </c>
      <c r="K2972">
        <v>13</v>
      </c>
      <c r="L2972">
        <v>13</v>
      </c>
      <c r="M2972">
        <v>0</v>
      </c>
      <c r="N2972" s="23">
        <v>0</v>
      </c>
      <c r="O2972">
        <f t="shared" si="745"/>
        <v>-2</v>
      </c>
      <c r="P2972" s="57">
        <f t="shared" si="746"/>
        <v>1</v>
      </c>
      <c r="Q2972" s="267">
        <f t="shared" si="747"/>
        <v>55</v>
      </c>
      <c r="R2972" s="23" t="str">
        <f t="shared" si="748"/>
        <v/>
      </c>
      <c r="S2972" s="23">
        <f t="shared" si="749"/>
        <v>0</v>
      </c>
      <c r="T2972" s="23" t="str">
        <f t="shared" si="750"/>
        <v/>
      </c>
      <c r="U2972" t="str">
        <f t="shared" si="751"/>
        <v/>
      </c>
      <c r="AF2972" s="22" t="str">
        <f t="shared" si="743"/>
        <v/>
      </c>
      <c r="AG2972" s="89"/>
      <c r="AH2972" s="274"/>
      <c r="AI2972" s="279"/>
      <c r="AJ2972" s="280"/>
      <c r="AK2972" s="92"/>
      <c r="AL2972" s="23"/>
      <c r="AU2972" s="1"/>
    </row>
    <row r="2973" spans="1:47">
      <c r="A2973" t="str">
        <f t="shared" si="744"/>
        <v>PA_Alleg_2019g~Gen-auditor moon (vote for 1)</v>
      </c>
      <c r="B2973" s="55" t="s">
        <v>1528</v>
      </c>
      <c r="C2973">
        <v>499</v>
      </c>
      <c r="D2973" s="55" t="s">
        <v>516</v>
      </c>
      <c r="E2973" s="55" t="s">
        <v>15</v>
      </c>
      <c r="G2973" s="62">
        <v>6</v>
      </c>
      <c r="H2973">
        <v>0.12</v>
      </c>
      <c r="I2973">
        <v>19127</v>
      </c>
      <c r="J2973">
        <v>0</v>
      </c>
      <c r="K2973">
        <v>13</v>
      </c>
      <c r="L2973">
        <v>13</v>
      </c>
      <c r="M2973">
        <v>0</v>
      </c>
      <c r="N2973" s="23">
        <v>0</v>
      </c>
      <c r="O2973">
        <f t="shared" si="745"/>
        <v>-2</v>
      </c>
      <c r="P2973" s="57">
        <f t="shared" si="746"/>
        <v>1</v>
      </c>
      <c r="Q2973" s="267">
        <f t="shared" si="747"/>
        <v>6</v>
      </c>
      <c r="R2973" s="23" t="str">
        <f t="shared" si="748"/>
        <v/>
      </c>
      <c r="S2973" s="23">
        <f t="shared" si="749"/>
        <v>0</v>
      </c>
      <c r="T2973" s="23" t="str">
        <f t="shared" si="750"/>
        <v/>
      </c>
      <c r="U2973" t="str">
        <f t="shared" si="751"/>
        <v/>
      </c>
      <c r="AF2973" s="22" t="str">
        <f t="shared" si="743"/>
        <v/>
      </c>
      <c r="AG2973" s="89"/>
      <c r="AH2973" s="274"/>
      <c r="AI2973" s="279"/>
      <c r="AJ2973" s="280"/>
      <c r="AK2973" s="92"/>
      <c r="AL2973" s="23"/>
      <c r="AU2973" s="1"/>
    </row>
    <row r="2974" spans="1:47">
      <c r="A2974" t="str">
        <f t="shared" si="744"/>
        <v>PA_Alleg_2019g~Gen-auditor moon (vote for 1)</v>
      </c>
      <c r="B2974" s="55" t="s">
        <v>1528</v>
      </c>
      <c r="C2974">
        <v>497</v>
      </c>
      <c r="D2974" s="55" t="s">
        <v>516</v>
      </c>
      <c r="E2974" s="55" t="s">
        <v>517</v>
      </c>
      <c r="F2974" t="s">
        <v>1294</v>
      </c>
      <c r="G2974" s="62">
        <v>0</v>
      </c>
      <c r="H2974">
        <v>47.82</v>
      </c>
      <c r="I2974">
        <v>19127</v>
      </c>
      <c r="J2974">
        <v>0</v>
      </c>
      <c r="K2974">
        <v>13</v>
      </c>
      <c r="L2974">
        <v>13</v>
      </c>
      <c r="M2974">
        <v>0</v>
      </c>
      <c r="N2974" s="23">
        <v>0</v>
      </c>
      <c r="O2974">
        <f t="shared" si="745"/>
        <v>3</v>
      </c>
      <c r="P2974" s="57">
        <f t="shared" si="746"/>
        <v>1</v>
      </c>
      <c r="Q2974" s="267">
        <f t="shared" si="747"/>
        <v>0</v>
      </c>
      <c r="R2974" s="23" t="str">
        <f t="shared" si="748"/>
        <v/>
      </c>
      <c r="S2974" s="23">
        <f t="shared" si="749"/>
        <v>0</v>
      </c>
      <c r="T2974" s="23" t="str">
        <f t="shared" si="750"/>
        <v/>
      </c>
      <c r="U2974" t="str">
        <f t="shared" si="751"/>
        <v/>
      </c>
      <c r="AF2974" s="22" t="str">
        <f t="shared" si="743"/>
        <v/>
      </c>
      <c r="AG2974" s="89"/>
      <c r="AH2974" s="274"/>
      <c r="AI2974" s="279"/>
      <c r="AJ2974" s="280"/>
      <c r="AK2974" s="92"/>
      <c r="AL2974" s="23"/>
      <c r="AU2974" s="1"/>
    </row>
    <row r="2975" spans="1:47">
      <c r="A2975" t="str">
        <f t="shared" si="744"/>
        <v>PA_Alleg_2019g~Gen-auditor north fayette (vote for 1)</v>
      </c>
      <c r="B2975" s="55" t="s">
        <v>1528</v>
      </c>
      <c r="C2975">
        <v>500</v>
      </c>
      <c r="D2975" s="55" t="s">
        <v>518</v>
      </c>
      <c r="E2975" s="55" t="s">
        <v>15</v>
      </c>
      <c r="G2975" s="62">
        <v>88</v>
      </c>
      <c r="H2975">
        <v>100</v>
      </c>
      <c r="I2975">
        <v>10967</v>
      </c>
      <c r="J2975">
        <v>0</v>
      </c>
      <c r="K2975">
        <v>5</v>
      </c>
      <c r="L2975">
        <v>5</v>
      </c>
      <c r="M2975">
        <v>0</v>
      </c>
      <c r="N2975" s="23">
        <v>0</v>
      </c>
      <c r="O2975">
        <f t="shared" si="745"/>
        <v>0</v>
      </c>
      <c r="P2975" s="57">
        <f t="shared" si="746"/>
        <v>1</v>
      </c>
      <c r="Q2975" s="267">
        <f t="shared" si="747"/>
        <v>88</v>
      </c>
      <c r="R2975" s="23">
        <f t="shared" si="748"/>
        <v>1</v>
      </c>
      <c r="S2975" s="23">
        <f t="shared" si="749"/>
        <v>0</v>
      </c>
      <c r="T2975" s="23" t="str">
        <f t="shared" si="750"/>
        <v/>
      </c>
      <c r="U2975" t="str">
        <f t="shared" si="751"/>
        <v>PA_Alleg_2019g~Gen-auditor north fayette (vote for 1)</v>
      </c>
      <c r="AF2975" s="22" t="str">
        <f t="shared" si="743"/>
        <v/>
      </c>
      <c r="AG2975" s="89"/>
      <c r="AH2975" s="274"/>
      <c r="AI2975" s="279"/>
      <c r="AJ2975" s="280"/>
      <c r="AK2975" s="92"/>
      <c r="AL2975" s="23"/>
      <c r="AU2975" s="1"/>
    </row>
    <row r="2976" spans="1:47">
      <c r="A2976" t="str">
        <f t="shared" si="744"/>
        <v>PA_Alleg_2019g~Gen-auditor ohara (vote for 1)</v>
      </c>
      <c r="B2976" s="55" t="s">
        <v>1528</v>
      </c>
      <c r="C2976">
        <v>501</v>
      </c>
      <c r="D2976" s="55" t="s">
        <v>519</v>
      </c>
      <c r="E2976" s="55" t="s">
        <v>15</v>
      </c>
      <c r="G2976" s="62">
        <v>112</v>
      </c>
      <c r="H2976">
        <v>100</v>
      </c>
      <c r="I2976">
        <v>7623</v>
      </c>
      <c r="J2976">
        <v>0</v>
      </c>
      <c r="K2976">
        <v>10</v>
      </c>
      <c r="L2976">
        <v>10</v>
      </c>
      <c r="M2976">
        <v>0</v>
      </c>
      <c r="N2976" s="23">
        <v>0</v>
      </c>
      <c r="O2976">
        <f t="shared" si="745"/>
        <v>0</v>
      </c>
      <c r="P2976" s="57">
        <f t="shared" si="746"/>
        <v>1</v>
      </c>
      <c r="Q2976" s="267">
        <f t="shared" si="747"/>
        <v>112</v>
      </c>
      <c r="R2976" s="23">
        <f t="shared" si="748"/>
        <v>1</v>
      </c>
      <c r="S2976" s="23">
        <f t="shared" si="749"/>
        <v>0</v>
      </c>
      <c r="T2976" s="23" t="str">
        <f t="shared" si="750"/>
        <v/>
      </c>
      <c r="U2976" t="str">
        <f t="shared" si="751"/>
        <v>PA_Alleg_2019g~Gen-auditor ohara (vote for 1)</v>
      </c>
      <c r="AF2976" s="22" t="str">
        <f t="shared" si="743"/>
        <v/>
      </c>
      <c r="AG2976" s="89"/>
      <c r="AH2976" s="274"/>
      <c r="AI2976" s="279"/>
      <c r="AJ2976" s="280"/>
      <c r="AK2976" s="92"/>
      <c r="AL2976" s="23"/>
      <c r="AU2976" s="1"/>
    </row>
    <row r="2977" spans="1:47">
      <c r="A2977" t="str">
        <f t="shared" si="744"/>
        <v>PA_Alleg_2019g~Gen-auditor south park (vote for 1)</v>
      </c>
      <c r="B2977" s="55" t="s">
        <v>1528</v>
      </c>
      <c r="C2977">
        <v>502</v>
      </c>
      <c r="D2977" s="55" t="s">
        <v>520</v>
      </c>
      <c r="E2977" s="55" t="s">
        <v>521</v>
      </c>
      <c r="F2977" t="s">
        <v>1294</v>
      </c>
      <c r="G2977" s="62">
        <v>2163</v>
      </c>
      <c r="H2977">
        <v>98.86</v>
      </c>
      <c r="I2977">
        <v>9833</v>
      </c>
      <c r="J2977">
        <v>0</v>
      </c>
      <c r="K2977">
        <v>13</v>
      </c>
      <c r="L2977">
        <v>13</v>
      </c>
      <c r="M2977">
        <v>0</v>
      </c>
      <c r="N2977" s="23">
        <v>0</v>
      </c>
      <c r="O2977">
        <f t="shared" si="745"/>
        <v>1</v>
      </c>
      <c r="P2977" s="57">
        <f t="shared" si="746"/>
        <v>1</v>
      </c>
      <c r="Q2977" s="267">
        <f t="shared" si="747"/>
        <v>2188</v>
      </c>
      <c r="R2977" s="23">
        <f t="shared" si="748"/>
        <v>2163</v>
      </c>
      <c r="S2977" s="23">
        <f t="shared" si="749"/>
        <v>0</v>
      </c>
      <c r="T2977" s="23" t="str">
        <f t="shared" si="750"/>
        <v/>
      </c>
      <c r="U2977" t="str">
        <f t="shared" si="751"/>
        <v>PA_Alleg_2019g~Gen-auditor south park (vote for 1)</v>
      </c>
      <c r="AF2977" s="22" t="str">
        <f t="shared" si="743"/>
        <v/>
      </c>
      <c r="AG2977" s="89"/>
      <c r="AH2977" s="274"/>
      <c r="AI2977" s="279"/>
      <c r="AJ2977" s="280"/>
      <c r="AK2977" s="92"/>
      <c r="AL2977" s="23"/>
      <c r="AU2977" s="1"/>
    </row>
    <row r="2978" spans="1:47">
      <c r="A2978" t="str">
        <f t="shared" si="744"/>
        <v>PA_Alleg_2019g~Gen-auditor south park (vote for 1)</v>
      </c>
      <c r="B2978" s="55" t="s">
        <v>1528</v>
      </c>
      <c r="C2978">
        <v>503</v>
      </c>
      <c r="D2978" s="55" t="s">
        <v>520</v>
      </c>
      <c r="E2978" s="55" t="s">
        <v>15</v>
      </c>
      <c r="G2978" s="62">
        <v>25</v>
      </c>
      <c r="H2978">
        <v>1.1399999999999999</v>
      </c>
      <c r="I2978">
        <v>9833</v>
      </c>
      <c r="J2978">
        <v>0</v>
      </c>
      <c r="K2978">
        <v>13</v>
      </c>
      <c r="L2978">
        <v>13</v>
      </c>
      <c r="M2978">
        <v>0</v>
      </c>
      <c r="N2978" s="23">
        <v>0</v>
      </c>
      <c r="O2978">
        <f t="shared" si="745"/>
        <v>-1</v>
      </c>
      <c r="P2978" s="57">
        <f t="shared" si="746"/>
        <v>1</v>
      </c>
      <c r="Q2978" s="267">
        <f t="shared" si="747"/>
        <v>25</v>
      </c>
      <c r="R2978" s="23">
        <f t="shared" si="748"/>
        <v>1</v>
      </c>
      <c r="S2978" s="23">
        <f t="shared" si="749"/>
        <v>0</v>
      </c>
      <c r="T2978" s="23" t="str">
        <f t="shared" si="750"/>
        <v/>
      </c>
      <c r="U2978" t="str">
        <f t="shared" si="751"/>
        <v/>
      </c>
      <c r="AF2978" s="22" t="str">
        <f t="shared" si="743"/>
        <v/>
      </c>
      <c r="AG2978" s="89"/>
      <c r="AH2978" s="274"/>
      <c r="AI2978" s="279"/>
      <c r="AJ2978" s="280"/>
      <c r="AK2978" s="92"/>
      <c r="AL2978" s="23"/>
      <c r="AU2978" s="1"/>
    </row>
    <row r="2979" spans="1:47">
      <c r="A2979" t="str">
        <f t="shared" si="744"/>
        <v>PA_Alleg_2019g~Gen-auditor west deer (vote for 1)</v>
      </c>
      <c r="B2979" s="55" t="s">
        <v>1528</v>
      </c>
      <c r="C2979">
        <v>504</v>
      </c>
      <c r="D2979" s="55" t="s">
        <v>522</v>
      </c>
      <c r="E2979" s="55" t="s">
        <v>15</v>
      </c>
      <c r="G2979" s="62">
        <v>41</v>
      </c>
      <c r="H2979">
        <v>100</v>
      </c>
      <c r="I2979">
        <v>8526</v>
      </c>
      <c r="J2979">
        <v>0</v>
      </c>
      <c r="K2979">
        <v>8</v>
      </c>
      <c r="L2979">
        <v>8</v>
      </c>
      <c r="M2979">
        <v>0</v>
      </c>
      <c r="N2979" s="23">
        <v>0</v>
      </c>
      <c r="O2979">
        <f t="shared" si="745"/>
        <v>0</v>
      </c>
      <c r="P2979" s="57">
        <f t="shared" si="746"/>
        <v>1</v>
      </c>
      <c r="Q2979" s="267">
        <f t="shared" si="747"/>
        <v>106</v>
      </c>
      <c r="R2979" s="23">
        <f t="shared" si="748"/>
        <v>1</v>
      </c>
      <c r="S2979" s="23">
        <f t="shared" si="749"/>
        <v>0</v>
      </c>
      <c r="T2979" s="23" t="str">
        <f t="shared" si="750"/>
        <v/>
      </c>
      <c r="U2979" t="str">
        <f t="shared" si="751"/>
        <v>PA_Alleg_2019g~Gen-auditor west deer (vote for 1)</v>
      </c>
      <c r="AF2979" s="22" t="str">
        <f t="shared" si="743"/>
        <v/>
      </c>
      <c r="AG2979" s="89"/>
      <c r="AH2979" s="274"/>
      <c r="AI2979" s="279"/>
      <c r="AJ2979" s="280"/>
      <c r="AK2979" s="92"/>
      <c r="AL2979" s="23"/>
      <c r="AU2979" s="1"/>
    </row>
    <row r="2980" spans="1:47">
      <c r="A2980" t="str">
        <f t="shared" si="744"/>
        <v>PA_Alleg_2019g~Gen-auditor west deer (vote for 1)</v>
      </c>
      <c r="B2980" s="55" t="s">
        <v>1528</v>
      </c>
      <c r="C2980">
        <v>515</v>
      </c>
      <c r="D2980" s="55" t="s">
        <v>522</v>
      </c>
      <c r="E2980" s="55" t="s">
        <v>15</v>
      </c>
      <c r="G2980" s="62">
        <v>34</v>
      </c>
      <c r="H2980">
        <v>100</v>
      </c>
      <c r="I2980">
        <v>8526</v>
      </c>
      <c r="J2980">
        <v>0</v>
      </c>
      <c r="K2980">
        <v>8</v>
      </c>
      <c r="L2980">
        <v>8</v>
      </c>
      <c r="M2980">
        <v>0</v>
      </c>
      <c r="N2980" s="23">
        <v>0</v>
      </c>
      <c r="O2980">
        <f t="shared" si="745"/>
        <v>0</v>
      </c>
      <c r="P2980" s="57">
        <f t="shared" si="746"/>
        <v>1</v>
      </c>
      <c r="Q2980" s="267">
        <f t="shared" si="747"/>
        <v>65</v>
      </c>
      <c r="R2980" s="23">
        <f t="shared" si="748"/>
        <v>1</v>
      </c>
      <c r="S2980" s="23">
        <f t="shared" si="749"/>
        <v>0</v>
      </c>
      <c r="T2980" s="23" t="str">
        <f t="shared" si="750"/>
        <v/>
      </c>
      <c r="U2980" t="str">
        <f t="shared" si="751"/>
        <v/>
      </c>
      <c r="AF2980" s="22" t="str">
        <f t="shared" si="743"/>
        <v/>
      </c>
      <c r="AG2980" s="89"/>
      <c r="AH2980" s="274"/>
      <c r="AI2980" s="279"/>
      <c r="AJ2980" s="280"/>
      <c r="AK2980" s="92"/>
      <c r="AL2980" s="23"/>
      <c r="AU2980" s="1"/>
    </row>
    <row r="2981" spans="1:47">
      <c r="A2981" t="str">
        <f t="shared" si="744"/>
        <v>PA_Alleg_2019g~Gen-auditor west deer (vote for 1)</v>
      </c>
      <c r="B2981" s="55" t="s">
        <v>1528</v>
      </c>
      <c r="C2981">
        <v>529</v>
      </c>
      <c r="D2981" s="55" t="s">
        <v>522</v>
      </c>
      <c r="E2981" s="55" t="s">
        <v>15</v>
      </c>
      <c r="G2981" s="62">
        <v>31</v>
      </c>
      <c r="H2981">
        <v>100</v>
      </c>
      <c r="I2981">
        <v>8526</v>
      </c>
      <c r="J2981">
        <v>0</v>
      </c>
      <c r="K2981">
        <v>8</v>
      </c>
      <c r="L2981">
        <v>8</v>
      </c>
      <c r="M2981">
        <v>0</v>
      </c>
      <c r="N2981" s="23">
        <v>0</v>
      </c>
      <c r="O2981">
        <f t="shared" si="745"/>
        <v>0</v>
      </c>
      <c r="P2981" s="57">
        <f t="shared" si="746"/>
        <v>1</v>
      </c>
      <c r="Q2981" s="267">
        <f t="shared" si="747"/>
        <v>31</v>
      </c>
      <c r="R2981" s="23">
        <f t="shared" si="748"/>
        <v>1</v>
      </c>
      <c r="S2981" s="23">
        <f t="shared" si="749"/>
        <v>0</v>
      </c>
      <c r="T2981" s="23" t="str">
        <f t="shared" si="750"/>
        <v/>
      </c>
      <c r="U2981" t="str">
        <f t="shared" si="751"/>
        <v/>
      </c>
      <c r="AF2981" s="22" t="str">
        <f t="shared" si="743"/>
        <v/>
      </c>
      <c r="AG2981" s="89"/>
      <c r="AH2981" s="274"/>
      <c r="AI2981" s="279"/>
      <c r="AJ2981" s="280"/>
      <c r="AK2981" s="92"/>
      <c r="AL2981" s="23"/>
      <c r="AU2981" s="1"/>
    </row>
    <row r="2982" spans="1:47">
      <c r="A2982" t="str">
        <f t="shared" si="744"/>
        <v>PA_Alleg_2019g~Gen-auditor west elizabeth (vote for 1)</v>
      </c>
      <c r="B2982" s="55" t="s">
        <v>1528</v>
      </c>
      <c r="C2982">
        <v>505</v>
      </c>
      <c r="D2982" s="55" t="s">
        <v>523</v>
      </c>
      <c r="E2982" s="55" t="s">
        <v>1446</v>
      </c>
      <c r="F2982" t="s">
        <v>1294</v>
      </c>
      <c r="G2982" s="62">
        <v>48</v>
      </c>
      <c r="H2982">
        <v>100</v>
      </c>
      <c r="I2982">
        <v>272</v>
      </c>
      <c r="J2982">
        <v>0</v>
      </c>
      <c r="K2982">
        <v>1</v>
      </c>
      <c r="L2982">
        <v>1</v>
      </c>
      <c r="M2982">
        <v>0</v>
      </c>
      <c r="N2982" s="23">
        <v>0</v>
      </c>
      <c r="O2982">
        <f t="shared" si="745"/>
        <v>1</v>
      </c>
      <c r="P2982" s="57">
        <f t="shared" si="746"/>
        <v>1</v>
      </c>
      <c r="Q2982" s="267">
        <f t="shared" si="747"/>
        <v>51</v>
      </c>
      <c r="R2982" s="23">
        <f t="shared" si="748"/>
        <v>48</v>
      </c>
      <c r="S2982" s="23">
        <f t="shared" si="749"/>
        <v>0</v>
      </c>
      <c r="T2982" s="23" t="str">
        <f t="shared" si="750"/>
        <v/>
      </c>
      <c r="U2982" t="str">
        <f t="shared" si="751"/>
        <v>PA_Alleg_2019g~Gen-auditor west elizabeth (vote for 1)</v>
      </c>
      <c r="AF2982" s="22" t="str">
        <f t="shared" si="743"/>
        <v/>
      </c>
      <c r="AG2982" s="89"/>
      <c r="AH2982" s="274"/>
      <c r="AI2982" s="279"/>
      <c r="AJ2982" s="280"/>
      <c r="AK2982" s="92"/>
      <c r="AL2982" s="23"/>
      <c r="AU2982" s="1"/>
    </row>
    <row r="2983" spans="1:47">
      <c r="A2983" t="str">
        <f t="shared" si="744"/>
        <v>PA_Alleg_2019g~Gen-auditor west elizabeth (vote for 1)</v>
      </c>
      <c r="B2983" s="55" t="s">
        <v>1528</v>
      </c>
      <c r="C2983">
        <v>530</v>
      </c>
      <c r="D2983" s="55" t="s">
        <v>523</v>
      </c>
      <c r="E2983" s="55" t="s">
        <v>15</v>
      </c>
      <c r="G2983" s="62">
        <v>3</v>
      </c>
      <c r="H2983">
        <v>100</v>
      </c>
      <c r="I2983">
        <v>272</v>
      </c>
      <c r="J2983">
        <v>0</v>
      </c>
      <c r="K2983">
        <v>1</v>
      </c>
      <c r="L2983">
        <v>1</v>
      </c>
      <c r="M2983">
        <v>0</v>
      </c>
      <c r="N2983" s="23">
        <v>0</v>
      </c>
      <c r="O2983">
        <f t="shared" si="745"/>
        <v>-1</v>
      </c>
      <c r="P2983" s="57">
        <f t="shared" si="746"/>
        <v>1</v>
      </c>
      <c r="Q2983" s="267">
        <f t="shared" si="747"/>
        <v>3</v>
      </c>
      <c r="R2983" s="23">
        <f t="shared" si="748"/>
        <v>1</v>
      </c>
      <c r="S2983" s="23">
        <f t="shared" si="749"/>
        <v>0</v>
      </c>
      <c r="T2983" s="23" t="str">
        <f t="shared" si="750"/>
        <v/>
      </c>
      <c r="U2983" t="str">
        <f t="shared" si="751"/>
        <v/>
      </c>
      <c r="AF2983" s="22" t="str">
        <f t="shared" si="743"/>
        <v/>
      </c>
      <c r="AG2983" s="89"/>
      <c r="AH2983" s="274"/>
      <c r="AI2983" s="279"/>
      <c r="AJ2983" s="280"/>
      <c r="AK2983" s="92"/>
      <c r="AL2983" s="23"/>
      <c r="AU2983" s="1"/>
    </row>
    <row r="2984" spans="1:47">
      <c r="A2984" t="str">
        <f t="shared" si="744"/>
        <v>PA_Alleg_2019g~Gen-auditor west elizabeth (vote for 1)</v>
      </c>
      <c r="B2984" s="55" t="s">
        <v>1528</v>
      </c>
      <c r="C2984">
        <v>506</v>
      </c>
      <c r="D2984" s="55" t="s">
        <v>523</v>
      </c>
      <c r="E2984" s="55" t="s">
        <v>15</v>
      </c>
      <c r="G2984" s="62">
        <v>0</v>
      </c>
      <c r="H2984">
        <v>0</v>
      </c>
      <c r="I2984">
        <v>272</v>
      </c>
      <c r="J2984">
        <v>0</v>
      </c>
      <c r="K2984">
        <v>1</v>
      </c>
      <c r="L2984">
        <v>1</v>
      </c>
      <c r="M2984">
        <v>0</v>
      </c>
      <c r="N2984" s="23">
        <v>0</v>
      </c>
      <c r="O2984">
        <f t="shared" si="745"/>
        <v>-1</v>
      </c>
      <c r="P2984" s="57">
        <f t="shared" si="746"/>
        <v>1</v>
      </c>
      <c r="Q2984" s="267">
        <f t="shared" si="747"/>
        <v>0</v>
      </c>
      <c r="R2984" s="23">
        <f t="shared" si="748"/>
        <v>1</v>
      </c>
      <c r="S2984" s="23">
        <f t="shared" si="749"/>
        <v>0</v>
      </c>
      <c r="T2984" s="23" t="str">
        <f t="shared" si="750"/>
        <v/>
      </c>
      <c r="U2984" t="str">
        <f t="shared" si="751"/>
        <v/>
      </c>
      <c r="AF2984" s="22" t="str">
        <f t="shared" si="743"/>
        <v/>
      </c>
      <c r="AG2984" s="89"/>
      <c r="AH2984" s="274"/>
      <c r="AI2984" s="279"/>
      <c r="AJ2984" s="280"/>
      <c r="AK2984" s="92"/>
      <c r="AL2984" s="23"/>
      <c r="AU2984" s="1"/>
    </row>
    <row r="2985" spans="1:47">
      <c r="A2985" t="str">
        <f t="shared" si="744"/>
        <v>PA_Alleg_2019g~Gen-bethel park home rule charter amend #1 (vote for 1)</v>
      </c>
      <c r="B2985" s="55" t="s">
        <v>1528</v>
      </c>
      <c r="C2985">
        <v>1259</v>
      </c>
      <c r="D2985" s="55" t="s">
        <v>1511</v>
      </c>
      <c r="E2985" s="55" t="s">
        <v>1394</v>
      </c>
      <c r="F2985" t="s">
        <v>1509</v>
      </c>
      <c r="G2985" s="62">
        <v>5148</v>
      </c>
      <c r="H2985">
        <v>59.59</v>
      </c>
      <c r="I2985">
        <v>25798</v>
      </c>
      <c r="J2985">
        <v>0</v>
      </c>
      <c r="K2985">
        <v>28</v>
      </c>
      <c r="L2985">
        <v>28</v>
      </c>
      <c r="M2985">
        <v>0</v>
      </c>
      <c r="N2985" s="23">
        <v>0</v>
      </c>
      <c r="O2985">
        <f t="shared" si="745"/>
        <v>1</v>
      </c>
      <c r="P2985" s="57">
        <f t="shared" si="746"/>
        <v>1</v>
      </c>
      <c r="Q2985" s="267">
        <f t="shared" si="747"/>
        <v>8639</v>
      </c>
      <c r="R2985" s="23">
        <f t="shared" si="748"/>
        <v>5148</v>
      </c>
      <c r="S2985" s="23">
        <f t="shared" si="749"/>
        <v>3491</v>
      </c>
      <c r="T2985" s="23">
        <f t="shared" si="750"/>
        <v>1657</v>
      </c>
      <c r="U2985" t="str">
        <f t="shared" si="751"/>
        <v>PA_Alleg_2019g~Gen-bethel park home rule charter amend #1 (vote for 1)</v>
      </c>
      <c r="AF2985" s="22" t="str">
        <f t="shared" si="743"/>
        <v/>
      </c>
      <c r="AG2985" s="89"/>
      <c r="AH2985" s="274"/>
      <c r="AI2985" s="279"/>
      <c r="AJ2985" s="280"/>
      <c r="AK2985" s="92"/>
      <c r="AL2985" s="23"/>
      <c r="AU2985" s="1"/>
    </row>
    <row r="2986" spans="1:47">
      <c r="A2986" t="str">
        <f t="shared" si="744"/>
        <v>PA_Alleg_2019g~Gen-bethel park home rule charter amend #1 (vote for 1)</v>
      </c>
      <c r="B2986" s="55" t="s">
        <v>1528</v>
      </c>
      <c r="C2986">
        <v>1258</v>
      </c>
      <c r="D2986" s="55" t="s">
        <v>1511</v>
      </c>
      <c r="E2986" s="55" t="s">
        <v>1393</v>
      </c>
      <c r="F2986" t="s">
        <v>1508</v>
      </c>
      <c r="G2986" s="62">
        <v>3491</v>
      </c>
      <c r="H2986">
        <v>40.409999999999997</v>
      </c>
      <c r="I2986">
        <v>25798</v>
      </c>
      <c r="J2986">
        <v>0</v>
      </c>
      <c r="K2986">
        <v>28</v>
      </c>
      <c r="L2986">
        <v>28</v>
      </c>
      <c r="M2986">
        <v>0</v>
      </c>
      <c r="N2986" s="23">
        <v>0</v>
      </c>
      <c r="O2986">
        <f t="shared" si="745"/>
        <v>2</v>
      </c>
      <c r="P2986" s="57">
        <f t="shared" si="746"/>
        <v>1</v>
      </c>
      <c r="Q2986" s="267">
        <f t="shared" si="747"/>
        <v>3491</v>
      </c>
      <c r="R2986" s="23" t="str">
        <f t="shared" si="748"/>
        <v/>
      </c>
      <c r="S2986" s="23">
        <f t="shared" si="749"/>
        <v>3491</v>
      </c>
      <c r="T2986" s="23" t="str">
        <f t="shared" si="750"/>
        <v/>
      </c>
      <c r="U2986" t="str">
        <f t="shared" si="751"/>
        <v/>
      </c>
      <c r="AF2986" s="22" t="str">
        <f t="shared" si="743"/>
        <v/>
      </c>
      <c r="AG2986" s="89"/>
      <c r="AH2986" s="274"/>
      <c r="AI2986" s="279"/>
      <c r="AJ2986" s="280"/>
      <c r="AK2986" s="92"/>
      <c r="AL2986" s="23"/>
      <c r="AU2986" s="1"/>
    </row>
    <row r="2987" spans="1:47">
      <c r="A2987" t="str">
        <f t="shared" si="744"/>
        <v>PA_Alleg_2019g~Gen-bethel park home rule charter amend #2 (vote for 1)</v>
      </c>
      <c r="B2987" s="55" t="s">
        <v>1528</v>
      </c>
      <c r="C2987">
        <v>1261</v>
      </c>
      <c r="D2987" s="55" t="s">
        <v>1512</v>
      </c>
      <c r="E2987" s="55" t="s">
        <v>1394</v>
      </c>
      <c r="F2987" t="s">
        <v>1509</v>
      </c>
      <c r="G2987" s="62">
        <v>5702</v>
      </c>
      <c r="H2987">
        <v>64.489999999999995</v>
      </c>
      <c r="I2987">
        <v>25798</v>
      </c>
      <c r="J2987">
        <v>0</v>
      </c>
      <c r="K2987">
        <v>28</v>
      </c>
      <c r="L2987">
        <v>28</v>
      </c>
      <c r="M2987">
        <v>0</v>
      </c>
      <c r="N2987" s="23">
        <v>0</v>
      </c>
      <c r="O2987">
        <f t="shared" si="745"/>
        <v>1</v>
      </c>
      <c r="P2987" s="57">
        <f t="shared" si="746"/>
        <v>1</v>
      </c>
      <c r="Q2987" s="267">
        <f t="shared" si="747"/>
        <v>8842</v>
      </c>
      <c r="R2987" s="23">
        <f t="shared" si="748"/>
        <v>5702</v>
      </c>
      <c r="S2987" s="23">
        <f t="shared" si="749"/>
        <v>3140</v>
      </c>
      <c r="T2987" s="23">
        <f t="shared" si="750"/>
        <v>2562</v>
      </c>
      <c r="U2987" t="str">
        <f t="shared" si="751"/>
        <v>PA_Alleg_2019g~Gen-bethel park home rule charter amend #2 (vote for 1)</v>
      </c>
      <c r="AF2987" s="22" t="str">
        <f t="shared" si="743"/>
        <v/>
      </c>
      <c r="AG2987" s="89"/>
      <c r="AH2987" s="274"/>
      <c r="AI2987" s="279"/>
      <c r="AJ2987" s="280"/>
      <c r="AK2987" s="92"/>
      <c r="AL2987" s="23"/>
      <c r="AU2987" s="1"/>
    </row>
    <row r="2988" spans="1:47">
      <c r="A2988" t="str">
        <f t="shared" si="744"/>
        <v>PA_Alleg_2019g~Gen-bethel park home rule charter amend #2 (vote for 1)</v>
      </c>
      <c r="B2988" s="55" t="s">
        <v>1528</v>
      </c>
      <c r="C2988">
        <v>1260</v>
      </c>
      <c r="D2988" s="55" t="s">
        <v>1512</v>
      </c>
      <c r="E2988" s="55" t="s">
        <v>1393</v>
      </c>
      <c r="F2988" t="s">
        <v>1508</v>
      </c>
      <c r="G2988" s="62">
        <v>3140</v>
      </c>
      <c r="H2988">
        <v>35.51</v>
      </c>
      <c r="I2988">
        <v>25798</v>
      </c>
      <c r="J2988">
        <v>0</v>
      </c>
      <c r="K2988">
        <v>28</v>
      </c>
      <c r="L2988">
        <v>28</v>
      </c>
      <c r="M2988">
        <v>0</v>
      </c>
      <c r="N2988" s="23">
        <v>0</v>
      </c>
      <c r="O2988">
        <f t="shared" si="745"/>
        <v>2</v>
      </c>
      <c r="P2988" s="57">
        <f t="shared" si="746"/>
        <v>1</v>
      </c>
      <c r="Q2988" s="267">
        <f t="shared" si="747"/>
        <v>3140</v>
      </c>
      <c r="R2988" s="23" t="str">
        <f t="shared" si="748"/>
        <v/>
      </c>
      <c r="S2988" s="23">
        <f t="shared" si="749"/>
        <v>3140</v>
      </c>
      <c r="T2988" s="23" t="str">
        <f t="shared" si="750"/>
        <v/>
      </c>
      <c r="U2988" t="str">
        <f t="shared" si="751"/>
        <v/>
      </c>
      <c r="AF2988" s="22" t="str">
        <f t="shared" si="743"/>
        <v/>
      </c>
      <c r="AG2988" s="89"/>
      <c r="AH2988" s="274"/>
      <c r="AI2988" s="279"/>
      <c r="AJ2988" s="280"/>
      <c r="AK2988" s="92"/>
      <c r="AL2988" s="23"/>
      <c r="AU2988" s="1"/>
    </row>
    <row r="2989" spans="1:47">
      <c r="A2989" t="str">
        <f t="shared" si="744"/>
        <v>PA_Alleg_2019g~Gen-braddock home rule charter (vote for 1)</v>
      </c>
      <c r="B2989" s="55" t="s">
        <v>1528</v>
      </c>
      <c r="C2989">
        <v>1256</v>
      </c>
      <c r="D2989" s="55" t="s">
        <v>1510</v>
      </c>
      <c r="E2989" s="55" t="s">
        <v>1393</v>
      </c>
      <c r="F2989" t="s">
        <v>1508</v>
      </c>
      <c r="G2989" s="62">
        <v>246</v>
      </c>
      <c r="H2989">
        <v>68.91</v>
      </c>
      <c r="I2989">
        <v>1661</v>
      </c>
      <c r="J2989">
        <v>0</v>
      </c>
      <c r="K2989">
        <v>3</v>
      </c>
      <c r="L2989">
        <v>3</v>
      </c>
      <c r="M2989">
        <v>0</v>
      </c>
      <c r="N2989" s="23">
        <v>0</v>
      </c>
      <c r="O2989">
        <f t="shared" si="745"/>
        <v>1</v>
      </c>
      <c r="P2989" s="57">
        <f t="shared" si="746"/>
        <v>1</v>
      </c>
      <c r="Q2989" s="267">
        <f t="shared" si="747"/>
        <v>357</v>
      </c>
      <c r="R2989" s="23">
        <f t="shared" si="748"/>
        <v>246</v>
      </c>
      <c r="S2989" s="23">
        <f t="shared" si="749"/>
        <v>111</v>
      </c>
      <c r="T2989" s="23">
        <f t="shared" si="750"/>
        <v>135</v>
      </c>
      <c r="U2989" t="str">
        <f t="shared" si="751"/>
        <v>PA_Alleg_2019g~Gen-braddock home rule charter (vote for 1)</v>
      </c>
      <c r="AF2989" s="22" t="str">
        <f t="shared" si="743"/>
        <v/>
      </c>
      <c r="AG2989" s="89"/>
      <c r="AH2989" s="274"/>
      <c r="AI2989" s="279"/>
      <c r="AJ2989" s="280"/>
      <c r="AK2989" s="92"/>
      <c r="AL2989" s="23"/>
      <c r="AU2989" s="1"/>
    </row>
    <row r="2990" spans="1:47">
      <c r="A2990" t="str">
        <f t="shared" si="744"/>
        <v>PA_Alleg_2019g~Gen-braddock home rule charter (vote for 1)</v>
      </c>
      <c r="B2990" s="55" t="s">
        <v>1528</v>
      </c>
      <c r="C2990">
        <v>1257</v>
      </c>
      <c r="D2990" s="55" t="s">
        <v>1510</v>
      </c>
      <c r="E2990" s="55" t="s">
        <v>1394</v>
      </c>
      <c r="F2990" t="s">
        <v>1509</v>
      </c>
      <c r="G2990" s="62">
        <v>111</v>
      </c>
      <c r="H2990">
        <v>31.09</v>
      </c>
      <c r="I2990">
        <v>1661</v>
      </c>
      <c r="J2990">
        <v>0</v>
      </c>
      <c r="K2990">
        <v>3</v>
      </c>
      <c r="L2990">
        <v>3</v>
      </c>
      <c r="M2990">
        <v>0</v>
      </c>
      <c r="N2990" s="23">
        <v>0</v>
      </c>
      <c r="O2990">
        <f t="shared" si="745"/>
        <v>2</v>
      </c>
      <c r="P2990" s="57">
        <f t="shared" si="746"/>
        <v>1</v>
      </c>
      <c r="Q2990" s="267">
        <f t="shared" si="747"/>
        <v>111</v>
      </c>
      <c r="R2990" s="23" t="str">
        <f t="shared" si="748"/>
        <v/>
      </c>
      <c r="S2990" s="23">
        <f t="shared" si="749"/>
        <v>111</v>
      </c>
      <c r="T2990" s="23" t="str">
        <f t="shared" si="750"/>
        <v/>
      </c>
      <c r="U2990" t="str">
        <f t="shared" si="751"/>
        <v/>
      </c>
      <c r="AF2990" s="22" t="str">
        <f t="shared" si="743"/>
        <v/>
      </c>
      <c r="AG2990" s="89"/>
      <c r="AH2990" s="274"/>
      <c r="AI2990" s="279"/>
      <c r="AJ2990" s="280"/>
      <c r="AK2990" s="92"/>
      <c r="AL2990" s="23"/>
      <c r="AU2990" s="1"/>
    </row>
    <row r="2991" spans="1:47">
      <c r="A2991" t="str">
        <f t="shared" si="744"/>
        <v>PA_Alleg_2019g~Gen-city of pittsburgh hrc amendment (vote for 1)</v>
      </c>
      <c r="B2991" s="55" t="s">
        <v>1528</v>
      </c>
      <c r="C2991">
        <v>1262</v>
      </c>
      <c r="D2991" s="55" t="s">
        <v>1513</v>
      </c>
      <c r="E2991" s="55" t="s">
        <v>1393</v>
      </c>
      <c r="F2991" t="s">
        <v>1508</v>
      </c>
      <c r="G2991" s="62">
        <v>33908</v>
      </c>
      <c r="H2991">
        <v>51.88</v>
      </c>
      <c r="I2991">
        <v>254941</v>
      </c>
      <c r="J2991">
        <v>0</v>
      </c>
      <c r="K2991">
        <v>402</v>
      </c>
      <c r="L2991">
        <v>402</v>
      </c>
      <c r="M2991">
        <v>0</v>
      </c>
      <c r="N2991" s="23">
        <v>0</v>
      </c>
      <c r="O2991">
        <f t="shared" si="745"/>
        <v>1</v>
      </c>
      <c r="P2991" s="57">
        <f t="shared" si="746"/>
        <v>1</v>
      </c>
      <c r="Q2991" s="267">
        <f t="shared" si="747"/>
        <v>65354</v>
      </c>
      <c r="R2991" s="23">
        <f t="shared" si="748"/>
        <v>33908</v>
      </c>
      <c r="S2991" s="23">
        <f t="shared" si="749"/>
        <v>31446</v>
      </c>
      <c r="T2991" s="23">
        <f t="shared" si="750"/>
        <v>2462</v>
      </c>
      <c r="U2991" t="str">
        <f t="shared" si="751"/>
        <v>PA_Alleg_2019g~Gen-city of pittsburgh hrc amendment (vote for 1)</v>
      </c>
      <c r="AF2991" s="22" t="str">
        <f t="shared" si="743"/>
        <v/>
      </c>
      <c r="AG2991" s="89"/>
      <c r="AH2991" s="274"/>
      <c r="AI2991" s="279"/>
      <c r="AJ2991" s="280"/>
      <c r="AK2991" s="92"/>
      <c r="AL2991" s="23"/>
      <c r="AU2991" s="1"/>
    </row>
    <row r="2992" spans="1:47">
      <c r="A2992" t="str">
        <f t="shared" si="744"/>
        <v>PA_Alleg_2019g~Gen-city of pittsburgh hrc amendment (vote for 1)</v>
      </c>
      <c r="B2992" s="55" t="s">
        <v>1528</v>
      </c>
      <c r="C2992">
        <v>1263</v>
      </c>
      <c r="D2992" s="55" t="s">
        <v>1513</v>
      </c>
      <c r="E2992" s="55" t="s">
        <v>1394</v>
      </c>
      <c r="F2992" t="s">
        <v>1509</v>
      </c>
      <c r="G2992" s="62">
        <v>31446</v>
      </c>
      <c r="H2992">
        <v>48.12</v>
      </c>
      <c r="I2992">
        <v>254941</v>
      </c>
      <c r="J2992">
        <v>0</v>
      </c>
      <c r="K2992">
        <v>402</v>
      </c>
      <c r="L2992">
        <v>402</v>
      </c>
      <c r="M2992">
        <v>0</v>
      </c>
      <c r="N2992" s="23">
        <v>0</v>
      </c>
      <c r="O2992">
        <f t="shared" si="745"/>
        <v>2</v>
      </c>
      <c r="P2992" s="57">
        <f t="shared" si="746"/>
        <v>1</v>
      </c>
      <c r="Q2992" s="267">
        <f t="shared" si="747"/>
        <v>31446</v>
      </c>
      <c r="R2992" s="23" t="str">
        <f t="shared" si="748"/>
        <v/>
      </c>
      <c r="S2992" s="23">
        <f t="shared" si="749"/>
        <v>31446</v>
      </c>
      <c r="T2992" s="23" t="str">
        <f t="shared" si="750"/>
        <v/>
      </c>
      <c r="U2992" t="str">
        <f t="shared" si="751"/>
        <v/>
      </c>
      <c r="AF2992" s="22" t="str">
        <f t="shared" si="743"/>
        <v/>
      </c>
      <c r="AG2992" s="89"/>
      <c r="AH2992" s="274"/>
      <c r="AI2992" s="279"/>
      <c r="AJ2992" s="280"/>
      <c r="AK2992" s="92"/>
      <c r="AL2992" s="23"/>
      <c r="AU2992" s="1"/>
    </row>
    <row r="2993" spans="1:47">
      <c r="A2993" t="str">
        <f t="shared" si="744"/>
        <v>PA_Alleg_2019g~Gen-commissioner aleppo (vote for 1)</v>
      </c>
      <c r="B2993" s="55" t="s">
        <v>1528</v>
      </c>
      <c r="C2993">
        <v>591</v>
      </c>
      <c r="D2993" s="55" t="s">
        <v>1456</v>
      </c>
      <c r="E2993" s="55" t="s">
        <v>15</v>
      </c>
      <c r="G2993" s="62">
        <v>45</v>
      </c>
      <c r="H2993">
        <v>100</v>
      </c>
      <c r="I2993">
        <v>1389</v>
      </c>
      <c r="J2993">
        <v>0</v>
      </c>
      <c r="K2993">
        <v>1</v>
      </c>
      <c r="L2993">
        <v>1</v>
      </c>
      <c r="M2993">
        <v>0</v>
      </c>
      <c r="N2993" s="23">
        <v>0</v>
      </c>
      <c r="O2993">
        <f t="shared" si="745"/>
        <v>0</v>
      </c>
      <c r="P2993" s="57">
        <f t="shared" si="746"/>
        <v>1</v>
      </c>
      <c r="Q2993" s="267">
        <f t="shared" si="747"/>
        <v>45</v>
      </c>
      <c r="R2993" s="23">
        <f t="shared" si="748"/>
        <v>1</v>
      </c>
      <c r="S2993" s="23">
        <f t="shared" si="749"/>
        <v>0</v>
      </c>
      <c r="T2993" s="23" t="str">
        <f t="shared" si="750"/>
        <v/>
      </c>
      <c r="U2993" t="str">
        <f t="shared" si="751"/>
        <v>PA_Alleg_2019g~Gen-commissioner aleppo (vote for 1)</v>
      </c>
      <c r="AF2993" s="22" t="str">
        <f t="shared" si="743"/>
        <v/>
      </c>
      <c r="AG2993" s="89"/>
      <c r="AH2993" s="274"/>
      <c r="AI2993" s="279"/>
      <c r="AJ2993" s="280"/>
      <c r="AK2993" s="92"/>
      <c r="AL2993" s="23"/>
      <c r="AU2993" s="1"/>
    </row>
    <row r="2994" spans="1:47">
      <c r="A2994" t="str">
        <f t="shared" si="744"/>
        <v>PA_Alleg_2019g~Gen-commissioner aleppo (vote for 2)</v>
      </c>
      <c r="B2994" s="55" t="s">
        <v>1528</v>
      </c>
      <c r="C2994">
        <v>578</v>
      </c>
      <c r="D2994" s="55" t="s">
        <v>558</v>
      </c>
      <c r="E2994" s="55" t="s">
        <v>1453</v>
      </c>
      <c r="F2994" t="s">
        <v>1396</v>
      </c>
      <c r="G2994" s="62">
        <v>321</v>
      </c>
      <c r="H2994">
        <v>57.53</v>
      </c>
      <c r="I2994">
        <v>1389</v>
      </c>
      <c r="J2994">
        <v>0</v>
      </c>
      <c r="K2994">
        <v>1</v>
      </c>
      <c r="L2994">
        <v>1</v>
      </c>
      <c r="M2994">
        <v>0</v>
      </c>
      <c r="N2994" s="23">
        <v>0</v>
      </c>
      <c r="O2994">
        <f t="shared" si="745"/>
        <v>1</v>
      </c>
      <c r="P2994" s="57">
        <f t="shared" si="746"/>
        <v>2</v>
      </c>
      <c r="Q2994" s="267">
        <f t="shared" si="747"/>
        <v>321</v>
      </c>
      <c r="R2994" s="23">
        <f t="shared" si="748"/>
        <v>213</v>
      </c>
      <c r="S2994" s="23">
        <f t="shared" si="749"/>
        <v>0</v>
      </c>
      <c r="T2994" s="23" t="str">
        <f t="shared" si="750"/>
        <v/>
      </c>
      <c r="U2994" t="str">
        <f t="shared" si="751"/>
        <v>PA_Alleg_2019g~Gen-commissioner aleppo (vote for 2)</v>
      </c>
      <c r="AF2994" s="22" t="str">
        <f t="shared" si="743"/>
        <v/>
      </c>
      <c r="AG2994" s="89"/>
      <c r="AH2994" s="274"/>
      <c r="AI2994" s="279"/>
      <c r="AJ2994" s="280"/>
      <c r="AK2994" s="92"/>
      <c r="AL2994" s="23"/>
      <c r="AU2994" s="1"/>
    </row>
    <row r="2995" spans="1:47">
      <c r="A2995" t="str">
        <f t="shared" si="744"/>
        <v>PA_Alleg_2019g~Gen-commissioner aleppo (vote for 2)</v>
      </c>
      <c r="B2995" s="55" t="s">
        <v>1528</v>
      </c>
      <c r="C2995">
        <v>577</v>
      </c>
      <c r="D2995" s="55" t="s">
        <v>558</v>
      </c>
      <c r="E2995" s="55" t="s">
        <v>559</v>
      </c>
      <c r="F2995" t="s">
        <v>1294</v>
      </c>
      <c r="G2995" s="62">
        <v>213</v>
      </c>
      <c r="H2995">
        <v>38.17</v>
      </c>
      <c r="I2995">
        <v>1389</v>
      </c>
      <c r="J2995">
        <v>0</v>
      </c>
      <c r="K2995">
        <v>1</v>
      </c>
      <c r="L2995">
        <v>1</v>
      </c>
      <c r="M2995">
        <v>0</v>
      </c>
      <c r="N2995" s="23">
        <v>0</v>
      </c>
      <c r="O2995">
        <f t="shared" si="745"/>
        <v>2</v>
      </c>
      <c r="P2995" s="57">
        <f t="shared" si="746"/>
        <v>2</v>
      </c>
      <c r="Q2995" s="267">
        <f t="shared" si="747"/>
        <v>237</v>
      </c>
      <c r="R2995" s="23">
        <f t="shared" si="748"/>
        <v>213</v>
      </c>
      <c r="S2995" s="23">
        <f t="shared" si="749"/>
        <v>0</v>
      </c>
      <c r="T2995" s="23" t="str">
        <f t="shared" si="750"/>
        <v/>
      </c>
      <c r="U2995" t="str">
        <f t="shared" si="751"/>
        <v/>
      </c>
      <c r="AF2995" s="22" t="str">
        <f t="shared" si="743"/>
        <v/>
      </c>
      <c r="AG2995" s="89"/>
      <c r="AH2995" s="274"/>
      <c r="AI2995" s="279"/>
      <c r="AJ2995" s="280"/>
      <c r="AK2995" s="92"/>
      <c r="AL2995" s="23"/>
      <c r="AU2995" s="1"/>
    </row>
    <row r="2996" spans="1:47">
      <c r="A2996" t="str">
        <f t="shared" si="744"/>
        <v>PA_Alleg_2019g~Gen-commissioner aleppo (vote for 2)</v>
      </c>
      <c r="B2996" s="55" t="s">
        <v>1528</v>
      </c>
      <c r="C2996">
        <v>579</v>
      </c>
      <c r="D2996" s="55" t="s">
        <v>558</v>
      </c>
      <c r="E2996" s="55" t="s">
        <v>15</v>
      </c>
      <c r="G2996" s="62">
        <v>24</v>
      </c>
      <c r="H2996">
        <v>4.3</v>
      </c>
      <c r="I2996">
        <v>1389</v>
      </c>
      <c r="J2996">
        <v>0</v>
      </c>
      <c r="K2996">
        <v>1</v>
      </c>
      <c r="L2996">
        <v>1</v>
      </c>
      <c r="M2996">
        <v>0</v>
      </c>
      <c r="N2996" s="23">
        <v>0</v>
      </c>
      <c r="O2996">
        <f t="shared" si="745"/>
        <v>-2</v>
      </c>
      <c r="P2996" s="57">
        <f t="shared" si="746"/>
        <v>2</v>
      </c>
      <c r="Q2996" s="267">
        <f t="shared" si="747"/>
        <v>24</v>
      </c>
      <c r="R2996" s="23">
        <f t="shared" si="748"/>
        <v>1</v>
      </c>
      <c r="S2996" s="23">
        <f t="shared" si="749"/>
        <v>0</v>
      </c>
      <c r="T2996" s="23" t="str">
        <f t="shared" si="750"/>
        <v/>
      </c>
      <c r="U2996" t="str">
        <f t="shared" si="751"/>
        <v/>
      </c>
      <c r="AF2996" s="22" t="str">
        <f t="shared" si="743"/>
        <v/>
      </c>
      <c r="AG2996" s="89"/>
      <c r="AH2996" s="274"/>
      <c r="AI2996" s="279"/>
      <c r="AJ2996" s="280"/>
      <c r="AK2996" s="92"/>
      <c r="AL2996" s="23"/>
      <c r="AU2996" s="1"/>
    </row>
    <row r="2997" spans="1:47">
      <c r="A2997" t="str">
        <f t="shared" si="744"/>
        <v>PA_Alleg_2019g~Gen-commissioner at-large crescent (vote for 2)</v>
      </c>
      <c r="B2997" s="55" t="s">
        <v>1528</v>
      </c>
      <c r="C2997">
        <v>538</v>
      </c>
      <c r="D2997" s="55" t="s">
        <v>530</v>
      </c>
      <c r="E2997" s="55" t="s">
        <v>1136</v>
      </c>
      <c r="F2997" t="s">
        <v>1296</v>
      </c>
      <c r="G2997" s="62">
        <v>224</v>
      </c>
      <c r="H2997">
        <v>22</v>
      </c>
      <c r="I2997">
        <v>1829</v>
      </c>
      <c r="J2997">
        <v>0</v>
      </c>
      <c r="K2997">
        <v>2</v>
      </c>
      <c r="L2997">
        <v>2</v>
      </c>
      <c r="M2997">
        <v>0</v>
      </c>
      <c r="N2997" s="23">
        <v>0</v>
      </c>
      <c r="O2997">
        <f t="shared" si="745"/>
        <v>1</v>
      </c>
      <c r="P2997" s="57">
        <f t="shared" si="746"/>
        <v>2</v>
      </c>
      <c r="Q2997" s="267">
        <f t="shared" si="747"/>
        <v>509</v>
      </c>
      <c r="R2997" s="23">
        <f t="shared" si="748"/>
        <v>224</v>
      </c>
      <c r="S2997" s="23">
        <f t="shared" si="749"/>
        <v>221</v>
      </c>
      <c r="T2997" s="23">
        <f t="shared" si="750"/>
        <v>3</v>
      </c>
      <c r="U2997" t="str">
        <f t="shared" si="751"/>
        <v>PA_Alleg_2019g~Gen-commissioner at-large crescent (vote for 2)</v>
      </c>
      <c r="AF2997" s="22" t="str">
        <f t="shared" si="743"/>
        <v/>
      </c>
      <c r="AG2997" s="89"/>
      <c r="AH2997" s="274"/>
      <c r="AI2997" s="279"/>
      <c r="AJ2997" s="280"/>
      <c r="AK2997" s="92"/>
      <c r="AL2997" s="23"/>
      <c r="AU2997" s="1"/>
    </row>
    <row r="2998" spans="1:47">
      <c r="A2998" t="str">
        <f t="shared" si="744"/>
        <v>PA_Alleg_2019g~Gen-commissioner at-large crescent (vote for 2)</v>
      </c>
      <c r="B2998" s="55" t="s">
        <v>1528</v>
      </c>
      <c r="C2998">
        <v>537</v>
      </c>
      <c r="D2998" s="55" t="s">
        <v>530</v>
      </c>
      <c r="E2998" s="55" t="s">
        <v>1135</v>
      </c>
      <c r="F2998" t="s">
        <v>1296</v>
      </c>
      <c r="G2998" s="62">
        <v>224</v>
      </c>
      <c r="H2998">
        <v>22</v>
      </c>
      <c r="I2998">
        <v>1829</v>
      </c>
      <c r="J2998">
        <v>0</v>
      </c>
      <c r="K2998">
        <v>2</v>
      </c>
      <c r="L2998">
        <v>2</v>
      </c>
      <c r="M2998">
        <v>0</v>
      </c>
      <c r="N2998" s="23">
        <v>0</v>
      </c>
      <c r="O2998">
        <f t="shared" si="745"/>
        <v>2</v>
      </c>
      <c r="P2998" s="57">
        <f t="shared" si="746"/>
        <v>2</v>
      </c>
      <c r="Q2998" s="267">
        <f t="shared" si="747"/>
        <v>794</v>
      </c>
      <c r="R2998" s="23">
        <f t="shared" si="748"/>
        <v>224</v>
      </c>
      <c r="S2998" s="23">
        <f t="shared" si="749"/>
        <v>221</v>
      </c>
      <c r="T2998" s="23" t="str">
        <f t="shared" si="750"/>
        <v/>
      </c>
      <c r="U2998" t="str">
        <f t="shared" si="751"/>
        <v/>
      </c>
      <c r="AF2998" s="22" t="str">
        <f t="shared" ref="AF2998:AF3061" si="752">LEFT(AL2727,14)</f>
        <v/>
      </c>
      <c r="AG2998" s="89"/>
      <c r="AH2998" s="274"/>
      <c r="AI2998" s="279"/>
      <c r="AJ2998" s="280"/>
      <c r="AK2998" s="92"/>
      <c r="AL2998" s="23"/>
      <c r="AU2998" s="1"/>
    </row>
    <row r="2999" spans="1:47">
      <c r="A2999" t="str">
        <f t="shared" si="744"/>
        <v>PA_Alleg_2019g~Gen-commissioner at-large crescent (vote for 2)</v>
      </c>
      <c r="B2999" s="55" t="s">
        <v>1528</v>
      </c>
      <c r="C2999">
        <v>536</v>
      </c>
      <c r="D2999" s="55" t="s">
        <v>530</v>
      </c>
      <c r="E2999" s="55" t="s">
        <v>1448</v>
      </c>
      <c r="F2999" t="s">
        <v>1294</v>
      </c>
      <c r="G2999" s="62">
        <v>221</v>
      </c>
      <c r="H2999">
        <v>21.71</v>
      </c>
      <c r="I2999">
        <v>1829</v>
      </c>
      <c r="J2999">
        <v>0</v>
      </c>
      <c r="K2999">
        <v>2</v>
      </c>
      <c r="L2999">
        <v>2</v>
      </c>
      <c r="M2999">
        <v>0</v>
      </c>
      <c r="N2999" s="23">
        <v>0</v>
      </c>
      <c r="O2999">
        <f t="shared" si="745"/>
        <v>3</v>
      </c>
      <c r="P2999" s="57">
        <f t="shared" si="746"/>
        <v>2</v>
      </c>
      <c r="Q2999" s="267">
        <f t="shared" si="747"/>
        <v>570</v>
      </c>
      <c r="R2999" s="23" t="str">
        <f t="shared" si="748"/>
        <v/>
      </c>
      <c r="S2999" s="23">
        <f t="shared" si="749"/>
        <v>221</v>
      </c>
      <c r="T2999" s="23" t="str">
        <f t="shared" si="750"/>
        <v/>
      </c>
      <c r="U2999" t="str">
        <f t="shared" si="751"/>
        <v/>
      </c>
      <c r="AF2999" s="22" t="str">
        <f t="shared" si="752"/>
        <v/>
      </c>
      <c r="AG2999" s="89"/>
      <c r="AH2999" s="274"/>
      <c r="AI2999" s="279"/>
      <c r="AJ2999" s="280"/>
      <c r="AK2999" s="92"/>
      <c r="AL2999" s="23"/>
      <c r="AU2999" s="1"/>
    </row>
    <row r="3000" spans="1:47">
      <c r="A3000" t="str">
        <f t="shared" ref="A3000:A3063" si="753">CONCATENATE(B3000,"~Gen-",LOWER(D3000))</f>
        <v>PA_Alleg_2019g~Gen-commissioner at-large crescent (vote for 2)</v>
      </c>
      <c r="B3000" s="55" t="s">
        <v>1528</v>
      </c>
      <c r="C3000">
        <v>535</v>
      </c>
      <c r="D3000" s="55" t="s">
        <v>530</v>
      </c>
      <c r="E3000" s="55" t="s">
        <v>1447</v>
      </c>
      <c r="F3000" t="s">
        <v>1294</v>
      </c>
      <c r="G3000" s="62">
        <v>194</v>
      </c>
      <c r="H3000">
        <v>19.059999999999999</v>
      </c>
      <c r="I3000">
        <v>1829</v>
      </c>
      <c r="J3000">
        <v>0</v>
      </c>
      <c r="K3000">
        <v>2</v>
      </c>
      <c r="L3000">
        <v>2</v>
      </c>
      <c r="M3000">
        <v>0</v>
      </c>
      <c r="N3000" s="23">
        <v>0</v>
      </c>
      <c r="O3000">
        <f t="shared" si="745"/>
        <v>4</v>
      </c>
      <c r="P3000" s="57">
        <f t="shared" si="746"/>
        <v>2</v>
      </c>
      <c r="Q3000" s="267">
        <f t="shared" si="747"/>
        <v>349</v>
      </c>
      <c r="R3000" s="23" t="str">
        <f t="shared" si="748"/>
        <v/>
      </c>
      <c r="S3000" s="23">
        <f t="shared" si="749"/>
        <v>194</v>
      </c>
      <c r="T3000" s="23" t="str">
        <f t="shared" si="750"/>
        <v/>
      </c>
      <c r="U3000" t="str">
        <f t="shared" si="751"/>
        <v/>
      </c>
      <c r="AF3000" s="22" t="str">
        <f t="shared" si="752"/>
        <v/>
      </c>
      <c r="AG3000" s="89"/>
      <c r="AH3000" s="274"/>
      <c r="AI3000" s="279"/>
      <c r="AJ3000" s="280"/>
      <c r="AK3000" s="92"/>
      <c r="AL3000" s="23"/>
      <c r="AU3000" s="1"/>
    </row>
    <row r="3001" spans="1:47">
      <c r="A3001" t="str">
        <f t="shared" si="753"/>
        <v>PA_Alleg_2019g~Gen-commissioner at-large crescent (vote for 2)</v>
      </c>
      <c r="B3001" s="55" t="s">
        <v>1528</v>
      </c>
      <c r="C3001">
        <v>539</v>
      </c>
      <c r="D3001" s="55" t="s">
        <v>530</v>
      </c>
      <c r="E3001" s="55" t="s">
        <v>15</v>
      </c>
      <c r="G3001" s="62">
        <v>155</v>
      </c>
      <c r="H3001">
        <v>15.23</v>
      </c>
      <c r="I3001">
        <v>1829</v>
      </c>
      <c r="J3001">
        <v>0</v>
      </c>
      <c r="K3001">
        <v>2</v>
      </c>
      <c r="L3001">
        <v>2</v>
      </c>
      <c r="M3001">
        <v>0</v>
      </c>
      <c r="N3001" s="23">
        <v>0</v>
      </c>
      <c r="O3001">
        <f t="shared" si="745"/>
        <v>-4</v>
      </c>
      <c r="P3001" s="57">
        <f t="shared" si="746"/>
        <v>2</v>
      </c>
      <c r="Q3001" s="267">
        <f t="shared" si="747"/>
        <v>155</v>
      </c>
      <c r="R3001" s="23">
        <f t="shared" si="748"/>
        <v>1</v>
      </c>
      <c r="S3001" s="23">
        <f t="shared" si="749"/>
        <v>0</v>
      </c>
      <c r="T3001" s="23" t="str">
        <f t="shared" si="750"/>
        <v/>
      </c>
      <c r="U3001" t="str">
        <f t="shared" si="751"/>
        <v/>
      </c>
      <c r="AF3001" s="22" t="str">
        <f t="shared" si="752"/>
        <v/>
      </c>
      <c r="AG3001" s="89"/>
      <c r="AH3001" s="274"/>
      <c r="AI3001" s="279"/>
      <c r="AJ3001" s="280"/>
      <c r="AK3001" s="92"/>
      <c r="AL3001" s="23"/>
      <c r="AU3001" s="1"/>
    </row>
    <row r="3002" spans="1:47">
      <c r="A3002" t="str">
        <f t="shared" si="753"/>
        <v>PA_Alleg_2019g~Gen-commissioner at-large east deer (vote for 3)</v>
      </c>
      <c r="B3002" s="55" t="s">
        <v>1528</v>
      </c>
      <c r="C3002">
        <v>532</v>
      </c>
      <c r="D3002" s="55" t="s">
        <v>526</v>
      </c>
      <c r="E3002" s="55" t="s">
        <v>527</v>
      </c>
      <c r="F3002" t="s">
        <v>1294</v>
      </c>
      <c r="G3002" s="62">
        <v>146</v>
      </c>
      <c r="H3002">
        <v>33.26</v>
      </c>
      <c r="I3002">
        <v>896</v>
      </c>
      <c r="J3002">
        <v>0</v>
      </c>
      <c r="K3002">
        <v>2</v>
      </c>
      <c r="L3002">
        <v>2</v>
      </c>
      <c r="M3002">
        <v>0</v>
      </c>
      <c r="N3002" s="23">
        <v>0</v>
      </c>
      <c r="O3002">
        <f t="shared" si="745"/>
        <v>1</v>
      </c>
      <c r="P3002" s="57">
        <f t="shared" si="746"/>
        <v>3</v>
      </c>
      <c r="Q3002" s="267">
        <f t="shared" si="747"/>
        <v>146.33333333333334</v>
      </c>
      <c r="R3002" s="23">
        <f t="shared" si="748"/>
        <v>141</v>
      </c>
      <c r="S3002" s="23">
        <f t="shared" si="749"/>
        <v>0</v>
      </c>
      <c r="T3002" s="23" t="str">
        <f t="shared" si="750"/>
        <v/>
      </c>
      <c r="U3002" t="str">
        <f t="shared" si="751"/>
        <v>PA_Alleg_2019g~Gen-commissioner at-large east deer (vote for 3)</v>
      </c>
      <c r="AF3002" s="22" t="str">
        <f t="shared" si="752"/>
        <v/>
      </c>
      <c r="AG3002" s="89"/>
      <c r="AH3002" s="274"/>
      <c r="AI3002" s="279"/>
      <c r="AJ3002" s="280"/>
      <c r="AK3002" s="92"/>
      <c r="AL3002" s="23"/>
      <c r="AU3002" s="1"/>
    </row>
    <row r="3003" spans="1:47">
      <c r="A3003" t="str">
        <f t="shared" si="753"/>
        <v>PA_Alleg_2019g~Gen-commissioner at-large east deer (vote for 3)</v>
      </c>
      <c r="B3003" s="55" t="s">
        <v>1528</v>
      </c>
      <c r="C3003">
        <v>533</v>
      </c>
      <c r="D3003" s="55" t="s">
        <v>526</v>
      </c>
      <c r="E3003" s="55" t="s">
        <v>529</v>
      </c>
      <c r="F3003" t="s">
        <v>1294</v>
      </c>
      <c r="G3003" s="62">
        <v>143</v>
      </c>
      <c r="H3003">
        <v>32.57</v>
      </c>
      <c r="I3003">
        <v>896</v>
      </c>
      <c r="J3003">
        <v>0</v>
      </c>
      <c r="K3003">
        <v>2</v>
      </c>
      <c r="L3003">
        <v>2</v>
      </c>
      <c r="M3003">
        <v>0</v>
      </c>
      <c r="N3003" s="23">
        <v>0</v>
      </c>
      <c r="O3003">
        <f t="shared" si="745"/>
        <v>2</v>
      </c>
      <c r="P3003" s="57">
        <f t="shared" si="746"/>
        <v>3</v>
      </c>
      <c r="Q3003" s="267">
        <f t="shared" si="747"/>
        <v>293</v>
      </c>
      <c r="R3003" s="23">
        <f t="shared" si="748"/>
        <v>141</v>
      </c>
      <c r="S3003" s="23">
        <f t="shared" si="749"/>
        <v>0</v>
      </c>
      <c r="T3003" s="23" t="str">
        <f t="shared" si="750"/>
        <v/>
      </c>
      <c r="U3003" t="str">
        <f t="shared" si="751"/>
        <v/>
      </c>
      <c r="AF3003" s="22" t="str">
        <f t="shared" si="752"/>
        <v/>
      </c>
      <c r="AG3003" s="89"/>
      <c r="AH3003" s="274"/>
      <c r="AI3003" s="279"/>
      <c r="AJ3003" s="280"/>
      <c r="AK3003" s="92"/>
      <c r="AL3003" s="23"/>
      <c r="AU3003" s="1"/>
    </row>
    <row r="3004" spans="1:47">
      <c r="A3004" t="str">
        <f t="shared" si="753"/>
        <v>PA_Alleg_2019g~Gen-commissioner at-large east deer (vote for 3)</v>
      </c>
      <c r="B3004" s="55" t="s">
        <v>1528</v>
      </c>
      <c r="C3004">
        <v>531</v>
      </c>
      <c r="D3004" s="55" t="s">
        <v>526</v>
      </c>
      <c r="E3004" s="55" t="s">
        <v>528</v>
      </c>
      <c r="F3004" t="s">
        <v>1294</v>
      </c>
      <c r="G3004" s="62">
        <v>141</v>
      </c>
      <c r="H3004">
        <v>32.119999999999997</v>
      </c>
      <c r="I3004">
        <v>896</v>
      </c>
      <c r="J3004">
        <v>0</v>
      </c>
      <c r="K3004">
        <v>2</v>
      </c>
      <c r="L3004">
        <v>2</v>
      </c>
      <c r="M3004">
        <v>0</v>
      </c>
      <c r="N3004" s="23">
        <v>0</v>
      </c>
      <c r="O3004">
        <f t="shared" si="745"/>
        <v>3</v>
      </c>
      <c r="P3004" s="57">
        <f t="shared" si="746"/>
        <v>3</v>
      </c>
      <c r="Q3004" s="267">
        <f t="shared" si="747"/>
        <v>150</v>
      </c>
      <c r="R3004" s="23">
        <f t="shared" si="748"/>
        <v>141</v>
      </c>
      <c r="S3004" s="23">
        <f t="shared" si="749"/>
        <v>0</v>
      </c>
      <c r="T3004" s="23" t="str">
        <f t="shared" si="750"/>
        <v/>
      </c>
      <c r="U3004" t="str">
        <f t="shared" si="751"/>
        <v/>
      </c>
      <c r="AF3004" s="22" t="str">
        <f t="shared" si="752"/>
        <v/>
      </c>
      <c r="AG3004" s="89"/>
      <c r="AH3004" s="274"/>
      <c r="AI3004" s="279"/>
      <c r="AJ3004" s="280"/>
      <c r="AK3004" s="92"/>
      <c r="AL3004" s="23"/>
      <c r="AU3004" s="1"/>
    </row>
    <row r="3005" spans="1:47">
      <c r="A3005" t="str">
        <f t="shared" si="753"/>
        <v>PA_Alleg_2019g~Gen-commissioner at-large east deer (vote for 3)</v>
      </c>
      <c r="B3005" s="55" t="s">
        <v>1528</v>
      </c>
      <c r="C3005">
        <v>534</v>
      </c>
      <c r="D3005" s="55" t="s">
        <v>526</v>
      </c>
      <c r="E3005" s="55" t="s">
        <v>15</v>
      </c>
      <c r="G3005" s="62">
        <v>9</v>
      </c>
      <c r="H3005">
        <v>2.0499999999999998</v>
      </c>
      <c r="I3005">
        <v>896</v>
      </c>
      <c r="J3005">
        <v>0</v>
      </c>
      <c r="K3005">
        <v>2</v>
      </c>
      <c r="L3005">
        <v>2</v>
      </c>
      <c r="M3005">
        <v>0</v>
      </c>
      <c r="N3005" s="23">
        <v>0</v>
      </c>
      <c r="O3005">
        <f t="shared" si="745"/>
        <v>-3</v>
      </c>
      <c r="P3005" s="57">
        <f t="shared" si="746"/>
        <v>3</v>
      </c>
      <c r="Q3005" s="267">
        <f t="shared" si="747"/>
        <v>9</v>
      </c>
      <c r="R3005" s="23">
        <f t="shared" si="748"/>
        <v>1</v>
      </c>
      <c r="S3005" s="23">
        <f t="shared" si="749"/>
        <v>0</v>
      </c>
      <c r="T3005" s="23" t="str">
        <f t="shared" si="750"/>
        <v/>
      </c>
      <c r="U3005" t="str">
        <f t="shared" si="751"/>
        <v/>
      </c>
      <c r="AF3005" s="22" t="str">
        <f t="shared" si="752"/>
        <v/>
      </c>
      <c r="AG3005" s="89"/>
      <c r="AH3005" s="274"/>
      <c r="AI3005" s="279"/>
      <c r="AJ3005" s="280"/>
      <c r="AK3005" s="92"/>
      <c r="AL3005" s="23"/>
      <c r="AU3005" s="1"/>
    </row>
    <row r="3006" spans="1:47">
      <c r="A3006" t="str">
        <f t="shared" si="753"/>
        <v>PA_Alleg_2019g~Gen-commissioner at-large neville (vote for 1)</v>
      </c>
      <c r="B3006" s="55" t="s">
        <v>1528</v>
      </c>
      <c r="C3006">
        <v>543</v>
      </c>
      <c r="D3006" s="55" t="s">
        <v>534</v>
      </c>
      <c r="E3006" s="55" t="s">
        <v>535</v>
      </c>
      <c r="F3006" t="s">
        <v>1294</v>
      </c>
      <c r="G3006" s="62">
        <v>183</v>
      </c>
      <c r="H3006">
        <v>58.47</v>
      </c>
      <c r="I3006">
        <v>791</v>
      </c>
      <c r="J3006">
        <v>0</v>
      </c>
      <c r="K3006">
        <v>3</v>
      </c>
      <c r="L3006">
        <v>3</v>
      </c>
      <c r="M3006">
        <v>0</v>
      </c>
      <c r="N3006" s="23">
        <v>0</v>
      </c>
      <c r="O3006">
        <f t="shared" si="745"/>
        <v>1</v>
      </c>
      <c r="P3006" s="57">
        <f t="shared" si="746"/>
        <v>1</v>
      </c>
      <c r="Q3006" s="267">
        <f t="shared" si="747"/>
        <v>313</v>
      </c>
      <c r="R3006" s="23">
        <f t="shared" si="748"/>
        <v>183</v>
      </c>
      <c r="S3006" s="23">
        <f t="shared" si="749"/>
        <v>128</v>
      </c>
      <c r="T3006" s="23">
        <f t="shared" si="750"/>
        <v>55</v>
      </c>
      <c r="U3006" t="str">
        <f t="shared" si="751"/>
        <v>PA_Alleg_2019g~Gen-commissioner at-large neville (vote for 1)</v>
      </c>
      <c r="AF3006" s="22" t="str">
        <f t="shared" si="752"/>
        <v/>
      </c>
      <c r="AG3006" s="89"/>
      <c r="AH3006" s="274"/>
      <c r="AI3006" s="279"/>
      <c r="AJ3006" s="280"/>
      <c r="AK3006" s="92"/>
      <c r="AL3006" s="23"/>
      <c r="AU3006" s="1"/>
    </row>
    <row r="3007" spans="1:47">
      <c r="A3007" t="str">
        <f t="shared" si="753"/>
        <v>PA_Alleg_2019g~Gen-commissioner at-large neville (vote for 1)</v>
      </c>
      <c r="B3007" s="55" t="s">
        <v>1528</v>
      </c>
      <c r="C3007">
        <v>544</v>
      </c>
      <c r="D3007" s="55" t="s">
        <v>534</v>
      </c>
      <c r="E3007" s="55" t="s">
        <v>1138</v>
      </c>
      <c r="F3007" t="s">
        <v>1296</v>
      </c>
      <c r="G3007" s="62">
        <v>128</v>
      </c>
      <c r="H3007">
        <v>40.89</v>
      </c>
      <c r="I3007">
        <v>791</v>
      </c>
      <c r="J3007">
        <v>0</v>
      </c>
      <c r="K3007">
        <v>3</v>
      </c>
      <c r="L3007">
        <v>3</v>
      </c>
      <c r="M3007">
        <v>0</v>
      </c>
      <c r="N3007" s="23">
        <v>0</v>
      </c>
      <c r="O3007">
        <f t="shared" si="745"/>
        <v>2</v>
      </c>
      <c r="P3007" s="57">
        <f t="shared" si="746"/>
        <v>1</v>
      </c>
      <c r="Q3007" s="267">
        <f t="shared" si="747"/>
        <v>130</v>
      </c>
      <c r="R3007" s="23" t="str">
        <f t="shared" si="748"/>
        <v/>
      </c>
      <c r="S3007" s="23">
        <f t="shared" si="749"/>
        <v>128</v>
      </c>
      <c r="T3007" s="23" t="str">
        <f t="shared" si="750"/>
        <v/>
      </c>
      <c r="U3007" t="str">
        <f t="shared" si="751"/>
        <v/>
      </c>
      <c r="AF3007" s="22" t="str">
        <f t="shared" si="752"/>
        <v/>
      </c>
      <c r="AG3007" s="89"/>
      <c r="AH3007" s="274"/>
      <c r="AI3007" s="279"/>
      <c r="AJ3007" s="280"/>
      <c r="AK3007" s="92"/>
      <c r="AL3007" s="23"/>
      <c r="AU3007" s="1"/>
    </row>
    <row r="3008" spans="1:47">
      <c r="A3008" t="str">
        <f t="shared" si="753"/>
        <v>PA_Alleg_2019g~Gen-commissioner at-large neville (vote for 1)</v>
      </c>
      <c r="B3008" s="55" t="s">
        <v>1528</v>
      </c>
      <c r="C3008">
        <v>545</v>
      </c>
      <c r="D3008" s="55" t="s">
        <v>534</v>
      </c>
      <c r="E3008" s="55" t="s">
        <v>15</v>
      </c>
      <c r="G3008" s="62">
        <v>2</v>
      </c>
      <c r="H3008">
        <v>0.64</v>
      </c>
      <c r="I3008">
        <v>791</v>
      </c>
      <c r="J3008">
        <v>0</v>
      </c>
      <c r="K3008">
        <v>3</v>
      </c>
      <c r="L3008">
        <v>3</v>
      </c>
      <c r="M3008">
        <v>0</v>
      </c>
      <c r="N3008" s="23">
        <v>0</v>
      </c>
      <c r="O3008">
        <f t="shared" si="745"/>
        <v>-2</v>
      </c>
      <c r="P3008" s="57">
        <f t="shared" si="746"/>
        <v>1</v>
      </c>
      <c r="Q3008" s="267">
        <f t="shared" si="747"/>
        <v>2</v>
      </c>
      <c r="R3008" s="23">
        <f t="shared" si="748"/>
        <v>1</v>
      </c>
      <c r="S3008" s="23">
        <f t="shared" si="749"/>
        <v>0</v>
      </c>
      <c r="T3008" s="23" t="str">
        <f t="shared" si="750"/>
        <v/>
      </c>
      <c r="U3008" t="str">
        <f t="shared" si="751"/>
        <v/>
      </c>
      <c r="AF3008" s="22" t="str">
        <f t="shared" si="752"/>
        <v/>
      </c>
      <c r="AG3008" s="89"/>
      <c r="AH3008" s="274"/>
      <c r="AI3008" s="279"/>
      <c r="AJ3008" s="280"/>
      <c r="AK3008" s="92"/>
      <c r="AL3008" s="23"/>
      <c r="AU3008" s="1"/>
    </row>
    <row r="3009" spans="1:47">
      <c r="A3009" t="str">
        <f t="shared" si="753"/>
        <v>PA_Alleg_2019g~Gen-commissioner at-large reserve (vote for 1)</v>
      </c>
      <c r="B3009" s="55" t="s">
        <v>1528</v>
      </c>
      <c r="C3009">
        <v>546</v>
      </c>
      <c r="D3009" s="55" t="s">
        <v>536</v>
      </c>
      <c r="E3009" s="55" t="s">
        <v>537</v>
      </c>
      <c r="F3009" t="s">
        <v>1294</v>
      </c>
      <c r="G3009" s="62">
        <v>634</v>
      </c>
      <c r="H3009">
        <v>96.79</v>
      </c>
      <c r="I3009">
        <v>2497</v>
      </c>
      <c r="J3009">
        <v>0</v>
      </c>
      <c r="K3009">
        <v>4</v>
      </c>
      <c r="L3009">
        <v>4</v>
      </c>
      <c r="M3009">
        <v>0</v>
      </c>
      <c r="N3009" s="23">
        <v>0</v>
      </c>
      <c r="O3009">
        <f t="shared" si="745"/>
        <v>1</v>
      </c>
      <c r="P3009" s="57">
        <f t="shared" si="746"/>
        <v>1</v>
      </c>
      <c r="Q3009" s="267">
        <f t="shared" si="747"/>
        <v>655</v>
      </c>
      <c r="R3009" s="23">
        <f t="shared" si="748"/>
        <v>634</v>
      </c>
      <c r="S3009" s="23">
        <f t="shared" si="749"/>
        <v>0</v>
      </c>
      <c r="T3009" s="23" t="str">
        <f t="shared" si="750"/>
        <v/>
      </c>
      <c r="U3009" t="str">
        <f t="shared" si="751"/>
        <v>PA_Alleg_2019g~Gen-commissioner at-large reserve (vote for 1)</v>
      </c>
      <c r="AF3009" s="22" t="str">
        <f t="shared" si="752"/>
        <v/>
      </c>
      <c r="AG3009" s="89"/>
      <c r="AH3009" s="274"/>
      <c r="AI3009" s="279"/>
      <c r="AJ3009" s="280"/>
      <c r="AK3009" s="92"/>
      <c r="AL3009" s="23"/>
      <c r="AU3009" s="1"/>
    </row>
    <row r="3010" spans="1:47">
      <c r="A3010" t="str">
        <f t="shared" si="753"/>
        <v>PA_Alleg_2019g~Gen-commissioner at-large reserve (vote for 1)</v>
      </c>
      <c r="B3010" s="55" t="s">
        <v>1528</v>
      </c>
      <c r="C3010">
        <v>547</v>
      </c>
      <c r="D3010" s="55" t="s">
        <v>536</v>
      </c>
      <c r="E3010" s="55" t="s">
        <v>15</v>
      </c>
      <c r="G3010" s="62">
        <v>21</v>
      </c>
      <c r="H3010">
        <v>3.21</v>
      </c>
      <c r="I3010">
        <v>2497</v>
      </c>
      <c r="J3010">
        <v>0</v>
      </c>
      <c r="K3010">
        <v>4</v>
      </c>
      <c r="L3010">
        <v>4</v>
      </c>
      <c r="M3010">
        <v>0</v>
      </c>
      <c r="N3010" s="23">
        <v>0</v>
      </c>
      <c r="O3010">
        <f t="shared" ref="O3010:O3073" si="754">IF(OR(LOWER(LEFT(E3010,8))="write-in",LOWER(LEFT(E3010,8))="not qual"),IF(A3010=A3009,-ABS(O3009),0),IF(A3010=A3009,ABS(O3009)+1,1))</f>
        <v>-1</v>
      </c>
      <c r="P3010" s="57">
        <f t="shared" ref="P3010:P3073" si="755">1*LEFT(RIGHT(A3010,2),1)</f>
        <v>1</v>
      </c>
      <c r="Q3010" s="267">
        <f t="shared" ref="Q3010:Q3073" si="756">IF(A3010&lt;&gt;A3011,G3010,IF(A3010=A3009,G3010+Q3011,MAX(G3010,(G3010+Q3011)/P3010)))</f>
        <v>21</v>
      </c>
      <c r="R3010" s="23">
        <f t="shared" ref="R3010:R3073" si="757">IF(O3010&gt;P3010,"",IF(O3010=P3010,G3010,IF(A3010=A3011,R3011,IF(O3010&lt;=0,1,G3010))))</f>
        <v>1</v>
      </c>
      <c r="S3010" s="23">
        <f t="shared" ref="S3010:S3073" si="758">IF(AND(O3010&gt;P3010,LOWER(LEFT(E3010,8))&lt;&gt;"write-in",LOWER(LEFT(E3010,8))&lt;&gt;"not qual"),G3010,IF(A3010=A3011,S3011,0))</f>
        <v>0</v>
      </c>
      <c r="T3010" s="23" t="str">
        <f t="shared" ref="T3010:T3073" si="759">IF(OR(A3010=A3009,S3010=0),"",R3010-ABS(S3010))</f>
        <v/>
      </c>
      <c r="U3010" t="str">
        <f t="shared" ref="U3010:U3073" si="760">IF(A3010=A3009,"",A3010)</f>
        <v/>
      </c>
      <c r="AF3010" s="22" t="str">
        <f t="shared" si="752"/>
        <v/>
      </c>
      <c r="AG3010" s="89"/>
      <c r="AH3010" s="274"/>
      <c r="AI3010" s="279"/>
      <c r="AJ3010" s="280"/>
      <c r="AK3010" s="92"/>
      <c r="AL3010" s="23"/>
      <c r="AU3010" s="1"/>
    </row>
    <row r="3011" spans="1:47">
      <c r="A3011" t="str">
        <f t="shared" si="753"/>
        <v>PA_Alleg_2019g~Gen-commissioner at-large upper st clair (vote for 1)</v>
      </c>
      <c r="B3011" s="55" t="s">
        <v>1528</v>
      </c>
      <c r="C3011">
        <v>549</v>
      </c>
      <c r="D3011" s="55" t="s">
        <v>538</v>
      </c>
      <c r="E3011" s="55" t="s">
        <v>1139</v>
      </c>
      <c r="F3011" t="s">
        <v>1296</v>
      </c>
      <c r="G3011" s="62">
        <v>2770</v>
      </c>
      <c r="H3011">
        <v>51.67</v>
      </c>
      <c r="I3011">
        <v>16496</v>
      </c>
      <c r="J3011">
        <v>0</v>
      </c>
      <c r="K3011">
        <v>18</v>
      </c>
      <c r="L3011">
        <v>18</v>
      </c>
      <c r="M3011">
        <v>0</v>
      </c>
      <c r="N3011" s="23">
        <v>0</v>
      </c>
      <c r="O3011">
        <f t="shared" si="754"/>
        <v>1</v>
      </c>
      <c r="P3011" s="57">
        <f t="shared" si="755"/>
        <v>1</v>
      </c>
      <c r="Q3011" s="267">
        <f t="shared" si="756"/>
        <v>5361</v>
      </c>
      <c r="R3011" s="23">
        <f t="shared" si="757"/>
        <v>2770</v>
      </c>
      <c r="S3011" s="23">
        <f t="shared" si="758"/>
        <v>2589</v>
      </c>
      <c r="T3011" s="23">
        <f t="shared" si="759"/>
        <v>181</v>
      </c>
      <c r="U3011" t="str">
        <f t="shared" si="760"/>
        <v>PA_Alleg_2019g~Gen-commissioner at-large upper st clair (vote for 1)</v>
      </c>
      <c r="AF3011" s="22" t="str">
        <f t="shared" si="752"/>
        <v/>
      </c>
      <c r="AG3011" s="89"/>
      <c r="AH3011" s="274"/>
      <c r="AI3011" s="279"/>
      <c r="AJ3011" s="280"/>
      <c r="AK3011" s="92"/>
      <c r="AL3011" s="23"/>
      <c r="AU3011" s="1"/>
    </row>
    <row r="3012" spans="1:47">
      <c r="A3012" t="str">
        <f t="shared" si="753"/>
        <v>PA_Alleg_2019g~Gen-commissioner at-large upper st clair (vote for 1)</v>
      </c>
      <c r="B3012" s="55" t="s">
        <v>1528</v>
      </c>
      <c r="C3012">
        <v>548</v>
      </c>
      <c r="D3012" s="55" t="s">
        <v>538</v>
      </c>
      <c r="E3012" s="55" t="s">
        <v>1449</v>
      </c>
      <c r="F3012" t="s">
        <v>1294</v>
      </c>
      <c r="G3012" s="62">
        <v>2589</v>
      </c>
      <c r="H3012">
        <v>48.29</v>
      </c>
      <c r="I3012">
        <v>16496</v>
      </c>
      <c r="J3012">
        <v>0</v>
      </c>
      <c r="K3012">
        <v>18</v>
      </c>
      <c r="L3012">
        <v>18</v>
      </c>
      <c r="M3012">
        <v>0</v>
      </c>
      <c r="N3012" s="23">
        <v>0</v>
      </c>
      <c r="O3012">
        <f t="shared" si="754"/>
        <v>2</v>
      </c>
      <c r="P3012" s="57">
        <f t="shared" si="755"/>
        <v>1</v>
      </c>
      <c r="Q3012" s="267">
        <f t="shared" si="756"/>
        <v>2591</v>
      </c>
      <c r="R3012" s="23" t="str">
        <f t="shared" si="757"/>
        <v/>
      </c>
      <c r="S3012" s="23">
        <f t="shared" si="758"/>
        <v>2589</v>
      </c>
      <c r="T3012" s="23" t="str">
        <f t="shared" si="759"/>
        <v/>
      </c>
      <c r="U3012" t="str">
        <f t="shared" si="760"/>
        <v/>
      </c>
      <c r="AF3012" s="22" t="str">
        <f t="shared" si="752"/>
        <v/>
      </c>
      <c r="AG3012" s="89"/>
      <c r="AH3012" s="274"/>
      <c r="AI3012" s="279"/>
      <c r="AJ3012" s="280"/>
      <c r="AK3012" s="92"/>
      <c r="AL3012" s="23"/>
      <c r="AU3012" s="1"/>
    </row>
    <row r="3013" spans="1:47">
      <c r="A3013" t="str">
        <f t="shared" si="753"/>
        <v>PA_Alleg_2019g~Gen-commissioner at-large upper st clair (vote for 1)</v>
      </c>
      <c r="B3013" s="55" t="s">
        <v>1528</v>
      </c>
      <c r="C3013">
        <v>550</v>
      </c>
      <c r="D3013" s="55" t="s">
        <v>538</v>
      </c>
      <c r="E3013" s="55" t="s">
        <v>15</v>
      </c>
      <c r="G3013" s="62">
        <v>2</v>
      </c>
      <c r="H3013">
        <v>0.04</v>
      </c>
      <c r="I3013">
        <v>16496</v>
      </c>
      <c r="J3013">
        <v>0</v>
      </c>
      <c r="K3013">
        <v>18</v>
      </c>
      <c r="L3013">
        <v>18</v>
      </c>
      <c r="M3013">
        <v>0</v>
      </c>
      <c r="N3013" s="23">
        <v>0</v>
      </c>
      <c r="O3013">
        <f t="shared" si="754"/>
        <v>-2</v>
      </c>
      <c r="P3013" s="57">
        <f t="shared" si="755"/>
        <v>1</v>
      </c>
      <c r="Q3013" s="267">
        <f t="shared" si="756"/>
        <v>2</v>
      </c>
      <c r="R3013" s="23">
        <f t="shared" si="757"/>
        <v>1</v>
      </c>
      <c r="S3013" s="23">
        <f t="shared" si="758"/>
        <v>0</v>
      </c>
      <c r="T3013" s="23" t="str">
        <f t="shared" si="759"/>
        <v/>
      </c>
      <c r="U3013" t="str">
        <f t="shared" si="760"/>
        <v/>
      </c>
      <c r="AF3013" s="22" t="str">
        <f t="shared" si="752"/>
        <v/>
      </c>
      <c r="AG3013" s="89"/>
      <c r="AH3013" s="274"/>
      <c r="AI3013" s="279"/>
      <c r="AJ3013" s="280"/>
      <c r="AK3013" s="92"/>
      <c r="AL3013" s="23"/>
      <c r="AU3013" s="1"/>
    </row>
    <row r="3014" spans="1:47">
      <c r="A3014" t="str">
        <f t="shared" si="753"/>
        <v>PA_Alleg_2019g~Gen-commissioner at-large wilkins (vote for 2)</v>
      </c>
      <c r="B3014" s="55" t="s">
        <v>1528</v>
      </c>
      <c r="C3014">
        <v>540</v>
      </c>
      <c r="D3014" s="55" t="s">
        <v>531</v>
      </c>
      <c r="E3014" s="55" t="s">
        <v>532</v>
      </c>
      <c r="F3014" t="s">
        <v>1294</v>
      </c>
      <c r="G3014" s="62">
        <v>1091</v>
      </c>
      <c r="H3014">
        <v>50.3</v>
      </c>
      <c r="I3014">
        <v>4996</v>
      </c>
      <c r="J3014">
        <v>0</v>
      </c>
      <c r="K3014">
        <v>7</v>
      </c>
      <c r="L3014">
        <v>7</v>
      </c>
      <c r="M3014">
        <v>0</v>
      </c>
      <c r="N3014" s="23">
        <v>0</v>
      </c>
      <c r="O3014">
        <f t="shared" si="754"/>
        <v>1</v>
      </c>
      <c r="P3014" s="57">
        <f t="shared" si="755"/>
        <v>2</v>
      </c>
      <c r="Q3014" s="267">
        <f t="shared" si="756"/>
        <v>1091</v>
      </c>
      <c r="R3014" s="23">
        <f t="shared" si="757"/>
        <v>1041</v>
      </c>
      <c r="S3014" s="23">
        <f t="shared" si="758"/>
        <v>0</v>
      </c>
      <c r="T3014" s="23" t="str">
        <f t="shared" si="759"/>
        <v/>
      </c>
      <c r="U3014" t="str">
        <f t="shared" si="760"/>
        <v>PA_Alleg_2019g~Gen-commissioner at-large wilkins (vote for 2)</v>
      </c>
      <c r="AF3014" s="22" t="str">
        <f t="shared" si="752"/>
        <v/>
      </c>
      <c r="AG3014" s="89"/>
      <c r="AH3014" s="274"/>
      <c r="AI3014" s="279"/>
      <c r="AJ3014" s="280"/>
      <c r="AK3014" s="92"/>
      <c r="AL3014" s="23"/>
      <c r="AU3014" s="1"/>
    </row>
    <row r="3015" spans="1:47">
      <c r="A3015" t="str">
        <f t="shared" si="753"/>
        <v>PA_Alleg_2019g~Gen-commissioner at-large wilkins (vote for 2)</v>
      </c>
      <c r="B3015" s="55" t="s">
        <v>1528</v>
      </c>
      <c r="C3015">
        <v>541</v>
      </c>
      <c r="D3015" s="55" t="s">
        <v>531</v>
      </c>
      <c r="E3015" s="55" t="s">
        <v>533</v>
      </c>
      <c r="F3015" t="s">
        <v>1294</v>
      </c>
      <c r="G3015" s="62">
        <v>1041</v>
      </c>
      <c r="H3015">
        <v>47.99</v>
      </c>
      <c r="I3015">
        <v>4996</v>
      </c>
      <c r="J3015">
        <v>0</v>
      </c>
      <c r="K3015">
        <v>7</v>
      </c>
      <c r="L3015">
        <v>7</v>
      </c>
      <c r="M3015">
        <v>0</v>
      </c>
      <c r="N3015" s="23">
        <v>0</v>
      </c>
      <c r="O3015">
        <f t="shared" si="754"/>
        <v>2</v>
      </c>
      <c r="P3015" s="57">
        <f t="shared" si="755"/>
        <v>2</v>
      </c>
      <c r="Q3015" s="267">
        <f t="shared" si="756"/>
        <v>1078</v>
      </c>
      <c r="R3015" s="23">
        <f t="shared" si="757"/>
        <v>1041</v>
      </c>
      <c r="S3015" s="23">
        <f t="shared" si="758"/>
        <v>0</v>
      </c>
      <c r="T3015" s="23" t="str">
        <f t="shared" si="759"/>
        <v/>
      </c>
      <c r="U3015" t="str">
        <f t="shared" si="760"/>
        <v/>
      </c>
      <c r="AF3015" s="22" t="str">
        <f t="shared" si="752"/>
        <v/>
      </c>
      <c r="AG3015" s="89"/>
      <c r="AH3015" s="274"/>
      <c r="AI3015" s="279"/>
      <c r="AJ3015" s="280"/>
      <c r="AK3015" s="92"/>
      <c r="AL3015" s="23"/>
      <c r="AU3015" s="1"/>
    </row>
    <row r="3016" spans="1:47">
      <c r="A3016" t="str">
        <f t="shared" si="753"/>
        <v>PA_Alleg_2019g~Gen-commissioner at-large wilkins (vote for 2)</v>
      </c>
      <c r="B3016" s="55" t="s">
        <v>1528</v>
      </c>
      <c r="C3016">
        <v>542</v>
      </c>
      <c r="D3016" s="55" t="s">
        <v>531</v>
      </c>
      <c r="E3016" s="55" t="s">
        <v>15</v>
      </c>
      <c r="G3016" s="62">
        <v>37</v>
      </c>
      <c r="H3016">
        <v>1.71</v>
      </c>
      <c r="I3016">
        <v>4996</v>
      </c>
      <c r="J3016">
        <v>0</v>
      </c>
      <c r="K3016">
        <v>7</v>
      </c>
      <c r="L3016">
        <v>7</v>
      </c>
      <c r="M3016">
        <v>0</v>
      </c>
      <c r="N3016" s="23">
        <v>0</v>
      </c>
      <c r="O3016">
        <f t="shared" si="754"/>
        <v>-2</v>
      </c>
      <c r="P3016" s="57">
        <f t="shared" si="755"/>
        <v>2</v>
      </c>
      <c r="Q3016" s="267">
        <f t="shared" si="756"/>
        <v>37</v>
      </c>
      <c r="R3016" s="23">
        <f t="shared" si="757"/>
        <v>1</v>
      </c>
      <c r="S3016" s="23">
        <f t="shared" si="758"/>
        <v>0</v>
      </c>
      <c r="T3016" s="23" t="str">
        <f t="shared" si="759"/>
        <v/>
      </c>
      <c r="U3016" t="str">
        <f t="shared" si="760"/>
        <v/>
      </c>
      <c r="AF3016" s="22" t="str">
        <f t="shared" si="752"/>
        <v/>
      </c>
      <c r="AG3016" s="89"/>
      <c r="AH3016" s="274"/>
      <c r="AI3016" s="279"/>
      <c r="AJ3016" s="280"/>
      <c r="AK3016" s="92"/>
      <c r="AL3016" s="23"/>
      <c r="AU3016" s="1"/>
    </row>
    <row r="3017" spans="1:47">
      <c r="A3017" t="str">
        <f t="shared" si="753"/>
        <v>PA_Alleg_2019g~Gen-commissioner baldwin township (vote for 3)</v>
      </c>
      <c r="B3017" s="55" t="s">
        <v>1528</v>
      </c>
      <c r="C3017">
        <v>559</v>
      </c>
      <c r="D3017" s="55" t="s">
        <v>544</v>
      </c>
      <c r="E3017" s="55" t="s">
        <v>1451</v>
      </c>
      <c r="F3017" t="s">
        <v>1294</v>
      </c>
      <c r="G3017" s="62">
        <v>329</v>
      </c>
      <c r="H3017">
        <v>60.7</v>
      </c>
      <c r="I3017">
        <v>1507</v>
      </c>
      <c r="J3017">
        <v>0</v>
      </c>
      <c r="K3017">
        <v>2</v>
      </c>
      <c r="L3017">
        <v>2</v>
      </c>
      <c r="M3017">
        <v>0</v>
      </c>
      <c r="N3017" s="23">
        <v>0</v>
      </c>
      <c r="O3017">
        <f t="shared" si="754"/>
        <v>1</v>
      </c>
      <c r="P3017" s="57">
        <f t="shared" si="755"/>
        <v>3</v>
      </c>
      <c r="Q3017" s="267">
        <f t="shared" si="756"/>
        <v>329</v>
      </c>
      <c r="R3017" s="23">
        <f t="shared" si="757"/>
        <v>1</v>
      </c>
      <c r="S3017" s="23">
        <f t="shared" si="758"/>
        <v>0</v>
      </c>
      <c r="T3017" s="23" t="str">
        <f t="shared" si="759"/>
        <v/>
      </c>
      <c r="U3017" t="str">
        <f t="shared" si="760"/>
        <v>PA_Alleg_2019g~Gen-commissioner baldwin township (vote for 3)</v>
      </c>
      <c r="AF3017" s="22" t="str">
        <f t="shared" si="752"/>
        <v/>
      </c>
      <c r="AG3017" s="89"/>
      <c r="AH3017" s="274"/>
      <c r="AI3017" s="279"/>
      <c r="AJ3017" s="280"/>
      <c r="AK3017" s="92"/>
      <c r="AL3017" s="23"/>
      <c r="AU3017" s="1"/>
    </row>
    <row r="3018" spans="1:47">
      <c r="A3018" t="str">
        <f t="shared" si="753"/>
        <v>PA_Alleg_2019g~Gen-commissioner baldwin township (vote for 3)</v>
      </c>
      <c r="B3018" s="55" t="s">
        <v>1528</v>
      </c>
      <c r="C3018">
        <v>560</v>
      </c>
      <c r="D3018" s="55" t="s">
        <v>544</v>
      </c>
      <c r="E3018" s="55" t="s">
        <v>1142</v>
      </c>
      <c r="F3018" t="s">
        <v>1296</v>
      </c>
      <c r="G3018" s="62">
        <v>196</v>
      </c>
      <c r="H3018">
        <v>36.159999999999997</v>
      </c>
      <c r="I3018">
        <v>1507</v>
      </c>
      <c r="J3018">
        <v>0</v>
      </c>
      <c r="K3018">
        <v>2</v>
      </c>
      <c r="L3018">
        <v>2</v>
      </c>
      <c r="M3018">
        <v>0</v>
      </c>
      <c r="N3018" s="23">
        <v>0</v>
      </c>
      <c r="O3018">
        <f t="shared" si="754"/>
        <v>2</v>
      </c>
      <c r="P3018" s="57">
        <f t="shared" si="755"/>
        <v>3</v>
      </c>
      <c r="Q3018" s="267">
        <f t="shared" si="756"/>
        <v>213</v>
      </c>
      <c r="R3018" s="23">
        <f t="shared" si="757"/>
        <v>1</v>
      </c>
      <c r="S3018" s="23">
        <f t="shared" si="758"/>
        <v>0</v>
      </c>
      <c r="T3018" s="23" t="str">
        <f t="shared" si="759"/>
        <v/>
      </c>
      <c r="U3018" t="str">
        <f t="shared" si="760"/>
        <v/>
      </c>
      <c r="AF3018" s="22" t="str">
        <f t="shared" si="752"/>
        <v/>
      </c>
      <c r="AG3018" s="89"/>
      <c r="AH3018" s="274"/>
      <c r="AI3018" s="279"/>
      <c r="AJ3018" s="280"/>
      <c r="AK3018" s="92"/>
      <c r="AL3018" s="23"/>
      <c r="AU3018" s="1"/>
    </row>
    <row r="3019" spans="1:47">
      <c r="A3019" t="str">
        <f t="shared" si="753"/>
        <v>PA_Alleg_2019g~Gen-commissioner baldwin township (vote for 3)</v>
      </c>
      <c r="B3019" s="55" t="s">
        <v>1528</v>
      </c>
      <c r="C3019">
        <v>561</v>
      </c>
      <c r="D3019" s="55" t="s">
        <v>544</v>
      </c>
      <c r="E3019" s="55" t="s">
        <v>15</v>
      </c>
      <c r="G3019" s="62">
        <v>17</v>
      </c>
      <c r="H3019">
        <v>3.14</v>
      </c>
      <c r="I3019">
        <v>1507</v>
      </c>
      <c r="J3019">
        <v>0</v>
      </c>
      <c r="K3019">
        <v>2</v>
      </c>
      <c r="L3019">
        <v>2</v>
      </c>
      <c r="M3019">
        <v>0</v>
      </c>
      <c r="N3019" s="23">
        <v>0</v>
      </c>
      <c r="O3019">
        <f t="shared" si="754"/>
        <v>-2</v>
      </c>
      <c r="P3019" s="57">
        <f t="shared" si="755"/>
        <v>3</v>
      </c>
      <c r="Q3019" s="267">
        <f t="shared" si="756"/>
        <v>17</v>
      </c>
      <c r="R3019" s="23">
        <f t="shared" si="757"/>
        <v>1</v>
      </c>
      <c r="S3019" s="23">
        <f t="shared" si="758"/>
        <v>0</v>
      </c>
      <c r="T3019" s="23" t="str">
        <f t="shared" si="759"/>
        <v/>
      </c>
      <c r="U3019" t="str">
        <f t="shared" si="760"/>
        <v/>
      </c>
      <c r="AF3019" s="22" t="str">
        <f t="shared" si="752"/>
        <v/>
      </c>
      <c r="AG3019" s="89"/>
      <c r="AH3019" s="274"/>
      <c r="AI3019" s="279"/>
      <c r="AJ3019" s="280"/>
      <c r="AK3019" s="92"/>
      <c r="AL3019" s="23"/>
      <c r="AU3019" s="1"/>
    </row>
    <row r="3020" spans="1:47">
      <c r="A3020" t="str">
        <f t="shared" si="753"/>
        <v>PA_Alleg_2019g~Gen-commissioner collier (vote for 2)</v>
      </c>
      <c r="B3020" s="55" t="s">
        <v>1528</v>
      </c>
      <c r="C3020">
        <v>581</v>
      </c>
      <c r="D3020" s="55" t="s">
        <v>560</v>
      </c>
      <c r="E3020" s="55" t="s">
        <v>1454</v>
      </c>
      <c r="F3020" t="s">
        <v>1455</v>
      </c>
      <c r="G3020" s="62">
        <v>1383</v>
      </c>
      <c r="H3020">
        <v>44.93</v>
      </c>
      <c r="I3020">
        <v>6730</v>
      </c>
      <c r="J3020">
        <v>0</v>
      </c>
      <c r="K3020">
        <v>6</v>
      </c>
      <c r="L3020">
        <v>6</v>
      </c>
      <c r="M3020">
        <v>0</v>
      </c>
      <c r="N3020" s="23">
        <v>0</v>
      </c>
      <c r="O3020">
        <f t="shared" si="754"/>
        <v>1</v>
      </c>
      <c r="P3020" s="57">
        <f t="shared" si="755"/>
        <v>2</v>
      </c>
      <c r="Q3020" s="267">
        <f t="shared" si="756"/>
        <v>1539</v>
      </c>
      <c r="R3020" s="23">
        <f t="shared" si="757"/>
        <v>977</v>
      </c>
      <c r="S3020" s="23">
        <f t="shared" si="758"/>
        <v>706</v>
      </c>
      <c r="T3020" s="23">
        <f t="shared" si="759"/>
        <v>271</v>
      </c>
      <c r="U3020" t="str">
        <f t="shared" si="760"/>
        <v>PA_Alleg_2019g~Gen-commissioner collier (vote for 2)</v>
      </c>
      <c r="AF3020" s="22" t="str">
        <f t="shared" si="752"/>
        <v/>
      </c>
      <c r="AG3020" s="89"/>
      <c r="AH3020" s="274"/>
      <c r="AI3020" s="279"/>
      <c r="AJ3020" s="280"/>
      <c r="AK3020" s="92"/>
      <c r="AL3020" s="23"/>
      <c r="AU3020" s="1"/>
    </row>
    <row r="3021" spans="1:47">
      <c r="A3021" t="str">
        <f t="shared" si="753"/>
        <v>PA_Alleg_2019g~Gen-commissioner collier (vote for 2)</v>
      </c>
      <c r="B3021" s="55" t="s">
        <v>1528</v>
      </c>
      <c r="C3021">
        <v>580</v>
      </c>
      <c r="D3021" s="55" t="s">
        <v>560</v>
      </c>
      <c r="E3021" s="55" t="s">
        <v>562</v>
      </c>
      <c r="F3021" t="s">
        <v>1294</v>
      </c>
      <c r="G3021" s="62">
        <v>977</v>
      </c>
      <c r="H3021">
        <v>31.74</v>
      </c>
      <c r="I3021">
        <v>6730</v>
      </c>
      <c r="J3021">
        <v>0</v>
      </c>
      <c r="K3021">
        <v>6</v>
      </c>
      <c r="L3021">
        <v>6</v>
      </c>
      <c r="M3021">
        <v>0</v>
      </c>
      <c r="N3021" s="23">
        <v>0</v>
      </c>
      <c r="O3021">
        <f t="shared" si="754"/>
        <v>2</v>
      </c>
      <c r="P3021" s="57">
        <f t="shared" si="755"/>
        <v>2</v>
      </c>
      <c r="Q3021" s="267">
        <f t="shared" si="756"/>
        <v>1695</v>
      </c>
      <c r="R3021" s="23">
        <f t="shared" si="757"/>
        <v>977</v>
      </c>
      <c r="S3021" s="23">
        <f t="shared" si="758"/>
        <v>706</v>
      </c>
      <c r="T3021" s="23" t="str">
        <f t="shared" si="759"/>
        <v/>
      </c>
      <c r="U3021" t="str">
        <f t="shared" si="760"/>
        <v/>
      </c>
      <c r="AF3021" s="22" t="str">
        <f t="shared" si="752"/>
        <v/>
      </c>
      <c r="AG3021" s="89"/>
      <c r="AH3021" s="274"/>
      <c r="AI3021" s="279"/>
      <c r="AJ3021" s="280"/>
      <c r="AK3021" s="92"/>
      <c r="AL3021" s="23"/>
      <c r="AU3021" s="1"/>
    </row>
    <row r="3022" spans="1:47">
      <c r="A3022" t="str">
        <f t="shared" si="753"/>
        <v>PA_Alleg_2019g~Gen-commissioner collier (vote for 2)</v>
      </c>
      <c r="B3022" s="55" t="s">
        <v>1528</v>
      </c>
      <c r="C3022">
        <v>582</v>
      </c>
      <c r="D3022" s="55" t="s">
        <v>560</v>
      </c>
      <c r="E3022" s="55" t="s">
        <v>1148</v>
      </c>
      <c r="F3022" t="s">
        <v>1296</v>
      </c>
      <c r="G3022" s="62">
        <v>706</v>
      </c>
      <c r="H3022">
        <v>22.94</v>
      </c>
      <c r="I3022">
        <v>6730</v>
      </c>
      <c r="J3022">
        <v>0</v>
      </c>
      <c r="K3022">
        <v>6</v>
      </c>
      <c r="L3022">
        <v>6</v>
      </c>
      <c r="M3022">
        <v>0</v>
      </c>
      <c r="N3022" s="23">
        <v>0</v>
      </c>
      <c r="O3022">
        <f t="shared" si="754"/>
        <v>3</v>
      </c>
      <c r="P3022" s="57">
        <f t="shared" si="755"/>
        <v>2</v>
      </c>
      <c r="Q3022" s="267">
        <f t="shared" si="756"/>
        <v>718</v>
      </c>
      <c r="R3022" s="23" t="str">
        <f t="shared" si="757"/>
        <v/>
      </c>
      <c r="S3022" s="23">
        <f t="shared" si="758"/>
        <v>706</v>
      </c>
      <c r="T3022" s="23" t="str">
        <f t="shared" si="759"/>
        <v/>
      </c>
      <c r="U3022" t="str">
        <f t="shared" si="760"/>
        <v/>
      </c>
      <c r="AF3022" s="22" t="str">
        <f t="shared" si="752"/>
        <v/>
      </c>
      <c r="AG3022" s="89"/>
      <c r="AH3022" s="274"/>
      <c r="AI3022" s="279"/>
      <c r="AJ3022" s="280"/>
      <c r="AK3022" s="92"/>
      <c r="AL3022" s="23"/>
      <c r="AU3022" s="1"/>
    </row>
    <row r="3023" spans="1:47">
      <c r="A3023" t="str">
        <f t="shared" si="753"/>
        <v>PA_Alleg_2019g~Gen-commissioner collier (vote for 2)</v>
      </c>
      <c r="B3023" s="55" t="s">
        <v>1528</v>
      </c>
      <c r="C3023">
        <v>583</v>
      </c>
      <c r="D3023" s="55" t="s">
        <v>560</v>
      </c>
      <c r="E3023" s="55" t="s">
        <v>15</v>
      </c>
      <c r="G3023" s="62">
        <v>12</v>
      </c>
      <c r="H3023">
        <v>0.39</v>
      </c>
      <c r="I3023">
        <v>6730</v>
      </c>
      <c r="J3023">
        <v>0</v>
      </c>
      <c r="K3023">
        <v>6</v>
      </c>
      <c r="L3023">
        <v>6</v>
      </c>
      <c r="M3023">
        <v>0</v>
      </c>
      <c r="N3023" s="23">
        <v>0</v>
      </c>
      <c r="O3023">
        <f t="shared" si="754"/>
        <v>-3</v>
      </c>
      <c r="P3023" s="57">
        <f t="shared" si="755"/>
        <v>2</v>
      </c>
      <c r="Q3023" s="267">
        <f t="shared" si="756"/>
        <v>12</v>
      </c>
      <c r="R3023" s="23">
        <f t="shared" si="757"/>
        <v>1</v>
      </c>
      <c r="S3023" s="23">
        <f t="shared" si="758"/>
        <v>0</v>
      </c>
      <c r="T3023" s="23" t="str">
        <f t="shared" si="759"/>
        <v/>
      </c>
      <c r="U3023" t="str">
        <f t="shared" si="760"/>
        <v/>
      </c>
      <c r="AF3023" s="22" t="str">
        <f t="shared" si="752"/>
        <v/>
      </c>
      <c r="AG3023" s="89"/>
      <c r="AH3023" s="274"/>
      <c r="AI3023" s="279"/>
      <c r="AJ3023" s="280"/>
      <c r="AK3023" s="92"/>
      <c r="AL3023" s="23"/>
      <c r="AU3023" s="1"/>
    </row>
    <row r="3024" spans="1:47">
      <c r="A3024" t="str">
        <f t="shared" si="753"/>
        <v>PA_Alleg_2019g~Gen-commissioner crescent ward 1 (vote for 1)</v>
      </c>
      <c r="B3024" s="55" t="s">
        <v>1528</v>
      </c>
      <c r="C3024">
        <v>597</v>
      </c>
      <c r="D3024" s="55" t="s">
        <v>572</v>
      </c>
      <c r="E3024" s="55" t="s">
        <v>1149</v>
      </c>
      <c r="F3024" t="s">
        <v>1296</v>
      </c>
      <c r="G3024" s="62">
        <v>235</v>
      </c>
      <c r="H3024">
        <v>92.52</v>
      </c>
      <c r="I3024">
        <v>1152</v>
      </c>
      <c r="J3024">
        <v>0</v>
      </c>
      <c r="K3024">
        <v>1</v>
      </c>
      <c r="L3024">
        <v>1</v>
      </c>
      <c r="M3024">
        <v>0</v>
      </c>
      <c r="N3024" s="23">
        <v>0</v>
      </c>
      <c r="O3024">
        <f t="shared" si="754"/>
        <v>1</v>
      </c>
      <c r="P3024" s="57">
        <f t="shared" si="755"/>
        <v>1</v>
      </c>
      <c r="Q3024" s="267">
        <f t="shared" si="756"/>
        <v>254</v>
      </c>
      <c r="R3024" s="23">
        <f t="shared" si="757"/>
        <v>235</v>
      </c>
      <c r="S3024" s="23">
        <f t="shared" si="758"/>
        <v>0</v>
      </c>
      <c r="T3024" s="23" t="str">
        <f t="shared" si="759"/>
        <v/>
      </c>
      <c r="U3024" t="str">
        <f t="shared" si="760"/>
        <v>PA_Alleg_2019g~Gen-commissioner crescent ward 1 (vote for 1)</v>
      </c>
      <c r="AF3024" s="22" t="str">
        <f t="shared" si="752"/>
        <v/>
      </c>
      <c r="AG3024" s="89"/>
      <c r="AH3024" s="274"/>
      <c r="AI3024" s="279"/>
      <c r="AJ3024" s="280"/>
      <c r="AK3024" s="92"/>
      <c r="AL3024" s="23"/>
      <c r="AU3024" s="1"/>
    </row>
    <row r="3025" spans="1:47">
      <c r="A3025" t="str">
        <f t="shared" si="753"/>
        <v>PA_Alleg_2019g~Gen-commissioner crescent ward 1 (vote for 1)</v>
      </c>
      <c r="B3025" s="55" t="s">
        <v>1528</v>
      </c>
      <c r="C3025">
        <v>598</v>
      </c>
      <c r="D3025" s="55" t="s">
        <v>572</v>
      </c>
      <c r="E3025" s="55" t="s">
        <v>15</v>
      </c>
      <c r="G3025" s="62">
        <v>19</v>
      </c>
      <c r="H3025">
        <v>7.48</v>
      </c>
      <c r="I3025">
        <v>1152</v>
      </c>
      <c r="J3025">
        <v>0</v>
      </c>
      <c r="K3025">
        <v>1</v>
      </c>
      <c r="L3025">
        <v>1</v>
      </c>
      <c r="M3025">
        <v>0</v>
      </c>
      <c r="N3025" s="23">
        <v>0</v>
      </c>
      <c r="O3025">
        <f t="shared" si="754"/>
        <v>-1</v>
      </c>
      <c r="P3025" s="57">
        <f t="shared" si="755"/>
        <v>1</v>
      </c>
      <c r="Q3025" s="267">
        <f t="shared" si="756"/>
        <v>19</v>
      </c>
      <c r="R3025" s="23">
        <f t="shared" si="757"/>
        <v>1</v>
      </c>
      <c r="S3025" s="23">
        <f t="shared" si="758"/>
        <v>0</v>
      </c>
      <c r="T3025" s="23" t="str">
        <f t="shared" si="759"/>
        <v/>
      </c>
      <c r="U3025" t="str">
        <f t="shared" si="760"/>
        <v/>
      </c>
      <c r="AF3025" s="22" t="str">
        <f t="shared" si="752"/>
        <v/>
      </c>
      <c r="AG3025" s="89"/>
      <c r="AH3025" s="274"/>
      <c r="AI3025" s="279"/>
      <c r="AJ3025" s="280"/>
      <c r="AK3025" s="92"/>
      <c r="AL3025" s="23"/>
      <c r="AU3025" s="1"/>
    </row>
    <row r="3026" spans="1:47">
      <c r="A3026" t="str">
        <f t="shared" si="753"/>
        <v>PA_Alleg_2019g~Gen-commissioner east deer ward 1 (vote for 1)</v>
      </c>
      <c r="B3026" s="55" t="s">
        <v>1528</v>
      </c>
      <c r="C3026">
        <v>599</v>
      </c>
      <c r="D3026" s="55" t="s">
        <v>573</v>
      </c>
      <c r="E3026" s="55" t="s">
        <v>574</v>
      </c>
      <c r="F3026" t="s">
        <v>1294</v>
      </c>
      <c r="G3026" s="62">
        <v>66</v>
      </c>
      <c r="H3026">
        <v>100</v>
      </c>
      <c r="I3026">
        <v>317</v>
      </c>
      <c r="J3026">
        <v>0</v>
      </c>
      <c r="K3026">
        <v>1</v>
      </c>
      <c r="L3026">
        <v>1</v>
      </c>
      <c r="M3026">
        <v>0</v>
      </c>
      <c r="N3026" s="23">
        <v>0</v>
      </c>
      <c r="O3026">
        <f t="shared" si="754"/>
        <v>1</v>
      </c>
      <c r="P3026" s="57">
        <f t="shared" si="755"/>
        <v>1</v>
      </c>
      <c r="Q3026" s="267">
        <f t="shared" si="756"/>
        <v>66</v>
      </c>
      <c r="R3026" s="23">
        <f t="shared" si="757"/>
        <v>66</v>
      </c>
      <c r="S3026" s="23">
        <f t="shared" si="758"/>
        <v>0</v>
      </c>
      <c r="T3026" s="23" t="str">
        <f t="shared" si="759"/>
        <v/>
      </c>
      <c r="U3026" t="str">
        <f t="shared" si="760"/>
        <v>PA_Alleg_2019g~Gen-commissioner east deer ward 1 (vote for 1)</v>
      </c>
      <c r="AF3026" s="22" t="str">
        <f t="shared" si="752"/>
        <v/>
      </c>
      <c r="AG3026" s="89"/>
      <c r="AH3026" s="274"/>
      <c r="AI3026" s="279"/>
      <c r="AJ3026" s="280"/>
      <c r="AK3026" s="92"/>
      <c r="AL3026" s="23"/>
      <c r="AU3026" s="1"/>
    </row>
    <row r="3027" spans="1:47">
      <c r="A3027" t="str">
        <f t="shared" si="753"/>
        <v>PA_Alleg_2019g~Gen-commissioner east deer ward 1 (vote for 1)</v>
      </c>
      <c r="B3027" s="55" t="s">
        <v>1528</v>
      </c>
      <c r="C3027">
        <v>600</v>
      </c>
      <c r="D3027" s="55" t="s">
        <v>573</v>
      </c>
      <c r="E3027" s="55" t="s">
        <v>15</v>
      </c>
      <c r="G3027" s="62">
        <v>0</v>
      </c>
      <c r="H3027">
        <v>0</v>
      </c>
      <c r="I3027">
        <v>317</v>
      </c>
      <c r="J3027">
        <v>0</v>
      </c>
      <c r="K3027">
        <v>1</v>
      </c>
      <c r="L3027">
        <v>1</v>
      </c>
      <c r="M3027">
        <v>0</v>
      </c>
      <c r="N3027" s="23">
        <v>0</v>
      </c>
      <c r="O3027">
        <f t="shared" si="754"/>
        <v>-1</v>
      </c>
      <c r="P3027" s="57">
        <f t="shared" si="755"/>
        <v>1</v>
      </c>
      <c r="Q3027" s="267">
        <f t="shared" si="756"/>
        <v>0</v>
      </c>
      <c r="R3027" s="23">
        <f t="shared" si="757"/>
        <v>1</v>
      </c>
      <c r="S3027" s="23">
        <f t="shared" si="758"/>
        <v>0</v>
      </c>
      <c r="T3027" s="23" t="str">
        <f t="shared" si="759"/>
        <v/>
      </c>
      <c r="U3027" t="str">
        <f t="shared" si="760"/>
        <v/>
      </c>
      <c r="AF3027" s="22" t="str">
        <f t="shared" si="752"/>
        <v/>
      </c>
      <c r="AG3027" s="89"/>
      <c r="AH3027" s="274"/>
      <c r="AI3027" s="279"/>
      <c r="AJ3027" s="280"/>
      <c r="AK3027" s="92"/>
      <c r="AL3027" s="23"/>
      <c r="AU3027" s="1"/>
    </row>
    <row r="3028" spans="1:47">
      <c r="A3028" t="str">
        <f t="shared" si="753"/>
        <v>PA_Alleg_2019g~Gen-commissioner elizabeth township ward 1 (vote for 1)</v>
      </c>
      <c r="B3028" s="55" t="s">
        <v>1528</v>
      </c>
      <c r="C3028">
        <v>601</v>
      </c>
      <c r="D3028" s="55" t="s">
        <v>575</v>
      </c>
      <c r="E3028" s="55" t="s">
        <v>576</v>
      </c>
      <c r="F3028" t="s">
        <v>1294</v>
      </c>
      <c r="G3028" s="62">
        <v>313</v>
      </c>
      <c r="H3028">
        <v>61.98</v>
      </c>
      <c r="I3028">
        <v>1507</v>
      </c>
      <c r="J3028">
        <v>0</v>
      </c>
      <c r="K3028">
        <v>2</v>
      </c>
      <c r="L3028">
        <v>2</v>
      </c>
      <c r="M3028">
        <v>0</v>
      </c>
      <c r="N3028" s="23">
        <v>0</v>
      </c>
      <c r="O3028">
        <f t="shared" si="754"/>
        <v>1</v>
      </c>
      <c r="P3028" s="57">
        <f t="shared" si="755"/>
        <v>1</v>
      </c>
      <c r="Q3028" s="267">
        <f t="shared" si="756"/>
        <v>505</v>
      </c>
      <c r="R3028" s="23">
        <f t="shared" si="757"/>
        <v>313</v>
      </c>
      <c r="S3028" s="23">
        <f t="shared" si="758"/>
        <v>190</v>
      </c>
      <c r="T3028" s="23">
        <f t="shared" si="759"/>
        <v>123</v>
      </c>
      <c r="U3028" t="str">
        <f t="shared" si="760"/>
        <v>PA_Alleg_2019g~Gen-commissioner elizabeth township ward 1 (vote for 1)</v>
      </c>
      <c r="AF3028" s="22" t="str">
        <f t="shared" si="752"/>
        <v/>
      </c>
      <c r="AG3028" s="89"/>
      <c r="AH3028" s="274"/>
      <c r="AI3028" s="279"/>
      <c r="AJ3028" s="280"/>
      <c r="AK3028" s="92"/>
      <c r="AL3028" s="23"/>
      <c r="AU3028" s="1"/>
    </row>
    <row r="3029" spans="1:47">
      <c r="A3029" t="str">
        <f t="shared" si="753"/>
        <v>PA_Alleg_2019g~Gen-commissioner elizabeth township ward 1 (vote for 1)</v>
      </c>
      <c r="B3029" s="55" t="s">
        <v>1528</v>
      </c>
      <c r="C3029">
        <v>602</v>
      </c>
      <c r="D3029" s="55" t="s">
        <v>575</v>
      </c>
      <c r="E3029" s="55" t="s">
        <v>1150</v>
      </c>
      <c r="F3029" t="s">
        <v>1296</v>
      </c>
      <c r="G3029" s="62">
        <v>190</v>
      </c>
      <c r="H3029">
        <v>37.619999999999997</v>
      </c>
      <c r="I3029">
        <v>1507</v>
      </c>
      <c r="J3029">
        <v>0</v>
      </c>
      <c r="K3029">
        <v>2</v>
      </c>
      <c r="L3029">
        <v>2</v>
      </c>
      <c r="M3029">
        <v>0</v>
      </c>
      <c r="N3029" s="23">
        <v>0</v>
      </c>
      <c r="O3029">
        <f t="shared" si="754"/>
        <v>2</v>
      </c>
      <c r="P3029" s="57">
        <f t="shared" si="755"/>
        <v>1</v>
      </c>
      <c r="Q3029" s="267">
        <f t="shared" si="756"/>
        <v>192</v>
      </c>
      <c r="R3029" s="23" t="str">
        <f t="shared" si="757"/>
        <v/>
      </c>
      <c r="S3029" s="23">
        <f t="shared" si="758"/>
        <v>190</v>
      </c>
      <c r="T3029" s="23" t="str">
        <f t="shared" si="759"/>
        <v/>
      </c>
      <c r="U3029" t="str">
        <f t="shared" si="760"/>
        <v/>
      </c>
      <c r="AF3029" s="22" t="str">
        <f t="shared" si="752"/>
        <v/>
      </c>
      <c r="AG3029" s="89"/>
      <c r="AH3029" s="274"/>
      <c r="AI3029" s="279"/>
      <c r="AJ3029" s="280"/>
      <c r="AK3029" s="92"/>
      <c r="AL3029" s="23"/>
      <c r="AU3029" s="1"/>
    </row>
    <row r="3030" spans="1:47">
      <c r="A3030" t="str">
        <f t="shared" si="753"/>
        <v>PA_Alleg_2019g~Gen-commissioner elizabeth township ward 1 (vote for 1)</v>
      </c>
      <c r="B3030" s="55" t="s">
        <v>1528</v>
      </c>
      <c r="C3030">
        <v>603</v>
      </c>
      <c r="D3030" s="55" t="s">
        <v>575</v>
      </c>
      <c r="E3030" s="55" t="s">
        <v>15</v>
      </c>
      <c r="G3030" s="62">
        <v>2</v>
      </c>
      <c r="H3030">
        <v>0.4</v>
      </c>
      <c r="I3030">
        <v>1507</v>
      </c>
      <c r="J3030">
        <v>0</v>
      </c>
      <c r="K3030">
        <v>2</v>
      </c>
      <c r="L3030">
        <v>2</v>
      </c>
      <c r="M3030">
        <v>0</v>
      </c>
      <c r="N3030" s="23">
        <v>0</v>
      </c>
      <c r="O3030">
        <f t="shared" si="754"/>
        <v>-2</v>
      </c>
      <c r="P3030" s="57">
        <f t="shared" si="755"/>
        <v>1</v>
      </c>
      <c r="Q3030" s="267">
        <f t="shared" si="756"/>
        <v>2</v>
      </c>
      <c r="R3030" s="23">
        <f t="shared" si="757"/>
        <v>1</v>
      </c>
      <c r="S3030" s="23">
        <f t="shared" si="758"/>
        <v>0</v>
      </c>
      <c r="T3030" s="23" t="str">
        <f t="shared" si="759"/>
        <v/>
      </c>
      <c r="U3030" t="str">
        <f t="shared" si="760"/>
        <v/>
      </c>
      <c r="AF3030" s="22" t="str">
        <f t="shared" si="752"/>
        <v/>
      </c>
      <c r="AG3030" s="89"/>
      <c r="AH3030" s="274"/>
      <c r="AI3030" s="279"/>
      <c r="AJ3030" s="280"/>
      <c r="AK3030" s="92"/>
      <c r="AL3030" s="23"/>
      <c r="AU3030" s="1"/>
    </row>
    <row r="3031" spans="1:47">
      <c r="A3031" t="str">
        <f t="shared" si="753"/>
        <v>PA_Alleg_2019g~Gen-commissioner elizabeth township ward 3 (vote for 1)</v>
      </c>
      <c r="B3031" s="55" t="s">
        <v>1528</v>
      </c>
      <c r="C3031">
        <v>604</v>
      </c>
      <c r="D3031" s="55" t="s">
        <v>577</v>
      </c>
      <c r="E3031" s="55" t="s">
        <v>1151</v>
      </c>
      <c r="F3031" t="s">
        <v>1396</v>
      </c>
      <c r="G3031" s="62">
        <v>319</v>
      </c>
      <c r="H3031">
        <v>70.73</v>
      </c>
      <c r="I3031">
        <v>1334</v>
      </c>
      <c r="J3031">
        <v>0</v>
      </c>
      <c r="K3031">
        <v>1</v>
      </c>
      <c r="L3031">
        <v>1</v>
      </c>
      <c r="M3031">
        <v>0</v>
      </c>
      <c r="N3031" s="23">
        <v>0</v>
      </c>
      <c r="O3031">
        <f t="shared" si="754"/>
        <v>1</v>
      </c>
      <c r="P3031" s="57">
        <f t="shared" si="755"/>
        <v>1</v>
      </c>
      <c r="Q3031" s="267">
        <f t="shared" si="756"/>
        <v>451</v>
      </c>
      <c r="R3031" s="23">
        <f t="shared" si="757"/>
        <v>319</v>
      </c>
      <c r="S3031" s="23">
        <f t="shared" si="758"/>
        <v>0</v>
      </c>
      <c r="T3031" s="23" t="str">
        <f t="shared" si="759"/>
        <v/>
      </c>
      <c r="U3031" t="str">
        <f t="shared" si="760"/>
        <v>PA_Alleg_2019g~Gen-commissioner elizabeth township ward 3 (vote for 1)</v>
      </c>
      <c r="AF3031" s="22" t="str">
        <f t="shared" si="752"/>
        <v/>
      </c>
      <c r="AG3031" s="89"/>
      <c r="AH3031" s="274"/>
      <c r="AI3031" s="279"/>
      <c r="AJ3031" s="280"/>
      <c r="AK3031" s="92"/>
      <c r="AL3031" s="23"/>
      <c r="AU3031" s="1"/>
    </row>
    <row r="3032" spans="1:47">
      <c r="A3032" t="str">
        <f t="shared" si="753"/>
        <v>PA_Alleg_2019g~Gen-commissioner elizabeth township ward 3 (vote for 1)</v>
      </c>
      <c r="B3032" s="55" t="s">
        <v>1528</v>
      </c>
      <c r="C3032">
        <v>605</v>
      </c>
      <c r="D3032" s="55" t="s">
        <v>577</v>
      </c>
      <c r="E3032" s="55" t="s">
        <v>15</v>
      </c>
      <c r="G3032" s="62">
        <v>132</v>
      </c>
      <c r="H3032">
        <v>29.27</v>
      </c>
      <c r="I3032">
        <v>1334</v>
      </c>
      <c r="J3032">
        <v>0</v>
      </c>
      <c r="K3032">
        <v>1</v>
      </c>
      <c r="L3032">
        <v>1</v>
      </c>
      <c r="M3032">
        <v>0</v>
      </c>
      <c r="N3032" s="23">
        <v>0</v>
      </c>
      <c r="O3032">
        <f t="shared" si="754"/>
        <v>-1</v>
      </c>
      <c r="P3032" s="57">
        <f t="shared" si="755"/>
        <v>1</v>
      </c>
      <c r="Q3032" s="267">
        <f t="shared" si="756"/>
        <v>132</v>
      </c>
      <c r="R3032" s="23">
        <f t="shared" si="757"/>
        <v>1</v>
      </c>
      <c r="S3032" s="23">
        <f t="shared" si="758"/>
        <v>0</v>
      </c>
      <c r="T3032" s="23" t="str">
        <f t="shared" si="759"/>
        <v/>
      </c>
      <c r="U3032" t="str">
        <f t="shared" si="760"/>
        <v/>
      </c>
      <c r="AF3032" s="22" t="str">
        <f t="shared" si="752"/>
        <v/>
      </c>
      <c r="AG3032" s="89"/>
      <c r="AH3032" s="274"/>
      <c r="AI3032" s="279"/>
      <c r="AJ3032" s="280"/>
      <c r="AK3032" s="92"/>
      <c r="AL3032" s="23"/>
      <c r="AU3032" s="1"/>
    </row>
    <row r="3033" spans="1:47">
      <c r="A3033" t="str">
        <f t="shared" si="753"/>
        <v>PA_Alleg_2019g~Gen-commissioner elizabeth township ward 5 (vote for 1)</v>
      </c>
      <c r="B3033" s="55" t="s">
        <v>1528</v>
      </c>
      <c r="C3033">
        <v>606</v>
      </c>
      <c r="D3033" s="55" t="s">
        <v>579</v>
      </c>
      <c r="E3033" s="55" t="s">
        <v>1152</v>
      </c>
      <c r="F3033" t="s">
        <v>1296</v>
      </c>
      <c r="G3033" s="62">
        <v>264</v>
      </c>
      <c r="H3033">
        <v>95.65</v>
      </c>
      <c r="I3033">
        <v>1285</v>
      </c>
      <c r="J3033">
        <v>0</v>
      </c>
      <c r="K3033">
        <v>2</v>
      </c>
      <c r="L3033">
        <v>2</v>
      </c>
      <c r="M3033">
        <v>0</v>
      </c>
      <c r="N3033" s="23">
        <v>0</v>
      </c>
      <c r="O3033">
        <f t="shared" si="754"/>
        <v>1</v>
      </c>
      <c r="P3033" s="57">
        <f t="shared" si="755"/>
        <v>1</v>
      </c>
      <c r="Q3033" s="267">
        <f t="shared" si="756"/>
        <v>276</v>
      </c>
      <c r="R3033" s="23">
        <f t="shared" si="757"/>
        <v>264</v>
      </c>
      <c r="S3033" s="23">
        <f t="shared" si="758"/>
        <v>0</v>
      </c>
      <c r="T3033" s="23" t="str">
        <f t="shared" si="759"/>
        <v/>
      </c>
      <c r="U3033" t="str">
        <f t="shared" si="760"/>
        <v>PA_Alleg_2019g~Gen-commissioner elizabeth township ward 5 (vote for 1)</v>
      </c>
      <c r="AF3033" s="22" t="str">
        <f t="shared" si="752"/>
        <v/>
      </c>
      <c r="AG3033" s="89"/>
      <c r="AH3033" s="274"/>
      <c r="AI3033" s="279"/>
      <c r="AJ3033" s="280"/>
      <c r="AK3033" s="92"/>
      <c r="AL3033" s="23"/>
      <c r="AU3033" s="1"/>
    </row>
    <row r="3034" spans="1:47">
      <c r="A3034" t="str">
        <f t="shared" si="753"/>
        <v>PA_Alleg_2019g~Gen-commissioner elizabeth township ward 5 (vote for 1)</v>
      </c>
      <c r="B3034" s="55" t="s">
        <v>1528</v>
      </c>
      <c r="C3034">
        <v>607</v>
      </c>
      <c r="D3034" s="55" t="s">
        <v>579</v>
      </c>
      <c r="E3034" s="55" t="s">
        <v>15</v>
      </c>
      <c r="G3034" s="62">
        <v>12</v>
      </c>
      <c r="H3034">
        <v>4.3499999999999996</v>
      </c>
      <c r="I3034">
        <v>1285</v>
      </c>
      <c r="J3034">
        <v>0</v>
      </c>
      <c r="K3034">
        <v>2</v>
      </c>
      <c r="L3034">
        <v>2</v>
      </c>
      <c r="M3034">
        <v>0</v>
      </c>
      <c r="N3034" s="23">
        <v>0</v>
      </c>
      <c r="O3034">
        <f t="shared" si="754"/>
        <v>-1</v>
      </c>
      <c r="P3034" s="57">
        <f t="shared" si="755"/>
        <v>1</v>
      </c>
      <c r="Q3034" s="267">
        <f t="shared" si="756"/>
        <v>12</v>
      </c>
      <c r="R3034" s="23">
        <f t="shared" si="757"/>
        <v>1</v>
      </c>
      <c r="S3034" s="23">
        <f t="shared" si="758"/>
        <v>0</v>
      </c>
      <c r="T3034" s="23" t="str">
        <f t="shared" si="759"/>
        <v/>
      </c>
      <c r="U3034" t="str">
        <f t="shared" si="760"/>
        <v/>
      </c>
      <c r="AF3034" s="22" t="str">
        <f t="shared" si="752"/>
        <v/>
      </c>
      <c r="AG3034" s="89"/>
      <c r="AH3034" s="274"/>
      <c r="AI3034" s="279"/>
      <c r="AJ3034" s="280"/>
      <c r="AK3034" s="92"/>
      <c r="AL3034" s="23"/>
      <c r="AU3034" s="1"/>
    </row>
    <row r="3035" spans="1:47">
      <c r="A3035" t="str">
        <f t="shared" si="753"/>
        <v>PA_Alleg_2019g~Gen-commissioner elizabeth township ward 7 (vote for 1)</v>
      </c>
      <c r="B3035" s="55" t="s">
        <v>1528</v>
      </c>
      <c r="C3035">
        <v>609</v>
      </c>
      <c r="D3035" s="55" t="s">
        <v>580</v>
      </c>
      <c r="E3035" s="55" t="s">
        <v>1153</v>
      </c>
      <c r="F3035" t="s">
        <v>1296</v>
      </c>
      <c r="G3035" s="62">
        <v>284</v>
      </c>
      <c r="H3035">
        <v>68.27</v>
      </c>
      <c r="I3035">
        <v>1268</v>
      </c>
      <c r="J3035">
        <v>0</v>
      </c>
      <c r="K3035">
        <v>1</v>
      </c>
      <c r="L3035">
        <v>1</v>
      </c>
      <c r="M3035">
        <v>0</v>
      </c>
      <c r="N3035" s="23">
        <v>0</v>
      </c>
      <c r="O3035">
        <f t="shared" si="754"/>
        <v>1</v>
      </c>
      <c r="P3035" s="57">
        <f t="shared" si="755"/>
        <v>1</v>
      </c>
      <c r="Q3035" s="267">
        <f t="shared" si="756"/>
        <v>416</v>
      </c>
      <c r="R3035" s="23">
        <f t="shared" si="757"/>
        <v>284</v>
      </c>
      <c r="S3035" s="23">
        <f t="shared" si="758"/>
        <v>128</v>
      </c>
      <c r="T3035" s="23">
        <f t="shared" si="759"/>
        <v>156</v>
      </c>
      <c r="U3035" t="str">
        <f t="shared" si="760"/>
        <v>PA_Alleg_2019g~Gen-commissioner elizabeth township ward 7 (vote for 1)</v>
      </c>
      <c r="AF3035" s="22" t="str">
        <f t="shared" si="752"/>
        <v/>
      </c>
      <c r="AG3035" s="89"/>
      <c r="AH3035" s="274"/>
      <c r="AI3035" s="279"/>
      <c r="AJ3035" s="280"/>
      <c r="AK3035" s="92"/>
      <c r="AL3035" s="23"/>
      <c r="AU3035" s="1"/>
    </row>
    <row r="3036" spans="1:47">
      <c r="A3036" t="str">
        <f t="shared" si="753"/>
        <v>PA_Alleg_2019g~Gen-commissioner elizabeth township ward 7 (vote for 1)</v>
      </c>
      <c r="B3036" s="55" t="s">
        <v>1528</v>
      </c>
      <c r="C3036">
        <v>608</v>
      </c>
      <c r="D3036" s="55" t="s">
        <v>580</v>
      </c>
      <c r="E3036" s="55" t="s">
        <v>581</v>
      </c>
      <c r="F3036" t="s">
        <v>1294</v>
      </c>
      <c r="G3036" s="62">
        <v>128</v>
      </c>
      <c r="H3036">
        <v>30.77</v>
      </c>
      <c r="I3036">
        <v>1268</v>
      </c>
      <c r="J3036">
        <v>0</v>
      </c>
      <c r="K3036">
        <v>1</v>
      </c>
      <c r="L3036">
        <v>1</v>
      </c>
      <c r="M3036">
        <v>0</v>
      </c>
      <c r="N3036" s="23">
        <v>0</v>
      </c>
      <c r="O3036">
        <f t="shared" si="754"/>
        <v>2</v>
      </c>
      <c r="P3036" s="57">
        <f t="shared" si="755"/>
        <v>1</v>
      </c>
      <c r="Q3036" s="267">
        <f t="shared" si="756"/>
        <v>132</v>
      </c>
      <c r="R3036" s="23" t="str">
        <f t="shared" si="757"/>
        <v/>
      </c>
      <c r="S3036" s="23">
        <f t="shared" si="758"/>
        <v>128</v>
      </c>
      <c r="T3036" s="23" t="str">
        <f t="shared" si="759"/>
        <v/>
      </c>
      <c r="U3036" t="str">
        <f t="shared" si="760"/>
        <v/>
      </c>
      <c r="AF3036" s="22" t="str">
        <f t="shared" si="752"/>
        <v/>
      </c>
      <c r="AG3036" s="89"/>
      <c r="AH3036" s="274"/>
      <c r="AI3036" s="279"/>
      <c r="AJ3036" s="280"/>
      <c r="AK3036" s="92"/>
      <c r="AL3036" s="23"/>
      <c r="AU3036" s="1"/>
    </row>
    <row r="3037" spans="1:47">
      <c r="A3037" t="str">
        <f t="shared" si="753"/>
        <v>PA_Alleg_2019g~Gen-commissioner elizabeth township ward 7 (vote for 1)</v>
      </c>
      <c r="B3037" s="55" t="s">
        <v>1528</v>
      </c>
      <c r="C3037">
        <v>610</v>
      </c>
      <c r="D3037" s="55" t="s">
        <v>580</v>
      </c>
      <c r="E3037" s="55" t="s">
        <v>15</v>
      </c>
      <c r="G3037" s="62">
        <v>4</v>
      </c>
      <c r="H3037">
        <v>0.96</v>
      </c>
      <c r="I3037">
        <v>1268</v>
      </c>
      <c r="J3037">
        <v>0</v>
      </c>
      <c r="K3037">
        <v>1</v>
      </c>
      <c r="L3037">
        <v>1</v>
      </c>
      <c r="M3037">
        <v>0</v>
      </c>
      <c r="N3037" s="23">
        <v>0</v>
      </c>
      <c r="O3037">
        <f t="shared" si="754"/>
        <v>-2</v>
      </c>
      <c r="P3037" s="57">
        <f t="shared" si="755"/>
        <v>1</v>
      </c>
      <c r="Q3037" s="267">
        <f t="shared" si="756"/>
        <v>4</v>
      </c>
      <c r="R3037" s="23">
        <f t="shared" si="757"/>
        <v>1</v>
      </c>
      <c r="S3037" s="23">
        <f t="shared" si="758"/>
        <v>0</v>
      </c>
      <c r="T3037" s="23" t="str">
        <f t="shared" si="759"/>
        <v/>
      </c>
      <c r="U3037" t="str">
        <f t="shared" si="760"/>
        <v/>
      </c>
      <c r="AF3037" s="22" t="str">
        <f t="shared" si="752"/>
        <v/>
      </c>
      <c r="AG3037" s="89"/>
      <c r="AH3037" s="274"/>
      <c r="AI3037" s="279"/>
      <c r="AJ3037" s="280"/>
      <c r="AK3037" s="92"/>
      <c r="AL3037" s="23"/>
      <c r="AU3037" s="1"/>
    </row>
    <row r="3038" spans="1:47">
      <c r="A3038" t="str">
        <f t="shared" si="753"/>
        <v>PA_Alleg_2019g~Gen-commissioner harrison ward 1 (vote for 1)</v>
      </c>
      <c r="B3038" s="55" t="s">
        <v>1528</v>
      </c>
      <c r="C3038">
        <v>611</v>
      </c>
      <c r="D3038" s="55" t="s">
        <v>582</v>
      </c>
      <c r="E3038" s="55" t="s">
        <v>584</v>
      </c>
      <c r="F3038" t="s">
        <v>1396</v>
      </c>
      <c r="G3038" s="62">
        <v>435</v>
      </c>
      <c r="H3038">
        <v>96.03</v>
      </c>
      <c r="I3038">
        <v>1555</v>
      </c>
      <c r="J3038">
        <v>0</v>
      </c>
      <c r="K3038">
        <v>3</v>
      </c>
      <c r="L3038">
        <v>3</v>
      </c>
      <c r="M3038">
        <v>0</v>
      </c>
      <c r="N3038" s="23">
        <v>0</v>
      </c>
      <c r="O3038">
        <f t="shared" si="754"/>
        <v>1</v>
      </c>
      <c r="P3038" s="57">
        <f t="shared" si="755"/>
        <v>1</v>
      </c>
      <c r="Q3038" s="267">
        <f t="shared" si="756"/>
        <v>453</v>
      </c>
      <c r="R3038" s="23">
        <f t="shared" si="757"/>
        <v>435</v>
      </c>
      <c r="S3038" s="23">
        <f t="shared" si="758"/>
        <v>0</v>
      </c>
      <c r="T3038" s="23" t="str">
        <f t="shared" si="759"/>
        <v/>
      </c>
      <c r="U3038" t="str">
        <f t="shared" si="760"/>
        <v>PA_Alleg_2019g~Gen-commissioner harrison ward 1 (vote for 1)</v>
      </c>
      <c r="AF3038" s="22" t="str">
        <f t="shared" si="752"/>
        <v/>
      </c>
      <c r="AG3038" s="89"/>
      <c r="AH3038" s="274"/>
      <c r="AI3038" s="279"/>
      <c r="AJ3038" s="280"/>
      <c r="AK3038" s="92"/>
      <c r="AL3038" s="23"/>
      <c r="AU3038" s="1"/>
    </row>
    <row r="3039" spans="1:47">
      <c r="A3039" t="str">
        <f t="shared" si="753"/>
        <v>PA_Alleg_2019g~Gen-commissioner harrison ward 1 (vote for 1)</v>
      </c>
      <c r="B3039" s="55" t="s">
        <v>1528</v>
      </c>
      <c r="C3039">
        <v>612</v>
      </c>
      <c r="D3039" s="55" t="s">
        <v>582</v>
      </c>
      <c r="E3039" s="55" t="s">
        <v>15</v>
      </c>
      <c r="G3039" s="62">
        <v>18</v>
      </c>
      <c r="H3039">
        <v>3.97</v>
      </c>
      <c r="I3039">
        <v>1555</v>
      </c>
      <c r="J3039">
        <v>0</v>
      </c>
      <c r="K3039">
        <v>3</v>
      </c>
      <c r="L3039">
        <v>3</v>
      </c>
      <c r="M3039">
        <v>0</v>
      </c>
      <c r="N3039" s="23">
        <v>0</v>
      </c>
      <c r="O3039">
        <f t="shared" si="754"/>
        <v>-1</v>
      </c>
      <c r="P3039" s="57">
        <f t="shared" si="755"/>
        <v>1</v>
      </c>
      <c r="Q3039" s="267">
        <f t="shared" si="756"/>
        <v>18</v>
      </c>
      <c r="R3039" s="23">
        <f t="shared" si="757"/>
        <v>1</v>
      </c>
      <c r="S3039" s="23">
        <f t="shared" si="758"/>
        <v>0</v>
      </c>
      <c r="T3039" s="23" t="str">
        <f t="shared" si="759"/>
        <v/>
      </c>
      <c r="U3039" t="str">
        <f t="shared" si="760"/>
        <v/>
      </c>
      <c r="AF3039" s="22" t="str">
        <f t="shared" si="752"/>
        <v/>
      </c>
      <c r="AG3039" s="89"/>
      <c r="AH3039" s="274"/>
      <c r="AI3039" s="279"/>
      <c r="AJ3039" s="280"/>
      <c r="AK3039" s="92"/>
      <c r="AL3039" s="23"/>
      <c r="AU3039" s="1"/>
    </row>
    <row r="3040" spans="1:47">
      <c r="A3040" t="str">
        <f t="shared" si="753"/>
        <v>PA_Alleg_2019g~Gen-commissioner harrison ward 3 (vote for 1)</v>
      </c>
      <c r="B3040" s="55" t="s">
        <v>1528</v>
      </c>
      <c r="C3040">
        <v>613</v>
      </c>
      <c r="D3040" s="55" t="s">
        <v>585</v>
      </c>
      <c r="E3040" s="55" t="s">
        <v>586</v>
      </c>
      <c r="F3040" t="s">
        <v>1396</v>
      </c>
      <c r="G3040" s="62">
        <v>476</v>
      </c>
      <c r="H3040">
        <v>95.77</v>
      </c>
      <c r="I3040">
        <v>1675</v>
      </c>
      <c r="J3040">
        <v>0</v>
      </c>
      <c r="K3040">
        <v>2</v>
      </c>
      <c r="L3040">
        <v>2</v>
      </c>
      <c r="M3040">
        <v>0</v>
      </c>
      <c r="N3040" s="23">
        <v>0</v>
      </c>
      <c r="O3040">
        <f t="shared" si="754"/>
        <v>1</v>
      </c>
      <c r="P3040" s="57">
        <f t="shared" si="755"/>
        <v>1</v>
      </c>
      <c r="Q3040" s="267">
        <f t="shared" si="756"/>
        <v>497</v>
      </c>
      <c r="R3040" s="23">
        <f t="shared" si="757"/>
        <v>476</v>
      </c>
      <c r="S3040" s="23">
        <f t="shared" si="758"/>
        <v>0</v>
      </c>
      <c r="T3040" s="23" t="str">
        <f t="shared" si="759"/>
        <v/>
      </c>
      <c r="U3040" t="str">
        <f t="shared" si="760"/>
        <v>PA_Alleg_2019g~Gen-commissioner harrison ward 3 (vote for 1)</v>
      </c>
      <c r="AF3040" s="22" t="str">
        <f t="shared" si="752"/>
        <v/>
      </c>
      <c r="AG3040" s="89"/>
      <c r="AH3040" s="274"/>
      <c r="AI3040" s="279"/>
      <c r="AJ3040" s="280"/>
      <c r="AK3040" s="92"/>
      <c r="AL3040" s="23"/>
      <c r="AU3040" s="1"/>
    </row>
    <row r="3041" spans="1:47">
      <c r="A3041" t="str">
        <f t="shared" si="753"/>
        <v>PA_Alleg_2019g~Gen-commissioner harrison ward 3 (vote for 1)</v>
      </c>
      <c r="B3041" s="55" t="s">
        <v>1528</v>
      </c>
      <c r="C3041">
        <v>614</v>
      </c>
      <c r="D3041" s="55" t="s">
        <v>585</v>
      </c>
      <c r="E3041" s="55" t="s">
        <v>15</v>
      </c>
      <c r="G3041" s="62">
        <v>21</v>
      </c>
      <c r="H3041">
        <v>4.2300000000000004</v>
      </c>
      <c r="I3041">
        <v>1675</v>
      </c>
      <c r="J3041">
        <v>0</v>
      </c>
      <c r="K3041">
        <v>2</v>
      </c>
      <c r="L3041">
        <v>2</v>
      </c>
      <c r="M3041">
        <v>0</v>
      </c>
      <c r="N3041" s="23">
        <v>0</v>
      </c>
      <c r="O3041">
        <f t="shared" si="754"/>
        <v>-1</v>
      </c>
      <c r="P3041" s="57">
        <f t="shared" si="755"/>
        <v>1</v>
      </c>
      <c r="Q3041" s="267">
        <f t="shared" si="756"/>
        <v>21</v>
      </c>
      <c r="R3041" s="23">
        <f t="shared" si="757"/>
        <v>1</v>
      </c>
      <c r="S3041" s="23">
        <f t="shared" si="758"/>
        <v>0</v>
      </c>
      <c r="T3041" s="23" t="str">
        <f t="shared" si="759"/>
        <v/>
      </c>
      <c r="U3041" t="str">
        <f t="shared" si="760"/>
        <v/>
      </c>
      <c r="AF3041" s="22" t="str">
        <f t="shared" si="752"/>
        <v/>
      </c>
      <c r="AG3041" s="89"/>
      <c r="AH3041" s="274"/>
      <c r="AI3041" s="279"/>
      <c r="AJ3041" s="280"/>
      <c r="AK3041" s="92"/>
      <c r="AL3041" s="23"/>
      <c r="AU3041" s="1"/>
    </row>
    <row r="3042" spans="1:47">
      <c r="A3042" t="str">
        <f t="shared" si="753"/>
        <v>PA_Alleg_2019g~Gen-commissioner harrison ward 5 (vote for 1)</v>
      </c>
      <c r="B3042" s="55" t="s">
        <v>1528</v>
      </c>
      <c r="C3042">
        <v>615</v>
      </c>
      <c r="D3042" s="55" t="s">
        <v>588</v>
      </c>
      <c r="E3042" s="55" t="s">
        <v>589</v>
      </c>
      <c r="F3042" t="s">
        <v>1396</v>
      </c>
      <c r="G3042" s="62">
        <v>276</v>
      </c>
      <c r="H3042">
        <v>98.57</v>
      </c>
      <c r="I3042">
        <v>1322</v>
      </c>
      <c r="J3042">
        <v>0</v>
      </c>
      <c r="K3042">
        <v>2</v>
      </c>
      <c r="L3042">
        <v>2</v>
      </c>
      <c r="M3042">
        <v>0</v>
      </c>
      <c r="N3042" s="23">
        <v>0</v>
      </c>
      <c r="O3042">
        <f t="shared" si="754"/>
        <v>1</v>
      </c>
      <c r="P3042" s="57">
        <f t="shared" si="755"/>
        <v>1</v>
      </c>
      <c r="Q3042" s="267">
        <f t="shared" si="756"/>
        <v>280</v>
      </c>
      <c r="R3042" s="23">
        <f t="shared" si="757"/>
        <v>276</v>
      </c>
      <c r="S3042" s="23">
        <f t="shared" si="758"/>
        <v>0</v>
      </c>
      <c r="T3042" s="23" t="str">
        <f t="shared" si="759"/>
        <v/>
      </c>
      <c r="U3042" t="str">
        <f t="shared" si="760"/>
        <v>PA_Alleg_2019g~Gen-commissioner harrison ward 5 (vote for 1)</v>
      </c>
      <c r="AF3042" s="22" t="str">
        <f t="shared" si="752"/>
        <v/>
      </c>
      <c r="AG3042" s="89"/>
      <c r="AH3042" s="274"/>
      <c r="AI3042" s="279"/>
      <c r="AJ3042" s="280"/>
      <c r="AK3042" s="92"/>
      <c r="AL3042" s="23"/>
      <c r="AU3042" s="1"/>
    </row>
    <row r="3043" spans="1:47">
      <c r="A3043" t="str">
        <f t="shared" si="753"/>
        <v>PA_Alleg_2019g~Gen-commissioner harrison ward 5 (vote for 1)</v>
      </c>
      <c r="B3043" s="55" t="s">
        <v>1528</v>
      </c>
      <c r="C3043">
        <v>616</v>
      </c>
      <c r="D3043" s="55" t="s">
        <v>588</v>
      </c>
      <c r="E3043" s="55" t="s">
        <v>15</v>
      </c>
      <c r="G3043" s="62">
        <v>4</v>
      </c>
      <c r="H3043">
        <v>1.43</v>
      </c>
      <c r="I3043">
        <v>1322</v>
      </c>
      <c r="J3043">
        <v>0</v>
      </c>
      <c r="K3043">
        <v>2</v>
      </c>
      <c r="L3043">
        <v>2</v>
      </c>
      <c r="M3043">
        <v>0</v>
      </c>
      <c r="N3043" s="23">
        <v>0</v>
      </c>
      <c r="O3043">
        <f t="shared" si="754"/>
        <v>-1</v>
      </c>
      <c r="P3043" s="57">
        <f t="shared" si="755"/>
        <v>1</v>
      </c>
      <c r="Q3043" s="267">
        <f t="shared" si="756"/>
        <v>4</v>
      </c>
      <c r="R3043" s="23">
        <f t="shared" si="757"/>
        <v>1</v>
      </c>
      <c r="S3043" s="23">
        <f t="shared" si="758"/>
        <v>0</v>
      </c>
      <c r="T3043" s="23" t="str">
        <f t="shared" si="759"/>
        <v/>
      </c>
      <c r="U3043" t="str">
        <f t="shared" si="760"/>
        <v/>
      </c>
      <c r="AF3043" s="22" t="str">
        <f t="shared" si="752"/>
        <v/>
      </c>
      <c r="AG3043" s="89"/>
      <c r="AH3043" s="274"/>
      <c r="AI3043" s="279"/>
      <c r="AJ3043" s="280"/>
      <c r="AK3043" s="92"/>
      <c r="AL3043" s="23"/>
      <c r="AU3043" s="1"/>
    </row>
    <row r="3044" spans="1:47">
      <c r="A3044" t="str">
        <f t="shared" si="753"/>
        <v>PA_Alleg_2019g~Gen-commissioner kennedy (vote for 2)</v>
      </c>
      <c r="B3044" s="55" t="s">
        <v>1528</v>
      </c>
      <c r="C3044">
        <v>585</v>
      </c>
      <c r="D3044" s="55" t="s">
        <v>563</v>
      </c>
      <c r="E3044" s="55" t="s">
        <v>565</v>
      </c>
      <c r="F3044" t="s">
        <v>1396</v>
      </c>
      <c r="G3044" s="62">
        <v>1743</v>
      </c>
      <c r="H3044">
        <v>49.71</v>
      </c>
      <c r="I3044">
        <v>6699</v>
      </c>
      <c r="J3044">
        <v>0</v>
      </c>
      <c r="K3044">
        <v>7</v>
      </c>
      <c r="L3044">
        <v>7</v>
      </c>
      <c r="M3044">
        <v>0</v>
      </c>
      <c r="N3044" s="23">
        <v>0</v>
      </c>
      <c r="O3044">
        <f t="shared" si="754"/>
        <v>1</v>
      </c>
      <c r="P3044" s="57">
        <f t="shared" si="755"/>
        <v>2</v>
      </c>
      <c r="Q3044" s="267">
        <f t="shared" si="756"/>
        <v>1753</v>
      </c>
      <c r="R3044" s="23">
        <f t="shared" si="757"/>
        <v>1737</v>
      </c>
      <c r="S3044" s="23">
        <f t="shared" si="758"/>
        <v>0</v>
      </c>
      <c r="T3044" s="23" t="str">
        <f t="shared" si="759"/>
        <v/>
      </c>
      <c r="U3044" t="str">
        <f t="shared" si="760"/>
        <v>PA_Alleg_2019g~Gen-commissioner kennedy (vote for 2)</v>
      </c>
      <c r="AF3044" s="22" t="str">
        <f t="shared" si="752"/>
        <v/>
      </c>
      <c r="AG3044" s="89"/>
      <c r="AH3044" s="274"/>
      <c r="AI3044" s="279"/>
      <c r="AJ3044" s="280"/>
      <c r="AK3044" s="92"/>
      <c r="AL3044" s="23"/>
      <c r="AU3044" s="1"/>
    </row>
    <row r="3045" spans="1:47">
      <c r="A3045" t="str">
        <f t="shared" si="753"/>
        <v>PA_Alleg_2019g~Gen-commissioner kennedy (vote for 2)</v>
      </c>
      <c r="B3045" s="55" t="s">
        <v>1528</v>
      </c>
      <c r="C3045">
        <v>584</v>
      </c>
      <c r="D3045" s="55" t="s">
        <v>563</v>
      </c>
      <c r="E3045" s="55" t="s">
        <v>564</v>
      </c>
      <c r="F3045" t="s">
        <v>1396</v>
      </c>
      <c r="G3045" s="62">
        <v>1737</v>
      </c>
      <c r="H3045">
        <v>49.54</v>
      </c>
      <c r="I3045">
        <v>6699</v>
      </c>
      <c r="J3045">
        <v>0</v>
      </c>
      <c r="K3045">
        <v>7</v>
      </c>
      <c r="L3045">
        <v>7</v>
      </c>
      <c r="M3045">
        <v>0</v>
      </c>
      <c r="N3045" s="23">
        <v>0</v>
      </c>
      <c r="O3045">
        <f t="shared" si="754"/>
        <v>2</v>
      </c>
      <c r="P3045" s="57">
        <f t="shared" si="755"/>
        <v>2</v>
      </c>
      <c r="Q3045" s="267">
        <f t="shared" si="756"/>
        <v>1763</v>
      </c>
      <c r="R3045" s="23">
        <f t="shared" si="757"/>
        <v>1737</v>
      </c>
      <c r="S3045" s="23">
        <f t="shared" si="758"/>
        <v>0</v>
      </c>
      <c r="T3045" s="23" t="str">
        <f t="shared" si="759"/>
        <v/>
      </c>
      <c r="U3045" t="str">
        <f t="shared" si="760"/>
        <v/>
      </c>
      <c r="AF3045" s="22" t="str">
        <f t="shared" si="752"/>
        <v/>
      </c>
      <c r="AG3045" s="89"/>
      <c r="AH3045" s="274"/>
      <c r="AI3045" s="279"/>
      <c r="AJ3045" s="280"/>
      <c r="AK3045" s="92"/>
      <c r="AL3045" s="23"/>
      <c r="AU3045" s="1"/>
    </row>
    <row r="3046" spans="1:47">
      <c r="A3046" t="str">
        <f t="shared" si="753"/>
        <v>PA_Alleg_2019g~Gen-commissioner kennedy (vote for 2)</v>
      </c>
      <c r="B3046" s="55" t="s">
        <v>1528</v>
      </c>
      <c r="C3046">
        <v>586</v>
      </c>
      <c r="D3046" s="55" t="s">
        <v>563</v>
      </c>
      <c r="E3046" s="55" t="s">
        <v>15</v>
      </c>
      <c r="G3046" s="62">
        <v>26</v>
      </c>
      <c r="H3046">
        <v>0.74</v>
      </c>
      <c r="I3046">
        <v>6699</v>
      </c>
      <c r="J3046">
        <v>0</v>
      </c>
      <c r="K3046">
        <v>7</v>
      </c>
      <c r="L3046">
        <v>7</v>
      </c>
      <c r="M3046">
        <v>0</v>
      </c>
      <c r="N3046" s="23">
        <v>0</v>
      </c>
      <c r="O3046">
        <f t="shared" si="754"/>
        <v>-2</v>
      </c>
      <c r="P3046" s="57">
        <f t="shared" si="755"/>
        <v>2</v>
      </c>
      <c r="Q3046" s="267">
        <f t="shared" si="756"/>
        <v>26</v>
      </c>
      <c r="R3046" s="23">
        <f t="shared" si="757"/>
        <v>1</v>
      </c>
      <c r="S3046" s="23">
        <f t="shared" si="758"/>
        <v>0</v>
      </c>
      <c r="T3046" s="23" t="str">
        <f t="shared" si="759"/>
        <v/>
      </c>
      <c r="U3046" t="str">
        <f t="shared" si="760"/>
        <v/>
      </c>
      <c r="AF3046" s="22" t="str">
        <f t="shared" si="752"/>
        <v/>
      </c>
      <c r="AG3046" s="89"/>
      <c r="AH3046" s="274"/>
      <c r="AI3046" s="279"/>
      <c r="AJ3046" s="280"/>
      <c r="AK3046" s="92"/>
      <c r="AL3046" s="23"/>
      <c r="AU3046" s="1"/>
    </row>
    <row r="3047" spans="1:47">
      <c r="A3047" t="str">
        <f t="shared" si="753"/>
        <v>PA_Alleg_2019g~Gen-commissioner kennedy (vote for 3)</v>
      </c>
      <c r="B3047" s="55" t="s">
        <v>1528</v>
      </c>
      <c r="C3047">
        <v>593</v>
      </c>
      <c r="D3047" s="55" t="s">
        <v>1458</v>
      </c>
      <c r="E3047" s="55" t="s">
        <v>571</v>
      </c>
      <c r="F3047" t="s">
        <v>1396</v>
      </c>
      <c r="G3047" s="62">
        <v>1698</v>
      </c>
      <c r="H3047">
        <v>37.119999999999997</v>
      </c>
      <c r="I3047">
        <v>6699</v>
      </c>
      <c r="J3047">
        <v>0</v>
      </c>
      <c r="K3047">
        <v>7</v>
      </c>
      <c r="L3047">
        <v>7</v>
      </c>
      <c r="M3047">
        <v>0</v>
      </c>
      <c r="N3047" s="23">
        <v>0</v>
      </c>
      <c r="O3047">
        <f t="shared" si="754"/>
        <v>1</v>
      </c>
      <c r="P3047" s="57">
        <f t="shared" si="755"/>
        <v>3</v>
      </c>
      <c r="Q3047" s="267">
        <f t="shared" si="756"/>
        <v>1698</v>
      </c>
      <c r="R3047" s="23">
        <f t="shared" si="757"/>
        <v>1417</v>
      </c>
      <c r="S3047" s="23">
        <f t="shared" si="758"/>
        <v>0</v>
      </c>
      <c r="T3047" s="23" t="str">
        <f t="shared" si="759"/>
        <v/>
      </c>
      <c r="U3047" t="str">
        <f t="shared" si="760"/>
        <v>PA_Alleg_2019g~Gen-commissioner kennedy (vote for 3)</v>
      </c>
      <c r="AF3047" s="22" t="str">
        <f t="shared" si="752"/>
        <v/>
      </c>
      <c r="AG3047" s="89"/>
      <c r="AH3047" s="274"/>
      <c r="AI3047" s="279"/>
      <c r="AJ3047" s="280"/>
      <c r="AK3047" s="92"/>
      <c r="AL3047" s="23"/>
      <c r="AU3047" s="1"/>
    </row>
    <row r="3048" spans="1:47">
      <c r="A3048" t="str">
        <f t="shared" si="753"/>
        <v>PA_Alleg_2019g~Gen-commissioner kennedy (vote for 3)</v>
      </c>
      <c r="B3048" s="55" t="s">
        <v>1528</v>
      </c>
      <c r="C3048">
        <v>595</v>
      </c>
      <c r="D3048" s="55" t="s">
        <v>1458</v>
      </c>
      <c r="E3048" s="55" t="s">
        <v>1460</v>
      </c>
      <c r="F3048" t="s">
        <v>1294</v>
      </c>
      <c r="G3048" s="62">
        <v>1423</v>
      </c>
      <c r="H3048">
        <v>31.11</v>
      </c>
      <c r="I3048">
        <v>6699</v>
      </c>
      <c r="J3048">
        <v>0</v>
      </c>
      <c r="K3048">
        <v>7</v>
      </c>
      <c r="L3048">
        <v>7</v>
      </c>
      <c r="M3048">
        <v>0</v>
      </c>
      <c r="N3048" s="23">
        <v>0</v>
      </c>
      <c r="O3048">
        <f t="shared" si="754"/>
        <v>2</v>
      </c>
      <c r="P3048" s="57">
        <f t="shared" si="755"/>
        <v>3</v>
      </c>
      <c r="Q3048" s="267">
        <f t="shared" si="756"/>
        <v>2876</v>
      </c>
      <c r="R3048" s="23">
        <f t="shared" si="757"/>
        <v>1417</v>
      </c>
      <c r="S3048" s="23">
        <f t="shared" si="758"/>
        <v>0</v>
      </c>
      <c r="T3048" s="23" t="str">
        <f t="shared" si="759"/>
        <v/>
      </c>
      <c r="U3048" t="str">
        <f t="shared" si="760"/>
        <v/>
      </c>
      <c r="AF3048" s="22" t="str">
        <f t="shared" si="752"/>
        <v/>
      </c>
      <c r="AG3048" s="89"/>
      <c r="AH3048" s="274"/>
      <c r="AI3048" s="279"/>
      <c r="AJ3048" s="280"/>
      <c r="AK3048" s="92"/>
      <c r="AL3048" s="23"/>
      <c r="AU3048" s="1"/>
    </row>
    <row r="3049" spans="1:47">
      <c r="A3049" t="str">
        <f t="shared" si="753"/>
        <v>PA_Alleg_2019g~Gen-commissioner kennedy (vote for 3)</v>
      </c>
      <c r="B3049" s="55" t="s">
        <v>1528</v>
      </c>
      <c r="C3049">
        <v>594</v>
      </c>
      <c r="D3049" s="55" t="s">
        <v>1458</v>
      </c>
      <c r="E3049" s="55" t="s">
        <v>1459</v>
      </c>
      <c r="F3049" t="s">
        <v>1294</v>
      </c>
      <c r="G3049" s="62">
        <v>1417</v>
      </c>
      <c r="H3049">
        <v>30.98</v>
      </c>
      <c r="I3049">
        <v>6699</v>
      </c>
      <c r="J3049">
        <v>0</v>
      </c>
      <c r="K3049">
        <v>7</v>
      </c>
      <c r="L3049">
        <v>7</v>
      </c>
      <c r="M3049">
        <v>0</v>
      </c>
      <c r="N3049" s="23">
        <v>0</v>
      </c>
      <c r="O3049">
        <f t="shared" si="754"/>
        <v>3</v>
      </c>
      <c r="P3049" s="57">
        <f t="shared" si="755"/>
        <v>3</v>
      </c>
      <c r="Q3049" s="267">
        <f t="shared" si="756"/>
        <v>1453</v>
      </c>
      <c r="R3049" s="23">
        <f t="shared" si="757"/>
        <v>1417</v>
      </c>
      <c r="S3049" s="23">
        <f t="shared" si="758"/>
        <v>0</v>
      </c>
      <c r="T3049" s="23" t="str">
        <f t="shared" si="759"/>
        <v/>
      </c>
      <c r="U3049" t="str">
        <f t="shared" si="760"/>
        <v/>
      </c>
      <c r="AF3049" s="22" t="str">
        <f t="shared" si="752"/>
        <v/>
      </c>
      <c r="AG3049" s="89"/>
      <c r="AH3049" s="274"/>
      <c r="AI3049" s="279"/>
      <c r="AJ3049" s="280"/>
      <c r="AK3049" s="92"/>
      <c r="AL3049" s="23"/>
      <c r="AU3049" s="1"/>
    </row>
    <row r="3050" spans="1:47">
      <c r="A3050" t="str">
        <f t="shared" si="753"/>
        <v>PA_Alleg_2019g~Gen-commissioner kennedy (vote for 3)</v>
      </c>
      <c r="B3050" s="55" t="s">
        <v>1528</v>
      </c>
      <c r="C3050">
        <v>596</v>
      </c>
      <c r="D3050" s="55" t="s">
        <v>1458</v>
      </c>
      <c r="E3050" s="55" t="s">
        <v>15</v>
      </c>
      <c r="G3050" s="62">
        <v>36</v>
      </c>
      <c r="H3050">
        <v>0.79</v>
      </c>
      <c r="I3050">
        <v>6699</v>
      </c>
      <c r="J3050">
        <v>0</v>
      </c>
      <c r="K3050">
        <v>7</v>
      </c>
      <c r="L3050">
        <v>7</v>
      </c>
      <c r="M3050">
        <v>0</v>
      </c>
      <c r="N3050" s="23">
        <v>0</v>
      </c>
      <c r="O3050">
        <f t="shared" si="754"/>
        <v>-3</v>
      </c>
      <c r="P3050" s="57">
        <f t="shared" si="755"/>
        <v>3</v>
      </c>
      <c r="Q3050" s="267">
        <f t="shared" si="756"/>
        <v>36</v>
      </c>
      <c r="R3050" s="23">
        <f t="shared" si="757"/>
        <v>1</v>
      </c>
      <c r="S3050" s="23">
        <f t="shared" si="758"/>
        <v>0</v>
      </c>
      <c r="T3050" s="23" t="str">
        <f t="shared" si="759"/>
        <v/>
      </c>
      <c r="U3050" t="str">
        <f t="shared" si="760"/>
        <v/>
      </c>
      <c r="AF3050" s="22" t="str">
        <f t="shared" si="752"/>
        <v/>
      </c>
      <c r="AG3050" s="89"/>
      <c r="AH3050" s="274"/>
      <c r="AI3050" s="279"/>
      <c r="AJ3050" s="280"/>
      <c r="AK3050" s="92"/>
      <c r="AL3050" s="23"/>
      <c r="AU3050" s="1"/>
    </row>
    <row r="3051" spans="1:47">
      <c r="A3051" t="str">
        <f t="shared" si="753"/>
        <v>PA_Alleg_2019g~Gen-commissioner leet (vote for 3)</v>
      </c>
      <c r="B3051" s="55" t="s">
        <v>1528</v>
      </c>
      <c r="C3051">
        <v>563</v>
      </c>
      <c r="D3051" s="55" t="s">
        <v>545</v>
      </c>
      <c r="E3051" s="55" t="s">
        <v>1144</v>
      </c>
      <c r="F3051" t="s">
        <v>1396</v>
      </c>
      <c r="G3051" s="62">
        <v>279</v>
      </c>
      <c r="H3051">
        <v>24.89</v>
      </c>
      <c r="I3051">
        <v>1195</v>
      </c>
      <c r="J3051">
        <v>0</v>
      </c>
      <c r="K3051">
        <v>2</v>
      </c>
      <c r="L3051">
        <v>2</v>
      </c>
      <c r="M3051">
        <v>0</v>
      </c>
      <c r="N3051" s="23">
        <v>0</v>
      </c>
      <c r="O3051">
        <f t="shared" si="754"/>
        <v>1</v>
      </c>
      <c r="P3051" s="57">
        <f t="shared" si="755"/>
        <v>3</v>
      </c>
      <c r="Q3051" s="267">
        <f t="shared" si="756"/>
        <v>373.66666666666669</v>
      </c>
      <c r="R3051" s="23">
        <f t="shared" si="757"/>
        <v>208</v>
      </c>
      <c r="S3051" s="23">
        <f t="shared" si="758"/>
        <v>204</v>
      </c>
      <c r="T3051" s="23">
        <f t="shared" si="759"/>
        <v>4</v>
      </c>
      <c r="U3051" t="str">
        <f t="shared" si="760"/>
        <v>PA_Alleg_2019g~Gen-commissioner leet (vote for 3)</v>
      </c>
      <c r="AF3051" s="22" t="str">
        <f t="shared" si="752"/>
        <v/>
      </c>
      <c r="AG3051" s="89"/>
      <c r="AH3051" s="274"/>
      <c r="AI3051" s="279"/>
      <c r="AJ3051" s="280"/>
      <c r="AK3051" s="92"/>
      <c r="AL3051" s="23"/>
      <c r="AU3051" s="1"/>
    </row>
    <row r="3052" spans="1:47">
      <c r="A3052" t="str">
        <f t="shared" si="753"/>
        <v>PA_Alleg_2019g~Gen-commissioner leet (vote for 3)</v>
      </c>
      <c r="B3052" s="55" t="s">
        <v>1528</v>
      </c>
      <c r="C3052">
        <v>562</v>
      </c>
      <c r="D3052" s="55" t="s">
        <v>545</v>
      </c>
      <c r="E3052" s="55" t="s">
        <v>546</v>
      </c>
      <c r="F3052" t="s">
        <v>1294</v>
      </c>
      <c r="G3052" s="62">
        <v>250</v>
      </c>
      <c r="H3052">
        <v>22.3</v>
      </c>
      <c r="I3052">
        <v>1195</v>
      </c>
      <c r="J3052">
        <v>0</v>
      </c>
      <c r="K3052">
        <v>2</v>
      </c>
      <c r="L3052">
        <v>2</v>
      </c>
      <c r="M3052">
        <v>0</v>
      </c>
      <c r="N3052" s="23">
        <v>0</v>
      </c>
      <c r="O3052">
        <f t="shared" si="754"/>
        <v>2</v>
      </c>
      <c r="P3052" s="57">
        <f t="shared" si="755"/>
        <v>3</v>
      </c>
      <c r="Q3052" s="267">
        <f t="shared" si="756"/>
        <v>842</v>
      </c>
      <c r="R3052" s="23">
        <f t="shared" si="757"/>
        <v>208</v>
      </c>
      <c r="S3052" s="23">
        <f t="shared" si="758"/>
        <v>204</v>
      </c>
      <c r="T3052" s="23" t="str">
        <f t="shared" si="759"/>
        <v/>
      </c>
      <c r="U3052" t="str">
        <f t="shared" si="760"/>
        <v/>
      </c>
      <c r="AF3052" s="22" t="str">
        <f t="shared" si="752"/>
        <v/>
      </c>
      <c r="AG3052" s="89"/>
      <c r="AH3052" s="274"/>
      <c r="AI3052" s="279"/>
      <c r="AJ3052" s="280"/>
      <c r="AK3052" s="92"/>
      <c r="AL3052" s="23"/>
      <c r="AU3052" s="1"/>
    </row>
    <row r="3053" spans="1:47">
      <c r="A3053" t="str">
        <f t="shared" si="753"/>
        <v>PA_Alleg_2019g~Gen-commissioner leet (vote for 3)</v>
      </c>
      <c r="B3053" s="55" t="s">
        <v>1528</v>
      </c>
      <c r="C3053">
        <v>564</v>
      </c>
      <c r="D3053" s="55" t="s">
        <v>545</v>
      </c>
      <c r="E3053" s="55" t="s">
        <v>1146</v>
      </c>
      <c r="F3053" t="s">
        <v>1294</v>
      </c>
      <c r="G3053" s="62">
        <v>208</v>
      </c>
      <c r="H3053">
        <v>18.55</v>
      </c>
      <c r="I3053">
        <v>1195</v>
      </c>
      <c r="J3053">
        <v>0</v>
      </c>
      <c r="K3053">
        <v>2</v>
      </c>
      <c r="L3053">
        <v>2</v>
      </c>
      <c r="M3053">
        <v>0</v>
      </c>
      <c r="N3053" s="23">
        <v>0</v>
      </c>
      <c r="O3053">
        <f t="shared" si="754"/>
        <v>3</v>
      </c>
      <c r="P3053" s="57">
        <f t="shared" si="755"/>
        <v>3</v>
      </c>
      <c r="Q3053" s="267">
        <f t="shared" si="756"/>
        <v>592</v>
      </c>
      <c r="R3053" s="23">
        <f t="shared" si="757"/>
        <v>208</v>
      </c>
      <c r="S3053" s="23">
        <f t="shared" si="758"/>
        <v>204</v>
      </c>
      <c r="T3053" s="23" t="str">
        <f t="shared" si="759"/>
        <v/>
      </c>
      <c r="U3053" t="str">
        <f t="shared" si="760"/>
        <v/>
      </c>
      <c r="AF3053" s="22" t="str">
        <f t="shared" si="752"/>
        <v/>
      </c>
      <c r="AG3053" s="89"/>
      <c r="AH3053" s="274"/>
      <c r="AI3053" s="279"/>
      <c r="AJ3053" s="280"/>
      <c r="AK3053" s="92"/>
      <c r="AL3053" s="23"/>
      <c r="AU3053" s="1"/>
    </row>
    <row r="3054" spans="1:47">
      <c r="A3054" t="str">
        <f t="shared" si="753"/>
        <v>PA_Alleg_2019g~Gen-commissioner leet (vote for 3)</v>
      </c>
      <c r="B3054" s="55" t="s">
        <v>1528</v>
      </c>
      <c r="C3054">
        <v>565</v>
      </c>
      <c r="D3054" s="55" t="s">
        <v>545</v>
      </c>
      <c r="E3054" s="55" t="s">
        <v>1145</v>
      </c>
      <c r="F3054" t="s">
        <v>1296</v>
      </c>
      <c r="G3054" s="62">
        <v>204</v>
      </c>
      <c r="H3054">
        <v>18.2</v>
      </c>
      <c r="I3054">
        <v>1195</v>
      </c>
      <c r="J3054">
        <v>0</v>
      </c>
      <c r="K3054">
        <v>2</v>
      </c>
      <c r="L3054">
        <v>2</v>
      </c>
      <c r="M3054">
        <v>0</v>
      </c>
      <c r="N3054" s="23">
        <v>0</v>
      </c>
      <c r="O3054">
        <f t="shared" si="754"/>
        <v>4</v>
      </c>
      <c r="P3054" s="57">
        <f t="shared" si="755"/>
        <v>3</v>
      </c>
      <c r="Q3054" s="267">
        <f t="shared" si="756"/>
        <v>384</v>
      </c>
      <c r="R3054" s="23" t="str">
        <f t="shared" si="757"/>
        <v/>
      </c>
      <c r="S3054" s="23">
        <f t="shared" si="758"/>
        <v>204</v>
      </c>
      <c r="T3054" s="23" t="str">
        <f t="shared" si="759"/>
        <v/>
      </c>
      <c r="U3054" t="str">
        <f t="shared" si="760"/>
        <v/>
      </c>
      <c r="AF3054" s="22" t="str">
        <f t="shared" si="752"/>
        <v/>
      </c>
      <c r="AG3054" s="89"/>
      <c r="AH3054" s="274"/>
      <c r="AI3054" s="279"/>
      <c r="AJ3054" s="280"/>
      <c r="AK3054" s="92"/>
      <c r="AL3054" s="23"/>
      <c r="AU3054" s="1"/>
    </row>
    <row r="3055" spans="1:47">
      <c r="A3055" t="str">
        <f t="shared" si="753"/>
        <v>PA_Alleg_2019g~Gen-commissioner leet (vote for 3)</v>
      </c>
      <c r="B3055" s="55" t="s">
        <v>1528</v>
      </c>
      <c r="C3055">
        <v>566</v>
      </c>
      <c r="D3055" s="55" t="s">
        <v>545</v>
      </c>
      <c r="E3055" s="55" t="s">
        <v>1143</v>
      </c>
      <c r="F3055" t="s">
        <v>1296</v>
      </c>
      <c r="G3055" s="62">
        <v>175</v>
      </c>
      <c r="H3055">
        <v>15.61</v>
      </c>
      <c r="I3055">
        <v>1195</v>
      </c>
      <c r="J3055">
        <v>0</v>
      </c>
      <c r="K3055">
        <v>2</v>
      </c>
      <c r="L3055">
        <v>2</v>
      </c>
      <c r="M3055">
        <v>0</v>
      </c>
      <c r="N3055" s="23">
        <v>0</v>
      </c>
      <c r="O3055">
        <f t="shared" si="754"/>
        <v>5</v>
      </c>
      <c r="P3055" s="57">
        <f t="shared" si="755"/>
        <v>3</v>
      </c>
      <c r="Q3055" s="267">
        <f t="shared" si="756"/>
        <v>180</v>
      </c>
      <c r="R3055" s="23" t="str">
        <f t="shared" si="757"/>
        <v/>
      </c>
      <c r="S3055" s="23">
        <f t="shared" si="758"/>
        <v>175</v>
      </c>
      <c r="T3055" s="23" t="str">
        <f t="shared" si="759"/>
        <v/>
      </c>
      <c r="U3055" t="str">
        <f t="shared" si="760"/>
        <v/>
      </c>
      <c r="AF3055" s="22" t="str">
        <f t="shared" si="752"/>
        <v/>
      </c>
      <c r="AG3055" s="89"/>
      <c r="AH3055" s="274"/>
      <c r="AI3055" s="279"/>
      <c r="AJ3055" s="280"/>
      <c r="AK3055" s="92"/>
      <c r="AL3055" s="23"/>
      <c r="AU3055" s="1"/>
    </row>
    <row r="3056" spans="1:47">
      <c r="A3056" t="str">
        <f t="shared" si="753"/>
        <v>PA_Alleg_2019g~Gen-commissioner leet (vote for 3)</v>
      </c>
      <c r="B3056" s="55" t="s">
        <v>1528</v>
      </c>
      <c r="C3056">
        <v>567</v>
      </c>
      <c r="D3056" s="55" t="s">
        <v>545</v>
      </c>
      <c r="E3056" s="55" t="s">
        <v>15</v>
      </c>
      <c r="G3056" s="62">
        <v>5</v>
      </c>
      <c r="H3056">
        <v>0.45</v>
      </c>
      <c r="I3056">
        <v>1195</v>
      </c>
      <c r="J3056">
        <v>0</v>
      </c>
      <c r="K3056">
        <v>2</v>
      </c>
      <c r="L3056">
        <v>2</v>
      </c>
      <c r="M3056">
        <v>0</v>
      </c>
      <c r="N3056" s="23">
        <v>0</v>
      </c>
      <c r="O3056">
        <f t="shared" si="754"/>
        <v>-5</v>
      </c>
      <c r="P3056" s="57">
        <f t="shared" si="755"/>
        <v>3</v>
      </c>
      <c r="Q3056" s="267">
        <f t="shared" si="756"/>
        <v>5</v>
      </c>
      <c r="R3056" s="23">
        <f t="shared" si="757"/>
        <v>1</v>
      </c>
      <c r="S3056" s="23">
        <f t="shared" si="758"/>
        <v>0</v>
      </c>
      <c r="T3056" s="23" t="str">
        <f t="shared" si="759"/>
        <v/>
      </c>
      <c r="U3056" t="str">
        <f t="shared" si="760"/>
        <v/>
      </c>
      <c r="AF3056" s="22" t="str">
        <f t="shared" si="752"/>
        <v/>
      </c>
      <c r="AG3056" s="89"/>
      <c r="AH3056" s="274"/>
      <c r="AI3056" s="279"/>
      <c r="AJ3056" s="280"/>
      <c r="AK3056" s="92"/>
      <c r="AL3056" s="23"/>
      <c r="AU3056" s="1"/>
    </row>
    <row r="3057" spans="1:47">
      <c r="A3057" t="str">
        <f t="shared" si="753"/>
        <v>PA_Alleg_2019g~Gen-commissioner mt lebanon ward 1 (vote for 1)</v>
      </c>
      <c r="B3057" s="55" t="s">
        <v>1528</v>
      </c>
      <c r="C3057">
        <v>617</v>
      </c>
      <c r="D3057" s="55" t="s">
        <v>590</v>
      </c>
      <c r="E3057" s="55" t="s">
        <v>591</v>
      </c>
      <c r="F3057" t="s">
        <v>1294</v>
      </c>
      <c r="G3057" s="62">
        <v>1599</v>
      </c>
      <c r="H3057">
        <v>98.52</v>
      </c>
      <c r="I3057">
        <v>5612</v>
      </c>
      <c r="J3057">
        <v>0</v>
      </c>
      <c r="K3057">
        <v>7</v>
      </c>
      <c r="L3057">
        <v>7</v>
      </c>
      <c r="M3057">
        <v>0</v>
      </c>
      <c r="N3057" s="23">
        <v>0</v>
      </c>
      <c r="O3057">
        <f t="shared" si="754"/>
        <v>1</v>
      </c>
      <c r="P3057" s="57">
        <f t="shared" si="755"/>
        <v>1</v>
      </c>
      <c r="Q3057" s="267">
        <f t="shared" si="756"/>
        <v>1623</v>
      </c>
      <c r="R3057" s="23">
        <f t="shared" si="757"/>
        <v>1599</v>
      </c>
      <c r="S3057" s="23">
        <f t="shared" si="758"/>
        <v>0</v>
      </c>
      <c r="T3057" s="23" t="str">
        <f t="shared" si="759"/>
        <v/>
      </c>
      <c r="U3057" t="str">
        <f t="shared" si="760"/>
        <v>PA_Alleg_2019g~Gen-commissioner mt lebanon ward 1 (vote for 1)</v>
      </c>
      <c r="AF3057" s="22" t="str">
        <f t="shared" si="752"/>
        <v/>
      </c>
      <c r="AG3057" s="89"/>
      <c r="AH3057" s="274"/>
      <c r="AI3057" s="279"/>
      <c r="AJ3057" s="280"/>
      <c r="AK3057" s="92"/>
      <c r="AL3057" s="23"/>
      <c r="AU3057" s="1"/>
    </row>
    <row r="3058" spans="1:47">
      <c r="A3058" t="str">
        <f t="shared" si="753"/>
        <v>PA_Alleg_2019g~Gen-commissioner mt lebanon ward 1 (vote for 1)</v>
      </c>
      <c r="B3058" s="55" t="s">
        <v>1528</v>
      </c>
      <c r="C3058">
        <v>618</v>
      </c>
      <c r="D3058" s="55" t="s">
        <v>590</v>
      </c>
      <c r="E3058" s="55" t="s">
        <v>15</v>
      </c>
      <c r="G3058" s="62">
        <v>24</v>
      </c>
      <c r="H3058">
        <v>1.48</v>
      </c>
      <c r="I3058">
        <v>5612</v>
      </c>
      <c r="J3058">
        <v>0</v>
      </c>
      <c r="K3058">
        <v>7</v>
      </c>
      <c r="L3058">
        <v>7</v>
      </c>
      <c r="M3058">
        <v>0</v>
      </c>
      <c r="N3058" s="23">
        <v>0</v>
      </c>
      <c r="O3058">
        <f t="shared" si="754"/>
        <v>-1</v>
      </c>
      <c r="P3058" s="57">
        <f t="shared" si="755"/>
        <v>1</v>
      </c>
      <c r="Q3058" s="267">
        <f t="shared" si="756"/>
        <v>24</v>
      </c>
      <c r="R3058" s="23">
        <f t="shared" si="757"/>
        <v>1</v>
      </c>
      <c r="S3058" s="23">
        <f t="shared" si="758"/>
        <v>0</v>
      </c>
      <c r="T3058" s="23" t="str">
        <f t="shared" si="759"/>
        <v/>
      </c>
      <c r="U3058" t="str">
        <f t="shared" si="760"/>
        <v/>
      </c>
      <c r="AF3058" s="22" t="str">
        <f t="shared" si="752"/>
        <v/>
      </c>
      <c r="AG3058" s="89"/>
      <c r="AH3058" s="274"/>
      <c r="AI3058" s="279"/>
      <c r="AJ3058" s="280"/>
      <c r="AK3058" s="92"/>
      <c r="AL3058" s="23"/>
      <c r="AU3058" s="1"/>
    </row>
    <row r="3059" spans="1:47">
      <c r="A3059" t="str">
        <f t="shared" si="753"/>
        <v>PA_Alleg_2019g~Gen-commissioner mt lebanon ward 3 (vote for 1)</v>
      </c>
      <c r="B3059" s="55" t="s">
        <v>1528</v>
      </c>
      <c r="C3059">
        <v>619</v>
      </c>
      <c r="D3059" s="55" t="s">
        <v>592</v>
      </c>
      <c r="E3059" s="55" t="s">
        <v>593</v>
      </c>
      <c r="F3059" t="s">
        <v>1396</v>
      </c>
      <c r="G3059" s="62">
        <v>1657</v>
      </c>
      <c r="H3059">
        <v>98.93</v>
      </c>
      <c r="I3059">
        <v>5486</v>
      </c>
      <c r="J3059">
        <v>0</v>
      </c>
      <c r="K3059">
        <v>8</v>
      </c>
      <c r="L3059">
        <v>8</v>
      </c>
      <c r="M3059">
        <v>0</v>
      </c>
      <c r="N3059" s="23">
        <v>0</v>
      </c>
      <c r="O3059">
        <f t="shared" si="754"/>
        <v>1</v>
      </c>
      <c r="P3059" s="57">
        <f t="shared" si="755"/>
        <v>1</v>
      </c>
      <c r="Q3059" s="267">
        <f t="shared" si="756"/>
        <v>1675</v>
      </c>
      <c r="R3059" s="23">
        <f t="shared" si="757"/>
        <v>1657</v>
      </c>
      <c r="S3059" s="23">
        <f t="shared" si="758"/>
        <v>0</v>
      </c>
      <c r="T3059" s="23" t="str">
        <f t="shared" si="759"/>
        <v/>
      </c>
      <c r="U3059" t="str">
        <f t="shared" si="760"/>
        <v>PA_Alleg_2019g~Gen-commissioner mt lebanon ward 3 (vote for 1)</v>
      </c>
      <c r="AF3059" s="22" t="str">
        <f t="shared" si="752"/>
        <v/>
      </c>
      <c r="AG3059" s="89"/>
      <c r="AH3059" s="274"/>
      <c r="AI3059" s="279"/>
      <c r="AJ3059" s="280"/>
      <c r="AK3059" s="92"/>
      <c r="AL3059" s="23"/>
      <c r="AU3059" s="1"/>
    </row>
    <row r="3060" spans="1:47">
      <c r="A3060" t="str">
        <f t="shared" si="753"/>
        <v>PA_Alleg_2019g~Gen-commissioner mt lebanon ward 3 (vote for 1)</v>
      </c>
      <c r="B3060" s="55" t="s">
        <v>1528</v>
      </c>
      <c r="C3060">
        <v>620</v>
      </c>
      <c r="D3060" s="55" t="s">
        <v>592</v>
      </c>
      <c r="E3060" s="55" t="s">
        <v>15</v>
      </c>
      <c r="G3060" s="62">
        <v>18</v>
      </c>
      <c r="H3060">
        <v>1.07</v>
      </c>
      <c r="I3060">
        <v>5486</v>
      </c>
      <c r="J3060">
        <v>0</v>
      </c>
      <c r="K3060">
        <v>8</v>
      </c>
      <c r="L3060">
        <v>8</v>
      </c>
      <c r="M3060">
        <v>0</v>
      </c>
      <c r="N3060" s="23">
        <v>0</v>
      </c>
      <c r="O3060">
        <f t="shared" si="754"/>
        <v>-1</v>
      </c>
      <c r="P3060" s="57">
        <f t="shared" si="755"/>
        <v>1</v>
      </c>
      <c r="Q3060" s="267">
        <f t="shared" si="756"/>
        <v>18</v>
      </c>
      <c r="R3060" s="23">
        <f t="shared" si="757"/>
        <v>1</v>
      </c>
      <c r="S3060" s="23">
        <f t="shared" si="758"/>
        <v>0</v>
      </c>
      <c r="T3060" s="23" t="str">
        <f t="shared" si="759"/>
        <v/>
      </c>
      <c r="U3060" t="str">
        <f t="shared" si="760"/>
        <v/>
      </c>
      <c r="AF3060" s="22" t="str">
        <f t="shared" si="752"/>
        <v/>
      </c>
      <c r="AG3060" s="89"/>
      <c r="AH3060" s="274"/>
      <c r="AI3060" s="279"/>
      <c r="AJ3060" s="280"/>
      <c r="AK3060" s="92"/>
      <c r="AL3060" s="23"/>
      <c r="AU3060" s="1"/>
    </row>
    <row r="3061" spans="1:47">
      <c r="A3061" t="str">
        <f t="shared" si="753"/>
        <v>PA_Alleg_2019g~Gen-commissioner mt lebanon ward 5 (vote for 1)</v>
      </c>
      <c r="B3061" s="55" t="s">
        <v>1528</v>
      </c>
      <c r="C3061">
        <v>621</v>
      </c>
      <c r="D3061" s="55" t="s">
        <v>594</v>
      </c>
      <c r="E3061" s="55" t="s">
        <v>595</v>
      </c>
      <c r="F3061" t="s">
        <v>1294</v>
      </c>
      <c r="G3061" s="62">
        <v>1332</v>
      </c>
      <c r="H3061">
        <v>72.12</v>
      </c>
      <c r="I3061">
        <v>5331</v>
      </c>
      <c r="J3061">
        <v>0</v>
      </c>
      <c r="K3061">
        <v>8</v>
      </c>
      <c r="L3061">
        <v>8</v>
      </c>
      <c r="M3061">
        <v>0</v>
      </c>
      <c r="N3061" s="23">
        <v>0</v>
      </c>
      <c r="O3061">
        <f t="shared" si="754"/>
        <v>1</v>
      </c>
      <c r="P3061" s="57">
        <f t="shared" si="755"/>
        <v>1</v>
      </c>
      <c r="Q3061" s="267">
        <f t="shared" si="756"/>
        <v>1847</v>
      </c>
      <c r="R3061" s="23">
        <f t="shared" si="757"/>
        <v>1332</v>
      </c>
      <c r="S3061" s="23">
        <f t="shared" si="758"/>
        <v>515</v>
      </c>
      <c r="T3061" s="23">
        <f t="shared" si="759"/>
        <v>817</v>
      </c>
      <c r="U3061" t="str">
        <f t="shared" si="760"/>
        <v>PA_Alleg_2019g~Gen-commissioner mt lebanon ward 5 (vote for 1)</v>
      </c>
      <c r="AF3061" s="22" t="str">
        <f t="shared" si="752"/>
        <v/>
      </c>
      <c r="AG3061" s="89"/>
      <c r="AH3061" s="274"/>
      <c r="AI3061" s="279"/>
      <c r="AJ3061" s="280"/>
      <c r="AK3061" s="92"/>
      <c r="AL3061" s="23"/>
      <c r="AU3061" s="1"/>
    </row>
    <row r="3062" spans="1:47">
      <c r="A3062" t="str">
        <f t="shared" si="753"/>
        <v>PA_Alleg_2019g~Gen-commissioner mt lebanon ward 5 (vote for 1)</v>
      </c>
      <c r="B3062" s="55" t="s">
        <v>1528</v>
      </c>
      <c r="C3062">
        <v>622</v>
      </c>
      <c r="D3062" s="55" t="s">
        <v>594</v>
      </c>
      <c r="E3062" s="55" t="s">
        <v>1154</v>
      </c>
      <c r="F3062" t="s">
        <v>1296</v>
      </c>
      <c r="G3062" s="62">
        <v>515</v>
      </c>
      <c r="H3062">
        <v>27.88</v>
      </c>
      <c r="I3062">
        <v>5331</v>
      </c>
      <c r="J3062">
        <v>0</v>
      </c>
      <c r="K3062">
        <v>8</v>
      </c>
      <c r="L3062">
        <v>8</v>
      </c>
      <c r="M3062">
        <v>0</v>
      </c>
      <c r="N3062" s="23">
        <v>0</v>
      </c>
      <c r="O3062">
        <f t="shared" si="754"/>
        <v>2</v>
      </c>
      <c r="P3062" s="57">
        <f t="shared" si="755"/>
        <v>1</v>
      </c>
      <c r="Q3062" s="267">
        <f t="shared" si="756"/>
        <v>515</v>
      </c>
      <c r="R3062" s="23" t="str">
        <f t="shared" si="757"/>
        <v/>
      </c>
      <c r="S3062" s="23">
        <f t="shared" si="758"/>
        <v>515</v>
      </c>
      <c r="T3062" s="23" t="str">
        <f t="shared" si="759"/>
        <v/>
      </c>
      <c r="U3062" t="str">
        <f t="shared" si="760"/>
        <v/>
      </c>
      <c r="AF3062" s="22" t="str">
        <f t="shared" ref="AF3062:AF3111" si="761">LEFT(AL2791,14)</f>
        <v/>
      </c>
      <c r="AG3062" s="89"/>
      <c r="AH3062" s="274"/>
      <c r="AI3062" s="279"/>
      <c r="AJ3062" s="280"/>
      <c r="AK3062" s="92"/>
      <c r="AL3062" s="23"/>
      <c r="AU3062" s="1"/>
    </row>
    <row r="3063" spans="1:47">
      <c r="A3063" t="str">
        <f t="shared" si="753"/>
        <v>PA_Alleg_2019g~Gen-commissioner mt lebanon ward 5 (vote for 1)</v>
      </c>
      <c r="B3063" s="55" t="s">
        <v>1528</v>
      </c>
      <c r="C3063">
        <v>623</v>
      </c>
      <c r="D3063" s="55" t="s">
        <v>594</v>
      </c>
      <c r="E3063" s="55" t="s">
        <v>15</v>
      </c>
      <c r="G3063" s="62">
        <v>0</v>
      </c>
      <c r="H3063">
        <v>0</v>
      </c>
      <c r="I3063">
        <v>5331</v>
      </c>
      <c r="J3063">
        <v>0</v>
      </c>
      <c r="K3063">
        <v>8</v>
      </c>
      <c r="L3063">
        <v>8</v>
      </c>
      <c r="M3063">
        <v>0</v>
      </c>
      <c r="N3063" s="23">
        <v>0</v>
      </c>
      <c r="O3063">
        <f t="shared" si="754"/>
        <v>-2</v>
      </c>
      <c r="P3063" s="57">
        <f t="shared" si="755"/>
        <v>1</v>
      </c>
      <c r="Q3063" s="267">
        <f t="shared" si="756"/>
        <v>0</v>
      </c>
      <c r="R3063" s="23">
        <f t="shared" si="757"/>
        <v>1</v>
      </c>
      <c r="S3063" s="23">
        <f t="shared" si="758"/>
        <v>0</v>
      </c>
      <c r="T3063" s="23" t="str">
        <f t="shared" si="759"/>
        <v/>
      </c>
      <c r="U3063" t="str">
        <f t="shared" si="760"/>
        <v/>
      </c>
      <c r="AF3063" s="22" t="str">
        <f t="shared" si="761"/>
        <v/>
      </c>
      <c r="AG3063" s="89"/>
      <c r="AH3063" s="274"/>
      <c r="AI3063" s="279"/>
      <c r="AJ3063" s="280"/>
      <c r="AK3063" s="92"/>
      <c r="AL3063" s="23"/>
      <c r="AU3063" s="1"/>
    </row>
    <row r="3064" spans="1:47">
      <c r="A3064" t="str">
        <f t="shared" ref="A3064:A3127" si="762">CONCATENATE(B3064,"~Gen-",LOWER(D3064))</f>
        <v>PA_Alleg_2019g~Gen-commissioner neville ward 1 (vote for 1)</v>
      </c>
      <c r="B3064" s="55" t="s">
        <v>1528</v>
      </c>
      <c r="C3064">
        <v>624</v>
      </c>
      <c r="D3064" s="55" t="s">
        <v>596</v>
      </c>
      <c r="E3064" s="55" t="s">
        <v>15</v>
      </c>
      <c r="G3064" s="62">
        <v>48</v>
      </c>
      <c r="H3064">
        <v>100</v>
      </c>
      <c r="I3064">
        <v>275</v>
      </c>
      <c r="J3064">
        <v>0</v>
      </c>
      <c r="K3064">
        <v>1</v>
      </c>
      <c r="L3064">
        <v>1</v>
      </c>
      <c r="M3064">
        <v>0</v>
      </c>
      <c r="N3064" s="23">
        <v>0</v>
      </c>
      <c r="O3064">
        <f t="shared" si="754"/>
        <v>0</v>
      </c>
      <c r="P3064" s="57">
        <f t="shared" si="755"/>
        <v>1</v>
      </c>
      <c r="Q3064" s="267">
        <f t="shared" si="756"/>
        <v>48</v>
      </c>
      <c r="R3064" s="23">
        <f t="shared" si="757"/>
        <v>1</v>
      </c>
      <c r="S3064" s="23">
        <f t="shared" si="758"/>
        <v>0</v>
      </c>
      <c r="T3064" s="23" t="str">
        <f t="shared" si="759"/>
        <v/>
      </c>
      <c r="U3064" t="str">
        <f t="shared" si="760"/>
        <v>PA_Alleg_2019g~Gen-commissioner neville ward 1 (vote for 1)</v>
      </c>
      <c r="AF3064" s="22" t="str">
        <f t="shared" si="761"/>
        <v/>
      </c>
      <c r="AG3064" s="89"/>
      <c r="AH3064" s="274"/>
      <c r="AI3064" s="279"/>
      <c r="AJ3064" s="280"/>
      <c r="AK3064" s="92"/>
      <c r="AL3064" s="23"/>
      <c r="AU3064" s="1"/>
    </row>
    <row r="3065" spans="1:47">
      <c r="A3065" t="str">
        <f t="shared" si="762"/>
        <v>PA_Alleg_2019g~Gen-commissioner neville ward 3 (vote for 1)</v>
      </c>
      <c r="B3065" s="55" t="s">
        <v>1528</v>
      </c>
      <c r="C3065">
        <v>625</v>
      </c>
      <c r="D3065" s="55" t="s">
        <v>597</v>
      </c>
      <c r="E3065" s="55" t="s">
        <v>598</v>
      </c>
      <c r="F3065" t="s">
        <v>1294</v>
      </c>
      <c r="G3065" s="62">
        <v>114</v>
      </c>
      <c r="H3065">
        <v>97.44</v>
      </c>
      <c r="I3065">
        <v>272</v>
      </c>
      <c r="J3065">
        <v>0</v>
      </c>
      <c r="K3065">
        <v>1</v>
      </c>
      <c r="L3065">
        <v>1</v>
      </c>
      <c r="M3065">
        <v>0</v>
      </c>
      <c r="N3065" s="23">
        <v>0</v>
      </c>
      <c r="O3065">
        <f t="shared" si="754"/>
        <v>1</v>
      </c>
      <c r="P3065" s="57">
        <f t="shared" si="755"/>
        <v>1</v>
      </c>
      <c r="Q3065" s="267">
        <f t="shared" si="756"/>
        <v>117</v>
      </c>
      <c r="R3065" s="23">
        <f t="shared" si="757"/>
        <v>114</v>
      </c>
      <c r="S3065" s="23">
        <f t="shared" si="758"/>
        <v>0</v>
      </c>
      <c r="T3065" s="23" t="str">
        <f t="shared" si="759"/>
        <v/>
      </c>
      <c r="U3065" t="str">
        <f t="shared" si="760"/>
        <v>PA_Alleg_2019g~Gen-commissioner neville ward 3 (vote for 1)</v>
      </c>
      <c r="AF3065" s="22" t="str">
        <f t="shared" si="761"/>
        <v/>
      </c>
      <c r="AG3065" s="89"/>
      <c r="AH3065" s="274"/>
      <c r="AI3065" s="279"/>
      <c r="AJ3065" s="280"/>
      <c r="AK3065" s="92"/>
      <c r="AL3065" s="23"/>
      <c r="AU3065" s="1"/>
    </row>
    <row r="3066" spans="1:47">
      <c r="A3066" t="str">
        <f t="shared" si="762"/>
        <v>PA_Alleg_2019g~Gen-commissioner neville ward 3 (vote for 1)</v>
      </c>
      <c r="B3066" s="55" t="s">
        <v>1528</v>
      </c>
      <c r="C3066">
        <v>626</v>
      </c>
      <c r="D3066" s="55" t="s">
        <v>597</v>
      </c>
      <c r="E3066" s="55" t="s">
        <v>15</v>
      </c>
      <c r="G3066" s="62">
        <v>3</v>
      </c>
      <c r="H3066">
        <v>2.56</v>
      </c>
      <c r="I3066">
        <v>272</v>
      </c>
      <c r="J3066">
        <v>0</v>
      </c>
      <c r="K3066">
        <v>1</v>
      </c>
      <c r="L3066">
        <v>1</v>
      </c>
      <c r="M3066">
        <v>0</v>
      </c>
      <c r="N3066" s="23">
        <v>0</v>
      </c>
      <c r="O3066">
        <f t="shared" si="754"/>
        <v>-1</v>
      </c>
      <c r="P3066" s="57">
        <f t="shared" si="755"/>
        <v>1</v>
      </c>
      <c r="Q3066" s="267">
        <f t="shared" si="756"/>
        <v>3</v>
      </c>
      <c r="R3066" s="23">
        <f t="shared" si="757"/>
        <v>1</v>
      </c>
      <c r="S3066" s="23">
        <f t="shared" si="758"/>
        <v>0</v>
      </c>
      <c r="T3066" s="23" t="str">
        <f t="shared" si="759"/>
        <v/>
      </c>
      <c r="U3066" t="str">
        <f t="shared" si="760"/>
        <v/>
      </c>
      <c r="AF3066" s="22" t="str">
        <f t="shared" si="761"/>
        <v/>
      </c>
      <c r="AG3066" s="89"/>
      <c r="AH3066" s="274"/>
      <c r="AI3066" s="279"/>
      <c r="AJ3066" s="280"/>
      <c r="AK3066" s="92"/>
      <c r="AL3066" s="23"/>
      <c r="AU3066" s="1"/>
    </row>
    <row r="3067" spans="1:47">
      <c r="A3067" t="str">
        <f t="shared" si="762"/>
        <v>PA_Alleg_2019g~Gen-commissioner north versailles ward 1 (vote for 1)</v>
      </c>
      <c r="B3067" s="55" t="s">
        <v>1528</v>
      </c>
      <c r="C3067">
        <v>627</v>
      </c>
      <c r="D3067" s="55" t="s">
        <v>599</v>
      </c>
      <c r="E3067" s="55" t="s">
        <v>600</v>
      </c>
      <c r="F3067" t="s">
        <v>1294</v>
      </c>
      <c r="G3067" s="62">
        <v>257</v>
      </c>
      <c r="H3067">
        <v>92.11</v>
      </c>
      <c r="I3067">
        <v>1320</v>
      </c>
      <c r="J3067">
        <v>0</v>
      </c>
      <c r="K3067">
        <v>2</v>
      </c>
      <c r="L3067">
        <v>2</v>
      </c>
      <c r="M3067">
        <v>0</v>
      </c>
      <c r="N3067" s="23">
        <v>0</v>
      </c>
      <c r="O3067">
        <f t="shared" si="754"/>
        <v>1</v>
      </c>
      <c r="P3067" s="57">
        <f t="shared" si="755"/>
        <v>1</v>
      </c>
      <c r="Q3067" s="267">
        <f t="shared" si="756"/>
        <v>279</v>
      </c>
      <c r="R3067" s="23">
        <f t="shared" si="757"/>
        <v>257</v>
      </c>
      <c r="S3067" s="23">
        <f t="shared" si="758"/>
        <v>0</v>
      </c>
      <c r="T3067" s="23" t="str">
        <f t="shared" si="759"/>
        <v/>
      </c>
      <c r="U3067" t="str">
        <f t="shared" si="760"/>
        <v>PA_Alleg_2019g~Gen-commissioner north versailles ward 1 (vote for 1)</v>
      </c>
      <c r="AF3067" s="22" t="str">
        <f t="shared" si="761"/>
        <v/>
      </c>
      <c r="AG3067" s="89"/>
      <c r="AH3067" s="274"/>
      <c r="AI3067" s="279"/>
      <c r="AJ3067" s="280"/>
      <c r="AK3067" s="92"/>
      <c r="AL3067" s="23"/>
      <c r="AU3067" s="1"/>
    </row>
    <row r="3068" spans="1:47">
      <c r="A3068" t="str">
        <f t="shared" si="762"/>
        <v>PA_Alleg_2019g~Gen-commissioner north versailles ward 1 (vote for 1)</v>
      </c>
      <c r="B3068" s="55" t="s">
        <v>1528</v>
      </c>
      <c r="C3068">
        <v>628</v>
      </c>
      <c r="D3068" s="55" t="s">
        <v>599</v>
      </c>
      <c r="E3068" s="55" t="s">
        <v>15</v>
      </c>
      <c r="G3068" s="62">
        <v>22</v>
      </c>
      <c r="H3068">
        <v>7.89</v>
      </c>
      <c r="I3068">
        <v>1320</v>
      </c>
      <c r="J3068">
        <v>0</v>
      </c>
      <c r="K3068">
        <v>2</v>
      </c>
      <c r="L3068">
        <v>2</v>
      </c>
      <c r="M3068">
        <v>0</v>
      </c>
      <c r="N3068" s="23">
        <v>0</v>
      </c>
      <c r="O3068">
        <f t="shared" si="754"/>
        <v>-1</v>
      </c>
      <c r="P3068" s="57">
        <f t="shared" si="755"/>
        <v>1</v>
      </c>
      <c r="Q3068" s="267">
        <f t="shared" si="756"/>
        <v>22</v>
      </c>
      <c r="R3068" s="23">
        <f t="shared" si="757"/>
        <v>1</v>
      </c>
      <c r="S3068" s="23">
        <f t="shared" si="758"/>
        <v>0</v>
      </c>
      <c r="T3068" s="23" t="str">
        <f t="shared" si="759"/>
        <v/>
      </c>
      <c r="U3068" t="str">
        <f t="shared" si="760"/>
        <v/>
      </c>
      <c r="AF3068" s="22" t="str">
        <f t="shared" si="761"/>
        <v/>
      </c>
      <c r="AG3068" s="89"/>
      <c r="AH3068" s="274"/>
      <c r="AI3068" s="279"/>
      <c r="AJ3068" s="280"/>
      <c r="AK3068" s="92"/>
      <c r="AL3068" s="23"/>
      <c r="AU3068" s="1"/>
    </row>
    <row r="3069" spans="1:47">
      <c r="A3069" t="str">
        <f t="shared" si="762"/>
        <v>PA_Alleg_2019g~Gen-commissioner north versailles ward 3 (vote for 1)</v>
      </c>
      <c r="B3069" s="55" t="s">
        <v>1528</v>
      </c>
      <c r="C3069">
        <v>629</v>
      </c>
      <c r="D3069" s="55" t="s">
        <v>601</v>
      </c>
      <c r="E3069" s="55" t="s">
        <v>603</v>
      </c>
      <c r="F3069" t="s">
        <v>1396</v>
      </c>
      <c r="G3069" s="62">
        <v>251</v>
      </c>
      <c r="H3069">
        <v>98.43</v>
      </c>
      <c r="I3069">
        <v>1129</v>
      </c>
      <c r="J3069">
        <v>0</v>
      </c>
      <c r="K3069">
        <v>2</v>
      </c>
      <c r="L3069">
        <v>2</v>
      </c>
      <c r="M3069">
        <v>0</v>
      </c>
      <c r="N3069" s="23">
        <v>0</v>
      </c>
      <c r="O3069">
        <f t="shared" si="754"/>
        <v>1</v>
      </c>
      <c r="P3069" s="57">
        <f t="shared" si="755"/>
        <v>1</v>
      </c>
      <c r="Q3069" s="267">
        <f t="shared" si="756"/>
        <v>255</v>
      </c>
      <c r="R3069" s="23">
        <f t="shared" si="757"/>
        <v>251</v>
      </c>
      <c r="S3069" s="23">
        <f t="shared" si="758"/>
        <v>0</v>
      </c>
      <c r="T3069" s="23" t="str">
        <f t="shared" si="759"/>
        <v/>
      </c>
      <c r="U3069" t="str">
        <f t="shared" si="760"/>
        <v>PA_Alleg_2019g~Gen-commissioner north versailles ward 3 (vote for 1)</v>
      </c>
      <c r="AF3069" s="22" t="str">
        <f t="shared" si="761"/>
        <v/>
      </c>
      <c r="AG3069" s="89"/>
      <c r="AH3069" s="274"/>
      <c r="AI3069" s="279"/>
      <c r="AJ3069" s="280"/>
      <c r="AK3069" s="92"/>
      <c r="AL3069" s="23"/>
      <c r="AU3069" s="1"/>
    </row>
    <row r="3070" spans="1:47">
      <c r="A3070" t="str">
        <f t="shared" si="762"/>
        <v>PA_Alleg_2019g~Gen-commissioner north versailles ward 3 (vote for 1)</v>
      </c>
      <c r="B3070" s="55" t="s">
        <v>1528</v>
      </c>
      <c r="C3070">
        <v>630</v>
      </c>
      <c r="D3070" s="55" t="s">
        <v>601</v>
      </c>
      <c r="E3070" s="55" t="s">
        <v>15</v>
      </c>
      <c r="G3070" s="62">
        <v>4</v>
      </c>
      <c r="H3070">
        <v>1.57</v>
      </c>
      <c r="I3070">
        <v>1129</v>
      </c>
      <c r="J3070">
        <v>0</v>
      </c>
      <c r="K3070">
        <v>2</v>
      </c>
      <c r="L3070">
        <v>2</v>
      </c>
      <c r="M3070">
        <v>0</v>
      </c>
      <c r="N3070" s="23">
        <v>0</v>
      </c>
      <c r="O3070">
        <f t="shared" si="754"/>
        <v>-1</v>
      </c>
      <c r="P3070" s="57">
        <f t="shared" si="755"/>
        <v>1</v>
      </c>
      <c r="Q3070" s="267">
        <f t="shared" si="756"/>
        <v>4</v>
      </c>
      <c r="R3070" s="23">
        <f t="shared" si="757"/>
        <v>1</v>
      </c>
      <c r="S3070" s="23">
        <f t="shared" si="758"/>
        <v>0</v>
      </c>
      <c r="T3070" s="23" t="str">
        <f t="shared" si="759"/>
        <v/>
      </c>
      <c r="U3070" t="str">
        <f t="shared" si="760"/>
        <v/>
      </c>
      <c r="AF3070" s="22" t="str">
        <f t="shared" si="761"/>
        <v/>
      </c>
      <c r="AG3070" s="89"/>
      <c r="AH3070" s="274"/>
      <c r="AI3070" s="279"/>
      <c r="AJ3070" s="280"/>
      <c r="AK3070" s="92"/>
      <c r="AL3070" s="23"/>
      <c r="AU3070" s="1"/>
    </row>
    <row r="3071" spans="1:47">
      <c r="A3071" t="str">
        <f t="shared" si="762"/>
        <v>PA_Alleg_2019g~Gen-commissioner north versailles ward 5 (vote for 1)</v>
      </c>
      <c r="B3071" s="55" t="s">
        <v>1528</v>
      </c>
      <c r="C3071">
        <v>631</v>
      </c>
      <c r="D3071" s="55" t="s">
        <v>604</v>
      </c>
      <c r="E3071" s="55" t="s">
        <v>605</v>
      </c>
      <c r="F3071" t="s">
        <v>1294</v>
      </c>
      <c r="G3071" s="62">
        <v>130</v>
      </c>
      <c r="H3071">
        <v>95.59</v>
      </c>
      <c r="I3071">
        <v>951</v>
      </c>
      <c r="J3071">
        <v>0</v>
      </c>
      <c r="K3071">
        <v>2</v>
      </c>
      <c r="L3071">
        <v>2</v>
      </c>
      <c r="M3071">
        <v>0</v>
      </c>
      <c r="N3071" s="23">
        <v>0</v>
      </c>
      <c r="O3071">
        <f t="shared" si="754"/>
        <v>1</v>
      </c>
      <c r="P3071" s="57">
        <f t="shared" si="755"/>
        <v>1</v>
      </c>
      <c r="Q3071" s="267">
        <f t="shared" si="756"/>
        <v>136</v>
      </c>
      <c r="R3071" s="23">
        <f t="shared" si="757"/>
        <v>130</v>
      </c>
      <c r="S3071" s="23">
        <f t="shared" si="758"/>
        <v>0</v>
      </c>
      <c r="T3071" s="23" t="str">
        <f t="shared" si="759"/>
        <v/>
      </c>
      <c r="U3071" t="str">
        <f t="shared" si="760"/>
        <v>PA_Alleg_2019g~Gen-commissioner north versailles ward 5 (vote for 1)</v>
      </c>
      <c r="AF3071" s="22" t="str">
        <f t="shared" si="761"/>
        <v/>
      </c>
      <c r="AG3071" s="89"/>
      <c r="AH3071" s="274"/>
      <c r="AI3071" s="279"/>
      <c r="AJ3071" s="280"/>
      <c r="AK3071" s="92"/>
      <c r="AL3071" s="23"/>
      <c r="AU3071" s="1"/>
    </row>
    <row r="3072" spans="1:47">
      <c r="A3072" t="str">
        <f t="shared" si="762"/>
        <v>PA_Alleg_2019g~Gen-commissioner north versailles ward 5 (vote for 1)</v>
      </c>
      <c r="B3072" s="55" t="s">
        <v>1528</v>
      </c>
      <c r="C3072">
        <v>632</v>
      </c>
      <c r="D3072" s="55" t="s">
        <v>604</v>
      </c>
      <c r="E3072" s="55" t="s">
        <v>15</v>
      </c>
      <c r="G3072" s="62">
        <v>6</v>
      </c>
      <c r="H3072">
        <v>4.41</v>
      </c>
      <c r="I3072">
        <v>951</v>
      </c>
      <c r="J3072">
        <v>0</v>
      </c>
      <c r="K3072">
        <v>2</v>
      </c>
      <c r="L3072">
        <v>2</v>
      </c>
      <c r="M3072">
        <v>0</v>
      </c>
      <c r="N3072" s="23">
        <v>0</v>
      </c>
      <c r="O3072">
        <f t="shared" si="754"/>
        <v>-1</v>
      </c>
      <c r="P3072" s="57">
        <f t="shared" si="755"/>
        <v>1</v>
      </c>
      <c r="Q3072" s="267">
        <f t="shared" si="756"/>
        <v>6</v>
      </c>
      <c r="R3072" s="23">
        <f t="shared" si="757"/>
        <v>1</v>
      </c>
      <c r="S3072" s="23">
        <f t="shared" si="758"/>
        <v>0</v>
      </c>
      <c r="T3072" s="23" t="str">
        <f t="shared" si="759"/>
        <v/>
      </c>
      <c r="U3072" t="str">
        <f t="shared" si="760"/>
        <v/>
      </c>
      <c r="AF3072" s="22" t="str">
        <f t="shared" si="761"/>
        <v/>
      </c>
      <c r="AG3072" s="89"/>
      <c r="AH3072" s="274"/>
      <c r="AI3072" s="279"/>
      <c r="AJ3072" s="280"/>
      <c r="AK3072" s="92"/>
      <c r="AL3072" s="23"/>
      <c r="AU3072" s="1"/>
    </row>
    <row r="3073" spans="1:47">
      <c r="A3073" t="str">
        <f t="shared" si="762"/>
        <v>PA_Alleg_2019g~Gen-commissioner north versailles ward 6 (vote for 1)</v>
      </c>
      <c r="B3073" s="55" t="s">
        <v>1528</v>
      </c>
      <c r="C3073">
        <v>684</v>
      </c>
      <c r="D3073" s="55" t="s">
        <v>647</v>
      </c>
      <c r="E3073" s="55" t="s">
        <v>648</v>
      </c>
      <c r="F3073" t="s">
        <v>1396</v>
      </c>
      <c r="G3073" s="62">
        <v>296</v>
      </c>
      <c r="H3073">
        <v>99.33</v>
      </c>
      <c r="I3073">
        <v>1200</v>
      </c>
      <c r="J3073">
        <v>0</v>
      </c>
      <c r="K3073">
        <v>2</v>
      </c>
      <c r="L3073">
        <v>2</v>
      </c>
      <c r="M3073">
        <v>0</v>
      </c>
      <c r="N3073" s="23">
        <v>0</v>
      </c>
      <c r="O3073">
        <f t="shared" si="754"/>
        <v>1</v>
      </c>
      <c r="P3073" s="57">
        <f t="shared" si="755"/>
        <v>1</v>
      </c>
      <c r="Q3073" s="267">
        <f t="shared" si="756"/>
        <v>298</v>
      </c>
      <c r="R3073" s="23">
        <f t="shared" si="757"/>
        <v>296</v>
      </c>
      <c r="S3073" s="23">
        <f t="shared" si="758"/>
        <v>0</v>
      </c>
      <c r="T3073" s="23" t="str">
        <f t="shared" si="759"/>
        <v/>
      </c>
      <c r="U3073" t="str">
        <f t="shared" si="760"/>
        <v>PA_Alleg_2019g~Gen-commissioner north versailles ward 6 (vote for 1)</v>
      </c>
      <c r="AF3073" s="22" t="str">
        <f t="shared" si="761"/>
        <v/>
      </c>
      <c r="AG3073" s="89"/>
      <c r="AH3073" s="274"/>
      <c r="AI3073" s="279"/>
      <c r="AJ3073" s="280"/>
      <c r="AK3073" s="92"/>
      <c r="AL3073" s="23"/>
      <c r="AU3073" s="1"/>
    </row>
    <row r="3074" spans="1:47">
      <c r="A3074" t="str">
        <f t="shared" si="762"/>
        <v>PA_Alleg_2019g~Gen-commissioner north versailles ward 6 (vote for 1)</v>
      </c>
      <c r="B3074" s="55" t="s">
        <v>1528</v>
      </c>
      <c r="C3074">
        <v>685</v>
      </c>
      <c r="D3074" s="55" t="s">
        <v>647</v>
      </c>
      <c r="E3074" s="55" t="s">
        <v>15</v>
      </c>
      <c r="G3074" s="62">
        <v>2</v>
      </c>
      <c r="H3074">
        <v>0.67</v>
      </c>
      <c r="I3074">
        <v>1200</v>
      </c>
      <c r="J3074">
        <v>0</v>
      </c>
      <c r="K3074">
        <v>2</v>
      </c>
      <c r="L3074">
        <v>2</v>
      </c>
      <c r="M3074">
        <v>0</v>
      </c>
      <c r="N3074" s="23">
        <v>0</v>
      </c>
      <c r="O3074">
        <f t="shared" ref="O3074:O3137" si="763">IF(OR(LOWER(LEFT(E3074,8))="write-in",LOWER(LEFT(E3074,8))="not qual"),IF(A3074=A3073,-ABS(O3073),0),IF(A3074=A3073,ABS(O3073)+1,1))</f>
        <v>-1</v>
      </c>
      <c r="P3074" s="57">
        <f t="shared" ref="P3074:P3137" si="764">1*LEFT(RIGHT(A3074,2),1)</f>
        <v>1</v>
      </c>
      <c r="Q3074" s="267">
        <f t="shared" ref="Q3074:Q3137" si="765">IF(A3074&lt;&gt;A3075,G3074,IF(A3074=A3073,G3074+Q3075,MAX(G3074,(G3074+Q3075)/P3074)))</f>
        <v>2</v>
      </c>
      <c r="R3074" s="23">
        <f t="shared" ref="R3074:R3137" si="766">IF(O3074&gt;P3074,"",IF(O3074=P3074,G3074,IF(A3074=A3075,R3075,IF(O3074&lt;=0,1,G3074))))</f>
        <v>1</v>
      </c>
      <c r="S3074" s="23">
        <f t="shared" ref="S3074:S3137" si="767">IF(AND(O3074&gt;P3074,LOWER(LEFT(E3074,8))&lt;&gt;"write-in",LOWER(LEFT(E3074,8))&lt;&gt;"not qual"),G3074,IF(A3074=A3075,S3075,0))</f>
        <v>0</v>
      </c>
      <c r="T3074" s="23" t="str">
        <f t="shared" ref="T3074:T3137" si="768">IF(OR(A3074=A3073,S3074=0),"",R3074-ABS(S3074))</f>
        <v/>
      </c>
      <c r="U3074" t="str">
        <f t="shared" ref="U3074:U3137" si="769">IF(A3074=A3073,"",A3074)</f>
        <v/>
      </c>
      <c r="AF3074" s="22" t="str">
        <f t="shared" si="761"/>
        <v/>
      </c>
      <c r="AG3074" s="89"/>
      <c r="AH3074" s="274"/>
      <c r="AI3074" s="279"/>
      <c r="AJ3074" s="280"/>
      <c r="AK3074" s="92"/>
      <c r="AL3074" s="23"/>
      <c r="AU3074" s="1"/>
    </row>
    <row r="3075" spans="1:47">
      <c r="A3075" t="str">
        <f t="shared" si="762"/>
        <v>PA_Alleg_2019g~Gen-commissioner north versailles ward 7 (vote for 1)</v>
      </c>
      <c r="B3075" s="55" t="s">
        <v>1528</v>
      </c>
      <c r="C3075">
        <v>633</v>
      </c>
      <c r="D3075" s="55" t="s">
        <v>606</v>
      </c>
      <c r="E3075" s="55" t="s">
        <v>607</v>
      </c>
      <c r="F3075" t="s">
        <v>1294</v>
      </c>
      <c r="G3075" s="62">
        <v>182</v>
      </c>
      <c r="H3075">
        <v>99.45</v>
      </c>
      <c r="I3075">
        <v>704</v>
      </c>
      <c r="J3075">
        <v>0</v>
      </c>
      <c r="K3075">
        <v>1</v>
      </c>
      <c r="L3075">
        <v>1</v>
      </c>
      <c r="M3075">
        <v>0</v>
      </c>
      <c r="N3075" s="23">
        <v>0</v>
      </c>
      <c r="O3075">
        <f t="shared" si="763"/>
        <v>1</v>
      </c>
      <c r="P3075" s="57">
        <f t="shared" si="764"/>
        <v>1</v>
      </c>
      <c r="Q3075" s="267">
        <f t="shared" si="765"/>
        <v>183</v>
      </c>
      <c r="R3075" s="23">
        <f t="shared" si="766"/>
        <v>182</v>
      </c>
      <c r="S3075" s="23">
        <f t="shared" si="767"/>
        <v>0</v>
      </c>
      <c r="T3075" s="23" t="str">
        <f t="shared" si="768"/>
        <v/>
      </c>
      <c r="U3075" t="str">
        <f t="shared" si="769"/>
        <v>PA_Alleg_2019g~Gen-commissioner north versailles ward 7 (vote for 1)</v>
      </c>
      <c r="AF3075" s="22" t="str">
        <f t="shared" si="761"/>
        <v/>
      </c>
      <c r="AG3075" s="89"/>
      <c r="AH3075" s="274"/>
      <c r="AI3075" s="279"/>
      <c r="AJ3075" s="280"/>
      <c r="AK3075" s="92"/>
      <c r="AL3075" s="23"/>
      <c r="AU3075" s="1"/>
    </row>
    <row r="3076" spans="1:47">
      <c r="A3076" t="str">
        <f t="shared" si="762"/>
        <v>PA_Alleg_2019g~Gen-commissioner north versailles ward 7 (vote for 1)</v>
      </c>
      <c r="B3076" s="55" t="s">
        <v>1528</v>
      </c>
      <c r="C3076">
        <v>634</v>
      </c>
      <c r="D3076" s="55" t="s">
        <v>606</v>
      </c>
      <c r="E3076" s="55" t="s">
        <v>15</v>
      </c>
      <c r="G3076" s="62">
        <v>1</v>
      </c>
      <c r="H3076">
        <v>0.55000000000000004</v>
      </c>
      <c r="I3076">
        <v>704</v>
      </c>
      <c r="J3076">
        <v>0</v>
      </c>
      <c r="K3076">
        <v>1</v>
      </c>
      <c r="L3076">
        <v>1</v>
      </c>
      <c r="M3076">
        <v>0</v>
      </c>
      <c r="N3076" s="23">
        <v>0</v>
      </c>
      <c r="O3076">
        <f t="shared" si="763"/>
        <v>-1</v>
      </c>
      <c r="P3076" s="57">
        <f t="shared" si="764"/>
        <v>1</v>
      </c>
      <c r="Q3076" s="267">
        <f t="shared" si="765"/>
        <v>1</v>
      </c>
      <c r="R3076" s="23">
        <f t="shared" si="766"/>
        <v>1</v>
      </c>
      <c r="S3076" s="23">
        <f t="shared" si="767"/>
        <v>0</v>
      </c>
      <c r="T3076" s="23" t="str">
        <f t="shared" si="768"/>
        <v/>
      </c>
      <c r="U3076" t="str">
        <f t="shared" si="769"/>
        <v/>
      </c>
      <c r="AF3076" s="22" t="str">
        <f t="shared" si="761"/>
        <v/>
      </c>
      <c r="AG3076" s="89"/>
      <c r="AH3076" s="274"/>
      <c r="AI3076" s="279"/>
      <c r="AJ3076" s="280"/>
      <c r="AK3076" s="92"/>
      <c r="AL3076" s="23"/>
      <c r="AU3076" s="1"/>
    </row>
    <row r="3077" spans="1:47">
      <c r="A3077" t="str">
        <f t="shared" si="762"/>
        <v>PA_Alleg_2019g~Gen-commissioner reserve ward 1 (vote for 1)</v>
      </c>
      <c r="B3077" s="55" t="s">
        <v>1528</v>
      </c>
      <c r="C3077">
        <v>635</v>
      </c>
      <c r="D3077" s="55" t="s">
        <v>608</v>
      </c>
      <c r="E3077" s="55" t="s">
        <v>609</v>
      </c>
      <c r="F3077" t="s">
        <v>1294</v>
      </c>
      <c r="G3077" s="62">
        <v>156</v>
      </c>
      <c r="H3077">
        <v>98.73</v>
      </c>
      <c r="I3077">
        <v>541</v>
      </c>
      <c r="J3077">
        <v>0</v>
      </c>
      <c r="K3077">
        <v>1</v>
      </c>
      <c r="L3077">
        <v>1</v>
      </c>
      <c r="M3077">
        <v>0</v>
      </c>
      <c r="N3077" s="23">
        <v>0</v>
      </c>
      <c r="O3077">
        <f t="shared" si="763"/>
        <v>1</v>
      </c>
      <c r="P3077" s="57">
        <f t="shared" si="764"/>
        <v>1</v>
      </c>
      <c r="Q3077" s="267">
        <f t="shared" si="765"/>
        <v>158</v>
      </c>
      <c r="R3077" s="23">
        <f t="shared" si="766"/>
        <v>156</v>
      </c>
      <c r="S3077" s="23">
        <f t="shared" si="767"/>
        <v>0</v>
      </c>
      <c r="T3077" s="23" t="str">
        <f t="shared" si="768"/>
        <v/>
      </c>
      <c r="U3077" t="str">
        <f t="shared" si="769"/>
        <v>PA_Alleg_2019g~Gen-commissioner reserve ward 1 (vote for 1)</v>
      </c>
      <c r="AF3077" s="22" t="str">
        <f t="shared" si="761"/>
        <v/>
      </c>
      <c r="AG3077" s="89"/>
      <c r="AH3077" s="274"/>
      <c r="AI3077" s="279"/>
      <c r="AJ3077" s="280"/>
      <c r="AK3077" s="92"/>
      <c r="AL3077" s="23"/>
      <c r="AU3077" s="1"/>
    </row>
    <row r="3078" spans="1:47">
      <c r="A3078" t="str">
        <f t="shared" si="762"/>
        <v>PA_Alleg_2019g~Gen-commissioner reserve ward 1 (vote for 1)</v>
      </c>
      <c r="B3078" s="55" t="s">
        <v>1528</v>
      </c>
      <c r="C3078">
        <v>636</v>
      </c>
      <c r="D3078" s="55" t="s">
        <v>608</v>
      </c>
      <c r="E3078" s="55" t="s">
        <v>15</v>
      </c>
      <c r="G3078" s="62">
        <v>2</v>
      </c>
      <c r="H3078">
        <v>1.27</v>
      </c>
      <c r="I3078">
        <v>541</v>
      </c>
      <c r="J3078">
        <v>0</v>
      </c>
      <c r="K3078">
        <v>1</v>
      </c>
      <c r="L3078">
        <v>1</v>
      </c>
      <c r="M3078">
        <v>0</v>
      </c>
      <c r="N3078" s="23">
        <v>0</v>
      </c>
      <c r="O3078">
        <f t="shared" si="763"/>
        <v>-1</v>
      </c>
      <c r="P3078" s="57">
        <f t="shared" si="764"/>
        <v>1</v>
      </c>
      <c r="Q3078" s="267">
        <f t="shared" si="765"/>
        <v>2</v>
      </c>
      <c r="R3078" s="23">
        <f t="shared" si="766"/>
        <v>1</v>
      </c>
      <c r="S3078" s="23">
        <f t="shared" si="767"/>
        <v>0</v>
      </c>
      <c r="T3078" s="23" t="str">
        <f t="shared" si="768"/>
        <v/>
      </c>
      <c r="U3078" t="str">
        <f t="shared" si="769"/>
        <v/>
      </c>
      <c r="AF3078" s="22" t="str">
        <f t="shared" si="761"/>
        <v/>
      </c>
      <c r="AG3078" s="89"/>
      <c r="AH3078" s="274"/>
      <c r="AI3078" s="279"/>
      <c r="AJ3078" s="280"/>
      <c r="AK3078" s="92"/>
      <c r="AL3078" s="23"/>
      <c r="AU3078" s="1"/>
    </row>
    <row r="3079" spans="1:47">
      <c r="A3079" t="str">
        <f t="shared" si="762"/>
        <v>PA_Alleg_2019g~Gen-commissioner reserve ward 3 (vote for 1)</v>
      </c>
      <c r="B3079" s="55" t="s">
        <v>1528</v>
      </c>
      <c r="C3079">
        <v>637</v>
      </c>
      <c r="D3079" s="55" t="s">
        <v>610</v>
      </c>
      <c r="E3079" s="55" t="s">
        <v>611</v>
      </c>
      <c r="F3079" t="s">
        <v>1294</v>
      </c>
      <c r="G3079" s="62">
        <v>126</v>
      </c>
      <c r="H3079">
        <v>97.67</v>
      </c>
      <c r="I3079">
        <v>524</v>
      </c>
      <c r="J3079">
        <v>0</v>
      </c>
      <c r="K3079">
        <v>1</v>
      </c>
      <c r="L3079">
        <v>1</v>
      </c>
      <c r="M3079">
        <v>0</v>
      </c>
      <c r="N3079" s="23">
        <v>0</v>
      </c>
      <c r="O3079">
        <f t="shared" si="763"/>
        <v>1</v>
      </c>
      <c r="P3079" s="57">
        <f t="shared" si="764"/>
        <v>1</v>
      </c>
      <c r="Q3079" s="267">
        <f t="shared" si="765"/>
        <v>129</v>
      </c>
      <c r="R3079" s="23">
        <f t="shared" si="766"/>
        <v>126</v>
      </c>
      <c r="S3079" s="23">
        <f t="shared" si="767"/>
        <v>0</v>
      </c>
      <c r="T3079" s="23" t="str">
        <f t="shared" si="768"/>
        <v/>
      </c>
      <c r="U3079" t="str">
        <f t="shared" si="769"/>
        <v>PA_Alleg_2019g~Gen-commissioner reserve ward 3 (vote for 1)</v>
      </c>
      <c r="AF3079" s="22" t="str">
        <f t="shared" si="761"/>
        <v/>
      </c>
      <c r="AG3079" s="89"/>
      <c r="AH3079" s="274"/>
      <c r="AI3079" s="279"/>
      <c r="AJ3079" s="280"/>
      <c r="AK3079" s="92"/>
      <c r="AL3079" s="23"/>
      <c r="AU3079" s="1"/>
    </row>
    <row r="3080" spans="1:47">
      <c r="A3080" t="str">
        <f t="shared" si="762"/>
        <v>PA_Alleg_2019g~Gen-commissioner reserve ward 3 (vote for 1)</v>
      </c>
      <c r="B3080" s="55" t="s">
        <v>1528</v>
      </c>
      <c r="C3080">
        <v>638</v>
      </c>
      <c r="D3080" s="55" t="s">
        <v>610</v>
      </c>
      <c r="E3080" s="55" t="s">
        <v>15</v>
      </c>
      <c r="G3080" s="62">
        <v>3</v>
      </c>
      <c r="H3080">
        <v>2.33</v>
      </c>
      <c r="I3080">
        <v>524</v>
      </c>
      <c r="J3080">
        <v>0</v>
      </c>
      <c r="K3080">
        <v>1</v>
      </c>
      <c r="L3080">
        <v>1</v>
      </c>
      <c r="M3080">
        <v>0</v>
      </c>
      <c r="N3080" s="23">
        <v>0</v>
      </c>
      <c r="O3080">
        <f t="shared" si="763"/>
        <v>-1</v>
      </c>
      <c r="P3080" s="57">
        <f t="shared" si="764"/>
        <v>1</v>
      </c>
      <c r="Q3080" s="267">
        <f t="shared" si="765"/>
        <v>3</v>
      </c>
      <c r="R3080" s="23">
        <f t="shared" si="766"/>
        <v>1</v>
      </c>
      <c r="S3080" s="23">
        <f t="shared" si="767"/>
        <v>0</v>
      </c>
      <c r="T3080" s="23" t="str">
        <f t="shared" si="768"/>
        <v/>
      </c>
      <c r="U3080" t="str">
        <f t="shared" si="769"/>
        <v/>
      </c>
      <c r="AF3080" s="22" t="str">
        <f t="shared" si="761"/>
        <v/>
      </c>
      <c r="AG3080" s="89"/>
      <c r="AH3080" s="274"/>
      <c r="AI3080" s="279"/>
      <c r="AJ3080" s="280"/>
      <c r="AK3080" s="92"/>
      <c r="AL3080" s="23"/>
      <c r="AU3080" s="1"/>
    </row>
    <row r="3081" spans="1:47">
      <c r="A3081" t="str">
        <f t="shared" si="762"/>
        <v>PA_Alleg_2019g~Gen-commissioner robinson (vote for 2)</v>
      </c>
      <c r="B3081" s="55" t="s">
        <v>1528</v>
      </c>
      <c r="C3081">
        <v>588</v>
      </c>
      <c r="D3081" s="55" t="s">
        <v>566</v>
      </c>
      <c r="E3081" s="55" t="s">
        <v>568</v>
      </c>
      <c r="F3081" t="s">
        <v>1396</v>
      </c>
      <c r="G3081" s="62">
        <v>2398</v>
      </c>
      <c r="H3081">
        <v>49.89</v>
      </c>
      <c r="I3081">
        <v>11333</v>
      </c>
      <c r="J3081">
        <v>0</v>
      </c>
      <c r="K3081">
        <v>9</v>
      </c>
      <c r="L3081">
        <v>9</v>
      </c>
      <c r="M3081">
        <v>0</v>
      </c>
      <c r="N3081" s="23">
        <v>0</v>
      </c>
      <c r="O3081">
        <f t="shared" si="763"/>
        <v>1</v>
      </c>
      <c r="P3081" s="57">
        <f t="shared" si="764"/>
        <v>2</v>
      </c>
      <c r="Q3081" s="267">
        <f t="shared" si="765"/>
        <v>2403.5</v>
      </c>
      <c r="R3081" s="23">
        <f t="shared" si="766"/>
        <v>2376</v>
      </c>
      <c r="S3081" s="23">
        <f t="shared" si="767"/>
        <v>0</v>
      </c>
      <c r="T3081" s="23" t="str">
        <f t="shared" si="768"/>
        <v/>
      </c>
      <c r="U3081" t="str">
        <f t="shared" si="769"/>
        <v>PA_Alleg_2019g~Gen-commissioner robinson (vote for 2)</v>
      </c>
      <c r="AF3081" s="22" t="str">
        <f t="shared" si="761"/>
        <v/>
      </c>
      <c r="AG3081" s="89"/>
      <c r="AH3081" s="274"/>
      <c r="AI3081" s="279"/>
      <c r="AJ3081" s="280"/>
      <c r="AK3081" s="92"/>
      <c r="AL3081" s="23"/>
      <c r="AU3081" s="1"/>
    </row>
    <row r="3082" spans="1:47">
      <c r="A3082" t="str">
        <f t="shared" si="762"/>
        <v>PA_Alleg_2019g~Gen-commissioner robinson (vote for 2)</v>
      </c>
      <c r="B3082" s="55" t="s">
        <v>1528</v>
      </c>
      <c r="C3082">
        <v>587</v>
      </c>
      <c r="D3082" s="55" t="s">
        <v>566</v>
      </c>
      <c r="E3082" s="55" t="s">
        <v>567</v>
      </c>
      <c r="F3082" t="s">
        <v>1396</v>
      </c>
      <c r="G3082" s="62">
        <v>2376</v>
      </c>
      <c r="H3082">
        <v>49.43</v>
      </c>
      <c r="I3082">
        <v>11333</v>
      </c>
      <c r="J3082">
        <v>0</v>
      </c>
      <c r="K3082">
        <v>9</v>
      </c>
      <c r="L3082">
        <v>9</v>
      </c>
      <c r="M3082">
        <v>0</v>
      </c>
      <c r="N3082" s="23">
        <v>0</v>
      </c>
      <c r="O3082">
        <f t="shared" si="763"/>
        <v>2</v>
      </c>
      <c r="P3082" s="57">
        <f t="shared" si="764"/>
        <v>2</v>
      </c>
      <c r="Q3082" s="267">
        <f t="shared" si="765"/>
        <v>2409</v>
      </c>
      <c r="R3082" s="23">
        <f t="shared" si="766"/>
        <v>2376</v>
      </c>
      <c r="S3082" s="23">
        <f t="shared" si="767"/>
        <v>0</v>
      </c>
      <c r="T3082" s="23" t="str">
        <f t="shared" si="768"/>
        <v/>
      </c>
      <c r="U3082" t="str">
        <f t="shared" si="769"/>
        <v/>
      </c>
      <c r="AF3082" s="22" t="str">
        <f t="shared" si="761"/>
        <v/>
      </c>
      <c r="AG3082" s="89"/>
      <c r="AH3082" s="274"/>
      <c r="AI3082" s="279"/>
      <c r="AJ3082" s="280"/>
      <c r="AK3082" s="92"/>
      <c r="AL3082" s="23"/>
      <c r="AU3082" s="1"/>
    </row>
    <row r="3083" spans="1:47">
      <c r="A3083" t="str">
        <f t="shared" si="762"/>
        <v>PA_Alleg_2019g~Gen-commissioner robinson (vote for 2)</v>
      </c>
      <c r="B3083" s="55" t="s">
        <v>1528</v>
      </c>
      <c r="C3083">
        <v>589</v>
      </c>
      <c r="D3083" s="55" t="s">
        <v>566</v>
      </c>
      <c r="E3083" s="55" t="s">
        <v>15</v>
      </c>
      <c r="G3083" s="62">
        <v>33</v>
      </c>
      <c r="H3083">
        <v>0.69</v>
      </c>
      <c r="I3083">
        <v>11333</v>
      </c>
      <c r="J3083">
        <v>0</v>
      </c>
      <c r="K3083">
        <v>9</v>
      </c>
      <c r="L3083">
        <v>9</v>
      </c>
      <c r="M3083">
        <v>0</v>
      </c>
      <c r="N3083" s="23">
        <v>0</v>
      </c>
      <c r="O3083">
        <f t="shared" si="763"/>
        <v>-2</v>
      </c>
      <c r="P3083" s="57">
        <f t="shared" si="764"/>
        <v>2</v>
      </c>
      <c r="Q3083" s="267">
        <f t="shared" si="765"/>
        <v>33</v>
      </c>
      <c r="R3083" s="23">
        <f t="shared" si="766"/>
        <v>1</v>
      </c>
      <c r="S3083" s="23">
        <f t="shared" si="767"/>
        <v>0</v>
      </c>
      <c r="T3083" s="23" t="str">
        <f t="shared" si="768"/>
        <v/>
      </c>
      <c r="U3083" t="str">
        <f t="shared" si="769"/>
        <v/>
      </c>
      <c r="AF3083" s="22" t="str">
        <f t="shared" si="761"/>
        <v/>
      </c>
      <c r="AG3083" s="89"/>
      <c r="AH3083" s="274"/>
      <c r="AI3083" s="279"/>
      <c r="AJ3083" s="280"/>
      <c r="AK3083" s="92"/>
      <c r="AL3083" s="23"/>
      <c r="AU3083" s="1"/>
    </row>
    <row r="3084" spans="1:47">
      <c r="A3084" t="str">
        <f t="shared" si="762"/>
        <v>PA_Alleg_2019g~Gen-commissioner ross ward 1 (vote for 1)</v>
      </c>
      <c r="B3084" s="55" t="s">
        <v>1528</v>
      </c>
      <c r="C3084">
        <v>639</v>
      </c>
      <c r="D3084" s="55" t="s">
        <v>612</v>
      </c>
      <c r="E3084" s="55" t="s">
        <v>614</v>
      </c>
      <c r="F3084" t="s">
        <v>1294</v>
      </c>
      <c r="G3084" s="62">
        <v>603</v>
      </c>
      <c r="H3084">
        <v>62.81</v>
      </c>
      <c r="I3084">
        <v>2805</v>
      </c>
      <c r="J3084">
        <v>0</v>
      </c>
      <c r="K3084">
        <v>4</v>
      </c>
      <c r="L3084">
        <v>4</v>
      </c>
      <c r="M3084">
        <v>0</v>
      </c>
      <c r="N3084" s="23">
        <v>0</v>
      </c>
      <c r="O3084">
        <f t="shared" si="763"/>
        <v>1</v>
      </c>
      <c r="P3084" s="57">
        <f t="shared" si="764"/>
        <v>1</v>
      </c>
      <c r="Q3084" s="267">
        <f t="shared" si="765"/>
        <v>960</v>
      </c>
      <c r="R3084" s="23">
        <f t="shared" si="766"/>
        <v>603</v>
      </c>
      <c r="S3084" s="23">
        <f t="shared" si="767"/>
        <v>356</v>
      </c>
      <c r="T3084" s="23">
        <f t="shared" si="768"/>
        <v>247</v>
      </c>
      <c r="U3084" t="str">
        <f t="shared" si="769"/>
        <v>PA_Alleg_2019g~Gen-commissioner ross ward 1 (vote for 1)</v>
      </c>
      <c r="AF3084" s="22" t="str">
        <f t="shared" si="761"/>
        <v/>
      </c>
      <c r="AG3084" s="89"/>
      <c r="AH3084" s="274"/>
      <c r="AI3084" s="279"/>
      <c r="AJ3084" s="280"/>
      <c r="AK3084" s="92"/>
      <c r="AL3084" s="23"/>
      <c r="AU3084" s="1"/>
    </row>
    <row r="3085" spans="1:47">
      <c r="A3085" t="str">
        <f t="shared" si="762"/>
        <v>PA_Alleg_2019g~Gen-commissioner ross ward 1 (vote for 1)</v>
      </c>
      <c r="B3085" s="55" t="s">
        <v>1528</v>
      </c>
      <c r="C3085">
        <v>640</v>
      </c>
      <c r="D3085" s="55" t="s">
        <v>612</v>
      </c>
      <c r="E3085" s="55" t="s">
        <v>1155</v>
      </c>
      <c r="F3085" t="s">
        <v>1296</v>
      </c>
      <c r="G3085" s="62">
        <v>356</v>
      </c>
      <c r="H3085">
        <v>37.08</v>
      </c>
      <c r="I3085">
        <v>2805</v>
      </c>
      <c r="J3085">
        <v>0</v>
      </c>
      <c r="K3085">
        <v>4</v>
      </c>
      <c r="L3085">
        <v>4</v>
      </c>
      <c r="M3085">
        <v>0</v>
      </c>
      <c r="N3085" s="23">
        <v>0</v>
      </c>
      <c r="O3085">
        <f t="shared" si="763"/>
        <v>2</v>
      </c>
      <c r="P3085" s="57">
        <f t="shared" si="764"/>
        <v>1</v>
      </c>
      <c r="Q3085" s="267">
        <f t="shared" si="765"/>
        <v>357</v>
      </c>
      <c r="R3085" s="23" t="str">
        <f t="shared" si="766"/>
        <v/>
      </c>
      <c r="S3085" s="23">
        <f t="shared" si="767"/>
        <v>356</v>
      </c>
      <c r="T3085" s="23" t="str">
        <f t="shared" si="768"/>
        <v/>
      </c>
      <c r="U3085" t="str">
        <f t="shared" si="769"/>
        <v/>
      </c>
      <c r="AF3085" s="22" t="str">
        <f t="shared" si="761"/>
        <v/>
      </c>
      <c r="AG3085" s="89"/>
      <c r="AH3085" s="274"/>
      <c r="AI3085" s="279"/>
      <c r="AJ3085" s="280"/>
      <c r="AK3085" s="92"/>
      <c r="AL3085" s="23"/>
      <c r="AU3085" s="1"/>
    </row>
    <row r="3086" spans="1:47">
      <c r="A3086" t="str">
        <f t="shared" si="762"/>
        <v>PA_Alleg_2019g~Gen-commissioner ross ward 1 (vote for 1)</v>
      </c>
      <c r="B3086" s="55" t="s">
        <v>1528</v>
      </c>
      <c r="C3086">
        <v>641</v>
      </c>
      <c r="D3086" s="55" t="s">
        <v>612</v>
      </c>
      <c r="E3086" s="55" t="s">
        <v>15</v>
      </c>
      <c r="G3086" s="62">
        <v>1</v>
      </c>
      <c r="H3086">
        <v>0.1</v>
      </c>
      <c r="I3086">
        <v>2805</v>
      </c>
      <c r="J3086">
        <v>0</v>
      </c>
      <c r="K3086">
        <v>4</v>
      </c>
      <c r="L3086">
        <v>4</v>
      </c>
      <c r="M3086">
        <v>0</v>
      </c>
      <c r="N3086" s="23">
        <v>0</v>
      </c>
      <c r="O3086">
        <f t="shared" si="763"/>
        <v>-2</v>
      </c>
      <c r="P3086" s="57">
        <f t="shared" si="764"/>
        <v>1</v>
      </c>
      <c r="Q3086" s="267">
        <f t="shared" si="765"/>
        <v>1</v>
      </c>
      <c r="R3086" s="23">
        <f t="shared" si="766"/>
        <v>1</v>
      </c>
      <c r="S3086" s="23">
        <f t="shared" si="767"/>
        <v>0</v>
      </c>
      <c r="T3086" s="23" t="str">
        <f t="shared" si="768"/>
        <v/>
      </c>
      <c r="U3086" t="str">
        <f t="shared" si="769"/>
        <v/>
      </c>
      <c r="AF3086" s="22" t="str">
        <f t="shared" si="761"/>
        <v/>
      </c>
      <c r="AG3086" s="89"/>
      <c r="AH3086" s="274"/>
      <c r="AI3086" s="279"/>
      <c r="AJ3086" s="280"/>
      <c r="AK3086" s="92"/>
      <c r="AL3086" s="23"/>
      <c r="AU3086" s="1"/>
    </row>
    <row r="3087" spans="1:47">
      <c r="A3087" t="str">
        <f t="shared" si="762"/>
        <v>PA_Alleg_2019g~Gen-commissioner ross ward 3 (vote for 1)</v>
      </c>
      <c r="B3087" s="55" t="s">
        <v>1528</v>
      </c>
      <c r="C3087">
        <v>642</v>
      </c>
      <c r="D3087" s="55" t="s">
        <v>615</v>
      </c>
      <c r="E3087" s="55" t="s">
        <v>616</v>
      </c>
      <c r="F3087" t="s">
        <v>1294</v>
      </c>
      <c r="G3087" s="62">
        <v>520</v>
      </c>
      <c r="H3087">
        <v>54.97</v>
      </c>
      <c r="I3087">
        <v>2640</v>
      </c>
      <c r="J3087">
        <v>0</v>
      </c>
      <c r="K3087">
        <v>4</v>
      </c>
      <c r="L3087">
        <v>4</v>
      </c>
      <c r="M3087">
        <v>0</v>
      </c>
      <c r="N3087" s="23">
        <v>0</v>
      </c>
      <c r="O3087">
        <f t="shared" si="763"/>
        <v>1</v>
      </c>
      <c r="P3087" s="57">
        <f t="shared" si="764"/>
        <v>1</v>
      </c>
      <c r="Q3087" s="267">
        <f t="shared" si="765"/>
        <v>946</v>
      </c>
      <c r="R3087" s="23">
        <f t="shared" si="766"/>
        <v>520</v>
      </c>
      <c r="S3087" s="23">
        <f t="shared" si="767"/>
        <v>425</v>
      </c>
      <c r="T3087" s="23">
        <f t="shared" si="768"/>
        <v>95</v>
      </c>
      <c r="U3087" t="str">
        <f t="shared" si="769"/>
        <v>PA_Alleg_2019g~Gen-commissioner ross ward 3 (vote for 1)</v>
      </c>
      <c r="AF3087" s="22" t="str">
        <f t="shared" si="761"/>
        <v/>
      </c>
      <c r="AG3087" s="89"/>
      <c r="AH3087" s="274"/>
      <c r="AI3087" s="279"/>
      <c r="AJ3087" s="280"/>
      <c r="AK3087" s="92"/>
      <c r="AL3087" s="23"/>
      <c r="AU3087" s="1"/>
    </row>
    <row r="3088" spans="1:47">
      <c r="A3088" t="str">
        <f t="shared" si="762"/>
        <v>PA_Alleg_2019g~Gen-commissioner ross ward 3 (vote for 1)</v>
      </c>
      <c r="B3088" s="55" t="s">
        <v>1528</v>
      </c>
      <c r="C3088">
        <v>643</v>
      </c>
      <c r="D3088" s="55" t="s">
        <v>615</v>
      </c>
      <c r="E3088" s="55" t="s">
        <v>1156</v>
      </c>
      <c r="F3088" t="s">
        <v>1296</v>
      </c>
      <c r="G3088" s="62">
        <v>425</v>
      </c>
      <c r="H3088">
        <v>44.93</v>
      </c>
      <c r="I3088">
        <v>2640</v>
      </c>
      <c r="J3088">
        <v>0</v>
      </c>
      <c r="K3088">
        <v>4</v>
      </c>
      <c r="L3088">
        <v>4</v>
      </c>
      <c r="M3088">
        <v>0</v>
      </c>
      <c r="N3088" s="23">
        <v>0</v>
      </c>
      <c r="O3088">
        <f t="shared" si="763"/>
        <v>2</v>
      </c>
      <c r="P3088" s="57">
        <f t="shared" si="764"/>
        <v>1</v>
      </c>
      <c r="Q3088" s="267">
        <f t="shared" si="765"/>
        <v>426</v>
      </c>
      <c r="R3088" s="23" t="str">
        <f t="shared" si="766"/>
        <v/>
      </c>
      <c r="S3088" s="23">
        <f t="shared" si="767"/>
        <v>425</v>
      </c>
      <c r="T3088" s="23" t="str">
        <f t="shared" si="768"/>
        <v/>
      </c>
      <c r="U3088" t="str">
        <f t="shared" si="769"/>
        <v/>
      </c>
      <c r="AF3088" s="22" t="str">
        <f t="shared" si="761"/>
        <v/>
      </c>
      <c r="AG3088" s="89"/>
      <c r="AH3088" s="274"/>
      <c r="AI3088" s="279"/>
      <c r="AJ3088" s="280"/>
      <c r="AK3088" s="92"/>
      <c r="AL3088" s="23"/>
      <c r="AU3088" s="1"/>
    </row>
    <row r="3089" spans="1:47">
      <c r="A3089" t="str">
        <f t="shared" si="762"/>
        <v>PA_Alleg_2019g~Gen-commissioner ross ward 3 (vote for 1)</v>
      </c>
      <c r="B3089" s="55" t="s">
        <v>1528</v>
      </c>
      <c r="C3089">
        <v>644</v>
      </c>
      <c r="D3089" s="55" t="s">
        <v>615</v>
      </c>
      <c r="E3089" s="55" t="s">
        <v>15</v>
      </c>
      <c r="G3089" s="62">
        <v>1</v>
      </c>
      <c r="H3089">
        <v>0.11</v>
      </c>
      <c r="I3089">
        <v>2640</v>
      </c>
      <c r="J3089">
        <v>0</v>
      </c>
      <c r="K3089">
        <v>4</v>
      </c>
      <c r="L3089">
        <v>4</v>
      </c>
      <c r="M3089">
        <v>0</v>
      </c>
      <c r="N3089" s="23">
        <v>0</v>
      </c>
      <c r="O3089">
        <f t="shared" si="763"/>
        <v>-2</v>
      </c>
      <c r="P3089" s="57">
        <f t="shared" si="764"/>
        <v>1</v>
      </c>
      <c r="Q3089" s="267">
        <f t="shared" si="765"/>
        <v>1</v>
      </c>
      <c r="R3089" s="23">
        <f t="shared" si="766"/>
        <v>1</v>
      </c>
      <c r="S3089" s="23">
        <f t="shared" si="767"/>
        <v>0</v>
      </c>
      <c r="T3089" s="23" t="str">
        <f t="shared" si="768"/>
        <v/>
      </c>
      <c r="U3089" t="str">
        <f t="shared" si="769"/>
        <v/>
      </c>
      <c r="AF3089" s="22" t="str">
        <f t="shared" si="761"/>
        <v/>
      </c>
      <c r="AG3089" s="89"/>
      <c r="AH3089" s="274"/>
      <c r="AI3089" s="279"/>
      <c r="AJ3089" s="280"/>
      <c r="AK3089" s="92"/>
      <c r="AL3089" s="23"/>
      <c r="AU3089" s="1"/>
    </row>
    <row r="3090" spans="1:47">
      <c r="A3090" t="str">
        <f t="shared" si="762"/>
        <v>PA_Alleg_2019g~Gen-commissioner ross ward 5 (vote for 1)</v>
      </c>
      <c r="B3090" s="55" t="s">
        <v>1528</v>
      </c>
      <c r="C3090">
        <v>645</v>
      </c>
      <c r="D3090" s="55" t="s">
        <v>617</v>
      </c>
      <c r="E3090" s="55" t="s">
        <v>618</v>
      </c>
      <c r="F3090" t="s">
        <v>1294</v>
      </c>
      <c r="G3090" s="62">
        <v>457</v>
      </c>
      <c r="H3090">
        <v>50.67</v>
      </c>
      <c r="I3090">
        <v>2589</v>
      </c>
      <c r="J3090">
        <v>0</v>
      </c>
      <c r="K3090">
        <v>4</v>
      </c>
      <c r="L3090">
        <v>4</v>
      </c>
      <c r="M3090">
        <v>0</v>
      </c>
      <c r="N3090" s="23">
        <v>0</v>
      </c>
      <c r="O3090">
        <f t="shared" si="763"/>
        <v>1</v>
      </c>
      <c r="P3090" s="57">
        <f t="shared" si="764"/>
        <v>1</v>
      </c>
      <c r="Q3090" s="267">
        <f t="shared" si="765"/>
        <v>902</v>
      </c>
      <c r="R3090" s="23">
        <f t="shared" si="766"/>
        <v>457</v>
      </c>
      <c r="S3090" s="23">
        <f t="shared" si="767"/>
        <v>445</v>
      </c>
      <c r="T3090" s="23">
        <f t="shared" si="768"/>
        <v>12</v>
      </c>
      <c r="U3090" t="str">
        <f t="shared" si="769"/>
        <v>PA_Alleg_2019g~Gen-commissioner ross ward 5 (vote for 1)</v>
      </c>
      <c r="AF3090" s="22" t="str">
        <f t="shared" si="761"/>
        <v/>
      </c>
      <c r="AG3090" s="89"/>
      <c r="AH3090" s="274"/>
      <c r="AI3090" s="279"/>
      <c r="AJ3090" s="280"/>
      <c r="AK3090" s="92"/>
      <c r="AL3090" s="23"/>
      <c r="AU3090" s="1"/>
    </row>
    <row r="3091" spans="1:47">
      <c r="A3091" t="str">
        <f t="shared" si="762"/>
        <v>PA_Alleg_2019g~Gen-commissioner ross ward 5 (vote for 1)</v>
      </c>
      <c r="B3091" s="55" t="s">
        <v>1528</v>
      </c>
      <c r="C3091">
        <v>646</v>
      </c>
      <c r="D3091" s="55" t="s">
        <v>617</v>
      </c>
      <c r="E3091" s="55" t="s">
        <v>1157</v>
      </c>
      <c r="F3091" t="s">
        <v>1296</v>
      </c>
      <c r="G3091" s="62">
        <v>445</v>
      </c>
      <c r="H3091">
        <v>49.33</v>
      </c>
      <c r="I3091">
        <v>2589</v>
      </c>
      <c r="J3091">
        <v>0</v>
      </c>
      <c r="K3091">
        <v>4</v>
      </c>
      <c r="L3091">
        <v>4</v>
      </c>
      <c r="M3091">
        <v>0</v>
      </c>
      <c r="N3091" s="23">
        <v>0</v>
      </c>
      <c r="O3091">
        <f t="shared" si="763"/>
        <v>2</v>
      </c>
      <c r="P3091" s="57">
        <f t="shared" si="764"/>
        <v>1</v>
      </c>
      <c r="Q3091" s="267">
        <f t="shared" si="765"/>
        <v>445</v>
      </c>
      <c r="R3091" s="23" t="str">
        <f t="shared" si="766"/>
        <v/>
      </c>
      <c r="S3091" s="23">
        <f t="shared" si="767"/>
        <v>445</v>
      </c>
      <c r="T3091" s="23" t="str">
        <f t="shared" si="768"/>
        <v/>
      </c>
      <c r="U3091" t="str">
        <f t="shared" si="769"/>
        <v/>
      </c>
      <c r="AF3091" s="22" t="str">
        <f t="shared" si="761"/>
        <v/>
      </c>
      <c r="AG3091" s="89"/>
      <c r="AH3091" s="274"/>
      <c r="AI3091" s="279"/>
      <c r="AJ3091" s="280"/>
      <c r="AK3091" s="92"/>
      <c r="AL3091" s="23"/>
      <c r="AU3091" s="1"/>
    </row>
    <row r="3092" spans="1:47">
      <c r="A3092" t="str">
        <f t="shared" si="762"/>
        <v>PA_Alleg_2019g~Gen-commissioner ross ward 5 (vote for 1)</v>
      </c>
      <c r="B3092" s="55" t="s">
        <v>1528</v>
      </c>
      <c r="C3092">
        <v>647</v>
      </c>
      <c r="D3092" s="55" t="s">
        <v>617</v>
      </c>
      <c r="E3092" s="55" t="s">
        <v>15</v>
      </c>
      <c r="G3092" s="62">
        <v>0</v>
      </c>
      <c r="H3092">
        <v>0</v>
      </c>
      <c r="I3092">
        <v>2589</v>
      </c>
      <c r="J3092">
        <v>0</v>
      </c>
      <c r="K3092">
        <v>4</v>
      </c>
      <c r="L3092">
        <v>4</v>
      </c>
      <c r="M3092">
        <v>0</v>
      </c>
      <c r="N3092" s="23">
        <v>0</v>
      </c>
      <c r="O3092">
        <f t="shared" si="763"/>
        <v>-2</v>
      </c>
      <c r="P3092" s="57">
        <f t="shared" si="764"/>
        <v>1</v>
      </c>
      <c r="Q3092" s="267">
        <f t="shared" si="765"/>
        <v>0</v>
      </c>
      <c r="R3092" s="23">
        <f t="shared" si="766"/>
        <v>1</v>
      </c>
      <c r="S3092" s="23">
        <f t="shared" si="767"/>
        <v>0</v>
      </c>
      <c r="T3092" s="23" t="str">
        <f t="shared" si="768"/>
        <v/>
      </c>
      <c r="U3092" t="str">
        <f t="shared" si="769"/>
        <v/>
      </c>
      <c r="AF3092" s="22" t="str">
        <f t="shared" si="761"/>
        <v/>
      </c>
      <c r="AG3092" s="89"/>
      <c r="AH3092" s="274"/>
      <c r="AI3092" s="279"/>
      <c r="AJ3092" s="280"/>
      <c r="AK3092" s="92"/>
      <c r="AL3092" s="23"/>
      <c r="AU3092" s="1"/>
    </row>
    <row r="3093" spans="1:47">
      <c r="A3093" t="str">
        <f t="shared" si="762"/>
        <v>PA_Alleg_2019g~Gen-commissioner ross ward 7 (vote for 1)</v>
      </c>
      <c r="B3093" s="55" t="s">
        <v>1528</v>
      </c>
      <c r="C3093">
        <v>648</v>
      </c>
      <c r="D3093" s="55" t="s">
        <v>619</v>
      </c>
      <c r="E3093" s="55" t="s">
        <v>620</v>
      </c>
      <c r="F3093" t="s">
        <v>1294</v>
      </c>
      <c r="G3093" s="62">
        <v>533</v>
      </c>
      <c r="H3093">
        <v>58.77</v>
      </c>
      <c r="I3093">
        <v>2524</v>
      </c>
      <c r="J3093">
        <v>0</v>
      </c>
      <c r="K3093">
        <v>4</v>
      </c>
      <c r="L3093">
        <v>4</v>
      </c>
      <c r="M3093">
        <v>0</v>
      </c>
      <c r="N3093" s="23">
        <v>0</v>
      </c>
      <c r="O3093">
        <f t="shared" si="763"/>
        <v>1</v>
      </c>
      <c r="P3093" s="57">
        <f t="shared" si="764"/>
        <v>1</v>
      </c>
      <c r="Q3093" s="267">
        <f t="shared" si="765"/>
        <v>907</v>
      </c>
      <c r="R3093" s="23">
        <f t="shared" si="766"/>
        <v>533</v>
      </c>
      <c r="S3093" s="23">
        <f t="shared" si="767"/>
        <v>374</v>
      </c>
      <c r="T3093" s="23">
        <f t="shared" si="768"/>
        <v>159</v>
      </c>
      <c r="U3093" t="str">
        <f t="shared" si="769"/>
        <v>PA_Alleg_2019g~Gen-commissioner ross ward 7 (vote for 1)</v>
      </c>
      <c r="AF3093" s="22" t="str">
        <f t="shared" si="761"/>
        <v/>
      </c>
      <c r="AG3093" s="89"/>
      <c r="AH3093" s="274"/>
      <c r="AI3093" s="279"/>
      <c r="AJ3093" s="280"/>
      <c r="AK3093" s="92"/>
      <c r="AL3093" s="23"/>
      <c r="AU3093" s="1"/>
    </row>
    <row r="3094" spans="1:47">
      <c r="A3094" t="str">
        <f t="shared" si="762"/>
        <v>PA_Alleg_2019g~Gen-commissioner ross ward 7 (vote for 1)</v>
      </c>
      <c r="B3094" s="55" t="s">
        <v>1528</v>
      </c>
      <c r="C3094">
        <v>649</v>
      </c>
      <c r="D3094" s="55" t="s">
        <v>619</v>
      </c>
      <c r="E3094" s="55" t="s">
        <v>1158</v>
      </c>
      <c r="F3094" t="s">
        <v>1296</v>
      </c>
      <c r="G3094" s="62">
        <v>374</v>
      </c>
      <c r="H3094">
        <v>41.23</v>
      </c>
      <c r="I3094">
        <v>2524</v>
      </c>
      <c r="J3094">
        <v>0</v>
      </c>
      <c r="K3094">
        <v>4</v>
      </c>
      <c r="L3094">
        <v>4</v>
      </c>
      <c r="M3094">
        <v>0</v>
      </c>
      <c r="N3094" s="23">
        <v>0</v>
      </c>
      <c r="O3094">
        <f t="shared" si="763"/>
        <v>2</v>
      </c>
      <c r="P3094" s="57">
        <f t="shared" si="764"/>
        <v>1</v>
      </c>
      <c r="Q3094" s="267">
        <f t="shared" si="765"/>
        <v>374</v>
      </c>
      <c r="R3094" s="23" t="str">
        <f t="shared" si="766"/>
        <v/>
      </c>
      <c r="S3094" s="23">
        <f t="shared" si="767"/>
        <v>374</v>
      </c>
      <c r="T3094" s="23" t="str">
        <f t="shared" si="768"/>
        <v/>
      </c>
      <c r="U3094" t="str">
        <f t="shared" si="769"/>
        <v/>
      </c>
      <c r="AF3094" s="22" t="str">
        <f t="shared" si="761"/>
        <v/>
      </c>
      <c r="AG3094" s="89"/>
      <c r="AH3094" s="274"/>
      <c r="AI3094" s="279"/>
      <c r="AJ3094" s="280"/>
      <c r="AK3094" s="92"/>
      <c r="AL3094" s="23"/>
      <c r="AU3094" s="1"/>
    </row>
    <row r="3095" spans="1:47">
      <c r="A3095" t="str">
        <f t="shared" si="762"/>
        <v>PA_Alleg_2019g~Gen-commissioner ross ward 7 (vote for 1)</v>
      </c>
      <c r="B3095" s="55" t="s">
        <v>1528</v>
      </c>
      <c r="C3095">
        <v>650</v>
      </c>
      <c r="D3095" s="55" t="s">
        <v>619</v>
      </c>
      <c r="E3095" s="55" t="s">
        <v>15</v>
      </c>
      <c r="G3095" s="62">
        <v>0</v>
      </c>
      <c r="H3095">
        <v>0</v>
      </c>
      <c r="I3095">
        <v>2524</v>
      </c>
      <c r="J3095">
        <v>0</v>
      </c>
      <c r="K3095">
        <v>4</v>
      </c>
      <c r="L3095">
        <v>4</v>
      </c>
      <c r="M3095">
        <v>0</v>
      </c>
      <c r="N3095" s="23">
        <v>0</v>
      </c>
      <c r="O3095">
        <f t="shared" si="763"/>
        <v>-2</v>
      </c>
      <c r="P3095" s="57">
        <f t="shared" si="764"/>
        <v>1</v>
      </c>
      <c r="Q3095" s="267">
        <f t="shared" si="765"/>
        <v>0</v>
      </c>
      <c r="R3095" s="23">
        <f t="shared" si="766"/>
        <v>1</v>
      </c>
      <c r="S3095" s="23">
        <f t="shared" si="767"/>
        <v>0</v>
      </c>
      <c r="T3095" s="23" t="str">
        <f t="shared" si="768"/>
        <v/>
      </c>
      <c r="U3095" t="str">
        <f t="shared" si="769"/>
        <v/>
      </c>
      <c r="AF3095" s="22" t="str">
        <f t="shared" si="761"/>
        <v/>
      </c>
      <c r="AG3095" s="89"/>
      <c r="AH3095" s="274"/>
      <c r="AI3095" s="279"/>
      <c r="AJ3095" s="280"/>
      <c r="AK3095" s="92"/>
      <c r="AL3095" s="23"/>
      <c r="AU3095" s="1"/>
    </row>
    <row r="3096" spans="1:47">
      <c r="A3096" t="str">
        <f t="shared" si="762"/>
        <v>PA_Alleg_2019g~Gen-commissioner ross ward 9 (vote for 1)</v>
      </c>
      <c r="B3096" s="55" t="s">
        <v>1528</v>
      </c>
      <c r="C3096">
        <v>651</v>
      </c>
      <c r="D3096" s="55" t="s">
        <v>621</v>
      </c>
      <c r="E3096" s="55" t="s">
        <v>622</v>
      </c>
      <c r="F3096" t="s">
        <v>1294</v>
      </c>
      <c r="G3096" s="62">
        <v>511</v>
      </c>
      <c r="H3096">
        <v>53.4</v>
      </c>
      <c r="I3096">
        <v>2596</v>
      </c>
      <c r="J3096">
        <v>0</v>
      </c>
      <c r="K3096">
        <v>3</v>
      </c>
      <c r="L3096">
        <v>3</v>
      </c>
      <c r="M3096">
        <v>0</v>
      </c>
      <c r="N3096" s="23">
        <v>0</v>
      </c>
      <c r="O3096">
        <f t="shared" si="763"/>
        <v>1</v>
      </c>
      <c r="P3096" s="57">
        <f t="shared" si="764"/>
        <v>1</v>
      </c>
      <c r="Q3096" s="267">
        <f t="shared" si="765"/>
        <v>957</v>
      </c>
      <c r="R3096" s="23">
        <f t="shared" si="766"/>
        <v>511</v>
      </c>
      <c r="S3096" s="23">
        <f t="shared" si="767"/>
        <v>446</v>
      </c>
      <c r="T3096" s="23">
        <f t="shared" si="768"/>
        <v>65</v>
      </c>
      <c r="U3096" t="str">
        <f t="shared" si="769"/>
        <v>PA_Alleg_2019g~Gen-commissioner ross ward 9 (vote for 1)</v>
      </c>
      <c r="AF3096" s="22" t="str">
        <f t="shared" si="761"/>
        <v/>
      </c>
      <c r="AG3096" s="89"/>
      <c r="AH3096" s="274"/>
      <c r="AI3096" s="279"/>
      <c r="AJ3096" s="280"/>
      <c r="AK3096" s="92"/>
      <c r="AL3096" s="23"/>
      <c r="AU3096" s="1"/>
    </row>
    <row r="3097" spans="1:47">
      <c r="A3097" t="str">
        <f t="shared" si="762"/>
        <v>PA_Alleg_2019g~Gen-commissioner ross ward 9 (vote for 1)</v>
      </c>
      <c r="B3097" s="55" t="s">
        <v>1528</v>
      </c>
      <c r="C3097">
        <v>652</v>
      </c>
      <c r="D3097" s="55" t="s">
        <v>621</v>
      </c>
      <c r="E3097" s="55" t="s">
        <v>1159</v>
      </c>
      <c r="F3097" t="s">
        <v>1296</v>
      </c>
      <c r="G3097" s="62">
        <v>446</v>
      </c>
      <c r="H3097">
        <v>46.6</v>
      </c>
      <c r="I3097">
        <v>2596</v>
      </c>
      <c r="J3097">
        <v>0</v>
      </c>
      <c r="K3097">
        <v>3</v>
      </c>
      <c r="L3097">
        <v>3</v>
      </c>
      <c r="M3097">
        <v>0</v>
      </c>
      <c r="N3097" s="23">
        <v>0</v>
      </c>
      <c r="O3097">
        <f t="shared" si="763"/>
        <v>2</v>
      </c>
      <c r="P3097" s="57">
        <f t="shared" si="764"/>
        <v>1</v>
      </c>
      <c r="Q3097" s="267">
        <f t="shared" si="765"/>
        <v>446</v>
      </c>
      <c r="R3097" s="23" t="str">
        <f t="shared" si="766"/>
        <v/>
      </c>
      <c r="S3097" s="23">
        <f t="shared" si="767"/>
        <v>446</v>
      </c>
      <c r="T3097" s="23" t="str">
        <f t="shared" si="768"/>
        <v/>
      </c>
      <c r="U3097" t="str">
        <f t="shared" si="769"/>
        <v/>
      </c>
      <c r="AF3097" s="22" t="str">
        <f t="shared" si="761"/>
        <v/>
      </c>
      <c r="AG3097" s="89"/>
      <c r="AH3097" s="274"/>
      <c r="AI3097" s="279"/>
      <c r="AJ3097" s="280"/>
      <c r="AK3097" s="92"/>
      <c r="AL3097" s="23"/>
      <c r="AU3097" s="1"/>
    </row>
    <row r="3098" spans="1:47">
      <c r="A3098" t="str">
        <f t="shared" si="762"/>
        <v>PA_Alleg_2019g~Gen-commissioner ross ward 9 (vote for 1)</v>
      </c>
      <c r="B3098" s="55" t="s">
        <v>1528</v>
      </c>
      <c r="C3098">
        <v>653</v>
      </c>
      <c r="D3098" s="55" t="s">
        <v>621</v>
      </c>
      <c r="E3098" s="55" t="s">
        <v>15</v>
      </c>
      <c r="G3098" s="62">
        <v>0</v>
      </c>
      <c r="H3098">
        <v>0</v>
      </c>
      <c r="I3098">
        <v>2596</v>
      </c>
      <c r="J3098">
        <v>0</v>
      </c>
      <c r="K3098">
        <v>3</v>
      </c>
      <c r="L3098">
        <v>3</v>
      </c>
      <c r="M3098">
        <v>0</v>
      </c>
      <c r="N3098" s="23">
        <v>0</v>
      </c>
      <c r="O3098">
        <f t="shared" si="763"/>
        <v>-2</v>
      </c>
      <c r="P3098" s="57">
        <f t="shared" si="764"/>
        <v>1</v>
      </c>
      <c r="Q3098" s="267">
        <f t="shared" si="765"/>
        <v>0</v>
      </c>
      <c r="R3098" s="23">
        <f t="shared" si="766"/>
        <v>1</v>
      </c>
      <c r="S3098" s="23">
        <f t="shared" si="767"/>
        <v>0</v>
      </c>
      <c r="T3098" s="23" t="str">
        <f t="shared" si="768"/>
        <v/>
      </c>
      <c r="U3098" t="str">
        <f t="shared" si="769"/>
        <v/>
      </c>
      <c r="AF3098" s="22" t="str">
        <f t="shared" si="761"/>
        <v/>
      </c>
      <c r="AG3098" s="89"/>
      <c r="AH3098" s="274"/>
      <c r="AI3098" s="279"/>
      <c r="AJ3098" s="280"/>
      <c r="AK3098" s="92"/>
      <c r="AL3098" s="23"/>
      <c r="AU3098" s="1"/>
    </row>
    <row r="3099" spans="1:47">
      <c r="A3099" t="str">
        <f t="shared" si="762"/>
        <v>PA_Alleg_2019g~Gen-commissioner scott ward 1 (vote for 1)</v>
      </c>
      <c r="B3099" s="55" t="s">
        <v>1528</v>
      </c>
      <c r="C3099">
        <v>654</v>
      </c>
      <c r="D3099" s="55" t="s">
        <v>623</v>
      </c>
      <c r="E3099" s="55" t="s">
        <v>625</v>
      </c>
      <c r="F3099" t="s">
        <v>1294</v>
      </c>
      <c r="G3099" s="62">
        <v>216</v>
      </c>
      <c r="H3099">
        <v>69.680000000000007</v>
      </c>
      <c r="I3099">
        <v>1264</v>
      </c>
      <c r="J3099">
        <v>0</v>
      </c>
      <c r="K3099">
        <v>2</v>
      </c>
      <c r="L3099">
        <v>2</v>
      </c>
      <c r="M3099">
        <v>0</v>
      </c>
      <c r="N3099" s="23">
        <v>0</v>
      </c>
      <c r="O3099">
        <f t="shared" si="763"/>
        <v>1</v>
      </c>
      <c r="P3099" s="57">
        <f t="shared" si="764"/>
        <v>1</v>
      </c>
      <c r="Q3099" s="267">
        <f t="shared" si="765"/>
        <v>310</v>
      </c>
      <c r="R3099" s="23">
        <f t="shared" si="766"/>
        <v>216</v>
      </c>
      <c r="S3099" s="23">
        <f t="shared" si="767"/>
        <v>92</v>
      </c>
      <c r="T3099" s="23">
        <f t="shared" si="768"/>
        <v>124</v>
      </c>
      <c r="U3099" t="str">
        <f t="shared" si="769"/>
        <v>PA_Alleg_2019g~Gen-commissioner scott ward 1 (vote for 1)</v>
      </c>
      <c r="AF3099" s="22" t="str">
        <f t="shared" si="761"/>
        <v/>
      </c>
      <c r="AG3099" s="89"/>
      <c r="AH3099" s="274"/>
      <c r="AI3099" s="279"/>
      <c r="AJ3099" s="280"/>
      <c r="AK3099" s="92"/>
      <c r="AL3099" s="23"/>
      <c r="AU3099" s="1"/>
    </row>
    <row r="3100" spans="1:47">
      <c r="A3100" t="str">
        <f t="shared" si="762"/>
        <v>PA_Alleg_2019g~Gen-commissioner scott ward 1 (vote for 1)</v>
      </c>
      <c r="B3100" s="55" t="s">
        <v>1528</v>
      </c>
      <c r="C3100">
        <v>655</v>
      </c>
      <c r="D3100" s="55" t="s">
        <v>623</v>
      </c>
      <c r="E3100" s="55" t="s">
        <v>624</v>
      </c>
      <c r="F3100" t="s">
        <v>1296</v>
      </c>
      <c r="G3100" s="62">
        <v>92</v>
      </c>
      <c r="H3100">
        <v>29.68</v>
      </c>
      <c r="I3100">
        <v>1264</v>
      </c>
      <c r="J3100">
        <v>0</v>
      </c>
      <c r="K3100">
        <v>2</v>
      </c>
      <c r="L3100">
        <v>2</v>
      </c>
      <c r="M3100">
        <v>0</v>
      </c>
      <c r="N3100" s="23">
        <v>0</v>
      </c>
      <c r="O3100">
        <f t="shared" si="763"/>
        <v>2</v>
      </c>
      <c r="P3100" s="57">
        <f t="shared" si="764"/>
        <v>1</v>
      </c>
      <c r="Q3100" s="267">
        <f t="shared" si="765"/>
        <v>94</v>
      </c>
      <c r="R3100" s="23" t="str">
        <f t="shared" si="766"/>
        <v/>
      </c>
      <c r="S3100" s="23">
        <f t="shared" si="767"/>
        <v>92</v>
      </c>
      <c r="T3100" s="23" t="str">
        <f t="shared" si="768"/>
        <v/>
      </c>
      <c r="U3100" t="str">
        <f t="shared" si="769"/>
        <v/>
      </c>
      <c r="AF3100" s="22" t="str">
        <f t="shared" si="761"/>
        <v/>
      </c>
      <c r="AG3100" s="89"/>
      <c r="AH3100" s="274"/>
      <c r="AI3100" s="279"/>
      <c r="AJ3100" s="280"/>
      <c r="AK3100" s="92"/>
      <c r="AL3100" s="23"/>
      <c r="AU3100" s="1"/>
    </row>
    <row r="3101" spans="1:47">
      <c r="A3101" t="str">
        <f t="shared" si="762"/>
        <v>PA_Alleg_2019g~Gen-commissioner scott ward 1 (vote for 1)</v>
      </c>
      <c r="B3101" s="55" t="s">
        <v>1528</v>
      </c>
      <c r="C3101">
        <v>656</v>
      </c>
      <c r="D3101" s="55" t="s">
        <v>623</v>
      </c>
      <c r="E3101" s="55" t="s">
        <v>15</v>
      </c>
      <c r="G3101" s="62">
        <v>2</v>
      </c>
      <c r="H3101">
        <v>0.65</v>
      </c>
      <c r="I3101">
        <v>1264</v>
      </c>
      <c r="J3101">
        <v>0</v>
      </c>
      <c r="K3101">
        <v>2</v>
      </c>
      <c r="L3101">
        <v>2</v>
      </c>
      <c r="M3101">
        <v>0</v>
      </c>
      <c r="N3101" s="23">
        <v>0</v>
      </c>
      <c r="O3101">
        <f t="shared" si="763"/>
        <v>-2</v>
      </c>
      <c r="P3101" s="57">
        <f t="shared" si="764"/>
        <v>1</v>
      </c>
      <c r="Q3101" s="267">
        <f t="shared" si="765"/>
        <v>2</v>
      </c>
      <c r="R3101" s="23">
        <f t="shared" si="766"/>
        <v>1</v>
      </c>
      <c r="S3101" s="23">
        <f t="shared" si="767"/>
        <v>0</v>
      </c>
      <c r="T3101" s="23" t="str">
        <f t="shared" si="768"/>
        <v/>
      </c>
      <c r="U3101" t="str">
        <f t="shared" si="769"/>
        <v/>
      </c>
      <c r="AF3101" s="22" t="str">
        <f t="shared" si="761"/>
        <v/>
      </c>
      <c r="AG3101" s="89"/>
      <c r="AH3101" s="274"/>
      <c r="AI3101" s="279"/>
      <c r="AJ3101" s="280"/>
      <c r="AK3101" s="92"/>
      <c r="AL3101" s="23"/>
      <c r="AU3101" s="1"/>
    </row>
    <row r="3102" spans="1:47">
      <c r="A3102" t="str">
        <f t="shared" si="762"/>
        <v>PA_Alleg_2019g~Gen-commissioner scott ward 3 (vote for 1)</v>
      </c>
      <c r="B3102" s="55" t="s">
        <v>1528</v>
      </c>
      <c r="C3102">
        <v>658</v>
      </c>
      <c r="D3102" s="55" t="s">
        <v>626</v>
      </c>
      <c r="E3102" s="55" t="s">
        <v>1160</v>
      </c>
      <c r="F3102" t="s">
        <v>1296</v>
      </c>
      <c r="G3102" s="62">
        <v>242</v>
      </c>
      <c r="H3102">
        <v>54.5</v>
      </c>
      <c r="I3102">
        <v>1253</v>
      </c>
      <c r="J3102">
        <v>0</v>
      </c>
      <c r="K3102">
        <v>2</v>
      </c>
      <c r="L3102">
        <v>2</v>
      </c>
      <c r="M3102">
        <v>0</v>
      </c>
      <c r="N3102" s="23">
        <v>0</v>
      </c>
      <c r="O3102">
        <f t="shared" si="763"/>
        <v>1</v>
      </c>
      <c r="P3102" s="57">
        <f t="shared" si="764"/>
        <v>1</v>
      </c>
      <c r="Q3102" s="267">
        <f t="shared" si="765"/>
        <v>444</v>
      </c>
      <c r="R3102" s="23">
        <f t="shared" si="766"/>
        <v>242</v>
      </c>
      <c r="S3102" s="23">
        <f t="shared" si="767"/>
        <v>202</v>
      </c>
      <c r="T3102" s="23">
        <f t="shared" si="768"/>
        <v>40</v>
      </c>
      <c r="U3102" t="str">
        <f t="shared" si="769"/>
        <v>PA_Alleg_2019g~Gen-commissioner scott ward 3 (vote for 1)</v>
      </c>
      <c r="AF3102" s="22" t="str">
        <f t="shared" si="761"/>
        <v/>
      </c>
      <c r="AG3102" s="89"/>
      <c r="AH3102" s="274"/>
      <c r="AI3102" s="279"/>
      <c r="AJ3102" s="280"/>
      <c r="AK3102" s="92"/>
      <c r="AL3102" s="23"/>
      <c r="AU3102" s="1"/>
    </row>
    <row r="3103" spans="1:47">
      <c r="A3103" t="str">
        <f t="shared" si="762"/>
        <v>PA_Alleg_2019g~Gen-commissioner scott ward 3 (vote for 1)</v>
      </c>
      <c r="B3103" s="55" t="s">
        <v>1528</v>
      </c>
      <c r="C3103">
        <v>657</v>
      </c>
      <c r="D3103" s="55" t="s">
        <v>626</v>
      </c>
      <c r="E3103" s="55" t="s">
        <v>627</v>
      </c>
      <c r="F3103" t="s">
        <v>1294</v>
      </c>
      <c r="G3103" s="62">
        <v>202</v>
      </c>
      <c r="H3103">
        <v>45.5</v>
      </c>
      <c r="I3103">
        <v>1253</v>
      </c>
      <c r="J3103">
        <v>0</v>
      </c>
      <c r="K3103">
        <v>2</v>
      </c>
      <c r="L3103">
        <v>2</v>
      </c>
      <c r="M3103">
        <v>0</v>
      </c>
      <c r="N3103" s="23">
        <v>0</v>
      </c>
      <c r="O3103">
        <f t="shared" si="763"/>
        <v>2</v>
      </c>
      <c r="P3103" s="57">
        <f t="shared" si="764"/>
        <v>1</v>
      </c>
      <c r="Q3103" s="267">
        <f t="shared" si="765"/>
        <v>202</v>
      </c>
      <c r="R3103" s="23" t="str">
        <f t="shared" si="766"/>
        <v/>
      </c>
      <c r="S3103" s="23">
        <f t="shared" si="767"/>
        <v>202</v>
      </c>
      <c r="T3103" s="23" t="str">
        <f t="shared" si="768"/>
        <v/>
      </c>
      <c r="U3103" t="str">
        <f t="shared" si="769"/>
        <v/>
      </c>
      <c r="AF3103" s="22" t="str">
        <f t="shared" si="761"/>
        <v/>
      </c>
      <c r="AG3103" s="89"/>
      <c r="AH3103" s="274"/>
      <c r="AI3103" s="279"/>
      <c r="AJ3103" s="280"/>
      <c r="AK3103" s="92"/>
      <c r="AL3103" s="23"/>
      <c r="AU3103" s="1"/>
    </row>
    <row r="3104" spans="1:47">
      <c r="A3104" t="str">
        <f t="shared" si="762"/>
        <v>PA_Alleg_2019g~Gen-commissioner scott ward 3 (vote for 1)</v>
      </c>
      <c r="B3104" s="55" t="s">
        <v>1528</v>
      </c>
      <c r="C3104">
        <v>659</v>
      </c>
      <c r="D3104" s="55" t="s">
        <v>626</v>
      </c>
      <c r="E3104" s="55" t="s">
        <v>15</v>
      </c>
      <c r="G3104" s="62">
        <v>0</v>
      </c>
      <c r="H3104">
        <v>0</v>
      </c>
      <c r="I3104">
        <v>1253</v>
      </c>
      <c r="J3104">
        <v>0</v>
      </c>
      <c r="K3104">
        <v>2</v>
      </c>
      <c r="L3104">
        <v>2</v>
      </c>
      <c r="M3104">
        <v>0</v>
      </c>
      <c r="N3104" s="23">
        <v>0</v>
      </c>
      <c r="O3104">
        <f t="shared" si="763"/>
        <v>-2</v>
      </c>
      <c r="P3104" s="57">
        <f t="shared" si="764"/>
        <v>1</v>
      </c>
      <c r="Q3104" s="267">
        <f t="shared" si="765"/>
        <v>0</v>
      </c>
      <c r="R3104" s="23">
        <f t="shared" si="766"/>
        <v>1</v>
      </c>
      <c r="S3104" s="23">
        <f t="shared" si="767"/>
        <v>0</v>
      </c>
      <c r="T3104" s="23" t="str">
        <f t="shared" si="768"/>
        <v/>
      </c>
      <c r="U3104" t="str">
        <f t="shared" si="769"/>
        <v/>
      </c>
      <c r="AF3104" s="22" t="str">
        <f t="shared" si="761"/>
        <v/>
      </c>
      <c r="AG3104" s="89"/>
      <c r="AH3104" s="274"/>
      <c r="AI3104" s="279"/>
      <c r="AJ3104" s="280"/>
      <c r="AK3104" s="92"/>
      <c r="AL3104" s="23"/>
      <c r="AU3104" s="1"/>
    </row>
    <row r="3105" spans="1:47">
      <c r="A3105" t="str">
        <f t="shared" si="762"/>
        <v>PA_Alleg_2019g~Gen-commissioner scott ward 5 (vote for 1)</v>
      </c>
      <c r="B3105" s="55" t="s">
        <v>1528</v>
      </c>
      <c r="C3105">
        <v>660</v>
      </c>
      <c r="D3105" s="55" t="s">
        <v>628</v>
      </c>
      <c r="E3105" s="55" t="s">
        <v>629</v>
      </c>
      <c r="F3105" t="s">
        <v>1396</v>
      </c>
      <c r="G3105" s="62">
        <v>363</v>
      </c>
      <c r="H3105">
        <v>99.18</v>
      </c>
      <c r="I3105">
        <v>1363</v>
      </c>
      <c r="J3105">
        <v>0</v>
      </c>
      <c r="K3105">
        <v>2</v>
      </c>
      <c r="L3105">
        <v>2</v>
      </c>
      <c r="M3105">
        <v>0</v>
      </c>
      <c r="N3105" s="23">
        <v>0</v>
      </c>
      <c r="O3105">
        <f t="shared" si="763"/>
        <v>1</v>
      </c>
      <c r="P3105" s="57">
        <f t="shared" si="764"/>
        <v>1</v>
      </c>
      <c r="Q3105" s="267">
        <f t="shared" si="765"/>
        <v>366</v>
      </c>
      <c r="R3105" s="23">
        <f t="shared" si="766"/>
        <v>363</v>
      </c>
      <c r="S3105" s="23">
        <f t="shared" si="767"/>
        <v>0</v>
      </c>
      <c r="T3105" s="23" t="str">
        <f t="shared" si="768"/>
        <v/>
      </c>
      <c r="U3105" t="str">
        <f t="shared" si="769"/>
        <v>PA_Alleg_2019g~Gen-commissioner scott ward 5 (vote for 1)</v>
      </c>
      <c r="AF3105" s="22" t="str">
        <f t="shared" si="761"/>
        <v/>
      </c>
      <c r="AG3105" s="89"/>
      <c r="AH3105" s="274"/>
      <c r="AI3105" s="279"/>
      <c r="AJ3105" s="280"/>
      <c r="AK3105" s="92"/>
      <c r="AL3105" s="23"/>
      <c r="AU3105" s="1"/>
    </row>
    <row r="3106" spans="1:47">
      <c r="A3106" t="str">
        <f t="shared" si="762"/>
        <v>PA_Alleg_2019g~Gen-commissioner scott ward 5 (vote for 1)</v>
      </c>
      <c r="B3106" s="55" t="s">
        <v>1528</v>
      </c>
      <c r="C3106">
        <v>661</v>
      </c>
      <c r="D3106" s="55" t="s">
        <v>628</v>
      </c>
      <c r="E3106" s="55" t="s">
        <v>15</v>
      </c>
      <c r="G3106" s="62">
        <v>3</v>
      </c>
      <c r="H3106">
        <v>0.82</v>
      </c>
      <c r="I3106">
        <v>1363</v>
      </c>
      <c r="J3106">
        <v>0</v>
      </c>
      <c r="K3106">
        <v>2</v>
      </c>
      <c r="L3106">
        <v>2</v>
      </c>
      <c r="M3106">
        <v>0</v>
      </c>
      <c r="N3106" s="23">
        <v>0</v>
      </c>
      <c r="O3106">
        <f t="shared" si="763"/>
        <v>-1</v>
      </c>
      <c r="P3106" s="57">
        <f t="shared" si="764"/>
        <v>1</v>
      </c>
      <c r="Q3106" s="267">
        <f t="shared" si="765"/>
        <v>3</v>
      </c>
      <c r="R3106" s="23">
        <f t="shared" si="766"/>
        <v>1</v>
      </c>
      <c r="S3106" s="23">
        <f t="shared" si="767"/>
        <v>0</v>
      </c>
      <c r="T3106" s="23" t="str">
        <f t="shared" si="768"/>
        <v/>
      </c>
      <c r="U3106" t="str">
        <f t="shared" si="769"/>
        <v/>
      </c>
      <c r="AF3106" s="22" t="str">
        <f t="shared" si="761"/>
        <v/>
      </c>
      <c r="AG3106" s="89"/>
      <c r="AH3106" s="274"/>
      <c r="AI3106" s="279"/>
      <c r="AJ3106" s="280"/>
      <c r="AK3106" s="92"/>
      <c r="AL3106" s="23"/>
      <c r="AU3106" s="1"/>
    </row>
    <row r="3107" spans="1:47">
      <c r="A3107" t="str">
        <f t="shared" si="762"/>
        <v>PA_Alleg_2019g~Gen-commissioner scott ward 7 (vote for 1)</v>
      </c>
      <c r="B3107" s="55" t="s">
        <v>1528</v>
      </c>
      <c r="C3107">
        <v>662</v>
      </c>
      <c r="D3107" s="55" t="s">
        <v>630</v>
      </c>
      <c r="E3107" s="55" t="s">
        <v>631</v>
      </c>
      <c r="F3107" t="s">
        <v>1396</v>
      </c>
      <c r="G3107" s="62">
        <v>466</v>
      </c>
      <c r="H3107">
        <v>98.31</v>
      </c>
      <c r="I3107">
        <v>1545</v>
      </c>
      <c r="J3107">
        <v>0</v>
      </c>
      <c r="K3107">
        <v>2</v>
      </c>
      <c r="L3107">
        <v>2</v>
      </c>
      <c r="M3107">
        <v>0</v>
      </c>
      <c r="N3107" s="23">
        <v>0</v>
      </c>
      <c r="O3107">
        <f t="shared" si="763"/>
        <v>1</v>
      </c>
      <c r="P3107" s="57">
        <f t="shared" si="764"/>
        <v>1</v>
      </c>
      <c r="Q3107" s="267">
        <f t="shared" si="765"/>
        <v>474</v>
      </c>
      <c r="R3107" s="23">
        <f t="shared" si="766"/>
        <v>466</v>
      </c>
      <c r="S3107" s="23">
        <f t="shared" si="767"/>
        <v>0</v>
      </c>
      <c r="T3107" s="23" t="str">
        <f t="shared" si="768"/>
        <v/>
      </c>
      <c r="U3107" t="str">
        <f t="shared" si="769"/>
        <v>PA_Alleg_2019g~Gen-commissioner scott ward 7 (vote for 1)</v>
      </c>
      <c r="AF3107" s="22" t="str">
        <f t="shared" si="761"/>
        <v/>
      </c>
      <c r="AG3107" s="89"/>
      <c r="AH3107" s="274"/>
      <c r="AI3107" s="279"/>
      <c r="AJ3107" s="280"/>
      <c r="AK3107" s="92"/>
      <c r="AL3107" s="23"/>
      <c r="AU3107" s="1"/>
    </row>
    <row r="3108" spans="1:47">
      <c r="A3108" t="str">
        <f t="shared" si="762"/>
        <v>PA_Alleg_2019g~Gen-commissioner scott ward 7 (vote for 1)</v>
      </c>
      <c r="B3108" s="55" t="s">
        <v>1528</v>
      </c>
      <c r="C3108">
        <v>663</v>
      </c>
      <c r="D3108" s="55" t="s">
        <v>630</v>
      </c>
      <c r="E3108" s="55" t="s">
        <v>15</v>
      </c>
      <c r="G3108" s="62">
        <v>8</v>
      </c>
      <c r="H3108">
        <v>1.69</v>
      </c>
      <c r="I3108">
        <v>1545</v>
      </c>
      <c r="J3108">
        <v>0</v>
      </c>
      <c r="K3108">
        <v>2</v>
      </c>
      <c r="L3108">
        <v>2</v>
      </c>
      <c r="M3108">
        <v>0</v>
      </c>
      <c r="N3108" s="23">
        <v>0</v>
      </c>
      <c r="O3108">
        <f t="shared" si="763"/>
        <v>-1</v>
      </c>
      <c r="P3108" s="57">
        <f t="shared" si="764"/>
        <v>1</v>
      </c>
      <c r="Q3108" s="267">
        <f t="shared" si="765"/>
        <v>8</v>
      </c>
      <c r="R3108" s="23">
        <f t="shared" si="766"/>
        <v>1</v>
      </c>
      <c r="S3108" s="23">
        <f t="shared" si="767"/>
        <v>0</v>
      </c>
      <c r="T3108" s="23" t="str">
        <f t="shared" si="768"/>
        <v/>
      </c>
      <c r="U3108" t="str">
        <f t="shared" si="769"/>
        <v/>
      </c>
      <c r="AF3108" s="22" t="str">
        <f t="shared" si="761"/>
        <v/>
      </c>
      <c r="AG3108" s="89"/>
      <c r="AH3108" s="274"/>
      <c r="AI3108" s="279"/>
      <c r="AJ3108" s="280"/>
      <c r="AK3108" s="92"/>
      <c r="AL3108" s="23"/>
      <c r="AU3108" s="1"/>
    </row>
    <row r="3109" spans="1:47">
      <c r="A3109" t="str">
        <f t="shared" si="762"/>
        <v>PA_Alleg_2019g~Gen-commissioner scott ward 9 (vote for 1)</v>
      </c>
      <c r="B3109" s="55" t="s">
        <v>1528</v>
      </c>
      <c r="C3109">
        <v>664</v>
      </c>
      <c r="D3109" s="55" t="s">
        <v>632</v>
      </c>
      <c r="E3109" s="55" t="s">
        <v>634</v>
      </c>
      <c r="F3109" t="s">
        <v>1294</v>
      </c>
      <c r="G3109" s="62">
        <v>133</v>
      </c>
      <c r="H3109">
        <v>96.38</v>
      </c>
      <c r="I3109">
        <v>630</v>
      </c>
      <c r="J3109">
        <v>0</v>
      </c>
      <c r="K3109">
        <v>2</v>
      </c>
      <c r="L3109">
        <v>2</v>
      </c>
      <c r="M3109">
        <v>0</v>
      </c>
      <c r="N3109" s="23">
        <v>0</v>
      </c>
      <c r="O3109">
        <f t="shared" si="763"/>
        <v>1</v>
      </c>
      <c r="P3109" s="57">
        <f t="shared" si="764"/>
        <v>1</v>
      </c>
      <c r="Q3109" s="267">
        <f t="shared" si="765"/>
        <v>138</v>
      </c>
      <c r="R3109" s="23">
        <f t="shared" si="766"/>
        <v>133</v>
      </c>
      <c r="S3109" s="23">
        <f t="shared" si="767"/>
        <v>0</v>
      </c>
      <c r="T3109" s="23" t="str">
        <f t="shared" si="768"/>
        <v/>
      </c>
      <c r="U3109" t="str">
        <f t="shared" si="769"/>
        <v>PA_Alleg_2019g~Gen-commissioner scott ward 9 (vote for 1)</v>
      </c>
      <c r="AF3109" s="22" t="str">
        <f t="shared" si="761"/>
        <v/>
      </c>
      <c r="AG3109" s="89"/>
      <c r="AH3109" s="274"/>
      <c r="AI3109" s="279"/>
      <c r="AJ3109" s="280"/>
      <c r="AK3109" s="92"/>
      <c r="AL3109" s="23"/>
      <c r="AU3109" s="1"/>
    </row>
    <row r="3110" spans="1:47">
      <c r="A3110" t="str">
        <f t="shared" si="762"/>
        <v>PA_Alleg_2019g~Gen-commissioner scott ward 9 (vote for 1)</v>
      </c>
      <c r="B3110" s="55" t="s">
        <v>1528</v>
      </c>
      <c r="C3110">
        <v>665</v>
      </c>
      <c r="D3110" s="55" t="s">
        <v>632</v>
      </c>
      <c r="E3110" s="55" t="s">
        <v>15</v>
      </c>
      <c r="G3110" s="62">
        <v>5</v>
      </c>
      <c r="H3110">
        <v>3.62</v>
      </c>
      <c r="I3110">
        <v>630</v>
      </c>
      <c r="J3110">
        <v>0</v>
      </c>
      <c r="K3110">
        <v>2</v>
      </c>
      <c r="L3110">
        <v>2</v>
      </c>
      <c r="M3110">
        <v>0</v>
      </c>
      <c r="N3110" s="23">
        <v>0</v>
      </c>
      <c r="O3110">
        <f t="shared" si="763"/>
        <v>-1</v>
      </c>
      <c r="P3110" s="57">
        <f t="shared" si="764"/>
        <v>1</v>
      </c>
      <c r="Q3110" s="267">
        <f t="shared" si="765"/>
        <v>5</v>
      </c>
      <c r="R3110" s="23">
        <f t="shared" si="766"/>
        <v>1</v>
      </c>
      <c r="S3110" s="23">
        <f t="shared" si="767"/>
        <v>0</v>
      </c>
      <c r="T3110" s="23" t="str">
        <f t="shared" si="768"/>
        <v/>
      </c>
      <c r="U3110" t="str">
        <f t="shared" si="769"/>
        <v/>
      </c>
      <c r="AF3110" s="22" t="str">
        <f t="shared" si="761"/>
        <v/>
      </c>
      <c r="AG3110" s="89"/>
      <c r="AH3110" s="274"/>
      <c r="AI3110" s="279"/>
      <c r="AJ3110" s="280"/>
      <c r="AK3110" s="92"/>
      <c r="AL3110" s="23"/>
      <c r="AO3110" s="356"/>
      <c r="AP3110" s="356"/>
      <c r="AQ3110" s="394"/>
      <c r="AR3110" s="394"/>
      <c r="AS3110" s="394"/>
      <c r="AU3110" s="1"/>
    </row>
    <row r="3111" spans="1:47">
      <c r="A3111" t="str">
        <f t="shared" si="762"/>
        <v>PA_Alleg_2019g~Gen-commissioner shaler ward 1 (vote for 1)</v>
      </c>
      <c r="B3111" s="55" t="s">
        <v>1528</v>
      </c>
      <c r="C3111">
        <v>666</v>
      </c>
      <c r="D3111" s="55" t="s">
        <v>635</v>
      </c>
      <c r="E3111" s="55" t="s">
        <v>636</v>
      </c>
      <c r="F3111" t="s">
        <v>1294</v>
      </c>
      <c r="G3111" s="62">
        <v>512</v>
      </c>
      <c r="H3111">
        <v>53.56</v>
      </c>
      <c r="I3111">
        <v>2875</v>
      </c>
      <c r="J3111">
        <v>0</v>
      </c>
      <c r="K3111">
        <v>5</v>
      </c>
      <c r="L3111">
        <v>5</v>
      </c>
      <c r="M3111">
        <v>0</v>
      </c>
      <c r="N3111" s="23">
        <v>0</v>
      </c>
      <c r="O3111">
        <f t="shared" si="763"/>
        <v>1</v>
      </c>
      <c r="P3111" s="57">
        <f t="shared" si="764"/>
        <v>1</v>
      </c>
      <c r="Q3111" s="267">
        <f t="shared" si="765"/>
        <v>956</v>
      </c>
      <c r="R3111" s="23">
        <f t="shared" si="766"/>
        <v>512</v>
      </c>
      <c r="S3111" s="23">
        <f t="shared" si="767"/>
        <v>442</v>
      </c>
      <c r="T3111" s="23">
        <f t="shared" si="768"/>
        <v>70</v>
      </c>
      <c r="U3111" t="str">
        <f t="shared" si="769"/>
        <v>PA_Alleg_2019g~Gen-commissioner shaler ward 1 (vote for 1)</v>
      </c>
      <c r="AF3111" s="22" t="str">
        <f t="shared" si="761"/>
        <v/>
      </c>
      <c r="AG3111" s="89"/>
      <c r="AH3111" s="274"/>
      <c r="AI3111" s="279"/>
      <c r="AJ3111" s="280"/>
      <c r="AK3111" s="92"/>
      <c r="AL3111" s="23"/>
      <c r="AU3111" s="1"/>
    </row>
    <row r="3112" spans="1:47">
      <c r="A3112" t="str">
        <f t="shared" si="762"/>
        <v>PA_Alleg_2019g~Gen-commissioner shaler ward 1 (vote for 1)</v>
      </c>
      <c r="B3112" s="55" t="s">
        <v>1528</v>
      </c>
      <c r="C3112">
        <v>667</v>
      </c>
      <c r="D3112" s="55" t="s">
        <v>635</v>
      </c>
      <c r="E3112" s="55" t="s">
        <v>637</v>
      </c>
      <c r="F3112" t="s">
        <v>1296</v>
      </c>
      <c r="G3112" s="62">
        <v>442</v>
      </c>
      <c r="H3112">
        <v>46.23</v>
      </c>
      <c r="I3112">
        <v>2875</v>
      </c>
      <c r="J3112">
        <v>0</v>
      </c>
      <c r="K3112">
        <v>5</v>
      </c>
      <c r="L3112">
        <v>5</v>
      </c>
      <c r="M3112">
        <v>0</v>
      </c>
      <c r="N3112" s="23">
        <v>0</v>
      </c>
      <c r="O3112">
        <f t="shared" si="763"/>
        <v>2</v>
      </c>
      <c r="P3112" s="57">
        <f t="shared" si="764"/>
        <v>1</v>
      </c>
      <c r="Q3112" s="267">
        <f t="shared" si="765"/>
        <v>444</v>
      </c>
      <c r="R3112" s="23" t="str">
        <f t="shared" si="766"/>
        <v/>
      </c>
      <c r="S3112" s="23">
        <f t="shared" si="767"/>
        <v>442</v>
      </c>
      <c r="T3112" s="23" t="str">
        <f t="shared" si="768"/>
        <v/>
      </c>
      <c r="U3112" t="str">
        <f t="shared" si="769"/>
        <v/>
      </c>
      <c r="AG3112" s="89"/>
      <c r="AH3112" s="274"/>
      <c r="AI3112" s="279"/>
      <c r="AJ3112" s="280"/>
      <c r="AK3112" s="92"/>
      <c r="AL3112" s="23"/>
      <c r="AU3112" s="1"/>
    </row>
    <row r="3113" spans="1:47">
      <c r="A3113" t="str">
        <f t="shared" si="762"/>
        <v>PA_Alleg_2019g~Gen-commissioner shaler ward 1 (vote for 1)</v>
      </c>
      <c r="B3113" s="55" t="s">
        <v>1528</v>
      </c>
      <c r="C3113">
        <v>668</v>
      </c>
      <c r="D3113" s="55" t="s">
        <v>635</v>
      </c>
      <c r="E3113" s="55" t="s">
        <v>15</v>
      </c>
      <c r="G3113" s="62">
        <v>2</v>
      </c>
      <c r="H3113">
        <v>0.21</v>
      </c>
      <c r="I3113">
        <v>2875</v>
      </c>
      <c r="J3113">
        <v>0</v>
      </c>
      <c r="K3113">
        <v>5</v>
      </c>
      <c r="L3113">
        <v>5</v>
      </c>
      <c r="M3113">
        <v>0</v>
      </c>
      <c r="N3113" s="23">
        <v>0</v>
      </c>
      <c r="O3113">
        <f t="shared" si="763"/>
        <v>-2</v>
      </c>
      <c r="P3113" s="57">
        <f t="shared" si="764"/>
        <v>1</v>
      </c>
      <c r="Q3113" s="267">
        <f t="shared" si="765"/>
        <v>2</v>
      </c>
      <c r="R3113" s="23">
        <f t="shared" si="766"/>
        <v>1</v>
      </c>
      <c r="S3113" s="23">
        <f t="shared" si="767"/>
        <v>0</v>
      </c>
      <c r="T3113" s="23" t="str">
        <f t="shared" si="768"/>
        <v/>
      </c>
      <c r="U3113" t="str">
        <f t="shared" si="769"/>
        <v/>
      </c>
      <c r="AG3113" s="89"/>
      <c r="AH3113" s="274"/>
      <c r="AI3113" s="279"/>
      <c r="AJ3113" s="280"/>
      <c r="AK3113" s="92"/>
      <c r="AL3113" s="23"/>
      <c r="AU3113" s="1"/>
    </row>
    <row r="3114" spans="1:47">
      <c r="A3114" t="str">
        <f t="shared" si="762"/>
        <v>PA_Alleg_2019g~Gen-commissioner shaler ward 2 (vote for 1)</v>
      </c>
      <c r="B3114" s="55" t="s">
        <v>1528</v>
      </c>
      <c r="C3114">
        <v>686</v>
      </c>
      <c r="D3114" s="55" t="s">
        <v>649</v>
      </c>
      <c r="E3114" s="55" t="s">
        <v>1169</v>
      </c>
      <c r="F3114" t="s">
        <v>1396</v>
      </c>
      <c r="G3114" s="62">
        <v>974</v>
      </c>
      <c r="H3114">
        <v>99.08</v>
      </c>
      <c r="I3114">
        <v>3540</v>
      </c>
      <c r="J3114">
        <v>0</v>
      </c>
      <c r="K3114">
        <v>5</v>
      </c>
      <c r="L3114">
        <v>5</v>
      </c>
      <c r="M3114">
        <v>0</v>
      </c>
      <c r="N3114" s="23">
        <v>0</v>
      </c>
      <c r="O3114">
        <f t="shared" si="763"/>
        <v>1</v>
      </c>
      <c r="P3114" s="57">
        <f t="shared" si="764"/>
        <v>1</v>
      </c>
      <c r="Q3114" s="267">
        <f t="shared" si="765"/>
        <v>983</v>
      </c>
      <c r="R3114" s="23">
        <f t="shared" si="766"/>
        <v>974</v>
      </c>
      <c r="S3114" s="23">
        <f t="shared" si="767"/>
        <v>0</v>
      </c>
      <c r="T3114" s="23" t="str">
        <f t="shared" si="768"/>
        <v/>
      </c>
      <c r="U3114" t="str">
        <f t="shared" si="769"/>
        <v>PA_Alleg_2019g~Gen-commissioner shaler ward 2 (vote for 1)</v>
      </c>
      <c r="AG3114" s="89"/>
      <c r="AH3114" s="274"/>
      <c r="AI3114" s="279"/>
      <c r="AJ3114" s="280"/>
      <c r="AK3114" s="92"/>
      <c r="AL3114" s="23"/>
      <c r="AU3114" s="1"/>
    </row>
    <row r="3115" spans="1:47">
      <c r="A3115" t="str">
        <f t="shared" si="762"/>
        <v>PA_Alleg_2019g~Gen-commissioner shaler ward 2 (vote for 1)</v>
      </c>
      <c r="B3115" s="55" t="s">
        <v>1528</v>
      </c>
      <c r="C3115">
        <v>687</v>
      </c>
      <c r="D3115" s="55" t="s">
        <v>649</v>
      </c>
      <c r="E3115" s="55" t="s">
        <v>15</v>
      </c>
      <c r="G3115" s="62">
        <v>9</v>
      </c>
      <c r="H3115">
        <v>0.92</v>
      </c>
      <c r="I3115">
        <v>3540</v>
      </c>
      <c r="J3115">
        <v>0</v>
      </c>
      <c r="K3115">
        <v>5</v>
      </c>
      <c r="L3115">
        <v>5</v>
      </c>
      <c r="M3115">
        <v>0</v>
      </c>
      <c r="N3115" s="23">
        <v>0</v>
      </c>
      <c r="O3115">
        <f t="shared" si="763"/>
        <v>-1</v>
      </c>
      <c r="P3115" s="57">
        <f t="shared" si="764"/>
        <v>1</v>
      </c>
      <c r="Q3115" s="267">
        <f t="shared" si="765"/>
        <v>9</v>
      </c>
      <c r="R3115" s="23">
        <f t="shared" si="766"/>
        <v>1</v>
      </c>
      <c r="S3115" s="23">
        <f t="shared" si="767"/>
        <v>0</v>
      </c>
      <c r="T3115" s="23" t="str">
        <f t="shared" si="768"/>
        <v/>
      </c>
      <c r="U3115" t="str">
        <f t="shared" si="769"/>
        <v/>
      </c>
      <c r="AG3115" s="89"/>
      <c r="AH3115" s="274"/>
      <c r="AI3115" s="279"/>
      <c r="AJ3115" s="280"/>
      <c r="AK3115" s="92"/>
      <c r="AL3115" s="23"/>
      <c r="AU3115" s="1"/>
    </row>
    <row r="3116" spans="1:47">
      <c r="A3116" t="str">
        <f t="shared" si="762"/>
        <v>PA_Alleg_2019g~Gen-commissioner shaler ward 3 (vote for 1)</v>
      </c>
      <c r="B3116" s="55" t="s">
        <v>1528</v>
      </c>
      <c r="C3116">
        <v>669</v>
      </c>
      <c r="D3116" s="55" t="s">
        <v>638</v>
      </c>
      <c r="E3116" s="55" t="s">
        <v>1162</v>
      </c>
      <c r="F3116" t="s">
        <v>1396</v>
      </c>
      <c r="G3116" s="62">
        <v>923</v>
      </c>
      <c r="H3116">
        <v>99.57</v>
      </c>
      <c r="I3116">
        <v>3205</v>
      </c>
      <c r="J3116">
        <v>0</v>
      </c>
      <c r="K3116">
        <v>5</v>
      </c>
      <c r="L3116">
        <v>5</v>
      </c>
      <c r="M3116">
        <v>0</v>
      </c>
      <c r="N3116" s="23">
        <v>0</v>
      </c>
      <c r="O3116">
        <f t="shared" si="763"/>
        <v>1</v>
      </c>
      <c r="P3116" s="57">
        <f t="shared" si="764"/>
        <v>1</v>
      </c>
      <c r="Q3116" s="267">
        <f t="shared" si="765"/>
        <v>927</v>
      </c>
      <c r="R3116" s="23">
        <f t="shared" si="766"/>
        <v>923</v>
      </c>
      <c r="S3116" s="23">
        <f t="shared" si="767"/>
        <v>0</v>
      </c>
      <c r="T3116" s="23" t="str">
        <f t="shared" si="768"/>
        <v/>
      </c>
      <c r="U3116" t="str">
        <f t="shared" si="769"/>
        <v>PA_Alleg_2019g~Gen-commissioner shaler ward 3 (vote for 1)</v>
      </c>
      <c r="AG3116" s="89"/>
      <c r="AH3116" s="274"/>
      <c r="AI3116" s="279"/>
      <c r="AJ3116" s="280"/>
      <c r="AK3116" s="92"/>
      <c r="AL3116" s="23"/>
      <c r="AU3116" s="1"/>
    </row>
    <row r="3117" spans="1:47">
      <c r="A3117" t="str">
        <f t="shared" si="762"/>
        <v>PA_Alleg_2019g~Gen-commissioner shaler ward 3 (vote for 1)</v>
      </c>
      <c r="B3117" s="55" t="s">
        <v>1528</v>
      </c>
      <c r="C3117">
        <v>670</v>
      </c>
      <c r="D3117" s="55" t="s">
        <v>638</v>
      </c>
      <c r="E3117" s="55" t="s">
        <v>15</v>
      </c>
      <c r="G3117" s="62">
        <v>4</v>
      </c>
      <c r="H3117">
        <v>0.43</v>
      </c>
      <c r="I3117">
        <v>3205</v>
      </c>
      <c r="J3117">
        <v>0</v>
      </c>
      <c r="K3117">
        <v>5</v>
      </c>
      <c r="L3117">
        <v>5</v>
      </c>
      <c r="M3117">
        <v>0</v>
      </c>
      <c r="N3117" s="23">
        <v>0</v>
      </c>
      <c r="O3117">
        <f t="shared" si="763"/>
        <v>-1</v>
      </c>
      <c r="P3117" s="57">
        <f t="shared" si="764"/>
        <v>1</v>
      </c>
      <c r="Q3117" s="267">
        <f t="shared" si="765"/>
        <v>4</v>
      </c>
      <c r="R3117" s="23">
        <f t="shared" si="766"/>
        <v>1</v>
      </c>
      <c r="S3117" s="23">
        <f t="shared" si="767"/>
        <v>0</v>
      </c>
      <c r="T3117" s="23" t="str">
        <f t="shared" si="768"/>
        <v/>
      </c>
      <c r="U3117" t="str">
        <f t="shared" si="769"/>
        <v/>
      </c>
      <c r="AG3117" s="89"/>
      <c r="AH3117" s="274"/>
      <c r="AI3117" s="279"/>
      <c r="AJ3117" s="280"/>
      <c r="AK3117" s="92"/>
      <c r="AL3117" s="23"/>
      <c r="AU3117" s="1"/>
    </row>
    <row r="3118" spans="1:47">
      <c r="A3118" t="str">
        <f t="shared" si="762"/>
        <v>PA_Alleg_2019g~Gen-commissioner shaler ward 5 (vote for 1)</v>
      </c>
      <c r="B3118" s="55" t="s">
        <v>1528</v>
      </c>
      <c r="C3118">
        <v>671</v>
      </c>
      <c r="D3118" s="55" t="s">
        <v>639</v>
      </c>
      <c r="E3118" s="55" t="s">
        <v>1163</v>
      </c>
      <c r="F3118" t="s">
        <v>1396</v>
      </c>
      <c r="G3118" s="62">
        <v>812</v>
      </c>
      <c r="H3118">
        <v>99.02</v>
      </c>
      <c r="I3118">
        <v>3077</v>
      </c>
      <c r="J3118">
        <v>0</v>
      </c>
      <c r="K3118">
        <v>5</v>
      </c>
      <c r="L3118">
        <v>5</v>
      </c>
      <c r="M3118">
        <v>0</v>
      </c>
      <c r="N3118" s="23">
        <v>0</v>
      </c>
      <c r="O3118">
        <f t="shared" si="763"/>
        <v>1</v>
      </c>
      <c r="P3118" s="57">
        <f t="shared" si="764"/>
        <v>1</v>
      </c>
      <c r="Q3118" s="267">
        <f t="shared" si="765"/>
        <v>820</v>
      </c>
      <c r="R3118" s="23">
        <f t="shared" si="766"/>
        <v>812</v>
      </c>
      <c r="S3118" s="23">
        <f t="shared" si="767"/>
        <v>0</v>
      </c>
      <c r="T3118" s="23" t="str">
        <f t="shared" si="768"/>
        <v/>
      </c>
      <c r="U3118" t="str">
        <f t="shared" si="769"/>
        <v>PA_Alleg_2019g~Gen-commissioner shaler ward 5 (vote for 1)</v>
      </c>
      <c r="AG3118" s="89"/>
      <c r="AH3118" s="274"/>
      <c r="AI3118" s="279"/>
      <c r="AJ3118" s="280"/>
      <c r="AK3118" s="92"/>
      <c r="AL3118" s="23"/>
      <c r="AU3118" s="1"/>
    </row>
    <row r="3119" spans="1:47">
      <c r="A3119" t="str">
        <f t="shared" si="762"/>
        <v>PA_Alleg_2019g~Gen-commissioner shaler ward 5 (vote for 1)</v>
      </c>
      <c r="B3119" s="55" t="s">
        <v>1528</v>
      </c>
      <c r="C3119">
        <v>672</v>
      </c>
      <c r="D3119" s="55" t="s">
        <v>639</v>
      </c>
      <c r="E3119" s="55" t="s">
        <v>15</v>
      </c>
      <c r="G3119" s="62">
        <v>8</v>
      </c>
      <c r="H3119">
        <v>0.98</v>
      </c>
      <c r="I3119">
        <v>3077</v>
      </c>
      <c r="J3119">
        <v>0</v>
      </c>
      <c r="K3119">
        <v>5</v>
      </c>
      <c r="L3119">
        <v>5</v>
      </c>
      <c r="M3119">
        <v>0</v>
      </c>
      <c r="N3119" s="23">
        <v>0</v>
      </c>
      <c r="O3119">
        <f t="shared" si="763"/>
        <v>-1</v>
      </c>
      <c r="P3119" s="57">
        <f t="shared" si="764"/>
        <v>1</v>
      </c>
      <c r="Q3119" s="267">
        <f t="shared" si="765"/>
        <v>8</v>
      </c>
      <c r="R3119" s="23">
        <f t="shared" si="766"/>
        <v>1</v>
      </c>
      <c r="S3119" s="23">
        <f t="shared" si="767"/>
        <v>0</v>
      </c>
      <c r="T3119" s="23" t="str">
        <f t="shared" si="768"/>
        <v/>
      </c>
      <c r="U3119" t="str">
        <f t="shared" si="769"/>
        <v/>
      </c>
      <c r="AG3119" s="89"/>
      <c r="AH3119" s="274"/>
      <c r="AI3119" s="279"/>
      <c r="AJ3119" s="280"/>
      <c r="AK3119" s="92"/>
      <c r="AL3119" s="23"/>
      <c r="AU3119" s="1"/>
    </row>
    <row r="3120" spans="1:47">
      <c r="A3120" t="str">
        <f t="shared" si="762"/>
        <v>PA_Alleg_2019g~Gen-commissioner shaler ward 7 (vote for 1)</v>
      </c>
      <c r="B3120" s="55" t="s">
        <v>1528</v>
      </c>
      <c r="C3120">
        <v>673</v>
      </c>
      <c r="D3120" s="55" t="s">
        <v>640</v>
      </c>
      <c r="E3120" s="55" t="s">
        <v>1165</v>
      </c>
      <c r="F3120" t="s">
        <v>1396</v>
      </c>
      <c r="G3120" s="62">
        <v>740</v>
      </c>
      <c r="H3120">
        <v>98.14</v>
      </c>
      <c r="I3120">
        <v>3110</v>
      </c>
      <c r="J3120">
        <v>0</v>
      </c>
      <c r="K3120">
        <v>4</v>
      </c>
      <c r="L3120">
        <v>4</v>
      </c>
      <c r="M3120">
        <v>0</v>
      </c>
      <c r="N3120" s="23">
        <v>0</v>
      </c>
      <c r="O3120">
        <f t="shared" si="763"/>
        <v>1</v>
      </c>
      <c r="P3120" s="57">
        <f t="shared" si="764"/>
        <v>1</v>
      </c>
      <c r="Q3120" s="267">
        <f t="shared" si="765"/>
        <v>754</v>
      </c>
      <c r="R3120" s="23">
        <f t="shared" si="766"/>
        <v>740</v>
      </c>
      <c r="S3120" s="23">
        <f t="shared" si="767"/>
        <v>0</v>
      </c>
      <c r="T3120" s="23" t="str">
        <f t="shared" si="768"/>
        <v/>
      </c>
      <c r="U3120" t="str">
        <f t="shared" si="769"/>
        <v>PA_Alleg_2019g~Gen-commissioner shaler ward 7 (vote for 1)</v>
      </c>
      <c r="AG3120" s="89"/>
      <c r="AH3120" s="274"/>
      <c r="AI3120" s="279"/>
      <c r="AJ3120" s="280"/>
      <c r="AK3120" s="92"/>
      <c r="AL3120" s="23"/>
      <c r="AU3120" s="1"/>
    </row>
    <row r="3121" spans="1:47">
      <c r="A3121" t="str">
        <f t="shared" si="762"/>
        <v>PA_Alleg_2019g~Gen-commissioner shaler ward 7 (vote for 1)</v>
      </c>
      <c r="B3121" s="55" t="s">
        <v>1528</v>
      </c>
      <c r="C3121">
        <v>674</v>
      </c>
      <c r="D3121" s="55" t="s">
        <v>640</v>
      </c>
      <c r="E3121" s="55" t="s">
        <v>15</v>
      </c>
      <c r="G3121" s="62">
        <v>14</v>
      </c>
      <c r="H3121">
        <v>1.86</v>
      </c>
      <c r="I3121">
        <v>3110</v>
      </c>
      <c r="J3121">
        <v>0</v>
      </c>
      <c r="K3121">
        <v>4</v>
      </c>
      <c r="L3121">
        <v>4</v>
      </c>
      <c r="M3121">
        <v>0</v>
      </c>
      <c r="N3121" s="23">
        <v>0</v>
      </c>
      <c r="O3121">
        <f t="shared" si="763"/>
        <v>-1</v>
      </c>
      <c r="P3121" s="57">
        <f t="shared" si="764"/>
        <v>1</v>
      </c>
      <c r="Q3121" s="267">
        <f t="shared" si="765"/>
        <v>14</v>
      </c>
      <c r="R3121" s="23">
        <f t="shared" si="766"/>
        <v>1</v>
      </c>
      <c r="S3121" s="23">
        <f t="shared" si="767"/>
        <v>0</v>
      </c>
      <c r="T3121" s="23" t="str">
        <f t="shared" si="768"/>
        <v/>
      </c>
      <c r="U3121" t="str">
        <f t="shared" si="769"/>
        <v/>
      </c>
      <c r="AG3121" s="89"/>
      <c r="AH3121" s="274"/>
      <c r="AI3121" s="279"/>
      <c r="AJ3121" s="280"/>
      <c r="AK3121" s="92"/>
      <c r="AL3121" s="23"/>
      <c r="AU3121" s="1"/>
    </row>
    <row r="3122" spans="1:47">
      <c r="A3122" t="str">
        <f t="shared" si="762"/>
        <v>PA_Alleg_2019g~Gen-commissioner south fayette (vote for 4)</v>
      </c>
      <c r="B3122" s="55" t="s">
        <v>1528</v>
      </c>
      <c r="C3122">
        <v>551</v>
      </c>
      <c r="D3122" s="55" t="s">
        <v>539</v>
      </c>
      <c r="E3122" s="55" t="s">
        <v>542</v>
      </c>
      <c r="F3122" t="s">
        <v>1396</v>
      </c>
      <c r="G3122" s="62">
        <v>2035</v>
      </c>
      <c r="H3122">
        <v>19.93</v>
      </c>
      <c r="I3122">
        <v>11733</v>
      </c>
      <c r="J3122">
        <v>0</v>
      </c>
      <c r="K3122">
        <v>12</v>
      </c>
      <c r="L3122">
        <v>12</v>
      </c>
      <c r="M3122">
        <v>0</v>
      </c>
      <c r="N3122" s="23">
        <v>0</v>
      </c>
      <c r="O3122">
        <f t="shared" si="763"/>
        <v>1</v>
      </c>
      <c r="P3122" s="57">
        <f t="shared" si="764"/>
        <v>4</v>
      </c>
      <c r="Q3122" s="267">
        <f t="shared" si="765"/>
        <v>2552.5</v>
      </c>
      <c r="R3122" s="23">
        <f t="shared" si="766"/>
        <v>1447</v>
      </c>
      <c r="S3122" s="23">
        <f t="shared" si="767"/>
        <v>1382</v>
      </c>
      <c r="T3122" s="23">
        <f t="shared" si="768"/>
        <v>65</v>
      </c>
      <c r="U3122" t="str">
        <f t="shared" si="769"/>
        <v>PA_Alleg_2019g~Gen-commissioner south fayette (vote for 4)</v>
      </c>
      <c r="AG3122" s="89"/>
      <c r="AH3122" s="274"/>
      <c r="AI3122" s="279"/>
      <c r="AJ3122" s="280"/>
      <c r="AK3122" s="92"/>
      <c r="AL3122" s="23"/>
      <c r="AU3122" s="1"/>
    </row>
    <row r="3123" spans="1:47">
      <c r="A3123" t="str">
        <f t="shared" si="762"/>
        <v>PA_Alleg_2019g~Gen-commissioner south fayette (vote for 4)</v>
      </c>
      <c r="B3123" s="55" t="s">
        <v>1528</v>
      </c>
      <c r="C3123">
        <v>552</v>
      </c>
      <c r="D3123" s="55" t="s">
        <v>539</v>
      </c>
      <c r="E3123" s="55" t="s">
        <v>541</v>
      </c>
      <c r="F3123" t="s">
        <v>1294</v>
      </c>
      <c r="G3123" s="62">
        <v>1466</v>
      </c>
      <c r="H3123">
        <v>14.36</v>
      </c>
      <c r="I3123">
        <v>11733</v>
      </c>
      <c r="J3123">
        <v>0</v>
      </c>
      <c r="K3123">
        <v>12</v>
      </c>
      <c r="L3123">
        <v>12</v>
      </c>
      <c r="M3123">
        <v>0</v>
      </c>
      <c r="N3123" s="23">
        <v>0</v>
      </c>
      <c r="O3123">
        <f t="shared" si="763"/>
        <v>2</v>
      </c>
      <c r="P3123" s="57">
        <f t="shared" si="764"/>
        <v>4</v>
      </c>
      <c r="Q3123" s="267">
        <f t="shared" si="765"/>
        <v>8175</v>
      </c>
      <c r="R3123" s="23">
        <f t="shared" si="766"/>
        <v>1447</v>
      </c>
      <c r="S3123" s="23">
        <f t="shared" si="767"/>
        <v>1382</v>
      </c>
      <c r="T3123" s="23" t="str">
        <f t="shared" si="768"/>
        <v/>
      </c>
      <c r="U3123" t="str">
        <f t="shared" si="769"/>
        <v/>
      </c>
      <c r="AG3123" s="89"/>
      <c r="AH3123" s="274"/>
      <c r="AI3123" s="279"/>
      <c r="AJ3123" s="280"/>
      <c r="AK3123" s="92"/>
      <c r="AL3123" s="23"/>
      <c r="AU3123" s="1"/>
    </row>
    <row r="3124" spans="1:47">
      <c r="A3124" t="str">
        <f t="shared" si="762"/>
        <v>PA_Alleg_2019g~Gen-commissioner south fayette (vote for 4)</v>
      </c>
      <c r="B3124" s="55" t="s">
        <v>1528</v>
      </c>
      <c r="C3124">
        <v>555</v>
      </c>
      <c r="D3124" s="55" t="s">
        <v>539</v>
      </c>
      <c r="E3124" s="55" t="s">
        <v>1141</v>
      </c>
      <c r="F3124" t="s">
        <v>1296</v>
      </c>
      <c r="G3124" s="62">
        <v>1458</v>
      </c>
      <c r="H3124">
        <v>14.28</v>
      </c>
      <c r="I3124">
        <v>11733</v>
      </c>
      <c r="J3124">
        <v>0</v>
      </c>
      <c r="K3124">
        <v>12</v>
      </c>
      <c r="L3124">
        <v>12</v>
      </c>
      <c r="M3124">
        <v>0</v>
      </c>
      <c r="N3124" s="23">
        <v>0</v>
      </c>
      <c r="O3124">
        <f t="shared" si="763"/>
        <v>3</v>
      </c>
      <c r="P3124" s="57">
        <f t="shared" si="764"/>
        <v>4</v>
      </c>
      <c r="Q3124" s="267">
        <f t="shared" si="765"/>
        <v>6709</v>
      </c>
      <c r="R3124" s="23">
        <f t="shared" si="766"/>
        <v>1447</v>
      </c>
      <c r="S3124" s="23">
        <f t="shared" si="767"/>
        <v>1382</v>
      </c>
      <c r="T3124" s="23" t="str">
        <f t="shared" si="768"/>
        <v/>
      </c>
      <c r="U3124" t="str">
        <f t="shared" si="769"/>
        <v/>
      </c>
      <c r="AG3124" s="89"/>
      <c r="AH3124" s="274"/>
      <c r="AI3124" s="279"/>
      <c r="AJ3124" s="280"/>
      <c r="AK3124" s="92"/>
      <c r="AL3124" s="23"/>
      <c r="AU3124" s="1"/>
    </row>
    <row r="3125" spans="1:47">
      <c r="A3125" t="str">
        <f t="shared" si="762"/>
        <v>PA_Alleg_2019g~Gen-commissioner south fayette (vote for 4)</v>
      </c>
      <c r="B3125" s="55" t="s">
        <v>1528</v>
      </c>
      <c r="C3125">
        <v>557</v>
      </c>
      <c r="D3125" s="55" t="s">
        <v>539</v>
      </c>
      <c r="E3125" s="55" t="s">
        <v>1450</v>
      </c>
      <c r="F3125" t="s">
        <v>1296</v>
      </c>
      <c r="G3125" s="62">
        <v>1447</v>
      </c>
      <c r="H3125">
        <v>14.17</v>
      </c>
      <c r="I3125">
        <v>11733</v>
      </c>
      <c r="J3125">
        <v>0</v>
      </c>
      <c r="K3125">
        <v>12</v>
      </c>
      <c r="L3125">
        <v>12</v>
      </c>
      <c r="M3125">
        <v>0</v>
      </c>
      <c r="N3125" s="23">
        <v>0</v>
      </c>
      <c r="O3125">
        <f t="shared" si="763"/>
        <v>4</v>
      </c>
      <c r="P3125" s="57">
        <f t="shared" si="764"/>
        <v>4</v>
      </c>
      <c r="Q3125" s="267">
        <f t="shared" si="765"/>
        <v>5251</v>
      </c>
      <c r="R3125" s="23">
        <f t="shared" si="766"/>
        <v>1447</v>
      </c>
      <c r="S3125" s="23">
        <f t="shared" si="767"/>
        <v>1382</v>
      </c>
      <c r="T3125" s="23" t="str">
        <f t="shared" si="768"/>
        <v/>
      </c>
      <c r="U3125" t="str">
        <f t="shared" si="769"/>
        <v/>
      </c>
      <c r="AG3125" s="89"/>
      <c r="AH3125" s="274"/>
      <c r="AI3125" s="279"/>
      <c r="AJ3125" s="280"/>
      <c r="AK3125" s="92"/>
      <c r="AL3125" s="23"/>
      <c r="AU3125" s="1"/>
    </row>
    <row r="3126" spans="1:47">
      <c r="A3126" t="str">
        <f t="shared" si="762"/>
        <v>PA_Alleg_2019g~Gen-commissioner south fayette (vote for 4)</v>
      </c>
      <c r="B3126" s="55" t="s">
        <v>1528</v>
      </c>
      <c r="C3126">
        <v>554</v>
      </c>
      <c r="D3126" s="55" t="s">
        <v>539</v>
      </c>
      <c r="E3126" s="55" t="s">
        <v>543</v>
      </c>
      <c r="F3126" t="s">
        <v>1294</v>
      </c>
      <c r="G3126" s="62">
        <v>1382</v>
      </c>
      <c r="H3126">
        <v>13.54</v>
      </c>
      <c r="I3126">
        <v>11733</v>
      </c>
      <c r="J3126">
        <v>0</v>
      </c>
      <c r="K3126">
        <v>12</v>
      </c>
      <c r="L3126">
        <v>12</v>
      </c>
      <c r="M3126">
        <v>0</v>
      </c>
      <c r="N3126" s="23">
        <v>0</v>
      </c>
      <c r="O3126">
        <f t="shared" si="763"/>
        <v>5</v>
      </c>
      <c r="P3126" s="57">
        <f t="shared" si="764"/>
        <v>4</v>
      </c>
      <c r="Q3126" s="267">
        <f t="shared" si="765"/>
        <v>3804</v>
      </c>
      <c r="R3126" s="23" t="str">
        <f t="shared" si="766"/>
        <v/>
      </c>
      <c r="S3126" s="23">
        <f t="shared" si="767"/>
        <v>1382</v>
      </c>
      <c r="T3126" s="23" t="str">
        <f t="shared" si="768"/>
        <v/>
      </c>
      <c r="U3126" t="str">
        <f t="shared" si="769"/>
        <v/>
      </c>
      <c r="AG3126" s="89"/>
      <c r="AH3126" s="274"/>
      <c r="AI3126" s="279"/>
      <c r="AJ3126" s="280"/>
      <c r="AK3126" s="92"/>
      <c r="AL3126" s="23"/>
      <c r="AU3126" s="1"/>
    </row>
    <row r="3127" spans="1:47">
      <c r="A3127" t="str">
        <f t="shared" si="762"/>
        <v>PA_Alleg_2019g~Gen-commissioner south fayette (vote for 4)</v>
      </c>
      <c r="B3127" s="55" t="s">
        <v>1528</v>
      </c>
      <c r="C3127">
        <v>553</v>
      </c>
      <c r="D3127" s="55" t="s">
        <v>539</v>
      </c>
      <c r="E3127" s="55" t="s">
        <v>540</v>
      </c>
      <c r="F3127" t="s">
        <v>1294</v>
      </c>
      <c r="G3127" s="62">
        <v>1214</v>
      </c>
      <c r="H3127">
        <v>11.89</v>
      </c>
      <c r="I3127">
        <v>11733</v>
      </c>
      <c r="J3127">
        <v>0</v>
      </c>
      <c r="K3127">
        <v>12</v>
      </c>
      <c r="L3127">
        <v>12</v>
      </c>
      <c r="M3127">
        <v>0</v>
      </c>
      <c r="N3127" s="23">
        <v>0</v>
      </c>
      <c r="O3127">
        <f t="shared" si="763"/>
        <v>6</v>
      </c>
      <c r="P3127" s="57">
        <f t="shared" si="764"/>
        <v>4</v>
      </c>
      <c r="Q3127" s="267">
        <f t="shared" si="765"/>
        <v>2422</v>
      </c>
      <c r="R3127" s="23" t="str">
        <f t="shared" si="766"/>
        <v/>
      </c>
      <c r="S3127" s="23">
        <f t="shared" si="767"/>
        <v>1214</v>
      </c>
      <c r="T3127" s="23" t="str">
        <f t="shared" si="768"/>
        <v/>
      </c>
      <c r="U3127" t="str">
        <f t="shared" si="769"/>
        <v/>
      </c>
      <c r="AG3127" s="89"/>
      <c r="AH3127" s="274"/>
      <c r="AI3127" s="279"/>
      <c r="AJ3127" s="280"/>
      <c r="AK3127" s="92"/>
      <c r="AL3127" s="23"/>
      <c r="AU3127" s="1"/>
    </row>
    <row r="3128" spans="1:47">
      <c r="A3128" t="str">
        <f t="shared" ref="A3128:A3191" si="770">CONCATENATE(B3128,"~Gen-",LOWER(D3128))</f>
        <v>PA_Alleg_2019g~Gen-commissioner south fayette (vote for 4)</v>
      </c>
      <c r="B3128" s="55" t="s">
        <v>1528</v>
      </c>
      <c r="C3128">
        <v>556</v>
      </c>
      <c r="D3128" s="55" t="s">
        <v>539</v>
      </c>
      <c r="E3128" s="55" t="s">
        <v>1140</v>
      </c>
      <c r="F3128" t="s">
        <v>1296</v>
      </c>
      <c r="G3128" s="62">
        <v>1191</v>
      </c>
      <c r="H3128">
        <v>11.67</v>
      </c>
      <c r="I3128">
        <v>11733</v>
      </c>
      <c r="J3128">
        <v>0</v>
      </c>
      <c r="K3128">
        <v>12</v>
      </c>
      <c r="L3128">
        <v>12</v>
      </c>
      <c r="M3128">
        <v>0</v>
      </c>
      <c r="N3128" s="23">
        <v>0</v>
      </c>
      <c r="O3128">
        <f t="shared" si="763"/>
        <v>7</v>
      </c>
      <c r="P3128" s="57">
        <f t="shared" si="764"/>
        <v>4</v>
      </c>
      <c r="Q3128" s="267">
        <f t="shared" si="765"/>
        <v>1208</v>
      </c>
      <c r="R3128" s="23" t="str">
        <f t="shared" si="766"/>
        <v/>
      </c>
      <c r="S3128" s="23">
        <f t="shared" si="767"/>
        <v>1191</v>
      </c>
      <c r="T3128" s="23" t="str">
        <f t="shared" si="768"/>
        <v/>
      </c>
      <c r="U3128" t="str">
        <f t="shared" si="769"/>
        <v/>
      </c>
      <c r="AG3128" s="89"/>
      <c r="AH3128" s="274"/>
      <c r="AI3128" s="279"/>
      <c r="AJ3128" s="280"/>
      <c r="AK3128" s="92"/>
      <c r="AL3128" s="23"/>
      <c r="AU3128" s="1"/>
    </row>
    <row r="3129" spans="1:47">
      <c r="A3129" t="str">
        <f t="shared" si="770"/>
        <v>PA_Alleg_2019g~Gen-commissioner south fayette (vote for 4)</v>
      </c>
      <c r="B3129" s="55" t="s">
        <v>1528</v>
      </c>
      <c r="C3129">
        <v>558</v>
      </c>
      <c r="D3129" s="55" t="s">
        <v>539</v>
      </c>
      <c r="E3129" s="55" t="s">
        <v>15</v>
      </c>
      <c r="G3129" s="62">
        <v>17</v>
      </c>
      <c r="H3129">
        <v>0.17</v>
      </c>
      <c r="I3129">
        <v>11733</v>
      </c>
      <c r="J3129">
        <v>0</v>
      </c>
      <c r="K3129">
        <v>12</v>
      </c>
      <c r="L3129">
        <v>12</v>
      </c>
      <c r="M3129">
        <v>0</v>
      </c>
      <c r="N3129" s="23">
        <v>0</v>
      </c>
      <c r="O3129">
        <f t="shared" si="763"/>
        <v>-7</v>
      </c>
      <c r="P3129" s="57">
        <f t="shared" si="764"/>
        <v>4</v>
      </c>
      <c r="Q3129" s="267">
        <f t="shared" si="765"/>
        <v>17</v>
      </c>
      <c r="R3129" s="23">
        <f t="shared" si="766"/>
        <v>1</v>
      </c>
      <c r="S3129" s="23">
        <f t="shared" si="767"/>
        <v>0</v>
      </c>
      <c r="T3129" s="23" t="str">
        <f t="shared" si="768"/>
        <v/>
      </c>
      <c r="U3129" t="str">
        <f t="shared" si="769"/>
        <v/>
      </c>
      <c r="AG3129" s="89"/>
      <c r="AH3129" s="274"/>
      <c r="AI3129" s="279"/>
      <c r="AJ3129" s="280"/>
      <c r="AK3129" s="92"/>
      <c r="AL3129" s="23"/>
      <c r="AU3129" s="1"/>
    </row>
    <row r="3130" spans="1:47">
      <c r="A3130" t="str">
        <f t="shared" si="770"/>
        <v>PA_Alleg_2019g~Gen-commissioner south versailles (vote for 1)</v>
      </c>
      <c r="B3130" s="55" t="s">
        <v>1528</v>
      </c>
      <c r="C3130">
        <v>592</v>
      </c>
      <c r="D3130" s="55" t="s">
        <v>1457</v>
      </c>
      <c r="E3130" s="55" t="s">
        <v>15</v>
      </c>
      <c r="G3130" s="62">
        <v>21</v>
      </c>
      <c r="H3130">
        <v>100</v>
      </c>
      <c r="I3130">
        <v>212</v>
      </c>
      <c r="J3130">
        <v>0</v>
      </c>
      <c r="K3130">
        <v>1</v>
      </c>
      <c r="L3130">
        <v>1</v>
      </c>
      <c r="M3130">
        <v>0</v>
      </c>
      <c r="N3130" s="23">
        <v>0</v>
      </c>
      <c r="O3130">
        <f t="shared" si="763"/>
        <v>0</v>
      </c>
      <c r="P3130" s="57">
        <f t="shared" si="764"/>
        <v>1</v>
      </c>
      <c r="Q3130" s="267">
        <f t="shared" si="765"/>
        <v>21</v>
      </c>
      <c r="R3130" s="23">
        <f t="shared" si="766"/>
        <v>1</v>
      </c>
      <c r="S3130" s="23">
        <f t="shared" si="767"/>
        <v>0</v>
      </c>
      <c r="T3130" s="23" t="str">
        <f t="shared" si="768"/>
        <v/>
      </c>
      <c r="U3130" t="str">
        <f t="shared" si="769"/>
        <v>PA_Alleg_2019g~Gen-commissioner south versailles (vote for 1)</v>
      </c>
      <c r="AG3130" s="89"/>
      <c r="AH3130" s="274"/>
      <c r="AI3130" s="279"/>
      <c r="AJ3130" s="280"/>
      <c r="AK3130" s="92"/>
      <c r="AL3130" s="23"/>
      <c r="AU3130" s="1"/>
    </row>
    <row r="3131" spans="1:47">
      <c r="A3131" t="str">
        <f t="shared" si="770"/>
        <v>PA_Alleg_2019g~Gen-commissioner south versailles (vote for 2)</v>
      </c>
      <c r="B3131" s="55" t="s">
        <v>1528</v>
      </c>
      <c r="C3131">
        <v>590</v>
      </c>
      <c r="D3131" s="55" t="s">
        <v>569</v>
      </c>
      <c r="E3131" s="55" t="s">
        <v>15</v>
      </c>
      <c r="G3131" s="62">
        <v>52</v>
      </c>
      <c r="H3131">
        <v>100</v>
      </c>
      <c r="I3131">
        <v>212</v>
      </c>
      <c r="J3131">
        <v>0</v>
      </c>
      <c r="K3131">
        <v>1</v>
      </c>
      <c r="L3131">
        <v>1</v>
      </c>
      <c r="M3131">
        <v>0</v>
      </c>
      <c r="N3131" s="23">
        <v>0</v>
      </c>
      <c r="O3131">
        <f t="shared" si="763"/>
        <v>0</v>
      </c>
      <c r="P3131" s="57">
        <f t="shared" si="764"/>
        <v>2</v>
      </c>
      <c r="Q3131" s="267">
        <f t="shared" si="765"/>
        <v>52</v>
      </c>
      <c r="R3131" s="23">
        <f t="shared" si="766"/>
        <v>1</v>
      </c>
      <c r="S3131" s="23">
        <f t="shared" si="767"/>
        <v>0</v>
      </c>
      <c r="T3131" s="23" t="str">
        <f t="shared" si="768"/>
        <v/>
      </c>
      <c r="U3131" t="str">
        <f t="shared" si="769"/>
        <v>PA_Alleg_2019g~Gen-commissioner south versailles (vote for 2)</v>
      </c>
      <c r="AG3131" s="89"/>
      <c r="AH3131" s="274"/>
      <c r="AI3131" s="279"/>
      <c r="AJ3131" s="280"/>
      <c r="AK3131" s="92"/>
      <c r="AL3131" s="23"/>
      <c r="AU3131" s="1"/>
    </row>
    <row r="3132" spans="1:47">
      <c r="A3132" t="str">
        <f t="shared" si="770"/>
        <v>PA_Alleg_2019g~Gen-commissioner springdale township (vote for 3)</v>
      </c>
      <c r="B3132" s="55" t="s">
        <v>1528</v>
      </c>
      <c r="C3132">
        <v>569</v>
      </c>
      <c r="D3132" s="55" t="s">
        <v>547</v>
      </c>
      <c r="E3132" s="55" t="s">
        <v>551</v>
      </c>
      <c r="F3132" t="s">
        <v>1396</v>
      </c>
      <c r="G3132" s="62">
        <v>310</v>
      </c>
      <c r="H3132">
        <v>28.62</v>
      </c>
      <c r="I3132">
        <v>1188</v>
      </c>
      <c r="J3132">
        <v>0</v>
      </c>
      <c r="K3132">
        <v>1</v>
      </c>
      <c r="L3132">
        <v>1</v>
      </c>
      <c r="M3132">
        <v>0</v>
      </c>
      <c r="N3132" s="23">
        <v>0</v>
      </c>
      <c r="O3132">
        <f t="shared" si="763"/>
        <v>1</v>
      </c>
      <c r="P3132" s="57">
        <f t="shared" si="764"/>
        <v>3</v>
      </c>
      <c r="Q3132" s="267">
        <f t="shared" si="765"/>
        <v>361</v>
      </c>
      <c r="R3132" s="23">
        <f t="shared" si="766"/>
        <v>265</v>
      </c>
      <c r="S3132" s="23">
        <f t="shared" si="767"/>
        <v>218</v>
      </c>
      <c r="T3132" s="23">
        <f t="shared" si="768"/>
        <v>47</v>
      </c>
      <c r="U3132" t="str">
        <f t="shared" si="769"/>
        <v>PA_Alleg_2019g~Gen-commissioner springdale township (vote for 3)</v>
      </c>
      <c r="AG3132" s="89"/>
      <c r="AH3132" s="274"/>
      <c r="AI3132" s="279"/>
      <c r="AJ3132" s="280"/>
      <c r="AK3132" s="92"/>
      <c r="AL3132" s="23"/>
      <c r="AU3132" s="1"/>
    </row>
    <row r="3133" spans="1:47">
      <c r="A3133" t="str">
        <f t="shared" si="770"/>
        <v>PA_Alleg_2019g~Gen-commissioner springdale township (vote for 3)</v>
      </c>
      <c r="B3133" s="55" t="s">
        <v>1528</v>
      </c>
      <c r="C3133">
        <v>571</v>
      </c>
      <c r="D3133" s="55" t="s">
        <v>547</v>
      </c>
      <c r="E3133" s="55" t="s">
        <v>1452</v>
      </c>
      <c r="F3133" t="s">
        <v>1296</v>
      </c>
      <c r="G3133" s="62">
        <v>271</v>
      </c>
      <c r="H3133">
        <v>25.02</v>
      </c>
      <c r="I3133">
        <v>1188</v>
      </c>
      <c r="J3133">
        <v>0</v>
      </c>
      <c r="K3133">
        <v>1</v>
      </c>
      <c r="L3133">
        <v>1</v>
      </c>
      <c r="M3133">
        <v>0</v>
      </c>
      <c r="N3133" s="23">
        <v>0</v>
      </c>
      <c r="O3133">
        <f t="shared" si="763"/>
        <v>2</v>
      </c>
      <c r="P3133" s="57">
        <f t="shared" si="764"/>
        <v>3</v>
      </c>
      <c r="Q3133" s="267">
        <f t="shared" si="765"/>
        <v>773</v>
      </c>
      <c r="R3133" s="23">
        <f t="shared" si="766"/>
        <v>265</v>
      </c>
      <c r="S3133" s="23">
        <f t="shared" si="767"/>
        <v>218</v>
      </c>
      <c r="T3133" s="23" t="str">
        <f t="shared" si="768"/>
        <v/>
      </c>
      <c r="U3133" t="str">
        <f t="shared" si="769"/>
        <v/>
      </c>
      <c r="AG3133" s="89"/>
      <c r="AH3133" s="274"/>
      <c r="AI3133" s="279"/>
      <c r="AJ3133" s="280"/>
      <c r="AK3133" s="92"/>
      <c r="AL3133" s="23"/>
      <c r="AO3133" s="356"/>
      <c r="AP3133" s="356"/>
      <c r="AQ3133" s="394"/>
      <c r="AR3133" s="394"/>
      <c r="AS3133" s="394"/>
      <c r="AU3133" s="1"/>
    </row>
    <row r="3134" spans="1:47">
      <c r="A3134" t="str">
        <f t="shared" si="770"/>
        <v>PA_Alleg_2019g~Gen-commissioner springdale township (vote for 3)</v>
      </c>
      <c r="B3134" s="55" t="s">
        <v>1528</v>
      </c>
      <c r="C3134">
        <v>570</v>
      </c>
      <c r="D3134" s="55" t="s">
        <v>547</v>
      </c>
      <c r="E3134" s="55" t="s">
        <v>550</v>
      </c>
      <c r="F3134" t="s">
        <v>1396</v>
      </c>
      <c r="G3134" s="62">
        <v>265</v>
      </c>
      <c r="H3134">
        <v>24.47</v>
      </c>
      <c r="I3134">
        <v>1188</v>
      </c>
      <c r="J3134">
        <v>0</v>
      </c>
      <c r="K3134">
        <v>1</v>
      </c>
      <c r="L3134">
        <v>1</v>
      </c>
      <c r="M3134">
        <v>0</v>
      </c>
      <c r="N3134" s="23">
        <v>0</v>
      </c>
      <c r="O3134">
        <f t="shared" si="763"/>
        <v>3</v>
      </c>
      <c r="P3134" s="57">
        <f t="shared" si="764"/>
        <v>3</v>
      </c>
      <c r="Q3134" s="267">
        <f t="shared" si="765"/>
        <v>502</v>
      </c>
      <c r="R3134" s="23">
        <f t="shared" si="766"/>
        <v>265</v>
      </c>
      <c r="S3134" s="23">
        <f t="shared" si="767"/>
        <v>218</v>
      </c>
      <c r="T3134" s="23" t="str">
        <f t="shared" si="768"/>
        <v/>
      </c>
      <c r="U3134" t="str">
        <f t="shared" si="769"/>
        <v/>
      </c>
      <c r="AG3134" s="89"/>
      <c r="AH3134" s="274"/>
      <c r="AI3134" s="279"/>
      <c r="AJ3134" s="280"/>
      <c r="AK3134" s="92"/>
      <c r="AL3134" s="23"/>
      <c r="AO3134" s="356"/>
      <c r="AP3134" s="356"/>
      <c r="AQ3134" s="394"/>
      <c r="AR3134" s="394"/>
      <c r="AS3134" s="394"/>
      <c r="AU3134" s="1"/>
    </row>
    <row r="3135" spans="1:47">
      <c r="A3135" t="str">
        <f t="shared" si="770"/>
        <v>PA_Alleg_2019g~Gen-commissioner springdale township (vote for 3)</v>
      </c>
      <c r="B3135" s="55" t="s">
        <v>1528</v>
      </c>
      <c r="C3135">
        <v>568</v>
      </c>
      <c r="D3135" s="55" t="s">
        <v>547</v>
      </c>
      <c r="E3135" s="55" t="s">
        <v>549</v>
      </c>
      <c r="F3135" t="s">
        <v>1294</v>
      </c>
      <c r="G3135" s="62">
        <v>218</v>
      </c>
      <c r="H3135">
        <v>20.13</v>
      </c>
      <c r="I3135">
        <v>1188</v>
      </c>
      <c r="J3135">
        <v>0</v>
      </c>
      <c r="K3135">
        <v>1</v>
      </c>
      <c r="L3135">
        <v>1</v>
      </c>
      <c r="M3135">
        <v>0</v>
      </c>
      <c r="N3135" s="23">
        <v>0</v>
      </c>
      <c r="O3135">
        <f t="shared" si="763"/>
        <v>4</v>
      </c>
      <c r="P3135" s="57">
        <f t="shared" si="764"/>
        <v>3</v>
      </c>
      <c r="Q3135" s="267">
        <f t="shared" si="765"/>
        <v>237</v>
      </c>
      <c r="R3135" s="23" t="str">
        <f t="shared" si="766"/>
        <v/>
      </c>
      <c r="S3135" s="23">
        <f t="shared" si="767"/>
        <v>218</v>
      </c>
      <c r="T3135" s="23" t="str">
        <f t="shared" si="768"/>
        <v/>
      </c>
      <c r="U3135" t="str">
        <f t="shared" si="769"/>
        <v/>
      </c>
      <c r="AG3135" s="89"/>
      <c r="AH3135" s="274"/>
      <c r="AI3135" s="279"/>
      <c r="AJ3135" s="280"/>
      <c r="AK3135" s="92"/>
      <c r="AL3135" s="23"/>
      <c r="AO3135" s="356"/>
      <c r="AP3135" s="356"/>
      <c r="AQ3135" s="394"/>
      <c r="AR3135" s="394"/>
      <c r="AS3135" s="394"/>
      <c r="AU3135" s="1"/>
    </row>
    <row r="3136" spans="1:47">
      <c r="A3136" t="str">
        <f t="shared" si="770"/>
        <v>PA_Alleg_2019g~Gen-commissioner springdale township (vote for 3)</v>
      </c>
      <c r="B3136" s="55" t="s">
        <v>1528</v>
      </c>
      <c r="C3136">
        <v>572</v>
      </c>
      <c r="D3136" s="55" t="s">
        <v>547</v>
      </c>
      <c r="E3136" s="55" t="s">
        <v>15</v>
      </c>
      <c r="G3136" s="62">
        <v>19</v>
      </c>
      <c r="H3136">
        <v>1.75</v>
      </c>
      <c r="I3136">
        <v>1188</v>
      </c>
      <c r="J3136">
        <v>0</v>
      </c>
      <c r="K3136">
        <v>1</v>
      </c>
      <c r="L3136">
        <v>1</v>
      </c>
      <c r="M3136">
        <v>0</v>
      </c>
      <c r="N3136" s="23">
        <v>0</v>
      </c>
      <c r="O3136">
        <f t="shared" si="763"/>
        <v>-4</v>
      </c>
      <c r="P3136" s="57">
        <f t="shared" si="764"/>
        <v>3</v>
      </c>
      <c r="Q3136" s="267">
        <f t="shared" si="765"/>
        <v>19</v>
      </c>
      <c r="R3136" s="23">
        <f t="shared" si="766"/>
        <v>1</v>
      </c>
      <c r="S3136" s="23">
        <f t="shared" si="767"/>
        <v>0</v>
      </c>
      <c r="T3136" s="23" t="str">
        <f t="shared" si="768"/>
        <v/>
      </c>
      <c r="U3136" t="str">
        <f t="shared" si="769"/>
        <v/>
      </c>
      <c r="AG3136" s="89"/>
      <c r="AH3136" s="274"/>
      <c r="AI3136" s="279"/>
      <c r="AJ3136" s="280"/>
      <c r="AK3136" s="92"/>
      <c r="AL3136" s="23"/>
      <c r="AO3136" s="356"/>
      <c r="AP3136" s="356"/>
      <c r="AQ3136" s="394"/>
      <c r="AR3136" s="394"/>
      <c r="AS3136" s="394"/>
      <c r="AU3136" s="1"/>
    </row>
    <row r="3137" spans="1:47">
      <c r="A3137" t="str">
        <f t="shared" si="770"/>
        <v>PA_Alleg_2019g~Gen-commissioner stowe (vote for 3)</v>
      </c>
      <c r="B3137" s="55" t="s">
        <v>1528</v>
      </c>
      <c r="C3137">
        <v>573</v>
      </c>
      <c r="D3137" s="55" t="s">
        <v>552</v>
      </c>
      <c r="E3137" s="55" t="s">
        <v>557</v>
      </c>
      <c r="F3137" t="s">
        <v>1396</v>
      </c>
      <c r="G3137" s="62">
        <v>770</v>
      </c>
      <c r="H3137">
        <v>34.44</v>
      </c>
      <c r="I3137">
        <v>4393</v>
      </c>
      <c r="J3137">
        <v>0</v>
      </c>
      <c r="K3137">
        <v>11</v>
      </c>
      <c r="L3137">
        <v>11</v>
      </c>
      <c r="M3137">
        <v>0</v>
      </c>
      <c r="N3137" s="23">
        <v>0</v>
      </c>
      <c r="O3137">
        <f t="shared" si="763"/>
        <v>1</v>
      </c>
      <c r="P3137" s="57">
        <f t="shared" si="764"/>
        <v>3</v>
      </c>
      <c r="Q3137" s="267">
        <f t="shared" si="765"/>
        <v>770</v>
      </c>
      <c r="R3137" s="23">
        <f t="shared" si="766"/>
        <v>710</v>
      </c>
      <c r="S3137" s="23">
        <f t="shared" si="767"/>
        <v>0</v>
      </c>
      <c r="T3137" s="23" t="str">
        <f t="shared" si="768"/>
        <v/>
      </c>
      <c r="U3137" t="str">
        <f t="shared" si="769"/>
        <v>PA_Alleg_2019g~Gen-commissioner stowe (vote for 3)</v>
      </c>
      <c r="AG3137" s="89"/>
      <c r="AH3137" s="274"/>
      <c r="AI3137" s="279"/>
      <c r="AJ3137" s="280"/>
      <c r="AK3137" s="92"/>
      <c r="AL3137" s="23"/>
      <c r="AO3137" s="356"/>
      <c r="AP3137" s="356"/>
      <c r="AQ3137" s="394"/>
      <c r="AR3137" s="394"/>
      <c r="AS3137" s="394"/>
      <c r="AU3137" s="1"/>
    </row>
    <row r="3138" spans="1:47">
      <c r="A3138" t="str">
        <f t="shared" si="770"/>
        <v>PA_Alleg_2019g~Gen-commissioner stowe (vote for 3)</v>
      </c>
      <c r="B3138" s="55" t="s">
        <v>1528</v>
      </c>
      <c r="C3138">
        <v>574</v>
      </c>
      <c r="D3138" s="55" t="s">
        <v>552</v>
      </c>
      <c r="E3138" s="55" t="s">
        <v>556</v>
      </c>
      <c r="F3138" t="s">
        <v>1396</v>
      </c>
      <c r="G3138" s="62">
        <v>710</v>
      </c>
      <c r="H3138">
        <v>31.75</v>
      </c>
      <c r="I3138">
        <v>4393</v>
      </c>
      <c r="J3138">
        <v>0</v>
      </c>
      <c r="K3138">
        <v>11</v>
      </c>
      <c r="L3138">
        <v>11</v>
      </c>
      <c r="M3138">
        <v>0</v>
      </c>
      <c r="N3138" s="23">
        <v>0</v>
      </c>
      <c r="O3138">
        <f t="shared" ref="O3138:O3201" si="771">IF(OR(LOWER(LEFT(E3138,8))="write-in",LOWER(LEFT(E3138,8))="not qual"),IF(A3138=A3137,-ABS(O3137),0),IF(A3138=A3137,ABS(O3137)+1,1))</f>
        <v>2</v>
      </c>
      <c r="P3138" s="57">
        <f t="shared" ref="P3138:P3201" si="772">1*LEFT(RIGHT(A3138,2),1)</f>
        <v>3</v>
      </c>
      <c r="Q3138" s="267">
        <f t="shared" ref="Q3138:Q3201" si="773">IF(A3138&lt;&gt;A3139,G3138,IF(A3138=A3137,G3138+Q3139,MAX(G3138,(G3138+Q3139)/P3138)))</f>
        <v>1466</v>
      </c>
      <c r="R3138" s="23">
        <f t="shared" ref="R3138:R3201" si="774">IF(O3138&gt;P3138,"",IF(O3138=P3138,G3138,IF(A3138=A3139,R3139,IF(O3138&lt;=0,1,G3138))))</f>
        <v>710</v>
      </c>
      <c r="S3138" s="23">
        <f t="shared" ref="S3138:S3201" si="775">IF(AND(O3138&gt;P3138,LOWER(LEFT(E3138,8))&lt;&gt;"write-in",LOWER(LEFT(E3138,8))&lt;&gt;"not qual"),G3138,IF(A3138=A3139,S3139,0))</f>
        <v>0</v>
      </c>
      <c r="T3138" s="23" t="str">
        <f t="shared" ref="T3138:T3201" si="776">IF(OR(A3138=A3137,S3138=0),"",R3138-ABS(S3138))</f>
        <v/>
      </c>
      <c r="U3138" t="str">
        <f t="shared" ref="U3138:U3201" si="777">IF(A3138=A3137,"",A3138)</f>
        <v/>
      </c>
      <c r="AG3138" s="89"/>
      <c r="AH3138" s="274"/>
      <c r="AI3138" s="279"/>
      <c r="AJ3138" s="280"/>
      <c r="AK3138" s="92"/>
      <c r="AL3138" s="23"/>
      <c r="AU3138" s="1"/>
    </row>
    <row r="3139" spans="1:47">
      <c r="A3139" t="str">
        <f t="shared" si="770"/>
        <v>PA_Alleg_2019g~Gen-commissioner stowe (vote for 3)</v>
      </c>
      <c r="B3139" s="55" t="s">
        <v>1528</v>
      </c>
      <c r="C3139">
        <v>575</v>
      </c>
      <c r="D3139" s="55" t="s">
        <v>552</v>
      </c>
      <c r="E3139" s="55" t="s">
        <v>554</v>
      </c>
      <c r="F3139" t="s">
        <v>1396</v>
      </c>
      <c r="G3139" s="62">
        <v>710</v>
      </c>
      <c r="H3139">
        <v>31.75</v>
      </c>
      <c r="I3139">
        <v>4393</v>
      </c>
      <c r="J3139">
        <v>0</v>
      </c>
      <c r="K3139">
        <v>11</v>
      </c>
      <c r="L3139">
        <v>11</v>
      </c>
      <c r="M3139">
        <v>0</v>
      </c>
      <c r="N3139" s="23">
        <v>0</v>
      </c>
      <c r="O3139">
        <f t="shared" si="771"/>
        <v>3</v>
      </c>
      <c r="P3139" s="57">
        <f t="shared" si="772"/>
        <v>3</v>
      </c>
      <c r="Q3139" s="267">
        <f t="shared" si="773"/>
        <v>756</v>
      </c>
      <c r="R3139" s="23">
        <f t="shared" si="774"/>
        <v>710</v>
      </c>
      <c r="S3139" s="23">
        <f t="shared" si="775"/>
        <v>0</v>
      </c>
      <c r="T3139" s="23" t="str">
        <f t="shared" si="776"/>
        <v/>
      </c>
      <c r="U3139" t="str">
        <f t="shared" si="777"/>
        <v/>
      </c>
      <c r="AG3139" s="89"/>
      <c r="AH3139" s="274"/>
      <c r="AI3139" s="279"/>
      <c r="AJ3139" s="280"/>
      <c r="AK3139" s="92"/>
      <c r="AL3139" s="23"/>
      <c r="AU3139" s="1"/>
    </row>
    <row r="3140" spans="1:47">
      <c r="A3140" t="str">
        <f t="shared" si="770"/>
        <v>PA_Alleg_2019g~Gen-commissioner stowe (vote for 3)</v>
      </c>
      <c r="B3140" s="55" t="s">
        <v>1528</v>
      </c>
      <c r="C3140">
        <v>576</v>
      </c>
      <c r="D3140" s="55" t="s">
        <v>552</v>
      </c>
      <c r="E3140" s="55" t="s">
        <v>15</v>
      </c>
      <c r="G3140" s="62">
        <v>46</v>
      </c>
      <c r="H3140">
        <v>2.06</v>
      </c>
      <c r="I3140">
        <v>4393</v>
      </c>
      <c r="J3140">
        <v>0</v>
      </c>
      <c r="K3140">
        <v>11</v>
      </c>
      <c r="L3140">
        <v>11</v>
      </c>
      <c r="M3140">
        <v>0</v>
      </c>
      <c r="N3140" s="23">
        <v>0</v>
      </c>
      <c r="O3140">
        <f t="shared" si="771"/>
        <v>-3</v>
      </c>
      <c r="P3140" s="57">
        <f t="shared" si="772"/>
        <v>3</v>
      </c>
      <c r="Q3140" s="267">
        <f t="shared" si="773"/>
        <v>46</v>
      </c>
      <c r="R3140" s="23">
        <f t="shared" si="774"/>
        <v>1</v>
      </c>
      <c r="S3140" s="23">
        <f t="shared" si="775"/>
        <v>0</v>
      </c>
      <c r="T3140" s="23" t="str">
        <f t="shared" si="776"/>
        <v/>
      </c>
      <c r="U3140" t="str">
        <f t="shared" si="777"/>
        <v/>
      </c>
      <c r="AG3140" s="89"/>
      <c r="AH3140" s="274"/>
      <c r="AI3140" s="279"/>
      <c r="AJ3140" s="280"/>
      <c r="AK3140" s="92"/>
      <c r="AL3140" s="23"/>
      <c r="AU3140" s="1"/>
    </row>
    <row r="3141" spans="1:47">
      <c r="A3141" t="str">
        <f t="shared" si="770"/>
        <v>PA_Alleg_2019g~Gen-commissioner upper st clair ward 1 (vote for 1)</v>
      </c>
      <c r="B3141" s="55" t="s">
        <v>1528</v>
      </c>
      <c r="C3141">
        <v>675</v>
      </c>
      <c r="D3141" s="55" t="s">
        <v>641</v>
      </c>
      <c r="E3141" s="55" t="s">
        <v>1166</v>
      </c>
      <c r="F3141" t="s">
        <v>1296</v>
      </c>
      <c r="G3141" s="62">
        <v>768</v>
      </c>
      <c r="H3141">
        <v>97.22</v>
      </c>
      <c r="I3141">
        <v>3505</v>
      </c>
      <c r="J3141">
        <v>0</v>
      </c>
      <c r="K3141">
        <v>4</v>
      </c>
      <c r="L3141">
        <v>4</v>
      </c>
      <c r="M3141">
        <v>0</v>
      </c>
      <c r="N3141" s="23">
        <v>0</v>
      </c>
      <c r="O3141">
        <f t="shared" si="771"/>
        <v>1</v>
      </c>
      <c r="P3141" s="57">
        <f t="shared" si="772"/>
        <v>1</v>
      </c>
      <c r="Q3141" s="267">
        <f t="shared" si="773"/>
        <v>790</v>
      </c>
      <c r="R3141" s="23">
        <f t="shared" si="774"/>
        <v>768</v>
      </c>
      <c r="S3141" s="23">
        <f t="shared" si="775"/>
        <v>0</v>
      </c>
      <c r="T3141" s="23" t="str">
        <f t="shared" si="776"/>
        <v/>
      </c>
      <c r="U3141" t="str">
        <f t="shared" si="777"/>
        <v>PA_Alleg_2019g~Gen-commissioner upper st clair ward 1 (vote for 1)</v>
      </c>
      <c r="AG3141" s="89"/>
      <c r="AH3141" s="274"/>
      <c r="AI3141" s="279"/>
      <c r="AJ3141" s="280"/>
      <c r="AK3141" s="92"/>
      <c r="AL3141" s="23"/>
      <c r="AU3141" s="1"/>
    </row>
    <row r="3142" spans="1:47">
      <c r="A3142" t="str">
        <f t="shared" si="770"/>
        <v>PA_Alleg_2019g~Gen-commissioner upper st clair ward 1 (vote for 1)</v>
      </c>
      <c r="B3142" s="55" t="s">
        <v>1528</v>
      </c>
      <c r="C3142">
        <v>676</v>
      </c>
      <c r="D3142" s="55" t="s">
        <v>641</v>
      </c>
      <c r="E3142" s="55" t="s">
        <v>15</v>
      </c>
      <c r="G3142" s="62">
        <v>22</v>
      </c>
      <c r="H3142">
        <v>2.78</v>
      </c>
      <c r="I3142">
        <v>3505</v>
      </c>
      <c r="J3142">
        <v>0</v>
      </c>
      <c r="K3142">
        <v>4</v>
      </c>
      <c r="L3142">
        <v>4</v>
      </c>
      <c r="M3142">
        <v>0</v>
      </c>
      <c r="N3142" s="23">
        <v>0</v>
      </c>
      <c r="O3142">
        <f t="shared" si="771"/>
        <v>-1</v>
      </c>
      <c r="P3142" s="57">
        <f t="shared" si="772"/>
        <v>1</v>
      </c>
      <c r="Q3142" s="267">
        <f t="shared" si="773"/>
        <v>22</v>
      </c>
      <c r="R3142" s="23">
        <f t="shared" si="774"/>
        <v>1</v>
      </c>
      <c r="S3142" s="23">
        <f t="shared" si="775"/>
        <v>0</v>
      </c>
      <c r="T3142" s="23" t="str">
        <f t="shared" si="776"/>
        <v/>
      </c>
      <c r="U3142" t="str">
        <f t="shared" si="777"/>
        <v/>
      </c>
      <c r="AG3142" s="89"/>
      <c r="AH3142" s="274"/>
      <c r="AI3142" s="279"/>
      <c r="AJ3142" s="280"/>
      <c r="AK3142" s="92"/>
      <c r="AL3142" s="23"/>
      <c r="AU3142" s="1"/>
    </row>
    <row r="3143" spans="1:47">
      <c r="A3143" t="str">
        <f t="shared" si="770"/>
        <v>PA_Alleg_2019g~Gen-commissioner upper st clair ward 3 (vote for 1)</v>
      </c>
      <c r="B3143" s="55" t="s">
        <v>1528</v>
      </c>
      <c r="C3143">
        <v>678</v>
      </c>
      <c r="D3143" s="55" t="s">
        <v>642</v>
      </c>
      <c r="E3143" s="55" t="s">
        <v>1167</v>
      </c>
      <c r="F3143" t="s">
        <v>1296</v>
      </c>
      <c r="G3143" s="62">
        <v>595</v>
      </c>
      <c r="H3143">
        <v>52.94</v>
      </c>
      <c r="I3143">
        <v>3100</v>
      </c>
      <c r="J3143">
        <v>0</v>
      </c>
      <c r="K3143">
        <v>3</v>
      </c>
      <c r="L3143">
        <v>3</v>
      </c>
      <c r="M3143">
        <v>0</v>
      </c>
      <c r="N3143" s="23">
        <v>0</v>
      </c>
      <c r="O3143">
        <f t="shared" si="771"/>
        <v>1</v>
      </c>
      <c r="P3143" s="57">
        <f t="shared" si="772"/>
        <v>1</v>
      </c>
      <c r="Q3143" s="267">
        <f t="shared" si="773"/>
        <v>1124</v>
      </c>
      <c r="R3143" s="23">
        <f t="shared" si="774"/>
        <v>595</v>
      </c>
      <c r="S3143" s="23">
        <f t="shared" si="775"/>
        <v>529</v>
      </c>
      <c r="T3143" s="23">
        <f t="shared" si="776"/>
        <v>66</v>
      </c>
      <c r="U3143" t="str">
        <f t="shared" si="777"/>
        <v>PA_Alleg_2019g~Gen-commissioner upper st clair ward 3 (vote for 1)</v>
      </c>
      <c r="AG3143" s="89"/>
      <c r="AH3143" s="274"/>
      <c r="AI3143" s="279"/>
      <c r="AJ3143" s="280"/>
      <c r="AK3143" s="92"/>
      <c r="AL3143" s="23"/>
      <c r="AU3143" s="1"/>
    </row>
    <row r="3144" spans="1:47">
      <c r="A3144" t="str">
        <f t="shared" si="770"/>
        <v>PA_Alleg_2019g~Gen-commissioner upper st clair ward 3 (vote for 1)</v>
      </c>
      <c r="B3144" s="55" t="s">
        <v>1528</v>
      </c>
      <c r="C3144">
        <v>677</v>
      </c>
      <c r="D3144" s="55" t="s">
        <v>642</v>
      </c>
      <c r="E3144" s="55" t="s">
        <v>643</v>
      </c>
      <c r="F3144" t="s">
        <v>1294</v>
      </c>
      <c r="G3144" s="62">
        <v>529</v>
      </c>
      <c r="H3144">
        <v>47.06</v>
      </c>
      <c r="I3144">
        <v>3100</v>
      </c>
      <c r="J3144">
        <v>0</v>
      </c>
      <c r="K3144">
        <v>3</v>
      </c>
      <c r="L3144">
        <v>3</v>
      </c>
      <c r="M3144">
        <v>0</v>
      </c>
      <c r="N3144" s="23">
        <v>0</v>
      </c>
      <c r="O3144">
        <f t="shared" si="771"/>
        <v>2</v>
      </c>
      <c r="P3144" s="57">
        <f t="shared" si="772"/>
        <v>1</v>
      </c>
      <c r="Q3144" s="267">
        <f t="shared" si="773"/>
        <v>529</v>
      </c>
      <c r="R3144" s="23" t="str">
        <f t="shared" si="774"/>
        <v/>
      </c>
      <c r="S3144" s="23">
        <f t="shared" si="775"/>
        <v>529</v>
      </c>
      <c r="T3144" s="23" t="str">
        <f t="shared" si="776"/>
        <v/>
      </c>
      <c r="U3144" t="str">
        <f t="shared" si="777"/>
        <v/>
      </c>
      <c r="AG3144" s="89"/>
      <c r="AH3144" s="274"/>
      <c r="AI3144" s="279"/>
      <c r="AJ3144" s="280"/>
      <c r="AK3144" s="92"/>
      <c r="AL3144" s="23"/>
      <c r="AU3144" s="1"/>
    </row>
    <row r="3145" spans="1:47">
      <c r="A3145" t="str">
        <f t="shared" si="770"/>
        <v>PA_Alleg_2019g~Gen-commissioner upper st clair ward 3 (vote for 1)</v>
      </c>
      <c r="B3145" s="55" t="s">
        <v>1528</v>
      </c>
      <c r="C3145">
        <v>679</v>
      </c>
      <c r="D3145" s="55" t="s">
        <v>642</v>
      </c>
      <c r="E3145" s="55" t="s">
        <v>15</v>
      </c>
      <c r="G3145" s="62">
        <v>0</v>
      </c>
      <c r="H3145">
        <v>0</v>
      </c>
      <c r="I3145">
        <v>3100</v>
      </c>
      <c r="J3145">
        <v>0</v>
      </c>
      <c r="K3145">
        <v>3</v>
      </c>
      <c r="L3145">
        <v>3</v>
      </c>
      <c r="M3145">
        <v>0</v>
      </c>
      <c r="N3145" s="23">
        <v>0</v>
      </c>
      <c r="O3145">
        <f t="shared" si="771"/>
        <v>-2</v>
      </c>
      <c r="P3145" s="57">
        <f t="shared" si="772"/>
        <v>1</v>
      </c>
      <c r="Q3145" s="267">
        <f t="shared" si="773"/>
        <v>0</v>
      </c>
      <c r="R3145" s="23">
        <f t="shared" si="774"/>
        <v>1</v>
      </c>
      <c r="S3145" s="23">
        <f t="shared" si="775"/>
        <v>0</v>
      </c>
      <c r="T3145" s="23" t="str">
        <f t="shared" si="776"/>
        <v/>
      </c>
      <c r="U3145" t="str">
        <f t="shared" si="777"/>
        <v/>
      </c>
      <c r="AG3145" s="89"/>
      <c r="AH3145" s="274"/>
      <c r="AI3145" s="279"/>
      <c r="AJ3145" s="280"/>
      <c r="AK3145" s="92"/>
      <c r="AL3145" s="23"/>
      <c r="AU3145" s="1"/>
    </row>
    <row r="3146" spans="1:47">
      <c r="A3146" t="str">
        <f t="shared" si="770"/>
        <v>PA_Alleg_2019g~Gen-commissioner upper st clair ward 5 (vote for 1)</v>
      </c>
      <c r="B3146" s="55" t="s">
        <v>1528</v>
      </c>
      <c r="C3146">
        <v>680</v>
      </c>
      <c r="D3146" s="55" t="s">
        <v>644</v>
      </c>
      <c r="E3146" s="55" t="s">
        <v>1168</v>
      </c>
      <c r="F3146" t="s">
        <v>1296</v>
      </c>
      <c r="G3146" s="62">
        <v>675</v>
      </c>
      <c r="H3146">
        <v>94.94</v>
      </c>
      <c r="I3146">
        <v>3061</v>
      </c>
      <c r="J3146">
        <v>0</v>
      </c>
      <c r="K3146">
        <v>3</v>
      </c>
      <c r="L3146">
        <v>3</v>
      </c>
      <c r="M3146">
        <v>0</v>
      </c>
      <c r="N3146" s="23">
        <v>0</v>
      </c>
      <c r="O3146">
        <f t="shared" si="771"/>
        <v>1</v>
      </c>
      <c r="P3146" s="57">
        <f t="shared" si="772"/>
        <v>1</v>
      </c>
      <c r="Q3146" s="267">
        <f t="shared" si="773"/>
        <v>711</v>
      </c>
      <c r="R3146" s="23">
        <f t="shared" si="774"/>
        <v>675</v>
      </c>
      <c r="S3146" s="23">
        <f t="shared" si="775"/>
        <v>0</v>
      </c>
      <c r="T3146" s="23" t="str">
        <f t="shared" si="776"/>
        <v/>
      </c>
      <c r="U3146" t="str">
        <f t="shared" si="777"/>
        <v>PA_Alleg_2019g~Gen-commissioner upper st clair ward 5 (vote for 1)</v>
      </c>
      <c r="AG3146" s="89"/>
      <c r="AH3146" s="274"/>
      <c r="AI3146" s="279"/>
      <c r="AJ3146" s="280"/>
      <c r="AK3146" s="92"/>
      <c r="AL3146" s="23"/>
      <c r="AU3146" s="1"/>
    </row>
    <row r="3147" spans="1:47">
      <c r="A3147" t="str">
        <f t="shared" si="770"/>
        <v>PA_Alleg_2019g~Gen-commissioner upper st clair ward 5 (vote for 1)</v>
      </c>
      <c r="B3147" s="55" t="s">
        <v>1528</v>
      </c>
      <c r="C3147">
        <v>681</v>
      </c>
      <c r="D3147" s="55" t="s">
        <v>644</v>
      </c>
      <c r="E3147" s="55" t="s">
        <v>15</v>
      </c>
      <c r="G3147" s="62">
        <v>36</v>
      </c>
      <c r="H3147">
        <v>5.0599999999999996</v>
      </c>
      <c r="I3147">
        <v>3061</v>
      </c>
      <c r="J3147">
        <v>0</v>
      </c>
      <c r="K3147">
        <v>3</v>
      </c>
      <c r="L3147">
        <v>3</v>
      </c>
      <c r="M3147">
        <v>0</v>
      </c>
      <c r="N3147" s="23">
        <v>0</v>
      </c>
      <c r="O3147">
        <f t="shared" si="771"/>
        <v>-1</v>
      </c>
      <c r="P3147" s="57">
        <f t="shared" si="772"/>
        <v>1</v>
      </c>
      <c r="Q3147" s="267">
        <f t="shared" si="773"/>
        <v>36</v>
      </c>
      <c r="R3147" s="23">
        <f t="shared" si="774"/>
        <v>1</v>
      </c>
      <c r="S3147" s="23">
        <f t="shared" si="775"/>
        <v>0</v>
      </c>
      <c r="T3147" s="23" t="str">
        <f t="shared" si="776"/>
        <v/>
      </c>
      <c r="U3147" t="str">
        <f t="shared" si="777"/>
        <v/>
      </c>
      <c r="AG3147" s="89"/>
      <c r="AH3147" s="274"/>
      <c r="AI3147" s="279"/>
      <c r="AJ3147" s="280"/>
      <c r="AK3147" s="92"/>
      <c r="AL3147" s="23"/>
      <c r="AU3147" s="1"/>
    </row>
    <row r="3148" spans="1:47">
      <c r="A3148" t="str">
        <f t="shared" si="770"/>
        <v>PA_Alleg_2019g~Gen-commissioner wilkins ward 1 (vote for 1)</v>
      </c>
      <c r="B3148" s="55" t="s">
        <v>1528</v>
      </c>
      <c r="C3148">
        <v>682</v>
      </c>
      <c r="D3148" s="55" t="s">
        <v>645</v>
      </c>
      <c r="E3148" s="55" t="s">
        <v>646</v>
      </c>
      <c r="F3148" t="s">
        <v>1294</v>
      </c>
      <c r="G3148" s="62">
        <v>864</v>
      </c>
      <c r="H3148">
        <v>97.19</v>
      </c>
      <c r="I3148">
        <v>3399</v>
      </c>
      <c r="J3148">
        <v>0</v>
      </c>
      <c r="K3148">
        <v>5</v>
      </c>
      <c r="L3148">
        <v>5</v>
      </c>
      <c r="M3148">
        <v>0</v>
      </c>
      <c r="N3148" s="23">
        <v>0</v>
      </c>
      <c r="O3148">
        <f t="shared" si="771"/>
        <v>1</v>
      </c>
      <c r="P3148" s="57">
        <f t="shared" si="772"/>
        <v>1</v>
      </c>
      <c r="Q3148" s="267">
        <f t="shared" si="773"/>
        <v>889</v>
      </c>
      <c r="R3148" s="23">
        <f t="shared" si="774"/>
        <v>864</v>
      </c>
      <c r="S3148" s="23">
        <f t="shared" si="775"/>
        <v>0</v>
      </c>
      <c r="T3148" s="23" t="str">
        <f t="shared" si="776"/>
        <v/>
      </c>
      <c r="U3148" t="str">
        <f t="shared" si="777"/>
        <v>PA_Alleg_2019g~Gen-commissioner wilkins ward 1 (vote for 1)</v>
      </c>
      <c r="AG3148" s="89"/>
      <c r="AH3148" s="274"/>
      <c r="AI3148" s="279"/>
      <c r="AJ3148" s="280"/>
      <c r="AK3148" s="92"/>
      <c r="AL3148" s="23"/>
      <c r="AU3148" s="1"/>
    </row>
    <row r="3149" spans="1:47">
      <c r="A3149" t="str">
        <f t="shared" si="770"/>
        <v>PA_Alleg_2019g~Gen-commissioner wilkins ward 1 (vote for 1)</v>
      </c>
      <c r="B3149" s="55" t="s">
        <v>1528</v>
      </c>
      <c r="C3149">
        <v>683</v>
      </c>
      <c r="D3149" s="55" t="s">
        <v>645</v>
      </c>
      <c r="E3149" s="55" t="s">
        <v>15</v>
      </c>
      <c r="G3149" s="62">
        <v>25</v>
      </c>
      <c r="H3149">
        <v>2.81</v>
      </c>
      <c r="I3149">
        <v>3399</v>
      </c>
      <c r="J3149">
        <v>0</v>
      </c>
      <c r="K3149">
        <v>5</v>
      </c>
      <c r="L3149">
        <v>5</v>
      </c>
      <c r="M3149">
        <v>0</v>
      </c>
      <c r="N3149" s="23">
        <v>0</v>
      </c>
      <c r="O3149">
        <f t="shared" si="771"/>
        <v>-1</v>
      </c>
      <c r="P3149" s="57">
        <f t="shared" si="772"/>
        <v>1</v>
      </c>
      <c r="Q3149" s="267">
        <f t="shared" si="773"/>
        <v>25</v>
      </c>
      <c r="R3149" s="23">
        <f t="shared" si="774"/>
        <v>1</v>
      </c>
      <c r="S3149" s="23">
        <f t="shared" si="775"/>
        <v>0</v>
      </c>
      <c r="T3149" s="23" t="str">
        <f t="shared" si="776"/>
        <v/>
      </c>
      <c r="U3149" t="str">
        <f t="shared" si="777"/>
        <v/>
      </c>
      <c r="AG3149" s="89"/>
      <c r="AH3149" s="274"/>
      <c r="AI3149" s="279"/>
      <c r="AJ3149" s="280"/>
      <c r="AK3149" s="92"/>
      <c r="AL3149" s="23"/>
      <c r="AU3149" s="1"/>
    </row>
    <row r="3150" spans="1:47">
      <c r="A3150" t="str">
        <f t="shared" si="770"/>
        <v>PA_Alleg_2019g~Gen-constitutional amendment (vote for 1)</v>
      </c>
      <c r="B3150" s="55" t="s">
        <v>1528</v>
      </c>
      <c r="C3150">
        <v>1254</v>
      </c>
      <c r="D3150" s="55" t="s">
        <v>1507</v>
      </c>
      <c r="E3150" s="55" t="s">
        <v>1393</v>
      </c>
      <c r="F3150" t="s">
        <v>1508</v>
      </c>
      <c r="G3150" s="62">
        <v>177143</v>
      </c>
      <c r="H3150">
        <v>69.47</v>
      </c>
      <c r="I3150">
        <v>957735</v>
      </c>
      <c r="J3150">
        <v>0</v>
      </c>
      <c r="K3150">
        <v>1322</v>
      </c>
      <c r="L3150">
        <v>1322</v>
      </c>
      <c r="M3150">
        <v>0</v>
      </c>
      <c r="N3150" s="23">
        <v>0</v>
      </c>
      <c r="O3150">
        <f t="shared" si="771"/>
        <v>1</v>
      </c>
      <c r="P3150" s="57">
        <f t="shared" si="772"/>
        <v>1</v>
      </c>
      <c r="Q3150" s="267">
        <f t="shared" si="773"/>
        <v>255006</v>
      </c>
      <c r="R3150" s="23">
        <f t="shared" si="774"/>
        <v>177143</v>
      </c>
      <c r="S3150" s="23">
        <f t="shared" si="775"/>
        <v>77863</v>
      </c>
      <c r="T3150" s="23">
        <f t="shared" si="776"/>
        <v>99280</v>
      </c>
      <c r="U3150" t="str">
        <f t="shared" si="777"/>
        <v>PA_Alleg_2019g~Gen-constitutional amendment (vote for 1)</v>
      </c>
      <c r="AG3150" s="89"/>
      <c r="AH3150" s="274"/>
      <c r="AI3150" s="279"/>
      <c r="AJ3150" s="280"/>
      <c r="AK3150" s="92"/>
      <c r="AL3150" s="23"/>
      <c r="AU3150" s="1"/>
    </row>
    <row r="3151" spans="1:47">
      <c r="A3151" t="str">
        <f t="shared" si="770"/>
        <v>PA_Alleg_2019g~Gen-constitutional amendment (vote for 1)</v>
      </c>
      <c r="B3151" s="55" t="s">
        <v>1528</v>
      </c>
      <c r="C3151">
        <v>1255</v>
      </c>
      <c r="D3151" s="55" t="s">
        <v>1507</v>
      </c>
      <c r="E3151" s="55" t="s">
        <v>1394</v>
      </c>
      <c r="F3151" t="s">
        <v>1509</v>
      </c>
      <c r="G3151" s="62">
        <v>77863</v>
      </c>
      <c r="H3151">
        <v>30.53</v>
      </c>
      <c r="I3151">
        <v>957735</v>
      </c>
      <c r="J3151">
        <v>0</v>
      </c>
      <c r="K3151">
        <v>1322</v>
      </c>
      <c r="L3151">
        <v>1322</v>
      </c>
      <c r="M3151">
        <v>0</v>
      </c>
      <c r="N3151" s="23">
        <v>0</v>
      </c>
      <c r="O3151">
        <f t="shared" si="771"/>
        <v>2</v>
      </c>
      <c r="P3151" s="57">
        <f t="shared" si="772"/>
        <v>1</v>
      </c>
      <c r="Q3151" s="267">
        <f t="shared" si="773"/>
        <v>77863</v>
      </c>
      <c r="R3151" s="23" t="str">
        <f t="shared" si="774"/>
        <v/>
      </c>
      <c r="S3151" s="23">
        <f t="shared" si="775"/>
        <v>77863</v>
      </c>
      <c r="T3151" s="23" t="str">
        <f t="shared" si="776"/>
        <v/>
      </c>
      <c r="U3151" t="str">
        <f t="shared" si="777"/>
        <v/>
      </c>
      <c r="AG3151" s="89"/>
      <c r="AH3151" s="274"/>
      <c r="AI3151" s="279"/>
      <c r="AJ3151" s="280"/>
      <c r="AK3151" s="92"/>
      <c r="AL3151" s="23"/>
      <c r="AU3151" s="1"/>
    </row>
    <row r="3152" spans="1:47">
      <c r="A3152" t="str">
        <f t="shared" si="770"/>
        <v>PA_Alleg_2019g~Gen-controller citywide (vote for 1)</v>
      </c>
      <c r="B3152" s="55" t="s">
        <v>1528</v>
      </c>
      <c r="C3152">
        <v>41</v>
      </c>
      <c r="D3152" s="55" t="s">
        <v>49</v>
      </c>
      <c r="E3152" s="55" t="s">
        <v>50</v>
      </c>
      <c r="F3152" t="s">
        <v>1294</v>
      </c>
      <c r="G3152" s="62">
        <v>58352</v>
      </c>
      <c r="H3152">
        <v>99.1</v>
      </c>
      <c r="I3152">
        <v>254941</v>
      </c>
      <c r="J3152">
        <v>0</v>
      </c>
      <c r="K3152">
        <v>402</v>
      </c>
      <c r="L3152">
        <v>402</v>
      </c>
      <c r="M3152">
        <v>0</v>
      </c>
      <c r="N3152" s="23">
        <v>0</v>
      </c>
      <c r="O3152">
        <f t="shared" si="771"/>
        <v>1</v>
      </c>
      <c r="P3152" s="57">
        <f t="shared" si="772"/>
        <v>1</v>
      </c>
      <c r="Q3152" s="267">
        <f t="shared" si="773"/>
        <v>58880</v>
      </c>
      <c r="R3152" s="23">
        <f t="shared" si="774"/>
        <v>58352</v>
      </c>
      <c r="S3152" s="23">
        <f t="shared" si="775"/>
        <v>0</v>
      </c>
      <c r="T3152" s="23" t="str">
        <f t="shared" si="776"/>
        <v/>
      </c>
      <c r="U3152" t="str">
        <f t="shared" si="777"/>
        <v>PA_Alleg_2019g~Gen-controller citywide (vote for 1)</v>
      </c>
      <c r="AG3152" s="89"/>
      <c r="AH3152" s="274"/>
      <c r="AI3152" s="279"/>
      <c r="AJ3152" s="280"/>
      <c r="AK3152" s="92"/>
      <c r="AL3152" s="23"/>
      <c r="AU3152" s="1"/>
    </row>
    <row r="3153" spans="1:47">
      <c r="A3153" t="str">
        <f t="shared" si="770"/>
        <v>PA_Alleg_2019g~Gen-controller citywide (vote for 1)</v>
      </c>
      <c r="B3153" s="55" t="s">
        <v>1528</v>
      </c>
      <c r="C3153">
        <v>42</v>
      </c>
      <c r="D3153" s="55" t="s">
        <v>49</v>
      </c>
      <c r="E3153" s="55" t="s">
        <v>15</v>
      </c>
      <c r="G3153" s="62">
        <v>528</v>
      </c>
      <c r="H3153">
        <v>0.9</v>
      </c>
      <c r="I3153">
        <v>254941</v>
      </c>
      <c r="J3153">
        <v>0</v>
      </c>
      <c r="K3153">
        <v>402</v>
      </c>
      <c r="L3153">
        <v>402</v>
      </c>
      <c r="M3153">
        <v>0</v>
      </c>
      <c r="N3153" s="23">
        <v>0</v>
      </c>
      <c r="O3153">
        <f t="shared" si="771"/>
        <v>-1</v>
      </c>
      <c r="P3153" s="57">
        <f t="shared" si="772"/>
        <v>1</v>
      </c>
      <c r="Q3153" s="267">
        <f t="shared" si="773"/>
        <v>528</v>
      </c>
      <c r="R3153" s="23">
        <f t="shared" si="774"/>
        <v>1</v>
      </c>
      <c r="S3153" s="23">
        <f t="shared" si="775"/>
        <v>0</v>
      </c>
      <c r="T3153" s="23" t="str">
        <f t="shared" si="776"/>
        <v/>
      </c>
      <c r="U3153" t="str">
        <f t="shared" si="777"/>
        <v/>
      </c>
      <c r="AF3153" s="88"/>
      <c r="AG3153" s="89"/>
      <c r="AH3153" s="274"/>
      <c r="AI3153" s="279"/>
      <c r="AJ3153" s="280"/>
      <c r="AK3153" s="92"/>
      <c r="AL3153" s="23"/>
      <c r="AU3153" s="1"/>
    </row>
    <row r="3154" spans="1:47">
      <c r="A3154" t="str">
        <f t="shared" si="770"/>
        <v>PA_Alleg_2019g~Gen-controller duquesne (vote for 1)</v>
      </c>
      <c r="B3154" s="55" t="s">
        <v>1528</v>
      </c>
      <c r="C3154">
        <v>458</v>
      </c>
      <c r="D3154" s="55" t="s">
        <v>484</v>
      </c>
      <c r="E3154" s="55" t="s">
        <v>15</v>
      </c>
      <c r="G3154" s="62">
        <v>99</v>
      </c>
      <c r="H3154">
        <v>100</v>
      </c>
      <c r="I3154">
        <v>3847</v>
      </c>
      <c r="J3154">
        <v>0</v>
      </c>
      <c r="K3154">
        <v>10</v>
      </c>
      <c r="L3154">
        <v>10</v>
      </c>
      <c r="M3154">
        <v>0</v>
      </c>
      <c r="N3154" s="23">
        <v>0</v>
      </c>
      <c r="O3154">
        <f t="shared" si="771"/>
        <v>0</v>
      </c>
      <c r="P3154" s="57">
        <f t="shared" si="772"/>
        <v>1</v>
      </c>
      <c r="Q3154" s="267">
        <f t="shared" si="773"/>
        <v>99</v>
      </c>
      <c r="R3154" s="23">
        <f t="shared" si="774"/>
        <v>1</v>
      </c>
      <c r="S3154" s="23">
        <f t="shared" si="775"/>
        <v>0</v>
      </c>
      <c r="T3154" s="23" t="str">
        <f t="shared" si="776"/>
        <v/>
      </c>
      <c r="U3154" t="str">
        <f t="shared" si="777"/>
        <v>PA_Alleg_2019g~Gen-controller duquesne (vote for 1)</v>
      </c>
      <c r="AF3154" s="88"/>
      <c r="AG3154" s="89"/>
      <c r="AH3154" s="274"/>
      <c r="AI3154" s="279"/>
      <c r="AJ3154" s="280"/>
      <c r="AK3154" s="92"/>
      <c r="AL3154" s="23"/>
      <c r="AU3154" s="1"/>
    </row>
    <row r="3155" spans="1:47">
      <c r="A3155" t="str">
        <f t="shared" si="770"/>
        <v>PA_Alleg_2019g~Gen-controller hampton (vote for 1)</v>
      </c>
      <c r="B3155" s="55" t="s">
        <v>1528</v>
      </c>
      <c r="C3155">
        <v>454</v>
      </c>
      <c r="D3155" s="55" t="s">
        <v>481</v>
      </c>
      <c r="E3155" s="55" t="s">
        <v>1129</v>
      </c>
      <c r="F3155" t="s">
        <v>1296</v>
      </c>
      <c r="G3155" s="62">
        <v>3066</v>
      </c>
      <c r="H3155">
        <v>98.14</v>
      </c>
      <c r="I3155">
        <v>14286</v>
      </c>
      <c r="J3155">
        <v>0</v>
      </c>
      <c r="K3155">
        <v>13</v>
      </c>
      <c r="L3155">
        <v>13</v>
      </c>
      <c r="M3155">
        <v>0</v>
      </c>
      <c r="N3155" s="23">
        <v>0</v>
      </c>
      <c r="O3155">
        <f t="shared" si="771"/>
        <v>1</v>
      </c>
      <c r="P3155" s="57">
        <f t="shared" si="772"/>
        <v>1</v>
      </c>
      <c r="Q3155" s="267">
        <f t="shared" si="773"/>
        <v>3124</v>
      </c>
      <c r="R3155" s="23">
        <f t="shared" si="774"/>
        <v>3066</v>
      </c>
      <c r="S3155" s="23">
        <f t="shared" si="775"/>
        <v>0</v>
      </c>
      <c r="T3155" s="23" t="str">
        <f t="shared" si="776"/>
        <v/>
      </c>
      <c r="U3155" t="str">
        <f t="shared" si="777"/>
        <v>PA_Alleg_2019g~Gen-controller hampton (vote for 1)</v>
      </c>
      <c r="AF3155" s="88"/>
      <c r="AG3155" s="89"/>
      <c r="AH3155" s="274"/>
      <c r="AI3155" s="279"/>
      <c r="AJ3155" s="280"/>
      <c r="AK3155" s="92"/>
      <c r="AL3155" s="23"/>
      <c r="AU3155" s="1"/>
    </row>
    <row r="3156" spans="1:47">
      <c r="A3156" t="str">
        <f t="shared" si="770"/>
        <v>PA_Alleg_2019g~Gen-controller hampton (vote for 1)</v>
      </c>
      <c r="B3156" s="55" t="s">
        <v>1528</v>
      </c>
      <c r="C3156">
        <v>455</v>
      </c>
      <c r="D3156" s="55" t="s">
        <v>481</v>
      </c>
      <c r="E3156" s="55" t="s">
        <v>15</v>
      </c>
      <c r="G3156" s="62">
        <v>58</v>
      </c>
      <c r="H3156">
        <v>1.86</v>
      </c>
      <c r="I3156">
        <v>14286</v>
      </c>
      <c r="J3156">
        <v>0</v>
      </c>
      <c r="K3156">
        <v>13</v>
      </c>
      <c r="L3156">
        <v>13</v>
      </c>
      <c r="M3156">
        <v>0</v>
      </c>
      <c r="N3156" s="23">
        <v>0</v>
      </c>
      <c r="O3156">
        <f t="shared" si="771"/>
        <v>-1</v>
      </c>
      <c r="P3156" s="57">
        <f t="shared" si="772"/>
        <v>1</v>
      </c>
      <c r="Q3156" s="267">
        <f t="shared" si="773"/>
        <v>58</v>
      </c>
      <c r="R3156" s="23">
        <f t="shared" si="774"/>
        <v>1</v>
      </c>
      <c r="S3156" s="23">
        <f t="shared" si="775"/>
        <v>0</v>
      </c>
      <c r="T3156" s="23" t="str">
        <f t="shared" si="776"/>
        <v/>
      </c>
      <c r="U3156" t="str">
        <f t="shared" si="777"/>
        <v/>
      </c>
      <c r="AF3156" s="88"/>
      <c r="AG3156" s="89"/>
      <c r="AH3156" s="274"/>
      <c r="AI3156" s="279"/>
      <c r="AJ3156" s="280"/>
      <c r="AK3156" s="92"/>
      <c r="AL3156" s="23"/>
      <c r="AU3156" s="1"/>
    </row>
    <row r="3157" spans="1:47">
      <c r="A3157" t="str">
        <f t="shared" si="770"/>
        <v>PA_Alleg_2019g~Gen-controller penn hills (vote for 1)</v>
      </c>
      <c r="B3157" s="55" t="s">
        <v>1528</v>
      </c>
      <c r="C3157">
        <v>456</v>
      </c>
      <c r="D3157" s="55" t="s">
        <v>482</v>
      </c>
      <c r="E3157" s="55" t="s">
        <v>483</v>
      </c>
      <c r="F3157" t="s">
        <v>1294</v>
      </c>
      <c r="G3157" s="62">
        <v>8252</v>
      </c>
      <c r="H3157">
        <v>99.11</v>
      </c>
      <c r="I3157">
        <v>32233</v>
      </c>
      <c r="J3157">
        <v>0</v>
      </c>
      <c r="K3157">
        <v>50</v>
      </c>
      <c r="L3157">
        <v>50</v>
      </c>
      <c r="M3157">
        <v>0</v>
      </c>
      <c r="N3157" s="23">
        <v>0</v>
      </c>
      <c r="O3157">
        <f t="shared" si="771"/>
        <v>1</v>
      </c>
      <c r="P3157" s="57">
        <f t="shared" si="772"/>
        <v>1</v>
      </c>
      <c r="Q3157" s="267">
        <f t="shared" si="773"/>
        <v>8326</v>
      </c>
      <c r="R3157" s="23">
        <f t="shared" si="774"/>
        <v>8252</v>
      </c>
      <c r="S3157" s="23">
        <f t="shared" si="775"/>
        <v>0</v>
      </c>
      <c r="T3157" s="23" t="str">
        <f t="shared" si="776"/>
        <v/>
      </c>
      <c r="U3157" t="str">
        <f t="shared" si="777"/>
        <v>PA_Alleg_2019g~Gen-controller penn hills (vote for 1)</v>
      </c>
      <c r="AF3157" s="88"/>
      <c r="AG3157" s="89"/>
      <c r="AH3157" s="274"/>
      <c r="AI3157" s="279"/>
      <c r="AJ3157" s="280"/>
      <c r="AK3157" s="92"/>
      <c r="AL3157" s="23"/>
      <c r="AU3157" s="1"/>
    </row>
    <row r="3158" spans="1:47">
      <c r="A3158" t="str">
        <f t="shared" si="770"/>
        <v>PA_Alleg_2019g~Gen-controller penn hills (vote for 1)</v>
      </c>
      <c r="B3158" s="55" t="s">
        <v>1528</v>
      </c>
      <c r="C3158">
        <v>457</v>
      </c>
      <c r="D3158" s="55" t="s">
        <v>482</v>
      </c>
      <c r="E3158" s="55" t="s">
        <v>15</v>
      </c>
      <c r="G3158" s="62">
        <v>74</v>
      </c>
      <c r="H3158">
        <v>0.89</v>
      </c>
      <c r="I3158">
        <v>32233</v>
      </c>
      <c r="J3158">
        <v>0</v>
      </c>
      <c r="K3158">
        <v>50</v>
      </c>
      <c r="L3158">
        <v>50</v>
      </c>
      <c r="M3158">
        <v>0</v>
      </c>
      <c r="N3158" s="23">
        <v>0</v>
      </c>
      <c r="O3158">
        <f t="shared" si="771"/>
        <v>-1</v>
      </c>
      <c r="P3158" s="57">
        <f t="shared" si="772"/>
        <v>1</v>
      </c>
      <c r="Q3158" s="267">
        <f t="shared" si="773"/>
        <v>74</v>
      </c>
      <c r="R3158" s="23">
        <f t="shared" si="774"/>
        <v>1</v>
      </c>
      <c r="S3158" s="23">
        <f t="shared" si="775"/>
        <v>0</v>
      </c>
      <c r="T3158" s="23" t="str">
        <f t="shared" si="776"/>
        <v/>
      </c>
      <c r="U3158" t="str">
        <f t="shared" si="777"/>
        <v/>
      </c>
      <c r="AF3158" s="88"/>
      <c r="AG3158" s="89"/>
      <c r="AH3158" s="274"/>
      <c r="AI3158" s="279"/>
      <c r="AJ3158" s="280"/>
      <c r="AK3158" s="92"/>
      <c r="AL3158" s="23"/>
      <c r="AU3158" s="1"/>
    </row>
    <row r="3159" spans="1:47">
      <c r="A3159" t="str">
        <f t="shared" si="770"/>
        <v>PA_Alleg_2019g~Gen-county chief executive (vote for 1)</v>
      </c>
      <c r="B3159" s="55" t="s">
        <v>1528</v>
      </c>
      <c r="C3159">
        <v>8</v>
      </c>
      <c r="D3159" s="55" t="s">
        <v>21</v>
      </c>
      <c r="E3159" s="55" t="s">
        <v>22</v>
      </c>
      <c r="F3159" t="s">
        <v>1294</v>
      </c>
      <c r="G3159" s="62">
        <v>181448</v>
      </c>
      <c r="H3159">
        <v>68.03</v>
      </c>
      <c r="I3159">
        <v>957735</v>
      </c>
      <c r="J3159">
        <v>0</v>
      </c>
      <c r="K3159">
        <v>1322</v>
      </c>
      <c r="L3159">
        <v>1322</v>
      </c>
      <c r="M3159">
        <v>0</v>
      </c>
      <c r="N3159" s="23">
        <v>0</v>
      </c>
      <c r="O3159">
        <f t="shared" si="771"/>
        <v>1</v>
      </c>
      <c r="P3159" s="57">
        <f t="shared" si="772"/>
        <v>1</v>
      </c>
      <c r="Q3159" s="267">
        <f t="shared" si="773"/>
        <v>266732</v>
      </c>
      <c r="R3159" s="23">
        <f t="shared" si="774"/>
        <v>181448</v>
      </c>
      <c r="S3159" s="23">
        <f t="shared" si="775"/>
        <v>84087</v>
      </c>
      <c r="T3159" s="23">
        <f t="shared" si="776"/>
        <v>97361</v>
      </c>
      <c r="U3159" t="str">
        <f t="shared" si="777"/>
        <v>PA_Alleg_2019g~Gen-county chief executive (vote for 1)</v>
      </c>
      <c r="AF3159" s="88"/>
      <c r="AG3159" s="89"/>
      <c r="AH3159" s="274"/>
      <c r="AI3159" s="279"/>
      <c r="AJ3159" s="280"/>
      <c r="AK3159" s="92"/>
      <c r="AL3159" s="23"/>
      <c r="AU3159" s="1"/>
    </row>
    <row r="3160" spans="1:47">
      <c r="A3160" t="str">
        <f t="shared" si="770"/>
        <v>PA_Alleg_2019g~Gen-county chief executive (vote for 1)</v>
      </c>
      <c r="B3160" s="55" t="s">
        <v>1528</v>
      </c>
      <c r="C3160">
        <v>9</v>
      </c>
      <c r="D3160" s="55" t="s">
        <v>21</v>
      </c>
      <c r="E3160" s="55" t="s">
        <v>1120</v>
      </c>
      <c r="F3160" t="s">
        <v>1296</v>
      </c>
      <c r="G3160" s="62">
        <v>84087</v>
      </c>
      <c r="H3160">
        <v>31.52</v>
      </c>
      <c r="I3160">
        <v>957735</v>
      </c>
      <c r="J3160">
        <v>0</v>
      </c>
      <c r="K3160">
        <v>1322</v>
      </c>
      <c r="L3160">
        <v>1322</v>
      </c>
      <c r="M3160">
        <v>0</v>
      </c>
      <c r="N3160" s="23">
        <v>0</v>
      </c>
      <c r="O3160">
        <f t="shared" si="771"/>
        <v>2</v>
      </c>
      <c r="P3160" s="57">
        <f t="shared" si="772"/>
        <v>1</v>
      </c>
      <c r="Q3160" s="267">
        <f t="shared" si="773"/>
        <v>85284</v>
      </c>
      <c r="R3160" s="23" t="str">
        <f t="shared" si="774"/>
        <v/>
      </c>
      <c r="S3160" s="23">
        <f t="shared" si="775"/>
        <v>84087</v>
      </c>
      <c r="T3160" s="23" t="str">
        <f t="shared" si="776"/>
        <v/>
      </c>
      <c r="U3160" t="str">
        <f t="shared" si="777"/>
        <v/>
      </c>
      <c r="AF3160" s="88"/>
      <c r="AG3160" s="89"/>
      <c r="AH3160" s="274"/>
      <c r="AI3160" s="279"/>
      <c r="AJ3160" s="280"/>
      <c r="AK3160" s="92"/>
      <c r="AL3160" s="23"/>
      <c r="AU3160" s="1"/>
    </row>
    <row r="3161" spans="1:47">
      <c r="A3161" t="str">
        <f t="shared" si="770"/>
        <v>PA_Alleg_2019g~Gen-county chief executive (vote for 1)</v>
      </c>
      <c r="B3161" s="55" t="s">
        <v>1528</v>
      </c>
      <c r="C3161">
        <v>10</v>
      </c>
      <c r="D3161" s="55" t="s">
        <v>21</v>
      </c>
      <c r="E3161" s="55" t="s">
        <v>15</v>
      </c>
      <c r="G3161" s="62">
        <v>1197</v>
      </c>
      <c r="H3161">
        <v>0.45</v>
      </c>
      <c r="I3161">
        <v>957735</v>
      </c>
      <c r="J3161">
        <v>0</v>
      </c>
      <c r="K3161">
        <v>1322</v>
      </c>
      <c r="L3161">
        <v>1322</v>
      </c>
      <c r="M3161">
        <v>0</v>
      </c>
      <c r="N3161" s="23">
        <v>0</v>
      </c>
      <c r="O3161">
        <f t="shared" si="771"/>
        <v>-2</v>
      </c>
      <c r="P3161" s="57">
        <f t="shared" si="772"/>
        <v>1</v>
      </c>
      <c r="Q3161" s="267">
        <f t="shared" si="773"/>
        <v>1197</v>
      </c>
      <c r="R3161" s="23">
        <f t="shared" si="774"/>
        <v>1</v>
      </c>
      <c r="S3161" s="23">
        <f t="shared" si="775"/>
        <v>0</v>
      </c>
      <c r="T3161" s="23" t="str">
        <f t="shared" si="776"/>
        <v/>
      </c>
      <c r="U3161" t="str">
        <f t="shared" si="777"/>
        <v/>
      </c>
      <c r="AF3161" s="88"/>
      <c r="AG3161" s="89"/>
      <c r="AH3161" s="274"/>
      <c r="AI3161" s="279"/>
      <c r="AJ3161" s="280"/>
      <c r="AK3161" s="92"/>
      <c r="AL3161" s="23"/>
      <c r="AU3161" s="1"/>
    </row>
    <row r="3162" spans="1:47">
      <c r="A3162" t="str">
        <f t="shared" si="770"/>
        <v>PA_Alleg_2019g~Gen-county controller (vote for 1)</v>
      </c>
      <c r="B3162" s="55" t="s">
        <v>1528</v>
      </c>
      <c r="C3162">
        <v>11</v>
      </c>
      <c r="D3162" s="55" t="s">
        <v>23</v>
      </c>
      <c r="E3162" s="55" t="s">
        <v>24</v>
      </c>
      <c r="F3162" t="s">
        <v>1294</v>
      </c>
      <c r="G3162" s="62">
        <v>166757</v>
      </c>
      <c r="H3162">
        <v>63.19</v>
      </c>
      <c r="I3162">
        <v>957735</v>
      </c>
      <c r="J3162">
        <v>0</v>
      </c>
      <c r="K3162">
        <v>1322</v>
      </c>
      <c r="L3162">
        <v>1322</v>
      </c>
      <c r="M3162">
        <v>0</v>
      </c>
      <c r="N3162" s="23">
        <v>0</v>
      </c>
      <c r="O3162">
        <f t="shared" si="771"/>
        <v>1</v>
      </c>
      <c r="P3162" s="57">
        <f t="shared" si="772"/>
        <v>1</v>
      </c>
      <c r="Q3162" s="267">
        <f t="shared" si="773"/>
        <v>263915</v>
      </c>
      <c r="R3162" s="23">
        <f t="shared" si="774"/>
        <v>166757</v>
      </c>
      <c r="S3162" s="23">
        <f t="shared" si="775"/>
        <v>96731</v>
      </c>
      <c r="T3162" s="23">
        <f t="shared" si="776"/>
        <v>70026</v>
      </c>
      <c r="U3162" t="str">
        <f t="shared" si="777"/>
        <v>PA_Alleg_2019g~Gen-county controller (vote for 1)</v>
      </c>
      <c r="AF3162" s="88"/>
      <c r="AG3162" s="89"/>
      <c r="AH3162" s="274"/>
      <c r="AI3162" s="279"/>
      <c r="AJ3162" s="280"/>
      <c r="AK3162" s="92"/>
      <c r="AL3162" s="23"/>
      <c r="AU3162" s="1"/>
    </row>
    <row r="3163" spans="1:47">
      <c r="A3163" t="str">
        <f t="shared" si="770"/>
        <v>PA_Alleg_2019g~Gen-county controller (vote for 1)</v>
      </c>
      <c r="B3163" s="55" t="s">
        <v>1528</v>
      </c>
      <c r="C3163">
        <v>12</v>
      </c>
      <c r="D3163" s="55" t="s">
        <v>23</v>
      </c>
      <c r="E3163" s="55" t="s">
        <v>1397</v>
      </c>
      <c r="F3163" t="s">
        <v>1296</v>
      </c>
      <c r="G3163" s="62">
        <v>96731</v>
      </c>
      <c r="H3163">
        <v>36.65</v>
      </c>
      <c r="I3163">
        <v>957735</v>
      </c>
      <c r="J3163">
        <v>0</v>
      </c>
      <c r="K3163">
        <v>1322</v>
      </c>
      <c r="L3163">
        <v>1322</v>
      </c>
      <c r="M3163">
        <v>0</v>
      </c>
      <c r="N3163" s="23">
        <v>0</v>
      </c>
      <c r="O3163">
        <f t="shared" si="771"/>
        <v>2</v>
      </c>
      <c r="P3163" s="57">
        <f t="shared" si="772"/>
        <v>1</v>
      </c>
      <c r="Q3163" s="267">
        <f t="shared" si="773"/>
        <v>97158</v>
      </c>
      <c r="R3163" s="23" t="str">
        <f t="shared" si="774"/>
        <v/>
      </c>
      <c r="S3163" s="23">
        <f t="shared" si="775"/>
        <v>96731</v>
      </c>
      <c r="T3163" s="23" t="str">
        <f t="shared" si="776"/>
        <v/>
      </c>
      <c r="U3163" t="str">
        <f t="shared" si="777"/>
        <v/>
      </c>
      <c r="AF3163" s="88"/>
      <c r="AG3163" s="89"/>
      <c r="AH3163" s="274"/>
      <c r="AI3163" s="279"/>
      <c r="AJ3163" s="280"/>
      <c r="AK3163" s="92"/>
      <c r="AL3163" s="23"/>
      <c r="AU3163" s="1"/>
    </row>
    <row r="3164" spans="1:47">
      <c r="A3164" t="str">
        <f t="shared" si="770"/>
        <v>PA_Alleg_2019g~Gen-county controller (vote for 1)</v>
      </c>
      <c r="B3164" s="55" t="s">
        <v>1528</v>
      </c>
      <c r="C3164">
        <v>13</v>
      </c>
      <c r="D3164" s="55" t="s">
        <v>23</v>
      </c>
      <c r="E3164" s="55" t="s">
        <v>15</v>
      </c>
      <c r="G3164" s="62">
        <v>427</v>
      </c>
      <c r="H3164">
        <v>0.16</v>
      </c>
      <c r="I3164">
        <v>957735</v>
      </c>
      <c r="J3164">
        <v>0</v>
      </c>
      <c r="K3164">
        <v>1322</v>
      </c>
      <c r="L3164">
        <v>1322</v>
      </c>
      <c r="M3164">
        <v>0</v>
      </c>
      <c r="N3164" s="23">
        <v>0</v>
      </c>
      <c r="O3164">
        <f t="shared" si="771"/>
        <v>-2</v>
      </c>
      <c r="P3164" s="57">
        <f t="shared" si="772"/>
        <v>1</v>
      </c>
      <c r="Q3164" s="267">
        <f t="shared" si="773"/>
        <v>427</v>
      </c>
      <c r="R3164" s="23">
        <f t="shared" si="774"/>
        <v>1</v>
      </c>
      <c r="S3164" s="23">
        <f t="shared" si="775"/>
        <v>0</v>
      </c>
      <c r="T3164" s="23" t="str">
        <f t="shared" si="776"/>
        <v/>
      </c>
      <c r="U3164" t="str">
        <f t="shared" si="777"/>
        <v/>
      </c>
      <c r="AF3164" s="88"/>
      <c r="AG3164" s="89"/>
      <c r="AH3164" s="274"/>
      <c r="AI3164" s="279"/>
      <c r="AJ3164" s="280"/>
      <c r="AK3164" s="92"/>
      <c r="AL3164" s="23"/>
      <c r="AU3164" s="1"/>
    </row>
    <row r="3165" spans="1:47">
      <c r="A3165" t="str">
        <f t="shared" si="770"/>
        <v>PA_Alleg_2019g~Gen-county treasurer (vote for 1)</v>
      </c>
      <c r="B3165" s="55" t="s">
        <v>1528</v>
      </c>
      <c r="C3165">
        <v>17</v>
      </c>
      <c r="D3165" s="55" t="s">
        <v>28</v>
      </c>
      <c r="E3165" s="55" t="s">
        <v>29</v>
      </c>
      <c r="F3165" t="s">
        <v>1396</v>
      </c>
      <c r="G3165" s="62">
        <v>246572</v>
      </c>
      <c r="H3165">
        <v>99.44</v>
      </c>
      <c r="I3165">
        <v>957735</v>
      </c>
      <c r="J3165">
        <v>0</v>
      </c>
      <c r="K3165">
        <v>1322</v>
      </c>
      <c r="L3165">
        <v>1322</v>
      </c>
      <c r="M3165">
        <v>0</v>
      </c>
      <c r="N3165" s="23">
        <v>0</v>
      </c>
      <c r="O3165">
        <f t="shared" si="771"/>
        <v>1</v>
      </c>
      <c r="P3165" s="57">
        <f t="shared" si="772"/>
        <v>1</v>
      </c>
      <c r="Q3165" s="267">
        <f t="shared" si="773"/>
        <v>247951</v>
      </c>
      <c r="R3165" s="23">
        <f t="shared" si="774"/>
        <v>246572</v>
      </c>
      <c r="S3165" s="23">
        <f t="shared" si="775"/>
        <v>0</v>
      </c>
      <c r="T3165" s="23" t="str">
        <f t="shared" si="776"/>
        <v/>
      </c>
      <c r="U3165" t="str">
        <f t="shared" si="777"/>
        <v>PA_Alleg_2019g~Gen-county treasurer (vote for 1)</v>
      </c>
      <c r="AF3165" s="88"/>
      <c r="AG3165" s="89"/>
      <c r="AH3165" s="274"/>
      <c r="AI3165" s="279"/>
      <c r="AJ3165" s="280"/>
      <c r="AK3165" s="92"/>
      <c r="AL3165" s="23"/>
      <c r="AU3165" s="1"/>
    </row>
    <row r="3166" spans="1:47">
      <c r="A3166" t="str">
        <f t="shared" si="770"/>
        <v>PA_Alleg_2019g~Gen-county treasurer (vote for 1)</v>
      </c>
      <c r="B3166" s="55" t="s">
        <v>1528</v>
      </c>
      <c r="C3166">
        <v>18</v>
      </c>
      <c r="D3166" s="55" t="s">
        <v>28</v>
      </c>
      <c r="E3166" s="55" t="s">
        <v>15</v>
      </c>
      <c r="G3166" s="62">
        <v>1379</v>
      </c>
      <c r="H3166">
        <v>0.56000000000000005</v>
      </c>
      <c r="I3166">
        <v>957735</v>
      </c>
      <c r="J3166">
        <v>0</v>
      </c>
      <c r="K3166">
        <v>1322</v>
      </c>
      <c r="L3166">
        <v>1322</v>
      </c>
      <c r="M3166">
        <v>0</v>
      </c>
      <c r="N3166" s="23">
        <v>0</v>
      </c>
      <c r="O3166">
        <f t="shared" si="771"/>
        <v>-1</v>
      </c>
      <c r="P3166" s="57">
        <f t="shared" si="772"/>
        <v>1</v>
      </c>
      <c r="Q3166" s="267">
        <f t="shared" si="773"/>
        <v>1379</v>
      </c>
      <c r="R3166" s="23">
        <f t="shared" si="774"/>
        <v>1</v>
      </c>
      <c r="S3166" s="23">
        <f t="shared" si="775"/>
        <v>0</v>
      </c>
      <c r="T3166" s="23" t="str">
        <f t="shared" si="776"/>
        <v/>
      </c>
      <c r="U3166" t="str">
        <f t="shared" si="777"/>
        <v/>
      </c>
      <c r="AF3166" s="88"/>
      <c r="AG3166" s="89"/>
      <c r="AH3166" s="274"/>
      <c r="AI3166" s="279"/>
      <c r="AJ3166" s="280"/>
      <c r="AK3166" s="92"/>
      <c r="AL3166" s="23"/>
      <c r="AU3166" s="1"/>
    </row>
    <row r="3167" spans="1:47">
      <c r="A3167" t="str">
        <f t="shared" si="770"/>
        <v>PA_Alleg_2019g~Gen-district attorney (vote for 1)</v>
      </c>
      <c r="B3167" s="55" t="s">
        <v>1528</v>
      </c>
      <c r="C3167">
        <v>14</v>
      </c>
      <c r="D3167" s="55" t="s">
        <v>25</v>
      </c>
      <c r="E3167" s="55" t="s">
        <v>27</v>
      </c>
      <c r="F3167" t="s">
        <v>1396</v>
      </c>
      <c r="G3167" s="62">
        <v>154015</v>
      </c>
      <c r="H3167">
        <v>57.08</v>
      </c>
      <c r="I3167">
        <v>957735</v>
      </c>
      <c r="J3167">
        <v>0</v>
      </c>
      <c r="K3167">
        <v>1322</v>
      </c>
      <c r="L3167">
        <v>1322</v>
      </c>
      <c r="M3167">
        <v>0</v>
      </c>
      <c r="N3167" s="23">
        <v>0</v>
      </c>
      <c r="O3167">
        <f t="shared" si="771"/>
        <v>1</v>
      </c>
      <c r="P3167" s="57">
        <f t="shared" si="772"/>
        <v>1</v>
      </c>
      <c r="Q3167" s="267">
        <f t="shared" si="773"/>
        <v>269828</v>
      </c>
      <c r="R3167" s="23">
        <f t="shared" si="774"/>
        <v>154015</v>
      </c>
      <c r="S3167" s="23">
        <f t="shared" si="775"/>
        <v>115404</v>
      </c>
      <c r="T3167" s="23">
        <f t="shared" si="776"/>
        <v>38611</v>
      </c>
      <c r="U3167" t="str">
        <f t="shared" si="777"/>
        <v>PA_Alleg_2019g~Gen-district attorney (vote for 1)</v>
      </c>
      <c r="AF3167" s="88"/>
      <c r="AG3167" s="89"/>
      <c r="AH3167" s="274"/>
      <c r="AI3167" s="279"/>
      <c r="AJ3167" s="280"/>
      <c r="AK3167" s="92"/>
      <c r="AL3167" s="23"/>
      <c r="AU3167" s="1"/>
    </row>
    <row r="3168" spans="1:47">
      <c r="A3168" t="str">
        <f t="shared" si="770"/>
        <v>PA_Alleg_2019g~Gen-district attorney (vote for 1)</v>
      </c>
      <c r="B3168" s="55" t="s">
        <v>1528</v>
      </c>
      <c r="C3168">
        <v>15</v>
      </c>
      <c r="D3168" s="55" t="s">
        <v>25</v>
      </c>
      <c r="E3168" s="55" t="s">
        <v>1398</v>
      </c>
      <c r="F3168" t="s">
        <v>1399</v>
      </c>
      <c r="G3168" s="62">
        <v>115404</v>
      </c>
      <c r="H3168">
        <v>42.77</v>
      </c>
      <c r="I3168">
        <v>957735</v>
      </c>
      <c r="J3168">
        <v>0</v>
      </c>
      <c r="K3168">
        <v>1322</v>
      </c>
      <c r="L3168">
        <v>1322</v>
      </c>
      <c r="M3168">
        <v>0</v>
      </c>
      <c r="N3168" s="23">
        <v>0</v>
      </c>
      <c r="O3168">
        <f t="shared" si="771"/>
        <v>2</v>
      </c>
      <c r="P3168" s="57">
        <f t="shared" si="772"/>
        <v>1</v>
      </c>
      <c r="Q3168" s="267">
        <f t="shared" si="773"/>
        <v>115813</v>
      </c>
      <c r="R3168" s="23" t="str">
        <f t="shared" si="774"/>
        <v/>
      </c>
      <c r="S3168" s="23">
        <f t="shared" si="775"/>
        <v>115404</v>
      </c>
      <c r="T3168" s="23" t="str">
        <f t="shared" si="776"/>
        <v/>
      </c>
      <c r="U3168" t="str">
        <f t="shared" si="777"/>
        <v/>
      </c>
      <c r="AF3168" s="88"/>
      <c r="AG3168" s="89"/>
      <c r="AH3168" s="274"/>
      <c r="AI3168" s="279"/>
      <c r="AJ3168" s="280"/>
      <c r="AK3168" s="92"/>
      <c r="AL3168" s="23"/>
      <c r="AU3168" s="1"/>
    </row>
    <row r="3169" spans="1:47">
      <c r="A3169" t="str">
        <f t="shared" si="770"/>
        <v>PA_Alleg_2019g~Gen-district attorney (vote for 1)</v>
      </c>
      <c r="B3169" s="55" t="s">
        <v>1528</v>
      </c>
      <c r="C3169">
        <v>16</v>
      </c>
      <c r="D3169" s="55" t="s">
        <v>25</v>
      </c>
      <c r="E3169" s="55" t="s">
        <v>15</v>
      </c>
      <c r="G3169" s="62">
        <v>409</v>
      </c>
      <c r="H3169">
        <v>0.15</v>
      </c>
      <c r="I3169">
        <v>957735</v>
      </c>
      <c r="J3169">
        <v>0</v>
      </c>
      <c r="K3169">
        <v>1322</v>
      </c>
      <c r="L3169">
        <v>1322</v>
      </c>
      <c r="M3169">
        <v>0</v>
      </c>
      <c r="N3169" s="23">
        <v>0</v>
      </c>
      <c r="O3169">
        <f t="shared" si="771"/>
        <v>-2</v>
      </c>
      <c r="P3169" s="57">
        <f t="shared" si="772"/>
        <v>1</v>
      </c>
      <c r="Q3169" s="267">
        <f t="shared" si="773"/>
        <v>409</v>
      </c>
      <c r="R3169" s="23">
        <f t="shared" si="774"/>
        <v>1</v>
      </c>
      <c r="S3169" s="23">
        <f t="shared" si="775"/>
        <v>0</v>
      </c>
      <c r="T3169" s="23" t="str">
        <f t="shared" si="776"/>
        <v/>
      </c>
      <c r="U3169" t="str">
        <f t="shared" si="777"/>
        <v/>
      </c>
      <c r="AF3169" s="88"/>
      <c r="AG3169" s="89"/>
      <c r="AH3169" s="274"/>
      <c r="AI3169" s="279"/>
      <c r="AJ3169" s="280"/>
      <c r="AK3169" s="92"/>
      <c r="AL3169" s="23"/>
      <c r="AU3169" s="1"/>
    </row>
    <row r="3170" spans="1:47">
      <c r="A3170" t="str">
        <f t="shared" si="770"/>
        <v>PA_Alleg_2019g~Gen-judge of the court of common pleas (vote for 1)</v>
      </c>
      <c r="B3170" s="55" t="s">
        <v>1528</v>
      </c>
      <c r="C3170">
        <v>6</v>
      </c>
      <c r="D3170" s="55" t="s">
        <v>16</v>
      </c>
      <c r="E3170" s="55" t="s">
        <v>18</v>
      </c>
      <c r="F3170" t="s">
        <v>1396</v>
      </c>
      <c r="G3170" s="62">
        <v>237619</v>
      </c>
      <c r="H3170">
        <v>99.28</v>
      </c>
      <c r="I3170">
        <v>957735</v>
      </c>
      <c r="J3170">
        <v>0</v>
      </c>
      <c r="K3170">
        <v>1322</v>
      </c>
      <c r="L3170">
        <v>1322</v>
      </c>
      <c r="M3170">
        <v>0</v>
      </c>
      <c r="N3170" s="23">
        <v>0</v>
      </c>
      <c r="O3170">
        <f t="shared" si="771"/>
        <v>1</v>
      </c>
      <c r="P3170" s="57">
        <f t="shared" si="772"/>
        <v>1</v>
      </c>
      <c r="Q3170" s="267">
        <f t="shared" si="773"/>
        <v>239349</v>
      </c>
      <c r="R3170" s="23">
        <f t="shared" si="774"/>
        <v>237619</v>
      </c>
      <c r="S3170" s="23">
        <f t="shared" si="775"/>
        <v>0</v>
      </c>
      <c r="T3170" s="23" t="str">
        <f t="shared" si="776"/>
        <v/>
      </c>
      <c r="U3170" t="str">
        <f t="shared" si="777"/>
        <v>PA_Alleg_2019g~Gen-judge of the court of common pleas (vote for 1)</v>
      </c>
      <c r="AF3170" s="88"/>
      <c r="AG3170" s="89"/>
      <c r="AH3170" s="274"/>
      <c r="AI3170" s="279"/>
      <c r="AJ3170" s="280"/>
      <c r="AK3170" s="92"/>
      <c r="AL3170" s="23"/>
      <c r="AU3170" s="1"/>
    </row>
    <row r="3171" spans="1:47">
      <c r="A3171" t="str">
        <f t="shared" si="770"/>
        <v>PA_Alleg_2019g~Gen-judge of the court of common pleas (vote for 1)</v>
      </c>
      <c r="B3171" s="55" t="s">
        <v>1528</v>
      </c>
      <c r="C3171">
        <v>7</v>
      </c>
      <c r="D3171" s="55" t="s">
        <v>16</v>
      </c>
      <c r="E3171" s="55" t="s">
        <v>15</v>
      </c>
      <c r="G3171" s="62">
        <v>1730</v>
      </c>
      <c r="H3171">
        <v>0.72</v>
      </c>
      <c r="I3171">
        <v>957735</v>
      </c>
      <c r="J3171">
        <v>0</v>
      </c>
      <c r="K3171">
        <v>1322</v>
      </c>
      <c r="L3171">
        <v>1322</v>
      </c>
      <c r="M3171">
        <v>0</v>
      </c>
      <c r="N3171" s="23">
        <v>0</v>
      </c>
      <c r="O3171">
        <f t="shared" si="771"/>
        <v>-1</v>
      </c>
      <c r="P3171" s="57">
        <f t="shared" si="772"/>
        <v>1</v>
      </c>
      <c r="Q3171" s="267">
        <f t="shared" si="773"/>
        <v>1730</v>
      </c>
      <c r="R3171" s="23">
        <f t="shared" si="774"/>
        <v>1</v>
      </c>
      <c r="S3171" s="23">
        <f t="shared" si="775"/>
        <v>0</v>
      </c>
      <c r="T3171" s="23" t="str">
        <f t="shared" si="776"/>
        <v/>
      </c>
      <c r="U3171" t="str">
        <f t="shared" si="777"/>
        <v/>
      </c>
      <c r="AF3171" s="88"/>
      <c r="AG3171" s="89"/>
      <c r="AH3171" s="274"/>
      <c r="AI3171" s="279"/>
      <c r="AJ3171" s="280"/>
      <c r="AK3171" s="92"/>
      <c r="AL3171" s="23"/>
      <c r="AU3171" s="1"/>
    </row>
    <row r="3172" spans="1:47">
      <c r="A3172" t="str">
        <f t="shared" si="770"/>
        <v>PA_Alleg_2019g~Gen-judge of the superior court (vote for 2)</v>
      </c>
      <c r="B3172" s="55" t="s">
        <v>1528</v>
      </c>
      <c r="C3172">
        <v>2</v>
      </c>
      <c r="D3172" s="55" t="s">
        <v>10</v>
      </c>
      <c r="E3172" s="55" t="s">
        <v>13</v>
      </c>
      <c r="F3172" t="s">
        <v>1294</v>
      </c>
      <c r="G3172" s="62">
        <v>153943</v>
      </c>
      <c r="H3172">
        <v>31.7</v>
      </c>
      <c r="I3172">
        <v>957735</v>
      </c>
      <c r="J3172">
        <v>0</v>
      </c>
      <c r="K3172">
        <v>1322</v>
      </c>
      <c r="L3172">
        <v>1322</v>
      </c>
      <c r="M3172">
        <v>0</v>
      </c>
      <c r="N3172" s="23">
        <v>0</v>
      </c>
      <c r="O3172">
        <f t="shared" si="771"/>
        <v>1</v>
      </c>
      <c r="P3172" s="57">
        <f t="shared" si="772"/>
        <v>2</v>
      </c>
      <c r="Q3172" s="267">
        <f t="shared" si="773"/>
        <v>242786.5</v>
      </c>
      <c r="R3172" s="23">
        <f t="shared" si="774"/>
        <v>153648</v>
      </c>
      <c r="S3172" s="23">
        <f t="shared" si="775"/>
        <v>94703</v>
      </c>
      <c r="T3172" s="23">
        <f t="shared" si="776"/>
        <v>58945</v>
      </c>
      <c r="U3172" t="str">
        <f t="shared" si="777"/>
        <v>PA_Alleg_2019g~Gen-judge of the superior court (vote for 2)</v>
      </c>
      <c r="AF3172" s="88"/>
      <c r="AG3172" s="89"/>
      <c r="AH3172" s="274"/>
      <c r="AI3172" s="279"/>
      <c r="AJ3172" s="280"/>
      <c r="AK3172" s="92"/>
      <c r="AL3172" s="23"/>
      <c r="AU3172" s="1"/>
    </row>
    <row r="3173" spans="1:47">
      <c r="A3173" t="str">
        <f t="shared" si="770"/>
        <v>PA_Alleg_2019g~Gen-judge of the superior court (vote for 2)</v>
      </c>
      <c r="B3173" s="55" t="s">
        <v>1528</v>
      </c>
      <c r="C3173">
        <v>1</v>
      </c>
      <c r="D3173" s="55" t="s">
        <v>10</v>
      </c>
      <c r="E3173" s="55" t="s">
        <v>14</v>
      </c>
      <c r="F3173" t="s">
        <v>1294</v>
      </c>
      <c r="G3173" s="62">
        <v>153648</v>
      </c>
      <c r="H3173">
        <v>31.64</v>
      </c>
      <c r="I3173">
        <v>957735</v>
      </c>
      <c r="J3173">
        <v>0</v>
      </c>
      <c r="K3173">
        <v>1322</v>
      </c>
      <c r="L3173">
        <v>1322</v>
      </c>
      <c r="M3173">
        <v>0</v>
      </c>
      <c r="N3173" s="23">
        <v>0</v>
      </c>
      <c r="O3173">
        <f t="shared" si="771"/>
        <v>2</v>
      </c>
      <c r="P3173" s="57">
        <f t="shared" si="772"/>
        <v>2</v>
      </c>
      <c r="Q3173" s="267">
        <f t="shared" si="773"/>
        <v>331630</v>
      </c>
      <c r="R3173" s="23">
        <f t="shared" si="774"/>
        <v>153648</v>
      </c>
      <c r="S3173" s="23">
        <f t="shared" si="775"/>
        <v>94703</v>
      </c>
      <c r="T3173" s="23" t="str">
        <f t="shared" si="776"/>
        <v/>
      </c>
      <c r="U3173" t="str">
        <f t="shared" si="777"/>
        <v/>
      </c>
      <c r="AF3173" s="88"/>
      <c r="AG3173" s="89"/>
      <c r="AH3173" s="274"/>
      <c r="AI3173" s="279"/>
      <c r="AJ3173" s="280"/>
      <c r="AK3173" s="92"/>
      <c r="AL3173" s="23"/>
      <c r="AU3173" s="1"/>
    </row>
    <row r="3174" spans="1:47">
      <c r="A3174" t="str">
        <f t="shared" si="770"/>
        <v>PA_Alleg_2019g~Gen-judge of the superior court (vote for 2)</v>
      </c>
      <c r="B3174" s="55" t="s">
        <v>1528</v>
      </c>
      <c r="C3174">
        <v>3</v>
      </c>
      <c r="D3174" s="55" t="s">
        <v>10</v>
      </c>
      <c r="E3174" s="55" t="s">
        <v>1118</v>
      </c>
      <c r="F3174" t="s">
        <v>1296</v>
      </c>
      <c r="G3174" s="62">
        <v>94703</v>
      </c>
      <c r="H3174">
        <v>19.5</v>
      </c>
      <c r="I3174">
        <v>957735</v>
      </c>
      <c r="J3174">
        <v>0</v>
      </c>
      <c r="K3174">
        <v>1322</v>
      </c>
      <c r="L3174">
        <v>1322</v>
      </c>
      <c r="M3174">
        <v>0</v>
      </c>
      <c r="N3174" s="23">
        <v>0</v>
      </c>
      <c r="O3174">
        <f t="shared" si="771"/>
        <v>3</v>
      </c>
      <c r="P3174" s="57">
        <f t="shared" si="772"/>
        <v>2</v>
      </c>
      <c r="Q3174" s="267">
        <f t="shared" si="773"/>
        <v>177982</v>
      </c>
      <c r="R3174" s="23" t="str">
        <f t="shared" si="774"/>
        <v/>
      </c>
      <c r="S3174" s="23">
        <f t="shared" si="775"/>
        <v>94703</v>
      </c>
      <c r="T3174" s="23" t="str">
        <f t="shared" si="776"/>
        <v/>
      </c>
      <c r="U3174" t="str">
        <f t="shared" si="777"/>
        <v/>
      </c>
      <c r="AF3174" s="88"/>
      <c r="AG3174" s="89"/>
      <c r="AH3174" s="274"/>
      <c r="AI3174" s="279"/>
      <c r="AJ3174" s="280"/>
      <c r="AK3174" s="92"/>
      <c r="AL3174" s="23"/>
      <c r="AU3174" s="1"/>
    </row>
    <row r="3175" spans="1:47">
      <c r="A3175" t="str">
        <f t="shared" si="770"/>
        <v>PA_Alleg_2019g~Gen-judge of the superior court (vote for 2)</v>
      </c>
      <c r="B3175" s="55" t="s">
        <v>1528</v>
      </c>
      <c r="C3175">
        <v>4</v>
      </c>
      <c r="D3175" s="55" t="s">
        <v>10</v>
      </c>
      <c r="E3175" s="55" t="s">
        <v>1119</v>
      </c>
      <c r="F3175" t="s">
        <v>1296</v>
      </c>
      <c r="G3175" s="62">
        <v>82703</v>
      </c>
      <c r="H3175">
        <v>17.03</v>
      </c>
      <c r="I3175">
        <v>957735</v>
      </c>
      <c r="J3175">
        <v>0</v>
      </c>
      <c r="K3175">
        <v>1322</v>
      </c>
      <c r="L3175">
        <v>1322</v>
      </c>
      <c r="M3175">
        <v>0</v>
      </c>
      <c r="N3175" s="23">
        <v>0</v>
      </c>
      <c r="O3175">
        <f t="shared" si="771"/>
        <v>4</v>
      </c>
      <c r="P3175" s="57">
        <f t="shared" si="772"/>
        <v>2</v>
      </c>
      <c r="Q3175" s="267">
        <f t="shared" si="773"/>
        <v>83279</v>
      </c>
      <c r="R3175" s="23" t="str">
        <f t="shared" si="774"/>
        <v/>
      </c>
      <c r="S3175" s="23">
        <f t="shared" si="775"/>
        <v>82703</v>
      </c>
      <c r="T3175" s="23" t="str">
        <f t="shared" si="776"/>
        <v/>
      </c>
      <c r="U3175" t="str">
        <f t="shared" si="777"/>
        <v/>
      </c>
      <c r="AF3175" s="88"/>
      <c r="AG3175" s="89"/>
      <c r="AH3175" s="274"/>
      <c r="AI3175" s="279"/>
      <c r="AJ3175" s="280"/>
      <c r="AK3175" s="92"/>
      <c r="AL3175" s="23"/>
      <c r="AU3175" s="1"/>
    </row>
    <row r="3176" spans="1:47">
      <c r="A3176" t="str">
        <f t="shared" si="770"/>
        <v>PA_Alleg_2019g~Gen-judge of the superior court (vote for 2)</v>
      </c>
      <c r="B3176" s="55" t="s">
        <v>1528</v>
      </c>
      <c r="C3176">
        <v>5</v>
      </c>
      <c r="D3176" s="55" t="s">
        <v>10</v>
      </c>
      <c r="E3176" s="55" t="s">
        <v>15</v>
      </c>
      <c r="G3176" s="62">
        <v>576</v>
      </c>
      <c r="H3176">
        <v>0.12</v>
      </c>
      <c r="I3176">
        <v>957735</v>
      </c>
      <c r="J3176">
        <v>0</v>
      </c>
      <c r="K3176">
        <v>1322</v>
      </c>
      <c r="L3176">
        <v>1322</v>
      </c>
      <c r="M3176">
        <v>0</v>
      </c>
      <c r="N3176" s="23">
        <v>0</v>
      </c>
      <c r="O3176">
        <f t="shared" si="771"/>
        <v>-4</v>
      </c>
      <c r="P3176" s="57">
        <f t="shared" si="772"/>
        <v>2</v>
      </c>
      <c r="Q3176" s="267">
        <f t="shared" si="773"/>
        <v>576</v>
      </c>
      <c r="R3176" s="23">
        <f t="shared" si="774"/>
        <v>1</v>
      </c>
      <c r="S3176" s="23">
        <f t="shared" si="775"/>
        <v>0</v>
      </c>
      <c r="T3176" s="23" t="str">
        <f t="shared" si="776"/>
        <v/>
      </c>
      <c r="U3176" t="str">
        <f t="shared" si="777"/>
        <v/>
      </c>
      <c r="AF3176" s="88"/>
      <c r="AG3176" s="89"/>
      <c r="AH3176" s="274"/>
      <c r="AI3176" s="279"/>
      <c r="AJ3176" s="280"/>
      <c r="AK3176" s="92"/>
      <c r="AL3176" s="23"/>
      <c r="AU3176" s="1"/>
    </row>
    <row r="3177" spans="1:47">
      <c r="A3177" t="str">
        <f t="shared" si="770"/>
        <v>PA_Alleg_2019g~Gen-magisterial district judge 05-02-13 (vote for 1)</v>
      </c>
      <c r="B3177" s="55" t="s">
        <v>1528</v>
      </c>
      <c r="C3177">
        <v>68</v>
      </c>
      <c r="D3177" s="55" t="s">
        <v>83</v>
      </c>
      <c r="E3177" s="55" t="s">
        <v>84</v>
      </c>
      <c r="F3177" t="s">
        <v>1396</v>
      </c>
      <c r="G3177" s="62">
        <v>2860</v>
      </c>
      <c r="H3177">
        <v>99.58</v>
      </c>
      <c r="I3177">
        <v>12613</v>
      </c>
      <c r="J3177">
        <v>0</v>
      </c>
      <c r="K3177">
        <v>32</v>
      </c>
      <c r="L3177">
        <v>32</v>
      </c>
      <c r="M3177">
        <v>0</v>
      </c>
      <c r="N3177" s="23">
        <v>0</v>
      </c>
      <c r="O3177">
        <f t="shared" si="771"/>
        <v>1</v>
      </c>
      <c r="P3177" s="57">
        <f t="shared" si="772"/>
        <v>1</v>
      </c>
      <c r="Q3177" s="267">
        <f t="shared" si="773"/>
        <v>2872</v>
      </c>
      <c r="R3177" s="23">
        <f t="shared" si="774"/>
        <v>2860</v>
      </c>
      <c r="S3177" s="23">
        <f t="shared" si="775"/>
        <v>0</v>
      </c>
      <c r="T3177" s="23" t="str">
        <f t="shared" si="776"/>
        <v/>
      </c>
      <c r="U3177" t="str">
        <f t="shared" si="777"/>
        <v>PA_Alleg_2019g~Gen-magisterial district judge 05-02-13 (vote for 1)</v>
      </c>
      <c r="AF3177" s="88"/>
      <c r="AG3177" s="89"/>
      <c r="AH3177" s="274"/>
      <c r="AI3177" s="279"/>
      <c r="AJ3177" s="280"/>
      <c r="AK3177" s="92"/>
      <c r="AL3177" s="23"/>
      <c r="AU3177" s="1"/>
    </row>
    <row r="3178" spans="1:47">
      <c r="A3178" t="str">
        <f t="shared" si="770"/>
        <v>PA_Alleg_2019g~Gen-magisterial district judge 05-02-13 (vote for 1)</v>
      </c>
      <c r="B3178" s="55" t="s">
        <v>1528</v>
      </c>
      <c r="C3178">
        <v>69</v>
      </c>
      <c r="D3178" s="55" t="s">
        <v>83</v>
      </c>
      <c r="E3178" s="55" t="s">
        <v>15</v>
      </c>
      <c r="G3178" s="62">
        <v>12</v>
      </c>
      <c r="H3178">
        <v>0.42</v>
      </c>
      <c r="I3178">
        <v>12613</v>
      </c>
      <c r="J3178">
        <v>0</v>
      </c>
      <c r="K3178">
        <v>32</v>
      </c>
      <c r="L3178">
        <v>32</v>
      </c>
      <c r="M3178">
        <v>0</v>
      </c>
      <c r="N3178" s="23">
        <v>0</v>
      </c>
      <c r="O3178">
        <f t="shared" si="771"/>
        <v>-1</v>
      </c>
      <c r="P3178" s="57">
        <f t="shared" si="772"/>
        <v>1</v>
      </c>
      <c r="Q3178" s="267">
        <f t="shared" si="773"/>
        <v>12</v>
      </c>
      <c r="R3178" s="23">
        <f t="shared" si="774"/>
        <v>1</v>
      </c>
      <c r="S3178" s="23">
        <f t="shared" si="775"/>
        <v>0</v>
      </c>
      <c r="T3178" s="23" t="str">
        <f t="shared" si="776"/>
        <v/>
      </c>
      <c r="U3178" t="str">
        <f t="shared" si="777"/>
        <v/>
      </c>
      <c r="AF3178" s="88"/>
      <c r="AU3178" s="1"/>
    </row>
    <row r="3179" spans="1:47">
      <c r="A3179" t="str">
        <f t="shared" si="770"/>
        <v>PA_Alleg_2019g~Gen-magisterial district judge 05-02-14 (vote for 1)</v>
      </c>
      <c r="B3179" s="55" t="s">
        <v>1528</v>
      </c>
      <c r="C3179">
        <v>70</v>
      </c>
      <c r="D3179" s="55" t="s">
        <v>85</v>
      </c>
      <c r="E3179" s="55" t="s">
        <v>86</v>
      </c>
      <c r="F3179" t="s">
        <v>1396</v>
      </c>
      <c r="G3179" s="62">
        <v>4587</v>
      </c>
      <c r="H3179">
        <v>98.77</v>
      </c>
      <c r="I3179">
        <v>17691</v>
      </c>
      <c r="J3179">
        <v>0</v>
      </c>
      <c r="K3179">
        <v>29</v>
      </c>
      <c r="L3179">
        <v>29</v>
      </c>
      <c r="M3179">
        <v>0</v>
      </c>
      <c r="N3179" s="23">
        <v>0</v>
      </c>
      <c r="O3179">
        <f t="shared" si="771"/>
        <v>1</v>
      </c>
      <c r="P3179" s="57">
        <f t="shared" si="772"/>
        <v>1</v>
      </c>
      <c r="Q3179" s="267">
        <f t="shared" si="773"/>
        <v>4644</v>
      </c>
      <c r="R3179" s="23">
        <f t="shared" si="774"/>
        <v>4587</v>
      </c>
      <c r="S3179" s="23">
        <f t="shared" si="775"/>
        <v>0</v>
      </c>
      <c r="T3179" s="23" t="str">
        <f t="shared" si="776"/>
        <v/>
      </c>
      <c r="U3179" t="str">
        <f t="shared" si="777"/>
        <v>PA_Alleg_2019g~Gen-magisterial district judge 05-02-14 (vote for 1)</v>
      </c>
      <c r="AF3179" s="88"/>
      <c r="AH3179" s="8"/>
      <c r="AL3179" s="23"/>
      <c r="AU3179" s="1"/>
    </row>
    <row r="3180" spans="1:47">
      <c r="A3180" t="str">
        <f t="shared" si="770"/>
        <v>PA_Alleg_2019g~Gen-magisterial district judge 05-02-14 (vote for 1)</v>
      </c>
      <c r="B3180" s="55" t="s">
        <v>1528</v>
      </c>
      <c r="C3180">
        <v>71</v>
      </c>
      <c r="D3180" s="55" t="s">
        <v>85</v>
      </c>
      <c r="E3180" s="55" t="s">
        <v>15</v>
      </c>
      <c r="G3180" s="62">
        <v>57</v>
      </c>
      <c r="H3180">
        <v>1.23</v>
      </c>
      <c r="I3180">
        <v>17691</v>
      </c>
      <c r="J3180">
        <v>0</v>
      </c>
      <c r="K3180">
        <v>29</v>
      </c>
      <c r="L3180">
        <v>29</v>
      </c>
      <c r="M3180">
        <v>0</v>
      </c>
      <c r="N3180" s="23">
        <v>0</v>
      </c>
      <c r="O3180">
        <f t="shared" si="771"/>
        <v>-1</v>
      </c>
      <c r="P3180" s="57">
        <f t="shared" si="772"/>
        <v>1</v>
      </c>
      <c r="Q3180" s="267">
        <f t="shared" si="773"/>
        <v>57</v>
      </c>
      <c r="R3180" s="23">
        <f t="shared" si="774"/>
        <v>1</v>
      </c>
      <c r="S3180" s="23">
        <f t="shared" si="775"/>
        <v>0</v>
      </c>
      <c r="T3180" s="23" t="str">
        <f t="shared" si="776"/>
        <v/>
      </c>
      <c r="U3180" t="str">
        <f t="shared" si="777"/>
        <v/>
      </c>
      <c r="AF3180" s="88"/>
      <c r="AH3180" s="8"/>
      <c r="AL3180" s="23"/>
      <c r="AU3180" s="1"/>
    </row>
    <row r="3181" spans="1:47">
      <c r="A3181" t="str">
        <f t="shared" si="770"/>
        <v>PA_Alleg_2019g~Gen-magisterial district judge 05-02-25 (vote for 1)</v>
      </c>
      <c r="B3181" s="55" t="s">
        <v>1528</v>
      </c>
      <c r="C3181">
        <v>72</v>
      </c>
      <c r="D3181" s="55" t="s">
        <v>87</v>
      </c>
      <c r="E3181" s="55" t="s">
        <v>88</v>
      </c>
      <c r="F3181" t="s">
        <v>1294</v>
      </c>
      <c r="G3181" s="62">
        <v>4182</v>
      </c>
      <c r="H3181">
        <v>57.31</v>
      </c>
      <c r="I3181">
        <v>25768</v>
      </c>
      <c r="J3181">
        <v>0</v>
      </c>
      <c r="K3181">
        <v>25</v>
      </c>
      <c r="L3181">
        <v>25</v>
      </c>
      <c r="M3181">
        <v>0</v>
      </c>
      <c r="N3181" s="23">
        <v>0</v>
      </c>
      <c r="O3181">
        <f t="shared" si="771"/>
        <v>1</v>
      </c>
      <c r="P3181" s="57">
        <f t="shared" si="772"/>
        <v>1</v>
      </c>
      <c r="Q3181" s="267">
        <f t="shared" si="773"/>
        <v>7297</v>
      </c>
      <c r="R3181" s="23">
        <f t="shared" si="774"/>
        <v>4182</v>
      </c>
      <c r="S3181" s="23">
        <f t="shared" si="775"/>
        <v>3108</v>
      </c>
      <c r="T3181" s="23">
        <f t="shared" si="776"/>
        <v>1074</v>
      </c>
      <c r="U3181" t="str">
        <f t="shared" si="777"/>
        <v>PA_Alleg_2019g~Gen-magisterial district judge 05-02-25 (vote for 1)</v>
      </c>
      <c r="AF3181" s="88"/>
      <c r="AH3181" s="8"/>
      <c r="AL3181" s="23"/>
      <c r="AU3181" s="1"/>
    </row>
    <row r="3182" spans="1:47">
      <c r="A3182" t="str">
        <f t="shared" si="770"/>
        <v>PA_Alleg_2019g~Gen-magisterial district judge 05-02-25 (vote for 1)</v>
      </c>
      <c r="B3182" s="55" t="s">
        <v>1528</v>
      </c>
      <c r="C3182">
        <v>73</v>
      </c>
      <c r="D3182" s="55" t="s">
        <v>87</v>
      </c>
      <c r="E3182" s="55" t="s">
        <v>90</v>
      </c>
      <c r="F3182" t="s">
        <v>1296</v>
      </c>
      <c r="G3182" s="62">
        <v>3108</v>
      </c>
      <c r="H3182">
        <v>42.59</v>
      </c>
      <c r="I3182">
        <v>25768</v>
      </c>
      <c r="J3182">
        <v>0</v>
      </c>
      <c r="K3182">
        <v>25</v>
      </c>
      <c r="L3182">
        <v>25</v>
      </c>
      <c r="M3182">
        <v>0</v>
      </c>
      <c r="N3182" s="23">
        <v>0</v>
      </c>
      <c r="O3182">
        <f t="shared" si="771"/>
        <v>2</v>
      </c>
      <c r="P3182" s="57">
        <f t="shared" si="772"/>
        <v>1</v>
      </c>
      <c r="Q3182" s="267">
        <f t="shared" si="773"/>
        <v>3115</v>
      </c>
      <c r="R3182" s="23" t="str">
        <f t="shared" si="774"/>
        <v/>
      </c>
      <c r="S3182" s="23">
        <f t="shared" si="775"/>
        <v>3108</v>
      </c>
      <c r="T3182" s="23" t="str">
        <f t="shared" si="776"/>
        <v/>
      </c>
      <c r="U3182" t="str">
        <f t="shared" si="777"/>
        <v/>
      </c>
      <c r="AF3182" s="88"/>
      <c r="AH3182" s="8"/>
      <c r="AL3182" s="23"/>
      <c r="AU3182" s="1"/>
    </row>
    <row r="3183" spans="1:47">
      <c r="A3183" t="str">
        <f t="shared" si="770"/>
        <v>PA_Alleg_2019g~Gen-magisterial district judge 05-02-25 (vote for 1)</v>
      </c>
      <c r="B3183" s="55" t="s">
        <v>1528</v>
      </c>
      <c r="C3183">
        <v>74</v>
      </c>
      <c r="D3183" s="55" t="s">
        <v>87</v>
      </c>
      <c r="E3183" s="55" t="s">
        <v>15</v>
      </c>
      <c r="G3183" s="62">
        <v>7</v>
      </c>
      <c r="H3183">
        <v>0.1</v>
      </c>
      <c r="I3183">
        <v>25768</v>
      </c>
      <c r="J3183">
        <v>0</v>
      </c>
      <c r="K3183">
        <v>25</v>
      </c>
      <c r="L3183">
        <v>25</v>
      </c>
      <c r="M3183">
        <v>0</v>
      </c>
      <c r="N3183" s="23">
        <v>0</v>
      </c>
      <c r="O3183">
        <f t="shared" si="771"/>
        <v>-2</v>
      </c>
      <c r="P3183" s="57">
        <f t="shared" si="772"/>
        <v>1</v>
      </c>
      <c r="Q3183" s="267">
        <f t="shared" si="773"/>
        <v>7</v>
      </c>
      <c r="R3183" s="23">
        <f t="shared" si="774"/>
        <v>1</v>
      </c>
      <c r="S3183" s="23">
        <f t="shared" si="775"/>
        <v>0</v>
      </c>
      <c r="T3183" s="23" t="str">
        <f t="shared" si="776"/>
        <v/>
      </c>
      <c r="U3183" t="str">
        <f t="shared" si="777"/>
        <v/>
      </c>
      <c r="AF3183" s="88"/>
      <c r="AH3183" s="8"/>
      <c r="AL3183" s="23"/>
      <c r="AU3183" s="1"/>
    </row>
    <row r="3184" spans="1:47">
      <c r="A3184" t="str">
        <f t="shared" si="770"/>
        <v>PA_Alleg_2019g~Gen-magisterial district judge 05-02-26 (vote for 1)</v>
      </c>
      <c r="B3184" s="55" t="s">
        <v>1528</v>
      </c>
      <c r="C3184">
        <v>75</v>
      </c>
      <c r="D3184" s="55" t="s">
        <v>91</v>
      </c>
      <c r="E3184" s="55" t="s">
        <v>92</v>
      </c>
      <c r="F3184" t="s">
        <v>1396</v>
      </c>
      <c r="G3184" s="62">
        <v>3447</v>
      </c>
      <c r="H3184">
        <v>99.25</v>
      </c>
      <c r="I3184">
        <v>12701</v>
      </c>
      <c r="J3184">
        <v>0</v>
      </c>
      <c r="K3184">
        <v>17</v>
      </c>
      <c r="L3184">
        <v>17</v>
      </c>
      <c r="M3184">
        <v>0</v>
      </c>
      <c r="N3184" s="23">
        <v>0</v>
      </c>
      <c r="O3184">
        <f t="shared" si="771"/>
        <v>1</v>
      </c>
      <c r="P3184" s="57">
        <f t="shared" si="772"/>
        <v>1</v>
      </c>
      <c r="Q3184" s="267">
        <f t="shared" si="773"/>
        <v>3473</v>
      </c>
      <c r="R3184" s="23">
        <f t="shared" si="774"/>
        <v>3447</v>
      </c>
      <c r="S3184" s="23">
        <f t="shared" si="775"/>
        <v>0</v>
      </c>
      <c r="T3184" s="23" t="str">
        <f t="shared" si="776"/>
        <v/>
      </c>
      <c r="U3184" t="str">
        <f t="shared" si="777"/>
        <v>PA_Alleg_2019g~Gen-magisterial district judge 05-02-26 (vote for 1)</v>
      </c>
      <c r="AF3184" s="88"/>
      <c r="AH3184" s="8"/>
      <c r="AL3184" s="23"/>
      <c r="AU3184" s="1"/>
    </row>
    <row r="3185" spans="1:47">
      <c r="A3185" t="str">
        <f t="shared" si="770"/>
        <v>PA_Alleg_2019g~Gen-magisterial district judge 05-02-26 (vote for 1)</v>
      </c>
      <c r="B3185" s="55" t="s">
        <v>1528</v>
      </c>
      <c r="C3185">
        <v>76</v>
      </c>
      <c r="D3185" s="55" t="s">
        <v>91</v>
      </c>
      <c r="E3185" s="55" t="s">
        <v>15</v>
      </c>
      <c r="G3185" s="62">
        <v>26</v>
      </c>
      <c r="H3185">
        <v>0.75</v>
      </c>
      <c r="I3185">
        <v>12701</v>
      </c>
      <c r="J3185">
        <v>0</v>
      </c>
      <c r="K3185">
        <v>17</v>
      </c>
      <c r="L3185">
        <v>17</v>
      </c>
      <c r="M3185">
        <v>0</v>
      </c>
      <c r="N3185" s="23">
        <v>0</v>
      </c>
      <c r="O3185">
        <f t="shared" si="771"/>
        <v>-1</v>
      </c>
      <c r="P3185" s="57">
        <f t="shared" si="772"/>
        <v>1</v>
      </c>
      <c r="Q3185" s="267">
        <f t="shared" si="773"/>
        <v>26</v>
      </c>
      <c r="R3185" s="23">
        <f t="shared" si="774"/>
        <v>1</v>
      </c>
      <c r="S3185" s="23">
        <f t="shared" si="775"/>
        <v>0</v>
      </c>
      <c r="T3185" s="23" t="str">
        <f t="shared" si="776"/>
        <v/>
      </c>
      <c r="U3185" t="str">
        <f t="shared" si="777"/>
        <v/>
      </c>
      <c r="AF3185" s="88"/>
      <c r="AH3185" s="8"/>
      <c r="AL3185" s="23"/>
      <c r="AU3185" s="1"/>
    </row>
    <row r="3186" spans="1:47">
      <c r="A3186" t="str">
        <f t="shared" si="770"/>
        <v>PA_Alleg_2019g~Gen-magisterial district judge 05-02-28 (vote for 1)</v>
      </c>
      <c r="B3186" s="55" t="s">
        <v>1528</v>
      </c>
      <c r="C3186">
        <v>77</v>
      </c>
      <c r="D3186" s="55" t="s">
        <v>93</v>
      </c>
      <c r="E3186" s="55" t="s">
        <v>95</v>
      </c>
      <c r="F3186" t="s">
        <v>1396</v>
      </c>
      <c r="G3186" s="62">
        <v>2825</v>
      </c>
      <c r="H3186">
        <v>99.02</v>
      </c>
      <c r="I3186">
        <v>17616</v>
      </c>
      <c r="J3186">
        <v>0</v>
      </c>
      <c r="K3186">
        <v>27</v>
      </c>
      <c r="L3186">
        <v>27</v>
      </c>
      <c r="M3186">
        <v>0</v>
      </c>
      <c r="N3186" s="23">
        <v>0</v>
      </c>
      <c r="O3186">
        <f t="shared" si="771"/>
        <v>1</v>
      </c>
      <c r="P3186" s="57">
        <f t="shared" si="772"/>
        <v>1</v>
      </c>
      <c r="Q3186" s="267">
        <f t="shared" si="773"/>
        <v>2853</v>
      </c>
      <c r="R3186" s="23">
        <f t="shared" si="774"/>
        <v>2825</v>
      </c>
      <c r="S3186" s="23">
        <f t="shared" si="775"/>
        <v>0</v>
      </c>
      <c r="T3186" s="23" t="str">
        <f t="shared" si="776"/>
        <v/>
      </c>
      <c r="U3186" t="str">
        <f t="shared" si="777"/>
        <v>PA_Alleg_2019g~Gen-magisterial district judge 05-02-28 (vote for 1)</v>
      </c>
      <c r="AF3186" s="88"/>
      <c r="AH3186" s="8"/>
      <c r="AL3186" s="23"/>
      <c r="AU3186" s="1"/>
    </row>
    <row r="3187" spans="1:47">
      <c r="A3187" t="str">
        <f t="shared" si="770"/>
        <v>PA_Alleg_2019g~Gen-magisterial district judge 05-02-28 (vote for 1)</v>
      </c>
      <c r="B3187" s="55" t="s">
        <v>1528</v>
      </c>
      <c r="C3187">
        <v>78</v>
      </c>
      <c r="D3187" s="55" t="s">
        <v>93</v>
      </c>
      <c r="E3187" s="55" t="s">
        <v>15</v>
      </c>
      <c r="G3187" s="62">
        <v>28</v>
      </c>
      <c r="H3187">
        <v>0.98</v>
      </c>
      <c r="I3187">
        <v>17616</v>
      </c>
      <c r="J3187">
        <v>0</v>
      </c>
      <c r="K3187">
        <v>27</v>
      </c>
      <c r="L3187">
        <v>27</v>
      </c>
      <c r="M3187">
        <v>0</v>
      </c>
      <c r="N3187" s="23">
        <v>0</v>
      </c>
      <c r="O3187">
        <f t="shared" si="771"/>
        <v>-1</v>
      </c>
      <c r="P3187" s="57">
        <f t="shared" si="772"/>
        <v>1</v>
      </c>
      <c r="Q3187" s="267">
        <f t="shared" si="773"/>
        <v>28</v>
      </c>
      <c r="R3187" s="23">
        <f t="shared" si="774"/>
        <v>1</v>
      </c>
      <c r="S3187" s="23">
        <f t="shared" si="775"/>
        <v>0</v>
      </c>
      <c r="T3187" s="23" t="str">
        <f t="shared" si="776"/>
        <v/>
      </c>
      <c r="U3187" t="str">
        <f t="shared" si="777"/>
        <v/>
      </c>
      <c r="AF3187" s="88"/>
      <c r="AH3187" s="8"/>
      <c r="AL3187" s="23"/>
      <c r="AU3187" s="1"/>
    </row>
    <row r="3188" spans="1:47">
      <c r="A3188" t="str">
        <f t="shared" si="770"/>
        <v>PA_Alleg_2019g~Gen-magisterial district judge 05-03-17 (vote for 1)</v>
      </c>
      <c r="B3188" s="55" t="s">
        <v>1528</v>
      </c>
      <c r="C3188">
        <v>79</v>
      </c>
      <c r="D3188" s="55" t="s">
        <v>96</v>
      </c>
      <c r="E3188" s="55" t="s">
        <v>97</v>
      </c>
      <c r="F3188" t="s">
        <v>1396</v>
      </c>
      <c r="G3188" s="62">
        <v>3439</v>
      </c>
      <c r="H3188">
        <v>99.08</v>
      </c>
      <c r="I3188">
        <v>16659</v>
      </c>
      <c r="J3188">
        <v>0</v>
      </c>
      <c r="K3188">
        <v>11</v>
      </c>
      <c r="L3188">
        <v>11</v>
      </c>
      <c r="M3188">
        <v>0</v>
      </c>
      <c r="N3188" s="23">
        <v>0</v>
      </c>
      <c r="O3188">
        <f t="shared" si="771"/>
        <v>1</v>
      </c>
      <c r="P3188" s="57">
        <f t="shared" si="772"/>
        <v>1</v>
      </c>
      <c r="Q3188" s="267">
        <f t="shared" si="773"/>
        <v>3471</v>
      </c>
      <c r="R3188" s="23">
        <f t="shared" si="774"/>
        <v>3439</v>
      </c>
      <c r="S3188" s="23">
        <f t="shared" si="775"/>
        <v>0</v>
      </c>
      <c r="T3188" s="23" t="str">
        <f t="shared" si="776"/>
        <v/>
      </c>
      <c r="U3188" t="str">
        <f t="shared" si="777"/>
        <v>PA_Alleg_2019g~Gen-magisterial district judge 05-03-17 (vote for 1)</v>
      </c>
      <c r="AF3188" s="88"/>
      <c r="AH3188" s="8"/>
      <c r="AL3188" s="23"/>
      <c r="AU3188" s="1"/>
    </row>
    <row r="3189" spans="1:47">
      <c r="A3189" t="str">
        <f t="shared" si="770"/>
        <v>PA_Alleg_2019g~Gen-magisterial district judge 05-03-17 (vote for 1)</v>
      </c>
      <c r="B3189" s="55" t="s">
        <v>1528</v>
      </c>
      <c r="C3189">
        <v>80</v>
      </c>
      <c r="D3189" s="55" t="s">
        <v>96</v>
      </c>
      <c r="E3189" s="55" t="s">
        <v>15</v>
      </c>
      <c r="G3189" s="62">
        <v>32</v>
      </c>
      <c r="H3189">
        <v>0.92</v>
      </c>
      <c r="I3189">
        <v>16659</v>
      </c>
      <c r="J3189">
        <v>0</v>
      </c>
      <c r="K3189">
        <v>11</v>
      </c>
      <c r="L3189">
        <v>11</v>
      </c>
      <c r="M3189">
        <v>0</v>
      </c>
      <c r="N3189" s="23">
        <v>0</v>
      </c>
      <c r="O3189">
        <f t="shared" si="771"/>
        <v>-1</v>
      </c>
      <c r="P3189" s="57">
        <f t="shared" si="772"/>
        <v>1</v>
      </c>
      <c r="Q3189" s="267">
        <f t="shared" si="773"/>
        <v>32</v>
      </c>
      <c r="R3189" s="23">
        <f t="shared" si="774"/>
        <v>1</v>
      </c>
      <c r="S3189" s="23">
        <f t="shared" si="775"/>
        <v>0</v>
      </c>
      <c r="T3189" s="23" t="str">
        <f t="shared" si="776"/>
        <v/>
      </c>
      <c r="U3189" t="str">
        <f t="shared" si="777"/>
        <v/>
      </c>
      <c r="AF3189" s="88"/>
      <c r="AH3189" s="8"/>
      <c r="AL3189" s="23"/>
      <c r="AU3189" s="1"/>
    </row>
    <row r="3190" spans="1:47">
      <c r="A3190" t="str">
        <f t="shared" si="770"/>
        <v>PA_Alleg_2019g~Gen-mayor aspinwall (vote for 1)</v>
      </c>
      <c r="B3190" s="55" t="s">
        <v>1528</v>
      </c>
      <c r="C3190">
        <v>444</v>
      </c>
      <c r="D3190" s="55" t="s">
        <v>470</v>
      </c>
      <c r="E3190" s="55" t="s">
        <v>1127</v>
      </c>
      <c r="F3190" t="s">
        <v>1296</v>
      </c>
      <c r="G3190" s="62">
        <v>545</v>
      </c>
      <c r="H3190">
        <v>93.64</v>
      </c>
      <c r="I3190">
        <v>2395</v>
      </c>
      <c r="J3190">
        <v>0</v>
      </c>
      <c r="K3190">
        <v>3</v>
      </c>
      <c r="L3190">
        <v>3</v>
      </c>
      <c r="M3190">
        <v>0</v>
      </c>
      <c r="N3190" s="23">
        <v>0</v>
      </c>
      <c r="O3190">
        <f t="shared" si="771"/>
        <v>1</v>
      </c>
      <c r="P3190" s="57">
        <f t="shared" si="772"/>
        <v>1</v>
      </c>
      <c r="Q3190" s="267">
        <f t="shared" si="773"/>
        <v>582</v>
      </c>
      <c r="R3190" s="23">
        <f t="shared" si="774"/>
        <v>545</v>
      </c>
      <c r="S3190" s="23">
        <f t="shared" si="775"/>
        <v>0</v>
      </c>
      <c r="T3190" s="23" t="str">
        <f t="shared" si="776"/>
        <v/>
      </c>
      <c r="U3190" t="str">
        <f t="shared" si="777"/>
        <v>PA_Alleg_2019g~Gen-mayor aspinwall (vote for 1)</v>
      </c>
      <c r="AF3190" s="88"/>
      <c r="AH3190" s="8"/>
      <c r="AL3190" s="23"/>
      <c r="AU3190" s="1"/>
    </row>
    <row r="3191" spans="1:47">
      <c r="A3191" t="str">
        <f t="shared" si="770"/>
        <v>PA_Alleg_2019g~Gen-mayor aspinwall (vote for 1)</v>
      </c>
      <c r="B3191" s="55" t="s">
        <v>1528</v>
      </c>
      <c r="C3191">
        <v>445</v>
      </c>
      <c r="D3191" s="55" t="s">
        <v>470</v>
      </c>
      <c r="E3191" s="55" t="s">
        <v>15</v>
      </c>
      <c r="G3191" s="62">
        <v>37</v>
      </c>
      <c r="H3191">
        <v>6.36</v>
      </c>
      <c r="I3191">
        <v>2395</v>
      </c>
      <c r="J3191">
        <v>0</v>
      </c>
      <c r="K3191">
        <v>3</v>
      </c>
      <c r="L3191">
        <v>3</v>
      </c>
      <c r="M3191">
        <v>0</v>
      </c>
      <c r="N3191" s="23">
        <v>0</v>
      </c>
      <c r="O3191">
        <f t="shared" si="771"/>
        <v>-1</v>
      </c>
      <c r="P3191" s="57">
        <f t="shared" si="772"/>
        <v>1</v>
      </c>
      <c r="Q3191" s="267">
        <f t="shared" si="773"/>
        <v>37</v>
      </c>
      <c r="R3191" s="23">
        <f t="shared" si="774"/>
        <v>1</v>
      </c>
      <c r="S3191" s="23">
        <f t="shared" si="775"/>
        <v>0</v>
      </c>
      <c r="T3191" s="23" t="str">
        <f t="shared" si="776"/>
        <v/>
      </c>
      <c r="U3191" t="str">
        <f t="shared" si="777"/>
        <v/>
      </c>
      <c r="AF3191" s="88"/>
      <c r="AH3191" s="8"/>
      <c r="AL3191" s="23"/>
      <c r="AU3191" s="1"/>
    </row>
    <row r="3192" spans="1:47">
      <c r="A3192" t="str">
        <f t="shared" ref="A3192:A3255" si="778">CONCATENATE(B3192,"~Gen-",LOWER(D3192))</f>
        <v>PA_Alleg_2019g~Gen-mayor bell acres (vote for 1)</v>
      </c>
      <c r="B3192" s="55" t="s">
        <v>1528</v>
      </c>
      <c r="C3192">
        <v>446</v>
      </c>
      <c r="D3192" s="55" t="s">
        <v>471</v>
      </c>
      <c r="E3192" s="55" t="s">
        <v>472</v>
      </c>
      <c r="F3192" t="s">
        <v>1294</v>
      </c>
      <c r="G3192" s="62">
        <v>271</v>
      </c>
      <c r="H3192">
        <v>97.48</v>
      </c>
      <c r="I3192">
        <v>1174</v>
      </c>
      <c r="J3192">
        <v>0</v>
      </c>
      <c r="K3192">
        <v>1</v>
      </c>
      <c r="L3192">
        <v>1</v>
      </c>
      <c r="M3192">
        <v>0</v>
      </c>
      <c r="N3192" s="23">
        <v>0</v>
      </c>
      <c r="O3192">
        <f t="shared" si="771"/>
        <v>1</v>
      </c>
      <c r="P3192" s="57">
        <f t="shared" si="772"/>
        <v>1</v>
      </c>
      <c r="Q3192" s="267">
        <f t="shared" si="773"/>
        <v>278</v>
      </c>
      <c r="R3192" s="23">
        <f t="shared" si="774"/>
        <v>271</v>
      </c>
      <c r="S3192" s="23">
        <f t="shared" si="775"/>
        <v>0</v>
      </c>
      <c r="T3192" s="23" t="str">
        <f t="shared" si="776"/>
        <v/>
      </c>
      <c r="U3192" t="str">
        <f t="shared" si="777"/>
        <v>PA_Alleg_2019g~Gen-mayor bell acres (vote for 1)</v>
      </c>
      <c r="AF3192" s="88"/>
      <c r="AH3192" s="8"/>
      <c r="AL3192" s="23"/>
      <c r="AU3192" s="1"/>
    </row>
    <row r="3193" spans="1:47">
      <c r="A3193" t="str">
        <f t="shared" si="778"/>
        <v>PA_Alleg_2019g~Gen-mayor bell acres (vote for 1)</v>
      </c>
      <c r="B3193" s="55" t="s">
        <v>1528</v>
      </c>
      <c r="C3193">
        <v>447</v>
      </c>
      <c r="D3193" s="55" t="s">
        <v>471</v>
      </c>
      <c r="E3193" s="55" t="s">
        <v>15</v>
      </c>
      <c r="G3193" s="62">
        <v>7</v>
      </c>
      <c r="H3193">
        <v>2.52</v>
      </c>
      <c r="I3193">
        <v>1174</v>
      </c>
      <c r="J3193">
        <v>0</v>
      </c>
      <c r="K3193">
        <v>1</v>
      </c>
      <c r="L3193">
        <v>1</v>
      </c>
      <c r="M3193">
        <v>0</v>
      </c>
      <c r="N3193" s="23">
        <v>0</v>
      </c>
      <c r="O3193">
        <f t="shared" si="771"/>
        <v>-1</v>
      </c>
      <c r="P3193" s="57">
        <f t="shared" si="772"/>
        <v>1</v>
      </c>
      <c r="Q3193" s="267">
        <f t="shared" si="773"/>
        <v>7</v>
      </c>
      <c r="R3193" s="23">
        <f t="shared" si="774"/>
        <v>1</v>
      </c>
      <c r="S3193" s="23">
        <f t="shared" si="775"/>
        <v>0</v>
      </c>
      <c r="T3193" s="23" t="str">
        <f t="shared" si="776"/>
        <v/>
      </c>
      <c r="U3193" t="str">
        <f t="shared" si="777"/>
        <v/>
      </c>
      <c r="AF3193" s="88"/>
      <c r="AH3193" s="8"/>
      <c r="AL3193" s="23"/>
      <c r="AU3193" s="1"/>
    </row>
    <row r="3194" spans="1:47">
      <c r="A3194" t="str">
        <f t="shared" si="778"/>
        <v>PA_Alleg_2019g~Gen-mayor braddock (vote for 1)</v>
      </c>
      <c r="B3194" s="55" t="s">
        <v>1528</v>
      </c>
      <c r="C3194">
        <v>448</v>
      </c>
      <c r="D3194" s="55" t="s">
        <v>473</v>
      </c>
      <c r="E3194" s="55" t="s">
        <v>475</v>
      </c>
      <c r="F3194" t="s">
        <v>1294</v>
      </c>
      <c r="G3194" s="62">
        <v>290</v>
      </c>
      <c r="H3194">
        <v>85.55</v>
      </c>
      <c r="I3194">
        <v>1661</v>
      </c>
      <c r="J3194">
        <v>0</v>
      </c>
      <c r="K3194">
        <v>3</v>
      </c>
      <c r="L3194">
        <v>3</v>
      </c>
      <c r="M3194">
        <v>0</v>
      </c>
      <c r="N3194" s="23">
        <v>0</v>
      </c>
      <c r="O3194">
        <f t="shared" si="771"/>
        <v>1</v>
      </c>
      <c r="P3194" s="57">
        <f t="shared" si="772"/>
        <v>1</v>
      </c>
      <c r="Q3194" s="267">
        <f t="shared" si="773"/>
        <v>339</v>
      </c>
      <c r="R3194" s="23">
        <f t="shared" si="774"/>
        <v>290</v>
      </c>
      <c r="S3194" s="23">
        <f t="shared" si="775"/>
        <v>0</v>
      </c>
      <c r="T3194" s="23" t="str">
        <f t="shared" si="776"/>
        <v/>
      </c>
      <c r="U3194" t="str">
        <f t="shared" si="777"/>
        <v>PA_Alleg_2019g~Gen-mayor braddock (vote for 1)</v>
      </c>
      <c r="AF3194" s="88"/>
      <c r="AH3194" s="8"/>
      <c r="AL3194" s="23"/>
      <c r="AU3194" s="1"/>
    </row>
    <row r="3195" spans="1:47">
      <c r="A3195" t="str">
        <f t="shared" si="778"/>
        <v>PA_Alleg_2019g~Gen-mayor braddock (vote for 1)</v>
      </c>
      <c r="B3195" s="55" t="s">
        <v>1528</v>
      </c>
      <c r="C3195">
        <v>449</v>
      </c>
      <c r="D3195" s="55" t="s">
        <v>473</v>
      </c>
      <c r="E3195" s="55" t="s">
        <v>15</v>
      </c>
      <c r="G3195" s="62">
        <v>49</v>
      </c>
      <c r="H3195">
        <v>14.45</v>
      </c>
      <c r="I3195">
        <v>1661</v>
      </c>
      <c r="J3195">
        <v>0</v>
      </c>
      <c r="K3195">
        <v>3</v>
      </c>
      <c r="L3195">
        <v>3</v>
      </c>
      <c r="M3195">
        <v>0</v>
      </c>
      <c r="N3195" s="23">
        <v>0</v>
      </c>
      <c r="O3195">
        <f t="shared" si="771"/>
        <v>-1</v>
      </c>
      <c r="P3195" s="57">
        <f t="shared" si="772"/>
        <v>1</v>
      </c>
      <c r="Q3195" s="267">
        <f t="shared" si="773"/>
        <v>49</v>
      </c>
      <c r="R3195" s="23">
        <f t="shared" si="774"/>
        <v>1</v>
      </c>
      <c r="S3195" s="23">
        <f t="shared" si="775"/>
        <v>0</v>
      </c>
      <c r="T3195" s="23" t="str">
        <f t="shared" si="776"/>
        <v/>
      </c>
      <c r="U3195" t="str">
        <f t="shared" si="777"/>
        <v/>
      </c>
      <c r="AF3195" s="88"/>
      <c r="AH3195" s="8"/>
      <c r="AL3195" s="23"/>
      <c r="AU3195" s="1"/>
    </row>
    <row r="3196" spans="1:47">
      <c r="A3196" t="str">
        <f t="shared" si="778"/>
        <v>PA_Alleg_2019g~Gen-mayor bradford woods (vote for 1)</v>
      </c>
      <c r="B3196" s="55" t="s">
        <v>1528</v>
      </c>
      <c r="C3196">
        <v>450</v>
      </c>
      <c r="D3196" s="55" t="s">
        <v>477</v>
      </c>
      <c r="E3196" s="55" t="s">
        <v>1128</v>
      </c>
      <c r="F3196" t="s">
        <v>1296</v>
      </c>
      <c r="G3196" s="62">
        <v>292</v>
      </c>
      <c r="H3196">
        <v>96.69</v>
      </c>
      <c r="I3196">
        <v>1031</v>
      </c>
      <c r="J3196">
        <v>0</v>
      </c>
      <c r="K3196">
        <v>1</v>
      </c>
      <c r="L3196">
        <v>1</v>
      </c>
      <c r="M3196">
        <v>0</v>
      </c>
      <c r="N3196" s="23">
        <v>0</v>
      </c>
      <c r="O3196">
        <f t="shared" si="771"/>
        <v>1</v>
      </c>
      <c r="P3196" s="57">
        <f t="shared" si="772"/>
        <v>1</v>
      </c>
      <c r="Q3196" s="267">
        <f t="shared" si="773"/>
        <v>302</v>
      </c>
      <c r="R3196" s="23">
        <f t="shared" si="774"/>
        <v>292</v>
      </c>
      <c r="S3196" s="23">
        <f t="shared" si="775"/>
        <v>0</v>
      </c>
      <c r="T3196" s="23" t="str">
        <f t="shared" si="776"/>
        <v/>
      </c>
      <c r="U3196" t="str">
        <f t="shared" si="777"/>
        <v>PA_Alleg_2019g~Gen-mayor bradford woods (vote for 1)</v>
      </c>
      <c r="AF3196" s="88"/>
      <c r="AH3196" s="8"/>
      <c r="AL3196" s="23"/>
      <c r="AU3196" s="1"/>
    </row>
    <row r="3197" spans="1:47">
      <c r="A3197" t="str">
        <f t="shared" si="778"/>
        <v>PA_Alleg_2019g~Gen-mayor bradford woods (vote for 1)</v>
      </c>
      <c r="B3197" s="55" t="s">
        <v>1528</v>
      </c>
      <c r="C3197">
        <v>451</v>
      </c>
      <c r="D3197" s="55" t="s">
        <v>477</v>
      </c>
      <c r="E3197" s="55" t="s">
        <v>15</v>
      </c>
      <c r="G3197" s="62">
        <v>10</v>
      </c>
      <c r="H3197">
        <v>3.31</v>
      </c>
      <c r="I3197">
        <v>1031</v>
      </c>
      <c r="J3197">
        <v>0</v>
      </c>
      <c r="K3197">
        <v>1</v>
      </c>
      <c r="L3197">
        <v>1</v>
      </c>
      <c r="M3197">
        <v>0</v>
      </c>
      <c r="N3197" s="23">
        <v>0</v>
      </c>
      <c r="O3197">
        <f t="shared" si="771"/>
        <v>-1</v>
      </c>
      <c r="P3197" s="57">
        <f t="shared" si="772"/>
        <v>1</v>
      </c>
      <c r="Q3197" s="267">
        <f t="shared" si="773"/>
        <v>10</v>
      </c>
      <c r="R3197" s="23">
        <f t="shared" si="774"/>
        <v>1</v>
      </c>
      <c r="S3197" s="23">
        <f t="shared" si="775"/>
        <v>0</v>
      </c>
      <c r="T3197" s="23" t="str">
        <f t="shared" si="776"/>
        <v/>
      </c>
      <c r="U3197" t="str">
        <f t="shared" si="777"/>
        <v/>
      </c>
      <c r="AF3197" s="88"/>
      <c r="AH3197" s="8"/>
      <c r="AL3197" s="23"/>
      <c r="AU3197" s="1"/>
    </row>
    <row r="3198" spans="1:47">
      <c r="A3198" t="str">
        <f t="shared" si="778"/>
        <v>PA_Alleg_2019g~Gen-mayor mcdonald (vote for 1)</v>
      </c>
      <c r="B3198" s="55" t="s">
        <v>1528</v>
      </c>
      <c r="C3198">
        <v>452</v>
      </c>
      <c r="D3198" s="55" t="s">
        <v>478</v>
      </c>
      <c r="E3198" s="55" t="s">
        <v>480</v>
      </c>
      <c r="F3198" t="s">
        <v>1396</v>
      </c>
      <c r="G3198" s="62">
        <v>52</v>
      </c>
      <c r="H3198">
        <v>100</v>
      </c>
      <c r="I3198">
        <v>222</v>
      </c>
      <c r="J3198">
        <v>0</v>
      </c>
      <c r="K3198">
        <v>1</v>
      </c>
      <c r="L3198">
        <v>1</v>
      </c>
      <c r="M3198">
        <v>0</v>
      </c>
      <c r="N3198" s="23">
        <v>0</v>
      </c>
      <c r="O3198">
        <f t="shared" si="771"/>
        <v>1</v>
      </c>
      <c r="P3198" s="57">
        <f t="shared" si="772"/>
        <v>1</v>
      </c>
      <c r="Q3198" s="267">
        <f t="shared" si="773"/>
        <v>52</v>
      </c>
      <c r="R3198" s="23">
        <f t="shared" si="774"/>
        <v>52</v>
      </c>
      <c r="S3198" s="23">
        <f t="shared" si="775"/>
        <v>0</v>
      </c>
      <c r="T3198" s="23" t="str">
        <f t="shared" si="776"/>
        <v/>
      </c>
      <c r="U3198" t="str">
        <f t="shared" si="777"/>
        <v>PA_Alleg_2019g~Gen-mayor mcdonald (vote for 1)</v>
      </c>
      <c r="AF3198" s="88"/>
      <c r="AH3198" s="8"/>
      <c r="AL3198" s="23"/>
      <c r="AU3198" s="1"/>
    </row>
    <row r="3199" spans="1:47">
      <c r="A3199" t="str">
        <f t="shared" si="778"/>
        <v>PA_Alleg_2019g~Gen-mayor mcdonald (vote for 1)</v>
      </c>
      <c r="B3199" s="55" t="s">
        <v>1528</v>
      </c>
      <c r="C3199">
        <v>453</v>
      </c>
      <c r="D3199" s="55" t="s">
        <v>478</v>
      </c>
      <c r="E3199" s="55" t="s">
        <v>15</v>
      </c>
      <c r="G3199" s="62">
        <v>0</v>
      </c>
      <c r="H3199">
        <v>0</v>
      </c>
      <c r="I3199">
        <v>222</v>
      </c>
      <c r="J3199">
        <v>0</v>
      </c>
      <c r="K3199">
        <v>1</v>
      </c>
      <c r="L3199">
        <v>1</v>
      </c>
      <c r="M3199">
        <v>0</v>
      </c>
      <c r="N3199" s="23">
        <v>0</v>
      </c>
      <c r="O3199">
        <f t="shared" si="771"/>
        <v>-1</v>
      </c>
      <c r="P3199" s="57">
        <f t="shared" si="772"/>
        <v>1</v>
      </c>
      <c r="Q3199" s="267">
        <f t="shared" si="773"/>
        <v>0</v>
      </c>
      <c r="R3199" s="23">
        <f t="shared" si="774"/>
        <v>1</v>
      </c>
      <c r="S3199" s="23">
        <f t="shared" si="775"/>
        <v>0</v>
      </c>
      <c r="T3199" s="23" t="str">
        <f t="shared" si="776"/>
        <v/>
      </c>
      <c r="U3199" t="str">
        <f t="shared" si="777"/>
        <v/>
      </c>
      <c r="AF3199" s="88"/>
      <c r="AH3199" s="8"/>
      <c r="AL3199" s="23"/>
      <c r="AU3199" s="1"/>
    </row>
    <row r="3200" spans="1:47">
      <c r="A3200" t="str">
        <f t="shared" si="778"/>
        <v>PA_Alleg_2019g~Gen-mayor mckeesport (vote for 1)</v>
      </c>
      <c r="B3200" s="55" t="s">
        <v>1528</v>
      </c>
      <c r="C3200">
        <v>438</v>
      </c>
      <c r="D3200" s="55" t="s">
        <v>465</v>
      </c>
      <c r="E3200" s="55" t="s">
        <v>466</v>
      </c>
      <c r="F3200" t="s">
        <v>1294</v>
      </c>
      <c r="G3200" s="62">
        <v>2062</v>
      </c>
      <c r="H3200">
        <v>65.819999999999993</v>
      </c>
      <c r="I3200">
        <v>12613</v>
      </c>
      <c r="J3200">
        <v>0</v>
      </c>
      <c r="K3200">
        <v>32</v>
      </c>
      <c r="L3200">
        <v>32</v>
      </c>
      <c r="M3200">
        <v>0</v>
      </c>
      <c r="N3200" s="23">
        <v>0</v>
      </c>
      <c r="O3200">
        <f t="shared" si="771"/>
        <v>1</v>
      </c>
      <c r="P3200" s="57">
        <f t="shared" si="772"/>
        <v>1</v>
      </c>
      <c r="Q3200" s="267">
        <f t="shared" si="773"/>
        <v>3133</v>
      </c>
      <c r="R3200" s="23">
        <f t="shared" si="774"/>
        <v>2062</v>
      </c>
      <c r="S3200" s="23">
        <f t="shared" si="775"/>
        <v>1058</v>
      </c>
      <c r="T3200" s="23">
        <f t="shared" si="776"/>
        <v>1004</v>
      </c>
      <c r="U3200" t="str">
        <f t="shared" si="777"/>
        <v>PA_Alleg_2019g~Gen-mayor mckeesport (vote for 1)</v>
      </c>
      <c r="AF3200" s="88"/>
      <c r="AH3200" s="8"/>
      <c r="AL3200" s="23"/>
      <c r="AU3200" s="1"/>
    </row>
    <row r="3201" spans="1:47">
      <c r="A3201" t="str">
        <f t="shared" si="778"/>
        <v>PA_Alleg_2019g~Gen-mayor mckeesport (vote for 1)</v>
      </c>
      <c r="B3201" s="55" t="s">
        <v>1528</v>
      </c>
      <c r="C3201">
        <v>439</v>
      </c>
      <c r="D3201" s="55" t="s">
        <v>465</v>
      </c>
      <c r="E3201" s="55" t="s">
        <v>1440</v>
      </c>
      <c r="F3201" t="s">
        <v>1441</v>
      </c>
      <c r="G3201" s="62">
        <v>1058</v>
      </c>
      <c r="H3201">
        <v>33.770000000000003</v>
      </c>
      <c r="I3201">
        <v>12613</v>
      </c>
      <c r="J3201">
        <v>0</v>
      </c>
      <c r="K3201">
        <v>32</v>
      </c>
      <c r="L3201">
        <v>32</v>
      </c>
      <c r="M3201">
        <v>0</v>
      </c>
      <c r="N3201" s="23">
        <v>0</v>
      </c>
      <c r="O3201">
        <f t="shared" si="771"/>
        <v>2</v>
      </c>
      <c r="P3201" s="57">
        <f t="shared" si="772"/>
        <v>1</v>
      </c>
      <c r="Q3201" s="267">
        <f t="shared" si="773"/>
        <v>1071</v>
      </c>
      <c r="R3201" s="23" t="str">
        <f t="shared" si="774"/>
        <v/>
      </c>
      <c r="S3201" s="23">
        <f t="shared" si="775"/>
        <v>1058</v>
      </c>
      <c r="T3201" s="23" t="str">
        <f t="shared" si="776"/>
        <v/>
      </c>
      <c r="U3201" t="str">
        <f t="shared" si="777"/>
        <v/>
      </c>
      <c r="AF3201" s="88"/>
      <c r="AH3201" s="8"/>
      <c r="AL3201" s="23"/>
      <c r="AU3201" s="1"/>
    </row>
    <row r="3202" spans="1:47">
      <c r="A3202" t="str">
        <f t="shared" si="778"/>
        <v>PA_Alleg_2019g~Gen-mayor mckeesport (vote for 1)</v>
      </c>
      <c r="B3202" s="55" t="s">
        <v>1528</v>
      </c>
      <c r="C3202">
        <v>440</v>
      </c>
      <c r="D3202" s="55" t="s">
        <v>465</v>
      </c>
      <c r="E3202" s="55" t="s">
        <v>15</v>
      </c>
      <c r="G3202" s="62">
        <v>13</v>
      </c>
      <c r="H3202">
        <v>0.41</v>
      </c>
      <c r="I3202">
        <v>12613</v>
      </c>
      <c r="J3202">
        <v>0</v>
      </c>
      <c r="K3202">
        <v>32</v>
      </c>
      <c r="L3202">
        <v>32</v>
      </c>
      <c r="M3202">
        <v>0</v>
      </c>
      <c r="N3202" s="23">
        <v>0</v>
      </c>
      <c r="O3202">
        <f t="shared" ref="O3202:O3265" si="779">IF(OR(LOWER(LEFT(E3202,8))="write-in",LOWER(LEFT(E3202,8))="not qual"),IF(A3202=A3201,-ABS(O3201),0),IF(A3202=A3201,ABS(O3201)+1,1))</f>
        <v>-2</v>
      </c>
      <c r="P3202" s="57">
        <f t="shared" ref="P3202:P3265" si="780">1*LEFT(RIGHT(A3202,2),1)</f>
        <v>1</v>
      </c>
      <c r="Q3202" s="267">
        <f t="shared" ref="Q3202:Q3265" si="781">IF(A3202&lt;&gt;A3203,G3202,IF(A3202=A3201,G3202+Q3203,MAX(G3202,(G3202+Q3203)/P3202)))</f>
        <v>13</v>
      </c>
      <c r="R3202" s="23">
        <f t="shared" ref="R3202:R3265" si="782">IF(O3202&gt;P3202,"",IF(O3202=P3202,G3202,IF(A3202=A3203,R3203,IF(O3202&lt;=0,1,G3202))))</f>
        <v>1</v>
      </c>
      <c r="S3202" s="23">
        <f t="shared" ref="S3202:S3265" si="783">IF(AND(O3202&gt;P3202,LOWER(LEFT(E3202,8))&lt;&gt;"write-in",LOWER(LEFT(E3202,8))&lt;&gt;"not qual"),G3202,IF(A3202=A3203,S3203,0))</f>
        <v>0</v>
      </c>
      <c r="T3202" s="23" t="str">
        <f t="shared" ref="T3202:T3265" si="784">IF(OR(A3202=A3201,S3202=0),"",R3202-ABS(S3202))</f>
        <v/>
      </c>
      <c r="U3202" t="str">
        <f t="shared" ref="U3202:U3265" si="785">IF(A3202=A3201,"",A3202)</f>
        <v/>
      </c>
      <c r="AF3202" s="88"/>
      <c r="AH3202" s="8"/>
      <c r="AL3202" s="23"/>
      <c r="AU3202" s="1"/>
    </row>
    <row r="3203" spans="1:47">
      <c r="A3203" t="str">
        <f t="shared" si="778"/>
        <v>PA_Alleg_2019g~Gen-mayor penn hills (vote for 1)</v>
      </c>
      <c r="B3203" s="55" t="s">
        <v>1528</v>
      </c>
      <c r="C3203">
        <v>441</v>
      </c>
      <c r="D3203" s="55" t="s">
        <v>467</v>
      </c>
      <c r="E3203" s="55" t="s">
        <v>469</v>
      </c>
      <c r="F3203" t="s">
        <v>1294</v>
      </c>
      <c r="G3203" s="62">
        <v>6642</v>
      </c>
      <c r="H3203">
        <v>67.16</v>
      </c>
      <c r="I3203">
        <v>32233</v>
      </c>
      <c r="J3203">
        <v>0</v>
      </c>
      <c r="K3203">
        <v>50</v>
      </c>
      <c r="L3203">
        <v>50</v>
      </c>
      <c r="M3203">
        <v>0</v>
      </c>
      <c r="N3203" s="23">
        <v>0</v>
      </c>
      <c r="O3203">
        <f t="shared" si="779"/>
        <v>1</v>
      </c>
      <c r="P3203" s="57">
        <f t="shared" si="780"/>
        <v>1</v>
      </c>
      <c r="Q3203" s="267">
        <f t="shared" si="781"/>
        <v>9890</v>
      </c>
      <c r="R3203" s="23">
        <f t="shared" si="782"/>
        <v>6642</v>
      </c>
      <c r="S3203" s="23">
        <f t="shared" si="783"/>
        <v>3229</v>
      </c>
      <c r="T3203" s="23">
        <f t="shared" si="784"/>
        <v>3413</v>
      </c>
      <c r="U3203" t="str">
        <f t="shared" si="785"/>
        <v>PA_Alleg_2019g~Gen-mayor penn hills (vote for 1)</v>
      </c>
      <c r="AF3203" s="88"/>
      <c r="AH3203" s="8"/>
      <c r="AL3203" s="23"/>
      <c r="AU3203" s="1"/>
    </row>
    <row r="3204" spans="1:47">
      <c r="A3204" t="str">
        <f t="shared" si="778"/>
        <v>PA_Alleg_2019g~Gen-mayor penn hills (vote for 1)</v>
      </c>
      <c r="B3204" s="55" t="s">
        <v>1528</v>
      </c>
      <c r="C3204">
        <v>442</v>
      </c>
      <c r="D3204" s="55" t="s">
        <v>467</v>
      </c>
      <c r="E3204" s="55" t="s">
        <v>468</v>
      </c>
      <c r="F3204" t="s">
        <v>1296</v>
      </c>
      <c r="G3204" s="62">
        <v>3229</v>
      </c>
      <c r="H3204">
        <v>32.65</v>
      </c>
      <c r="I3204">
        <v>32233</v>
      </c>
      <c r="J3204">
        <v>0</v>
      </c>
      <c r="K3204">
        <v>50</v>
      </c>
      <c r="L3204">
        <v>50</v>
      </c>
      <c r="M3204">
        <v>0</v>
      </c>
      <c r="N3204" s="23">
        <v>0</v>
      </c>
      <c r="O3204">
        <f t="shared" si="779"/>
        <v>2</v>
      </c>
      <c r="P3204" s="57">
        <f t="shared" si="780"/>
        <v>1</v>
      </c>
      <c r="Q3204" s="267">
        <f t="shared" si="781"/>
        <v>3248</v>
      </c>
      <c r="R3204" s="23" t="str">
        <f t="shared" si="782"/>
        <v/>
      </c>
      <c r="S3204" s="23">
        <f t="shared" si="783"/>
        <v>3229</v>
      </c>
      <c r="T3204" s="23" t="str">
        <f t="shared" si="784"/>
        <v/>
      </c>
      <c r="U3204" t="str">
        <f t="shared" si="785"/>
        <v/>
      </c>
      <c r="AF3204" s="88"/>
      <c r="AH3204" s="8"/>
      <c r="AL3204" s="23"/>
      <c r="AU3204" s="1"/>
    </row>
    <row r="3205" spans="1:47">
      <c r="A3205" t="str">
        <f t="shared" si="778"/>
        <v>PA_Alleg_2019g~Gen-mayor penn hills (vote for 1)</v>
      </c>
      <c r="B3205" s="55" t="s">
        <v>1528</v>
      </c>
      <c r="C3205">
        <v>443</v>
      </c>
      <c r="D3205" s="55" t="s">
        <v>467</v>
      </c>
      <c r="E3205" s="55" t="s">
        <v>15</v>
      </c>
      <c r="G3205" s="62">
        <v>19</v>
      </c>
      <c r="H3205">
        <v>0.19</v>
      </c>
      <c r="I3205">
        <v>32233</v>
      </c>
      <c r="J3205">
        <v>0</v>
      </c>
      <c r="K3205">
        <v>50</v>
      </c>
      <c r="L3205">
        <v>50</v>
      </c>
      <c r="M3205">
        <v>0</v>
      </c>
      <c r="N3205" s="23">
        <v>0</v>
      </c>
      <c r="O3205">
        <f t="shared" si="779"/>
        <v>-2</v>
      </c>
      <c r="P3205" s="57">
        <f t="shared" si="780"/>
        <v>1</v>
      </c>
      <c r="Q3205" s="267">
        <f t="shared" si="781"/>
        <v>19</v>
      </c>
      <c r="R3205" s="23">
        <f t="shared" si="782"/>
        <v>1</v>
      </c>
      <c r="S3205" s="23">
        <f t="shared" si="783"/>
        <v>0</v>
      </c>
      <c r="T3205" s="23" t="str">
        <f t="shared" si="784"/>
        <v/>
      </c>
      <c r="U3205" t="str">
        <f t="shared" si="785"/>
        <v/>
      </c>
      <c r="AF3205" s="88"/>
      <c r="AH3205" s="8"/>
      <c r="AL3205" s="23"/>
      <c r="AU3205" s="1"/>
    </row>
    <row r="3206" spans="1:47">
      <c r="A3206" t="str">
        <f t="shared" si="778"/>
        <v>PA_Alleg_2019g~Gen-member of council aspinwall (vote for 1)</v>
      </c>
      <c r="B3206" s="55" t="s">
        <v>1528</v>
      </c>
      <c r="C3206">
        <v>1003</v>
      </c>
      <c r="D3206" s="55" t="s">
        <v>911</v>
      </c>
      <c r="E3206" s="55" t="s">
        <v>691</v>
      </c>
      <c r="F3206" t="s">
        <v>1294</v>
      </c>
      <c r="G3206" s="62">
        <v>634</v>
      </c>
      <c r="H3206">
        <v>97.39</v>
      </c>
      <c r="I3206">
        <v>2395</v>
      </c>
      <c r="J3206">
        <v>0</v>
      </c>
      <c r="K3206">
        <v>3</v>
      </c>
      <c r="L3206">
        <v>3</v>
      </c>
      <c r="M3206">
        <v>0</v>
      </c>
      <c r="N3206" s="23">
        <v>0</v>
      </c>
      <c r="O3206">
        <f t="shared" si="779"/>
        <v>1</v>
      </c>
      <c r="P3206" s="57">
        <f t="shared" si="780"/>
        <v>1</v>
      </c>
      <c r="Q3206" s="267">
        <f t="shared" si="781"/>
        <v>651</v>
      </c>
      <c r="R3206" s="23">
        <f t="shared" si="782"/>
        <v>634</v>
      </c>
      <c r="S3206" s="23">
        <f t="shared" si="783"/>
        <v>0</v>
      </c>
      <c r="T3206" s="23" t="str">
        <f t="shared" si="784"/>
        <v/>
      </c>
      <c r="U3206" t="str">
        <f t="shared" si="785"/>
        <v>PA_Alleg_2019g~Gen-member of council aspinwall (vote for 1)</v>
      </c>
      <c r="AF3206" s="88"/>
      <c r="AH3206" s="8"/>
      <c r="AL3206" s="23"/>
      <c r="AU3206" s="1"/>
    </row>
    <row r="3207" spans="1:47">
      <c r="A3207" t="str">
        <f t="shared" si="778"/>
        <v>PA_Alleg_2019g~Gen-member of council aspinwall (vote for 1)</v>
      </c>
      <c r="B3207" s="55" t="s">
        <v>1528</v>
      </c>
      <c r="C3207">
        <v>1004</v>
      </c>
      <c r="D3207" s="55" t="s">
        <v>911</v>
      </c>
      <c r="E3207" s="55" t="s">
        <v>15</v>
      </c>
      <c r="G3207" s="62">
        <v>17</v>
      </c>
      <c r="H3207">
        <v>2.61</v>
      </c>
      <c r="I3207">
        <v>2395</v>
      </c>
      <c r="J3207">
        <v>0</v>
      </c>
      <c r="K3207">
        <v>3</v>
      </c>
      <c r="L3207">
        <v>3</v>
      </c>
      <c r="M3207">
        <v>0</v>
      </c>
      <c r="N3207" s="23">
        <v>0</v>
      </c>
      <c r="O3207">
        <f t="shared" si="779"/>
        <v>-1</v>
      </c>
      <c r="P3207" s="57">
        <f t="shared" si="780"/>
        <v>1</v>
      </c>
      <c r="Q3207" s="267">
        <f t="shared" si="781"/>
        <v>17</v>
      </c>
      <c r="R3207" s="23">
        <f t="shared" si="782"/>
        <v>1</v>
      </c>
      <c r="S3207" s="23">
        <f t="shared" si="783"/>
        <v>0</v>
      </c>
      <c r="T3207" s="23" t="str">
        <f t="shared" si="784"/>
        <v/>
      </c>
      <c r="U3207" t="str">
        <f t="shared" si="785"/>
        <v/>
      </c>
      <c r="AF3207" s="88"/>
      <c r="AH3207" s="8"/>
      <c r="AL3207" s="23"/>
      <c r="AU3207" s="1"/>
    </row>
    <row r="3208" spans="1:47">
      <c r="A3208" t="str">
        <f t="shared" si="778"/>
        <v>PA_Alleg_2019g~Gen-member of council aspinwall (vote for 3)</v>
      </c>
      <c r="B3208" s="55" t="s">
        <v>1528</v>
      </c>
      <c r="C3208">
        <v>728</v>
      </c>
      <c r="D3208" s="55" t="s">
        <v>690</v>
      </c>
      <c r="E3208" s="55" t="s">
        <v>692</v>
      </c>
      <c r="F3208" t="s">
        <v>1294</v>
      </c>
      <c r="G3208" s="62">
        <v>570</v>
      </c>
      <c r="H3208">
        <v>41.67</v>
      </c>
      <c r="I3208">
        <v>2395</v>
      </c>
      <c r="J3208">
        <v>0</v>
      </c>
      <c r="K3208">
        <v>3</v>
      </c>
      <c r="L3208">
        <v>3</v>
      </c>
      <c r="M3208">
        <v>0</v>
      </c>
      <c r="N3208" s="23">
        <v>0</v>
      </c>
      <c r="O3208">
        <f t="shared" si="779"/>
        <v>1</v>
      </c>
      <c r="P3208" s="57">
        <f t="shared" si="780"/>
        <v>3</v>
      </c>
      <c r="Q3208" s="267">
        <f t="shared" si="781"/>
        <v>570</v>
      </c>
      <c r="R3208" s="23">
        <f t="shared" si="782"/>
        <v>371</v>
      </c>
      <c r="S3208" s="23">
        <f t="shared" si="783"/>
        <v>0</v>
      </c>
      <c r="T3208" s="23" t="str">
        <f t="shared" si="784"/>
        <v/>
      </c>
      <c r="U3208" t="str">
        <f t="shared" si="785"/>
        <v>PA_Alleg_2019g~Gen-member of council aspinwall (vote for 3)</v>
      </c>
      <c r="AF3208" s="88"/>
      <c r="AH3208" s="8"/>
      <c r="AL3208" s="23"/>
      <c r="AU3208" s="1"/>
    </row>
    <row r="3209" spans="1:47">
      <c r="A3209" t="str">
        <f t="shared" si="778"/>
        <v>PA_Alleg_2019g~Gen-member of council aspinwall (vote for 3)</v>
      </c>
      <c r="B3209" s="55" t="s">
        <v>1528</v>
      </c>
      <c r="C3209">
        <v>729</v>
      </c>
      <c r="D3209" s="55" t="s">
        <v>690</v>
      </c>
      <c r="E3209" s="55" t="s">
        <v>1178</v>
      </c>
      <c r="F3209" t="s">
        <v>1296</v>
      </c>
      <c r="G3209" s="62">
        <v>400</v>
      </c>
      <c r="H3209">
        <v>29.24</v>
      </c>
      <c r="I3209">
        <v>2395</v>
      </c>
      <c r="J3209">
        <v>0</v>
      </c>
      <c r="K3209">
        <v>3</v>
      </c>
      <c r="L3209">
        <v>3</v>
      </c>
      <c r="M3209">
        <v>0</v>
      </c>
      <c r="N3209" s="23">
        <v>0</v>
      </c>
      <c r="O3209">
        <f t="shared" si="779"/>
        <v>2</v>
      </c>
      <c r="P3209" s="57">
        <f t="shared" si="780"/>
        <v>3</v>
      </c>
      <c r="Q3209" s="267">
        <f t="shared" si="781"/>
        <v>798</v>
      </c>
      <c r="R3209" s="23">
        <f t="shared" si="782"/>
        <v>371</v>
      </c>
      <c r="S3209" s="23">
        <f t="shared" si="783"/>
        <v>0</v>
      </c>
      <c r="T3209" s="23" t="str">
        <f t="shared" si="784"/>
        <v/>
      </c>
      <c r="U3209" t="str">
        <f t="shared" si="785"/>
        <v/>
      </c>
      <c r="AF3209" s="88"/>
      <c r="AH3209" s="8"/>
      <c r="AL3209" s="23"/>
      <c r="AU3209" s="1"/>
    </row>
    <row r="3210" spans="1:47">
      <c r="A3210" t="str">
        <f t="shared" si="778"/>
        <v>PA_Alleg_2019g~Gen-member of council aspinwall (vote for 3)</v>
      </c>
      <c r="B3210" s="55" t="s">
        <v>1528</v>
      </c>
      <c r="C3210">
        <v>730</v>
      </c>
      <c r="D3210" s="55" t="s">
        <v>690</v>
      </c>
      <c r="E3210" s="55" t="s">
        <v>1177</v>
      </c>
      <c r="F3210" t="s">
        <v>1296</v>
      </c>
      <c r="G3210" s="62">
        <v>371</v>
      </c>
      <c r="H3210">
        <v>27.12</v>
      </c>
      <c r="I3210">
        <v>2395</v>
      </c>
      <c r="J3210">
        <v>0</v>
      </c>
      <c r="K3210">
        <v>3</v>
      </c>
      <c r="L3210">
        <v>3</v>
      </c>
      <c r="M3210">
        <v>0</v>
      </c>
      <c r="N3210" s="23">
        <v>0</v>
      </c>
      <c r="O3210">
        <f t="shared" si="779"/>
        <v>3</v>
      </c>
      <c r="P3210" s="57">
        <f t="shared" si="780"/>
        <v>3</v>
      </c>
      <c r="Q3210" s="267">
        <f t="shared" si="781"/>
        <v>398</v>
      </c>
      <c r="R3210" s="23">
        <f t="shared" si="782"/>
        <v>371</v>
      </c>
      <c r="S3210" s="23">
        <f t="shared" si="783"/>
        <v>0</v>
      </c>
      <c r="T3210" s="23" t="str">
        <f t="shared" si="784"/>
        <v/>
      </c>
      <c r="U3210" t="str">
        <f t="shared" si="785"/>
        <v/>
      </c>
      <c r="AF3210" s="88"/>
      <c r="AH3210" s="8"/>
      <c r="AL3210" s="23"/>
      <c r="AU3210" s="1"/>
    </row>
    <row r="3211" spans="1:47">
      <c r="A3211" t="str">
        <f t="shared" si="778"/>
        <v>PA_Alleg_2019g~Gen-member of council aspinwall (vote for 3)</v>
      </c>
      <c r="B3211" s="55" t="s">
        <v>1528</v>
      </c>
      <c r="C3211">
        <v>731</v>
      </c>
      <c r="D3211" s="55" t="s">
        <v>690</v>
      </c>
      <c r="E3211" s="55" t="s">
        <v>15</v>
      </c>
      <c r="G3211" s="62">
        <v>27</v>
      </c>
      <c r="H3211">
        <v>1.97</v>
      </c>
      <c r="I3211">
        <v>2395</v>
      </c>
      <c r="J3211">
        <v>0</v>
      </c>
      <c r="K3211">
        <v>3</v>
      </c>
      <c r="L3211">
        <v>3</v>
      </c>
      <c r="M3211">
        <v>0</v>
      </c>
      <c r="N3211" s="23">
        <v>0</v>
      </c>
      <c r="O3211">
        <f t="shared" si="779"/>
        <v>-3</v>
      </c>
      <c r="P3211" s="57">
        <f t="shared" si="780"/>
        <v>3</v>
      </c>
      <c r="Q3211" s="267">
        <f t="shared" si="781"/>
        <v>27</v>
      </c>
      <c r="R3211" s="23">
        <f t="shared" si="782"/>
        <v>1</v>
      </c>
      <c r="S3211" s="23">
        <f t="shared" si="783"/>
        <v>0</v>
      </c>
      <c r="T3211" s="23" t="str">
        <f t="shared" si="784"/>
        <v/>
      </c>
      <c r="U3211" t="str">
        <f t="shared" si="785"/>
        <v/>
      </c>
      <c r="AF3211" s="88"/>
      <c r="AH3211" s="8"/>
      <c r="AL3211" s="23"/>
      <c r="AU3211" s="1"/>
    </row>
    <row r="3212" spans="1:47">
      <c r="A3212" t="str">
        <f t="shared" si="778"/>
        <v>PA_Alleg_2019g~Gen-member of council at-large east pittsburgh (vote for 2)</v>
      </c>
      <c r="B3212" s="55" t="s">
        <v>1528</v>
      </c>
      <c r="C3212">
        <v>688</v>
      </c>
      <c r="D3212" s="55" t="s">
        <v>650</v>
      </c>
      <c r="E3212" s="55" t="s">
        <v>651</v>
      </c>
      <c r="F3212" t="s">
        <v>1294</v>
      </c>
      <c r="G3212" s="62">
        <v>177</v>
      </c>
      <c r="H3212">
        <v>45.15</v>
      </c>
      <c r="I3212">
        <v>1318</v>
      </c>
      <c r="J3212">
        <v>0</v>
      </c>
      <c r="K3212">
        <v>3</v>
      </c>
      <c r="L3212">
        <v>3</v>
      </c>
      <c r="M3212">
        <v>0</v>
      </c>
      <c r="N3212" s="23">
        <v>0</v>
      </c>
      <c r="O3212">
        <f t="shared" si="779"/>
        <v>1</v>
      </c>
      <c r="P3212" s="57">
        <f t="shared" si="780"/>
        <v>2</v>
      </c>
      <c r="Q3212" s="267">
        <f t="shared" si="781"/>
        <v>196</v>
      </c>
      <c r="R3212" s="23">
        <f t="shared" si="782"/>
        <v>156</v>
      </c>
      <c r="S3212" s="23">
        <f t="shared" si="783"/>
        <v>0</v>
      </c>
      <c r="T3212" s="23" t="str">
        <f t="shared" si="784"/>
        <v/>
      </c>
      <c r="U3212" t="str">
        <f t="shared" si="785"/>
        <v>PA_Alleg_2019g~Gen-member of council at-large east pittsburgh (vote for 2)</v>
      </c>
      <c r="AF3212" s="88"/>
      <c r="AH3212" s="8"/>
      <c r="AL3212" s="23"/>
      <c r="AU3212" s="1"/>
    </row>
    <row r="3213" spans="1:47">
      <c r="A3213" t="str">
        <f t="shared" si="778"/>
        <v>PA_Alleg_2019g~Gen-member of council at-large east pittsburgh (vote for 2)</v>
      </c>
      <c r="B3213" s="55" t="s">
        <v>1528</v>
      </c>
      <c r="C3213">
        <v>689</v>
      </c>
      <c r="D3213" s="55" t="s">
        <v>650</v>
      </c>
      <c r="E3213" s="55" t="s">
        <v>654</v>
      </c>
      <c r="F3213" t="s">
        <v>1294</v>
      </c>
      <c r="G3213" s="62">
        <v>156</v>
      </c>
      <c r="H3213">
        <v>39.799999999999997</v>
      </c>
      <c r="I3213">
        <v>1318</v>
      </c>
      <c r="J3213">
        <v>0</v>
      </c>
      <c r="K3213">
        <v>3</v>
      </c>
      <c r="L3213">
        <v>3</v>
      </c>
      <c r="M3213">
        <v>0</v>
      </c>
      <c r="N3213" s="23">
        <v>0</v>
      </c>
      <c r="O3213">
        <f t="shared" si="779"/>
        <v>2</v>
      </c>
      <c r="P3213" s="57">
        <f t="shared" si="780"/>
        <v>2</v>
      </c>
      <c r="Q3213" s="267">
        <f t="shared" si="781"/>
        <v>215</v>
      </c>
      <c r="R3213" s="23">
        <f t="shared" si="782"/>
        <v>156</v>
      </c>
      <c r="S3213" s="23">
        <f t="shared" si="783"/>
        <v>0</v>
      </c>
      <c r="T3213" s="23" t="str">
        <f t="shared" si="784"/>
        <v/>
      </c>
      <c r="U3213" t="str">
        <f t="shared" si="785"/>
        <v/>
      </c>
      <c r="AF3213" s="88"/>
      <c r="AH3213" s="8"/>
      <c r="AL3213" s="23"/>
      <c r="AU3213" s="1"/>
    </row>
    <row r="3214" spans="1:47">
      <c r="A3214" t="str">
        <f t="shared" si="778"/>
        <v>PA_Alleg_2019g~Gen-member of council at-large east pittsburgh (vote for 2)</v>
      </c>
      <c r="B3214" s="55" t="s">
        <v>1528</v>
      </c>
      <c r="C3214">
        <v>690</v>
      </c>
      <c r="D3214" s="55" t="s">
        <v>650</v>
      </c>
      <c r="E3214" s="55" t="s">
        <v>15</v>
      </c>
      <c r="G3214" s="62">
        <v>59</v>
      </c>
      <c r="H3214">
        <v>15.05</v>
      </c>
      <c r="I3214">
        <v>1318</v>
      </c>
      <c r="J3214">
        <v>0</v>
      </c>
      <c r="K3214">
        <v>3</v>
      </c>
      <c r="L3214">
        <v>3</v>
      </c>
      <c r="M3214">
        <v>0</v>
      </c>
      <c r="N3214" s="23">
        <v>0</v>
      </c>
      <c r="O3214">
        <f t="shared" si="779"/>
        <v>-2</v>
      </c>
      <c r="P3214" s="57">
        <f t="shared" si="780"/>
        <v>2</v>
      </c>
      <c r="Q3214" s="267">
        <f t="shared" si="781"/>
        <v>59</v>
      </c>
      <c r="R3214" s="23">
        <f t="shared" si="782"/>
        <v>1</v>
      </c>
      <c r="S3214" s="23">
        <f t="shared" si="783"/>
        <v>0</v>
      </c>
      <c r="T3214" s="23" t="str">
        <f t="shared" si="784"/>
        <v/>
      </c>
      <c r="U3214" t="str">
        <f t="shared" si="785"/>
        <v/>
      </c>
      <c r="AF3214" s="88"/>
      <c r="AH3214" s="8"/>
      <c r="AL3214" s="23"/>
      <c r="AU3214" s="1"/>
    </row>
    <row r="3215" spans="1:47">
      <c r="A3215" t="str">
        <f t="shared" si="778"/>
        <v>PA_Alleg_2019g~Gen-member of council at-large ohara (vote for 2)</v>
      </c>
      <c r="B3215" s="55" t="s">
        <v>1528</v>
      </c>
      <c r="C3215">
        <v>691</v>
      </c>
      <c r="D3215" s="55" t="s">
        <v>655</v>
      </c>
      <c r="E3215" s="55" t="s">
        <v>1171</v>
      </c>
      <c r="F3215" t="s">
        <v>1396</v>
      </c>
      <c r="G3215" s="62">
        <v>1962</v>
      </c>
      <c r="H3215">
        <v>50.84</v>
      </c>
      <c r="I3215">
        <v>7623</v>
      </c>
      <c r="J3215">
        <v>0</v>
      </c>
      <c r="K3215">
        <v>10</v>
      </c>
      <c r="L3215">
        <v>10</v>
      </c>
      <c r="M3215">
        <v>0</v>
      </c>
      <c r="N3215" s="23">
        <v>0</v>
      </c>
      <c r="O3215">
        <f t="shared" si="779"/>
        <v>1</v>
      </c>
      <c r="P3215" s="57">
        <f t="shared" si="780"/>
        <v>2</v>
      </c>
      <c r="Q3215" s="267">
        <f t="shared" si="781"/>
        <v>1962</v>
      </c>
      <c r="R3215" s="23">
        <f t="shared" si="782"/>
        <v>1865</v>
      </c>
      <c r="S3215" s="23">
        <f t="shared" si="783"/>
        <v>0</v>
      </c>
      <c r="T3215" s="23" t="str">
        <f t="shared" si="784"/>
        <v/>
      </c>
      <c r="U3215" t="str">
        <f t="shared" si="785"/>
        <v>PA_Alleg_2019g~Gen-member of council at-large ohara (vote for 2)</v>
      </c>
      <c r="AF3215" s="88"/>
      <c r="AH3215" s="8"/>
      <c r="AL3215" s="23"/>
      <c r="AU3215" s="1"/>
    </row>
    <row r="3216" spans="1:47">
      <c r="A3216" t="str">
        <f t="shared" si="778"/>
        <v>PA_Alleg_2019g~Gen-member of council at-large ohara (vote for 2)</v>
      </c>
      <c r="B3216" s="55" t="s">
        <v>1528</v>
      </c>
      <c r="C3216">
        <v>692</v>
      </c>
      <c r="D3216" s="55" t="s">
        <v>655</v>
      </c>
      <c r="E3216" s="55" t="s">
        <v>1170</v>
      </c>
      <c r="F3216" t="s">
        <v>1396</v>
      </c>
      <c r="G3216" s="62">
        <v>1865</v>
      </c>
      <c r="H3216">
        <v>48.33</v>
      </c>
      <c r="I3216">
        <v>7623</v>
      </c>
      <c r="J3216">
        <v>0</v>
      </c>
      <c r="K3216">
        <v>10</v>
      </c>
      <c r="L3216">
        <v>10</v>
      </c>
      <c r="M3216">
        <v>0</v>
      </c>
      <c r="N3216" s="23">
        <v>0</v>
      </c>
      <c r="O3216">
        <f t="shared" si="779"/>
        <v>2</v>
      </c>
      <c r="P3216" s="57">
        <f t="shared" si="780"/>
        <v>2</v>
      </c>
      <c r="Q3216" s="267">
        <f t="shared" si="781"/>
        <v>1897</v>
      </c>
      <c r="R3216" s="23">
        <f t="shared" si="782"/>
        <v>1865</v>
      </c>
      <c r="S3216" s="23">
        <f t="shared" si="783"/>
        <v>0</v>
      </c>
      <c r="T3216" s="23" t="str">
        <f t="shared" si="784"/>
        <v/>
      </c>
      <c r="U3216" t="str">
        <f t="shared" si="785"/>
        <v/>
      </c>
      <c r="AF3216" s="88"/>
      <c r="AH3216" s="8"/>
      <c r="AL3216" s="23"/>
      <c r="AU3216" s="1"/>
    </row>
    <row r="3217" spans="1:47">
      <c r="A3217" t="str">
        <f t="shared" si="778"/>
        <v>PA_Alleg_2019g~Gen-member of council at-large ohara (vote for 2)</v>
      </c>
      <c r="B3217" s="55" t="s">
        <v>1528</v>
      </c>
      <c r="C3217">
        <v>693</v>
      </c>
      <c r="D3217" s="55" t="s">
        <v>655</v>
      </c>
      <c r="E3217" s="55" t="s">
        <v>15</v>
      </c>
      <c r="G3217" s="62">
        <v>32</v>
      </c>
      <c r="H3217">
        <v>0.83</v>
      </c>
      <c r="I3217">
        <v>7623</v>
      </c>
      <c r="J3217">
        <v>0</v>
      </c>
      <c r="K3217">
        <v>10</v>
      </c>
      <c r="L3217">
        <v>10</v>
      </c>
      <c r="M3217">
        <v>0</v>
      </c>
      <c r="N3217" s="23">
        <v>0</v>
      </c>
      <c r="O3217">
        <f t="shared" si="779"/>
        <v>-2</v>
      </c>
      <c r="P3217" s="57">
        <f t="shared" si="780"/>
        <v>2</v>
      </c>
      <c r="Q3217" s="267">
        <f t="shared" si="781"/>
        <v>32</v>
      </c>
      <c r="R3217" s="23">
        <f t="shared" si="782"/>
        <v>1</v>
      </c>
      <c r="S3217" s="23">
        <f t="shared" si="783"/>
        <v>0</v>
      </c>
      <c r="T3217" s="23" t="str">
        <f t="shared" si="784"/>
        <v/>
      </c>
      <c r="U3217" t="str">
        <f t="shared" si="785"/>
        <v/>
      </c>
      <c r="AF3217" s="88"/>
      <c r="AH3217" s="8"/>
      <c r="AL3217" s="23"/>
      <c r="AU3217" s="1"/>
    </row>
    <row r="3218" spans="1:47">
      <c r="A3218" t="str">
        <f t="shared" si="778"/>
        <v>PA_Alleg_2019g~Gen-member of council at-large tarentum (vote for 1)</v>
      </c>
      <c r="B3218" s="55" t="s">
        <v>1528</v>
      </c>
      <c r="C3218">
        <v>694</v>
      </c>
      <c r="D3218" s="55" t="s">
        <v>656</v>
      </c>
      <c r="E3218" s="55" t="s">
        <v>657</v>
      </c>
      <c r="F3218" t="s">
        <v>1294</v>
      </c>
      <c r="G3218" s="62">
        <v>328</v>
      </c>
      <c r="H3218">
        <v>60.41</v>
      </c>
      <c r="I3218">
        <v>2626</v>
      </c>
      <c r="J3218">
        <v>0</v>
      </c>
      <c r="K3218">
        <v>5</v>
      </c>
      <c r="L3218">
        <v>5</v>
      </c>
      <c r="M3218">
        <v>0</v>
      </c>
      <c r="N3218" s="23">
        <v>0</v>
      </c>
      <c r="O3218">
        <f t="shared" si="779"/>
        <v>1</v>
      </c>
      <c r="P3218" s="57">
        <f t="shared" si="780"/>
        <v>1</v>
      </c>
      <c r="Q3218" s="267">
        <f t="shared" si="781"/>
        <v>543</v>
      </c>
      <c r="R3218" s="23">
        <f t="shared" si="782"/>
        <v>328</v>
      </c>
      <c r="S3218" s="23">
        <f t="shared" si="783"/>
        <v>207</v>
      </c>
      <c r="T3218" s="23">
        <f t="shared" si="784"/>
        <v>121</v>
      </c>
      <c r="U3218" t="str">
        <f t="shared" si="785"/>
        <v>PA_Alleg_2019g~Gen-member of council at-large tarentum (vote for 1)</v>
      </c>
      <c r="AF3218" s="88"/>
      <c r="AH3218" s="8"/>
      <c r="AL3218" s="23"/>
      <c r="AU3218" s="1"/>
    </row>
    <row r="3219" spans="1:47">
      <c r="A3219" t="str">
        <f t="shared" si="778"/>
        <v>PA_Alleg_2019g~Gen-member of council at-large tarentum (vote for 1)</v>
      </c>
      <c r="B3219" s="55" t="s">
        <v>1528</v>
      </c>
      <c r="C3219">
        <v>695</v>
      </c>
      <c r="D3219" s="55" t="s">
        <v>656</v>
      </c>
      <c r="E3219" s="55" t="s">
        <v>1172</v>
      </c>
      <c r="F3219" t="s">
        <v>1296</v>
      </c>
      <c r="G3219" s="62">
        <v>207</v>
      </c>
      <c r="H3219">
        <v>38.119999999999997</v>
      </c>
      <c r="I3219">
        <v>2626</v>
      </c>
      <c r="J3219">
        <v>0</v>
      </c>
      <c r="K3219">
        <v>5</v>
      </c>
      <c r="L3219">
        <v>5</v>
      </c>
      <c r="M3219">
        <v>0</v>
      </c>
      <c r="N3219" s="23">
        <v>0</v>
      </c>
      <c r="O3219">
        <f t="shared" si="779"/>
        <v>2</v>
      </c>
      <c r="P3219" s="57">
        <f t="shared" si="780"/>
        <v>1</v>
      </c>
      <c r="Q3219" s="267">
        <f t="shared" si="781"/>
        <v>215</v>
      </c>
      <c r="R3219" s="23" t="str">
        <f t="shared" si="782"/>
        <v/>
      </c>
      <c r="S3219" s="23">
        <f t="shared" si="783"/>
        <v>207</v>
      </c>
      <c r="T3219" s="23" t="str">
        <f t="shared" si="784"/>
        <v/>
      </c>
      <c r="U3219" t="str">
        <f t="shared" si="785"/>
        <v/>
      </c>
      <c r="AF3219" s="88"/>
      <c r="AH3219" s="8"/>
      <c r="AL3219" s="23"/>
      <c r="AU3219" s="1"/>
    </row>
    <row r="3220" spans="1:47">
      <c r="A3220" t="str">
        <f t="shared" si="778"/>
        <v>PA_Alleg_2019g~Gen-member of council at-large tarentum (vote for 1)</v>
      </c>
      <c r="B3220" s="55" t="s">
        <v>1528</v>
      </c>
      <c r="C3220">
        <v>696</v>
      </c>
      <c r="D3220" s="55" t="s">
        <v>656</v>
      </c>
      <c r="E3220" s="55" t="s">
        <v>15</v>
      </c>
      <c r="G3220" s="62">
        <v>8</v>
      </c>
      <c r="H3220">
        <v>1.47</v>
      </c>
      <c r="I3220">
        <v>2626</v>
      </c>
      <c r="J3220">
        <v>0</v>
      </c>
      <c r="K3220">
        <v>5</v>
      </c>
      <c r="L3220">
        <v>5</v>
      </c>
      <c r="M3220">
        <v>0</v>
      </c>
      <c r="N3220" s="23">
        <v>0</v>
      </c>
      <c r="O3220">
        <f t="shared" si="779"/>
        <v>-2</v>
      </c>
      <c r="P3220" s="57">
        <f t="shared" si="780"/>
        <v>1</v>
      </c>
      <c r="Q3220" s="267">
        <f t="shared" si="781"/>
        <v>8</v>
      </c>
      <c r="R3220" s="23">
        <f t="shared" si="782"/>
        <v>1</v>
      </c>
      <c r="S3220" s="23">
        <f t="shared" si="783"/>
        <v>0</v>
      </c>
      <c r="T3220" s="23" t="str">
        <f t="shared" si="784"/>
        <v/>
      </c>
      <c r="U3220" t="str">
        <f t="shared" si="785"/>
        <v/>
      </c>
      <c r="AF3220" s="88"/>
      <c r="AH3220" s="8"/>
      <c r="AL3220" s="23"/>
      <c r="AU3220" s="1"/>
    </row>
    <row r="3221" spans="1:47">
      <c r="A3221" t="str">
        <f t="shared" si="778"/>
        <v>PA_Alleg_2019g~Gen-member of council avalon ward 1 (vote for 2)</v>
      </c>
      <c r="B3221" s="55" t="s">
        <v>1528</v>
      </c>
      <c r="C3221">
        <v>1045</v>
      </c>
      <c r="D3221" s="55" t="s">
        <v>945</v>
      </c>
      <c r="E3221" s="55" t="s">
        <v>946</v>
      </c>
      <c r="F3221" t="s">
        <v>1294</v>
      </c>
      <c r="G3221" s="62">
        <v>209</v>
      </c>
      <c r="H3221">
        <v>78.569999999999993</v>
      </c>
      <c r="I3221">
        <v>1145</v>
      </c>
      <c r="J3221">
        <v>0</v>
      </c>
      <c r="K3221">
        <v>1</v>
      </c>
      <c r="L3221">
        <v>1</v>
      </c>
      <c r="M3221">
        <v>0</v>
      </c>
      <c r="N3221" s="23">
        <v>0</v>
      </c>
      <c r="O3221">
        <f t="shared" si="779"/>
        <v>1</v>
      </c>
      <c r="P3221" s="57">
        <f t="shared" si="780"/>
        <v>2</v>
      </c>
      <c r="Q3221" s="267">
        <f t="shared" si="781"/>
        <v>209</v>
      </c>
      <c r="R3221" s="23">
        <f t="shared" si="782"/>
        <v>1</v>
      </c>
      <c r="S3221" s="23">
        <f t="shared" si="783"/>
        <v>0</v>
      </c>
      <c r="T3221" s="23" t="str">
        <f t="shared" si="784"/>
        <v/>
      </c>
      <c r="U3221" t="str">
        <f t="shared" si="785"/>
        <v>PA_Alleg_2019g~Gen-member of council avalon ward 1 (vote for 2)</v>
      </c>
      <c r="AF3221" s="88"/>
      <c r="AH3221" s="8"/>
      <c r="AL3221" s="23"/>
      <c r="AU3221" s="1"/>
    </row>
    <row r="3222" spans="1:47">
      <c r="A3222" t="str">
        <f t="shared" si="778"/>
        <v>PA_Alleg_2019g~Gen-member of council avalon ward 1 (vote for 2)</v>
      </c>
      <c r="B3222" s="55" t="s">
        <v>1528</v>
      </c>
      <c r="C3222">
        <v>1046</v>
      </c>
      <c r="D3222" s="55" t="s">
        <v>945</v>
      </c>
      <c r="E3222" s="55" t="s">
        <v>15</v>
      </c>
      <c r="G3222" s="62">
        <v>57</v>
      </c>
      <c r="H3222">
        <v>21.43</v>
      </c>
      <c r="I3222">
        <v>1145</v>
      </c>
      <c r="J3222">
        <v>0</v>
      </c>
      <c r="K3222">
        <v>1</v>
      </c>
      <c r="L3222">
        <v>1</v>
      </c>
      <c r="M3222">
        <v>0</v>
      </c>
      <c r="N3222" s="23">
        <v>0</v>
      </c>
      <c r="O3222">
        <f t="shared" si="779"/>
        <v>-1</v>
      </c>
      <c r="P3222" s="57">
        <f t="shared" si="780"/>
        <v>2</v>
      </c>
      <c r="Q3222" s="267">
        <f t="shared" si="781"/>
        <v>57</v>
      </c>
      <c r="R3222" s="23">
        <f t="shared" si="782"/>
        <v>1</v>
      </c>
      <c r="S3222" s="23">
        <f t="shared" si="783"/>
        <v>0</v>
      </c>
      <c r="T3222" s="23" t="str">
        <f t="shared" si="784"/>
        <v/>
      </c>
      <c r="U3222" t="str">
        <f t="shared" si="785"/>
        <v/>
      </c>
      <c r="AF3222" s="88"/>
      <c r="AH3222" s="8"/>
      <c r="AL3222" s="23"/>
      <c r="AU3222" s="1"/>
    </row>
    <row r="3223" spans="1:47">
      <c r="A3223" t="str">
        <f t="shared" si="778"/>
        <v>PA_Alleg_2019g~Gen-member of council avalon ward 2 (vote for 1)</v>
      </c>
      <c r="B3223" s="55" t="s">
        <v>1528</v>
      </c>
      <c r="C3223">
        <v>1072</v>
      </c>
      <c r="D3223" s="55" t="s">
        <v>974</v>
      </c>
      <c r="E3223" s="55" t="s">
        <v>1243</v>
      </c>
      <c r="F3223" t="s">
        <v>1296</v>
      </c>
      <c r="G3223" s="62">
        <v>233</v>
      </c>
      <c r="H3223">
        <v>93.2</v>
      </c>
      <c r="I3223">
        <v>1233</v>
      </c>
      <c r="J3223">
        <v>0</v>
      </c>
      <c r="K3223">
        <v>2</v>
      </c>
      <c r="L3223">
        <v>2</v>
      </c>
      <c r="M3223">
        <v>0</v>
      </c>
      <c r="N3223" s="23">
        <v>0</v>
      </c>
      <c r="O3223">
        <f t="shared" si="779"/>
        <v>1</v>
      </c>
      <c r="P3223" s="57">
        <f t="shared" si="780"/>
        <v>1</v>
      </c>
      <c r="Q3223" s="267">
        <f t="shared" si="781"/>
        <v>250</v>
      </c>
      <c r="R3223" s="23">
        <f t="shared" si="782"/>
        <v>233</v>
      </c>
      <c r="S3223" s="23">
        <f t="shared" si="783"/>
        <v>0</v>
      </c>
      <c r="T3223" s="23" t="str">
        <f t="shared" si="784"/>
        <v/>
      </c>
      <c r="U3223" t="str">
        <f t="shared" si="785"/>
        <v>PA_Alleg_2019g~Gen-member of council avalon ward 2 (vote for 1)</v>
      </c>
      <c r="AF3223" s="88"/>
      <c r="AH3223" s="8"/>
      <c r="AL3223" s="23"/>
      <c r="AU3223" s="1"/>
    </row>
    <row r="3224" spans="1:47">
      <c r="A3224" t="str">
        <f t="shared" si="778"/>
        <v>PA_Alleg_2019g~Gen-member of council avalon ward 2 (vote for 1)</v>
      </c>
      <c r="B3224" s="55" t="s">
        <v>1528</v>
      </c>
      <c r="C3224">
        <v>1073</v>
      </c>
      <c r="D3224" s="55" t="s">
        <v>974</v>
      </c>
      <c r="E3224" s="55" t="s">
        <v>15</v>
      </c>
      <c r="G3224" s="62">
        <v>17</v>
      </c>
      <c r="H3224">
        <v>6.8</v>
      </c>
      <c r="I3224">
        <v>1233</v>
      </c>
      <c r="J3224">
        <v>0</v>
      </c>
      <c r="K3224">
        <v>2</v>
      </c>
      <c r="L3224">
        <v>2</v>
      </c>
      <c r="M3224">
        <v>0</v>
      </c>
      <c r="N3224" s="23">
        <v>0</v>
      </c>
      <c r="O3224">
        <f t="shared" si="779"/>
        <v>-1</v>
      </c>
      <c r="P3224" s="57">
        <f t="shared" si="780"/>
        <v>1</v>
      </c>
      <c r="Q3224" s="267">
        <f t="shared" si="781"/>
        <v>17</v>
      </c>
      <c r="R3224" s="23">
        <f t="shared" si="782"/>
        <v>1</v>
      </c>
      <c r="S3224" s="23">
        <f t="shared" si="783"/>
        <v>0</v>
      </c>
      <c r="T3224" s="23" t="str">
        <f t="shared" si="784"/>
        <v/>
      </c>
      <c r="U3224" t="str">
        <f t="shared" si="785"/>
        <v/>
      </c>
      <c r="AF3224" s="88"/>
      <c r="AH3224" s="8"/>
      <c r="AL3224" s="23"/>
      <c r="AU3224" s="1"/>
    </row>
    <row r="3225" spans="1:47">
      <c r="A3225" t="str">
        <f t="shared" si="778"/>
        <v>PA_Alleg_2019g~Gen-member of council avalon ward 3 (vote for 1)</v>
      </c>
      <c r="B3225" s="55" t="s">
        <v>1528</v>
      </c>
      <c r="C3225">
        <v>1074</v>
      </c>
      <c r="D3225" s="55" t="s">
        <v>975</v>
      </c>
      <c r="E3225" s="55" t="s">
        <v>15</v>
      </c>
      <c r="G3225" s="62">
        <v>24</v>
      </c>
      <c r="H3225">
        <v>100</v>
      </c>
      <c r="I3225">
        <v>1332</v>
      </c>
      <c r="J3225">
        <v>0</v>
      </c>
      <c r="K3225">
        <v>3</v>
      </c>
      <c r="L3225">
        <v>3</v>
      </c>
      <c r="M3225">
        <v>0</v>
      </c>
      <c r="N3225" s="23">
        <v>0</v>
      </c>
      <c r="O3225">
        <f t="shared" si="779"/>
        <v>0</v>
      </c>
      <c r="P3225" s="57">
        <f t="shared" si="780"/>
        <v>1</v>
      </c>
      <c r="Q3225" s="267">
        <f t="shared" si="781"/>
        <v>46</v>
      </c>
      <c r="R3225" s="23">
        <f t="shared" si="782"/>
        <v>1</v>
      </c>
      <c r="S3225" s="23">
        <f t="shared" si="783"/>
        <v>0</v>
      </c>
      <c r="T3225" s="23" t="str">
        <f t="shared" si="784"/>
        <v/>
      </c>
      <c r="U3225" t="str">
        <f t="shared" si="785"/>
        <v>PA_Alleg_2019g~Gen-member of council avalon ward 3 (vote for 1)</v>
      </c>
      <c r="AF3225" s="88"/>
      <c r="AH3225" s="8"/>
      <c r="AL3225" s="23"/>
      <c r="AU3225" s="1"/>
    </row>
    <row r="3226" spans="1:47">
      <c r="A3226" t="str">
        <f t="shared" si="778"/>
        <v>PA_Alleg_2019g~Gen-member of council avalon ward 3 (vote for 1)</v>
      </c>
      <c r="B3226" s="55" t="s">
        <v>1528</v>
      </c>
      <c r="C3226">
        <v>1183</v>
      </c>
      <c r="D3226" s="55" t="s">
        <v>1502</v>
      </c>
      <c r="E3226" s="55" t="s">
        <v>15</v>
      </c>
      <c r="G3226" s="62">
        <v>22</v>
      </c>
      <c r="H3226">
        <v>100</v>
      </c>
      <c r="I3226">
        <v>1332</v>
      </c>
      <c r="J3226">
        <v>0</v>
      </c>
      <c r="K3226">
        <v>3</v>
      </c>
      <c r="L3226">
        <v>3</v>
      </c>
      <c r="M3226">
        <v>0</v>
      </c>
      <c r="N3226" s="23">
        <v>0</v>
      </c>
      <c r="O3226">
        <f t="shared" si="779"/>
        <v>0</v>
      </c>
      <c r="P3226" s="57">
        <f t="shared" si="780"/>
        <v>1</v>
      </c>
      <c r="Q3226" s="267">
        <f t="shared" si="781"/>
        <v>22</v>
      </c>
      <c r="R3226" s="23">
        <f t="shared" si="782"/>
        <v>1</v>
      </c>
      <c r="S3226" s="23">
        <f t="shared" si="783"/>
        <v>0</v>
      </c>
      <c r="T3226" s="23" t="str">
        <f t="shared" si="784"/>
        <v/>
      </c>
      <c r="U3226" t="str">
        <f t="shared" si="785"/>
        <v/>
      </c>
      <c r="AF3226" s="88"/>
      <c r="AH3226" s="8"/>
      <c r="AL3226" s="23"/>
      <c r="AU3226" s="1"/>
    </row>
    <row r="3227" spans="1:47">
      <c r="A3227" t="str">
        <f t="shared" si="778"/>
        <v>PA_Alleg_2019g~Gen-member of council baldwin borough (vote for 3)</v>
      </c>
      <c r="B3227" s="55" t="s">
        <v>1528</v>
      </c>
      <c r="C3227">
        <v>733</v>
      </c>
      <c r="D3227" s="55" t="s">
        <v>693</v>
      </c>
      <c r="E3227" s="55" t="s">
        <v>697</v>
      </c>
      <c r="F3227" t="s">
        <v>1396</v>
      </c>
      <c r="G3227" s="62">
        <v>2912</v>
      </c>
      <c r="H3227">
        <v>30.66</v>
      </c>
      <c r="I3227">
        <v>14560</v>
      </c>
      <c r="J3227">
        <v>0</v>
      </c>
      <c r="K3227">
        <v>18</v>
      </c>
      <c r="L3227">
        <v>18</v>
      </c>
      <c r="M3227">
        <v>0</v>
      </c>
      <c r="N3227" s="23">
        <v>0</v>
      </c>
      <c r="O3227">
        <f t="shared" si="779"/>
        <v>1</v>
      </c>
      <c r="P3227" s="57">
        <f t="shared" si="780"/>
        <v>3</v>
      </c>
      <c r="Q3227" s="267">
        <f t="shared" si="781"/>
        <v>3165.6666666666665</v>
      </c>
      <c r="R3227" s="23">
        <f t="shared" si="782"/>
        <v>2254</v>
      </c>
      <c r="S3227" s="23">
        <f t="shared" si="783"/>
        <v>1428</v>
      </c>
      <c r="T3227" s="23">
        <f t="shared" si="784"/>
        <v>826</v>
      </c>
      <c r="U3227" t="str">
        <f t="shared" si="785"/>
        <v>PA_Alleg_2019g~Gen-member of council baldwin borough (vote for 3)</v>
      </c>
      <c r="AF3227" s="88"/>
      <c r="AH3227" s="8"/>
      <c r="AL3227" s="23"/>
      <c r="AU3227" s="1"/>
    </row>
    <row r="3228" spans="1:47">
      <c r="A3228" t="str">
        <f t="shared" si="778"/>
        <v>PA_Alleg_2019g~Gen-member of council baldwin borough (vote for 3)</v>
      </c>
      <c r="B3228" s="55" t="s">
        <v>1528</v>
      </c>
      <c r="C3228">
        <v>732</v>
      </c>
      <c r="D3228" s="55" t="s">
        <v>693</v>
      </c>
      <c r="E3228" s="55" t="s">
        <v>695</v>
      </c>
      <c r="F3228" t="s">
        <v>1396</v>
      </c>
      <c r="G3228" s="62">
        <v>2892</v>
      </c>
      <c r="H3228">
        <v>30.45</v>
      </c>
      <c r="I3228">
        <v>14560</v>
      </c>
      <c r="J3228">
        <v>0</v>
      </c>
      <c r="K3228">
        <v>18</v>
      </c>
      <c r="L3228">
        <v>18</v>
      </c>
      <c r="M3228">
        <v>0</v>
      </c>
      <c r="N3228" s="23">
        <v>0</v>
      </c>
      <c r="O3228">
        <f t="shared" si="779"/>
        <v>2</v>
      </c>
      <c r="P3228" s="57">
        <f t="shared" si="780"/>
        <v>3</v>
      </c>
      <c r="Q3228" s="267">
        <f t="shared" si="781"/>
        <v>6585</v>
      </c>
      <c r="R3228" s="23">
        <f t="shared" si="782"/>
        <v>2254</v>
      </c>
      <c r="S3228" s="23">
        <f t="shared" si="783"/>
        <v>1428</v>
      </c>
      <c r="T3228" s="23" t="str">
        <f t="shared" si="784"/>
        <v/>
      </c>
      <c r="U3228" t="str">
        <f t="shared" si="785"/>
        <v/>
      </c>
      <c r="AF3228" s="88"/>
      <c r="AH3228" s="8"/>
      <c r="AL3228" s="23"/>
      <c r="AU3228" s="1"/>
    </row>
    <row r="3229" spans="1:47">
      <c r="A3229" t="str">
        <f t="shared" si="778"/>
        <v>PA_Alleg_2019g~Gen-member of council baldwin borough (vote for 3)</v>
      </c>
      <c r="B3229" s="55" t="s">
        <v>1528</v>
      </c>
      <c r="C3229">
        <v>734</v>
      </c>
      <c r="D3229" s="55" t="s">
        <v>693</v>
      </c>
      <c r="E3229" s="55" t="s">
        <v>694</v>
      </c>
      <c r="F3229" t="s">
        <v>1294</v>
      </c>
      <c r="G3229" s="62">
        <v>2254</v>
      </c>
      <c r="H3229">
        <v>23.73</v>
      </c>
      <c r="I3229">
        <v>14560</v>
      </c>
      <c r="J3229">
        <v>0</v>
      </c>
      <c r="K3229">
        <v>18</v>
      </c>
      <c r="L3229">
        <v>18</v>
      </c>
      <c r="M3229">
        <v>0</v>
      </c>
      <c r="N3229" s="23">
        <v>0</v>
      </c>
      <c r="O3229">
        <f t="shared" si="779"/>
        <v>3</v>
      </c>
      <c r="P3229" s="57">
        <f t="shared" si="780"/>
        <v>3</v>
      </c>
      <c r="Q3229" s="267">
        <f t="shared" si="781"/>
        <v>3693</v>
      </c>
      <c r="R3229" s="23">
        <f t="shared" si="782"/>
        <v>2254</v>
      </c>
      <c r="S3229" s="23">
        <f t="shared" si="783"/>
        <v>1428</v>
      </c>
      <c r="T3229" s="23" t="str">
        <f t="shared" si="784"/>
        <v/>
      </c>
      <c r="U3229" t="str">
        <f t="shared" si="785"/>
        <v/>
      </c>
      <c r="AF3229" s="88"/>
      <c r="AH3229" s="8"/>
      <c r="AL3229" s="23"/>
      <c r="AU3229" s="1"/>
    </row>
    <row r="3230" spans="1:47">
      <c r="A3230" t="str">
        <f t="shared" si="778"/>
        <v>PA_Alleg_2019g~Gen-member of council baldwin borough (vote for 3)</v>
      </c>
      <c r="B3230" s="55" t="s">
        <v>1528</v>
      </c>
      <c r="C3230">
        <v>735</v>
      </c>
      <c r="D3230" s="55" t="s">
        <v>693</v>
      </c>
      <c r="E3230" s="55" t="s">
        <v>1179</v>
      </c>
      <c r="F3230" t="s">
        <v>1296</v>
      </c>
      <c r="G3230" s="62">
        <v>1428</v>
      </c>
      <c r="H3230">
        <v>15.04</v>
      </c>
      <c r="I3230">
        <v>14560</v>
      </c>
      <c r="J3230">
        <v>0</v>
      </c>
      <c r="K3230">
        <v>18</v>
      </c>
      <c r="L3230">
        <v>18</v>
      </c>
      <c r="M3230">
        <v>0</v>
      </c>
      <c r="N3230" s="23">
        <v>0</v>
      </c>
      <c r="O3230">
        <f t="shared" si="779"/>
        <v>4</v>
      </c>
      <c r="P3230" s="57">
        <f t="shared" si="780"/>
        <v>3</v>
      </c>
      <c r="Q3230" s="267">
        <f t="shared" si="781"/>
        <v>1439</v>
      </c>
      <c r="R3230" s="23" t="str">
        <f t="shared" si="782"/>
        <v/>
      </c>
      <c r="S3230" s="23">
        <f t="shared" si="783"/>
        <v>1428</v>
      </c>
      <c r="T3230" s="23" t="str">
        <f t="shared" si="784"/>
        <v/>
      </c>
      <c r="U3230" t="str">
        <f t="shared" si="785"/>
        <v/>
      </c>
      <c r="AF3230" s="88"/>
      <c r="AH3230" s="8"/>
      <c r="AL3230" s="23"/>
      <c r="AU3230" s="1"/>
    </row>
    <row r="3231" spans="1:47">
      <c r="A3231" t="str">
        <f t="shared" si="778"/>
        <v>PA_Alleg_2019g~Gen-member of council baldwin borough (vote for 3)</v>
      </c>
      <c r="B3231" s="55" t="s">
        <v>1528</v>
      </c>
      <c r="C3231">
        <v>736</v>
      </c>
      <c r="D3231" s="55" t="s">
        <v>693</v>
      </c>
      <c r="E3231" s="55" t="s">
        <v>15</v>
      </c>
      <c r="G3231" s="62">
        <v>11</v>
      </c>
      <c r="H3231">
        <v>0.12</v>
      </c>
      <c r="I3231">
        <v>14560</v>
      </c>
      <c r="J3231">
        <v>0</v>
      </c>
      <c r="K3231">
        <v>18</v>
      </c>
      <c r="L3231">
        <v>18</v>
      </c>
      <c r="M3231">
        <v>0</v>
      </c>
      <c r="N3231" s="23">
        <v>0</v>
      </c>
      <c r="O3231">
        <f t="shared" si="779"/>
        <v>-4</v>
      </c>
      <c r="P3231" s="57">
        <f t="shared" si="780"/>
        <v>3</v>
      </c>
      <c r="Q3231" s="267">
        <f t="shared" si="781"/>
        <v>11</v>
      </c>
      <c r="R3231" s="23">
        <f t="shared" si="782"/>
        <v>1</v>
      </c>
      <c r="S3231" s="23">
        <f t="shared" si="783"/>
        <v>0</v>
      </c>
      <c r="T3231" s="23" t="str">
        <f t="shared" si="784"/>
        <v/>
      </c>
      <c r="U3231" t="str">
        <f t="shared" si="785"/>
        <v/>
      </c>
      <c r="AF3231" s="88"/>
      <c r="AH3231" s="8"/>
      <c r="AL3231" s="23"/>
      <c r="AU3231" s="1"/>
    </row>
    <row r="3232" spans="1:47">
      <c r="A3232" t="str">
        <f t="shared" si="778"/>
        <v>PA_Alleg_2019g~Gen-member of council bell acres (vote for 3)</v>
      </c>
      <c r="B3232" s="55" t="s">
        <v>1528</v>
      </c>
      <c r="C3232">
        <v>738</v>
      </c>
      <c r="D3232" s="55" t="s">
        <v>698</v>
      </c>
      <c r="E3232" s="55" t="s">
        <v>1180</v>
      </c>
      <c r="F3232" t="s">
        <v>1296</v>
      </c>
      <c r="G3232" s="62">
        <v>232</v>
      </c>
      <c r="H3232">
        <v>27.92</v>
      </c>
      <c r="I3232">
        <v>1174</v>
      </c>
      <c r="J3232">
        <v>0</v>
      </c>
      <c r="K3232">
        <v>1</v>
      </c>
      <c r="L3232">
        <v>1</v>
      </c>
      <c r="M3232">
        <v>0</v>
      </c>
      <c r="N3232" s="23">
        <v>0</v>
      </c>
      <c r="O3232">
        <f t="shared" si="779"/>
        <v>1</v>
      </c>
      <c r="P3232" s="57">
        <f t="shared" si="780"/>
        <v>3</v>
      </c>
      <c r="Q3232" s="267">
        <f t="shared" si="781"/>
        <v>277</v>
      </c>
      <c r="R3232" s="23">
        <f t="shared" si="782"/>
        <v>190</v>
      </c>
      <c r="S3232" s="23">
        <f t="shared" si="783"/>
        <v>189</v>
      </c>
      <c r="T3232" s="23">
        <f t="shared" si="784"/>
        <v>1</v>
      </c>
      <c r="U3232" t="str">
        <f t="shared" si="785"/>
        <v>PA_Alleg_2019g~Gen-member of council bell acres (vote for 3)</v>
      </c>
      <c r="AF3232" s="88"/>
      <c r="AH3232" s="8"/>
      <c r="AL3232" s="23"/>
      <c r="AU3232" s="1"/>
    </row>
    <row r="3233" spans="1:47">
      <c r="A3233" t="str">
        <f t="shared" si="778"/>
        <v>PA_Alleg_2019g~Gen-member of council bell acres (vote for 3)</v>
      </c>
      <c r="B3233" s="55" t="s">
        <v>1528</v>
      </c>
      <c r="C3233">
        <v>737</v>
      </c>
      <c r="D3233" s="55" t="s">
        <v>698</v>
      </c>
      <c r="E3233" s="55" t="s">
        <v>699</v>
      </c>
      <c r="F3233" t="s">
        <v>1294</v>
      </c>
      <c r="G3233" s="62">
        <v>209</v>
      </c>
      <c r="H3233">
        <v>25.15</v>
      </c>
      <c r="I3233">
        <v>1174</v>
      </c>
      <c r="J3233">
        <v>0</v>
      </c>
      <c r="K3233">
        <v>1</v>
      </c>
      <c r="L3233">
        <v>1</v>
      </c>
      <c r="M3233">
        <v>0</v>
      </c>
      <c r="N3233" s="23">
        <v>0</v>
      </c>
      <c r="O3233">
        <f t="shared" si="779"/>
        <v>2</v>
      </c>
      <c r="P3233" s="57">
        <f t="shared" si="780"/>
        <v>3</v>
      </c>
      <c r="Q3233" s="267">
        <f t="shared" si="781"/>
        <v>599</v>
      </c>
      <c r="R3233" s="23">
        <f t="shared" si="782"/>
        <v>190</v>
      </c>
      <c r="S3233" s="23">
        <f t="shared" si="783"/>
        <v>189</v>
      </c>
      <c r="T3233" s="23" t="str">
        <f t="shared" si="784"/>
        <v/>
      </c>
      <c r="U3233" t="str">
        <f t="shared" si="785"/>
        <v/>
      </c>
      <c r="AF3233" s="88"/>
      <c r="AH3233" s="8"/>
      <c r="AL3233" s="23"/>
      <c r="AU3233" s="1"/>
    </row>
    <row r="3234" spans="1:47">
      <c r="A3234" t="str">
        <f t="shared" si="778"/>
        <v>PA_Alleg_2019g~Gen-member of council bell acres (vote for 3)</v>
      </c>
      <c r="B3234" s="55" t="s">
        <v>1528</v>
      </c>
      <c r="C3234">
        <v>739</v>
      </c>
      <c r="D3234" s="55" t="s">
        <v>698</v>
      </c>
      <c r="E3234" s="55" t="s">
        <v>1181</v>
      </c>
      <c r="F3234" t="s">
        <v>1296</v>
      </c>
      <c r="G3234" s="62">
        <v>190</v>
      </c>
      <c r="H3234">
        <v>22.86</v>
      </c>
      <c r="I3234">
        <v>1174</v>
      </c>
      <c r="J3234">
        <v>0</v>
      </c>
      <c r="K3234">
        <v>1</v>
      </c>
      <c r="L3234">
        <v>1</v>
      </c>
      <c r="M3234">
        <v>0</v>
      </c>
      <c r="N3234" s="23">
        <v>0</v>
      </c>
      <c r="O3234">
        <f t="shared" si="779"/>
        <v>3</v>
      </c>
      <c r="P3234" s="57">
        <f t="shared" si="780"/>
        <v>3</v>
      </c>
      <c r="Q3234" s="267">
        <f t="shared" si="781"/>
        <v>390</v>
      </c>
      <c r="R3234" s="23">
        <f t="shared" si="782"/>
        <v>190</v>
      </c>
      <c r="S3234" s="23">
        <f t="shared" si="783"/>
        <v>189</v>
      </c>
      <c r="T3234" s="23" t="str">
        <f t="shared" si="784"/>
        <v/>
      </c>
      <c r="U3234" t="str">
        <f t="shared" si="785"/>
        <v/>
      </c>
      <c r="AF3234" s="88"/>
      <c r="AH3234" s="8"/>
      <c r="AL3234" s="23"/>
      <c r="AU3234" s="1"/>
    </row>
    <row r="3235" spans="1:47">
      <c r="A3235" t="str">
        <f t="shared" si="778"/>
        <v>PA_Alleg_2019g~Gen-member of council bell acres (vote for 3)</v>
      </c>
      <c r="B3235" s="55" t="s">
        <v>1528</v>
      </c>
      <c r="C3235">
        <v>740</v>
      </c>
      <c r="D3235" s="55" t="s">
        <v>698</v>
      </c>
      <c r="E3235" s="55" t="s">
        <v>1463</v>
      </c>
      <c r="F3235" t="s">
        <v>1399</v>
      </c>
      <c r="G3235" s="62">
        <v>189</v>
      </c>
      <c r="H3235">
        <v>22.74</v>
      </c>
      <c r="I3235">
        <v>1174</v>
      </c>
      <c r="J3235">
        <v>0</v>
      </c>
      <c r="K3235">
        <v>1</v>
      </c>
      <c r="L3235">
        <v>1</v>
      </c>
      <c r="M3235">
        <v>0</v>
      </c>
      <c r="N3235" s="23">
        <v>0</v>
      </c>
      <c r="O3235">
        <f t="shared" si="779"/>
        <v>4</v>
      </c>
      <c r="P3235" s="57">
        <f t="shared" si="780"/>
        <v>3</v>
      </c>
      <c r="Q3235" s="267">
        <f t="shared" si="781"/>
        <v>200</v>
      </c>
      <c r="R3235" s="23" t="str">
        <f t="shared" si="782"/>
        <v/>
      </c>
      <c r="S3235" s="23">
        <f t="shared" si="783"/>
        <v>189</v>
      </c>
      <c r="T3235" s="23" t="str">
        <f t="shared" si="784"/>
        <v/>
      </c>
      <c r="U3235" t="str">
        <f t="shared" si="785"/>
        <v/>
      </c>
      <c r="AF3235" s="88"/>
      <c r="AH3235" s="8"/>
      <c r="AL3235" s="23"/>
      <c r="AU3235" s="1"/>
    </row>
    <row r="3236" spans="1:47">
      <c r="A3236" t="str">
        <f t="shared" si="778"/>
        <v>PA_Alleg_2019g~Gen-member of council bell acres (vote for 3)</v>
      </c>
      <c r="B3236" s="55" t="s">
        <v>1528</v>
      </c>
      <c r="C3236">
        <v>741</v>
      </c>
      <c r="D3236" s="55" t="s">
        <v>698</v>
      </c>
      <c r="E3236" s="55" t="s">
        <v>15</v>
      </c>
      <c r="G3236" s="62">
        <v>11</v>
      </c>
      <c r="H3236">
        <v>1.32</v>
      </c>
      <c r="I3236">
        <v>1174</v>
      </c>
      <c r="J3236">
        <v>0</v>
      </c>
      <c r="K3236">
        <v>1</v>
      </c>
      <c r="L3236">
        <v>1</v>
      </c>
      <c r="M3236">
        <v>0</v>
      </c>
      <c r="N3236" s="23">
        <v>0</v>
      </c>
      <c r="O3236">
        <f t="shared" si="779"/>
        <v>-4</v>
      </c>
      <c r="P3236" s="57">
        <f t="shared" si="780"/>
        <v>3</v>
      </c>
      <c r="Q3236" s="267">
        <f t="shared" si="781"/>
        <v>11</v>
      </c>
      <c r="R3236" s="23">
        <f t="shared" si="782"/>
        <v>1</v>
      </c>
      <c r="S3236" s="23">
        <f t="shared" si="783"/>
        <v>0</v>
      </c>
      <c r="T3236" s="23" t="str">
        <f t="shared" si="784"/>
        <v/>
      </c>
      <c r="U3236" t="str">
        <f t="shared" si="785"/>
        <v/>
      </c>
      <c r="AF3236" s="88"/>
      <c r="AH3236" s="8"/>
      <c r="AL3236" s="23"/>
      <c r="AU3236" s="1"/>
    </row>
    <row r="3237" spans="1:47">
      <c r="A3237" t="str">
        <f t="shared" si="778"/>
        <v>PA_Alleg_2019g~Gen-member of council bellevue ward 1 (vote for 1)</v>
      </c>
      <c r="B3237" s="55" t="s">
        <v>1528</v>
      </c>
      <c r="C3237">
        <v>1075</v>
      </c>
      <c r="D3237" s="55" t="s">
        <v>976</v>
      </c>
      <c r="E3237" s="55" t="s">
        <v>978</v>
      </c>
      <c r="F3237" t="s">
        <v>1294</v>
      </c>
      <c r="G3237" s="62">
        <v>319</v>
      </c>
      <c r="H3237">
        <v>60.53</v>
      </c>
      <c r="I3237">
        <v>2020</v>
      </c>
      <c r="J3237">
        <v>0</v>
      </c>
      <c r="K3237">
        <v>2</v>
      </c>
      <c r="L3237">
        <v>2</v>
      </c>
      <c r="M3237">
        <v>0</v>
      </c>
      <c r="N3237" s="23">
        <v>0</v>
      </c>
      <c r="O3237">
        <f t="shared" si="779"/>
        <v>1</v>
      </c>
      <c r="P3237" s="57">
        <f t="shared" si="780"/>
        <v>1</v>
      </c>
      <c r="Q3237" s="267">
        <f t="shared" si="781"/>
        <v>527</v>
      </c>
      <c r="R3237" s="23">
        <f t="shared" si="782"/>
        <v>319</v>
      </c>
      <c r="S3237" s="23">
        <f t="shared" si="783"/>
        <v>208</v>
      </c>
      <c r="T3237" s="23">
        <f t="shared" si="784"/>
        <v>111</v>
      </c>
      <c r="U3237" t="str">
        <f t="shared" si="785"/>
        <v>PA_Alleg_2019g~Gen-member of council bellevue ward 1 (vote for 1)</v>
      </c>
      <c r="AF3237" s="88"/>
      <c r="AH3237" s="8"/>
      <c r="AL3237" s="23"/>
      <c r="AU3237" s="1"/>
    </row>
    <row r="3238" spans="1:47">
      <c r="A3238" t="str">
        <f t="shared" si="778"/>
        <v>PA_Alleg_2019g~Gen-member of council bellevue ward 1 (vote for 1)</v>
      </c>
      <c r="B3238" s="55" t="s">
        <v>1528</v>
      </c>
      <c r="C3238">
        <v>1076</v>
      </c>
      <c r="D3238" s="55" t="s">
        <v>976</v>
      </c>
      <c r="E3238" s="55" t="s">
        <v>977</v>
      </c>
      <c r="F3238" t="s">
        <v>1296</v>
      </c>
      <c r="G3238" s="62">
        <v>208</v>
      </c>
      <c r="H3238">
        <v>39.47</v>
      </c>
      <c r="I3238">
        <v>2020</v>
      </c>
      <c r="J3238">
        <v>0</v>
      </c>
      <c r="K3238">
        <v>2</v>
      </c>
      <c r="L3238">
        <v>2</v>
      </c>
      <c r="M3238">
        <v>0</v>
      </c>
      <c r="N3238" s="23">
        <v>0</v>
      </c>
      <c r="O3238">
        <f t="shared" si="779"/>
        <v>2</v>
      </c>
      <c r="P3238" s="57">
        <f t="shared" si="780"/>
        <v>1</v>
      </c>
      <c r="Q3238" s="267">
        <f t="shared" si="781"/>
        <v>208</v>
      </c>
      <c r="R3238" s="23" t="str">
        <f t="shared" si="782"/>
        <v/>
      </c>
      <c r="S3238" s="23">
        <f t="shared" si="783"/>
        <v>208</v>
      </c>
      <c r="T3238" s="23" t="str">
        <f t="shared" si="784"/>
        <v/>
      </c>
      <c r="U3238" t="str">
        <f t="shared" si="785"/>
        <v/>
      </c>
      <c r="AF3238" s="88"/>
      <c r="AH3238" s="8"/>
      <c r="AL3238" s="23"/>
      <c r="AU3238" s="1"/>
    </row>
    <row r="3239" spans="1:47">
      <c r="A3239" t="str">
        <f t="shared" si="778"/>
        <v>PA_Alleg_2019g~Gen-member of council bellevue ward 1 (vote for 1)</v>
      </c>
      <c r="B3239" s="55" t="s">
        <v>1528</v>
      </c>
      <c r="C3239">
        <v>1077</v>
      </c>
      <c r="D3239" s="55" t="s">
        <v>976</v>
      </c>
      <c r="E3239" s="55" t="s">
        <v>15</v>
      </c>
      <c r="G3239" s="62">
        <v>0</v>
      </c>
      <c r="H3239">
        <v>0</v>
      </c>
      <c r="I3239">
        <v>2020</v>
      </c>
      <c r="J3239">
        <v>0</v>
      </c>
      <c r="K3239">
        <v>2</v>
      </c>
      <c r="L3239">
        <v>2</v>
      </c>
      <c r="M3239">
        <v>0</v>
      </c>
      <c r="N3239" s="23">
        <v>0</v>
      </c>
      <c r="O3239">
        <f t="shared" si="779"/>
        <v>-2</v>
      </c>
      <c r="P3239" s="57">
        <f t="shared" si="780"/>
        <v>1</v>
      </c>
      <c r="Q3239" s="267">
        <f t="shared" si="781"/>
        <v>0</v>
      </c>
      <c r="R3239" s="23">
        <f t="shared" si="782"/>
        <v>1</v>
      </c>
      <c r="S3239" s="23">
        <f t="shared" si="783"/>
        <v>0</v>
      </c>
      <c r="T3239" s="23" t="str">
        <f t="shared" si="784"/>
        <v/>
      </c>
      <c r="U3239" t="str">
        <f t="shared" si="785"/>
        <v/>
      </c>
      <c r="AF3239" s="88"/>
      <c r="AH3239" s="8"/>
      <c r="AL3239" s="23"/>
      <c r="AU3239" s="1"/>
    </row>
    <row r="3240" spans="1:47">
      <c r="A3240" t="str">
        <f t="shared" si="778"/>
        <v>PA_Alleg_2019g~Gen-member of council bellevue ward 2 (vote for 1)</v>
      </c>
      <c r="B3240" s="55" t="s">
        <v>1528</v>
      </c>
      <c r="C3240">
        <v>1078</v>
      </c>
      <c r="D3240" s="55" t="s">
        <v>979</v>
      </c>
      <c r="E3240" s="55" t="s">
        <v>980</v>
      </c>
      <c r="F3240" t="s">
        <v>1294</v>
      </c>
      <c r="G3240" s="62">
        <v>356</v>
      </c>
      <c r="H3240">
        <v>69.400000000000006</v>
      </c>
      <c r="I3240">
        <v>2236</v>
      </c>
      <c r="J3240">
        <v>0</v>
      </c>
      <c r="K3240">
        <v>2</v>
      </c>
      <c r="L3240">
        <v>2</v>
      </c>
      <c r="M3240">
        <v>0</v>
      </c>
      <c r="N3240" s="23">
        <v>0</v>
      </c>
      <c r="O3240">
        <f t="shared" si="779"/>
        <v>1</v>
      </c>
      <c r="P3240" s="57">
        <f t="shared" si="780"/>
        <v>1</v>
      </c>
      <c r="Q3240" s="267">
        <f t="shared" si="781"/>
        <v>513</v>
      </c>
      <c r="R3240" s="23">
        <f t="shared" si="782"/>
        <v>356</v>
      </c>
      <c r="S3240" s="23">
        <f t="shared" si="783"/>
        <v>157</v>
      </c>
      <c r="T3240" s="23">
        <f t="shared" si="784"/>
        <v>199</v>
      </c>
      <c r="U3240" t="str">
        <f t="shared" si="785"/>
        <v>PA_Alleg_2019g~Gen-member of council bellevue ward 2 (vote for 1)</v>
      </c>
      <c r="AF3240" s="88"/>
      <c r="AH3240" s="8"/>
      <c r="AL3240" s="23"/>
      <c r="AU3240" s="1"/>
    </row>
    <row r="3241" spans="1:47">
      <c r="A3241" t="str">
        <f t="shared" si="778"/>
        <v>PA_Alleg_2019g~Gen-member of council bellevue ward 2 (vote for 1)</v>
      </c>
      <c r="B3241" s="55" t="s">
        <v>1528</v>
      </c>
      <c r="C3241">
        <v>1079</v>
      </c>
      <c r="D3241" s="55" t="s">
        <v>979</v>
      </c>
      <c r="E3241" s="55" t="s">
        <v>1244</v>
      </c>
      <c r="F3241" t="s">
        <v>1296</v>
      </c>
      <c r="G3241" s="62">
        <v>157</v>
      </c>
      <c r="H3241">
        <v>30.6</v>
      </c>
      <c r="I3241">
        <v>2236</v>
      </c>
      <c r="J3241">
        <v>0</v>
      </c>
      <c r="K3241">
        <v>2</v>
      </c>
      <c r="L3241">
        <v>2</v>
      </c>
      <c r="M3241">
        <v>0</v>
      </c>
      <c r="N3241" s="23">
        <v>0</v>
      </c>
      <c r="O3241">
        <f t="shared" si="779"/>
        <v>2</v>
      </c>
      <c r="P3241" s="57">
        <f t="shared" si="780"/>
        <v>1</v>
      </c>
      <c r="Q3241" s="267">
        <f t="shared" si="781"/>
        <v>157</v>
      </c>
      <c r="R3241" s="23" t="str">
        <f t="shared" si="782"/>
        <v/>
      </c>
      <c r="S3241" s="23">
        <f t="shared" si="783"/>
        <v>157</v>
      </c>
      <c r="T3241" s="23" t="str">
        <f t="shared" si="784"/>
        <v/>
      </c>
      <c r="U3241" t="str">
        <f t="shared" si="785"/>
        <v/>
      </c>
      <c r="AF3241" s="88"/>
      <c r="AH3241" s="8"/>
      <c r="AL3241" s="23"/>
      <c r="AU3241" s="1"/>
    </row>
    <row r="3242" spans="1:47">
      <c r="A3242" t="str">
        <f t="shared" si="778"/>
        <v>PA_Alleg_2019g~Gen-member of council bellevue ward 2 (vote for 1)</v>
      </c>
      <c r="B3242" s="55" t="s">
        <v>1528</v>
      </c>
      <c r="C3242">
        <v>1080</v>
      </c>
      <c r="D3242" s="55" t="s">
        <v>979</v>
      </c>
      <c r="E3242" s="55" t="s">
        <v>15</v>
      </c>
      <c r="G3242" s="62">
        <v>0</v>
      </c>
      <c r="H3242">
        <v>0</v>
      </c>
      <c r="I3242">
        <v>2236</v>
      </c>
      <c r="J3242">
        <v>0</v>
      </c>
      <c r="K3242">
        <v>2</v>
      </c>
      <c r="L3242">
        <v>2</v>
      </c>
      <c r="M3242">
        <v>0</v>
      </c>
      <c r="N3242" s="23">
        <v>0</v>
      </c>
      <c r="O3242">
        <f t="shared" si="779"/>
        <v>-2</v>
      </c>
      <c r="P3242" s="57">
        <f t="shared" si="780"/>
        <v>1</v>
      </c>
      <c r="Q3242" s="267">
        <f t="shared" si="781"/>
        <v>0</v>
      </c>
      <c r="R3242" s="23">
        <f t="shared" si="782"/>
        <v>1</v>
      </c>
      <c r="S3242" s="23">
        <f t="shared" si="783"/>
        <v>0</v>
      </c>
      <c r="T3242" s="23" t="str">
        <f t="shared" si="784"/>
        <v/>
      </c>
      <c r="U3242" t="str">
        <f t="shared" si="785"/>
        <v/>
      </c>
      <c r="AF3242" s="88"/>
      <c r="AH3242" s="8"/>
      <c r="AL3242" s="23"/>
      <c r="AU3242" s="1"/>
    </row>
    <row r="3243" spans="1:47">
      <c r="A3243" t="str">
        <f t="shared" si="778"/>
        <v>PA_Alleg_2019g~Gen-member of council bellevue ward 3 (vote for 2)</v>
      </c>
      <c r="B3243" s="55" t="s">
        <v>1528</v>
      </c>
      <c r="C3243">
        <v>1047</v>
      </c>
      <c r="D3243" s="55" t="s">
        <v>947</v>
      </c>
      <c r="E3243" s="55" t="s">
        <v>949</v>
      </c>
      <c r="F3243" t="s">
        <v>1294</v>
      </c>
      <c r="G3243" s="62">
        <v>381</v>
      </c>
      <c r="H3243">
        <v>50.46</v>
      </c>
      <c r="I3243">
        <v>2017</v>
      </c>
      <c r="J3243">
        <v>0</v>
      </c>
      <c r="K3243">
        <v>2</v>
      </c>
      <c r="L3243">
        <v>2</v>
      </c>
      <c r="M3243">
        <v>0</v>
      </c>
      <c r="N3243" s="23">
        <v>0</v>
      </c>
      <c r="O3243">
        <f t="shared" si="779"/>
        <v>1</v>
      </c>
      <c r="P3243" s="57">
        <f t="shared" si="780"/>
        <v>2</v>
      </c>
      <c r="Q3243" s="267">
        <f t="shared" si="781"/>
        <v>381</v>
      </c>
      <c r="R3243" s="23">
        <f t="shared" si="782"/>
        <v>360</v>
      </c>
      <c r="S3243" s="23">
        <f t="shared" si="783"/>
        <v>0</v>
      </c>
      <c r="T3243" s="23" t="str">
        <f t="shared" si="784"/>
        <v/>
      </c>
      <c r="U3243" t="str">
        <f t="shared" si="785"/>
        <v>PA_Alleg_2019g~Gen-member of council bellevue ward 3 (vote for 2)</v>
      </c>
      <c r="AF3243" s="88"/>
      <c r="AH3243" s="8"/>
      <c r="AL3243" s="23"/>
      <c r="AU3243" s="1"/>
    </row>
    <row r="3244" spans="1:47">
      <c r="A3244" t="str">
        <f t="shared" si="778"/>
        <v>PA_Alleg_2019g~Gen-member of council bellevue ward 3 (vote for 2)</v>
      </c>
      <c r="B3244" s="55" t="s">
        <v>1528</v>
      </c>
      <c r="C3244">
        <v>1048</v>
      </c>
      <c r="D3244" s="55" t="s">
        <v>947</v>
      </c>
      <c r="E3244" s="55" t="s">
        <v>948</v>
      </c>
      <c r="F3244" t="s">
        <v>1294</v>
      </c>
      <c r="G3244" s="62">
        <v>360</v>
      </c>
      <c r="H3244">
        <v>47.68</v>
      </c>
      <c r="I3244">
        <v>2017</v>
      </c>
      <c r="J3244">
        <v>0</v>
      </c>
      <c r="K3244">
        <v>2</v>
      </c>
      <c r="L3244">
        <v>2</v>
      </c>
      <c r="M3244">
        <v>0</v>
      </c>
      <c r="N3244" s="23">
        <v>0</v>
      </c>
      <c r="O3244">
        <f t="shared" si="779"/>
        <v>2</v>
      </c>
      <c r="P3244" s="57">
        <f t="shared" si="780"/>
        <v>2</v>
      </c>
      <c r="Q3244" s="267">
        <f t="shared" si="781"/>
        <v>374</v>
      </c>
      <c r="R3244" s="23">
        <f t="shared" si="782"/>
        <v>360</v>
      </c>
      <c r="S3244" s="23">
        <f t="shared" si="783"/>
        <v>0</v>
      </c>
      <c r="T3244" s="23" t="str">
        <f t="shared" si="784"/>
        <v/>
      </c>
      <c r="U3244" t="str">
        <f t="shared" si="785"/>
        <v/>
      </c>
      <c r="AF3244" s="88"/>
      <c r="AH3244" s="8"/>
      <c r="AL3244" s="23"/>
      <c r="AU3244" s="1"/>
    </row>
    <row r="3245" spans="1:47">
      <c r="A3245" t="str">
        <f t="shared" si="778"/>
        <v>PA_Alleg_2019g~Gen-member of council bellevue ward 3 (vote for 2)</v>
      </c>
      <c r="B3245" s="55" t="s">
        <v>1528</v>
      </c>
      <c r="C3245">
        <v>1049</v>
      </c>
      <c r="D3245" s="55" t="s">
        <v>947</v>
      </c>
      <c r="E3245" s="55" t="s">
        <v>15</v>
      </c>
      <c r="G3245" s="62">
        <v>14</v>
      </c>
      <c r="H3245">
        <v>1.85</v>
      </c>
      <c r="I3245">
        <v>2017</v>
      </c>
      <c r="J3245">
        <v>0</v>
      </c>
      <c r="K3245">
        <v>2</v>
      </c>
      <c r="L3245">
        <v>2</v>
      </c>
      <c r="M3245">
        <v>0</v>
      </c>
      <c r="N3245" s="23">
        <v>0</v>
      </c>
      <c r="O3245">
        <f t="shared" si="779"/>
        <v>-2</v>
      </c>
      <c r="P3245" s="57">
        <f t="shared" si="780"/>
        <v>2</v>
      </c>
      <c r="Q3245" s="267">
        <f t="shared" si="781"/>
        <v>14</v>
      </c>
      <c r="R3245" s="23">
        <f t="shared" si="782"/>
        <v>1</v>
      </c>
      <c r="S3245" s="23">
        <f t="shared" si="783"/>
        <v>0</v>
      </c>
      <c r="T3245" s="23" t="str">
        <f t="shared" si="784"/>
        <v/>
      </c>
      <c r="U3245" t="str">
        <f t="shared" si="785"/>
        <v/>
      </c>
      <c r="AF3245" s="88"/>
      <c r="AH3245" s="8"/>
      <c r="AL3245" s="23"/>
      <c r="AU3245" s="1"/>
    </row>
    <row r="3246" spans="1:47">
      <c r="A3246" t="str">
        <f t="shared" si="778"/>
        <v>PA_Alleg_2019g~Gen-member of council ben avon (vote for 3)</v>
      </c>
      <c r="B3246" s="55" t="s">
        <v>1528</v>
      </c>
      <c r="C3246">
        <v>743</v>
      </c>
      <c r="D3246" s="55" t="s">
        <v>700</v>
      </c>
      <c r="E3246" s="55" t="s">
        <v>701</v>
      </c>
      <c r="F3246" t="s">
        <v>1294</v>
      </c>
      <c r="G3246" s="62">
        <v>359</v>
      </c>
      <c r="H3246">
        <v>33.520000000000003</v>
      </c>
      <c r="I3246">
        <v>1458</v>
      </c>
      <c r="J3246">
        <v>0</v>
      </c>
      <c r="K3246">
        <v>2</v>
      </c>
      <c r="L3246">
        <v>2</v>
      </c>
      <c r="M3246">
        <v>0</v>
      </c>
      <c r="N3246" s="23">
        <v>0</v>
      </c>
      <c r="O3246">
        <f t="shared" si="779"/>
        <v>1</v>
      </c>
      <c r="P3246" s="57">
        <f t="shared" si="780"/>
        <v>3</v>
      </c>
      <c r="Q3246" s="267">
        <f t="shared" si="781"/>
        <v>359</v>
      </c>
      <c r="R3246" s="23">
        <f t="shared" si="782"/>
        <v>350</v>
      </c>
      <c r="S3246" s="23">
        <f t="shared" si="783"/>
        <v>0</v>
      </c>
      <c r="T3246" s="23" t="str">
        <f t="shared" si="784"/>
        <v/>
      </c>
      <c r="U3246" t="str">
        <f t="shared" si="785"/>
        <v>PA_Alleg_2019g~Gen-member of council ben avon (vote for 3)</v>
      </c>
      <c r="AF3246" s="88"/>
      <c r="AH3246" s="8"/>
      <c r="AL3246" s="23"/>
      <c r="AU3246" s="1"/>
    </row>
    <row r="3247" spans="1:47">
      <c r="A3247" t="str">
        <f t="shared" si="778"/>
        <v>PA_Alleg_2019g~Gen-member of council ben avon (vote for 3)</v>
      </c>
      <c r="B3247" s="55" t="s">
        <v>1528</v>
      </c>
      <c r="C3247">
        <v>744</v>
      </c>
      <c r="D3247" s="55" t="s">
        <v>700</v>
      </c>
      <c r="E3247" s="55" t="s">
        <v>703</v>
      </c>
      <c r="F3247" t="s">
        <v>1294</v>
      </c>
      <c r="G3247" s="62">
        <v>354</v>
      </c>
      <c r="H3247">
        <v>33.049999999999997</v>
      </c>
      <c r="I3247">
        <v>1458</v>
      </c>
      <c r="J3247">
        <v>0</v>
      </c>
      <c r="K3247">
        <v>2</v>
      </c>
      <c r="L3247">
        <v>2</v>
      </c>
      <c r="M3247">
        <v>0</v>
      </c>
      <c r="N3247" s="23">
        <v>0</v>
      </c>
      <c r="O3247">
        <f t="shared" si="779"/>
        <v>2</v>
      </c>
      <c r="P3247" s="57">
        <f t="shared" si="780"/>
        <v>3</v>
      </c>
      <c r="Q3247" s="267">
        <f t="shared" si="781"/>
        <v>712</v>
      </c>
      <c r="R3247" s="23">
        <f t="shared" si="782"/>
        <v>350</v>
      </c>
      <c r="S3247" s="23">
        <f t="shared" si="783"/>
        <v>0</v>
      </c>
      <c r="T3247" s="23" t="str">
        <f t="shared" si="784"/>
        <v/>
      </c>
      <c r="U3247" t="str">
        <f t="shared" si="785"/>
        <v/>
      </c>
      <c r="AF3247" s="88"/>
      <c r="AH3247" s="8"/>
      <c r="AL3247" s="23"/>
      <c r="AU3247" s="1"/>
    </row>
    <row r="3248" spans="1:47">
      <c r="A3248" t="str">
        <f t="shared" si="778"/>
        <v>PA_Alleg_2019g~Gen-member of council ben avon (vote for 3)</v>
      </c>
      <c r="B3248" s="55" t="s">
        <v>1528</v>
      </c>
      <c r="C3248">
        <v>742</v>
      </c>
      <c r="D3248" s="55" t="s">
        <v>700</v>
      </c>
      <c r="E3248" s="55" t="s">
        <v>702</v>
      </c>
      <c r="F3248" t="s">
        <v>1294</v>
      </c>
      <c r="G3248" s="62">
        <v>350</v>
      </c>
      <c r="H3248">
        <v>32.68</v>
      </c>
      <c r="I3248">
        <v>1458</v>
      </c>
      <c r="J3248">
        <v>0</v>
      </c>
      <c r="K3248">
        <v>2</v>
      </c>
      <c r="L3248">
        <v>2</v>
      </c>
      <c r="M3248">
        <v>0</v>
      </c>
      <c r="N3248" s="23">
        <v>0</v>
      </c>
      <c r="O3248">
        <f t="shared" si="779"/>
        <v>3</v>
      </c>
      <c r="P3248" s="57">
        <f t="shared" si="780"/>
        <v>3</v>
      </c>
      <c r="Q3248" s="267">
        <f t="shared" si="781"/>
        <v>358</v>
      </c>
      <c r="R3248" s="23">
        <f t="shared" si="782"/>
        <v>350</v>
      </c>
      <c r="S3248" s="23">
        <f t="shared" si="783"/>
        <v>0</v>
      </c>
      <c r="T3248" s="23" t="str">
        <f t="shared" si="784"/>
        <v/>
      </c>
      <c r="U3248" t="str">
        <f t="shared" si="785"/>
        <v/>
      </c>
      <c r="AF3248" s="88"/>
      <c r="AH3248" s="8"/>
      <c r="AL3248" s="23"/>
      <c r="AU3248" s="1"/>
    </row>
    <row r="3249" spans="1:47">
      <c r="A3249" t="str">
        <f t="shared" si="778"/>
        <v>PA_Alleg_2019g~Gen-member of council ben avon (vote for 3)</v>
      </c>
      <c r="B3249" s="55" t="s">
        <v>1528</v>
      </c>
      <c r="C3249">
        <v>745</v>
      </c>
      <c r="D3249" s="55" t="s">
        <v>700</v>
      </c>
      <c r="E3249" s="55" t="s">
        <v>15</v>
      </c>
      <c r="G3249" s="62">
        <v>8</v>
      </c>
      <c r="H3249">
        <v>0.75</v>
      </c>
      <c r="I3249">
        <v>1458</v>
      </c>
      <c r="J3249">
        <v>0</v>
      </c>
      <c r="K3249">
        <v>2</v>
      </c>
      <c r="L3249">
        <v>2</v>
      </c>
      <c r="M3249">
        <v>0</v>
      </c>
      <c r="N3249" s="23">
        <v>0</v>
      </c>
      <c r="O3249">
        <f t="shared" si="779"/>
        <v>-3</v>
      </c>
      <c r="P3249" s="57">
        <f t="shared" si="780"/>
        <v>3</v>
      </c>
      <c r="Q3249" s="267">
        <f t="shared" si="781"/>
        <v>8</v>
      </c>
      <c r="R3249" s="23">
        <f t="shared" si="782"/>
        <v>1</v>
      </c>
      <c r="S3249" s="23">
        <f t="shared" si="783"/>
        <v>0</v>
      </c>
      <c r="T3249" s="23" t="str">
        <f t="shared" si="784"/>
        <v/>
      </c>
      <c r="U3249" t="str">
        <f t="shared" si="785"/>
        <v/>
      </c>
      <c r="AF3249" s="88"/>
      <c r="AH3249" s="8"/>
      <c r="AL3249" s="23"/>
      <c r="AU3249" s="1"/>
    </row>
    <row r="3250" spans="1:47">
      <c r="A3250" t="str">
        <f t="shared" si="778"/>
        <v>PA_Alleg_2019g~Gen-member of council ben avon heights (vote for 1)</v>
      </c>
      <c r="B3250" s="55" t="s">
        <v>1528</v>
      </c>
      <c r="C3250">
        <v>1005</v>
      </c>
      <c r="D3250" s="55" t="s">
        <v>912</v>
      </c>
      <c r="E3250" s="55" t="s">
        <v>15</v>
      </c>
      <c r="G3250" s="62">
        <v>21</v>
      </c>
      <c r="H3250">
        <v>100</v>
      </c>
      <c r="I3250">
        <v>327</v>
      </c>
      <c r="J3250">
        <v>0</v>
      </c>
      <c r="K3250">
        <v>1</v>
      </c>
      <c r="L3250">
        <v>1</v>
      </c>
      <c r="M3250">
        <v>0</v>
      </c>
      <c r="N3250" s="23">
        <v>0</v>
      </c>
      <c r="O3250">
        <f t="shared" si="779"/>
        <v>0</v>
      </c>
      <c r="P3250" s="57">
        <f t="shared" si="780"/>
        <v>1</v>
      </c>
      <c r="Q3250" s="267">
        <f t="shared" si="781"/>
        <v>21</v>
      </c>
      <c r="R3250" s="23">
        <f t="shared" si="782"/>
        <v>1</v>
      </c>
      <c r="S3250" s="23">
        <f t="shared" si="783"/>
        <v>0</v>
      </c>
      <c r="T3250" s="23" t="str">
        <f t="shared" si="784"/>
        <v/>
      </c>
      <c r="U3250" t="str">
        <f t="shared" si="785"/>
        <v>PA_Alleg_2019g~Gen-member of council ben avon heights (vote for 1)</v>
      </c>
      <c r="AF3250" s="88"/>
      <c r="AH3250" s="8"/>
      <c r="AL3250" s="23"/>
      <c r="AU3250" s="1"/>
    </row>
    <row r="3251" spans="1:47">
      <c r="A3251" t="str">
        <f t="shared" si="778"/>
        <v>PA_Alleg_2019g~Gen-member of council ben avon heights (vote for 4)</v>
      </c>
      <c r="B3251" s="55" t="s">
        <v>1528</v>
      </c>
      <c r="C3251">
        <v>697</v>
      </c>
      <c r="D3251" s="55" t="s">
        <v>660</v>
      </c>
      <c r="E3251" s="55" t="s">
        <v>661</v>
      </c>
      <c r="F3251" t="s">
        <v>1294</v>
      </c>
      <c r="G3251" s="62">
        <v>101</v>
      </c>
      <c r="H3251">
        <v>34.01</v>
      </c>
      <c r="I3251">
        <v>327</v>
      </c>
      <c r="J3251">
        <v>0</v>
      </c>
      <c r="K3251">
        <v>1</v>
      </c>
      <c r="L3251">
        <v>1</v>
      </c>
      <c r="M3251">
        <v>0</v>
      </c>
      <c r="N3251" s="23">
        <v>0</v>
      </c>
      <c r="O3251">
        <f t="shared" si="779"/>
        <v>1</v>
      </c>
      <c r="P3251" s="57">
        <f t="shared" si="780"/>
        <v>4</v>
      </c>
      <c r="Q3251" s="267">
        <f t="shared" si="781"/>
        <v>101</v>
      </c>
      <c r="R3251" s="23">
        <f t="shared" si="782"/>
        <v>1</v>
      </c>
      <c r="S3251" s="23">
        <f t="shared" si="783"/>
        <v>0</v>
      </c>
      <c r="T3251" s="23" t="str">
        <f t="shared" si="784"/>
        <v/>
      </c>
      <c r="U3251" t="str">
        <f t="shared" si="785"/>
        <v>PA_Alleg_2019g~Gen-member of council ben avon heights (vote for 4)</v>
      </c>
      <c r="AF3251" s="88"/>
      <c r="AH3251" s="8"/>
      <c r="AL3251" s="23"/>
      <c r="AU3251" s="1"/>
    </row>
    <row r="3252" spans="1:47">
      <c r="A3252" t="str">
        <f t="shared" si="778"/>
        <v>PA_Alleg_2019g~Gen-member of council ben avon heights (vote for 4)</v>
      </c>
      <c r="B3252" s="55" t="s">
        <v>1528</v>
      </c>
      <c r="C3252">
        <v>698</v>
      </c>
      <c r="D3252" s="55" t="s">
        <v>660</v>
      </c>
      <c r="E3252" s="55" t="s">
        <v>1174</v>
      </c>
      <c r="F3252" t="s">
        <v>1296</v>
      </c>
      <c r="G3252" s="62">
        <v>81</v>
      </c>
      <c r="H3252">
        <v>27.27</v>
      </c>
      <c r="I3252">
        <v>327</v>
      </c>
      <c r="J3252">
        <v>0</v>
      </c>
      <c r="K3252">
        <v>1</v>
      </c>
      <c r="L3252">
        <v>1</v>
      </c>
      <c r="M3252">
        <v>0</v>
      </c>
      <c r="N3252" s="23">
        <v>0</v>
      </c>
      <c r="O3252">
        <f t="shared" si="779"/>
        <v>2</v>
      </c>
      <c r="P3252" s="57">
        <f t="shared" si="780"/>
        <v>4</v>
      </c>
      <c r="Q3252" s="267">
        <f t="shared" si="781"/>
        <v>196</v>
      </c>
      <c r="R3252" s="23">
        <f t="shared" si="782"/>
        <v>1</v>
      </c>
      <c r="S3252" s="23">
        <f t="shared" si="783"/>
        <v>0</v>
      </c>
      <c r="T3252" s="23" t="str">
        <f t="shared" si="784"/>
        <v/>
      </c>
      <c r="U3252" t="str">
        <f t="shared" si="785"/>
        <v/>
      </c>
      <c r="AF3252" s="88"/>
      <c r="AH3252" s="8"/>
      <c r="AL3252" s="23"/>
      <c r="AU3252" s="1"/>
    </row>
    <row r="3253" spans="1:47">
      <c r="A3253" t="str">
        <f t="shared" si="778"/>
        <v>PA_Alleg_2019g~Gen-member of council ben avon heights (vote for 4)</v>
      </c>
      <c r="B3253" s="55" t="s">
        <v>1528</v>
      </c>
      <c r="C3253">
        <v>699</v>
      </c>
      <c r="D3253" s="55" t="s">
        <v>660</v>
      </c>
      <c r="E3253" s="55" t="s">
        <v>1175</v>
      </c>
      <c r="F3253" t="s">
        <v>1296</v>
      </c>
      <c r="G3253" s="62">
        <v>79</v>
      </c>
      <c r="H3253">
        <v>26.6</v>
      </c>
      <c r="I3253">
        <v>327</v>
      </c>
      <c r="J3253">
        <v>0</v>
      </c>
      <c r="K3253">
        <v>1</v>
      </c>
      <c r="L3253">
        <v>1</v>
      </c>
      <c r="M3253">
        <v>0</v>
      </c>
      <c r="N3253" s="23">
        <v>0</v>
      </c>
      <c r="O3253">
        <f t="shared" si="779"/>
        <v>3</v>
      </c>
      <c r="P3253" s="57">
        <f t="shared" si="780"/>
        <v>4</v>
      </c>
      <c r="Q3253" s="267">
        <f t="shared" si="781"/>
        <v>115</v>
      </c>
      <c r="R3253" s="23">
        <f t="shared" si="782"/>
        <v>1</v>
      </c>
      <c r="S3253" s="23">
        <f t="shared" si="783"/>
        <v>0</v>
      </c>
      <c r="T3253" s="23" t="str">
        <f t="shared" si="784"/>
        <v/>
      </c>
      <c r="U3253" t="str">
        <f t="shared" si="785"/>
        <v/>
      </c>
      <c r="AF3253" s="88"/>
      <c r="AH3253" s="8"/>
      <c r="AL3253" s="23"/>
      <c r="AU3253" s="1"/>
    </row>
    <row r="3254" spans="1:47">
      <c r="A3254" t="str">
        <f t="shared" si="778"/>
        <v>PA_Alleg_2019g~Gen-member of council ben avon heights (vote for 4)</v>
      </c>
      <c r="B3254" s="55" t="s">
        <v>1528</v>
      </c>
      <c r="C3254">
        <v>700</v>
      </c>
      <c r="D3254" s="55" t="s">
        <v>660</v>
      </c>
      <c r="E3254" s="55" t="s">
        <v>15</v>
      </c>
      <c r="G3254" s="62">
        <v>36</v>
      </c>
      <c r="H3254">
        <v>12.12</v>
      </c>
      <c r="I3254">
        <v>327</v>
      </c>
      <c r="J3254">
        <v>0</v>
      </c>
      <c r="K3254">
        <v>1</v>
      </c>
      <c r="L3254">
        <v>1</v>
      </c>
      <c r="M3254">
        <v>0</v>
      </c>
      <c r="N3254" s="23">
        <v>0</v>
      </c>
      <c r="O3254">
        <f t="shared" si="779"/>
        <v>-3</v>
      </c>
      <c r="P3254" s="57">
        <f t="shared" si="780"/>
        <v>4</v>
      </c>
      <c r="Q3254" s="267">
        <f t="shared" si="781"/>
        <v>36</v>
      </c>
      <c r="R3254" s="23">
        <f t="shared" si="782"/>
        <v>1</v>
      </c>
      <c r="S3254" s="23">
        <f t="shared" si="783"/>
        <v>0</v>
      </c>
      <c r="T3254" s="23" t="str">
        <f t="shared" si="784"/>
        <v/>
      </c>
      <c r="U3254" t="str">
        <f t="shared" si="785"/>
        <v/>
      </c>
      <c r="AF3254" s="88"/>
      <c r="AH3254" s="8"/>
      <c r="AL3254" s="23"/>
      <c r="AU3254" s="1"/>
    </row>
    <row r="3255" spans="1:47">
      <c r="A3255" t="str">
        <f t="shared" si="778"/>
        <v>PA_Alleg_2019g~Gen-member of council bethel park ward 2 (vote for 1)</v>
      </c>
      <c r="B3255" s="55" t="s">
        <v>1528</v>
      </c>
      <c r="C3255">
        <v>1081</v>
      </c>
      <c r="D3255" s="55" t="s">
        <v>981</v>
      </c>
      <c r="E3255" s="55" t="s">
        <v>1245</v>
      </c>
      <c r="F3255" t="s">
        <v>1396</v>
      </c>
      <c r="G3255" s="62">
        <v>760</v>
      </c>
      <c r="H3255">
        <v>99.09</v>
      </c>
      <c r="I3255">
        <v>2770</v>
      </c>
      <c r="J3255">
        <v>0</v>
      </c>
      <c r="K3255">
        <v>3</v>
      </c>
      <c r="L3255">
        <v>3</v>
      </c>
      <c r="M3255">
        <v>0</v>
      </c>
      <c r="N3255" s="23">
        <v>0</v>
      </c>
      <c r="O3255">
        <f t="shared" si="779"/>
        <v>1</v>
      </c>
      <c r="P3255" s="57">
        <f t="shared" si="780"/>
        <v>1</v>
      </c>
      <c r="Q3255" s="267">
        <f t="shared" si="781"/>
        <v>767</v>
      </c>
      <c r="R3255" s="23">
        <f t="shared" si="782"/>
        <v>760</v>
      </c>
      <c r="S3255" s="23">
        <f t="shared" si="783"/>
        <v>0</v>
      </c>
      <c r="T3255" s="23" t="str">
        <f t="shared" si="784"/>
        <v/>
      </c>
      <c r="U3255" t="str">
        <f t="shared" si="785"/>
        <v>PA_Alleg_2019g~Gen-member of council bethel park ward 2 (vote for 1)</v>
      </c>
      <c r="AF3255" s="88"/>
      <c r="AH3255" s="8"/>
      <c r="AL3255" s="23"/>
      <c r="AU3255" s="1"/>
    </row>
    <row r="3256" spans="1:47">
      <c r="A3256" t="str">
        <f t="shared" ref="A3256:A3319" si="786">CONCATENATE(B3256,"~Gen-",LOWER(D3256))</f>
        <v>PA_Alleg_2019g~Gen-member of council bethel park ward 2 (vote for 1)</v>
      </c>
      <c r="B3256" s="55" t="s">
        <v>1528</v>
      </c>
      <c r="C3256">
        <v>1082</v>
      </c>
      <c r="D3256" s="55" t="s">
        <v>981</v>
      </c>
      <c r="E3256" s="55" t="s">
        <v>15</v>
      </c>
      <c r="G3256" s="62">
        <v>7</v>
      </c>
      <c r="H3256">
        <v>0.91</v>
      </c>
      <c r="I3256">
        <v>2770</v>
      </c>
      <c r="J3256">
        <v>0</v>
      </c>
      <c r="K3256">
        <v>3</v>
      </c>
      <c r="L3256">
        <v>3</v>
      </c>
      <c r="M3256">
        <v>0</v>
      </c>
      <c r="N3256" s="23">
        <v>0</v>
      </c>
      <c r="O3256">
        <f t="shared" si="779"/>
        <v>-1</v>
      </c>
      <c r="P3256" s="57">
        <f t="shared" si="780"/>
        <v>1</v>
      </c>
      <c r="Q3256" s="267">
        <f t="shared" si="781"/>
        <v>7</v>
      </c>
      <c r="R3256" s="23">
        <f t="shared" si="782"/>
        <v>1</v>
      </c>
      <c r="S3256" s="23">
        <f t="shared" si="783"/>
        <v>0</v>
      </c>
      <c r="T3256" s="23" t="str">
        <f t="shared" si="784"/>
        <v/>
      </c>
      <c r="U3256" t="str">
        <f t="shared" si="785"/>
        <v/>
      </c>
      <c r="AF3256" s="88"/>
      <c r="AH3256" s="8"/>
      <c r="AL3256" s="23"/>
      <c r="AU3256" s="1"/>
    </row>
    <row r="3257" spans="1:47">
      <c r="A3257" t="str">
        <f t="shared" si="786"/>
        <v>PA_Alleg_2019g~Gen-member of council bethel park ward 4 (vote for 1)</v>
      </c>
      <c r="B3257" s="55" t="s">
        <v>1528</v>
      </c>
      <c r="C3257">
        <v>1083</v>
      </c>
      <c r="D3257" s="55" t="s">
        <v>982</v>
      </c>
      <c r="E3257" s="55" t="s">
        <v>1246</v>
      </c>
      <c r="F3257" t="s">
        <v>1296</v>
      </c>
      <c r="G3257" s="62">
        <v>653</v>
      </c>
      <c r="H3257">
        <v>96.74</v>
      </c>
      <c r="I3257">
        <v>3023</v>
      </c>
      <c r="J3257">
        <v>0</v>
      </c>
      <c r="K3257">
        <v>3</v>
      </c>
      <c r="L3257">
        <v>3</v>
      </c>
      <c r="M3257">
        <v>0</v>
      </c>
      <c r="N3257" s="23">
        <v>0</v>
      </c>
      <c r="O3257">
        <f t="shared" si="779"/>
        <v>1</v>
      </c>
      <c r="P3257" s="57">
        <f t="shared" si="780"/>
        <v>1</v>
      </c>
      <c r="Q3257" s="267">
        <f t="shared" si="781"/>
        <v>675</v>
      </c>
      <c r="R3257" s="23">
        <f t="shared" si="782"/>
        <v>653</v>
      </c>
      <c r="S3257" s="23">
        <f t="shared" si="783"/>
        <v>0</v>
      </c>
      <c r="T3257" s="23" t="str">
        <f t="shared" si="784"/>
        <v/>
      </c>
      <c r="U3257" t="str">
        <f t="shared" si="785"/>
        <v>PA_Alleg_2019g~Gen-member of council bethel park ward 4 (vote for 1)</v>
      </c>
      <c r="AF3257" s="88"/>
      <c r="AH3257" s="8"/>
      <c r="AL3257" s="23"/>
      <c r="AU3257" s="1"/>
    </row>
    <row r="3258" spans="1:47">
      <c r="A3258" t="str">
        <f t="shared" si="786"/>
        <v>PA_Alleg_2019g~Gen-member of council bethel park ward 4 (vote for 1)</v>
      </c>
      <c r="B3258" s="55" t="s">
        <v>1528</v>
      </c>
      <c r="C3258">
        <v>1084</v>
      </c>
      <c r="D3258" s="55" t="s">
        <v>982</v>
      </c>
      <c r="E3258" s="55" t="s">
        <v>15</v>
      </c>
      <c r="G3258" s="62">
        <v>22</v>
      </c>
      <c r="H3258">
        <v>3.26</v>
      </c>
      <c r="I3258">
        <v>3023</v>
      </c>
      <c r="J3258">
        <v>0</v>
      </c>
      <c r="K3258">
        <v>3</v>
      </c>
      <c r="L3258">
        <v>3</v>
      </c>
      <c r="M3258">
        <v>0</v>
      </c>
      <c r="N3258" s="23">
        <v>0</v>
      </c>
      <c r="O3258">
        <f t="shared" si="779"/>
        <v>-1</v>
      </c>
      <c r="P3258" s="57">
        <f t="shared" si="780"/>
        <v>1</v>
      </c>
      <c r="Q3258" s="267">
        <f t="shared" si="781"/>
        <v>22</v>
      </c>
      <c r="R3258" s="23">
        <f t="shared" si="782"/>
        <v>1</v>
      </c>
      <c r="S3258" s="23">
        <f t="shared" si="783"/>
        <v>0</v>
      </c>
      <c r="T3258" s="23" t="str">
        <f t="shared" si="784"/>
        <v/>
      </c>
      <c r="U3258" t="str">
        <f t="shared" si="785"/>
        <v/>
      </c>
      <c r="AF3258" s="88"/>
      <c r="AH3258" s="8"/>
      <c r="AL3258" s="23"/>
      <c r="AU3258" s="1"/>
    </row>
    <row r="3259" spans="1:47">
      <c r="A3259" t="str">
        <f t="shared" si="786"/>
        <v>PA_Alleg_2019g~Gen-member of council bethel park ward 6 (vote for 1)</v>
      </c>
      <c r="B3259" s="55" t="s">
        <v>1528</v>
      </c>
      <c r="C3259">
        <v>1085</v>
      </c>
      <c r="D3259" s="55" t="s">
        <v>983</v>
      </c>
      <c r="E3259" s="55" t="s">
        <v>984</v>
      </c>
      <c r="F3259" t="s">
        <v>1396</v>
      </c>
      <c r="G3259" s="62">
        <v>996</v>
      </c>
      <c r="H3259">
        <v>98.71</v>
      </c>
      <c r="I3259">
        <v>3121</v>
      </c>
      <c r="J3259">
        <v>0</v>
      </c>
      <c r="K3259">
        <v>3</v>
      </c>
      <c r="L3259">
        <v>3</v>
      </c>
      <c r="M3259">
        <v>0</v>
      </c>
      <c r="N3259" s="23">
        <v>0</v>
      </c>
      <c r="O3259">
        <f t="shared" si="779"/>
        <v>1</v>
      </c>
      <c r="P3259" s="57">
        <f t="shared" si="780"/>
        <v>1</v>
      </c>
      <c r="Q3259" s="267">
        <f t="shared" si="781"/>
        <v>1009</v>
      </c>
      <c r="R3259" s="23">
        <f t="shared" si="782"/>
        <v>996</v>
      </c>
      <c r="S3259" s="23">
        <f t="shared" si="783"/>
        <v>0</v>
      </c>
      <c r="T3259" s="23" t="str">
        <f t="shared" si="784"/>
        <v/>
      </c>
      <c r="U3259" t="str">
        <f t="shared" si="785"/>
        <v>PA_Alleg_2019g~Gen-member of council bethel park ward 6 (vote for 1)</v>
      </c>
      <c r="AF3259" s="88"/>
      <c r="AH3259" s="8"/>
      <c r="AL3259" s="23"/>
      <c r="AU3259" s="1"/>
    </row>
    <row r="3260" spans="1:47">
      <c r="A3260" t="str">
        <f t="shared" si="786"/>
        <v>PA_Alleg_2019g~Gen-member of council bethel park ward 6 (vote for 1)</v>
      </c>
      <c r="B3260" s="55" t="s">
        <v>1528</v>
      </c>
      <c r="C3260">
        <v>1086</v>
      </c>
      <c r="D3260" s="55" t="s">
        <v>983</v>
      </c>
      <c r="E3260" s="55" t="s">
        <v>15</v>
      </c>
      <c r="G3260" s="62">
        <v>13</v>
      </c>
      <c r="H3260">
        <v>1.29</v>
      </c>
      <c r="I3260">
        <v>3121</v>
      </c>
      <c r="J3260">
        <v>0</v>
      </c>
      <c r="K3260">
        <v>3</v>
      </c>
      <c r="L3260">
        <v>3</v>
      </c>
      <c r="M3260">
        <v>0</v>
      </c>
      <c r="N3260" s="23">
        <v>0</v>
      </c>
      <c r="O3260">
        <f t="shared" si="779"/>
        <v>-1</v>
      </c>
      <c r="P3260" s="57">
        <f t="shared" si="780"/>
        <v>1</v>
      </c>
      <c r="Q3260" s="267">
        <f t="shared" si="781"/>
        <v>13</v>
      </c>
      <c r="R3260" s="23">
        <f t="shared" si="782"/>
        <v>1</v>
      </c>
      <c r="S3260" s="23">
        <f t="shared" si="783"/>
        <v>0</v>
      </c>
      <c r="T3260" s="23" t="str">
        <f t="shared" si="784"/>
        <v/>
      </c>
      <c r="U3260" t="str">
        <f t="shared" si="785"/>
        <v/>
      </c>
      <c r="AF3260" s="88"/>
      <c r="AH3260" s="8"/>
      <c r="AL3260" s="23"/>
      <c r="AU3260" s="1"/>
    </row>
    <row r="3261" spans="1:47">
      <c r="A3261" t="str">
        <f t="shared" si="786"/>
        <v>PA_Alleg_2019g~Gen-member of council bethel park ward 8 (vote for 1)</v>
      </c>
      <c r="B3261" s="55" t="s">
        <v>1528</v>
      </c>
      <c r="C3261">
        <v>1087</v>
      </c>
      <c r="D3261" s="55" t="s">
        <v>985</v>
      </c>
      <c r="E3261" s="55" t="s">
        <v>1248</v>
      </c>
      <c r="F3261" t="s">
        <v>1296</v>
      </c>
      <c r="G3261" s="62">
        <v>650</v>
      </c>
      <c r="H3261">
        <v>97.74</v>
      </c>
      <c r="I3261">
        <v>2784</v>
      </c>
      <c r="J3261">
        <v>0</v>
      </c>
      <c r="K3261">
        <v>4</v>
      </c>
      <c r="L3261">
        <v>4</v>
      </c>
      <c r="M3261">
        <v>0</v>
      </c>
      <c r="N3261" s="23">
        <v>0</v>
      </c>
      <c r="O3261">
        <f t="shared" si="779"/>
        <v>1</v>
      </c>
      <c r="P3261" s="57">
        <f t="shared" si="780"/>
        <v>1</v>
      </c>
      <c r="Q3261" s="267">
        <f t="shared" si="781"/>
        <v>665</v>
      </c>
      <c r="R3261" s="23">
        <f t="shared" si="782"/>
        <v>650</v>
      </c>
      <c r="S3261" s="23">
        <f t="shared" si="783"/>
        <v>0</v>
      </c>
      <c r="T3261" s="23" t="str">
        <f t="shared" si="784"/>
        <v/>
      </c>
      <c r="U3261" t="str">
        <f t="shared" si="785"/>
        <v>PA_Alleg_2019g~Gen-member of council bethel park ward 8 (vote for 1)</v>
      </c>
      <c r="AF3261" s="88"/>
      <c r="AH3261" s="8"/>
      <c r="AL3261" s="23"/>
      <c r="AU3261" s="1"/>
    </row>
    <row r="3262" spans="1:47">
      <c r="A3262" t="str">
        <f t="shared" si="786"/>
        <v>PA_Alleg_2019g~Gen-member of council bethel park ward 8 (vote for 1)</v>
      </c>
      <c r="B3262" s="55" t="s">
        <v>1528</v>
      </c>
      <c r="C3262">
        <v>1088</v>
      </c>
      <c r="D3262" s="55" t="s">
        <v>985</v>
      </c>
      <c r="E3262" s="55" t="s">
        <v>15</v>
      </c>
      <c r="G3262" s="62">
        <v>15</v>
      </c>
      <c r="H3262">
        <v>2.2599999999999998</v>
      </c>
      <c r="I3262">
        <v>2784</v>
      </c>
      <c r="J3262">
        <v>0</v>
      </c>
      <c r="K3262">
        <v>4</v>
      </c>
      <c r="L3262">
        <v>4</v>
      </c>
      <c r="M3262">
        <v>0</v>
      </c>
      <c r="N3262" s="23">
        <v>0</v>
      </c>
      <c r="O3262">
        <f t="shared" si="779"/>
        <v>-1</v>
      </c>
      <c r="P3262" s="57">
        <f t="shared" si="780"/>
        <v>1</v>
      </c>
      <c r="Q3262" s="267">
        <f t="shared" si="781"/>
        <v>15</v>
      </c>
      <c r="R3262" s="23">
        <f t="shared" si="782"/>
        <v>1</v>
      </c>
      <c r="S3262" s="23">
        <f t="shared" si="783"/>
        <v>0</v>
      </c>
      <c r="T3262" s="23" t="str">
        <f t="shared" si="784"/>
        <v/>
      </c>
      <c r="U3262" t="str">
        <f t="shared" si="785"/>
        <v/>
      </c>
      <c r="AF3262" s="88"/>
      <c r="AH3262" s="8"/>
      <c r="AL3262" s="23"/>
      <c r="AU3262" s="1"/>
    </row>
    <row r="3263" spans="1:47">
      <c r="A3263" t="str">
        <f t="shared" si="786"/>
        <v>PA_Alleg_2019g~Gen-member of council blawnox (vote for 3)</v>
      </c>
      <c r="B3263" s="55" t="s">
        <v>1528</v>
      </c>
      <c r="C3263">
        <v>746</v>
      </c>
      <c r="D3263" s="55" t="s">
        <v>704</v>
      </c>
      <c r="E3263" s="55" t="s">
        <v>706</v>
      </c>
      <c r="F3263" t="s">
        <v>1294</v>
      </c>
      <c r="G3263" s="62">
        <v>171</v>
      </c>
      <c r="H3263">
        <v>33.6</v>
      </c>
      <c r="I3263">
        <v>1039</v>
      </c>
      <c r="J3263">
        <v>0</v>
      </c>
      <c r="K3263">
        <v>1</v>
      </c>
      <c r="L3263">
        <v>1</v>
      </c>
      <c r="M3263">
        <v>0</v>
      </c>
      <c r="N3263" s="23">
        <v>0</v>
      </c>
      <c r="O3263">
        <f t="shared" si="779"/>
        <v>1</v>
      </c>
      <c r="P3263" s="57">
        <f t="shared" si="780"/>
        <v>3</v>
      </c>
      <c r="Q3263" s="267">
        <f t="shared" si="781"/>
        <v>171</v>
      </c>
      <c r="R3263" s="23">
        <f t="shared" si="782"/>
        <v>163</v>
      </c>
      <c r="S3263" s="23">
        <f t="shared" si="783"/>
        <v>0</v>
      </c>
      <c r="T3263" s="23" t="str">
        <f t="shared" si="784"/>
        <v/>
      </c>
      <c r="U3263" t="str">
        <f t="shared" si="785"/>
        <v>PA_Alleg_2019g~Gen-member of council blawnox (vote for 3)</v>
      </c>
      <c r="AF3263" s="88"/>
      <c r="AH3263" s="8"/>
      <c r="AL3263" s="23"/>
      <c r="AU3263" s="1"/>
    </row>
    <row r="3264" spans="1:47">
      <c r="A3264" t="str">
        <f t="shared" si="786"/>
        <v>PA_Alleg_2019g~Gen-member of council blawnox (vote for 3)</v>
      </c>
      <c r="B3264" s="55" t="s">
        <v>1528</v>
      </c>
      <c r="C3264">
        <v>748</v>
      </c>
      <c r="D3264" s="55" t="s">
        <v>704</v>
      </c>
      <c r="E3264" s="55" t="s">
        <v>705</v>
      </c>
      <c r="F3264" t="s">
        <v>1294</v>
      </c>
      <c r="G3264" s="62">
        <v>166</v>
      </c>
      <c r="H3264">
        <v>32.61</v>
      </c>
      <c r="I3264">
        <v>1039</v>
      </c>
      <c r="J3264">
        <v>0</v>
      </c>
      <c r="K3264">
        <v>1</v>
      </c>
      <c r="L3264">
        <v>1</v>
      </c>
      <c r="M3264">
        <v>0</v>
      </c>
      <c r="N3264" s="23">
        <v>0</v>
      </c>
      <c r="O3264">
        <f t="shared" si="779"/>
        <v>2</v>
      </c>
      <c r="P3264" s="57">
        <f t="shared" si="780"/>
        <v>3</v>
      </c>
      <c r="Q3264" s="267">
        <f t="shared" si="781"/>
        <v>338</v>
      </c>
      <c r="R3264" s="23">
        <f t="shared" si="782"/>
        <v>163</v>
      </c>
      <c r="S3264" s="23">
        <f t="shared" si="783"/>
        <v>0</v>
      </c>
      <c r="T3264" s="23" t="str">
        <f t="shared" si="784"/>
        <v/>
      </c>
      <c r="U3264" t="str">
        <f t="shared" si="785"/>
        <v/>
      </c>
      <c r="AF3264" s="88"/>
      <c r="AH3264" s="8"/>
      <c r="AL3264" s="23"/>
      <c r="AU3264" s="1"/>
    </row>
    <row r="3265" spans="1:47">
      <c r="A3265" t="str">
        <f t="shared" si="786"/>
        <v>PA_Alleg_2019g~Gen-member of council blawnox (vote for 3)</v>
      </c>
      <c r="B3265" s="55" t="s">
        <v>1528</v>
      </c>
      <c r="C3265">
        <v>747</v>
      </c>
      <c r="D3265" s="55" t="s">
        <v>704</v>
      </c>
      <c r="E3265" s="55" t="s">
        <v>707</v>
      </c>
      <c r="F3265" t="s">
        <v>1294</v>
      </c>
      <c r="G3265" s="62">
        <v>163</v>
      </c>
      <c r="H3265">
        <v>32.020000000000003</v>
      </c>
      <c r="I3265">
        <v>1039</v>
      </c>
      <c r="J3265">
        <v>0</v>
      </c>
      <c r="K3265">
        <v>1</v>
      </c>
      <c r="L3265">
        <v>1</v>
      </c>
      <c r="M3265">
        <v>0</v>
      </c>
      <c r="N3265" s="23">
        <v>0</v>
      </c>
      <c r="O3265">
        <f t="shared" si="779"/>
        <v>3</v>
      </c>
      <c r="P3265" s="57">
        <f t="shared" si="780"/>
        <v>3</v>
      </c>
      <c r="Q3265" s="267">
        <f t="shared" si="781"/>
        <v>172</v>
      </c>
      <c r="R3265" s="23">
        <f t="shared" si="782"/>
        <v>163</v>
      </c>
      <c r="S3265" s="23">
        <f t="shared" si="783"/>
        <v>0</v>
      </c>
      <c r="T3265" s="23" t="str">
        <f t="shared" si="784"/>
        <v/>
      </c>
      <c r="U3265" t="str">
        <f t="shared" si="785"/>
        <v/>
      </c>
      <c r="AF3265" s="88"/>
      <c r="AH3265" s="8"/>
      <c r="AL3265" s="23"/>
      <c r="AU3265" s="1"/>
    </row>
    <row r="3266" spans="1:47">
      <c r="A3266" t="str">
        <f t="shared" si="786"/>
        <v>PA_Alleg_2019g~Gen-member of council blawnox (vote for 3)</v>
      </c>
      <c r="B3266" s="55" t="s">
        <v>1528</v>
      </c>
      <c r="C3266">
        <v>749</v>
      </c>
      <c r="D3266" s="55" t="s">
        <v>704</v>
      </c>
      <c r="E3266" s="55" t="s">
        <v>15</v>
      </c>
      <c r="G3266" s="62">
        <v>9</v>
      </c>
      <c r="H3266">
        <v>1.77</v>
      </c>
      <c r="I3266">
        <v>1039</v>
      </c>
      <c r="J3266">
        <v>0</v>
      </c>
      <c r="K3266">
        <v>1</v>
      </c>
      <c r="L3266">
        <v>1</v>
      </c>
      <c r="M3266">
        <v>0</v>
      </c>
      <c r="N3266" s="23">
        <v>0</v>
      </c>
      <c r="O3266">
        <f t="shared" ref="O3266:O3329" si="787">IF(OR(LOWER(LEFT(E3266,8))="write-in",LOWER(LEFT(E3266,8))="not qual"),IF(A3266=A3265,-ABS(O3265),0),IF(A3266=A3265,ABS(O3265)+1,1))</f>
        <v>-3</v>
      </c>
      <c r="P3266" s="57">
        <f t="shared" ref="P3266:P3329" si="788">1*LEFT(RIGHT(A3266,2),1)</f>
        <v>3</v>
      </c>
      <c r="Q3266" s="267">
        <f t="shared" ref="Q3266:Q3329" si="789">IF(A3266&lt;&gt;A3267,G3266,IF(A3266=A3265,G3266+Q3267,MAX(G3266,(G3266+Q3267)/P3266)))</f>
        <v>9</v>
      </c>
      <c r="R3266" s="23">
        <f t="shared" ref="R3266:R3329" si="790">IF(O3266&gt;P3266,"",IF(O3266=P3266,G3266,IF(A3266=A3267,R3267,IF(O3266&lt;=0,1,G3266))))</f>
        <v>1</v>
      </c>
      <c r="S3266" s="23">
        <f t="shared" ref="S3266:S3329" si="791">IF(AND(O3266&gt;P3266,LOWER(LEFT(E3266,8))&lt;&gt;"write-in",LOWER(LEFT(E3266,8))&lt;&gt;"not qual"),G3266,IF(A3266=A3267,S3267,0))</f>
        <v>0</v>
      </c>
      <c r="T3266" s="23" t="str">
        <f t="shared" ref="T3266:T3329" si="792">IF(OR(A3266=A3265,S3266=0),"",R3266-ABS(S3266))</f>
        <v/>
      </c>
      <c r="U3266" t="str">
        <f t="shared" ref="U3266:U3329" si="793">IF(A3266=A3265,"",A3266)</f>
        <v/>
      </c>
      <c r="AF3266" s="88"/>
      <c r="AH3266" s="8"/>
      <c r="AL3266" s="23"/>
      <c r="AU3266" s="1"/>
    </row>
    <row r="3267" spans="1:47">
      <c r="A3267" t="str">
        <f t="shared" si="786"/>
        <v>PA_Alleg_2019g~Gen-member of council brackenridge ward 1 (vote for 1)</v>
      </c>
      <c r="B3267" s="55" t="s">
        <v>1528</v>
      </c>
      <c r="C3267">
        <v>1089</v>
      </c>
      <c r="D3267" s="55" t="s">
        <v>986</v>
      </c>
      <c r="E3267" s="55" t="s">
        <v>987</v>
      </c>
      <c r="F3267" t="s">
        <v>1294</v>
      </c>
      <c r="G3267" s="62">
        <v>97</v>
      </c>
      <c r="H3267">
        <v>95.1</v>
      </c>
      <c r="I3267">
        <v>519</v>
      </c>
      <c r="J3267">
        <v>0</v>
      </c>
      <c r="K3267">
        <v>1</v>
      </c>
      <c r="L3267">
        <v>1</v>
      </c>
      <c r="M3267">
        <v>0</v>
      </c>
      <c r="N3267" s="23">
        <v>0</v>
      </c>
      <c r="O3267">
        <f t="shared" si="787"/>
        <v>1</v>
      </c>
      <c r="P3267" s="57">
        <f t="shared" si="788"/>
        <v>1</v>
      </c>
      <c r="Q3267" s="267">
        <f t="shared" si="789"/>
        <v>102</v>
      </c>
      <c r="R3267" s="23">
        <f t="shared" si="790"/>
        <v>97</v>
      </c>
      <c r="S3267" s="23">
        <f t="shared" si="791"/>
        <v>0</v>
      </c>
      <c r="T3267" s="23" t="str">
        <f t="shared" si="792"/>
        <v/>
      </c>
      <c r="U3267" t="str">
        <f t="shared" si="793"/>
        <v>PA_Alleg_2019g~Gen-member of council brackenridge ward 1 (vote for 1)</v>
      </c>
      <c r="AF3267" s="88"/>
      <c r="AL3267" s="23"/>
      <c r="AU3267" s="1"/>
    </row>
    <row r="3268" spans="1:47">
      <c r="A3268" t="str">
        <f t="shared" si="786"/>
        <v>PA_Alleg_2019g~Gen-member of council brackenridge ward 1 (vote for 1)</v>
      </c>
      <c r="B3268" s="55" t="s">
        <v>1528</v>
      </c>
      <c r="C3268">
        <v>1090</v>
      </c>
      <c r="D3268" s="55" t="s">
        <v>986</v>
      </c>
      <c r="E3268" s="55" t="s">
        <v>15</v>
      </c>
      <c r="G3268" s="62">
        <v>5</v>
      </c>
      <c r="H3268">
        <v>4.9000000000000004</v>
      </c>
      <c r="I3268">
        <v>519</v>
      </c>
      <c r="J3268">
        <v>0</v>
      </c>
      <c r="K3268">
        <v>1</v>
      </c>
      <c r="L3268">
        <v>1</v>
      </c>
      <c r="M3268">
        <v>0</v>
      </c>
      <c r="N3268" s="23">
        <v>0</v>
      </c>
      <c r="O3268">
        <f t="shared" si="787"/>
        <v>-1</v>
      </c>
      <c r="P3268" s="57">
        <f t="shared" si="788"/>
        <v>1</v>
      </c>
      <c r="Q3268" s="267">
        <f t="shared" si="789"/>
        <v>5</v>
      </c>
      <c r="R3268" s="23">
        <f t="shared" si="790"/>
        <v>1</v>
      </c>
      <c r="S3268" s="23">
        <f t="shared" si="791"/>
        <v>0</v>
      </c>
      <c r="T3268" s="23" t="str">
        <f t="shared" si="792"/>
        <v/>
      </c>
      <c r="U3268" t="str">
        <f t="shared" si="793"/>
        <v/>
      </c>
      <c r="AF3268" s="88"/>
      <c r="AU3268" s="1"/>
    </row>
    <row r="3269" spans="1:47">
      <c r="A3269" t="str">
        <f t="shared" si="786"/>
        <v>PA_Alleg_2019g~Gen-member of council brackenridge ward 2 (vote for 1)</v>
      </c>
      <c r="B3269" s="55" t="s">
        <v>1528</v>
      </c>
      <c r="C3269">
        <v>1091</v>
      </c>
      <c r="D3269" s="55" t="s">
        <v>988</v>
      </c>
      <c r="E3269" s="55" t="s">
        <v>989</v>
      </c>
      <c r="F3269" t="s">
        <v>1294</v>
      </c>
      <c r="G3269" s="62">
        <v>145</v>
      </c>
      <c r="H3269">
        <v>98.64</v>
      </c>
      <c r="I3269">
        <v>785</v>
      </c>
      <c r="J3269">
        <v>0</v>
      </c>
      <c r="K3269">
        <v>1</v>
      </c>
      <c r="L3269">
        <v>1</v>
      </c>
      <c r="M3269">
        <v>0</v>
      </c>
      <c r="N3269" s="23">
        <v>0</v>
      </c>
      <c r="O3269">
        <f t="shared" si="787"/>
        <v>1</v>
      </c>
      <c r="P3269" s="57">
        <f t="shared" si="788"/>
        <v>1</v>
      </c>
      <c r="Q3269" s="267">
        <f t="shared" si="789"/>
        <v>147</v>
      </c>
      <c r="R3269" s="23">
        <f t="shared" si="790"/>
        <v>145</v>
      </c>
      <c r="S3269" s="23">
        <f t="shared" si="791"/>
        <v>0</v>
      </c>
      <c r="T3269" s="23" t="str">
        <f t="shared" si="792"/>
        <v/>
      </c>
      <c r="U3269" t="str">
        <f t="shared" si="793"/>
        <v>PA_Alleg_2019g~Gen-member of council brackenridge ward 2 (vote for 1)</v>
      </c>
      <c r="AF3269" s="88"/>
      <c r="AU3269" s="1"/>
    </row>
    <row r="3270" spans="1:47">
      <c r="A3270" t="str">
        <f t="shared" si="786"/>
        <v>PA_Alleg_2019g~Gen-member of council brackenridge ward 2 (vote for 1)</v>
      </c>
      <c r="B3270" s="55" t="s">
        <v>1528</v>
      </c>
      <c r="C3270">
        <v>1092</v>
      </c>
      <c r="D3270" s="55" t="s">
        <v>988</v>
      </c>
      <c r="E3270" s="55" t="s">
        <v>15</v>
      </c>
      <c r="G3270" s="62">
        <v>2</v>
      </c>
      <c r="H3270">
        <v>1.36</v>
      </c>
      <c r="I3270">
        <v>785</v>
      </c>
      <c r="J3270">
        <v>0</v>
      </c>
      <c r="K3270">
        <v>1</v>
      </c>
      <c r="L3270">
        <v>1</v>
      </c>
      <c r="M3270">
        <v>0</v>
      </c>
      <c r="N3270" s="23">
        <v>0</v>
      </c>
      <c r="O3270">
        <f t="shared" si="787"/>
        <v>-1</v>
      </c>
      <c r="P3270" s="57">
        <f t="shared" si="788"/>
        <v>1</v>
      </c>
      <c r="Q3270" s="267">
        <f t="shared" si="789"/>
        <v>2</v>
      </c>
      <c r="R3270" s="23">
        <f t="shared" si="790"/>
        <v>1</v>
      </c>
      <c r="S3270" s="23">
        <f t="shared" si="791"/>
        <v>0</v>
      </c>
      <c r="T3270" s="23" t="str">
        <f t="shared" si="792"/>
        <v/>
      </c>
      <c r="U3270" t="str">
        <f t="shared" si="793"/>
        <v/>
      </c>
      <c r="AF3270" s="88"/>
      <c r="AU3270" s="1"/>
    </row>
    <row r="3271" spans="1:47">
      <c r="A3271" t="str">
        <f t="shared" si="786"/>
        <v>PA_Alleg_2019g~Gen-member of council brackenridge ward 3 (vote for 1)</v>
      </c>
      <c r="B3271" s="55" t="s">
        <v>1528</v>
      </c>
      <c r="C3271">
        <v>1093</v>
      </c>
      <c r="D3271" s="55" t="s">
        <v>990</v>
      </c>
      <c r="E3271" s="55" t="s">
        <v>991</v>
      </c>
      <c r="F3271" t="s">
        <v>1294</v>
      </c>
      <c r="G3271" s="62">
        <v>111</v>
      </c>
      <c r="H3271">
        <v>94.07</v>
      </c>
      <c r="I3271">
        <v>664</v>
      </c>
      <c r="J3271">
        <v>0</v>
      </c>
      <c r="K3271">
        <v>1</v>
      </c>
      <c r="L3271">
        <v>1</v>
      </c>
      <c r="M3271">
        <v>0</v>
      </c>
      <c r="N3271" s="23">
        <v>0</v>
      </c>
      <c r="O3271">
        <f t="shared" si="787"/>
        <v>1</v>
      </c>
      <c r="P3271" s="57">
        <f t="shared" si="788"/>
        <v>1</v>
      </c>
      <c r="Q3271" s="267">
        <f t="shared" si="789"/>
        <v>118</v>
      </c>
      <c r="R3271" s="23">
        <f t="shared" si="790"/>
        <v>111</v>
      </c>
      <c r="S3271" s="23">
        <f t="shared" si="791"/>
        <v>0</v>
      </c>
      <c r="T3271" s="23" t="str">
        <f t="shared" si="792"/>
        <v/>
      </c>
      <c r="U3271" t="str">
        <f t="shared" si="793"/>
        <v>PA_Alleg_2019g~Gen-member of council brackenridge ward 3 (vote for 1)</v>
      </c>
      <c r="AF3271" s="88"/>
      <c r="AU3271" s="1"/>
    </row>
    <row r="3272" spans="1:47">
      <c r="A3272" t="str">
        <f t="shared" si="786"/>
        <v>PA_Alleg_2019g~Gen-member of council brackenridge ward 3 (vote for 1)</v>
      </c>
      <c r="B3272" s="55" t="s">
        <v>1528</v>
      </c>
      <c r="C3272">
        <v>1094</v>
      </c>
      <c r="D3272" s="55" t="s">
        <v>990</v>
      </c>
      <c r="E3272" s="55" t="s">
        <v>15</v>
      </c>
      <c r="G3272" s="62">
        <v>7</v>
      </c>
      <c r="H3272">
        <v>5.93</v>
      </c>
      <c r="I3272">
        <v>664</v>
      </c>
      <c r="J3272">
        <v>0</v>
      </c>
      <c r="K3272">
        <v>1</v>
      </c>
      <c r="L3272">
        <v>1</v>
      </c>
      <c r="M3272">
        <v>0</v>
      </c>
      <c r="N3272" s="23">
        <v>0</v>
      </c>
      <c r="O3272">
        <f t="shared" si="787"/>
        <v>-1</v>
      </c>
      <c r="P3272" s="57">
        <f t="shared" si="788"/>
        <v>1</v>
      </c>
      <c r="Q3272" s="267">
        <f t="shared" si="789"/>
        <v>7</v>
      </c>
      <c r="R3272" s="23">
        <f t="shared" si="790"/>
        <v>1</v>
      </c>
      <c r="S3272" s="23">
        <f t="shared" si="791"/>
        <v>0</v>
      </c>
      <c r="T3272" s="23" t="str">
        <f t="shared" si="792"/>
        <v/>
      </c>
      <c r="U3272" t="str">
        <f t="shared" si="793"/>
        <v/>
      </c>
      <c r="AF3272" s="88"/>
      <c r="AU3272" s="1"/>
    </row>
    <row r="3273" spans="1:47">
      <c r="A3273" t="str">
        <f t="shared" si="786"/>
        <v>PA_Alleg_2019g~Gen-member of council braddock hills (vote for 2)</v>
      </c>
      <c r="B3273" s="55" t="s">
        <v>1528</v>
      </c>
      <c r="C3273">
        <v>1000</v>
      </c>
      <c r="D3273" s="55" t="s">
        <v>908</v>
      </c>
      <c r="E3273" s="55" t="s">
        <v>15</v>
      </c>
      <c r="G3273" s="62">
        <v>114</v>
      </c>
      <c r="H3273">
        <v>100</v>
      </c>
      <c r="I3273">
        <v>1386</v>
      </c>
      <c r="J3273">
        <v>0</v>
      </c>
      <c r="K3273">
        <v>2</v>
      </c>
      <c r="L3273">
        <v>2</v>
      </c>
      <c r="M3273">
        <v>0</v>
      </c>
      <c r="N3273" s="23">
        <v>0</v>
      </c>
      <c r="O3273">
        <f t="shared" si="787"/>
        <v>0</v>
      </c>
      <c r="P3273" s="57">
        <f t="shared" si="788"/>
        <v>2</v>
      </c>
      <c r="Q3273" s="267">
        <f t="shared" si="789"/>
        <v>114</v>
      </c>
      <c r="R3273" s="23">
        <f t="shared" si="790"/>
        <v>1</v>
      </c>
      <c r="S3273" s="23">
        <f t="shared" si="791"/>
        <v>0</v>
      </c>
      <c r="T3273" s="23" t="str">
        <f t="shared" si="792"/>
        <v/>
      </c>
      <c r="U3273" t="str">
        <f t="shared" si="793"/>
        <v>PA_Alleg_2019g~Gen-member of council braddock hills (vote for 2)</v>
      </c>
      <c r="AF3273" s="88"/>
      <c r="AU3273" s="1"/>
    </row>
    <row r="3274" spans="1:47">
      <c r="A3274" t="str">
        <f t="shared" si="786"/>
        <v>PA_Alleg_2019g~Gen-member of council braddock hills (vote for 3)</v>
      </c>
      <c r="B3274" s="55" t="s">
        <v>1528</v>
      </c>
      <c r="C3274">
        <v>750</v>
      </c>
      <c r="D3274" s="55" t="s">
        <v>708</v>
      </c>
      <c r="E3274" s="55" t="s">
        <v>710</v>
      </c>
      <c r="F3274" t="s">
        <v>1294</v>
      </c>
      <c r="G3274" s="62">
        <v>301</v>
      </c>
      <c r="H3274">
        <v>31.75</v>
      </c>
      <c r="I3274">
        <v>1386</v>
      </c>
      <c r="J3274">
        <v>0</v>
      </c>
      <c r="K3274">
        <v>2</v>
      </c>
      <c r="L3274">
        <v>2</v>
      </c>
      <c r="M3274">
        <v>0</v>
      </c>
      <c r="N3274" s="23">
        <v>0</v>
      </c>
      <c r="O3274">
        <f t="shared" si="787"/>
        <v>1</v>
      </c>
      <c r="P3274" s="57">
        <f t="shared" si="788"/>
        <v>3</v>
      </c>
      <c r="Q3274" s="267">
        <f t="shared" si="789"/>
        <v>316</v>
      </c>
      <c r="R3274" s="23">
        <f t="shared" si="790"/>
        <v>287</v>
      </c>
      <c r="S3274" s="23">
        <f t="shared" si="791"/>
        <v>0</v>
      </c>
      <c r="T3274" s="23" t="str">
        <f t="shared" si="792"/>
        <v/>
      </c>
      <c r="U3274" t="str">
        <f t="shared" si="793"/>
        <v>PA_Alleg_2019g~Gen-member of council braddock hills (vote for 3)</v>
      </c>
      <c r="AF3274" s="88"/>
      <c r="AU3274" s="1"/>
    </row>
    <row r="3275" spans="1:47">
      <c r="A3275" t="str">
        <f t="shared" si="786"/>
        <v>PA_Alleg_2019g~Gen-member of council braddock hills (vote for 3)</v>
      </c>
      <c r="B3275" s="55" t="s">
        <v>1528</v>
      </c>
      <c r="C3275">
        <v>751</v>
      </c>
      <c r="D3275" s="55" t="s">
        <v>708</v>
      </c>
      <c r="E3275" s="55" t="s">
        <v>709</v>
      </c>
      <c r="F3275" t="s">
        <v>1294</v>
      </c>
      <c r="G3275" s="62">
        <v>290</v>
      </c>
      <c r="H3275">
        <v>30.59</v>
      </c>
      <c r="I3275">
        <v>1386</v>
      </c>
      <c r="J3275">
        <v>0</v>
      </c>
      <c r="K3275">
        <v>2</v>
      </c>
      <c r="L3275">
        <v>2</v>
      </c>
      <c r="M3275">
        <v>0</v>
      </c>
      <c r="N3275" s="23">
        <v>0</v>
      </c>
      <c r="O3275">
        <f t="shared" si="787"/>
        <v>2</v>
      </c>
      <c r="P3275" s="57">
        <f t="shared" si="788"/>
        <v>3</v>
      </c>
      <c r="Q3275" s="267">
        <f t="shared" si="789"/>
        <v>647</v>
      </c>
      <c r="R3275" s="23">
        <f t="shared" si="790"/>
        <v>287</v>
      </c>
      <c r="S3275" s="23">
        <f t="shared" si="791"/>
        <v>0</v>
      </c>
      <c r="T3275" s="23" t="str">
        <f t="shared" si="792"/>
        <v/>
      </c>
      <c r="U3275" t="str">
        <f t="shared" si="793"/>
        <v/>
      </c>
      <c r="AF3275" s="88"/>
      <c r="AU3275" s="1"/>
    </row>
    <row r="3276" spans="1:47">
      <c r="A3276" t="str">
        <f t="shared" si="786"/>
        <v>PA_Alleg_2019g~Gen-member of council braddock hills (vote for 3)</v>
      </c>
      <c r="B3276" s="55" t="s">
        <v>1528</v>
      </c>
      <c r="C3276">
        <v>752</v>
      </c>
      <c r="D3276" s="55" t="s">
        <v>708</v>
      </c>
      <c r="E3276" s="55" t="s">
        <v>712</v>
      </c>
      <c r="F3276" t="s">
        <v>1294</v>
      </c>
      <c r="G3276" s="62">
        <v>287</v>
      </c>
      <c r="H3276">
        <v>30.27</v>
      </c>
      <c r="I3276">
        <v>1386</v>
      </c>
      <c r="J3276">
        <v>0</v>
      </c>
      <c r="K3276">
        <v>2</v>
      </c>
      <c r="L3276">
        <v>2</v>
      </c>
      <c r="M3276">
        <v>0</v>
      </c>
      <c r="N3276" s="23">
        <v>0</v>
      </c>
      <c r="O3276">
        <f t="shared" si="787"/>
        <v>3</v>
      </c>
      <c r="P3276" s="57">
        <f t="shared" si="788"/>
        <v>3</v>
      </c>
      <c r="Q3276" s="267">
        <f t="shared" si="789"/>
        <v>357</v>
      </c>
      <c r="R3276" s="23">
        <f t="shared" si="790"/>
        <v>287</v>
      </c>
      <c r="S3276" s="23">
        <f t="shared" si="791"/>
        <v>0</v>
      </c>
      <c r="T3276" s="23" t="str">
        <f t="shared" si="792"/>
        <v/>
      </c>
      <c r="U3276" t="str">
        <f t="shared" si="793"/>
        <v/>
      </c>
      <c r="AF3276" s="88"/>
      <c r="AU3276" s="1"/>
    </row>
    <row r="3277" spans="1:47">
      <c r="A3277" t="str">
        <f t="shared" si="786"/>
        <v>PA_Alleg_2019g~Gen-member of council braddock hills (vote for 3)</v>
      </c>
      <c r="B3277" s="55" t="s">
        <v>1528</v>
      </c>
      <c r="C3277">
        <v>753</v>
      </c>
      <c r="D3277" s="55" t="s">
        <v>708</v>
      </c>
      <c r="E3277" s="55" t="s">
        <v>15</v>
      </c>
      <c r="G3277" s="62">
        <v>70</v>
      </c>
      <c r="H3277">
        <v>7.38</v>
      </c>
      <c r="I3277">
        <v>1386</v>
      </c>
      <c r="J3277">
        <v>0</v>
      </c>
      <c r="K3277">
        <v>2</v>
      </c>
      <c r="L3277">
        <v>2</v>
      </c>
      <c r="M3277">
        <v>0</v>
      </c>
      <c r="N3277" s="23">
        <v>0</v>
      </c>
      <c r="O3277">
        <f t="shared" si="787"/>
        <v>-3</v>
      </c>
      <c r="P3277" s="57">
        <f t="shared" si="788"/>
        <v>3</v>
      </c>
      <c r="Q3277" s="267">
        <f t="shared" si="789"/>
        <v>70</v>
      </c>
      <c r="R3277" s="23">
        <f t="shared" si="790"/>
        <v>1</v>
      </c>
      <c r="S3277" s="23">
        <f t="shared" si="791"/>
        <v>0</v>
      </c>
      <c r="T3277" s="23" t="str">
        <f t="shared" si="792"/>
        <v/>
      </c>
      <c r="U3277" t="str">
        <f t="shared" si="793"/>
        <v/>
      </c>
      <c r="AF3277" s="88"/>
      <c r="AU3277" s="1"/>
    </row>
    <row r="3278" spans="1:47">
      <c r="A3278" t="str">
        <f t="shared" si="786"/>
        <v>PA_Alleg_2019g~Gen-member of council braddock ward 1 (vote for 1)</v>
      </c>
      <c r="B3278" s="55" t="s">
        <v>1528</v>
      </c>
      <c r="C3278">
        <v>1095</v>
      </c>
      <c r="D3278" s="55" t="s">
        <v>992</v>
      </c>
      <c r="E3278" s="55" t="s">
        <v>15</v>
      </c>
      <c r="G3278" s="62">
        <v>64</v>
      </c>
      <c r="H3278">
        <v>100</v>
      </c>
      <c r="I3278">
        <v>542</v>
      </c>
      <c r="J3278">
        <v>0</v>
      </c>
      <c r="K3278">
        <v>1</v>
      </c>
      <c r="L3278">
        <v>1</v>
      </c>
      <c r="M3278">
        <v>0</v>
      </c>
      <c r="N3278" s="23">
        <v>0</v>
      </c>
      <c r="O3278">
        <f t="shared" si="787"/>
        <v>0</v>
      </c>
      <c r="P3278" s="57">
        <f t="shared" si="788"/>
        <v>1</v>
      </c>
      <c r="Q3278" s="267">
        <f t="shared" si="789"/>
        <v>64</v>
      </c>
      <c r="R3278" s="23">
        <f t="shared" si="790"/>
        <v>1</v>
      </c>
      <c r="S3278" s="23">
        <f t="shared" si="791"/>
        <v>0</v>
      </c>
      <c r="T3278" s="23" t="str">
        <f t="shared" si="792"/>
        <v/>
      </c>
      <c r="U3278" t="str">
        <f t="shared" si="793"/>
        <v>PA_Alleg_2019g~Gen-member of council braddock ward 1 (vote for 1)</v>
      </c>
      <c r="AF3278" s="88"/>
      <c r="AU3278" s="1"/>
    </row>
    <row r="3279" spans="1:47">
      <c r="A3279" t="str">
        <f t="shared" si="786"/>
        <v>PA_Alleg_2019g~Gen-member of council braddock ward 2 (vote for 1)</v>
      </c>
      <c r="B3279" s="55" t="s">
        <v>1528</v>
      </c>
      <c r="C3279">
        <v>1096</v>
      </c>
      <c r="D3279" s="55" t="s">
        <v>993</v>
      </c>
      <c r="E3279" s="55" t="s">
        <v>994</v>
      </c>
      <c r="F3279" t="s">
        <v>1294</v>
      </c>
      <c r="G3279" s="62">
        <v>127</v>
      </c>
      <c r="H3279">
        <v>99.22</v>
      </c>
      <c r="I3279">
        <v>627</v>
      </c>
      <c r="J3279">
        <v>0</v>
      </c>
      <c r="K3279">
        <v>1</v>
      </c>
      <c r="L3279">
        <v>1</v>
      </c>
      <c r="M3279">
        <v>0</v>
      </c>
      <c r="N3279" s="23">
        <v>0</v>
      </c>
      <c r="O3279">
        <f t="shared" si="787"/>
        <v>1</v>
      </c>
      <c r="P3279" s="57">
        <f t="shared" si="788"/>
        <v>1</v>
      </c>
      <c r="Q3279" s="267">
        <f t="shared" si="789"/>
        <v>128</v>
      </c>
      <c r="R3279" s="23">
        <f t="shared" si="790"/>
        <v>127</v>
      </c>
      <c r="S3279" s="23">
        <f t="shared" si="791"/>
        <v>0</v>
      </c>
      <c r="T3279" s="23" t="str">
        <f t="shared" si="792"/>
        <v/>
      </c>
      <c r="U3279" t="str">
        <f t="shared" si="793"/>
        <v>PA_Alleg_2019g~Gen-member of council braddock ward 2 (vote for 1)</v>
      </c>
      <c r="AF3279" s="88"/>
      <c r="AU3279" s="1"/>
    </row>
    <row r="3280" spans="1:47">
      <c r="A3280" t="str">
        <f t="shared" si="786"/>
        <v>PA_Alleg_2019g~Gen-member of council braddock ward 2 (vote for 1)</v>
      </c>
      <c r="B3280" s="55" t="s">
        <v>1528</v>
      </c>
      <c r="C3280">
        <v>1097</v>
      </c>
      <c r="D3280" s="55" t="s">
        <v>993</v>
      </c>
      <c r="E3280" s="55" t="s">
        <v>15</v>
      </c>
      <c r="G3280" s="62">
        <v>1</v>
      </c>
      <c r="H3280">
        <v>0.78</v>
      </c>
      <c r="I3280">
        <v>627</v>
      </c>
      <c r="J3280">
        <v>0</v>
      </c>
      <c r="K3280">
        <v>1</v>
      </c>
      <c r="L3280">
        <v>1</v>
      </c>
      <c r="M3280">
        <v>0</v>
      </c>
      <c r="N3280" s="23">
        <v>0</v>
      </c>
      <c r="O3280">
        <f t="shared" si="787"/>
        <v>-1</v>
      </c>
      <c r="P3280" s="57">
        <f t="shared" si="788"/>
        <v>1</v>
      </c>
      <c r="Q3280" s="267">
        <f t="shared" si="789"/>
        <v>1</v>
      </c>
      <c r="R3280" s="23">
        <f t="shared" si="790"/>
        <v>1</v>
      </c>
      <c r="S3280" s="23">
        <f t="shared" si="791"/>
        <v>0</v>
      </c>
      <c r="T3280" s="23" t="str">
        <f t="shared" si="792"/>
        <v/>
      </c>
      <c r="U3280" t="str">
        <f t="shared" si="793"/>
        <v/>
      </c>
      <c r="AF3280" s="88"/>
      <c r="AU3280" s="1"/>
    </row>
    <row r="3281" spans="1:47">
      <c r="A3281" t="str">
        <f t="shared" si="786"/>
        <v>PA_Alleg_2019g~Gen-member of council braddock ward 3 (vote for 1)</v>
      </c>
      <c r="B3281" s="55" t="s">
        <v>1528</v>
      </c>
      <c r="C3281">
        <v>1098</v>
      </c>
      <c r="D3281" s="55" t="s">
        <v>996</v>
      </c>
      <c r="E3281" s="55" t="s">
        <v>997</v>
      </c>
      <c r="F3281" t="s">
        <v>1294</v>
      </c>
      <c r="G3281" s="62">
        <v>81</v>
      </c>
      <c r="H3281">
        <v>98.78</v>
      </c>
      <c r="I3281">
        <v>492</v>
      </c>
      <c r="J3281">
        <v>0</v>
      </c>
      <c r="K3281">
        <v>1</v>
      </c>
      <c r="L3281">
        <v>1</v>
      </c>
      <c r="M3281">
        <v>0</v>
      </c>
      <c r="N3281" s="23">
        <v>0</v>
      </c>
      <c r="O3281">
        <f t="shared" si="787"/>
        <v>1</v>
      </c>
      <c r="P3281" s="57">
        <f t="shared" si="788"/>
        <v>1</v>
      </c>
      <c r="Q3281" s="267">
        <f t="shared" si="789"/>
        <v>82</v>
      </c>
      <c r="R3281" s="23">
        <f t="shared" si="790"/>
        <v>81</v>
      </c>
      <c r="S3281" s="23">
        <f t="shared" si="791"/>
        <v>0</v>
      </c>
      <c r="T3281" s="23" t="str">
        <f t="shared" si="792"/>
        <v/>
      </c>
      <c r="U3281" t="str">
        <f t="shared" si="793"/>
        <v>PA_Alleg_2019g~Gen-member of council braddock ward 3 (vote for 1)</v>
      </c>
      <c r="AF3281" s="88"/>
      <c r="AU3281" s="1"/>
    </row>
    <row r="3282" spans="1:47">
      <c r="A3282" t="str">
        <f t="shared" si="786"/>
        <v>PA_Alleg_2019g~Gen-member of council braddock ward 3 (vote for 1)</v>
      </c>
      <c r="B3282" s="55" t="s">
        <v>1528</v>
      </c>
      <c r="C3282">
        <v>1099</v>
      </c>
      <c r="D3282" s="55" t="s">
        <v>996</v>
      </c>
      <c r="E3282" s="55" t="s">
        <v>15</v>
      </c>
      <c r="G3282" s="62">
        <v>1</v>
      </c>
      <c r="H3282">
        <v>1.22</v>
      </c>
      <c r="I3282">
        <v>492</v>
      </c>
      <c r="J3282">
        <v>0</v>
      </c>
      <c r="K3282">
        <v>1</v>
      </c>
      <c r="L3282">
        <v>1</v>
      </c>
      <c r="M3282">
        <v>0</v>
      </c>
      <c r="N3282" s="23">
        <v>0</v>
      </c>
      <c r="O3282">
        <f t="shared" si="787"/>
        <v>-1</v>
      </c>
      <c r="P3282" s="57">
        <f t="shared" si="788"/>
        <v>1</v>
      </c>
      <c r="Q3282" s="267">
        <f t="shared" si="789"/>
        <v>1</v>
      </c>
      <c r="R3282" s="23">
        <f t="shared" si="790"/>
        <v>1</v>
      </c>
      <c r="S3282" s="23">
        <f t="shared" si="791"/>
        <v>0</v>
      </c>
      <c r="T3282" s="23" t="str">
        <f t="shared" si="792"/>
        <v/>
      </c>
      <c r="U3282" t="str">
        <f t="shared" si="793"/>
        <v/>
      </c>
      <c r="AF3282" s="88"/>
      <c r="AU3282" s="1"/>
    </row>
    <row r="3283" spans="1:47">
      <c r="A3283" t="str">
        <f t="shared" si="786"/>
        <v>PA_Alleg_2019g~Gen-member of council bradford woods (vote for 3)</v>
      </c>
      <c r="B3283" s="55" t="s">
        <v>1528</v>
      </c>
      <c r="C3283">
        <v>754</v>
      </c>
      <c r="D3283" s="55" t="s">
        <v>713</v>
      </c>
      <c r="E3283" s="55" t="s">
        <v>714</v>
      </c>
      <c r="F3283" t="s">
        <v>1294</v>
      </c>
      <c r="G3283" s="62">
        <v>275</v>
      </c>
      <c r="H3283">
        <v>35.119999999999997</v>
      </c>
      <c r="I3283">
        <v>1031</v>
      </c>
      <c r="J3283">
        <v>0</v>
      </c>
      <c r="K3283">
        <v>1</v>
      </c>
      <c r="L3283">
        <v>1</v>
      </c>
      <c r="M3283">
        <v>0</v>
      </c>
      <c r="N3283" s="23">
        <v>0</v>
      </c>
      <c r="O3283">
        <f t="shared" si="787"/>
        <v>1</v>
      </c>
      <c r="P3283" s="57">
        <f t="shared" si="788"/>
        <v>3</v>
      </c>
      <c r="Q3283" s="267">
        <f t="shared" si="789"/>
        <v>275</v>
      </c>
      <c r="R3283" s="23">
        <f t="shared" si="790"/>
        <v>250</v>
      </c>
      <c r="S3283" s="23">
        <f t="shared" si="791"/>
        <v>0</v>
      </c>
      <c r="T3283" s="23" t="str">
        <f t="shared" si="792"/>
        <v/>
      </c>
      <c r="U3283" t="str">
        <f t="shared" si="793"/>
        <v>PA_Alleg_2019g~Gen-member of council bradford woods (vote for 3)</v>
      </c>
      <c r="AF3283" s="88"/>
      <c r="AU3283" s="1"/>
    </row>
    <row r="3284" spans="1:47">
      <c r="A3284" t="str">
        <f t="shared" si="786"/>
        <v>PA_Alleg_2019g~Gen-member of council bradford woods (vote for 3)</v>
      </c>
      <c r="B3284" s="55" t="s">
        <v>1528</v>
      </c>
      <c r="C3284">
        <v>755</v>
      </c>
      <c r="D3284" s="55" t="s">
        <v>713</v>
      </c>
      <c r="E3284" s="55" t="s">
        <v>1182</v>
      </c>
      <c r="F3284" t="s">
        <v>1296</v>
      </c>
      <c r="G3284" s="62">
        <v>254</v>
      </c>
      <c r="H3284">
        <v>32.44</v>
      </c>
      <c r="I3284">
        <v>1031</v>
      </c>
      <c r="J3284">
        <v>0</v>
      </c>
      <c r="K3284">
        <v>1</v>
      </c>
      <c r="L3284">
        <v>1</v>
      </c>
      <c r="M3284">
        <v>0</v>
      </c>
      <c r="N3284" s="23">
        <v>0</v>
      </c>
      <c r="O3284">
        <f t="shared" si="787"/>
        <v>2</v>
      </c>
      <c r="P3284" s="57">
        <f t="shared" si="788"/>
        <v>3</v>
      </c>
      <c r="Q3284" s="267">
        <f t="shared" si="789"/>
        <v>508</v>
      </c>
      <c r="R3284" s="23">
        <f t="shared" si="790"/>
        <v>250</v>
      </c>
      <c r="S3284" s="23">
        <f t="shared" si="791"/>
        <v>0</v>
      </c>
      <c r="T3284" s="23" t="str">
        <f t="shared" si="792"/>
        <v/>
      </c>
      <c r="U3284" t="str">
        <f t="shared" si="793"/>
        <v/>
      </c>
      <c r="AF3284" s="88"/>
      <c r="AU3284" s="1"/>
    </row>
    <row r="3285" spans="1:47">
      <c r="A3285" t="str">
        <f t="shared" si="786"/>
        <v>PA_Alleg_2019g~Gen-member of council bradford woods (vote for 3)</v>
      </c>
      <c r="B3285" s="55" t="s">
        <v>1528</v>
      </c>
      <c r="C3285">
        <v>756</v>
      </c>
      <c r="D3285" s="55" t="s">
        <v>713</v>
      </c>
      <c r="E3285" s="55" t="s">
        <v>1183</v>
      </c>
      <c r="F3285" t="s">
        <v>1296</v>
      </c>
      <c r="G3285" s="62">
        <v>250</v>
      </c>
      <c r="H3285">
        <v>31.93</v>
      </c>
      <c r="I3285">
        <v>1031</v>
      </c>
      <c r="J3285">
        <v>0</v>
      </c>
      <c r="K3285">
        <v>1</v>
      </c>
      <c r="L3285">
        <v>1</v>
      </c>
      <c r="M3285">
        <v>0</v>
      </c>
      <c r="N3285" s="23">
        <v>0</v>
      </c>
      <c r="O3285">
        <f t="shared" si="787"/>
        <v>3</v>
      </c>
      <c r="P3285" s="57">
        <f t="shared" si="788"/>
        <v>3</v>
      </c>
      <c r="Q3285" s="267">
        <f t="shared" si="789"/>
        <v>254</v>
      </c>
      <c r="R3285" s="23">
        <f t="shared" si="790"/>
        <v>250</v>
      </c>
      <c r="S3285" s="23">
        <f t="shared" si="791"/>
        <v>0</v>
      </c>
      <c r="T3285" s="23" t="str">
        <f t="shared" si="792"/>
        <v/>
      </c>
      <c r="U3285" t="str">
        <f t="shared" si="793"/>
        <v/>
      </c>
      <c r="AF3285" s="88"/>
      <c r="AU3285" s="1"/>
    </row>
    <row r="3286" spans="1:47">
      <c r="A3286" t="str">
        <f t="shared" si="786"/>
        <v>PA_Alleg_2019g~Gen-member of council bradford woods (vote for 3)</v>
      </c>
      <c r="B3286" s="55" t="s">
        <v>1528</v>
      </c>
      <c r="C3286">
        <v>757</v>
      </c>
      <c r="D3286" s="55" t="s">
        <v>713</v>
      </c>
      <c r="E3286" s="55" t="s">
        <v>15</v>
      </c>
      <c r="G3286" s="62">
        <v>4</v>
      </c>
      <c r="H3286">
        <v>0.51</v>
      </c>
      <c r="I3286">
        <v>1031</v>
      </c>
      <c r="J3286">
        <v>0</v>
      </c>
      <c r="K3286">
        <v>1</v>
      </c>
      <c r="L3286">
        <v>1</v>
      </c>
      <c r="M3286">
        <v>0</v>
      </c>
      <c r="N3286" s="23">
        <v>0</v>
      </c>
      <c r="O3286">
        <f t="shared" si="787"/>
        <v>-3</v>
      </c>
      <c r="P3286" s="57">
        <f t="shared" si="788"/>
        <v>3</v>
      </c>
      <c r="Q3286" s="267">
        <f t="shared" si="789"/>
        <v>4</v>
      </c>
      <c r="R3286" s="23">
        <f t="shared" si="790"/>
        <v>1</v>
      </c>
      <c r="S3286" s="23">
        <f t="shared" si="791"/>
        <v>0</v>
      </c>
      <c r="T3286" s="23" t="str">
        <f t="shared" si="792"/>
        <v/>
      </c>
      <c r="U3286" t="str">
        <f t="shared" si="793"/>
        <v/>
      </c>
      <c r="AF3286" s="88"/>
      <c r="AU3286" s="1"/>
    </row>
    <row r="3287" spans="1:47">
      <c r="A3287" t="str">
        <f t="shared" si="786"/>
        <v>PA_Alleg_2019g~Gen-member of council brentwood (vote for 3)</v>
      </c>
      <c r="B3287" s="55" t="s">
        <v>1528</v>
      </c>
      <c r="C3287">
        <v>759</v>
      </c>
      <c r="D3287" s="55" t="s">
        <v>715</v>
      </c>
      <c r="E3287" s="55" t="s">
        <v>718</v>
      </c>
      <c r="F3287" t="s">
        <v>1396</v>
      </c>
      <c r="G3287" s="62">
        <v>1197</v>
      </c>
      <c r="H3287">
        <v>33.28</v>
      </c>
      <c r="I3287">
        <v>6751</v>
      </c>
      <c r="J3287">
        <v>0</v>
      </c>
      <c r="K3287">
        <v>10</v>
      </c>
      <c r="L3287">
        <v>10</v>
      </c>
      <c r="M3287">
        <v>0</v>
      </c>
      <c r="N3287" s="23">
        <v>0</v>
      </c>
      <c r="O3287">
        <f t="shared" si="787"/>
        <v>1</v>
      </c>
      <c r="P3287" s="57">
        <f t="shared" si="788"/>
        <v>3</v>
      </c>
      <c r="Q3287" s="267">
        <f t="shared" si="789"/>
        <v>1199</v>
      </c>
      <c r="R3287" s="23">
        <f t="shared" si="790"/>
        <v>1168</v>
      </c>
      <c r="S3287" s="23">
        <f t="shared" si="791"/>
        <v>0</v>
      </c>
      <c r="T3287" s="23" t="str">
        <f t="shared" si="792"/>
        <v/>
      </c>
      <c r="U3287" t="str">
        <f t="shared" si="793"/>
        <v>PA_Alleg_2019g~Gen-member of council brentwood (vote for 3)</v>
      </c>
      <c r="AF3287" s="88"/>
      <c r="AU3287" s="1"/>
    </row>
    <row r="3288" spans="1:47">
      <c r="A3288" t="str">
        <f t="shared" si="786"/>
        <v>PA_Alleg_2019g~Gen-member of council brentwood (vote for 3)</v>
      </c>
      <c r="B3288" s="55" t="s">
        <v>1528</v>
      </c>
      <c r="C3288">
        <v>758</v>
      </c>
      <c r="D3288" s="55" t="s">
        <v>715</v>
      </c>
      <c r="E3288" s="55" t="s">
        <v>717</v>
      </c>
      <c r="F3288" t="s">
        <v>1396</v>
      </c>
      <c r="G3288" s="62">
        <v>1185</v>
      </c>
      <c r="H3288">
        <v>32.94</v>
      </c>
      <c r="I3288">
        <v>6751</v>
      </c>
      <c r="J3288">
        <v>0</v>
      </c>
      <c r="K3288">
        <v>10</v>
      </c>
      <c r="L3288">
        <v>10</v>
      </c>
      <c r="M3288">
        <v>0</v>
      </c>
      <c r="N3288" s="23">
        <v>0</v>
      </c>
      <c r="O3288">
        <f t="shared" si="787"/>
        <v>2</v>
      </c>
      <c r="P3288" s="57">
        <f t="shared" si="788"/>
        <v>3</v>
      </c>
      <c r="Q3288" s="267">
        <f t="shared" si="789"/>
        <v>2400</v>
      </c>
      <c r="R3288" s="23">
        <f t="shared" si="790"/>
        <v>1168</v>
      </c>
      <c r="S3288" s="23">
        <f t="shared" si="791"/>
        <v>0</v>
      </c>
      <c r="T3288" s="23" t="str">
        <f t="shared" si="792"/>
        <v/>
      </c>
      <c r="U3288" t="str">
        <f t="shared" si="793"/>
        <v/>
      </c>
      <c r="AF3288" s="88"/>
      <c r="AU3288" s="1"/>
    </row>
    <row r="3289" spans="1:47">
      <c r="A3289" t="str">
        <f t="shared" si="786"/>
        <v>PA_Alleg_2019g~Gen-member of council brentwood (vote for 3)</v>
      </c>
      <c r="B3289" s="55" t="s">
        <v>1528</v>
      </c>
      <c r="C3289">
        <v>760</v>
      </c>
      <c r="D3289" s="55" t="s">
        <v>715</v>
      </c>
      <c r="E3289" s="55" t="s">
        <v>719</v>
      </c>
      <c r="F3289" t="s">
        <v>1396</v>
      </c>
      <c r="G3289" s="62">
        <v>1168</v>
      </c>
      <c r="H3289">
        <v>32.47</v>
      </c>
      <c r="I3289">
        <v>6751</v>
      </c>
      <c r="J3289">
        <v>0</v>
      </c>
      <c r="K3289">
        <v>10</v>
      </c>
      <c r="L3289">
        <v>10</v>
      </c>
      <c r="M3289">
        <v>0</v>
      </c>
      <c r="N3289" s="23">
        <v>0</v>
      </c>
      <c r="O3289">
        <f t="shared" si="787"/>
        <v>3</v>
      </c>
      <c r="P3289" s="57">
        <f t="shared" si="788"/>
        <v>3</v>
      </c>
      <c r="Q3289" s="267">
        <f t="shared" si="789"/>
        <v>1215</v>
      </c>
      <c r="R3289" s="23">
        <f t="shared" si="790"/>
        <v>1168</v>
      </c>
      <c r="S3289" s="23">
        <f t="shared" si="791"/>
        <v>0</v>
      </c>
      <c r="T3289" s="23" t="str">
        <f t="shared" si="792"/>
        <v/>
      </c>
      <c r="U3289" t="str">
        <f t="shared" si="793"/>
        <v/>
      </c>
      <c r="AF3289" s="88"/>
      <c r="AU3289" s="1"/>
    </row>
    <row r="3290" spans="1:47">
      <c r="A3290" t="str">
        <f t="shared" si="786"/>
        <v>PA_Alleg_2019g~Gen-member of council brentwood (vote for 3)</v>
      </c>
      <c r="B3290" s="55" t="s">
        <v>1528</v>
      </c>
      <c r="C3290">
        <v>761</v>
      </c>
      <c r="D3290" s="55" t="s">
        <v>715</v>
      </c>
      <c r="E3290" s="55" t="s">
        <v>15</v>
      </c>
      <c r="G3290" s="62">
        <v>47</v>
      </c>
      <c r="H3290">
        <v>1.31</v>
      </c>
      <c r="I3290">
        <v>6751</v>
      </c>
      <c r="J3290">
        <v>0</v>
      </c>
      <c r="K3290">
        <v>10</v>
      </c>
      <c r="L3290">
        <v>10</v>
      </c>
      <c r="M3290">
        <v>0</v>
      </c>
      <c r="N3290" s="23">
        <v>0</v>
      </c>
      <c r="O3290">
        <f t="shared" si="787"/>
        <v>-3</v>
      </c>
      <c r="P3290" s="57">
        <f t="shared" si="788"/>
        <v>3</v>
      </c>
      <c r="Q3290" s="267">
        <f t="shared" si="789"/>
        <v>47</v>
      </c>
      <c r="R3290" s="23">
        <f t="shared" si="790"/>
        <v>1</v>
      </c>
      <c r="S3290" s="23">
        <f t="shared" si="791"/>
        <v>0</v>
      </c>
      <c r="T3290" s="23" t="str">
        <f t="shared" si="792"/>
        <v/>
      </c>
      <c r="U3290" t="str">
        <f t="shared" si="793"/>
        <v/>
      </c>
      <c r="AF3290" s="88"/>
      <c r="AU3290" s="1"/>
    </row>
    <row r="3291" spans="1:47">
      <c r="A3291" t="str">
        <f t="shared" si="786"/>
        <v>PA_Alleg_2019g~Gen-member of council bridgeville (vote for 3)</v>
      </c>
      <c r="B3291" s="55" t="s">
        <v>1528</v>
      </c>
      <c r="C3291">
        <v>762</v>
      </c>
      <c r="D3291" s="55" t="s">
        <v>720</v>
      </c>
      <c r="E3291" s="55" t="s">
        <v>721</v>
      </c>
      <c r="F3291" t="s">
        <v>1294</v>
      </c>
      <c r="G3291" s="62">
        <v>601</v>
      </c>
      <c r="H3291">
        <v>19.46</v>
      </c>
      <c r="I3291">
        <v>3601</v>
      </c>
      <c r="J3291">
        <v>0</v>
      </c>
      <c r="K3291">
        <v>4</v>
      </c>
      <c r="L3291">
        <v>4</v>
      </c>
      <c r="M3291">
        <v>0</v>
      </c>
      <c r="N3291" s="23">
        <v>0</v>
      </c>
      <c r="O3291">
        <f t="shared" si="787"/>
        <v>1</v>
      </c>
      <c r="P3291" s="57">
        <f t="shared" si="788"/>
        <v>3</v>
      </c>
      <c r="Q3291" s="267">
        <f t="shared" si="789"/>
        <v>1029.6666666666667</v>
      </c>
      <c r="R3291" s="23">
        <f t="shared" si="790"/>
        <v>564</v>
      </c>
      <c r="S3291" s="23">
        <f t="shared" si="791"/>
        <v>526</v>
      </c>
      <c r="T3291" s="23">
        <f t="shared" si="792"/>
        <v>38</v>
      </c>
      <c r="U3291" t="str">
        <f t="shared" si="793"/>
        <v>PA_Alleg_2019g~Gen-member of council bridgeville (vote for 3)</v>
      </c>
      <c r="AF3291" s="88"/>
      <c r="AU3291" s="1"/>
    </row>
    <row r="3292" spans="1:47">
      <c r="A3292" t="str">
        <f t="shared" si="786"/>
        <v>PA_Alleg_2019g~Gen-member of council bridgeville (vote for 3)</v>
      </c>
      <c r="B3292" s="55" t="s">
        <v>1528</v>
      </c>
      <c r="C3292">
        <v>764</v>
      </c>
      <c r="D3292" s="55" t="s">
        <v>720</v>
      </c>
      <c r="E3292" s="55" t="s">
        <v>722</v>
      </c>
      <c r="F3292" t="s">
        <v>1294</v>
      </c>
      <c r="G3292" s="62">
        <v>576</v>
      </c>
      <c r="H3292">
        <v>18.649999999999999</v>
      </c>
      <c r="I3292">
        <v>3601</v>
      </c>
      <c r="J3292">
        <v>0</v>
      </c>
      <c r="K3292">
        <v>4</v>
      </c>
      <c r="L3292">
        <v>4</v>
      </c>
      <c r="M3292">
        <v>0</v>
      </c>
      <c r="N3292" s="23">
        <v>0</v>
      </c>
      <c r="O3292">
        <f t="shared" si="787"/>
        <v>2</v>
      </c>
      <c r="P3292" s="57">
        <f t="shared" si="788"/>
        <v>3</v>
      </c>
      <c r="Q3292" s="267">
        <f t="shared" si="789"/>
        <v>2488</v>
      </c>
      <c r="R3292" s="23">
        <f t="shared" si="790"/>
        <v>564</v>
      </c>
      <c r="S3292" s="23">
        <f t="shared" si="791"/>
        <v>526</v>
      </c>
      <c r="T3292" s="23" t="str">
        <f t="shared" si="792"/>
        <v/>
      </c>
      <c r="U3292" t="str">
        <f t="shared" si="793"/>
        <v/>
      </c>
      <c r="AF3292" s="88"/>
      <c r="AU3292" s="1"/>
    </row>
    <row r="3293" spans="1:47">
      <c r="A3293" t="str">
        <f t="shared" si="786"/>
        <v>PA_Alleg_2019g~Gen-member of council bridgeville (vote for 3)</v>
      </c>
      <c r="B3293" s="55" t="s">
        <v>1528</v>
      </c>
      <c r="C3293">
        <v>763</v>
      </c>
      <c r="D3293" s="55" t="s">
        <v>720</v>
      </c>
      <c r="E3293" s="55" t="s">
        <v>723</v>
      </c>
      <c r="F3293" t="s">
        <v>1294</v>
      </c>
      <c r="G3293" s="62">
        <v>564</v>
      </c>
      <c r="H3293">
        <v>18.260000000000002</v>
      </c>
      <c r="I3293">
        <v>3601</v>
      </c>
      <c r="J3293">
        <v>0</v>
      </c>
      <c r="K3293">
        <v>4</v>
      </c>
      <c r="L3293">
        <v>4</v>
      </c>
      <c r="M3293">
        <v>0</v>
      </c>
      <c r="N3293" s="23">
        <v>0</v>
      </c>
      <c r="O3293">
        <f t="shared" si="787"/>
        <v>3</v>
      </c>
      <c r="P3293" s="57">
        <f t="shared" si="788"/>
        <v>3</v>
      </c>
      <c r="Q3293" s="267">
        <f t="shared" si="789"/>
        <v>1912</v>
      </c>
      <c r="R3293" s="23">
        <f t="shared" si="790"/>
        <v>564</v>
      </c>
      <c r="S3293" s="23">
        <f t="shared" si="791"/>
        <v>526</v>
      </c>
      <c r="T3293" s="23" t="str">
        <f t="shared" si="792"/>
        <v/>
      </c>
      <c r="U3293" t="str">
        <f t="shared" si="793"/>
        <v/>
      </c>
      <c r="AF3293" s="88"/>
      <c r="AU3293" s="1"/>
    </row>
    <row r="3294" spans="1:47">
      <c r="A3294" t="str">
        <f t="shared" si="786"/>
        <v>PA_Alleg_2019g~Gen-member of council bridgeville (vote for 3)</v>
      </c>
      <c r="B3294" s="55" t="s">
        <v>1528</v>
      </c>
      <c r="C3294">
        <v>765</v>
      </c>
      <c r="D3294" s="55" t="s">
        <v>720</v>
      </c>
      <c r="E3294" s="55" t="s">
        <v>1186</v>
      </c>
      <c r="F3294" t="s">
        <v>1296</v>
      </c>
      <c r="G3294" s="62">
        <v>526</v>
      </c>
      <c r="H3294">
        <v>17.03</v>
      </c>
      <c r="I3294">
        <v>3601</v>
      </c>
      <c r="J3294">
        <v>0</v>
      </c>
      <c r="K3294">
        <v>4</v>
      </c>
      <c r="L3294">
        <v>4</v>
      </c>
      <c r="M3294">
        <v>0</v>
      </c>
      <c r="N3294" s="23">
        <v>0</v>
      </c>
      <c r="O3294">
        <f t="shared" si="787"/>
        <v>4</v>
      </c>
      <c r="P3294" s="57">
        <f t="shared" si="788"/>
        <v>3</v>
      </c>
      <c r="Q3294" s="267">
        <f t="shared" si="789"/>
        <v>1348</v>
      </c>
      <c r="R3294" s="23" t="str">
        <f t="shared" si="790"/>
        <v/>
      </c>
      <c r="S3294" s="23">
        <f t="shared" si="791"/>
        <v>526</v>
      </c>
      <c r="T3294" s="23" t="str">
        <f t="shared" si="792"/>
        <v/>
      </c>
      <c r="U3294" t="str">
        <f t="shared" si="793"/>
        <v/>
      </c>
      <c r="AF3294" s="88"/>
      <c r="AU3294" s="1"/>
    </row>
    <row r="3295" spans="1:47">
      <c r="A3295" t="str">
        <f t="shared" si="786"/>
        <v>PA_Alleg_2019g~Gen-member of council bridgeville (vote for 3)</v>
      </c>
      <c r="B3295" s="55" t="s">
        <v>1528</v>
      </c>
      <c r="C3295">
        <v>766</v>
      </c>
      <c r="D3295" s="55" t="s">
        <v>720</v>
      </c>
      <c r="E3295" s="55" t="s">
        <v>1464</v>
      </c>
      <c r="F3295" t="s">
        <v>1296</v>
      </c>
      <c r="G3295" s="62">
        <v>466</v>
      </c>
      <c r="H3295">
        <v>15.09</v>
      </c>
      <c r="I3295">
        <v>3601</v>
      </c>
      <c r="J3295">
        <v>0</v>
      </c>
      <c r="K3295">
        <v>4</v>
      </c>
      <c r="L3295">
        <v>4</v>
      </c>
      <c r="M3295">
        <v>0</v>
      </c>
      <c r="N3295" s="23">
        <v>0</v>
      </c>
      <c r="O3295">
        <f t="shared" si="787"/>
        <v>5</v>
      </c>
      <c r="P3295" s="57">
        <f t="shared" si="788"/>
        <v>3</v>
      </c>
      <c r="Q3295" s="267">
        <f t="shared" si="789"/>
        <v>822</v>
      </c>
      <c r="R3295" s="23" t="str">
        <f t="shared" si="790"/>
        <v/>
      </c>
      <c r="S3295" s="23">
        <f t="shared" si="791"/>
        <v>466</v>
      </c>
      <c r="T3295" s="23" t="str">
        <f t="shared" si="792"/>
        <v/>
      </c>
      <c r="U3295" t="str">
        <f t="shared" si="793"/>
        <v/>
      </c>
      <c r="AF3295" s="88"/>
      <c r="AU3295" s="1"/>
    </row>
    <row r="3296" spans="1:47">
      <c r="A3296" t="str">
        <f t="shared" si="786"/>
        <v>PA_Alleg_2019g~Gen-member of council bridgeville (vote for 3)</v>
      </c>
      <c r="B3296" s="55" t="s">
        <v>1528</v>
      </c>
      <c r="C3296">
        <v>767</v>
      </c>
      <c r="D3296" s="55" t="s">
        <v>720</v>
      </c>
      <c r="E3296" s="55" t="s">
        <v>1184</v>
      </c>
      <c r="F3296" t="s">
        <v>1296</v>
      </c>
      <c r="G3296" s="62">
        <v>352</v>
      </c>
      <c r="H3296">
        <v>11.4</v>
      </c>
      <c r="I3296">
        <v>3601</v>
      </c>
      <c r="J3296">
        <v>0</v>
      </c>
      <c r="K3296">
        <v>4</v>
      </c>
      <c r="L3296">
        <v>4</v>
      </c>
      <c r="M3296">
        <v>0</v>
      </c>
      <c r="N3296" s="23">
        <v>0</v>
      </c>
      <c r="O3296">
        <f t="shared" si="787"/>
        <v>6</v>
      </c>
      <c r="P3296" s="57">
        <f t="shared" si="788"/>
        <v>3</v>
      </c>
      <c r="Q3296" s="267">
        <f t="shared" si="789"/>
        <v>356</v>
      </c>
      <c r="R3296" s="23" t="str">
        <f t="shared" si="790"/>
        <v/>
      </c>
      <c r="S3296" s="23">
        <f t="shared" si="791"/>
        <v>352</v>
      </c>
      <c r="T3296" s="23" t="str">
        <f t="shared" si="792"/>
        <v/>
      </c>
      <c r="U3296" t="str">
        <f t="shared" si="793"/>
        <v/>
      </c>
      <c r="AF3296" s="88"/>
      <c r="AU3296" s="1"/>
    </row>
    <row r="3297" spans="1:47">
      <c r="A3297" t="str">
        <f t="shared" si="786"/>
        <v>PA_Alleg_2019g~Gen-member of council bridgeville (vote for 3)</v>
      </c>
      <c r="B3297" s="55" t="s">
        <v>1528</v>
      </c>
      <c r="C3297">
        <v>768</v>
      </c>
      <c r="D3297" s="55" t="s">
        <v>720</v>
      </c>
      <c r="E3297" s="55" t="s">
        <v>15</v>
      </c>
      <c r="G3297" s="62">
        <v>4</v>
      </c>
      <c r="H3297">
        <v>0.13</v>
      </c>
      <c r="I3297">
        <v>3601</v>
      </c>
      <c r="J3297">
        <v>0</v>
      </c>
      <c r="K3297">
        <v>4</v>
      </c>
      <c r="L3297">
        <v>4</v>
      </c>
      <c r="M3297">
        <v>0</v>
      </c>
      <c r="N3297" s="23">
        <v>0</v>
      </c>
      <c r="O3297">
        <f t="shared" si="787"/>
        <v>-6</v>
      </c>
      <c r="P3297" s="57">
        <f t="shared" si="788"/>
        <v>3</v>
      </c>
      <c r="Q3297" s="267">
        <f t="shared" si="789"/>
        <v>4</v>
      </c>
      <c r="R3297" s="23">
        <f t="shared" si="790"/>
        <v>1</v>
      </c>
      <c r="S3297" s="23">
        <f t="shared" si="791"/>
        <v>0</v>
      </c>
      <c r="T3297" s="23" t="str">
        <f t="shared" si="792"/>
        <v/>
      </c>
      <c r="U3297" t="str">
        <f t="shared" si="793"/>
        <v/>
      </c>
      <c r="AF3297" s="88"/>
      <c r="AU3297" s="1"/>
    </row>
    <row r="3298" spans="1:47">
      <c r="A3298" t="str">
        <f t="shared" si="786"/>
        <v>PA_Alleg_2019g~Gen-member of council carnegie ward 1 (vote for 2)</v>
      </c>
      <c r="B3298" s="55" t="s">
        <v>1528</v>
      </c>
      <c r="C3298">
        <v>1050</v>
      </c>
      <c r="D3298" s="55" t="s">
        <v>950</v>
      </c>
      <c r="E3298" s="55" t="s">
        <v>951</v>
      </c>
      <c r="F3298" t="s">
        <v>1294</v>
      </c>
      <c r="G3298" s="62">
        <v>488</v>
      </c>
      <c r="H3298">
        <v>51.86</v>
      </c>
      <c r="I3298">
        <v>3093</v>
      </c>
      <c r="J3298">
        <v>0</v>
      </c>
      <c r="K3298">
        <v>4</v>
      </c>
      <c r="L3298">
        <v>4</v>
      </c>
      <c r="M3298">
        <v>0</v>
      </c>
      <c r="N3298" s="23">
        <v>0</v>
      </c>
      <c r="O3298">
        <f t="shared" si="787"/>
        <v>1</v>
      </c>
      <c r="P3298" s="57">
        <f t="shared" si="788"/>
        <v>2</v>
      </c>
      <c r="Q3298" s="267">
        <f t="shared" si="789"/>
        <v>488</v>
      </c>
      <c r="R3298" s="23">
        <f t="shared" si="790"/>
        <v>436</v>
      </c>
      <c r="S3298" s="23">
        <f t="shared" si="791"/>
        <v>0</v>
      </c>
      <c r="T3298" s="23" t="str">
        <f t="shared" si="792"/>
        <v/>
      </c>
      <c r="U3298" t="str">
        <f t="shared" si="793"/>
        <v>PA_Alleg_2019g~Gen-member of council carnegie ward 1 (vote for 2)</v>
      </c>
      <c r="AF3298" s="88"/>
      <c r="AU3298" s="1"/>
    </row>
    <row r="3299" spans="1:47">
      <c r="A3299" t="str">
        <f t="shared" si="786"/>
        <v>PA_Alleg_2019g~Gen-member of council carnegie ward 1 (vote for 2)</v>
      </c>
      <c r="B3299" s="55" t="s">
        <v>1528</v>
      </c>
      <c r="C3299">
        <v>1051</v>
      </c>
      <c r="D3299" s="55" t="s">
        <v>950</v>
      </c>
      <c r="E3299" s="55" t="s">
        <v>952</v>
      </c>
      <c r="F3299" t="s">
        <v>1294</v>
      </c>
      <c r="G3299" s="62">
        <v>436</v>
      </c>
      <c r="H3299">
        <v>46.33</v>
      </c>
      <c r="I3299">
        <v>3093</v>
      </c>
      <c r="J3299">
        <v>0</v>
      </c>
      <c r="K3299">
        <v>4</v>
      </c>
      <c r="L3299">
        <v>4</v>
      </c>
      <c r="M3299">
        <v>0</v>
      </c>
      <c r="N3299" s="23">
        <v>0</v>
      </c>
      <c r="O3299">
        <f t="shared" si="787"/>
        <v>2</v>
      </c>
      <c r="P3299" s="57">
        <f t="shared" si="788"/>
        <v>2</v>
      </c>
      <c r="Q3299" s="267">
        <f t="shared" si="789"/>
        <v>453</v>
      </c>
      <c r="R3299" s="23">
        <f t="shared" si="790"/>
        <v>436</v>
      </c>
      <c r="S3299" s="23">
        <f t="shared" si="791"/>
        <v>0</v>
      </c>
      <c r="T3299" s="23" t="str">
        <f t="shared" si="792"/>
        <v/>
      </c>
      <c r="U3299" t="str">
        <f t="shared" si="793"/>
        <v/>
      </c>
      <c r="AF3299" s="88"/>
      <c r="AU3299" s="1"/>
    </row>
    <row r="3300" spans="1:47">
      <c r="A3300" t="str">
        <f t="shared" si="786"/>
        <v>PA_Alleg_2019g~Gen-member of council carnegie ward 1 (vote for 2)</v>
      </c>
      <c r="B3300" s="55" t="s">
        <v>1528</v>
      </c>
      <c r="C3300">
        <v>1052</v>
      </c>
      <c r="D3300" s="55" t="s">
        <v>950</v>
      </c>
      <c r="E3300" s="55" t="s">
        <v>15</v>
      </c>
      <c r="G3300" s="62">
        <v>17</v>
      </c>
      <c r="H3300">
        <v>1.81</v>
      </c>
      <c r="I3300">
        <v>3093</v>
      </c>
      <c r="J3300">
        <v>0</v>
      </c>
      <c r="K3300">
        <v>4</v>
      </c>
      <c r="L3300">
        <v>4</v>
      </c>
      <c r="M3300">
        <v>0</v>
      </c>
      <c r="N3300" s="23">
        <v>0</v>
      </c>
      <c r="O3300">
        <f t="shared" si="787"/>
        <v>-2</v>
      </c>
      <c r="P3300" s="57">
        <f t="shared" si="788"/>
        <v>2</v>
      </c>
      <c r="Q3300" s="267">
        <f t="shared" si="789"/>
        <v>17</v>
      </c>
      <c r="R3300" s="23">
        <f t="shared" si="790"/>
        <v>1</v>
      </c>
      <c r="S3300" s="23">
        <f t="shared" si="791"/>
        <v>0</v>
      </c>
      <c r="T3300" s="23" t="str">
        <f t="shared" si="792"/>
        <v/>
      </c>
      <c r="U3300" t="str">
        <f t="shared" si="793"/>
        <v/>
      </c>
      <c r="AF3300" s="88"/>
      <c r="AU3300" s="1"/>
    </row>
    <row r="3301" spans="1:47">
      <c r="A3301" t="str">
        <f t="shared" si="786"/>
        <v>PA_Alleg_2019g~Gen-member of council carnegie ward 2 (vote for 1)</v>
      </c>
      <c r="B3301" s="55" t="s">
        <v>1528</v>
      </c>
      <c r="C3301">
        <v>1100</v>
      </c>
      <c r="D3301" s="55" t="s">
        <v>999</v>
      </c>
      <c r="E3301" s="55" t="s">
        <v>1000</v>
      </c>
      <c r="F3301" t="s">
        <v>1294</v>
      </c>
      <c r="G3301" s="62">
        <v>476</v>
      </c>
      <c r="H3301">
        <v>95.39</v>
      </c>
      <c r="I3301">
        <v>2653</v>
      </c>
      <c r="J3301">
        <v>0</v>
      </c>
      <c r="K3301">
        <v>4</v>
      </c>
      <c r="L3301">
        <v>4</v>
      </c>
      <c r="M3301">
        <v>0</v>
      </c>
      <c r="N3301" s="23">
        <v>0</v>
      </c>
      <c r="O3301">
        <f t="shared" si="787"/>
        <v>1</v>
      </c>
      <c r="P3301" s="57">
        <f t="shared" si="788"/>
        <v>1</v>
      </c>
      <c r="Q3301" s="267">
        <f t="shared" si="789"/>
        <v>499</v>
      </c>
      <c r="R3301" s="23">
        <f t="shared" si="790"/>
        <v>476</v>
      </c>
      <c r="S3301" s="23">
        <f t="shared" si="791"/>
        <v>0</v>
      </c>
      <c r="T3301" s="23" t="str">
        <f t="shared" si="792"/>
        <v/>
      </c>
      <c r="U3301" t="str">
        <f t="shared" si="793"/>
        <v>PA_Alleg_2019g~Gen-member of council carnegie ward 2 (vote for 1)</v>
      </c>
      <c r="AF3301" s="88"/>
      <c r="AU3301" s="1"/>
    </row>
    <row r="3302" spans="1:47">
      <c r="A3302" t="str">
        <f t="shared" si="786"/>
        <v>PA_Alleg_2019g~Gen-member of council carnegie ward 2 (vote for 1)</v>
      </c>
      <c r="B3302" s="55" t="s">
        <v>1528</v>
      </c>
      <c r="C3302">
        <v>1101</v>
      </c>
      <c r="D3302" s="55" t="s">
        <v>999</v>
      </c>
      <c r="E3302" s="55" t="s">
        <v>15</v>
      </c>
      <c r="G3302" s="62">
        <v>23</v>
      </c>
      <c r="H3302">
        <v>4.6100000000000003</v>
      </c>
      <c r="I3302">
        <v>2653</v>
      </c>
      <c r="J3302">
        <v>0</v>
      </c>
      <c r="K3302">
        <v>4</v>
      </c>
      <c r="L3302">
        <v>4</v>
      </c>
      <c r="M3302">
        <v>0</v>
      </c>
      <c r="N3302" s="23">
        <v>0</v>
      </c>
      <c r="O3302">
        <f t="shared" si="787"/>
        <v>-1</v>
      </c>
      <c r="P3302" s="57">
        <f t="shared" si="788"/>
        <v>1</v>
      </c>
      <c r="Q3302" s="267">
        <f t="shared" si="789"/>
        <v>23</v>
      </c>
      <c r="R3302" s="23">
        <f t="shared" si="790"/>
        <v>1</v>
      </c>
      <c r="S3302" s="23">
        <f t="shared" si="791"/>
        <v>0</v>
      </c>
      <c r="T3302" s="23" t="str">
        <f t="shared" si="792"/>
        <v/>
      </c>
      <c r="U3302" t="str">
        <f t="shared" si="793"/>
        <v/>
      </c>
      <c r="AF3302" s="88"/>
      <c r="AU3302" s="1"/>
    </row>
    <row r="3303" spans="1:47">
      <c r="A3303" t="str">
        <f t="shared" si="786"/>
        <v>PA_Alleg_2019g~Gen-member of council castle shannon (vote for 3)</v>
      </c>
      <c r="B3303" s="55" t="s">
        <v>1528</v>
      </c>
      <c r="C3303">
        <v>769</v>
      </c>
      <c r="D3303" s="55" t="s">
        <v>724</v>
      </c>
      <c r="E3303" s="55" t="s">
        <v>725</v>
      </c>
      <c r="F3303" t="s">
        <v>1294</v>
      </c>
      <c r="G3303" s="62">
        <v>1112</v>
      </c>
      <c r="H3303">
        <v>29.68</v>
      </c>
      <c r="I3303">
        <v>6132</v>
      </c>
      <c r="J3303">
        <v>0</v>
      </c>
      <c r="K3303">
        <v>8</v>
      </c>
      <c r="L3303">
        <v>8</v>
      </c>
      <c r="M3303">
        <v>0</v>
      </c>
      <c r="N3303" s="23">
        <v>0</v>
      </c>
      <c r="O3303">
        <f t="shared" si="787"/>
        <v>1</v>
      </c>
      <c r="P3303" s="57">
        <f t="shared" si="788"/>
        <v>3</v>
      </c>
      <c r="Q3303" s="267">
        <f t="shared" si="789"/>
        <v>1249</v>
      </c>
      <c r="R3303" s="23">
        <f t="shared" si="790"/>
        <v>952</v>
      </c>
      <c r="S3303" s="23">
        <f t="shared" si="791"/>
        <v>580</v>
      </c>
      <c r="T3303" s="23">
        <f t="shared" si="792"/>
        <v>372</v>
      </c>
      <c r="U3303" t="str">
        <f t="shared" si="793"/>
        <v>PA_Alleg_2019g~Gen-member of council castle shannon (vote for 3)</v>
      </c>
      <c r="AF3303" s="88"/>
      <c r="AU3303" s="1"/>
    </row>
    <row r="3304" spans="1:47">
      <c r="A3304" t="str">
        <f t="shared" si="786"/>
        <v>PA_Alleg_2019g~Gen-member of council castle shannon (vote for 3)</v>
      </c>
      <c r="B3304" s="55" t="s">
        <v>1528</v>
      </c>
      <c r="C3304">
        <v>770</v>
      </c>
      <c r="D3304" s="55" t="s">
        <v>724</v>
      </c>
      <c r="E3304" s="55" t="s">
        <v>727</v>
      </c>
      <c r="F3304" t="s">
        <v>1294</v>
      </c>
      <c r="G3304" s="62">
        <v>1065</v>
      </c>
      <c r="H3304">
        <v>28.42</v>
      </c>
      <c r="I3304">
        <v>6132</v>
      </c>
      <c r="J3304">
        <v>0</v>
      </c>
      <c r="K3304">
        <v>8</v>
      </c>
      <c r="L3304">
        <v>8</v>
      </c>
      <c r="M3304">
        <v>0</v>
      </c>
      <c r="N3304" s="23">
        <v>0</v>
      </c>
      <c r="O3304">
        <f t="shared" si="787"/>
        <v>2</v>
      </c>
      <c r="P3304" s="57">
        <f t="shared" si="788"/>
        <v>3</v>
      </c>
      <c r="Q3304" s="267">
        <f t="shared" si="789"/>
        <v>2635</v>
      </c>
      <c r="R3304" s="23">
        <f t="shared" si="790"/>
        <v>952</v>
      </c>
      <c r="S3304" s="23">
        <f t="shared" si="791"/>
        <v>580</v>
      </c>
      <c r="T3304" s="23" t="str">
        <f t="shared" si="792"/>
        <v/>
      </c>
      <c r="U3304" t="str">
        <f t="shared" si="793"/>
        <v/>
      </c>
      <c r="AF3304" s="88"/>
      <c r="AU3304" s="1"/>
    </row>
    <row r="3305" spans="1:47">
      <c r="A3305" t="str">
        <f t="shared" si="786"/>
        <v>PA_Alleg_2019g~Gen-member of council castle shannon (vote for 3)</v>
      </c>
      <c r="B3305" s="55" t="s">
        <v>1528</v>
      </c>
      <c r="C3305">
        <v>771</v>
      </c>
      <c r="D3305" s="55" t="s">
        <v>724</v>
      </c>
      <c r="E3305" s="55" t="s">
        <v>726</v>
      </c>
      <c r="F3305" t="s">
        <v>1294</v>
      </c>
      <c r="G3305" s="62">
        <v>952</v>
      </c>
      <c r="H3305">
        <v>25.41</v>
      </c>
      <c r="I3305">
        <v>6132</v>
      </c>
      <c r="J3305">
        <v>0</v>
      </c>
      <c r="K3305">
        <v>8</v>
      </c>
      <c r="L3305">
        <v>8</v>
      </c>
      <c r="M3305">
        <v>0</v>
      </c>
      <c r="N3305" s="23">
        <v>0</v>
      </c>
      <c r="O3305">
        <f t="shared" si="787"/>
        <v>3</v>
      </c>
      <c r="P3305" s="57">
        <f t="shared" si="788"/>
        <v>3</v>
      </c>
      <c r="Q3305" s="267">
        <f t="shared" si="789"/>
        <v>1570</v>
      </c>
      <c r="R3305" s="23">
        <f t="shared" si="790"/>
        <v>952</v>
      </c>
      <c r="S3305" s="23">
        <f t="shared" si="791"/>
        <v>580</v>
      </c>
      <c r="T3305" s="23" t="str">
        <f t="shared" si="792"/>
        <v/>
      </c>
      <c r="U3305" t="str">
        <f t="shared" si="793"/>
        <v/>
      </c>
      <c r="AF3305" s="88"/>
      <c r="AU3305" s="1"/>
    </row>
    <row r="3306" spans="1:47">
      <c r="A3306" t="str">
        <f t="shared" si="786"/>
        <v>PA_Alleg_2019g~Gen-member of council castle shannon (vote for 3)</v>
      </c>
      <c r="B3306" s="55" t="s">
        <v>1528</v>
      </c>
      <c r="C3306">
        <v>772</v>
      </c>
      <c r="D3306" s="55" t="s">
        <v>724</v>
      </c>
      <c r="E3306" s="55" t="s">
        <v>1465</v>
      </c>
      <c r="F3306" t="s">
        <v>1399</v>
      </c>
      <c r="G3306" s="62">
        <v>580</v>
      </c>
      <c r="H3306">
        <v>15.48</v>
      </c>
      <c r="I3306">
        <v>6132</v>
      </c>
      <c r="J3306">
        <v>0</v>
      </c>
      <c r="K3306">
        <v>8</v>
      </c>
      <c r="L3306">
        <v>8</v>
      </c>
      <c r="M3306">
        <v>0</v>
      </c>
      <c r="N3306" s="23">
        <v>0</v>
      </c>
      <c r="O3306">
        <f t="shared" si="787"/>
        <v>4</v>
      </c>
      <c r="P3306" s="57">
        <f t="shared" si="788"/>
        <v>3</v>
      </c>
      <c r="Q3306" s="267">
        <f t="shared" si="789"/>
        <v>618</v>
      </c>
      <c r="R3306" s="23" t="str">
        <f t="shared" si="790"/>
        <v/>
      </c>
      <c r="S3306" s="23">
        <f t="shared" si="791"/>
        <v>580</v>
      </c>
      <c r="T3306" s="23" t="str">
        <f t="shared" si="792"/>
        <v/>
      </c>
      <c r="U3306" t="str">
        <f t="shared" si="793"/>
        <v/>
      </c>
      <c r="AF3306" s="88"/>
      <c r="AU3306" s="1"/>
    </row>
    <row r="3307" spans="1:47">
      <c r="A3307" t="str">
        <f t="shared" si="786"/>
        <v>PA_Alleg_2019g~Gen-member of council castle shannon (vote for 3)</v>
      </c>
      <c r="B3307" s="55" t="s">
        <v>1528</v>
      </c>
      <c r="C3307">
        <v>773</v>
      </c>
      <c r="D3307" s="55" t="s">
        <v>724</v>
      </c>
      <c r="E3307" s="55" t="s">
        <v>15</v>
      </c>
      <c r="G3307" s="62">
        <v>38</v>
      </c>
      <c r="H3307">
        <v>1.01</v>
      </c>
      <c r="I3307">
        <v>6132</v>
      </c>
      <c r="J3307">
        <v>0</v>
      </c>
      <c r="K3307">
        <v>8</v>
      </c>
      <c r="L3307">
        <v>8</v>
      </c>
      <c r="M3307">
        <v>0</v>
      </c>
      <c r="N3307" s="23">
        <v>0</v>
      </c>
      <c r="O3307">
        <f t="shared" si="787"/>
        <v>-4</v>
      </c>
      <c r="P3307" s="57">
        <f t="shared" si="788"/>
        <v>3</v>
      </c>
      <c r="Q3307" s="267">
        <f t="shared" si="789"/>
        <v>38</v>
      </c>
      <c r="R3307" s="23">
        <f t="shared" si="790"/>
        <v>1</v>
      </c>
      <c r="S3307" s="23">
        <f t="shared" si="791"/>
        <v>0</v>
      </c>
      <c r="T3307" s="23" t="str">
        <f t="shared" si="792"/>
        <v/>
      </c>
      <c r="U3307" t="str">
        <f t="shared" si="793"/>
        <v/>
      </c>
      <c r="AF3307" s="88"/>
      <c r="AU3307" s="1"/>
    </row>
    <row r="3308" spans="1:47">
      <c r="A3308" t="str">
        <f t="shared" si="786"/>
        <v>PA_Alleg_2019g~Gen-member of council chalfant (vote for 1)</v>
      </c>
      <c r="B3308" s="55" t="s">
        <v>1528</v>
      </c>
      <c r="C3308">
        <v>1006</v>
      </c>
      <c r="D3308" s="55" t="s">
        <v>913</v>
      </c>
      <c r="E3308" s="55" t="s">
        <v>914</v>
      </c>
      <c r="F3308" t="s">
        <v>1294</v>
      </c>
      <c r="G3308" s="62">
        <v>131</v>
      </c>
      <c r="H3308">
        <v>98.5</v>
      </c>
      <c r="I3308">
        <v>596</v>
      </c>
      <c r="J3308">
        <v>0</v>
      </c>
      <c r="K3308">
        <v>1</v>
      </c>
      <c r="L3308">
        <v>1</v>
      </c>
      <c r="M3308">
        <v>0</v>
      </c>
      <c r="N3308" s="23">
        <v>0</v>
      </c>
      <c r="O3308">
        <f t="shared" si="787"/>
        <v>1</v>
      </c>
      <c r="P3308" s="57">
        <f t="shared" si="788"/>
        <v>1</v>
      </c>
      <c r="Q3308" s="267">
        <f t="shared" si="789"/>
        <v>133</v>
      </c>
      <c r="R3308" s="23">
        <f t="shared" si="790"/>
        <v>131</v>
      </c>
      <c r="S3308" s="23">
        <f t="shared" si="791"/>
        <v>0</v>
      </c>
      <c r="T3308" s="23" t="str">
        <f t="shared" si="792"/>
        <v/>
      </c>
      <c r="U3308" t="str">
        <f t="shared" si="793"/>
        <v>PA_Alleg_2019g~Gen-member of council chalfant (vote for 1)</v>
      </c>
      <c r="AF3308" s="88"/>
      <c r="AU3308" s="1"/>
    </row>
    <row r="3309" spans="1:47">
      <c r="A3309" t="str">
        <f t="shared" si="786"/>
        <v>PA_Alleg_2019g~Gen-member of council chalfant (vote for 1)</v>
      </c>
      <c r="B3309" s="55" t="s">
        <v>1528</v>
      </c>
      <c r="C3309">
        <v>1007</v>
      </c>
      <c r="D3309" s="55" t="s">
        <v>913</v>
      </c>
      <c r="E3309" s="55" t="s">
        <v>15</v>
      </c>
      <c r="G3309" s="62">
        <v>2</v>
      </c>
      <c r="H3309">
        <v>1.5</v>
      </c>
      <c r="I3309">
        <v>596</v>
      </c>
      <c r="J3309">
        <v>0</v>
      </c>
      <c r="K3309">
        <v>1</v>
      </c>
      <c r="L3309">
        <v>1</v>
      </c>
      <c r="M3309">
        <v>0</v>
      </c>
      <c r="N3309" s="23">
        <v>0</v>
      </c>
      <c r="O3309">
        <f t="shared" si="787"/>
        <v>-1</v>
      </c>
      <c r="P3309" s="57">
        <f t="shared" si="788"/>
        <v>1</v>
      </c>
      <c r="Q3309" s="267">
        <f t="shared" si="789"/>
        <v>2</v>
      </c>
      <c r="R3309" s="23">
        <f t="shared" si="790"/>
        <v>1</v>
      </c>
      <c r="S3309" s="23">
        <f t="shared" si="791"/>
        <v>0</v>
      </c>
      <c r="T3309" s="23" t="str">
        <f t="shared" si="792"/>
        <v/>
      </c>
      <c r="U3309" t="str">
        <f t="shared" si="793"/>
        <v/>
      </c>
      <c r="AF3309" s="88"/>
      <c r="AU3309" s="1"/>
    </row>
    <row r="3310" spans="1:47">
      <c r="A3310" t="str">
        <f t="shared" si="786"/>
        <v>PA_Alleg_2019g~Gen-member of council chalfant (vote for 3)</v>
      </c>
      <c r="B3310" s="55" t="s">
        <v>1528</v>
      </c>
      <c r="C3310">
        <v>774</v>
      </c>
      <c r="D3310" s="55" t="s">
        <v>728</v>
      </c>
      <c r="E3310" s="55" t="s">
        <v>729</v>
      </c>
      <c r="F3310" t="s">
        <v>1294</v>
      </c>
      <c r="G3310" s="62">
        <v>128</v>
      </c>
      <c r="H3310">
        <v>36.68</v>
      </c>
      <c r="I3310">
        <v>596</v>
      </c>
      <c r="J3310">
        <v>0</v>
      </c>
      <c r="K3310">
        <v>1</v>
      </c>
      <c r="L3310">
        <v>1</v>
      </c>
      <c r="M3310">
        <v>0</v>
      </c>
      <c r="N3310" s="23">
        <v>0</v>
      </c>
      <c r="O3310">
        <f t="shared" si="787"/>
        <v>1</v>
      </c>
      <c r="P3310" s="57">
        <f t="shared" si="788"/>
        <v>3</v>
      </c>
      <c r="Q3310" s="267">
        <f t="shared" si="789"/>
        <v>128</v>
      </c>
      <c r="R3310" s="23">
        <f t="shared" si="790"/>
        <v>99</v>
      </c>
      <c r="S3310" s="23">
        <f t="shared" si="791"/>
        <v>0</v>
      </c>
      <c r="T3310" s="23" t="str">
        <f t="shared" si="792"/>
        <v/>
      </c>
      <c r="U3310" t="str">
        <f t="shared" si="793"/>
        <v>PA_Alleg_2019g~Gen-member of council chalfant (vote for 3)</v>
      </c>
      <c r="AF3310" s="88"/>
      <c r="AU3310" s="1"/>
    </row>
    <row r="3311" spans="1:47">
      <c r="A3311" t="str">
        <f t="shared" si="786"/>
        <v>PA_Alleg_2019g~Gen-member of council chalfant (vote for 3)</v>
      </c>
      <c r="B3311" s="55" t="s">
        <v>1528</v>
      </c>
      <c r="C3311">
        <v>775</v>
      </c>
      <c r="D3311" s="55" t="s">
        <v>728</v>
      </c>
      <c r="E3311" s="55" t="s">
        <v>730</v>
      </c>
      <c r="F3311" t="s">
        <v>1294</v>
      </c>
      <c r="G3311" s="62">
        <v>119</v>
      </c>
      <c r="H3311">
        <v>34.1</v>
      </c>
      <c r="I3311">
        <v>596</v>
      </c>
      <c r="J3311">
        <v>0</v>
      </c>
      <c r="K3311">
        <v>1</v>
      </c>
      <c r="L3311">
        <v>1</v>
      </c>
      <c r="M3311">
        <v>0</v>
      </c>
      <c r="N3311" s="23">
        <v>0</v>
      </c>
      <c r="O3311">
        <f t="shared" si="787"/>
        <v>2</v>
      </c>
      <c r="P3311" s="57">
        <f t="shared" si="788"/>
        <v>3</v>
      </c>
      <c r="Q3311" s="267">
        <f t="shared" si="789"/>
        <v>221</v>
      </c>
      <c r="R3311" s="23">
        <f t="shared" si="790"/>
        <v>99</v>
      </c>
      <c r="S3311" s="23">
        <f t="shared" si="791"/>
        <v>0</v>
      </c>
      <c r="T3311" s="23" t="str">
        <f t="shared" si="792"/>
        <v/>
      </c>
      <c r="U3311" t="str">
        <f t="shared" si="793"/>
        <v/>
      </c>
      <c r="AF3311" s="88"/>
      <c r="AU3311" s="1"/>
    </row>
    <row r="3312" spans="1:47">
      <c r="A3312" t="str">
        <f t="shared" si="786"/>
        <v>PA_Alleg_2019g~Gen-member of council chalfant (vote for 3)</v>
      </c>
      <c r="B3312" s="55" t="s">
        <v>1528</v>
      </c>
      <c r="C3312">
        <v>776</v>
      </c>
      <c r="D3312" s="55" t="s">
        <v>728</v>
      </c>
      <c r="E3312" s="55" t="s">
        <v>731</v>
      </c>
      <c r="F3312" t="s">
        <v>1294</v>
      </c>
      <c r="G3312" s="62">
        <v>99</v>
      </c>
      <c r="H3312">
        <v>28.37</v>
      </c>
      <c r="I3312">
        <v>596</v>
      </c>
      <c r="J3312">
        <v>0</v>
      </c>
      <c r="K3312">
        <v>1</v>
      </c>
      <c r="L3312">
        <v>1</v>
      </c>
      <c r="M3312">
        <v>0</v>
      </c>
      <c r="N3312" s="23">
        <v>0</v>
      </c>
      <c r="O3312">
        <f t="shared" si="787"/>
        <v>3</v>
      </c>
      <c r="P3312" s="57">
        <f t="shared" si="788"/>
        <v>3</v>
      </c>
      <c r="Q3312" s="267">
        <f t="shared" si="789"/>
        <v>102</v>
      </c>
      <c r="R3312" s="23">
        <f t="shared" si="790"/>
        <v>99</v>
      </c>
      <c r="S3312" s="23">
        <f t="shared" si="791"/>
        <v>0</v>
      </c>
      <c r="T3312" s="23" t="str">
        <f t="shared" si="792"/>
        <v/>
      </c>
      <c r="U3312" t="str">
        <f t="shared" si="793"/>
        <v/>
      </c>
      <c r="AF3312" s="88"/>
      <c r="AU3312" s="1"/>
    </row>
    <row r="3313" spans="1:47">
      <c r="A3313" t="str">
        <f t="shared" si="786"/>
        <v>PA_Alleg_2019g~Gen-member of council chalfant (vote for 3)</v>
      </c>
      <c r="B3313" s="55" t="s">
        <v>1528</v>
      </c>
      <c r="C3313">
        <v>777</v>
      </c>
      <c r="D3313" s="55" t="s">
        <v>728</v>
      </c>
      <c r="E3313" s="55" t="s">
        <v>15</v>
      </c>
      <c r="G3313" s="62">
        <v>3</v>
      </c>
      <c r="H3313">
        <v>0.86</v>
      </c>
      <c r="I3313">
        <v>596</v>
      </c>
      <c r="J3313">
        <v>0</v>
      </c>
      <c r="K3313">
        <v>1</v>
      </c>
      <c r="L3313">
        <v>1</v>
      </c>
      <c r="M3313">
        <v>0</v>
      </c>
      <c r="N3313" s="23">
        <v>0</v>
      </c>
      <c r="O3313">
        <f t="shared" si="787"/>
        <v>-3</v>
      </c>
      <c r="P3313" s="57">
        <f t="shared" si="788"/>
        <v>3</v>
      </c>
      <c r="Q3313" s="267">
        <f t="shared" si="789"/>
        <v>3</v>
      </c>
      <c r="R3313" s="23">
        <f t="shared" si="790"/>
        <v>1</v>
      </c>
      <c r="S3313" s="23">
        <f t="shared" si="791"/>
        <v>0</v>
      </c>
      <c r="T3313" s="23" t="str">
        <f t="shared" si="792"/>
        <v/>
      </c>
      <c r="U3313" t="str">
        <f t="shared" si="793"/>
        <v/>
      </c>
      <c r="AF3313" s="88"/>
      <c r="AU3313" s="1"/>
    </row>
    <row r="3314" spans="1:47">
      <c r="A3314" t="str">
        <f t="shared" si="786"/>
        <v>PA_Alleg_2019g~Gen-member of council cheswick (vote for 1)</v>
      </c>
      <c r="B3314" s="55" t="s">
        <v>1528</v>
      </c>
      <c r="C3314">
        <v>1008</v>
      </c>
      <c r="D3314" s="55" t="s">
        <v>915</v>
      </c>
      <c r="E3314" s="55" t="s">
        <v>1188</v>
      </c>
      <c r="F3314" t="s">
        <v>1396</v>
      </c>
      <c r="G3314" s="62">
        <v>305</v>
      </c>
      <c r="H3314">
        <v>92.15</v>
      </c>
      <c r="I3314">
        <v>1299</v>
      </c>
      <c r="J3314">
        <v>0</v>
      </c>
      <c r="K3314">
        <v>2</v>
      </c>
      <c r="L3314">
        <v>2</v>
      </c>
      <c r="M3314">
        <v>0</v>
      </c>
      <c r="N3314" s="23">
        <v>0</v>
      </c>
      <c r="O3314">
        <f t="shared" si="787"/>
        <v>1</v>
      </c>
      <c r="P3314" s="57">
        <f t="shared" si="788"/>
        <v>1</v>
      </c>
      <c r="Q3314" s="267">
        <f t="shared" si="789"/>
        <v>331</v>
      </c>
      <c r="R3314" s="23">
        <f t="shared" si="790"/>
        <v>305</v>
      </c>
      <c r="S3314" s="23">
        <f t="shared" si="791"/>
        <v>0</v>
      </c>
      <c r="T3314" s="23" t="str">
        <f t="shared" si="792"/>
        <v/>
      </c>
      <c r="U3314" t="str">
        <f t="shared" si="793"/>
        <v>PA_Alleg_2019g~Gen-member of council cheswick (vote for 1)</v>
      </c>
      <c r="AF3314" s="88"/>
      <c r="AU3314" s="1"/>
    </row>
    <row r="3315" spans="1:47">
      <c r="A3315" t="str">
        <f t="shared" si="786"/>
        <v>PA_Alleg_2019g~Gen-member of council cheswick (vote for 1)</v>
      </c>
      <c r="B3315" s="55" t="s">
        <v>1528</v>
      </c>
      <c r="C3315">
        <v>1009</v>
      </c>
      <c r="D3315" s="55" t="s">
        <v>915</v>
      </c>
      <c r="E3315" s="55" t="s">
        <v>15</v>
      </c>
      <c r="G3315" s="62">
        <v>26</v>
      </c>
      <c r="H3315">
        <v>7.85</v>
      </c>
      <c r="I3315">
        <v>1299</v>
      </c>
      <c r="J3315">
        <v>0</v>
      </c>
      <c r="K3315">
        <v>2</v>
      </c>
      <c r="L3315">
        <v>2</v>
      </c>
      <c r="M3315">
        <v>0</v>
      </c>
      <c r="N3315" s="23">
        <v>0</v>
      </c>
      <c r="O3315">
        <f t="shared" si="787"/>
        <v>-1</v>
      </c>
      <c r="P3315" s="57">
        <f t="shared" si="788"/>
        <v>1</v>
      </c>
      <c r="Q3315" s="267">
        <f t="shared" si="789"/>
        <v>26</v>
      </c>
      <c r="R3315" s="23">
        <f t="shared" si="790"/>
        <v>1</v>
      </c>
      <c r="S3315" s="23">
        <f t="shared" si="791"/>
        <v>0</v>
      </c>
      <c r="T3315" s="23" t="str">
        <f t="shared" si="792"/>
        <v/>
      </c>
      <c r="U3315" t="str">
        <f t="shared" si="793"/>
        <v/>
      </c>
      <c r="AF3315" s="88"/>
      <c r="AU3315" s="1"/>
    </row>
    <row r="3316" spans="1:47">
      <c r="A3316" t="str">
        <f t="shared" si="786"/>
        <v>PA_Alleg_2019g~Gen-member of council cheswick (vote for 3)</v>
      </c>
      <c r="B3316" s="55" t="s">
        <v>1528</v>
      </c>
      <c r="C3316">
        <v>778</v>
      </c>
      <c r="D3316" s="55" t="s">
        <v>732</v>
      </c>
      <c r="E3316" s="55" t="s">
        <v>1188</v>
      </c>
      <c r="F3316" t="s">
        <v>1396</v>
      </c>
      <c r="G3316" s="62">
        <v>280</v>
      </c>
      <c r="H3316">
        <v>41.85</v>
      </c>
      <c r="I3316">
        <v>1299</v>
      </c>
      <c r="J3316">
        <v>0</v>
      </c>
      <c r="K3316">
        <v>2</v>
      </c>
      <c r="L3316">
        <v>2</v>
      </c>
      <c r="M3316">
        <v>0</v>
      </c>
      <c r="N3316" s="23">
        <v>0</v>
      </c>
      <c r="O3316">
        <f t="shared" si="787"/>
        <v>1</v>
      </c>
      <c r="P3316" s="57">
        <f t="shared" si="788"/>
        <v>3</v>
      </c>
      <c r="Q3316" s="267">
        <f t="shared" si="789"/>
        <v>280</v>
      </c>
      <c r="R3316" s="23">
        <f t="shared" si="790"/>
        <v>1</v>
      </c>
      <c r="S3316" s="23">
        <f t="shared" si="791"/>
        <v>0</v>
      </c>
      <c r="T3316" s="23" t="str">
        <f t="shared" si="792"/>
        <v/>
      </c>
      <c r="U3316" t="str">
        <f t="shared" si="793"/>
        <v>PA_Alleg_2019g~Gen-member of council cheswick (vote for 3)</v>
      </c>
      <c r="AF3316" s="88"/>
      <c r="AU3316" s="1"/>
    </row>
    <row r="3317" spans="1:47">
      <c r="A3317" t="str">
        <f t="shared" si="786"/>
        <v>PA_Alleg_2019g~Gen-member of council cheswick (vote for 3)</v>
      </c>
      <c r="B3317" s="55" t="s">
        <v>1528</v>
      </c>
      <c r="C3317">
        <v>779</v>
      </c>
      <c r="D3317" s="55" t="s">
        <v>732</v>
      </c>
      <c r="E3317" s="55" t="s">
        <v>1187</v>
      </c>
      <c r="F3317" t="s">
        <v>1296</v>
      </c>
      <c r="G3317" s="62">
        <v>250</v>
      </c>
      <c r="H3317">
        <v>37.369999999999997</v>
      </c>
      <c r="I3317">
        <v>1299</v>
      </c>
      <c r="J3317">
        <v>0</v>
      </c>
      <c r="K3317">
        <v>2</v>
      </c>
      <c r="L3317">
        <v>2</v>
      </c>
      <c r="M3317">
        <v>0</v>
      </c>
      <c r="N3317" s="23">
        <v>0</v>
      </c>
      <c r="O3317">
        <f t="shared" si="787"/>
        <v>2</v>
      </c>
      <c r="P3317" s="57">
        <f t="shared" si="788"/>
        <v>3</v>
      </c>
      <c r="Q3317" s="267">
        <f t="shared" si="789"/>
        <v>389</v>
      </c>
      <c r="R3317" s="23">
        <f t="shared" si="790"/>
        <v>1</v>
      </c>
      <c r="S3317" s="23">
        <f t="shared" si="791"/>
        <v>0</v>
      </c>
      <c r="T3317" s="23" t="str">
        <f t="shared" si="792"/>
        <v/>
      </c>
      <c r="U3317" t="str">
        <f t="shared" si="793"/>
        <v/>
      </c>
      <c r="AF3317" s="88"/>
      <c r="AU3317" s="1"/>
    </row>
    <row r="3318" spans="1:47">
      <c r="A3318" t="str">
        <f t="shared" si="786"/>
        <v>PA_Alleg_2019g~Gen-member of council cheswick (vote for 3)</v>
      </c>
      <c r="B3318" s="55" t="s">
        <v>1528</v>
      </c>
      <c r="C3318">
        <v>780</v>
      </c>
      <c r="D3318" s="55" t="s">
        <v>732</v>
      </c>
      <c r="E3318" s="55" t="s">
        <v>15</v>
      </c>
      <c r="G3318" s="62">
        <v>139</v>
      </c>
      <c r="H3318">
        <v>20.78</v>
      </c>
      <c r="I3318">
        <v>1299</v>
      </c>
      <c r="J3318">
        <v>0</v>
      </c>
      <c r="K3318">
        <v>2</v>
      </c>
      <c r="L3318">
        <v>2</v>
      </c>
      <c r="M3318">
        <v>0</v>
      </c>
      <c r="N3318" s="23">
        <v>0</v>
      </c>
      <c r="O3318">
        <f t="shared" si="787"/>
        <v>-2</v>
      </c>
      <c r="P3318" s="57">
        <f t="shared" si="788"/>
        <v>3</v>
      </c>
      <c r="Q3318" s="267">
        <f t="shared" si="789"/>
        <v>139</v>
      </c>
      <c r="R3318" s="23">
        <f t="shared" si="790"/>
        <v>1</v>
      </c>
      <c r="S3318" s="23">
        <f t="shared" si="791"/>
        <v>0</v>
      </c>
      <c r="T3318" s="23" t="str">
        <f t="shared" si="792"/>
        <v/>
      </c>
      <c r="U3318" t="str">
        <f t="shared" si="793"/>
        <v/>
      </c>
      <c r="AF3318" s="88"/>
      <c r="AU3318" s="1"/>
    </row>
    <row r="3319" spans="1:47">
      <c r="A3319" t="str">
        <f t="shared" si="786"/>
        <v>PA_Alleg_2019g~Gen-member of council churchill (vote for 3)</v>
      </c>
      <c r="B3319" s="55" t="s">
        <v>1528</v>
      </c>
      <c r="C3319">
        <v>781</v>
      </c>
      <c r="D3319" s="55" t="s">
        <v>733</v>
      </c>
      <c r="E3319" s="55" t="s">
        <v>735</v>
      </c>
      <c r="F3319" t="s">
        <v>1294</v>
      </c>
      <c r="G3319" s="62">
        <v>772</v>
      </c>
      <c r="H3319">
        <v>33.450000000000003</v>
      </c>
      <c r="I3319">
        <v>2790</v>
      </c>
      <c r="J3319">
        <v>0</v>
      </c>
      <c r="K3319">
        <v>4</v>
      </c>
      <c r="L3319">
        <v>4</v>
      </c>
      <c r="M3319">
        <v>0</v>
      </c>
      <c r="N3319" s="23">
        <v>0</v>
      </c>
      <c r="O3319">
        <f t="shared" si="787"/>
        <v>1</v>
      </c>
      <c r="P3319" s="57">
        <f t="shared" si="788"/>
        <v>3</v>
      </c>
      <c r="Q3319" s="267">
        <f t="shared" si="789"/>
        <v>772</v>
      </c>
      <c r="R3319" s="23">
        <f t="shared" si="790"/>
        <v>742</v>
      </c>
      <c r="S3319" s="23">
        <f t="shared" si="791"/>
        <v>0</v>
      </c>
      <c r="T3319" s="23" t="str">
        <f t="shared" si="792"/>
        <v/>
      </c>
      <c r="U3319" t="str">
        <f t="shared" si="793"/>
        <v>PA_Alleg_2019g~Gen-member of council churchill (vote for 3)</v>
      </c>
      <c r="AF3319" s="88"/>
      <c r="AG3319" s="23"/>
      <c r="AH3319" s="8"/>
      <c r="AL3319" s="344"/>
      <c r="AU3319" s="1"/>
    </row>
    <row r="3320" spans="1:47">
      <c r="A3320" t="str">
        <f t="shared" ref="A3320:A3383" si="794">CONCATENATE(B3320,"~Gen-",LOWER(D3320))</f>
        <v>PA_Alleg_2019g~Gen-member of council churchill (vote for 3)</v>
      </c>
      <c r="B3320" s="55" t="s">
        <v>1528</v>
      </c>
      <c r="C3320">
        <v>782</v>
      </c>
      <c r="D3320" s="55" t="s">
        <v>733</v>
      </c>
      <c r="E3320" s="55" t="s">
        <v>734</v>
      </c>
      <c r="F3320" t="s">
        <v>1294</v>
      </c>
      <c r="G3320" s="62">
        <v>760</v>
      </c>
      <c r="H3320">
        <v>32.93</v>
      </c>
      <c r="I3320">
        <v>2790</v>
      </c>
      <c r="J3320">
        <v>0</v>
      </c>
      <c r="K3320">
        <v>4</v>
      </c>
      <c r="L3320">
        <v>4</v>
      </c>
      <c r="M3320">
        <v>0</v>
      </c>
      <c r="N3320" s="23">
        <v>0</v>
      </c>
      <c r="O3320">
        <f t="shared" si="787"/>
        <v>2</v>
      </c>
      <c r="P3320" s="57">
        <f t="shared" si="788"/>
        <v>3</v>
      </c>
      <c r="Q3320" s="267">
        <f t="shared" si="789"/>
        <v>1536</v>
      </c>
      <c r="R3320" s="23">
        <f t="shared" si="790"/>
        <v>742</v>
      </c>
      <c r="S3320" s="23">
        <f t="shared" si="791"/>
        <v>0</v>
      </c>
      <c r="T3320" s="23" t="str">
        <f t="shared" si="792"/>
        <v/>
      </c>
      <c r="U3320" t="str">
        <f t="shared" si="793"/>
        <v/>
      </c>
      <c r="AF3320" s="88"/>
      <c r="AG3320" s="23"/>
      <c r="AH3320" s="8"/>
      <c r="AL3320" s="344"/>
      <c r="AU3320" s="1"/>
    </row>
    <row r="3321" spans="1:47">
      <c r="A3321" t="str">
        <f t="shared" si="794"/>
        <v>PA_Alleg_2019g~Gen-member of council churchill (vote for 3)</v>
      </c>
      <c r="B3321" s="55" t="s">
        <v>1528</v>
      </c>
      <c r="C3321">
        <v>783</v>
      </c>
      <c r="D3321" s="55" t="s">
        <v>733</v>
      </c>
      <c r="E3321" s="55" t="s">
        <v>736</v>
      </c>
      <c r="F3321" t="s">
        <v>1294</v>
      </c>
      <c r="G3321" s="62">
        <v>742</v>
      </c>
      <c r="H3321">
        <v>32.15</v>
      </c>
      <c r="I3321">
        <v>2790</v>
      </c>
      <c r="J3321">
        <v>0</v>
      </c>
      <c r="K3321">
        <v>4</v>
      </c>
      <c r="L3321">
        <v>4</v>
      </c>
      <c r="M3321">
        <v>0</v>
      </c>
      <c r="N3321" s="23">
        <v>0</v>
      </c>
      <c r="O3321">
        <f t="shared" si="787"/>
        <v>3</v>
      </c>
      <c r="P3321" s="57">
        <f t="shared" si="788"/>
        <v>3</v>
      </c>
      <c r="Q3321" s="267">
        <f t="shared" si="789"/>
        <v>776</v>
      </c>
      <c r="R3321" s="23">
        <f t="shared" si="790"/>
        <v>742</v>
      </c>
      <c r="S3321" s="23">
        <f t="shared" si="791"/>
        <v>0</v>
      </c>
      <c r="T3321" s="23" t="str">
        <f t="shared" si="792"/>
        <v/>
      </c>
      <c r="U3321" t="str">
        <f t="shared" si="793"/>
        <v/>
      </c>
      <c r="AF3321" s="88"/>
      <c r="AG3321" s="23"/>
      <c r="AH3321" s="8"/>
      <c r="AL3321" s="344"/>
      <c r="AU3321" s="1"/>
    </row>
    <row r="3322" spans="1:47">
      <c r="A3322" t="str">
        <f t="shared" si="794"/>
        <v>PA_Alleg_2019g~Gen-member of council churchill (vote for 3)</v>
      </c>
      <c r="B3322" s="55" t="s">
        <v>1528</v>
      </c>
      <c r="C3322">
        <v>784</v>
      </c>
      <c r="D3322" s="55" t="s">
        <v>733</v>
      </c>
      <c r="E3322" s="55" t="s">
        <v>15</v>
      </c>
      <c r="G3322" s="62">
        <v>34</v>
      </c>
      <c r="H3322">
        <v>1.47</v>
      </c>
      <c r="I3322">
        <v>2790</v>
      </c>
      <c r="J3322">
        <v>0</v>
      </c>
      <c r="K3322">
        <v>4</v>
      </c>
      <c r="L3322">
        <v>4</v>
      </c>
      <c r="M3322">
        <v>0</v>
      </c>
      <c r="N3322" s="23">
        <v>0</v>
      </c>
      <c r="O3322">
        <f t="shared" si="787"/>
        <v>-3</v>
      </c>
      <c r="P3322" s="57">
        <f t="shared" si="788"/>
        <v>3</v>
      </c>
      <c r="Q3322" s="267">
        <f t="shared" si="789"/>
        <v>34</v>
      </c>
      <c r="R3322" s="23">
        <f t="shared" si="790"/>
        <v>1</v>
      </c>
      <c r="S3322" s="23">
        <f t="shared" si="791"/>
        <v>0</v>
      </c>
      <c r="T3322" s="23" t="str">
        <f t="shared" si="792"/>
        <v/>
      </c>
      <c r="U3322" t="str">
        <f t="shared" si="793"/>
        <v/>
      </c>
      <c r="AF3322" s="88"/>
      <c r="AG3322" s="23"/>
      <c r="AH3322" s="8"/>
      <c r="AL3322" s="344"/>
      <c r="AU3322" s="1"/>
    </row>
    <row r="3323" spans="1:47">
      <c r="A3323" t="str">
        <f t="shared" si="794"/>
        <v>PA_Alleg_2019g~Gen-member of council clairton ward 1 (vote for 1)</v>
      </c>
      <c r="B3323" s="55" t="s">
        <v>1528</v>
      </c>
      <c r="C3323">
        <v>1102</v>
      </c>
      <c r="D3323" s="55" t="s">
        <v>1001</v>
      </c>
      <c r="E3323" s="55" t="s">
        <v>1002</v>
      </c>
      <c r="F3323" t="s">
        <v>1294</v>
      </c>
      <c r="G3323" s="62">
        <v>202</v>
      </c>
      <c r="H3323">
        <v>99.02</v>
      </c>
      <c r="I3323">
        <v>1136</v>
      </c>
      <c r="J3323">
        <v>0</v>
      </c>
      <c r="K3323">
        <v>3</v>
      </c>
      <c r="L3323">
        <v>3</v>
      </c>
      <c r="M3323">
        <v>0</v>
      </c>
      <c r="N3323" s="23">
        <v>0</v>
      </c>
      <c r="O3323">
        <f t="shared" si="787"/>
        <v>1</v>
      </c>
      <c r="P3323" s="57">
        <f t="shared" si="788"/>
        <v>1</v>
      </c>
      <c r="Q3323" s="267">
        <f t="shared" si="789"/>
        <v>204</v>
      </c>
      <c r="R3323" s="23">
        <f t="shared" si="790"/>
        <v>202</v>
      </c>
      <c r="S3323" s="23">
        <f t="shared" si="791"/>
        <v>0</v>
      </c>
      <c r="T3323" s="23" t="str">
        <f t="shared" si="792"/>
        <v/>
      </c>
      <c r="U3323" t="str">
        <f t="shared" si="793"/>
        <v>PA_Alleg_2019g~Gen-member of council clairton ward 1 (vote for 1)</v>
      </c>
      <c r="AF3323" s="88"/>
      <c r="AG3323" s="23"/>
      <c r="AH3323" s="8"/>
      <c r="AL3323" s="344"/>
      <c r="AU3323" s="1"/>
    </row>
    <row r="3324" spans="1:47">
      <c r="A3324" t="str">
        <f t="shared" si="794"/>
        <v>PA_Alleg_2019g~Gen-member of council clairton ward 1 (vote for 1)</v>
      </c>
      <c r="B3324" s="55" t="s">
        <v>1528</v>
      </c>
      <c r="C3324">
        <v>1103</v>
      </c>
      <c r="D3324" s="55" t="s">
        <v>1001</v>
      </c>
      <c r="E3324" s="55" t="s">
        <v>15</v>
      </c>
      <c r="G3324" s="62">
        <v>2</v>
      </c>
      <c r="H3324">
        <v>0.98</v>
      </c>
      <c r="I3324">
        <v>1136</v>
      </c>
      <c r="J3324">
        <v>0</v>
      </c>
      <c r="K3324">
        <v>3</v>
      </c>
      <c r="L3324">
        <v>3</v>
      </c>
      <c r="M3324">
        <v>0</v>
      </c>
      <c r="N3324" s="23">
        <v>0</v>
      </c>
      <c r="O3324">
        <f t="shared" si="787"/>
        <v>-1</v>
      </c>
      <c r="P3324" s="57">
        <f t="shared" si="788"/>
        <v>1</v>
      </c>
      <c r="Q3324" s="267">
        <f t="shared" si="789"/>
        <v>2</v>
      </c>
      <c r="R3324" s="23">
        <f t="shared" si="790"/>
        <v>1</v>
      </c>
      <c r="S3324" s="23">
        <f t="shared" si="791"/>
        <v>0</v>
      </c>
      <c r="T3324" s="23" t="str">
        <f t="shared" si="792"/>
        <v/>
      </c>
      <c r="U3324" t="str">
        <f t="shared" si="793"/>
        <v/>
      </c>
      <c r="AF3324" s="88"/>
      <c r="AG3324" s="23"/>
      <c r="AH3324" s="8"/>
      <c r="AL3324" s="344"/>
      <c r="AU3324" s="1"/>
    </row>
    <row r="3325" spans="1:47">
      <c r="A3325" t="str">
        <f t="shared" si="794"/>
        <v>PA_Alleg_2019g~Gen-member of council clairton ward 4 (vote for 1)</v>
      </c>
      <c r="B3325" s="55" t="s">
        <v>1528</v>
      </c>
      <c r="C3325">
        <v>1104</v>
      </c>
      <c r="D3325" s="55" t="s">
        <v>1003</v>
      </c>
      <c r="E3325" s="55" t="s">
        <v>1004</v>
      </c>
      <c r="F3325" t="s">
        <v>1294</v>
      </c>
      <c r="G3325" s="62">
        <v>233</v>
      </c>
      <c r="H3325">
        <v>97.08</v>
      </c>
      <c r="I3325">
        <v>1241</v>
      </c>
      <c r="J3325">
        <v>0</v>
      </c>
      <c r="K3325">
        <v>3</v>
      </c>
      <c r="L3325">
        <v>3</v>
      </c>
      <c r="M3325">
        <v>0</v>
      </c>
      <c r="N3325" s="23">
        <v>0</v>
      </c>
      <c r="O3325">
        <f t="shared" si="787"/>
        <v>1</v>
      </c>
      <c r="P3325" s="57">
        <f t="shared" si="788"/>
        <v>1</v>
      </c>
      <c r="Q3325" s="267">
        <f t="shared" si="789"/>
        <v>240</v>
      </c>
      <c r="R3325" s="23">
        <f t="shared" si="790"/>
        <v>233</v>
      </c>
      <c r="S3325" s="23">
        <f t="shared" si="791"/>
        <v>0</v>
      </c>
      <c r="T3325" s="23" t="str">
        <f t="shared" si="792"/>
        <v/>
      </c>
      <c r="U3325" t="str">
        <f t="shared" si="793"/>
        <v>PA_Alleg_2019g~Gen-member of council clairton ward 4 (vote for 1)</v>
      </c>
      <c r="AF3325" s="88"/>
      <c r="AG3325" s="23"/>
      <c r="AH3325" s="8"/>
      <c r="AL3325" s="344"/>
      <c r="AU3325" s="1"/>
    </row>
    <row r="3326" spans="1:47">
      <c r="A3326" t="str">
        <f t="shared" si="794"/>
        <v>PA_Alleg_2019g~Gen-member of council clairton ward 4 (vote for 1)</v>
      </c>
      <c r="B3326" s="55" t="s">
        <v>1528</v>
      </c>
      <c r="C3326">
        <v>1105</v>
      </c>
      <c r="D3326" s="55" t="s">
        <v>1003</v>
      </c>
      <c r="E3326" s="55" t="s">
        <v>15</v>
      </c>
      <c r="G3326" s="62">
        <v>7</v>
      </c>
      <c r="H3326">
        <v>2.92</v>
      </c>
      <c r="I3326">
        <v>1241</v>
      </c>
      <c r="J3326">
        <v>0</v>
      </c>
      <c r="K3326">
        <v>3</v>
      </c>
      <c r="L3326">
        <v>3</v>
      </c>
      <c r="M3326">
        <v>0</v>
      </c>
      <c r="N3326" s="23">
        <v>0</v>
      </c>
      <c r="O3326">
        <f t="shared" si="787"/>
        <v>-1</v>
      </c>
      <c r="P3326" s="57">
        <f t="shared" si="788"/>
        <v>1</v>
      </c>
      <c r="Q3326" s="267">
        <f t="shared" si="789"/>
        <v>7</v>
      </c>
      <c r="R3326" s="23">
        <f t="shared" si="790"/>
        <v>1</v>
      </c>
      <c r="S3326" s="23">
        <f t="shared" si="791"/>
        <v>0</v>
      </c>
      <c r="T3326" s="23" t="str">
        <f t="shared" si="792"/>
        <v/>
      </c>
      <c r="U3326" t="str">
        <f t="shared" si="793"/>
        <v/>
      </c>
      <c r="AF3326" s="88"/>
      <c r="AG3326" s="23"/>
      <c r="AH3326" s="8"/>
      <c r="AL3326" s="344"/>
      <c r="AU3326" s="1"/>
    </row>
    <row r="3327" spans="1:47">
      <c r="A3327" t="str">
        <f t="shared" si="794"/>
        <v>PA_Alleg_2019g~Gen-member of council coraopolis ward 1 (vote for 1)</v>
      </c>
      <c r="B3327" s="55" t="s">
        <v>1528</v>
      </c>
      <c r="C3327">
        <v>1106</v>
      </c>
      <c r="D3327" s="55" t="s">
        <v>1006</v>
      </c>
      <c r="E3327" s="55" t="s">
        <v>1007</v>
      </c>
      <c r="F3327" t="s">
        <v>1294</v>
      </c>
      <c r="G3327" s="62">
        <v>232</v>
      </c>
      <c r="H3327">
        <v>93.93</v>
      </c>
      <c r="I3327">
        <v>983</v>
      </c>
      <c r="J3327">
        <v>0</v>
      </c>
      <c r="K3327">
        <v>2</v>
      </c>
      <c r="L3327">
        <v>2</v>
      </c>
      <c r="M3327">
        <v>0</v>
      </c>
      <c r="N3327" s="23">
        <v>0</v>
      </c>
      <c r="O3327">
        <f t="shared" si="787"/>
        <v>1</v>
      </c>
      <c r="P3327" s="57">
        <f t="shared" si="788"/>
        <v>1</v>
      </c>
      <c r="Q3327" s="267">
        <f t="shared" si="789"/>
        <v>497</v>
      </c>
      <c r="R3327" s="23">
        <f t="shared" si="790"/>
        <v>232</v>
      </c>
      <c r="S3327" s="23">
        <f t="shared" si="791"/>
        <v>217</v>
      </c>
      <c r="T3327" s="23">
        <f t="shared" si="792"/>
        <v>15</v>
      </c>
      <c r="U3327" t="str">
        <f t="shared" si="793"/>
        <v>PA_Alleg_2019g~Gen-member of council coraopolis ward 1 (vote for 1)</v>
      </c>
      <c r="AF3327" s="88"/>
      <c r="AG3327" s="23"/>
      <c r="AH3327" s="8"/>
      <c r="AL3327" s="344"/>
      <c r="AU3327" s="1"/>
    </row>
    <row r="3328" spans="1:47">
      <c r="A3328" t="str">
        <f t="shared" si="794"/>
        <v>PA_Alleg_2019g~Gen-member of council coraopolis ward 1 (vote for 1)</v>
      </c>
      <c r="B3328" s="55" t="s">
        <v>1528</v>
      </c>
      <c r="C3328">
        <v>1184</v>
      </c>
      <c r="D3328" s="55" t="s">
        <v>1503</v>
      </c>
      <c r="E3328" s="55" t="s">
        <v>1504</v>
      </c>
      <c r="F3328" t="s">
        <v>1294</v>
      </c>
      <c r="G3328" s="62">
        <v>217</v>
      </c>
      <c r="H3328">
        <v>86.8</v>
      </c>
      <c r="I3328">
        <v>983</v>
      </c>
      <c r="J3328">
        <v>0</v>
      </c>
      <c r="K3328">
        <v>2</v>
      </c>
      <c r="L3328">
        <v>2</v>
      </c>
      <c r="M3328">
        <v>0</v>
      </c>
      <c r="N3328" s="23">
        <v>0</v>
      </c>
      <c r="O3328">
        <f t="shared" si="787"/>
        <v>2</v>
      </c>
      <c r="P3328" s="57">
        <f t="shared" si="788"/>
        <v>1</v>
      </c>
      <c r="Q3328" s="267">
        <f t="shared" si="789"/>
        <v>265</v>
      </c>
      <c r="R3328" s="23" t="str">
        <f t="shared" si="790"/>
        <v/>
      </c>
      <c r="S3328" s="23">
        <f t="shared" si="791"/>
        <v>217</v>
      </c>
      <c r="T3328" s="23" t="str">
        <f t="shared" si="792"/>
        <v/>
      </c>
      <c r="U3328" t="str">
        <f t="shared" si="793"/>
        <v/>
      </c>
      <c r="AF3328" s="88"/>
      <c r="AG3328" s="23"/>
      <c r="AH3328" s="8"/>
      <c r="AL3328" s="344"/>
      <c r="AU3328" s="1"/>
    </row>
    <row r="3329" spans="1:47">
      <c r="A3329" t="str">
        <f t="shared" si="794"/>
        <v>PA_Alleg_2019g~Gen-member of council coraopolis ward 1 (vote for 1)</v>
      </c>
      <c r="B3329" s="55" t="s">
        <v>1528</v>
      </c>
      <c r="C3329">
        <v>1185</v>
      </c>
      <c r="D3329" s="55" t="s">
        <v>1503</v>
      </c>
      <c r="E3329" s="55" t="s">
        <v>15</v>
      </c>
      <c r="G3329" s="62">
        <v>33</v>
      </c>
      <c r="H3329">
        <v>13.2</v>
      </c>
      <c r="I3329">
        <v>983</v>
      </c>
      <c r="J3329">
        <v>0</v>
      </c>
      <c r="K3329">
        <v>2</v>
      </c>
      <c r="L3329">
        <v>2</v>
      </c>
      <c r="M3329">
        <v>0</v>
      </c>
      <c r="N3329" s="23">
        <v>0</v>
      </c>
      <c r="O3329">
        <f t="shared" si="787"/>
        <v>-2</v>
      </c>
      <c r="P3329" s="57">
        <f t="shared" si="788"/>
        <v>1</v>
      </c>
      <c r="Q3329" s="267">
        <f t="shared" si="789"/>
        <v>48</v>
      </c>
      <c r="R3329" s="23">
        <f t="shared" si="790"/>
        <v>1</v>
      </c>
      <c r="S3329" s="23">
        <f t="shared" si="791"/>
        <v>0</v>
      </c>
      <c r="T3329" s="23" t="str">
        <f t="shared" si="792"/>
        <v/>
      </c>
      <c r="U3329" t="str">
        <f t="shared" si="793"/>
        <v/>
      </c>
      <c r="AF3329" s="88"/>
      <c r="AG3329" s="23"/>
      <c r="AH3329" s="8"/>
      <c r="AL3329" s="344"/>
      <c r="AU3329" s="1"/>
    </row>
    <row r="3330" spans="1:47">
      <c r="A3330" t="str">
        <f t="shared" si="794"/>
        <v>PA_Alleg_2019g~Gen-member of council coraopolis ward 1 (vote for 1)</v>
      </c>
      <c r="B3330" s="55" t="s">
        <v>1528</v>
      </c>
      <c r="C3330">
        <v>1107</v>
      </c>
      <c r="D3330" s="55" t="s">
        <v>1006</v>
      </c>
      <c r="E3330" s="55" t="s">
        <v>15</v>
      </c>
      <c r="G3330" s="62">
        <v>15</v>
      </c>
      <c r="H3330">
        <v>6.07</v>
      </c>
      <c r="I3330">
        <v>983</v>
      </c>
      <c r="J3330">
        <v>0</v>
      </c>
      <c r="K3330">
        <v>2</v>
      </c>
      <c r="L3330">
        <v>2</v>
      </c>
      <c r="M3330">
        <v>0</v>
      </c>
      <c r="N3330" s="23">
        <v>0</v>
      </c>
      <c r="O3330">
        <f t="shared" ref="O3330:O3393" si="795">IF(OR(LOWER(LEFT(E3330,8))="write-in",LOWER(LEFT(E3330,8))="not qual"),IF(A3330=A3329,-ABS(O3329),0),IF(A3330=A3329,ABS(O3329)+1,1))</f>
        <v>-2</v>
      </c>
      <c r="P3330" s="57">
        <f t="shared" ref="P3330:P3393" si="796">1*LEFT(RIGHT(A3330,2),1)</f>
        <v>1</v>
      </c>
      <c r="Q3330" s="267">
        <f t="shared" ref="Q3330:Q3393" si="797">IF(A3330&lt;&gt;A3331,G3330,IF(A3330=A3329,G3330+Q3331,MAX(G3330,(G3330+Q3331)/P3330)))</f>
        <v>15</v>
      </c>
      <c r="R3330" s="23">
        <f t="shared" ref="R3330:R3393" si="798">IF(O3330&gt;P3330,"",IF(O3330=P3330,G3330,IF(A3330=A3331,R3331,IF(O3330&lt;=0,1,G3330))))</f>
        <v>1</v>
      </c>
      <c r="S3330" s="23">
        <f t="shared" ref="S3330:S3393" si="799">IF(AND(O3330&gt;P3330,LOWER(LEFT(E3330,8))&lt;&gt;"write-in",LOWER(LEFT(E3330,8))&lt;&gt;"not qual"),G3330,IF(A3330=A3331,S3331,0))</f>
        <v>0</v>
      </c>
      <c r="T3330" s="23" t="str">
        <f t="shared" ref="T3330:T3393" si="800">IF(OR(A3330=A3329,S3330=0),"",R3330-ABS(S3330))</f>
        <v/>
      </c>
      <c r="U3330" t="str">
        <f t="shared" ref="U3330:U3393" si="801">IF(A3330=A3329,"",A3330)</f>
        <v/>
      </c>
      <c r="AF3330" s="88"/>
      <c r="AG3330" s="23"/>
      <c r="AH3330" s="8"/>
      <c r="AL3330" s="344"/>
      <c r="AU3330" s="1"/>
    </row>
    <row r="3331" spans="1:47">
      <c r="A3331" t="str">
        <f t="shared" si="794"/>
        <v>PA_Alleg_2019g~Gen-member of council coraopolis ward 2 (vote for 1)</v>
      </c>
      <c r="B3331" s="55" t="s">
        <v>1528</v>
      </c>
      <c r="C3331">
        <v>1108</v>
      </c>
      <c r="D3331" s="55" t="s">
        <v>1008</v>
      </c>
      <c r="E3331" s="55" t="s">
        <v>1009</v>
      </c>
      <c r="F3331" t="s">
        <v>1294</v>
      </c>
      <c r="G3331" s="62">
        <v>183</v>
      </c>
      <c r="H3331">
        <v>98.39</v>
      </c>
      <c r="I3331">
        <v>833</v>
      </c>
      <c r="J3331">
        <v>0</v>
      </c>
      <c r="K3331">
        <v>1</v>
      </c>
      <c r="L3331">
        <v>1</v>
      </c>
      <c r="M3331">
        <v>0</v>
      </c>
      <c r="N3331" s="23">
        <v>0</v>
      </c>
      <c r="O3331">
        <f t="shared" si="795"/>
        <v>1</v>
      </c>
      <c r="P3331" s="57">
        <f t="shared" si="796"/>
        <v>1</v>
      </c>
      <c r="Q3331" s="267">
        <f t="shared" si="797"/>
        <v>186</v>
      </c>
      <c r="R3331" s="23">
        <f t="shared" si="798"/>
        <v>183</v>
      </c>
      <c r="S3331" s="23">
        <f t="shared" si="799"/>
        <v>0</v>
      </c>
      <c r="T3331" s="23" t="str">
        <f t="shared" si="800"/>
        <v/>
      </c>
      <c r="U3331" t="str">
        <f t="shared" si="801"/>
        <v>PA_Alleg_2019g~Gen-member of council coraopolis ward 2 (vote for 1)</v>
      </c>
      <c r="AF3331" s="88"/>
      <c r="AG3331" s="23"/>
      <c r="AH3331" s="8"/>
      <c r="AL3331" s="344"/>
      <c r="AU3331" s="1"/>
    </row>
    <row r="3332" spans="1:47">
      <c r="A3332" t="str">
        <f t="shared" si="794"/>
        <v>PA_Alleg_2019g~Gen-member of council coraopolis ward 2 (vote for 1)</v>
      </c>
      <c r="B3332" s="55" t="s">
        <v>1528</v>
      </c>
      <c r="C3332">
        <v>1109</v>
      </c>
      <c r="D3332" s="55" t="s">
        <v>1008</v>
      </c>
      <c r="E3332" s="55" t="s">
        <v>15</v>
      </c>
      <c r="G3332" s="62">
        <v>3</v>
      </c>
      <c r="H3332">
        <v>1.61</v>
      </c>
      <c r="I3332">
        <v>833</v>
      </c>
      <c r="J3332">
        <v>0</v>
      </c>
      <c r="K3332">
        <v>1</v>
      </c>
      <c r="L3332">
        <v>1</v>
      </c>
      <c r="M3332">
        <v>0</v>
      </c>
      <c r="N3332" s="23">
        <v>0</v>
      </c>
      <c r="O3332">
        <f t="shared" si="795"/>
        <v>-1</v>
      </c>
      <c r="P3332" s="57">
        <f t="shared" si="796"/>
        <v>1</v>
      </c>
      <c r="Q3332" s="267">
        <f t="shared" si="797"/>
        <v>3</v>
      </c>
      <c r="R3332" s="23">
        <f t="shared" si="798"/>
        <v>1</v>
      </c>
      <c r="S3332" s="23">
        <f t="shared" si="799"/>
        <v>0</v>
      </c>
      <c r="T3332" s="23" t="str">
        <f t="shared" si="800"/>
        <v/>
      </c>
      <c r="U3332" t="str">
        <f t="shared" si="801"/>
        <v/>
      </c>
      <c r="AF3332" s="88"/>
      <c r="AG3332" s="23"/>
      <c r="AH3332" s="8"/>
      <c r="AL3332" s="344"/>
      <c r="AU3332" s="1"/>
    </row>
    <row r="3333" spans="1:47">
      <c r="A3333" t="str">
        <f t="shared" si="794"/>
        <v>PA_Alleg_2019g~Gen-member of council coraopolis ward 3 (vote for 1)</v>
      </c>
      <c r="B3333" s="55" t="s">
        <v>1528</v>
      </c>
      <c r="C3333">
        <v>1110</v>
      </c>
      <c r="D3333" s="55" t="s">
        <v>1010</v>
      </c>
      <c r="E3333" s="55" t="s">
        <v>1011</v>
      </c>
      <c r="F3333" t="s">
        <v>1294</v>
      </c>
      <c r="G3333" s="62">
        <v>248</v>
      </c>
      <c r="H3333">
        <v>97.64</v>
      </c>
      <c r="I3333">
        <v>1198</v>
      </c>
      <c r="J3333">
        <v>0</v>
      </c>
      <c r="K3333">
        <v>2</v>
      </c>
      <c r="L3333">
        <v>2</v>
      </c>
      <c r="M3333">
        <v>0</v>
      </c>
      <c r="N3333" s="23">
        <v>0</v>
      </c>
      <c r="O3333">
        <f t="shared" si="795"/>
        <v>1</v>
      </c>
      <c r="P3333" s="57">
        <f t="shared" si="796"/>
        <v>1</v>
      </c>
      <c r="Q3333" s="267">
        <f t="shared" si="797"/>
        <v>505</v>
      </c>
      <c r="R3333" s="23">
        <f t="shared" si="798"/>
        <v>248</v>
      </c>
      <c r="S3333" s="23">
        <f t="shared" si="799"/>
        <v>246</v>
      </c>
      <c r="T3333" s="23">
        <f t="shared" si="800"/>
        <v>2</v>
      </c>
      <c r="U3333" t="str">
        <f t="shared" si="801"/>
        <v>PA_Alleg_2019g~Gen-member of council coraopolis ward 3 (vote for 1)</v>
      </c>
      <c r="AF3333" s="88"/>
      <c r="AU3333" s="1"/>
    </row>
    <row r="3334" spans="1:47">
      <c r="A3334" t="str">
        <f t="shared" si="794"/>
        <v>PA_Alleg_2019g~Gen-member of council coraopolis ward 3 (vote for 1)</v>
      </c>
      <c r="B3334" s="55" t="s">
        <v>1528</v>
      </c>
      <c r="C3334">
        <v>1186</v>
      </c>
      <c r="D3334" s="55" t="s">
        <v>1075</v>
      </c>
      <c r="E3334" s="55" t="s">
        <v>1012</v>
      </c>
      <c r="F3334" t="s">
        <v>1294</v>
      </c>
      <c r="G3334" s="62">
        <v>246</v>
      </c>
      <c r="H3334">
        <v>98.01</v>
      </c>
      <c r="I3334">
        <v>1198</v>
      </c>
      <c r="J3334">
        <v>0</v>
      </c>
      <c r="K3334">
        <v>2</v>
      </c>
      <c r="L3334">
        <v>2</v>
      </c>
      <c r="M3334">
        <v>0</v>
      </c>
      <c r="N3334" s="23">
        <v>0</v>
      </c>
      <c r="O3334">
        <f t="shared" si="795"/>
        <v>2</v>
      </c>
      <c r="P3334" s="57">
        <f t="shared" si="796"/>
        <v>1</v>
      </c>
      <c r="Q3334" s="267">
        <f t="shared" si="797"/>
        <v>257</v>
      </c>
      <c r="R3334" s="23" t="str">
        <f t="shared" si="798"/>
        <v/>
      </c>
      <c r="S3334" s="23">
        <f t="shared" si="799"/>
        <v>246</v>
      </c>
      <c r="T3334" s="23" t="str">
        <f t="shared" si="800"/>
        <v/>
      </c>
      <c r="U3334" t="str">
        <f t="shared" si="801"/>
        <v/>
      </c>
      <c r="AF3334" s="88"/>
      <c r="AU3334" s="1"/>
    </row>
    <row r="3335" spans="1:47">
      <c r="A3335" t="str">
        <f t="shared" si="794"/>
        <v>PA_Alleg_2019g~Gen-member of council coraopolis ward 3 (vote for 1)</v>
      </c>
      <c r="B3335" s="55" t="s">
        <v>1528</v>
      </c>
      <c r="C3335">
        <v>1111</v>
      </c>
      <c r="D3335" s="55" t="s">
        <v>1010</v>
      </c>
      <c r="E3335" s="55" t="s">
        <v>15</v>
      </c>
      <c r="G3335" s="62">
        <v>6</v>
      </c>
      <c r="H3335">
        <v>2.36</v>
      </c>
      <c r="I3335">
        <v>1198</v>
      </c>
      <c r="J3335">
        <v>0</v>
      </c>
      <c r="K3335">
        <v>2</v>
      </c>
      <c r="L3335">
        <v>2</v>
      </c>
      <c r="M3335">
        <v>0</v>
      </c>
      <c r="N3335" s="23">
        <v>0</v>
      </c>
      <c r="O3335">
        <f t="shared" si="795"/>
        <v>-2</v>
      </c>
      <c r="P3335" s="57">
        <f t="shared" si="796"/>
        <v>1</v>
      </c>
      <c r="Q3335" s="267">
        <f t="shared" si="797"/>
        <v>11</v>
      </c>
      <c r="R3335" s="23">
        <f t="shared" si="798"/>
        <v>1</v>
      </c>
      <c r="S3335" s="23">
        <f t="shared" si="799"/>
        <v>0</v>
      </c>
      <c r="T3335" s="23" t="str">
        <f t="shared" si="800"/>
        <v/>
      </c>
      <c r="U3335" t="str">
        <f t="shared" si="801"/>
        <v/>
      </c>
      <c r="AF3335" s="88"/>
      <c r="AU3335" s="1"/>
    </row>
    <row r="3336" spans="1:47">
      <c r="A3336" t="str">
        <f t="shared" si="794"/>
        <v>PA_Alleg_2019g~Gen-member of council coraopolis ward 3 (vote for 1)</v>
      </c>
      <c r="B3336" s="55" t="s">
        <v>1528</v>
      </c>
      <c r="C3336">
        <v>1187</v>
      </c>
      <c r="D3336" s="55" t="s">
        <v>1075</v>
      </c>
      <c r="E3336" s="55" t="s">
        <v>15</v>
      </c>
      <c r="G3336" s="62">
        <v>5</v>
      </c>
      <c r="H3336">
        <v>1.99</v>
      </c>
      <c r="I3336">
        <v>1198</v>
      </c>
      <c r="J3336">
        <v>0</v>
      </c>
      <c r="K3336">
        <v>2</v>
      </c>
      <c r="L3336">
        <v>2</v>
      </c>
      <c r="M3336">
        <v>0</v>
      </c>
      <c r="N3336" s="23">
        <v>0</v>
      </c>
      <c r="O3336">
        <f t="shared" si="795"/>
        <v>-2</v>
      </c>
      <c r="P3336" s="57">
        <f t="shared" si="796"/>
        <v>1</v>
      </c>
      <c r="Q3336" s="267">
        <f t="shared" si="797"/>
        <v>5</v>
      </c>
      <c r="R3336" s="23">
        <f t="shared" si="798"/>
        <v>1</v>
      </c>
      <c r="S3336" s="23">
        <f t="shared" si="799"/>
        <v>0</v>
      </c>
      <c r="T3336" s="23" t="str">
        <f t="shared" si="800"/>
        <v/>
      </c>
      <c r="U3336" t="str">
        <f t="shared" si="801"/>
        <v/>
      </c>
      <c r="AF3336" s="88"/>
      <c r="AU3336" s="1"/>
    </row>
    <row r="3337" spans="1:47">
      <c r="A3337" t="str">
        <f t="shared" si="794"/>
        <v>PA_Alleg_2019g~Gen-member of council coraopolis ward 4 (vote for 1)</v>
      </c>
      <c r="B3337" s="55" t="s">
        <v>1528</v>
      </c>
      <c r="C3337">
        <v>1112</v>
      </c>
      <c r="D3337" s="55" t="s">
        <v>1013</v>
      </c>
      <c r="E3337" s="55" t="s">
        <v>1014</v>
      </c>
      <c r="F3337" t="s">
        <v>1294</v>
      </c>
      <c r="G3337" s="62">
        <v>252</v>
      </c>
      <c r="H3337">
        <v>96.55</v>
      </c>
      <c r="I3337">
        <v>1007</v>
      </c>
      <c r="J3337">
        <v>0</v>
      </c>
      <c r="K3337">
        <v>2</v>
      </c>
      <c r="L3337">
        <v>2</v>
      </c>
      <c r="M3337">
        <v>0</v>
      </c>
      <c r="N3337" s="23">
        <v>0</v>
      </c>
      <c r="O3337">
        <f t="shared" si="795"/>
        <v>1</v>
      </c>
      <c r="P3337" s="57">
        <f t="shared" si="796"/>
        <v>1</v>
      </c>
      <c r="Q3337" s="267">
        <f t="shared" si="797"/>
        <v>261</v>
      </c>
      <c r="R3337" s="23">
        <f t="shared" si="798"/>
        <v>252</v>
      </c>
      <c r="S3337" s="23">
        <f t="shared" si="799"/>
        <v>0</v>
      </c>
      <c r="T3337" s="23" t="str">
        <f t="shared" si="800"/>
        <v/>
      </c>
      <c r="U3337" t="str">
        <f t="shared" si="801"/>
        <v>PA_Alleg_2019g~Gen-member of council coraopolis ward 4 (vote for 1)</v>
      </c>
      <c r="AF3337" s="88"/>
      <c r="AU3337" s="1"/>
    </row>
    <row r="3338" spans="1:47">
      <c r="A3338" t="str">
        <f t="shared" si="794"/>
        <v>PA_Alleg_2019g~Gen-member of council coraopolis ward 4 (vote for 1)</v>
      </c>
      <c r="B3338" s="55" t="s">
        <v>1528</v>
      </c>
      <c r="C3338">
        <v>1113</v>
      </c>
      <c r="D3338" s="55" t="s">
        <v>1013</v>
      </c>
      <c r="E3338" s="55" t="s">
        <v>15</v>
      </c>
      <c r="G3338" s="62">
        <v>9</v>
      </c>
      <c r="H3338">
        <v>3.45</v>
      </c>
      <c r="I3338">
        <v>1007</v>
      </c>
      <c r="J3338">
        <v>0</v>
      </c>
      <c r="K3338">
        <v>2</v>
      </c>
      <c r="L3338">
        <v>2</v>
      </c>
      <c r="M3338">
        <v>0</v>
      </c>
      <c r="N3338" s="23">
        <v>0</v>
      </c>
      <c r="O3338">
        <f t="shared" si="795"/>
        <v>-1</v>
      </c>
      <c r="P3338" s="57">
        <f t="shared" si="796"/>
        <v>1</v>
      </c>
      <c r="Q3338" s="267">
        <f t="shared" si="797"/>
        <v>9</v>
      </c>
      <c r="R3338" s="23">
        <f t="shared" si="798"/>
        <v>1</v>
      </c>
      <c r="S3338" s="23">
        <f t="shared" si="799"/>
        <v>0</v>
      </c>
      <c r="T3338" s="23" t="str">
        <f t="shared" si="800"/>
        <v/>
      </c>
      <c r="U3338" t="str">
        <f t="shared" si="801"/>
        <v/>
      </c>
      <c r="AF3338" s="88"/>
      <c r="AU3338" s="1"/>
    </row>
    <row r="3339" spans="1:47">
      <c r="A3339" t="str">
        <f t="shared" si="794"/>
        <v>PA_Alleg_2019g~Gen-member of council crafton (vote for 1)</v>
      </c>
      <c r="B3339" s="55" t="s">
        <v>1528</v>
      </c>
      <c r="C3339">
        <v>1010</v>
      </c>
      <c r="D3339" s="55" t="s">
        <v>1491</v>
      </c>
      <c r="E3339" s="55" t="s">
        <v>1492</v>
      </c>
      <c r="F3339" t="s">
        <v>1294</v>
      </c>
      <c r="G3339" s="62">
        <v>794</v>
      </c>
      <c r="H3339">
        <v>56.15</v>
      </c>
      <c r="I3339">
        <v>4629</v>
      </c>
      <c r="J3339">
        <v>0</v>
      </c>
      <c r="K3339">
        <v>6</v>
      </c>
      <c r="L3339">
        <v>6</v>
      </c>
      <c r="M3339">
        <v>0</v>
      </c>
      <c r="N3339" s="23">
        <v>0</v>
      </c>
      <c r="O3339">
        <f t="shared" si="795"/>
        <v>1</v>
      </c>
      <c r="P3339" s="57">
        <f t="shared" si="796"/>
        <v>1</v>
      </c>
      <c r="Q3339" s="267">
        <f t="shared" si="797"/>
        <v>1414</v>
      </c>
      <c r="R3339" s="23">
        <f t="shared" si="798"/>
        <v>794</v>
      </c>
      <c r="S3339" s="23">
        <f t="shared" si="799"/>
        <v>610</v>
      </c>
      <c r="T3339" s="23">
        <f t="shared" si="800"/>
        <v>184</v>
      </c>
      <c r="U3339" t="str">
        <f t="shared" si="801"/>
        <v>PA_Alleg_2019g~Gen-member of council crafton (vote for 1)</v>
      </c>
      <c r="AF3339" s="88"/>
      <c r="AU3339" s="1"/>
    </row>
    <row r="3340" spans="1:47">
      <c r="A3340" t="str">
        <f t="shared" si="794"/>
        <v>PA_Alleg_2019g~Gen-member of council crafton (vote for 1)</v>
      </c>
      <c r="B3340" s="55" t="s">
        <v>1528</v>
      </c>
      <c r="C3340">
        <v>1011</v>
      </c>
      <c r="D3340" s="55" t="s">
        <v>1491</v>
      </c>
      <c r="E3340" s="55" t="s">
        <v>1493</v>
      </c>
      <c r="F3340" t="s">
        <v>1296</v>
      </c>
      <c r="G3340" s="62">
        <v>610</v>
      </c>
      <c r="H3340">
        <v>43.14</v>
      </c>
      <c r="I3340">
        <v>4629</v>
      </c>
      <c r="J3340">
        <v>0</v>
      </c>
      <c r="K3340">
        <v>6</v>
      </c>
      <c r="L3340">
        <v>6</v>
      </c>
      <c r="M3340">
        <v>0</v>
      </c>
      <c r="N3340" s="23">
        <v>0</v>
      </c>
      <c r="O3340">
        <f t="shared" si="795"/>
        <v>2</v>
      </c>
      <c r="P3340" s="57">
        <f t="shared" si="796"/>
        <v>1</v>
      </c>
      <c r="Q3340" s="267">
        <f t="shared" si="797"/>
        <v>620</v>
      </c>
      <c r="R3340" s="23" t="str">
        <f t="shared" si="798"/>
        <v/>
      </c>
      <c r="S3340" s="23">
        <f t="shared" si="799"/>
        <v>610</v>
      </c>
      <c r="T3340" s="23" t="str">
        <f t="shared" si="800"/>
        <v/>
      </c>
      <c r="U3340" t="str">
        <f t="shared" si="801"/>
        <v/>
      </c>
      <c r="AF3340" s="88"/>
      <c r="AU3340" s="1"/>
    </row>
    <row r="3341" spans="1:47">
      <c r="A3341" t="str">
        <f t="shared" si="794"/>
        <v>PA_Alleg_2019g~Gen-member of council crafton (vote for 1)</v>
      </c>
      <c r="B3341" s="55" t="s">
        <v>1528</v>
      </c>
      <c r="C3341">
        <v>1012</v>
      </c>
      <c r="D3341" s="55" t="s">
        <v>1491</v>
      </c>
      <c r="E3341" s="55" t="s">
        <v>15</v>
      </c>
      <c r="G3341" s="62">
        <v>10</v>
      </c>
      <c r="H3341">
        <v>0.71</v>
      </c>
      <c r="I3341">
        <v>4629</v>
      </c>
      <c r="J3341">
        <v>0</v>
      </c>
      <c r="K3341">
        <v>6</v>
      </c>
      <c r="L3341">
        <v>6</v>
      </c>
      <c r="M3341">
        <v>0</v>
      </c>
      <c r="N3341" s="23">
        <v>0</v>
      </c>
      <c r="O3341">
        <f t="shared" si="795"/>
        <v>-2</v>
      </c>
      <c r="P3341" s="57">
        <f t="shared" si="796"/>
        <v>1</v>
      </c>
      <c r="Q3341" s="267">
        <f t="shared" si="797"/>
        <v>10</v>
      </c>
      <c r="R3341" s="23">
        <f t="shared" si="798"/>
        <v>1</v>
      </c>
      <c r="S3341" s="23">
        <f t="shared" si="799"/>
        <v>0</v>
      </c>
      <c r="T3341" s="23" t="str">
        <f t="shared" si="800"/>
        <v/>
      </c>
      <c r="U3341" t="str">
        <f t="shared" si="801"/>
        <v/>
      </c>
      <c r="AF3341" s="88"/>
      <c r="AU3341" s="1"/>
    </row>
    <row r="3342" spans="1:47">
      <c r="A3342" t="str">
        <f t="shared" si="794"/>
        <v>PA_Alleg_2019g~Gen-member of council crafton (vote for 3)</v>
      </c>
      <c r="B3342" s="55" t="s">
        <v>1528</v>
      </c>
      <c r="C3342">
        <v>785</v>
      </c>
      <c r="D3342" s="55" t="s">
        <v>737</v>
      </c>
      <c r="E3342" s="55" t="s">
        <v>738</v>
      </c>
      <c r="F3342" t="s">
        <v>1294</v>
      </c>
      <c r="G3342" s="62">
        <v>973</v>
      </c>
      <c r="H3342">
        <v>25.09</v>
      </c>
      <c r="I3342">
        <v>4629</v>
      </c>
      <c r="J3342">
        <v>0</v>
      </c>
      <c r="K3342">
        <v>6</v>
      </c>
      <c r="L3342">
        <v>6</v>
      </c>
      <c r="M3342">
        <v>0</v>
      </c>
      <c r="N3342" s="23">
        <v>0</v>
      </c>
      <c r="O3342">
        <f t="shared" si="795"/>
        <v>1</v>
      </c>
      <c r="P3342" s="57">
        <f t="shared" si="796"/>
        <v>3</v>
      </c>
      <c r="Q3342" s="267">
        <f t="shared" si="797"/>
        <v>1292.6666666666667</v>
      </c>
      <c r="R3342" s="23">
        <f t="shared" si="798"/>
        <v>719</v>
      </c>
      <c r="S3342" s="23">
        <f t="shared" si="799"/>
        <v>685</v>
      </c>
      <c r="T3342" s="23">
        <f t="shared" si="800"/>
        <v>34</v>
      </c>
      <c r="U3342" t="str">
        <f t="shared" si="801"/>
        <v>PA_Alleg_2019g~Gen-member of council crafton (vote for 3)</v>
      </c>
      <c r="AF3342" s="88"/>
      <c r="AU3342" s="1"/>
    </row>
    <row r="3343" spans="1:47">
      <c r="A3343" t="str">
        <f t="shared" si="794"/>
        <v>PA_Alleg_2019g~Gen-member of council crafton (vote for 3)</v>
      </c>
      <c r="B3343" s="55" t="s">
        <v>1528</v>
      </c>
      <c r="C3343">
        <v>786</v>
      </c>
      <c r="D3343" s="55" t="s">
        <v>737</v>
      </c>
      <c r="E3343" s="55" t="s">
        <v>740</v>
      </c>
      <c r="F3343" t="s">
        <v>1294</v>
      </c>
      <c r="G3343" s="62">
        <v>811</v>
      </c>
      <c r="H3343">
        <v>20.91</v>
      </c>
      <c r="I3343">
        <v>4629</v>
      </c>
      <c r="J3343">
        <v>0</v>
      </c>
      <c r="K3343">
        <v>6</v>
      </c>
      <c r="L3343">
        <v>6</v>
      </c>
      <c r="M3343">
        <v>0</v>
      </c>
      <c r="N3343" s="23">
        <v>0</v>
      </c>
      <c r="O3343">
        <f t="shared" si="795"/>
        <v>2</v>
      </c>
      <c r="P3343" s="57">
        <f t="shared" si="796"/>
        <v>3</v>
      </c>
      <c r="Q3343" s="267">
        <f t="shared" si="797"/>
        <v>2905</v>
      </c>
      <c r="R3343" s="23">
        <f t="shared" si="798"/>
        <v>719</v>
      </c>
      <c r="S3343" s="23">
        <f t="shared" si="799"/>
        <v>685</v>
      </c>
      <c r="T3343" s="23" t="str">
        <f t="shared" si="800"/>
        <v/>
      </c>
      <c r="U3343" t="str">
        <f t="shared" si="801"/>
        <v/>
      </c>
      <c r="AF3343" s="88"/>
      <c r="AU3343" s="1"/>
    </row>
    <row r="3344" spans="1:47">
      <c r="A3344" t="str">
        <f t="shared" si="794"/>
        <v>PA_Alleg_2019g~Gen-member of council crafton (vote for 3)</v>
      </c>
      <c r="B3344" s="55" t="s">
        <v>1528</v>
      </c>
      <c r="C3344">
        <v>787</v>
      </c>
      <c r="D3344" s="55" t="s">
        <v>737</v>
      </c>
      <c r="E3344" s="55" t="s">
        <v>739</v>
      </c>
      <c r="F3344" t="s">
        <v>1294</v>
      </c>
      <c r="G3344" s="62">
        <v>719</v>
      </c>
      <c r="H3344">
        <v>18.54</v>
      </c>
      <c r="I3344">
        <v>4629</v>
      </c>
      <c r="J3344">
        <v>0</v>
      </c>
      <c r="K3344">
        <v>6</v>
      </c>
      <c r="L3344">
        <v>6</v>
      </c>
      <c r="M3344">
        <v>0</v>
      </c>
      <c r="N3344" s="23">
        <v>0</v>
      </c>
      <c r="O3344">
        <f t="shared" si="795"/>
        <v>3</v>
      </c>
      <c r="P3344" s="57">
        <f t="shared" si="796"/>
        <v>3</v>
      </c>
      <c r="Q3344" s="267">
        <f t="shared" si="797"/>
        <v>2094</v>
      </c>
      <c r="R3344" s="23">
        <f t="shared" si="798"/>
        <v>719</v>
      </c>
      <c r="S3344" s="23">
        <f t="shared" si="799"/>
        <v>685</v>
      </c>
      <c r="T3344" s="23" t="str">
        <f t="shared" si="800"/>
        <v/>
      </c>
      <c r="U3344" t="str">
        <f t="shared" si="801"/>
        <v/>
      </c>
      <c r="AF3344" s="88"/>
      <c r="AU3344" s="1"/>
    </row>
    <row r="3345" spans="1:47">
      <c r="A3345" t="str">
        <f t="shared" si="794"/>
        <v>PA_Alleg_2019g~Gen-member of council crafton (vote for 3)</v>
      </c>
      <c r="B3345" s="55" t="s">
        <v>1528</v>
      </c>
      <c r="C3345">
        <v>788</v>
      </c>
      <c r="D3345" s="55" t="s">
        <v>737</v>
      </c>
      <c r="E3345" s="55" t="s">
        <v>1466</v>
      </c>
      <c r="F3345" t="s">
        <v>1296</v>
      </c>
      <c r="G3345" s="62">
        <v>685</v>
      </c>
      <c r="H3345">
        <v>17.66</v>
      </c>
      <c r="I3345">
        <v>4629</v>
      </c>
      <c r="J3345">
        <v>0</v>
      </c>
      <c r="K3345">
        <v>6</v>
      </c>
      <c r="L3345">
        <v>6</v>
      </c>
      <c r="M3345">
        <v>0</v>
      </c>
      <c r="N3345" s="23">
        <v>0</v>
      </c>
      <c r="O3345">
        <f t="shared" si="795"/>
        <v>4</v>
      </c>
      <c r="P3345" s="57">
        <f t="shared" si="796"/>
        <v>3</v>
      </c>
      <c r="Q3345" s="267">
        <f t="shared" si="797"/>
        <v>1375</v>
      </c>
      <c r="R3345" s="23" t="str">
        <f t="shared" si="798"/>
        <v/>
      </c>
      <c r="S3345" s="23">
        <f t="shared" si="799"/>
        <v>685</v>
      </c>
      <c r="T3345" s="23" t="str">
        <f t="shared" si="800"/>
        <v/>
      </c>
      <c r="U3345" t="str">
        <f t="shared" si="801"/>
        <v/>
      </c>
      <c r="AF3345" s="88"/>
      <c r="AU3345" s="1"/>
    </row>
    <row r="3346" spans="1:47">
      <c r="A3346" t="str">
        <f t="shared" si="794"/>
        <v>PA_Alleg_2019g~Gen-member of council crafton (vote for 3)</v>
      </c>
      <c r="B3346" s="55" t="s">
        <v>1528</v>
      </c>
      <c r="C3346">
        <v>789</v>
      </c>
      <c r="D3346" s="55" t="s">
        <v>737</v>
      </c>
      <c r="E3346" s="55" t="s">
        <v>1467</v>
      </c>
      <c r="F3346" t="s">
        <v>1296</v>
      </c>
      <c r="G3346" s="62">
        <v>636</v>
      </c>
      <c r="H3346">
        <v>16.399999999999999</v>
      </c>
      <c r="I3346">
        <v>4629</v>
      </c>
      <c r="J3346">
        <v>0</v>
      </c>
      <c r="K3346">
        <v>6</v>
      </c>
      <c r="L3346">
        <v>6</v>
      </c>
      <c r="M3346">
        <v>0</v>
      </c>
      <c r="N3346" s="23">
        <v>0</v>
      </c>
      <c r="O3346">
        <f t="shared" si="795"/>
        <v>5</v>
      </c>
      <c r="P3346" s="57">
        <f t="shared" si="796"/>
        <v>3</v>
      </c>
      <c r="Q3346" s="267">
        <f t="shared" si="797"/>
        <v>690</v>
      </c>
      <c r="R3346" s="23" t="str">
        <f t="shared" si="798"/>
        <v/>
      </c>
      <c r="S3346" s="23">
        <f t="shared" si="799"/>
        <v>636</v>
      </c>
      <c r="T3346" s="23" t="str">
        <f t="shared" si="800"/>
        <v/>
      </c>
      <c r="U3346" t="str">
        <f t="shared" si="801"/>
        <v/>
      </c>
      <c r="AF3346" s="88"/>
      <c r="AU3346" s="1"/>
    </row>
    <row r="3347" spans="1:47">
      <c r="A3347" t="str">
        <f t="shared" si="794"/>
        <v>PA_Alleg_2019g~Gen-member of council crafton (vote for 3)</v>
      </c>
      <c r="B3347" s="55" t="s">
        <v>1528</v>
      </c>
      <c r="C3347">
        <v>790</v>
      </c>
      <c r="D3347" s="55" t="s">
        <v>737</v>
      </c>
      <c r="E3347" s="55" t="s">
        <v>15</v>
      </c>
      <c r="G3347" s="62">
        <v>54</v>
      </c>
      <c r="H3347">
        <v>1.39</v>
      </c>
      <c r="I3347">
        <v>4629</v>
      </c>
      <c r="J3347">
        <v>0</v>
      </c>
      <c r="K3347">
        <v>6</v>
      </c>
      <c r="L3347">
        <v>6</v>
      </c>
      <c r="M3347">
        <v>0</v>
      </c>
      <c r="N3347" s="23">
        <v>0</v>
      </c>
      <c r="O3347">
        <f t="shared" si="795"/>
        <v>-5</v>
      </c>
      <c r="P3347" s="57">
        <f t="shared" si="796"/>
        <v>3</v>
      </c>
      <c r="Q3347" s="267">
        <f t="shared" si="797"/>
        <v>54</v>
      </c>
      <c r="R3347" s="23">
        <f t="shared" si="798"/>
        <v>1</v>
      </c>
      <c r="S3347" s="23">
        <f t="shared" si="799"/>
        <v>0</v>
      </c>
      <c r="T3347" s="23" t="str">
        <f t="shared" si="800"/>
        <v/>
      </c>
      <c r="U3347" t="str">
        <f t="shared" si="801"/>
        <v/>
      </c>
      <c r="AF3347" s="88"/>
      <c r="AU3347" s="1"/>
    </row>
    <row r="3348" spans="1:47">
      <c r="A3348" t="str">
        <f t="shared" si="794"/>
        <v>PA_Alleg_2019g~Gen-member of council district 1 (vote for 1)</v>
      </c>
      <c r="B3348" s="55" t="s">
        <v>1528</v>
      </c>
      <c r="C3348">
        <v>43</v>
      </c>
      <c r="D3348" s="55" t="s">
        <v>51</v>
      </c>
      <c r="E3348" s="55" t="s">
        <v>52</v>
      </c>
      <c r="F3348" t="s">
        <v>1294</v>
      </c>
      <c r="G3348" s="62">
        <v>3975</v>
      </c>
      <c r="H3348">
        <v>59.88</v>
      </c>
      <c r="I3348">
        <v>24344</v>
      </c>
      <c r="J3348">
        <v>0</v>
      </c>
      <c r="K3348">
        <v>39</v>
      </c>
      <c r="L3348">
        <v>39</v>
      </c>
      <c r="M3348">
        <v>0</v>
      </c>
      <c r="N3348" s="23">
        <v>0</v>
      </c>
      <c r="O3348">
        <f t="shared" si="795"/>
        <v>1</v>
      </c>
      <c r="P3348" s="57">
        <f t="shared" si="796"/>
        <v>1</v>
      </c>
      <c r="Q3348" s="267">
        <f t="shared" si="797"/>
        <v>6638</v>
      </c>
      <c r="R3348" s="23">
        <f t="shared" si="798"/>
        <v>3975</v>
      </c>
      <c r="S3348" s="23">
        <f t="shared" si="799"/>
        <v>2341</v>
      </c>
      <c r="T3348" s="23">
        <f t="shared" si="800"/>
        <v>1634</v>
      </c>
      <c r="U3348" t="str">
        <f t="shared" si="801"/>
        <v>PA_Alleg_2019g~Gen-member of council district 1 (vote for 1)</v>
      </c>
      <c r="AF3348" s="88"/>
      <c r="AU3348" s="1"/>
    </row>
    <row r="3349" spans="1:47">
      <c r="A3349" t="str">
        <f t="shared" si="794"/>
        <v>PA_Alleg_2019g~Gen-member of council district 1 (vote for 1)</v>
      </c>
      <c r="B3349" s="55" t="s">
        <v>1528</v>
      </c>
      <c r="C3349">
        <v>44</v>
      </c>
      <c r="D3349" s="55" t="s">
        <v>51</v>
      </c>
      <c r="E3349" s="55" t="s">
        <v>1404</v>
      </c>
      <c r="F3349" t="s">
        <v>1405</v>
      </c>
      <c r="G3349" s="62">
        <v>2341</v>
      </c>
      <c r="H3349">
        <v>35.270000000000003</v>
      </c>
      <c r="I3349">
        <v>24344</v>
      </c>
      <c r="J3349">
        <v>0</v>
      </c>
      <c r="K3349">
        <v>39</v>
      </c>
      <c r="L3349">
        <v>39</v>
      </c>
      <c r="M3349">
        <v>0</v>
      </c>
      <c r="N3349" s="23">
        <v>0</v>
      </c>
      <c r="O3349">
        <f t="shared" si="795"/>
        <v>2</v>
      </c>
      <c r="P3349" s="57">
        <f t="shared" si="796"/>
        <v>1</v>
      </c>
      <c r="Q3349" s="267">
        <f t="shared" si="797"/>
        <v>2663</v>
      </c>
      <c r="R3349" s="23" t="str">
        <f t="shared" si="798"/>
        <v/>
      </c>
      <c r="S3349" s="23">
        <f t="shared" si="799"/>
        <v>2341</v>
      </c>
      <c r="T3349" s="23" t="str">
        <f t="shared" si="800"/>
        <v/>
      </c>
      <c r="U3349" t="str">
        <f t="shared" si="801"/>
        <v/>
      </c>
      <c r="AF3349" s="88"/>
      <c r="AU3349" s="1"/>
    </row>
    <row r="3350" spans="1:47">
      <c r="A3350" t="str">
        <f t="shared" si="794"/>
        <v>PA_Alleg_2019g~Gen-member of council district 1 (vote for 1)</v>
      </c>
      <c r="B3350" s="55" t="s">
        <v>1528</v>
      </c>
      <c r="C3350">
        <v>45</v>
      </c>
      <c r="D3350" s="55" t="s">
        <v>51</v>
      </c>
      <c r="E3350" s="55" t="s">
        <v>1406</v>
      </c>
      <c r="F3350" t="s">
        <v>1407</v>
      </c>
      <c r="G3350" s="62">
        <v>282</v>
      </c>
      <c r="H3350">
        <v>4.25</v>
      </c>
      <c r="I3350">
        <v>24344</v>
      </c>
      <c r="J3350">
        <v>0</v>
      </c>
      <c r="K3350">
        <v>39</v>
      </c>
      <c r="L3350">
        <v>39</v>
      </c>
      <c r="M3350">
        <v>0</v>
      </c>
      <c r="N3350" s="23">
        <v>0</v>
      </c>
      <c r="O3350">
        <f t="shared" si="795"/>
        <v>3</v>
      </c>
      <c r="P3350" s="57">
        <f t="shared" si="796"/>
        <v>1</v>
      </c>
      <c r="Q3350" s="267">
        <f t="shared" si="797"/>
        <v>322</v>
      </c>
      <c r="R3350" s="23" t="str">
        <f t="shared" si="798"/>
        <v/>
      </c>
      <c r="S3350" s="23">
        <f t="shared" si="799"/>
        <v>282</v>
      </c>
      <c r="T3350" s="23" t="str">
        <f t="shared" si="800"/>
        <v/>
      </c>
      <c r="U3350" t="str">
        <f t="shared" si="801"/>
        <v/>
      </c>
      <c r="AF3350" s="88"/>
      <c r="AU3350" s="1"/>
    </row>
    <row r="3351" spans="1:47">
      <c r="A3351" t="str">
        <f t="shared" si="794"/>
        <v>PA_Alleg_2019g~Gen-member of council district 1 (vote for 1)</v>
      </c>
      <c r="B3351" s="55" t="s">
        <v>1528</v>
      </c>
      <c r="C3351">
        <v>46</v>
      </c>
      <c r="D3351" s="55" t="s">
        <v>51</v>
      </c>
      <c r="E3351" s="55" t="s">
        <v>15</v>
      </c>
      <c r="G3351" s="62">
        <v>40</v>
      </c>
      <c r="H3351">
        <v>0.6</v>
      </c>
      <c r="I3351">
        <v>24344</v>
      </c>
      <c r="J3351">
        <v>0</v>
      </c>
      <c r="K3351">
        <v>39</v>
      </c>
      <c r="L3351">
        <v>39</v>
      </c>
      <c r="M3351">
        <v>0</v>
      </c>
      <c r="N3351" s="23">
        <v>0</v>
      </c>
      <c r="O3351">
        <f t="shared" si="795"/>
        <v>-3</v>
      </c>
      <c r="P3351" s="57">
        <f t="shared" si="796"/>
        <v>1</v>
      </c>
      <c r="Q3351" s="267">
        <f t="shared" si="797"/>
        <v>40</v>
      </c>
      <c r="R3351" s="23">
        <f t="shared" si="798"/>
        <v>1</v>
      </c>
      <c r="S3351" s="23">
        <f t="shared" si="799"/>
        <v>0</v>
      </c>
      <c r="T3351" s="23" t="str">
        <f t="shared" si="800"/>
        <v/>
      </c>
      <c r="U3351" t="str">
        <f t="shared" si="801"/>
        <v/>
      </c>
      <c r="AF3351" s="88"/>
      <c r="AU3351" s="1"/>
    </row>
    <row r="3352" spans="1:47">
      <c r="A3352" t="str">
        <f t="shared" si="794"/>
        <v>PA_Alleg_2019g~Gen-member of council district 3 (vote for 1)</v>
      </c>
      <c r="B3352" s="55" t="s">
        <v>1528</v>
      </c>
      <c r="C3352">
        <v>47</v>
      </c>
      <c r="D3352" s="55" t="s">
        <v>55</v>
      </c>
      <c r="E3352" s="55" t="s">
        <v>58</v>
      </c>
      <c r="F3352" t="s">
        <v>1294</v>
      </c>
      <c r="G3352" s="62">
        <v>3398</v>
      </c>
      <c r="H3352">
        <v>69.42</v>
      </c>
      <c r="I3352">
        <v>30876</v>
      </c>
      <c r="J3352">
        <v>0</v>
      </c>
      <c r="K3352">
        <v>41</v>
      </c>
      <c r="L3352">
        <v>41</v>
      </c>
      <c r="M3352">
        <v>0</v>
      </c>
      <c r="N3352" s="23">
        <v>0</v>
      </c>
      <c r="O3352">
        <f t="shared" si="795"/>
        <v>1</v>
      </c>
      <c r="P3352" s="57">
        <f t="shared" si="796"/>
        <v>1</v>
      </c>
      <c r="Q3352" s="267">
        <f t="shared" si="797"/>
        <v>4895</v>
      </c>
      <c r="R3352" s="23">
        <f t="shared" si="798"/>
        <v>3398</v>
      </c>
      <c r="S3352" s="23">
        <f t="shared" si="799"/>
        <v>1474</v>
      </c>
      <c r="T3352" s="23">
        <f t="shared" si="800"/>
        <v>1924</v>
      </c>
      <c r="U3352" t="str">
        <f t="shared" si="801"/>
        <v>PA_Alleg_2019g~Gen-member of council district 3 (vote for 1)</v>
      </c>
      <c r="AF3352" s="88"/>
      <c r="AU3352" s="1"/>
    </row>
    <row r="3353" spans="1:47">
      <c r="A3353" t="str">
        <f t="shared" si="794"/>
        <v>PA_Alleg_2019g~Gen-member of council district 3 (vote for 1)</v>
      </c>
      <c r="B3353" s="55" t="s">
        <v>1528</v>
      </c>
      <c r="C3353">
        <v>48</v>
      </c>
      <c r="D3353" s="55" t="s">
        <v>55</v>
      </c>
      <c r="E3353" s="55" t="s">
        <v>1408</v>
      </c>
      <c r="F3353" t="s">
        <v>1399</v>
      </c>
      <c r="G3353" s="62">
        <v>1474</v>
      </c>
      <c r="H3353">
        <v>30.11</v>
      </c>
      <c r="I3353">
        <v>30876</v>
      </c>
      <c r="J3353">
        <v>0</v>
      </c>
      <c r="K3353">
        <v>41</v>
      </c>
      <c r="L3353">
        <v>41</v>
      </c>
      <c r="M3353">
        <v>0</v>
      </c>
      <c r="N3353" s="23">
        <v>0</v>
      </c>
      <c r="O3353">
        <f t="shared" si="795"/>
        <v>2</v>
      </c>
      <c r="P3353" s="57">
        <f t="shared" si="796"/>
        <v>1</v>
      </c>
      <c r="Q3353" s="267">
        <f t="shared" si="797"/>
        <v>1497</v>
      </c>
      <c r="R3353" s="23" t="str">
        <f t="shared" si="798"/>
        <v/>
      </c>
      <c r="S3353" s="23">
        <f t="shared" si="799"/>
        <v>1474</v>
      </c>
      <c r="T3353" s="23" t="str">
        <f t="shared" si="800"/>
        <v/>
      </c>
      <c r="U3353" t="str">
        <f t="shared" si="801"/>
        <v/>
      </c>
      <c r="AF3353" s="88"/>
      <c r="AU3353" s="1"/>
    </row>
    <row r="3354" spans="1:47">
      <c r="A3354" t="str">
        <f t="shared" si="794"/>
        <v>PA_Alleg_2019g~Gen-member of council district 3 (vote for 1)</v>
      </c>
      <c r="B3354" s="55" t="s">
        <v>1528</v>
      </c>
      <c r="C3354">
        <v>49</v>
      </c>
      <c r="D3354" s="55" t="s">
        <v>55</v>
      </c>
      <c r="E3354" s="55" t="s">
        <v>15</v>
      </c>
      <c r="G3354" s="62">
        <v>23</v>
      </c>
      <c r="H3354">
        <v>0.47</v>
      </c>
      <c r="I3354">
        <v>30876</v>
      </c>
      <c r="J3354">
        <v>0</v>
      </c>
      <c r="K3354">
        <v>41</v>
      </c>
      <c r="L3354">
        <v>41</v>
      </c>
      <c r="M3354">
        <v>0</v>
      </c>
      <c r="N3354" s="23">
        <v>0</v>
      </c>
      <c r="O3354">
        <f t="shared" si="795"/>
        <v>-2</v>
      </c>
      <c r="P3354" s="57">
        <f t="shared" si="796"/>
        <v>1</v>
      </c>
      <c r="Q3354" s="267">
        <f t="shared" si="797"/>
        <v>23</v>
      </c>
      <c r="R3354" s="23">
        <f t="shared" si="798"/>
        <v>1</v>
      </c>
      <c r="S3354" s="23">
        <f t="shared" si="799"/>
        <v>0</v>
      </c>
      <c r="T3354" s="23" t="str">
        <f t="shared" si="800"/>
        <v/>
      </c>
      <c r="U3354" t="str">
        <f t="shared" si="801"/>
        <v/>
      </c>
      <c r="AF3354" s="88"/>
      <c r="AU3354" s="1"/>
    </row>
    <row r="3355" spans="1:47">
      <c r="A3355" t="str">
        <f t="shared" si="794"/>
        <v>PA_Alleg_2019g~Gen-member of council district 5 (vote for 1)</v>
      </c>
      <c r="B3355" s="55" t="s">
        <v>1528</v>
      </c>
      <c r="C3355">
        <v>50</v>
      </c>
      <c r="D3355" s="55" t="s">
        <v>59</v>
      </c>
      <c r="E3355" s="55" t="s">
        <v>60</v>
      </c>
      <c r="F3355" t="s">
        <v>1294</v>
      </c>
      <c r="G3355" s="62">
        <v>8263</v>
      </c>
      <c r="H3355">
        <v>97.91</v>
      </c>
      <c r="I3355">
        <v>28045</v>
      </c>
      <c r="J3355">
        <v>0</v>
      </c>
      <c r="K3355">
        <v>47</v>
      </c>
      <c r="L3355">
        <v>47</v>
      </c>
      <c r="M3355">
        <v>0</v>
      </c>
      <c r="N3355" s="23">
        <v>0</v>
      </c>
      <c r="O3355">
        <f t="shared" si="795"/>
        <v>1</v>
      </c>
      <c r="P3355" s="57">
        <f t="shared" si="796"/>
        <v>1</v>
      </c>
      <c r="Q3355" s="267">
        <f t="shared" si="797"/>
        <v>8439</v>
      </c>
      <c r="R3355" s="23">
        <f t="shared" si="798"/>
        <v>8263</v>
      </c>
      <c r="S3355" s="23">
        <f t="shared" si="799"/>
        <v>0</v>
      </c>
      <c r="T3355" s="23" t="str">
        <f t="shared" si="800"/>
        <v/>
      </c>
      <c r="U3355" t="str">
        <f t="shared" si="801"/>
        <v>PA_Alleg_2019g~Gen-member of council district 5 (vote for 1)</v>
      </c>
      <c r="AF3355" s="88"/>
      <c r="AU3355" s="1"/>
    </row>
    <row r="3356" spans="1:47">
      <c r="A3356" t="str">
        <f t="shared" si="794"/>
        <v>PA_Alleg_2019g~Gen-member of council district 5 (vote for 1)</v>
      </c>
      <c r="B3356" s="55" t="s">
        <v>1528</v>
      </c>
      <c r="C3356">
        <v>51</v>
      </c>
      <c r="D3356" s="55" t="s">
        <v>59</v>
      </c>
      <c r="E3356" s="55" t="s">
        <v>15</v>
      </c>
      <c r="G3356" s="62">
        <v>176</v>
      </c>
      <c r="H3356">
        <v>2.09</v>
      </c>
      <c r="I3356">
        <v>28045</v>
      </c>
      <c r="J3356">
        <v>0</v>
      </c>
      <c r="K3356">
        <v>47</v>
      </c>
      <c r="L3356">
        <v>47</v>
      </c>
      <c r="M3356">
        <v>0</v>
      </c>
      <c r="N3356" s="23">
        <v>0</v>
      </c>
      <c r="O3356">
        <f t="shared" si="795"/>
        <v>-1</v>
      </c>
      <c r="P3356" s="57">
        <f t="shared" si="796"/>
        <v>1</v>
      </c>
      <c r="Q3356" s="267">
        <f t="shared" si="797"/>
        <v>176</v>
      </c>
      <c r="R3356" s="23">
        <f t="shared" si="798"/>
        <v>1</v>
      </c>
      <c r="S3356" s="23">
        <f t="shared" si="799"/>
        <v>0</v>
      </c>
      <c r="T3356" s="23" t="str">
        <f t="shared" si="800"/>
        <v/>
      </c>
      <c r="U3356" t="str">
        <f t="shared" si="801"/>
        <v/>
      </c>
      <c r="AF3356" s="88"/>
      <c r="AU3356" s="1"/>
    </row>
    <row r="3357" spans="1:47">
      <c r="A3357" t="str">
        <f t="shared" si="794"/>
        <v>PA_Alleg_2019g~Gen-member of council district 7 (vote for 1)</v>
      </c>
      <c r="B3357" s="55" t="s">
        <v>1528</v>
      </c>
      <c r="C3357">
        <v>52</v>
      </c>
      <c r="D3357" s="55" t="s">
        <v>61</v>
      </c>
      <c r="E3357" s="55" t="s">
        <v>62</v>
      </c>
      <c r="F3357" t="s">
        <v>1294</v>
      </c>
      <c r="G3357" s="62">
        <v>8633</v>
      </c>
      <c r="H3357">
        <v>97.37</v>
      </c>
      <c r="I3357">
        <v>31735</v>
      </c>
      <c r="J3357">
        <v>0</v>
      </c>
      <c r="K3357">
        <v>46</v>
      </c>
      <c r="L3357">
        <v>46</v>
      </c>
      <c r="M3357">
        <v>0</v>
      </c>
      <c r="N3357" s="23">
        <v>0</v>
      </c>
      <c r="O3357">
        <f t="shared" si="795"/>
        <v>1</v>
      </c>
      <c r="P3357" s="57">
        <f t="shared" si="796"/>
        <v>1</v>
      </c>
      <c r="Q3357" s="267">
        <f t="shared" si="797"/>
        <v>8866</v>
      </c>
      <c r="R3357" s="23">
        <f t="shared" si="798"/>
        <v>8633</v>
      </c>
      <c r="S3357" s="23">
        <f t="shared" si="799"/>
        <v>0</v>
      </c>
      <c r="T3357" s="23" t="str">
        <f t="shared" si="800"/>
        <v/>
      </c>
      <c r="U3357" t="str">
        <f t="shared" si="801"/>
        <v>PA_Alleg_2019g~Gen-member of council district 7 (vote for 1)</v>
      </c>
      <c r="AF3357" s="88"/>
      <c r="AU3357" s="1"/>
    </row>
    <row r="3358" spans="1:47">
      <c r="A3358" t="str">
        <f t="shared" si="794"/>
        <v>PA_Alleg_2019g~Gen-member of council district 7 (vote for 1)</v>
      </c>
      <c r="B3358" s="55" t="s">
        <v>1528</v>
      </c>
      <c r="C3358">
        <v>53</v>
      </c>
      <c r="D3358" s="55" t="s">
        <v>61</v>
      </c>
      <c r="E3358" s="55" t="s">
        <v>15</v>
      </c>
      <c r="G3358" s="62">
        <v>233</v>
      </c>
      <c r="H3358">
        <v>2.63</v>
      </c>
      <c r="I3358">
        <v>31735</v>
      </c>
      <c r="J3358">
        <v>0</v>
      </c>
      <c r="K3358">
        <v>46</v>
      </c>
      <c r="L3358">
        <v>46</v>
      </c>
      <c r="M3358">
        <v>0</v>
      </c>
      <c r="N3358" s="23">
        <v>0</v>
      </c>
      <c r="O3358">
        <f t="shared" si="795"/>
        <v>-1</v>
      </c>
      <c r="P3358" s="57">
        <f t="shared" si="796"/>
        <v>1</v>
      </c>
      <c r="Q3358" s="267">
        <f t="shared" si="797"/>
        <v>233</v>
      </c>
      <c r="R3358" s="23">
        <f t="shared" si="798"/>
        <v>1</v>
      </c>
      <c r="S3358" s="23">
        <f t="shared" si="799"/>
        <v>0</v>
      </c>
      <c r="T3358" s="23" t="str">
        <f t="shared" si="800"/>
        <v/>
      </c>
      <c r="U3358" t="str">
        <f t="shared" si="801"/>
        <v/>
      </c>
      <c r="AF3358" s="88"/>
      <c r="AU3358" s="1"/>
    </row>
    <row r="3359" spans="1:47">
      <c r="A3359" t="str">
        <f t="shared" si="794"/>
        <v>PA_Alleg_2019g~Gen-member of council district 9 (vote for 1)</v>
      </c>
      <c r="B3359" s="55" t="s">
        <v>1528</v>
      </c>
      <c r="C3359">
        <v>54</v>
      </c>
      <c r="D3359" s="55" t="s">
        <v>64</v>
      </c>
      <c r="E3359" s="55" t="s">
        <v>65</v>
      </c>
      <c r="F3359" t="s">
        <v>1294</v>
      </c>
      <c r="G3359" s="62">
        <v>3272</v>
      </c>
      <c r="H3359">
        <v>41</v>
      </c>
      <c r="I3359">
        <v>28303</v>
      </c>
      <c r="J3359">
        <v>0</v>
      </c>
      <c r="K3359">
        <v>60</v>
      </c>
      <c r="L3359">
        <v>60</v>
      </c>
      <c r="M3359">
        <v>0</v>
      </c>
      <c r="N3359" s="23">
        <v>0</v>
      </c>
      <c r="O3359">
        <f t="shared" si="795"/>
        <v>1</v>
      </c>
      <c r="P3359" s="57">
        <f t="shared" si="796"/>
        <v>1</v>
      </c>
      <c r="Q3359" s="267">
        <f t="shared" si="797"/>
        <v>7980</v>
      </c>
      <c r="R3359" s="23">
        <f t="shared" si="798"/>
        <v>3272</v>
      </c>
      <c r="S3359" s="23">
        <f t="shared" si="799"/>
        <v>2246</v>
      </c>
      <c r="T3359" s="23">
        <f t="shared" si="800"/>
        <v>1026</v>
      </c>
      <c r="U3359" t="str">
        <f t="shared" si="801"/>
        <v>PA_Alleg_2019g~Gen-member of council district 9 (vote for 1)</v>
      </c>
      <c r="AF3359" s="88"/>
      <c r="AU3359" s="1"/>
    </row>
    <row r="3360" spans="1:47">
      <c r="A3360" t="str">
        <f t="shared" si="794"/>
        <v>PA_Alleg_2019g~Gen-member of council district 9 (vote for 1)</v>
      </c>
      <c r="B3360" s="55" t="s">
        <v>1528</v>
      </c>
      <c r="C3360">
        <v>57</v>
      </c>
      <c r="D3360" s="55" t="s">
        <v>64</v>
      </c>
      <c r="E3360" s="55" t="s">
        <v>1413</v>
      </c>
      <c r="F3360" t="s">
        <v>1414</v>
      </c>
      <c r="G3360" s="62">
        <v>2246</v>
      </c>
      <c r="H3360">
        <v>28.15</v>
      </c>
      <c r="I3360">
        <v>28303</v>
      </c>
      <c r="J3360">
        <v>0</v>
      </c>
      <c r="K3360">
        <v>60</v>
      </c>
      <c r="L3360">
        <v>60</v>
      </c>
      <c r="M3360">
        <v>0</v>
      </c>
      <c r="N3360" s="23">
        <v>0</v>
      </c>
      <c r="O3360">
        <f t="shared" si="795"/>
        <v>2</v>
      </c>
      <c r="P3360" s="57">
        <f t="shared" si="796"/>
        <v>1</v>
      </c>
      <c r="Q3360" s="267">
        <f t="shared" si="797"/>
        <v>4708</v>
      </c>
      <c r="R3360" s="23" t="str">
        <f t="shared" si="798"/>
        <v/>
      </c>
      <c r="S3360" s="23">
        <f t="shared" si="799"/>
        <v>2246</v>
      </c>
      <c r="T3360" s="23" t="str">
        <f t="shared" si="800"/>
        <v/>
      </c>
      <c r="U3360" t="str">
        <f t="shared" si="801"/>
        <v/>
      </c>
      <c r="AF3360" s="88"/>
      <c r="AU3360" s="1"/>
    </row>
    <row r="3361" spans="1:47">
      <c r="A3361" t="str">
        <f t="shared" si="794"/>
        <v>PA_Alleg_2019g~Gen-member of council district 9 (vote for 1)</v>
      </c>
      <c r="B3361" s="55" t="s">
        <v>1528</v>
      </c>
      <c r="C3361">
        <v>55</v>
      </c>
      <c r="D3361" s="55" t="s">
        <v>64</v>
      </c>
      <c r="E3361" s="55" t="s">
        <v>1409</v>
      </c>
      <c r="F3361" t="s">
        <v>1410</v>
      </c>
      <c r="G3361" s="62">
        <v>2068</v>
      </c>
      <c r="H3361">
        <v>25.91</v>
      </c>
      <c r="I3361">
        <v>28303</v>
      </c>
      <c r="J3361">
        <v>0</v>
      </c>
      <c r="K3361">
        <v>60</v>
      </c>
      <c r="L3361">
        <v>60</v>
      </c>
      <c r="M3361">
        <v>0</v>
      </c>
      <c r="N3361" s="23">
        <v>0</v>
      </c>
      <c r="O3361">
        <f t="shared" si="795"/>
        <v>3</v>
      </c>
      <c r="P3361" s="57">
        <f t="shared" si="796"/>
        <v>1</v>
      </c>
      <c r="Q3361" s="267">
        <f t="shared" si="797"/>
        <v>2462</v>
      </c>
      <c r="R3361" s="23" t="str">
        <f t="shared" si="798"/>
        <v/>
      </c>
      <c r="S3361" s="23">
        <f t="shared" si="799"/>
        <v>2068</v>
      </c>
      <c r="T3361" s="23" t="str">
        <f t="shared" si="800"/>
        <v/>
      </c>
      <c r="U3361" t="str">
        <f t="shared" si="801"/>
        <v/>
      </c>
      <c r="AF3361" s="88"/>
      <c r="AU3361" s="1"/>
    </row>
    <row r="3362" spans="1:47">
      <c r="A3362" t="str">
        <f t="shared" si="794"/>
        <v>PA_Alleg_2019g~Gen-member of council district 9 (vote for 1)</v>
      </c>
      <c r="B3362" s="55" t="s">
        <v>1528</v>
      </c>
      <c r="C3362">
        <v>56</v>
      </c>
      <c r="D3362" s="55" t="s">
        <v>64</v>
      </c>
      <c r="E3362" s="55" t="s">
        <v>1411</v>
      </c>
      <c r="F3362" t="s">
        <v>1412</v>
      </c>
      <c r="G3362" s="62">
        <v>372</v>
      </c>
      <c r="H3362">
        <v>4.66</v>
      </c>
      <c r="I3362">
        <v>28303</v>
      </c>
      <c r="J3362">
        <v>0</v>
      </c>
      <c r="K3362">
        <v>60</v>
      </c>
      <c r="L3362">
        <v>60</v>
      </c>
      <c r="M3362">
        <v>0</v>
      </c>
      <c r="N3362" s="23">
        <v>0</v>
      </c>
      <c r="O3362">
        <f t="shared" si="795"/>
        <v>4</v>
      </c>
      <c r="P3362" s="57">
        <f t="shared" si="796"/>
        <v>1</v>
      </c>
      <c r="Q3362" s="267">
        <f t="shared" si="797"/>
        <v>394</v>
      </c>
      <c r="R3362" s="23" t="str">
        <f t="shared" si="798"/>
        <v/>
      </c>
      <c r="S3362" s="23">
        <f t="shared" si="799"/>
        <v>372</v>
      </c>
      <c r="T3362" s="23" t="str">
        <f t="shared" si="800"/>
        <v/>
      </c>
      <c r="U3362" t="str">
        <f t="shared" si="801"/>
        <v/>
      </c>
      <c r="AF3362" s="88"/>
      <c r="AU3362" s="1"/>
    </row>
    <row r="3363" spans="1:47">
      <c r="A3363" t="str">
        <f t="shared" si="794"/>
        <v>PA_Alleg_2019g~Gen-member of council district 9 (vote for 1)</v>
      </c>
      <c r="B3363" s="55" t="s">
        <v>1528</v>
      </c>
      <c r="C3363">
        <v>58</v>
      </c>
      <c r="D3363" s="55" t="s">
        <v>64</v>
      </c>
      <c r="E3363" s="55" t="s">
        <v>15</v>
      </c>
      <c r="G3363" s="62">
        <v>22</v>
      </c>
      <c r="H3363">
        <v>0.28000000000000003</v>
      </c>
      <c r="I3363">
        <v>28303</v>
      </c>
      <c r="J3363">
        <v>0</v>
      </c>
      <c r="K3363">
        <v>60</v>
      </c>
      <c r="L3363">
        <v>60</v>
      </c>
      <c r="M3363">
        <v>0</v>
      </c>
      <c r="N3363" s="23">
        <v>0</v>
      </c>
      <c r="O3363">
        <f t="shared" si="795"/>
        <v>-4</v>
      </c>
      <c r="P3363" s="57">
        <f t="shared" si="796"/>
        <v>1</v>
      </c>
      <c r="Q3363" s="267">
        <f t="shared" si="797"/>
        <v>22</v>
      </c>
      <c r="R3363" s="23">
        <f t="shared" si="798"/>
        <v>1</v>
      </c>
      <c r="S3363" s="23">
        <f t="shared" si="799"/>
        <v>0</v>
      </c>
      <c r="T3363" s="23" t="str">
        <f t="shared" si="800"/>
        <v/>
      </c>
      <c r="U3363" t="str">
        <f t="shared" si="801"/>
        <v/>
      </c>
      <c r="AF3363" s="88"/>
      <c r="AU3363" s="1"/>
    </row>
    <row r="3364" spans="1:47">
      <c r="A3364" t="str">
        <f t="shared" si="794"/>
        <v>PA_Alleg_2019g~Gen-member of council dormont (vote for 3)</v>
      </c>
      <c r="B3364" s="55" t="s">
        <v>1528</v>
      </c>
      <c r="C3364">
        <v>791</v>
      </c>
      <c r="D3364" s="55" t="s">
        <v>741</v>
      </c>
      <c r="E3364" s="55" t="s">
        <v>743</v>
      </c>
      <c r="F3364" t="s">
        <v>1294</v>
      </c>
      <c r="G3364" s="62">
        <v>1445</v>
      </c>
      <c r="H3364">
        <v>33.75</v>
      </c>
      <c r="I3364">
        <v>6737</v>
      </c>
      <c r="J3364">
        <v>0</v>
      </c>
      <c r="K3364">
        <v>10</v>
      </c>
      <c r="L3364">
        <v>10</v>
      </c>
      <c r="M3364">
        <v>0</v>
      </c>
      <c r="N3364" s="23">
        <v>0</v>
      </c>
      <c r="O3364">
        <f t="shared" si="795"/>
        <v>1</v>
      </c>
      <c r="P3364" s="57">
        <f t="shared" si="796"/>
        <v>3</v>
      </c>
      <c r="Q3364" s="267">
        <f t="shared" si="797"/>
        <v>1445</v>
      </c>
      <c r="R3364" s="23">
        <f t="shared" si="798"/>
        <v>1360</v>
      </c>
      <c r="S3364" s="23">
        <f t="shared" si="799"/>
        <v>0</v>
      </c>
      <c r="T3364" s="23" t="str">
        <f t="shared" si="800"/>
        <v/>
      </c>
      <c r="U3364" t="str">
        <f t="shared" si="801"/>
        <v>PA_Alleg_2019g~Gen-member of council dormont (vote for 3)</v>
      </c>
      <c r="AF3364" s="88"/>
      <c r="AU3364" s="1"/>
    </row>
    <row r="3365" spans="1:47">
      <c r="A3365" t="str">
        <f t="shared" si="794"/>
        <v>PA_Alleg_2019g~Gen-member of council dormont (vote for 3)</v>
      </c>
      <c r="B3365" s="55" t="s">
        <v>1528</v>
      </c>
      <c r="C3365">
        <v>792</v>
      </c>
      <c r="D3365" s="55" t="s">
        <v>741</v>
      </c>
      <c r="E3365" s="55" t="s">
        <v>744</v>
      </c>
      <c r="F3365" t="s">
        <v>1294</v>
      </c>
      <c r="G3365" s="62">
        <v>1386</v>
      </c>
      <c r="H3365">
        <v>32.380000000000003</v>
      </c>
      <c r="I3365">
        <v>6737</v>
      </c>
      <c r="J3365">
        <v>0</v>
      </c>
      <c r="K3365">
        <v>10</v>
      </c>
      <c r="L3365">
        <v>10</v>
      </c>
      <c r="M3365">
        <v>0</v>
      </c>
      <c r="N3365" s="23">
        <v>0</v>
      </c>
      <c r="O3365">
        <f t="shared" si="795"/>
        <v>2</v>
      </c>
      <c r="P3365" s="57">
        <f t="shared" si="796"/>
        <v>3</v>
      </c>
      <c r="Q3365" s="267">
        <f t="shared" si="797"/>
        <v>2836</v>
      </c>
      <c r="R3365" s="23">
        <f t="shared" si="798"/>
        <v>1360</v>
      </c>
      <c r="S3365" s="23">
        <f t="shared" si="799"/>
        <v>0</v>
      </c>
      <c r="T3365" s="23" t="str">
        <f t="shared" si="800"/>
        <v/>
      </c>
      <c r="U3365" t="str">
        <f t="shared" si="801"/>
        <v/>
      </c>
      <c r="AF3365" s="88"/>
      <c r="AU3365" s="1"/>
    </row>
    <row r="3366" spans="1:47">
      <c r="A3366" t="str">
        <f t="shared" si="794"/>
        <v>PA_Alleg_2019g~Gen-member of council dormont (vote for 3)</v>
      </c>
      <c r="B3366" s="55" t="s">
        <v>1528</v>
      </c>
      <c r="C3366">
        <v>793</v>
      </c>
      <c r="D3366" s="55" t="s">
        <v>741</v>
      </c>
      <c r="E3366" s="55" t="s">
        <v>742</v>
      </c>
      <c r="F3366" t="s">
        <v>1294</v>
      </c>
      <c r="G3366" s="62">
        <v>1360</v>
      </c>
      <c r="H3366">
        <v>31.77</v>
      </c>
      <c r="I3366">
        <v>6737</v>
      </c>
      <c r="J3366">
        <v>0</v>
      </c>
      <c r="K3366">
        <v>10</v>
      </c>
      <c r="L3366">
        <v>10</v>
      </c>
      <c r="M3366">
        <v>0</v>
      </c>
      <c r="N3366" s="23">
        <v>0</v>
      </c>
      <c r="O3366">
        <f t="shared" si="795"/>
        <v>3</v>
      </c>
      <c r="P3366" s="57">
        <f t="shared" si="796"/>
        <v>3</v>
      </c>
      <c r="Q3366" s="267">
        <f t="shared" si="797"/>
        <v>1450</v>
      </c>
      <c r="R3366" s="23">
        <f t="shared" si="798"/>
        <v>1360</v>
      </c>
      <c r="S3366" s="23">
        <f t="shared" si="799"/>
        <v>0</v>
      </c>
      <c r="T3366" s="23" t="str">
        <f t="shared" si="800"/>
        <v/>
      </c>
      <c r="U3366" t="str">
        <f t="shared" si="801"/>
        <v/>
      </c>
      <c r="AF3366" s="88"/>
      <c r="AU3366" s="1"/>
    </row>
    <row r="3367" spans="1:47">
      <c r="A3367" t="str">
        <f t="shared" si="794"/>
        <v>PA_Alleg_2019g~Gen-member of council dormont (vote for 3)</v>
      </c>
      <c r="B3367" s="55" t="s">
        <v>1528</v>
      </c>
      <c r="C3367">
        <v>794</v>
      </c>
      <c r="D3367" s="55" t="s">
        <v>741</v>
      </c>
      <c r="E3367" s="55" t="s">
        <v>15</v>
      </c>
      <c r="G3367" s="62">
        <v>90</v>
      </c>
      <c r="H3367">
        <v>2.1</v>
      </c>
      <c r="I3367">
        <v>6737</v>
      </c>
      <c r="J3367">
        <v>0</v>
      </c>
      <c r="K3367">
        <v>10</v>
      </c>
      <c r="L3367">
        <v>10</v>
      </c>
      <c r="M3367">
        <v>0</v>
      </c>
      <c r="N3367" s="23">
        <v>0</v>
      </c>
      <c r="O3367">
        <f t="shared" si="795"/>
        <v>-3</v>
      </c>
      <c r="P3367" s="57">
        <f t="shared" si="796"/>
        <v>3</v>
      </c>
      <c r="Q3367" s="267">
        <f t="shared" si="797"/>
        <v>90</v>
      </c>
      <c r="R3367" s="23">
        <f t="shared" si="798"/>
        <v>1</v>
      </c>
      <c r="S3367" s="23">
        <f t="shared" si="799"/>
        <v>0</v>
      </c>
      <c r="T3367" s="23" t="str">
        <f t="shared" si="800"/>
        <v/>
      </c>
      <c r="U3367" t="str">
        <f t="shared" si="801"/>
        <v/>
      </c>
      <c r="AF3367" s="88"/>
      <c r="AU3367" s="1"/>
    </row>
    <row r="3368" spans="1:47">
      <c r="A3368" t="str">
        <f t="shared" si="794"/>
        <v>PA_Alleg_2019g~Gen-member of council dravosburg (vote for 2)</v>
      </c>
      <c r="B3368" s="55" t="s">
        <v>1528</v>
      </c>
      <c r="C3368">
        <v>975</v>
      </c>
      <c r="D3368" s="55" t="s">
        <v>886</v>
      </c>
      <c r="E3368" s="55" t="s">
        <v>887</v>
      </c>
      <c r="F3368" t="s">
        <v>1294</v>
      </c>
      <c r="G3368" s="62">
        <v>209</v>
      </c>
      <c r="H3368">
        <v>33.869999999999997</v>
      </c>
      <c r="I3368">
        <v>1204</v>
      </c>
      <c r="J3368">
        <v>0</v>
      </c>
      <c r="K3368">
        <v>3</v>
      </c>
      <c r="L3368">
        <v>3</v>
      </c>
      <c r="M3368">
        <v>0</v>
      </c>
      <c r="N3368" s="23">
        <v>0</v>
      </c>
      <c r="O3368">
        <f t="shared" si="795"/>
        <v>1</v>
      </c>
      <c r="P3368" s="57">
        <f t="shared" si="796"/>
        <v>2</v>
      </c>
      <c r="Q3368" s="267">
        <f t="shared" si="797"/>
        <v>308.5</v>
      </c>
      <c r="R3368" s="23">
        <f t="shared" si="798"/>
        <v>207</v>
      </c>
      <c r="S3368" s="23">
        <f t="shared" si="799"/>
        <v>199</v>
      </c>
      <c r="T3368" s="23">
        <f t="shared" si="800"/>
        <v>8</v>
      </c>
      <c r="U3368" t="str">
        <f t="shared" si="801"/>
        <v>PA_Alleg_2019g~Gen-member of council dravosburg (vote for 2)</v>
      </c>
      <c r="AF3368" s="88"/>
      <c r="AU3368" s="1"/>
    </row>
    <row r="3369" spans="1:47">
      <c r="A3369" t="str">
        <f t="shared" si="794"/>
        <v>PA_Alleg_2019g~Gen-member of council dravosburg (vote for 2)</v>
      </c>
      <c r="B3369" s="55" t="s">
        <v>1528</v>
      </c>
      <c r="C3369">
        <v>974</v>
      </c>
      <c r="D3369" s="55" t="s">
        <v>886</v>
      </c>
      <c r="E3369" s="55" t="s">
        <v>888</v>
      </c>
      <c r="F3369" t="s">
        <v>1294</v>
      </c>
      <c r="G3369" s="62">
        <v>207</v>
      </c>
      <c r="H3369">
        <v>33.549999999999997</v>
      </c>
      <c r="I3369">
        <v>1204</v>
      </c>
      <c r="J3369">
        <v>0</v>
      </c>
      <c r="K3369">
        <v>3</v>
      </c>
      <c r="L3369">
        <v>3</v>
      </c>
      <c r="M3369">
        <v>0</v>
      </c>
      <c r="N3369" s="23">
        <v>0</v>
      </c>
      <c r="O3369">
        <f t="shared" si="795"/>
        <v>2</v>
      </c>
      <c r="P3369" s="57">
        <f t="shared" si="796"/>
        <v>2</v>
      </c>
      <c r="Q3369" s="267">
        <f t="shared" si="797"/>
        <v>408</v>
      </c>
      <c r="R3369" s="23">
        <f t="shared" si="798"/>
        <v>207</v>
      </c>
      <c r="S3369" s="23">
        <f t="shared" si="799"/>
        <v>199</v>
      </c>
      <c r="T3369" s="23" t="str">
        <f t="shared" si="800"/>
        <v/>
      </c>
      <c r="U3369" t="str">
        <f t="shared" si="801"/>
        <v/>
      </c>
      <c r="AF3369" s="88"/>
      <c r="AU3369" s="1"/>
    </row>
    <row r="3370" spans="1:47">
      <c r="A3370" t="str">
        <f t="shared" si="794"/>
        <v>PA_Alleg_2019g~Gen-member of council dravosburg (vote for 2)</v>
      </c>
      <c r="B3370" s="55" t="s">
        <v>1528</v>
      </c>
      <c r="C3370">
        <v>976</v>
      </c>
      <c r="D3370" s="55" t="s">
        <v>886</v>
      </c>
      <c r="E3370" s="55" t="s">
        <v>1231</v>
      </c>
      <c r="F3370" t="s">
        <v>1296</v>
      </c>
      <c r="G3370" s="62">
        <v>199</v>
      </c>
      <c r="H3370">
        <v>32.25</v>
      </c>
      <c r="I3370">
        <v>1204</v>
      </c>
      <c r="J3370">
        <v>0</v>
      </c>
      <c r="K3370">
        <v>3</v>
      </c>
      <c r="L3370">
        <v>3</v>
      </c>
      <c r="M3370">
        <v>0</v>
      </c>
      <c r="N3370" s="23">
        <v>0</v>
      </c>
      <c r="O3370">
        <f t="shared" si="795"/>
        <v>3</v>
      </c>
      <c r="P3370" s="57">
        <f t="shared" si="796"/>
        <v>2</v>
      </c>
      <c r="Q3370" s="267">
        <f t="shared" si="797"/>
        <v>201</v>
      </c>
      <c r="R3370" s="23" t="str">
        <f t="shared" si="798"/>
        <v/>
      </c>
      <c r="S3370" s="23">
        <f t="shared" si="799"/>
        <v>199</v>
      </c>
      <c r="T3370" s="23" t="str">
        <f t="shared" si="800"/>
        <v/>
      </c>
      <c r="U3370" t="str">
        <f t="shared" si="801"/>
        <v/>
      </c>
      <c r="AF3370" s="88"/>
      <c r="AU3370" s="1"/>
    </row>
    <row r="3371" spans="1:47">
      <c r="A3371" t="str">
        <f t="shared" si="794"/>
        <v>PA_Alleg_2019g~Gen-member of council dravosburg (vote for 2)</v>
      </c>
      <c r="B3371" s="55" t="s">
        <v>1528</v>
      </c>
      <c r="C3371">
        <v>977</v>
      </c>
      <c r="D3371" s="55" t="s">
        <v>886</v>
      </c>
      <c r="E3371" s="55" t="s">
        <v>15</v>
      </c>
      <c r="G3371" s="62">
        <v>2</v>
      </c>
      <c r="H3371">
        <v>0.32</v>
      </c>
      <c r="I3371">
        <v>1204</v>
      </c>
      <c r="J3371">
        <v>0</v>
      </c>
      <c r="K3371">
        <v>3</v>
      </c>
      <c r="L3371">
        <v>3</v>
      </c>
      <c r="M3371">
        <v>0</v>
      </c>
      <c r="N3371" s="23">
        <v>0</v>
      </c>
      <c r="O3371">
        <f t="shared" si="795"/>
        <v>-3</v>
      </c>
      <c r="P3371" s="57">
        <f t="shared" si="796"/>
        <v>2</v>
      </c>
      <c r="Q3371" s="267">
        <f t="shared" si="797"/>
        <v>2</v>
      </c>
      <c r="R3371" s="23">
        <f t="shared" si="798"/>
        <v>1</v>
      </c>
      <c r="S3371" s="23">
        <f t="shared" si="799"/>
        <v>0</v>
      </c>
      <c r="T3371" s="23" t="str">
        <f t="shared" si="800"/>
        <v/>
      </c>
      <c r="U3371" t="str">
        <f t="shared" si="801"/>
        <v/>
      </c>
      <c r="AF3371" s="88"/>
      <c r="AU3371" s="1"/>
    </row>
    <row r="3372" spans="1:47">
      <c r="A3372" t="str">
        <f t="shared" si="794"/>
        <v>PA_Alleg_2019g~Gen-member of council duquesne (vote for 2)</v>
      </c>
      <c r="B3372" s="55" t="s">
        <v>1528</v>
      </c>
      <c r="C3372">
        <v>1001</v>
      </c>
      <c r="D3372" s="55" t="s">
        <v>889</v>
      </c>
      <c r="E3372" s="55" t="s">
        <v>917</v>
      </c>
      <c r="F3372" t="s">
        <v>1294</v>
      </c>
      <c r="G3372" s="62">
        <v>625</v>
      </c>
      <c r="H3372">
        <v>85.85</v>
      </c>
      <c r="I3372">
        <v>3847</v>
      </c>
      <c r="J3372">
        <v>0</v>
      </c>
      <c r="K3372">
        <v>10</v>
      </c>
      <c r="L3372">
        <v>10</v>
      </c>
      <c r="M3372">
        <v>0</v>
      </c>
      <c r="N3372" s="23">
        <v>0</v>
      </c>
      <c r="O3372">
        <f t="shared" si="795"/>
        <v>1</v>
      </c>
      <c r="P3372" s="57">
        <f t="shared" si="796"/>
        <v>2</v>
      </c>
      <c r="Q3372" s="267">
        <f t="shared" si="797"/>
        <v>958.5</v>
      </c>
      <c r="R3372" s="23">
        <f t="shared" si="798"/>
        <v>569</v>
      </c>
      <c r="S3372" s="23">
        <f t="shared" si="799"/>
        <v>559</v>
      </c>
      <c r="T3372" s="23">
        <f t="shared" si="800"/>
        <v>10</v>
      </c>
      <c r="U3372" t="str">
        <f t="shared" si="801"/>
        <v>PA_Alleg_2019g~Gen-member of council duquesne (vote for 2)</v>
      </c>
      <c r="AF3372" s="88"/>
      <c r="AU3372" s="1"/>
    </row>
    <row r="3373" spans="1:47">
      <c r="A3373" t="str">
        <f t="shared" si="794"/>
        <v>PA_Alleg_2019g~Gen-member of council duquesne (vote for 2)</v>
      </c>
      <c r="B3373" s="55" t="s">
        <v>1528</v>
      </c>
      <c r="C3373">
        <v>979</v>
      </c>
      <c r="D3373" s="55" t="s">
        <v>889</v>
      </c>
      <c r="E3373" s="55" t="s">
        <v>892</v>
      </c>
      <c r="F3373" t="s">
        <v>1294</v>
      </c>
      <c r="G3373" s="62">
        <v>569</v>
      </c>
      <c r="H3373">
        <v>47.86</v>
      </c>
      <c r="I3373">
        <v>3847</v>
      </c>
      <c r="J3373">
        <v>0</v>
      </c>
      <c r="K3373">
        <v>10</v>
      </c>
      <c r="L3373">
        <v>10</v>
      </c>
      <c r="M3373">
        <v>0</v>
      </c>
      <c r="N3373" s="23">
        <v>0</v>
      </c>
      <c r="O3373">
        <f t="shared" si="795"/>
        <v>2</v>
      </c>
      <c r="P3373" s="57">
        <f t="shared" si="796"/>
        <v>2</v>
      </c>
      <c r="Q3373" s="267">
        <f t="shared" si="797"/>
        <v>1292</v>
      </c>
      <c r="R3373" s="23">
        <f t="shared" si="798"/>
        <v>569</v>
      </c>
      <c r="S3373" s="23">
        <f t="shared" si="799"/>
        <v>559</v>
      </c>
      <c r="T3373" s="23" t="str">
        <f t="shared" si="800"/>
        <v/>
      </c>
      <c r="U3373" t="str">
        <f t="shared" si="801"/>
        <v/>
      </c>
      <c r="AF3373" s="88"/>
      <c r="AU3373" s="1"/>
    </row>
    <row r="3374" spans="1:47">
      <c r="A3374" t="str">
        <f t="shared" si="794"/>
        <v>PA_Alleg_2019g~Gen-member of council duquesne (vote for 2)</v>
      </c>
      <c r="B3374" s="55" t="s">
        <v>1528</v>
      </c>
      <c r="C3374">
        <v>978</v>
      </c>
      <c r="D3374" s="55" t="s">
        <v>889</v>
      </c>
      <c r="E3374" s="55" t="s">
        <v>891</v>
      </c>
      <c r="F3374" t="s">
        <v>1294</v>
      </c>
      <c r="G3374" s="62">
        <v>559</v>
      </c>
      <c r="H3374">
        <v>47.01</v>
      </c>
      <c r="I3374">
        <v>3847</v>
      </c>
      <c r="J3374">
        <v>0</v>
      </c>
      <c r="K3374">
        <v>10</v>
      </c>
      <c r="L3374">
        <v>10</v>
      </c>
      <c r="M3374">
        <v>0</v>
      </c>
      <c r="N3374" s="23">
        <v>0</v>
      </c>
      <c r="O3374">
        <f t="shared" si="795"/>
        <v>3</v>
      </c>
      <c r="P3374" s="57">
        <f t="shared" si="796"/>
        <v>2</v>
      </c>
      <c r="Q3374" s="267">
        <f t="shared" si="797"/>
        <v>723</v>
      </c>
      <c r="R3374" s="23" t="str">
        <f t="shared" si="798"/>
        <v/>
      </c>
      <c r="S3374" s="23">
        <f t="shared" si="799"/>
        <v>559</v>
      </c>
      <c r="T3374" s="23" t="str">
        <f t="shared" si="800"/>
        <v/>
      </c>
      <c r="U3374" t="str">
        <f t="shared" si="801"/>
        <v/>
      </c>
      <c r="AF3374" s="88"/>
      <c r="AU3374" s="1"/>
    </row>
    <row r="3375" spans="1:47">
      <c r="A3375" t="str">
        <f t="shared" si="794"/>
        <v>PA_Alleg_2019g~Gen-member of council duquesne (vote for 2)</v>
      </c>
      <c r="B3375" s="55" t="s">
        <v>1528</v>
      </c>
      <c r="C3375">
        <v>1002</v>
      </c>
      <c r="D3375" s="55" t="s">
        <v>889</v>
      </c>
      <c r="E3375" s="55" t="s">
        <v>15</v>
      </c>
      <c r="G3375" s="62">
        <v>103</v>
      </c>
      <c r="H3375">
        <v>14.15</v>
      </c>
      <c r="I3375">
        <v>3847</v>
      </c>
      <c r="J3375">
        <v>0</v>
      </c>
      <c r="K3375">
        <v>10</v>
      </c>
      <c r="L3375">
        <v>10</v>
      </c>
      <c r="M3375">
        <v>0</v>
      </c>
      <c r="N3375" s="23">
        <v>0</v>
      </c>
      <c r="O3375">
        <f t="shared" si="795"/>
        <v>-3</v>
      </c>
      <c r="P3375" s="57">
        <f t="shared" si="796"/>
        <v>2</v>
      </c>
      <c r="Q3375" s="267">
        <f t="shared" si="797"/>
        <v>164</v>
      </c>
      <c r="R3375" s="23">
        <f t="shared" si="798"/>
        <v>1</v>
      </c>
      <c r="S3375" s="23">
        <f t="shared" si="799"/>
        <v>0</v>
      </c>
      <c r="T3375" s="23" t="str">
        <f t="shared" si="800"/>
        <v/>
      </c>
      <c r="U3375" t="str">
        <f t="shared" si="801"/>
        <v/>
      </c>
      <c r="AF3375" s="88"/>
      <c r="AU3375" s="1"/>
    </row>
    <row r="3376" spans="1:47">
      <c r="A3376" t="str">
        <f t="shared" si="794"/>
        <v>PA_Alleg_2019g~Gen-member of council duquesne (vote for 2)</v>
      </c>
      <c r="B3376" s="55" t="s">
        <v>1528</v>
      </c>
      <c r="C3376">
        <v>980</v>
      </c>
      <c r="D3376" s="55" t="s">
        <v>889</v>
      </c>
      <c r="E3376" s="55" t="s">
        <v>15</v>
      </c>
      <c r="G3376" s="62">
        <v>61</v>
      </c>
      <c r="H3376">
        <v>5.13</v>
      </c>
      <c r="I3376">
        <v>3847</v>
      </c>
      <c r="J3376">
        <v>0</v>
      </c>
      <c r="K3376">
        <v>10</v>
      </c>
      <c r="L3376">
        <v>10</v>
      </c>
      <c r="M3376">
        <v>0</v>
      </c>
      <c r="N3376" s="23">
        <v>0</v>
      </c>
      <c r="O3376">
        <f t="shared" si="795"/>
        <v>-3</v>
      </c>
      <c r="P3376" s="57">
        <f t="shared" si="796"/>
        <v>2</v>
      </c>
      <c r="Q3376" s="267">
        <f t="shared" si="797"/>
        <v>61</v>
      </c>
      <c r="R3376" s="23">
        <f t="shared" si="798"/>
        <v>1</v>
      </c>
      <c r="S3376" s="23">
        <f t="shared" si="799"/>
        <v>0</v>
      </c>
      <c r="T3376" s="23" t="str">
        <f t="shared" si="800"/>
        <v/>
      </c>
      <c r="U3376" t="str">
        <f t="shared" si="801"/>
        <v/>
      </c>
      <c r="AF3376" s="88"/>
      <c r="AU3376" s="1"/>
    </row>
    <row r="3377" spans="1:47">
      <c r="A3377" t="str">
        <f t="shared" si="794"/>
        <v>PA_Alleg_2019g~Gen-member of council east mckeesport (vote for 3)</v>
      </c>
      <c r="B3377" s="55" t="s">
        <v>1528</v>
      </c>
      <c r="C3377">
        <v>797</v>
      </c>
      <c r="D3377" s="55" t="s">
        <v>745</v>
      </c>
      <c r="E3377" s="55" t="s">
        <v>747</v>
      </c>
      <c r="F3377" t="s">
        <v>1294</v>
      </c>
      <c r="G3377" s="62">
        <v>259</v>
      </c>
      <c r="H3377">
        <v>33.21</v>
      </c>
      <c r="I3377">
        <v>1427</v>
      </c>
      <c r="J3377">
        <v>0</v>
      </c>
      <c r="K3377">
        <v>3</v>
      </c>
      <c r="L3377">
        <v>3</v>
      </c>
      <c r="M3377">
        <v>0</v>
      </c>
      <c r="N3377" s="23">
        <v>0</v>
      </c>
      <c r="O3377">
        <f t="shared" si="795"/>
        <v>1</v>
      </c>
      <c r="P3377" s="57">
        <f t="shared" si="796"/>
        <v>3</v>
      </c>
      <c r="Q3377" s="267">
        <f t="shared" si="797"/>
        <v>260</v>
      </c>
      <c r="R3377" s="23">
        <f t="shared" si="798"/>
        <v>256</v>
      </c>
      <c r="S3377" s="23">
        <f t="shared" si="799"/>
        <v>0</v>
      </c>
      <c r="T3377" s="23" t="str">
        <f t="shared" si="800"/>
        <v/>
      </c>
      <c r="U3377" t="str">
        <f t="shared" si="801"/>
        <v>PA_Alleg_2019g~Gen-member of council east mckeesport (vote for 3)</v>
      </c>
      <c r="AF3377" s="88"/>
      <c r="AU3377" s="1"/>
    </row>
    <row r="3378" spans="1:47">
      <c r="A3378" t="str">
        <f t="shared" si="794"/>
        <v>PA_Alleg_2019g~Gen-member of council east mckeesport (vote for 3)</v>
      </c>
      <c r="B3378" s="55" t="s">
        <v>1528</v>
      </c>
      <c r="C3378">
        <v>796</v>
      </c>
      <c r="D3378" s="55" t="s">
        <v>745</v>
      </c>
      <c r="E3378" s="55" t="s">
        <v>746</v>
      </c>
      <c r="F3378" t="s">
        <v>1294</v>
      </c>
      <c r="G3378" s="62">
        <v>258</v>
      </c>
      <c r="H3378">
        <v>33.08</v>
      </c>
      <c r="I3378">
        <v>1427</v>
      </c>
      <c r="J3378">
        <v>0</v>
      </c>
      <c r="K3378">
        <v>3</v>
      </c>
      <c r="L3378">
        <v>3</v>
      </c>
      <c r="M3378">
        <v>0</v>
      </c>
      <c r="N3378" s="23">
        <v>0</v>
      </c>
      <c r="O3378">
        <f t="shared" si="795"/>
        <v>2</v>
      </c>
      <c r="P3378" s="57">
        <f t="shared" si="796"/>
        <v>3</v>
      </c>
      <c r="Q3378" s="267">
        <f t="shared" si="797"/>
        <v>521</v>
      </c>
      <c r="R3378" s="23">
        <f t="shared" si="798"/>
        <v>256</v>
      </c>
      <c r="S3378" s="23">
        <f t="shared" si="799"/>
        <v>0</v>
      </c>
      <c r="T3378" s="23" t="str">
        <f t="shared" si="800"/>
        <v/>
      </c>
      <c r="U3378" t="str">
        <f t="shared" si="801"/>
        <v/>
      </c>
      <c r="AF3378" s="88"/>
      <c r="AU3378" s="1"/>
    </row>
    <row r="3379" spans="1:47">
      <c r="A3379" t="str">
        <f t="shared" si="794"/>
        <v>PA_Alleg_2019g~Gen-member of council east mckeesport (vote for 3)</v>
      </c>
      <c r="B3379" s="55" t="s">
        <v>1528</v>
      </c>
      <c r="C3379">
        <v>795</v>
      </c>
      <c r="D3379" s="55" t="s">
        <v>745</v>
      </c>
      <c r="E3379" s="55" t="s">
        <v>748</v>
      </c>
      <c r="F3379" t="s">
        <v>1294</v>
      </c>
      <c r="G3379" s="62">
        <v>256</v>
      </c>
      <c r="H3379">
        <v>32.82</v>
      </c>
      <c r="I3379">
        <v>1427</v>
      </c>
      <c r="J3379">
        <v>0</v>
      </c>
      <c r="K3379">
        <v>3</v>
      </c>
      <c r="L3379">
        <v>3</v>
      </c>
      <c r="M3379">
        <v>0</v>
      </c>
      <c r="N3379" s="23">
        <v>0</v>
      </c>
      <c r="O3379">
        <f t="shared" si="795"/>
        <v>3</v>
      </c>
      <c r="P3379" s="57">
        <f t="shared" si="796"/>
        <v>3</v>
      </c>
      <c r="Q3379" s="267">
        <f t="shared" si="797"/>
        <v>263</v>
      </c>
      <c r="R3379" s="23">
        <f t="shared" si="798"/>
        <v>256</v>
      </c>
      <c r="S3379" s="23">
        <f t="shared" si="799"/>
        <v>0</v>
      </c>
      <c r="T3379" s="23" t="str">
        <f t="shared" si="800"/>
        <v/>
      </c>
      <c r="U3379" t="str">
        <f t="shared" si="801"/>
        <v/>
      </c>
      <c r="AF3379" s="88"/>
      <c r="AU3379" s="1"/>
    </row>
    <row r="3380" spans="1:47">
      <c r="A3380" t="str">
        <f t="shared" si="794"/>
        <v>PA_Alleg_2019g~Gen-member of council east mckeesport (vote for 3)</v>
      </c>
      <c r="B3380" s="55" t="s">
        <v>1528</v>
      </c>
      <c r="C3380">
        <v>798</v>
      </c>
      <c r="D3380" s="55" t="s">
        <v>745</v>
      </c>
      <c r="E3380" s="55" t="s">
        <v>15</v>
      </c>
      <c r="G3380" s="62">
        <v>7</v>
      </c>
      <c r="H3380">
        <v>0.9</v>
      </c>
      <c r="I3380">
        <v>1427</v>
      </c>
      <c r="J3380">
        <v>0</v>
      </c>
      <c r="K3380">
        <v>3</v>
      </c>
      <c r="L3380">
        <v>3</v>
      </c>
      <c r="M3380">
        <v>0</v>
      </c>
      <c r="N3380" s="23">
        <v>0</v>
      </c>
      <c r="O3380">
        <f t="shared" si="795"/>
        <v>-3</v>
      </c>
      <c r="P3380" s="57">
        <f t="shared" si="796"/>
        <v>3</v>
      </c>
      <c r="Q3380" s="267">
        <f t="shared" si="797"/>
        <v>7</v>
      </c>
      <c r="R3380" s="23">
        <f t="shared" si="798"/>
        <v>1</v>
      </c>
      <c r="S3380" s="23">
        <f t="shared" si="799"/>
        <v>0</v>
      </c>
      <c r="T3380" s="23" t="str">
        <f t="shared" si="800"/>
        <v/>
      </c>
      <c r="U3380" t="str">
        <f t="shared" si="801"/>
        <v/>
      </c>
      <c r="AF3380" s="88"/>
      <c r="AU3380" s="1"/>
    </row>
    <row r="3381" spans="1:47">
      <c r="A3381" t="str">
        <f t="shared" si="794"/>
        <v>PA_Alleg_2019g~Gen-member of council edgewood (vote for 3)</v>
      </c>
      <c r="B3381" s="55" t="s">
        <v>1528</v>
      </c>
      <c r="C3381">
        <v>801</v>
      </c>
      <c r="D3381" s="55" t="s">
        <v>749</v>
      </c>
      <c r="E3381" s="55" t="s">
        <v>1468</v>
      </c>
      <c r="F3381" t="s">
        <v>1294</v>
      </c>
      <c r="G3381" s="62">
        <v>879</v>
      </c>
      <c r="H3381">
        <v>30.72</v>
      </c>
      <c r="I3381">
        <v>2923</v>
      </c>
      <c r="J3381">
        <v>0</v>
      </c>
      <c r="K3381">
        <v>3</v>
      </c>
      <c r="L3381">
        <v>3</v>
      </c>
      <c r="M3381">
        <v>0</v>
      </c>
      <c r="N3381" s="23">
        <v>0</v>
      </c>
      <c r="O3381">
        <f t="shared" si="795"/>
        <v>1</v>
      </c>
      <c r="P3381" s="57">
        <f t="shared" si="796"/>
        <v>3</v>
      </c>
      <c r="Q3381" s="267">
        <f t="shared" si="797"/>
        <v>953.66666666666663</v>
      </c>
      <c r="R3381" s="23">
        <f t="shared" si="798"/>
        <v>838</v>
      </c>
      <c r="S3381" s="23">
        <f t="shared" si="799"/>
        <v>261</v>
      </c>
      <c r="T3381" s="23">
        <f t="shared" si="800"/>
        <v>577</v>
      </c>
      <c r="U3381" t="str">
        <f t="shared" si="801"/>
        <v>PA_Alleg_2019g~Gen-member of council edgewood (vote for 3)</v>
      </c>
      <c r="AF3381" s="88"/>
      <c r="AU3381" s="1"/>
    </row>
    <row r="3382" spans="1:47">
      <c r="A3382" t="str">
        <f t="shared" si="794"/>
        <v>PA_Alleg_2019g~Gen-member of council edgewood (vote for 3)</v>
      </c>
      <c r="B3382" s="55" t="s">
        <v>1528</v>
      </c>
      <c r="C3382">
        <v>799</v>
      </c>
      <c r="D3382" s="55" t="s">
        <v>749</v>
      </c>
      <c r="E3382" s="55" t="s">
        <v>751</v>
      </c>
      <c r="F3382" t="s">
        <v>1294</v>
      </c>
      <c r="G3382" s="62">
        <v>874</v>
      </c>
      <c r="H3382">
        <v>30.55</v>
      </c>
      <c r="I3382">
        <v>2923</v>
      </c>
      <c r="J3382">
        <v>0</v>
      </c>
      <c r="K3382">
        <v>3</v>
      </c>
      <c r="L3382">
        <v>3</v>
      </c>
      <c r="M3382">
        <v>0</v>
      </c>
      <c r="N3382" s="23">
        <v>0</v>
      </c>
      <c r="O3382">
        <f t="shared" si="795"/>
        <v>2</v>
      </c>
      <c r="P3382" s="57">
        <f t="shared" si="796"/>
        <v>3</v>
      </c>
      <c r="Q3382" s="267">
        <f t="shared" si="797"/>
        <v>1982</v>
      </c>
      <c r="R3382" s="23">
        <f t="shared" si="798"/>
        <v>838</v>
      </c>
      <c r="S3382" s="23">
        <f t="shared" si="799"/>
        <v>261</v>
      </c>
      <c r="T3382" s="23" t="str">
        <f t="shared" si="800"/>
        <v/>
      </c>
      <c r="U3382" t="str">
        <f t="shared" si="801"/>
        <v/>
      </c>
      <c r="AF3382" s="88"/>
      <c r="AU3382" s="1"/>
    </row>
    <row r="3383" spans="1:47">
      <c r="A3383" t="str">
        <f t="shared" si="794"/>
        <v>PA_Alleg_2019g~Gen-member of council edgewood (vote for 3)</v>
      </c>
      <c r="B3383" s="55" t="s">
        <v>1528</v>
      </c>
      <c r="C3383">
        <v>800</v>
      </c>
      <c r="D3383" s="55" t="s">
        <v>749</v>
      </c>
      <c r="E3383" s="55" t="s">
        <v>750</v>
      </c>
      <c r="F3383" t="s">
        <v>1294</v>
      </c>
      <c r="G3383" s="62">
        <v>838</v>
      </c>
      <c r="H3383">
        <v>29.29</v>
      </c>
      <c r="I3383">
        <v>2923</v>
      </c>
      <c r="J3383">
        <v>0</v>
      </c>
      <c r="K3383">
        <v>3</v>
      </c>
      <c r="L3383">
        <v>3</v>
      </c>
      <c r="M3383">
        <v>0</v>
      </c>
      <c r="N3383" s="23">
        <v>0</v>
      </c>
      <c r="O3383">
        <f t="shared" si="795"/>
        <v>3</v>
      </c>
      <c r="P3383" s="57">
        <f t="shared" si="796"/>
        <v>3</v>
      </c>
      <c r="Q3383" s="267">
        <f t="shared" si="797"/>
        <v>1108</v>
      </c>
      <c r="R3383" s="23">
        <f t="shared" si="798"/>
        <v>838</v>
      </c>
      <c r="S3383" s="23">
        <f t="shared" si="799"/>
        <v>261</v>
      </c>
      <c r="T3383" s="23" t="str">
        <f t="shared" si="800"/>
        <v/>
      </c>
      <c r="U3383" t="str">
        <f t="shared" si="801"/>
        <v/>
      </c>
      <c r="AF3383" s="88"/>
      <c r="AU3383" s="1"/>
    </row>
    <row r="3384" spans="1:47">
      <c r="A3384" t="str">
        <f t="shared" ref="A3384:A3447" si="802">CONCATENATE(B3384,"~Gen-",LOWER(D3384))</f>
        <v>PA_Alleg_2019g~Gen-member of council edgewood (vote for 3)</v>
      </c>
      <c r="B3384" s="55" t="s">
        <v>1528</v>
      </c>
      <c r="C3384">
        <v>802</v>
      </c>
      <c r="D3384" s="55" t="s">
        <v>749</v>
      </c>
      <c r="E3384" s="55" t="s">
        <v>1189</v>
      </c>
      <c r="F3384" t="s">
        <v>1296</v>
      </c>
      <c r="G3384" s="62">
        <v>261</v>
      </c>
      <c r="H3384">
        <v>9.1199999999999992</v>
      </c>
      <c r="I3384">
        <v>2923</v>
      </c>
      <c r="J3384">
        <v>0</v>
      </c>
      <c r="K3384">
        <v>3</v>
      </c>
      <c r="L3384">
        <v>3</v>
      </c>
      <c r="M3384">
        <v>0</v>
      </c>
      <c r="N3384" s="23">
        <v>0</v>
      </c>
      <c r="O3384">
        <f t="shared" si="795"/>
        <v>4</v>
      </c>
      <c r="P3384" s="57">
        <f t="shared" si="796"/>
        <v>3</v>
      </c>
      <c r="Q3384" s="267">
        <f t="shared" si="797"/>
        <v>270</v>
      </c>
      <c r="R3384" s="23" t="str">
        <f t="shared" si="798"/>
        <v/>
      </c>
      <c r="S3384" s="23">
        <f t="shared" si="799"/>
        <v>261</v>
      </c>
      <c r="T3384" s="23" t="str">
        <f t="shared" si="800"/>
        <v/>
      </c>
      <c r="U3384" t="str">
        <f t="shared" si="801"/>
        <v/>
      </c>
      <c r="AF3384" s="88"/>
      <c r="AU3384" s="1"/>
    </row>
    <row r="3385" spans="1:47">
      <c r="A3385" t="str">
        <f t="shared" si="802"/>
        <v>PA_Alleg_2019g~Gen-member of council edgewood (vote for 3)</v>
      </c>
      <c r="B3385" s="55" t="s">
        <v>1528</v>
      </c>
      <c r="C3385">
        <v>803</v>
      </c>
      <c r="D3385" s="55" t="s">
        <v>749</v>
      </c>
      <c r="E3385" s="55" t="s">
        <v>15</v>
      </c>
      <c r="G3385" s="62">
        <v>9</v>
      </c>
      <c r="H3385">
        <v>0.31</v>
      </c>
      <c r="I3385">
        <v>2923</v>
      </c>
      <c r="J3385">
        <v>0</v>
      </c>
      <c r="K3385">
        <v>3</v>
      </c>
      <c r="L3385">
        <v>3</v>
      </c>
      <c r="M3385">
        <v>0</v>
      </c>
      <c r="N3385" s="23">
        <v>0</v>
      </c>
      <c r="O3385">
        <f t="shared" si="795"/>
        <v>-4</v>
      </c>
      <c r="P3385" s="57">
        <f t="shared" si="796"/>
        <v>3</v>
      </c>
      <c r="Q3385" s="267">
        <f t="shared" si="797"/>
        <v>9</v>
      </c>
      <c r="R3385" s="23">
        <f t="shared" si="798"/>
        <v>1</v>
      </c>
      <c r="S3385" s="23">
        <f t="shared" si="799"/>
        <v>0</v>
      </c>
      <c r="T3385" s="23" t="str">
        <f t="shared" si="800"/>
        <v/>
      </c>
      <c r="U3385" t="str">
        <f t="shared" si="801"/>
        <v/>
      </c>
      <c r="AF3385" s="88"/>
      <c r="AU3385" s="1"/>
    </row>
    <row r="3386" spans="1:47">
      <c r="A3386" t="str">
        <f t="shared" si="802"/>
        <v>PA_Alleg_2019g~Gen-member of council edgeworth (vote for 3)</v>
      </c>
      <c r="B3386" s="55" t="s">
        <v>1528</v>
      </c>
      <c r="C3386">
        <v>804</v>
      </c>
      <c r="D3386" s="55" t="s">
        <v>752</v>
      </c>
      <c r="E3386" s="55" t="s">
        <v>1190</v>
      </c>
      <c r="F3386" t="s">
        <v>1296</v>
      </c>
      <c r="G3386" s="62">
        <v>299</v>
      </c>
      <c r="H3386">
        <v>30.64</v>
      </c>
      <c r="I3386">
        <v>1480</v>
      </c>
      <c r="J3386">
        <v>0</v>
      </c>
      <c r="K3386">
        <v>2</v>
      </c>
      <c r="L3386">
        <v>2</v>
      </c>
      <c r="M3386">
        <v>0</v>
      </c>
      <c r="N3386" s="23">
        <v>0</v>
      </c>
      <c r="O3386">
        <f t="shared" si="795"/>
        <v>1</v>
      </c>
      <c r="P3386" s="57">
        <f t="shared" si="796"/>
        <v>3</v>
      </c>
      <c r="Q3386" s="267">
        <f t="shared" si="797"/>
        <v>325.33333333333331</v>
      </c>
      <c r="R3386" s="23">
        <f t="shared" si="798"/>
        <v>244</v>
      </c>
      <c r="S3386" s="23">
        <f t="shared" si="799"/>
        <v>0</v>
      </c>
      <c r="T3386" s="23" t="str">
        <f t="shared" si="800"/>
        <v/>
      </c>
      <c r="U3386" t="str">
        <f t="shared" si="801"/>
        <v>PA_Alleg_2019g~Gen-member of council edgeworth (vote for 3)</v>
      </c>
      <c r="AF3386" s="88"/>
      <c r="AU3386" s="1"/>
    </row>
    <row r="3387" spans="1:47">
      <c r="A3387" t="str">
        <f t="shared" si="802"/>
        <v>PA_Alleg_2019g~Gen-member of council edgeworth (vote for 3)</v>
      </c>
      <c r="B3387" s="55" t="s">
        <v>1528</v>
      </c>
      <c r="C3387">
        <v>805</v>
      </c>
      <c r="D3387" s="55" t="s">
        <v>752</v>
      </c>
      <c r="E3387" s="55" t="s">
        <v>1191</v>
      </c>
      <c r="F3387" t="s">
        <v>1296</v>
      </c>
      <c r="G3387" s="62">
        <v>272</v>
      </c>
      <c r="H3387">
        <v>27.87</v>
      </c>
      <c r="I3387">
        <v>1480</v>
      </c>
      <c r="J3387">
        <v>0</v>
      </c>
      <c r="K3387">
        <v>2</v>
      </c>
      <c r="L3387">
        <v>2</v>
      </c>
      <c r="M3387">
        <v>0</v>
      </c>
      <c r="N3387" s="23">
        <v>0</v>
      </c>
      <c r="O3387">
        <f t="shared" si="795"/>
        <v>2</v>
      </c>
      <c r="P3387" s="57">
        <f t="shared" si="796"/>
        <v>3</v>
      </c>
      <c r="Q3387" s="267">
        <f t="shared" si="797"/>
        <v>677</v>
      </c>
      <c r="R3387" s="23">
        <f t="shared" si="798"/>
        <v>244</v>
      </c>
      <c r="S3387" s="23">
        <f t="shared" si="799"/>
        <v>0</v>
      </c>
      <c r="T3387" s="23" t="str">
        <f t="shared" si="800"/>
        <v/>
      </c>
      <c r="U3387" t="str">
        <f t="shared" si="801"/>
        <v/>
      </c>
      <c r="AF3387" s="88"/>
      <c r="AU3387" s="1"/>
    </row>
    <row r="3388" spans="1:47">
      <c r="A3388" t="str">
        <f t="shared" si="802"/>
        <v>PA_Alleg_2019g~Gen-member of council edgeworth (vote for 3)</v>
      </c>
      <c r="B3388" s="55" t="s">
        <v>1528</v>
      </c>
      <c r="C3388">
        <v>806</v>
      </c>
      <c r="D3388" s="55" t="s">
        <v>752</v>
      </c>
      <c r="E3388" s="55" t="s">
        <v>1192</v>
      </c>
      <c r="F3388" t="s">
        <v>1296</v>
      </c>
      <c r="G3388" s="62">
        <v>244</v>
      </c>
      <c r="H3388">
        <v>25</v>
      </c>
      <c r="I3388">
        <v>1480</v>
      </c>
      <c r="J3388">
        <v>0</v>
      </c>
      <c r="K3388">
        <v>2</v>
      </c>
      <c r="L3388">
        <v>2</v>
      </c>
      <c r="M3388">
        <v>0</v>
      </c>
      <c r="N3388" s="23">
        <v>0</v>
      </c>
      <c r="O3388">
        <f t="shared" si="795"/>
        <v>3</v>
      </c>
      <c r="P3388" s="57">
        <f t="shared" si="796"/>
        <v>3</v>
      </c>
      <c r="Q3388" s="267">
        <f t="shared" si="797"/>
        <v>405</v>
      </c>
      <c r="R3388" s="23">
        <f t="shared" si="798"/>
        <v>244</v>
      </c>
      <c r="S3388" s="23">
        <f t="shared" si="799"/>
        <v>0</v>
      </c>
      <c r="T3388" s="23" t="str">
        <f t="shared" si="800"/>
        <v/>
      </c>
      <c r="U3388" t="str">
        <f t="shared" si="801"/>
        <v/>
      </c>
      <c r="AF3388" s="88"/>
      <c r="AU3388" s="1"/>
    </row>
    <row r="3389" spans="1:47">
      <c r="A3389" t="str">
        <f t="shared" si="802"/>
        <v>PA_Alleg_2019g~Gen-member of council edgeworth (vote for 3)</v>
      </c>
      <c r="B3389" s="55" t="s">
        <v>1528</v>
      </c>
      <c r="C3389">
        <v>807</v>
      </c>
      <c r="D3389" s="55" t="s">
        <v>752</v>
      </c>
      <c r="E3389" s="55" t="s">
        <v>15</v>
      </c>
      <c r="G3389" s="62">
        <v>161</v>
      </c>
      <c r="H3389">
        <v>16.5</v>
      </c>
      <c r="I3389">
        <v>1480</v>
      </c>
      <c r="J3389">
        <v>0</v>
      </c>
      <c r="K3389">
        <v>2</v>
      </c>
      <c r="L3389">
        <v>2</v>
      </c>
      <c r="M3389">
        <v>0</v>
      </c>
      <c r="N3389" s="23">
        <v>0</v>
      </c>
      <c r="O3389">
        <f t="shared" si="795"/>
        <v>-3</v>
      </c>
      <c r="P3389" s="57">
        <f t="shared" si="796"/>
        <v>3</v>
      </c>
      <c r="Q3389" s="267">
        <f t="shared" si="797"/>
        <v>161</v>
      </c>
      <c r="R3389" s="23">
        <f t="shared" si="798"/>
        <v>1</v>
      </c>
      <c r="S3389" s="23">
        <f t="shared" si="799"/>
        <v>0</v>
      </c>
      <c r="T3389" s="23" t="str">
        <f t="shared" si="800"/>
        <v/>
      </c>
      <c r="U3389" t="str">
        <f t="shared" si="801"/>
        <v/>
      </c>
      <c r="AF3389" s="88"/>
      <c r="AU3389" s="1"/>
    </row>
    <row r="3390" spans="1:47">
      <c r="A3390" t="str">
        <f t="shared" si="802"/>
        <v>PA_Alleg_2019g~Gen-member of council elizabeth borough (vote for 1)</v>
      </c>
      <c r="B3390" s="55" t="s">
        <v>1528</v>
      </c>
      <c r="C3390">
        <v>1013</v>
      </c>
      <c r="D3390" s="55" t="s">
        <v>918</v>
      </c>
      <c r="E3390" s="55" t="s">
        <v>919</v>
      </c>
      <c r="F3390" t="s">
        <v>1294</v>
      </c>
      <c r="G3390" s="62">
        <v>176</v>
      </c>
      <c r="H3390">
        <v>91.67</v>
      </c>
      <c r="I3390">
        <v>903</v>
      </c>
      <c r="J3390">
        <v>0</v>
      </c>
      <c r="K3390">
        <v>1</v>
      </c>
      <c r="L3390">
        <v>1</v>
      </c>
      <c r="M3390">
        <v>0</v>
      </c>
      <c r="N3390" s="23">
        <v>0</v>
      </c>
      <c r="O3390">
        <f t="shared" si="795"/>
        <v>1</v>
      </c>
      <c r="P3390" s="57">
        <f t="shared" si="796"/>
        <v>1</v>
      </c>
      <c r="Q3390" s="267">
        <f t="shared" si="797"/>
        <v>192</v>
      </c>
      <c r="R3390" s="23">
        <f t="shared" si="798"/>
        <v>176</v>
      </c>
      <c r="S3390" s="23">
        <f t="shared" si="799"/>
        <v>0</v>
      </c>
      <c r="T3390" s="23" t="str">
        <f t="shared" si="800"/>
        <v/>
      </c>
      <c r="U3390" t="str">
        <f t="shared" si="801"/>
        <v>PA_Alleg_2019g~Gen-member of council elizabeth borough (vote for 1)</v>
      </c>
      <c r="AF3390" s="88"/>
      <c r="AU3390" s="1"/>
    </row>
    <row r="3391" spans="1:47">
      <c r="A3391" t="str">
        <f t="shared" si="802"/>
        <v>PA_Alleg_2019g~Gen-member of council elizabeth borough (vote for 1)</v>
      </c>
      <c r="B3391" s="55" t="s">
        <v>1528</v>
      </c>
      <c r="C3391">
        <v>1014</v>
      </c>
      <c r="D3391" s="55" t="s">
        <v>918</v>
      </c>
      <c r="E3391" s="55" t="s">
        <v>15</v>
      </c>
      <c r="G3391" s="62">
        <v>16</v>
      </c>
      <c r="H3391">
        <v>8.33</v>
      </c>
      <c r="I3391">
        <v>903</v>
      </c>
      <c r="J3391">
        <v>0</v>
      </c>
      <c r="K3391">
        <v>1</v>
      </c>
      <c r="L3391">
        <v>1</v>
      </c>
      <c r="M3391">
        <v>0</v>
      </c>
      <c r="N3391" s="23">
        <v>0</v>
      </c>
      <c r="O3391">
        <f t="shared" si="795"/>
        <v>-1</v>
      </c>
      <c r="P3391" s="57">
        <f t="shared" si="796"/>
        <v>1</v>
      </c>
      <c r="Q3391" s="267">
        <f t="shared" si="797"/>
        <v>16</v>
      </c>
      <c r="R3391" s="23">
        <f t="shared" si="798"/>
        <v>1</v>
      </c>
      <c r="S3391" s="23">
        <f t="shared" si="799"/>
        <v>0</v>
      </c>
      <c r="T3391" s="23" t="str">
        <f t="shared" si="800"/>
        <v/>
      </c>
      <c r="U3391" t="str">
        <f t="shared" si="801"/>
        <v/>
      </c>
      <c r="AF3391" s="88"/>
      <c r="AU3391" s="1"/>
    </row>
    <row r="3392" spans="1:47">
      <c r="A3392" t="str">
        <f t="shared" si="802"/>
        <v>PA_Alleg_2019g~Gen-member of council elizabeth borough (vote for 3)</v>
      </c>
      <c r="B3392" s="55" t="s">
        <v>1528</v>
      </c>
      <c r="C3392">
        <v>809</v>
      </c>
      <c r="D3392" s="55" t="s">
        <v>753</v>
      </c>
      <c r="E3392" s="55" t="s">
        <v>1193</v>
      </c>
      <c r="F3392" t="s">
        <v>1296</v>
      </c>
      <c r="G3392" s="62">
        <v>160</v>
      </c>
      <c r="H3392">
        <v>34.04</v>
      </c>
      <c r="I3392">
        <v>903</v>
      </c>
      <c r="J3392">
        <v>0</v>
      </c>
      <c r="K3392">
        <v>1</v>
      </c>
      <c r="L3392">
        <v>1</v>
      </c>
      <c r="M3392">
        <v>0</v>
      </c>
      <c r="N3392" s="23">
        <v>0</v>
      </c>
      <c r="O3392">
        <f t="shared" si="795"/>
        <v>1</v>
      </c>
      <c r="P3392" s="57">
        <f t="shared" si="796"/>
        <v>3</v>
      </c>
      <c r="Q3392" s="267">
        <f t="shared" si="797"/>
        <v>160</v>
      </c>
      <c r="R3392" s="23">
        <f t="shared" si="798"/>
        <v>153</v>
      </c>
      <c r="S3392" s="23">
        <f t="shared" si="799"/>
        <v>0</v>
      </c>
      <c r="T3392" s="23" t="str">
        <f t="shared" si="800"/>
        <v/>
      </c>
      <c r="U3392" t="str">
        <f t="shared" si="801"/>
        <v>PA_Alleg_2019g~Gen-member of council elizabeth borough (vote for 3)</v>
      </c>
      <c r="AF3392" s="88"/>
      <c r="AU3392" s="1"/>
    </row>
    <row r="3393" spans="1:47">
      <c r="A3393" t="str">
        <f t="shared" si="802"/>
        <v>PA_Alleg_2019g~Gen-member of council elizabeth borough (vote for 3)</v>
      </c>
      <c r="B3393" s="55" t="s">
        <v>1528</v>
      </c>
      <c r="C3393">
        <v>810</v>
      </c>
      <c r="D3393" s="55" t="s">
        <v>753</v>
      </c>
      <c r="E3393" s="55" t="s">
        <v>15</v>
      </c>
      <c r="G3393" s="62">
        <v>157</v>
      </c>
      <c r="H3393">
        <v>33.4</v>
      </c>
      <c r="I3393">
        <v>903</v>
      </c>
      <c r="J3393">
        <v>0</v>
      </c>
      <c r="K3393">
        <v>1</v>
      </c>
      <c r="L3393">
        <v>1</v>
      </c>
      <c r="M3393">
        <v>0</v>
      </c>
      <c r="N3393" s="23">
        <v>0</v>
      </c>
      <c r="O3393">
        <f t="shared" si="795"/>
        <v>-1</v>
      </c>
      <c r="P3393" s="57">
        <f t="shared" si="796"/>
        <v>3</v>
      </c>
      <c r="Q3393" s="267">
        <f t="shared" si="797"/>
        <v>310</v>
      </c>
      <c r="R3393" s="23">
        <f t="shared" si="798"/>
        <v>153</v>
      </c>
      <c r="S3393" s="23">
        <f t="shared" si="799"/>
        <v>0</v>
      </c>
      <c r="T3393" s="23" t="str">
        <f t="shared" si="800"/>
        <v/>
      </c>
      <c r="U3393" t="str">
        <f t="shared" si="801"/>
        <v/>
      </c>
      <c r="AF3393" s="88"/>
      <c r="AU3393" s="1"/>
    </row>
    <row r="3394" spans="1:47">
      <c r="A3394" t="str">
        <f t="shared" si="802"/>
        <v>PA_Alleg_2019g~Gen-member of council elizabeth borough (vote for 3)</v>
      </c>
      <c r="B3394" s="55" t="s">
        <v>1528</v>
      </c>
      <c r="C3394">
        <v>808</v>
      </c>
      <c r="D3394" s="55" t="s">
        <v>753</v>
      </c>
      <c r="E3394" s="55" t="s">
        <v>754</v>
      </c>
      <c r="F3394" t="s">
        <v>1294</v>
      </c>
      <c r="G3394" s="62">
        <v>153</v>
      </c>
      <c r="H3394">
        <v>32.549999999999997</v>
      </c>
      <c r="I3394">
        <v>903</v>
      </c>
      <c r="J3394">
        <v>0</v>
      </c>
      <c r="K3394">
        <v>1</v>
      </c>
      <c r="L3394">
        <v>1</v>
      </c>
      <c r="M3394">
        <v>0</v>
      </c>
      <c r="N3394" s="23">
        <v>0</v>
      </c>
      <c r="O3394">
        <f t="shared" ref="O3394:O3457" si="803">IF(OR(LOWER(LEFT(E3394,8))="write-in",LOWER(LEFT(E3394,8))="not qual"),IF(A3394=A3393,-ABS(O3393),0),IF(A3394=A3393,ABS(O3393)+1,1))</f>
        <v>2</v>
      </c>
      <c r="P3394" s="57">
        <f t="shared" ref="P3394:P3457" si="804">1*LEFT(RIGHT(A3394,2),1)</f>
        <v>3</v>
      </c>
      <c r="Q3394" s="267">
        <f t="shared" ref="Q3394:Q3457" si="805">IF(A3394&lt;&gt;A3395,G3394,IF(A3394=A3393,G3394+Q3395,MAX(G3394,(G3394+Q3395)/P3394)))</f>
        <v>153</v>
      </c>
      <c r="R3394" s="23">
        <f t="shared" ref="R3394:R3457" si="806">IF(O3394&gt;P3394,"",IF(O3394=P3394,G3394,IF(A3394=A3395,R3395,IF(O3394&lt;=0,1,G3394))))</f>
        <v>153</v>
      </c>
      <c r="S3394" s="23">
        <f t="shared" ref="S3394:S3457" si="807">IF(AND(O3394&gt;P3394,LOWER(LEFT(E3394,8))&lt;&gt;"write-in",LOWER(LEFT(E3394,8))&lt;&gt;"not qual"),G3394,IF(A3394=A3395,S3395,0))</f>
        <v>0</v>
      </c>
      <c r="T3394" s="23" t="str">
        <f t="shared" ref="T3394:T3457" si="808">IF(OR(A3394=A3393,S3394=0),"",R3394-ABS(S3394))</f>
        <v/>
      </c>
      <c r="U3394" t="str">
        <f t="shared" ref="U3394:U3457" si="809">IF(A3394=A3393,"",A3394)</f>
        <v/>
      </c>
      <c r="AF3394" s="88"/>
      <c r="AU3394" s="1"/>
    </row>
    <row r="3395" spans="1:47">
      <c r="A3395" t="str">
        <f t="shared" si="802"/>
        <v>PA_Alleg_2019g~Gen-member of council emsworth (vote for 3)</v>
      </c>
      <c r="B3395" s="55" t="s">
        <v>1528</v>
      </c>
      <c r="C3395">
        <v>811</v>
      </c>
      <c r="D3395" s="55" t="s">
        <v>755</v>
      </c>
      <c r="E3395" s="55" t="s">
        <v>756</v>
      </c>
      <c r="F3395" t="s">
        <v>1294</v>
      </c>
      <c r="G3395" s="62">
        <v>296</v>
      </c>
      <c r="H3395">
        <v>46.69</v>
      </c>
      <c r="I3395">
        <v>1781</v>
      </c>
      <c r="J3395">
        <v>0</v>
      </c>
      <c r="K3395">
        <v>2</v>
      </c>
      <c r="L3395">
        <v>2</v>
      </c>
      <c r="M3395">
        <v>0</v>
      </c>
      <c r="N3395" s="23">
        <v>0</v>
      </c>
      <c r="O3395">
        <f t="shared" si="803"/>
        <v>1</v>
      </c>
      <c r="P3395" s="57">
        <f t="shared" si="804"/>
        <v>3</v>
      </c>
      <c r="Q3395" s="267">
        <f t="shared" si="805"/>
        <v>296</v>
      </c>
      <c r="R3395" s="23">
        <f t="shared" si="806"/>
        <v>1</v>
      </c>
      <c r="S3395" s="23">
        <f t="shared" si="807"/>
        <v>0</v>
      </c>
      <c r="T3395" s="23" t="str">
        <f t="shared" si="808"/>
        <v/>
      </c>
      <c r="U3395" t="str">
        <f t="shared" si="809"/>
        <v>PA_Alleg_2019g~Gen-member of council emsworth (vote for 3)</v>
      </c>
      <c r="AF3395" s="88"/>
      <c r="AU3395" s="1"/>
    </row>
    <row r="3396" spans="1:47">
      <c r="A3396" t="str">
        <f t="shared" si="802"/>
        <v>PA_Alleg_2019g~Gen-member of council emsworth (vote for 3)</v>
      </c>
      <c r="B3396" s="55" t="s">
        <v>1528</v>
      </c>
      <c r="C3396">
        <v>812</v>
      </c>
      <c r="D3396" s="55" t="s">
        <v>755</v>
      </c>
      <c r="E3396" s="55" t="s">
        <v>1194</v>
      </c>
      <c r="F3396" t="s">
        <v>1296</v>
      </c>
      <c r="G3396" s="62">
        <v>206</v>
      </c>
      <c r="H3396">
        <v>32.49</v>
      </c>
      <c r="I3396">
        <v>1781</v>
      </c>
      <c r="J3396">
        <v>0</v>
      </c>
      <c r="K3396">
        <v>2</v>
      </c>
      <c r="L3396">
        <v>2</v>
      </c>
      <c r="M3396">
        <v>0</v>
      </c>
      <c r="N3396" s="23">
        <v>0</v>
      </c>
      <c r="O3396">
        <f t="shared" si="803"/>
        <v>2</v>
      </c>
      <c r="P3396" s="57">
        <f t="shared" si="804"/>
        <v>3</v>
      </c>
      <c r="Q3396" s="267">
        <f t="shared" si="805"/>
        <v>338</v>
      </c>
      <c r="R3396" s="23">
        <f t="shared" si="806"/>
        <v>1</v>
      </c>
      <c r="S3396" s="23">
        <f t="shared" si="807"/>
        <v>0</v>
      </c>
      <c r="T3396" s="23" t="str">
        <f t="shared" si="808"/>
        <v/>
      </c>
      <c r="U3396" t="str">
        <f t="shared" si="809"/>
        <v/>
      </c>
      <c r="AF3396" s="88"/>
      <c r="AU3396" s="1"/>
    </row>
    <row r="3397" spans="1:47">
      <c r="A3397" t="str">
        <f t="shared" si="802"/>
        <v>PA_Alleg_2019g~Gen-member of council emsworth (vote for 3)</v>
      </c>
      <c r="B3397" s="55" t="s">
        <v>1528</v>
      </c>
      <c r="C3397">
        <v>813</v>
      </c>
      <c r="D3397" s="55" t="s">
        <v>755</v>
      </c>
      <c r="E3397" s="55" t="s">
        <v>15</v>
      </c>
      <c r="G3397" s="62">
        <v>132</v>
      </c>
      <c r="H3397">
        <v>20.82</v>
      </c>
      <c r="I3397">
        <v>1781</v>
      </c>
      <c r="J3397">
        <v>0</v>
      </c>
      <c r="K3397">
        <v>2</v>
      </c>
      <c r="L3397">
        <v>2</v>
      </c>
      <c r="M3397">
        <v>0</v>
      </c>
      <c r="N3397" s="23">
        <v>0</v>
      </c>
      <c r="O3397">
        <f t="shared" si="803"/>
        <v>-2</v>
      </c>
      <c r="P3397" s="57">
        <f t="shared" si="804"/>
        <v>3</v>
      </c>
      <c r="Q3397" s="267">
        <f t="shared" si="805"/>
        <v>132</v>
      </c>
      <c r="R3397" s="23">
        <f t="shared" si="806"/>
        <v>1</v>
      </c>
      <c r="S3397" s="23">
        <f t="shared" si="807"/>
        <v>0</v>
      </c>
      <c r="T3397" s="23" t="str">
        <f t="shared" si="808"/>
        <v/>
      </c>
      <c r="U3397" t="str">
        <f t="shared" si="809"/>
        <v/>
      </c>
      <c r="AF3397" s="88"/>
      <c r="AU3397" s="1"/>
    </row>
    <row r="3398" spans="1:47">
      <c r="A3398" t="str">
        <f t="shared" si="802"/>
        <v>PA_Alleg_2019g~Gen-member of council etna ward 1 (vote for 2)</v>
      </c>
      <c r="B3398" s="55" t="s">
        <v>1528</v>
      </c>
      <c r="C3398">
        <v>1053</v>
      </c>
      <c r="D3398" s="55" t="s">
        <v>953</v>
      </c>
      <c r="E3398" s="55" t="s">
        <v>954</v>
      </c>
      <c r="F3398" t="s">
        <v>1294</v>
      </c>
      <c r="G3398" s="62">
        <v>156</v>
      </c>
      <c r="H3398">
        <v>49.52</v>
      </c>
      <c r="I3398">
        <v>842</v>
      </c>
      <c r="J3398">
        <v>0</v>
      </c>
      <c r="K3398">
        <v>1</v>
      </c>
      <c r="L3398">
        <v>1</v>
      </c>
      <c r="M3398">
        <v>0</v>
      </c>
      <c r="N3398" s="23">
        <v>0</v>
      </c>
      <c r="O3398">
        <f t="shared" si="803"/>
        <v>1</v>
      </c>
      <c r="P3398" s="57">
        <f t="shared" si="804"/>
        <v>2</v>
      </c>
      <c r="Q3398" s="267">
        <f t="shared" si="805"/>
        <v>157.5</v>
      </c>
      <c r="R3398" s="23">
        <f t="shared" si="806"/>
        <v>153</v>
      </c>
      <c r="S3398" s="23">
        <f t="shared" si="807"/>
        <v>0</v>
      </c>
      <c r="T3398" s="23" t="str">
        <f t="shared" si="808"/>
        <v/>
      </c>
      <c r="U3398" t="str">
        <f t="shared" si="809"/>
        <v>PA_Alleg_2019g~Gen-member of council etna ward 1 (vote for 2)</v>
      </c>
      <c r="AF3398" s="88"/>
      <c r="AU3398" s="1"/>
    </row>
    <row r="3399" spans="1:47">
      <c r="A3399" t="str">
        <f t="shared" si="802"/>
        <v>PA_Alleg_2019g~Gen-member of council etna ward 1 (vote for 2)</v>
      </c>
      <c r="B3399" s="55" t="s">
        <v>1528</v>
      </c>
      <c r="C3399">
        <v>1054</v>
      </c>
      <c r="D3399" s="55" t="s">
        <v>953</v>
      </c>
      <c r="E3399" s="55" t="s">
        <v>955</v>
      </c>
      <c r="F3399" t="s">
        <v>1294</v>
      </c>
      <c r="G3399" s="62">
        <v>153</v>
      </c>
      <c r="H3399">
        <v>48.57</v>
      </c>
      <c r="I3399">
        <v>842</v>
      </c>
      <c r="J3399">
        <v>0</v>
      </c>
      <c r="K3399">
        <v>1</v>
      </c>
      <c r="L3399">
        <v>1</v>
      </c>
      <c r="M3399">
        <v>0</v>
      </c>
      <c r="N3399" s="23">
        <v>0</v>
      </c>
      <c r="O3399">
        <f t="shared" si="803"/>
        <v>2</v>
      </c>
      <c r="P3399" s="57">
        <f t="shared" si="804"/>
        <v>2</v>
      </c>
      <c r="Q3399" s="267">
        <f t="shared" si="805"/>
        <v>159</v>
      </c>
      <c r="R3399" s="23">
        <f t="shared" si="806"/>
        <v>153</v>
      </c>
      <c r="S3399" s="23">
        <f t="shared" si="807"/>
        <v>0</v>
      </c>
      <c r="T3399" s="23" t="str">
        <f t="shared" si="808"/>
        <v/>
      </c>
      <c r="U3399" t="str">
        <f t="shared" si="809"/>
        <v/>
      </c>
      <c r="AF3399" s="88"/>
      <c r="AU3399" s="1"/>
    </row>
    <row r="3400" spans="1:47">
      <c r="A3400" t="str">
        <f t="shared" si="802"/>
        <v>PA_Alleg_2019g~Gen-member of council etna ward 1 (vote for 2)</v>
      </c>
      <c r="B3400" s="55" t="s">
        <v>1528</v>
      </c>
      <c r="C3400">
        <v>1055</v>
      </c>
      <c r="D3400" s="55" t="s">
        <v>953</v>
      </c>
      <c r="E3400" s="55" t="s">
        <v>15</v>
      </c>
      <c r="G3400" s="62">
        <v>6</v>
      </c>
      <c r="H3400">
        <v>1.9</v>
      </c>
      <c r="I3400">
        <v>842</v>
      </c>
      <c r="J3400">
        <v>0</v>
      </c>
      <c r="K3400">
        <v>1</v>
      </c>
      <c r="L3400">
        <v>1</v>
      </c>
      <c r="M3400">
        <v>0</v>
      </c>
      <c r="N3400" s="23">
        <v>0</v>
      </c>
      <c r="O3400">
        <f t="shared" si="803"/>
        <v>-2</v>
      </c>
      <c r="P3400" s="57">
        <f t="shared" si="804"/>
        <v>2</v>
      </c>
      <c r="Q3400" s="267">
        <f t="shared" si="805"/>
        <v>6</v>
      </c>
      <c r="R3400" s="23">
        <f t="shared" si="806"/>
        <v>1</v>
      </c>
      <c r="S3400" s="23">
        <f t="shared" si="807"/>
        <v>0</v>
      </c>
      <c r="T3400" s="23" t="str">
        <f t="shared" si="808"/>
        <v/>
      </c>
      <c r="U3400" t="str">
        <f t="shared" si="809"/>
        <v/>
      </c>
      <c r="AF3400" s="88"/>
      <c r="AU3400" s="1"/>
    </row>
    <row r="3401" spans="1:47">
      <c r="A3401" t="str">
        <f t="shared" si="802"/>
        <v>PA_Alleg_2019g~Gen-member of council etna ward 2 (vote for 1)</v>
      </c>
      <c r="B3401" s="55" t="s">
        <v>1528</v>
      </c>
      <c r="C3401">
        <v>1114</v>
      </c>
      <c r="D3401" s="55" t="s">
        <v>1015</v>
      </c>
      <c r="E3401" s="55" t="s">
        <v>1016</v>
      </c>
      <c r="F3401" t="s">
        <v>1294</v>
      </c>
      <c r="G3401" s="62">
        <v>128</v>
      </c>
      <c r="H3401">
        <v>97.71</v>
      </c>
      <c r="I3401">
        <v>714</v>
      </c>
      <c r="J3401">
        <v>0</v>
      </c>
      <c r="K3401">
        <v>1</v>
      </c>
      <c r="L3401">
        <v>1</v>
      </c>
      <c r="M3401">
        <v>0</v>
      </c>
      <c r="N3401" s="23">
        <v>0</v>
      </c>
      <c r="O3401">
        <f t="shared" si="803"/>
        <v>1</v>
      </c>
      <c r="P3401" s="57">
        <f t="shared" si="804"/>
        <v>1</v>
      </c>
      <c r="Q3401" s="267">
        <f t="shared" si="805"/>
        <v>131</v>
      </c>
      <c r="R3401" s="23">
        <f t="shared" si="806"/>
        <v>128</v>
      </c>
      <c r="S3401" s="23">
        <f t="shared" si="807"/>
        <v>0</v>
      </c>
      <c r="T3401" s="23" t="str">
        <f t="shared" si="808"/>
        <v/>
      </c>
      <c r="U3401" t="str">
        <f t="shared" si="809"/>
        <v>PA_Alleg_2019g~Gen-member of council etna ward 2 (vote for 1)</v>
      </c>
      <c r="AF3401" s="88"/>
      <c r="AU3401" s="1"/>
    </row>
    <row r="3402" spans="1:47">
      <c r="A3402" t="str">
        <f t="shared" si="802"/>
        <v>PA_Alleg_2019g~Gen-member of council etna ward 2 (vote for 1)</v>
      </c>
      <c r="B3402" s="55" t="s">
        <v>1528</v>
      </c>
      <c r="C3402">
        <v>1115</v>
      </c>
      <c r="D3402" s="55" t="s">
        <v>1015</v>
      </c>
      <c r="E3402" s="55" t="s">
        <v>15</v>
      </c>
      <c r="G3402" s="62">
        <v>3</v>
      </c>
      <c r="H3402">
        <v>2.29</v>
      </c>
      <c r="I3402">
        <v>714</v>
      </c>
      <c r="J3402">
        <v>0</v>
      </c>
      <c r="K3402">
        <v>1</v>
      </c>
      <c r="L3402">
        <v>1</v>
      </c>
      <c r="M3402">
        <v>0</v>
      </c>
      <c r="N3402" s="23">
        <v>0</v>
      </c>
      <c r="O3402">
        <f t="shared" si="803"/>
        <v>-1</v>
      </c>
      <c r="P3402" s="57">
        <f t="shared" si="804"/>
        <v>1</v>
      </c>
      <c r="Q3402" s="267">
        <f t="shared" si="805"/>
        <v>3</v>
      </c>
      <c r="R3402" s="23">
        <f t="shared" si="806"/>
        <v>1</v>
      </c>
      <c r="S3402" s="23">
        <f t="shared" si="807"/>
        <v>0</v>
      </c>
      <c r="T3402" s="23" t="str">
        <f t="shared" si="808"/>
        <v/>
      </c>
      <c r="U3402" t="str">
        <f t="shared" si="809"/>
        <v/>
      </c>
      <c r="AF3402" s="88"/>
      <c r="AU3402" s="1"/>
    </row>
    <row r="3403" spans="1:47">
      <c r="A3403" t="str">
        <f t="shared" si="802"/>
        <v>PA_Alleg_2019g~Gen-member of council etna ward 3 (vote for 1)</v>
      </c>
      <c r="B3403" s="55" t="s">
        <v>1528</v>
      </c>
      <c r="C3403">
        <v>1116</v>
      </c>
      <c r="D3403" s="55" t="s">
        <v>1017</v>
      </c>
      <c r="E3403" s="55" t="s">
        <v>1018</v>
      </c>
      <c r="F3403" t="s">
        <v>1294</v>
      </c>
      <c r="G3403" s="62">
        <v>158</v>
      </c>
      <c r="H3403">
        <v>98.14</v>
      </c>
      <c r="I3403">
        <v>738</v>
      </c>
      <c r="J3403">
        <v>0</v>
      </c>
      <c r="K3403">
        <v>1</v>
      </c>
      <c r="L3403">
        <v>1</v>
      </c>
      <c r="M3403">
        <v>0</v>
      </c>
      <c r="N3403" s="23">
        <v>0</v>
      </c>
      <c r="O3403">
        <f t="shared" si="803"/>
        <v>1</v>
      </c>
      <c r="P3403" s="57">
        <f t="shared" si="804"/>
        <v>1</v>
      </c>
      <c r="Q3403" s="267">
        <f t="shared" si="805"/>
        <v>161</v>
      </c>
      <c r="R3403" s="23">
        <f t="shared" si="806"/>
        <v>158</v>
      </c>
      <c r="S3403" s="23">
        <f t="shared" si="807"/>
        <v>0</v>
      </c>
      <c r="T3403" s="23" t="str">
        <f t="shared" si="808"/>
        <v/>
      </c>
      <c r="U3403" t="str">
        <f t="shared" si="809"/>
        <v>PA_Alleg_2019g~Gen-member of council etna ward 3 (vote for 1)</v>
      </c>
      <c r="AF3403" s="88"/>
      <c r="AU3403" s="1"/>
    </row>
    <row r="3404" spans="1:47">
      <c r="A3404" t="str">
        <f t="shared" si="802"/>
        <v>PA_Alleg_2019g~Gen-member of council etna ward 3 (vote for 1)</v>
      </c>
      <c r="B3404" s="55" t="s">
        <v>1528</v>
      </c>
      <c r="C3404">
        <v>1117</v>
      </c>
      <c r="D3404" s="55" t="s">
        <v>1017</v>
      </c>
      <c r="E3404" s="55" t="s">
        <v>15</v>
      </c>
      <c r="G3404" s="62">
        <v>3</v>
      </c>
      <c r="H3404">
        <v>1.86</v>
      </c>
      <c r="I3404">
        <v>738</v>
      </c>
      <c r="J3404">
        <v>0</v>
      </c>
      <c r="K3404">
        <v>1</v>
      </c>
      <c r="L3404">
        <v>1</v>
      </c>
      <c r="M3404">
        <v>0</v>
      </c>
      <c r="N3404" s="23">
        <v>0</v>
      </c>
      <c r="O3404">
        <f t="shared" si="803"/>
        <v>-1</v>
      </c>
      <c r="P3404" s="57">
        <f t="shared" si="804"/>
        <v>1</v>
      </c>
      <c r="Q3404" s="267">
        <f t="shared" si="805"/>
        <v>3</v>
      </c>
      <c r="R3404" s="23">
        <f t="shared" si="806"/>
        <v>1</v>
      </c>
      <c r="S3404" s="23">
        <f t="shared" si="807"/>
        <v>0</v>
      </c>
      <c r="T3404" s="23" t="str">
        <f t="shared" si="808"/>
        <v/>
      </c>
      <c r="U3404" t="str">
        <f t="shared" si="809"/>
        <v/>
      </c>
      <c r="AF3404" s="88"/>
      <c r="AU3404" s="1"/>
    </row>
    <row r="3405" spans="1:47">
      <c r="A3405" t="str">
        <f t="shared" si="802"/>
        <v>PA_Alleg_2019g~Gen-member of council forest hills (vote for 3)</v>
      </c>
      <c r="B3405" s="55" t="s">
        <v>1528</v>
      </c>
      <c r="C3405">
        <v>814</v>
      </c>
      <c r="D3405" s="55" t="s">
        <v>757</v>
      </c>
      <c r="E3405" s="55" t="s">
        <v>758</v>
      </c>
      <c r="F3405" t="s">
        <v>1294</v>
      </c>
      <c r="G3405" s="62">
        <v>1694</v>
      </c>
      <c r="H3405">
        <v>34.83</v>
      </c>
      <c r="I3405">
        <v>5493</v>
      </c>
      <c r="J3405">
        <v>0</v>
      </c>
      <c r="K3405">
        <v>8</v>
      </c>
      <c r="L3405">
        <v>8</v>
      </c>
      <c r="M3405">
        <v>0</v>
      </c>
      <c r="N3405" s="23">
        <v>0</v>
      </c>
      <c r="O3405">
        <f t="shared" si="803"/>
        <v>1</v>
      </c>
      <c r="P3405" s="57">
        <f t="shared" si="804"/>
        <v>3</v>
      </c>
      <c r="Q3405" s="267">
        <f t="shared" si="805"/>
        <v>1694</v>
      </c>
      <c r="R3405" s="23">
        <f t="shared" si="806"/>
        <v>1553</v>
      </c>
      <c r="S3405" s="23">
        <f t="shared" si="807"/>
        <v>0</v>
      </c>
      <c r="T3405" s="23" t="str">
        <f t="shared" si="808"/>
        <v/>
      </c>
      <c r="U3405" t="str">
        <f t="shared" si="809"/>
        <v>PA_Alleg_2019g~Gen-member of council forest hills (vote for 3)</v>
      </c>
      <c r="AF3405" s="88"/>
      <c r="AU3405" s="1"/>
    </row>
    <row r="3406" spans="1:47">
      <c r="A3406" t="str">
        <f t="shared" si="802"/>
        <v>PA_Alleg_2019g~Gen-member of council forest hills (vote for 3)</v>
      </c>
      <c r="B3406" s="55" t="s">
        <v>1528</v>
      </c>
      <c r="C3406">
        <v>816</v>
      </c>
      <c r="D3406" s="55" t="s">
        <v>757</v>
      </c>
      <c r="E3406" s="55" t="s">
        <v>761</v>
      </c>
      <c r="F3406" t="s">
        <v>1294</v>
      </c>
      <c r="G3406" s="62">
        <v>1562</v>
      </c>
      <c r="H3406">
        <v>32.119999999999997</v>
      </c>
      <c r="I3406">
        <v>5493</v>
      </c>
      <c r="J3406">
        <v>0</v>
      </c>
      <c r="K3406">
        <v>8</v>
      </c>
      <c r="L3406">
        <v>8</v>
      </c>
      <c r="M3406">
        <v>0</v>
      </c>
      <c r="N3406" s="23">
        <v>0</v>
      </c>
      <c r="O3406">
        <f t="shared" si="803"/>
        <v>2</v>
      </c>
      <c r="P3406" s="57">
        <f t="shared" si="804"/>
        <v>3</v>
      </c>
      <c r="Q3406" s="267">
        <f t="shared" si="805"/>
        <v>3169</v>
      </c>
      <c r="R3406" s="23">
        <f t="shared" si="806"/>
        <v>1553</v>
      </c>
      <c r="S3406" s="23">
        <f t="shared" si="807"/>
        <v>0</v>
      </c>
      <c r="T3406" s="23" t="str">
        <f t="shared" si="808"/>
        <v/>
      </c>
      <c r="U3406" t="str">
        <f t="shared" si="809"/>
        <v/>
      </c>
      <c r="AF3406" s="88"/>
      <c r="AO3406" s="356"/>
      <c r="AP3406" s="356"/>
      <c r="AQ3406" s="394"/>
      <c r="AR3406" s="394"/>
      <c r="AS3406" s="394"/>
      <c r="AU3406" s="1"/>
    </row>
    <row r="3407" spans="1:47">
      <c r="A3407" t="str">
        <f t="shared" si="802"/>
        <v>PA_Alleg_2019g~Gen-member of council forest hills (vote for 3)</v>
      </c>
      <c r="B3407" s="55" t="s">
        <v>1528</v>
      </c>
      <c r="C3407">
        <v>815</v>
      </c>
      <c r="D3407" s="55" t="s">
        <v>757</v>
      </c>
      <c r="E3407" s="55" t="s">
        <v>760</v>
      </c>
      <c r="F3407" t="s">
        <v>1294</v>
      </c>
      <c r="G3407" s="62">
        <v>1553</v>
      </c>
      <c r="H3407">
        <v>31.94</v>
      </c>
      <c r="I3407">
        <v>5493</v>
      </c>
      <c r="J3407">
        <v>0</v>
      </c>
      <c r="K3407">
        <v>8</v>
      </c>
      <c r="L3407">
        <v>8</v>
      </c>
      <c r="M3407">
        <v>0</v>
      </c>
      <c r="N3407" s="23">
        <v>0</v>
      </c>
      <c r="O3407">
        <f t="shared" si="803"/>
        <v>3</v>
      </c>
      <c r="P3407" s="57">
        <f t="shared" si="804"/>
        <v>3</v>
      </c>
      <c r="Q3407" s="267">
        <f t="shared" si="805"/>
        <v>1607</v>
      </c>
      <c r="R3407" s="23">
        <f t="shared" si="806"/>
        <v>1553</v>
      </c>
      <c r="S3407" s="23">
        <f t="shared" si="807"/>
        <v>0</v>
      </c>
      <c r="T3407" s="23" t="str">
        <f t="shared" si="808"/>
        <v/>
      </c>
      <c r="U3407" t="str">
        <f t="shared" si="809"/>
        <v/>
      </c>
      <c r="AF3407" s="88"/>
      <c r="AU3407" s="1"/>
    </row>
    <row r="3408" spans="1:47">
      <c r="A3408" t="str">
        <f t="shared" si="802"/>
        <v>PA_Alleg_2019g~Gen-member of council forest hills (vote for 3)</v>
      </c>
      <c r="B3408" s="55" t="s">
        <v>1528</v>
      </c>
      <c r="C3408">
        <v>817</v>
      </c>
      <c r="D3408" s="55" t="s">
        <v>757</v>
      </c>
      <c r="E3408" s="55" t="s">
        <v>15</v>
      </c>
      <c r="G3408" s="62">
        <v>54</v>
      </c>
      <c r="H3408">
        <v>1.1100000000000001</v>
      </c>
      <c r="I3408">
        <v>5493</v>
      </c>
      <c r="J3408">
        <v>0</v>
      </c>
      <c r="K3408">
        <v>8</v>
      </c>
      <c r="L3408">
        <v>8</v>
      </c>
      <c r="M3408">
        <v>0</v>
      </c>
      <c r="N3408" s="23">
        <v>0</v>
      </c>
      <c r="O3408">
        <f t="shared" si="803"/>
        <v>-3</v>
      </c>
      <c r="P3408" s="57">
        <f t="shared" si="804"/>
        <v>3</v>
      </c>
      <c r="Q3408" s="267">
        <f t="shared" si="805"/>
        <v>54</v>
      </c>
      <c r="R3408" s="23">
        <f t="shared" si="806"/>
        <v>1</v>
      </c>
      <c r="S3408" s="23">
        <f t="shared" si="807"/>
        <v>0</v>
      </c>
      <c r="T3408" s="23" t="str">
        <f t="shared" si="808"/>
        <v/>
      </c>
      <c r="U3408" t="str">
        <f t="shared" si="809"/>
        <v/>
      </c>
      <c r="AF3408" s="88"/>
      <c r="AU3408" s="1"/>
    </row>
    <row r="3409" spans="1:47">
      <c r="A3409" t="str">
        <f t="shared" si="802"/>
        <v>PA_Alleg_2019g~Gen-member of council fox chapel (vote for 3)</v>
      </c>
      <c r="B3409" s="55" t="s">
        <v>1528</v>
      </c>
      <c r="C3409">
        <v>819</v>
      </c>
      <c r="D3409" s="55" t="s">
        <v>762</v>
      </c>
      <c r="E3409" s="55" t="s">
        <v>1470</v>
      </c>
      <c r="F3409" t="s">
        <v>1294</v>
      </c>
      <c r="G3409" s="62">
        <v>921</v>
      </c>
      <c r="H3409">
        <v>17.54</v>
      </c>
      <c r="I3409">
        <v>4817</v>
      </c>
      <c r="J3409">
        <v>0</v>
      </c>
      <c r="K3409">
        <v>5</v>
      </c>
      <c r="L3409">
        <v>5</v>
      </c>
      <c r="M3409">
        <v>0</v>
      </c>
      <c r="N3409" s="23">
        <v>0</v>
      </c>
      <c r="O3409">
        <f t="shared" si="803"/>
        <v>1</v>
      </c>
      <c r="P3409" s="57">
        <f t="shared" si="804"/>
        <v>3</v>
      </c>
      <c r="Q3409" s="267">
        <f t="shared" si="805"/>
        <v>1750</v>
      </c>
      <c r="R3409" s="23">
        <f t="shared" si="806"/>
        <v>896</v>
      </c>
      <c r="S3409" s="23">
        <f t="shared" si="807"/>
        <v>858</v>
      </c>
      <c r="T3409" s="23">
        <f t="shared" si="808"/>
        <v>38</v>
      </c>
      <c r="U3409" t="str">
        <f t="shared" si="809"/>
        <v>PA_Alleg_2019g~Gen-member of council fox chapel (vote for 3)</v>
      </c>
      <c r="AF3409" s="88"/>
      <c r="AU3409" s="1"/>
    </row>
    <row r="3410" spans="1:47">
      <c r="A3410" t="str">
        <f t="shared" si="802"/>
        <v>PA_Alleg_2019g~Gen-member of council fox chapel (vote for 3)</v>
      </c>
      <c r="B3410" s="55" t="s">
        <v>1528</v>
      </c>
      <c r="C3410">
        <v>821</v>
      </c>
      <c r="D3410" s="55" t="s">
        <v>762</v>
      </c>
      <c r="E3410" s="55" t="s">
        <v>1197</v>
      </c>
      <c r="F3410" t="s">
        <v>1296</v>
      </c>
      <c r="G3410" s="62">
        <v>898</v>
      </c>
      <c r="H3410">
        <v>17.100000000000001</v>
      </c>
      <c r="I3410">
        <v>4817</v>
      </c>
      <c r="J3410">
        <v>0</v>
      </c>
      <c r="K3410">
        <v>5</v>
      </c>
      <c r="L3410">
        <v>5</v>
      </c>
      <c r="M3410">
        <v>0</v>
      </c>
      <c r="N3410" s="23">
        <v>0</v>
      </c>
      <c r="O3410">
        <f t="shared" si="803"/>
        <v>2</v>
      </c>
      <c r="P3410" s="57">
        <f t="shared" si="804"/>
        <v>3</v>
      </c>
      <c r="Q3410" s="267">
        <f t="shared" si="805"/>
        <v>4329</v>
      </c>
      <c r="R3410" s="23">
        <f t="shared" si="806"/>
        <v>896</v>
      </c>
      <c r="S3410" s="23">
        <f t="shared" si="807"/>
        <v>858</v>
      </c>
      <c r="T3410" s="23" t="str">
        <f t="shared" si="808"/>
        <v/>
      </c>
      <c r="U3410" t="str">
        <f t="shared" si="809"/>
        <v/>
      </c>
      <c r="AF3410" s="88"/>
      <c r="AU3410" s="1"/>
    </row>
    <row r="3411" spans="1:47">
      <c r="A3411" t="str">
        <f t="shared" si="802"/>
        <v>PA_Alleg_2019g~Gen-member of council fox chapel (vote for 3)</v>
      </c>
      <c r="B3411" s="55" t="s">
        <v>1528</v>
      </c>
      <c r="C3411">
        <v>818</v>
      </c>
      <c r="D3411" s="55" t="s">
        <v>762</v>
      </c>
      <c r="E3411" s="55" t="s">
        <v>1469</v>
      </c>
      <c r="F3411" t="s">
        <v>1294</v>
      </c>
      <c r="G3411" s="62">
        <v>896</v>
      </c>
      <c r="H3411">
        <v>17.07</v>
      </c>
      <c r="I3411">
        <v>4817</v>
      </c>
      <c r="J3411">
        <v>0</v>
      </c>
      <c r="K3411">
        <v>5</v>
      </c>
      <c r="L3411">
        <v>5</v>
      </c>
      <c r="M3411">
        <v>0</v>
      </c>
      <c r="N3411" s="23">
        <v>0</v>
      </c>
      <c r="O3411">
        <f t="shared" si="803"/>
        <v>3</v>
      </c>
      <c r="P3411" s="57">
        <f t="shared" si="804"/>
        <v>3</v>
      </c>
      <c r="Q3411" s="267">
        <f t="shared" si="805"/>
        <v>3431</v>
      </c>
      <c r="R3411" s="23">
        <f t="shared" si="806"/>
        <v>896</v>
      </c>
      <c r="S3411" s="23">
        <f t="shared" si="807"/>
        <v>858</v>
      </c>
      <c r="T3411" s="23" t="str">
        <f t="shared" si="808"/>
        <v/>
      </c>
      <c r="U3411" t="str">
        <f t="shared" si="809"/>
        <v/>
      </c>
      <c r="AF3411" s="88"/>
      <c r="AU3411" s="1"/>
    </row>
    <row r="3412" spans="1:47">
      <c r="A3412" t="str">
        <f t="shared" si="802"/>
        <v>PA_Alleg_2019g~Gen-member of council fox chapel (vote for 3)</v>
      </c>
      <c r="B3412" s="55" t="s">
        <v>1528</v>
      </c>
      <c r="C3412">
        <v>823</v>
      </c>
      <c r="D3412" s="55" t="s">
        <v>762</v>
      </c>
      <c r="E3412" s="55" t="s">
        <v>1195</v>
      </c>
      <c r="F3412" t="s">
        <v>1296</v>
      </c>
      <c r="G3412" s="62">
        <v>858</v>
      </c>
      <c r="H3412">
        <v>16.34</v>
      </c>
      <c r="I3412">
        <v>4817</v>
      </c>
      <c r="J3412">
        <v>0</v>
      </c>
      <c r="K3412">
        <v>5</v>
      </c>
      <c r="L3412">
        <v>5</v>
      </c>
      <c r="M3412">
        <v>0</v>
      </c>
      <c r="N3412" s="23">
        <v>0</v>
      </c>
      <c r="O3412">
        <f t="shared" si="803"/>
        <v>4</v>
      </c>
      <c r="P3412" s="57">
        <f t="shared" si="804"/>
        <v>3</v>
      </c>
      <c r="Q3412" s="267">
        <f t="shared" si="805"/>
        <v>2535</v>
      </c>
      <c r="R3412" s="23" t="str">
        <f t="shared" si="806"/>
        <v/>
      </c>
      <c r="S3412" s="23">
        <f t="shared" si="807"/>
        <v>858</v>
      </c>
      <c r="T3412" s="23" t="str">
        <f t="shared" si="808"/>
        <v/>
      </c>
      <c r="U3412" t="str">
        <f t="shared" si="809"/>
        <v/>
      </c>
      <c r="AF3412" s="88"/>
      <c r="AU3412" s="1"/>
    </row>
    <row r="3413" spans="1:47">
      <c r="A3413" t="str">
        <f t="shared" si="802"/>
        <v>PA_Alleg_2019g~Gen-member of council fox chapel (vote for 3)</v>
      </c>
      <c r="B3413" s="55" t="s">
        <v>1528</v>
      </c>
      <c r="C3413">
        <v>822</v>
      </c>
      <c r="D3413" s="55" t="s">
        <v>762</v>
      </c>
      <c r="E3413" s="55" t="s">
        <v>1196</v>
      </c>
      <c r="F3413" t="s">
        <v>1296</v>
      </c>
      <c r="G3413" s="62">
        <v>843</v>
      </c>
      <c r="H3413">
        <v>16.059999999999999</v>
      </c>
      <c r="I3413">
        <v>4817</v>
      </c>
      <c r="J3413">
        <v>0</v>
      </c>
      <c r="K3413">
        <v>5</v>
      </c>
      <c r="L3413">
        <v>5</v>
      </c>
      <c r="M3413">
        <v>0</v>
      </c>
      <c r="N3413" s="23">
        <v>0</v>
      </c>
      <c r="O3413">
        <f t="shared" si="803"/>
        <v>5</v>
      </c>
      <c r="P3413" s="57">
        <f t="shared" si="804"/>
        <v>3</v>
      </c>
      <c r="Q3413" s="267">
        <f t="shared" si="805"/>
        <v>1677</v>
      </c>
      <c r="R3413" s="23" t="str">
        <f t="shared" si="806"/>
        <v/>
      </c>
      <c r="S3413" s="23">
        <f t="shared" si="807"/>
        <v>843</v>
      </c>
      <c r="T3413" s="23" t="str">
        <f t="shared" si="808"/>
        <v/>
      </c>
      <c r="U3413" t="str">
        <f t="shared" si="809"/>
        <v/>
      </c>
      <c r="AF3413" s="88"/>
      <c r="AU3413" s="1"/>
    </row>
    <row r="3414" spans="1:47">
      <c r="A3414" t="str">
        <f t="shared" si="802"/>
        <v>PA_Alleg_2019g~Gen-member of council fox chapel (vote for 3)</v>
      </c>
      <c r="B3414" s="55" t="s">
        <v>1528</v>
      </c>
      <c r="C3414">
        <v>820</v>
      </c>
      <c r="D3414" s="55" t="s">
        <v>762</v>
      </c>
      <c r="E3414" s="55" t="s">
        <v>1471</v>
      </c>
      <c r="F3414" t="s">
        <v>1294</v>
      </c>
      <c r="G3414" s="62">
        <v>830</v>
      </c>
      <c r="H3414">
        <v>15.81</v>
      </c>
      <c r="I3414">
        <v>4817</v>
      </c>
      <c r="J3414">
        <v>0</v>
      </c>
      <c r="K3414">
        <v>5</v>
      </c>
      <c r="L3414">
        <v>5</v>
      </c>
      <c r="M3414">
        <v>0</v>
      </c>
      <c r="N3414" s="23">
        <v>0</v>
      </c>
      <c r="O3414">
        <f t="shared" si="803"/>
        <v>6</v>
      </c>
      <c r="P3414" s="57">
        <f t="shared" si="804"/>
        <v>3</v>
      </c>
      <c r="Q3414" s="267">
        <f t="shared" si="805"/>
        <v>834</v>
      </c>
      <c r="R3414" s="23" t="str">
        <f t="shared" si="806"/>
        <v/>
      </c>
      <c r="S3414" s="23">
        <f t="shared" si="807"/>
        <v>830</v>
      </c>
      <c r="T3414" s="23" t="str">
        <f t="shared" si="808"/>
        <v/>
      </c>
      <c r="U3414" t="str">
        <f t="shared" si="809"/>
        <v/>
      </c>
      <c r="AF3414" s="88"/>
      <c r="AU3414" s="1"/>
    </row>
    <row r="3415" spans="1:47">
      <c r="A3415" t="str">
        <f t="shared" si="802"/>
        <v>PA_Alleg_2019g~Gen-member of council fox chapel (vote for 3)</v>
      </c>
      <c r="B3415" s="55" t="s">
        <v>1528</v>
      </c>
      <c r="C3415">
        <v>824</v>
      </c>
      <c r="D3415" s="55" t="s">
        <v>762</v>
      </c>
      <c r="E3415" s="55" t="s">
        <v>15</v>
      </c>
      <c r="G3415" s="62">
        <v>4</v>
      </c>
      <c r="H3415">
        <v>0.08</v>
      </c>
      <c r="I3415">
        <v>4817</v>
      </c>
      <c r="J3415">
        <v>0</v>
      </c>
      <c r="K3415">
        <v>5</v>
      </c>
      <c r="L3415">
        <v>5</v>
      </c>
      <c r="M3415">
        <v>0</v>
      </c>
      <c r="N3415" s="23">
        <v>0</v>
      </c>
      <c r="O3415">
        <f t="shared" si="803"/>
        <v>-6</v>
      </c>
      <c r="P3415" s="57">
        <f t="shared" si="804"/>
        <v>3</v>
      </c>
      <c r="Q3415" s="267">
        <f t="shared" si="805"/>
        <v>4</v>
      </c>
      <c r="R3415" s="23">
        <f t="shared" si="806"/>
        <v>1</v>
      </c>
      <c r="S3415" s="23">
        <f t="shared" si="807"/>
        <v>0</v>
      </c>
      <c r="T3415" s="23" t="str">
        <f t="shared" si="808"/>
        <v/>
      </c>
      <c r="U3415" t="str">
        <f t="shared" si="809"/>
        <v/>
      </c>
      <c r="AF3415" s="88"/>
      <c r="AU3415" s="1"/>
    </row>
    <row r="3416" spans="1:47">
      <c r="A3416" t="str">
        <f t="shared" si="802"/>
        <v>PA_Alleg_2019g~Gen-member of council franklin park ward 1 (vote for 1)</v>
      </c>
      <c r="B3416" s="55" t="s">
        <v>1528</v>
      </c>
      <c r="C3416">
        <v>1118</v>
      </c>
      <c r="D3416" s="55" t="s">
        <v>1019</v>
      </c>
      <c r="E3416" s="55" t="s">
        <v>1499</v>
      </c>
      <c r="F3416" t="s">
        <v>1294</v>
      </c>
      <c r="G3416" s="62">
        <v>721</v>
      </c>
      <c r="H3416">
        <v>58.38</v>
      </c>
      <c r="I3416">
        <v>3975</v>
      </c>
      <c r="J3416">
        <v>0</v>
      </c>
      <c r="K3416">
        <v>3</v>
      </c>
      <c r="L3416">
        <v>3</v>
      </c>
      <c r="M3416">
        <v>0</v>
      </c>
      <c r="N3416" s="23">
        <v>0</v>
      </c>
      <c r="O3416">
        <f t="shared" si="803"/>
        <v>1</v>
      </c>
      <c r="P3416" s="57">
        <f t="shared" si="804"/>
        <v>1</v>
      </c>
      <c r="Q3416" s="267">
        <f t="shared" si="805"/>
        <v>1235</v>
      </c>
      <c r="R3416" s="23">
        <f t="shared" si="806"/>
        <v>721</v>
      </c>
      <c r="S3416" s="23">
        <f t="shared" si="807"/>
        <v>512</v>
      </c>
      <c r="T3416" s="23">
        <f t="shared" si="808"/>
        <v>209</v>
      </c>
      <c r="U3416" t="str">
        <f t="shared" si="809"/>
        <v>PA_Alleg_2019g~Gen-member of council franklin park ward 1 (vote for 1)</v>
      </c>
      <c r="AF3416" s="88"/>
      <c r="AU3416" s="1"/>
    </row>
    <row r="3417" spans="1:47">
      <c r="A3417" t="str">
        <f t="shared" si="802"/>
        <v>PA_Alleg_2019g~Gen-member of council franklin park ward 1 (vote for 1)</v>
      </c>
      <c r="B3417" s="55" t="s">
        <v>1528</v>
      </c>
      <c r="C3417">
        <v>1119</v>
      </c>
      <c r="D3417" s="55" t="s">
        <v>1019</v>
      </c>
      <c r="E3417" s="55" t="s">
        <v>1249</v>
      </c>
      <c r="F3417" t="s">
        <v>1296</v>
      </c>
      <c r="G3417" s="62">
        <v>512</v>
      </c>
      <c r="H3417">
        <v>41.46</v>
      </c>
      <c r="I3417">
        <v>3975</v>
      </c>
      <c r="J3417">
        <v>0</v>
      </c>
      <c r="K3417">
        <v>3</v>
      </c>
      <c r="L3417">
        <v>3</v>
      </c>
      <c r="M3417">
        <v>0</v>
      </c>
      <c r="N3417" s="23">
        <v>0</v>
      </c>
      <c r="O3417">
        <f t="shared" si="803"/>
        <v>2</v>
      </c>
      <c r="P3417" s="57">
        <f t="shared" si="804"/>
        <v>1</v>
      </c>
      <c r="Q3417" s="267">
        <f t="shared" si="805"/>
        <v>514</v>
      </c>
      <c r="R3417" s="23" t="str">
        <f t="shared" si="806"/>
        <v/>
      </c>
      <c r="S3417" s="23">
        <f t="shared" si="807"/>
        <v>512</v>
      </c>
      <c r="T3417" s="23" t="str">
        <f t="shared" si="808"/>
        <v/>
      </c>
      <c r="U3417" t="str">
        <f t="shared" si="809"/>
        <v/>
      </c>
      <c r="AF3417" s="88"/>
      <c r="AU3417" s="1"/>
    </row>
    <row r="3418" spans="1:47">
      <c r="A3418" t="str">
        <f t="shared" si="802"/>
        <v>PA_Alleg_2019g~Gen-member of council franklin park ward 1 (vote for 1)</v>
      </c>
      <c r="B3418" s="55" t="s">
        <v>1528</v>
      </c>
      <c r="C3418">
        <v>1120</v>
      </c>
      <c r="D3418" s="55" t="s">
        <v>1019</v>
      </c>
      <c r="E3418" s="55" t="s">
        <v>15</v>
      </c>
      <c r="G3418" s="62">
        <v>2</v>
      </c>
      <c r="H3418">
        <v>0.16</v>
      </c>
      <c r="I3418">
        <v>3975</v>
      </c>
      <c r="J3418">
        <v>0</v>
      </c>
      <c r="K3418">
        <v>3</v>
      </c>
      <c r="L3418">
        <v>3</v>
      </c>
      <c r="M3418">
        <v>0</v>
      </c>
      <c r="N3418" s="23">
        <v>0</v>
      </c>
      <c r="O3418">
        <f t="shared" si="803"/>
        <v>-2</v>
      </c>
      <c r="P3418" s="57">
        <f t="shared" si="804"/>
        <v>1</v>
      </c>
      <c r="Q3418" s="267">
        <f t="shared" si="805"/>
        <v>2</v>
      </c>
      <c r="R3418" s="23">
        <f t="shared" si="806"/>
        <v>1</v>
      </c>
      <c r="S3418" s="23">
        <f t="shared" si="807"/>
        <v>0</v>
      </c>
      <c r="T3418" s="23" t="str">
        <f t="shared" si="808"/>
        <v/>
      </c>
      <c r="U3418" t="str">
        <f t="shared" si="809"/>
        <v/>
      </c>
      <c r="AF3418" s="88"/>
      <c r="AU3418" s="1"/>
    </row>
    <row r="3419" spans="1:47">
      <c r="A3419" t="str">
        <f t="shared" si="802"/>
        <v>PA_Alleg_2019g~Gen-member of council franklin park ward 2 (vote for 1)</v>
      </c>
      <c r="B3419" s="55" t="s">
        <v>1528</v>
      </c>
      <c r="C3419">
        <v>1122</v>
      </c>
      <c r="D3419" s="55" t="s">
        <v>1020</v>
      </c>
      <c r="E3419" s="55" t="s">
        <v>1250</v>
      </c>
      <c r="F3419" t="s">
        <v>1296</v>
      </c>
      <c r="G3419" s="62">
        <v>718</v>
      </c>
      <c r="H3419">
        <v>52.03</v>
      </c>
      <c r="I3419">
        <v>3828</v>
      </c>
      <c r="J3419">
        <v>0</v>
      </c>
      <c r="K3419">
        <v>3</v>
      </c>
      <c r="L3419">
        <v>3</v>
      </c>
      <c r="M3419">
        <v>0</v>
      </c>
      <c r="N3419" s="23">
        <v>0</v>
      </c>
      <c r="O3419">
        <f t="shared" si="803"/>
        <v>1</v>
      </c>
      <c r="P3419" s="57">
        <f t="shared" si="804"/>
        <v>1</v>
      </c>
      <c r="Q3419" s="267">
        <f t="shared" si="805"/>
        <v>2747</v>
      </c>
      <c r="R3419" s="23">
        <f t="shared" si="806"/>
        <v>718</v>
      </c>
      <c r="S3419" s="23">
        <f t="shared" si="807"/>
        <v>700</v>
      </c>
      <c r="T3419" s="23">
        <f t="shared" si="808"/>
        <v>18</v>
      </c>
      <c r="U3419" t="str">
        <f t="shared" si="809"/>
        <v>PA_Alleg_2019g~Gen-member of council franklin park ward 2 (vote for 1)</v>
      </c>
      <c r="AF3419" s="88"/>
      <c r="AU3419" s="1"/>
    </row>
    <row r="3420" spans="1:47">
      <c r="A3420" t="str">
        <f t="shared" si="802"/>
        <v>PA_Alleg_2019g~Gen-member of council franklin park ward 2 (vote for 1)</v>
      </c>
      <c r="B3420" s="55" t="s">
        <v>1528</v>
      </c>
      <c r="C3420">
        <v>1188</v>
      </c>
      <c r="D3420" s="55" t="s">
        <v>1076</v>
      </c>
      <c r="E3420" s="55" t="s">
        <v>1077</v>
      </c>
      <c r="F3420" t="s">
        <v>1294</v>
      </c>
      <c r="G3420" s="62">
        <v>700</v>
      </c>
      <c r="H3420">
        <v>51.21</v>
      </c>
      <c r="I3420">
        <v>3828</v>
      </c>
      <c r="J3420">
        <v>0</v>
      </c>
      <c r="K3420">
        <v>3</v>
      </c>
      <c r="L3420">
        <v>3</v>
      </c>
      <c r="M3420">
        <v>0</v>
      </c>
      <c r="N3420" s="23">
        <v>0</v>
      </c>
      <c r="O3420">
        <f t="shared" si="803"/>
        <v>2</v>
      </c>
      <c r="P3420" s="57">
        <f t="shared" si="804"/>
        <v>1</v>
      </c>
      <c r="Q3420" s="267">
        <f t="shared" si="805"/>
        <v>2029</v>
      </c>
      <c r="R3420" s="23" t="str">
        <f t="shared" si="806"/>
        <v/>
      </c>
      <c r="S3420" s="23">
        <f t="shared" si="807"/>
        <v>700</v>
      </c>
      <c r="T3420" s="23" t="str">
        <f t="shared" si="808"/>
        <v/>
      </c>
      <c r="U3420" t="str">
        <f t="shared" si="809"/>
        <v/>
      </c>
      <c r="AF3420" s="88"/>
      <c r="AU3420" s="1"/>
    </row>
    <row r="3421" spans="1:47">
      <c r="A3421" t="str">
        <f t="shared" si="802"/>
        <v>PA_Alleg_2019g~Gen-member of council franklin park ward 2 (vote for 1)</v>
      </c>
      <c r="B3421" s="55" t="s">
        <v>1528</v>
      </c>
      <c r="C3421">
        <v>1189</v>
      </c>
      <c r="D3421" s="55" t="s">
        <v>1076</v>
      </c>
      <c r="E3421" s="55" t="s">
        <v>1261</v>
      </c>
      <c r="F3421" t="s">
        <v>1296</v>
      </c>
      <c r="G3421" s="62">
        <v>667</v>
      </c>
      <c r="H3421">
        <v>48.79</v>
      </c>
      <c r="I3421">
        <v>3828</v>
      </c>
      <c r="J3421">
        <v>0</v>
      </c>
      <c r="K3421">
        <v>3</v>
      </c>
      <c r="L3421">
        <v>3</v>
      </c>
      <c r="M3421">
        <v>0</v>
      </c>
      <c r="N3421" s="23">
        <v>0</v>
      </c>
      <c r="O3421">
        <f t="shared" si="803"/>
        <v>3</v>
      </c>
      <c r="P3421" s="57">
        <f t="shared" si="804"/>
        <v>1</v>
      </c>
      <c r="Q3421" s="267">
        <f t="shared" si="805"/>
        <v>1329</v>
      </c>
      <c r="R3421" s="23" t="str">
        <f t="shared" si="806"/>
        <v/>
      </c>
      <c r="S3421" s="23">
        <f t="shared" si="807"/>
        <v>667</v>
      </c>
      <c r="T3421" s="23" t="str">
        <f t="shared" si="808"/>
        <v/>
      </c>
      <c r="U3421" t="str">
        <f t="shared" si="809"/>
        <v/>
      </c>
      <c r="AF3421" s="88"/>
      <c r="AU3421" s="1"/>
    </row>
    <row r="3422" spans="1:47">
      <c r="A3422" t="str">
        <f t="shared" si="802"/>
        <v>PA_Alleg_2019g~Gen-member of council franklin park ward 2 (vote for 1)</v>
      </c>
      <c r="B3422" s="55" t="s">
        <v>1528</v>
      </c>
      <c r="C3422">
        <v>1121</v>
      </c>
      <c r="D3422" s="55" t="s">
        <v>1020</v>
      </c>
      <c r="E3422" s="55" t="s">
        <v>1021</v>
      </c>
      <c r="F3422" t="s">
        <v>1294</v>
      </c>
      <c r="G3422" s="62">
        <v>662</v>
      </c>
      <c r="H3422">
        <v>47.97</v>
      </c>
      <c r="I3422">
        <v>3828</v>
      </c>
      <c r="J3422">
        <v>0</v>
      </c>
      <c r="K3422">
        <v>3</v>
      </c>
      <c r="L3422">
        <v>3</v>
      </c>
      <c r="M3422">
        <v>0</v>
      </c>
      <c r="N3422" s="23">
        <v>0</v>
      </c>
      <c r="O3422">
        <f t="shared" si="803"/>
        <v>4</v>
      </c>
      <c r="P3422" s="57">
        <f t="shared" si="804"/>
        <v>1</v>
      </c>
      <c r="Q3422" s="267">
        <f t="shared" si="805"/>
        <v>662</v>
      </c>
      <c r="R3422" s="23" t="str">
        <f t="shared" si="806"/>
        <v/>
      </c>
      <c r="S3422" s="23">
        <f t="shared" si="807"/>
        <v>662</v>
      </c>
      <c r="T3422" s="23" t="str">
        <f t="shared" si="808"/>
        <v/>
      </c>
      <c r="U3422" t="str">
        <f t="shared" si="809"/>
        <v/>
      </c>
      <c r="AF3422" s="88"/>
      <c r="AU3422" s="1"/>
    </row>
    <row r="3423" spans="1:47">
      <c r="A3423" t="str">
        <f t="shared" si="802"/>
        <v>PA_Alleg_2019g~Gen-member of council franklin park ward 2 (vote for 1)</v>
      </c>
      <c r="B3423" s="55" t="s">
        <v>1528</v>
      </c>
      <c r="C3423">
        <v>1123</v>
      </c>
      <c r="D3423" s="55" t="s">
        <v>1020</v>
      </c>
      <c r="E3423" s="55" t="s">
        <v>15</v>
      </c>
      <c r="G3423" s="62">
        <v>0</v>
      </c>
      <c r="H3423">
        <v>0</v>
      </c>
      <c r="I3423">
        <v>3828</v>
      </c>
      <c r="J3423">
        <v>0</v>
      </c>
      <c r="K3423">
        <v>3</v>
      </c>
      <c r="L3423">
        <v>3</v>
      </c>
      <c r="M3423">
        <v>0</v>
      </c>
      <c r="N3423" s="23">
        <v>0</v>
      </c>
      <c r="O3423">
        <f t="shared" si="803"/>
        <v>-4</v>
      </c>
      <c r="P3423" s="57">
        <f t="shared" si="804"/>
        <v>1</v>
      </c>
      <c r="Q3423" s="267">
        <f t="shared" si="805"/>
        <v>0</v>
      </c>
      <c r="R3423" s="23">
        <f t="shared" si="806"/>
        <v>1</v>
      </c>
      <c r="S3423" s="23">
        <f t="shared" si="807"/>
        <v>0</v>
      </c>
      <c r="T3423" s="23" t="str">
        <f t="shared" si="808"/>
        <v/>
      </c>
      <c r="U3423" t="str">
        <f t="shared" si="809"/>
        <v/>
      </c>
      <c r="AF3423" s="88"/>
      <c r="AU3423" s="1"/>
    </row>
    <row r="3424" spans="1:47">
      <c r="A3424" t="str">
        <f t="shared" si="802"/>
        <v>PA_Alleg_2019g~Gen-member of council franklin park ward 2 (vote for 1)</v>
      </c>
      <c r="B3424" s="55" t="s">
        <v>1528</v>
      </c>
      <c r="C3424">
        <v>1190</v>
      </c>
      <c r="D3424" s="55" t="s">
        <v>1076</v>
      </c>
      <c r="E3424" s="55" t="s">
        <v>15</v>
      </c>
      <c r="G3424" s="62">
        <v>0</v>
      </c>
      <c r="H3424">
        <v>0</v>
      </c>
      <c r="I3424">
        <v>3828</v>
      </c>
      <c r="J3424">
        <v>0</v>
      </c>
      <c r="K3424">
        <v>3</v>
      </c>
      <c r="L3424">
        <v>3</v>
      </c>
      <c r="M3424">
        <v>0</v>
      </c>
      <c r="N3424" s="23">
        <v>0</v>
      </c>
      <c r="O3424">
        <f t="shared" si="803"/>
        <v>-4</v>
      </c>
      <c r="P3424" s="57">
        <f t="shared" si="804"/>
        <v>1</v>
      </c>
      <c r="Q3424" s="267">
        <f t="shared" si="805"/>
        <v>0</v>
      </c>
      <c r="R3424" s="23">
        <f t="shared" si="806"/>
        <v>1</v>
      </c>
      <c r="S3424" s="23">
        <f t="shared" si="807"/>
        <v>0</v>
      </c>
      <c r="T3424" s="23" t="str">
        <f t="shared" si="808"/>
        <v/>
      </c>
      <c r="U3424" t="str">
        <f t="shared" si="809"/>
        <v/>
      </c>
      <c r="AF3424" s="88"/>
      <c r="AU3424" s="1"/>
    </row>
    <row r="3425" spans="1:47">
      <c r="A3425" t="str">
        <f t="shared" si="802"/>
        <v>PA_Alleg_2019g~Gen-member of council franklin park ward 3 (vote for 1)</v>
      </c>
      <c r="B3425" s="55" t="s">
        <v>1528</v>
      </c>
      <c r="C3425">
        <v>1124</v>
      </c>
      <c r="D3425" s="55" t="s">
        <v>1022</v>
      </c>
      <c r="E3425" s="55" t="s">
        <v>1500</v>
      </c>
      <c r="F3425" t="s">
        <v>1294</v>
      </c>
      <c r="G3425" s="62">
        <v>582</v>
      </c>
      <c r="H3425">
        <v>52.39</v>
      </c>
      <c r="I3425">
        <v>3359</v>
      </c>
      <c r="J3425">
        <v>0</v>
      </c>
      <c r="K3425">
        <v>3</v>
      </c>
      <c r="L3425">
        <v>3</v>
      </c>
      <c r="M3425">
        <v>0</v>
      </c>
      <c r="N3425" s="23">
        <v>0</v>
      </c>
      <c r="O3425">
        <f t="shared" si="803"/>
        <v>1</v>
      </c>
      <c r="P3425" s="57">
        <f t="shared" si="804"/>
        <v>1</v>
      </c>
      <c r="Q3425" s="267">
        <f t="shared" si="805"/>
        <v>1111</v>
      </c>
      <c r="R3425" s="23">
        <f t="shared" si="806"/>
        <v>582</v>
      </c>
      <c r="S3425" s="23">
        <f t="shared" si="807"/>
        <v>528</v>
      </c>
      <c r="T3425" s="23">
        <f t="shared" si="808"/>
        <v>54</v>
      </c>
      <c r="U3425" t="str">
        <f t="shared" si="809"/>
        <v>PA_Alleg_2019g~Gen-member of council franklin park ward 3 (vote for 1)</v>
      </c>
      <c r="AF3425" s="88"/>
      <c r="AU3425" s="1"/>
    </row>
    <row r="3426" spans="1:47">
      <c r="A3426" t="str">
        <f t="shared" si="802"/>
        <v>PA_Alleg_2019g~Gen-member of council franklin park ward 3 (vote for 1)</v>
      </c>
      <c r="B3426" s="55" t="s">
        <v>1528</v>
      </c>
      <c r="C3426">
        <v>1125</v>
      </c>
      <c r="D3426" s="55" t="s">
        <v>1022</v>
      </c>
      <c r="E3426" s="55" t="s">
        <v>1251</v>
      </c>
      <c r="F3426" t="s">
        <v>1296</v>
      </c>
      <c r="G3426" s="62">
        <v>528</v>
      </c>
      <c r="H3426">
        <v>47.52</v>
      </c>
      <c r="I3426">
        <v>3359</v>
      </c>
      <c r="J3426">
        <v>0</v>
      </c>
      <c r="K3426">
        <v>3</v>
      </c>
      <c r="L3426">
        <v>3</v>
      </c>
      <c r="M3426">
        <v>0</v>
      </c>
      <c r="N3426" s="23">
        <v>0</v>
      </c>
      <c r="O3426">
        <f t="shared" si="803"/>
        <v>2</v>
      </c>
      <c r="P3426" s="57">
        <f t="shared" si="804"/>
        <v>1</v>
      </c>
      <c r="Q3426" s="267">
        <f t="shared" si="805"/>
        <v>529</v>
      </c>
      <c r="R3426" s="23" t="str">
        <f t="shared" si="806"/>
        <v/>
      </c>
      <c r="S3426" s="23">
        <f t="shared" si="807"/>
        <v>528</v>
      </c>
      <c r="T3426" s="23" t="str">
        <f t="shared" si="808"/>
        <v/>
      </c>
      <c r="U3426" t="str">
        <f t="shared" si="809"/>
        <v/>
      </c>
      <c r="AF3426" s="88"/>
      <c r="AU3426" s="1"/>
    </row>
    <row r="3427" spans="1:47">
      <c r="A3427" t="str">
        <f t="shared" si="802"/>
        <v>PA_Alleg_2019g~Gen-member of council franklin park ward 3 (vote for 1)</v>
      </c>
      <c r="B3427" s="55" t="s">
        <v>1528</v>
      </c>
      <c r="C3427">
        <v>1126</v>
      </c>
      <c r="D3427" s="55" t="s">
        <v>1022</v>
      </c>
      <c r="E3427" s="55" t="s">
        <v>15</v>
      </c>
      <c r="G3427" s="62">
        <v>1</v>
      </c>
      <c r="H3427">
        <v>0.09</v>
      </c>
      <c r="I3427">
        <v>3359</v>
      </c>
      <c r="J3427">
        <v>0</v>
      </c>
      <c r="K3427">
        <v>3</v>
      </c>
      <c r="L3427">
        <v>3</v>
      </c>
      <c r="M3427">
        <v>0</v>
      </c>
      <c r="N3427" s="23">
        <v>0</v>
      </c>
      <c r="O3427">
        <f t="shared" si="803"/>
        <v>-2</v>
      </c>
      <c r="P3427" s="57">
        <f t="shared" si="804"/>
        <v>1</v>
      </c>
      <c r="Q3427" s="267">
        <f t="shared" si="805"/>
        <v>1</v>
      </c>
      <c r="R3427" s="23">
        <f t="shared" si="806"/>
        <v>1</v>
      </c>
      <c r="S3427" s="23">
        <f t="shared" si="807"/>
        <v>0</v>
      </c>
      <c r="T3427" s="23" t="str">
        <f t="shared" si="808"/>
        <v/>
      </c>
      <c r="U3427" t="str">
        <f t="shared" si="809"/>
        <v/>
      </c>
      <c r="AF3427" s="88"/>
      <c r="AU3427" s="1"/>
    </row>
    <row r="3428" spans="1:47">
      <c r="A3428" t="str">
        <f t="shared" si="802"/>
        <v>PA_Alleg_2019g~Gen-member of council glassport (vote for 4)</v>
      </c>
      <c r="B3428" s="55" t="s">
        <v>1528</v>
      </c>
      <c r="C3428">
        <v>701</v>
      </c>
      <c r="D3428" s="55" t="s">
        <v>662</v>
      </c>
      <c r="E3428" s="55" t="s">
        <v>664</v>
      </c>
      <c r="F3428" t="s">
        <v>1294</v>
      </c>
      <c r="G3428" s="62">
        <v>463</v>
      </c>
      <c r="H3428">
        <v>19.47</v>
      </c>
      <c r="I3428">
        <v>2688</v>
      </c>
      <c r="J3428">
        <v>0</v>
      </c>
      <c r="K3428">
        <v>6</v>
      </c>
      <c r="L3428">
        <v>6</v>
      </c>
      <c r="M3428">
        <v>0</v>
      </c>
      <c r="N3428" s="23">
        <v>0</v>
      </c>
      <c r="O3428">
        <f t="shared" si="803"/>
        <v>1</v>
      </c>
      <c r="P3428" s="57">
        <f t="shared" si="804"/>
        <v>4</v>
      </c>
      <c r="Q3428" s="267">
        <f t="shared" si="805"/>
        <v>594.5</v>
      </c>
      <c r="R3428" s="23">
        <f t="shared" si="806"/>
        <v>419</v>
      </c>
      <c r="S3428" s="23">
        <f t="shared" si="807"/>
        <v>393</v>
      </c>
      <c r="T3428" s="23">
        <f t="shared" si="808"/>
        <v>26</v>
      </c>
      <c r="U3428" t="str">
        <f t="shared" si="809"/>
        <v>PA_Alleg_2019g~Gen-member of council glassport (vote for 4)</v>
      </c>
      <c r="AF3428" s="88"/>
      <c r="AU3428" s="1"/>
    </row>
    <row r="3429" spans="1:47">
      <c r="A3429" t="str">
        <f t="shared" si="802"/>
        <v>PA_Alleg_2019g~Gen-member of council glassport (vote for 4)</v>
      </c>
      <c r="B3429" s="55" t="s">
        <v>1528</v>
      </c>
      <c r="C3429">
        <v>702</v>
      </c>
      <c r="D3429" s="55" t="s">
        <v>662</v>
      </c>
      <c r="E3429" s="55" t="s">
        <v>663</v>
      </c>
      <c r="F3429" t="s">
        <v>1294</v>
      </c>
      <c r="G3429" s="62">
        <v>440</v>
      </c>
      <c r="H3429">
        <v>18.5</v>
      </c>
      <c r="I3429">
        <v>2688</v>
      </c>
      <c r="J3429">
        <v>0</v>
      </c>
      <c r="K3429">
        <v>6</v>
      </c>
      <c r="L3429">
        <v>6</v>
      </c>
      <c r="M3429">
        <v>0</v>
      </c>
      <c r="N3429" s="23">
        <v>0</v>
      </c>
      <c r="O3429">
        <f t="shared" si="803"/>
        <v>2</v>
      </c>
      <c r="P3429" s="57">
        <f t="shared" si="804"/>
        <v>4</v>
      </c>
      <c r="Q3429" s="267">
        <f t="shared" si="805"/>
        <v>1915</v>
      </c>
      <c r="R3429" s="23">
        <f t="shared" si="806"/>
        <v>419</v>
      </c>
      <c r="S3429" s="23">
        <f t="shared" si="807"/>
        <v>393</v>
      </c>
      <c r="T3429" s="23" t="str">
        <f t="shared" si="808"/>
        <v/>
      </c>
      <c r="U3429" t="str">
        <f t="shared" si="809"/>
        <v/>
      </c>
      <c r="AF3429" s="88"/>
      <c r="AU3429" s="1"/>
    </row>
    <row r="3430" spans="1:47">
      <c r="A3430" t="str">
        <f t="shared" si="802"/>
        <v>PA_Alleg_2019g~Gen-member of council glassport (vote for 4)</v>
      </c>
      <c r="B3430" s="55" t="s">
        <v>1528</v>
      </c>
      <c r="C3430">
        <v>703</v>
      </c>
      <c r="D3430" s="55" t="s">
        <v>662</v>
      </c>
      <c r="E3430" s="55" t="s">
        <v>666</v>
      </c>
      <c r="F3430" t="s">
        <v>1294</v>
      </c>
      <c r="G3430" s="62">
        <v>434</v>
      </c>
      <c r="H3430">
        <v>18.25</v>
      </c>
      <c r="I3430">
        <v>2688</v>
      </c>
      <c r="J3430">
        <v>0</v>
      </c>
      <c r="K3430">
        <v>6</v>
      </c>
      <c r="L3430">
        <v>6</v>
      </c>
      <c r="M3430">
        <v>0</v>
      </c>
      <c r="N3430" s="23">
        <v>0</v>
      </c>
      <c r="O3430">
        <f t="shared" si="803"/>
        <v>3</v>
      </c>
      <c r="P3430" s="57">
        <f t="shared" si="804"/>
        <v>4</v>
      </c>
      <c r="Q3430" s="267">
        <f t="shared" si="805"/>
        <v>1475</v>
      </c>
      <c r="R3430" s="23">
        <f t="shared" si="806"/>
        <v>419</v>
      </c>
      <c r="S3430" s="23">
        <f t="shared" si="807"/>
        <v>393</v>
      </c>
      <c r="T3430" s="23" t="str">
        <f t="shared" si="808"/>
        <v/>
      </c>
      <c r="U3430" t="str">
        <f t="shared" si="809"/>
        <v/>
      </c>
      <c r="AF3430" s="88"/>
      <c r="AU3430" s="1"/>
    </row>
    <row r="3431" spans="1:47">
      <c r="A3431" t="str">
        <f t="shared" si="802"/>
        <v>PA_Alleg_2019g~Gen-member of council glassport (vote for 4)</v>
      </c>
      <c r="B3431" s="55" t="s">
        <v>1528</v>
      </c>
      <c r="C3431">
        <v>705</v>
      </c>
      <c r="D3431" s="55" t="s">
        <v>662</v>
      </c>
      <c r="E3431" s="55" t="s">
        <v>1461</v>
      </c>
      <c r="F3431" t="s">
        <v>1399</v>
      </c>
      <c r="G3431" s="62">
        <v>419</v>
      </c>
      <c r="H3431">
        <v>17.62</v>
      </c>
      <c r="I3431">
        <v>2688</v>
      </c>
      <c r="J3431">
        <v>0</v>
      </c>
      <c r="K3431">
        <v>6</v>
      </c>
      <c r="L3431">
        <v>6</v>
      </c>
      <c r="M3431">
        <v>0</v>
      </c>
      <c r="N3431" s="23">
        <v>0</v>
      </c>
      <c r="O3431">
        <f t="shared" si="803"/>
        <v>4</v>
      </c>
      <c r="P3431" s="57">
        <f t="shared" si="804"/>
        <v>4</v>
      </c>
      <c r="Q3431" s="267">
        <f t="shared" si="805"/>
        <v>1041</v>
      </c>
      <c r="R3431" s="23">
        <f t="shared" si="806"/>
        <v>419</v>
      </c>
      <c r="S3431" s="23">
        <f t="shared" si="807"/>
        <v>393</v>
      </c>
      <c r="T3431" s="23" t="str">
        <f t="shared" si="808"/>
        <v/>
      </c>
      <c r="U3431" t="str">
        <f t="shared" si="809"/>
        <v/>
      </c>
      <c r="AF3431" s="88"/>
      <c r="AU3431" s="1"/>
    </row>
    <row r="3432" spans="1:47">
      <c r="A3432" t="str">
        <f t="shared" si="802"/>
        <v>PA_Alleg_2019g~Gen-member of council glassport (vote for 4)</v>
      </c>
      <c r="B3432" s="55" t="s">
        <v>1528</v>
      </c>
      <c r="C3432">
        <v>704</v>
      </c>
      <c r="D3432" s="55" t="s">
        <v>662</v>
      </c>
      <c r="E3432" s="55" t="s">
        <v>665</v>
      </c>
      <c r="F3432" t="s">
        <v>1294</v>
      </c>
      <c r="G3432" s="62">
        <v>393</v>
      </c>
      <c r="H3432">
        <v>16.53</v>
      </c>
      <c r="I3432">
        <v>2688</v>
      </c>
      <c r="J3432">
        <v>0</v>
      </c>
      <c r="K3432">
        <v>6</v>
      </c>
      <c r="L3432">
        <v>6</v>
      </c>
      <c r="M3432">
        <v>0</v>
      </c>
      <c r="N3432" s="23">
        <v>0</v>
      </c>
      <c r="O3432">
        <f t="shared" si="803"/>
        <v>5</v>
      </c>
      <c r="P3432" s="57">
        <f t="shared" si="804"/>
        <v>4</v>
      </c>
      <c r="Q3432" s="267">
        <f t="shared" si="805"/>
        <v>622</v>
      </c>
      <c r="R3432" s="23" t="str">
        <f t="shared" si="806"/>
        <v/>
      </c>
      <c r="S3432" s="23">
        <f t="shared" si="807"/>
        <v>393</v>
      </c>
      <c r="T3432" s="23" t="str">
        <f t="shared" si="808"/>
        <v/>
      </c>
      <c r="U3432" t="str">
        <f t="shared" si="809"/>
        <v/>
      </c>
      <c r="AF3432" s="88"/>
      <c r="AU3432" s="1"/>
    </row>
    <row r="3433" spans="1:47">
      <c r="A3433" t="str">
        <f t="shared" si="802"/>
        <v>PA_Alleg_2019g~Gen-member of council glassport (vote for 4)</v>
      </c>
      <c r="B3433" s="55" t="s">
        <v>1528</v>
      </c>
      <c r="C3433">
        <v>706</v>
      </c>
      <c r="D3433" s="55" t="s">
        <v>662</v>
      </c>
      <c r="E3433" s="55" t="s">
        <v>15</v>
      </c>
      <c r="G3433" s="62">
        <v>229</v>
      </c>
      <c r="H3433">
        <v>9.6300000000000008</v>
      </c>
      <c r="I3433">
        <v>2688</v>
      </c>
      <c r="J3433">
        <v>0</v>
      </c>
      <c r="K3433">
        <v>6</v>
      </c>
      <c r="L3433">
        <v>6</v>
      </c>
      <c r="M3433">
        <v>0</v>
      </c>
      <c r="N3433" s="23">
        <v>0</v>
      </c>
      <c r="O3433">
        <f t="shared" si="803"/>
        <v>-5</v>
      </c>
      <c r="P3433" s="57">
        <f t="shared" si="804"/>
        <v>4</v>
      </c>
      <c r="Q3433" s="267">
        <f t="shared" si="805"/>
        <v>229</v>
      </c>
      <c r="R3433" s="23">
        <f t="shared" si="806"/>
        <v>1</v>
      </c>
      <c r="S3433" s="23">
        <f t="shared" si="807"/>
        <v>0</v>
      </c>
      <c r="T3433" s="23" t="str">
        <f t="shared" si="808"/>
        <v/>
      </c>
      <c r="U3433" t="str">
        <f t="shared" si="809"/>
        <v/>
      </c>
      <c r="AF3433" s="88"/>
      <c r="AU3433" s="1"/>
    </row>
    <row r="3434" spans="1:47">
      <c r="A3434" t="str">
        <f t="shared" si="802"/>
        <v>PA_Alleg_2019g~Gen-member of council glen osborne (vote for 3)</v>
      </c>
      <c r="B3434" s="55" t="s">
        <v>1528</v>
      </c>
      <c r="C3434">
        <v>875</v>
      </c>
      <c r="D3434" s="55" t="s">
        <v>810</v>
      </c>
      <c r="E3434" s="55" t="s">
        <v>1474</v>
      </c>
      <c r="F3434" t="s">
        <v>1399</v>
      </c>
      <c r="G3434" s="62">
        <v>127</v>
      </c>
      <c r="H3434">
        <v>32.82</v>
      </c>
      <c r="I3434">
        <v>455</v>
      </c>
      <c r="J3434">
        <v>0</v>
      </c>
      <c r="K3434">
        <v>1</v>
      </c>
      <c r="L3434">
        <v>1</v>
      </c>
      <c r="M3434">
        <v>0</v>
      </c>
      <c r="N3434" s="23">
        <v>0</v>
      </c>
      <c r="O3434">
        <f t="shared" si="803"/>
        <v>1</v>
      </c>
      <c r="P3434" s="57">
        <f t="shared" si="804"/>
        <v>3</v>
      </c>
      <c r="Q3434" s="267">
        <f t="shared" si="805"/>
        <v>129</v>
      </c>
      <c r="R3434" s="23">
        <f t="shared" si="806"/>
        <v>86</v>
      </c>
      <c r="S3434" s="23">
        <f t="shared" si="807"/>
        <v>49</v>
      </c>
      <c r="T3434" s="23">
        <f t="shared" si="808"/>
        <v>37</v>
      </c>
      <c r="U3434" t="str">
        <f t="shared" si="809"/>
        <v>PA_Alleg_2019g~Gen-member of council glen osborne (vote for 3)</v>
      </c>
      <c r="AF3434" s="88"/>
      <c r="AU3434" s="1"/>
    </row>
    <row r="3435" spans="1:47">
      <c r="A3435" t="str">
        <f t="shared" si="802"/>
        <v>PA_Alleg_2019g~Gen-member of council glen osborne (vote for 3)</v>
      </c>
      <c r="B3435" s="55" t="s">
        <v>1528</v>
      </c>
      <c r="C3435">
        <v>876</v>
      </c>
      <c r="D3435" s="55" t="s">
        <v>810</v>
      </c>
      <c r="E3435" s="55" t="s">
        <v>1475</v>
      </c>
      <c r="F3435" t="s">
        <v>1399</v>
      </c>
      <c r="G3435" s="62">
        <v>113</v>
      </c>
      <c r="H3435">
        <v>29.2</v>
      </c>
      <c r="I3435">
        <v>455</v>
      </c>
      <c r="J3435">
        <v>0</v>
      </c>
      <c r="K3435">
        <v>1</v>
      </c>
      <c r="L3435">
        <v>1</v>
      </c>
      <c r="M3435">
        <v>0</v>
      </c>
      <c r="N3435" s="23">
        <v>0</v>
      </c>
      <c r="O3435">
        <f t="shared" si="803"/>
        <v>2</v>
      </c>
      <c r="P3435" s="57">
        <f t="shared" si="804"/>
        <v>3</v>
      </c>
      <c r="Q3435" s="267">
        <f t="shared" si="805"/>
        <v>260</v>
      </c>
      <c r="R3435" s="23">
        <f t="shared" si="806"/>
        <v>86</v>
      </c>
      <c r="S3435" s="23">
        <f t="shared" si="807"/>
        <v>49</v>
      </c>
      <c r="T3435" s="23" t="str">
        <f t="shared" si="808"/>
        <v/>
      </c>
      <c r="U3435" t="str">
        <f t="shared" si="809"/>
        <v/>
      </c>
      <c r="AF3435" s="88"/>
      <c r="AU3435" s="1"/>
    </row>
    <row r="3436" spans="1:47">
      <c r="A3436" t="str">
        <f t="shared" si="802"/>
        <v>PA_Alleg_2019g~Gen-member of council glen osborne (vote for 3)</v>
      </c>
      <c r="B3436" s="55" t="s">
        <v>1528</v>
      </c>
      <c r="C3436">
        <v>873</v>
      </c>
      <c r="D3436" s="55" t="s">
        <v>810</v>
      </c>
      <c r="E3436" s="55" t="s">
        <v>811</v>
      </c>
      <c r="F3436" t="s">
        <v>1294</v>
      </c>
      <c r="G3436" s="62">
        <v>86</v>
      </c>
      <c r="H3436">
        <v>22.22</v>
      </c>
      <c r="I3436">
        <v>455</v>
      </c>
      <c r="J3436">
        <v>0</v>
      </c>
      <c r="K3436">
        <v>1</v>
      </c>
      <c r="L3436">
        <v>1</v>
      </c>
      <c r="M3436">
        <v>0</v>
      </c>
      <c r="N3436" s="23">
        <v>0</v>
      </c>
      <c r="O3436">
        <f t="shared" si="803"/>
        <v>3</v>
      </c>
      <c r="P3436" s="57">
        <f t="shared" si="804"/>
        <v>3</v>
      </c>
      <c r="Q3436" s="267">
        <f t="shared" si="805"/>
        <v>147</v>
      </c>
      <c r="R3436" s="23">
        <f t="shared" si="806"/>
        <v>86</v>
      </c>
      <c r="S3436" s="23">
        <f t="shared" si="807"/>
        <v>49</v>
      </c>
      <c r="T3436" s="23" t="str">
        <f t="shared" si="808"/>
        <v/>
      </c>
      <c r="U3436" t="str">
        <f t="shared" si="809"/>
        <v/>
      </c>
      <c r="AF3436" s="88"/>
      <c r="AU3436" s="1"/>
    </row>
    <row r="3437" spans="1:47">
      <c r="A3437" t="str">
        <f t="shared" si="802"/>
        <v>PA_Alleg_2019g~Gen-member of council glen osborne (vote for 3)</v>
      </c>
      <c r="B3437" s="55" t="s">
        <v>1528</v>
      </c>
      <c r="C3437">
        <v>874</v>
      </c>
      <c r="D3437" s="55" t="s">
        <v>810</v>
      </c>
      <c r="E3437" s="55" t="s">
        <v>1208</v>
      </c>
      <c r="F3437" t="s">
        <v>1296</v>
      </c>
      <c r="G3437" s="62">
        <v>49</v>
      </c>
      <c r="H3437">
        <v>12.66</v>
      </c>
      <c r="I3437">
        <v>455</v>
      </c>
      <c r="J3437">
        <v>0</v>
      </c>
      <c r="K3437">
        <v>1</v>
      </c>
      <c r="L3437">
        <v>1</v>
      </c>
      <c r="M3437">
        <v>0</v>
      </c>
      <c r="N3437" s="23">
        <v>0</v>
      </c>
      <c r="O3437">
        <f t="shared" si="803"/>
        <v>4</v>
      </c>
      <c r="P3437" s="57">
        <f t="shared" si="804"/>
        <v>3</v>
      </c>
      <c r="Q3437" s="267">
        <f t="shared" si="805"/>
        <v>61</v>
      </c>
      <c r="R3437" s="23" t="str">
        <f t="shared" si="806"/>
        <v/>
      </c>
      <c r="S3437" s="23">
        <f t="shared" si="807"/>
        <v>49</v>
      </c>
      <c r="T3437" s="23" t="str">
        <f t="shared" si="808"/>
        <v/>
      </c>
      <c r="U3437" t="str">
        <f t="shared" si="809"/>
        <v/>
      </c>
      <c r="AF3437" s="88"/>
      <c r="AU3437" s="1"/>
    </row>
    <row r="3438" spans="1:47">
      <c r="A3438" t="str">
        <f t="shared" si="802"/>
        <v>PA_Alleg_2019g~Gen-member of council glen osborne (vote for 3)</v>
      </c>
      <c r="B3438" s="55" t="s">
        <v>1528</v>
      </c>
      <c r="C3438">
        <v>877</v>
      </c>
      <c r="D3438" s="55" t="s">
        <v>810</v>
      </c>
      <c r="E3438" s="55" t="s">
        <v>15</v>
      </c>
      <c r="G3438" s="62">
        <v>12</v>
      </c>
      <c r="H3438">
        <v>3.1</v>
      </c>
      <c r="I3438">
        <v>455</v>
      </c>
      <c r="J3438">
        <v>0</v>
      </c>
      <c r="K3438">
        <v>1</v>
      </c>
      <c r="L3438">
        <v>1</v>
      </c>
      <c r="M3438">
        <v>0</v>
      </c>
      <c r="N3438" s="23">
        <v>0</v>
      </c>
      <c r="O3438">
        <f t="shared" si="803"/>
        <v>-4</v>
      </c>
      <c r="P3438" s="57">
        <f t="shared" si="804"/>
        <v>3</v>
      </c>
      <c r="Q3438" s="267">
        <f t="shared" si="805"/>
        <v>12</v>
      </c>
      <c r="R3438" s="23">
        <f t="shared" si="806"/>
        <v>1</v>
      </c>
      <c r="S3438" s="23">
        <f t="shared" si="807"/>
        <v>0</v>
      </c>
      <c r="T3438" s="23" t="str">
        <f t="shared" si="808"/>
        <v/>
      </c>
      <c r="U3438" t="str">
        <f t="shared" si="809"/>
        <v/>
      </c>
      <c r="AF3438" s="88"/>
      <c r="AU3438" s="1"/>
    </row>
    <row r="3439" spans="1:47">
      <c r="A3439" t="str">
        <f t="shared" si="802"/>
        <v>PA_Alleg_2019g~Gen-member of council glenfield (vote for 1)</v>
      </c>
      <c r="B3439" s="55" t="s">
        <v>1528</v>
      </c>
      <c r="C3439">
        <v>1015</v>
      </c>
      <c r="D3439" s="55" t="s">
        <v>920</v>
      </c>
      <c r="E3439" s="55" t="s">
        <v>15</v>
      </c>
      <c r="G3439" s="62">
        <v>15</v>
      </c>
      <c r="H3439">
        <v>100</v>
      </c>
      <c r="I3439">
        <v>153</v>
      </c>
      <c r="J3439">
        <v>0</v>
      </c>
      <c r="K3439">
        <v>1</v>
      </c>
      <c r="L3439">
        <v>1</v>
      </c>
      <c r="M3439">
        <v>0</v>
      </c>
      <c r="N3439" s="23">
        <v>0</v>
      </c>
      <c r="O3439">
        <f t="shared" si="803"/>
        <v>0</v>
      </c>
      <c r="P3439" s="57">
        <f t="shared" si="804"/>
        <v>1</v>
      </c>
      <c r="Q3439" s="267">
        <f t="shared" si="805"/>
        <v>15</v>
      </c>
      <c r="R3439" s="23">
        <f t="shared" si="806"/>
        <v>1</v>
      </c>
      <c r="S3439" s="23">
        <f t="shared" si="807"/>
        <v>0</v>
      </c>
      <c r="T3439" s="23" t="str">
        <f t="shared" si="808"/>
        <v/>
      </c>
      <c r="U3439" t="str">
        <f t="shared" si="809"/>
        <v>PA_Alleg_2019g~Gen-member of council glenfield (vote for 1)</v>
      </c>
      <c r="AF3439" s="88"/>
      <c r="AU3439" s="1"/>
    </row>
    <row r="3440" spans="1:47">
      <c r="A3440" t="str">
        <f t="shared" si="802"/>
        <v>PA_Alleg_2019g~Gen-member of council glenfield (vote for 3)</v>
      </c>
      <c r="B3440" s="55" t="s">
        <v>1528</v>
      </c>
      <c r="C3440">
        <v>825</v>
      </c>
      <c r="D3440" s="55" t="s">
        <v>763</v>
      </c>
      <c r="E3440" s="55" t="s">
        <v>15</v>
      </c>
      <c r="G3440" s="62">
        <v>71</v>
      </c>
      <c r="H3440">
        <v>100</v>
      </c>
      <c r="I3440">
        <v>153</v>
      </c>
      <c r="J3440">
        <v>0</v>
      </c>
      <c r="K3440">
        <v>1</v>
      </c>
      <c r="L3440">
        <v>1</v>
      </c>
      <c r="M3440">
        <v>0</v>
      </c>
      <c r="N3440" s="23">
        <v>0</v>
      </c>
      <c r="O3440">
        <f t="shared" si="803"/>
        <v>0</v>
      </c>
      <c r="P3440" s="57">
        <f t="shared" si="804"/>
        <v>3</v>
      </c>
      <c r="Q3440" s="267">
        <f t="shared" si="805"/>
        <v>71</v>
      </c>
      <c r="R3440" s="23">
        <f t="shared" si="806"/>
        <v>1</v>
      </c>
      <c r="S3440" s="23">
        <f t="shared" si="807"/>
        <v>0</v>
      </c>
      <c r="T3440" s="23" t="str">
        <f t="shared" si="808"/>
        <v/>
      </c>
      <c r="U3440" t="str">
        <f t="shared" si="809"/>
        <v>PA_Alleg_2019g~Gen-member of council glenfield (vote for 3)</v>
      </c>
      <c r="AF3440" s="88"/>
      <c r="AU3440" s="1"/>
    </row>
    <row r="3441" spans="1:47">
      <c r="A3441" t="str">
        <f t="shared" si="802"/>
        <v>PA_Alleg_2019g~Gen-member of council green tree (vote for 3)</v>
      </c>
      <c r="B3441" s="55" t="s">
        <v>1528</v>
      </c>
      <c r="C3441">
        <v>826</v>
      </c>
      <c r="D3441" s="55" t="s">
        <v>764</v>
      </c>
      <c r="E3441" s="55" t="s">
        <v>765</v>
      </c>
      <c r="F3441" t="s">
        <v>1294</v>
      </c>
      <c r="G3441" s="62">
        <v>867</v>
      </c>
      <c r="H3441">
        <v>33.85</v>
      </c>
      <c r="I3441">
        <v>3725</v>
      </c>
      <c r="J3441">
        <v>0</v>
      </c>
      <c r="K3441">
        <v>4</v>
      </c>
      <c r="L3441">
        <v>4</v>
      </c>
      <c r="M3441">
        <v>0</v>
      </c>
      <c r="N3441" s="23">
        <v>0</v>
      </c>
      <c r="O3441">
        <f t="shared" si="803"/>
        <v>1</v>
      </c>
      <c r="P3441" s="57">
        <f t="shared" si="804"/>
        <v>3</v>
      </c>
      <c r="Q3441" s="267">
        <f t="shared" si="805"/>
        <v>867</v>
      </c>
      <c r="R3441" s="23">
        <f t="shared" si="806"/>
        <v>821</v>
      </c>
      <c r="S3441" s="23">
        <f t="shared" si="807"/>
        <v>0</v>
      </c>
      <c r="T3441" s="23" t="str">
        <f t="shared" si="808"/>
        <v/>
      </c>
      <c r="U3441" t="str">
        <f t="shared" si="809"/>
        <v>PA_Alleg_2019g~Gen-member of council green tree (vote for 3)</v>
      </c>
      <c r="AF3441" s="88"/>
      <c r="AU3441" s="1"/>
    </row>
    <row r="3442" spans="1:47">
      <c r="A3442" t="str">
        <f t="shared" si="802"/>
        <v>PA_Alleg_2019g~Gen-member of council green tree (vote for 3)</v>
      </c>
      <c r="B3442" s="55" t="s">
        <v>1528</v>
      </c>
      <c r="C3442">
        <v>827</v>
      </c>
      <c r="D3442" s="55" t="s">
        <v>764</v>
      </c>
      <c r="E3442" s="55" t="s">
        <v>766</v>
      </c>
      <c r="F3442" t="s">
        <v>1294</v>
      </c>
      <c r="G3442" s="62">
        <v>843</v>
      </c>
      <c r="H3442">
        <v>32.92</v>
      </c>
      <c r="I3442">
        <v>3725</v>
      </c>
      <c r="J3442">
        <v>0</v>
      </c>
      <c r="K3442">
        <v>4</v>
      </c>
      <c r="L3442">
        <v>4</v>
      </c>
      <c r="M3442">
        <v>0</v>
      </c>
      <c r="N3442" s="23">
        <v>0</v>
      </c>
      <c r="O3442">
        <f t="shared" si="803"/>
        <v>2</v>
      </c>
      <c r="P3442" s="57">
        <f t="shared" si="804"/>
        <v>3</v>
      </c>
      <c r="Q3442" s="267">
        <f t="shared" si="805"/>
        <v>1694</v>
      </c>
      <c r="R3442" s="23">
        <f t="shared" si="806"/>
        <v>821</v>
      </c>
      <c r="S3442" s="23">
        <f t="shared" si="807"/>
        <v>0</v>
      </c>
      <c r="T3442" s="23" t="str">
        <f t="shared" si="808"/>
        <v/>
      </c>
      <c r="U3442" t="str">
        <f t="shared" si="809"/>
        <v/>
      </c>
      <c r="AF3442" s="88"/>
      <c r="AU3442" s="1"/>
    </row>
    <row r="3443" spans="1:47">
      <c r="A3443" t="str">
        <f t="shared" si="802"/>
        <v>PA_Alleg_2019g~Gen-member of council green tree (vote for 3)</v>
      </c>
      <c r="B3443" s="55" t="s">
        <v>1528</v>
      </c>
      <c r="C3443">
        <v>828</v>
      </c>
      <c r="D3443" s="55" t="s">
        <v>764</v>
      </c>
      <c r="E3443" s="55" t="s">
        <v>767</v>
      </c>
      <c r="F3443" t="s">
        <v>1294</v>
      </c>
      <c r="G3443" s="62">
        <v>821</v>
      </c>
      <c r="H3443">
        <v>32.06</v>
      </c>
      <c r="I3443">
        <v>3725</v>
      </c>
      <c r="J3443">
        <v>0</v>
      </c>
      <c r="K3443">
        <v>4</v>
      </c>
      <c r="L3443">
        <v>4</v>
      </c>
      <c r="M3443">
        <v>0</v>
      </c>
      <c r="N3443" s="23">
        <v>0</v>
      </c>
      <c r="O3443">
        <f t="shared" si="803"/>
        <v>3</v>
      </c>
      <c r="P3443" s="57">
        <f t="shared" si="804"/>
        <v>3</v>
      </c>
      <c r="Q3443" s="267">
        <f t="shared" si="805"/>
        <v>851</v>
      </c>
      <c r="R3443" s="23">
        <f t="shared" si="806"/>
        <v>821</v>
      </c>
      <c r="S3443" s="23">
        <f t="shared" si="807"/>
        <v>0</v>
      </c>
      <c r="T3443" s="23" t="str">
        <f t="shared" si="808"/>
        <v/>
      </c>
      <c r="U3443" t="str">
        <f t="shared" si="809"/>
        <v/>
      </c>
      <c r="AF3443" s="88"/>
      <c r="AU3443" s="1"/>
    </row>
    <row r="3444" spans="1:47">
      <c r="A3444" t="str">
        <f t="shared" si="802"/>
        <v>PA_Alleg_2019g~Gen-member of council green tree (vote for 3)</v>
      </c>
      <c r="B3444" s="55" t="s">
        <v>1528</v>
      </c>
      <c r="C3444">
        <v>829</v>
      </c>
      <c r="D3444" s="55" t="s">
        <v>764</v>
      </c>
      <c r="E3444" s="55" t="s">
        <v>15</v>
      </c>
      <c r="G3444" s="62">
        <v>30</v>
      </c>
      <c r="H3444">
        <v>1.17</v>
      </c>
      <c r="I3444">
        <v>3725</v>
      </c>
      <c r="J3444">
        <v>0</v>
      </c>
      <c r="K3444">
        <v>4</v>
      </c>
      <c r="L3444">
        <v>4</v>
      </c>
      <c r="M3444">
        <v>0</v>
      </c>
      <c r="N3444" s="23">
        <v>0</v>
      </c>
      <c r="O3444">
        <f t="shared" si="803"/>
        <v>-3</v>
      </c>
      <c r="P3444" s="57">
        <f t="shared" si="804"/>
        <v>3</v>
      </c>
      <c r="Q3444" s="267">
        <f t="shared" si="805"/>
        <v>30</v>
      </c>
      <c r="R3444" s="23">
        <f t="shared" si="806"/>
        <v>1</v>
      </c>
      <c r="S3444" s="23">
        <f t="shared" si="807"/>
        <v>0</v>
      </c>
      <c r="T3444" s="23" t="str">
        <f t="shared" si="808"/>
        <v/>
      </c>
      <c r="U3444" t="str">
        <f t="shared" si="809"/>
        <v/>
      </c>
      <c r="AF3444" s="88"/>
      <c r="AU3444" s="1"/>
    </row>
    <row r="3445" spans="1:47">
      <c r="A3445" t="str">
        <f t="shared" si="802"/>
        <v>PA_Alleg_2019g~Gen-member of council hampton (vote for 2)</v>
      </c>
      <c r="B3445" s="55" t="s">
        <v>1528</v>
      </c>
      <c r="C3445">
        <v>983</v>
      </c>
      <c r="D3445" s="55" t="s">
        <v>893</v>
      </c>
      <c r="E3445" s="55" t="s">
        <v>1233</v>
      </c>
      <c r="F3445" t="s">
        <v>1296</v>
      </c>
      <c r="G3445" s="62">
        <v>2271</v>
      </c>
      <c r="H3445">
        <v>27.21</v>
      </c>
      <c r="I3445">
        <v>14286</v>
      </c>
      <c r="J3445">
        <v>0</v>
      </c>
      <c r="K3445">
        <v>13</v>
      </c>
      <c r="L3445">
        <v>13</v>
      </c>
      <c r="M3445">
        <v>0</v>
      </c>
      <c r="N3445" s="23">
        <v>0</v>
      </c>
      <c r="O3445">
        <f t="shared" si="803"/>
        <v>1</v>
      </c>
      <c r="P3445" s="57">
        <f t="shared" si="804"/>
        <v>2</v>
      </c>
      <c r="Q3445" s="267">
        <f t="shared" si="805"/>
        <v>4172.5</v>
      </c>
      <c r="R3445" s="23">
        <f t="shared" si="806"/>
        <v>2119</v>
      </c>
      <c r="S3445" s="23">
        <f t="shared" si="807"/>
        <v>2068</v>
      </c>
      <c r="T3445" s="23">
        <f t="shared" si="808"/>
        <v>51</v>
      </c>
      <c r="U3445" t="str">
        <f t="shared" si="809"/>
        <v>PA_Alleg_2019g~Gen-member of council hampton (vote for 2)</v>
      </c>
      <c r="AF3445" s="88"/>
      <c r="AH3445" s="8"/>
      <c r="AU3445" s="1"/>
    </row>
    <row r="3446" spans="1:47">
      <c r="A3446" t="str">
        <f t="shared" si="802"/>
        <v>PA_Alleg_2019g~Gen-member of council hampton (vote for 2)</v>
      </c>
      <c r="B3446" s="55" t="s">
        <v>1528</v>
      </c>
      <c r="C3446">
        <v>984</v>
      </c>
      <c r="D3446" s="55" t="s">
        <v>893</v>
      </c>
      <c r="E3446" s="55" t="s">
        <v>1234</v>
      </c>
      <c r="F3446" t="s">
        <v>1296</v>
      </c>
      <c r="G3446" s="62">
        <v>2119</v>
      </c>
      <c r="H3446">
        <v>25.39</v>
      </c>
      <c r="I3446">
        <v>14286</v>
      </c>
      <c r="J3446">
        <v>0</v>
      </c>
      <c r="K3446">
        <v>13</v>
      </c>
      <c r="L3446">
        <v>13</v>
      </c>
      <c r="M3446">
        <v>0</v>
      </c>
      <c r="N3446" s="23">
        <v>0</v>
      </c>
      <c r="O3446">
        <f t="shared" si="803"/>
        <v>2</v>
      </c>
      <c r="P3446" s="57">
        <f t="shared" si="804"/>
        <v>2</v>
      </c>
      <c r="Q3446" s="267">
        <f t="shared" si="805"/>
        <v>6074</v>
      </c>
      <c r="R3446" s="23">
        <f t="shared" si="806"/>
        <v>2119</v>
      </c>
      <c r="S3446" s="23">
        <f t="shared" si="807"/>
        <v>2068</v>
      </c>
      <c r="T3446" s="23" t="str">
        <f t="shared" si="808"/>
        <v/>
      </c>
      <c r="U3446" t="str">
        <f t="shared" si="809"/>
        <v/>
      </c>
      <c r="AF3446" s="88"/>
      <c r="AH3446" s="8"/>
      <c r="AL3446" s="23"/>
      <c r="AU3446" s="1"/>
    </row>
    <row r="3447" spans="1:47">
      <c r="A3447" t="str">
        <f t="shared" si="802"/>
        <v>PA_Alleg_2019g~Gen-member of council hampton (vote for 2)</v>
      </c>
      <c r="B3447" s="55" t="s">
        <v>1528</v>
      </c>
      <c r="C3447">
        <v>981</v>
      </c>
      <c r="D3447" s="55" t="s">
        <v>893</v>
      </c>
      <c r="E3447" s="55" t="s">
        <v>894</v>
      </c>
      <c r="F3447" t="s">
        <v>1294</v>
      </c>
      <c r="G3447" s="62">
        <v>2068</v>
      </c>
      <c r="H3447">
        <v>24.78</v>
      </c>
      <c r="I3447">
        <v>14286</v>
      </c>
      <c r="J3447">
        <v>0</v>
      </c>
      <c r="K3447">
        <v>13</v>
      </c>
      <c r="L3447">
        <v>13</v>
      </c>
      <c r="M3447">
        <v>0</v>
      </c>
      <c r="N3447" s="23">
        <v>0</v>
      </c>
      <c r="O3447">
        <f t="shared" si="803"/>
        <v>3</v>
      </c>
      <c r="P3447" s="57">
        <f t="shared" si="804"/>
        <v>2</v>
      </c>
      <c r="Q3447" s="267">
        <f t="shared" si="805"/>
        <v>3955</v>
      </c>
      <c r="R3447" s="23" t="str">
        <f t="shared" si="806"/>
        <v/>
      </c>
      <c r="S3447" s="23">
        <f t="shared" si="807"/>
        <v>2068</v>
      </c>
      <c r="T3447" s="23" t="str">
        <f t="shared" si="808"/>
        <v/>
      </c>
      <c r="U3447" t="str">
        <f t="shared" si="809"/>
        <v/>
      </c>
      <c r="AF3447" s="88"/>
      <c r="AH3447" s="8"/>
      <c r="AL3447" s="23"/>
      <c r="AU3447" s="1"/>
    </row>
    <row r="3448" spans="1:47">
      <c r="A3448" t="str">
        <f t="shared" ref="A3448:A3511" si="810">CONCATENATE(B3448,"~Gen-",LOWER(D3448))</f>
        <v>PA_Alleg_2019g~Gen-member of council hampton (vote for 2)</v>
      </c>
      <c r="B3448" s="55" t="s">
        <v>1528</v>
      </c>
      <c r="C3448">
        <v>982</v>
      </c>
      <c r="D3448" s="55" t="s">
        <v>893</v>
      </c>
      <c r="E3448" s="55" t="s">
        <v>1488</v>
      </c>
      <c r="F3448" t="s">
        <v>1294</v>
      </c>
      <c r="G3448" s="62">
        <v>1883</v>
      </c>
      <c r="H3448">
        <v>22.56</v>
      </c>
      <c r="I3448">
        <v>14286</v>
      </c>
      <c r="J3448">
        <v>0</v>
      </c>
      <c r="K3448">
        <v>13</v>
      </c>
      <c r="L3448">
        <v>13</v>
      </c>
      <c r="M3448">
        <v>0</v>
      </c>
      <c r="N3448" s="23">
        <v>0</v>
      </c>
      <c r="O3448">
        <f t="shared" si="803"/>
        <v>4</v>
      </c>
      <c r="P3448" s="57">
        <f t="shared" si="804"/>
        <v>2</v>
      </c>
      <c r="Q3448" s="267">
        <f t="shared" si="805"/>
        <v>1887</v>
      </c>
      <c r="R3448" s="23" t="str">
        <f t="shared" si="806"/>
        <v/>
      </c>
      <c r="S3448" s="23">
        <f t="shared" si="807"/>
        <v>1883</v>
      </c>
      <c r="T3448" s="23" t="str">
        <f t="shared" si="808"/>
        <v/>
      </c>
      <c r="U3448" t="str">
        <f t="shared" si="809"/>
        <v/>
      </c>
      <c r="AF3448" s="88"/>
      <c r="AH3448" s="8"/>
      <c r="AL3448" s="23"/>
      <c r="AU3448" s="1"/>
    </row>
    <row r="3449" spans="1:47">
      <c r="A3449" t="str">
        <f t="shared" si="810"/>
        <v>PA_Alleg_2019g~Gen-member of council hampton (vote for 2)</v>
      </c>
      <c r="B3449" s="55" t="s">
        <v>1528</v>
      </c>
      <c r="C3449">
        <v>985</v>
      </c>
      <c r="D3449" s="55" t="s">
        <v>893</v>
      </c>
      <c r="E3449" s="55" t="s">
        <v>15</v>
      </c>
      <c r="G3449" s="62">
        <v>4</v>
      </c>
      <c r="H3449">
        <v>0.05</v>
      </c>
      <c r="I3449">
        <v>14286</v>
      </c>
      <c r="J3449">
        <v>0</v>
      </c>
      <c r="K3449">
        <v>13</v>
      </c>
      <c r="L3449">
        <v>13</v>
      </c>
      <c r="M3449">
        <v>0</v>
      </c>
      <c r="N3449" s="23">
        <v>0</v>
      </c>
      <c r="O3449">
        <f t="shared" si="803"/>
        <v>-4</v>
      </c>
      <c r="P3449" s="57">
        <f t="shared" si="804"/>
        <v>2</v>
      </c>
      <c r="Q3449" s="267">
        <f t="shared" si="805"/>
        <v>4</v>
      </c>
      <c r="R3449" s="23">
        <f t="shared" si="806"/>
        <v>1</v>
      </c>
      <c r="S3449" s="23">
        <f t="shared" si="807"/>
        <v>0</v>
      </c>
      <c r="T3449" s="23" t="str">
        <f t="shared" si="808"/>
        <v/>
      </c>
      <c r="U3449" t="str">
        <f t="shared" si="809"/>
        <v/>
      </c>
      <c r="AF3449" s="22"/>
      <c r="AH3449" s="8"/>
      <c r="AL3449" s="23"/>
      <c r="AU3449" s="1"/>
    </row>
    <row r="3450" spans="1:47">
      <c r="A3450" t="str">
        <f t="shared" si="810"/>
        <v>PA_Alleg_2019g~Gen-member of council haysville (vote for 3)</v>
      </c>
      <c r="B3450" s="55" t="s">
        <v>1528</v>
      </c>
      <c r="C3450">
        <v>830</v>
      </c>
      <c r="D3450" s="55" t="s">
        <v>768</v>
      </c>
      <c r="E3450" s="55" t="s">
        <v>15</v>
      </c>
      <c r="G3450" s="62">
        <v>25</v>
      </c>
      <c r="H3450">
        <v>100</v>
      </c>
      <c r="I3450">
        <v>63</v>
      </c>
      <c r="J3450">
        <v>0</v>
      </c>
      <c r="K3450">
        <v>1</v>
      </c>
      <c r="L3450">
        <v>1</v>
      </c>
      <c r="M3450">
        <v>0</v>
      </c>
      <c r="N3450" s="23">
        <v>0</v>
      </c>
      <c r="O3450">
        <f t="shared" si="803"/>
        <v>0</v>
      </c>
      <c r="P3450" s="57">
        <f t="shared" si="804"/>
        <v>3</v>
      </c>
      <c r="Q3450" s="267">
        <f t="shared" si="805"/>
        <v>25</v>
      </c>
      <c r="R3450" s="23">
        <f t="shared" si="806"/>
        <v>1</v>
      </c>
      <c r="S3450" s="23">
        <f t="shared" si="807"/>
        <v>0</v>
      </c>
      <c r="T3450" s="23" t="str">
        <f t="shared" si="808"/>
        <v/>
      </c>
      <c r="U3450" t="str">
        <f t="shared" si="809"/>
        <v>PA_Alleg_2019g~Gen-member of council haysville (vote for 3)</v>
      </c>
      <c r="AF3450" s="22"/>
      <c r="AH3450" s="8"/>
      <c r="AL3450" s="23"/>
      <c r="AU3450" s="1"/>
    </row>
    <row r="3451" spans="1:47">
      <c r="A3451" t="str">
        <f t="shared" si="810"/>
        <v>PA_Alleg_2019g~Gen-member of council heidelberg (vote for 2)</v>
      </c>
      <c r="B3451" s="55" t="s">
        <v>1528</v>
      </c>
      <c r="C3451">
        <v>986</v>
      </c>
      <c r="D3451" s="55" t="s">
        <v>895</v>
      </c>
      <c r="E3451" s="55" t="s">
        <v>896</v>
      </c>
      <c r="F3451" t="s">
        <v>1396</v>
      </c>
      <c r="G3451" s="62">
        <v>176</v>
      </c>
      <c r="H3451">
        <v>48.22</v>
      </c>
      <c r="I3451">
        <v>918</v>
      </c>
      <c r="J3451">
        <v>0</v>
      </c>
      <c r="K3451">
        <v>1</v>
      </c>
      <c r="L3451">
        <v>1</v>
      </c>
      <c r="M3451">
        <v>0</v>
      </c>
      <c r="N3451" s="23">
        <v>0</v>
      </c>
      <c r="O3451">
        <f t="shared" si="803"/>
        <v>1</v>
      </c>
      <c r="P3451" s="57">
        <f t="shared" si="804"/>
        <v>2</v>
      </c>
      <c r="Q3451" s="267">
        <f t="shared" si="805"/>
        <v>182.5</v>
      </c>
      <c r="R3451" s="23">
        <f t="shared" si="806"/>
        <v>175</v>
      </c>
      <c r="S3451" s="23">
        <f t="shared" si="807"/>
        <v>0</v>
      </c>
      <c r="T3451" s="23" t="str">
        <f t="shared" si="808"/>
        <v/>
      </c>
      <c r="U3451" t="str">
        <f t="shared" si="809"/>
        <v>PA_Alleg_2019g~Gen-member of council heidelberg (vote for 2)</v>
      </c>
      <c r="AF3451" s="22"/>
      <c r="AH3451" s="8"/>
      <c r="AL3451" s="23"/>
      <c r="AU3451" s="1"/>
    </row>
    <row r="3452" spans="1:47">
      <c r="A3452" t="str">
        <f t="shared" si="810"/>
        <v>PA_Alleg_2019g~Gen-member of council heidelberg (vote for 2)</v>
      </c>
      <c r="B3452" s="55" t="s">
        <v>1528</v>
      </c>
      <c r="C3452">
        <v>987</v>
      </c>
      <c r="D3452" s="55" t="s">
        <v>895</v>
      </c>
      <c r="E3452" s="55" t="s">
        <v>1489</v>
      </c>
      <c r="F3452" t="s">
        <v>1396</v>
      </c>
      <c r="G3452" s="62">
        <v>175</v>
      </c>
      <c r="H3452">
        <v>47.95</v>
      </c>
      <c r="I3452">
        <v>918</v>
      </c>
      <c r="J3452">
        <v>0</v>
      </c>
      <c r="K3452">
        <v>1</v>
      </c>
      <c r="L3452">
        <v>1</v>
      </c>
      <c r="M3452">
        <v>0</v>
      </c>
      <c r="N3452" s="23">
        <v>0</v>
      </c>
      <c r="O3452">
        <f t="shared" si="803"/>
        <v>2</v>
      </c>
      <c r="P3452" s="57">
        <f t="shared" si="804"/>
        <v>2</v>
      </c>
      <c r="Q3452" s="267">
        <f t="shared" si="805"/>
        <v>189</v>
      </c>
      <c r="R3452" s="23">
        <f t="shared" si="806"/>
        <v>175</v>
      </c>
      <c r="S3452" s="23">
        <f t="shared" si="807"/>
        <v>0</v>
      </c>
      <c r="T3452" s="23" t="str">
        <f t="shared" si="808"/>
        <v/>
      </c>
      <c r="U3452" t="str">
        <f t="shared" si="809"/>
        <v/>
      </c>
      <c r="AF3452" s="22"/>
      <c r="AH3452" s="8"/>
      <c r="AL3452" s="23"/>
      <c r="AU3452" s="1"/>
    </row>
    <row r="3453" spans="1:47">
      <c r="A3453" t="str">
        <f t="shared" si="810"/>
        <v>PA_Alleg_2019g~Gen-member of council heidelberg (vote for 2)</v>
      </c>
      <c r="B3453" s="55" t="s">
        <v>1528</v>
      </c>
      <c r="C3453">
        <v>988</v>
      </c>
      <c r="D3453" s="55" t="s">
        <v>895</v>
      </c>
      <c r="E3453" s="55" t="s">
        <v>15</v>
      </c>
      <c r="G3453" s="62">
        <v>14</v>
      </c>
      <c r="H3453">
        <v>3.84</v>
      </c>
      <c r="I3453">
        <v>918</v>
      </c>
      <c r="J3453">
        <v>0</v>
      </c>
      <c r="K3453">
        <v>1</v>
      </c>
      <c r="L3453">
        <v>1</v>
      </c>
      <c r="M3453">
        <v>0</v>
      </c>
      <c r="N3453" s="23">
        <v>0</v>
      </c>
      <c r="O3453">
        <f t="shared" si="803"/>
        <v>-2</v>
      </c>
      <c r="P3453" s="57">
        <f t="shared" si="804"/>
        <v>2</v>
      </c>
      <c r="Q3453" s="267">
        <f t="shared" si="805"/>
        <v>14</v>
      </c>
      <c r="R3453" s="23">
        <f t="shared" si="806"/>
        <v>1</v>
      </c>
      <c r="S3453" s="23">
        <f t="shared" si="807"/>
        <v>0</v>
      </c>
      <c r="T3453" s="23" t="str">
        <f t="shared" si="808"/>
        <v/>
      </c>
      <c r="U3453" t="str">
        <f t="shared" si="809"/>
        <v/>
      </c>
      <c r="AF3453" s="22"/>
      <c r="AH3453" s="8"/>
      <c r="AL3453" s="23"/>
      <c r="AU3453" s="1"/>
    </row>
    <row r="3454" spans="1:47">
      <c r="A3454" t="str">
        <f t="shared" si="810"/>
        <v>PA_Alleg_2019g~Gen-member of council homestead ward 1 (vote for 1)</v>
      </c>
      <c r="B3454" s="55" t="s">
        <v>1528</v>
      </c>
      <c r="C3454">
        <v>1127</v>
      </c>
      <c r="D3454" s="55" t="s">
        <v>1023</v>
      </c>
      <c r="E3454" s="55" t="s">
        <v>1025</v>
      </c>
      <c r="F3454" t="s">
        <v>1294</v>
      </c>
      <c r="G3454" s="62">
        <v>189</v>
      </c>
      <c r="H3454">
        <v>97.42</v>
      </c>
      <c r="I3454">
        <v>998</v>
      </c>
      <c r="J3454">
        <v>0</v>
      </c>
      <c r="K3454">
        <v>2</v>
      </c>
      <c r="L3454">
        <v>2</v>
      </c>
      <c r="M3454">
        <v>0</v>
      </c>
      <c r="N3454" s="23">
        <v>0</v>
      </c>
      <c r="O3454">
        <f t="shared" si="803"/>
        <v>1</v>
      </c>
      <c r="P3454" s="57">
        <f t="shared" si="804"/>
        <v>1</v>
      </c>
      <c r="Q3454" s="267">
        <f t="shared" si="805"/>
        <v>194</v>
      </c>
      <c r="R3454" s="23">
        <f t="shared" si="806"/>
        <v>189</v>
      </c>
      <c r="S3454" s="23">
        <f t="shared" si="807"/>
        <v>0</v>
      </c>
      <c r="T3454" s="23" t="str">
        <f t="shared" si="808"/>
        <v/>
      </c>
      <c r="U3454" t="str">
        <f t="shared" si="809"/>
        <v>PA_Alleg_2019g~Gen-member of council homestead ward 1 (vote for 1)</v>
      </c>
      <c r="AF3454" s="22"/>
      <c r="AH3454" s="8"/>
      <c r="AL3454" s="23"/>
      <c r="AU3454" s="1"/>
    </row>
    <row r="3455" spans="1:47">
      <c r="A3455" t="str">
        <f t="shared" si="810"/>
        <v>PA_Alleg_2019g~Gen-member of council homestead ward 1 (vote for 1)</v>
      </c>
      <c r="B3455" s="55" t="s">
        <v>1528</v>
      </c>
      <c r="C3455">
        <v>1128</v>
      </c>
      <c r="D3455" s="55" t="s">
        <v>1023</v>
      </c>
      <c r="E3455" s="55" t="s">
        <v>15</v>
      </c>
      <c r="G3455" s="62">
        <v>5</v>
      </c>
      <c r="H3455">
        <v>2.58</v>
      </c>
      <c r="I3455">
        <v>998</v>
      </c>
      <c r="J3455">
        <v>0</v>
      </c>
      <c r="K3455">
        <v>2</v>
      </c>
      <c r="L3455">
        <v>2</v>
      </c>
      <c r="M3455">
        <v>0</v>
      </c>
      <c r="N3455" s="23">
        <v>0</v>
      </c>
      <c r="O3455">
        <f t="shared" si="803"/>
        <v>-1</v>
      </c>
      <c r="P3455" s="57">
        <f t="shared" si="804"/>
        <v>1</v>
      </c>
      <c r="Q3455" s="267">
        <f t="shared" si="805"/>
        <v>5</v>
      </c>
      <c r="R3455" s="23">
        <f t="shared" si="806"/>
        <v>1</v>
      </c>
      <c r="S3455" s="23">
        <f t="shared" si="807"/>
        <v>0</v>
      </c>
      <c r="T3455" s="23" t="str">
        <f t="shared" si="808"/>
        <v/>
      </c>
      <c r="U3455" t="str">
        <f t="shared" si="809"/>
        <v/>
      </c>
      <c r="AF3455" s="22"/>
      <c r="AH3455" s="8"/>
      <c r="AL3455" s="23"/>
      <c r="AU3455" s="1"/>
    </row>
    <row r="3456" spans="1:47">
      <c r="A3456" t="str">
        <f t="shared" si="810"/>
        <v>PA_Alleg_2019g~Gen-member of council homestead ward 2 (vote for 1)</v>
      </c>
      <c r="B3456" s="55" t="s">
        <v>1528</v>
      </c>
      <c r="C3456">
        <v>1129</v>
      </c>
      <c r="D3456" s="55" t="s">
        <v>1026</v>
      </c>
      <c r="E3456" s="55" t="s">
        <v>1027</v>
      </c>
      <c r="F3456" t="s">
        <v>1294</v>
      </c>
      <c r="G3456" s="62">
        <v>167</v>
      </c>
      <c r="H3456">
        <v>100</v>
      </c>
      <c r="I3456">
        <v>762</v>
      </c>
      <c r="J3456">
        <v>0</v>
      </c>
      <c r="K3456">
        <v>2</v>
      </c>
      <c r="L3456">
        <v>2</v>
      </c>
      <c r="M3456">
        <v>0</v>
      </c>
      <c r="N3456" s="23">
        <v>0</v>
      </c>
      <c r="O3456">
        <f t="shared" si="803"/>
        <v>1</v>
      </c>
      <c r="P3456" s="57">
        <f t="shared" si="804"/>
        <v>1</v>
      </c>
      <c r="Q3456" s="267">
        <f t="shared" si="805"/>
        <v>167</v>
      </c>
      <c r="R3456" s="23">
        <f t="shared" si="806"/>
        <v>167</v>
      </c>
      <c r="S3456" s="23">
        <f t="shared" si="807"/>
        <v>0</v>
      </c>
      <c r="T3456" s="23" t="str">
        <f t="shared" si="808"/>
        <v/>
      </c>
      <c r="U3456" t="str">
        <f t="shared" si="809"/>
        <v>PA_Alleg_2019g~Gen-member of council homestead ward 2 (vote for 1)</v>
      </c>
      <c r="AF3456" s="22"/>
      <c r="AH3456" s="8"/>
      <c r="AL3456" s="23"/>
      <c r="AU3456" s="1"/>
    </row>
    <row r="3457" spans="1:47">
      <c r="A3457" t="str">
        <f t="shared" si="810"/>
        <v>PA_Alleg_2019g~Gen-member of council homestead ward 2 (vote for 1)</v>
      </c>
      <c r="B3457" s="55" t="s">
        <v>1528</v>
      </c>
      <c r="C3457">
        <v>1130</v>
      </c>
      <c r="D3457" s="55" t="s">
        <v>1026</v>
      </c>
      <c r="E3457" s="55" t="s">
        <v>15</v>
      </c>
      <c r="G3457" s="62">
        <v>0</v>
      </c>
      <c r="H3457">
        <v>0</v>
      </c>
      <c r="I3457">
        <v>762</v>
      </c>
      <c r="J3457">
        <v>0</v>
      </c>
      <c r="K3457">
        <v>2</v>
      </c>
      <c r="L3457">
        <v>2</v>
      </c>
      <c r="M3457">
        <v>0</v>
      </c>
      <c r="N3457" s="23">
        <v>0</v>
      </c>
      <c r="O3457">
        <f t="shared" si="803"/>
        <v>-1</v>
      </c>
      <c r="P3457" s="57">
        <f t="shared" si="804"/>
        <v>1</v>
      </c>
      <c r="Q3457" s="267">
        <f t="shared" si="805"/>
        <v>0</v>
      </c>
      <c r="R3457" s="23">
        <f t="shared" si="806"/>
        <v>1</v>
      </c>
      <c r="S3457" s="23">
        <f t="shared" si="807"/>
        <v>0</v>
      </c>
      <c r="T3457" s="23" t="str">
        <f t="shared" si="808"/>
        <v/>
      </c>
      <c r="U3457" t="str">
        <f t="shared" si="809"/>
        <v/>
      </c>
      <c r="AF3457" s="22"/>
      <c r="AH3457" s="8"/>
      <c r="AL3457" s="23"/>
      <c r="AU3457" s="1"/>
    </row>
    <row r="3458" spans="1:47">
      <c r="A3458" t="str">
        <f t="shared" si="810"/>
        <v>PA_Alleg_2019g~Gen-member of council homestead ward 3 (vote for 1)</v>
      </c>
      <c r="B3458" s="55" t="s">
        <v>1528</v>
      </c>
      <c r="C3458">
        <v>1131</v>
      </c>
      <c r="D3458" s="55" t="s">
        <v>1028</v>
      </c>
      <c r="E3458" s="55" t="s">
        <v>1029</v>
      </c>
      <c r="F3458" t="s">
        <v>1294</v>
      </c>
      <c r="G3458" s="62">
        <v>125</v>
      </c>
      <c r="H3458">
        <v>100</v>
      </c>
      <c r="I3458">
        <v>850</v>
      </c>
      <c r="J3458">
        <v>0</v>
      </c>
      <c r="K3458">
        <v>2</v>
      </c>
      <c r="L3458">
        <v>2</v>
      </c>
      <c r="M3458">
        <v>0</v>
      </c>
      <c r="N3458" s="23">
        <v>0</v>
      </c>
      <c r="O3458">
        <f t="shared" ref="O3458:O3521" si="811">IF(OR(LOWER(LEFT(E3458,8))="write-in",LOWER(LEFT(E3458,8))="not qual"),IF(A3458=A3457,-ABS(O3457),0),IF(A3458=A3457,ABS(O3457)+1,1))</f>
        <v>1</v>
      </c>
      <c r="P3458" s="57">
        <f t="shared" ref="P3458:P3521" si="812">1*LEFT(RIGHT(A3458,2),1)</f>
        <v>1</v>
      </c>
      <c r="Q3458" s="267">
        <f t="shared" ref="Q3458:Q3521" si="813">IF(A3458&lt;&gt;A3459,G3458,IF(A3458=A3457,G3458+Q3459,MAX(G3458,(G3458+Q3459)/P3458)))</f>
        <v>125</v>
      </c>
      <c r="R3458" s="23">
        <f t="shared" ref="R3458:R3521" si="814">IF(O3458&gt;P3458,"",IF(O3458=P3458,G3458,IF(A3458=A3459,R3459,IF(O3458&lt;=0,1,G3458))))</f>
        <v>125</v>
      </c>
      <c r="S3458" s="23">
        <f t="shared" ref="S3458:S3521" si="815">IF(AND(O3458&gt;P3458,LOWER(LEFT(E3458,8))&lt;&gt;"write-in",LOWER(LEFT(E3458,8))&lt;&gt;"not qual"),G3458,IF(A3458=A3459,S3459,0))</f>
        <v>0</v>
      </c>
      <c r="T3458" s="23" t="str">
        <f t="shared" ref="T3458:T3521" si="816">IF(OR(A3458=A3457,S3458=0),"",R3458-ABS(S3458))</f>
        <v/>
      </c>
      <c r="U3458" t="str">
        <f t="shared" ref="U3458:U3521" si="817">IF(A3458=A3457,"",A3458)</f>
        <v>PA_Alleg_2019g~Gen-member of council homestead ward 3 (vote for 1)</v>
      </c>
      <c r="AF3458" s="22"/>
      <c r="AH3458" s="8"/>
      <c r="AL3458" s="23"/>
      <c r="AU3458" s="1"/>
    </row>
    <row r="3459" spans="1:47">
      <c r="A3459" t="str">
        <f t="shared" si="810"/>
        <v>PA_Alleg_2019g~Gen-member of council homestead ward 3 (vote for 1)</v>
      </c>
      <c r="B3459" s="55" t="s">
        <v>1528</v>
      </c>
      <c r="C3459">
        <v>1132</v>
      </c>
      <c r="D3459" s="55" t="s">
        <v>1028</v>
      </c>
      <c r="E3459" s="55" t="s">
        <v>15</v>
      </c>
      <c r="G3459" s="62">
        <v>0</v>
      </c>
      <c r="H3459">
        <v>0</v>
      </c>
      <c r="I3459">
        <v>850</v>
      </c>
      <c r="J3459">
        <v>0</v>
      </c>
      <c r="K3459">
        <v>2</v>
      </c>
      <c r="L3459">
        <v>2</v>
      </c>
      <c r="M3459">
        <v>0</v>
      </c>
      <c r="N3459" s="23">
        <v>0</v>
      </c>
      <c r="O3459">
        <f t="shared" si="811"/>
        <v>-1</v>
      </c>
      <c r="P3459" s="57">
        <f t="shared" si="812"/>
        <v>1</v>
      </c>
      <c r="Q3459" s="267">
        <f t="shared" si="813"/>
        <v>0</v>
      </c>
      <c r="R3459" s="23">
        <f t="shared" si="814"/>
        <v>1</v>
      </c>
      <c r="S3459" s="23">
        <f t="shared" si="815"/>
        <v>0</v>
      </c>
      <c r="T3459" s="23" t="str">
        <f t="shared" si="816"/>
        <v/>
      </c>
      <c r="U3459" t="str">
        <f t="shared" si="817"/>
        <v/>
      </c>
      <c r="AF3459" s="22"/>
      <c r="AH3459" s="8"/>
      <c r="AL3459" s="23"/>
      <c r="AU3459" s="1"/>
    </row>
    <row r="3460" spans="1:47">
      <c r="A3460" t="str">
        <f t="shared" si="810"/>
        <v>PA_Alleg_2019g~Gen-member of council ingram (vote for 1)</v>
      </c>
      <c r="B3460" s="55" t="s">
        <v>1528</v>
      </c>
      <c r="C3460">
        <v>1016</v>
      </c>
      <c r="D3460" s="55" t="s">
        <v>921</v>
      </c>
      <c r="E3460" s="55" t="s">
        <v>922</v>
      </c>
      <c r="F3460" t="s">
        <v>1294</v>
      </c>
      <c r="G3460" s="62">
        <v>493</v>
      </c>
      <c r="H3460">
        <v>95.73</v>
      </c>
      <c r="I3460">
        <v>2404</v>
      </c>
      <c r="J3460">
        <v>0</v>
      </c>
      <c r="K3460">
        <v>3</v>
      </c>
      <c r="L3460">
        <v>3</v>
      </c>
      <c r="M3460">
        <v>0</v>
      </c>
      <c r="N3460" s="23">
        <v>0</v>
      </c>
      <c r="O3460">
        <f t="shared" si="811"/>
        <v>1</v>
      </c>
      <c r="P3460" s="57">
        <f t="shared" si="812"/>
        <v>1</v>
      </c>
      <c r="Q3460" s="267">
        <f t="shared" si="813"/>
        <v>515</v>
      </c>
      <c r="R3460" s="23">
        <f t="shared" si="814"/>
        <v>493</v>
      </c>
      <c r="S3460" s="23">
        <f t="shared" si="815"/>
        <v>0</v>
      </c>
      <c r="T3460" s="23" t="str">
        <f t="shared" si="816"/>
        <v/>
      </c>
      <c r="U3460" t="str">
        <f t="shared" si="817"/>
        <v>PA_Alleg_2019g~Gen-member of council ingram (vote for 1)</v>
      </c>
      <c r="AF3460" s="22"/>
      <c r="AH3460" s="8"/>
      <c r="AL3460" s="23"/>
      <c r="AU3460" s="1"/>
    </row>
    <row r="3461" spans="1:47">
      <c r="A3461" t="str">
        <f t="shared" si="810"/>
        <v>PA_Alleg_2019g~Gen-member of council ingram (vote for 1)</v>
      </c>
      <c r="B3461" s="55" t="s">
        <v>1528</v>
      </c>
      <c r="C3461">
        <v>1017</v>
      </c>
      <c r="D3461" s="55" t="s">
        <v>921</v>
      </c>
      <c r="E3461" s="55" t="s">
        <v>15</v>
      </c>
      <c r="G3461" s="62">
        <v>22</v>
      </c>
      <c r="H3461">
        <v>4.2699999999999996</v>
      </c>
      <c r="I3461">
        <v>2404</v>
      </c>
      <c r="J3461">
        <v>0</v>
      </c>
      <c r="K3461">
        <v>3</v>
      </c>
      <c r="L3461">
        <v>3</v>
      </c>
      <c r="M3461">
        <v>0</v>
      </c>
      <c r="N3461" s="23">
        <v>0</v>
      </c>
      <c r="O3461">
        <f t="shared" si="811"/>
        <v>-1</v>
      </c>
      <c r="P3461" s="57">
        <f t="shared" si="812"/>
        <v>1</v>
      </c>
      <c r="Q3461" s="267">
        <f t="shared" si="813"/>
        <v>22</v>
      </c>
      <c r="R3461" s="23">
        <f t="shared" si="814"/>
        <v>1</v>
      </c>
      <c r="S3461" s="23">
        <f t="shared" si="815"/>
        <v>0</v>
      </c>
      <c r="T3461" s="23" t="str">
        <f t="shared" si="816"/>
        <v/>
      </c>
      <c r="U3461" t="str">
        <f t="shared" si="817"/>
        <v/>
      </c>
      <c r="AF3461" s="22"/>
      <c r="AH3461" s="8"/>
      <c r="AL3461" s="23"/>
      <c r="AU3461" s="1"/>
    </row>
    <row r="3462" spans="1:47">
      <c r="A3462" t="str">
        <f t="shared" si="810"/>
        <v>PA_Alleg_2019g~Gen-member of council ingram (vote for 3)</v>
      </c>
      <c r="B3462" s="55" t="s">
        <v>1528</v>
      </c>
      <c r="C3462">
        <v>832</v>
      </c>
      <c r="D3462" s="55" t="s">
        <v>769</v>
      </c>
      <c r="E3462" s="55" t="s">
        <v>1472</v>
      </c>
      <c r="F3462" t="s">
        <v>1396</v>
      </c>
      <c r="G3462" s="62">
        <v>432</v>
      </c>
      <c r="H3462">
        <v>28.13</v>
      </c>
      <c r="I3462">
        <v>2404</v>
      </c>
      <c r="J3462">
        <v>0</v>
      </c>
      <c r="K3462">
        <v>3</v>
      </c>
      <c r="L3462">
        <v>3</v>
      </c>
      <c r="M3462">
        <v>0</v>
      </c>
      <c r="N3462" s="23">
        <v>0</v>
      </c>
      <c r="O3462">
        <f t="shared" si="811"/>
        <v>1</v>
      </c>
      <c r="P3462" s="57">
        <f t="shared" si="812"/>
        <v>3</v>
      </c>
      <c r="Q3462" s="267">
        <f t="shared" si="813"/>
        <v>512</v>
      </c>
      <c r="R3462" s="23">
        <f t="shared" si="814"/>
        <v>415</v>
      </c>
      <c r="S3462" s="23">
        <f t="shared" si="815"/>
        <v>230</v>
      </c>
      <c r="T3462" s="23">
        <f t="shared" si="816"/>
        <v>185</v>
      </c>
      <c r="U3462" t="str">
        <f t="shared" si="817"/>
        <v>PA_Alleg_2019g~Gen-member of council ingram (vote for 3)</v>
      </c>
      <c r="AF3462" s="22"/>
      <c r="AH3462" s="8"/>
      <c r="AL3462" s="23"/>
      <c r="AU3462" s="1"/>
    </row>
    <row r="3463" spans="1:47">
      <c r="A3463" t="str">
        <f t="shared" si="810"/>
        <v>PA_Alleg_2019g~Gen-member of council ingram (vote for 3)</v>
      </c>
      <c r="B3463" s="55" t="s">
        <v>1528</v>
      </c>
      <c r="C3463">
        <v>833</v>
      </c>
      <c r="D3463" s="55" t="s">
        <v>769</v>
      </c>
      <c r="E3463" s="55" t="s">
        <v>1473</v>
      </c>
      <c r="F3463" t="s">
        <v>1396</v>
      </c>
      <c r="G3463" s="62">
        <v>432</v>
      </c>
      <c r="H3463">
        <v>28.13</v>
      </c>
      <c r="I3463">
        <v>2404</v>
      </c>
      <c r="J3463">
        <v>0</v>
      </c>
      <c r="K3463">
        <v>3</v>
      </c>
      <c r="L3463">
        <v>3</v>
      </c>
      <c r="M3463">
        <v>0</v>
      </c>
      <c r="N3463" s="23">
        <v>0</v>
      </c>
      <c r="O3463">
        <f t="shared" si="811"/>
        <v>2</v>
      </c>
      <c r="P3463" s="57">
        <f t="shared" si="812"/>
        <v>3</v>
      </c>
      <c r="Q3463" s="267">
        <f t="shared" si="813"/>
        <v>1104</v>
      </c>
      <c r="R3463" s="23">
        <f t="shared" si="814"/>
        <v>415</v>
      </c>
      <c r="S3463" s="23">
        <f t="shared" si="815"/>
        <v>230</v>
      </c>
      <c r="T3463" s="23" t="str">
        <f t="shared" si="816"/>
        <v/>
      </c>
      <c r="U3463" t="str">
        <f t="shared" si="817"/>
        <v/>
      </c>
      <c r="AF3463" s="22"/>
      <c r="AH3463" s="8"/>
      <c r="AL3463" s="23"/>
      <c r="AU3463" s="1"/>
    </row>
    <row r="3464" spans="1:47">
      <c r="A3464" t="str">
        <f t="shared" si="810"/>
        <v>PA_Alleg_2019g~Gen-member of council ingram (vote for 3)</v>
      </c>
      <c r="B3464" s="55" t="s">
        <v>1528</v>
      </c>
      <c r="C3464">
        <v>831</v>
      </c>
      <c r="D3464" s="55" t="s">
        <v>769</v>
      </c>
      <c r="E3464" s="55" t="s">
        <v>770</v>
      </c>
      <c r="F3464" t="s">
        <v>1294</v>
      </c>
      <c r="G3464" s="62">
        <v>415</v>
      </c>
      <c r="H3464">
        <v>27.02</v>
      </c>
      <c r="I3464">
        <v>2404</v>
      </c>
      <c r="J3464">
        <v>0</v>
      </c>
      <c r="K3464">
        <v>3</v>
      </c>
      <c r="L3464">
        <v>3</v>
      </c>
      <c r="M3464">
        <v>0</v>
      </c>
      <c r="N3464" s="23">
        <v>0</v>
      </c>
      <c r="O3464">
        <f t="shared" si="811"/>
        <v>3</v>
      </c>
      <c r="P3464" s="57">
        <f t="shared" si="812"/>
        <v>3</v>
      </c>
      <c r="Q3464" s="267">
        <f t="shared" si="813"/>
        <v>672</v>
      </c>
      <c r="R3464" s="23">
        <f t="shared" si="814"/>
        <v>415</v>
      </c>
      <c r="S3464" s="23">
        <f t="shared" si="815"/>
        <v>230</v>
      </c>
      <c r="T3464" s="23" t="str">
        <f t="shared" si="816"/>
        <v/>
      </c>
      <c r="U3464" t="str">
        <f t="shared" si="817"/>
        <v/>
      </c>
      <c r="AF3464" s="22"/>
      <c r="AH3464" s="8"/>
      <c r="AL3464" s="23"/>
      <c r="AU3464" s="1"/>
    </row>
    <row r="3465" spans="1:47">
      <c r="A3465" t="str">
        <f t="shared" si="810"/>
        <v>PA_Alleg_2019g~Gen-member of council ingram (vote for 3)</v>
      </c>
      <c r="B3465" s="55" t="s">
        <v>1528</v>
      </c>
      <c r="C3465">
        <v>834</v>
      </c>
      <c r="D3465" s="55" t="s">
        <v>769</v>
      </c>
      <c r="E3465" s="55" t="s">
        <v>1198</v>
      </c>
      <c r="F3465" t="s">
        <v>1296</v>
      </c>
      <c r="G3465" s="62">
        <v>230</v>
      </c>
      <c r="H3465">
        <v>14.97</v>
      </c>
      <c r="I3465">
        <v>2404</v>
      </c>
      <c r="J3465">
        <v>0</v>
      </c>
      <c r="K3465">
        <v>3</v>
      </c>
      <c r="L3465">
        <v>3</v>
      </c>
      <c r="M3465">
        <v>0</v>
      </c>
      <c r="N3465" s="23">
        <v>0</v>
      </c>
      <c r="O3465">
        <f t="shared" si="811"/>
        <v>4</v>
      </c>
      <c r="P3465" s="57">
        <f t="shared" si="812"/>
        <v>3</v>
      </c>
      <c r="Q3465" s="267">
        <f t="shared" si="813"/>
        <v>257</v>
      </c>
      <c r="R3465" s="23" t="str">
        <f t="shared" si="814"/>
        <v/>
      </c>
      <c r="S3465" s="23">
        <f t="shared" si="815"/>
        <v>230</v>
      </c>
      <c r="T3465" s="23" t="str">
        <f t="shared" si="816"/>
        <v/>
      </c>
      <c r="U3465" t="str">
        <f t="shared" si="817"/>
        <v/>
      </c>
      <c r="AF3465" s="22"/>
      <c r="AH3465" s="8"/>
      <c r="AL3465" s="23"/>
      <c r="AU3465" s="1"/>
    </row>
    <row r="3466" spans="1:47">
      <c r="A3466" t="str">
        <f t="shared" si="810"/>
        <v>PA_Alleg_2019g~Gen-member of council ingram (vote for 3)</v>
      </c>
      <c r="B3466" s="55" t="s">
        <v>1528</v>
      </c>
      <c r="C3466">
        <v>835</v>
      </c>
      <c r="D3466" s="55" t="s">
        <v>769</v>
      </c>
      <c r="E3466" s="55" t="s">
        <v>15</v>
      </c>
      <c r="G3466" s="62">
        <v>27</v>
      </c>
      <c r="H3466">
        <v>1.76</v>
      </c>
      <c r="I3466">
        <v>2404</v>
      </c>
      <c r="J3466">
        <v>0</v>
      </c>
      <c r="K3466">
        <v>3</v>
      </c>
      <c r="L3466">
        <v>3</v>
      </c>
      <c r="M3466">
        <v>0</v>
      </c>
      <c r="N3466" s="23">
        <v>0</v>
      </c>
      <c r="O3466">
        <f t="shared" si="811"/>
        <v>-4</v>
      </c>
      <c r="P3466" s="57">
        <f t="shared" si="812"/>
        <v>3</v>
      </c>
      <c r="Q3466" s="267">
        <f t="shared" si="813"/>
        <v>27</v>
      </c>
      <c r="R3466" s="23">
        <f t="shared" si="814"/>
        <v>1</v>
      </c>
      <c r="S3466" s="23">
        <f t="shared" si="815"/>
        <v>0</v>
      </c>
      <c r="T3466" s="23" t="str">
        <f t="shared" si="816"/>
        <v/>
      </c>
      <c r="U3466" t="str">
        <f t="shared" si="817"/>
        <v/>
      </c>
      <c r="AF3466" s="22"/>
      <c r="AH3466" s="8"/>
      <c r="AL3466" s="23"/>
      <c r="AU3466" s="1"/>
    </row>
    <row r="3467" spans="1:47">
      <c r="A3467" t="str">
        <f t="shared" si="810"/>
        <v>PA_Alleg_2019g~Gen-member of council jefferson hills (vote for 3)</v>
      </c>
      <c r="B3467" s="55" t="s">
        <v>1528</v>
      </c>
      <c r="C3467">
        <v>836</v>
      </c>
      <c r="D3467" s="55" t="s">
        <v>771</v>
      </c>
      <c r="E3467" s="55" t="s">
        <v>773</v>
      </c>
      <c r="F3467" t="s">
        <v>1294</v>
      </c>
      <c r="G3467" s="62">
        <v>1299</v>
      </c>
      <c r="H3467">
        <v>18.86</v>
      </c>
      <c r="I3467">
        <v>8521</v>
      </c>
      <c r="J3467">
        <v>0</v>
      </c>
      <c r="K3467">
        <v>8</v>
      </c>
      <c r="L3467">
        <v>8</v>
      </c>
      <c r="M3467">
        <v>0</v>
      </c>
      <c r="N3467" s="23">
        <v>0</v>
      </c>
      <c r="O3467">
        <f t="shared" si="811"/>
        <v>1</v>
      </c>
      <c r="P3467" s="57">
        <f t="shared" si="812"/>
        <v>3</v>
      </c>
      <c r="Q3467" s="267">
        <f t="shared" si="813"/>
        <v>2296.3333333333335</v>
      </c>
      <c r="R3467" s="23">
        <f t="shared" si="814"/>
        <v>1174</v>
      </c>
      <c r="S3467" s="23">
        <f t="shared" si="815"/>
        <v>1173</v>
      </c>
      <c r="T3467" s="23">
        <f t="shared" si="816"/>
        <v>1</v>
      </c>
      <c r="U3467" t="str">
        <f t="shared" si="817"/>
        <v>PA_Alleg_2019g~Gen-member of council jefferson hills (vote for 3)</v>
      </c>
      <c r="AF3467" s="22"/>
      <c r="AH3467" s="8"/>
      <c r="AL3467" s="23"/>
      <c r="AU3467" s="1"/>
    </row>
    <row r="3468" spans="1:47">
      <c r="A3468" t="str">
        <f t="shared" si="810"/>
        <v>PA_Alleg_2019g~Gen-member of council jefferson hills (vote for 3)</v>
      </c>
      <c r="B3468" s="55" t="s">
        <v>1528</v>
      </c>
      <c r="C3468">
        <v>837</v>
      </c>
      <c r="D3468" s="55" t="s">
        <v>771</v>
      </c>
      <c r="E3468" s="55" t="s">
        <v>772</v>
      </c>
      <c r="F3468" t="s">
        <v>1294</v>
      </c>
      <c r="G3468" s="62">
        <v>1258</v>
      </c>
      <c r="H3468">
        <v>18.260000000000002</v>
      </c>
      <c r="I3468">
        <v>8521</v>
      </c>
      <c r="J3468">
        <v>0</v>
      </c>
      <c r="K3468">
        <v>8</v>
      </c>
      <c r="L3468">
        <v>8</v>
      </c>
      <c r="M3468">
        <v>0</v>
      </c>
      <c r="N3468" s="23">
        <v>0</v>
      </c>
      <c r="O3468">
        <f t="shared" si="811"/>
        <v>2</v>
      </c>
      <c r="P3468" s="57">
        <f t="shared" si="812"/>
        <v>3</v>
      </c>
      <c r="Q3468" s="267">
        <f t="shared" si="813"/>
        <v>5590</v>
      </c>
      <c r="R3468" s="23">
        <f t="shared" si="814"/>
        <v>1174</v>
      </c>
      <c r="S3468" s="23">
        <f t="shared" si="815"/>
        <v>1173</v>
      </c>
      <c r="T3468" s="23" t="str">
        <f t="shared" si="816"/>
        <v/>
      </c>
      <c r="U3468" t="str">
        <f t="shared" si="817"/>
        <v/>
      </c>
      <c r="AF3468" s="22"/>
      <c r="AH3468" s="8"/>
      <c r="AL3468" s="23"/>
      <c r="AU3468" s="1"/>
    </row>
    <row r="3469" spans="1:47">
      <c r="A3469" t="str">
        <f t="shared" si="810"/>
        <v>PA_Alleg_2019g~Gen-member of council jefferson hills (vote for 3)</v>
      </c>
      <c r="B3469" s="55" t="s">
        <v>1528</v>
      </c>
      <c r="C3469">
        <v>838</v>
      </c>
      <c r="D3469" s="55" t="s">
        <v>771</v>
      </c>
      <c r="E3469" s="55" t="s">
        <v>775</v>
      </c>
      <c r="F3469" t="s">
        <v>1294</v>
      </c>
      <c r="G3469" s="62">
        <v>1174</v>
      </c>
      <c r="H3469">
        <v>17.04</v>
      </c>
      <c r="I3469">
        <v>8521</v>
      </c>
      <c r="J3469">
        <v>0</v>
      </c>
      <c r="K3469">
        <v>8</v>
      </c>
      <c r="L3469">
        <v>8</v>
      </c>
      <c r="M3469">
        <v>0</v>
      </c>
      <c r="N3469" s="23">
        <v>0</v>
      </c>
      <c r="O3469">
        <f t="shared" si="811"/>
        <v>3</v>
      </c>
      <c r="P3469" s="57">
        <f t="shared" si="812"/>
        <v>3</v>
      </c>
      <c r="Q3469" s="267">
        <f t="shared" si="813"/>
        <v>4332</v>
      </c>
      <c r="R3469" s="23">
        <f t="shared" si="814"/>
        <v>1174</v>
      </c>
      <c r="S3469" s="23">
        <f t="shared" si="815"/>
        <v>1173</v>
      </c>
      <c r="T3469" s="23" t="str">
        <f t="shared" si="816"/>
        <v/>
      </c>
      <c r="U3469" t="str">
        <f t="shared" si="817"/>
        <v/>
      </c>
      <c r="AF3469" s="22"/>
      <c r="AH3469" s="8"/>
      <c r="AL3469" s="23"/>
      <c r="AU3469" s="1"/>
    </row>
    <row r="3470" spans="1:47">
      <c r="A3470" t="str">
        <f t="shared" si="810"/>
        <v>PA_Alleg_2019g~Gen-member of council jefferson hills (vote for 3)</v>
      </c>
      <c r="B3470" s="55" t="s">
        <v>1528</v>
      </c>
      <c r="C3470">
        <v>839</v>
      </c>
      <c r="D3470" s="55" t="s">
        <v>771</v>
      </c>
      <c r="E3470" s="55" t="s">
        <v>1202</v>
      </c>
      <c r="F3470" t="s">
        <v>1296</v>
      </c>
      <c r="G3470" s="62">
        <v>1173</v>
      </c>
      <c r="H3470">
        <v>17.03</v>
      </c>
      <c r="I3470">
        <v>8521</v>
      </c>
      <c r="J3470">
        <v>0</v>
      </c>
      <c r="K3470">
        <v>8</v>
      </c>
      <c r="L3470">
        <v>8</v>
      </c>
      <c r="M3470">
        <v>0</v>
      </c>
      <c r="N3470" s="23">
        <v>0</v>
      </c>
      <c r="O3470">
        <f t="shared" si="811"/>
        <v>4</v>
      </c>
      <c r="P3470" s="57">
        <f t="shared" si="812"/>
        <v>3</v>
      </c>
      <c r="Q3470" s="267">
        <f t="shared" si="813"/>
        <v>3158</v>
      </c>
      <c r="R3470" s="23" t="str">
        <f t="shared" si="814"/>
        <v/>
      </c>
      <c r="S3470" s="23">
        <f t="shared" si="815"/>
        <v>1173</v>
      </c>
      <c r="T3470" s="23" t="str">
        <f t="shared" si="816"/>
        <v/>
      </c>
      <c r="U3470" t="str">
        <f t="shared" si="817"/>
        <v/>
      </c>
      <c r="AF3470" s="22"/>
      <c r="AU3470" s="1"/>
    </row>
    <row r="3471" spans="1:47">
      <c r="A3471" t="str">
        <f t="shared" si="810"/>
        <v>PA_Alleg_2019g~Gen-member of council jefferson hills (vote for 3)</v>
      </c>
      <c r="B3471" s="55" t="s">
        <v>1528</v>
      </c>
      <c r="C3471">
        <v>840</v>
      </c>
      <c r="D3471" s="55" t="s">
        <v>771</v>
      </c>
      <c r="E3471" s="55" t="s">
        <v>1199</v>
      </c>
      <c r="F3471" t="s">
        <v>1296</v>
      </c>
      <c r="G3471" s="62">
        <v>1087</v>
      </c>
      <c r="H3471">
        <v>15.78</v>
      </c>
      <c r="I3471">
        <v>8521</v>
      </c>
      <c r="J3471">
        <v>0</v>
      </c>
      <c r="K3471">
        <v>8</v>
      </c>
      <c r="L3471">
        <v>8</v>
      </c>
      <c r="M3471">
        <v>0</v>
      </c>
      <c r="N3471" s="23">
        <v>0</v>
      </c>
      <c r="O3471">
        <f t="shared" si="811"/>
        <v>5</v>
      </c>
      <c r="P3471" s="57">
        <f t="shared" si="812"/>
        <v>3</v>
      </c>
      <c r="Q3471" s="267">
        <f t="shared" si="813"/>
        <v>1985</v>
      </c>
      <c r="R3471" s="23" t="str">
        <f t="shared" si="814"/>
        <v/>
      </c>
      <c r="S3471" s="23">
        <f t="shared" si="815"/>
        <v>1087</v>
      </c>
      <c r="T3471" s="23" t="str">
        <f t="shared" si="816"/>
        <v/>
      </c>
      <c r="U3471" t="str">
        <f t="shared" si="817"/>
        <v/>
      </c>
      <c r="AF3471" s="22"/>
      <c r="AU3471" s="1"/>
    </row>
    <row r="3472" spans="1:47">
      <c r="A3472" t="str">
        <f t="shared" si="810"/>
        <v>PA_Alleg_2019g~Gen-member of council jefferson hills (vote for 3)</v>
      </c>
      <c r="B3472" s="55" t="s">
        <v>1528</v>
      </c>
      <c r="C3472">
        <v>841</v>
      </c>
      <c r="D3472" s="55" t="s">
        <v>771</v>
      </c>
      <c r="E3472" s="55" t="s">
        <v>1200</v>
      </c>
      <c r="F3472" t="s">
        <v>1296</v>
      </c>
      <c r="G3472" s="62">
        <v>812</v>
      </c>
      <c r="H3472">
        <v>11.79</v>
      </c>
      <c r="I3472">
        <v>8521</v>
      </c>
      <c r="J3472">
        <v>0</v>
      </c>
      <c r="K3472">
        <v>8</v>
      </c>
      <c r="L3472">
        <v>8</v>
      </c>
      <c r="M3472">
        <v>0</v>
      </c>
      <c r="N3472" s="23">
        <v>0</v>
      </c>
      <c r="O3472">
        <f t="shared" si="811"/>
        <v>6</v>
      </c>
      <c r="P3472" s="57">
        <f t="shared" si="812"/>
        <v>3</v>
      </c>
      <c r="Q3472" s="267">
        <f t="shared" si="813"/>
        <v>898</v>
      </c>
      <c r="R3472" s="23" t="str">
        <f t="shared" si="814"/>
        <v/>
      </c>
      <c r="S3472" s="23">
        <f t="shared" si="815"/>
        <v>812</v>
      </c>
      <c r="T3472" s="23" t="str">
        <f t="shared" si="816"/>
        <v/>
      </c>
      <c r="U3472" t="str">
        <f t="shared" si="817"/>
        <v/>
      </c>
      <c r="AF3472" s="22"/>
      <c r="AU3472" s="1"/>
    </row>
    <row r="3473" spans="1:47">
      <c r="A3473" t="str">
        <f t="shared" si="810"/>
        <v>PA_Alleg_2019g~Gen-member of council jefferson hills (vote for 3)</v>
      </c>
      <c r="B3473" s="55" t="s">
        <v>1528</v>
      </c>
      <c r="C3473">
        <v>842</v>
      </c>
      <c r="D3473" s="55" t="s">
        <v>771</v>
      </c>
      <c r="E3473" s="55" t="s">
        <v>15</v>
      </c>
      <c r="G3473" s="62">
        <v>86</v>
      </c>
      <c r="H3473">
        <v>1.25</v>
      </c>
      <c r="I3473">
        <v>8521</v>
      </c>
      <c r="J3473">
        <v>0</v>
      </c>
      <c r="K3473">
        <v>8</v>
      </c>
      <c r="L3473">
        <v>8</v>
      </c>
      <c r="M3473">
        <v>0</v>
      </c>
      <c r="N3473" s="23">
        <v>0</v>
      </c>
      <c r="O3473">
        <f t="shared" si="811"/>
        <v>-6</v>
      </c>
      <c r="P3473" s="57">
        <f t="shared" si="812"/>
        <v>3</v>
      </c>
      <c r="Q3473" s="267">
        <f t="shared" si="813"/>
        <v>86</v>
      </c>
      <c r="R3473" s="23">
        <f t="shared" si="814"/>
        <v>1</v>
      </c>
      <c r="S3473" s="23">
        <f t="shared" si="815"/>
        <v>0</v>
      </c>
      <c r="T3473" s="23" t="str">
        <f t="shared" si="816"/>
        <v/>
      </c>
      <c r="U3473" t="str">
        <f t="shared" si="817"/>
        <v/>
      </c>
      <c r="AF3473" s="22"/>
      <c r="AU3473" s="1"/>
    </row>
    <row r="3474" spans="1:47">
      <c r="A3474" t="str">
        <f t="shared" si="810"/>
        <v>PA_Alleg_2019g~Gen-member of council leetsdale (vote for 3)</v>
      </c>
      <c r="B3474" s="55" t="s">
        <v>1528</v>
      </c>
      <c r="C3474">
        <v>843</v>
      </c>
      <c r="D3474" s="55" t="s">
        <v>776</v>
      </c>
      <c r="E3474" s="55" t="s">
        <v>777</v>
      </c>
      <c r="F3474" t="s">
        <v>1294</v>
      </c>
      <c r="G3474" s="62">
        <v>122</v>
      </c>
      <c r="H3474">
        <v>29.68</v>
      </c>
      <c r="I3474">
        <v>886</v>
      </c>
      <c r="J3474">
        <v>0</v>
      </c>
      <c r="K3474">
        <v>1</v>
      </c>
      <c r="L3474">
        <v>1</v>
      </c>
      <c r="M3474">
        <v>0</v>
      </c>
      <c r="N3474" s="23">
        <v>0</v>
      </c>
      <c r="O3474">
        <f t="shared" si="811"/>
        <v>1</v>
      </c>
      <c r="P3474" s="57">
        <f t="shared" si="812"/>
        <v>3</v>
      </c>
      <c r="Q3474" s="267">
        <f t="shared" si="813"/>
        <v>137</v>
      </c>
      <c r="R3474" s="23">
        <f t="shared" si="814"/>
        <v>118</v>
      </c>
      <c r="S3474" s="23">
        <f t="shared" si="815"/>
        <v>0</v>
      </c>
      <c r="T3474" s="23" t="str">
        <f t="shared" si="816"/>
        <v/>
      </c>
      <c r="U3474" t="str">
        <f t="shared" si="817"/>
        <v>PA_Alleg_2019g~Gen-member of council leetsdale (vote for 3)</v>
      </c>
      <c r="AF3474" s="22"/>
      <c r="AU3474" s="1"/>
    </row>
    <row r="3475" spans="1:47">
      <c r="A3475" t="str">
        <f t="shared" si="810"/>
        <v>PA_Alleg_2019g~Gen-member of council leetsdale (vote for 3)</v>
      </c>
      <c r="B3475" s="55" t="s">
        <v>1528</v>
      </c>
      <c r="C3475">
        <v>845</v>
      </c>
      <c r="D3475" s="55" t="s">
        <v>776</v>
      </c>
      <c r="E3475" s="55" t="s">
        <v>1204</v>
      </c>
      <c r="F3475" t="s">
        <v>1296</v>
      </c>
      <c r="G3475" s="62">
        <v>119</v>
      </c>
      <c r="H3475">
        <v>28.95</v>
      </c>
      <c r="I3475">
        <v>886</v>
      </c>
      <c r="J3475">
        <v>0</v>
      </c>
      <c r="K3475">
        <v>1</v>
      </c>
      <c r="L3475">
        <v>1</v>
      </c>
      <c r="M3475">
        <v>0</v>
      </c>
      <c r="N3475" s="23">
        <v>0</v>
      </c>
      <c r="O3475">
        <f t="shared" si="811"/>
        <v>2</v>
      </c>
      <c r="P3475" s="57">
        <f t="shared" si="812"/>
        <v>3</v>
      </c>
      <c r="Q3475" s="267">
        <f t="shared" si="813"/>
        <v>289</v>
      </c>
      <c r="R3475" s="23">
        <f t="shared" si="814"/>
        <v>118</v>
      </c>
      <c r="S3475" s="23">
        <f t="shared" si="815"/>
        <v>0</v>
      </c>
      <c r="T3475" s="23" t="str">
        <f t="shared" si="816"/>
        <v/>
      </c>
      <c r="U3475" t="str">
        <f t="shared" si="817"/>
        <v/>
      </c>
      <c r="AF3475" s="22"/>
      <c r="AU3475" s="1"/>
    </row>
    <row r="3476" spans="1:47">
      <c r="A3476" t="str">
        <f t="shared" si="810"/>
        <v>PA_Alleg_2019g~Gen-member of council leetsdale (vote for 3)</v>
      </c>
      <c r="B3476" s="55" t="s">
        <v>1528</v>
      </c>
      <c r="C3476">
        <v>844</v>
      </c>
      <c r="D3476" s="55" t="s">
        <v>776</v>
      </c>
      <c r="E3476" s="55" t="s">
        <v>1203</v>
      </c>
      <c r="F3476" t="s">
        <v>1296</v>
      </c>
      <c r="G3476" s="62">
        <v>118</v>
      </c>
      <c r="H3476">
        <v>28.71</v>
      </c>
      <c r="I3476">
        <v>886</v>
      </c>
      <c r="J3476">
        <v>0</v>
      </c>
      <c r="K3476">
        <v>1</v>
      </c>
      <c r="L3476">
        <v>1</v>
      </c>
      <c r="M3476">
        <v>0</v>
      </c>
      <c r="N3476" s="23">
        <v>0</v>
      </c>
      <c r="O3476">
        <f t="shared" si="811"/>
        <v>3</v>
      </c>
      <c r="P3476" s="57">
        <f t="shared" si="812"/>
        <v>3</v>
      </c>
      <c r="Q3476" s="267">
        <f t="shared" si="813"/>
        <v>170</v>
      </c>
      <c r="R3476" s="23">
        <f t="shared" si="814"/>
        <v>118</v>
      </c>
      <c r="S3476" s="23">
        <f t="shared" si="815"/>
        <v>0</v>
      </c>
      <c r="T3476" s="23" t="str">
        <f t="shared" si="816"/>
        <v/>
      </c>
      <c r="U3476" t="str">
        <f t="shared" si="817"/>
        <v/>
      </c>
      <c r="AF3476" s="22"/>
      <c r="AU3476" s="1"/>
    </row>
    <row r="3477" spans="1:47">
      <c r="A3477" t="str">
        <f t="shared" si="810"/>
        <v>PA_Alleg_2019g~Gen-member of council leetsdale (vote for 3)</v>
      </c>
      <c r="B3477" s="55" t="s">
        <v>1528</v>
      </c>
      <c r="C3477">
        <v>846</v>
      </c>
      <c r="D3477" s="55" t="s">
        <v>776</v>
      </c>
      <c r="E3477" s="55" t="s">
        <v>15</v>
      </c>
      <c r="G3477" s="62">
        <v>52</v>
      </c>
      <c r="H3477">
        <v>12.65</v>
      </c>
      <c r="I3477">
        <v>886</v>
      </c>
      <c r="J3477">
        <v>0</v>
      </c>
      <c r="K3477">
        <v>1</v>
      </c>
      <c r="L3477">
        <v>1</v>
      </c>
      <c r="M3477">
        <v>0</v>
      </c>
      <c r="N3477" s="23">
        <v>0</v>
      </c>
      <c r="O3477">
        <f t="shared" si="811"/>
        <v>-3</v>
      </c>
      <c r="P3477" s="57">
        <f t="shared" si="812"/>
        <v>3</v>
      </c>
      <c r="Q3477" s="267">
        <f t="shared" si="813"/>
        <v>52</v>
      </c>
      <c r="R3477" s="23">
        <f t="shared" si="814"/>
        <v>1</v>
      </c>
      <c r="S3477" s="23">
        <f t="shared" si="815"/>
        <v>0</v>
      </c>
      <c r="T3477" s="23" t="str">
        <f t="shared" si="816"/>
        <v/>
      </c>
      <c r="U3477" t="str">
        <f t="shared" si="817"/>
        <v/>
      </c>
      <c r="AF3477" s="22"/>
      <c r="AU3477" s="1"/>
    </row>
    <row r="3478" spans="1:47">
      <c r="A3478" t="str">
        <f t="shared" si="810"/>
        <v>PA_Alleg_2019g~Gen-member of council liberty (vote for 1)</v>
      </c>
      <c r="B3478" s="55" t="s">
        <v>1528</v>
      </c>
      <c r="C3478">
        <v>1018</v>
      </c>
      <c r="D3478" s="55" t="s">
        <v>923</v>
      </c>
      <c r="E3478" s="55" t="s">
        <v>1237</v>
      </c>
      <c r="F3478" t="s">
        <v>1296</v>
      </c>
      <c r="G3478" s="62">
        <v>286</v>
      </c>
      <c r="H3478">
        <v>63.56</v>
      </c>
      <c r="I3478">
        <v>1690</v>
      </c>
      <c r="J3478">
        <v>0</v>
      </c>
      <c r="K3478">
        <v>2</v>
      </c>
      <c r="L3478">
        <v>2</v>
      </c>
      <c r="M3478">
        <v>0</v>
      </c>
      <c r="N3478" s="23">
        <v>0</v>
      </c>
      <c r="O3478">
        <f t="shared" si="811"/>
        <v>1</v>
      </c>
      <c r="P3478" s="57">
        <f t="shared" si="812"/>
        <v>1</v>
      </c>
      <c r="Q3478" s="267">
        <f t="shared" si="813"/>
        <v>450</v>
      </c>
      <c r="R3478" s="23">
        <f t="shared" si="814"/>
        <v>286</v>
      </c>
      <c r="S3478" s="23">
        <f t="shared" si="815"/>
        <v>0</v>
      </c>
      <c r="T3478" s="23" t="str">
        <f t="shared" si="816"/>
        <v/>
      </c>
      <c r="U3478" t="str">
        <f t="shared" si="817"/>
        <v>PA_Alleg_2019g~Gen-member of council liberty (vote for 1)</v>
      </c>
      <c r="AF3478" s="22"/>
      <c r="AU3478" s="1"/>
    </row>
    <row r="3479" spans="1:47">
      <c r="A3479" t="str">
        <f t="shared" si="810"/>
        <v>PA_Alleg_2019g~Gen-member of council liberty (vote for 1)</v>
      </c>
      <c r="B3479" s="55" t="s">
        <v>1528</v>
      </c>
      <c r="C3479">
        <v>1019</v>
      </c>
      <c r="D3479" s="55" t="s">
        <v>923</v>
      </c>
      <c r="E3479" s="55" t="s">
        <v>15</v>
      </c>
      <c r="G3479" s="62">
        <v>164</v>
      </c>
      <c r="H3479">
        <v>36.44</v>
      </c>
      <c r="I3479">
        <v>1690</v>
      </c>
      <c r="J3479">
        <v>0</v>
      </c>
      <c r="K3479">
        <v>2</v>
      </c>
      <c r="L3479">
        <v>2</v>
      </c>
      <c r="M3479">
        <v>0</v>
      </c>
      <c r="N3479" s="23">
        <v>0</v>
      </c>
      <c r="O3479">
        <f t="shared" si="811"/>
        <v>-1</v>
      </c>
      <c r="P3479" s="57">
        <f t="shared" si="812"/>
        <v>1</v>
      </c>
      <c r="Q3479" s="267">
        <f t="shared" si="813"/>
        <v>164</v>
      </c>
      <c r="R3479" s="23">
        <f t="shared" si="814"/>
        <v>1</v>
      </c>
      <c r="S3479" s="23">
        <f t="shared" si="815"/>
        <v>0</v>
      </c>
      <c r="T3479" s="23" t="str">
        <f t="shared" si="816"/>
        <v/>
      </c>
      <c r="U3479" t="str">
        <f t="shared" si="817"/>
        <v/>
      </c>
      <c r="AF3479" s="22"/>
      <c r="AU3479" s="1"/>
    </row>
    <row r="3480" spans="1:47">
      <c r="A3480" t="str">
        <f t="shared" si="810"/>
        <v>PA_Alleg_2019g~Gen-member of council liberty (vote for 3)</v>
      </c>
      <c r="B3480" s="55" t="s">
        <v>1528</v>
      </c>
      <c r="C3480">
        <v>849</v>
      </c>
      <c r="D3480" s="55" t="s">
        <v>778</v>
      </c>
      <c r="E3480" s="55" t="s">
        <v>15</v>
      </c>
      <c r="G3480" s="62">
        <v>358</v>
      </c>
      <c r="H3480">
        <v>36.979999999999997</v>
      </c>
      <c r="I3480">
        <v>1690</v>
      </c>
      <c r="J3480">
        <v>0</v>
      </c>
      <c r="K3480">
        <v>2</v>
      </c>
      <c r="L3480">
        <v>2</v>
      </c>
      <c r="M3480">
        <v>0</v>
      </c>
      <c r="N3480" s="23">
        <v>0</v>
      </c>
      <c r="O3480">
        <f t="shared" si="811"/>
        <v>0</v>
      </c>
      <c r="P3480" s="57">
        <f t="shared" si="812"/>
        <v>3</v>
      </c>
      <c r="Q3480" s="267">
        <f t="shared" si="813"/>
        <v>358</v>
      </c>
      <c r="R3480" s="23">
        <f t="shared" si="814"/>
        <v>278</v>
      </c>
      <c r="S3480" s="23">
        <f t="shared" si="815"/>
        <v>0</v>
      </c>
      <c r="T3480" s="23" t="str">
        <f t="shared" si="816"/>
        <v/>
      </c>
      <c r="U3480" t="str">
        <f t="shared" si="817"/>
        <v>PA_Alleg_2019g~Gen-member of council liberty (vote for 3)</v>
      </c>
      <c r="AF3480" s="22"/>
      <c r="AU3480" s="1"/>
    </row>
    <row r="3481" spans="1:47">
      <c r="A3481" t="str">
        <f t="shared" si="810"/>
        <v>PA_Alleg_2019g~Gen-member of council liberty (vote for 3)</v>
      </c>
      <c r="B3481" s="55" t="s">
        <v>1528</v>
      </c>
      <c r="C3481">
        <v>847</v>
      </c>
      <c r="D3481" s="55" t="s">
        <v>778</v>
      </c>
      <c r="E3481" s="55" t="s">
        <v>779</v>
      </c>
      <c r="F3481" t="s">
        <v>1396</v>
      </c>
      <c r="G3481" s="62">
        <v>332</v>
      </c>
      <c r="H3481">
        <v>34.299999999999997</v>
      </c>
      <c r="I3481">
        <v>1690</v>
      </c>
      <c r="J3481">
        <v>0</v>
      </c>
      <c r="K3481">
        <v>2</v>
      </c>
      <c r="L3481">
        <v>2</v>
      </c>
      <c r="M3481">
        <v>0</v>
      </c>
      <c r="N3481" s="23">
        <v>0</v>
      </c>
      <c r="O3481">
        <f t="shared" si="811"/>
        <v>1</v>
      </c>
      <c r="P3481" s="57">
        <f t="shared" si="812"/>
        <v>3</v>
      </c>
      <c r="Q3481" s="267">
        <f t="shared" si="813"/>
        <v>610</v>
      </c>
      <c r="R3481" s="23">
        <f t="shared" si="814"/>
        <v>278</v>
      </c>
      <c r="S3481" s="23">
        <f t="shared" si="815"/>
        <v>0</v>
      </c>
      <c r="T3481" s="23" t="str">
        <f t="shared" si="816"/>
        <v/>
      </c>
      <c r="U3481" t="str">
        <f t="shared" si="817"/>
        <v/>
      </c>
      <c r="AF3481" s="22"/>
      <c r="AU3481" s="1"/>
    </row>
    <row r="3482" spans="1:47">
      <c r="A3482" t="str">
        <f t="shared" si="810"/>
        <v>PA_Alleg_2019g~Gen-member of council liberty (vote for 3)</v>
      </c>
      <c r="B3482" s="55" t="s">
        <v>1528</v>
      </c>
      <c r="C3482">
        <v>848</v>
      </c>
      <c r="D3482" s="55" t="s">
        <v>778</v>
      </c>
      <c r="E3482" s="55" t="s">
        <v>780</v>
      </c>
      <c r="F3482" t="s">
        <v>1294</v>
      </c>
      <c r="G3482" s="62">
        <v>278</v>
      </c>
      <c r="H3482">
        <v>28.72</v>
      </c>
      <c r="I3482">
        <v>1690</v>
      </c>
      <c r="J3482">
        <v>0</v>
      </c>
      <c r="K3482">
        <v>2</v>
      </c>
      <c r="L3482">
        <v>2</v>
      </c>
      <c r="M3482">
        <v>0</v>
      </c>
      <c r="N3482" s="23">
        <v>0</v>
      </c>
      <c r="O3482">
        <f t="shared" si="811"/>
        <v>2</v>
      </c>
      <c r="P3482" s="57">
        <f t="shared" si="812"/>
        <v>3</v>
      </c>
      <c r="Q3482" s="267">
        <f t="shared" si="813"/>
        <v>278</v>
      </c>
      <c r="R3482" s="23">
        <f t="shared" si="814"/>
        <v>278</v>
      </c>
      <c r="S3482" s="23">
        <f t="shared" si="815"/>
        <v>0</v>
      </c>
      <c r="T3482" s="23" t="str">
        <f t="shared" si="816"/>
        <v/>
      </c>
      <c r="U3482" t="str">
        <f t="shared" si="817"/>
        <v/>
      </c>
      <c r="AF3482" s="22"/>
      <c r="AU3482" s="1"/>
    </row>
    <row r="3483" spans="1:47">
      <c r="A3483" t="str">
        <f t="shared" si="810"/>
        <v>PA_Alleg_2019g~Gen-member of council lincoln (vote for 3)</v>
      </c>
      <c r="B3483" s="55" t="s">
        <v>1528</v>
      </c>
      <c r="C3483">
        <v>851</v>
      </c>
      <c r="D3483" s="55" t="s">
        <v>784</v>
      </c>
      <c r="E3483" s="55" t="s">
        <v>786</v>
      </c>
      <c r="F3483" t="s">
        <v>1294</v>
      </c>
      <c r="G3483" s="62">
        <v>134</v>
      </c>
      <c r="H3483">
        <v>33.33</v>
      </c>
      <c r="I3483">
        <v>693</v>
      </c>
      <c r="J3483">
        <v>0</v>
      </c>
      <c r="K3483">
        <v>1</v>
      </c>
      <c r="L3483">
        <v>1</v>
      </c>
      <c r="M3483">
        <v>0</v>
      </c>
      <c r="N3483" s="23">
        <v>0</v>
      </c>
      <c r="O3483">
        <f t="shared" si="811"/>
        <v>1</v>
      </c>
      <c r="P3483" s="57">
        <f t="shared" si="812"/>
        <v>3</v>
      </c>
      <c r="Q3483" s="267">
        <f t="shared" si="813"/>
        <v>134</v>
      </c>
      <c r="R3483" s="23">
        <f t="shared" si="814"/>
        <v>131</v>
      </c>
      <c r="S3483" s="23">
        <f t="shared" si="815"/>
        <v>0</v>
      </c>
      <c r="T3483" s="23" t="str">
        <f t="shared" si="816"/>
        <v/>
      </c>
      <c r="U3483" t="str">
        <f t="shared" si="817"/>
        <v>PA_Alleg_2019g~Gen-member of council lincoln (vote for 3)</v>
      </c>
      <c r="AF3483" s="22"/>
      <c r="AU3483" s="1"/>
    </row>
    <row r="3484" spans="1:47">
      <c r="A3484" t="str">
        <f t="shared" si="810"/>
        <v>PA_Alleg_2019g~Gen-member of council lincoln (vote for 3)</v>
      </c>
      <c r="B3484" s="55" t="s">
        <v>1528</v>
      </c>
      <c r="C3484">
        <v>852</v>
      </c>
      <c r="D3484" s="55" t="s">
        <v>784</v>
      </c>
      <c r="E3484" s="55" t="s">
        <v>787</v>
      </c>
      <c r="F3484" t="s">
        <v>1294</v>
      </c>
      <c r="G3484" s="62">
        <v>132</v>
      </c>
      <c r="H3484">
        <v>32.840000000000003</v>
      </c>
      <c r="I3484">
        <v>693</v>
      </c>
      <c r="J3484">
        <v>0</v>
      </c>
      <c r="K3484">
        <v>1</v>
      </c>
      <c r="L3484">
        <v>1</v>
      </c>
      <c r="M3484">
        <v>0</v>
      </c>
      <c r="N3484" s="23">
        <v>0</v>
      </c>
      <c r="O3484">
        <f t="shared" si="811"/>
        <v>2</v>
      </c>
      <c r="P3484" s="57">
        <f t="shared" si="812"/>
        <v>3</v>
      </c>
      <c r="Q3484" s="267">
        <f t="shared" si="813"/>
        <v>268</v>
      </c>
      <c r="R3484" s="23">
        <f t="shared" si="814"/>
        <v>131</v>
      </c>
      <c r="S3484" s="23">
        <f t="shared" si="815"/>
        <v>0</v>
      </c>
      <c r="T3484" s="23" t="str">
        <f t="shared" si="816"/>
        <v/>
      </c>
      <c r="U3484" t="str">
        <f t="shared" si="817"/>
        <v/>
      </c>
      <c r="AF3484" s="22"/>
      <c r="AU3484" s="1"/>
    </row>
    <row r="3485" spans="1:47">
      <c r="A3485" t="str">
        <f t="shared" si="810"/>
        <v>PA_Alleg_2019g~Gen-member of council lincoln (vote for 3)</v>
      </c>
      <c r="B3485" s="55" t="s">
        <v>1528</v>
      </c>
      <c r="C3485">
        <v>850</v>
      </c>
      <c r="D3485" s="55" t="s">
        <v>784</v>
      </c>
      <c r="E3485" s="55" t="s">
        <v>785</v>
      </c>
      <c r="F3485" t="s">
        <v>1294</v>
      </c>
      <c r="G3485" s="62">
        <v>131</v>
      </c>
      <c r="H3485">
        <v>32.590000000000003</v>
      </c>
      <c r="I3485">
        <v>693</v>
      </c>
      <c r="J3485">
        <v>0</v>
      </c>
      <c r="K3485">
        <v>1</v>
      </c>
      <c r="L3485">
        <v>1</v>
      </c>
      <c r="M3485">
        <v>0</v>
      </c>
      <c r="N3485" s="23">
        <v>0</v>
      </c>
      <c r="O3485">
        <f t="shared" si="811"/>
        <v>3</v>
      </c>
      <c r="P3485" s="57">
        <f t="shared" si="812"/>
        <v>3</v>
      </c>
      <c r="Q3485" s="267">
        <f t="shared" si="813"/>
        <v>136</v>
      </c>
      <c r="R3485" s="23">
        <f t="shared" si="814"/>
        <v>131</v>
      </c>
      <c r="S3485" s="23">
        <f t="shared" si="815"/>
        <v>0</v>
      </c>
      <c r="T3485" s="23" t="str">
        <f t="shared" si="816"/>
        <v/>
      </c>
      <c r="U3485" t="str">
        <f t="shared" si="817"/>
        <v/>
      </c>
      <c r="AF3485" s="22"/>
      <c r="AU3485" s="1"/>
    </row>
    <row r="3486" spans="1:47">
      <c r="A3486" t="str">
        <f t="shared" si="810"/>
        <v>PA_Alleg_2019g~Gen-member of council lincoln (vote for 3)</v>
      </c>
      <c r="B3486" s="55" t="s">
        <v>1528</v>
      </c>
      <c r="C3486">
        <v>853</v>
      </c>
      <c r="D3486" s="55" t="s">
        <v>784</v>
      </c>
      <c r="E3486" s="55" t="s">
        <v>15</v>
      </c>
      <c r="G3486" s="62">
        <v>5</v>
      </c>
      <c r="H3486">
        <v>1.24</v>
      </c>
      <c r="I3486">
        <v>693</v>
      </c>
      <c r="J3486">
        <v>0</v>
      </c>
      <c r="K3486">
        <v>1</v>
      </c>
      <c r="L3486">
        <v>1</v>
      </c>
      <c r="M3486">
        <v>0</v>
      </c>
      <c r="N3486" s="23">
        <v>0</v>
      </c>
      <c r="O3486">
        <f t="shared" si="811"/>
        <v>-3</v>
      </c>
      <c r="P3486" s="57">
        <f t="shared" si="812"/>
        <v>3</v>
      </c>
      <c r="Q3486" s="267">
        <f t="shared" si="813"/>
        <v>5</v>
      </c>
      <c r="R3486" s="23">
        <f t="shared" si="814"/>
        <v>1</v>
      </c>
      <c r="S3486" s="23">
        <f t="shared" si="815"/>
        <v>0</v>
      </c>
      <c r="T3486" s="23" t="str">
        <f t="shared" si="816"/>
        <v/>
      </c>
      <c r="U3486" t="str">
        <f t="shared" si="817"/>
        <v/>
      </c>
      <c r="AF3486" s="22"/>
      <c r="AU3486" s="1"/>
    </row>
    <row r="3487" spans="1:47">
      <c r="A3487" t="str">
        <f t="shared" si="810"/>
        <v>PA_Alleg_2019g~Gen-member of council mccandless ward 1 (vote for 1)</v>
      </c>
      <c r="B3487" s="55" t="s">
        <v>1528</v>
      </c>
      <c r="C3487">
        <v>1133</v>
      </c>
      <c r="D3487" s="55" t="s">
        <v>1031</v>
      </c>
      <c r="E3487" s="55" t="s">
        <v>1253</v>
      </c>
      <c r="F3487" t="s">
        <v>1294</v>
      </c>
      <c r="G3487" s="62">
        <v>507</v>
      </c>
      <c r="H3487">
        <v>50.6</v>
      </c>
      <c r="I3487">
        <v>3310</v>
      </c>
      <c r="J3487">
        <v>0</v>
      </c>
      <c r="K3487">
        <v>3</v>
      </c>
      <c r="L3487">
        <v>3</v>
      </c>
      <c r="M3487">
        <v>0</v>
      </c>
      <c r="N3487" s="23">
        <v>0</v>
      </c>
      <c r="O3487">
        <f t="shared" si="811"/>
        <v>1</v>
      </c>
      <c r="P3487" s="57">
        <f t="shared" si="812"/>
        <v>1</v>
      </c>
      <c r="Q3487" s="267">
        <f t="shared" si="813"/>
        <v>1002</v>
      </c>
      <c r="R3487" s="23">
        <f t="shared" si="814"/>
        <v>507</v>
      </c>
      <c r="S3487" s="23">
        <f t="shared" si="815"/>
        <v>495</v>
      </c>
      <c r="T3487" s="23">
        <f t="shared" si="816"/>
        <v>12</v>
      </c>
      <c r="U3487" t="str">
        <f t="shared" si="817"/>
        <v>PA_Alleg_2019g~Gen-member of council mccandless ward 1 (vote for 1)</v>
      </c>
      <c r="AF3487" s="22"/>
      <c r="AU3487" s="1"/>
    </row>
    <row r="3488" spans="1:47">
      <c r="A3488" t="str">
        <f t="shared" si="810"/>
        <v>PA_Alleg_2019g~Gen-member of council mccandless ward 1 (vote for 1)</v>
      </c>
      <c r="B3488" s="55" t="s">
        <v>1528</v>
      </c>
      <c r="C3488">
        <v>1134</v>
      </c>
      <c r="D3488" s="55" t="s">
        <v>1031</v>
      </c>
      <c r="E3488" s="55" t="s">
        <v>1252</v>
      </c>
      <c r="F3488" t="s">
        <v>1296</v>
      </c>
      <c r="G3488" s="62">
        <v>495</v>
      </c>
      <c r="H3488">
        <v>49.4</v>
      </c>
      <c r="I3488">
        <v>3310</v>
      </c>
      <c r="J3488">
        <v>0</v>
      </c>
      <c r="K3488">
        <v>3</v>
      </c>
      <c r="L3488">
        <v>3</v>
      </c>
      <c r="M3488">
        <v>0</v>
      </c>
      <c r="N3488" s="23">
        <v>0</v>
      </c>
      <c r="O3488">
        <f t="shared" si="811"/>
        <v>2</v>
      </c>
      <c r="P3488" s="57">
        <f t="shared" si="812"/>
        <v>1</v>
      </c>
      <c r="Q3488" s="267">
        <f t="shared" si="813"/>
        <v>495</v>
      </c>
      <c r="R3488" s="23" t="str">
        <f t="shared" si="814"/>
        <v/>
      </c>
      <c r="S3488" s="23">
        <f t="shared" si="815"/>
        <v>495</v>
      </c>
      <c r="T3488" s="23" t="str">
        <f t="shared" si="816"/>
        <v/>
      </c>
      <c r="U3488" t="str">
        <f t="shared" si="817"/>
        <v/>
      </c>
      <c r="AF3488" s="22"/>
      <c r="AU3488" s="1"/>
    </row>
    <row r="3489" spans="1:47">
      <c r="A3489" t="str">
        <f t="shared" si="810"/>
        <v>PA_Alleg_2019g~Gen-member of council mccandless ward 1 (vote for 1)</v>
      </c>
      <c r="B3489" s="55" t="s">
        <v>1528</v>
      </c>
      <c r="C3489">
        <v>1135</v>
      </c>
      <c r="D3489" s="55" t="s">
        <v>1031</v>
      </c>
      <c r="E3489" s="55" t="s">
        <v>15</v>
      </c>
      <c r="G3489" s="62">
        <v>0</v>
      </c>
      <c r="H3489">
        <v>0</v>
      </c>
      <c r="I3489">
        <v>3310</v>
      </c>
      <c r="J3489">
        <v>0</v>
      </c>
      <c r="K3489">
        <v>3</v>
      </c>
      <c r="L3489">
        <v>3</v>
      </c>
      <c r="M3489">
        <v>0</v>
      </c>
      <c r="N3489" s="23">
        <v>0</v>
      </c>
      <c r="O3489">
        <f t="shared" si="811"/>
        <v>-2</v>
      </c>
      <c r="P3489" s="57">
        <f t="shared" si="812"/>
        <v>1</v>
      </c>
      <c r="Q3489" s="267">
        <f t="shared" si="813"/>
        <v>0</v>
      </c>
      <c r="R3489" s="23">
        <f t="shared" si="814"/>
        <v>1</v>
      </c>
      <c r="S3489" s="23">
        <f t="shared" si="815"/>
        <v>0</v>
      </c>
      <c r="T3489" s="23" t="str">
        <f t="shared" si="816"/>
        <v/>
      </c>
      <c r="U3489" t="str">
        <f t="shared" si="817"/>
        <v/>
      </c>
      <c r="AF3489" s="22"/>
      <c r="AU3489" s="1"/>
    </row>
    <row r="3490" spans="1:47">
      <c r="A3490" t="str">
        <f t="shared" si="810"/>
        <v>PA_Alleg_2019g~Gen-member of council mccandless ward 3 (vote for 1)</v>
      </c>
      <c r="B3490" s="55" t="s">
        <v>1528</v>
      </c>
      <c r="C3490">
        <v>1137</v>
      </c>
      <c r="D3490" s="55" t="s">
        <v>1032</v>
      </c>
      <c r="E3490" s="55" t="s">
        <v>1255</v>
      </c>
      <c r="F3490" t="s">
        <v>1296</v>
      </c>
      <c r="G3490" s="62">
        <v>614</v>
      </c>
      <c r="H3490">
        <v>53.02</v>
      </c>
      <c r="I3490">
        <v>3134</v>
      </c>
      <c r="J3490">
        <v>0</v>
      </c>
      <c r="K3490">
        <v>3</v>
      </c>
      <c r="L3490">
        <v>3</v>
      </c>
      <c r="M3490">
        <v>0</v>
      </c>
      <c r="N3490" s="23">
        <v>0</v>
      </c>
      <c r="O3490">
        <f t="shared" si="811"/>
        <v>1</v>
      </c>
      <c r="P3490" s="57">
        <f t="shared" si="812"/>
        <v>1</v>
      </c>
      <c r="Q3490" s="267">
        <f t="shared" si="813"/>
        <v>1158</v>
      </c>
      <c r="R3490" s="23">
        <f t="shared" si="814"/>
        <v>614</v>
      </c>
      <c r="S3490" s="23">
        <f t="shared" si="815"/>
        <v>539</v>
      </c>
      <c r="T3490" s="23">
        <f t="shared" si="816"/>
        <v>75</v>
      </c>
      <c r="U3490" t="str">
        <f t="shared" si="817"/>
        <v>PA_Alleg_2019g~Gen-member of council mccandless ward 3 (vote for 1)</v>
      </c>
      <c r="AF3490" s="22"/>
      <c r="AU3490" s="1"/>
    </row>
    <row r="3491" spans="1:47">
      <c r="A3491" t="str">
        <f t="shared" si="810"/>
        <v>PA_Alleg_2019g~Gen-member of council mccandless ward 3 (vote for 1)</v>
      </c>
      <c r="B3491" s="55" t="s">
        <v>1528</v>
      </c>
      <c r="C3491">
        <v>1136</v>
      </c>
      <c r="D3491" s="55" t="s">
        <v>1032</v>
      </c>
      <c r="E3491" s="55" t="s">
        <v>1033</v>
      </c>
      <c r="F3491" t="s">
        <v>1294</v>
      </c>
      <c r="G3491" s="62">
        <v>539</v>
      </c>
      <c r="H3491">
        <v>46.55</v>
      </c>
      <c r="I3491">
        <v>3134</v>
      </c>
      <c r="J3491">
        <v>0</v>
      </c>
      <c r="K3491">
        <v>3</v>
      </c>
      <c r="L3491">
        <v>3</v>
      </c>
      <c r="M3491">
        <v>0</v>
      </c>
      <c r="N3491" s="23">
        <v>0</v>
      </c>
      <c r="O3491">
        <f t="shared" si="811"/>
        <v>2</v>
      </c>
      <c r="P3491" s="57">
        <f t="shared" si="812"/>
        <v>1</v>
      </c>
      <c r="Q3491" s="267">
        <f t="shared" si="813"/>
        <v>544</v>
      </c>
      <c r="R3491" s="23" t="str">
        <f t="shared" si="814"/>
        <v/>
      </c>
      <c r="S3491" s="23">
        <f t="shared" si="815"/>
        <v>539</v>
      </c>
      <c r="T3491" s="23" t="str">
        <f t="shared" si="816"/>
        <v/>
      </c>
      <c r="U3491" t="str">
        <f t="shared" si="817"/>
        <v/>
      </c>
      <c r="AF3491" s="22"/>
      <c r="AU3491" s="1"/>
    </row>
    <row r="3492" spans="1:47">
      <c r="A3492" t="str">
        <f t="shared" si="810"/>
        <v>PA_Alleg_2019g~Gen-member of council mccandless ward 3 (vote for 1)</v>
      </c>
      <c r="B3492" s="55" t="s">
        <v>1528</v>
      </c>
      <c r="C3492">
        <v>1138</v>
      </c>
      <c r="D3492" s="55" t="s">
        <v>1032</v>
      </c>
      <c r="E3492" s="55" t="s">
        <v>15</v>
      </c>
      <c r="G3492" s="62">
        <v>5</v>
      </c>
      <c r="H3492">
        <v>0.43</v>
      </c>
      <c r="I3492">
        <v>3134</v>
      </c>
      <c r="J3492">
        <v>0</v>
      </c>
      <c r="K3492">
        <v>3</v>
      </c>
      <c r="L3492">
        <v>3</v>
      </c>
      <c r="M3492">
        <v>0</v>
      </c>
      <c r="N3492" s="23">
        <v>0</v>
      </c>
      <c r="O3492">
        <f t="shared" si="811"/>
        <v>-2</v>
      </c>
      <c r="P3492" s="57">
        <f t="shared" si="812"/>
        <v>1</v>
      </c>
      <c r="Q3492" s="267">
        <f t="shared" si="813"/>
        <v>5</v>
      </c>
      <c r="R3492" s="23">
        <f t="shared" si="814"/>
        <v>1</v>
      </c>
      <c r="S3492" s="23">
        <f t="shared" si="815"/>
        <v>0</v>
      </c>
      <c r="T3492" s="23" t="str">
        <f t="shared" si="816"/>
        <v/>
      </c>
      <c r="U3492" t="str">
        <f t="shared" si="817"/>
        <v/>
      </c>
      <c r="AF3492" s="22"/>
      <c r="AU3492" s="1"/>
    </row>
    <row r="3493" spans="1:47">
      <c r="A3493" t="str">
        <f t="shared" si="810"/>
        <v>PA_Alleg_2019g~Gen-member of council mccandless ward 5 (vote for 1)</v>
      </c>
      <c r="B3493" s="55" t="s">
        <v>1528</v>
      </c>
      <c r="C3493">
        <v>1139</v>
      </c>
      <c r="D3493" s="55" t="s">
        <v>1034</v>
      </c>
      <c r="E3493" s="55" t="s">
        <v>1257</v>
      </c>
      <c r="F3493" t="s">
        <v>1294</v>
      </c>
      <c r="G3493" s="62">
        <v>620</v>
      </c>
      <c r="H3493">
        <v>56.31</v>
      </c>
      <c r="I3493">
        <v>3195</v>
      </c>
      <c r="J3493">
        <v>0</v>
      </c>
      <c r="K3493">
        <v>3</v>
      </c>
      <c r="L3493">
        <v>3</v>
      </c>
      <c r="M3493">
        <v>0</v>
      </c>
      <c r="N3493" s="23">
        <v>0</v>
      </c>
      <c r="O3493">
        <f t="shared" si="811"/>
        <v>1</v>
      </c>
      <c r="P3493" s="57">
        <f t="shared" si="812"/>
        <v>1</v>
      </c>
      <c r="Q3493" s="267">
        <f t="shared" si="813"/>
        <v>1101</v>
      </c>
      <c r="R3493" s="23">
        <f t="shared" si="814"/>
        <v>620</v>
      </c>
      <c r="S3493" s="23">
        <f t="shared" si="815"/>
        <v>481</v>
      </c>
      <c r="T3493" s="23">
        <f t="shared" si="816"/>
        <v>139</v>
      </c>
      <c r="U3493" t="str">
        <f t="shared" si="817"/>
        <v>PA_Alleg_2019g~Gen-member of council mccandless ward 5 (vote for 1)</v>
      </c>
      <c r="AF3493" s="22"/>
      <c r="AU3493" s="1"/>
    </row>
    <row r="3494" spans="1:47">
      <c r="A3494" t="str">
        <f t="shared" si="810"/>
        <v>PA_Alleg_2019g~Gen-member of council mccandless ward 5 (vote for 1)</v>
      </c>
      <c r="B3494" s="55" t="s">
        <v>1528</v>
      </c>
      <c r="C3494">
        <v>1140</v>
      </c>
      <c r="D3494" s="55" t="s">
        <v>1034</v>
      </c>
      <c r="E3494" s="55" t="s">
        <v>1256</v>
      </c>
      <c r="F3494" t="s">
        <v>1296</v>
      </c>
      <c r="G3494" s="62">
        <v>481</v>
      </c>
      <c r="H3494">
        <v>43.69</v>
      </c>
      <c r="I3494">
        <v>3195</v>
      </c>
      <c r="J3494">
        <v>0</v>
      </c>
      <c r="K3494">
        <v>3</v>
      </c>
      <c r="L3494">
        <v>3</v>
      </c>
      <c r="M3494">
        <v>0</v>
      </c>
      <c r="N3494" s="23">
        <v>0</v>
      </c>
      <c r="O3494">
        <f t="shared" si="811"/>
        <v>2</v>
      </c>
      <c r="P3494" s="57">
        <f t="shared" si="812"/>
        <v>1</v>
      </c>
      <c r="Q3494" s="267">
        <f t="shared" si="813"/>
        <v>481</v>
      </c>
      <c r="R3494" s="23" t="str">
        <f t="shared" si="814"/>
        <v/>
      </c>
      <c r="S3494" s="23">
        <f t="shared" si="815"/>
        <v>481</v>
      </c>
      <c r="T3494" s="23" t="str">
        <f t="shared" si="816"/>
        <v/>
      </c>
      <c r="U3494" t="str">
        <f t="shared" si="817"/>
        <v/>
      </c>
      <c r="AF3494" s="22"/>
      <c r="AU3494" s="1"/>
    </row>
    <row r="3495" spans="1:47">
      <c r="A3495" t="str">
        <f t="shared" si="810"/>
        <v>PA_Alleg_2019g~Gen-member of council mccandless ward 5 (vote for 1)</v>
      </c>
      <c r="B3495" s="55" t="s">
        <v>1528</v>
      </c>
      <c r="C3495">
        <v>1141</v>
      </c>
      <c r="D3495" s="55" t="s">
        <v>1034</v>
      </c>
      <c r="E3495" s="55" t="s">
        <v>15</v>
      </c>
      <c r="G3495" s="62">
        <v>0</v>
      </c>
      <c r="H3495">
        <v>0</v>
      </c>
      <c r="I3495">
        <v>3195</v>
      </c>
      <c r="J3495">
        <v>0</v>
      </c>
      <c r="K3495">
        <v>3</v>
      </c>
      <c r="L3495">
        <v>3</v>
      </c>
      <c r="M3495">
        <v>0</v>
      </c>
      <c r="N3495" s="23">
        <v>0</v>
      </c>
      <c r="O3495">
        <f t="shared" si="811"/>
        <v>-2</v>
      </c>
      <c r="P3495" s="57">
        <f t="shared" si="812"/>
        <v>1</v>
      </c>
      <c r="Q3495" s="267">
        <f t="shared" si="813"/>
        <v>0</v>
      </c>
      <c r="R3495" s="23">
        <f t="shared" si="814"/>
        <v>1</v>
      </c>
      <c r="S3495" s="23">
        <f t="shared" si="815"/>
        <v>0</v>
      </c>
      <c r="T3495" s="23" t="str">
        <f t="shared" si="816"/>
        <v/>
      </c>
      <c r="U3495" t="str">
        <f t="shared" si="817"/>
        <v/>
      </c>
      <c r="AF3495" s="22"/>
      <c r="AU3495" s="1"/>
    </row>
    <row r="3496" spans="1:47">
      <c r="A3496" t="str">
        <f t="shared" si="810"/>
        <v>PA_Alleg_2019g~Gen-member of council mccandless ward 7 (vote for 1)</v>
      </c>
      <c r="B3496" s="55" t="s">
        <v>1528</v>
      </c>
      <c r="C3496">
        <v>1142</v>
      </c>
      <c r="D3496" s="55" t="s">
        <v>1035</v>
      </c>
      <c r="E3496" s="55" t="s">
        <v>1036</v>
      </c>
      <c r="F3496" t="s">
        <v>1294</v>
      </c>
      <c r="G3496" s="62">
        <v>505</v>
      </c>
      <c r="H3496">
        <v>50.6</v>
      </c>
      <c r="I3496">
        <v>3147</v>
      </c>
      <c r="J3496">
        <v>0</v>
      </c>
      <c r="K3496">
        <v>3</v>
      </c>
      <c r="L3496">
        <v>3</v>
      </c>
      <c r="M3496">
        <v>0</v>
      </c>
      <c r="N3496" s="23">
        <v>0</v>
      </c>
      <c r="O3496">
        <f t="shared" si="811"/>
        <v>1</v>
      </c>
      <c r="P3496" s="57">
        <f t="shared" si="812"/>
        <v>1</v>
      </c>
      <c r="Q3496" s="267">
        <f t="shared" si="813"/>
        <v>998</v>
      </c>
      <c r="R3496" s="23">
        <f t="shared" si="814"/>
        <v>505</v>
      </c>
      <c r="S3496" s="23">
        <f t="shared" si="815"/>
        <v>493</v>
      </c>
      <c r="T3496" s="23">
        <f t="shared" si="816"/>
        <v>12</v>
      </c>
      <c r="U3496" t="str">
        <f t="shared" si="817"/>
        <v>PA_Alleg_2019g~Gen-member of council mccandless ward 7 (vote for 1)</v>
      </c>
      <c r="AF3496" s="22"/>
      <c r="AU3496" s="1"/>
    </row>
    <row r="3497" spans="1:47">
      <c r="A3497" t="str">
        <f t="shared" si="810"/>
        <v>PA_Alleg_2019g~Gen-member of council mccandless ward 7 (vote for 1)</v>
      </c>
      <c r="B3497" s="55" t="s">
        <v>1528</v>
      </c>
      <c r="C3497">
        <v>1143</v>
      </c>
      <c r="D3497" s="55" t="s">
        <v>1035</v>
      </c>
      <c r="E3497" s="55" t="s">
        <v>1258</v>
      </c>
      <c r="F3497" t="s">
        <v>1296</v>
      </c>
      <c r="G3497" s="62">
        <v>493</v>
      </c>
      <c r="H3497">
        <v>49.4</v>
      </c>
      <c r="I3497">
        <v>3147</v>
      </c>
      <c r="J3497">
        <v>0</v>
      </c>
      <c r="K3497">
        <v>3</v>
      </c>
      <c r="L3497">
        <v>3</v>
      </c>
      <c r="M3497">
        <v>0</v>
      </c>
      <c r="N3497" s="23">
        <v>0</v>
      </c>
      <c r="O3497">
        <f t="shared" si="811"/>
        <v>2</v>
      </c>
      <c r="P3497" s="57">
        <f t="shared" si="812"/>
        <v>1</v>
      </c>
      <c r="Q3497" s="267">
        <f t="shared" si="813"/>
        <v>493</v>
      </c>
      <c r="R3497" s="23" t="str">
        <f t="shared" si="814"/>
        <v/>
      </c>
      <c r="S3497" s="23">
        <f t="shared" si="815"/>
        <v>493</v>
      </c>
      <c r="T3497" s="23" t="str">
        <f t="shared" si="816"/>
        <v/>
      </c>
      <c r="U3497" t="str">
        <f t="shared" si="817"/>
        <v/>
      </c>
      <c r="AF3497" s="22"/>
      <c r="AU3497" s="1"/>
    </row>
    <row r="3498" spans="1:47">
      <c r="A3498" t="str">
        <f t="shared" si="810"/>
        <v>PA_Alleg_2019g~Gen-member of council mccandless ward 7 (vote for 1)</v>
      </c>
      <c r="B3498" s="55" t="s">
        <v>1528</v>
      </c>
      <c r="C3498">
        <v>1144</v>
      </c>
      <c r="D3498" s="55" t="s">
        <v>1035</v>
      </c>
      <c r="E3498" s="55" t="s">
        <v>15</v>
      </c>
      <c r="G3498" s="62">
        <v>0</v>
      </c>
      <c r="H3498">
        <v>0</v>
      </c>
      <c r="I3498">
        <v>3147</v>
      </c>
      <c r="J3498">
        <v>0</v>
      </c>
      <c r="K3498">
        <v>3</v>
      </c>
      <c r="L3498">
        <v>3</v>
      </c>
      <c r="M3498">
        <v>0</v>
      </c>
      <c r="N3498" s="23">
        <v>0</v>
      </c>
      <c r="O3498">
        <f t="shared" si="811"/>
        <v>-2</v>
      </c>
      <c r="P3498" s="57">
        <f t="shared" si="812"/>
        <v>1</v>
      </c>
      <c r="Q3498" s="267">
        <f t="shared" si="813"/>
        <v>0</v>
      </c>
      <c r="R3498" s="23">
        <f t="shared" si="814"/>
        <v>1</v>
      </c>
      <c r="S3498" s="23">
        <f t="shared" si="815"/>
        <v>0</v>
      </c>
      <c r="T3498" s="23" t="str">
        <f t="shared" si="816"/>
        <v/>
      </c>
      <c r="U3498" t="str">
        <f t="shared" si="817"/>
        <v/>
      </c>
      <c r="AF3498" s="22"/>
      <c r="AU3498" s="1"/>
    </row>
    <row r="3499" spans="1:47">
      <c r="A3499" t="str">
        <f t="shared" si="810"/>
        <v>PA_Alleg_2019g~Gen-member of council mcdonald (vote for 4)</v>
      </c>
      <c r="B3499" s="55" t="s">
        <v>1528</v>
      </c>
      <c r="C3499">
        <v>709</v>
      </c>
      <c r="D3499" s="55" t="s">
        <v>667</v>
      </c>
      <c r="E3499" s="55" t="s">
        <v>668</v>
      </c>
      <c r="F3499" t="s">
        <v>1294</v>
      </c>
      <c r="G3499" s="62">
        <v>30</v>
      </c>
      <c r="H3499">
        <v>22.22</v>
      </c>
      <c r="I3499">
        <v>222</v>
      </c>
      <c r="J3499">
        <v>0</v>
      </c>
      <c r="K3499">
        <v>1</v>
      </c>
      <c r="L3499">
        <v>1</v>
      </c>
      <c r="M3499">
        <v>0</v>
      </c>
      <c r="N3499" s="23">
        <v>0</v>
      </c>
      <c r="O3499">
        <f t="shared" si="811"/>
        <v>1</v>
      </c>
      <c r="P3499" s="57">
        <f t="shared" si="812"/>
        <v>4</v>
      </c>
      <c r="Q3499" s="267">
        <f t="shared" si="813"/>
        <v>33.75</v>
      </c>
      <c r="R3499" s="23">
        <f t="shared" si="814"/>
        <v>25</v>
      </c>
      <c r="S3499" s="23">
        <f t="shared" si="815"/>
        <v>24</v>
      </c>
      <c r="T3499" s="23">
        <f t="shared" si="816"/>
        <v>1</v>
      </c>
      <c r="U3499" t="str">
        <f t="shared" si="817"/>
        <v>PA_Alleg_2019g~Gen-member of council mcdonald (vote for 4)</v>
      </c>
      <c r="AF3499" s="22"/>
      <c r="AU3499" s="1"/>
    </row>
    <row r="3500" spans="1:47">
      <c r="A3500" t="str">
        <f t="shared" si="810"/>
        <v>PA_Alleg_2019g~Gen-member of council mcdonald (vote for 4)</v>
      </c>
      <c r="B3500" s="55" t="s">
        <v>1528</v>
      </c>
      <c r="C3500">
        <v>710</v>
      </c>
      <c r="D3500" s="55" t="s">
        <v>667</v>
      </c>
      <c r="E3500" s="55" t="s">
        <v>1176</v>
      </c>
      <c r="F3500" t="s">
        <v>1296</v>
      </c>
      <c r="G3500" s="62">
        <v>29</v>
      </c>
      <c r="H3500">
        <v>21.48</v>
      </c>
      <c r="I3500">
        <v>222</v>
      </c>
      <c r="J3500">
        <v>0</v>
      </c>
      <c r="K3500">
        <v>1</v>
      </c>
      <c r="L3500">
        <v>1</v>
      </c>
      <c r="M3500">
        <v>0</v>
      </c>
      <c r="N3500" s="23">
        <v>0</v>
      </c>
      <c r="O3500">
        <f t="shared" si="811"/>
        <v>2</v>
      </c>
      <c r="P3500" s="57">
        <f t="shared" si="812"/>
        <v>4</v>
      </c>
      <c r="Q3500" s="267">
        <f t="shared" si="813"/>
        <v>105</v>
      </c>
      <c r="R3500" s="23">
        <f t="shared" si="814"/>
        <v>25</v>
      </c>
      <c r="S3500" s="23">
        <f t="shared" si="815"/>
        <v>24</v>
      </c>
      <c r="T3500" s="23" t="str">
        <f t="shared" si="816"/>
        <v/>
      </c>
      <c r="U3500" t="str">
        <f t="shared" si="817"/>
        <v/>
      </c>
      <c r="AF3500" s="22"/>
      <c r="AU3500" s="1"/>
    </row>
    <row r="3501" spans="1:47">
      <c r="A3501" t="str">
        <f t="shared" si="810"/>
        <v>PA_Alleg_2019g~Gen-member of council mcdonald (vote for 4)</v>
      </c>
      <c r="B3501" s="55" t="s">
        <v>1528</v>
      </c>
      <c r="C3501">
        <v>711</v>
      </c>
      <c r="D3501" s="55" t="s">
        <v>667</v>
      </c>
      <c r="E3501" s="55" t="s">
        <v>1462</v>
      </c>
      <c r="F3501" t="s">
        <v>1296</v>
      </c>
      <c r="G3501" s="62">
        <v>26</v>
      </c>
      <c r="H3501">
        <v>19.260000000000002</v>
      </c>
      <c r="I3501">
        <v>222</v>
      </c>
      <c r="J3501">
        <v>0</v>
      </c>
      <c r="K3501">
        <v>1</v>
      </c>
      <c r="L3501">
        <v>1</v>
      </c>
      <c r="M3501">
        <v>0</v>
      </c>
      <c r="N3501" s="23">
        <v>0</v>
      </c>
      <c r="O3501">
        <f t="shared" si="811"/>
        <v>3</v>
      </c>
      <c r="P3501" s="57">
        <f t="shared" si="812"/>
        <v>4</v>
      </c>
      <c r="Q3501" s="267">
        <f t="shared" si="813"/>
        <v>76</v>
      </c>
      <c r="R3501" s="23">
        <f t="shared" si="814"/>
        <v>25</v>
      </c>
      <c r="S3501" s="23">
        <f t="shared" si="815"/>
        <v>24</v>
      </c>
      <c r="T3501" s="23" t="str">
        <f t="shared" si="816"/>
        <v/>
      </c>
      <c r="U3501" t="str">
        <f t="shared" si="817"/>
        <v/>
      </c>
      <c r="AF3501" s="22"/>
      <c r="AU3501" s="1"/>
    </row>
    <row r="3502" spans="1:47">
      <c r="A3502" t="str">
        <f t="shared" si="810"/>
        <v>PA_Alleg_2019g~Gen-member of council mcdonald (vote for 4)</v>
      </c>
      <c r="B3502" s="55" t="s">
        <v>1528</v>
      </c>
      <c r="C3502">
        <v>708</v>
      </c>
      <c r="D3502" s="55" t="s">
        <v>667</v>
      </c>
      <c r="E3502" s="55" t="s">
        <v>670</v>
      </c>
      <c r="F3502" t="s">
        <v>1294</v>
      </c>
      <c r="G3502" s="62">
        <v>25</v>
      </c>
      <c r="H3502">
        <v>18.52</v>
      </c>
      <c r="I3502">
        <v>222</v>
      </c>
      <c r="J3502">
        <v>0</v>
      </c>
      <c r="K3502">
        <v>1</v>
      </c>
      <c r="L3502">
        <v>1</v>
      </c>
      <c r="M3502">
        <v>0</v>
      </c>
      <c r="N3502" s="23">
        <v>0</v>
      </c>
      <c r="O3502">
        <f t="shared" si="811"/>
        <v>4</v>
      </c>
      <c r="P3502" s="57">
        <f t="shared" si="812"/>
        <v>4</v>
      </c>
      <c r="Q3502" s="267">
        <f t="shared" si="813"/>
        <v>50</v>
      </c>
      <c r="R3502" s="23">
        <f t="shared" si="814"/>
        <v>25</v>
      </c>
      <c r="S3502" s="23">
        <f t="shared" si="815"/>
        <v>24</v>
      </c>
      <c r="T3502" s="23" t="str">
        <f t="shared" si="816"/>
        <v/>
      </c>
      <c r="U3502" t="str">
        <f t="shared" si="817"/>
        <v/>
      </c>
      <c r="AF3502" s="22"/>
      <c r="AU3502" s="1"/>
    </row>
    <row r="3503" spans="1:47">
      <c r="A3503" t="str">
        <f t="shared" si="810"/>
        <v>PA_Alleg_2019g~Gen-member of council mcdonald (vote for 4)</v>
      </c>
      <c r="B3503" s="55" t="s">
        <v>1528</v>
      </c>
      <c r="C3503">
        <v>707</v>
      </c>
      <c r="D3503" s="55" t="s">
        <v>667</v>
      </c>
      <c r="E3503" s="55" t="s">
        <v>669</v>
      </c>
      <c r="F3503" t="s">
        <v>1294</v>
      </c>
      <c r="G3503" s="62">
        <v>24</v>
      </c>
      <c r="H3503">
        <v>17.78</v>
      </c>
      <c r="I3503">
        <v>222</v>
      </c>
      <c r="J3503">
        <v>0</v>
      </c>
      <c r="K3503">
        <v>1</v>
      </c>
      <c r="L3503">
        <v>1</v>
      </c>
      <c r="M3503">
        <v>0</v>
      </c>
      <c r="N3503" s="23">
        <v>0</v>
      </c>
      <c r="O3503">
        <f t="shared" si="811"/>
        <v>5</v>
      </c>
      <c r="P3503" s="57">
        <f t="shared" si="812"/>
        <v>4</v>
      </c>
      <c r="Q3503" s="267">
        <f t="shared" si="813"/>
        <v>25</v>
      </c>
      <c r="R3503" s="23" t="str">
        <f t="shared" si="814"/>
        <v/>
      </c>
      <c r="S3503" s="23">
        <f t="shared" si="815"/>
        <v>24</v>
      </c>
      <c r="T3503" s="23" t="str">
        <f t="shared" si="816"/>
        <v/>
      </c>
      <c r="U3503" t="str">
        <f t="shared" si="817"/>
        <v/>
      </c>
      <c r="AF3503" s="22"/>
      <c r="AU3503" s="1"/>
    </row>
    <row r="3504" spans="1:47">
      <c r="A3504" t="str">
        <f t="shared" si="810"/>
        <v>PA_Alleg_2019g~Gen-member of council mcdonald (vote for 4)</v>
      </c>
      <c r="B3504" s="55" t="s">
        <v>1528</v>
      </c>
      <c r="C3504">
        <v>712</v>
      </c>
      <c r="D3504" s="55" t="s">
        <v>667</v>
      </c>
      <c r="E3504" s="55" t="s">
        <v>15</v>
      </c>
      <c r="G3504" s="62">
        <v>1</v>
      </c>
      <c r="H3504">
        <v>0.74</v>
      </c>
      <c r="I3504">
        <v>222</v>
      </c>
      <c r="J3504">
        <v>0</v>
      </c>
      <c r="K3504">
        <v>1</v>
      </c>
      <c r="L3504">
        <v>1</v>
      </c>
      <c r="M3504">
        <v>0</v>
      </c>
      <c r="N3504" s="23">
        <v>0</v>
      </c>
      <c r="O3504">
        <f t="shared" si="811"/>
        <v>-5</v>
      </c>
      <c r="P3504" s="57">
        <f t="shared" si="812"/>
        <v>4</v>
      </c>
      <c r="Q3504" s="267">
        <f t="shared" si="813"/>
        <v>1</v>
      </c>
      <c r="R3504" s="23">
        <f t="shared" si="814"/>
        <v>1</v>
      </c>
      <c r="S3504" s="23">
        <f t="shared" si="815"/>
        <v>0</v>
      </c>
      <c r="T3504" s="23" t="str">
        <f t="shared" si="816"/>
        <v/>
      </c>
      <c r="U3504" t="str">
        <f t="shared" si="817"/>
        <v/>
      </c>
      <c r="AF3504" s="22"/>
      <c r="AG3504" s="23"/>
      <c r="AH3504" s="8"/>
      <c r="AL3504" s="344"/>
      <c r="AU3504" s="1"/>
    </row>
    <row r="3505" spans="1:47">
      <c r="A3505" t="str">
        <f t="shared" si="810"/>
        <v>PA_Alleg_2019g~Gen-member of council mckees rocks ward 1 (vote for 1)</v>
      </c>
      <c r="B3505" s="55" t="s">
        <v>1528</v>
      </c>
      <c r="C3505">
        <v>1145</v>
      </c>
      <c r="D3505" s="55" t="s">
        <v>1037</v>
      </c>
      <c r="E3505" s="55" t="s">
        <v>1038</v>
      </c>
      <c r="F3505" t="s">
        <v>1294</v>
      </c>
      <c r="G3505" s="62">
        <v>101</v>
      </c>
      <c r="H3505">
        <v>96.19</v>
      </c>
      <c r="I3505">
        <v>841</v>
      </c>
      <c r="J3505">
        <v>0</v>
      </c>
      <c r="K3505">
        <v>2</v>
      </c>
      <c r="L3505">
        <v>2</v>
      </c>
      <c r="M3505">
        <v>0</v>
      </c>
      <c r="N3505" s="23">
        <v>0</v>
      </c>
      <c r="O3505">
        <f t="shared" si="811"/>
        <v>1</v>
      </c>
      <c r="P3505" s="57">
        <f t="shared" si="812"/>
        <v>1</v>
      </c>
      <c r="Q3505" s="267">
        <f t="shared" si="813"/>
        <v>105</v>
      </c>
      <c r="R3505" s="23">
        <f t="shared" si="814"/>
        <v>101</v>
      </c>
      <c r="S3505" s="23">
        <f t="shared" si="815"/>
        <v>0</v>
      </c>
      <c r="T3505" s="23" t="str">
        <f t="shared" si="816"/>
        <v/>
      </c>
      <c r="U3505" t="str">
        <f t="shared" si="817"/>
        <v>PA_Alleg_2019g~Gen-member of council mckees rocks ward 1 (vote for 1)</v>
      </c>
      <c r="AF3505" s="22"/>
      <c r="AG3505" s="23"/>
      <c r="AH3505" s="8"/>
      <c r="AL3505" s="344"/>
      <c r="AU3505" s="1"/>
    </row>
    <row r="3506" spans="1:47">
      <c r="A3506" t="str">
        <f t="shared" si="810"/>
        <v>PA_Alleg_2019g~Gen-member of council mckees rocks ward 1 (vote for 1)</v>
      </c>
      <c r="B3506" s="55" t="s">
        <v>1528</v>
      </c>
      <c r="C3506">
        <v>1146</v>
      </c>
      <c r="D3506" s="55" t="s">
        <v>1037</v>
      </c>
      <c r="E3506" s="55" t="s">
        <v>15</v>
      </c>
      <c r="G3506" s="62">
        <v>4</v>
      </c>
      <c r="H3506">
        <v>3.81</v>
      </c>
      <c r="I3506">
        <v>841</v>
      </c>
      <c r="J3506">
        <v>0</v>
      </c>
      <c r="K3506">
        <v>2</v>
      </c>
      <c r="L3506">
        <v>2</v>
      </c>
      <c r="M3506">
        <v>0</v>
      </c>
      <c r="N3506" s="23">
        <v>0</v>
      </c>
      <c r="O3506">
        <f t="shared" si="811"/>
        <v>-1</v>
      </c>
      <c r="P3506" s="57">
        <f t="shared" si="812"/>
        <v>1</v>
      </c>
      <c r="Q3506" s="267">
        <f t="shared" si="813"/>
        <v>4</v>
      </c>
      <c r="R3506" s="23">
        <f t="shared" si="814"/>
        <v>1</v>
      </c>
      <c r="S3506" s="23">
        <f t="shared" si="815"/>
        <v>0</v>
      </c>
      <c r="T3506" s="23" t="str">
        <f t="shared" si="816"/>
        <v/>
      </c>
      <c r="U3506" t="str">
        <f t="shared" si="817"/>
        <v/>
      </c>
      <c r="AF3506" s="22"/>
      <c r="AG3506" s="23"/>
      <c r="AH3506" s="8"/>
      <c r="AL3506" s="344"/>
      <c r="AU3506" s="1"/>
    </row>
    <row r="3507" spans="1:47">
      <c r="A3507" t="str">
        <f t="shared" si="810"/>
        <v>PA_Alleg_2019g~Gen-member of council mckees rocks ward 3 (vote for 3)</v>
      </c>
      <c r="B3507" s="55" t="s">
        <v>1528</v>
      </c>
      <c r="C3507">
        <v>1041</v>
      </c>
      <c r="D3507" s="55" t="s">
        <v>939</v>
      </c>
      <c r="E3507" s="55" t="s">
        <v>940</v>
      </c>
      <c r="F3507" t="s">
        <v>1396</v>
      </c>
      <c r="G3507" s="62">
        <v>291</v>
      </c>
      <c r="H3507">
        <v>22.03</v>
      </c>
      <c r="I3507">
        <v>1888</v>
      </c>
      <c r="J3507">
        <v>0</v>
      </c>
      <c r="K3507">
        <v>3</v>
      </c>
      <c r="L3507">
        <v>3</v>
      </c>
      <c r="M3507">
        <v>0</v>
      </c>
      <c r="N3507" s="23">
        <v>0</v>
      </c>
      <c r="O3507">
        <f t="shared" si="811"/>
        <v>1</v>
      </c>
      <c r="P3507" s="57">
        <f t="shared" si="812"/>
        <v>3</v>
      </c>
      <c r="Q3507" s="267">
        <f t="shared" si="813"/>
        <v>440.33333333333331</v>
      </c>
      <c r="R3507" s="23">
        <f t="shared" si="814"/>
        <v>239</v>
      </c>
      <c r="S3507" s="23">
        <f t="shared" si="815"/>
        <v>234</v>
      </c>
      <c r="T3507" s="23">
        <f t="shared" si="816"/>
        <v>5</v>
      </c>
      <c r="U3507" t="str">
        <f t="shared" si="817"/>
        <v>PA_Alleg_2019g~Gen-member of council mckees rocks ward 3 (vote for 3)</v>
      </c>
      <c r="AF3507" s="22"/>
      <c r="AG3507" s="23"/>
      <c r="AH3507" s="8"/>
      <c r="AL3507" s="344"/>
      <c r="AU3507" s="1"/>
    </row>
    <row r="3508" spans="1:47">
      <c r="A3508" t="str">
        <f t="shared" si="810"/>
        <v>PA_Alleg_2019g~Gen-member of council mckees rocks ward 3 (vote for 3)</v>
      </c>
      <c r="B3508" s="55" t="s">
        <v>1528</v>
      </c>
      <c r="C3508">
        <v>1042</v>
      </c>
      <c r="D3508" s="55" t="s">
        <v>939</v>
      </c>
      <c r="E3508" s="55" t="s">
        <v>1496</v>
      </c>
      <c r="F3508" t="s">
        <v>1296</v>
      </c>
      <c r="G3508" s="62">
        <v>250</v>
      </c>
      <c r="H3508">
        <v>18.93</v>
      </c>
      <c r="I3508">
        <v>1888</v>
      </c>
      <c r="J3508">
        <v>0</v>
      </c>
      <c r="K3508">
        <v>3</v>
      </c>
      <c r="L3508">
        <v>3</v>
      </c>
      <c r="M3508">
        <v>0</v>
      </c>
      <c r="N3508" s="23">
        <v>0</v>
      </c>
      <c r="O3508">
        <f t="shared" si="811"/>
        <v>2</v>
      </c>
      <c r="P3508" s="57">
        <f t="shared" si="812"/>
        <v>3</v>
      </c>
      <c r="Q3508" s="267">
        <f t="shared" si="813"/>
        <v>1030</v>
      </c>
      <c r="R3508" s="23">
        <f t="shared" si="814"/>
        <v>239</v>
      </c>
      <c r="S3508" s="23">
        <f t="shared" si="815"/>
        <v>234</v>
      </c>
      <c r="T3508" s="23" t="str">
        <f t="shared" si="816"/>
        <v/>
      </c>
      <c r="U3508" t="str">
        <f t="shared" si="817"/>
        <v/>
      </c>
      <c r="AF3508" s="22"/>
      <c r="AG3508" s="23"/>
      <c r="AH3508" s="8"/>
      <c r="AL3508" s="344"/>
      <c r="AU3508" s="1"/>
    </row>
    <row r="3509" spans="1:47">
      <c r="A3509" t="str">
        <f t="shared" si="810"/>
        <v>PA_Alleg_2019g~Gen-member of council mckees rocks ward 3 (vote for 3)</v>
      </c>
      <c r="B3509" s="55" t="s">
        <v>1528</v>
      </c>
      <c r="C3509">
        <v>1039</v>
      </c>
      <c r="D3509" s="55" t="s">
        <v>939</v>
      </c>
      <c r="E3509" s="55" t="s">
        <v>942</v>
      </c>
      <c r="F3509" t="s">
        <v>1294</v>
      </c>
      <c r="G3509" s="62">
        <v>239</v>
      </c>
      <c r="H3509">
        <v>18.09</v>
      </c>
      <c r="I3509">
        <v>1888</v>
      </c>
      <c r="J3509">
        <v>0</v>
      </c>
      <c r="K3509">
        <v>3</v>
      </c>
      <c r="L3509">
        <v>3</v>
      </c>
      <c r="M3509">
        <v>0</v>
      </c>
      <c r="N3509" s="23">
        <v>0</v>
      </c>
      <c r="O3509">
        <f t="shared" si="811"/>
        <v>3</v>
      </c>
      <c r="P3509" s="57">
        <f t="shared" si="812"/>
        <v>3</v>
      </c>
      <c r="Q3509" s="267">
        <f t="shared" si="813"/>
        <v>780</v>
      </c>
      <c r="R3509" s="23">
        <f t="shared" si="814"/>
        <v>239</v>
      </c>
      <c r="S3509" s="23">
        <f t="shared" si="815"/>
        <v>234</v>
      </c>
      <c r="T3509" s="23" t="str">
        <f t="shared" si="816"/>
        <v/>
      </c>
      <c r="U3509" t="str">
        <f t="shared" si="817"/>
        <v/>
      </c>
      <c r="AF3509" s="22"/>
      <c r="AG3509" s="23"/>
      <c r="AH3509" s="8"/>
      <c r="AL3509" s="344"/>
      <c r="AU3509" s="1"/>
    </row>
    <row r="3510" spans="1:47">
      <c r="A3510" t="str">
        <f t="shared" si="810"/>
        <v>PA_Alleg_2019g~Gen-member of council mckees rocks ward 3 (vote for 3)</v>
      </c>
      <c r="B3510" s="55" t="s">
        <v>1528</v>
      </c>
      <c r="C3510">
        <v>1040</v>
      </c>
      <c r="D3510" s="55" t="s">
        <v>939</v>
      </c>
      <c r="E3510" s="55" t="s">
        <v>944</v>
      </c>
      <c r="F3510" t="s">
        <v>1294</v>
      </c>
      <c r="G3510" s="62">
        <v>234</v>
      </c>
      <c r="H3510">
        <v>17.71</v>
      </c>
      <c r="I3510">
        <v>1888</v>
      </c>
      <c r="J3510">
        <v>0</v>
      </c>
      <c r="K3510">
        <v>3</v>
      </c>
      <c r="L3510">
        <v>3</v>
      </c>
      <c r="M3510">
        <v>0</v>
      </c>
      <c r="N3510" s="23">
        <v>0</v>
      </c>
      <c r="O3510">
        <f t="shared" si="811"/>
        <v>4</v>
      </c>
      <c r="P3510" s="57">
        <f t="shared" si="812"/>
        <v>3</v>
      </c>
      <c r="Q3510" s="267">
        <f t="shared" si="813"/>
        <v>541</v>
      </c>
      <c r="R3510" s="23" t="str">
        <f t="shared" si="814"/>
        <v/>
      </c>
      <c r="S3510" s="23">
        <f t="shared" si="815"/>
        <v>234</v>
      </c>
      <c r="T3510" s="23" t="str">
        <f t="shared" si="816"/>
        <v/>
      </c>
      <c r="U3510" t="str">
        <f t="shared" si="817"/>
        <v/>
      </c>
      <c r="AF3510" s="22"/>
      <c r="AU3510" s="1"/>
    </row>
    <row r="3511" spans="1:47">
      <c r="A3511" t="str">
        <f t="shared" si="810"/>
        <v>PA_Alleg_2019g~Gen-member of council mckees rocks ward 3 (vote for 3)</v>
      </c>
      <c r="B3511" s="55" t="s">
        <v>1528</v>
      </c>
      <c r="C3511">
        <v>1043</v>
      </c>
      <c r="D3511" s="55" t="s">
        <v>939</v>
      </c>
      <c r="E3511" s="55" t="s">
        <v>941</v>
      </c>
      <c r="F3511" t="s">
        <v>1296</v>
      </c>
      <c r="G3511" s="62">
        <v>190</v>
      </c>
      <c r="H3511">
        <v>14.38</v>
      </c>
      <c r="I3511">
        <v>1888</v>
      </c>
      <c r="J3511">
        <v>0</v>
      </c>
      <c r="K3511">
        <v>3</v>
      </c>
      <c r="L3511">
        <v>3</v>
      </c>
      <c r="M3511">
        <v>0</v>
      </c>
      <c r="N3511" s="23">
        <v>0</v>
      </c>
      <c r="O3511">
        <f t="shared" si="811"/>
        <v>5</v>
      </c>
      <c r="P3511" s="57">
        <f t="shared" si="812"/>
        <v>3</v>
      </c>
      <c r="Q3511" s="267">
        <f t="shared" si="813"/>
        <v>307</v>
      </c>
      <c r="R3511" s="23" t="str">
        <f t="shared" si="814"/>
        <v/>
      </c>
      <c r="S3511" s="23">
        <f t="shared" si="815"/>
        <v>190</v>
      </c>
      <c r="T3511" s="23" t="str">
        <f t="shared" si="816"/>
        <v/>
      </c>
      <c r="U3511" t="str">
        <f t="shared" si="817"/>
        <v/>
      </c>
      <c r="AF3511" s="22"/>
      <c r="AU3511" s="1"/>
    </row>
    <row r="3512" spans="1:47">
      <c r="A3512" t="str">
        <f t="shared" ref="A3512:A3575" si="818">CONCATENATE(B3512,"~Gen-",LOWER(D3512))</f>
        <v>PA_Alleg_2019g~Gen-member of council mckees rocks ward 3 (vote for 3)</v>
      </c>
      <c r="B3512" s="55" t="s">
        <v>1528</v>
      </c>
      <c r="C3512">
        <v>1044</v>
      </c>
      <c r="D3512" s="55" t="s">
        <v>939</v>
      </c>
      <c r="E3512" s="55" t="s">
        <v>15</v>
      </c>
      <c r="G3512" s="62">
        <v>117</v>
      </c>
      <c r="H3512">
        <v>8.86</v>
      </c>
      <c r="I3512">
        <v>1888</v>
      </c>
      <c r="J3512">
        <v>0</v>
      </c>
      <c r="K3512">
        <v>3</v>
      </c>
      <c r="L3512">
        <v>3</v>
      </c>
      <c r="M3512">
        <v>0</v>
      </c>
      <c r="N3512" s="23">
        <v>0</v>
      </c>
      <c r="O3512">
        <f t="shared" si="811"/>
        <v>-5</v>
      </c>
      <c r="P3512" s="57">
        <f t="shared" si="812"/>
        <v>3</v>
      </c>
      <c r="Q3512" s="267">
        <f t="shared" si="813"/>
        <v>117</v>
      </c>
      <c r="R3512" s="23">
        <f t="shared" si="814"/>
        <v>1</v>
      </c>
      <c r="S3512" s="23">
        <f t="shared" si="815"/>
        <v>0</v>
      </c>
      <c r="T3512" s="23" t="str">
        <f t="shared" si="816"/>
        <v/>
      </c>
      <c r="U3512" t="str">
        <f t="shared" si="817"/>
        <v/>
      </c>
      <c r="AF3512" s="22"/>
      <c r="AU3512" s="1"/>
    </row>
    <row r="3513" spans="1:47">
      <c r="A3513" t="str">
        <f t="shared" si="818"/>
        <v>PA_Alleg_2019g~Gen-member of council mckeesport (vote for 4)</v>
      </c>
      <c r="B3513" s="55" t="s">
        <v>1528</v>
      </c>
      <c r="C3513">
        <v>713</v>
      </c>
      <c r="D3513" s="55" t="s">
        <v>671</v>
      </c>
      <c r="E3513" s="55" t="s">
        <v>676</v>
      </c>
      <c r="F3513" t="s">
        <v>1294</v>
      </c>
      <c r="G3513" s="62">
        <v>2379</v>
      </c>
      <c r="H3513">
        <v>26.85</v>
      </c>
      <c r="I3513">
        <v>12613</v>
      </c>
      <c r="J3513">
        <v>0</v>
      </c>
      <c r="K3513">
        <v>32</v>
      </c>
      <c r="L3513">
        <v>32</v>
      </c>
      <c r="M3513">
        <v>0</v>
      </c>
      <c r="N3513" s="23">
        <v>0</v>
      </c>
      <c r="O3513">
        <f t="shared" si="811"/>
        <v>1</v>
      </c>
      <c r="P3513" s="57">
        <f t="shared" si="812"/>
        <v>4</v>
      </c>
      <c r="Q3513" s="267">
        <f t="shared" si="813"/>
        <v>2379</v>
      </c>
      <c r="R3513" s="23">
        <f t="shared" si="814"/>
        <v>2078</v>
      </c>
      <c r="S3513" s="23">
        <f t="shared" si="815"/>
        <v>0</v>
      </c>
      <c r="T3513" s="23" t="str">
        <f t="shared" si="816"/>
        <v/>
      </c>
      <c r="U3513" t="str">
        <f t="shared" si="817"/>
        <v>PA_Alleg_2019g~Gen-member of council mckeesport (vote for 4)</v>
      </c>
      <c r="AF3513" s="22"/>
      <c r="AU3513" s="1"/>
    </row>
    <row r="3514" spans="1:47">
      <c r="A3514" t="str">
        <f t="shared" si="818"/>
        <v>PA_Alleg_2019g~Gen-member of council mckeesport (vote for 4)</v>
      </c>
      <c r="B3514" s="55" t="s">
        <v>1528</v>
      </c>
      <c r="C3514">
        <v>714</v>
      </c>
      <c r="D3514" s="55" t="s">
        <v>671</v>
      </c>
      <c r="E3514" s="55" t="s">
        <v>673</v>
      </c>
      <c r="F3514" t="s">
        <v>1294</v>
      </c>
      <c r="G3514" s="62">
        <v>2211</v>
      </c>
      <c r="H3514">
        <v>24.95</v>
      </c>
      <c r="I3514">
        <v>12613</v>
      </c>
      <c r="J3514">
        <v>0</v>
      </c>
      <c r="K3514">
        <v>32</v>
      </c>
      <c r="L3514">
        <v>32</v>
      </c>
      <c r="M3514">
        <v>0</v>
      </c>
      <c r="N3514" s="23">
        <v>0</v>
      </c>
      <c r="O3514">
        <f t="shared" si="811"/>
        <v>2</v>
      </c>
      <c r="P3514" s="57">
        <f t="shared" si="812"/>
        <v>4</v>
      </c>
      <c r="Q3514" s="267">
        <f t="shared" si="813"/>
        <v>6481</v>
      </c>
      <c r="R3514" s="23">
        <f t="shared" si="814"/>
        <v>2078</v>
      </c>
      <c r="S3514" s="23">
        <f t="shared" si="815"/>
        <v>0</v>
      </c>
      <c r="T3514" s="23" t="str">
        <f t="shared" si="816"/>
        <v/>
      </c>
      <c r="U3514" t="str">
        <f t="shared" si="817"/>
        <v/>
      </c>
      <c r="AF3514" s="22"/>
      <c r="AU3514" s="1"/>
    </row>
    <row r="3515" spans="1:47">
      <c r="A3515" t="str">
        <f t="shared" si="818"/>
        <v>PA_Alleg_2019g~Gen-member of council mckeesport (vote for 4)</v>
      </c>
      <c r="B3515" s="55" t="s">
        <v>1528</v>
      </c>
      <c r="C3515">
        <v>715</v>
      </c>
      <c r="D3515" s="55" t="s">
        <v>671</v>
      </c>
      <c r="E3515" s="55" t="s">
        <v>672</v>
      </c>
      <c r="F3515" t="s">
        <v>1294</v>
      </c>
      <c r="G3515" s="62">
        <v>2154</v>
      </c>
      <c r="H3515">
        <v>24.31</v>
      </c>
      <c r="I3515">
        <v>12613</v>
      </c>
      <c r="J3515">
        <v>0</v>
      </c>
      <c r="K3515">
        <v>32</v>
      </c>
      <c r="L3515">
        <v>32</v>
      </c>
      <c r="M3515">
        <v>0</v>
      </c>
      <c r="N3515" s="23">
        <v>0</v>
      </c>
      <c r="O3515">
        <f t="shared" si="811"/>
        <v>3</v>
      </c>
      <c r="P3515" s="57">
        <f t="shared" si="812"/>
        <v>4</v>
      </c>
      <c r="Q3515" s="267">
        <f t="shared" si="813"/>
        <v>4270</v>
      </c>
      <c r="R3515" s="23">
        <f t="shared" si="814"/>
        <v>2078</v>
      </c>
      <c r="S3515" s="23">
        <f t="shared" si="815"/>
        <v>0</v>
      </c>
      <c r="T3515" s="23" t="str">
        <f t="shared" si="816"/>
        <v/>
      </c>
      <c r="U3515" t="str">
        <f t="shared" si="817"/>
        <v/>
      </c>
      <c r="AF3515" s="22"/>
      <c r="AU3515" s="1"/>
    </row>
    <row r="3516" spans="1:47">
      <c r="A3516" t="str">
        <f t="shared" si="818"/>
        <v>PA_Alleg_2019g~Gen-member of council mckeesport (vote for 4)</v>
      </c>
      <c r="B3516" s="55" t="s">
        <v>1528</v>
      </c>
      <c r="C3516">
        <v>716</v>
      </c>
      <c r="D3516" s="55" t="s">
        <v>671</v>
      </c>
      <c r="E3516" s="55" t="s">
        <v>677</v>
      </c>
      <c r="F3516" t="s">
        <v>1294</v>
      </c>
      <c r="G3516" s="62">
        <v>2078</v>
      </c>
      <c r="H3516">
        <v>23.45</v>
      </c>
      <c r="I3516">
        <v>12613</v>
      </c>
      <c r="J3516">
        <v>0</v>
      </c>
      <c r="K3516">
        <v>32</v>
      </c>
      <c r="L3516">
        <v>32</v>
      </c>
      <c r="M3516">
        <v>0</v>
      </c>
      <c r="N3516" s="23">
        <v>0</v>
      </c>
      <c r="O3516">
        <f t="shared" si="811"/>
        <v>4</v>
      </c>
      <c r="P3516" s="57">
        <f t="shared" si="812"/>
        <v>4</v>
      </c>
      <c r="Q3516" s="267">
        <f t="shared" si="813"/>
        <v>2116</v>
      </c>
      <c r="R3516" s="23">
        <f t="shared" si="814"/>
        <v>2078</v>
      </c>
      <c r="S3516" s="23">
        <f t="shared" si="815"/>
        <v>0</v>
      </c>
      <c r="T3516" s="23" t="str">
        <f t="shared" si="816"/>
        <v/>
      </c>
      <c r="U3516" t="str">
        <f t="shared" si="817"/>
        <v/>
      </c>
      <c r="AF3516" s="22"/>
      <c r="AU3516" s="1"/>
    </row>
    <row r="3517" spans="1:47">
      <c r="A3517" t="str">
        <f t="shared" si="818"/>
        <v>PA_Alleg_2019g~Gen-member of council mckeesport (vote for 4)</v>
      </c>
      <c r="B3517" s="55" t="s">
        <v>1528</v>
      </c>
      <c r="C3517">
        <v>717</v>
      </c>
      <c r="D3517" s="55" t="s">
        <v>671</v>
      </c>
      <c r="E3517" s="55" t="s">
        <v>15</v>
      </c>
      <c r="G3517" s="62">
        <v>38</v>
      </c>
      <c r="H3517">
        <v>0.43</v>
      </c>
      <c r="I3517">
        <v>12613</v>
      </c>
      <c r="J3517">
        <v>0</v>
      </c>
      <c r="K3517">
        <v>32</v>
      </c>
      <c r="L3517">
        <v>32</v>
      </c>
      <c r="M3517">
        <v>0</v>
      </c>
      <c r="N3517" s="23">
        <v>0</v>
      </c>
      <c r="O3517">
        <f t="shared" si="811"/>
        <v>-4</v>
      </c>
      <c r="P3517" s="57">
        <f t="shared" si="812"/>
        <v>4</v>
      </c>
      <c r="Q3517" s="267">
        <f t="shared" si="813"/>
        <v>38</v>
      </c>
      <c r="R3517" s="23">
        <f t="shared" si="814"/>
        <v>1</v>
      </c>
      <c r="S3517" s="23">
        <f t="shared" si="815"/>
        <v>0</v>
      </c>
      <c r="T3517" s="23" t="str">
        <f t="shared" si="816"/>
        <v/>
      </c>
      <c r="U3517" t="str">
        <f t="shared" si="817"/>
        <v/>
      </c>
      <c r="AF3517" s="22"/>
      <c r="AU3517" s="1"/>
    </row>
    <row r="3518" spans="1:47">
      <c r="A3518" t="str">
        <f t="shared" si="818"/>
        <v>PA_Alleg_2019g~Gen-member of council millvale (vote for 4)</v>
      </c>
      <c r="B3518" s="55" t="s">
        <v>1528</v>
      </c>
      <c r="C3518">
        <v>718</v>
      </c>
      <c r="D3518" s="55" t="s">
        <v>678</v>
      </c>
      <c r="E3518" s="55" t="s">
        <v>681</v>
      </c>
      <c r="F3518" t="s">
        <v>1294</v>
      </c>
      <c r="G3518" s="62">
        <v>414</v>
      </c>
      <c r="H3518">
        <v>26.29</v>
      </c>
      <c r="I3518">
        <v>2442</v>
      </c>
      <c r="J3518">
        <v>0</v>
      </c>
      <c r="K3518">
        <v>5</v>
      </c>
      <c r="L3518">
        <v>5</v>
      </c>
      <c r="M3518">
        <v>0</v>
      </c>
      <c r="N3518" s="23">
        <v>0</v>
      </c>
      <c r="O3518">
        <f t="shared" si="811"/>
        <v>1</v>
      </c>
      <c r="P3518" s="57">
        <f t="shared" si="812"/>
        <v>4</v>
      </c>
      <c r="Q3518" s="267">
        <f t="shared" si="813"/>
        <v>414</v>
      </c>
      <c r="R3518" s="23">
        <f t="shared" si="814"/>
        <v>375</v>
      </c>
      <c r="S3518" s="23">
        <f t="shared" si="815"/>
        <v>0</v>
      </c>
      <c r="T3518" s="23" t="str">
        <f t="shared" si="816"/>
        <v/>
      </c>
      <c r="U3518" t="str">
        <f t="shared" si="817"/>
        <v>PA_Alleg_2019g~Gen-member of council millvale (vote for 4)</v>
      </c>
      <c r="AF3518" s="22"/>
      <c r="AU3518" s="1"/>
    </row>
    <row r="3519" spans="1:47">
      <c r="A3519" t="str">
        <f t="shared" si="818"/>
        <v>PA_Alleg_2019g~Gen-member of council millvale (vote for 4)</v>
      </c>
      <c r="B3519" s="55" t="s">
        <v>1528</v>
      </c>
      <c r="C3519">
        <v>720</v>
      </c>
      <c r="D3519" s="55" t="s">
        <v>678</v>
      </c>
      <c r="E3519" s="55" t="s">
        <v>680</v>
      </c>
      <c r="F3519" t="s">
        <v>1294</v>
      </c>
      <c r="G3519" s="62">
        <v>382</v>
      </c>
      <c r="H3519">
        <v>24.25</v>
      </c>
      <c r="I3519">
        <v>2442</v>
      </c>
      <c r="J3519">
        <v>0</v>
      </c>
      <c r="K3519">
        <v>5</v>
      </c>
      <c r="L3519">
        <v>5</v>
      </c>
      <c r="M3519">
        <v>0</v>
      </c>
      <c r="N3519" s="23">
        <v>0</v>
      </c>
      <c r="O3519">
        <f t="shared" si="811"/>
        <v>2</v>
      </c>
      <c r="P3519" s="57">
        <f t="shared" si="812"/>
        <v>4</v>
      </c>
      <c r="Q3519" s="267">
        <f t="shared" si="813"/>
        <v>1161</v>
      </c>
      <c r="R3519" s="23">
        <f t="shared" si="814"/>
        <v>375</v>
      </c>
      <c r="S3519" s="23">
        <f t="shared" si="815"/>
        <v>0</v>
      </c>
      <c r="T3519" s="23" t="str">
        <f t="shared" si="816"/>
        <v/>
      </c>
      <c r="U3519" t="str">
        <f t="shared" si="817"/>
        <v/>
      </c>
      <c r="AF3519" s="22"/>
      <c r="AU3519" s="1"/>
    </row>
    <row r="3520" spans="1:47">
      <c r="A3520" t="str">
        <f t="shared" si="818"/>
        <v>PA_Alleg_2019g~Gen-member of council millvale (vote for 4)</v>
      </c>
      <c r="B3520" s="55" t="s">
        <v>1528</v>
      </c>
      <c r="C3520">
        <v>719</v>
      </c>
      <c r="D3520" s="55" t="s">
        <v>678</v>
      </c>
      <c r="E3520" s="55" t="s">
        <v>679</v>
      </c>
      <c r="F3520" t="s">
        <v>1294</v>
      </c>
      <c r="G3520" s="62">
        <v>375</v>
      </c>
      <c r="H3520">
        <v>23.81</v>
      </c>
      <c r="I3520">
        <v>2442</v>
      </c>
      <c r="J3520">
        <v>0</v>
      </c>
      <c r="K3520">
        <v>5</v>
      </c>
      <c r="L3520">
        <v>5</v>
      </c>
      <c r="M3520">
        <v>0</v>
      </c>
      <c r="N3520" s="23">
        <v>0</v>
      </c>
      <c r="O3520">
        <f t="shared" si="811"/>
        <v>3</v>
      </c>
      <c r="P3520" s="57">
        <f t="shared" si="812"/>
        <v>4</v>
      </c>
      <c r="Q3520" s="267">
        <f t="shared" si="813"/>
        <v>779</v>
      </c>
      <c r="R3520" s="23">
        <f t="shared" si="814"/>
        <v>375</v>
      </c>
      <c r="S3520" s="23">
        <f t="shared" si="815"/>
        <v>0</v>
      </c>
      <c r="T3520" s="23" t="str">
        <f t="shared" si="816"/>
        <v/>
      </c>
      <c r="U3520" t="str">
        <f t="shared" si="817"/>
        <v/>
      </c>
      <c r="AF3520" s="22"/>
      <c r="AU3520" s="1"/>
    </row>
    <row r="3521" spans="1:47">
      <c r="A3521" t="str">
        <f t="shared" si="818"/>
        <v>PA_Alleg_2019g~Gen-member of council millvale (vote for 4)</v>
      </c>
      <c r="B3521" s="55" t="s">
        <v>1528</v>
      </c>
      <c r="C3521">
        <v>721</v>
      </c>
      <c r="D3521" s="55" t="s">
        <v>678</v>
      </c>
      <c r="E3521" s="55" t="s">
        <v>682</v>
      </c>
      <c r="F3521" t="s">
        <v>1294</v>
      </c>
      <c r="G3521" s="62">
        <v>375</v>
      </c>
      <c r="H3521">
        <v>23.81</v>
      </c>
      <c r="I3521">
        <v>2442</v>
      </c>
      <c r="J3521">
        <v>0</v>
      </c>
      <c r="K3521">
        <v>5</v>
      </c>
      <c r="L3521">
        <v>5</v>
      </c>
      <c r="M3521">
        <v>0</v>
      </c>
      <c r="N3521" s="23">
        <v>0</v>
      </c>
      <c r="O3521">
        <f t="shared" si="811"/>
        <v>4</v>
      </c>
      <c r="P3521" s="57">
        <f t="shared" si="812"/>
        <v>4</v>
      </c>
      <c r="Q3521" s="267">
        <f t="shared" si="813"/>
        <v>404</v>
      </c>
      <c r="R3521" s="23">
        <f t="shared" si="814"/>
        <v>375</v>
      </c>
      <c r="S3521" s="23">
        <f t="shared" si="815"/>
        <v>0</v>
      </c>
      <c r="T3521" s="23" t="str">
        <f t="shared" si="816"/>
        <v/>
      </c>
      <c r="U3521" t="str">
        <f t="shared" si="817"/>
        <v/>
      </c>
      <c r="AF3521" s="22"/>
      <c r="AU3521" s="1"/>
    </row>
    <row r="3522" spans="1:47">
      <c r="A3522" t="str">
        <f t="shared" si="818"/>
        <v>PA_Alleg_2019g~Gen-member of council millvale (vote for 4)</v>
      </c>
      <c r="B3522" s="55" t="s">
        <v>1528</v>
      </c>
      <c r="C3522">
        <v>722</v>
      </c>
      <c r="D3522" s="55" t="s">
        <v>678</v>
      </c>
      <c r="E3522" s="55" t="s">
        <v>15</v>
      </c>
      <c r="G3522" s="62">
        <v>29</v>
      </c>
      <c r="H3522">
        <v>1.84</v>
      </c>
      <c r="I3522">
        <v>2442</v>
      </c>
      <c r="J3522">
        <v>0</v>
      </c>
      <c r="K3522">
        <v>5</v>
      </c>
      <c r="L3522">
        <v>5</v>
      </c>
      <c r="M3522">
        <v>0</v>
      </c>
      <c r="N3522" s="23">
        <v>0</v>
      </c>
      <c r="O3522">
        <f t="shared" ref="O3522:O3585" si="819">IF(OR(LOWER(LEFT(E3522,8))="write-in",LOWER(LEFT(E3522,8))="not qual"),IF(A3522=A3521,-ABS(O3521),0),IF(A3522=A3521,ABS(O3521)+1,1))</f>
        <v>-4</v>
      </c>
      <c r="P3522" s="57">
        <f t="shared" ref="P3522:P3585" si="820">1*LEFT(RIGHT(A3522,2),1)</f>
        <v>4</v>
      </c>
      <c r="Q3522" s="267">
        <f t="shared" ref="Q3522:Q3585" si="821">IF(A3522&lt;&gt;A3523,G3522,IF(A3522=A3521,G3522+Q3523,MAX(G3522,(G3522+Q3523)/P3522)))</f>
        <v>29</v>
      </c>
      <c r="R3522" s="23">
        <f t="shared" ref="R3522:R3585" si="822">IF(O3522&gt;P3522,"",IF(O3522=P3522,G3522,IF(A3522=A3523,R3523,IF(O3522&lt;=0,1,G3522))))</f>
        <v>1</v>
      </c>
      <c r="S3522" s="23">
        <f t="shared" ref="S3522:S3585" si="823">IF(AND(O3522&gt;P3522,LOWER(LEFT(E3522,8))&lt;&gt;"write-in",LOWER(LEFT(E3522,8))&lt;&gt;"not qual"),G3522,IF(A3522=A3523,S3523,0))</f>
        <v>0</v>
      </c>
      <c r="T3522" s="23" t="str">
        <f t="shared" ref="T3522:T3585" si="824">IF(OR(A3522=A3521,S3522=0),"",R3522-ABS(S3522))</f>
        <v/>
      </c>
      <c r="U3522" t="str">
        <f t="shared" ref="U3522:U3585" si="825">IF(A3522=A3521,"",A3522)</f>
        <v/>
      </c>
      <c r="AF3522" s="22"/>
      <c r="AU3522" s="1"/>
    </row>
    <row r="3523" spans="1:47">
      <c r="A3523" t="str">
        <f t="shared" si="818"/>
        <v>PA_Alleg_2019g~Gen-member of council monroeville ward 2 (vote for 1)</v>
      </c>
      <c r="B3523" s="55" t="s">
        <v>1528</v>
      </c>
      <c r="C3523">
        <v>1147</v>
      </c>
      <c r="D3523" s="55" t="s">
        <v>1039</v>
      </c>
      <c r="E3523" s="55" t="s">
        <v>1040</v>
      </c>
      <c r="F3523" t="s">
        <v>1294</v>
      </c>
      <c r="G3523" s="62">
        <v>718</v>
      </c>
      <c r="H3523">
        <v>97.82</v>
      </c>
      <c r="I3523">
        <v>3003</v>
      </c>
      <c r="J3523">
        <v>0</v>
      </c>
      <c r="K3523">
        <v>3</v>
      </c>
      <c r="L3523">
        <v>3</v>
      </c>
      <c r="M3523">
        <v>0</v>
      </c>
      <c r="N3523" s="23">
        <v>0</v>
      </c>
      <c r="O3523">
        <f t="shared" si="819"/>
        <v>1</v>
      </c>
      <c r="P3523" s="57">
        <f t="shared" si="820"/>
        <v>1</v>
      </c>
      <c r="Q3523" s="267">
        <f t="shared" si="821"/>
        <v>734</v>
      </c>
      <c r="R3523" s="23">
        <f t="shared" si="822"/>
        <v>718</v>
      </c>
      <c r="S3523" s="23">
        <f t="shared" si="823"/>
        <v>0</v>
      </c>
      <c r="T3523" s="23" t="str">
        <f t="shared" si="824"/>
        <v/>
      </c>
      <c r="U3523" t="str">
        <f t="shared" si="825"/>
        <v>PA_Alleg_2019g~Gen-member of council monroeville ward 2 (vote for 1)</v>
      </c>
      <c r="AF3523" s="22"/>
      <c r="AU3523" s="1"/>
    </row>
    <row r="3524" spans="1:47">
      <c r="A3524" t="str">
        <f t="shared" si="818"/>
        <v>PA_Alleg_2019g~Gen-member of council monroeville ward 2 (vote for 1)</v>
      </c>
      <c r="B3524" s="55" t="s">
        <v>1528</v>
      </c>
      <c r="C3524">
        <v>1148</v>
      </c>
      <c r="D3524" s="55" t="s">
        <v>1039</v>
      </c>
      <c r="E3524" s="55" t="s">
        <v>15</v>
      </c>
      <c r="G3524" s="62">
        <v>16</v>
      </c>
      <c r="H3524">
        <v>2.1800000000000002</v>
      </c>
      <c r="I3524">
        <v>3003</v>
      </c>
      <c r="J3524">
        <v>0</v>
      </c>
      <c r="K3524">
        <v>3</v>
      </c>
      <c r="L3524">
        <v>3</v>
      </c>
      <c r="M3524">
        <v>0</v>
      </c>
      <c r="N3524" s="23">
        <v>0</v>
      </c>
      <c r="O3524">
        <f t="shared" si="819"/>
        <v>-1</v>
      </c>
      <c r="P3524" s="57">
        <f t="shared" si="820"/>
        <v>1</v>
      </c>
      <c r="Q3524" s="267">
        <f t="shared" si="821"/>
        <v>16</v>
      </c>
      <c r="R3524" s="23">
        <f t="shared" si="822"/>
        <v>1</v>
      </c>
      <c r="S3524" s="23">
        <f t="shared" si="823"/>
        <v>0</v>
      </c>
      <c r="T3524" s="23" t="str">
        <f t="shared" si="824"/>
        <v/>
      </c>
      <c r="U3524" t="str">
        <f t="shared" si="825"/>
        <v/>
      </c>
      <c r="AF3524" s="22"/>
      <c r="AU3524" s="1"/>
    </row>
    <row r="3525" spans="1:47">
      <c r="A3525" t="str">
        <f t="shared" si="818"/>
        <v>PA_Alleg_2019g~Gen-member of council monroeville ward 4 (vote for 1)</v>
      </c>
      <c r="B3525" s="55" t="s">
        <v>1528</v>
      </c>
      <c r="C3525">
        <v>1149</v>
      </c>
      <c r="D3525" s="55" t="s">
        <v>1041</v>
      </c>
      <c r="E3525" s="55" t="s">
        <v>1042</v>
      </c>
      <c r="F3525" t="s">
        <v>1294</v>
      </c>
      <c r="G3525" s="62">
        <v>554</v>
      </c>
      <c r="H3525">
        <v>97.19</v>
      </c>
      <c r="I3525">
        <v>2721</v>
      </c>
      <c r="J3525">
        <v>0</v>
      </c>
      <c r="K3525">
        <v>3</v>
      </c>
      <c r="L3525">
        <v>3</v>
      </c>
      <c r="M3525">
        <v>0</v>
      </c>
      <c r="N3525" s="23">
        <v>0</v>
      </c>
      <c r="O3525">
        <f t="shared" si="819"/>
        <v>1</v>
      </c>
      <c r="P3525" s="57">
        <f t="shared" si="820"/>
        <v>1</v>
      </c>
      <c r="Q3525" s="267">
        <f t="shared" si="821"/>
        <v>570</v>
      </c>
      <c r="R3525" s="23">
        <f t="shared" si="822"/>
        <v>554</v>
      </c>
      <c r="S3525" s="23">
        <f t="shared" si="823"/>
        <v>0</v>
      </c>
      <c r="T3525" s="23" t="str">
        <f t="shared" si="824"/>
        <v/>
      </c>
      <c r="U3525" t="str">
        <f t="shared" si="825"/>
        <v>PA_Alleg_2019g~Gen-member of council monroeville ward 4 (vote for 1)</v>
      </c>
      <c r="AF3525" s="22"/>
      <c r="AU3525" s="1"/>
    </row>
    <row r="3526" spans="1:47">
      <c r="A3526" t="str">
        <f t="shared" si="818"/>
        <v>PA_Alleg_2019g~Gen-member of council monroeville ward 4 (vote for 1)</v>
      </c>
      <c r="B3526" s="55" t="s">
        <v>1528</v>
      </c>
      <c r="C3526">
        <v>1150</v>
      </c>
      <c r="D3526" s="55" t="s">
        <v>1041</v>
      </c>
      <c r="E3526" s="55" t="s">
        <v>15</v>
      </c>
      <c r="G3526" s="62">
        <v>16</v>
      </c>
      <c r="H3526">
        <v>2.81</v>
      </c>
      <c r="I3526">
        <v>2721</v>
      </c>
      <c r="J3526">
        <v>0</v>
      </c>
      <c r="K3526">
        <v>3</v>
      </c>
      <c r="L3526">
        <v>3</v>
      </c>
      <c r="M3526">
        <v>0</v>
      </c>
      <c r="N3526" s="23">
        <v>0</v>
      </c>
      <c r="O3526">
        <f t="shared" si="819"/>
        <v>-1</v>
      </c>
      <c r="P3526" s="57">
        <f t="shared" si="820"/>
        <v>1</v>
      </c>
      <c r="Q3526" s="267">
        <f t="shared" si="821"/>
        <v>16</v>
      </c>
      <c r="R3526" s="23">
        <f t="shared" si="822"/>
        <v>1</v>
      </c>
      <c r="S3526" s="23">
        <f t="shared" si="823"/>
        <v>0</v>
      </c>
      <c r="T3526" s="23" t="str">
        <f t="shared" si="824"/>
        <v/>
      </c>
      <c r="U3526" t="str">
        <f t="shared" si="825"/>
        <v/>
      </c>
      <c r="AF3526" s="22"/>
      <c r="AU3526" s="1"/>
    </row>
    <row r="3527" spans="1:47">
      <c r="A3527" t="str">
        <f t="shared" si="818"/>
        <v>PA_Alleg_2019g~Gen-member of council monroeville ward 6 (vote for 1)</v>
      </c>
      <c r="B3527" s="55" t="s">
        <v>1528</v>
      </c>
      <c r="C3527">
        <v>1151</v>
      </c>
      <c r="D3527" s="55" t="s">
        <v>1043</v>
      </c>
      <c r="E3527" s="55" t="s">
        <v>1044</v>
      </c>
      <c r="F3527" t="s">
        <v>1294</v>
      </c>
      <c r="G3527" s="62">
        <v>636</v>
      </c>
      <c r="H3527">
        <v>98.3</v>
      </c>
      <c r="I3527">
        <v>3188</v>
      </c>
      <c r="J3527">
        <v>0</v>
      </c>
      <c r="K3527">
        <v>4</v>
      </c>
      <c r="L3527">
        <v>4</v>
      </c>
      <c r="M3527">
        <v>0</v>
      </c>
      <c r="N3527" s="23">
        <v>0</v>
      </c>
      <c r="O3527">
        <f t="shared" si="819"/>
        <v>1</v>
      </c>
      <c r="P3527" s="57">
        <f t="shared" si="820"/>
        <v>1</v>
      </c>
      <c r="Q3527" s="267">
        <f t="shared" si="821"/>
        <v>647</v>
      </c>
      <c r="R3527" s="23">
        <f t="shared" si="822"/>
        <v>636</v>
      </c>
      <c r="S3527" s="23">
        <f t="shared" si="823"/>
        <v>0</v>
      </c>
      <c r="T3527" s="23" t="str">
        <f t="shared" si="824"/>
        <v/>
      </c>
      <c r="U3527" t="str">
        <f t="shared" si="825"/>
        <v>PA_Alleg_2019g~Gen-member of council monroeville ward 6 (vote for 1)</v>
      </c>
      <c r="AF3527" s="22"/>
      <c r="AU3527" s="1"/>
    </row>
    <row r="3528" spans="1:47">
      <c r="A3528" t="str">
        <f t="shared" si="818"/>
        <v>PA_Alleg_2019g~Gen-member of council monroeville ward 6 (vote for 1)</v>
      </c>
      <c r="B3528" s="55" t="s">
        <v>1528</v>
      </c>
      <c r="C3528">
        <v>1152</v>
      </c>
      <c r="D3528" s="55" t="s">
        <v>1043</v>
      </c>
      <c r="E3528" s="55" t="s">
        <v>15</v>
      </c>
      <c r="G3528" s="62">
        <v>11</v>
      </c>
      <c r="H3528">
        <v>1.7</v>
      </c>
      <c r="I3528">
        <v>3188</v>
      </c>
      <c r="J3528">
        <v>0</v>
      </c>
      <c r="K3528">
        <v>4</v>
      </c>
      <c r="L3528">
        <v>4</v>
      </c>
      <c r="M3528">
        <v>0</v>
      </c>
      <c r="N3528" s="23">
        <v>0</v>
      </c>
      <c r="O3528">
        <f t="shared" si="819"/>
        <v>-1</v>
      </c>
      <c r="P3528" s="57">
        <f t="shared" si="820"/>
        <v>1</v>
      </c>
      <c r="Q3528" s="267">
        <f t="shared" si="821"/>
        <v>11</v>
      </c>
      <c r="R3528" s="23">
        <f t="shared" si="822"/>
        <v>1</v>
      </c>
      <c r="S3528" s="23">
        <f t="shared" si="823"/>
        <v>0</v>
      </c>
      <c r="T3528" s="23" t="str">
        <f t="shared" si="824"/>
        <v/>
      </c>
      <c r="U3528" t="str">
        <f t="shared" si="825"/>
        <v/>
      </c>
      <c r="AF3528" s="22"/>
      <c r="AU3528" s="1"/>
    </row>
    <row r="3529" spans="1:47">
      <c r="A3529" t="str">
        <f t="shared" si="818"/>
        <v>PA_Alleg_2019g~Gen-member of council mt oliver (vote for 1)</v>
      </c>
      <c r="B3529" s="55" t="s">
        <v>1528</v>
      </c>
      <c r="C3529">
        <v>1020</v>
      </c>
      <c r="D3529" s="55" t="s">
        <v>925</v>
      </c>
      <c r="E3529" s="55" t="s">
        <v>926</v>
      </c>
      <c r="F3529" t="s">
        <v>1294</v>
      </c>
      <c r="G3529" s="62">
        <v>339</v>
      </c>
      <c r="H3529">
        <v>96.58</v>
      </c>
      <c r="I3529">
        <v>2341</v>
      </c>
      <c r="J3529">
        <v>0</v>
      </c>
      <c r="K3529">
        <v>4</v>
      </c>
      <c r="L3529">
        <v>4</v>
      </c>
      <c r="M3529">
        <v>0</v>
      </c>
      <c r="N3529" s="23">
        <v>0</v>
      </c>
      <c r="O3529">
        <f t="shared" si="819"/>
        <v>1</v>
      </c>
      <c r="P3529" s="57">
        <f t="shared" si="820"/>
        <v>1</v>
      </c>
      <c r="Q3529" s="267">
        <f t="shared" si="821"/>
        <v>351</v>
      </c>
      <c r="R3529" s="23">
        <f t="shared" si="822"/>
        <v>339</v>
      </c>
      <c r="S3529" s="23">
        <f t="shared" si="823"/>
        <v>0</v>
      </c>
      <c r="T3529" s="23" t="str">
        <f t="shared" si="824"/>
        <v/>
      </c>
      <c r="U3529" t="str">
        <f t="shared" si="825"/>
        <v>PA_Alleg_2019g~Gen-member of council mt oliver (vote for 1)</v>
      </c>
      <c r="AF3529" s="22"/>
      <c r="AU3529" s="1"/>
    </row>
    <row r="3530" spans="1:47">
      <c r="A3530" t="str">
        <f t="shared" si="818"/>
        <v>PA_Alleg_2019g~Gen-member of council mt oliver (vote for 1)</v>
      </c>
      <c r="B3530" s="55" t="s">
        <v>1528</v>
      </c>
      <c r="C3530">
        <v>1021</v>
      </c>
      <c r="D3530" s="55" t="s">
        <v>925</v>
      </c>
      <c r="E3530" s="55" t="s">
        <v>15</v>
      </c>
      <c r="G3530" s="62">
        <v>12</v>
      </c>
      <c r="H3530">
        <v>3.42</v>
      </c>
      <c r="I3530">
        <v>2341</v>
      </c>
      <c r="J3530">
        <v>0</v>
      </c>
      <c r="K3530">
        <v>4</v>
      </c>
      <c r="L3530">
        <v>4</v>
      </c>
      <c r="M3530">
        <v>0</v>
      </c>
      <c r="N3530" s="23">
        <v>0</v>
      </c>
      <c r="O3530">
        <f t="shared" si="819"/>
        <v>-1</v>
      </c>
      <c r="P3530" s="57">
        <f t="shared" si="820"/>
        <v>1</v>
      </c>
      <c r="Q3530" s="267">
        <f t="shared" si="821"/>
        <v>12</v>
      </c>
      <c r="R3530" s="23">
        <f t="shared" si="822"/>
        <v>1</v>
      </c>
      <c r="S3530" s="23">
        <f t="shared" si="823"/>
        <v>0</v>
      </c>
      <c r="T3530" s="23" t="str">
        <f t="shared" si="824"/>
        <v/>
      </c>
      <c r="U3530" t="str">
        <f t="shared" si="825"/>
        <v/>
      </c>
      <c r="AF3530" s="22"/>
      <c r="AU3530" s="1"/>
    </row>
    <row r="3531" spans="1:47">
      <c r="A3531" t="str">
        <f t="shared" si="818"/>
        <v>PA_Alleg_2019g~Gen-member of council mt oliver (vote for 3)</v>
      </c>
      <c r="B3531" s="55" t="s">
        <v>1528</v>
      </c>
      <c r="C3531">
        <v>854</v>
      </c>
      <c r="D3531" s="55" t="s">
        <v>788</v>
      </c>
      <c r="E3531" s="55" t="s">
        <v>789</v>
      </c>
      <c r="F3531" t="s">
        <v>1294</v>
      </c>
      <c r="G3531" s="62">
        <v>297</v>
      </c>
      <c r="H3531">
        <v>33.15</v>
      </c>
      <c r="I3531">
        <v>2341</v>
      </c>
      <c r="J3531">
        <v>0</v>
      </c>
      <c r="K3531">
        <v>4</v>
      </c>
      <c r="L3531">
        <v>4</v>
      </c>
      <c r="M3531">
        <v>0</v>
      </c>
      <c r="N3531" s="23">
        <v>0</v>
      </c>
      <c r="O3531">
        <f t="shared" si="819"/>
        <v>1</v>
      </c>
      <c r="P3531" s="57">
        <f t="shared" si="820"/>
        <v>3</v>
      </c>
      <c r="Q3531" s="267">
        <f t="shared" si="821"/>
        <v>298.66666666666669</v>
      </c>
      <c r="R3531" s="23">
        <f t="shared" si="822"/>
        <v>283</v>
      </c>
      <c r="S3531" s="23">
        <f t="shared" si="823"/>
        <v>0</v>
      </c>
      <c r="T3531" s="23" t="str">
        <f t="shared" si="824"/>
        <v/>
      </c>
      <c r="U3531" t="str">
        <f t="shared" si="825"/>
        <v>PA_Alleg_2019g~Gen-member of council mt oliver (vote for 3)</v>
      </c>
      <c r="AF3531" s="22"/>
      <c r="AU3531" s="1"/>
    </row>
    <row r="3532" spans="1:47">
      <c r="A3532" t="str">
        <f t="shared" si="818"/>
        <v>PA_Alleg_2019g~Gen-member of council mt oliver (vote for 3)</v>
      </c>
      <c r="B3532" s="55" t="s">
        <v>1528</v>
      </c>
      <c r="C3532">
        <v>855</v>
      </c>
      <c r="D3532" s="55" t="s">
        <v>788</v>
      </c>
      <c r="E3532" s="55" t="s">
        <v>790</v>
      </c>
      <c r="F3532" t="s">
        <v>1294</v>
      </c>
      <c r="G3532" s="62">
        <v>287</v>
      </c>
      <c r="H3532">
        <v>32.03</v>
      </c>
      <c r="I3532">
        <v>2341</v>
      </c>
      <c r="J3532">
        <v>0</v>
      </c>
      <c r="K3532">
        <v>4</v>
      </c>
      <c r="L3532">
        <v>4</v>
      </c>
      <c r="M3532">
        <v>0</v>
      </c>
      <c r="N3532" s="23">
        <v>0</v>
      </c>
      <c r="O3532">
        <f t="shared" si="819"/>
        <v>2</v>
      </c>
      <c r="P3532" s="57">
        <f t="shared" si="820"/>
        <v>3</v>
      </c>
      <c r="Q3532" s="267">
        <f t="shared" si="821"/>
        <v>599</v>
      </c>
      <c r="R3532" s="23">
        <f t="shared" si="822"/>
        <v>283</v>
      </c>
      <c r="S3532" s="23">
        <f t="shared" si="823"/>
        <v>0</v>
      </c>
      <c r="T3532" s="23" t="str">
        <f t="shared" si="824"/>
        <v/>
      </c>
      <c r="U3532" t="str">
        <f t="shared" si="825"/>
        <v/>
      </c>
      <c r="AF3532" s="22"/>
      <c r="AU3532" s="1"/>
    </row>
    <row r="3533" spans="1:47">
      <c r="A3533" t="str">
        <f t="shared" si="818"/>
        <v>PA_Alleg_2019g~Gen-member of council mt oliver (vote for 3)</v>
      </c>
      <c r="B3533" s="55" t="s">
        <v>1528</v>
      </c>
      <c r="C3533">
        <v>856</v>
      </c>
      <c r="D3533" s="55" t="s">
        <v>788</v>
      </c>
      <c r="E3533" s="55" t="s">
        <v>791</v>
      </c>
      <c r="F3533" t="s">
        <v>1294</v>
      </c>
      <c r="G3533" s="62">
        <v>283</v>
      </c>
      <c r="H3533">
        <v>31.58</v>
      </c>
      <c r="I3533">
        <v>2341</v>
      </c>
      <c r="J3533">
        <v>0</v>
      </c>
      <c r="K3533">
        <v>4</v>
      </c>
      <c r="L3533">
        <v>4</v>
      </c>
      <c r="M3533">
        <v>0</v>
      </c>
      <c r="N3533" s="23">
        <v>0</v>
      </c>
      <c r="O3533">
        <f t="shared" si="819"/>
        <v>3</v>
      </c>
      <c r="P3533" s="57">
        <f t="shared" si="820"/>
        <v>3</v>
      </c>
      <c r="Q3533" s="267">
        <f t="shared" si="821"/>
        <v>312</v>
      </c>
      <c r="R3533" s="23">
        <f t="shared" si="822"/>
        <v>283</v>
      </c>
      <c r="S3533" s="23">
        <f t="shared" si="823"/>
        <v>0</v>
      </c>
      <c r="T3533" s="23" t="str">
        <f t="shared" si="824"/>
        <v/>
      </c>
      <c r="U3533" t="str">
        <f t="shared" si="825"/>
        <v/>
      </c>
      <c r="AF3533" s="22"/>
      <c r="AU3533" s="1"/>
    </row>
    <row r="3534" spans="1:47">
      <c r="A3534" t="str">
        <f t="shared" si="818"/>
        <v>PA_Alleg_2019g~Gen-member of council mt oliver (vote for 3)</v>
      </c>
      <c r="B3534" s="55" t="s">
        <v>1528</v>
      </c>
      <c r="C3534">
        <v>857</v>
      </c>
      <c r="D3534" s="55" t="s">
        <v>788</v>
      </c>
      <c r="E3534" s="55" t="s">
        <v>15</v>
      </c>
      <c r="G3534" s="62">
        <v>29</v>
      </c>
      <c r="H3534">
        <v>3.24</v>
      </c>
      <c r="I3534">
        <v>2341</v>
      </c>
      <c r="J3534">
        <v>0</v>
      </c>
      <c r="K3534">
        <v>4</v>
      </c>
      <c r="L3534">
        <v>4</v>
      </c>
      <c r="M3534">
        <v>0</v>
      </c>
      <c r="N3534" s="23">
        <v>0</v>
      </c>
      <c r="O3534">
        <f t="shared" si="819"/>
        <v>-3</v>
      </c>
      <c r="P3534" s="57">
        <f t="shared" si="820"/>
        <v>3</v>
      </c>
      <c r="Q3534" s="267">
        <f t="shared" si="821"/>
        <v>29</v>
      </c>
      <c r="R3534" s="23">
        <f t="shared" si="822"/>
        <v>1</v>
      </c>
      <c r="S3534" s="23">
        <f t="shared" si="823"/>
        <v>0</v>
      </c>
      <c r="T3534" s="23" t="str">
        <f t="shared" si="824"/>
        <v/>
      </c>
      <c r="U3534" t="str">
        <f t="shared" si="825"/>
        <v/>
      </c>
      <c r="AF3534" s="22"/>
      <c r="AU3534" s="1"/>
    </row>
    <row r="3535" spans="1:47">
      <c r="A3535" t="str">
        <f t="shared" si="818"/>
        <v>PA_Alleg_2019g~Gen-member of council munhall (vote for 3)</v>
      </c>
      <c r="B3535" s="55" t="s">
        <v>1528</v>
      </c>
      <c r="C3535">
        <v>858</v>
      </c>
      <c r="D3535" s="55" t="s">
        <v>792</v>
      </c>
      <c r="E3535" s="55" t="s">
        <v>793</v>
      </c>
      <c r="F3535" t="s">
        <v>1396</v>
      </c>
      <c r="G3535" s="62">
        <v>1813</v>
      </c>
      <c r="H3535">
        <v>29.95</v>
      </c>
      <c r="I3535">
        <v>8009</v>
      </c>
      <c r="J3535">
        <v>0</v>
      </c>
      <c r="K3535">
        <v>12</v>
      </c>
      <c r="L3535">
        <v>12</v>
      </c>
      <c r="M3535">
        <v>0</v>
      </c>
      <c r="N3535" s="23">
        <v>0</v>
      </c>
      <c r="O3535">
        <f t="shared" si="819"/>
        <v>1</v>
      </c>
      <c r="P3535" s="57">
        <f t="shared" si="820"/>
        <v>3</v>
      </c>
      <c r="Q3535" s="267">
        <f t="shared" si="821"/>
        <v>2018</v>
      </c>
      <c r="R3535" s="23">
        <f t="shared" si="822"/>
        <v>1395</v>
      </c>
      <c r="S3535" s="23">
        <f t="shared" si="823"/>
        <v>0</v>
      </c>
      <c r="T3535" s="23" t="str">
        <f t="shared" si="824"/>
        <v/>
      </c>
      <c r="U3535" t="str">
        <f t="shared" si="825"/>
        <v>PA_Alleg_2019g~Gen-member of council munhall (vote for 3)</v>
      </c>
      <c r="AF3535" s="22"/>
      <c r="AU3535" s="1"/>
    </row>
    <row r="3536" spans="1:47">
      <c r="A3536" t="str">
        <f t="shared" si="818"/>
        <v>PA_Alleg_2019g~Gen-member of council munhall (vote for 3)</v>
      </c>
      <c r="B3536" s="55" t="s">
        <v>1528</v>
      </c>
      <c r="C3536">
        <v>859</v>
      </c>
      <c r="D3536" s="55" t="s">
        <v>792</v>
      </c>
      <c r="E3536" s="55" t="s">
        <v>798</v>
      </c>
      <c r="F3536" t="s">
        <v>1396</v>
      </c>
      <c r="G3536" s="62">
        <v>1783</v>
      </c>
      <c r="H3536">
        <v>29.45</v>
      </c>
      <c r="I3536">
        <v>8009</v>
      </c>
      <c r="J3536">
        <v>0</v>
      </c>
      <c r="K3536">
        <v>12</v>
      </c>
      <c r="L3536">
        <v>12</v>
      </c>
      <c r="M3536">
        <v>0</v>
      </c>
      <c r="N3536" s="23">
        <v>0</v>
      </c>
      <c r="O3536">
        <f t="shared" si="819"/>
        <v>2</v>
      </c>
      <c r="P3536" s="57">
        <f t="shared" si="820"/>
        <v>3</v>
      </c>
      <c r="Q3536" s="267">
        <f t="shared" si="821"/>
        <v>4241</v>
      </c>
      <c r="R3536" s="23">
        <f t="shared" si="822"/>
        <v>1395</v>
      </c>
      <c r="S3536" s="23">
        <f t="shared" si="823"/>
        <v>0</v>
      </c>
      <c r="T3536" s="23" t="str">
        <f t="shared" si="824"/>
        <v/>
      </c>
      <c r="U3536" t="str">
        <f t="shared" si="825"/>
        <v/>
      </c>
      <c r="AF3536" s="22"/>
      <c r="AU3536" s="1"/>
    </row>
    <row r="3537" spans="1:47">
      <c r="A3537" t="str">
        <f t="shared" si="818"/>
        <v>PA_Alleg_2019g~Gen-member of council munhall (vote for 3)</v>
      </c>
      <c r="B3537" s="55" t="s">
        <v>1528</v>
      </c>
      <c r="C3537">
        <v>860</v>
      </c>
      <c r="D3537" s="55" t="s">
        <v>792</v>
      </c>
      <c r="E3537" s="55" t="s">
        <v>795</v>
      </c>
      <c r="F3537" t="s">
        <v>1396</v>
      </c>
      <c r="G3537" s="62">
        <v>1395</v>
      </c>
      <c r="H3537">
        <v>23.04</v>
      </c>
      <c r="I3537">
        <v>8009</v>
      </c>
      <c r="J3537">
        <v>0</v>
      </c>
      <c r="K3537">
        <v>12</v>
      </c>
      <c r="L3537">
        <v>12</v>
      </c>
      <c r="M3537">
        <v>0</v>
      </c>
      <c r="N3537" s="23">
        <v>0</v>
      </c>
      <c r="O3537">
        <f t="shared" si="819"/>
        <v>3</v>
      </c>
      <c r="P3537" s="57">
        <f t="shared" si="820"/>
        <v>3</v>
      </c>
      <c r="Q3537" s="267">
        <f t="shared" si="821"/>
        <v>2458</v>
      </c>
      <c r="R3537" s="23">
        <f t="shared" si="822"/>
        <v>1395</v>
      </c>
      <c r="S3537" s="23">
        <f t="shared" si="823"/>
        <v>0</v>
      </c>
      <c r="T3537" s="23" t="str">
        <f t="shared" si="824"/>
        <v/>
      </c>
      <c r="U3537" t="str">
        <f t="shared" si="825"/>
        <v/>
      </c>
      <c r="AF3537" s="22"/>
      <c r="AU3537" s="1"/>
    </row>
    <row r="3538" spans="1:47">
      <c r="A3538" t="str">
        <f t="shared" si="818"/>
        <v>PA_Alleg_2019g~Gen-member of council munhall (vote for 3)</v>
      </c>
      <c r="B3538" s="55" t="s">
        <v>1528</v>
      </c>
      <c r="C3538">
        <v>861</v>
      </c>
      <c r="D3538" s="55" t="s">
        <v>792</v>
      </c>
      <c r="E3538" s="55" t="s">
        <v>15</v>
      </c>
      <c r="G3538" s="62">
        <v>1063</v>
      </c>
      <c r="H3538">
        <v>17.559999999999999</v>
      </c>
      <c r="I3538">
        <v>8009</v>
      </c>
      <c r="J3538">
        <v>0</v>
      </c>
      <c r="K3538">
        <v>12</v>
      </c>
      <c r="L3538">
        <v>12</v>
      </c>
      <c r="M3538">
        <v>0</v>
      </c>
      <c r="N3538" s="23">
        <v>0</v>
      </c>
      <c r="O3538">
        <f t="shared" si="819"/>
        <v>-3</v>
      </c>
      <c r="P3538" s="57">
        <f t="shared" si="820"/>
        <v>3</v>
      </c>
      <c r="Q3538" s="267">
        <f t="shared" si="821"/>
        <v>1063</v>
      </c>
      <c r="R3538" s="23">
        <f t="shared" si="822"/>
        <v>1</v>
      </c>
      <c r="S3538" s="23">
        <f t="shared" si="823"/>
        <v>0</v>
      </c>
      <c r="T3538" s="23" t="str">
        <f t="shared" si="824"/>
        <v/>
      </c>
      <c r="U3538" t="str">
        <f t="shared" si="825"/>
        <v/>
      </c>
      <c r="AF3538" s="22"/>
      <c r="AU3538" s="1"/>
    </row>
    <row r="3539" spans="1:47">
      <c r="A3539" t="str">
        <f t="shared" si="818"/>
        <v>PA_Alleg_2019g~Gen-member of council north braddock ward 1 (vote for 1)</v>
      </c>
      <c r="B3539" s="55" t="s">
        <v>1528</v>
      </c>
      <c r="C3539">
        <v>1153</v>
      </c>
      <c r="D3539" s="55" t="s">
        <v>1046</v>
      </c>
      <c r="E3539" s="55" t="s">
        <v>1047</v>
      </c>
      <c r="F3539" t="s">
        <v>1294</v>
      </c>
      <c r="G3539" s="62">
        <v>287</v>
      </c>
      <c r="H3539">
        <v>97.62</v>
      </c>
      <c r="I3539">
        <v>1347</v>
      </c>
      <c r="J3539">
        <v>0</v>
      </c>
      <c r="K3539">
        <v>3</v>
      </c>
      <c r="L3539">
        <v>3</v>
      </c>
      <c r="M3539">
        <v>0</v>
      </c>
      <c r="N3539" s="23">
        <v>0</v>
      </c>
      <c r="O3539">
        <f t="shared" si="819"/>
        <v>1</v>
      </c>
      <c r="P3539" s="57">
        <f t="shared" si="820"/>
        <v>1</v>
      </c>
      <c r="Q3539" s="267">
        <f t="shared" si="821"/>
        <v>294</v>
      </c>
      <c r="R3539" s="23">
        <f t="shared" si="822"/>
        <v>287</v>
      </c>
      <c r="S3539" s="23">
        <f t="shared" si="823"/>
        <v>0</v>
      </c>
      <c r="T3539" s="23" t="str">
        <f t="shared" si="824"/>
        <v/>
      </c>
      <c r="U3539" t="str">
        <f t="shared" si="825"/>
        <v>PA_Alleg_2019g~Gen-member of council north braddock ward 1 (vote for 1)</v>
      </c>
      <c r="AF3539" s="22"/>
      <c r="AU3539" s="1"/>
    </row>
    <row r="3540" spans="1:47">
      <c r="A3540" t="str">
        <f t="shared" si="818"/>
        <v>PA_Alleg_2019g~Gen-member of council north braddock ward 1 (vote for 1)</v>
      </c>
      <c r="B3540" s="55" t="s">
        <v>1528</v>
      </c>
      <c r="C3540">
        <v>1154</v>
      </c>
      <c r="D3540" s="55" t="s">
        <v>1046</v>
      </c>
      <c r="E3540" s="55" t="s">
        <v>15</v>
      </c>
      <c r="G3540" s="62">
        <v>7</v>
      </c>
      <c r="H3540">
        <v>2.38</v>
      </c>
      <c r="I3540">
        <v>1347</v>
      </c>
      <c r="J3540">
        <v>0</v>
      </c>
      <c r="K3540">
        <v>3</v>
      </c>
      <c r="L3540">
        <v>3</v>
      </c>
      <c r="M3540">
        <v>0</v>
      </c>
      <c r="N3540" s="23">
        <v>0</v>
      </c>
      <c r="O3540">
        <f t="shared" si="819"/>
        <v>-1</v>
      </c>
      <c r="P3540" s="57">
        <f t="shared" si="820"/>
        <v>1</v>
      </c>
      <c r="Q3540" s="267">
        <f t="shared" si="821"/>
        <v>7</v>
      </c>
      <c r="R3540" s="23">
        <f t="shared" si="822"/>
        <v>1</v>
      </c>
      <c r="S3540" s="23">
        <f t="shared" si="823"/>
        <v>0</v>
      </c>
      <c r="T3540" s="23" t="str">
        <f t="shared" si="824"/>
        <v/>
      </c>
      <c r="U3540" t="str">
        <f t="shared" si="825"/>
        <v/>
      </c>
      <c r="AF3540" s="22"/>
      <c r="AU3540" s="1"/>
    </row>
    <row r="3541" spans="1:47">
      <c r="A3541" t="str">
        <f t="shared" si="818"/>
        <v>PA_Alleg_2019g~Gen-member of council north braddock ward 2 (vote for 1)</v>
      </c>
      <c r="B3541" s="55" t="s">
        <v>1528</v>
      </c>
      <c r="C3541">
        <v>1155</v>
      </c>
      <c r="D3541" s="55" t="s">
        <v>1048</v>
      </c>
      <c r="E3541" s="55" t="s">
        <v>1049</v>
      </c>
      <c r="F3541" t="s">
        <v>1294</v>
      </c>
      <c r="G3541" s="62">
        <v>216</v>
      </c>
      <c r="H3541">
        <v>97.74</v>
      </c>
      <c r="I3541">
        <v>1050</v>
      </c>
      <c r="J3541">
        <v>0</v>
      </c>
      <c r="K3541">
        <v>2</v>
      </c>
      <c r="L3541">
        <v>2</v>
      </c>
      <c r="M3541">
        <v>0</v>
      </c>
      <c r="N3541" s="23">
        <v>0</v>
      </c>
      <c r="O3541">
        <f t="shared" si="819"/>
        <v>1</v>
      </c>
      <c r="P3541" s="57">
        <f t="shared" si="820"/>
        <v>1</v>
      </c>
      <c r="Q3541" s="267">
        <f t="shared" si="821"/>
        <v>221</v>
      </c>
      <c r="R3541" s="23">
        <f t="shared" si="822"/>
        <v>216</v>
      </c>
      <c r="S3541" s="23">
        <f t="shared" si="823"/>
        <v>0</v>
      </c>
      <c r="T3541" s="23" t="str">
        <f t="shared" si="824"/>
        <v/>
      </c>
      <c r="U3541" t="str">
        <f t="shared" si="825"/>
        <v>PA_Alleg_2019g~Gen-member of council north braddock ward 2 (vote for 1)</v>
      </c>
      <c r="AF3541" s="22"/>
      <c r="AU3541" s="1"/>
    </row>
    <row r="3542" spans="1:47">
      <c r="A3542" t="str">
        <f t="shared" si="818"/>
        <v>PA_Alleg_2019g~Gen-member of council north braddock ward 2 (vote for 1)</v>
      </c>
      <c r="B3542" s="55" t="s">
        <v>1528</v>
      </c>
      <c r="C3542">
        <v>1156</v>
      </c>
      <c r="D3542" s="55" t="s">
        <v>1048</v>
      </c>
      <c r="E3542" s="55" t="s">
        <v>15</v>
      </c>
      <c r="G3542" s="62">
        <v>5</v>
      </c>
      <c r="H3542">
        <v>2.2599999999999998</v>
      </c>
      <c r="I3542">
        <v>1050</v>
      </c>
      <c r="J3542">
        <v>0</v>
      </c>
      <c r="K3542">
        <v>2</v>
      </c>
      <c r="L3542">
        <v>2</v>
      </c>
      <c r="M3542">
        <v>0</v>
      </c>
      <c r="N3542" s="23">
        <v>0</v>
      </c>
      <c r="O3542">
        <f t="shared" si="819"/>
        <v>-1</v>
      </c>
      <c r="P3542" s="57">
        <f t="shared" si="820"/>
        <v>1</v>
      </c>
      <c r="Q3542" s="267">
        <f t="shared" si="821"/>
        <v>5</v>
      </c>
      <c r="R3542" s="23">
        <f t="shared" si="822"/>
        <v>1</v>
      </c>
      <c r="S3542" s="23">
        <f t="shared" si="823"/>
        <v>0</v>
      </c>
      <c r="T3542" s="23" t="str">
        <f t="shared" si="824"/>
        <v/>
      </c>
      <c r="U3542" t="str">
        <f t="shared" si="825"/>
        <v/>
      </c>
      <c r="AF3542" s="22"/>
      <c r="AU3542" s="1"/>
    </row>
    <row r="3543" spans="1:47">
      <c r="A3543" t="str">
        <f t="shared" si="818"/>
        <v>PA_Alleg_2019g~Gen-member of council north braddock ward 3 (vote for 2)</v>
      </c>
      <c r="B3543" s="55" t="s">
        <v>1528</v>
      </c>
      <c r="C3543">
        <v>1056</v>
      </c>
      <c r="D3543" s="55" t="s">
        <v>956</v>
      </c>
      <c r="E3543" s="55" t="s">
        <v>959</v>
      </c>
      <c r="F3543" t="s">
        <v>1294</v>
      </c>
      <c r="G3543" s="62">
        <v>168</v>
      </c>
      <c r="H3543">
        <v>56.19</v>
      </c>
      <c r="I3543">
        <v>974</v>
      </c>
      <c r="J3543">
        <v>0</v>
      </c>
      <c r="K3543">
        <v>2</v>
      </c>
      <c r="L3543">
        <v>2</v>
      </c>
      <c r="M3543">
        <v>0</v>
      </c>
      <c r="N3543" s="23">
        <v>0</v>
      </c>
      <c r="O3543">
        <f t="shared" si="819"/>
        <v>1</v>
      </c>
      <c r="P3543" s="57">
        <f t="shared" si="820"/>
        <v>2</v>
      </c>
      <c r="Q3543" s="267">
        <f t="shared" si="821"/>
        <v>168</v>
      </c>
      <c r="R3543" s="23">
        <f t="shared" si="822"/>
        <v>129</v>
      </c>
      <c r="S3543" s="23">
        <f t="shared" si="823"/>
        <v>0</v>
      </c>
      <c r="T3543" s="23" t="str">
        <f t="shared" si="824"/>
        <v/>
      </c>
      <c r="U3543" t="str">
        <f t="shared" si="825"/>
        <v>PA_Alleg_2019g~Gen-member of council north braddock ward 3 (vote for 2)</v>
      </c>
      <c r="AF3543" s="22"/>
      <c r="AU3543" s="1"/>
    </row>
    <row r="3544" spans="1:47">
      <c r="A3544" t="str">
        <f t="shared" si="818"/>
        <v>PA_Alleg_2019g~Gen-member of council north braddock ward 3 (vote for 2)</v>
      </c>
      <c r="B3544" s="55" t="s">
        <v>1528</v>
      </c>
      <c r="C3544">
        <v>1057</v>
      </c>
      <c r="D3544" s="55" t="s">
        <v>956</v>
      </c>
      <c r="E3544" s="55" t="s">
        <v>958</v>
      </c>
      <c r="F3544" t="s">
        <v>1294</v>
      </c>
      <c r="G3544" s="62">
        <v>129</v>
      </c>
      <c r="H3544">
        <v>43.14</v>
      </c>
      <c r="I3544">
        <v>974</v>
      </c>
      <c r="J3544">
        <v>0</v>
      </c>
      <c r="K3544">
        <v>2</v>
      </c>
      <c r="L3544">
        <v>2</v>
      </c>
      <c r="M3544">
        <v>0</v>
      </c>
      <c r="N3544" s="23">
        <v>0</v>
      </c>
      <c r="O3544">
        <f t="shared" si="819"/>
        <v>2</v>
      </c>
      <c r="P3544" s="57">
        <f t="shared" si="820"/>
        <v>2</v>
      </c>
      <c r="Q3544" s="267">
        <f t="shared" si="821"/>
        <v>131</v>
      </c>
      <c r="R3544" s="23">
        <f t="shared" si="822"/>
        <v>129</v>
      </c>
      <c r="S3544" s="23">
        <f t="shared" si="823"/>
        <v>0</v>
      </c>
      <c r="T3544" s="23" t="str">
        <f t="shared" si="824"/>
        <v/>
      </c>
      <c r="U3544" t="str">
        <f t="shared" si="825"/>
        <v/>
      </c>
      <c r="AF3544" s="22"/>
      <c r="AU3544" s="1"/>
    </row>
    <row r="3545" spans="1:47">
      <c r="A3545" t="str">
        <f t="shared" si="818"/>
        <v>PA_Alleg_2019g~Gen-member of council north braddock ward 3 (vote for 2)</v>
      </c>
      <c r="B3545" s="55" t="s">
        <v>1528</v>
      </c>
      <c r="C3545">
        <v>1058</v>
      </c>
      <c r="D3545" s="55" t="s">
        <v>956</v>
      </c>
      <c r="E3545" s="55" t="s">
        <v>15</v>
      </c>
      <c r="G3545" s="62">
        <v>2</v>
      </c>
      <c r="H3545">
        <v>0.67</v>
      </c>
      <c r="I3545">
        <v>974</v>
      </c>
      <c r="J3545">
        <v>0</v>
      </c>
      <c r="K3545">
        <v>2</v>
      </c>
      <c r="L3545">
        <v>2</v>
      </c>
      <c r="M3545">
        <v>0</v>
      </c>
      <c r="N3545" s="23">
        <v>0</v>
      </c>
      <c r="O3545">
        <f t="shared" si="819"/>
        <v>-2</v>
      </c>
      <c r="P3545" s="57">
        <f t="shared" si="820"/>
        <v>2</v>
      </c>
      <c r="Q3545" s="267">
        <f t="shared" si="821"/>
        <v>2</v>
      </c>
      <c r="R3545" s="23">
        <f t="shared" si="822"/>
        <v>1</v>
      </c>
      <c r="S3545" s="23">
        <f t="shared" si="823"/>
        <v>0</v>
      </c>
      <c r="T3545" s="23" t="str">
        <f t="shared" si="824"/>
        <v/>
      </c>
      <c r="U3545" t="str">
        <f t="shared" si="825"/>
        <v/>
      </c>
      <c r="AF3545" s="22"/>
      <c r="AU3545" s="1"/>
    </row>
    <row r="3546" spans="1:47">
      <c r="A3546" t="str">
        <f t="shared" si="818"/>
        <v>PA_Alleg_2019g~Gen-member of council oakdale (vote for 3)</v>
      </c>
      <c r="B3546" s="55" t="s">
        <v>1528</v>
      </c>
      <c r="C3546">
        <v>862</v>
      </c>
      <c r="D3546" s="55" t="s">
        <v>800</v>
      </c>
      <c r="E3546" s="55" t="s">
        <v>801</v>
      </c>
      <c r="F3546" t="s">
        <v>1294</v>
      </c>
      <c r="G3546" s="62">
        <v>247</v>
      </c>
      <c r="H3546">
        <v>33.200000000000003</v>
      </c>
      <c r="I3546">
        <v>1054</v>
      </c>
      <c r="J3546">
        <v>0</v>
      </c>
      <c r="K3546">
        <v>2</v>
      </c>
      <c r="L3546">
        <v>2</v>
      </c>
      <c r="M3546">
        <v>0</v>
      </c>
      <c r="N3546" s="23">
        <v>0</v>
      </c>
      <c r="O3546">
        <f t="shared" si="819"/>
        <v>1</v>
      </c>
      <c r="P3546" s="57">
        <f t="shared" si="820"/>
        <v>3</v>
      </c>
      <c r="Q3546" s="267">
        <f t="shared" si="821"/>
        <v>248</v>
      </c>
      <c r="R3546" s="23">
        <f t="shared" si="822"/>
        <v>242</v>
      </c>
      <c r="S3546" s="23">
        <f t="shared" si="823"/>
        <v>0</v>
      </c>
      <c r="T3546" s="23" t="str">
        <f t="shared" si="824"/>
        <v/>
      </c>
      <c r="U3546" t="str">
        <f t="shared" si="825"/>
        <v>PA_Alleg_2019g~Gen-member of council oakdale (vote for 3)</v>
      </c>
      <c r="AF3546" s="22"/>
      <c r="AU3546" s="1"/>
    </row>
    <row r="3547" spans="1:47">
      <c r="A3547" t="str">
        <f t="shared" si="818"/>
        <v>PA_Alleg_2019g~Gen-member of council oakdale (vote for 3)</v>
      </c>
      <c r="B3547" s="55" t="s">
        <v>1528</v>
      </c>
      <c r="C3547">
        <v>863</v>
      </c>
      <c r="D3547" s="55" t="s">
        <v>800</v>
      </c>
      <c r="E3547" s="55" t="s">
        <v>802</v>
      </c>
      <c r="F3547" t="s">
        <v>1294</v>
      </c>
      <c r="G3547" s="62">
        <v>246</v>
      </c>
      <c r="H3547">
        <v>33.06</v>
      </c>
      <c r="I3547">
        <v>1054</v>
      </c>
      <c r="J3547">
        <v>0</v>
      </c>
      <c r="K3547">
        <v>2</v>
      </c>
      <c r="L3547">
        <v>2</v>
      </c>
      <c r="M3547">
        <v>0</v>
      </c>
      <c r="N3547" s="23">
        <v>0</v>
      </c>
      <c r="O3547">
        <f t="shared" si="819"/>
        <v>2</v>
      </c>
      <c r="P3547" s="57">
        <f t="shared" si="820"/>
        <v>3</v>
      </c>
      <c r="Q3547" s="267">
        <f t="shared" si="821"/>
        <v>497</v>
      </c>
      <c r="R3547" s="23">
        <f t="shared" si="822"/>
        <v>242</v>
      </c>
      <c r="S3547" s="23">
        <f t="shared" si="823"/>
        <v>0</v>
      </c>
      <c r="T3547" s="23" t="str">
        <f t="shared" si="824"/>
        <v/>
      </c>
      <c r="U3547" t="str">
        <f t="shared" si="825"/>
        <v/>
      </c>
      <c r="AF3547" s="22"/>
      <c r="AU3547" s="1"/>
    </row>
    <row r="3548" spans="1:47">
      <c r="A3548" t="str">
        <f t="shared" si="818"/>
        <v>PA_Alleg_2019g~Gen-member of council oakdale (vote for 3)</v>
      </c>
      <c r="B3548" s="55" t="s">
        <v>1528</v>
      </c>
      <c r="C3548">
        <v>864</v>
      </c>
      <c r="D3548" s="55" t="s">
        <v>800</v>
      </c>
      <c r="E3548" s="55" t="s">
        <v>803</v>
      </c>
      <c r="F3548" t="s">
        <v>1294</v>
      </c>
      <c r="G3548" s="62">
        <v>242</v>
      </c>
      <c r="H3548">
        <v>32.53</v>
      </c>
      <c r="I3548">
        <v>1054</v>
      </c>
      <c r="J3548">
        <v>0</v>
      </c>
      <c r="K3548">
        <v>2</v>
      </c>
      <c r="L3548">
        <v>2</v>
      </c>
      <c r="M3548">
        <v>0</v>
      </c>
      <c r="N3548" s="23">
        <v>0</v>
      </c>
      <c r="O3548">
        <f t="shared" si="819"/>
        <v>3</v>
      </c>
      <c r="P3548" s="57">
        <f t="shared" si="820"/>
        <v>3</v>
      </c>
      <c r="Q3548" s="267">
        <f t="shared" si="821"/>
        <v>251</v>
      </c>
      <c r="R3548" s="23">
        <f t="shared" si="822"/>
        <v>242</v>
      </c>
      <c r="S3548" s="23">
        <f t="shared" si="823"/>
        <v>0</v>
      </c>
      <c r="T3548" s="23" t="str">
        <f t="shared" si="824"/>
        <v/>
      </c>
      <c r="U3548" t="str">
        <f t="shared" si="825"/>
        <v/>
      </c>
      <c r="AF3548" s="22"/>
      <c r="AU3548" s="1"/>
    </row>
    <row r="3549" spans="1:47">
      <c r="A3549" t="str">
        <f t="shared" si="818"/>
        <v>PA_Alleg_2019g~Gen-member of council oakdale (vote for 3)</v>
      </c>
      <c r="B3549" s="55" t="s">
        <v>1528</v>
      </c>
      <c r="C3549">
        <v>865</v>
      </c>
      <c r="D3549" s="55" t="s">
        <v>800</v>
      </c>
      <c r="E3549" s="55" t="s">
        <v>15</v>
      </c>
      <c r="G3549" s="62">
        <v>9</v>
      </c>
      <c r="H3549">
        <v>1.21</v>
      </c>
      <c r="I3549">
        <v>1054</v>
      </c>
      <c r="J3549">
        <v>0</v>
      </c>
      <c r="K3549">
        <v>2</v>
      </c>
      <c r="L3549">
        <v>2</v>
      </c>
      <c r="M3549">
        <v>0</v>
      </c>
      <c r="N3549" s="23">
        <v>0</v>
      </c>
      <c r="O3549">
        <f t="shared" si="819"/>
        <v>-3</v>
      </c>
      <c r="P3549" s="57">
        <f t="shared" si="820"/>
        <v>3</v>
      </c>
      <c r="Q3549" s="267">
        <f t="shared" si="821"/>
        <v>9</v>
      </c>
      <c r="R3549" s="23">
        <f t="shared" si="822"/>
        <v>1</v>
      </c>
      <c r="S3549" s="23">
        <f t="shared" si="823"/>
        <v>0</v>
      </c>
      <c r="T3549" s="23" t="str">
        <f t="shared" si="824"/>
        <v/>
      </c>
      <c r="U3549" t="str">
        <f t="shared" si="825"/>
        <v/>
      </c>
      <c r="AF3549" s="22"/>
      <c r="AU3549" s="1"/>
    </row>
    <row r="3550" spans="1:47">
      <c r="A3550" t="str">
        <f t="shared" si="818"/>
        <v>PA_Alleg_2019g~Gen-member of council oakmont (vote for 1)</v>
      </c>
      <c r="B3550" s="55" t="s">
        <v>1528</v>
      </c>
      <c r="C3550">
        <v>1022</v>
      </c>
      <c r="D3550" s="55" t="s">
        <v>927</v>
      </c>
      <c r="E3550" s="55" t="s">
        <v>928</v>
      </c>
      <c r="F3550" t="s">
        <v>1294</v>
      </c>
      <c r="G3550" s="62">
        <v>1031</v>
      </c>
      <c r="H3550">
        <v>53.61</v>
      </c>
      <c r="I3550">
        <v>5589</v>
      </c>
      <c r="J3550">
        <v>0</v>
      </c>
      <c r="K3550">
        <v>6</v>
      </c>
      <c r="L3550">
        <v>6</v>
      </c>
      <c r="M3550">
        <v>0</v>
      </c>
      <c r="N3550" s="23">
        <v>0</v>
      </c>
      <c r="O3550">
        <f t="shared" si="819"/>
        <v>1</v>
      </c>
      <c r="P3550" s="57">
        <f t="shared" si="820"/>
        <v>1</v>
      </c>
      <c r="Q3550" s="267">
        <f t="shared" si="821"/>
        <v>1923</v>
      </c>
      <c r="R3550" s="23">
        <f t="shared" si="822"/>
        <v>1031</v>
      </c>
      <c r="S3550" s="23">
        <f t="shared" si="823"/>
        <v>891</v>
      </c>
      <c r="T3550" s="23">
        <f t="shared" si="824"/>
        <v>140</v>
      </c>
      <c r="U3550" t="str">
        <f t="shared" si="825"/>
        <v>PA_Alleg_2019g~Gen-member of council oakmont (vote for 1)</v>
      </c>
      <c r="AF3550" s="22"/>
      <c r="AU3550" s="1"/>
    </row>
    <row r="3551" spans="1:47">
      <c r="A3551" t="str">
        <f t="shared" si="818"/>
        <v>PA_Alleg_2019g~Gen-member of council oakmont (vote for 1)</v>
      </c>
      <c r="B3551" s="55" t="s">
        <v>1528</v>
      </c>
      <c r="C3551">
        <v>1023</v>
      </c>
      <c r="D3551" s="55" t="s">
        <v>927</v>
      </c>
      <c r="E3551" s="55" t="s">
        <v>1238</v>
      </c>
      <c r="F3551" t="s">
        <v>1296</v>
      </c>
      <c r="G3551" s="62">
        <v>891</v>
      </c>
      <c r="H3551">
        <v>46.33</v>
      </c>
      <c r="I3551">
        <v>5589</v>
      </c>
      <c r="J3551">
        <v>0</v>
      </c>
      <c r="K3551">
        <v>6</v>
      </c>
      <c r="L3551">
        <v>6</v>
      </c>
      <c r="M3551">
        <v>0</v>
      </c>
      <c r="N3551" s="23">
        <v>0</v>
      </c>
      <c r="O3551">
        <f t="shared" si="819"/>
        <v>2</v>
      </c>
      <c r="P3551" s="57">
        <f t="shared" si="820"/>
        <v>1</v>
      </c>
      <c r="Q3551" s="267">
        <f t="shared" si="821"/>
        <v>892</v>
      </c>
      <c r="R3551" s="23" t="str">
        <f t="shared" si="822"/>
        <v/>
      </c>
      <c r="S3551" s="23">
        <f t="shared" si="823"/>
        <v>891</v>
      </c>
      <c r="T3551" s="23" t="str">
        <f t="shared" si="824"/>
        <v/>
      </c>
      <c r="U3551" t="str">
        <f t="shared" si="825"/>
        <v/>
      </c>
      <c r="AF3551" s="22"/>
      <c r="AU3551" s="1"/>
    </row>
    <row r="3552" spans="1:47">
      <c r="A3552" t="str">
        <f t="shared" si="818"/>
        <v>PA_Alleg_2019g~Gen-member of council oakmont (vote for 1)</v>
      </c>
      <c r="B3552" s="55" t="s">
        <v>1528</v>
      </c>
      <c r="C3552">
        <v>1024</v>
      </c>
      <c r="D3552" s="55" t="s">
        <v>927</v>
      </c>
      <c r="E3552" s="55" t="s">
        <v>15</v>
      </c>
      <c r="G3552" s="62">
        <v>1</v>
      </c>
      <c r="H3552">
        <v>0.05</v>
      </c>
      <c r="I3552">
        <v>5589</v>
      </c>
      <c r="J3552">
        <v>0</v>
      </c>
      <c r="K3552">
        <v>6</v>
      </c>
      <c r="L3552">
        <v>6</v>
      </c>
      <c r="M3552">
        <v>0</v>
      </c>
      <c r="N3552" s="23">
        <v>0</v>
      </c>
      <c r="O3552">
        <f t="shared" si="819"/>
        <v>-2</v>
      </c>
      <c r="P3552" s="57">
        <f t="shared" si="820"/>
        <v>1</v>
      </c>
      <c r="Q3552" s="267">
        <f t="shared" si="821"/>
        <v>1</v>
      </c>
      <c r="R3552" s="23">
        <f t="shared" si="822"/>
        <v>1</v>
      </c>
      <c r="S3552" s="23">
        <f t="shared" si="823"/>
        <v>0</v>
      </c>
      <c r="T3552" s="23" t="str">
        <f t="shared" si="824"/>
        <v/>
      </c>
      <c r="U3552" t="str">
        <f t="shared" si="825"/>
        <v/>
      </c>
      <c r="AF3552" s="22"/>
      <c r="AU3552" s="1"/>
    </row>
    <row r="3553" spans="1:47">
      <c r="A3553" t="str">
        <f t="shared" si="818"/>
        <v>PA_Alleg_2019g~Gen-member of council oakmont (vote for 3)</v>
      </c>
      <c r="B3553" s="55" t="s">
        <v>1528</v>
      </c>
      <c r="C3553">
        <v>867</v>
      </c>
      <c r="D3553" s="55" t="s">
        <v>804</v>
      </c>
      <c r="E3553" s="55" t="s">
        <v>809</v>
      </c>
      <c r="F3553" t="s">
        <v>1294</v>
      </c>
      <c r="G3553" s="62">
        <v>1174</v>
      </c>
      <c r="H3553">
        <v>20.5</v>
      </c>
      <c r="I3553">
        <v>5589</v>
      </c>
      <c r="J3553">
        <v>0</v>
      </c>
      <c r="K3553">
        <v>6</v>
      </c>
      <c r="L3553">
        <v>6</v>
      </c>
      <c r="M3553">
        <v>0</v>
      </c>
      <c r="N3553" s="23">
        <v>0</v>
      </c>
      <c r="O3553">
        <f t="shared" si="819"/>
        <v>1</v>
      </c>
      <c r="P3553" s="57">
        <f t="shared" si="820"/>
        <v>3</v>
      </c>
      <c r="Q3553" s="267">
        <f t="shared" si="821"/>
        <v>1909</v>
      </c>
      <c r="R3553" s="23">
        <f t="shared" si="822"/>
        <v>1036</v>
      </c>
      <c r="S3553" s="23">
        <f t="shared" si="823"/>
        <v>882</v>
      </c>
      <c r="T3553" s="23">
        <f t="shared" si="824"/>
        <v>154</v>
      </c>
      <c r="U3553" t="str">
        <f t="shared" si="825"/>
        <v>PA_Alleg_2019g~Gen-member of council oakmont (vote for 3)</v>
      </c>
      <c r="AF3553" s="22"/>
      <c r="AU3553" s="1"/>
    </row>
    <row r="3554" spans="1:47">
      <c r="A3554" t="str">
        <f t="shared" si="818"/>
        <v>PA_Alleg_2019g~Gen-member of council oakmont (vote for 3)</v>
      </c>
      <c r="B3554" s="55" t="s">
        <v>1528</v>
      </c>
      <c r="C3554">
        <v>866</v>
      </c>
      <c r="D3554" s="55" t="s">
        <v>804</v>
      </c>
      <c r="E3554" s="55" t="s">
        <v>805</v>
      </c>
      <c r="F3554" t="s">
        <v>1294</v>
      </c>
      <c r="G3554" s="62">
        <v>1110</v>
      </c>
      <c r="H3554">
        <v>19.38</v>
      </c>
      <c r="I3554">
        <v>5589</v>
      </c>
      <c r="J3554">
        <v>0</v>
      </c>
      <c r="K3554">
        <v>6</v>
      </c>
      <c r="L3554">
        <v>6</v>
      </c>
      <c r="M3554">
        <v>0</v>
      </c>
      <c r="N3554" s="23">
        <v>0</v>
      </c>
      <c r="O3554">
        <f t="shared" si="819"/>
        <v>2</v>
      </c>
      <c r="P3554" s="57">
        <f t="shared" si="820"/>
        <v>3</v>
      </c>
      <c r="Q3554" s="267">
        <f t="shared" si="821"/>
        <v>4553</v>
      </c>
      <c r="R3554" s="23">
        <f t="shared" si="822"/>
        <v>1036</v>
      </c>
      <c r="S3554" s="23">
        <f t="shared" si="823"/>
        <v>882</v>
      </c>
      <c r="T3554" s="23" t="str">
        <f t="shared" si="824"/>
        <v/>
      </c>
      <c r="U3554" t="str">
        <f t="shared" si="825"/>
        <v/>
      </c>
      <c r="AF3554" s="22"/>
      <c r="AU3554" s="1"/>
    </row>
    <row r="3555" spans="1:47">
      <c r="A3555" t="str">
        <f t="shared" si="818"/>
        <v>PA_Alleg_2019g~Gen-member of council oakmont (vote for 3)</v>
      </c>
      <c r="B3555" s="55" t="s">
        <v>1528</v>
      </c>
      <c r="C3555">
        <v>868</v>
      </c>
      <c r="D3555" s="55" t="s">
        <v>804</v>
      </c>
      <c r="E3555" s="55" t="s">
        <v>808</v>
      </c>
      <c r="F3555" t="s">
        <v>1294</v>
      </c>
      <c r="G3555" s="62">
        <v>1036</v>
      </c>
      <c r="H3555">
        <v>18.09</v>
      </c>
      <c r="I3555">
        <v>5589</v>
      </c>
      <c r="J3555">
        <v>0</v>
      </c>
      <c r="K3555">
        <v>6</v>
      </c>
      <c r="L3555">
        <v>6</v>
      </c>
      <c r="M3555">
        <v>0</v>
      </c>
      <c r="N3555" s="23">
        <v>0</v>
      </c>
      <c r="O3555">
        <f t="shared" si="819"/>
        <v>3</v>
      </c>
      <c r="P3555" s="57">
        <f t="shared" si="820"/>
        <v>3</v>
      </c>
      <c r="Q3555" s="267">
        <f t="shared" si="821"/>
        <v>3443</v>
      </c>
      <c r="R3555" s="23">
        <f t="shared" si="822"/>
        <v>1036</v>
      </c>
      <c r="S3555" s="23">
        <f t="shared" si="823"/>
        <v>882</v>
      </c>
      <c r="T3555" s="23" t="str">
        <f t="shared" si="824"/>
        <v/>
      </c>
      <c r="U3555" t="str">
        <f t="shared" si="825"/>
        <v/>
      </c>
      <c r="AF3555" s="22"/>
      <c r="AU3555" s="1"/>
    </row>
    <row r="3556" spans="1:47">
      <c r="A3556" t="str">
        <f t="shared" si="818"/>
        <v>PA_Alleg_2019g~Gen-member of council oakmont (vote for 3)</v>
      </c>
      <c r="B3556" s="55" t="s">
        <v>1528</v>
      </c>
      <c r="C3556">
        <v>870</v>
      </c>
      <c r="D3556" s="55" t="s">
        <v>804</v>
      </c>
      <c r="E3556" s="55" t="s">
        <v>1207</v>
      </c>
      <c r="F3556" t="s">
        <v>1296</v>
      </c>
      <c r="G3556" s="62">
        <v>882</v>
      </c>
      <c r="H3556">
        <v>15.4</v>
      </c>
      <c r="I3556">
        <v>5589</v>
      </c>
      <c r="J3556">
        <v>0</v>
      </c>
      <c r="K3556">
        <v>6</v>
      </c>
      <c r="L3556">
        <v>6</v>
      </c>
      <c r="M3556">
        <v>0</v>
      </c>
      <c r="N3556" s="23">
        <v>0</v>
      </c>
      <c r="O3556">
        <f t="shared" si="819"/>
        <v>4</v>
      </c>
      <c r="P3556" s="57">
        <f t="shared" si="820"/>
        <v>3</v>
      </c>
      <c r="Q3556" s="267">
        <f t="shared" si="821"/>
        <v>2407</v>
      </c>
      <c r="R3556" s="23" t="str">
        <f t="shared" si="822"/>
        <v/>
      </c>
      <c r="S3556" s="23">
        <f t="shared" si="823"/>
        <v>882</v>
      </c>
      <c r="T3556" s="23" t="str">
        <f t="shared" si="824"/>
        <v/>
      </c>
      <c r="U3556" t="str">
        <f t="shared" si="825"/>
        <v/>
      </c>
      <c r="AF3556" s="22"/>
      <c r="AU3556" s="1"/>
    </row>
    <row r="3557" spans="1:47">
      <c r="A3557" t="str">
        <f t="shared" si="818"/>
        <v>PA_Alleg_2019g~Gen-member of council oakmont (vote for 3)</v>
      </c>
      <c r="B3557" s="55" t="s">
        <v>1528</v>
      </c>
      <c r="C3557">
        <v>871</v>
      </c>
      <c r="D3557" s="55" t="s">
        <v>804</v>
      </c>
      <c r="E3557" s="55" t="s">
        <v>1205</v>
      </c>
      <c r="F3557" t="s">
        <v>1296</v>
      </c>
      <c r="G3557" s="62">
        <v>786</v>
      </c>
      <c r="H3557">
        <v>13.72</v>
      </c>
      <c r="I3557">
        <v>5589</v>
      </c>
      <c r="J3557">
        <v>0</v>
      </c>
      <c r="K3557">
        <v>6</v>
      </c>
      <c r="L3557">
        <v>6</v>
      </c>
      <c r="M3557">
        <v>0</v>
      </c>
      <c r="N3557" s="23">
        <v>0</v>
      </c>
      <c r="O3557">
        <f t="shared" si="819"/>
        <v>5</v>
      </c>
      <c r="P3557" s="57">
        <f t="shared" si="820"/>
        <v>3</v>
      </c>
      <c r="Q3557" s="267">
        <f t="shared" si="821"/>
        <v>1525</v>
      </c>
      <c r="R3557" s="23" t="str">
        <f t="shared" si="822"/>
        <v/>
      </c>
      <c r="S3557" s="23">
        <f t="shared" si="823"/>
        <v>786</v>
      </c>
      <c r="T3557" s="23" t="str">
        <f t="shared" si="824"/>
        <v/>
      </c>
      <c r="U3557" t="str">
        <f t="shared" si="825"/>
        <v/>
      </c>
      <c r="AF3557" s="22"/>
      <c r="AU3557" s="1"/>
    </row>
    <row r="3558" spans="1:47">
      <c r="A3558" t="str">
        <f t="shared" si="818"/>
        <v>PA_Alleg_2019g~Gen-member of council oakmont (vote for 3)</v>
      </c>
      <c r="B3558" s="55" t="s">
        <v>1528</v>
      </c>
      <c r="C3558">
        <v>869</v>
      </c>
      <c r="D3558" s="55" t="s">
        <v>804</v>
      </c>
      <c r="E3558" s="55" t="s">
        <v>1206</v>
      </c>
      <c r="F3558" t="s">
        <v>1296</v>
      </c>
      <c r="G3558" s="62">
        <v>735</v>
      </c>
      <c r="H3558">
        <v>12.83</v>
      </c>
      <c r="I3558">
        <v>5589</v>
      </c>
      <c r="J3558">
        <v>0</v>
      </c>
      <c r="K3558">
        <v>6</v>
      </c>
      <c r="L3558">
        <v>6</v>
      </c>
      <c r="M3558">
        <v>0</v>
      </c>
      <c r="N3558" s="23">
        <v>0</v>
      </c>
      <c r="O3558">
        <f t="shared" si="819"/>
        <v>6</v>
      </c>
      <c r="P3558" s="57">
        <f t="shared" si="820"/>
        <v>3</v>
      </c>
      <c r="Q3558" s="267">
        <f t="shared" si="821"/>
        <v>739</v>
      </c>
      <c r="R3558" s="23" t="str">
        <f t="shared" si="822"/>
        <v/>
      </c>
      <c r="S3558" s="23">
        <f t="shared" si="823"/>
        <v>735</v>
      </c>
      <c r="T3558" s="23" t="str">
        <f t="shared" si="824"/>
        <v/>
      </c>
      <c r="U3558" t="str">
        <f t="shared" si="825"/>
        <v/>
      </c>
      <c r="AF3558" s="22"/>
      <c r="AU3558" s="1"/>
    </row>
    <row r="3559" spans="1:47">
      <c r="A3559" t="str">
        <f t="shared" si="818"/>
        <v>PA_Alleg_2019g~Gen-member of council oakmont (vote for 3)</v>
      </c>
      <c r="B3559" s="55" t="s">
        <v>1528</v>
      </c>
      <c r="C3559">
        <v>872</v>
      </c>
      <c r="D3559" s="55" t="s">
        <v>804</v>
      </c>
      <c r="E3559" s="55" t="s">
        <v>15</v>
      </c>
      <c r="G3559" s="62">
        <v>4</v>
      </c>
      <c r="H3559">
        <v>7.0000000000000007E-2</v>
      </c>
      <c r="I3559">
        <v>5589</v>
      </c>
      <c r="J3559">
        <v>0</v>
      </c>
      <c r="K3559">
        <v>6</v>
      </c>
      <c r="L3559">
        <v>6</v>
      </c>
      <c r="M3559">
        <v>0</v>
      </c>
      <c r="N3559" s="23">
        <v>0</v>
      </c>
      <c r="O3559">
        <f t="shared" si="819"/>
        <v>-6</v>
      </c>
      <c r="P3559" s="57">
        <f t="shared" si="820"/>
        <v>3</v>
      </c>
      <c r="Q3559" s="267">
        <f t="shared" si="821"/>
        <v>4</v>
      </c>
      <c r="R3559" s="23">
        <f t="shared" si="822"/>
        <v>1</v>
      </c>
      <c r="S3559" s="23">
        <f t="shared" si="823"/>
        <v>0</v>
      </c>
      <c r="T3559" s="23" t="str">
        <f t="shared" si="824"/>
        <v/>
      </c>
      <c r="U3559" t="str">
        <f t="shared" si="825"/>
        <v/>
      </c>
      <c r="AF3559" s="22"/>
      <c r="AU3559" s="1"/>
    </row>
    <row r="3560" spans="1:47">
      <c r="A3560" t="str">
        <f t="shared" si="818"/>
        <v>PA_Alleg_2019g~Gen-member of council penn hills (vote for 2)</v>
      </c>
      <c r="B3560" s="55" t="s">
        <v>1528</v>
      </c>
      <c r="C3560">
        <v>989</v>
      </c>
      <c r="D3560" s="55" t="s">
        <v>897</v>
      </c>
      <c r="E3560" s="55" t="s">
        <v>901</v>
      </c>
      <c r="F3560" t="s">
        <v>1396</v>
      </c>
      <c r="G3560" s="62">
        <v>7530</v>
      </c>
      <c r="H3560">
        <v>53.87</v>
      </c>
      <c r="I3560">
        <v>32233</v>
      </c>
      <c r="J3560">
        <v>0</v>
      </c>
      <c r="K3560">
        <v>50</v>
      </c>
      <c r="L3560">
        <v>50</v>
      </c>
      <c r="M3560">
        <v>0</v>
      </c>
      <c r="N3560" s="23">
        <v>0</v>
      </c>
      <c r="O3560">
        <f t="shared" si="819"/>
        <v>1</v>
      </c>
      <c r="P3560" s="57">
        <f t="shared" si="820"/>
        <v>2</v>
      </c>
      <c r="Q3560" s="267">
        <f t="shared" si="821"/>
        <v>7530</v>
      </c>
      <c r="R3560" s="23">
        <f t="shared" si="822"/>
        <v>6350</v>
      </c>
      <c r="S3560" s="23">
        <f t="shared" si="823"/>
        <v>0</v>
      </c>
      <c r="T3560" s="23" t="str">
        <f t="shared" si="824"/>
        <v/>
      </c>
      <c r="U3560" t="str">
        <f t="shared" si="825"/>
        <v>PA_Alleg_2019g~Gen-member of council penn hills (vote for 2)</v>
      </c>
      <c r="AF3560" s="22"/>
      <c r="AU3560" s="1"/>
    </row>
    <row r="3561" spans="1:47">
      <c r="A3561" t="str">
        <f t="shared" si="818"/>
        <v>PA_Alleg_2019g~Gen-member of council penn hills (vote for 2)</v>
      </c>
      <c r="B3561" s="55" t="s">
        <v>1528</v>
      </c>
      <c r="C3561">
        <v>990</v>
      </c>
      <c r="D3561" s="55" t="s">
        <v>897</v>
      </c>
      <c r="E3561" s="55" t="s">
        <v>898</v>
      </c>
      <c r="F3561" t="s">
        <v>1396</v>
      </c>
      <c r="G3561" s="62">
        <v>6350</v>
      </c>
      <c r="H3561">
        <v>45.43</v>
      </c>
      <c r="I3561">
        <v>32233</v>
      </c>
      <c r="J3561">
        <v>0</v>
      </c>
      <c r="K3561">
        <v>50</v>
      </c>
      <c r="L3561">
        <v>50</v>
      </c>
      <c r="M3561">
        <v>0</v>
      </c>
      <c r="N3561" s="23">
        <v>0</v>
      </c>
      <c r="O3561">
        <f t="shared" si="819"/>
        <v>2</v>
      </c>
      <c r="P3561" s="57">
        <f t="shared" si="820"/>
        <v>2</v>
      </c>
      <c r="Q3561" s="267">
        <f t="shared" si="821"/>
        <v>6448</v>
      </c>
      <c r="R3561" s="23">
        <f t="shared" si="822"/>
        <v>6350</v>
      </c>
      <c r="S3561" s="23">
        <f t="shared" si="823"/>
        <v>0</v>
      </c>
      <c r="T3561" s="23" t="str">
        <f t="shared" si="824"/>
        <v/>
      </c>
      <c r="U3561" t="str">
        <f t="shared" si="825"/>
        <v/>
      </c>
      <c r="AF3561" s="22"/>
      <c r="AU3561" s="1"/>
    </row>
    <row r="3562" spans="1:47">
      <c r="A3562" t="str">
        <f t="shared" si="818"/>
        <v>PA_Alleg_2019g~Gen-member of council penn hills (vote for 2)</v>
      </c>
      <c r="B3562" s="55" t="s">
        <v>1528</v>
      </c>
      <c r="C3562">
        <v>991</v>
      </c>
      <c r="D3562" s="55" t="s">
        <v>897</v>
      </c>
      <c r="E3562" s="55" t="s">
        <v>15</v>
      </c>
      <c r="G3562" s="62">
        <v>98</v>
      </c>
      <c r="H3562">
        <v>0.7</v>
      </c>
      <c r="I3562">
        <v>32233</v>
      </c>
      <c r="J3562">
        <v>0</v>
      </c>
      <c r="K3562">
        <v>50</v>
      </c>
      <c r="L3562">
        <v>50</v>
      </c>
      <c r="M3562">
        <v>0</v>
      </c>
      <c r="N3562" s="23">
        <v>0</v>
      </c>
      <c r="O3562">
        <f t="shared" si="819"/>
        <v>-2</v>
      </c>
      <c r="P3562" s="57">
        <f t="shared" si="820"/>
        <v>2</v>
      </c>
      <c r="Q3562" s="267">
        <f t="shared" si="821"/>
        <v>98</v>
      </c>
      <c r="R3562" s="23">
        <f t="shared" si="822"/>
        <v>1</v>
      </c>
      <c r="S3562" s="23">
        <f t="shared" si="823"/>
        <v>0</v>
      </c>
      <c r="T3562" s="23" t="str">
        <f t="shared" si="824"/>
        <v/>
      </c>
      <c r="U3562" t="str">
        <f t="shared" si="825"/>
        <v/>
      </c>
      <c r="AF3562" s="22"/>
      <c r="AU3562" s="1"/>
    </row>
    <row r="3563" spans="1:47">
      <c r="A3563" t="str">
        <f t="shared" si="818"/>
        <v>PA_Alleg_2019g~Gen-member of council pennsbury village (vote for 3)</v>
      </c>
      <c r="B3563" s="55" t="s">
        <v>1528</v>
      </c>
      <c r="C3563">
        <v>970</v>
      </c>
      <c r="D3563" s="55" t="s">
        <v>883</v>
      </c>
      <c r="E3563" s="55" t="s">
        <v>884</v>
      </c>
      <c r="F3563" t="s">
        <v>1294</v>
      </c>
      <c r="G3563" s="62">
        <v>110</v>
      </c>
      <c r="H3563">
        <v>37.04</v>
      </c>
      <c r="I3563">
        <v>605</v>
      </c>
      <c r="J3563">
        <v>0</v>
      </c>
      <c r="K3563">
        <v>1</v>
      </c>
      <c r="L3563">
        <v>1</v>
      </c>
      <c r="M3563">
        <v>0</v>
      </c>
      <c r="N3563" s="23">
        <v>0</v>
      </c>
      <c r="O3563">
        <f t="shared" si="819"/>
        <v>1</v>
      </c>
      <c r="P3563" s="57">
        <f t="shared" si="820"/>
        <v>3</v>
      </c>
      <c r="Q3563" s="267">
        <f t="shared" si="821"/>
        <v>110</v>
      </c>
      <c r="R3563" s="23">
        <f t="shared" si="822"/>
        <v>87</v>
      </c>
      <c r="S3563" s="23">
        <f t="shared" si="823"/>
        <v>0</v>
      </c>
      <c r="T3563" s="23" t="str">
        <f t="shared" si="824"/>
        <v/>
      </c>
      <c r="U3563" t="str">
        <f t="shared" si="825"/>
        <v>PA_Alleg_2019g~Gen-member of council pennsbury village (vote for 3)</v>
      </c>
      <c r="AF3563" s="22"/>
      <c r="AU3563" s="1"/>
    </row>
    <row r="3564" spans="1:47">
      <c r="A3564" t="str">
        <f t="shared" si="818"/>
        <v>PA_Alleg_2019g~Gen-member of council pennsbury village (vote for 3)</v>
      </c>
      <c r="B3564" s="55" t="s">
        <v>1528</v>
      </c>
      <c r="C3564">
        <v>971</v>
      </c>
      <c r="D3564" s="55" t="s">
        <v>883</v>
      </c>
      <c r="E3564" s="55" t="s">
        <v>885</v>
      </c>
      <c r="F3564" t="s">
        <v>1294</v>
      </c>
      <c r="G3564" s="62">
        <v>99</v>
      </c>
      <c r="H3564">
        <v>33.33</v>
      </c>
      <c r="I3564">
        <v>605</v>
      </c>
      <c r="J3564">
        <v>0</v>
      </c>
      <c r="K3564">
        <v>1</v>
      </c>
      <c r="L3564">
        <v>1</v>
      </c>
      <c r="M3564">
        <v>0</v>
      </c>
      <c r="N3564" s="23">
        <v>0</v>
      </c>
      <c r="O3564">
        <f t="shared" si="819"/>
        <v>2</v>
      </c>
      <c r="P3564" s="57">
        <f t="shared" si="820"/>
        <v>3</v>
      </c>
      <c r="Q3564" s="267">
        <f t="shared" si="821"/>
        <v>187</v>
      </c>
      <c r="R3564" s="23">
        <f t="shared" si="822"/>
        <v>87</v>
      </c>
      <c r="S3564" s="23">
        <f t="shared" si="823"/>
        <v>0</v>
      </c>
      <c r="T3564" s="23" t="str">
        <f t="shared" si="824"/>
        <v/>
      </c>
      <c r="U3564" t="str">
        <f t="shared" si="825"/>
        <v/>
      </c>
      <c r="AF3564" s="22"/>
      <c r="AU3564" s="1"/>
    </row>
    <row r="3565" spans="1:47">
      <c r="A3565" t="str">
        <f t="shared" si="818"/>
        <v>PA_Alleg_2019g~Gen-member of council pennsbury village (vote for 3)</v>
      </c>
      <c r="B3565" s="55" t="s">
        <v>1528</v>
      </c>
      <c r="C3565">
        <v>972</v>
      </c>
      <c r="D3565" s="55" t="s">
        <v>883</v>
      </c>
      <c r="E3565" s="55" t="s">
        <v>1230</v>
      </c>
      <c r="F3565" t="s">
        <v>1296</v>
      </c>
      <c r="G3565" s="62">
        <v>87</v>
      </c>
      <c r="H3565">
        <v>29.29</v>
      </c>
      <c r="I3565">
        <v>605</v>
      </c>
      <c r="J3565">
        <v>0</v>
      </c>
      <c r="K3565">
        <v>1</v>
      </c>
      <c r="L3565">
        <v>1</v>
      </c>
      <c r="M3565">
        <v>0</v>
      </c>
      <c r="N3565" s="23">
        <v>0</v>
      </c>
      <c r="O3565">
        <f t="shared" si="819"/>
        <v>3</v>
      </c>
      <c r="P3565" s="57">
        <f t="shared" si="820"/>
        <v>3</v>
      </c>
      <c r="Q3565" s="267">
        <f t="shared" si="821"/>
        <v>88</v>
      </c>
      <c r="R3565" s="23">
        <f t="shared" si="822"/>
        <v>87</v>
      </c>
      <c r="S3565" s="23">
        <f t="shared" si="823"/>
        <v>0</v>
      </c>
      <c r="T3565" s="23" t="str">
        <f t="shared" si="824"/>
        <v/>
      </c>
      <c r="U3565" t="str">
        <f t="shared" si="825"/>
        <v/>
      </c>
      <c r="AF3565" s="22"/>
      <c r="AU3565" s="1"/>
    </row>
    <row r="3566" spans="1:47">
      <c r="A3566" t="str">
        <f t="shared" si="818"/>
        <v>PA_Alleg_2019g~Gen-member of council pennsbury village (vote for 3)</v>
      </c>
      <c r="B3566" s="55" t="s">
        <v>1528</v>
      </c>
      <c r="C3566">
        <v>973</v>
      </c>
      <c r="D3566" s="55" t="s">
        <v>883</v>
      </c>
      <c r="E3566" s="55" t="s">
        <v>15</v>
      </c>
      <c r="G3566" s="62">
        <v>1</v>
      </c>
      <c r="H3566">
        <v>0.34</v>
      </c>
      <c r="I3566">
        <v>605</v>
      </c>
      <c r="J3566">
        <v>0</v>
      </c>
      <c r="K3566">
        <v>1</v>
      </c>
      <c r="L3566">
        <v>1</v>
      </c>
      <c r="M3566">
        <v>0</v>
      </c>
      <c r="N3566" s="23">
        <v>0</v>
      </c>
      <c r="O3566">
        <f t="shared" si="819"/>
        <v>-3</v>
      </c>
      <c r="P3566" s="57">
        <f t="shared" si="820"/>
        <v>3</v>
      </c>
      <c r="Q3566" s="267">
        <f t="shared" si="821"/>
        <v>1</v>
      </c>
      <c r="R3566" s="23">
        <f t="shared" si="822"/>
        <v>1</v>
      </c>
      <c r="S3566" s="23">
        <f t="shared" si="823"/>
        <v>0</v>
      </c>
      <c r="T3566" s="23" t="str">
        <f t="shared" si="824"/>
        <v/>
      </c>
      <c r="U3566" t="str">
        <f t="shared" si="825"/>
        <v/>
      </c>
      <c r="AF3566" s="22"/>
      <c r="AU3566" s="1"/>
    </row>
    <row r="3567" spans="1:47">
      <c r="A3567" t="str">
        <f t="shared" si="818"/>
        <v>PA_Alleg_2019g~Gen-member of council pitcairn (vote for 1)</v>
      </c>
      <c r="B3567" s="55" t="s">
        <v>1528</v>
      </c>
      <c r="C3567">
        <v>1025</v>
      </c>
      <c r="D3567" s="55" t="s">
        <v>929</v>
      </c>
      <c r="E3567" s="55" t="s">
        <v>931</v>
      </c>
      <c r="F3567" t="s">
        <v>1294</v>
      </c>
      <c r="G3567" s="62">
        <v>336</v>
      </c>
      <c r="H3567">
        <v>97.11</v>
      </c>
      <c r="I3567">
        <v>2151</v>
      </c>
      <c r="J3567">
        <v>0</v>
      </c>
      <c r="K3567">
        <v>3</v>
      </c>
      <c r="L3567">
        <v>3</v>
      </c>
      <c r="M3567">
        <v>0</v>
      </c>
      <c r="N3567" s="23">
        <v>0</v>
      </c>
      <c r="O3567">
        <f t="shared" si="819"/>
        <v>1</v>
      </c>
      <c r="P3567" s="57">
        <f t="shared" si="820"/>
        <v>1</v>
      </c>
      <c r="Q3567" s="267">
        <f t="shared" si="821"/>
        <v>346</v>
      </c>
      <c r="R3567" s="23">
        <f t="shared" si="822"/>
        <v>336</v>
      </c>
      <c r="S3567" s="23">
        <f t="shared" si="823"/>
        <v>0</v>
      </c>
      <c r="T3567" s="23" t="str">
        <f t="shared" si="824"/>
        <v/>
      </c>
      <c r="U3567" t="str">
        <f t="shared" si="825"/>
        <v>PA_Alleg_2019g~Gen-member of council pitcairn (vote for 1)</v>
      </c>
      <c r="AF3567" s="22"/>
      <c r="AU3567" s="1"/>
    </row>
    <row r="3568" spans="1:47">
      <c r="A3568" t="str">
        <f t="shared" si="818"/>
        <v>PA_Alleg_2019g~Gen-member of council pitcairn (vote for 1)</v>
      </c>
      <c r="B3568" s="55" t="s">
        <v>1528</v>
      </c>
      <c r="C3568">
        <v>1026</v>
      </c>
      <c r="D3568" s="55" t="s">
        <v>929</v>
      </c>
      <c r="E3568" s="55" t="s">
        <v>15</v>
      </c>
      <c r="G3568" s="62">
        <v>10</v>
      </c>
      <c r="H3568">
        <v>2.89</v>
      </c>
      <c r="I3568">
        <v>2151</v>
      </c>
      <c r="J3568">
        <v>0</v>
      </c>
      <c r="K3568">
        <v>3</v>
      </c>
      <c r="L3568">
        <v>3</v>
      </c>
      <c r="M3568">
        <v>0</v>
      </c>
      <c r="N3568" s="23">
        <v>0</v>
      </c>
      <c r="O3568">
        <f t="shared" si="819"/>
        <v>-1</v>
      </c>
      <c r="P3568" s="57">
        <f t="shared" si="820"/>
        <v>1</v>
      </c>
      <c r="Q3568" s="267">
        <f t="shared" si="821"/>
        <v>10</v>
      </c>
      <c r="R3568" s="23">
        <f t="shared" si="822"/>
        <v>1</v>
      </c>
      <c r="S3568" s="23">
        <f t="shared" si="823"/>
        <v>0</v>
      </c>
      <c r="T3568" s="23" t="str">
        <f t="shared" si="824"/>
        <v/>
      </c>
      <c r="U3568" t="str">
        <f t="shared" si="825"/>
        <v/>
      </c>
      <c r="AF3568" s="22"/>
      <c r="AU3568" s="1"/>
    </row>
    <row r="3569" spans="1:47">
      <c r="A3569" t="str">
        <f t="shared" si="818"/>
        <v>PA_Alleg_2019g~Gen-member of council pitcairn (vote for 3)</v>
      </c>
      <c r="B3569" s="55" t="s">
        <v>1528</v>
      </c>
      <c r="C3569">
        <v>879</v>
      </c>
      <c r="D3569" s="55" t="s">
        <v>812</v>
      </c>
      <c r="E3569" s="55" t="s">
        <v>817</v>
      </c>
      <c r="F3569" t="s">
        <v>1396</v>
      </c>
      <c r="G3569" s="62">
        <v>348</v>
      </c>
      <c r="H3569">
        <v>30.21</v>
      </c>
      <c r="I3569">
        <v>2151</v>
      </c>
      <c r="J3569">
        <v>0</v>
      </c>
      <c r="K3569">
        <v>3</v>
      </c>
      <c r="L3569">
        <v>3</v>
      </c>
      <c r="M3569">
        <v>0</v>
      </c>
      <c r="N3569" s="23">
        <v>0</v>
      </c>
      <c r="O3569">
        <f t="shared" si="819"/>
        <v>1</v>
      </c>
      <c r="P3569" s="57">
        <f t="shared" si="820"/>
        <v>3</v>
      </c>
      <c r="Q3569" s="267">
        <f t="shared" si="821"/>
        <v>384</v>
      </c>
      <c r="R3569" s="23">
        <f t="shared" si="822"/>
        <v>321</v>
      </c>
      <c r="S3569" s="23">
        <f t="shared" si="823"/>
        <v>150</v>
      </c>
      <c r="T3569" s="23">
        <f t="shared" si="824"/>
        <v>171</v>
      </c>
      <c r="U3569" t="str">
        <f t="shared" si="825"/>
        <v>PA_Alleg_2019g~Gen-member of council pitcairn (vote for 3)</v>
      </c>
      <c r="AF3569" s="22"/>
      <c r="AU3569" s="1"/>
    </row>
    <row r="3570" spans="1:47">
      <c r="A3570" t="str">
        <f t="shared" si="818"/>
        <v>PA_Alleg_2019g~Gen-member of council pitcairn (vote for 3)</v>
      </c>
      <c r="B3570" s="55" t="s">
        <v>1528</v>
      </c>
      <c r="C3570">
        <v>878</v>
      </c>
      <c r="D3570" s="55" t="s">
        <v>812</v>
      </c>
      <c r="E3570" s="55" t="s">
        <v>818</v>
      </c>
      <c r="F3570" t="s">
        <v>1294</v>
      </c>
      <c r="G3570" s="62">
        <v>322</v>
      </c>
      <c r="H3570">
        <v>27.95</v>
      </c>
      <c r="I3570">
        <v>2151</v>
      </c>
      <c r="J3570">
        <v>0</v>
      </c>
      <c r="K3570">
        <v>3</v>
      </c>
      <c r="L3570">
        <v>3</v>
      </c>
      <c r="M3570">
        <v>0</v>
      </c>
      <c r="N3570" s="23">
        <v>0</v>
      </c>
      <c r="O3570">
        <f t="shared" si="819"/>
        <v>2</v>
      </c>
      <c r="P3570" s="57">
        <f t="shared" si="820"/>
        <v>3</v>
      </c>
      <c r="Q3570" s="267">
        <f t="shared" si="821"/>
        <v>804</v>
      </c>
      <c r="R3570" s="23">
        <f t="shared" si="822"/>
        <v>321</v>
      </c>
      <c r="S3570" s="23">
        <f t="shared" si="823"/>
        <v>150</v>
      </c>
      <c r="T3570" s="23" t="str">
        <f t="shared" si="824"/>
        <v/>
      </c>
      <c r="U3570" t="str">
        <f t="shared" si="825"/>
        <v/>
      </c>
      <c r="AF3570" s="22"/>
      <c r="AU3570" s="1"/>
    </row>
    <row r="3571" spans="1:47">
      <c r="A3571" t="str">
        <f t="shared" si="818"/>
        <v>PA_Alleg_2019g~Gen-member of council pitcairn (vote for 3)</v>
      </c>
      <c r="B3571" s="55" t="s">
        <v>1528</v>
      </c>
      <c r="C3571">
        <v>880</v>
      </c>
      <c r="D3571" s="55" t="s">
        <v>812</v>
      </c>
      <c r="E3571" s="55" t="s">
        <v>814</v>
      </c>
      <c r="F3571" t="s">
        <v>1294</v>
      </c>
      <c r="G3571" s="62">
        <v>321</v>
      </c>
      <c r="H3571">
        <v>27.86</v>
      </c>
      <c r="I3571">
        <v>2151</v>
      </c>
      <c r="J3571">
        <v>0</v>
      </c>
      <c r="K3571">
        <v>3</v>
      </c>
      <c r="L3571">
        <v>3</v>
      </c>
      <c r="M3571">
        <v>0</v>
      </c>
      <c r="N3571" s="23">
        <v>0</v>
      </c>
      <c r="O3571">
        <f t="shared" si="819"/>
        <v>3</v>
      </c>
      <c r="P3571" s="57">
        <f t="shared" si="820"/>
        <v>3</v>
      </c>
      <c r="Q3571" s="267">
        <f t="shared" si="821"/>
        <v>482</v>
      </c>
      <c r="R3571" s="23">
        <f t="shared" si="822"/>
        <v>321</v>
      </c>
      <c r="S3571" s="23">
        <f t="shared" si="823"/>
        <v>150</v>
      </c>
      <c r="T3571" s="23" t="str">
        <f t="shared" si="824"/>
        <v/>
      </c>
      <c r="U3571" t="str">
        <f t="shared" si="825"/>
        <v/>
      </c>
      <c r="AF3571" s="22"/>
      <c r="AU3571" s="1"/>
    </row>
    <row r="3572" spans="1:47">
      <c r="A3572" t="str">
        <f t="shared" si="818"/>
        <v>PA_Alleg_2019g~Gen-member of council pitcairn (vote for 3)</v>
      </c>
      <c r="B3572" s="55" t="s">
        <v>1528</v>
      </c>
      <c r="C3572">
        <v>881</v>
      </c>
      <c r="D3572" s="55" t="s">
        <v>812</v>
      </c>
      <c r="E3572" s="55" t="s">
        <v>931</v>
      </c>
      <c r="F3572" t="s">
        <v>1296</v>
      </c>
      <c r="G3572" s="62">
        <v>150</v>
      </c>
      <c r="H3572">
        <v>13.02</v>
      </c>
      <c r="I3572">
        <v>2151</v>
      </c>
      <c r="J3572">
        <v>0</v>
      </c>
      <c r="K3572">
        <v>3</v>
      </c>
      <c r="L3572">
        <v>3</v>
      </c>
      <c r="M3572">
        <v>0</v>
      </c>
      <c r="N3572" s="23">
        <v>0</v>
      </c>
      <c r="O3572">
        <f t="shared" si="819"/>
        <v>4</v>
      </c>
      <c r="P3572" s="57">
        <f t="shared" si="820"/>
        <v>3</v>
      </c>
      <c r="Q3572" s="267">
        <f t="shared" si="821"/>
        <v>161</v>
      </c>
      <c r="R3572" s="23" t="str">
        <f t="shared" si="822"/>
        <v/>
      </c>
      <c r="S3572" s="23">
        <f t="shared" si="823"/>
        <v>150</v>
      </c>
      <c r="T3572" s="23" t="str">
        <f t="shared" si="824"/>
        <v/>
      </c>
      <c r="U3572" t="str">
        <f t="shared" si="825"/>
        <v/>
      </c>
      <c r="V3572" s="87"/>
      <c r="AF3572" s="22"/>
      <c r="AU3572" s="1"/>
    </row>
    <row r="3573" spans="1:47">
      <c r="A3573" t="str">
        <f t="shared" si="818"/>
        <v>PA_Alleg_2019g~Gen-member of council pitcairn (vote for 3)</v>
      </c>
      <c r="B3573" s="55" t="s">
        <v>1528</v>
      </c>
      <c r="C3573">
        <v>882</v>
      </c>
      <c r="D3573" s="55" t="s">
        <v>812</v>
      </c>
      <c r="E3573" s="55" t="s">
        <v>15</v>
      </c>
      <c r="G3573" s="62">
        <v>11</v>
      </c>
      <c r="H3573">
        <v>0.95</v>
      </c>
      <c r="I3573">
        <v>2151</v>
      </c>
      <c r="J3573">
        <v>0</v>
      </c>
      <c r="K3573">
        <v>3</v>
      </c>
      <c r="L3573">
        <v>3</v>
      </c>
      <c r="M3573">
        <v>0</v>
      </c>
      <c r="N3573" s="23">
        <v>0</v>
      </c>
      <c r="O3573">
        <f t="shared" si="819"/>
        <v>-4</v>
      </c>
      <c r="P3573" s="57">
        <f t="shared" si="820"/>
        <v>3</v>
      </c>
      <c r="Q3573" s="267">
        <f t="shared" si="821"/>
        <v>11</v>
      </c>
      <c r="R3573" s="23">
        <f t="shared" si="822"/>
        <v>1</v>
      </c>
      <c r="S3573" s="23">
        <f t="shared" si="823"/>
        <v>0</v>
      </c>
      <c r="T3573" s="23" t="str">
        <f t="shared" si="824"/>
        <v/>
      </c>
      <c r="U3573" t="str">
        <f t="shared" si="825"/>
        <v/>
      </c>
      <c r="V3573" s="87"/>
      <c r="AF3573" s="22"/>
      <c r="AU3573" s="10"/>
    </row>
    <row r="3574" spans="1:47">
      <c r="A3574" t="str">
        <f t="shared" si="818"/>
        <v>PA_Alleg_2019g~Gen-member of council pleasant hills (vote for 1)</v>
      </c>
      <c r="B3574" s="55" t="s">
        <v>1528</v>
      </c>
      <c r="C3574">
        <v>1028</v>
      </c>
      <c r="D3574" s="55" t="s">
        <v>932</v>
      </c>
      <c r="E3574" s="55" t="s">
        <v>1239</v>
      </c>
      <c r="F3574" t="s">
        <v>1296</v>
      </c>
      <c r="G3574" s="62">
        <v>1019</v>
      </c>
      <c r="H3574">
        <v>54.09</v>
      </c>
      <c r="I3574">
        <v>6307</v>
      </c>
      <c r="J3574">
        <v>0</v>
      </c>
      <c r="K3574">
        <v>10</v>
      </c>
      <c r="L3574">
        <v>10</v>
      </c>
      <c r="M3574">
        <v>0</v>
      </c>
      <c r="N3574" s="23">
        <v>0</v>
      </c>
      <c r="O3574">
        <f t="shared" si="819"/>
        <v>1</v>
      </c>
      <c r="P3574" s="57">
        <f t="shared" si="820"/>
        <v>1</v>
      </c>
      <c r="Q3574" s="267">
        <f t="shared" si="821"/>
        <v>1884</v>
      </c>
      <c r="R3574" s="23">
        <f t="shared" si="822"/>
        <v>1019</v>
      </c>
      <c r="S3574" s="23">
        <f t="shared" si="823"/>
        <v>864</v>
      </c>
      <c r="T3574" s="23">
        <f t="shared" si="824"/>
        <v>155</v>
      </c>
      <c r="U3574" t="str">
        <f t="shared" si="825"/>
        <v>PA_Alleg_2019g~Gen-member of council pleasant hills (vote for 1)</v>
      </c>
      <c r="V3574" s="87"/>
      <c r="AF3574" s="22"/>
      <c r="AU3574" s="10"/>
    </row>
    <row r="3575" spans="1:47">
      <c r="A3575" t="str">
        <f t="shared" si="818"/>
        <v>PA_Alleg_2019g~Gen-member of council pleasant hills (vote for 1)</v>
      </c>
      <c r="B3575" s="55" t="s">
        <v>1528</v>
      </c>
      <c r="C3575">
        <v>1027</v>
      </c>
      <c r="D3575" s="55" t="s">
        <v>932</v>
      </c>
      <c r="E3575" s="55" t="s">
        <v>933</v>
      </c>
      <c r="F3575" t="s">
        <v>1294</v>
      </c>
      <c r="G3575" s="62">
        <v>864</v>
      </c>
      <c r="H3575">
        <v>45.86</v>
      </c>
      <c r="I3575">
        <v>6307</v>
      </c>
      <c r="J3575">
        <v>0</v>
      </c>
      <c r="K3575">
        <v>10</v>
      </c>
      <c r="L3575">
        <v>10</v>
      </c>
      <c r="M3575">
        <v>0</v>
      </c>
      <c r="N3575" s="23">
        <v>0</v>
      </c>
      <c r="O3575">
        <f t="shared" si="819"/>
        <v>2</v>
      </c>
      <c r="P3575" s="57">
        <f t="shared" si="820"/>
        <v>1</v>
      </c>
      <c r="Q3575" s="267">
        <f t="shared" si="821"/>
        <v>865</v>
      </c>
      <c r="R3575" s="23" t="str">
        <f t="shared" si="822"/>
        <v/>
      </c>
      <c r="S3575" s="23">
        <f t="shared" si="823"/>
        <v>864</v>
      </c>
      <c r="T3575" s="23" t="str">
        <f t="shared" si="824"/>
        <v/>
      </c>
      <c r="U3575" t="str">
        <f t="shared" si="825"/>
        <v/>
      </c>
      <c r="V3575" s="87"/>
      <c r="AF3575" s="22"/>
      <c r="AU3575" s="10"/>
    </row>
    <row r="3576" spans="1:47">
      <c r="A3576" t="str">
        <f t="shared" ref="A3576:A3639" si="826">CONCATENATE(B3576,"~Gen-",LOWER(D3576))</f>
        <v>PA_Alleg_2019g~Gen-member of council pleasant hills (vote for 1)</v>
      </c>
      <c r="B3576" s="55" t="s">
        <v>1528</v>
      </c>
      <c r="C3576">
        <v>1029</v>
      </c>
      <c r="D3576" s="55" t="s">
        <v>932</v>
      </c>
      <c r="E3576" s="55" t="s">
        <v>15</v>
      </c>
      <c r="G3576" s="62">
        <v>1</v>
      </c>
      <c r="H3576">
        <v>0.05</v>
      </c>
      <c r="I3576">
        <v>6307</v>
      </c>
      <c r="J3576">
        <v>0</v>
      </c>
      <c r="K3576">
        <v>10</v>
      </c>
      <c r="L3576">
        <v>10</v>
      </c>
      <c r="M3576">
        <v>0</v>
      </c>
      <c r="N3576" s="23">
        <v>0</v>
      </c>
      <c r="O3576">
        <f t="shared" si="819"/>
        <v>-2</v>
      </c>
      <c r="P3576" s="57">
        <f t="shared" si="820"/>
        <v>1</v>
      </c>
      <c r="Q3576" s="267">
        <f t="shared" si="821"/>
        <v>1</v>
      </c>
      <c r="R3576" s="23">
        <f t="shared" si="822"/>
        <v>1</v>
      </c>
      <c r="S3576" s="23">
        <f t="shared" si="823"/>
        <v>0</v>
      </c>
      <c r="T3576" s="23" t="str">
        <f t="shared" si="824"/>
        <v/>
      </c>
      <c r="U3576" t="str">
        <f t="shared" si="825"/>
        <v/>
      </c>
      <c r="V3576" s="87"/>
      <c r="AF3576" s="22"/>
      <c r="AU3576" s="10"/>
    </row>
    <row r="3577" spans="1:47">
      <c r="A3577" t="str">
        <f t="shared" si="826"/>
        <v>PA_Alleg_2019g~Gen-member of council pleasant hills (vote for 3)</v>
      </c>
      <c r="B3577" s="55" t="s">
        <v>1528</v>
      </c>
      <c r="C3577">
        <v>885</v>
      </c>
      <c r="D3577" s="55" t="s">
        <v>819</v>
      </c>
      <c r="E3577" s="55" t="s">
        <v>1210</v>
      </c>
      <c r="F3577" t="s">
        <v>1396</v>
      </c>
      <c r="G3577" s="62">
        <v>1417</v>
      </c>
      <c r="H3577">
        <v>31.76</v>
      </c>
      <c r="I3577">
        <v>6307</v>
      </c>
      <c r="J3577">
        <v>0</v>
      </c>
      <c r="K3577">
        <v>10</v>
      </c>
      <c r="L3577">
        <v>10</v>
      </c>
      <c r="M3577">
        <v>0</v>
      </c>
      <c r="N3577" s="23">
        <v>0</v>
      </c>
      <c r="O3577">
        <f t="shared" si="819"/>
        <v>1</v>
      </c>
      <c r="P3577" s="57">
        <f t="shared" si="820"/>
        <v>3</v>
      </c>
      <c r="Q3577" s="267">
        <f t="shared" si="821"/>
        <v>1487.3333333333333</v>
      </c>
      <c r="R3577" s="23">
        <f t="shared" si="822"/>
        <v>998</v>
      </c>
      <c r="S3577" s="23">
        <f t="shared" si="823"/>
        <v>983</v>
      </c>
      <c r="T3577" s="23">
        <f t="shared" si="824"/>
        <v>15</v>
      </c>
      <c r="U3577" t="str">
        <f t="shared" si="825"/>
        <v>PA_Alleg_2019g~Gen-member of council pleasant hills (vote for 3)</v>
      </c>
      <c r="V3577" s="87"/>
      <c r="AF3577" s="22"/>
      <c r="AU3577" s="10"/>
    </row>
    <row r="3578" spans="1:47">
      <c r="A3578" t="str">
        <f t="shared" si="826"/>
        <v>PA_Alleg_2019g~Gen-member of council pleasant hills (vote for 3)</v>
      </c>
      <c r="B3578" s="55" t="s">
        <v>1528</v>
      </c>
      <c r="C3578">
        <v>883</v>
      </c>
      <c r="D3578" s="55" t="s">
        <v>819</v>
      </c>
      <c r="E3578" s="55" t="s">
        <v>1476</v>
      </c>
      <c r="F3578" t="s">
        <v>1294</v>
      </c>
      <c r="G3578" s="62">
        <v>1035</v>
      </c>
      <c r="H3578">
        <v>23.2</v>
      </c>
      <c r="I3578">
        <v>6307</v>
      </c>
      <c r="J3578">
        <v>0</v>
      </c>
      <c r="K3578">
        <v>10</v>
      </c>
      <c r="L3578">
        <v>10</v>
      </c>
      <c r="M3578">
        <v>0</v>
      </c>
      <c r="N3578" s="23">
        <v>0</v>
      </c>
      <c r="O3578">
        <f t="shared" si="819"/>
        <v>2</v>
      </c>
      <c r="P3578" s="57">
        <f t="shared" si="820"/>
        <v>3</v>
      </c>
      <c r="Q3578" s="267">
        <f t="shared" si="821"/>
        <v>3045</v>
      </c>
      <c r="R3578" s="23">
        <f t="shared" si="822"/>
        <v>998</v>
      </c>
      <c r="S3578" s="23">
        <f t="shared" si="823"/>
        <v>983</v>
      </c>
      <c r="T3578" s="23" t="str">
        <f t="shared" si="824"/>
        <v/>
      </c>
      <c r="U3578" t="str">
        <f t="shared" si="825"/>
        <v/>
      </c>
      <c r="V3578" s="87"/>
      <c r="AF3578" s="22"/>
      <c r="AU3578" s="10"/>
    </row>
    <row r="3579" spans="1:47">
      <c r="A3579" t="str">
        <f t="shared" si="826"/>
        <v>PA_Alleg_2019g~Gen-member of council pleasant hills (vote for 3)</v>
      </c>
      <c r="B3579" s="55" t="s">
        <v>1528</v>
      </c>
      <c r="C3579">
        <v>886</v>
      </c>
      <c r="D3579" s="55" t="s">
        <v>819</v>
      </c>
      <c r="E3579" s="55" t="s">
        <v>1209</v>
      </c>
      <c r="F3579" t="s">
        <v>1296</v>
      </c>
      <c r="G3579" s="62">
        <v>998</v>
      </c>
      <c r="H3579">
        <v>22.37</v>
      </c>
      <c r="I3579">
        <v>6307</v>
      </c>
      <c r="J3579">
        <v>0</v>
      </c>
      <c r="K3579">
        <v>10</v>
      </c>
      <c r="L3579">
        <v>10</v>
      </c>
      <c r="M3579">
        <v>0</v>
      </c>
      <c r="N3579" s="23">
        <v>0</v>
      </c>
      <c r="O3579">
        <f t="shared" si="819"/>
        <v>3</v>
      </c>
      <c r="P3579" s="57">
        <f t="shared" si="820"/>
        <v>3</v>
      </c>
      <c r="Q3579" s="267">
        <f t="shared" si="821"/>
        <v>2010</v>
      </c>
      <c r="R3579" s="23">
        <f t="shared" si="822"/>
        <v>998</v>
      </c>
      <c r="S3579" s="23">
        <f t="shared" si="823"/>
        <v>983</v>
      </c>
      <c r="T3579" s="23" t="str">
        <f t="shared" si="824"/>
        <v/>
      </c>
      <c r="U3579" t="str">
        <f t="shared" si="825"/>
        <v/>
      </c>
      <c r="V3579" s="87"/>
      <c r="AF3579" s="22"/>
      <c r="AU3579" s="10"/>
    </row>
    <row r="3580" spans="1:47">
      <c r="A3580" t="str">
        <f t="shared" si="826"/>
        <v>PA_Alleg_2019g~Gen-member of council pleasant hills (vote for 3)</v>
      </c>
      <c r="B3580" s="55" t="s">
        <v>1528</v>
      </c>
      <c r="C3580">
        <v>884</v>
      </c>
      <c r="D3580" s="55" t="s">
        <v>819</v>
      </c>
      <c r="E3580" s="55" t="s">
        <v>820</v>
      </c>
      <c r="F3580" t="s">
        <v>1294</v>
      </c>
      <c r="G3580" s="62">
        <v>983</v>
      </c>
      <c r="H3580">
        <v>22.03</v>
      </c>
      <c r="I3580">
        <v>6307</v>
      </c>
      <c r="J3580">
        <v>0</v>
      </c>
      <c r="K3580">
        <v>10</v>
      </c>
      <c r="L3580">
        <v>10</v>
      </c>
      <c r="M3580">
        <v>0</v>
      </c>
      <c r="N3580" s="23">
        <v>0</v>
      </c>
      <c r="O3580">
        <f t="shared" si="819"/>
        <v>4</v>
      </c>
      <c r="P3580" s="57">
        <f t="shared" si="820"/>
        <v>3</v>
      </c>
      <c r="Q3580" s="267">
        <f t="shared" si="821"/>
        <v>1012</v>
      </c>
      <c r="R3580" s="23" t="str">
        <f t="shared" si="822"/>
        <v/>
      </c>
      <c r="S3580" s="23">
        <f t="shared" si="823"/>
        <v>983</v>
      </c>
      <c r="T3580" s="23" t="str">
        <f t="shared" si="824"/>
        <v/>
      </c>
      <c r="U3580" t="str">
        <f t="shared" si="825"/>
        <v/>
      </c>
      <c r="V3580" s="87"/>
      <c r="AF3580" s="22"/>
      <c r="AU3580" s="10"/>
    </row>
    <row r="3581" spans="1:47">
      <c r="A3581" t="str">
        <f t="shared" si="826"/>
        <v>PA_Alleg_2019g~Gen-member of council pleasant hills (vote for 3)</v>
      </c>
      <c r="B3581" s="55" t="s">
        <v>1528</v>
      </c>
      <c r="C3581">
        <v>887</v>
      </c>
      <c r="D3581" s="55" t="s">
        <v>819</v>
      </c>
      <c r="E3581" s="55" t="s">
        <v>15</v>
      </c>
      <c r="G3581" s="62">
        <v>29</v>
      </c>
      <c r="H3581">
        <v>0.65</v>
      </c>
      <c r="I3581">
        <v>6307</v>
      </c>
      <c r="J3581">
        <v>0</v>
      </c>
      <c r="K3581">
        <v>10</v>
      </c>
      <c r="L3581">
        <v>10</v>
      </c>
      <c r="M3581">
        <v>0</v>
      </c>
      <c r="N3581" s="23">
        <v>0</v>
      </c>
      <c r="O3581">
        <f t="shared" si="819"/>
        <v>-4</v>
      </c>
      <c r="P3581" s="57">
        <f t="shared" si="820"/>
        <v>3</v>
      </c>
      <c r="Q3581" s="267">
        <f t="shared" si="821"/>
        <v>29</v>
      </c>
      <c r="R3581" s="23">
        <f t="shared" si="822"/>
        <v>1</v>
      </c>
      <c r="S3581" s="23">
        <f t="shared" si="823"/>
        <v>0</v>
      </c>
      <c r="T3581" s="23" t="str">
        <f t="shared" si="824"/>
        <v/>
      </c>
      <c r="U3581" t="str">
        <f t="shared" si="825"/>
        <v/>
      </c>
      <c r="V3581" s="87"/>
      <c r="AF3581" s="22"/>
      <c r="AU3581" s="10"/>
    </row>
    <row r="3582" spans="1:47">
      <c r="A3582" t="str">
        <f t="shared" si="826"/>
        <v>PA_Alleg_2019g~Gen-member of council plum (vote for 3)</v>
      </c>
      <c r="B3582" s="55" t="s">
        <v>1528</v>
      </c>
      <c r="C3582">
        <v>890</v>
      </c>
      <c r="D3582" s="55" t="s">
        <v>822</v>
      </c>
      <c r="E3582" s="55" t="s">
        <v>1477</v>
      </c>
      <c r="F3582" t="s">
        <v>1294</v>
      </c>
      <c r="G3582" s="62">
        <v>3112</v>
      </c>
      <c r="H3582">
        <v>18.510000000000002</v>
      </c>
      <c r="I3582">
        <v>19420</v>
      </c>
      <c r="J3582">
        <v>0</v>
      </c>
      <c r="K3582">
        <v>21</v>
      </c>
      <c r="L3582">
        <v>21</v>
      </c>
      <c r="M3582">
        <v>0</v>
      </c>
      <c r="N3582" s="23">
        <v>0</v>
      </c>
      <c r="O3582">
        <f t="shared" si="819"/>
        <v>1</v>
      </c>
      <c r="P3582" s="57">
        <f t="shared" si="820"/>
        <v>3</v>
      </c>
      <c r="Q3582" s="267">
        <f t="shared" si="821"/>
        <v>5603.666666666667</v>
      </c>
      <c r="R3582" s="23">
        <f t="shared" si="822"/>
        <v>2771</v>
      </c>
      <c r="S3582" s="23">
        <f t="shared" si="823"/>
        <v>2739</v>
      </c>
      <c r="T3582" s="23">
        <f t="shared" si="824"/>
        <v>32</v>
      </c>
      <c r="U3582" t="str">
        <f t="shared" si="825"/>
        <v>PA_Alleg_2019g~Gen-member of council plum (vote for 3)</v>
      </c>
      <c r="V3582" s="87"/>
      <c r="AF3582" s="22"/>
      <c r="AU3582" s="10"/>
    </row>
    <row r="3583" spans="1:47">
      <c r="A3583" t="str">
        <f t="shared" si="826"/>
        <v>PA_Alleg_2019g~Gen-member of council plum (vote for 3)</v>
      </c>
      <c r="B3583" s="55" t="s">
        <v>1528</v>
      </c>
      <c r="C3583">
        <v>888</v>
      </c>
      <c r="D3583" s="55" t="s">
        <v>822</v>
      </c>
      <c r="E3583" s="55" t="s">
        <v>823</v>
      </c>
      <c r="F3583" t="s">
        <v>1294</v>
      </c>
      <c r="G3583" s="62">
        <v>2848</v>
      </c>
      <c r="H3583">
        <v>16.940000000000001</v>
      </c>
      <c r="I3583">
        <v>19420</v>
      </c>
      <c r="J3583">
        <v>0</v>
      </c>
      <c r="K3583">
        <v>21</v>
      </c>
      <c r="L3583">
        <v>21</v>
      </c>
      <c r="M3583">
        <v>0</v>
      </c>
      <c r="N3583" s="23">
        <v>0</v>
      </c>
      <c r="O3583">
        <f t="shared" si="819"/>
        <v>2</v>
      </c>
      <c r="P3583" s="57">
        <f t="shared" si="820"/>
        <v>3</v>
      </c>
      <c r="Q3583" s="267">
        <f t="shared" si="821"/>
        <v>13699</v>
      </c>
      <c r="R3583" s="23">
        <f t="shared" si="822"/>
        <v>2771</v>
      </c>
      <c r="S3583" s="23">
        <f t="shared" si="823"/>
        <v>2739</v>
      </c>
      <c r="T3583" s="23" t="str">
        <f t="shared" si="824"/>
        <v/>
      </c>
      <c r="U3583" t="str">
        <f t="shared" si="825"/>
        <v/>
      </c>
      <c r="V3583" s="87"/>
      <c r="AF3583" s="22"/>
      <c r="AU3583" s="10"/>
    </row>
    <row r="3584" spans="1:47">
      <c r="A3584" t="str">
        <f t="shared" si="826"/>
        <v>PA_Alleg_2019g~Gen-member of council plum (vote for 3)</v>
      </c>
      <c r="B3584" s="55" t="s">
        <v>1528</v>
      </c>
      <c r="C3584">
        <v>889</v>
      </c>
      <c r="D3584" s="55" t="s">
        <v>822</v>
      </c>
      <c r="E3584" s="55" t="s">
        <v>824</v>
      </c>
      <c r="F3584" t="s">
        <v>1294</v>
      </c>
      <c r="G3584" s="62">
        <v>2771</v>
      </c>
      <c r="H3584">
        <v>16.48</v>
      </c>
      <c r="I3584">
        <v>19420</v>
      </c>
      <c r="J3584">
        <v>0</v>
      </c>
      <c r="K3584">
        <v>21</v>
      </c>
      <c r="L3584">
        <v>21</v>
      </c>
      <c r="M3584">
        <v>0</v>
      </c>
      <c r="N3584" s="23">
        <v>0</v>
      </c>
      <c r="O3584">
        <f t="shared" si="819"/>
        <v>3</v>
      </c>
      <c r="P3584" s="57">
        <f t="shared" si="820"/>
        <v>3</v>
      </c>
      <c r="Q3584" s="267">
        <f t="shared" si="821"/>
        <v>10851</v>
      </c>
      <c r="R3584" s="23">
        <f t="shared" si="822"/>
        <v>2771</v>
      </c>
      <c r="S3584" s="23">
        <f t="shared" si="823"/>
        <v>2739</v>
      </c>
      <c r="T3584" s="23" t="str">
        <f t="shared" si="824"/>
        <v/>
      </c>
      <c r="U3584" t="str">
        <f t="shared" si="825"/>
        <v/>
      </c>
      <c r="V3584" s="87"/>
      <c r="AF3584" s="22"/>
      <c r="AU3584" s="10"/>
    </row>
    <row r="3585" spans="1:47">
      <c r="A3585" t="str">
        <f t="shared" si="826"/>
        <v>PA_Alleg_2019g~Gen-member of council plum (vote for 3)</v>
      </c>
      <c r="B3585" s="55" t="s">
        <v>1528</v>
      </c>
      <c r="C3585">
        <v>891</v>
      </c>
      <c r="D3585" s="55" t="s">
        <v>822</v>
      </c>
      <c r="E3585" s="55" t="s">
        <v>1213</v>
      </c>
      <c r="F3585" t="s">
        <v>1296</v>
      </c>
      <c r="G3585" s="62">
        <v>2739</v>
      </c>
      <c r="H3585">
        <v>16.29</v>
      </c>
      <c r="I3585">
        <v>19420</v>
      </c>
      <c r="J3585">
        <v>0</v>
      </c>
      <c r="K3585">
        <v>21</v>
      </c>
      <c r="L3585">
        <v>21</v>
      </c>
      <c r="M3585">
        <v>0</v>
      </c>
      <c r="N3585" s="23">
        <v>0</v>
      </c>
      <c r="O3585">
        <f t="shared" si="819"/>
        <v>4</v>
      </c>
      <c r="P3585" s="57">
        <f t="shared" si="820"/>
        <v>3</v>
      </c>
      <c r="Q3585" s="267">
        <f t="shared" si="821"/>
        <v>8080</v>
      </c>
      <c r="R3585" s="23" t="str">
        <f t="shared" si="822"/>
        <v/>
      </c>
      <c r="S3585" s="23">
        <f t="shared" si="823"/>
        <v>2739</v>
      </c>
      <c r="T3585" s="23" t="str">
        <f t="shared" si="824"/>
        <v/>
      </c>
      <c r="U3585" t="str">
        <f t="shared" si="825"/>
        <v/>
      </c>
      <c r="V3585" s="87"/>
      <c r="AF3585" s="22"/>
      <c r="AU3585" s="10"/>
    </row>
    <row r="3586" spans="1:47">
      <c r="A3586" t="str">
        <f t="shared" si="826"/>
        <v>PA_Alleg_2019g~Gen-member of council plum (vote for 3)</v>
      </c>
      <c r="B3586" s="55" t="s">
        <v>1528</v>
      </c>
      <c r="C3586">
        <v>892</v>
      </c>
      <c r="D3586" s="55" t="s">
        <v>822</v>
      </c>
      <c r="E3586" s="55" t="s">
        <v>1212</v>
      </c>
      <c r="F3586" t="s">
        <v>1296</v>
      </c>
      <c r="G3586" s="62">
        <v>2703</v>
      </c>
      <c r="H3586">
        <v>16.079999999999998</v>
      </c>
      <c r="I3586">
        <v>19420</v>
      </c>
      <c r="J3586">
        <v>0</v>
      </c>
      <c r="K3586">
        <v>21</v>
      </c>
      <c r="L3586">
        <v>21</v>
      </c>
      <c r="M3586">
        <v>0</v>
      </c>
      <c r="N3586" s="23">
        <v>0</v>
      </c>
      <c r="O3586">
        <f t="shared" ref="O3586:O3649" si="827">IF(OR(LOWER(LEFT(E3586,8))="write-in",LOWER(LEFT(E3586,8))="not qual"),IF(A3586=A3585,-ABS(O3585),0),IF(A3586=A3585,ABS(O3585)+1,1))</f>
        <v>5</v>
      </c>
      <c r="P3586" s="57">
        <f t="shared" ref="P3586:P3649" si="828">1*LEFT(RIGHT(A3586,2),1)</f>
        <v>3</v>
      </c>
      <c r="Q3586" s="267">
        <f t="shared" ref="Q3586:Q3649" si="829">IF(A3586&lt;&gt;A3587,G3586,IF(A3586=A3585,G3586+Q3587,MAX(G3586,(G3586+Q3587)/P3586)))</f>
        <v>5341</v>
      </c>
      <c r="R3586" s="23" t="str">
        <f t="shared" ref="R3586:R3649" si="830">IF(O3586&gt;P3586,"",IF(O3586=P3586,G3586,IF(A3586=A3587,R3587,IF(O3586&lt;=0,1,G3586))))</f>
        <v/>
      </c>
      <c r="S3586" s="23">
        <f t="shared" ref="S3586:S3649" si="831">IF(AND(O3586&gt;P3586,LOWER(LEFT(E3586,8))&lt;&gt;"write-in",LOWER(LEFT(E3586,8))&lt;&gt;"not qual"),G3586,IF(A3586=A3587,S3587,0))</f>
        <v>2703</v>
      </c>
      <c r="T3586" s="23" t="str">
        <f t="shared" ref="T3586:T3649" si="832">IF(OR(A3586=A3585,S3586=0),"",R3586-ABS(S3586))</f>
        <v/>
      </c>
      <c r="U3586" t="str">
        <f t="shared" ref="U3586:U3649" si="833">IF(A3586=A3585,"",A3586)</f>
        <v/>
      </c>
      <c r="V3586" s="87"/>
      <c r="AF3586" s="22"/>
      <c r="AU3586" s="10"/>
    </row>
    <row r="3587" spans="1:47">
      <c r="A3587" t="str">
        <f t="shared" si="826"/>
        <v>PA_Alleg_2019g~Gen-member of council plum (vote for 3)</v>
      </c>
      <c r="B3587" s="55" t="s">
        <v>1528</v>
      </c>
      <c r="C3587">
        <v>893</v>
      </c>
      <c r="D3587" s="55" t="s">
        <v>822</v>
      </c>
      <c r="E3587" s="55" t="s">
        <v>1211</v>
      </c>
      <c r="F3587" t="s">
        <v>1296</v>
      </c>
      <c r="G3587" s="62">
        <v>2623</v>
      </c>
      <c r="H3587">
        <v>15.6</v>
      </c>
      <c r="I3587">
        <v>19420</v>
      </c>
      <c r="J3587">
        <v>0</v>
      </c>
      <c r="K3587">
        <v>21</v>
      </c>
      <c r="L3587">
        <v>21</v>
      </c>
      <c r="M3587">
        <v>0</v>
      </c>
      <c r="N3587" s="23">
        <v>0</v>
      </c>
      <c r="O3587">
        <f t="shared" si="827"/>
        <v>6</v>
      </c>
      <c r="P3587" s="57">
        <f t="shared" si="828"/>
        <v>3</v>
      </c>
      <c r="Q3587" s="267">
        <f t="shared" si="829"/>
        <v>2638</v>
      </c>
      <c r="R3587" s="23" t="str">
        <f t="shared" si="830"/>
        <v/>
      </c>
      <c r="S3587" s="23">
        <f t="shared" si="831"/>
        <v>2623</v>
      </c>
      <c r="T3587" s="23" t="str">
        <f t="shared" si="832"/>
        <v/>
      </c>
      <c r="U3587" t="str">
        <f t="shared" si="833"/>
        <v/>
      </c>
      <c r="V3587" s="87"/>
      <c r="AF3587" s="22"/>
      <c r="AU3587" s="10"/>
    </row>
    <row r="3588" spans="1:47">
      <c r="A3588" t="str">
        <f t="shared" si="826"/>
        <v>PA_Alleg_2019g~Gen-member of council plum (vote for 3)</v>
      </c>
      <c r="B3588" s="55" t="s">
        <v>1528</v>
      </c>
      <c r="C3588">
        <v>894</v>
      </c>
      <c r="D3588" s="55" t="s">
        <v>822</v>
      </c>
      <c r="E3588" s="55" t="s">
        <v>15</v>
      </c>
      <c r="G3588" s="62">
        <v>15</v>
      </c>
      <c r="H3588">
        <v>0.09</v>
      </c>
      <c r="I3588">
        <v>19420</v>
      </c>
      <c r="J3588">
        <v>0</v>
      </c>
      <c r="K3588">
        <v>21</v>
      </c>
      <c r="L3588">
        <v>21</v>
      </c>
      <c r="M3588">
        <v>0</v>
      </c>
      <c r="N3588" s="23">
        <v>0</v>
      </c>
      <c r="O3588">
        <f t="shared" si="827"/>
        <v>-6</v>
      </c>
      <c r="P3588" s="57">
        <f t="shared" si="828"/>
        <v>3</v>
      </c>
      <c r="Q3588" s="267">
        <f t="shared" si="829"/>
        <v>15</v>
      </c>
      <c r="R3588" s="23">
        <f t="shared" si="830"/>
        <v>1</v>
      </c>
      <c r="S3588" s="23">
        <f t="shared" si="831"/>
        <v>0</v>
      </c>
      <c r="T3588" s="23" t="str">
        <f t="shared" si="832"/>
        <v/>
      </c>
      <c r="U3588" t="str">
        <f t="shared" si="833"/>
        <v/>
      </c>
      <c r="V3588" s="87"/>
      <c r="AF3588" s="22"/>
      <c r="AU3588" s="10"/>
    </row>
    <row r="3589" spans="1:47">
      <c r="A3589" t="str">
        <f t="shared" si="826"/>
        <v>PA_Alleg_2019g~Gen-member of council port vue (vote for 3)</v>
      </c>
      <c r="B3589" s="55" t="s">
        <v>1528</v>
      </c>
      <c r="C3589">
        <v>895</v>
      </c>
      <c r="D3589" s="55" t="s">
        <v>825</v>
      </c>
      <c r="E3589" s="55" t="s">
        <v>828</v>
      </c>
      <c r="F3589" t="s">
        <v>1294</v>
      </c>
      <c r="G3589" s="62">
        <v>520</v>
      </c>
      <c r="H3589">
        <v>36.14</v>
      </c>
      <c r="I3589">
        <v>2377</v>
      </c>
      <c r="J3589">
        <v>0</v>
      </c>
      <c r="K3589">
        <v>4</v>
      </c>
      <c r="L3589">
        <v>4</v>
      </c>
      <c r="M3589">
        <v>0</v>
      </c>
      <c r="N3589" s="23">
        <v>0</v>
      </c>
      <c r="O3589">
        <f t="shared" si="827"/>
        <v>1</v>
      </c>
      <c r="P3589" s="57">
        <f t="shared" si="828"/>
        <v>3</v>
      </c>
      <c r="Q3589" s="267">
        <f t="shared" si="829"/>
        <v>520</v>
      </c>
      <c r="R3589" s="23">
        <f t="shared" si="830"/>
        <v>435</v>
      </c>
      <c r="S3589" s="23">
        <f t="shared" si="831"/>
        <v>0</v>
      </c>
      <c r="T3589" s="23" t="str">
        <f t="shared" si="832"/>
        <v/>
      </c>
      <c r="U3589" t="str">
        <f t="shared" si="833"/>
        <v>PA_Alleg_2019g~Gen-member of council port vue (vote for 3)</v>
      </c>
      <c r="V3589" s="87"/>
      <c r="AF3589" s="22"/>
      <c r="AU3589" s="10"/>
    </row>
    <row r="3590" spans="1:47">
      <c r="A3590" t="str">
        <f t="shared" si="826"/>
        <v>PA_Alleg_2019g~Gen-member of council port vue (vote for 3)</v>
      </c>
      <c r="B3590" s="55" t="s">
        <v>1528</v>
      </c>
      <c r="C3590">
        <v>896</v>
      </c>
      <c r="D3590" s="55" t="s">
        <v>825</v>
      </c>
      <c r="E3590" s="55" t="s">
        <v>827</v>
      </c>
      <c r="F3590" t="s">
        <v>1294</v>
      </c>
      <c r="G3590" s="62">
        <v>465</v>
      </c>
      <c r="H3590">
        <v>32.31</v>
      </c>
      <c r="I3590">
        <v>2377</v>
      </c>
      <c r="J3590">
        <v>0</v>
      </c>
      <c r="K3590">
        <v>4</v>
      </c>
      <c r="L3590">
        <v>4</v>
      </c>
      <c r="M3590">
        <v>0</v>
      </c>
      <c r="N3590" s="23">
        <v>0</v>
      </c>
      <c r="O3590">
        <f t="shared" si="827"/>
        <v>2</v>
      </c>
      <c r="P3590" s="57">
        <f t="shared" si="828"/>
        <v>3</v>
      </c>
      <c r="Q3590" s="267">
        <f t="shared" si="829"/>
        <v>919</v>
      </c>
      <c r="R3590" s="23">
        <f t="shared" si="830"/>
        <v>435</v>
      </c>
      <c r="S3590" s="23">
        <f t="shared" si="831"/>
        <v>0</v>
      </c>
      <c r="T3590" s="23" t="str">
        <f t="shared" si="832"/>
        <v/>
      </c>
      <c r="U3590" t="str">
        <f t="shared" si="833"/>
        <v/>
      </c>
      <c r="V3590" s="87"/>
      <c r="AF3590" s="22"/>
      <c r="AU3590" s="10"/>
    </row>
    <row r="3591" spans="1:47">
      <c r="A3591" t="str">
        <f t="shared" si="826"/>
        <v>PA_Alleg_2019g~Gen-member of council port vue (vote for 3)</v>
      </c>
      <c r="B3591" s="55" t="s">
        <v>1528</v>
      </c>
      <c r="C3591">
        <v>897</v>
      </c>
      <c r="D3591" s="55" t="s">
        <v>825</v>
      </c>
      <c r="E3591" s="55" t="s">
        <v>826</v>
      </c>
      <c r="F3591" t="s">
        <v>1294</v>
      </c>
      <c r="G3591" s="62">
        <v>435</v>
      </c>
      <c r="H3591">
        <v>30.23</v>
      </c>
      <c r="I3591">
        <v>2377</v>
      </c>
      <c r="J3591">
        <v>0</v>
      </c>
      <c r="K3591">
        <v>4</v>
      </c>
      <c r="L3591">
        <v>4</v>
      </c>
      <c r="M3591">
        <v>0</v>
      </c>
      <c r="N3591" s="23">
        <v>0</v>
      </c>
      <c r="O3591">
        <f t="shared" si="827"/>
        <v>3</v>
      </c>
      <c r="P3591" s="57">
        <f t="shared" si="828"/>
        <v>3</v>
      </c>
      <c r="Q3591" s="267">
        <f t="shared" si="829"/>
        <v>454</v>
      </c>
      <c r="R3591" s="23">
        <f t="shared" si="830"/>
        <v>435</v>
      </c>
      <c r="S3591" s="23">
        <f t="shared" si="831"/>
        <v>0</v>
      </c>
      <c r="T3591" s="23" t="str">
        <f t="shared" si="832"/>
        <v/>
      </c>
      <c r="U3591" t="str">
        <f t="shared" si="833"/>
        <v/>
      </c>
      <c r="V3591" s="87"/>
      <c r="AF3591" s="22"/>
      <c r="AU3591" s="10"/>
    </row>
    <row r="3592" spans="1:47">
      <c r="A3592" t="str">
        <f t="shared" si="826"/>
        <v>PA_Alleg_2019g~Gen-member of council port vue (vote for 3)</v>
      </c>
      <c r="B3592" s="55" t="s">
        <v>1528</v>
      </c>
      <c r="C3592">
        <v>898</v>
      </c>
      <c r="D3592" s="55" t="s">
        <v>825</v>
      </c>
      <c r="E3592" s="55" t="s">
        <v>15</v>
      </c>
      <c r="G3592" s="62">
        <v>19</v>
      </c>
      <c r="H3592">
        <v>1.32</v>
      </c>
      <c r="I3592">
        <v>2377</v>
      </c>
      <c r="J3592">
        <v>0</v>
      </c>
      <c r="K3592">
        <v>4</v>
      </c>
      <c r="L3592">
        <v>4</v>
      </c>
      <c r="M3592">
        <v>0</v>
      </c>
      <c r="N3592" s="23">
        <v>0</v>
      </c>
      <c r="O3592">
        <f t="shared" si="827"/>
        <v>-3</v>
      </c>
      <c r="P3592" s="57">
        <f t="shared" si="828"/>
        <v>3</v>
      </c>
      <c r="Q3592" s="267">
        <f t="shared" si="829"/>
        <v>19</v>
      </c>
      <c r="R3592" s="23">
        <f t="shared" si="830"/>
        <v>1</v>
      </c>
      <c r="S3592" s="23">
        <f t="shared" si="831"/>
        <v>0</v>
      </c>
      <c r="T3592" s="23" t="str">
        <f t="shared" si="832"/>
        <v/>
      </c>
      <c r="U3592" t="str">
        <f t="shared" si="833"/>
        <v/>
      </c>
      <c r="V3592" s="87"/>
      <c r="AF3592" s="22"/>
      <c r="AU3592" s="10"/>
    </row>
    <row r="3593" spans="1:47">
      <c r="A3593" t="str">
        <f t="shared" si="826"/>
        <v>PA_Alleg_2019g~Gen-member of council rankin ward 1 (vote for 1)</v>
      </c>
      <c r="B3593" s="55" t="s">
        <v>1528</v>
      </c>
      <c r="C3593">
        <v>1157</v>
      </c>
      <c r="D3593" s="55" t="s">
        <v>1050</v>
      </c>
      <c r="E3593" s="55" t="s">
        <v>1051</v>
      </c>
      <c r="F3593" t="s">
        <v>1294</v>
      </c>
      <c r="G3593" s="62">
        <v>94</v>
      </c>
      <c r="H3593">
        <v>100</v>
      </c>
      <c r="I3593">
        <v>372</v>
      </c>
      <c r="J3593">
        <v>0</v>
      </c>
      <c r="K3593">
        <v>1</v>
      </c>
      <c r="L3593">
        <v>1</v>
      </c>
      <c r="M3593">
        <v>0</v>
      </c>
      <c r="N3593" s="23">
        <v>0</v>
      </c>
      <c r="O3593">
        <f t="shared" si="827"/>
        <v>1</v>
      </c>
      <c r="P3593" s="57">
        <f t="shared" si="828"/>
        <v>1</v>
      </c>
      <c r="Q3593" s="267">
        <f t="shared" si="829"/>
        <v>94</v>
      </c>
      <c r="R3593" s="23">
        <f t="shared" si="830"/>
        <v>94</v>
      </c>
      <c r="S3593" s="23">
        <f t="shared" si="831"/>
        <v>0</v>
      </c>
      <c r="T3593" s="23" t="str">
        <f t="shared" si="832"/>
        <v/>
      </c>
      <c r="U3593" t="str">
        <f t="shared" si="833"/>
        <v>PA_Alleg_2019g~Gen-member of council rankin ward 1 (vote for 1)</v>
      </c>
      <c r="V3593" s="87"/>
      <c r="AF3593" s="22"/>
      <c r="AU3593" s="10"/>
    </row>
    <row r="3594" spans="1:47">
      <c r="A3594" t="str">
        <f t="shared" si="826"/>
        <v>PA_Alleg_2019g~Gen-member of council rankin ward 1 (vote for 1)</v>
      </c>
      <c r="B3594" s="55" t="s">
        <v>1528</v>
      </c>
      <c r="C3594">
        <v>1158</v>
      </c>
      <c r="D3594" s="55" t="s">
        <v>1050</v>
      </c>
      <c r="E3594" s="55" t="s">
        <v>15</v>
      </c>
      <c r="G3594" s="62">
        <v>0</v>
      </c>
      <c r="H3594">
        <v>0</v>
      </c>
      <c r="I3594">
        <v>372</v>
      </c>
      <c r="J3594">
        <v>0</v>
      </c>
      <c r="K3594">
        <v>1</v>
      </c>
      <c r="L3594">
        <v>1</v>
      </c>
      <c r="M3594">
        <v>0</v>
      </c>
      <c r="N3594" s="23">
        <v>0</v>
      </c>
      <c r="O3594">
        <f t="shared" si="827"/>
        <v>-1</v>
      </c>
      <c r="P3594" s="57">
        <f t="shared" si="828"/>
        <v>1</v>
      </c>
      <c r="Q3594" s="267">
        <f t="shared" si="829"/>
        <v>0</v>
      </c>
      <c r="R3594" s="23">
        <f t="shared" si="830"/>
        <v>1</v>
      </c>
      <c r="S3594" s="23">
        <f t="shared" si="831"/>
        <v>0</v>
      </c>
      <c r="T3594" s="23" t="str">
        <f t="shared" si="832"/>
        <v/>
      </c>
      <c r="U3594" t="str">
        <f t="shared" si="833"/>
        <v/>
      </c>
      <c r="V3594" s="87"/>
      <c r="AF3594" s="22"/>
      <c r="AU3594" s="10"/>
    </row>
    <row r="3595" spans="1:47">
      <c r="A3595" t="str">
        <f t="shared" si="826"/>
        <v>PA_Alleg_2019g~Gen-member of council rankin ward 2 (vote for 1)</v>
      </c>
      <c r="B3595" s="55" t="s">
        <v>1528</v>
      </c>
      <c r="C3595">
        <v>1159</v>
      </c>
      <c r="D3595" s="55" t="s">
        <v>1052</v>
      </c>
      <c r="E3595" s="55" t="s">
        <v>1053</v>
      </c>
      <c r="F3595" t="s">
        <v>1294</v>
      </c>
      <c r="G3595" s="62">
        <v>102</v>
      </c>
      <c r="H3595">
        <v>100</v>
      </c>
      <c r="I3595">
        <v>436</v>
      </c>
      <c r="J3595">
        <v>0</v>
      </c>
      <c r="K3595">
        <v>1</v>
      </c>
      <c r="L3595">
        <v>1</v>
      </c>
      <c r="M3595">
        <v>0</v>
      </c>
      <c r="N3595" s="23">
        <v>0</v>
      </c>
      <c r="O3595">
        <f t="shared" si="827"/>
        <v>1</v>
      </c>
      <c r="P3595" s="57">
        <f t="shared" si="828"/>
        <v>1</v>
      </c>
      <c r="Q3595" s="267">
        <f t="shared" si="829"/>
        <v>102</v>
      </c>
      <c r="R3595" s="23">
        <f t="shared" si="830"/>
        <v>102</v>
      </c>
      <c r="S3595" s="23">
        <f t="shared" si="831"/>
        <v>0</v>
      </c>
      <c r="T3595" s="23" t="str">
        <f t="shared" si="832"/>
        <v/>
      </c>
      <c r="U3595" t="str">
        <f t="shared" si="833"/>
        <v>PA_Alleg_2019g~Gen-member of council rankin ward 2 (vote for 1)</v>
      </c>
      <c r="V3595" s="87"/>
      <c r="AF3595" s="22"/>
      <c r="AU3595" s="10"/>
    </row>
    <row r="3596" spans="1:47">
      <c r="A3596" t="str">
        <f t="shared" si="826"/>
        <v>PA_Alleg_2019g~Gen-member of council rankin ward 2 (vote for 1)</v>
      </c>
      <c r="B3596" s="55" t="s">
        <v>1528</v>
      </c>
      <c r="C3596">
        <v>1160</v>
      </c>
      <c r="D3596" s="55" t="s">
        <v>1052</v>
      </c>
      <c r="E3596" s="55" t="s">
        <v>15</v>
      </c>
      <c r="G3596" s="62">
        <v>0</v>
      </c>
      <c r="H3596">
        <v>0</v>
      </c>
      <c r="I3596">
        <v>436</v>
      </c>
      <c r="J3596">
        <v>0</v>
      </c>
      <c r="K3596">
        <v>1</v>
      </c>
      <c r="L3596">
        <v>1</v>
      </c>
      <c r="M3596">
        <v>0</v>
      </c>
      <c r="N3596" s="23">
        <v>0</v>
      </c>
      <c r="O3596">
        <f t="shared" si="827"/>
        <v>-1</v>
      </c>
      <c r="P3596" s="57">
        <f t="shared" si="828"/>
        <v>1</v>
      </c>
      <c r="Q3596" s="267">
        <f t="shared" si="829"/>
        <v>0</v>
      </c>
      <c r="R3596" s="23">
        <f t="shared" si="830"/>
        <v>1</v>
      </c>
      <c r="S3596" s="23">
        <f t="shared" si="831"/>
        <v>0</v>
      </c>
      <c r="T3596" s="23" t="str">
        <f t="shared" si="832"/>
        <v/>
      </c>
      <c r="U3596" t="str">
        <f t="shared" si="833"/>
        <v/>
      </c>
      <c r="V3596" s="87"/>
      <c r="AF3596" s="22"/>
      <c r="AU3596" s="10"/>
    </row>
    <row r="3597" spans="1:47">
      <c r="A3597" t="str">
        <f t="shared" si="826"/>
        <v>PA_Alleg_2019g~Gen-member of council rankin ward 3 (vote for 1)</v>
      </c>
      <c r="B3597" s="55" t="s">
        <v>1528</v>
      </c>
      <c r="C3597">
        <v>1161</v>
      </c>
      <c r="D3597" s="55" t="s">
        <v>1054</v>
      </c>
      <c r="E3597" s="55" t="s">
        <v>1055</v>
      </c>
      <c r="F3597" t="s">
        <v>1294</v>
      </c>
      <c r="G3597" s="62">
        <v>88</v>
      </c>
      <c r="H3597">
        <v>98.88</v>
      </c>
      <c r="I3597">
        <v>662</v>
      </c>
      <c r="J3597">
        <v>0</v>
      </c>
      <c r="K3597">
        <v>1</v>
      </c>
      <c r="L3597">
        <v>1</v>
      </c>
      <c r="M3597">
        <v>0</v>
      </c>
      <c r="N3597" s="23">
        <v>0</v>
      </c>
      <c r="O3597">
        <f t="shared" si="827"/>
        <v>1</v>
      </c>
      <c r="P3597" s="57">
        <f t="shared" si="828"/>
        <v>1</v>
      </c>
      <c r="Q3597" s="267">
        <f t="shared" si="829"/>
        <v>89</v>
      </c>
      <c r="R3597" s="23">
        <f t="shared" si="830"/>
        <v>88</v>
      </c>
      <c r="S3597" s="23">
        <f t="shared" si="831"/>
        <v>0</v>
      </c>
      <c r="T3597" s="23" t="str">
        <f t="shared" si="832"/>
        <v/>
      </c>
      <c r="U3597" t="str">
        <f t="shared" si="833"/>
        <v>PA_Alleg_2019g~Gen-member of council rankin ward 3 (vote for 1)</v>
      </c>
      <c r="V3597" s="87"/>
      <c r="AF3597" s="22"/>
      <c r="AU3597" s="10"/>
    </row>
    <row r="3598" spans="1:47">
      <c r="A3598" t="str">
        <f t="shared" si="826"/>
        <v>PA_Alleg_2019g~Gen-member of council rankin ward 3 (vote for 1)</v>
      </c>
      <c r="B3598" s="55" t="s">
        <v>1528</v>
      </c>
      <c r="C3598">
        <v>1162</v>
      </c>
      <c r="D3598" s="55" t="s">
        <v>1054</v>
      </c>
      <c r="E3598" s="55" t="s">
        <v>15</v>
      </c>
      <c r="G3598" s="62">
        <v>1</v>
      </c>
      <c r="H3598">
        <v>1.1200000000000001</v>
      </c>
      <c r="I3598">
        <v>662</v>
      </c>
      <c r="J3598">
        <v>0</v>
      </c>
      <c r="K3598">
        <v>1</v>
      </c>
      <c r="L3598">
        <v>1</v>
      </c>
      <c r="M3598">
        <v>0</v>
      </c>
      <c r="N3598" s="23">
        <v>0</v>
      </c>
      <c r="O3598">
        <f t="shared" si="827"/>
        <v>-1</v>
      </c>
      <c r="P3598" s="57">
        <f t="shared" si="828"/>
        <v>1</v>
      </c>
      <c r="Q3598" s="267">
        <f t="shared" si="829"/>
        <v>1</v>
      </c>
      <c r="R3598" s="23">
        <f t="shared" si="830"/>
        <v>1</v>
      </c>
      <c r="S3598" s="23">
        <f t="shared" si="831"/>
        <v>0</v>
      </c>
      <c r="T3598" s="23" t="str">
        <f t="shared" si="832"/>
        <v/>
      </c>
      <c r="U3598" t="str">
        <f t="shared" si="833"/>
        <v/>
      </c>
      <c r="V3598" s="87"/>
      <c r="AF3598" s="22"/>
      <c r="AU3598" s="10"/>
    </row>
    <row r="3599" spans="1:47">
      <c r="A3599" t="str">
        <f t="shared" si="826"/>
        <v>PA_Alleg_2019g~Gen-member of council rosslyn farms (vote for 3)</v>
      </c>
      <c r="B3599" s="55" t="s">
        <v>1528</v>
      </c>
      <c r="C3599">
        <v>997</v>
      </c>
      <c r="D3599" s="55" t="s">
        <v>829</v>
      </c>
      <c r="E3599" s="55" t="s">
        <v>1235</v>
      </c>
      <c r="F3599" t="s">
        <v>1296</v>
      </c>
      <c r="G3599" s="62">
        <v>146</v>
      </c>
      <c r="H3599">
        <v>35.61</v>
      </c>
      <c r="I3599">
        <v>396</v>
      </c>
      <c r="J3599">
        <v>0</v>
      </c>
      <c r="K3599">
        <v>1</v>
      </c>
      <c r="L3599">
        <v>1</v>
      </c>
      <c r="M3599">
        <v>0</v>
      </c>
      <c r="N3599" s="23">
        <v>0</v>
      </c>
      <c r="O3599">
        <f t="shared" si="827"/>
        <v>1</v>
      </c>
      <c r="P3599" s="57">
        <f t="shared" si="828"/>
        <v>3</v>
      </c>
      <c r="Q3599" s="267">
        <f t="shared" si="829"/>
        <v>291.66666666666669</v>
      </c>
      <c r="R3599" s="23">
        <f t="shared" si="830"/>
        <v>134</v>
      </c>
      <c r="S3599" s="23">
        <f t="shared" si="831"/>
        <v>131</v>
      </c>
      <c r="T3599" s="23">
        <f t="shared" si="832"/>
        <v>3</v>
      </c>
      <c r="U3599" t="str">
        <f t="shared" si="833"/>
        <v>PA_Alleg_2019g~Gen-member of council rosslyn farms (vote for 3)</v>
      </c>
      <c r="V3599" s="87"/>
      <c r="AF3599" s="22"/>
      <c r="AU3599" s="10"/>
    </row>
    <row r="3600" spans="1:47">
      <c r="A3600" t="str">
        <f t="shared" si="826"/>
        <v>PA_Alleg_2019g~Gen-member of council rosslyn farms (vote for 3)</v>
      </c>
      <c r="B3600" s="55" t="s">
        <v>1528</v>
      </c>
      <c r="C3600">
        <v>900</v>
      </c>
      <c r="D3600" s="55" t="s">
        <v>829</v>
      </c>
      <c r="E3600" s="55" t="s">
        <v>1216</v>
      </c>
      <c r="F3600" t="s">
        <v>1296</v>
      </c>
      <c r="G3600" s="62">
        <v>141</v>
      </c>
      <c r="H3600">
        <v>30.32</v>
      </c>
      <c r="I3600">
        <v>396</v>
      </c>
      <c r="J3600">
        <v>0</v>
      </c>
      <c r="K3600">
        <v>1</v>
      </c>
      <c r="L3600">
        <v>1</v>
      </c>
      <c r="M3600">
        <v>0</v>
      </c>
      <c r="N3600" s="23">
        <v>0</v>
      </c>
      <c r="O3600">
        <f t="shared" si="827"/>
        <v>2</v>
      </c>
      <c r="P3600" s="57">
        <f t="shared" si="828"/>
        <v>3</v>
      </c>
      <c r="Q3600" s="267">
        <f t="shared" si="829"/>
        <v>729</v>
      </c>
      <c r="R3600" s="23">
        <f t="shared" si="830"/>
        <v>134</v>
      </c>
      <c r="S3600" s="23">
        <f t="shared" si="831"/>
        <v>131</v>
      </c>
      <c r="T3600" s="23" t="str">
        <f t="shared" si="832"/>
        <v/>
      </c>
      <c r="U3600" t="str">
        <f t="shared" si="833"/>
        <v/>
      </c>
      <c r="V3600" s="87"/>
      <c r="AF3600" s="22"/>
      <c r="AU3600" s="10"/>
    </row>
    <row r="3601" spans="1:47">
      <c r="A3601" t="str">
        <f t="shared" si="826"/>
        <v>PA_Alleg_2019g~Gen-member of council rosslyn farms (vote for 3)</v>
      </c>
      <c r="B3601" s="55" t="s">
        <v>1528</v>
      </c>
      <c r="C3601">
        <v>901</v>
      </c>
      <c r="D3601" s="55" t="s">
        <v>829</v>
      </c>
      <c r="E3601" s="55" t="s">
        <v>1215</v>
      </c>
      <c r="F3601" t="s">
        <v>1296</v>
      </c>
      <c r="G3601" s="62">
        <v>134</v>
      </c>
      <c r="H3601">
        <v>28.82</v>
      </c>
      <c r="I3601">
        <v>396</v>
      </c>
      <c r="J3601">
        <v>0</v>
      </c>
      <c r="K3601">
        <v>1</v>
      </c>
      <c r="L3601">
        <v>1</v>
      </c>
      <c r="M3601">
        <v>0</v>
      </c>
      <c r="N3601" s="23">
        <v>0</v>
      </c>
      <c r="O3601">
        <f t="shared" si="827"/>
        <v>3</v>
      </c>
      <c r="P3601" s="57">
        <f t="shared" si="828"/>
        <v>3</v>
      </c>
      <c r="Q3601" s="267">
        <f t="shared" si="829"/>
        <v>588</v>
      </c>
      <c r="R3601" s="23">
        <f t="shared" si="830"/>
        <v>134</v>
      </c>
      <c r="S3601" s="23">
        <f t="shared" si="831"/>
        <v>131</v>
      </c>
      <c r="T3601" s="23" t="str">
        <f t="shared" si="832"/>
        <v/>
      </c>
      <c r="U3601" t="str">
        <f t="shared" si="833"/>
        <v/>
      </c>
      <c r="V3601" s="87"/>
      <c r="AF3601" s="22"/>
      <c r="AU3601" s="10"/>
    </row>
    <row r="3602" spans="1:47">
      <c r="A3602" t="str">
        <f t="shared" si="826"/>
        <v>PA_Alleg_2019g~Gen-member of council rosslyn farms (vote for 3)</v>
      </c>
      <c r="B3602" s="55" t="s">
        <v>1528</v>
      </c>
      <c r="C3602">
        <v>998</v>
      </c>
      <c r="D3602" s="55" t="s">
        <v>829</v>
      </c>
      <c r="E3602" s="55" t="s">
        <v>1236</v>
      </c>
      <c r="F3602" t="s">
        <v>1296</v>
      </c>
      <c r="G3602" s="62">
        <v>131</v>
      </c>
      <c r="H3602">
        <v>31.95</v>
      </c>
      <c r="I3602">
        <v>396</v>
      </c>
      <c r="J3602">
        <v>0</v>
      </c>
      <c r="K3602">
        <v>1</v>
      </c>
      <c r="L3602">
        <v>1</v>
      </c>
      <c r="M3602">
        <v>0</v>
      </c>
      <c r="N3602" s="23">
        <v>0</v>
      </c>
      <c r="O3602">
        <f t="shared" si="827"/>
        <v>4</v>
      </c>
      <c r="P3602" s="57">
        <f t="shared" si="828"/>
        <v>3</v>
      </c>
      <c r="Q3602" s="267">
        <f t="shared" si="829"/>
        <v>454</v>
      </c>
      <c r="R3602" s="23" t="str">
        <f t="shared" si="830"/>
        <v/>
      </c>
      <c r="S3602" s="23">
        <f t="shared" si="831"/>
        <v>131</v>
      </c>
      <c r="T3602" s="23" t="str">
        <f t="shared" si="832"/>
        <v/>
      </c>
      <c r="U3602" t="str">
        <f t="shared" si="833"/>
        <v/>
      </c>
      <c r="V3602" s="87"/>
      <c r="AF3602" s="22"/>
      <c r="AU3602" s="10"/>
    </row>
    <row r="3603" spans="1:47">
      <c r="A3603" t="str">
        <f t="shared" si="826"/>
        <v>PA_Alleg_2019g~Gen-member of council rosslyn farms (vote for 3)</v>
      </c>
      <c r="B3603" s="55" t="s">
        <v>1528</v>
      </c>
      <c r="C3603">
        <v>996</v>
      </c>
      <c r="D3603" s="55" t="s">
        <v>829</v>
      </c>
      <c r="E3603" s="55" t="s">
        <v>910</v>
      </c>
      <c r="F3603" t="s">
        <v>1294</v>
      </c>
      <c r="G3603" s="62">
        <v>130</v>
      </c>
      <c r="H3603">
        <v>31.71</v>
      </c>
      <c r="I3603">
        <v>396</v>
      </c>
      <c r="J3603">
        <v>0</v>
      </c>
      <c r="K3603">
        <v>1</v>
      </c>
      <c r="L3603">
        <v>1</v>
      </c>
      <c r="M3603">
        <v>0</v>
      </c>
      <c r="N3603" s="23">
        <v>0</v>
      </c>
      <c r="O3603">
        <f t="shared" si="827"/>
        <v>5</v>
      </c>
      <c r="P3603" s="57">
        <f t="shared" si="828"/>
        <v>3</v>
      </c>
      <c r="Q3603" s="267">
        <f t="shared" si="829"/>
        <v>323</v>
      </c>
      <c r="R3603" s="23" t="str">
        <f t="shared" si="830"/>
        <v/>
      </c>
      <c r="S3603" s="23">
        <f t="shared" si="831"/>
        <v>130</v>
      </c>
      <c r="T3603" s="23" t="str">
        <f t="shared" si="832"/>
        <v/>
      </c>
      <c r="U3603" t="str">
        <f t="shared" si="833"/>
        <v/>
      </c>
      <c r="V3603" s="87"/>
      <c r="AF3603" s="22"/>
      <c r="AU3603" s="10"/>
    </row>
    <row r="3604" spans="1:47">
      <c r="A3604" t="str">
        <f t="shared" si="826"/>
        <v>PA_Alleg_2019g~Gen-member of council rosslyn farms (vote for 3)</v>
      </c>
      <c r="B3604" s="55" t="s">
        <v>1528</v>
      </c>
      <c r="C3604">
        <v>902</v>
      </c>
      <c r="D3604" s="55" t="s">
        <v>829</v>
      </c>
      <c r="E3604" s="55" t="s">
        <v>1214</v>
      </c>
      <c r="F3604" t="s">
        <v>1296</v>
      </c>
      <c r="G3604" s="62">
        <v>119</v>
      </c>
      <c r="H3604">
        <v>25.59</v>
      </c>
      <c r="I3604">
        <v>396</v>
      </c>
      <c r="J3604">
        <v>0</v>
      </c>
      <c r="K3604">
        <v>1</v>
      </c>
      <c r="L3604">
        <v>1</v>
      </c>
      <c r="M3604">
        <v>0</v>
      </c>
      <c r="N3604" s="23">
        <v>0</v>
      </c>
      <c r="O3604">
        <f t="shared" si="827"/>
        <v>6</v>
      </c>
      <c r="P3604" s="57">
        <f t="shared" si="828"/>
        <v>3</v>
      </c>
      <c r="Q3604" s="267">
        <f t="shared" si="829"/>
        <v>193</v>
      </c>
      <c r="R3604" s="23" t="str">
        <f t="shared" si="830"/>
        <v/>
      </c>
      <c r="S3604" s="23">
        <f t="shared" si="831"/>
        <v>119</v>
      </c>
      <c r="T3604" s="23" t="str">
        <f t="shared" si="832"/>
        <v/>
      </c>
      <c r="U3604" t="str">
        <f t="shared" si="833"/>
        <v/>
      </c>
      <c r="V3604" s="87"/>
      <c r="AF3604" s="22"/>
      <c r="AU3604" s="10"/>
    </row>
    <row r="3605" spans="1:47">
      <c r="A3605" t="str">
        <f t="shared" si="826"/>
        <v>PA_Alleg_2019g~Gen-member of council rosslyn farms (vote for 3)</v>
      </c>
      <c r="B3605" s="55" t="s">
        <v>1528</v>
      </c>
      <c r="C3605">
        <v>899</v>
      </c>
      <c r="D3605" s="55" t="s">
        <v>829</v>
      </c>
      <c r="E3605" s="55" t="s">
        <v>1478</v>
      </c>
      <c r="F3605" t="s">
        <v>1294</v>
      </c>
      <c r="G3605" s="62">
        <v>69</v>
      </c>
      <c r="H3605">
        <v>14.84</v>
      </c>
      <c r="I3605">
        <v>396</v>
      </c>
      <c r="J3605">
        <v>0</v>
      </c>
      <c r="K3605">
        <v>1</v>
      </c>
      <c r="L3605">
        <v>1</v>
      </c>
      <c r="M3605">
        <v>0</v>
      </c>
      <c r="N3605" s="23">
        <v>0</v>
      </c>
      <c r="O3605">
        <f t="shared" si="827"/>
        <v>7</v>
      </c>
      <c r="P3605" s="57">
        <f t="shared" si="828"/>
        <v>3</v>
      </c>
      <c r="Q3605" s="267">
        <f t="shared" si="829"/>
        <v>74</v>
      </c>
      <c r="R3605" s="23" t="str">
        <f t="shared" si="830"/>
        <v/>
      </c>
      <c r="S3605" s="23">
        <f t="shared" si="831"/>
        <v>69</v>
      </c>
      <c r="T3605" s="23" t="str">
        <f t="shared" si="832"/>
        <v/>
      </c>
      <c r="U3605" t="str">
        <f t="shared" si="833"/>
        <v/>
      </c>
      <c r="V3605" s="87"/>
      <c r="AF3605" s="22"/>
      <c r="AU3605" s="10"/>
    </row>
    <row r="3606" spans="1:47">
      <c r="A3606" t="str">
        <f t="shared" si="826"/>
        <v>PA_Alleg_2019g~Gen-member of council rosslyn farms (vote for 3)</v>
      </c>
      <c r="B3606" s="55" t="s">
        <v>1528</v>
      </c>
      <c r="C3606">
        <v>999</v>
      </c>
      <c r="D3606" s="55" t="s">
        <v>829</v>
      </c>
      <c r="E3606" s="55" t="s">
        <v>15</v>
      </c>
      <c r="G3606" s="62">
        <v>3</v>
      </c>
      <c r="H3606">
        <v>0.73</v>
      </c>
      <c r="I3606">
        <v>396</v>
      </c>
      <c r="J3606">
        <v>0</v>
      </c>
      <c r="K3606">
        <v>1</v>
      </c>
      <c r="L3606">
        <v>1</v>
      </c>
      <c r="M3606">
        <v>0</v>
      </c>
      <c r="N3606" s="23">
        <v>0</v>
      </c>
      <c r="O3606">
        <f t="shared" si="827"/>
        <v>-7</v>
      </c>
      <c r="P3606" s="57">
        <f t="shared" si="828"/>
        <v>3</v>
      </c>
      <c r="Q3606" s="267">
        <f t="shared" si="829"/>
        <v>5</v>
      </c>
      <c r="R3606" s="23">
        <f t="shared" si="830"/>
        <v>1</v>
      </c>
      <c r="S3606" s="23">
        <f t="shared" si="831"/>
        <v>0</v>
      </c>
      <c r="T3606" s="23" t="str">
        <f t="shared" si="832"/>
        <v/>
      </c>
      <c r="U3606" t="str">
        <f t="shared" si="833"/>
        <v/>
      </c>
      <c r="V3606" s="87"/>
      <c r="AF3606" s="22"/>
      <c r="AU3606" s="10"/>
    </row>
    <row r="3607" spans="1:47">
      <c r="A3607" t="str">
        <f t="shared" si="826"/>
        <v>PA_Alleg_2019g~Gen-member of council rosslyn farms (vote for 3)</v>
      </c>
      <c r="B3607" s="55" t="s">
        <v>1528</v>
      </c>
      <c r="C3607">
        <v>903</v>
      </c>
      <c r="D3607" s="55" t="s">
        <v>829</v>
      </c>
      <c r="E3607" s="55" t="s">
        <v>15</v>
      </c>
      <c r="G3607" s="62">
        <v>2</v>
      </c>
      <c r="H3607">
        <v>0.43</v>
      </c>
      <c r="I3607">
        <v>396</v>
      </c>
      <c r="J3607">
        <v>0</v>
      </c>
      <c r="K3607">
        <v>1</v>
      </c>
      <c r="L3607">
        <v>1</v>
      </c>
      <c r="M3607">
        <v>0</v>
      </c>
      <c r="N3607" s="23">
        <v>0</v>
      </c>
      <c r="O3607">
        <f t="shared" si="827"/>
        <v>-7</v>
      </c>
      <c r="P3607" s="57">
        <f t="shared" si="828"/>
        <v>3</v>
      </c>
      <c r="Q3607" s="267">
        <f t="shared" si="829"/>
        <v>2</v>
      </c>
      <c r="R3607" s="23">
        <f t="shared" si="830"/>
        <v>1</v>
      </c>
      <c r="S3607" s="23">
        <f t="shared" si="831"/>
        <v>0</v>
      </c>
      <c r="T3607" s="23" t="str">
        <f t="shared" si="832"/>
        <v/>
      </c>
      <c r="U3607" t="str">
        <f t="shared" si="833"/>
        <v/>
      </c>
      <c r="V3607" s="87"/>
      <c r="AF3607" s="22"/>
      <c r="AU3607" s="10"/>
    </row>
    <row r="3608" spans="1:47">
      <c r="A3608" t="str">
        <f t="shared" si="826"/>
        <v>PA_Alleg_2019g~Gen-member of council sewickley heights (vote for 1)</v>
      </c>
      <c r="B3608" s="55" t="s">
        <v>1528</v>
      </c>
      <c r="C3608">
        <v>1030</v>
      </c>
      <c r="D3608" s="55" t="s">
        <v>934</v>
      </c>
      <c r="E3608" s="55" t="s">
        <v>1240</v>
      </c>
      <c r="F3608" t="s">
        <v>1296</v>
      </c>
      <c r="G3608" s="62">
        <v>193</v>
      </c>
      <c r="H3608">
        <v>98.47</v>
      </c>
      <c r="I3608">
        <v>783</v>
      </c>
      <c r="J3608">
        <v>0</v>
      </c>
      <c r="K3608">
        <v>1</v>
      </c>
      <c r="L3608">
        <v>1</v>
      </c>
      <c r="M3608">
        <v>0</v>
      </c>
      <c r="N3608" s="23">
        <v>0</v>
      </c>
      <c r="O3608">
        <f t="shared" si="827"/>
        <v>1</v>
      </c>
      <c r="P3608" s="57">
        <f t="shared" si="828"/>
        <v>1</v>
      </c>
      <c r="Q3608" s="267">
        <f t="shared" si="829"/>
        <v>196</v>
      </c>
      <c r="R3608" s="23">
        <f t="shared" si="830"/>
        <v>193</v>
      </c>
      <c r="S3608" s="23">
        <f t="shared" si="831"/>
        <v>0</v>
      </c>
      <c r="T3608" s="23" t="str">
        <f t="shared" si="832"/>
        <v/>
      </c>
      <c r="U3608" t="str">
        <f t="shared" si="833"/>
        <v>PA_Alleg_2019g~Gen-member of council sewickley heights (vote for 1)</v>
      </c>
      <c r="V3608" s="87"/>
      <c r="AF3608" s="22"/>
      <c r="AU3608" s="10"/>
    </row>
    <row r="3609" spans="1:47">
      <c r="A3609" t="str">
        <f t="shared" si="826"/>
        <v>PA_Alleg_2019g~Gen-member of council sewickley heights (vote for 1)</v>
      </c>
      <c r="B3609" s="55" t="s">
        <v>1528</v>
      </c>
      <c r="C3609">
        <v>1031</v>
      </c>
      <c r="D3609" s="55" t="s">
        <v>934</v>
      </c>
      <c r="E3609" s="55" t="s">
        <v>15</v>
      </c>
      <c r="G3609" s="62">
        <v>3</v>
      </c>
      <c r="H3609">
        <v>1.53</v>
      </c>
      <c r="I3609">
        <v>783</v>
      </c>
      <c r="J3609">
        <v>0</v>
      </c>
      <c r="K3609">
        <v>1</v>
      </c>
      <c r="L3609">
        <v>1</v>
      </c>
      <c r="M3609">
        <v>0</v>
      </c>
      <c r="N3609" s="23">
        <v>0</v>
      </c>
      <c r="O3609">
        <f t="shared" si="827"/>
        <v>-1</v>
      </c>
      <c r="P3609" s="57">
        <f t="shared" si="828"/>
        <v>1</v>
      </c>
      <c r="Q3609" s="267">
        <f t="shared" si="829"/>
        <v>3</v>
      </c>
      <c r="R3609" s="23">
        <f t="shared" si="830"/>
        <v>1</v>
      </c>
      <c r="S3609" s="23">
        <f t="shared" si="831"/>
        <v>0</v>
      </c>
      <c r="T3609" s="23" t="str">
        <f t="shared" si="832"/>
        <v/>
      </c>
      <c r="U3609" t="str">
        <f t="shared" si="833"/>
        <v/>
      </c>
      <c r="V3609" s="87"/>
      <c r="AF3609" s="22"/>
      <c r="AU3609" s="10"/>
    </row>
    <row r="3610" spans="1:47">
      <c r="A3610" t="str">
        <f t="shared" si="826"/>
        <v>PA_Alleg_2019g~Gen-member of council sewickley heights (vote for 3)</v>
      </c>
      <c r="B3610" s="55" t="s">
        <v>1528</v>
      </c>
      <c r="C3610">
        <v>904</v>
      </c>
      <c r="D3610" s="55" t="s">
        <v>830</v>
      </c>
      <c r="E3610" s="55" t="s">
        <v>1218</v>
      </c>
      <c r="F3610" t="s">
        <v>1296</v>
      </c>
      <c r="G3610" s="62">
        <v>191</v>
      </c>
      <c r="H3610">
        <v>33.22</v>
      </c>
      <c r="I3610">
        <v>783</v>
      </c>
      <c r="J3610">
        <v>0</v>
      </c>
      <c r="K3610">
        <v>1</v>
      </c>
      <c r="L3610">
        <v>1</v>
      </c>
      <c r="M3610">
        <v>0</v>
      </c>
      <c r="N3610" s="23">
        <v>0</v>
      </c>
      <c r="O3610">
        <f t="shared" si="827"/>
        <v>1</v>
      </c>
      <c r="P3610" s="57">
        <f t="shared" si="828"/>
        <v>3</v>
      </c>
      <c r="Q3610" s="267">
        <f t="shared" si="829"/>
        <v>191.66666666666666</v>
      </c>
      <c r="R3610" s="23">
        <f t="shared" si="830"/>
        <v>185</v>
      </c>
      <c r="S3610" s="23">
        <f t="shared" si="831"/>
        <v>0</v>
      </c>
      <c r="T3610" s="23" t="str">
        <f t="shared" si="832"/>
        <v/>
      </c>
      <c r="U3610" t="str">
        <f t="shared" si="833"/>
        <v>PA_Alleg_2019g~Gen-member of council sewickley heights (vote for 3)</v>
      </c>
      <c r="V3610" s="87"/>
      <c r="AF3610" s="22"/>
      <c r="AU3610" s="10"/>
    </row>
    <row r="3611" spans="1:47">
      <c r="A3611" t="str">
        <f t="shared" si="826"/>
        <v>PA_Alleg_2019g~Gen-member of council sewickley heights (vote for 3)</v>
      </c>
      <c r="B3611" s="55" t="s">
        <v>1528</v>
      </c>
      <c r="C3611">
        <v>906</v>
      </c>
      <c r="D3611" s="55" t="s">
        <v>830</v>
      </c>
      <c r="E3611" s="55" t="s">
        <v>1217</v>
      </c>
      <c r="F3611" t="s">
        <v>1296</v>
      </c>
      <c r="G3611" s="62">
        <v>189</v>
      </c>
      <c r="H3611">
        <v>32.869999999999997</v>
      </c>
      <c r="I3611">
        <v>783</v>
      </c>
      <c r="J3611">
        <v>0</v>
      </c>
      <c r="K3611">
        <v>1</v>
      </c>
      <c r="L3611">
        <v>1</v>
      </c>
      <c r="M3611">
        <v>0</v>
      </c>
      <c r="N3611" s="23">
        <v>0</v>
      </c>
      <c r="O3611">
        <f t="shared" si="827"/>
        <v>2</v>
      </c>
      <c r="P3611" s="57">
        <f t="shared" si="828"/>
        <v>3</v>
      </c>
      <c r="Q3611" s="267">
        <f t="shared" si="829"/>
        <v>384</v>
      </c>
      <c r="R3611" s="23">
        <f t="shared" si="830"/>
        <v>185</v>
      </c>
      <c r="S3611" s="23">
        <f t="shared" si="831"/>
        <v>0</v>
      </c>
      <c r="T3611" s="23" t="str">
        <f t="shared" si="832"/>
        <v/>
      </c>
      <c r="U3611" t="str">
        <f t="shared" si="833"/>
        <v/>
      </c>
      <c r="V3611" s="87"/>
      <c r="AF3611" s="22"/>
      <c r="AU3611" s="10"/>
    </row>
    <row r="3612" spans="1:47">
      <c r="A3612" t="str">
        <f t="shared" si="826"/>
        <v>PA_Alleg_2019g~Gen-member of council sewickley heights (vote for 3)</v>
      </c>
      <c r="B3612" s="55" t="s">
        <v>1528</v>
      </c>
      <c r="C3612">
        <v>905</v>
      </c>
      <c r="D3612" s="55" t="s">
        <v>830</v>
      </c>
      <c r="E3612" s="55" t="s">
        <v>1219</v>
      </c>
      <c r="F3612" t="s">
        <v>1296</v>
      </c>
      <c r="G3612" s="62">
        <v>185</v>
      </c>
      <c r="H3612">
        <v>32.17</v>
      </c>
      <c r="I3612">
        <v>783</v>
      </c>
      <c r="J3612">
        <v>0</v>
      </c>
      <c r="K3612">
        <v>1</v>
      </c>
      <c r="L3612">
        <v>1</v>
      </c>
      <c r="M3612">
        <v>0</v>
      </c>
      <c r="N3612" s="23">
        <v>0</v>
      </c>
      <c r="O3612">
        <f t="shared" si="827"/>
        <v>3</v>
      </c>
      <c r="P3612" s="57">
        <f t="shared" si="828"/>
        <v>3</v>
      </c>
      <c r="Q3612" s="267">
        <f t="shared" si="829"/>
        <v>195</v>
      </c>
      <c r="R3612" s="23">
        <f t="shared" si="830"/>
        <v>185</v>
      </c>
      <c r="S3612" s="23">
        <f t="shared" si="831"/>
        <v>0</v>
      </c>
      <c r="T3612" s="23" t="str">
        <f t="shared" si="832"/>
        <v/>
      </c>
      <c r="U3612" t="str">
        <f t="shared" si="833"/>
        <v/>
      </c>
      <c r="V3612" s="87"/>
      <c r="AF3612" s="22"/>
      <c r="AU3612" s="10"/>
    </row>
    <row r="3613" spans="1:47">
      <c r="A3613" t="str">
        <f t="shared" si="826"/>
        <v>PA_Alleg_2019g~Gen-member of council sewickley heights (vote for 3)</v>
      </c>
      <c r="B3613" s="55" t="s">
        <v>1528</v>
      </c>
      <c r="C3613">
        <v>907</v>
      </c>
      <c r="D3613" s="55" t="s">
        <v>830</v>
      </c>
      <c r="E3613" s="55" t="s">
        <v>15</v>
      </c>
      <c r="G3613" s="62">
        <v>10</v>
      </c>
      <c r="H3613">
        <v>1.74</v>
      </c>
      <c r="I3613">
        <v>783</v>
      </c>
      <c r="J3613">
        <v>0</v>
      </c>
      <c r="K3613">
        <v>1</v>
      </c>
      <c r="L3613">
        <v>1</v>
      </c>
      <c r="M3613">
        <v>0</v>
      </c>
      <c r="N3613" s="23">
        <v>0</v>
      </c>
      <c r="O3613">
        <f t="shared" si="827"/>
        <v>-3</v>
      </c>
      <c r="P3613" s="57">
        <f t="shared" si="828"/>
        <v>3</v>
      </c>
      <c r="Q3613" s="267">
        <f t="shared" si="829"/>
        <v>10</v>
      </c>
      <c r="R3613" s="23">
        <f t="shared" si="830"/>
        <v>1</v>
      </c>
      <c r="S3613" s="23">
        <f t="shared" si="831"/>
        <v>0</v>
      </c>
      <c r="T3613" s="23" t="str">
        <f t="shared" si="832"/>
        <v/>
      </c>
      <c r="U3613" t="str">
        <f t="shared" si="833"/>
        <v/>
      </c>
      <c r="V3613" s="87"/>
      <c r="AF3613" s="22"/>
      <c r="AU3613" s="10"/>
    </row>
    <row r="3614" spans="1:47">
      <c r="A3614" t="str">
        <f t="shared" si="826"/>
        <v>PA_Alleg_2019g~Gen-member of council sewickley hills (vote for 1)</v>
      </c>
      <c r="B3614" s="55" t="s">
        <v>1528</v>
      </c>
      <c r="C3614">
        <v>1032</v>
      </c>
      <c r="D3614" s="55" t="s">
        <v>935</v>
      </c>
      <c r="E3614" s="55" t="s">
        <v>15</v>
      </c>
      <c r="G3614" s="62">
        <v>60</v>
      </c>
      <c r="H3614">
        <v>100</v>
      </c>
      <c r="I3614">
        <v>549</v>
      </c>
      <c r="J3614">
        <v>0</v>
      </c>
      <c r="K3614">
        <v>1</v>
      </c>
      <c r="L3614">
        <v>1</v>
      </c>
      <c r="M3614">
        <v>0</v>
      </c>
      <c r="N3614" s="23">
        <v>0</v>
      </c>
      <c r="O3614">
        <f t="shared" si="827"/>
        <v>0</v>
      </c>
      <c r="P3614" s="57">
        <f t="shared" si="828"/>
        <v>1</v>
      </c>
      <c r="Q3614" s="267">
        <f t="shared" si="829"/>
        <v>60</v>
      </c>
      <c r="R3614" s="23">
        <f t="shared" si="830"/>
        <v>1</v>
      </c>
      <c r="S3614" s="23">
        <f t="shared" si="831"/>
        <v>0</v>
      </c>
      <c r="T3614" s="23" t="str">
        <f t="shared" si="832"/>
        <v/>
      </c>
      <c r="U3614" t="str">
        <f t="shared" si="833"/>
        <v>PA_Alleg_2019g~Gen-member of council sewickley hills (vote for 1)</v>
      </c>
      <c r="V3614" s="87"/>
      <c r="AF3614" s="22"/>
      <c r="AU3614" s="10"/>
    </row>
    <row r="3615" spans="1:47">
      <c r="A3615" t="str">
        <f t="shared" si="826"/>
        <v>PA_Alleg_2019g~Gen-member of council sewickley hills (vote for 2)</v>
      </c>
      <c r="B3615" s="55" t="s">
        <v>1528</v>
      </c>
      <c r="C3615">
        <v>993</v>
      </c>
      <c r="D3615" s="55" t="s">
        <v>905</v>
      </c>
      <c r="E3615" s="55" t="s">
        <v>1490</v>
      </c>
      <c r="F3615" t="s">
        <v>1396</v>
      </c>
      <c r="G3615" s="62">
        <v>163</v>
      </c>
      <c r="H3615">
        <v>53.62</v>
      </c>
      <c r="I3615">
        <v>549</v>
      </c>
      <c r="J3615">
        <v>0</v>
      </c>
      <c r="K3615">
        <v>1</v>
      </c>
      <c r="L3615">
        <v>1</v>
      </c>
      <c r="M3615">
        <v>0</v>
      </c>
      <c r="N3615" s="23">
        <v>0</v>
      </c>
      <c r="O3615">
        <f t="shared" si="827"/>
        <v>1</v>
      </c>
      <c r="P3615" s="57">
        <f t="shared" si="828"/>
        <v>2</v>
      </c>
      <c r="Q3615" s="267">
        <f t="shared" si="829"/>
        <v>163</v>
      </c>
      <c r="R3615" s="23">
        <f t="shared" si="830"/>
        <v>126</v>
      </c>
      <c r="S3615" s="23">
        <f t="shared" si="831"/>
        <v>0</v>
      </c>
      <c r="T3615" s="23" t="str">
        <f t="shared" si="832"/>
        <v/>
      </c>
      <c r="U3615" t="str">
        <f t="shared" si="833"/>
        <v>PA_Alleg_2019g~Gen-member of council sewickley hills (vote for 2)</v>
      </c>
      <c r="V3615" s="87"/>
      <c r="AF3615" s="22"/>
      <c r="AU3615" s="10"/>
    </row>
    <row r="3616" spans="1:47">
      <c r="A3616" t="str">
        <f t="shared" si="826"/>
        <v>PA_Alleg_2019g~Gen-member of council sewickley hills (vote for 2)</v>
      </c>
      <c r="B3616" s="55" t="s">
        <v>1528</v>
      </c>
      <c r="C3616">
        <v>992</v>
      </c>
      <c r="D3616" s="55" t="s">
        <v>905</v>
      </c>
      <c r="E3616" s="55" t="s">
        <v>906</v>
      </c>
      <c r="F3616" t="s">
        <v>1294</v>
      </c>
      <c r="G3616" s="62">
        <v>126</v>
      </c>
      <c r="H3616">
        <v>41.45</v>
      </c>
      <c r="I3616">
        <v>549</v>
      </c>
      <c r="J3616">
        <v>0</v>
      </c>
      <c r="K3616">
        <v>1</v>
      </c>
      <c r="L3616">
        <v>1</v>
      </c>
      <c r="M3616">
        <v>0</v>
      </c>
      <c r="N3616" s="23">
        <v>0</v>
      </c>
      <c r="O3616">
        <f t="shared" si="827"/>
        <v>2</v>
      </c>
      <c r="P3616" s="57">
        <f t="shared" si="828"/>
        <v>2</v>
      </c>
      <c r="Q3616" s="267">
        <f t="shared" si="829"/>
        <v>141</v>
      </c>
      <c r="R3616" s="23">
        <f t="shared" si="830"/>
        <v>126</v>
      </c>
      <c r="S3616" s="23">
        <f t="shared" si="831"/>
        <v>0</v>
      </c>
      <c r="T3616" s="23" t="str">
        <f t="shared" si="832"/>
        <v/>
      </c>
      <c r="U3616" t="str">
        <f t="shared" si="833"/>
        <v/>
      </c>
      <c r="V3616" s="87"/>
      <c r="AF3616" s="22"/>
      <c r="AU3616" s="10"/>
    </row>
    <row r="3617" spans="1:47">
      <c r="A3617" t="str">
        <f t="shared" si="826"/>
        <v>PA_Alleg_2019g~Gen-member of council sewickley hills (vote for 2)</v>
      </c>
      <c r="B3617" s="55" t="s">
        <v>1528</v>
      </c>
      <c r="C3617">
        <v>994</v>
      </c>
      <c r="D3617" s="55" t="s">
        <v>905</v>
      </c>
      <c r="E3617" s="55" t="s">
        <v>15</v>
      </c>
      <c r="G3617" s="62">
        <v>15</v>
      </c>
      <c r="H3617">
        <v>4.93</v>
      </c>
      <c r="I3617">
        <v>549</v>
      </c>
      <c r="J3617">
        <v>0</v>
      </c>
      <c r="K3617">
        <v>1</v>
      </c>
      <c r="L3617">
        <v>1</v>
      </c>
      <c r="M3617">
        <v>0</v>
      </c>
      <c r="N3617" s="23">
        <v>0</v>
      </c>
      <c r="O3617">
        <f t="shared" si="827"/>
        <v>-2</v>
      </c>
      <c r="P3617" s="57">
        <f t="shared" si="828"/>
        <v>2</v>
      </c>
      <c r="Q3617" s="267">
        <f t="shared" si="829"/>
        <v>15</v>
      </c>
      <c r="R3617" s="23">
        <f t="shared" si="830"/>
        <v>1</v>
      </c>
      <c r="S3617" s="23">
        <f t="shared" si="831"/>
        <v>0</v>
      </c>
      <c r="T3617" s="23" t="str">
        <f t="shared" si="832"/>
        <v/>
      </c>
      <c r="U3617" t="str">
        <f t="shared" si="833"/>
        <v/>
      </c>
      <c r="V3617" s="87"/>
      <c r="AF3617" s="22"/>
      <c r="AU3617" s="10"/>
    </row>
    <row r="3618" spans="1:47">
      <c r="A3618" t="str">
        <f t="shared" si="826"/>
        <v>PA_Alleg_2019g~Gen-member of council sewickley ward 1 (vote for 1)</v>
      </c>
      <c r="B3618" s="55" t="s">
        <v>1528</v>
      </c>
      <c r="C3618">
        <v>1163</v>
      </c>
      <c r="D3618" s="55" t="s">
        <v>1056</v>
      </c>
      <c r="E3618" s="55" t="s">
        <v>1057</v>
      </c>
      <c r="F3618" t="s">
        <v>1294</v>
      </c>
      <c r="G3618" s="62">
        <v>207</v>
      </c>
      <c r="H3618">
        <v>56.56</v>
      </c>
      <c r="I3618">
        <v>1005</v>
      </c>
      <c r="J3618">
        <v>0</v>
      </c>
      <c r="K3618">
        <v>1</v>
      </c>
      <c r="L3618">
        <v>1</v>
      </c>
      <c r="M3618">
        <v>0</v>
      </c>
      <c r="N3618" s="23">
        <v>0</v>
      </c>
      <c r="O3618">
        <f t="shared" si="827"/>
        <v>1</v>
      </c>
      <c r="P3618" s="57">
        <f t="shared" si="828"/>
        <v>1</v>
      </c>
      <c r="Q3618" s="267">
        <f t="shared" si="829"/>
        <v>366</v>
      </c>
      <c r="R3618" s="23">
        <f t="shared" si="830"/>
        <v>207</v>
      </c>
      <c r="S3618" s="23">
        <f t="shared" si="831"/>
        <v>157</v>
      </c>
      <c r="T3618" s="23">
        <f t="shared" si="832"/>
        <v>50</v>
      </c>
      <c r="U3618" t="str">
        <f t="shared" si="833"/>
        <v>PA_Alleg_2019g~Gen-member of council sewickley ward 1 (vote for 1)</v>
      </c>
      <c r="V3618" s="87"/>
      <c r="AF3618" s="22"/>
      <c r="AU3618" s="10"/>
    </row>
    <row r="3619" spans="1:47">
      <c r="A3619" t="str">
        <f t="shared" si="826"/>
        <v>PA_Alleg_2019g~Gen-member of council sewickley ward 1 (vote for 1)</v>
      </c>
      <c r="B3619" s="55" t="s">
        <v>1528</v>
      </c>
      <c r="C3619">
        <v>1164</v>
      </c>
      <c r="D3619" s="55" t="s">
        <v>1056</v>
      </c>
      <c r="E3619" s="55" t="s">
        <v>1259</v>
      </c>
      <c r="F3619" t="s">
        <v>1296</v>
      </c>
      <c r="G3619" s="62">
        <v>157</v>
      </c>
      <c r="H3619">
        <v>42.9</v>
      </c>
      <c r="I3619">
        <v>1005</v>
      </c>
      <c r="J3619">
        <v>0</v>
      </c>
      <c r="K3619">
        <v>1</v>
      </c>
      <c r="L3619">
        <v>1</v>
      </c>
      <c r="M3619">
        <v>0</v>
      </c>
      <c r="N3619" s="23">
        <v>0</v>
      </c>
      <c r="O3619">
        <f t="shared" si="827"/>
        <v>2</v>
      </c>
      <c r="P3619" s="57">
        <f t="shared" si="828"/>
        <v>1</v>
      </c>
      <c r="Q3619" s="267">
        <f t="shared" si="829"/>
        <v>159</v>
      </c>
      <c r="R3619" s="23" t="str">
        <f t="shared" si="830"/>
        <v/>
      </c>
      <c r="S3619" s="23">
        <f t="shared" si="831"/>
        <v>157</v>
      </c>
      <c r="T3619" s="23" t="str">
        <f t="shared" si="832"/>
        <v/>
      </c>
      <c r="U3619" t="str">
        <f t="shared" si="833"/>
        <v/>
      </c>
      <c r="V3619" s="87"/>
      <c r="AF3619" s="22"/>
      <c r="AU3619" s="10"/>
    </row>
    <row r="3620" spans="1:47">
      <c r="A3620" t="str">
        <f t="shared" si="826"/>
        <v>PA_Alleg_2019g~Gen-member of council sewickley ward 1 (vote for 1)</v>
      </c>
      <c r="B3620" s="55" t="s">
        <v>1528</v>
      </c>
      <c r="C3620">
        <v>1165</v>
      </c>
      <c r="D3620" s="55" t="s">
        <v>1056</v>
      </c>
      <c r="E3620" s="55" t="s">
        <v>15</v>
      </c>
      <c r="G3620" s="62">
        <v>2</v>
      </c>
      <c r="H3620">
        <v>0.55000000000000004</v>
      </c>
      <c r="I3620">
        <v>1005</v>
      </c>
      <c r="J3620">
        <v>0</v>
      </c>
      <c r="K3620">
        <v>1</v>
      </c>
      <c r="L3620">
        <v>1</v>
      </c>
      <c r="M3620">
        <v>0</v>
      </c>
      <c r="N3620" s="23">
        <v>0</v>
      </c>
      <c r="O3620">
        <f t="shared" si="827"/>
        <v>-2</v>
      </c>
      <c r="P3620" s="57">
        <f t="shared" si="828"/>
        <v>1</v>
      </c>
      <c r="Q3620" s="267">
        <f t="shared" si="829"/>
        <v>2</v>
      </c>
      <c r="R3620" s="23">
        <f t="shared" si="830"/>
        <v>1</v>
      </c>
      <c r="S3620" s="23">
        <f t="shared" si="831"/>
        <v>0</v>
      </c>
      <c r="T3620" s="23" t="str">
        <f t="shared" si="832"/>
        <v/>
      </c>
      <c r="U3620" t="str">
        <f t="shared" si="833"/>
        <v/>
      </c>
      <c r="V3620" s="87"/>
      <c r="AF3620" s="22"/>
      <c r="AU3620" s="10"/>
    </row>
    <row r="3621" spans="1:47">
      <c r="A3621" t="str">
        <f t="shared" si="826"/>
        <v>PA_Alleg_2019g~Gen-member of council sewickley ward 2 (vote for 2)</v>
      </c>
      <c r="B3621" s="55" t="s">
        <v>1528</v>
      </c>
      <c r="C3621">
        <v>1059</v>
      </c>
      <c r="D3621" s="55" t="s">
        <v>960</v>
      </c>
      <c r="E3621" s="55" t="s">
        <v>1497</v>
      </c>
      <c r="F3621" t="s">
        <v>1396</v>
      </c>
      <c r="G3621" s="62">
        <v>297</v>
      </c>
      <c r="H3621">
        <v>43.87</v>
      </c>
      <c r="I3621">
        <v>1169</v>
      </c>
      <c r="J3621">
        <v>0</v>
      </c>
      <c r="K3621">
        <v>2</v>
      </c>
      <c r="L3621">
        <v>2</v>
      </c>
      <c r="M3621">
        <v>0</v>
      </c>
      <c r="N3621" s="23">
        <v>0</v>
      </c>
      <c r="O3621">
        <f t="shared" si="827"/>
        <v>1</v>
      </c>
      <c r="P3621" s="57">
        <f t="shared" si="828"/>
        <v>2</v>
      </c>
      <c r="Q3621" s="267">
        <f t="shared" si="829"/>
        <v>338.5</v>
      </c>
      <c r="R3621" s="23">
        <f t="shared" si="830"/>
        <v>275</v>
      </c>
      <c r="S3621" s="23">
        <f t="shared" si="831"/>
        <v>101</v>
      </c>
      <c r="T3621" s="23">
        <f t="shared" si="832"/>
        <v>174</v>
      </c>
      <c r="U3621" t="str">
        <f t="shared" si="833"/>
        <v>PA_Alleg_2019g~Gen-member of council sewickley ward 2 (vote for 2)</v>
      </c>
      <c r="V3621" s="87"/>
      <c r="AF3621" s="22"/>
      <c r="AU3621" s="10"/>
    </row>
    <row r="3622" spans="1:47">
      <c r="A3622" t="str">
        <f t="shared" si="826"/>
        <v>PA_Alleg_2019g~Gen-member of council sewickley ward 2 (vote for 2)</v>
      </c>
      <c r="B3622" s="55" t="s">
        <v>1528</v>
      </c>
      <c r="C3622">
        <v>1060</v>
      </c>
      <c r="D3622" s="55" t="s">
        <v>960</v>
      </c>
      <c r="E3622" s="55" t="s">
        <v>1242</v>
      </c>
      <c r="F3622" t="s">
        <v>1396</v>
      </c>
      <c r="G3622" s="62">
        <v>275</v>
      </c>
      <c r="H3622">
        <v>40.619999999999997</v>
      </c>
      <c r="I3622">
        <v>1169</v>
      </c>
      <c r="J3622">
        <v>0</v>
      </c>
      <c r="K3622">
        <v>2</v>
      </c>
      <c r="L3622">
        <v>2</v>
      </c>
      <c r="M3622">
        <v>0</v>
      </c>
      <c r="N3622" s="23">
        <v>0</v>
      </c>
      <c r="O3622">
        <f t="shared" si="827"/>
        <v>2</v>
      </c>
      <c r="P3622" s="57">
        <f t="shared" si="828"/>
        <v>2</v>
      </c>
      <c r="Q3622" s="267">
        <f t="shared" si="829"/>
        <v>380</v>
      </c>
      <c r="R3622" s="23">
        <f t="shared" si="830"/>
        <v>275</v>
      </c>
      <c r="S3622" s="23">
        <f t="shared" si="831"/>
        <v>101</v>
      </c>
      <c r="T3622" s="23" t="str">
        <f t="shared" si="832"/>
        <v/>
      </c>
      <c r="U3622" t="str">
        <f t="shared" si="833"/>
        <v/>
      </c>
      <c r="V3622" s="87"/>
      <c r="AF3622" s="22"/>
      <c r="AU3622" s="10"/>
    </row>
    <row r="3623" spans="1:47">
      <c r="A3623" t="str">
        <f t="shared" si="826"/>
        <v>PA_Alleg_2019g~Gen-member of council sewickley ward 2 (vote for 2)</v>
      </c>
      <c r="B3623" s="55" t="s">
        <v>1528</v>
      </c>
      <c r="C3623">
        <v>1061</v>
      </c>
      <c r="D3623" s="55" t="s">
        <v>960</v>
      </c>
      <c r="E3623" s="55" t="s">
        <v>1498</v>
      </c>
      <c r="F3623" t="s">
        <v>1399</v>
      </c>
      <c r="G3623" s="62">
        <v>101</v>
      </c>
      <c r="H3623">
        <v>14.92</v>
      </c>
      <c r="I3623">
        <v>1169</v>
      </c>
      <c r="J3623">
        <v>0</v>
      </c>
      <c r="K3623">
        <v>2</v>
      </c>
      <c r="L3623">
        <v>2</v>
      </c>
      <c r="M3623">
        <v>0</v>
      </c>
      <c r="N3623" s="23">
        <v>0</v>
      </c>
      <c r="O3623">
        <f t="shared" si="827"/>
        <v>3</v>
      </c>
      <c r="P3623" s="57">
        <f t="shared" si="828"/>
        <v>2</v>
      </c>
      <c r="Q3623" s="267">
        <f t="shared" si="829"/>
        <v>105</v>
      </c>
      <c r="R3623" s="23" t="str">
        <f t="shared" si="830"/>
        <v/>
      </c>
      <c r="S3623" s="23">
        <f t="shared" si="831"/>
        <v>101</v>
      </c>
      <c r="T3623" s="23" t="str">
        <f t="shared" si="832"/>
        <v/>
      </c>
      <c r="U3623" t="str">
        <f t="shared" si="833"/>
        <v/>
      </c>
      <c r="V3623" s="87"/>
      <c r="AF3623" s="22"/>
      <c r="AU3623" s="10"/>
    </row>
    <row r="3624" spans="1:47">
      <c r="A3624" t="str">
        <f t="shared" si="826"/>
        <v>PA_Alleg_2019g~Gen-member of council sewickley ward 2 (vote for 2)</v>
      </c>
      <c r="B3624" s="55" t="s">
        <v>1528</v>
      </c>
      <c r="C3624">
        <v>1062</v>
      </c>
      <c r="D3624" s="55" t="s">
        <v>960</v>
      </c>
      <c r="E3624" s="55" t="s">
        <v>15</v>
      </c>
      <c r="G3624" s="62">
        <v>4</v>
      </c>
      <c r="H3624">
        <v>0.59</v>
      </c>
      <c r="I3624">
        <v>1169</v>
      </c>
      <c r="J3624">
        <v>0</v>
      </c>
      <c r="K3624">
        <v>2</v>
      </c>
      <c r="L3624">
        <v>2</v>
      </c>
      <c r="M3624">
        <v>0</v>
      </c>
      <c r="N3624" s="23">
        <v>0</v>
      </c>
      <c r="O3624">
        <f t="shared" si="827"/>
        <v>-3</v>
      </c>
      <c r="P3624" s="57">
        <f t="shared" si="828"/>
        <v>2</v>
      </c>
      <c r="Q3624" s="267">
        <f t="shared" si="829"/>
        <v>4</v>
      </c>
      <c r="R3624" s="23">
        <f t="shared" si="830"/>
        <v>1</v>
      </c>
      <c r="S3624" s="23">
        <f t="shared" si="831"/>
        <v>0</v>
      </c>
      <c r="T3624" s="23" t="str">
        <f t="shared" si="832"/>
        <v/>
      </c>
      <c r="U3624" t="str">
        <f t="shared" si="833"/>
        <v/>
      </c>
      <c r="V3624" s="87"/>
      <c r="AF3624" s="22"/>
      <c r="AU3624" s="10"/>
    </row>
    <row r="3625" spans="1:47">
      <c r="A3625" t="str">
        <f t="shared" si="826"/>
        <v>PA_Alleg_2019g~Gen-member of council sewickley ward 3 (vote for 1)</v>
      </c>
      <c r="B3625" s="55" t="s">
        <v>1528</v>
      </c>
      <c r="C3625">
        <v>1166</v>
      </c>
      <c r="D3625" s="55" t="s">
        <v>1058</v>
      </c>
      <c r="E3625" s="55" t="s">
        <v>1059</v>
      </c>
      <c r="F3625" t="s">
        <v>1294</v>
      </c>
      <c r="G3625" s="62">
        <v>205</v>
      </c>
      <c r="H3625">
        <v>62.31</v>
      </c>
      <c r="I3625">
        <v>1099</v>
      </c>
      <c r="J3625">
        <v>0</v>
      </c>
      <c r="K3625">
        <v>1</v>
      </c>
      <c r="L3625">
        <v>1</v>
      </c>
      <c r="M3625">
        <v>0</v>
      </c>
      <c r="N3625" s="23">
        <v>0</v>
      </c>
      <c r="O3625">
        <f t="shared" si="827"/>
        <v>1</v>
      </c>
      <c r="P3625" s="57">
        <f t="shared" si="828"/>
        <v>1</v>
      </c>
      <c r="Q3625" s="267">
        <f t="shared" si="829"/>
        <v>329</v>
      </c>
      <c r="R3625" s="23">
        <f t="shared" si="830"/>
        <v>205</v>
      </c>
      <c r="S3625" s="23">
        <f t="shared" si="831"/>
        <v>124</v>
      </c>
      <c r="T3625" s="23">
        <f t="shared" si="832"/>
        <v>81</v>
      </c>
      <c r="U3625" t="str">
        <f t="shared" si="833"/>
        <v>PA_Alleg_2019g~Gen-member of council sewickley ward 3 (vote for 1)</v>
      </c>
      <c r="V3625" s="87"/>
      <c r="AF3625" s="22"/>
      <c r="AU3625" s="10"/>
    </row>
    <row r="3626" spans="1:47">
      <c r="A3626" t="str">
        <f t="shared" si="826"/>
        <v>PA_Alleg_2019g~Gen-member of council sewickley ward 3 (vote for 1)</v>
      </c>
      <c r="B3626" s="55" t="s">
        <v>1528</v>
      </c>
      <c r="C3626">
        <v>1167</v>
      </c>
      <c r="D3626" s="55" t="s">
        <v>1058</v>
      </c>
      <c r="E3626" s="55" t="s">
        <v>1501</v>
      </c>
      <c r="F3626" t="s">
        <v>1296</v>
      </c>
      <c r="G3626" s="62">
        <v>124</v>
      </c>
      <c r="H3626">
        <v>37.69</v>
      </c>
      <c r="I3626">
        <v>1099</v>
      </c>
      <c r="J3626">
        <v>0</v>
      </c>
      <c r="K3626">
        <v>1</v>
      </c>
      <c r="L3626">
        <v>1</v>
      </c>
      <c r="M3626">
        <v>0</v>
      </c>
      <c r="N3626" s="23">
        <v>0</v>
      </c>
      <c r="O3626">
        <f t="shared" si="827"/>
        <v>2</v>
      </c>
      <c r="P3626" s="57">
        <f t="shared" si="828"/>
        <v>1</v>
      </c>
      <c r="Q3626" s="267">
        <f t="shared" si="829"/>
        <v>124</v>
      </c>
      <c r="R3626" s="23" t="str">
        <f t="shared" si="830"/>
        <v/>
      </c>
      <c r="S3626" s="23">
        <f t="shared" si="831"/>
        <v>124</v>
      </c>
      <c r="T3626" s="23" t="str">
        <f t="shared" si="832"/>
        <v/>
      </c>
      <c r="U3626" t="str">
        <f t="shared" si="833"/>
        <v/>
      </c>
      <c r="V3626" s="87"/>
      <c r="AF3626" s="22"/>
      <c r="AU3626" s="10"/>
    </row>
    <row r="3627" spans="1:47">
      <c r="A3627" t="str">
        <f t="shared" si="826"/>
        <v>PA_Alleg_2019g~Gen-member of council sewickley ward 3 (vote for 1)</v>
      </c>
      <c r="B3627" s="55" t="s">
        <v>1528</v>
      </c>
      <c r="C3627">
        <v>1168</v>
      </c>
      <c r="D3627" s="55" t="s">
        <v>1058</v>
      </c>
      <c r="E3627" s="55" t="s">
        <v>15</v>
      </c>
      <c r="G3627" s="62">
        <v>0</v>
      </c>
      <c r="H3627">
        <v>0</v>
      </c>
      <c r="I3627">
        <v>1099</v>
      </c>
      <c r="J3627">
        <v>0</v>
      </c>
      <c r="K3627">
        <v>1</v>
      </c>
      <c r="L3627">
        <v>1</v>
      </c>
      <c r="M3627">
        <v>0</v>
      </c>
      <c r="N3627" s="23">
        <v>0</v>
      </c>
      <c r="O3627">
        <f t="shared" si="827"/>
        <v>-2</v>
      </c>
      <c r="P3627" s="57">
        <f t="shared" si="828"/>
        <v>1</v>
      </c>
      <c r="Q3627" s="267">
        <f t="shared" si="829"/>
        <v>0</v>
      </c>
      <c r="R3627" s="23">
        <f t="shared" si="830"/>
        <v>1</v>
      </c>
      <c r="S3627" s="23">
        <f t="shared" si="831"/>
        <v>0</v>
      </c>
      <c r="T3627" s="23" t="str">
        <f t="shared" si="832"/>
        <v/>
      </c>
      <c r="U3627" t="str">
        <f t="shared" si="833"/>
        <v/>
      </c>
      <c r="V3627" s="87"/>
      <c r="AF3627" s="22"/>
      <c r="AU3627" s="10"/>
    </row>
    <row r="3628" spans="1:47">
      <c r="A3628" t="str">
        <f t="shared" si="826"/>
        <v>PA_Alleg_2019g~Gen-member of council sharpsburg (vote for 1)</v>
      </c>
      <c r="B3628" s="55" t="s">
        <v>1528</v>
      </c>
      <c r="C3628">
        <v>1033</v>
      </c>
      <c r="D3628" s="55" t="s">
        <v>1494</v>
      </c>
      <c r="E3628" s="55" t="s">
        <v>1495</v>
      </c>
      <c r="F3628" t="s">
        <v>1294</v>
      </c>
      <c r="G3628" s="62">
        <v>392</v>
      </c>
      <c r="H3628">
        <v>98</v>
      </c>
      <c r="I3628">
        <v>2348</v>
      </c>
      <c r="J3628">
        <v>0</v>
      </c>
      <c r="K3628">
        <v>3</v>
      </c>
      <c r="L3628">
        <v>3</v>
      </c>
      <c r="M3628">
        <v>0</v>
      </c>
      <c r="N3628" s="23">
        <v>0</v>
      </c>
      <c r="O3628">
        <f t="shared" si="827"/>
        <v>1</v>
      </c>
      <c r="P3628" s="57">
        <f t="shared" si="828"/>
        <v>1</v>
      </c>
      <c r="Q3628" s="267">
        <f t="shared" si="829"/>
        <v>400</v>
      </c>
      <c r="R3628" s="23">
        <f t="shared" si="830"/>
        <v>392</v>
      </c>
      <c r="S3628" s="23">
        <f t="shared" si="831"/>
        <v>0</v>
      </c>
      <c r="T3628" s="23" t="str">
        <f t="shared" si="832"/>
        <v/>
      </c>
      <c r="U3628" t="str">
        <f t="shared" si="833"/>
        <v>PA_Alleg_2019g~Gen-member of council sharpsburg (vote for 1)</v>
      </c>
      <c r="V3628" s="87"/>
      <c r="AF3628" s="22"/>
      <c r="AU3628" s="10"/>
    </row>
    <row r="3629" spans="1:47">
      <c r="A3629" t="str">
        <f t="shared" si="826"/>
        <v>PA_Alleg_2019g~Gen-member of council sharpsburg (vote for 1)</v>
      </c>
      <c r="B3629" s="55" t="s">
        <v>1528</v>
      </c>
      <c r="C3629">
        <v>1034</v>
      </c>
      <c r="D3629" s="55" t="s">
        <v>1494</v>
      </c>
      <c r="E3629" s="55" t="s">
        <v>15</v>
      </c>
      <c r="G3629" s="62">
        <v>8</v>
      </c>
      <c r="H3629">
        <v>2</v>
      </c>
      <c r="I3629">
        <v>2348</v>
      </c>
      <c r="J3629">
        <v>0</v>
      </c>
      <c r="K3629">
        <v>3</v>
      </c>
      <c r="L3629">
        <v>3</v>
      </c>
      <c r="M3629">
        <v>0</v>
      </c>
      <c r="N3629" s="23">
        <v>0</v>
      </c>
      <c r="O3629">
        <f t="shared" si="827"/>
        <v>-1</v>
      </c>
      <c r="P3629" s="57">
        <f t="shared" si="828"/>
        <v>1</v>
      </c>
      <c r="Q3629" s="267">
        <f t="shared" si="829"/>
        <v>8</v>
      </c>
      <c r="R3629" s="23">
        <f t="shared" si="830"/>
        <v>1</v>
      </c>
      <c r="S3629" s="23">
        <f t="shared" si="831"/>
        <v>0</v>
      </c>
      <c r="T3629" s="23" t="str">
        <f t="shared" si="832"/>
        <v/>
      </c>
      <c r="U3629" t="str">
        <f t="shared" si="833"/>
        <v/>
      </c>
      <c r="V3629" s="87"/>
      <c r="AF3629" s="22"/>
      <c r="AU3629" s="10"/>
    </row>
    <row r="3630" spans="1:47">
      <c r="A3630" t="str">
        <f t="shared" si="826"/>
        <v>PA_Alleg_2019g~Gen-member of council sharpsburg (vote for 3)</v>
      </c>
      <c r="B3630" s="55" t="s">
        <v>1528</v>
      </c>
      <c r="C3630">
        <v>908</v>
      </c>
      <c r="D3630" s="55" t="s">
        <v>831</v>
      </c>
      <c r="E3630" s="55" t="s">
        <v>833</v>
      </c>
      <c r="F3630" t="s">
        <v>1294</v>
      </c>
      <c r="G3630" s="62">
        <v>376</v>
      </c>
      <c r="H3630">
        <v>35.11</v>
      </c>
      <c r="I3630">
        <v>2348</v>
      </c>
      <c r="J3630">
        <v>0</v>
      </c>
      <c r="K3630">
        <v>3</v>
      </c>
      <c r="L3630">
        <v>3</v>
      </c>
      <c r="M3630">
        <v>0</v>
      </c>
      <c r="N3630" s="23">
        <v>0</v>
      </c>
      <c r="O3630">
        <f t="shared" si="827"/>
        <v>1</v>
      </c>
      <c r="P3630" s="57">
        <f t="shared" si="828"/>
        <v>3</v>
      </c>
      <c r="Q3630" s="267">
        <f t="shared" si="829"/>
        <v>376</v>
      </c>
      <c r="R3630" s="23">
        <f t="shared" si="830"/>
        <v>336</v>
      </c>
      <c r="S3630" s="23">
        <f t="shared" si="831"/>
        <v>0</v>
      </c>
      <c r="T3630" s="23" t="str">
        <f t="shared" si="832"/>
        <v/>
      </c>
      <c r="U3630" t="str">
        <f t="shared" si="833"/>
        <v>PA_Alleg_2019g~Gen-member of council sharpsburg (vote for 3)</v>
      </c>
      <c r="V3630" s="87"/>
      <c r="AF3630" s="22"/>
      <c r="AU3630" s="10"/>
    </row>
    <row r="3631" spans="1:47">
      <c r="A3631" t="str">
        <f t="shared" si="826"/>
        <v>PA_Alleg_2019g~Gen-member of council sharpsburg (vote for 3)</v>
      </c>
      <c r="B3631" s="55" t="s">
        <v>1528</v>
      </c>
      <c r="C3631">
        <v>909</v>
      </c>
      <c r="D3631" s="55" t="s">
        <v>831</v>
      </c>
      <c r="E3631" s="55" t="s">
        <v>832</v>
      </c>
      <c r="F3631" t="s">
        <v>1396</v>
      </c>
      <c r="G3631" s="62">
        <v>351</v>
      </c>
      <c r="H3631">
        <v>32.770000000000003</v>
      </c>
      <c r="I3631">
        <v>2348</v>
      </c>
      <c r="J3631">
        <v>0</v>
      </c>
      <c r="K3631">
        <v>3</v>
      </c>
      <c r="L3631">
        <v>3</v>
      </c>
      <c r="M3631">
        <v>0</v>
      </c>
      <c r="N3631" s="23">
        <v>0</v>
      </c>
      <c r="O3631">
        <f t="shared" si="827"/>
        <v>2</v>
      </c>
      <c r="P3631" s="57">
        <f t="shared" si="828"/>
        <v>3</v>
      </c>
      <c r="Q3631" s="267">
        <f t="shared" si="829"/>
        <v>695</v>
      </c>
      <c r="R3631" s="23">
        <f t="shared" si="830"/>
        <v>336</v>
      </c>
      <c r="S3631" s="23">
        <f t="shared" si="831"/>
        <v>0</v>
      </c>
      <c r="T3631" s="23" t="str">
        <f t="shared" si="832"/>
        <v/>
      </c>
      <c r="U3631" t="str">
        <f t="shared" si="833"/>
        <v/>
      </c>
      <c r="V3631" s="87"/>
      <c r="AF3631" s="22"/>
      <c r="AU3631" s="10"/>
    </row>
    <row r="3632" spans="1:47">
      <c r="A3632" t="str">
        <f t="shared" si="826"/>
        <v>PA_Alleg_2019g~Gen-member of council sharpsburg (vote for 3)</v>
      </c>
      <c r="B3632" s="55" t="s">
        <v>1528</v>
      </c>
      <c r="C3632">
        <v>910</v>
      </c>
      <c r="D3632" s="55" t="s">
        <v>831</v>
      </c>
      <c r="E3632" s="55" t="s">
        <v>834</v>
      </c>
      <c r="F3632" t="s">
        <v>1294</v>
      </c>
      <c r="G3632" s="62">
        <v>336</v>
      </c>
      <c r="H3632">
        <v>31.37</v>
      </c>
      <c r="I3632">
        <v>2348</v>
      </c>
      <c r="J3632">
        <v>0</v>
      </c>
      <c r="K3632">
        <v>3</v>
      </c>
      <c r="L3632">
        <v>3</v>
      </c>
      <c r="M3632">
        <v>0</v>
      </c>
      <c r="N3632" s="23">
        <v>0</v>
      </c>
      <c r="O3632">
        <f t="shared" si="827"/>
        <v>3</v>
      </c>
      <c r="P3632" s="57">
        <f t="shared" si="828"/>
        <v>3</v>
      </c>
      <c r="Q3632" s="267">
        <f t="shared" si="829"/>
        <v>344</v>
      </c>
      <c r="R3632" s="23">
        <f t="shared" si="830"/>
        <v>336</v>
      </c>
      <c r="S3632" s="23">
        <f t="shared" si="831"/>
        <v>0</v>
      </c>
      <c r="T3632" s="23" t="str">
        <f t="shared" si="832"/>
        <v/>
      </c>
      <c r="U3632" t="str">
        <f t="shared" si="833"/>
        <v/>
      </c>
      <c r="V3632" s="87"/>
      <c r="AF3632" s="22"/>
      <c r="AU3632" s="10"/>
    </row>
    <row r="3633" spans="1:47">
      <c r="A3633" t="str">
        <f t="shared" si="826"/>
        <v>PA_Alleg_2019g~Gen-member of council sharpsburg (vote for 3)</v>
      </c>
      <c r="B3633" s="55" t="s">
        <v>1528</v>
      </c>
      <c r="C3633">
        <v>911</v>
      </c>
      <c r="D3633" s="55" t="s">
        <v>831</v>
      </c>
      <c r="E3633" s="55" t="s">
        <v>15</v>
      </c>
      <c r="G3633" s="62">
        <v>8</v>
      </c>
      <c r="H3633">
        <v>0.75</v>
      </c>
      <c r="I3633">
        <v>2348</v>
      </c>
      <c r="J3633">
        <v>0</v>
      </c>
      <c r="K3633">
        <v>3</v>
      </c>
      <c r="L3633">
        <v>3</v>
      </c>
      <c r="M3633">
        <v>0</v>
      </c>
      <c r="N3633" s="23">
        <v>0</v>
      </c>
      <c r="O3633">
        <f t="shared" si="827"/>
        <v>-3</v>
      </c>
      <c r="P3633" s="57">
        <f t="shared" si="828"/>
        <v>3</v>
      </c>
      <c r="Q3633" s="267">
        <f t="shared" si="829"/>
        <v>8</v>
      </c>
      <c r="R3633" s="23">
        <f t="shared" si="830"/>
        <v>1</v>
      </c>
      <c r="S3633" s="23">
        <f t="shared" si="831"/>
        <v>0</v>
      </c>
      <c r="T3633" s="23" t="str">
        <f t="shared" si="832"/>
        <v/>
      </c>
      <c r="U3633" t="str">
        <f t="shared" si="833"/>
        <v/>
      </c>
      <c r="V3633" s="87"/>
      <c r="AF3633" s="22"/>
      <c r="AU3633" s="10"/>
    </row>
    <row r="3634" spans="1:47">
      <c r="A3634" t="str">
        <f t="shared" si="826"/>
        <v>PA_Alleg_2019g~Gen-member of council springdale borough (vote for 3)</v>
      </c>
      <c r="B3634" s="55" t="s">
        <v>1528</v>
      </c>
      <c r="C3634">
        <v>912</v>
      </c>
      <c r="D3634" s="55" t="s">
        <v>836</v>
      </c>
      <c r="E3634" s="55" t="s">
        <v>838</v>
      </c>
      <c r="F3634" t="s">
        <v>1294</v>
      </c>
      <c r="G3634" s="62">
        <v>419</v>
      </c>
      <c r="H3634">
        <v>28.48</v>
      </c>
      <c r="I3634">
        <v>2315</v>
      </c>
      <c r="J3634">
        <v>0</v>
      </c>
      <c r="K3634">
        <v>4</v>
      </c>
      <c r="L3634">
        <v>4</v>
      </c>
      <c r="M3634">
        <v>0</v>
      </c>
      <c r="N3634" s="23">
        <v>0</v>
      </c>
      <c r="O3634">
        <f t="shared" si="827"/>
        <v>1</v>
      </c>
      <c r="P3634" s="57">
        <f t="shared" si="828"/>
        <v>3</v>
      </c>
      <c r="Q3634" s="267">
        <f t="shared" si="829"/>
        <v>490.33333333333331</v>
      </c>
      <c r="R3634" s="23">
        <f t="shared" si="830"/>
        <v>377</v>
      </c>
      <c r="S3634" s="23">
        <f t="shared" si="831"/>
        <v>288</v>
      </c>
      <c r="T3634" s="23">
        <f t="shared" si="832"/>
        <v>89</v>
      </c>
      <c r="U3634" t="str">
        <f t="shared" si="833"/>
        <v>PA_Alleg_2019g~Gen-member of council springdale borough (vote for 3)</v>
      </c>
      <c r="V3634" s="87"/>
      <c r="AF3634" s="22"/>
      <c r="AU3634" s="10"/>
    </row>
    <row r="3635" spans="1:47">
      <c r="A3635" t="str">
        <f t="shared" si="826"/>
        <v>PA_Alleg_2019g~Gen-member of council springdale borough (vote for 3)</v>
      </c>
      <c r="B3635" s="55" t="s">
        <v>1528</v>
      </c>
      <c r="C3635">
        <v>915</v>
      </c>
      <c r="D3635" s="55" t="s">
        <v>836</v>
      </c>
      <c r="E3635" s="55" t="s">
        <v>1220</v>
      </c>
      <c r="F3635" t="s">
        <v>1296</v>
      </c>
      <c r="G3635" s="62">
        <v>381</v>
      </c>
      <c r="H3635">
        <v>25.9</v>
      </c>
      <c r="I3635">
        <v>2315</v>
      </c>
      <c r="J3635">
        <v>0</v>
      </c>
      <c r="K3635">
        <v>4</v>
      </c>
      <c r="L3635">
        <v>4</v>
      </c>
      <c r="M3635">
        <v>0</v>
      </c>
      <c r="N3635" s="23">
        <v>0</v>
      </c>
      <c r="O3635">
        <f t="shared" si="827"/>
        <v>2</v>
      </c>
      <c r="P3635" s="57">
        <f t="shared" si="828"/>
        <v>3</v>
      </c>
      <c r="Q3635" s="267">
        <f t="shared" si="829"/>
        <v>1052</v>
      </c>
      <c r="R3635" s="23">
        <f t="shared" si="830"/>
        <v>377</v>
      </c>
      <c r="S3635" s="23">
        <f t="shared" si="831"/>
        <v>288</v>
      </c>
      <c r="T3635" s="23" t="str">
        <f t="shared" si="832"/>
        <v/>
      </c>
      <c r="U3635" t="str">
        <f t="shared" si="833"/>
        <v/>
      </c>
      <c r="V3635" s="87"/>
      <c r="AF3635" s="22"/>
      <c r="AU3635" s="10"/>
    </row>
    <row r="3636" spans="1:47">
      <c r="A3636" t="str">
        <f t="shared" si="826"/>
        <v>PA_Alleg_2019g~Gen-member of council springdale borough (vote for 3)</v>
      </c>
      <c r="B3636" s="55" t="s">
        <v>1528</v>
      </c>
      <c r="C3636">
        <v>913</v>
      </c>
      <c r="D3636" s="55" t="s">
        <v>836</v>
      </c>
      <c r="E3636" s="55" t="s">
        <v>837</v>
      </c>
      <c r="F3636" t="s">
        <v>1294</v>
      </c>
      <c r="G3636" s="62">
        <v>377</v>
      </c>
      <c r="H3636">
        <v>25.63</v>
      </c>
      <c r="I3636">
        <v>2315</v>
      </c>
      <c r="J3636">
        <v>0</v>
      </c>
      <c r="K3636">
        <v>4</v>
      </c>
      <c r="L3636">
        <v>4</v>
      </c>
      <c r="M3636">
        <v>0</v>
      </c>
      <c r="N3636" s="23">
        <v>0</v>
      </c>
      <c r="O3636">
        <f t="shared" si="827"/>
        <v>3</v>
      </c>
      <c r="P3636" s="57">
        <f t="shared" si="828"/>
        <v>3</v>
      </c>
      <c r="Q3636" s="267">
        <f t="shared" si="829"/>
        <v>671</v>
      </c>
      <c r="R3636" s="23">
        <f t="shared" si="830"/>
        <v>377</v>
      </c>
      <c r="S3636" s="23">
        <f t="shared" si="831"/>
        <v>288</v>
      </c>
      <c r="T3636" s="23" t="str">
        <f t="shared" si="832"/>
        <v/>
      </c>
      <c r="U3636" t="str">
        <f t="shared" si="833"/>
        <v/>
      </c>
      <c r="V3636" s="87"/>
      <c r="AF3636" s="22"/>
      <c r="AU3636" s="10"/>
    </row>
    <row r="3637" spans="1:47">
      <c r="A3637" t="str">
        <f t="shared" si="826"/>
        <v>PA_Alleg_2019g~Gen-member of council springdale borough (vote for 3)</v>
      </c>
      <c r="B3637" s="55" t="s">
        <v>1528</v>
      </c>
      <c r="C3637">
        <v>914</v>
      </c>
      <c r="D3637" s="55" t="s">
        <v>836</v>
      </c>
      <c r="E3637" s="55" t="s">
        <v>839</v>
      </c>
      <c r="F3637" t="s">
        <v>1294</v>
      </c>
      <c r="G3637" s="62">
        <v>288</v>
      </c>
      <c r="H3637">
        <v>19.579999999999998</v>
      </c>
      <c r="I3637">
        <v>2315</v>
      </c>
      <c r="J3637">
        <v>0</v>
      </c>
      <c r="K3637">
        <v>4</v>
      </c>
      <c r="L3637">
        <v>4</v>
      </c>
      <c r="M3637">
        <v>0</v>
      </c>
      <c r="N3637" s="23">
        <v>0</v>
      </c>
      <c r="O3637">
        <f t="shared" si="827"/>
        <v>4</v>
      </c>
      <c r="P3637" s="57">
        <f t="shared" si="828"/>
        <v>3</v>
      </c>
      <c r="Q3637" s="267">
        <f t="shared" si="829"/>
        <v>294</v>
      </c>
      <c r="R3637" s="23" t="str">
        <f t="shared" si="830"/>
        <v/>
      </c>
      <c r="S3637" s="23">
        <f t="shared" si="831"/>
        <v>288</v>
      </c>
      <c r="T3637" s="23" t="str">
        <f t="shared" si="832"/>
        <v/>
      </c>
      <c r="U3637" t="str">
        <f t="shared" si="833"/>
        <v/>
      </c>
      <c r="V3637" s="87"/>
      <c r="AF3637" s="22"/>
      <c r="AU3637" s="10"/>
    </row>
    <row r="3638" spans="1:47">
      <c r="A3638" t="str">
        <f t="shared" si="826"/>
        <v>PA_Alleg_2019g~Gen-member of council springdale borough (vote for 3)</v>
      </c>
      <c r="B3638" s="55" t="s">
        <v>1528</v>
      </c>
      <c r="C3638">
        <v>916</v>
      </c>
      <c r="D3638" s="55" t="s">
        <v>836</v>
      </c>
      <c r="E3638" s="55" t="s">
        <v>15</v>
      </c>
      <c r="G3638" s="62">
        <v>6</v>
      </c>
      <c r="H3638">
        <v>0.41</v>
      </c>
      <c r="I3638">
        <v>2315</v>
      </c>
      <c r="J3638">
        <v>0</v>
      </c>
      <c r="K3638">
        <v>4</v>
      </c>
      <c r="L3638">
        <v>4</v>
      </c>
      <c r="M3638">
        <v>0</v>
      </c>
      <c r="N3638" s="23">
        <v>0</v>
      </c>
      <c r="O3638">
        <f t="shared" si="827"/>
        <v>-4</v>
      </c>
      <c r="P3638" s="57">
        <f t="shared" si="828"/>
        <v>3</v>
      </c>
      <c r="Q3638" s="267">
        <f t="shared" si="829"/>
        <v>6</v>
      </c>
      <c r="R3638" s="23">
        <f t="shared" si="830"/>
        <v>1</v>
      </c>
      <c r="S3638" s="23">
        <f t="shared" si="831"/>
        <v>0</v>
      </c>
      <c r="T3638" s="23" t="str">
        <f t="shared" si="832"/>
        <v/>
      </c>
      <c r="U3638" t="str">
        <f t="shared" si="833"/>
        <v/>
      </c>
      <c r="V3638" s="87"/>
      <c r="AF3638" s="22"/>
      <c r="AU3638" s="10"/>
    </row>
    <row r="3639" spans="1:47">
      <c r="A3639" t="str">
        <f t="shared" si="826"/>
        <v>PA_Alleg_2019g~Gen-member of council swissvale (vote for 3)</v>
      </c>
      <c r="B3639" s="55" t="s">
        <v>1528</v>
      </c>
      <c r="C3639">
        <v>917</v>
      </c>
      <c r="D3639" s="55" t="s">
        <v>840</v>
      </c>
      <c r="E3639" s="55" t="s">
        <v>842</v>
      </c>
      <c r="F3639" t="s">
        <v>1294</v>
      </c>
      <c r="G3639" s="62">
        <v>1706</v>
      </c>
      <c r="H3639">
        <v>31.64</v>
      </c>
      <c r="I3639">
        <v>7379</v>
      </c>
      <c r="J3639">
        <v>0</v>
      </c>
      <c r="K3639">
        <v>11</v>
      </c>
      <c r="L3639">
        <v>11</v>
      </c>
      <c r="M3639">
        <v>0</v>
      </c>
      <c r="N3639" s="23">
        <v>0</v>
      </c>
      <c r="O3639">
        <f t="shared" si="827"/>
        <v>1</v>
      </c>
      <c r="P3639" s="57">
        <f t="shared" si="828"/>
        <v>3</v>
      </c>
      <c r="Q3639" s="267">
        <f t="shared" si="829"/>
        <v>1797.3333333333333</v>
      </c>
      <c r="R3639" s="23">
        <f t="shared" si="830"/>
        <v>1383</v>
      </c>
      <c r="S3639" s="23">
        <f t="shared" si="831"/>
        <v>767</v>
      </c>
      <c r="T3639" s="23">
        <f t="shared" si="832"/>
        <v>616</v>
      </c>
      <c r="U3639" t="str">
        <f t="shared" si="833"/>
        <v>PA_Alleg_2019g~Gen-member of council swissvale (vote for 3)</v>
      </c>
      <c r="V3639" s="87"/>
      <c r="AF3639" s="22"/>
      <c r="AU3639" s="10"/>
    </row>
    <row r="3640" spans="1:47">
      <c r="A3640" t="str">
        <f t="shared" ref="A3640:A3703" si="834">CONCATENATE(B3640,"~Gen-",LOWER(D3640))</f>
        <v>PA_Alleg_2019g~Gen-member of council swissvale (vote for 3)</v>
      </c>
      <c r="B3640" s="55" t="s">
        <v>1528</v>
      </c>
      <c r="C3640">
        <v>918</v>
      </c>
      <c r="D3640" s="55" t="s">
        <v>840</v>
      </c>
      <c r="E3640" s="55" t="s">
        <v>841</v>
      </c>
      <c r="F3640" t="s">
        <v>1294</v>
      </c>
      <c r="G3640" s="62">
        <v>1505</v>
      </c>
      <c r="H3640">
        <v>27.91</v>
      </c>
      <c r="I3640">
        <v>7379</v>
      </c>
      <c r="J3640">
        <v>0</v>
      </c>
      <c r="K3640">
        <v>11</v>
      </c>
      <c r="L3640">
        <v>11</v>
      </c>
      <c r="M3640">
        <v>0</v>
      </c>
      <c r="N3640" s="23">
        <v>0</v>
      </c>
      <c r="O3640">
        <f t="shared" si="827"/>
        <v>2</v>
      </c>
      <c r="P3640" s="57">
        <f t="shared" si="828"/>
        <v>3</v>
      </c>
      <c r="Q3640" s="267">
        <f t="shared" si="829"/>
        <v>3686</v>
      </c>
      <c r="R3640" s="23">
        <f t="shared" si="830"/>
        <v>1383</v>
      </c>
      <c r="S3640" s="23">
        <f t="shared" si="831"/>
        <v>767</v>
      </c>
      <c r="T3640" s="23" t="str">
        <f t="shared" si="832"/>
        <v/>
      </c>
      <c r="U3640" t="str">
        <f t="shared" si="833"/>
        <v/>
      </c>
      <c r="V3640" s="87"/>
      <c r="AF3640" s="22"/>
      <c r="AU3640" s="10"/>
    </row>
    <row r="3641" spans="1:47">
      <c r="A3641" t="str">
        <f t="shared" si="834"/>
        <v>PA_Alleg_2019g~Gen-member of council swissvale (vote for 3)</v>
      </c>
      <c r="B3641" s="55" t="s">
        <v>1528</v>
      </c>
      <c r="C3641">
        <v>919</v>
      </c>
      <c r="D3641" s="55" t="s">
        <v>840</v>
      </c>
      <c r="E3641" s="55" t="s">
        <v>843</v>
      </c>
      <c r="F3641" t="s">
        <v>1294</v>
      </c>
      <c r="G3641" s="62">
        <v>1383</v>
      </c>
      <c r="H3641">
        <v>25.65</v>
      </c>
      <c r="I3641">
        <v>7379</v>
      </c>
      <c r="J3641">
        <v>0</v>
      </c>
      <c r="K3641">
        <v>11</v>
      </c>
      <c r="L3641">
        <v>11</v>
      </c>
      <c r="M3641">
        <v>0</v>
      </c>
      <c r="N3641" s="23">
        <v>0</v>
      </c>
      <c r="O3641">
        <f t="shared" si="827"/>
        <v>3</v>
      </c>
      <c r="P3641" s="57">
        <f t="shared" si="828"/>
        <v>3</v>
      </c>
      <c r="Q3641" s="267">
        <f t="shared" si="829"/>
        <v>2181</v>
      </c>
      <c r="R3641" s="23">
        <f t="shared" si="830"/>
        <v>1383</v>
      </c>
      <c r="S3641" s="23">
        <f t="shared" si="831"/>
        <v>767</v>
      </c>
      <c r="T3641" s="23" t="str">
        <f t="shared" si="832"/>
        <v/>
      </c>
      <c r="U3641" t="str">
        <f t="shared" si="833"/>
        <v/>
      </c>
      <c r="V3641" s="87"/>
      <c r="AF3641" s="22"/>
      <c r="AU3641" s="10"/>
    </row>
    <row r="3642" spans="1:47">
      <c r="A3642" t="str">
        <f t="shared" si="834"/>
        <v>PA_Alleg_2019g~Gen-member of council swissvale (vote for 3)</v>
      </c>
      <c r="B3642" s="55" t="s">
        <v>1528</v>
      </c>
      <c r="C3642">
        <v>920</v>
      </c>
      <c r="D3642" s="55" t="s">
        <v>840</v>
      </c>
      <c r="E3642" s="55" t="s">
        <v>1479</v>
      </c>
      <c r="F3642" t="s">
        <v>1480</v>
      </c>
      <c r="G3642" s="62">
        <v>767</v>
      </c>
      <c r="H3642">
        <v>14.22</v>
      </c>
      <c r="I3642">
        <v>7379</v>
      </c>
      <c r="J3642">
        <v>0</v>
      </c>
      <c r="K3642">
        <v>11</v>
      </c>
      <c r="L3642">
        <v>11</v>
      </c>
      <c r="M3642">
        <v>0</v>
      </c>
      <c r="N3642" s="23">
        <v>0</v>
      </c>
      <c r="O3642">
        <f t="shared" si="827"/>
        <v>4</v>
      </c>
      <c r="P3642" s="57">
        <f t="shared" si="828"/>
        <v>3</v>
      </c>
      <c r="Q3642" s="267">
        <f t="shared" si="829"/>
        <v>798</v>
      </c>
      <c r="R3642" s="23" t="str">
        <f t="shared" si="830"/>
        <v/>
      </c>
      <c r="S3642" s="23">
        <f t="shared" si="831"/>
        <v>767</v>
      </c>
      <c r="T3642" s="23" t="str">
        <f t="shared" si="832"/>
        <v/>
      </c>
      <c r="U3642" t="str">
        <f t="shared" si="833"/>
        <v/>
      </c>
      <c r="V3642" s="87"/>
      <c r="AF3642" s="22"/>
      <c r="AU3642" s="10"/>
    </row>
    <row r="3643" spans="1:47">
      <c r="A3643" t="str">
        <f t="shared" si="834"/>
        <v>PA_Alleg_2019g~Gen-member of council swissvale (vote for 3)</v>
      </c>
      <c r="B3643" s="55" t="s">
        <v>1528</v>
      </c>
      <c r="C3643">
        <v>921</v>
      </c>
      <c r="D3643" s="55" t="s">
        <v>840</v>
      </c>
      <c r="E3643" s="55" t="s">
        <v>15</v>
      </c>
      <c r="G3643" s="62">
        <v>31</v>
      </c>
      <c r="H3643">
        <v>0.56999999999999995</v>
      </c>
      <c r="I3643">
        <v>7379</v>
      </c>
      <c r="J3643">
        <v>0</v>
      </c>
      <c r="K3643">
        <v>11</v>
      </c>
      <c r="L3643">
        <v>11</v>
      </c>
      <c r="M3643">
        <v>0</v>
      </c>
      <c r="N3643" s="23">
        <v>0</v>
      </c>
      <c r="O3643">
        <f t="shared" si="827"/>
        <v>-4</v>
      </c>
      <c r="P3643" s="57">
        <f t="shared" si="828"/>
        <v>3</v>
      </c>
      <c r="Q3643" s="267">
        <f t="shared" si="829"/>
        <v>31</v>
      </c>
      <c r="R3643" s="23">
        <f t="shared" si="830"/>
        <v>1</v>
      </c>
      <c r="S3643" s="23">
        <f t="shared" si="831"/>
        <v>0</v>
      </c>
      <c r="T3643" s="23" t="str">
        <f t="shared" si="832"/>
        <v/>
      </c>
      <c r="U3643" t="str">
        <f t="shared" si="833"/>
        <v/>
      </c>
      <c r="V3643" s="87"/>
      <c r="AF3643" s="22"/>
      <c r="AU3643" s="10"/>
    </row>
    <row r="3644" spans="1:47">
      <c r="A3644" t="str">
        <f t="shared" si="834"/>
        <v>PA_Alleg_2019g~Gen-member of council tarentum ward 1 (vote for 1)</v>
      </c>
      <c r="B3644" s="55" t="s">
        <v>1528</v>
      </c>
      <c r="C3644">
        <v>1169</v>
      </c>
      <c r="D3644" s="55" t="s">
        <v>1060</v>
      </c>
      <c r="E3644" s="55" t="s">
        <v>1061</v>
      </c>
      <c r="F3644" t="s">
        <v>1294</v>
      </c>
      <c r="G3644" s="62">
        <v>160</v>
      </c>
      <c r="H3644">
        <v>59.04</v>
      </c>
      <c r="I3644">
        <v>1177</v>
      </c>
      <c r="J3644">
        <v>0</v>
      </c>
      <c r="K3644">
        <v>2</v>
      </c>
      <c r="L3644">
        <v>2</v>
      </c>
      <c r="M3644">
        <v>0</v>
      </c>
      <c r="N3644" s="23">
        <v>0</v>
      </c>
      <c r="O3644">
        <f t="shared" si="827"/>
        <v>1</v>
      </c>
      <c r="P3644" s="57">
        <f t="shared" si="828"/>
        <v>1</v>
      </c>
      <c r="Q3644" s="267">
        <f t="shared" si="829"/>
        <v>271</v>
      </c>
      <c r="R3644" s="23">
        <f t="shared" si="830"/>
        <v>160</v>
      </c>
      <c r="S3644" s="23">
        <f t="shared" si="831"/>
        <v>111</v>
      </c>
      <c r="T3644" s="23">
        <f t="shared" si="832"/>
        <v>49</v>
      </c>
      <c r="U3644" t="str">
        <f t="shared" si="833"/>
        <v>PA_Alleg_2019g~Gen-member of council tarentum ward 1 (vote for 1)</v>
      </c>
      <c r="V3644" s="87"/>
      <c r="AF3644" s="22"/>
      <c r="AU3644" s="10"/>
    </row>
    <row r="3645" spans="1:47">
      <c r="A3645" t="str">
        <f t="shared" si="834"/>
        <v>PA_Alleg_2019g~Gen-member of council tarentum ward 1 (vote for 1)</v>
      </c>
      <c r="B3645" s="55" t="s">
        <v>1528</v>
      </c>
      <c r="C3645">
        <v>1170</v>
      </c>
      <c r="D3645" s="55" t="s">
        <v>1060</v>
      </c>
      <c r="E3645" s="55" t="s">
        <v>1260</v>
      </c>
      <c r="F3645" t="s">
        <v>1296</v>
      </c>
      <c r="G3645" s="62">
        <v>111</v>
      </c>
      <c r="H3645">
        <v>40.96</v>
      </c>
      <c r="I3645">
        <v>1177</v>
      </c>
      <c r="J3645">
        <v>0</v>
      </c>
      <c r="K3645">
        <v>2</v>
      </c>
      <c r="L3645">
        <v>2</v>
      </c>
      <c r="M3645">
        <v>0</v>
      </c>
      <c r="N3645" s="23">
        <v>0</v>
      </c>
      <c r="O3645">
        <f t="shared" si="827"/>
        <v>2</v>
      </c>
      <c r="P3645" s="57">
        <f t="shared" si="828"/>
        <v>1</v>
      </c>
      <c r="Q3645" s="267">
        <f t="shared" si="829"/>
        <v>111</v>
      </c>
      <c r="R3645" s="23" t="str">
        <f t="shared" si="830"/>
        <v/>
      </c>
      <c r="S3645" s="23">
        <f t="shared" si="831"/>
        <v>111</v>
      </c>
      <c r="T3645" s="23" t="str">
        <f t="shared" si="832"/>
        <v/>
      </c>
      <c r="U3645" t="str">
        <f t="shared" si="833"/>
        <v/>
      </c>
      <c r="V3645" s="87"/>
      <c r="AF3645" s="22"/>
      <c r="AU3645" s="10"/>
    </row>
    <row r="3646" spans="1:47">
      <c r="A3646" t="str">
        <f t="shared" si="834"/>
        <v>PA_Alleg_2019g~Gen-member of council tarentum ward 1 (vote for 1)</v>
      </c>
      <c r="B3646" s="55" t="s">
        <v>1528</v>
      </c>
      <c r="C3646">
        <v>1171</v>
      </c>
      <c r="D3646" s="55" t="s">
        <v>1060</v>
      </c>
      <c r="E3646" s="55" t="s">
        <v>15</v>
      </c>
      <c r="G3646" s="62">
        <v>0</v>
      </c>
      <c r="H3646">
        <v>0</v>
      </c>
      <c r="I3646">
        <v>1177</v>
      </c>
      <c r="J3646">
        <v>0</v>
      </c>
      <c r="K3646">
        <v>2</v>
      </c>
      <c r="L3646">
        <v>2</v>
      </c>
      <c r="M3646">
        <v>0</v>
      </c>
      <c r="N3646" s="23">
        <v>0</v>
      </c>
      <c r="O3646">
        <f t="shared" si="827"/>
        <v>-2</v>
      </c>
      <c r="P3646" s="57">
        <f t="shared" si="828"/>
        <v>1</v>
      </c>
      <c r="Q3646" s="267">
        <f t="shared" si="829"/>
        <v>0</v>
      </c>
      <c r="R3646" s="23">
        <f t="shared" si="830"/>
        <v>1</v>
      </c>
      <c r="S3646" s="23">
        <f t="shared" si="831"/>
        <v>0</v>
      </c>
      <c r="T3646" s="23" t="str">
        <f t="shared" si="832"/>
        <v/>
      </c>
      <c r="U3646" t="str">
        <f t="shared" si="833"/>
        <v/>
      </c>
      <c r="V3646" s="87"/>
      <c r="AF3646" s="22"/>
      <c r="AU3646" s="10"/>
    </row>
    <row r="3647" spans="1:47">
      <c r="A3647" t="str">
        <f t="shared" si="834"/>
        <v>PA_Alleg_2019g~Gen-member of council tarentum ward 2 (vote for 1)</v>
      </c>
      <c r="B3647" s="55" t="s">
        <v>1528</v>
      </c>
      <c r="C3647">
        <v>1172</v>
      </c>
      <c r="D3647" s="55" t="s">
        <v>1062</v>
      </c>
      <c r="E3647" s="55" t="s">
        <v>1063</v>
      </c>
      <c r="F3647" t="s">
        <v>1294</v>
      </c>
      <c r="G3647" s="62">
        <v>92</v>
      </c>
      <c r="H3647">
        <v>98.92</v>
      </c>
      <c r="I3647">
        <v>540</v>
      </c>
      <c r="J3647">
        <v>0</v>
      </c>
      <c r="K3647">
        <v>1</v>
      </c>
      <c r="L3647">
        <v>1</v>
      </c>
      <c r="M3647">
        <v>0</v>
      </c>
      <c r="N3647" s="23">
        <v>0</v>
      </c>
      <c r="O3647">
        <f t="shared" si="827"/>
        <v>1</v>
      </c>
      <c r="P3647" s="57">
        <f t="shared" si="828"/>
        <v>1</v>
      </c>
      <c r="Q3647" s="267">
        <f t="shared" si="829"/>
        <v>93</v>
      </c>
      <c r="R3647" s="23">
        <f t="shared" si="830"/>
        <v>92</v>
      </c>
      <c r="S3647" s="23">
        <f t="shared" si="831"/>
        <v>0</v>
      </c>
      <c r="T3647" s="23" t="str">
        <f t="shared" si="832"/>
        <v/>
      </c>
      <c r="U3647" t="str">
        <f t="shared" si="833"/>
        <v>PA_Alleg_2019g~Gen-member of council tarentum ward 2 (vote for 1)</v>
      </c>
      <c r="V3647" s="87"/>
      <c r="AF3647" s="22"/>
      <c r="AU3647" s="10"/>
    </row>
    <row r="3648" spans="1:47">
      <c r="A3648" t="str">
        <f t="shared" si="834"/>
        <v>PA_Alleg_2019g~Gen-member of council tarentum ward 2 (vote for 1)</v>
      </c>
      <c r="B3648" s="55" t="s">
        <v>1528</v>
      </c>
      <c r="C3648">
        <v>1173</v>
      </c>
      <c r="D3648" s="55" t="s">
        <v>1062</v>
      </c>
      <c r="E3648" s="55" t="s">
        <v>15</v>
      </c>
      <c r="G3648" s="62">
        <v>1</v>
      </c>
      <c r="H3648">
        <v>1.08</v>
      </c>
      <c r="I3648">
        <v>540</v>
      </c>
      <c r="J3648">
        <v>0</v>
      </c>
      <c r="K3648">
        <v>1</v>
      </c>
      <c r="L3648">
        <v>1</v>
      </c>
      <c r="M3648">
        <v>0</v>
      </c>
      <c r="N3648" s="23">
        <v>0</v>
      </c>
      <c r="O3648">
        <f t="shared" si="827"/>
        <v>-1</v>
      </c>
      <c r="P3648" s="57">
        <f t="shared" si="828"/>
        <v>1</v>
      </c>
      <c r="Q3648" s="267">
        <f t="shared" si="829"/>
        <v>1</v>
      </c>
      <c r="R3648" s="23">
        <f t="shared" si="830"/>
        <v>1</v>
      </c>
      <c r="S3648" s="23">
        <f t="shared" si="831"/>
        <v>0</v>
      </c>
      <c r="T3648" s="23" t="str">
        <f t="shared" si="832"/>
        <v/>
      </c>
      <c r="U3648" t="str">
        <f t="shared" si="833"/>
        <v/>
      </c>
      <c r="V3648" s="87"/>
      <c r="AF3648" s="22"/>
      <c r="AU3648" s="10"/>
    </row>
    <row r="3649" spans="1:47">
      <c r="A3649" t="str">
        <f t="shared" si="834"/>
        <v>PA_Alleg_2019g~Gen-member of council tarentum ward 3 (vote for 1)</v>
      </c>
      <c r="B3649" s="55" t="s">
        <v>1528</v>
      </c>
      <c r="C3649">
        <v>1174</v>
      </c>
      <c r="D3649" s="55" t="s">
        <v>1064</v>
      </c>
      <c r="E3649" s="55" t="s">
        <v>657</v>
      </c>
      <c r="F3649" t="s">
        <v>1396</v>
      </c>
      <c r="G3649" s="62">
        <v>135</v>
      </c>
      <c r="H3649">
        <v>93.1</v>
      </c>
      <c r="I3649">
        <v>909</v>
      </c>
      <c r="J3649">
        <v>0</v>
      </c>
      <c r="K3649">
        <v>2</v>
      </c>
      <c r="L3649">
        <v>2</v>
      </c>
      <c r="M3649">
        <v>0</v>
      </c>
      <c r="N3649" s="23">
        <v>0</v>
      </c>
      <c r="O3649">
        <f t="shared" si="827"/>
        <v>1</v>
      </c>
      <c r="P3649" s="57">
        <f t="shared" si="828"/>
        <v>1</v>
      </c>
      <c r="Q3649" s="267">
        <f t="shared" si="829"/>
        <v>281</v>
      </c>
      <c r="R3649" s="23">
        <f t="shared" si="830"/>
        <v>135</v>
      </c>
      <c r="S3649" s="23">
        <f t="shared" si="831"/>
        <v>120</v>
      </c>
      <c r="T3649" s="23">
        <f t="shared" si="832"/>
        <v>15</v>
      </c>
      <c r="U3649" t="str">
        <f t="shared" si="833"/>
        <v>PA_Alleg_2019g~Gen-member of council tarentum ward 3 (vote for 1)</v>
      </c>
      <c r="V3649" s="87"/>
      <c r="AF3649" s="22"/>
      <c r="AU3649" s="10"/>
    </row>
    <row r="3650" spans="1:47">
      <c r="A3650" t="str">
        <f t="shared" si="834"/>
        <v>PA_Alleg_2019g~Gen-member of council tarentum ward 3 (vote for 1)</v>
      </c>
      <c r="B3650" s="55" t="s">
        <v>1528</v>
      </c>
      <c r="C3650">
        <v>1191</v>
      </c>
      <c r="D3650" s="55" t="s">
        <v>1078</v>
      </c>
      <c r="E3650" s="55" t="s">
        <v>659</v>
      </c>
      <c r="F3650" t="s">
        <v>1294</v>
      </c>
      <c r="G3650" s="62">
        <v>120</v>
      </c>
      <c r="H3650">
        <v>88.24</v>
      </c>
      <c r="I3650">
        <v>909</v>
      </c>
      <c r="J3650">
        <v>0</v>
      </c>
      <c r="K3650">
        <v>2</v>
      </c>
      <c r="L3650">
        <v>2</v>
      </c>
      <c r="M3650">
        <v>0</v>
      </c>
      <c r="N3650" s="23">
        <v>0</v>
      </c>
      <c r="O3650">
        <f t="shared" ref="O3650:O3713" si="835">IF(OR(LOWER(LEFT(E3650,8))="write-in",LOWER(LEFT(E3650,8))="not qual"),IF(A3650=A3649,-ABS(O3649),0),IF(A3650=A3649,ABS(O3649)+1,1))</f>
        <v>2</v>
      </c>
      <c r="P3650" s="57">
        <f t="shared" ref="P3650:P3713" si="836">1*LEFT(RIGHT(A3650,2),1)</f>
        <v>1</v>
      </c>
      <c r="Q3650" s="267">
        <f t="shared" ref="Q3650:Q3713" si="837">IF(A3650&lt;&gt;A3651,G3650,IF(A3650=A3649,G3650+Q3651,MAX(G3650,(G3650+Q3651)/P3650)))</f>
        <v>146</v>
      </c>
      <c r="R3650" s="23" t="str">
        <f t="shared" ref="R3650:R3713" si="838">IF(O3650&gt;P3650,"",IF(O3650=P3650,G3650,IF(A3650=A3651,R3651,IF(O3650&lt;=0,1,G3650))))</f>
        <v/>
      </c>
      <c r="S3650" s="23">
        <f t="shared" ref="S3650:S3713" si="839">IF(AND(O3650&gt;P3650,LOWER(LEFT(E3650,8))&lt;&gt;"write-in",LOWER(LEFT(E3650,8))&lt;&gt;"not qual"),G3650,IF(A3650=A3651,S3651,0))</f>
        <v>120</v>
      </c>
      <c r="T3650" s="23" t="str">
        <f t="shared" ref="T3650:T3713" si="840">IF(OR(A3650=A3649,S3650=0),"",R3650-ABS(S3650))</f>
        <v/>
      </c>
      <c r="U3650" t="str">
        <f t="shared" ref="U3650:U3713" si="841">IF(A3650=A3649,"",A3650)</f>
        <v/>
      </c>
      <c r="V3650" s="87"/>
      <c r="AF3650" s="22"/>
      <c r="AU3650" s="10"/>
    </row>
    <row r="3651" spans="1:47">
      <c r="A3651" t="str">
        <f t="shared" si="834"/>
        <v>PA_Alleg_2019g~Gen-member of council tarentum ward 3 (vote for 1)</v>
      </c>
      <c r="B3651" s="55" t="s">
        <v>1528</v>
      </c>
      <c r="C3651">
        <v>1192</v>
      </c>
      <c r="D3651" s="55" t="s">
        <v>1078</v>
      </c>
      <c r="E3651" s="55" t="s">
        <v>15</v>
      </c>
      <c r="G3651" s="62">
        <v>16</v>
      </c>
      <c r="H3651">
        <v>11.76</v>
      </c>
      <c r="I3651">
        <v>909</v>
      </c>
      <c r="J3651">
        <v>0</v>
      </c>
      <c r="K3651">
        <v>2</v>
      </c>
      <c r="L3651">
        <v>2</v>
      </c>
      <c r="M3651">
        <v>0</v>
      </c>
      <c r="N3651" s="23">
        <v>0</v>
      </c>
      <c r="O3651">
        <f t="shared" si="835"/>
        <v>-2</v>
      </c>
      <c r="P3651" s="57">
        <f t="shared" si="836"/>
        <v>1</v>
      </c>
      <c r="Q3651" s="267">
        <f t="shared" si="837"/>
        <v>26</v>
      </c>
      <c r="R3651" s="23">
        <f t="shared" si="838"/>
        <v>1</v>
      </c>
      <c r="S3651" s="23">
        <f t="shared" si="839"/>
        <v>0</v>
      </c>
      <c r="T3651" s="23" t="str">
        <f t="shared" si="840"/>
        <v/>
      </c>
      <c r="U3651" t="str">
        <f t="shared" si="841"/>
        <v/>
      </c>
      <c r="V3651" s="87"/>
      <c r="AF3651" s="22"/>
      <c r="AU3651" s="10"/>
    </row>
    <row r="3652" spans="1:47">
      <c r="A3652" t="str">
        <f t="shared" si="834"/>
        <v>PA_Alleg_2019g~Gen-member of council tarentum ward 3 (vote for 1)</v>
      </c>
      <c r="B3652" s="55" t="s">
        <v>1528</v>
      </c>
      <c r="C3652">
        <v>1175</v>
      </c>
      <c r="D3652" s="55" t="s">
        <v>1064</v>
      </c>
      <c r="E3652" s="55" t="s">
        <v>15</v>
      </c>
      <c r="G3652" s="62">
        <v>10</v>
      </c>
      <c r="H3652">
        <v>6.9</v>
      </c>
      <c r="I3652">
        <v>909</v>
      </c>
      <c r="J3652">
        <v>0</v>
      </c>
      <c r="K3652">
        <v>2</v>
      </c>
      <c r="L3652">
        <v>2</v>
      </c>
      <c r="M3652">
        <v>0</v>
      </c>
      <c r="N3652" s="23">
        <v>0</v>
      </c>
      <c r="O3652">
        <f t="shared" si="835"/>
        <v>-2</v>
      </c>
      <c r="P3652" s="57">
        <f t="shared" si="836"/>
        <v>1</v>
      </c>
      <c r="Q3652" s="267">
        <f t="shared" si="837"/>
        <v>10</v>
      </c>
      <c r="R3652" s="23">
        <f t="shared" si="838"/>
        <v>1</v>
      </c>
      <c r="S3652" s="23">
        <f t="shared" si="839"/>
        <v>0</v>
      </c>
      <c r="T3652" s="23" t="str">
        <f t="shared" si="840"/>
        <v/>
      </c>
      <c r="U3652" t="str">
        <f t="shared" si="841"/>
        <v/>
      </c>
      <c r="V3652" s="87"/>
      <c r="AF3652" s="22"/>
      <c r="AU3652" s="10"/>
    </row>
    <row r="3653" spans="1:47">
      <c r="A3653" t="str">
        <f t="shared" si="834"/>
        <v>PA_Alleg_2019g~Gen-member of council thornburg (vote for 3)</v>
      </c>
      <c r="B3653" s="55" t="s">
        <v>1528</v>
      </c>
      <c r="C3653">
        <v>922</v>
      </c>
      <c r="D3653" s="55" t="s">
        <v>846</v>
      </c>
      <c r="E3653" s="55" t="s">
        <v>1481</v>
      </c>
      <c r="F3653" t="s">
        <v>1294</v>
      </c>
      <c r="G3653" s="62">
        <v>109</v>
      </c>
      <c r="H3653">
        <v>33.64</v>
      </c>
      <c r="I3653">
        <v>436</v>
      </c>
      <c r="J3653">
        <v>0</v>
      </c>
      <c r="K3653">
        <v>1</v>
      </c>
      <c r="L3653">
        <v>1</v>
      </c>
      <c r="M3653">
        <v>0</v>
      </c>
      <c r="N3653" s="23">
        <v>0</v>
      </c>
      <c r="O3653">
        <f t="shared" si="835"/>
        <v>1</v>
      </c>
      <c r="P3653" s="57">
        <f t="shared" si="836"/>
        <v>3</v>
      </c>
      <c r="Q3653" s="267">
        <f t="shared" si="837"/>
        <v>109</v>
      </c>
      <c r="R3653" s="23">
        <f t="shared" si="838"/>
        <v>105</v>
      </c>
      <c r="S3653" s="23">
        <f t="shared" si="839"/>
        <v>0</v>
      </c>
      <c r="T3653" s="23" t="str">
        <f t="shared" si="840"/>
        <v/>
      </c>
      <c r="U3653" t="str">
        <f t="shared" si="841"/>
        <v>PA_Alleg_2019g~Gen-member of council thornburg (vote for 3)</v>
      </c>
      <c r="V3653" s="87"/>
      <c r="AF3653" s="22"/>
      <c r="AU3653" s="10"/>
    </row>
    <row r="3654" spans="1:47">
      <c r="A3654" t="str">
        <f t="shared" si="834"/>
        <v>PA_Alleg_2019g~Gen-member of council thornburg (vote for 3)</v>
      </c>
      <c r="B3654" s="55" t="s">
        <v>1528</v>
      </c>
      <c r="C3654">
        <v>923</v>
      </c>
      <c r="D3654" s="55" t="s">
        <v>846</v>
      </c>
      <c r="E3654" s="55" t="s">
        <v>1482</v>
      </c>
      <c r="F3654" t="s">
        <v>1294</v>
      </c>
      <c r="G3654" s="62">
        <v>109</v>
      </c>
      <c r="H3654">
        <v>33.64</v>
      </c>
      <c r="I3654">
        <v>436</v>
      </c>
      <c r="J3654">
        <v>0</v>
      </c>
      <c r="K3654">
        <v>1</v>
      </c>
      <c r="L3654">
        <v>1</v>
      </c>
      <c r="M3654">
        <v>0</v>
      </c>
      <c r="N3654" s="23">
        <v>0</v>
      </c>
      <c r="O3654">
        <f t="shared" si="835"/>
        <v>2</v>
      </c>
      <c r="P3654" s="57">
        <f t="shared" si="836"/>
        <v>3</v>
      </c>
      <c r="Q3654" s="267">
        <f t="shared" si="837"/>
        <v>215</v>
      </c>
      <c r="R3654" s="23">
        <f t="shared" si="838"/>
        <v>105</v>
      </c>
      <c r="S3654" s="23">
        <f t="shared" si="839"/>
        <v>0</v>
      </c>
      <c r="T3654" s="23" t="str">
        <f t="shared" si="840"/>
        <v/>
      </c>
      <c r="U3654" t="str">
        <f t="shared" si="841"/>
        <v/>
      </c>
      <c r="V3654" s="87"/>
      <c r="AF3654" s="22"/>
      <c r="AU3654" s="10"/>
    </row>
    <row r="3655" spans="1:47">
      <c r="A3655" t="str">
        <f t="shared" si="834"/>
        <v>PA_Alleg_2019g~Gen-member of council thornburg (vote for 3)</v>
      </c>
      <c r="B3655" s="55" t="s">
        <v>1528</v>
      </c>
      <c r="C3655">
        <v>924</v>
      </c>
      <c r="D3655" s="55" t="s">
        <v>846</v>
      </c>
      <c r="E3655" s="55" t="s">
        <v>1221</v>
      </c>
      <c r="F3655" t="s">
        <v>1296</v>
      </c>
      <c r="G3655" s="62">
        <v>105</v>
      </c>
      <c r="H3655">
        <v>32.409999999999997</v>
      </c>
      <c r="I3655">
        <v>436</v>
      </c>
      <c r="J3655">
        <v>0</v>
      </c>
      <c r="K3655">
        <v>1</v>
      </c>
      <c r="L3655">
        <v>1</v>
      </c>
      <c r="M3655">
        <v>0</v>
      </c>
      <c r="N3655" s="23">
        <v>0</v>
      </c>
      <c r="O3655">
        <f t="shared" si="835"/>
        <v>3</v>
      </c>
      <c r="P3655" s="57">
        <f t="shared" si="836"/>
        <v>3</v>
      </c>
      <c r="Q3655" s="267">
        <f t="shared" si="837"/>
        <v>106</v>
      </c>
      <c r="R3655" s="23">
        <f t="shared" si="838"/>
        <v>105</v>
      </c>
      <c r="S3655" s="23">
        <f t="shared" si="839"/>
        <v>0</v>
      </c>
      <c r="T3655" s="23" t="str">
        <f t="shared" si="840"/>
        <v/>
      </c>
      <c r="U3655" t="str">
        <f t="shared" si="841"/>
        <v/>
      </c>
      <c r="V3655" s="87"/>
      <c r="AF3655" s="22"/>
      <c r="AU3655" s="10"/>
    </row>
    <row r="3656" spans="1:47">
      <c r="A3656" t="str">
        <f t="shared" si="834"/>
        <v>PA_Alleg_2019g~Gen-member of council thornburg (vote for 3)</v>
      </c>
      <c r="B3656" s="55" t="s">
        <v>1528</v>
      </c>
      <c r="C3656">
        <v>925</v>
      </c>
      <c r="D3656" s="55" t="s">
        <v>846</v>
      </c>
      <c r="E3656" s="55" t="s">
        <v>15</v>
      </c>
      <c r="G3656" s="62">
        <v>1</v>
      </c>
      <c r="H3656">
        <v>0.31</v>
      </c>
      <c r="I3656">
        <v>436</v>
      </c>
      <c r="J3656">
        <v>0</v>
      </c>
      <c r="K3656">
        <v>1</v>
      </c>
      <c r="L3656">
        <v>1</v>
      </c>
      <c r="M3656">
        <v>0</v>
      </c>
      <c r="N3656" s="23">
        <v>0</v>
      </c>
      <c r="O3656">
        <f t="shared" si="835"/>
        <v>-3</v>
      </c>
      <c r="P3656" s="57">
        <f t="shared" si="836"/>
        <v>3</v>
      </c>
      <c r="Q3656" s="267">
        <f t="shared" si="837"/>
        <v>1</v>
      </c>
      <c r="R3656" s="23">
        <f t="shared" si="838"/>
        <v>1</v>
      </c>
      <c r="S3656" s="23">
        <f t="shared" si="839"/>
        <v>0</v>
      </c>
      <c r="T3656" s="23" t="str">
        <f t="shared" si="840"/>
        <v/>
      </c>
      <c r="U3656" t="str">
        <f t="shared" si="841"/>
        <v/>
      </c>
      <c r="V3656" s="87"/>
      <c r="AF3656" s="22"/>
      <c r="AU3656" s="10"/>
    </row>
    <row r="3657" spans="1:47">
      <c r="A3657" t="str">
        <f t="shared" si="834"/>
        <v>PA_Alleg_2019g~Gen-member of council trafford (vote for 3)</v>
      </c>
      <c r="B3657" s="55" t="s">
        <v>1528</v>
      </c>
      <c r="C3657">
        <v>926</v>
      </c>
      <c r="D3657" s="55" t="s">
        <v>847</v>
      </c>
      <c r="E3657" s="55" t="s">
        <v>848</v>
      </c>
      <c r="F3657" t="s">
        <v>1396</v>
      </c>
      <c r="G3657" s="62">
        <v>12</v>
      </c>
      <c r="H3657">
        <v>44.44</v>
      </c>
      <c r="I3657">
        <v>59</v>
      </c>
      <c r="J3657">
        <v>0</v>
      </c>
      <c r="K3657">
        <v>1</v>
      </c>
      <c r="L3657">
        <v>1</v>
      </c>
      <c r="M3657">
        <v>0</v>
      </c>
      <c r="N3657" s="23">
        <v>0</v>
      </c>
      <c r="O3657">
        <f t="shared" si="835"/>
        <v>1</v>
      </c>
      <c r="P3657" s="57">
        <f t="shared" si="836"/>
        <v>3</v>
      </c>
      <c r="Q3657" s="267">
        <f t="shared" si="837"/>
        <v>12</v>
      </c>
      <c r="R3657" s="23">
        <f t="shared" si="838"/>
        <v>5</v>
      </c>
      <c r="S3657" s="23">
        <f t="shared" si="839"/>
        <v>5</v>
      </c>
      <c r="T3657" s="23">
        <f t="shared" si="840"/>
        <v>0</v>
      </c>
      <c r="U3657" t="str">
        <f t="shared" si="841"/>
        <v>PA_Alleg_2019g~Gen-member of council trafford (vote for 3)</v>
      </c>
      <c r="V3657" s="87"/>
      <c r="AF3657" s="22"/>
      <c r="AU3657" s="10"/>
    </row>
    <row r="3658" spans="1:47">
      <c r="A3658" t="str">
        <f t="shared" si="834"/>
        <v>PA_Alleg_2019g~Gen-member of council trafford (vote for 3)</v>
      </c>
      <c r="B3658" s="55" t="s">
        <v>1528</v>
      </c>
      <c r="C3658">
        <v>928</v>
      </c>
      <c r="D3658" s="55" t="s">
        <v>847</v>
      </c>
      <c r="E3658" s="55" t="s">
        <v>1484</v>
      </c>
      <c r="F3658" t="s">
        <v>1396</v>
      </c>
      <c r="G3658" s="62">
        <v>5</v>
      </c>
      <c r="H3658">
        <v>18.52</v>
      </c>
      <c r="I3658">
        <v>59</v>
      </c>
      <c r="J3658">
        <v>0</v>
      </c>
      <c r="K3658">
        <v>1</v>
      </c>
      <c r="L3658">
        <v>1</v>
      </c>
      <c r="M3658">
        <v>0</v>
      </c>
      <c r="N3658" s="23">
        <v>0</v>
      </c>
      <c r="O3658">
        <f t="shared" si="835"/>
        <v>2</v>
      </c>
      <c r="P3658" s="57">
        <f t="shared" si="836"/>
        <v>3</v>
      </c>
      <c r="Q3658" s="267">
        <f t="shared" si="837"/>
        <v>15</v>
      </c>
      <c r="R3658" s="23">
        <f t="shared" si="838"/>
        <v>5</v>
      </c>
      <c r="S3658" s="23">
        <f t="shared" si="839"/>
        <v>5</v>
      </c>
      <c r="T3658" s="23" t="str">
        <f t="shared" si="840"/>
        <v/>
      </c>
      <c r="U3658" t="str">
        <f t="shared" si="841"/>
        <v/>
      </c>
      <c r="V3658" s="87"/>
      <c r="AF3658" s="22"/>
      <c r="AU3658" s="10"/>
    </row>
    <row r="3659" spans="1:47">
      <c r="A3659" t="str">
        <f t="shared" si="834"/>
        <v>PA_Alleg_2019g~Gen-member of council trafford (vote for 3)</v>
      </c>
      <c r="B3659" s="55" t="s">
        <v>1528</v>
      </c>
      <c r="C3659">
        <v>929</v>
      </c>
      <c r="D3659" s="55" t="s">
        <v>847</v>
      </c>
      <c r="E3659" s="55" t="s">
        <v>1222</v>
      </c>
      <c r="F3659" t="s">
        <v>1296</v>
      </c>
      <c r="G3659" s="62">
        <v>5</v>
      </c>
      <c r="H3659">
        <v>18.52</v>
      </c>
      <c r="I3659">
        <v>59</v>
      </c>
      <c r="J3659">
        <v>0</v>
      </c>
      <c r="K3659">
        <v>1</v>
      </c>
      <c r="L3659">
        <v>1</v>
      </c>
      <c r="M3659">
        <v>0</v>
      </c>
      <c r="N3659" s="23">
        <v>0</v>
      </c>
      <c r="O3659">
        <f t="shared" si="835"/>
        <v>3</v>
      </c>
      <c r="P3659" s="57">
        <f t="shared" si="836"/>
        <v>3</v>
      </c>
      <c r="Q3659" s="267">
        <f t="shared" si="837"/>
        <v>10</v>
      </c>
      <c r="R3659" s="23">
        <f t="shared" si="838"/>
        <v>5</v>
      </c>
      <c r="S3659" s="23">
        <f t="shared" si="839"/>
        <v>5</v>
      </c>
      <c r="T3659" s="23" t="str">
        <f t="shared" si="840"/>
        <v/>
      </c>
      <c r="U3659" t="str">
        <f t="shared" si="841"/>
        <v/>
      </c>
      <c r="V3659" s="87"/>
      <c r="AF3659" s="22"/>
      <c r="AU3659" s="10"/>
    </row>
    <row r="3660" spans="1:47">
      <c r="A3660" t="str">
        <f t="shared" si="834"/>
        <v>PA_Alleg_2019g~Gen-member of council trafford (vote for 3)</v>
      </c>
      <c r="B3660" s="55" t="s">
        <v>1528</v>
      </c>
      <c r="C3660">
        <v>927</v>
      </c>
      <c r="D3660" s="55" t="s">
        <v>847</v>
      </c>
      <c r="E3660" s="55" t="s">
        <v>1483</v>
      </c>
      <c r="F3660" t="s">
        <v>1294</v>
      </c>
      <c r="G3660" s="62">
        <v>5</v>
      </c>
      <c r="H3660">
        <v>18.52</v>
      </c>
      <c r="I3660">
        <v>59</v>
      </c>
      <c r="J3660">
        <v>0</v>
      </c>
      <c r="K3660">
        <v>1</v>
      </c>
      <c r="L3660">
        <v>1</v>
      </c>
      <c r="M3660">
        <v>0</v>
      </c>
      <c r="N3660" s="23">
        <v>0</v>
      </c>
      <c r="O3660">
        <f t="shared" si="835"/>
        <v>4</v>
      </c>
      <c r="P3660" s="57">
        <f t="shared" si="836"/>
        <v>3</v>
      </c>
      <c r="Q3660" s="267">
        <f t="shared" si="837"/>
        <v>5</v>
      </c>
      <c r="R3660" s="23" t="str">
        <f t="shared" si="838"/>
        <v/>
      </c>
      <c r="S3660" s="23">
        <f t="shared" si="839"/>
        <v>5</v>
      </c>
      <c r="T3660" s="23" t="str">
        <f t="shared" si="840"/>
        <v/>
      </c>
      <c r="U3660" t="str">
        <f t="shared" si="841"/>
        <v/>
      </c>
      <c r="V3660" s="87"/>
      <c r="AF3660" s="22"/>
      <c r="AU3660" s="10"/>
    </row>
    <row r="3661" spans="1:47">
      <c r="A3661" t="str">
        <f t="shared" si="834"/>
        <v>PA_Alleg_2019g~Gen-member of council trafford (vote for 3)</v>
      </c>
      <c r="B3661" s="55" t="s">
        <v>1528</v>
      </c>
      <c r="C3661">
        <v>930</v>
      </c>
      <c r="D3661" s="55" t="s">
        <v>847</v>
      </c>
      <c r="E3661" s="55" t="s">
        <v>15</v>
      </c>
      <c r="G3661" s="62">
        <v>0</v>
      </c>
      <c r="H3661">
        <v>0</v>
      </c>
      <c r="I3661">
        <v>59</v>
      </c>
      <c r="J3661">
        <v>0</v>
      </c>
      <c r="K3661">
        <v>1</v>
      </c>
      <c r="L3661">
        <v>1</v>
      </c>
      <c r="M3661">
        <v>0</v>
      </c>
      <c r="N3661" s="23">
        <v>0</v>
      </c>
      <c r="O3661">
        <f t="shared" si="835"/>
        <v>-4</v>
      </c>
      <c r="P3661" s="57">
        <f t="shared" si="836"/>
        <v>3</v>
      </c>
      <c r="Q3661" s="267">
        <f t="shared" si="837"/>
        <v>0</v>
      </c>
      <c r="R3661" s="23">
        <f t="shared" si="838"/>
        <v>1</v>
      </c>
      <c r="S3661" s="23">
        <f t="shared" si="839"/>
        <v>0</v>
      </c>
      <c r="T3661" s="23" t="str">
        <f t="shared" si="840"/>
        <v/>
      </c>
      <c r="U3661" t="str">
        <f t="shared" si="841"/>
        <v/>
      </c>
      <c r="V3661" s="87"/>
      <c r="AF3661" s="22"/>
      <c r="AU3661" s="10"/>
    </row>
    <row r="3662" spans="1:47">
      <c r="A3662" t="str">
        <f t="shared" si="834"/>
        <v>PA_Alleg_2019g~Gen-member of council turtle creek ward 1 (vote for 2)</v>
      </c>
      <c r="B3662" s="55" t="s">
        <v>1528</v>
      </c>
      <c r="C3662">
        <v>1064</v>
      </c>
      <c r="D3662" s="55" t="s">
        <v>961</v>
      </c>
      <c r="E3662" s="55" t="s">
        <v>963</v>
      </c>
      <c r="F3662" t="s">
        <v>1294</v>
      </c>
      <c r="G3662" s="62">
        <v>217</v>
      </c>
      <c r="H3662">
        <v>49.43</v>
      </c>
      <c r="I3662">
        <v>1288</v>
      </c>
      <c r="J3662">
        <v>0</v>
      </c>
      <c r="K3662">
        <v>2</v>
      </c>
      <c r="L3662">
        <v>2</v>
      </c>
      <c r="M3662">
        <v>0</v>
      </c>
      <c r="N3662" s="23">
        <v>0</v>
      </c>
      <c r="O3662">
        <f t="shared" si="835"/>
        <v>1</v>
      </c>
      <c r="P3662" s="57">
        <f t="shared" si="836"/>
        <v>2</v>
      </c>
      <c r="Q3662" s="267">
        <f t="shared" si="837"/>
        <v>219.5</v>
      </c>
      <c r="R3662" s="23">
        <f t="shared" si="838"/>
        <v>214</v>
      </c>
      <c r="S3662" s="23">
        <f t="shared" si="839"/>
        <v>0</v>
      </c>
      <c r="T3662" s="23" t="str">
        <f t="shared" si="840"/>
        <v/>
      </c>
      <c r="U3662" t="str">
        <f t="shared" si="841"/>
        <v>PA_Alleg_2019g~Gen-member of council turtle creek ward 1 (vote for 2)</v>
      </c>
      <c r="V3662" s="87"/>
      <c r="AF3662" s="22"/>
      <c r="AU3662" s="10"/>
    </row>
    <row r="3663" spans="1:47">
      <c r="A3663" t="str">
        <f t="shared" si="834"/>
        <v>PA_Alleg_2019g~Gen-member of council turtle creek ward 1 (vote for 2)</v>
      </c>
      <c r="B3663" s="55" t="s">
        <v>1528</v>
      </c>
      <c r="C3663">
        <v>1063</v>
      </c>
      <c r="D3663" s="55" t="s">
        <v>961</v>
      </c>
      <c r="E3663" s="55" t="s">
        <v>962</v>
      </c>
      <c r="F3663" t="s">
        <v>1294</v>
      </c>
      <c r="G3663" s="62">
        <v>214</v>
      </c>
      <c r="H3663">
        <v>48.75</v>
      </c>
      <c r="I3663">
        <v>1288</v>
      </c>
      <c r="J3663">
        <v>0</v>
      </c>
      <c r="K3663">
        <v>2</v>
      </c>
      <c r="L3663">
        <v>2</v>
      </c>
      <c r="M3663">
        <v>0</v>
      </c>
      <c r="N3663" s="23">
        <v>0</v>
      </c>
      <c r="O3663">
        <f t="shared" si="835"/>
        <v>2</v>
      </c>
      <c r="P3663" s="57">
        <f t="shared" si="836"/>
        <v>2</v>
      </c>
      <c r="Q3663" s="267">
        <f t="shared" si="837"/>
        <v>222</v>
      </c>
      <c r="R3663" s="23">
        <f t="shared" si="838"/>
        <v>214</v>
      </c>
      <c r="S3663" s="23">
        <f t="shared" si="839"/>
        <v>0</v>
      </c>
      <c r="T3663" s="23" t="str">
        <f t="shared" si="840"/>
        <v/>
      </c>
      <c r="U3663" t="str">
        <f t="shared" si="841"/>
        <v/>
      </c>
      <c r="V3663" s="87"/>
      <c r="AF3663" s="22"/>
      <c r="AU3663" s="10"/>
    </row>
    <row r="3664" spans="1:47">
      <c r="A3664" t="str">
        <f t="shared" si="834"/>
        <v>PA_Alleg_2019g~Gen-member of council turtle creek ward 1 (vote for 2)</v>
      </c>
      <c r="B3664" s="55" t="s">
        <v>1528</v>
      </c>
      <c r="C3664">
        <v>1065</v>
      </c>
      <c r="D3664" s="55" t="s">
        <v>961</v>
      </c>
      <c r="E3664" s="55" t="s">
        <v>15</v>
      </c>
      <c r="G3664" s="62">
        <v>8</v>
      </c>
      <c r="H3664">
        <v>1.82</v>
      </c>
      <c r="I3664">
        <v>1288</v>
      </c>
      <c r="J3664">
        <v>0</v>
      </c>
      <c r="K3664">
        <v>2</v>
      </c>
      <c r="L3664">
        <v>2</v>
      </c>
      <c r="M3664">
        <v>0</v>
      </c>
      <c r="N3664" s="23">
        <v>0</v>
      </c>
      <c r="O3664">
        <f t="shared" si="835"/>
        <v>-2</v>
      </c>
      <c r="P3664" s="57">
        <f t="shared" si="836"/>
        <v>2</v>
      </c>
      <c r="Q3664" s="267">
        <f t="shared" si="837"/>
        <v>8</v>
      </c>
      <c r="R3664" s="23">
        <f t="shared" si="838"/>
        <v>1</v>
      </c>
      <c r="S3664" s="23">
        <f t="shared" si="839"/>
        <v>0</v>
      </c>
      <c r="T3664" s="23" t="str">
        <f t="shared" si="840"/>
        <v/>
      </c>
      <c r="U3664" t="str">
        <f t="shared" si="841"/>
        <v/>
      </c>
      <c r="V3664" s="87"/>
      <c r="AF3664" s="22"/>
      <c r="AU3664" s="10"/>
    </row>
    <row r="3665" spans="1:47">
      <c r="A3665" t="str">
        <f t="shared" si="834"/>
        <v>PA_Alleg_2019g~Gen-member of council turtle creek ward 2 (vote for 2)</v>
      </c>
      <c r="B3665" s="55" t="s">
        <v>1528</v>
      </c>
      <c r="C3665">
        <v>1066</v>
      </c>
      <c r="D3665" s="55" t="s">
        <v>964</v>
      </c>
      <c r="E3665" s="55" t="s">
        <v>965</v>
      </c>
      <c r="F3665" t="s">
        <v>1294</v>
      </c>
      <c r="G3665" s="62">
        <v>147</v>
      </c>
      <c r="H3665">
        <v>55.06</v>
      </c>
      <c r="I3665">
        <v>1042</v>
      </c>
      <c r="J3665">
        <v>0</v>
      </c>
      <c r="K3665">
        <v>2</v>
      </c>
      <c r="L3665">
        <v>2</v>
      </c>
      <c r="M3665">
        <v>0</v>
      </c>
      <c r="N3665" s="23">
        <v>0</v>
      </c>
      <c r="O3665">
        <f t="shared" si="835"/>
        <v>1</v>
      </c>
      <c r="P3665" s="57">
        <f t="shared" si="836"/>
        <v>2</v>
      </c>
      <c r="Q3665" s="267">
        <f t="shared" si="837"/>
        <v>147</v>
      </c>
      <c r="R3665" s="23">
        <f t="shared" si="838"/>
        <v>113</v>
      </c>
      <c r="S3665" s="23">
        <f t="shared" si="839"/>
        <v>0</v>
      </c>
      <c r="T3665" s="23" t="str">
        <f t="shared" si="840"/>
        <v/>
      </c>
      <c r="U3665" t="str">
        <f t="shared" si="841"/>
        <v>PA_Alleg_2019g~Gen-member of council turtle creek ward 2 (vote for 2)</v>
      </c>
      <c r="V3665" s="87"/>
      <c r="AF3665" s="22"/>
      <c r="AU3665" s="10"/>
    </row>
    <row r="3666" spans="1:47">
      <c r="A3666" t="str">
        <f t="shared" si="834"/>
        <v>PA_Alleg_2019g~Gen-member of council turtle creek ward 2 (vote for 2)</v>
      </c>
      <c r="B3666" s="55" t="s">
        <v>1528</v>
      </c>
      <c r="C3666">
        <v>1067</v>
      </c>
      <c r="D3666" s="55" t="s">
        <v>964</v>
      </c>
      <c r="E3666" s="55" t="s">
        <v>966</v>
      </c>
      <c r="F3666" t="s">
        <v>1294</v>
      </c>
      <c r="G3666" s="62">
        <v>113</v>
      </c>
      <c r="H3666">
        <v>42.32</v>
      </c>
      <c r="I3666">
        <v>1042</v>
      </c>
      <c r="J3666">
        <v>0</v>
      </c>
      <c r="K3666">
        <v>2</v>
      </c>
      <c r="L3666">
        <v>2</v>
      </c>
      <c r="M3666">
        <v>0</v>
      </c>
      <c r="N3666" s="23">
        <v>0</v>
      </c>
      <c r="O3666">
        <f t="shared" si="835"/>
        <v>2</v>
      </c>
      <c r="P3666" s="57">
        <f t="shared" si="836"/>
        <v>2</v>
      </c>
      <c r="Q3666" s="267">
        <f t="shared" si="837"/>
        <v>120</v>
      </c>
      <c r="R3666" s="23">
        <f t="shared" si="838"/>
        <v>113</v>
      </c>
      <c r="S3666" s="23">
        <f t="shared" si="839"/>
        <v>0</v>
      </c>
      <c r="T3666" s="23" t="str">
        <f t="shared" si="840"/>
        <v/>
      </c>
      <c r="U3666" t="str">
        <f t="shared" si="841"/>
        <v/>
      </c>
      <c r="V3666" s="87"/>
      <c r="AF3666" s="22"/>
      <c r="AU3666" s="10"/>
    </row>
    <row r="3667" spans="1:47">
      <c r="A3667" t="str">
        <f t="shared" si="834"/>
        <v>PA_Alleg_2019g~Gen-member of council turtle creek ward 2 (vote for 2)</v>
      </c>
      <c r="B3667" s="55" t="s">
        <v>1528</v>
      </c>
      <c r="C3667">
        <v>1068</v>
      </c>
      <c r="D3667" s="55" t="s">
        <v>964</v>
      </c>
      <c r="E3667" s="55" t="s">
        <v>15</v>
      </c>
      <c r="G3667" s="62">
        <v>7</v>
      </c>
      <c r="H3667">
        <v>2.62</v>
      </c>
      <c r="I3667">
        <v>1042</v>
      </c>
      <c r="J3667">
        <v>0</v>
      </c>
      <c r="K3667">
        <v>2</v>
      </c>
      <c r="L3667">
        <v>2</v>
      </c>
      <c r="M3667">
        <v>0</v>
      </c>
      <c r="N3667" s="23">
        <v>0</v>
      </c>
      <c r="O3667">
        <f t="shared" si="835"/>
        <v>-2</v>
      </c>
      <c r="P3667" s="57">
        <f t="shared" si="836"/>
        <v>2</v>
      </c>
      <c r="Q3667" s="267">
        <f t="shared" si="837"/>
        <v>7</v>
      </c>
      <c r="R3667" s="23">
        <f t="shared" si="838"/>
        <v>1</v>
      </c>
      <c r="S3667" s="23">
        <f t="shared" si="839"/>
        <v>0</v>
      </c>
      <c r="T3667" s="23" t="str">
        <f t="shared" si="840"/>
        <v/>
      </c>
      <c r="U3667" t="str">
        <f t="shared" si="841"/>
        <v/>
      </c>
      <c r="V3667" s="87"/>
      <c r="AF3667" s="22"/>
      <c r="AU3667" s="10"/>
    </row>
    <row r="3668" spans="1:47">
      <c r="A3668" t="str">
        <f t="shared" si="834"/>
        <v>PA_Alleg_2019g~Gen-member of council turtle creek ward 3 (vote for 1)</v>
      </c>
      <c r="B3668" s="55" t="s">
        <v>1528</v>
      </c>
      <c r="C3668">
        <v>1176</v>
      </c>
      <c r="D3668" s="55" t="s">
        <v>1065</v>
      </c>
      <c r="E3668" s="55" t="s">
        <v>1066</v>
      </c>
      <c r="F3668" t="s">
        <v>1294</v>
      </c>
      <c r="G3668" s="62">
        <v>193</v>
      </c>
      <c r="H3668">
        <v>98.97</v>
      </c>
      <c r="I3668">
        <v>1110</v>
      </c>
      <c r="J3668">
        <v>0</v>
      </c>
      <c r="K3668">
        <v>2</v>
      </c>
      <c r="L3668">
        <v>2</v>
      </c>
      <c r="M3668">
        <v>0</v>
      </c>
      <c r="N3668" s="23">
        <v>0</v>
      </c>
      <c r="O3668">
        <f t="shared" si="835"/>
        <v>1</v>
      </c>
      <c r="P3668" s="57">
        <f t="shared" si="836"/>
        <v>1</v>
      </c>
      <c r="Q3668" s="267">
        <f t="shared" si="837"/>
        <v>195</v>
      </c>
      <c r="R3668" s="23">
        <f t="shared" si="838"/>
        <v>193</v>
      </c>
      <c r="S3668" s="23">
        <f t="shared" si="839"/>
        <v>0</v>
      </c>
      <c r="T3668" s="23" t="str">
        <f t="shared" si="840"/>
        <v/>
      </c>
      <c r="U3668" t="str">
        <f t="shared" si="841"/>
        <v>PA_Alleg_2019g~Gen-member of council turtle creek ward 3 (vote for 1)</v>
      </c>
      <c r="V3668" s="87"/>
      <c r="AF3668" s="22"/>
      <c r="AU3668" s="10"/>
    </row>
    <row r="3669" spans="1:47">
      <c r="A3669" t="str">
        <f t="shared" si="834"/>
        <v>PA_Alleg_2019g~Gen-member of council turtle creek ward 3 (vote for 1)</v>
      </c>
      <c r="B3669" s="55" t="s">
        <v>1528</v>
      </c>
      <c r="C3669">
        <v>1177</v>
      </c>
      <c r="D3669" s="55" t="s">
        <v>1065</v>
      </c>
      <c r="E3669" s="55" t="s">
        <v>15</v>
      </c>
      <c r="G3669" s="62">
        <v>2</v>
      </c>
      <c r="H3669">
        <v>1.03</v>
      </c>
      <c r="I3669">
        <v>1110</v>
      </c>
      <c r="J3669">
        <v>0</v>
      </c>
      <c r="K3669">
        <v>2</v>
      </c>
      <c r="L3669">
        <v>2</v>
      </c>
      <c r="M3669">
        <v>0</v>
      </c>
      <c r="N3669" s="23">
        <v>0</v>
      </c>
      <c r="O3669">
        <f t="shared" si="835"/>
        <v>-1</v>
      </c>
      <c r="P3669" s="57">
        <f t="shared" si="836"/>
        <v>1</v>
      </c>
      <c r="Q3669" s="267">
        <f t="shared" si="837"/>
        <v>2</v>
      </c>
      <c r="R3669" s="23">
        <f t="shared" si="838"/>
        <v>1</v>
      </c>
      <c r="S3669" s="23">
        <f t="shared" si="839"/>
        <v>0</v>
      </c>
      <c r="T3669" s="23" t="str">
        <f t="shared" si="840"/>
        <v/>
      </c>
      <c r="U3669" t="str">
        <f t="shared" si="841"/>
        <v/>
      </c>
      <c r="V3669" s="87"/>
      <c r="AF3669" s="22"/>
      <c r="AU3669" s="10"/>
    </row>
    <row r="3670" spans="1:47">
      <c r="A3670" t="str">
        <f t="shared" si="834"/>
        <v>PA_Alleg_2019g~Gen-member of council verona (vote for 3)</v>
      </c>
      <c r="B3670" s="55" t="s">
        <v>1528</v>
      </c>
      <c r="C3670">
        <v>932</v>
      </c>
      <c r="D3670" s="55" t="s">
        <v>849</v>
      </c>
      <c r="E3670" s="55" t="s">
        <v>853</v>
      </c>
      <c r="F3670" t="s">
        <v>1396</v>
      </c>
      <c r="G3670" s="62">
        <v>404</v>
      </c>
      <c r="H3670">
        <v>33.67</v>
      </c>
      <c r="I3670">
        <v>1731</v>
      </c>
      <c r="J3670">
        <v>0</v>
      </c>
      <c r="K3670">
        <v>3</v>
      </c>
      <c r="L3670">
        <v>3</v>
      </c>
      <c r="M3670">
        <v>0</v>
      </c>
      <c r="N3670" s="23">
        <v>0</v>
      </c>
      <c r="O3670">
        <f t="shared" si="835"/>
        <v>1</v>
      </c>
      <c r="P3670" s="57">
        <f t="shared" si="836"/>
        <v>3</v>
      </c>
      <c r="Q3670" s="267">
        <f t="shared" si="837"/>
        <v>404</v>
      </c>
      <c r="R3670" s="23">
        <f t="shared" si="838"/>
        <v>386</v>
      </c>
      <c r="S3670" s="23">
        <f t="shared" si="839"/>
        <v>0</v>
      </c>
      <c r="T3670" s="23" t="str">
        <f t="shared" si="840"/>
        <v/>
      </c>
      <c r="U3670" t="str">
        <f t="shared" si="841"/>
        <v>PA_Alleg_2019g~Gen-member of council verona (vote for 3)</v>
      </c>
      <c r="V3670" s="87"/>
      <c r="AF3670" s="22"/>
      <c r="AU3670" s="10"/>
    </row>
    <row r="3671" spans="1:47">
      <c r="A3671" t="str">
        <f t="shared" si="834"/>
        <v>PA_Alleg_2019g~Gen-member of council verona (vote for 3)</v>
      </c>
      <c r="B3671" s="55" t="s">
        <v>1528</v>
      </c>
      <c r="C3671">
        <v>933</v>
      </c>
      <c r="D3671" s="55" t="s">
        <v>849</v>
      </c>
      <c r="E3671" s="55" t="s">
        <v>850</v>
      </c>
      <c r="F3671" t="s">
        <v>1396</v>
      </c>
      <c r="G3671" s="62">
        <v>392</v>
      </c>
      <c r="H3671">
        <v>32.67</v>
      </c>
      <c r="I3671">
        <v>1731</v>
      </c>
      <c r="J3671">
        <v>0</v>
      </c>
      <c r="K3671">
        <v>3</v>
      </c>
      <c r="L3671">
        <v>3</v>
      </c>
      <c r="M3671">
        <v>0</v>
      </c>
      <c r="N3671" s="23">
        <v>0</v>
      </c>
      <c r="O3671">
        <f t="shared" si="835"/>
        <v>2</v>
      </c>
      <c r="P3671" s="57">
        <f t="shared" si="836"/>
        <v>3</v>
      </c>
      <c r="Q3671" s="267">
        <f t="shared" si="837"/>
        <v>796</v>
      </c>
      <c r="R3671" s="23">
        <f t="shared" si="838"/>
        <v>386</v>
      </c>
      <c r="S3671" s="23">
        <f t="shared" si="839"/>
        <v>0</v>
      </c>
      <c r="T3671" s="23" t="str">
        <f t="shared" si="840"/>
        <v/>
      </c>
      <c r="U3671" t="str">
        <f t="shared" si="841"/>
        <v/>
      </c>
      <c r="V3671" s="87"/>
      <c r="AF3671" s="22"/>
      <c r="AU3671" s="10"/>
    </row>
    <row r="3672" spans="1:47">
      <c r="A3672" t="str">
        <f t="shared" si="834"/>
        <v>PA_Alleg_2019g~Gen-member of council verona (vote for 3)</v>
      </c>
      <c r="B3672" s="55" t="s">
        <v>1528</v>
      </c>
      <c r="C3672">
        <v>931</v>
      </c>
      <c r="D3672" s="55" t="s">
        <v>849</v>
      </c>
      <c r="E3672" s="55" t="s">
        <v>852</v>
      </c>
      <c r="F3672" t="s">
        <v>1396</v>
      </c>
      <c r="G3672" s="62">
        <v>386</v>
      </c>
      <c r="H3672">
        <v>32.17</v>
      </c>
      <c r="I3672">
        <v>1731</v>
      </c>
      <c r="J3672">
        <v>0</v>
      </c>
      <c r="K3672">
        <v>3</v>
      </c>
      <c r="L3672">
        <v>3</v>
      </c>
      <c r="M3672">
        <v>0</v>
      </c>
      <c r="N3672" s="23">
        <v>0</v>
      </c>
      <c r="O3672">
        <f t="shared" si="835"/>
        <v>3</v>
      </c>
      <c r="P3672" s="57">
        <f t="shared" si="836"/>
        <v>3</v>
      </c>
      <c r="Q3672" s="267">
        <f t="shared" si="837"/>
        <v>404</v>
      </c>
      <c r="R3672" s="23">
        <f t="shared" si="838"/>
        <v>386</v>
      </c>
      <c r="S3672" s="23">
        <f t="shared" si="839"/>
        <v>0</v>
      </c>
      <c r="T3672" s="23" t="str">
        <f t="shared" si="840"/>
        <v/>
      </c>
      <c r="U3672" t="str">
        <f t="shared" si="841"/>
        <v/>
      </c>
      <c r="V3672" s="87"/>
      <c r="AF3672" s="22"/>
      <c r="AU3672" s="10"/>
    </row>
    <row r="3673" spans="1:47">
      <c r="A3673" t="str">
        <f t="shared" si="834"/>
        <v>PA_Alleg_2019g~Gen-member of council verona (vote for 3)</v>
      </c>
      <c r="B3673" s="55" t="s">
        <v>1528</v>
      </c>
      <c r="C3673">
        <v>934</v>
      </c>
      <c r="D3673" s="55" t="s">
        <v>849</v>
      </c>
      <c r="E3673" s="55" t="s">
        <v>15</v>
      </c>
      <c r="G3673" s="62">
        <v>18</v>
      </c>
      <c r="H3673">
        <v>1.5</v>
      </c>
      <c r="I3673">
        <v>1731</v>
      </c>
      <c r="J3673">
        <v>0</v>
      </c>
      <c r="K3673">
        <v>3</v>
      </c>
      <c r="L3673">
        <v>3</v>
      </c>
      <c r="M3673">
        <v>0</v>
      </c>
      <c r="N3673" s="23">
        <v>0</v>
      </c>
      <c r="O3673">
        <f t="shared" si="835"/>
        <v>-3</v>
      </c>
      <c r="P3673" s="57">
        <f t="shared" si="836"/>
        <v>3</v>
      </c>
      <c r="Q3673" s="267">
        <f t="shared" si="837"/>
        <v>18</v>
      </c>
      <c r="R3673" s="23">
        <f t="shared" si="838"/>
        <v>1</v>
      </c>
      <c r="S3673" s="23">
        <f t="shared" si="839"/>
        <v>0</v>
      </c>
      <c r="T3673" s="23" t="str">
        <f t="shared" si="840"/>
        <v/>
      </c>
      <c r="U3673" t="str">
        <f t="shared" si="841"/>
        <v/>
      </c>
      <c r="V3673" s="87"/>
      <c r="AF3673" s="22"/>
      <c r="AU3673" s="10"/>
    </row>
    <row r="3674" spans="1:47">
      <c r="A3674" t="str">
        <f t="shared" si="834"/>
        <v>PA_Alleg_2019g~Gen-member of council versailles (vote for 3)</v>
      </c>
      <c r="B3674" s="55" t="s">
        <v>1528</v>
      </c>
      <c r="C3674">
        <v>935</v>
      </c>
      <c r="D3674" s="55" t="s">
        <v>855</v>
      </c>
      <c r="E3674" s="55" t="s">
        <v>856</v>
      </c>
      <c r="F3674" t="s">
        <v>1294</v>
      </c>
      <c r="G3674" s="62">
        <v>165</v>
      </c>
      <c r="H3674">
        <v>44</v>
      </c>
      <c r="I3674">
        <v>1043</v>
      </c>
      <c r="J3674">
        <v>0</v>
      </c>
      <c r="K3674">
        <v>2</v>
      </c>
      <c r="L3674">
        <v>2</v>
      </c>
      <c r="M3674">
        <v>0</v>
      </c>
      <c r="N3674" s="23">
        <v>0</v>
      </c>
      <c r="O3674">
        <f t="shared" si="835"/>
        <v>1</v>
      </c>
      <c r="P3674" s="57">
        <f t="shared" si="836"/>
        <v>3</v>
      </c>
      <c r="Q3674" s="267">
        <f t="shared" si="837"/>
        <v>165</v>
      </c>
      <c r="R3674" s="23">
        <f t="shared" si="838"/>
        <v>1</v>
      </c>
      <c r="S3674" s="23">
        <f t="shared" si="839"/>
        <v>0</v>
      </c>
      <c r="T3674" s="23" t="str">
        <f t="shared" si="840"/>
        <v/>
      </c>
      <c r="U3674" t="str">
        <f t="shared" si="841"/>
        <v>PA_Alleg_2019g~Gen-member of council versailles (vote for 3)</v>
      </c>
      <c r="V3674" s="87"/>
      <c r="AF3674" s="22"/>
      <c r="AU3674" s="10"/>
    </row>
    <row r="3675" spans="1:47">
      <c r="A3675" t="str">
        <f t="shared" si="834"/>
        <v>PA_Alleg_2019g~Gen-member of council versailles (vote for 3)</v>
      </c>
      <c r="B3675" s="55" t="s">
        <v>1528</v>
      </c>
      <c r="C3675">
        <v>936</v>
      </c>
      <c r="D3675" s="55" t="s">
        <v>855</v>
      </c>
      <c r="E3675" s="55" t="s">
        <v>857</v>
      </c>
      <c r="F3675" t="s">
        <v>1294</v>
      </c>
      <c r="G3675" s="62">
        <v>163</v>
      </c>
      <c r="H3675">
        <v>43.47</v>
      </c>
      <c r="I3675">
        <v>1043</v>
      </c>
      <c r="J3675">
        <v>0</v>
      </c>
      <c r="K3675">
        <v>2</v>
      </c>
      <c r="L3675">
        <v>2</v>
      </c>
      <c r="M3675">
        <v>0</v>
      </c>
      <c r="N3675" s="23">
        <v>0</v>
      </c>
      <c r="O3675">
        <f t="shared" si="835"/>
        <v>2</v>
      </c>
      <c r="P3675" s="57">
        <f t="shared" si="836"/>
        <v>3</v>
      </c>
      <c r="Q3675" s="267">
        <f t="shared" si="837"/>
        <v>210</v>
      </c>
      <c r="R3675" s="23">
        <f t="shared" si="838"/>
        <v>1</v>
      </c>
      <c r="S3675" s="23">
        <f t="shared" si="839"/>
        <v>0</v>
      </c>
      <c r="T3675" s="23" t="str">
        <f t="shared" si="840"/>
        <v/>
      </c>
      <c r="U3675" t="str">
        <f t="shared" si="841"/>
        <v/>
      </c>
      <c r="V3675" s="87"/>
      <c r="AF3675" s="22"/>
      <c r="AU3675" s="10"/>
    </row>
    <row r="3676" spans="1:47">
      <c r="A3676" t="str">
        <f t="shared" si="834"/>
        <v>PA_Alleg_2019g~Gen-member of council versailles (vote for 3)</v>
      </c>
      <c r="B3676" s="55" t="s">
        <v>1528</v>
      </c>
      <c r="C3676">
        <v>937</v>
      </c>
      <c r="D3676" s="55" t="s">
        <v>855</v>
      </c>
      <c r="E3676" s="55" t="s">
        <v>15</v>
      </c>
      <c r="G3676" s="62">
        <v>47</v>
      </c>
      <c r="H3676">
        <v>12.53</v>
      </c>
      <c r="I3676">
        <v>1043</v>
      </c>
      <c r="J3676">
        <v>0</v>
      </c>
      <c r="K3676">
        <v>2</v>
      </c>
      <c r="L3676">
        <v>2</v>
      </c>
      <c r="M3676">
        <v>0</v>
      </c>
      <c r="N3676" s="23">
        <v>0</v>
      </c>
      <c r="O3676">
        <f t="shared" si="835"/>
        <v>-2</v>
      </c>
      <c r="P3676" s="57">
        <f t="shared" si="836"/>
        <v>3</v>
      </c>
      <c r="Q3676" s="267">
        <f t="shared" si="837"/>
        <v>47</v>
      </c>
      <c r="R3676" s="23">
        <f t="shared" si="838"/>
        <v>1</v>
      </c>
      <c r="S3676" s="23">
        <f t="shared" si="839"/>
        <v>0</v>
      </c>
      <c r="T3676" s="23" t="str">
        <f t="shared" si="840"/>
        <v/>
      </c>
      <c r="U3676" t="str">
        <f t="shared" si="841"/>
        <v/>
      </c>
      <c r="V3676" s="87"/>
      <c r="AF3676" s="22"/>
      <c r="AU3676" s="10"/>
    </row>
    <row r="3677" spans="1:47">
      <c r="A3677" t="str">
        <f t="shared" si="834"/>
        <v>PA_Alleg_2019g~Gen-member of council wall (vote for 2)</v>
      </c>
      <c r="B3677" s="55" t="s">
        <v>1528</v>
      </c>
      <c r="C3677">
        <v>995</v>
      </c>
      <c r="D3677" s="55" t="s">
        <v>907</v>
      </c>
      <c r="E3677" s="55" t="s">
        <v>15</v>
      </c>
      <c r="G3677" s="62">
        <v>39</v>
      </c>
      <c r="H3677">
        <v>100</v>
      </c>
      <c r="I3677">
        <v>334</v>
      </c>
      <c r="J3677">
        <v>0</v>
      </c>
      <c r="K3677">
        <v>1</v>
      </c>
      <c r="L3677">
        <v>1</v>
      </c>
      <c r="M3677">
        <v>0</v>
      </c>
      <c r="N3677" s="23">
        <v>0</v>
      </c>
      <c r="O3677">
        <f t="shared" si="835"/>
        <v>0</v>
      </c>
      <c r="P3677" s="57">
        <f t="shared" si="836"/>
        <v>2</v>
      </c>
      <c r="Q3677" s="267">
        <f t="shared" si="837"/>
        <v>39</v>
      </c>
      <c r="R3677" s="23">
        <f t="shared" si="838"/>
        <v>1</v>
      </c>
      <c r="S3677" s="23">
        <f t="shared" si="839"/>
        <v>0</v>
      </c>
      <c r="T3677" s="23" t="str">
        <f t="shared" si="840"/>
        <v/>
      </c>
      <c r="U3677" t="str">
        <f t="shared" si="841"/>
        <v>PA_Alleg_2019g~Gen-member of council wall (vote for 2)</v>
      </c>
      <c r="V3677" s="87"/>
      <c r="AF3677" s="22"/>
      <c r="AU3677" s="10"/>
    </row>
    <row r="3678" spans="1:47">
      <c r="A3678" t="str">
        <f t="shared" si="834"/>
        <v>PA_Alleg_2019g~Gen-member of council west elizabeth (vote for 3)</v>
      </c>
      <c r="B3678" s="55" t="s">
        <v>1528</v>
      </c>
      <c r="C3678">
        <v>938</v>
      </c>
      <c r="D3678" s="55" t="s">
        <v>858</v>
      </c>
      <c r="E3678" s="55" t="s">
        <v>1223</v>
      </c>
      <c r="F3678" t="s">
        <v>1296</v>
      </c>
      <c r="G3678" s="62">
        <v>44</v>
      </c>
      <c r="H3678">
        <v>55.7</v>
      </c>
      <c r="I3678">
        <v>272</v>
      </c>
      <c r="J3678">
        <v>0</v>
      </c>
      <c r="K3678">
        <v>1</v>
      </c>
      <c r="L3678">
        <v>1</v>
      </c>
      <c r="M3678">
        <v>0</v>
      </c>
      <c r="N3678" s="23">
        <v>0</v>
      </c>
      <c r="O3678">
        <f t="shared" si="835"/>
        <v>1</v>
      </c>
      <c r="P3678" s="57">
        <f t="shared" si="836"/>
        <v>3</v>
      </c>
      <c r="Q3678" s="267">
        <f t="shared" si="837"/>
        <v>44</v>
      </c>
      <c r="R3678" s="23">
        <f t="shared" si="838"/>
        <v>1</v>
      </c>
      <c r="S3678" s="23">
        <f t="shared" si="839"/>
        <v>0</v>
      </c>
      <c r="T3678" s="23" t="str">
        <f t="shared" si="840"/>
        <v/>
      </c>
      <c r="U3678" t="str">
        <f t="shared" si="841"/>
        <v>PA_Alleg_2019g~Gen-member of council west elizabeth (vote for 3)</v>
      </c>
      <c r="V3678" s="87"/>
      <c r="AF3678" s="22"/>
      <c r="AU3678" s="10"/>
    </row>
    <row r="3679" spans="1:47">
      <c r="A3679" t="str">
        <f t="shared" si="834"/>
        <v>PA_Alleg_2019g~Gen-member of council west elizabeth (vote for 3)</v>
      </c>
      <c r="B3679" s="55" t="s">
        <v>1528</v>
      </c>
      <c r="C3679">
        <v>939</v>
      </c>
      <c r="D3679" s="55" t="s">
        <v>858</v>
      </c>
      <c r="E3679" s="55" t="s">
        <v>15</v>
      </c>
      <c r="G3679" s="62">
        <v>35</v>
      </c>
      <c r="H3679">
        <v>44.3</v>
      </c>
      <c r="I3679">
        <v>272</v>
      </c>
      <c r="J3679">
        <v>0</v>
      </c>
      <c r="K3679">
        <v>1</v>
      </c>
      <c r="L3679">
        <v>1</v>
      </c>
      <c r="M3679">
        <v>0</v>
      </c>
      <c r="N3679" s="23">
        <v>0</v>
      </c>
      <c r="O3679">
        <f t="shared" si="835"/>
        <v>-1</v>
      </c>
      <c r="P3679" s="57">
        <f t="shared" si="836"/>
        <v>3</v>
      </c>
      <c r="Q3679" s="267">
        <f t="shared" si="837"/>
        <v>35</v>
      </c>
      <c r="R3679" s="23">
        <f t="shared" si="838"/>
        <v>1</v>
      </c>
      <c r="S3679" s="23">
        <f t="shared" si="839"/>
        <v>0</v>
      </c>
      <c r="T3679" s="23" t="str">
        <f t="shared" si="840"/>
        <v/>
      </c>
      <c r="U3679" t="str">
        <f t="shared" si="841"/>
        <v/>
      </c>
      <c r="V3679" s="87"/>
      <c r="AF3679" s="22"/>
      <c r="AU3679" s="10"/>
    </row>
    <row r="3680" spans="1:47">
      <c r="A3680" t="str">
        <f t="shared" si="834"/>
        <v>PA_Alleg_2019g~Gen-member of council west homestead (vote for 3)</v>
      </c>
      <c r="B3680" s="55" t="s">
        <v>1528</v>
      </c>
      <c r="C3680">
        <v>940</v>
      </c>
      <c r="D3680" s="55" t="s">
        <v>859</v>
      </c>
      <c r="E3680" s="55" t="s">
        <v>862</v>
      </c>
      <c r="F3680" t="s">
        <v>1396</v>
      </c>
      <c r="G3680" s="62">
        <v>379</v>
      </c>
      <c r="H3680">
        <v>31.64</v>
      </c>
      <c r="I3680">
        <v>1500</v>
      </c>
      <c r="J3680">
        <v>0</v>
      </c>
      <c r="K3680">
        <v>3</v>
      </c>
      <c r="L3680">
        <v>3</v>
      </c>
      <c r="M3680">
        <v>0</v>
      </c>
      <c r="N3680" s="23">
        <v>0</v>
      </c>
      <c r="O3680">
        <f t="shared" si="835"/>
        <v>1</v>
      </c>
      <c r="P3680" s="57">
        <f t="shared" si="836"/>
        <v>3</v>
      </c>
      <c r="Q3680" s="267">
        <f t="shared" si="837"/>
        <v>399.33333333333331</v>
      </c>
      <c r="R3680" s="23">
        <f t="shared" si="838"/>
        <v>313</v>
      </c>
      <c r="S3680" s="23">
        <f t="shared" si="839"/>
        <v>0</v>
      </c>
      <c r="T3680" s="23" t="str">
        <f t="shared" si="840"/>
        <v/>
      </c>
      <c r="U3680" t="str">
        <f t="shared" si="841"/>
        <v>PA_Alleg_2019g~Gen-member of council west homestead (vote for 3)</v>
      </c>
      <c r="V3680" s="87"/>
      <c r="AF3680" s="22"/>
      <c r="AU3680" s="10"/>
    </row>
    <row r="3681" spans="1:47">
      <c r="A3681" t="str">
        <f t="shared" si="834"/>
        <v>PA_Alleg_2019g~Gen-member of council west homestead (vote for 3)</v>
      </c>
      <c r="B3681" s="55" t="s">
        <v>1528</v>
      </c>
      <c r="C3681">
        <v>942</v>
      </c>
      <c r="D3681" s="55" t="s">
        <v>859</v>
      </c>
      <c r="E3681" s="55" t="s">
        <v>860</v>
      </c>
      <c r="F3681" t="s">
        <v>1396</v>
      </c>
      <c r="G3681" s="62">
        <v>362</v>
      </c>
      <c r="H3681">
        <v>30.22</v>
      </c>
      <c r="I3681">
        <v>1500</v>
      </c>
      <c r="J3681">
        <v>0</v>
      </c>
      <c r="K3681">
        <v>3</v>
      </c>
      <c r="L3681">
        <v>3</v>
      </c>
      <c r="M3681">
        <v>0</v>
      </c>
      <c r="N3681" s="23">
        <v>0</v>
      </c>
      <c r="O3681">
        <f t="shared" si="835"/>
        <v>2</v>
      </c>
      <c r="P3681" s="57">
        <f t="shared" si="836"/>
        <v>3</v>
      </c>
      <c r="Q3681" s="267">
        <f t="shared" si="837"/>
        <v>819</v>
      </c>
      <c r="R3681" s="23">
        <f t="shared" si="838"/>
        <v>313</v>
      </c>
      <c r="S3681" s="23">
        <f t="shared" si="839"/>
        <v>0</v>
      </c>
      <c r="T3681" s="23" t="str">
        <f t="shared" si="840"/>
        <v/>
      </c>
      <c r="U3681" t="str">
        <f t="shared" si="841"/>
        <v/>
      </c>
      <c r="V3681" s="87"/>
      <c r="AF3681" s="22"/>
      <c r="AU3681" s="10"/>
    </row>
    <row r="3682" spans="1:47">
      <c r="A3682" t="str">
        <f t="shared" si="834"/>
        <v>PA_Alleg_2019g~Gen-member of council west homestead (vote for 3)</v>
      </c>
      <c r="B3682" s="55" t="s">
        <v>1528</v>
      </c>
      <c r="C3682">
        <v>941</v>
      </c>
      <c r="D3682" s="55" t="s">
        <v>859</v>
      </c>
      <c r="E3682" s="55" t="s">
        <v>864</v>
      </c>
      <c r="F3682" t="s">
        <v>1396</v>
      </c>
      <c r="G3682" s="62">
        <v>313</v>
      </c>
      <c r="H3682">
        <v>26.13</v>
      </c>
      <c r="I3682">
        <v>1500</v>
      </c>
      <c r="J3682">
        <v>0</v>
      </c>
      <c r="K3682">
        <v>3</v>
      </c>
      <c r="L3682">
        <v>3</v>
      </c>
      <c r="M3682">
        <v>0</v>
      </c>
      <c r="N3682" s="23">
        <v>0</v>
      </c>
      <c r="O3682">
        <f t="shared" si="835"/>
        <v>3</v>
      </c>
      <c r="P3682" s="57">
        <f t="shared" si="836"/>
        <v>3</v>
      </c>
      <c r="Q3682" s="267">
        <f t="shared" si="837"/>
        <v>457</v>
      </c>
      <c r="R3682" s="23">
        <f t="shared" si="838"/>
        <v>313</v>
      </c>
      <c r="S3682" s="23">
        <f t="shared" si="839"/>
        <v>0</v>
      </c>
      <c r="T3682" s="23" t="str">
        <f t="shared" si="840"/>
        <v/>
      </c>
      <c r="U3682" t="str">
        <f t="shared" si="841"/>
        <v/>
      </c>
      <c r="V3682" s="87"/>
      <c r="AF3682" s="22"/>
      <c r="AU3682" s="10"/>
    </row>
    <row r="3683" spans="1:47">
      <c r="A3683" t="str">
        <f t="shared" si="834"/>
        <v>PA_Alleg_2019g~Gen-member of council west homestead (vote for 3)</v>
      </c>
      <c r="B3683" s="55" t="s">
        <v>1528</v>
      </c>
      <c r="C3683">
        <v>943</v>
      </c>
      <c r="D3683" s="55" t="s">
        <v>859</v>
      </c>
      <c r="E3683" s="55" t="s">
        <v>15</v>
      </c>
      <c r="G3683" s="62">
        <v>144</v>
      </c>
      <c r="H3683">
        <v>12.02</v>
      </c>
      <c r="I3683">
        <v>1500</v>
      </c>
      <c r="J3683">
        <v>0</v>
      </c>
      <c r="K3683">
        <v>3</v>
      </c>
      <c r="L3683">
        <v>3</v>
      </c>
      <c r="M3683">
        <v>0</v>
      </c>
      <c r="N3683" s="23">
        <v>0</v>
      </c>
      <c r="O3683">
        <f t="shared" si="835"/>
        <v>-3</v>
      </c>
      <c r="P3683" s="57">
        <f t="shared" si="836"/>
        <v>3</v>
      </c>
      <c r="Q3683" s="267">
        <f t="shared" si="837"/>
        <v>144</v>
      </c>
      <c r="R3683" s="23">
        <f t="shared" si="838"/>
        <v>1</v>
      </c>
      <c r="S3683" s="23">
        <f t="shared" si="839"/>
        <v>0</v>
      </c>
      <c r="T3683" s="23" t="str">
        <f t="shared" si="840"/>
        <v/>
      </c>
      <c r="U3683" t="str">
        <f t="shared" si="841"/>
        <v/>
      </c>
      <c r="V3683" s="87"/>
      <c r="AF3683" s="22"/>
      <c r="AU3683" s="10"/>
    </row>
    <row r="3684" spans="1:47">
      <c r="A3684" t="str">
        <f t="shared" si="834"/>
        <v>PA_Alleg_2019g~Gen-member of council west mifflin (vote for 3)</v>
      </c>
      <c r="B3684" s="55" t="s">
        <v>1528</v>
      </c>
      <c r="C3684">
        <v>945</v>
      </c>
      <c r="D3684" s="55" t="s">
        <v>865</v>
      </c>
      <c r="E3684" s="55" t="s">
        <v>869</v>
      </c>
      <c r="F3684" t="s">
        <v>1396</v>
      </c>
      <c r="G3684" s="62">
        <v>2841</v>
      </c>
      <c r="H3684">
        <v>30.1</v>
      </c>
      <c r="I3684">
        <v>14192</v>
      </c>
      <c r="J3684">
        <v>0</v>
      </c>
      <c r="K3684">
        <v>21</v>
      </c>
      <c r="L3684">
        <v>21</v>
      </c>
      <c r="M3684">
        <v>0</v>
      </c>
      <c r="N3684" s="23">
        <v>0</v>
      </c>
      <c r="O3684">
        <f t="shared" si="835"/>
        <v>1</v>
      </c>
      <c r="P3684" s="57">
        <f t="shared" si="836"/>
        <v>3</v>
      </c>
      <c r="Q3684" s="267">
        <f t="shared" si="837"/>
        <v>3146.3333333333335</v>
      </c>
      <c r="R3684" s="23">
        <f t="shared" si="838"/>
        <v>2351</v>
      </c>
      <c r="S3684" s="23">
        <f t="shared" si="839"/>
        <v>1727</v>
      </c>
      <c r="T3684" s="23">
        <f t="shared" si="840"/>
        <v>624</v>
      </c>
      <c r="U3684" t="str">
        <f t="shared" si="841"/>
        <v>PA_Alleg_2019g~Gen-member of council west mifflin (vote for 3)</v>
      </c>
      <c r="V3684" s="87"/>
      <c r="AF3684" s="22"/>
      <c r="AU3684" s="10"/>
    </row>
    <row r="3685" spans="1:47">
      <c r="A3685" t="str">
        <f t="shared" si="834"/>
        <v>PA_Alleg_2019g~Gen-member of council west mifflin (vote for 3)</v>
      </c>
      <c r="B3685" s="55" t="s">
        <v>1528</v>
      </c>
      <c r="C3685">
        <v>944</v>
      </c>
      <c r="D3685" s="55" t="s">
        <v>865</v>
      </c>
      <c r="E3685" s="55" t="s">
        <v>866</v>
      </c>
      <c r="F3685" t="s">
        <v>1294</v>
      </c>
      <c r="G3685" s="62">
        <v>2460</v>
      </c>
      <c r="H3685">
        <v>26.06</v>
      </c>
      <c r="I3685">
        <v>14192</v>
      </c>
      <c r="J3685">
        <v>0</v>
      </c>
      <c r="K3685">
        <v>21</v>
      </c>
      <c r="L3685">
        <v>21</v>
      </c>
      <c r="M3685">
        <v>0</v>
      </c>
      <c r="N3685" s="23">
        <v>0</v>
      </c>
      <c r="O3685">
        <f t="shared" si="835"/>
        <v>2</v>
      </c>
      <c r="P3685" s="57">
        <f t="shared" si="836"/>
        <v>3</v>
      </c>
      <c r="Q3685" s="267">
        <f t="shared" si="837"/>
        <v>6598</v>
      </c>
      <c r="R3685" s="23">
        <f t="shared" si="838"/>
        <v>2351</v>
      </c>
      <c r="S3685" s="23">
        <f t="shared" si="839"/>
        <v>1727</v>
      </c>
      <c r="T3685" s="23" t="str">
        <f t="shared" si="840"/>
        <v/>
      </c>
      <c r="U3685" t="str">
        <f t="shared" si="841"/>
        <v/>
      </c>
      <c r="V3685" s="87"/>
      <c r="AF3685" s="22"/>
      <c r="AU3685" s="10"/>
    </row>
    <row r="3686" spans="1:47">
      <c r="A3686" t="str">
        <f t="shared" si="834"/>
        <v>PA_Alleg_2019g~Gen-member of council west mifflin (vote for 3)</v>
      </c>
      <c r="B3686" s="55" t="s">
        <v>1528</v>
      </c>
      <c r="C3686">
        <v>946</v>
      </c>
      <c r="D3686" s="55" t="s">
        <v>865</v>
      </c>
      <c r="E3686" s="55" t="s">
        <v>867</v>
      </c>
      <c r="F3686" t="s">
        <v>1294</v>
      </c>
      <c r="G3686" s="62">
        <v>2351</v>
      </c>
      <c r="H3686">
        <v>24.91</v>
      </c>
      <c r="I3686">
        <v>14192</v>
      </c>
      <c r="J3686">
        <v>0</v>
      </c>
      <c r="K3686">
        <v>21</v>
      </c>
      <c r="L3686">
        <v>21</v>
      </c>
      <c r="M3686">
        <v>0</v>
      </c>
      <c r="N3686" s="23">
        <v>0</v>
      </c>
      <c r="O3686">
        <f t="shared" si="835"/>
        <v>3</v>
      </c>
      <c r="P3686" s="57">
        <f t="shared" si="836"/>
        <v>3</v>
      </c>
      <c r="Q3686" s="267">
        <f t="shared" si="837"/>
        <v>4138</v>
      </c>
      <c r="R3686" s="23">
        <f t="shared" si="838"/>
        <v>2351</v>
      </c>
      <c r="S3686" s="23">
        <f t="shared" si="839"/>
        <v>1727</v>
      </c>
      <c r="T3686" s="23" t="str">
        <f t="shared" si="840"/>
        <v/>
      </c>
      <c r="U3686" t="str">
        <f t="shared" si="841"/>
        <v/>
      </c>
      <c r="V3686" s="87"/>
      <c r="AF3686" s="22"/>
      <c r="AU3686" s="10"/>
    </row>
    <row r="3687" spans="1:47">
      <c r="A3687" t="str">
        <f t="shared" si="834"/>
        <v>PA_Alleg_2019g~Gen-member of council west mifflin (vote for 3)</v>
      </c>
      <c r="B3687" s="55" t="s">
        <v>1528</v>
      </c>
      <c r="C3687">
        <v>947</v>
      </c>
      <c r="D3687" s="55" t="s">
        <v>865</v>
      </c>
      <c r="E3687" s="55" t="s">
        <v>868</v>
      </c>
      <c r="F3687" t="s">
        <v>1296</v>
      </c>
      <c r="G3687" s="62">
        <v>1727</v>
      </c>
      <c r="H3687">
        <v>18.3</v>
      </c>
      <c r="I3687">
        <v>14192</v>
      </c>
      <c r="J3687">
        <v>0</v>
      </c>
      <c r="K3687">
        <v>21</v>
      </c>
      <c r="L3687">
        <v>21</v>
      </c>
      <c r="M3687">
        <v>0</v>
      </c>
      <c r="N3687" s="23">
        <v>0</v>
      </c>
      <c r="O3687">
        <f t="shared" si="835"/>
        <v>4</v>
      </c>
      <c r="P3687" s="57">
        <f t="shared" si="836"/>
        <v>3</v>
      </c>
      <c r="Q3687" s="267">
        <f t="shared" si="837"/>
        <v>1787</v>
      </c>
      <c r="R3687" s="23" t="str">
        <f t="shared" si="838"/>
        <v/>
      </c>
      <c r="S3687" s="23">
        <f t="shared" si="839"/>
        <v>1727</v>
      </c>
      <c r="T3687" s="23" t="str">
        <f t="shared" si="840"/>
        <v/>
      </c>
      <c r="U3687" t="str">
        <f t="shared" si="841"/>
        <v/>
      </c>
      <c r="V3687" s="87"/>
      <c r="AF3687" s="22"/>
      <c r="AU3687" s="10"/>
    </row>
    <row r="3688" spans="1:47">
      <c r="A3688" t="str">
        <f t="shared" si="834"/>
        <v>PA_Alleg_2019g~Gen-member of council west mifflin (vote for 3)</v>
      </c>
      <c r="B3688" s="55" t="s">
        <v>1528</v>
      </c>
      <c r="C3688">
        <v>948</v>
      </c>
      <c r="D3688" s="55" t="s">
        <v>865</v>
      </c>
      <c r="E3688" s="55" t="s">
        <v>15</v>
      </c>
      <c r="G3688" s="62">
        <v>60</v>
      </c>
      <c r="H3688">
        <v>0.64</v>
      </c>
      <c r="I3688">
        <v>14192</v>
      </c>
      <c r="J3688">
        <v>0</v>
      </c>
      <c r="K3688">
        <v>21</v>
      </c>
      <c r="L3688">
        <v>21</v>
      </c>
      <c r="M3688">
        <v>0</v>
      </c>
      <c r="N3688" s="23">
        <v>0</v>
      </c>
      <c r="O3688">
        <f t="shared" si="835"/>
        <v>-4</v>
      </c>
      <c r="P3688" s="57">
        <f t="shared" si="836"/>
        <v>3</v>
      </c>
      <c r="Q3688" s="267">
        <f t="shared" si="837"/>
        <v>60</v>
      </c>
      <c r="R3688" s="23">
        <f t="shared" si="838"/>
        <v>1</v>
      </c>
      <c r="S3688" s="23">
        <f t="shared" si="839"/>
        <v>0</v>
      </c>
      <c r="T3688" s="23" t="str">
        <f t="shared" si="840"/>
        <v/>
      </c>
      <c r="U3688" t="str">
        <f t="shared" si="841"/>
        <v/>
      </c>
      <c r="V3688" s="87"/>
      <c r="AF3688" s="22"/>
      <c r="AU3688" s="10"/>
    </row>
    <row r="3689" spans="1:47">
      <c r="A3689" t="str">
        <f t="shared" si="834"/>
        <v>PA_Alleg_2019g~Gen-member of council west view (vote for 3)</v>
      </c>
      <c r="B3689" s="55" t="s">
        <v>1528</v>
      </c>
      <c r="C3689">
        <v>949</v>
      </c>
      <c r="D3689" s="55" t="s">
        <v>871</v>
      </c>
      <c r="E3689" s="55" t="s">
        <v>872</v>
      </c>
      <c r="F3689" t="s">
        <v>1294</v>
      </c>
      <c r="G3689" s="62">
        <v>1055</v>
      </c>
      <c r="H3689">
        <v>34.99</v>
      </c>
      <c r="I3689">
        <v>4774</v>
      </c>
      <c r="J3689">
        <v>0</v>
      </c>
      <c r="K3689">
        <v>7</v>
      </c>
      <c r="L3689">
        <v>7</v>
      </c>
      <c r="M3689">
        <v>0</v>
      </c>
      <c r="N3689" s="23">
        <v>0</v>
      </c>
      <c r="O3689">
        <f t="shared" si="835"/>
        <v>1</v>
      </c>
      <c r="P3689" s="57">
        <f t="shared" si="836"/>
        <v>3</v>
      </c>
      <c r="Q3689" s="267">
        <f t="shared" si="837"/>
        <v>1055</v>
      </c>
      <c r="R3689" s="23">
        <f t="shared" si="838"/>
        <v>944</v>
      </c>
      <c r="S3689" s="23">
        <f t="shared" si="839"/>
        <v>0</v>
      </c>
      <c r="T3689" s="23" t="str">
        <f t="shared" si="840"/>
        <v/>
      </c>
      <c r="U3689" t="str">
        <f t="shared" si="841"/>
        <v>PA_Alleg_2019g~Gen-member of council west view (vote for 3)</v>
      </c>
      <c r="V3689" s="87"/>
      <c r="AF3689" s="22"/>
      <c r="AU3689" s="10"/>
    </row>
    <row r="3690" spans="1:47">
      <c r="A3690" t="str">
        <f t="shared" si="834"/>
        <v>PA_Alleg_2019g~Gen-member of council west view (vote for 3)</v>
      </c>
      <c r="B3690" s="55" t="s">
        <v>1528</v>
      </c>
      <c r="C3690">
        <v>950</v>
      </c>
      <c r="D3690" s="55" t="s">
        <v>871</v>
      </c>
      <c r="E3690" s="55" t="s">
        <v>874</v>
      </c>
      <c r="F3690" t="s">
        <v>1294</v>
      </c>
      <c r="G3690" s="62">
        <v>966</v>
      </c>
      <c r="H3690">
        <v>32.04</v>
      </c>
      <c r="I3690">
        <v>4774</v>
      </c>
      <c r="J3690">
        <v>0</v>
      </c>
      <c r="K3690">
        <v>7</v>
      </c>
      <c r="L3690">
        <v>7</v>
      </c>
      <c r="M3690">
        <v>0</v>
      </c>
      <c r="N3690" s="23">
        <v>0</v>
      </c>
      <c r="O3690">
        <f t="shared" si="835"/>
        <v>2</v>
      </c>
      <c r="P3690" s="57">
        <f t="shared" si="836"/>
        <v>3</v>
      </c>
      <c r="Q3690" s="267">
        <f t="shared" si="837"/>
        <v>1960</v>
      </c>
      <c r="R3690" s="23">
        <f t="shared" si="838"/>
        <v>944</v>
      </c>
      <c r="S3690" s="23">
        <f t="shared" si="839"/>
        <v>0</v>
      </c>
      <c r="T3690" s="23" t="str">
        <f t="shared" si="840"/>
        <v/>
      </c>
      <c r="U3690" t="str">
        <f t="shared" si="841"/>
        <v/>
      </c>
      <c r="V3690" s="87"/>
      <c r="AF3690" s="22"/>
      <c r="AU3690" s="10"/>
    </row>
    <row r="3691" spans="1:47">
      <c r="A3691" t="str">
        <f t="shared" si="834"/>
        <v>PA_Alleg_2019g~Gen-member of council west view (vote for 3)</v>
      </c>
      <c r="B3691" s="55" t="s">
        <v>1528</v>
      </c>
      <c r="C3691">
        <v>951</v>
      </c>
      <c r="D3691" s="55" t="s">
        <v>871</v>
      </c>
      <c r="E3691" s="55" t="s">
        <v>873</v>
      </c>
      <c r="F3691" t="s">
        <v>1294</v>
      </c>
      <c r="G3691" s="62">
        <v>944</v>
      </c>
      <c r="H3691">
        <v>31.31</v>
      </c>
      <c r="I3691">
        <v>4774</v>
      </c>
      <c r="J3691">
        <v>0</v>
      </c>
      <c r="K3691">
        <v>7</v>
      </c>
      <c r="L3691">
        <v>7</v>
      </c>
      <c r="M3691">
        <v>0</v>
      </c>
      <c r="N3691" s="23">
        <v>0</v>
      </c>
      <c r="O3691">
        <f t="shared" si="835"/>
        <v>3</v>
      </c>
      <c r="P3691" s="57">
        <f t="shared" si="836"/>
        <v>3</v>
      </c>
      <c r="Q3691" s="267">
        <f t="shared" si="837"/>
        <v>994</v>
      </c>
      <c r="R3691" s="23">
        <f t="shared" si="838"/>
        <v>944</v>
      </c>
      <c r="S3691" s="23">
        <f t="shared" si="839"/>
        <v>0</v>
      </c>
      <c r="T3691" s="23" t="str">
        <f t="shared" si="840"/>
        <v/>
      </c>
      <c r="U3691" t="str">
        <f t="shared" si="841"/>
        <v/>
      </c>
      <c r="V3691" s="87"/>
      <c r="AF3691" s="22"/>
      <c r="AU3691" s="10"/>
    </row>
    <row r="3692" spans="1:47">
      <c r="A3692" t="str">
        <f t="shared" si="834"/>
        <v>PA_Alleg_2019g~Gen-member of council west view (vote for 3)</v>
      </c>
      <c r="B3692" s="55" t="s">
        <v>1528</v>
      </c>
      <c r="C3692">
        <v>952</v>
      </c>
      <c r="D3692" s="55" t="s">
        <v>871</v>
      </c>
      <c r="E3692" s="55" t="s">
        <v>15</v>
      </c>
      <c r="G3692" s="62">
        <v>50</v>
      </c>
      <c r="H3692">
        <v>1.66</v>
      </c>
      <c r="I3692">
        <v>4774</v>
      </c>
      <c r="J3692">
        <v>0</v>
      </c>
      <c r="K3692">
        <v>7</v>
      </c>
      <c r="L3692">
        <v>7</v>
      </c>
      <c r="M3692">
        <v>0</v>
      </c>
      <c r="N3692" s="23">
        <v>0</v>
      </c>
      <c r="O3692">
        <f t="shared" si="835"/>
        <v>-3</v>
      </c>
      <c r="P3692" s="57">
        <f t="shared" si="836"/>
        <v>3</v>
      </c>
      <c r="Q3692" s="267">
        <f t="shared" si="837"/>
        <v>50</v>
      </c>
      <c r="R3692" s="23">
        <f t="shared" si="838"/>
        <v>1</v>
      </c>
      <c r="S3692" s="23">
        <f t="shared" si="839"/>
        <v>0</v>
      </c>
      <c r="T3692" s="23" t="str">
        <f t="shared" si="840"/>
        <v/>
      </c>
      <c r="U3692" t="str">
        <f t="shared" si="841"/>
        <v/>
      </c>
      <c r="V3692" s="87"/>
      <c r="AF3692" s="22"/>
      <c r="AU3692" s="10"/>
    </row>
    <row r="3693" spans="1:47">
      <c r="A3693" t="str">
        <f t="shared" si="834"/>
        <v>PA_Alleg_2019g~Gen-member of council whitaker (vote for 1)</v>
      </c>
      <c r="B3693" s="55" t="s">
        <v>1528</v>
      </c>
      <c r="C3693">
        <v>1035</v>
      </c>
      <c r="D3693" s="55" t="s">
        <v>936</v>
      </c>
      <c r="E3693" s="55" t="s">
        <v>15</v>
      </c>
      <c r="G3693" s="62">
        <v>19</v>
      </c>
      <c r="H3693">
        <v>100</v>
      </c>
      <c r="I3693">
        <v>825</v>
      </c>
      <c r="J3693">
        <v>0</v>
      </c>
      <c r="K3693">
        <v>2</v>
      </c>
      <c r="L3693">
        <v>2</v>
      </c>
      <c r="M3693">
        <v>0</v>
      </c>
      <c r="N3693" s="23">
        <v>0</v>
      </c>
      <c r="O3693">
        <f t="shared" si="835"/>
        <v>0</v>
      </c>
      <c r="P3693" s="57">
        <f t="shared" si="836"/>
        <v>1</v>
      </c>
      <c r="Q3693" s="267">
        <f t="shared" si="837"/>
        <v>19</v>
      </c>
      <c r="R3693" s="23">
        <f t="shared" si="838"/>
        <v>1</v>
      </c>
      <c r="S3693" s="23">
        <f t="shared" si="839"/>
        <v>0</v>
      </c>
      <c r="T3693" s="23" t="str">
        <f t="shared" si="840"/>
        <v/>
      </c>
      <c r="U3693" t="str">
        <f t="shared" si="841"/>
        <v>PA_Alleg_2019g~Gen-member of council whitaker (vote for 1)</v>
      </c>
      <c r="V3693" s="87"/>
      <c r="AF3693" s="22"/>
      <c r="AU3693" s="10"/>
    </row>
    <row r="3694" spans="1:47">
      <c r="A3694" t="str">
        <f t="shared" si="834"/>
        <v>PA_Alleg_2019g~Gen-member of council whitaker (vote for 3)</v>
      </c>
      <c r="B3694" s="55" t="s">
        <v>1528</v>
      </c>
      <c r="C3694">
        <v>954</v>
      </c>
      <c r="D3694" s="55" t="s">
        <v>875</v>
      </c>
      <c r="E3694" s="55" t="s">
        <v>1486</v>
      </c>
      <c r="F3694" t="s">
        <v>1294</v>
      </c>
      <c r="G3694" s="62">
        <v>154</v>
      </c>
      <c r="H3694">
        <v>33.770000000000003</v>
      </c>
      <c r="I3694">
        <v>825</v>
      </c>
      <c r="J3694">
        <v>0</v>
      </c>
      <c r="K3694">
        <v>2</v>
      </c>
      <c r="L3694">
        <v>2</v>
      </c>
      <c r="M3694">
        <v>0</v>
      </c>
      <c r="N3694" s="23">
        <v>0</v>
      </c>
      <c r="O3694">
        <f t="shared" si="835"/>
        <v>1</v>
      </c>
      <c r="P3694" s="57">
        <f t="shared" si="836"/>
        <v>3</v>
      </c>
      <c r="Q3694" s="267">
        <f t="shared" si="837"/>
        <v>154</v>
      </c>
      <c r="R3694" s="23">
        <f t="shared" si="838"/>
        <v>149</v>
      </c>
      <c r="S3694" s="23">
        <f t="shared" si="839"/>
        <v>0</v>
      </c>
      <c r="T3694" s="23" t="str">
        <f t="shared" si="840"/>
        <v/>
      </c>
      <c r="U3694" t="str">
        <f t="shared" si="841"/>
        <v>PA_Alleg_2019g~Gen-member of council whitaker (vote for 3)</v>
      </c>
      <c r="V3694" s="87"/>
      <c r="AF3694" s="22"/>
      <c r="AU3694" s="10"/>
    </row>
    <row r="3695" spans="1:47">
      <c r="A3695" t="str">
        <f t="shared" si="834"/>
        <v>PA_Alleg_2019g~Gen-member of council whitaker (vote for 3)</v>
      </c>
      <c r="B3695" s="55" t="s">
        <v>1528</v>
      </c>
      <c r="C3695">
        <v>953</v>
      </c>
      <c r="D3695" s="55" t="s">
        <v>875</v>
      </c>
      <c r="E3695" s="55" t="s">
        <v>1485</v>
      </c>
      <c r="F3695" t="s">
        <v>1294</v>
      </c>
      <c r="G3695" s="62">
        <v>150</v>
      </c>
      <c r="H3695">
        <v>32.89</v>
      </c>
      <c r="I3695">
        <v>825</v>
      </c>
      <c r="J3695">
        <v>0</v>
      </c>
      <c r="K3695">
        <v>2</v>
      </c>
      <c r="L3695">
        <v>2</v>
      </c>
      <c r="M3695">
        <v>0</v>
      </c>
      <c r="N3695" s="23">
        <v>0</v>
      </c>
      <c r="O3695">
        <f t="shared" si="835"/>
        <v>2</v>
      </c>
      <c r="P3695" s="57">
        <f t="shared" si="836"/>
        <v>3</v>
      </c>
      <c r="Q3695" s="267">
        <f t="shared" si="837"/>
        <v>302</v>
      </c>
      <c r="R3695" s="23">
        <f t="shared" si="838"/>
        <v>149</v>
      </c>
      <c r="S3695" s="23">
        <f t="shared" si="839"/>
        <v>0</v>
      </c>
      <c r="T3695" s="23" t="str">
        <f t="shared" si="840"/>
        <v/>
      </c>
      <c r="U3695" t="str">
        <f t="shared" si="841"/>
        <v/>
      </c>
      <c r="V3695" s="87"/>
      <c r="AF3695" s="22"/>
      <c r="AU3695" s="10"/>
    </row>
    <row r="3696" spans="1:47">
      <c r="A3696" t="str">
        <f t="shared" si="834"/>
        <v>PA_Alleg_2019g~Gen-member of council whitaker (vote for 3)</v>
      </c>
      <c r="B3696" s="55" t="s">
        <v>1528</v>
      </c>
      <c r="C3696">
        <v>955</v>
      </c>
      <c r="D3696" s="55" t="s">
        <v>875</v>
      </c>
      <c r="E3696" s="55" t="s">
        <v>1487</v>
      </c>
      <c r="F3696" t="s">
        <v>1294</v>
      </c>
      <c r="G3696" s="62">
        <v>149</v>
      </c>
      <c r="H3696">
        <v>32.68</v>
      </c>
      <c r="I3696">
        <v>825</v>
      </c>
      <c r="J3696">
        <v>0</v>
      </c>
      <c r="K3696">
        <v>2</v>
      </c>
      <c r="L3696">
        <v>2</v>
      </c>
      <c r="M3696">
        <v>0</v>
      </c>
      <c r="N3696" s="23">
        <v>0</v>
      </c>
      <c r="O3696">
        <f t="shared" si="835"/>
        <v>3</v>
      </c>
      <c r="P3696" s="57">
        <f t="shared" si="836"/>
        <v>3</v>
      </c>
      <c r="Q3696" s="267">
        <f t="shared" si="837"/>
        <v>152</v>
      </c>
      <c r="R3696" s="23">
        <f t="shared" si="838"/>
        <v>149</v>
      </c>
      <c r="S3696" s="23">
        <f t="shared" si="839"/>
        <v>0</v>
      </c>
      <c r="T3696" s="23" t="str">
        <f t="shared" si="840"/>
        <v/>
      </c>
      <c r="U3696" t="str">
        <f t="shared" si="841"/>
        <v/>
      </c>
      <c r="V3696" s="87"/>
      <c r="AF3696" s="22"/>
      <c r="AU3696" s="10"/>
    </row>
    <row r="3697" spans="1:47">
      <c r="A3697" t="str">
        <f t="shared" si="834"/>
        <v>PA_Alleg_2019g~Gen-member of council whitaker (vote for 3)</v>
      </c>
      <c r="B3697" s="55" t="s">
        <v>1528</v>
      </c>
      <c r="C3697">
        <v>956</v>
      </c>
      <c r="D3697" s="55" t="s">
        <v>875</v>
      </c>
      <c r="E3697" s="55" t="s">
        <v>15</v>
      </c>
      <c r="G3697" s="62">
        <v>3</v>
      </c>
      <c r="H3697">
        <v>0.66</v>
      </c>
      <c r="I3697">
        <v>825</v>
      </c>
      <c r="J3697">
        <v>0</v>
      </c>
      <c r="K3697">
        <v>2</v>
      </c>
      <c r="L3697">
        <v>2</v>
      </c>
      <c r="M3697">
        <v>0</v>
      </c>
      <c r="N3697" s="23">
        <v>0</v>
      </c>
      <c r="O3697">
        <f t="shared" si="835"/>
        <v>-3</v>
      </c>
      <c r="P3697" s="57">
        <f t="shared" si="836"/>
        <v>3</v>
      </c>
      <c r="Q3697" s="267">
        <f t="shared" si="837"/>
        <v>3</v>
      </c>
      <c r="R3697" s="23">
        <f t="shared" si="838"/>
        <v>1</v>
      </c>
      <c r="S3697" s="23">
        <f t="shared" si="839"/>
        <v>0</v>
      </c>
      <c r="T3697" s="23" t="str">
        <f t="shared" si="840"/>
        <v/>
      </c>
      <c r="U3697" t="str">
        <f t="shared" si="841"/>
        <v/>
      </c>
      <c r="V3697" s="87"/>
      <c r="AF3697" s="22"/>
      <c r="AU3697" s="10"/>
    </row>
    <row r="3698" spans="1:47">
      <c r="A3698" t="str">
        <f t="shared" si="834"/>
        <v>PA_Alleg_2019g~Gen-member of council white oak (vote for 1)</v>
      </c>
      <c r="B3698" s="55" t="s">
        <v>1528</v>
      </c>
      <c r="C3698">
        <v>1037</v>
      </c>
      <c r="D3698" s="55" t="s">
        <v>937</v>
      </c>
      <c r="E3698" s="55" t="s">
        <v>1241</v>
      </c>
      <c r="F3698" t="s">
        <v>1296</v>
      </c>
      <c r="G3698" s="62">
        <v>1005</v>
      </c>
      <c r="H3698">
        <v>53.95</v>
      </c>
      <c r="I3698">
        <v>5799</v>
      </c>
      <c r="J3698">
        <v>0</v>
      </c>
      <c r="K3698">
        <v>7</v>
      </c>
      <c r="L3698">
        <v>7</v>
      </c>
      <c r="M3698">
        <v>0</v>
      </c>
      <c r="N3698" s="23">
        <v>0</v>
      </c>
      <c r="O3698">
        <f t="shared" si="835"/>
        <v>1</v>
      </c>
      <c r="P3698" s="57">
        <f t="shared" si="836"/>
        <v>1</v>
      </c>
      <c r="Q3698" s="267">
        <f t="shared" si="837"/>
        <v>1863</v>
      </c>
      <c r="R3698" s="23">
        <f t="shared" si="838"/>
        <v>1005</v>
      </c>
      <c r="S3698" s="23">
        <f t="shared" si="839"/>
        <v>856</v>
      </c>
      <c r="T3698" s="23">
        <f t="shared" si="840"/>
        <v>149</v>
      </c>
      <c r="U3698" t="str">
        <f t="shared" si="841"/>
        <v>PA_Alleg_2019g~Gen-member of council white oak (vote for 1)</v>
      </c>
      <c r="V3698" s="87"/>
      <c r="AF3698" s="22"/>
      <c r="AU3698" s="10"/>
    </row>
    <row r="3699" spans="1:47">
      <c r="A3699" t="str">
        <f t="shared" si="834"/>
        <v>PA_Alleg_2019g~Gen-member of council white oak (vote for 1)</v>
      </c>
      <c r="B3699" s="55" t="s">
        <v>1528</v>
      </c>
      <c r="C3699">
        <v>1036</v>
      </c>
      <c r="D3699" s="55" t="s">
        <v>937</v>
      </c>
      <c r="E3699" s="55" t="s">
        <v>938</v>
      </c>
      <c r="F3699" t="s">
        <v>1294</v>
      </c>
      <c r="G3699" s="62">
        <v>856</v>
      </c>
      <c r="H3699">
        <v>45.95</v>
      </c>
      <c r="I3699">
        <v>5799</v>
      </c>
      <c r="J3699">
        <v>0</v>
      </c>
      <c r="K3699">
        <v>7</v>
      </c>
      <c r="L3699">
        <v>7</v>
      </c>
      <c r="M3699">
        <v>0</v>
      </c>
      <c r="N3699" s="23">
        <v>0</v>
      </c>
      <c r="O3699">
        <f t="shared" si="835"/>
        <v>2</v>
      </c>
      <c r="P3699" s="57">
        <f t="shared" si="836"/>
        <v>1</v>
      </c>
      <c r="Q3699" s="267">
        <f t="shared" si="837"/>
        <v>858</v>
      </c>
      <c r="R3699" s="23" t="str">
        <f t="shared" si="838"/>
        <v/>
      </c>
      <c r="S3699" s="23">
        <f t="shared" si="839"/>
        <v>856</v>
      </c>
      <c r="T3699" s="23" t="str">
        <f t="shared" si="840"/>
        <v/>
      </c>
      <c r="U3699" t="str">
        <f t="shared" si="841"/>
        <v/>
      </c>
      <c r="V3699" s="87"/>
      <c r="AF3699" s="22"/>
      <c r="AU3699" s="10"/>
    </row>
    <row r="3700" spans="1:47">
      <c r="A3700" t="str">
        <f t="shared" si="834"/>
        <v>PA_Alleg_2019g~Gen-member of council white oak (vote for 1)</v>
      </c>
      <c r="B3700" s="55" t="s">
        <v>1528</v>
      </c>
      <c r="C3700">
        <v>1038</v>
      </c>
      <c r="D3700" s="55" t="s">
        <v>937</v>
      </c>
      <c r="E3700" s="55" t="s">
        <v>15</v>
      </c>
      <c r="G3700" s="62">
        <v>2</v>
      </c>
      <c r="H3700">
        <v>0.11</v>
      </c>
      <c r="I3700">
        <v>5799</v>
      </c>
      <c r="J3700">
        <v>0</v>
      </c>
      <c r="K3700">
        <v>7</v>
      </c>
      <c r="L3700">
        <v>7</v>
      </c>
      <c r="M3700">
        <v>0</v>
      </c>
      <c r="N3700" s="23">
        <v>0</v>
      </c>
      <c r="O3700">
        <f t="shared" si="835"/>
        <v>-2</v>
      </c>
      <c r="P3700" s="57">
        <f t="shared" si="836"/>
        <v>1</v>
      </c>
      <c r="Q3700" s="267">
        <f t="shared" si="837"/>
        <v>2</v>
      </c>
      <c r="R3700" s="23">
        <f t="shared" si="838"/>
        <v>1</v>
      </c>
      <c r="S3700" s="23">
        <f t="shared" si="839"/>
        <v>0</v>
      </c>
      <c r="T3700" s="23" t="str">
        <f t="shared" si="840"/>
        <v/>
      </c>
      <c r="U3700" t="str">
        <f t="shared" si="841"/>
        <v/>
      </c>
      <c r="V3700" s="87"/>
      <c r="AF3700" s="22"/>
      <c r="AU3700" s="10"/>
    </row>
    <row r="3701" spans="1:47">
      <c r="A3701" t="str">
        <f t="shared" si="834"/>
        <v>PA_Alleg_2019g~Gen-member of council white oak (vote for 3)</v>
      </c>
      <c r="B3701" s="55" t="s">
        <v>1528</v>
      </c>
      <c r="C3701">
        <v>968</v>
      </c>
      <c r="D3701" s="55" t="s">
        <v>879</v>
      </c>
      <c r="E3701" s="55" t="s">
        <v>1228</v>
      </c>
      <c r="F3701" t="s">
        <v>1296</v>
      </c>
      <c r="G3701" s="62">
        <v>1053</v>
      </c>
      <c r="H3701">
        <v>18.29</v>
      </c>
      <c r="I3701">
        <v>5799</v>
      </c>
      <c r="J3701">
        <v>0</v>
      </c>
      <c r="K3701">
        <v>7</v>
      </c>
      <c r="L3701">
        <v>7</v>
      </c>
      <c r="M3701">
        <v>0</v>
      </c>
      <c r="N3701" s="23">
        <v>0</v>
      </c>
      <c r="O3701">
        <f t="shared" si="835"/>
        <v>1</v>
      </c>
      <c r="P3701" s="57">
        <f t="shared" si="836"/>
        <v>3</v>
      </c>
      <c r="Q3701" s="267">
        <f t="shared" si="837"/>
        <v>1919</v>
      </c>
      <c r="R3701" s="23">
        <f t="shared" si="838"/>
        <v>989</v>
      </c>
      <c r="S3701" s="23">
        <f t="shared" si="839"/>
        <v>960</v>
      </c>
      <c r="T3701" s="23">
        <f t="shared" si="840"/>
        <v>29</v>
      </c>
      <c r="U3701" t="str">
        <f t="shared" si="841"/>
        <v>PA_Alleg_2019g~Gen-member of council white oak (vote for 3)</v>
      </c>
      <c r="V3701" s="87"/>
      <c r="AF3701" s="22"/>
      <c r="AU3701" s="10"/>
    </row>
    <row r="3702" spans="1:47">
      <c r="A3702" t="str">
        <f t="shared" si="834"/>
        <v>PA_Alleg_2019g~Gen-member of council white oak (vote for 3)</v>
      </c>
      <c r="B3702" s="55" t="s">
        <v>1528</v>
      </c>
      <c r="C3702">
        <v>966</v>
      </c>
      <c r="D3702" s="55" t="s">
        <v>879</v>
      </c>
      <c r="E3702" s="55" t="s">
        <v>1229</v>
      </c>
      <c r="F3702" t="s">
        <v>1296</v>
      </c>
      <c r="G3702" s="62">
        <v>1008</v>
      </c>
      <c r="H3702">
        <v>17.510000000000002</v>
      </c>
      <c r="I3702">
        <v>5799</v>
      </c>
      <c r="J3702">
        <v>0</v>
      </c>
      <c r="K3702">
        <v>7</v>
      </c>
      <c r="L3702">
        <v>7</v>
      </c>
      <c r="M3702">
        <v>0</v>
      </c>
      <c r="N3702" s="23">
        <v>0</v>
      </c>
      <c r="O3702">
        <f t="shared" si="835"/>
        <v>2</v>
      </c>
      <c r="P3702" s="57">
        <f t="shared" si="836"/>
        <v>3</v>
      </c>
      <c r="Q3702" s="267">
        <f t="shared" si="837"/>
        <v>4704</v>
      </c>
      <c r="R3702" s="23">
        <f t="shared" si="838"/>
        <v>989</v>
      </c>
      <c r="S3702" s="23">
        <f t="shared" si="839"/>
        <v>960</v>
      </c>
      <c r="T3702" s="23" t="str">
        <f t="shared" si="840"/>
        <v/>
      </c>
      <c r="U3702" t="str">
        <f t="shared" si="841"/>
        <v/>
      </c>
      <c r="V3702" s="87"/>
      <c r="AF3702" s="22"/>
      <c r="AU3702" s="10"/>
    </row>
    <row r="3703" spans="1:47">
      <c r="A3703" t="str">
        <f t="shared" si="834"/>
        <v>PA_Alleg_2019g~Gen-member of council white oak (vote for 3)</v>
      </c>
      <c r="B3703" s="55" t="s">
        <v>1528</v>
      </c>
      <c r="C3703">
        <v>964</v>
      </c>
      <c r="D3703" s="55" t="s">
        <v>879</v>
      </c>
      <c r="E3703" s="55" t="s">
        <v>880</v>
      </c>
      <c r="F3703" t="s">
        <v>1294</v>
      </c>
      <c r="G3703" s="62">
        <v>989</v>
      </c>
      <c r="H3703">
        <v>17.18</v>
      </c>
      <c r="I3703">
        <v>5799</v>
      </c>
      <c r="J3703">
        <v>0</v>
      </c>
      <c r="K3703">
        <v>7</v>
      </c>
      <c r="L3703">
        <v>7</v>
      </c>
      <c r="M3703">
        <v>0</v>
      </c>
      <c r="N3703" s="23">
        <v>0</v>
      </c>
      <c r="O3703">
        <f t="shared" si="835"/>
        <v>3</v>
      </c>
      <c r="P3703" s="57">
        <f t="shared" si="836"/>
        <v>3</v>
      </c>
      <c r="Q3703" s="267">
        <f t="shared" si="837"/>
        <v>3696</v>
      </c>
      <c r="R3703" s="23">
        <f t="shared" si="838"/>
        <v>989</v>
      </c>
      <c r="S3703" s="23">
        <f t="shared" si="839"/>
        <v>960</v>
      </c>
      <c r="T3703" s="23" t="str">
        <f t="shared" si="840"/>
        <v/>
      </c>
      <c r="U3703" t="str">
        <f t="shared" si="841"/>
        <v/>
      </c>
      <c r="V3703" s="87"/>
      <c r="AF3703" s="22"/>
      <c r="AU3703" s="10"/>
    </row>
    <row r="3704" spans="1:47">
      <c r="A3704" t="str">
        <f t="shared" ref="A3704:A3767" si="842">CONCATENATE(B3704,"~Gen-",LOWER(D3704))</f>
        <v>PA_Alleg_2019g~Gen-member of council white oak (vote for 3)</v>
      </c>
      <c r="B3704" s="55" t="s">
        <v>1528</v>
      </c>
      <c r="C3704">
        <v>963</v>
      </c>
      <c r="D3704" s="55" t="s">
        <v>879</v>
      </c>
      <c r="E3704" s="55" t="s">
        <v>881</v>
      </c>
      <c r="F3704" t="s">
        <v>1294</v>
      </c>
      <c r="G3704" s="62">
        <v>960</v>
      </c>
      <c r="H3704">
        <v>16.68</v>
      </c>
      <c r="I3704">
        <v>5799</v>
      </c>
      <c r="J3704">
        <v>0</v>
      </c>
      <c r="K3704">
        <v>7</v>
      </c>
      <c r="L3704">
        <v>7</v>
      </c>
      <c r="M3704">
        <v>0</v>
      </c>
      <c r="N3704" s="23">
        <v>0</v>
      </c>
      <c r="O3704">
        <f t="shared" si="835"/>
        <v>4</v>
      </c>
      <c r="P3704" s="57">
        <f t="shared" si="836"/>
        <v>3</v>
      </c>
      <c r="Q3704" s="267">
        <f t="shared" si="837"/>
        <v>2707</v>
      </c>
      <c r="R3704" s="23" t="str">
        <f t="shared" si="838"/>
        <v/>
      </c>
      <c r="S3704" s="23">
        <f t="shared" si="839"/>
        <v>960</v>
      </c>
      <c r="T3704" s="23" t="str">
        <f t="shared" si="840"/>
        <v/>
      </c>
      <c r="U3704" t="str">
        <f t="shared" si="841"/>
        <v/>
      </c>
      <c r="V3704" s="87"/>
      <c r="AF3704" s="22"/>
      <c r="AU3704" s="10"/>
    </row>
    <row r="3705" spans="1:47">
      <c r="A3705" t="str">
        <f t="shared" si="842"/>
        <v>PA_Alleg_2019g~Gen-member of council white oak (vote for 3)</v>
      </c>
      <c r="B3705" s="55" t="s">
        <v>1528</v>
      </c>
      <c r="C3705">
        <v>967</v>
      </c>
      <c r="D3705" s="55" t="s">
        <v>879</v>
      </c>
      <c r="E3705" s="55" t="s">
        <v>1227</v>
      </c>
      <c r="F3705" t="s">
        <v>1296</v>
      </c>
      <c r="G3705" s="62">
        <v>879</v>
      </c>
      <c r="H3705">
        <v>15.27</v>
      </c>
      <c r="I3705">
        <v>5799</v>
      </c>
      <c r="J3705">
        <v>0</v>
      </c>
      <c r="K3705">
        <v>7</v>
      </c>
      <c r="L3705">
        <v>7</v>
      </c>
      <c r="M3705">
        <v>0</v>
      </c>
      <c r="N3705" s="23">
        <v>0</v>
      </c>
      <c r="O3705">
        <f t="shared" si="835"/>
        <v>5</v>
      </c>
      <c r="P3705" s="57">
        <f t="shared" si="836"/>
        <v>3</v>
      </c>
      <c r="Q3705" s="267">
        <f t="shared" si="837"/>
        <v>1747</v>
      </c>
      <c r="R3705" s="23" t="str">
        <f t="shared" si="838"/>
        <v/>
      </c>
      <c r="S3705" s="23">
        <f t="shared" si="839"/>
        <v>879</v>
      </c>
      <c r="T3705" s="23" t="str">
        <f t="shared" si="840"/>
        <v/>
      </c>
      <c r="U3705" t="str">
        <f t="shared" si="841"/>
        <v/>
      </c>
      <c r="V3705" s="87"/>
      <c r="AF3705" s="22"/>
      <c r="AU3705" s="10"/>
    </row>
    <row r="3706" spans="1:47">
      <c r="A3706" t="str">
        <f t="shared" si="842"/>
        <v>PA_Alleg_2019g~Gen-member of council white oak (vote for 3)</v>
      </c>
      <c r="B3706" s="55" t="s">
        <v>1528</v>
      </c>
      <c r="C3706">
        <v>965</v>
      </c>
      <c r="D3706" s="55" t="s">
        <v>879</v>
      </c>
      <c r="E3706" s="55" t="s">
        <v>882</v>
      </c>
      <c r="F3706" t="s">
        <v>1294</v>
      </c>
      <c r="G3706" s="62">
        <v>862</v>
      </c>
      <c r="H3706">
        <v>14.97</v>
      </c>
      <c r="I3706">
        <v>5799</v>
      </c>
      <c r="J3706">
        <v>0</v>
      </c>
      <c r="K3706">
        <v>7</v>
      </c>
      <c r="L3706">
        <v>7</v>
      </c>
      <c r="M3706">
        <v>0</v>
      </c>
      <c r="N3706" s="23">
        <v>0</v>
      </c>
      <c r="O3706">
        <f t="shared" si="835"/>
        <v>6</v>
      </c>
      <c r="P3706" s="57">
        <f t="shared" si="836"/>
        <v>3</v>
      </c>
      <c r="Q3706" s="267">
        <f t="shared" si="837"/>
        <v>868</v>
      </c>
      <c r="R3706" s="23" t="str">
        <f t="shared" si="838"/>
        <v/>
      </c>
      <c r="S3706" s="23">
        <f t="shared" si="839"/>
        <v>862</v>
      </c>
      <c r="T3706" s="23" t="str">
        <f t="shared" si="840"/>
        <v/>
      </c>
      <c r="U3706" t="str">
        <f t="shared" si="841"/>
        <v/>
      </c>
      <c r="V3706" s="87"/>
      <c r="AF3706" s="22"/>
      <c r="AU3706" s="10"/>
    </row>
    <row r="3707" spans="1:47">
      <c r="A3707" t="str">
        <f t="shared" si="842"/>
        <v>PA_Alleg_2019g~Gen-member of council white oak (vote for 3)</v>
      </c>
      <c r="B3707" s="55" t="s">
        <v>1528</v>
      </c>
      <c r="C3707">
        <v>969</v>
      </c>
      <c r="D3707" s="55" t="s">
        <v>879</v>
      </c>
      <c r="E3707" s="55" t="s">
        <v>15</v>
      </c>
      <c r="G3707" s="62">
        <v>6</v>
      </c>
      <c r="H3707">
        <v>0.1</v>
      </c>
      <c r="I3707">
        <v>5799</v>
      </c>
      <c r="J3707">
        <v>0</v>
      </c>
      <c r="K3707">
        <v>7</v>
      </c>
      <c r="L3707">
        <v>7</v>
      </c>
      <c r="M3707">
        <v>0</v>
      </c>
      <c r="N3707" s="23">
        <v>0</v>
      </c>
      <c r="O3707">
        <f t="shared" si="835"/>
        <v>-6</v>
      </c>
      <c r="P3707" s="57">
        <f t="shared" si="836"/>
        <v>3</v>
      </c>
      <c r="Q3707" s="267">
        <f t="shared" si="837"/>
        <v>6</v>
      </c>
      <c r="R3707" s="23">
        <f t="shared" si="838"/>
        <v>1</v>
      </c>
      <c r="S3707" s="23">
        <f t="shared" si="839"/>
        <v>0</v>
      </c>
      <c r="T3707" s="23" t="str">
        <f t="shared" si="840"/>
        <v/>
      </c>
      <c r="U3707" t="str">
        <f t="shared" si="841"/>
        <v/>
      </c>
      <c r="V3707" s="87"/>
      <c r="AF3707" s="22"/>
      <c r="AU3707" s="10"/>
    </row>
    <row r="3708" spans="1:47">
      <c r="A3708" t="str">
        <f t="shared" si="842"/>
        <v>PA_Alleg_2019g~Gen-member of council whitehall (vote for 3)</v>
      </c>
      <c r="B3708" s="55" t="s">
        <v>1528</v>
      </c>
      <c r="C3708">
        <v>959</v>
      </c>
      <c r="D3708" s="55" t="s">
        <v>876</v>
      </c>
      <c r="E3708" s="55" t="s">
        <v>1226</v>
      </c>
      <c r="F3708" t="s">
        <v>1396</v>
      </c>
      <c r="G3708" s="62">
        <v>2449</v>
      </c>
      <c r="H3708">
        <v>28.57</v>
      </c>
      <c r="I3708">
        <v>10599</v>
      </c>
      <c r="J3708">
        <v>0</v>
      </c>
      <c r="K3708">
        <v>16</v>
      </c>
      <c r="L3708">
        <v>16</v>
      </c>
      <c r="M3708">
        <v>0</v>
      </c>
      <c r="N3708" s="23">
        <v>0</v>
      </c>
      <c r="O3708">
        <f t="shared" si="835"/>
        <v>1</v>
      </c>
      <c r="P3708" s="57">
        <f t="shared" si="836"/>
        <v>3</v>
      </c>
      <c r="Q3708" s="267">
        <f t="shared" si="837"/>
        <v>2857</v>
      </c>
      <c r="R3708" s="23">
        <f t="shared" si="838"/>
        <v>1959</v>
      </c>
      <c r="S3708" s="23">
        <f t="shared" si="839"/>
        <v>1131</v>
      </c>
      <c r="T3708" s="23">
        <f t="shared" si="840"/>
        <v>828</v>
      </c>
      <c r="U3708" t="str">
        <f t="shared" si="841"/>
        <v>PA_Alleg_2019g~Gen-member of council whitehall (vote for 3)</v>
      </c>
      <c r="V3708" s="87"/>
      <c r="AF3708" s="22"/>
      <c r="AU3708" s="10"/>
    </row>
    <row r="3709" spans="1:47">
      <c r="A3709" t="str">
        <f t="shared" si="842"/>
        <v>PA_Alleg_2019g~Gen-member of council whitehall (vote for 3)</v>
      </c>
      <c r="B3709" s="55" t="s">
        <v>1528</v>
      </c>
      <c r="C3709">
        <v>957</v>
      </c>
      <c r="D3709" s="55" t="s">
        <v>876</v>
      </c>
      <c r="E3709" s="55" t="s">
        <v>877</v>
      </c>
      <c r="F3709" t="s">
        <v>1294</v>
      </c>
      <c r="G3709" s="62">
        <v>2012</v>
      </c>
      <c r="H3709">
        <v>23.47</v>
      </c>
      <c r="I3709">
        <v>10599</v>
      </c>
      <c r="J3709">
        <v>0</v>
      </c>
      <c r="K3709">
        <v>16</v>
      </c>
      <c r="L3709">
        <v>16</v>
      </c>
      <c r="M3709">
        <v>0</v>
      </c>
      <c r="N3709" s="23">
        <v>0</v>
      </c>
      <c r="O3709">
        <f t="shared" si="835"/>
        <v>2</v>
      </c>
      <c r="P3709" s="57">
        <f t="shared" si="836"/>
        <v>3</v>
      </c>
      <c r="Q3709" s="267">
        <f t="shared" si="837"/>
        <v>6122</v>
      </c>
      <c r="R3709" s="23">
        <f t="shared" si="838"/>
        <v>1959</v>
      </c>
      <c r="S3709" s="23">
        <f t="shared" si="839"/>
        <v>1131</v>
      </c>
      <c r="T3709" s="23" t="str">
        <f t="shared" si="840"/>
        <v/>
      </c>
      <c r="U3709" t="str">
        <f t="shared" si="841"/>
        <v/>
      </c>
      <c r="V3709" s="87"/>
      <c r="AF3709" s="22"/>
      <c r="AU3709" s="10"/>
    </row>
    <row r="3710" spans="1:47">
      <c r="A3710" t="str">
        <f t="shared" si="842"/>
        <v>PA_Alleg_2019g~Gen-member of council whitehall (vote for 3)</v>
      </c>
      <c r="B3710" s="55" t="s">
        <v>1528</v>
      </c>
      <c r="C3710">
        <v>958</v>
      </c>
      <c r="D3710" s="55" t="s">
        <v>876</v>
      </c>
      <c r="E3710" s="55" t="s">
        <v>878</v>
      </c>
      <c r="F3710" t="s">
        <v>1294</v>
      </c>
      <c r="G3710" s="62">
        <v>1959</v>
      </c>
      <c r="H3710">
        <v>22.86</v>
      </c>
      <c r="I3710">
        <v>10599</v>
      </c>
      <c r="J3710">
        <v>0</v>
      </c>
      <c r="K3710">
        <v>16</v>
      </c>
      <c r="L3710">
        <v>16</v>
      </c>
      <c r="M3710">
        <v>0</v>
      </c>
      <c r="N3710" s="23">
        <v>0</v>
      </c>
      <c r="O3710">
        <f t="shared" si="835"/>
        <v>3</v>
      </c>
      <c r="P3710" s="57">
        <f t="shared" si="836"/>
        <v>3</v>
      </c>
      <c r="Q3710" s="267">
        <f t="shared" si="837"/>
        <v>4110</v>
      </c>
      <c r="R3710" s="23">
        <f t="shared" si="838"/>
        <v>1959</v>
      </c>
      <c r="S3710" s="23">
        <f t="shared" si="839"/>
        <v>1131</v>
      </c>
      <c r="T3710" s="23" t="str">
        <f t="shared" si="840"/>
        <v/>
      </c>
      <c r="U3710" t="str">
        <f t="shared" si="841"/>
        <v/>
      </c>
      <c r="V3710" s="87"/>
      <c r="AF3710" s="22"/>
      <c r="AU3710" s="10"/>
    </row>
    <row r="3711" spans="1:47">
      <c r="A3711" t="str">
        <f t="shared" si="842"/>
        <v>PA_Alleg_2019g~Gen-member of council whitehall (vote for 3)</v>
      </c>
      <c r="B3711" s="55" t="s">
        <v>1528</v>
      </c>
      <c r="C3711">
        <v>961</v>
      </c>
      <c r="D3711" s="55" t="s">
        <v>876</v>
      </c>
      <c r="E3711" s="55" t="s">
        <v>1225</v>
      </c>
      <c r="F3711" t="s">
        <v>1296</v>
      </c>
      <c r="G3711" s="62">
        <v>1131</v>
      </c>
      <c r="H3711">
        <v>13.2</v>
      </c>
      <c r="I3711">
        <v>10599</v>
      </c>
      <c r="J3711">
        <v>0</v>
      </c>
      <c r="K3711">
        <v>16</v>
      </c>
      <c r="L3711">
        <v>16</v>
      </c>
      <c r="M3711">
        <v>0</v>
      </c>
      <c r="N3711" s="23">
        <v>0</v>
      </c>
      <c r="O3711">
        <f t="shared" si="835"/>
        <v>4</v>
      </c>
      <c r="P3711" s="57">
        <f t="shared" si="836"/>
        <v>3</v>
      </c>
      <c r="Q3711" s="267">
        <f t="shared" si="837"/>
        <v>2151</v>
      </c>
      <c r="R3711" s="23" t="str">
        <f t="shared" si="838"/>
        <v/>
      </c>
      <c r="S3711" s="23">
        <f t="shared" si="839"/>
        <v>1131</v>
      </c>
      <c r="T3711" s="23" t="str">
        <f t="shared" si="840"/>
        <v/>
      </c>
      <c r="U3711" t="str">
        <f t="shared" si="841"/>
        <v/>
      </c>
      <c r="V3711" s="87"/>
      <c r="AF3711" s="22"/>
      <c r="AU3711" s="10"/>
    </row>
    <row r="3712" spans="1:47">
      <c r="A3712" t="str">
        <f t="shared" si="842"/>
        <v>PA_Alleg_2019g~Gen-member of council whitehall (vote for 3)</v>
      </c>
      <c r="B3712" s="55" t="s">
        <v>1528</v>
      </c>
      <c r="C3712">
        <v>960</v>
      </c>
      <c r="D3712" s="55" t="s">
        <v>876</v>
      </c>
      <c r="E3712" s="55" t="s">
        <v>1224</v>
      </c>
      <c r="F3712" t="s">
        <v>1296</v>
      </c>
      <c r="G3712" s="62">
        <v>1000</v>
      </c>
      <c r="H3712">
        <v>11.67</v>
      </c>
      <c r="I3712">
        <v>10599</v>
      </c>
      <c r="J3712">
        <v>0</v>
      </c>
      <c r="K3712">
        <v>16</v>
      </c>
      <c r="L3712">
        <v>16</v>
      </c>
      <c r="M3712">
        <v>0</v>
      </c>
      <c r="N3712" s="23">
        <v>0</v>
      </c>
      <c r="O3712">
        <f t="shared" si="835"/>
        <v>5</v>
      </c>
      <c r="P3712" s="57">
        <f t="shared" si="836"/>
        <v>3</v>
      </c>
      <c r="Q3712" s="267">
        <f t="shared" si="837"/>
        <v>1020</v>
      </c>
      <c r="R3712" s="23" t="str">
        <f t="shared" si="838"/>
        <v/>
      </c>
      <c r="S3712" s="23">
        <f t="shared" si="839"/>
        <v>1000</v>
      </c>
      <c r="T3712" s="23" t="str">
        <f t="shared" si="840"/>
        <v/>
      </c>
      <c r="U3712" t="str">
        <f t="shared" si="841"/>
        <v/>
      </c>
      <c r="V3712" s="87"/>
      <c r="AF3712" s="22"/>
      <c r="AU3712" s="10"/>
    </row>
    <row r="3713" spans="1:47">
      <c r="A3713" t="str">
        <f t="shared" si="842"/>
        <v>PA_Alleg_2019g~Gen-member of council whitehall (vote for 3)</v>
      </c>
      <c r="B3713" s="55" t="s">
        <v>1528</v>
      </c>
      <c r="C3713">
        <v>962</v>
      </c>
      <c r="D3713" s="55" t="s">
        <v>876</v>
      </c>
      <c r="E3713" s="55" t="s">
        <v>15</v>
      </c>
      <c r="G3713" s="62">
        <v>20</v>
      </c>
      <c r="H3713">
        <v>0.23</v>
      </c>
      <c r="I3713">
        <v>10599</v>
      </c>
      <c r="J3713">
        <v>0</v>
      </c>
      <c r="K3713">
        <v>16</v>
      </c>
      <c r="L3713">
        <v>16</v>
      </c>
      <c r="M3713">
        <v>0</v>
      </c>
      <c r="N3713" s="23">
        <v>0</v>
      </c>
      <c r="O3713">
        <f t="shared" si="835"/>
        <v>-5</v>
      </c>
      <c r="P3713" s="57">
        <f t="shared" si="836"/>
        <v>3</v>
      </c>
      <c r="Q3713" s="267">
        <f t="shared" si="837"/>
        <v>20</v>
      </c>
      <c r="R3713" s="23">
        <f t="shared" si="838"/>
        <v>1</v>
      </c>
      <c r="S3713" s="23">
        <f t="shared" si="839"/>
        <v>0</v>
      </c>
      <c r="T3713" s="23" t="str">
        <f t="shared" si="840"/>
        <v/>
      </c>
      <c r="U3713" t="str">
        <f t="shared" si="841"/>
        <v/>
      </c>
      <c r="V3713" s="87"/>
      <c r="AF3713" s="22"/>
      <c r="AU3713" s="10"/>
    </row>
    <row r="3714" spans="1:47">
      <c r="A3714" t="str">
        <f t="shared" si="842"/>
        <v>PA_Alleg_2019g~Gen-member of council wilkinsburg ward 1 (vote for 1)</v>
      </c>
      <c r="B3714" s="55" t="s">
        <v>1528</v>
      </c>
      <c r="C3714">
        <v>1193</v>
      </c>
      <c r="D3714" s="55" t="s">
        <v>1079</v>
      </c>
      <c r="E3714" s="55" t="s">
        <v>1080</v>
      </c>
      <c r="F3714" t="s">
        <v>1294</v>
      </c>
      <c r="G3714" s="62">
        <v>948</v>
      </c>
      <c r="H3714">
        <v>94.42</v>
      </c>
      <c r="I3714">
        <v>4593</v>
      </c>
      <c r="J3714">
        <v>0</v>
      </c>
      <c r="K3714">
        <v>6</v>
      </c>
      <c r="L3714">
        <v>6</v>
      </c>
      <c r="M3714">
        <v>0</v>
      </c>
      <c r="N3714" s="23">
        <v>0</v>
      </c>
      <c r="O3714">
        <f t="shared" ref="O3714:O3777" si="843">IF(OR(LOWER(LEFT(E3714,8))="write-in",LOWER(LEFT(E3714,8))="not qual"),IF(A3714=A3713,-ABS(O3713),0),IF(A3714=A3713,ABS(O3713)+1,1))</f>
        <v>1</v>
      </c>
      <c r="P3714" s="57">
        <f t="shared" ref="P3714:P3777" si="844">1*LEFT(RIGHT(A3714,2),1)</f>
        <v>1</v>
      </c>
      <c r="Q3714" s="267">
        <f t="shared" ref="Q3714:Q3777" si="845">IF(A3714&lt;&gt;A3715,G3714,IF(A3714=A3713,G3714+Q3715,MAX(G3714,(G3714+Q3715)/P3714)))</f>
        <v>1004</v>
      </c>
      <c r="R3714" s="23">
        <f t="shared" ref="R3714:R3777" si="846">IF(O3714&gt;P3714,"",IF(O3714=P3714,G3714,IF(A3714=A3715,R3715,IF(O3714&lt;=0,1,G3714))))</f>
        <v>948</v>
      </c>
      <c r="S3714" s="23">
        <f t="shared" ref="S3714:S3777" si="847">IF(AND(O3714&gt;P3714,LOWER(LEFT(E3714,8))&lt;&gt;"write-in",LOWER(LEFT(E3714,8))&lt;&gt;"not qual"),G3714,IF(A3714=A3715,S3715,0))</f>
        <v>0</v>
      </c>
      <c r="T3714" s="23" t="str">
        <f t="shared" ref="T3714:T3777" si="848">IF(OR(A3714=A3713,S3714=0),"",R3714-ABS(S3714))</f>
        <v/>
      </c>
      <c r="U3714" t="str">
        <f t="shared" ref="U3714:U3777" si="849">IF(A3714=A3713,"",A3714)</f>
        <v>PA_Alleg_2019g~Gen-member of council wilkinsburg ward 1 (vote for 1)</v>
      </c>
      <c r="V3714" s="87"/>
      <c r="AF3714" s="22"/>
      <c r="AU3714" s="10"/>
    </row>
    <row r="3715" spans="1:47">
      <c r="A3715" t="str">
        <f t="shared" si="842"/>
        <v>PA_Alleg_2019g~Gen-member of council wilkinsburg ward 1 (vote for 1)</v>
      </c>
      <c r="B3715" s="55" t="s">
        <v>1528</v>
      </c>
      <c r="C3715">
        <v>1194</v>
      </c>
      <c r="D3715" s="55" t="s">
        <v>1079</v>
      </c>
      <c r="E3715" s="55" t="s">
        <v>15</v>
      </c>
      <c r="G3715" s="62">
        <v>56</v>
      </c>
      <c r="H3715">
        <v>5.58</v>
      </c>
      <c r="I3715">
        <v>4593</v>
      </c>
      <c r="J3715">
        <v>0</v>
      </c>
      <c r="K3715">
        <v>6</v>
      </c>
      <c r="L3715">
        <v>6</v>
      </c>
      <c r="M3715">
        <v>0</v>
      </c>
      <c r="N3715" s="23">
        <v>0</v>
      </c>
      <c r="O3715">
        <f t="shared" si="843"/>
        <v>-1</v>
      </c>
      <c r="P3715" s="57">
        <f t="shared" si="844"/>
        <v>1</v>
      </c>
      <c r="Q3715" s="267">
        <f t="shared" si="845"/>
        <v>56</v>
      </c>
      <c r="R3715" s="23">
        <f t="shared" si="846"/>
        <v>1</v>
      </c>
      <c r="S3715" s="23">
        <f t="shared" si="847"/>
        <v>0</v>
      </c>
      <c r="T3715" s="23" t="str">
        <f t="shared" si="848"/>
        <v/>
      </c>
      <c r="U3715" t="str">
        <f t="shared" si="849"/>
        <v/>
      </c>
      <c r="V3715" s="87"/>
      <c r="AF3715" s="22"/>
      <c r="AU3715" s="10"/>
    </row>
    <row r="3716" spans="1:47">
      <c r="A3716" t="str">
        <f t="shared" si="842"/>
        <v>PA_Alleg_2019g~Gen-member of council wilkinsburg ward 1 (vote for 2)</v>
      </c>
      <c r="B3716" s="55" t="s">
        <v>1528</v>
      </c>
      <c r="C3716">
        <v>1069</v>
      </c>
      <c r="D3716" s="55" t="s">
        <v>967</v>
      </c>
      <c r="E3716" s="55" t="s">
        <v>970</v>
      </c>
      <c r="F3716" t="s">
        <v>1294</v>
      </c>
      <c r="G3716" s="62">
        <v>860</v>
      </c>
      <c r="H3716">
        <v>44.31</v>
      </c>
      <c r="I3716">
        <v>4593</v>
      </c>
      <c r="J3716">
        <v>0</v>
      </c>
      <c r="K3716">
        <v>6</v>
      </c>
      <c r="L3716">
        <v>6</v>
      </c>
      <c r="M3716">
        <v>0</v>
      </c>
      <c r="N3716" s="23">
        <v>0</v>
      </c>
      <c r="O3716">
        <f t="shared" si="843"/>
        <v>1</v>
      </c>
      <c r="P3716" s="57">
        <f t="shared" si="844"/>
        <v>2</v>
      </c>
      <c r="Q3716" s="267">
        <f t="shared" si="845"/>
        <v>970.5</v>
      </c>
      <c r="R3716" s="23">
        <f t="shared" si="846"/>
        <v>784</v>
      </c>
      <c r="S3716" s="23">
        <f t="shared" si="847"/>
        <v>0</v>
      </c>
      <c r="T3716" s="23" t="str">
        <f t="shared" si="848"/>
        <v/>
      </c>
      <c r="U3716" t="str">
        <f t="shared" si="849"/>
        <v>PA_Alleg_2019g~Gen-member of council wilkinsburg ward 1 (vote for 2)</v>
      </c>
      <c r="V3716" s="87"/>
      <c r="AF3716" s="22"/>
      <c r="AU3716" s="10"/>
    </row>
    <row r="3717" spans="1:47">
      <c r="A3717" t="str">
        <f t="shared" si="842"/>
        <v>PA_Alleg_2019g~Gen-member of council wilkinsburg ward 1 (vote for 2)</v>
      </c>
      <c r="B3717" s="55" t="s">
        <v>1528</v>
      </c>
      <c r="C3717">
        <v>1070</v>
      </c>
      <c r="D3717" s="55" t="s">
        <v>967</v>
      </c>
      <c r="E3717" s="55" t="s">
        <v>969</v>
      </c>
      <c r="F3717" t="s">
        <v>1294</v>
      </c>
      <c r="G3717" s="62">
        <v>784</v>
      </c>
      <c r="H3717">
        <v>40.39</v>
      </c>
      <c r="I3717">
        <v>4593</v>
      </c>
      <c r="J3717">
        <v>0</v>
      </c>
      <c r="K3717">
        <v>6</v>
      </c>
      <c r="L3717">
        <v>6</v>
      </c>
      <c r="M3717">
        <v>0</v>
      </c>
      <c r="N3717" s="23">
        <v>0</v>
      </c>
      <c r="O3717">
        <f t="shared" si="843"/>
        <v>2</v>
      </c>
      <c r="P3717" s="57">
        <f t="shared" si="844"/>
        <v>2</v>
      </c>
      <c r="Q3717" s="267">
        <f t="shared" si="845"/>
        <v>1081</v>
      </c>
      <c r="R3717" s="23">
        <f t="shared" si="846"/>
        <v>784</v>
      </c>
      <c r="S3717" s="23">
        <f t="shared" si="847"/>
        <v>0</v>
      </c>
      <c r="T3717" s="23" t="str">
        <f t="shared" si="848"/>
        <v/>
      </c>
      <c r="U3717" t="str">
        <f t="shared" si="849"/>
        <v/>
      </c>
      <c r="V3717" s="87"/>
      <c r="AF3717" s="22"/>
      <c r="AH3717" s="8"/>
      <c r="AU3717" s="10"/>
    </row>
    <row r="3718" spans="1:47">
      <c r="A3718" t="str">
        <f t="shared" si="842"/>
        <v>PA_Alleg_2019g~Gen-member of council wilkinsburg ward 1 (vote for 2)</v>
      </c>
      <c r="B3718" s="55" t="s">
        <v>1528</v>
      </c>
      <c r="C3718">
        <v>1071</v>
      </c>
      <c r="D3718" s="55" t="s">
        <v>967</v>
      </c>
      <c r="E3718" s="55" t="s">
        <v>15</v>
      </c>
      <c r="G3718" s="62">
        <v>297</v>
      </c>
      <c r="H3718">
        <v>15.3</v>
      </c>
      <c r="I3718">
        <v>4593</v>
      </c>
      <c r="J3718">
        <v>0</v>
      </c>
      <c r="K3718">
        <v>6</v>
      </c>
      <c r="L3718">
        <v>6</v>
      </c>
      <c r="M3718">
        <v>0</v>
      </c>
      <c r="N3718" s="23">
        <v>0</v>
      </c>
      <c r="O3718">
        <f t="shared" si="843"/>
        <v>-2</v>
      </c>
      <c r="P3718" s="57">
        <f t="shared" si="844"/>
        <v>2</v>
      </c>
      <c r="Q3718" s="267">
        <f t="shared" si="845"/>
        <v>297</v>
      </c>
      <c r="R3718" s="23">
        <f t="shared" si="846"/>
        <v>1</v>
      </c>
      <c r="S3718" s="23">
        <f t="shared" si="847"/>
        <v>0</v>
      </c>
      <c r="T3718" s="23" t="str">
        <f t="shared" si="848"/>
        <v/>
      </c>
      <c r="U3718" t="str">
        <f t="shared" si="849"/>
        <v/>
      </c>
      <c r="V3718" s="87"/>
      <c r="AF3718" s="22"/>
      <c r="AU3718" s="10"/>
    </row>
    <row r="3719" spans="1:47">
      <c r="A3719" t="str">
        <f t="shared" si="842"/>
        <v>PA_Alleg_2019g~Gen-member of council wilkinsburg ward 2 (vote for 1)</v>
      </c>
      <c r="B3719" s="55" t="s">
        <v>1528</v>
      </c>
      <c r="C3719">
        <v>1195</v>
      </c>
      <c r="D3719" s="55" t="s">
        <v>1081</v>
      </c>
      <c r="E3719" s="55" t="s">
        <v>1068</v>
      </c>
      <c r="F3719" t="s">
        <v>1294</v>
      </c>
      <c r="G3719" s="62">
        <f>844+811</f>
        <v>1655</v>
      </c>
      <c r="H3719">
        <v>95.41</v>
      </c>
      <c r="I3719">
        <v>4198</v>
      </c>
      <c r="J3719">
        <v>0</v>
      </c>
      <c r="K3719">
        <v>5</v>
      </c>
      <c r="L3719">
        <v>5</v>
      </c>
      <c r="M3719">
        <v>0</v>
      </c>
      <c r="N3719" s="23">
        <v>0</v>
      </c>
      <c r="O3719">
        <f t="shared" si="843"/>
        <v>1</v>
      </c>
      <c r="P3719" s="57">
        <f t="shared" si="844"/>
        <v>1</v>
      </c>
      <c r="Q3719" s="267">
        <f t="shared" si="845"/>
        <v>1727</v>
      </c>
      <c r="R3719" s="23">
        <f t="shared" si="846"/>
        <v>1655</v>
      </c>
      <c r="S3719" s="23">
        <f t="shared" si="847"/>
        <v>0</v>
      </c>
      <c r="T3719" s="23" t="str">
        <f t="shared" si="848"/>
        <v/>
      </c>
      <c r="U3719" t="str">
        <f t="shared" si="849"/>
        <v>PA_Alleg_2019g~Gen-member of council wilkinsburg ward 2 (vote for 1)</v>
      </c>
      <c r="V3719" s="87"/>
      <c r="AF3719" s="22"/>
      <c r="AU3719" s="10"/>
    </row>
    <row r="3720" spans="1:47">
      <c r="A3720" t="str">
        <f t="shared" si="842"/>
        <v>PA_Alleg_2019g~Gen-member of council wilkinsburg ward 2 (vote for 1)</v>
      </c>
      <c r="B3720" s="55" t="s">
        <v>1528</v>
      </c>
      <c r="C3720">
        <v>1196</v>
      </c>
      <c r="D3720" s="55" t="s">
        <v>1081</v>
      </c>
      <c r="E3720" s="55" t="s">
        <v>15</v>
      </c>
      <c r="G3720" s="62">
        <v>39</v>
      </c>
      <c r="H3720">
        <v>4.59</v>
      </c>
      <c r="I3720">
        <v>4198</v>
      </c>
      <c r="J3720">
        <v>0</v>
      </c>
      <c r="K3720">
        <v>5</v>
      </c>
      <c r="L3720">
        <v>5</v>
      </c>
      <c r="M3720">
        <v>0</v>
      </c>
      <c r="N3720" s="23">
        <v>0</v>
      </c>
      <c r="O3720">
        <f t="shared" si="843"/>
        <v>-1</v>
      </c>
      <c r="P3720" s="57">
        <f t="shared" si="844"/>
        <v>1</v>
      </c>
      <c r="Q3720" s="267">
        <f t="shared" si="845"/>
        <v>72</v>
      </c>
      <c r="R3720" s="23" t="str">
        <f t="shared" si="846"/>
        <v/>
      </c>
      <c r="S3720" s="23">
        <f t="shared" si="847"/>
        <v>0</v>
      </c>
      <c r="T3720" s="23" t="str">
        <f t="shared" si="848"/>
        <v/>
      </c>
      <c r="U3720" t="str">
        <f t="shared" si="849"/>
        <v/>
      </c>
      <c r="V3720" s="87"/>
      <c r="AF3720" s="22"/>
      <c r="AU3720" s="10"/>
    </row>
    <row r="3721" spans="1:47">
      <c r="A3721" t="str">
        <f t="shared" si="842"/>
        <v>PA_Alleg_2019g~Gen-member of council wilkinsburg ward 2 (vote for 1)</v>
      </c>
      <c r="B3721" s="55" t="s">
        <v>1528</v>
      </c>
      <c r="C3721">
        <v>1179</v>
      </c>
      <c r="D3721" s="55" t="s">
        <v>1067</v>
      </c>
      <c r="E3721" s="55" t="s">
        <v>15</v>
      </c>
      <c r="G3721" s="62">
        <v>33</v>
      </c>
      <c r="H3721">
        <v>3.76</v>
      </c>
      <c r="I3721">
        <v>4198</v>
      </c>
      <c r="J3721">
        <v>0</v>
      </c>
      <c r="K3721">
        <v>5</v>
      </c>
      <c r="L3721">
        <v>5</v>
      </c>
      <c r="M3721">
        <v>0</v>
      </c>
      <c r="N3721" s="23">
        <v>0</v>
      </c>
      <c r="O3721">
        <f t="shared" si="843"/>
        <v>-1</v>
      </c>
      <c r="P3721" s="57">
        <f t="shared" si="844"/>
        <v>1</v>
      </c>
      <c r="Q3721" s="267">
        <f t="shared" si="845"/>
        <v>33</v>
      </c>
      <c r="R3721" s="23" t="str">
        <f t="shared" si="846"/>
        <v/>
      </c>
      <c r="S3721" s="23">
        <f t="shared" si="847"/>
        <v>0</v>
      </c>
      <c r="T3721" s="23" t="str">
        <f t="shared" si="848"/>
        <v/>
      </c>
      <c r="U3721" t="str">
        <f t="shared" si="849"/>
        <v/>
      </c>
      <c r="V3721" s="87"/>
      <c r="AF3721" s="22"/>
      <c r="AU3721" s="10"/>
    </row>
    <row r="3722" spans="1:47">
      <c r="A3722" t="str">
        <f t="shared" si="842"/>
        <v>PA_Alleg_2019g~Gen-member of council wilkinsburg ward 2 (vote for 1)</v>
      </c>
      <c r="B3722" s="55" t="s">
        <v>1528</v>
      </c>
      <c r="C3722">
        <v>1178</v>
      </c>
      <c r="D3722" s="55" t="s">
        <v>1067</v>
      </c>
      <c r="E3722" s="55" t="s">
        <v>1068</v>
      </c>
      <c r="F3722" t="s">
        <v>1294</v>
      </c>
      <c r="G3722" s="62">
        <v>0</v>
      </c>
      <c r="H3722">
        <v>96.24</v>
      </c>
      <c r="I3722">
        <v>4198</v>
      </c>
      <c r="J3722">
        <v>0</v>
      </c>
      <c r="K3722">
        <v>5</v>
      </c>
      <c r="L3722">
        <v>5</v>
      </c>
      <c r="M3722">
        <v>0</v>
      </c>
      <c r="N3722" s="23">
        <v>0</v>
      </c>
      <c r="O3722">
        <f t="shared" si="843"/>
        <v>2</v>
      </c>
      <c r="P3722" s="57">
        <f t="shared" si="844"/>
        <v>1</v>
      </c>
      <c r="Q3722" s="267">
        <f t="shared" si="845"/>
        <v>0</v>
      </c>
      <c r="R3722" s="23" t="str">
        <f t="shared" si="846"/>
        <v/>
      </c>
      <c r="S3722" s="23">
        <f t="shared" si="847"/>
        <v>0</v>
      </c>
      <c r="T3722" s="23" t="str">
        <f t="shared" si="848"/>
        <v/>
      </c>
      <c r="U3722" t="str">
        <f t="shared" si="849"/>
        <v/>
      </c>
      <c r="V3722" s="87"/>
      <c r="AF3722" s="22"/>
      <c r="AL3722" s="23"/>
      <c r="AU3722" s="10"/>
    </row>
    <row r="3723" spans="1:47">
      <c r="A3723" t="str">
        <f t="shared" si="842"/>
        <v>PA_Alleg_2019g~Gen-member of council wilkinsburg ward 3 (vote for 1)</v>
      </c>
      <c r="B3723" s="55" t="s">
        <v>1528</v>
      </c>
      <c r="C3723">
        <v>1180</v>
      </c>
      <c r="D3723" s="55" t="s">
        <v>1071</v>
      </c>
      <c r="E3723" s="55" t="s">
        <v>1074</v>
      </c>
      <c r="F3723" t="s">
        <v>1294</v>
      </c>
      <c r="G3723" s="62">
        <v>922</v>
      </c>
      <c r="H3723">
        <v>65.34</v>
      </c>
      <c r="I3723">
        <v>5179</v>
      </c>
      <c r="J3723">
        <v>0</v>
      </c>
      <c r="K3723">
        <v>6</v>
      </c>
      <c r="L3723">
        <v>6</v>
      </c>
      <c r="M3723">
        <v>0</v>
      </c>
      <c r="N3723" s="23">
        <v>0</v>
      </c>
      <c r="O3723">
        <f t="shared" si="843"/>
        <v>1</v>
      </c>
      <c r="P3723" s="57">
        <f t="shared" si="844"/>
        <v>1</v>
      </c>
      <c r="Q3723" s="267">
        <f t="shared" si="845"/>
        <v>1411</v>
      </c>
      <c r="R3723" s="23">
        <f t="shared" si="846"/>
        <v>922</v>
      </c>
      <c r="S3723" s="23">
        <f t="shared" si="847"/>
        <v>482</v>
      </c>
      <c r="T3723" s="23">
        <f t="shared" si="848"/>
        <v>440</v>
      </c>
      <c r="U3723" t="str">
        <f t="shared" si="849"/>
        <v>PA_Alleg_2019g~Gen-member of council wilkinsburg ward 3 (vote for 1)</v>
      </c>
      <c r="V3723" s="87"/>
      <c r="AF3723" s="22"/>
      <c r="AU3723" s="10"/>
    </row>
    <row r="3724" spans="1:47">
      <c r="A3724" t="str">
        <f t="shared" si="842"/>
        <v>PA_Alleg_2019g~Gen-member of council wilkinsburg ward 3 (vote for 1)</v>
      </c>
      <c r="B3724" s="55" t="s">
        <v>1528</v>
      </c>
      <c r="C3724">
        <v>1181</v>
      </c>
      <c r="D3724" s="55" t="s">
        <v>1071</v>
      </c>
      <c r="E3724" s="55" t="s">
        <v>1073</v>
      </c>
      <c r="F3724" t="s">
        <v>1296</v>
      </c>
      <c r="G3724" s="62">
        <v>482</v>
      </c>
      <c r="H3724">
        <v>34.159999999999997</v>
      </c>
      <c r="I3724">
        <v>5179</v>
      </c>
      <c r="J3724">
        <v>0</v>
      </c>
      <c r="K3724">
        <v>6</v>
      </c>
      <c r="L3724">
        <v>6</v>
      </c>
      <c r="M3724">
        <v>0</v>
      </c>
      <c r="N3724" s="23">
        <v>0</v>
      </c>
      <c r="O3724">
        <f t="shared" si="843"/>
        <v>2</v>
      </c>
      <c r="P3724" s="57">
        <f t="shared" si="844"/>
        <v>1</v>
      </c>
      <c r="Q3724" s="267">
        <f t="shared" si="845"/>
        <v>489</v>
      </c>
      <c r="R3724" s="23" t="str">
        <f t="shared" si="846"/>
        <v/>
      </c>
      <c r="S3724" s="23">
        <f t="shared" si="847"/>
        <v>482</v>
      </c>
      <c r="T3724" s="23" t="str">
        <f t="shared" si="848"/>
        <v/>
      </c>
      <c r="U3724" t="str">
        <f t="shared" si="849"/>
        <v/>
      </c>
      <c r="V3724" s="87"/>
      <c r="AF3724" s="22"/>
      <c r="AU3724" s="10"/>
    </row>
    <row r="3725" spans="1:47">
      <c r="A3725" t="str">
        <f t="shared" si="842"/>
        <v>PA_Alleg_2019g~Gen-member of council wilkinsburg ward 3 (vote for 1)</v>
      </c>
      <c r="B3725" s="55" t="s">
        <v>1528</v>
      </c>
      <c r="C3725">
        <v>1182</v>
      </c>
      <c r="D3725" s="55" t="s">
        <v>1071</v>
      </c>
      <c r="E3725" s="55" t="s">
        <v>15</v>
      </c>
      <c r="G3725" s="62">
        <v>7</v>
      </c>
      <c r="H3725">
        <v>0.5</v>
      </c>
      <c r="I3725">
        <v>5179</v>
      </c>
      <c r="J3725">
        <v>0</v>
      </c>
      <c r="K3725">
        <v>6</v>
      </c>
      <c r="L3725">
        <v>6</v>
      </c>
      <c r="M3725">
        <v>0</v>
      </c>
      <c r="N3725" s="23">
        <v>0</v>
      </c>
      <c r="O3725">
        <f t="shared" si="843"/>
        <v>-2</v>
      </c>
      <c r="P3725" s="57">
        <f t="shared" si="844"/>
        <v>1</v>
      </c>
      <c r="Q3725" s="267">
        <f t="shared" si="845"/>
        <v>7</v>
      </c>
      <c r="R3725" s="23">
        <f t="shared" si="846"/>
        <v>1</v>
      </c>
      <c r="S3725" s="23">
        <f t="shared" si="847"/>
        <v>0</v>
      </c>
      <c r="T3725" s="23" t="str">
        <f t="shared" si="848"/>
        <v/>
      </c>
      <c r="U3725" t="str">
        <f t="shared" si="849"/>
        <v/>
      </c>
      <c r="V3725" s="87"/>
      <c r="AF3725" s="22"/>
      <c r="AU3725" s="10"/>
    </row>
    <row r="3726" spans="1:47">
      <c r="A3726" t="str">
        <f t="shared" si="842"/>
        <v>PA_Alleg_2019g~Gen-member of council wilmerding (vote for 4)</v>
      </c>
      <c r="B3726" s="55" t="s">
        <v>1528</v>
      </c>
      <c r="C3726">
        <v>724</v>
      </c>
      <c r="D3726" s="55" t="s">
        <v>683</v>
      </c>
      <c r="E3726" s="55" t="s">
        <v>688</v>
      </c>
      <c r="F3726" t="s">
        <v>1294</v>
      </c>
      <c r="G3726" s="62">
        <v>180</v>
      </c>
      <c r="H3726">
        <v>25.79</v>
      </c>
      <c r="I3726">
        <v>1267</v>
      </c>
      <c r="J3726">
        <v>0</v>
      </c>
      <c r="K3726">
        <v>2</v>
      </c>
      <c r="L3726">
        <v>2</v>
      </c>
      <c r="M3726">
        <v>0</v>
      </c>
      <c r="N3726" s="23">
        <v>0</v>
      </c>
      <c r="O3726">
        <f t="shared" si="843"/>
        <v>1</v>
      </c>
      <c r="P3726" s="57">
        <f t="shared" si="844"/>
        <v>4</v>
      </c>
      <c r="Q3726" s="267">
        <f t="shared" si="845"/>
        <v>180</v>
      </c>
      <c r="R3726" s="23">
        <f t="shared" si="846"/>
        <v>132</v>
      </c>
      <c r="S3726" s="23">
        <f t="shared" si="847"/>
        <v>0</v>
      </c>
      <c r="T3726" s="23" t="str">
        <f t="shared" si="848"/>
        <v/>
      </c>
      <c r="U3726" t="str">
        <f t="shared" si="849"/>
        <v>PA_Alleg_2019g~Gen-member of council wilmerding (vote for 4)</v>
      </c>
      <c r="V3726" s="87"/>
      <c r="AF3726" s="22"/>
      <c r="AG3726" s="316"/>
      <c r="AH3726" s="313"/>
      <c r="AI3726" s="315"/>
      <c r="AJ3726" s="315"/>
      <c r="AK3726" s="345"/>
      <c r="AL3726" s="346"/>
      <c r="AU3726" s="10"/>
    </row>
    <row r="3727" spans="1:47">
      <c r="A3727" t="str">
        <f t="shared" si="842"/>
        <v>PA_Alleg_2019g~Gen-member of council wilmerding (vote for 4)</v>
      </c>
      <c r="B3727" s="55" t="s">
        <v>1528</v>
      </c>
      <c r="C3727">
        <v>723</v>
      </c>
      <c r="D3727" s="55" t="s">
        <v>683</v>
      </c>
      <c r="E3727" s="55" t="s">
        <v>689</v>
      </c>
      <c r="F3727" t="s">
        <v>1294</v>
      </c>
      <c r="G3727" s="62">
        <v>177</v>
      </c>
      <c r="H3727">
        <v>25.36</v>
      </c>
      <c r="I3727">
        <v>1267</v>
      </c>
      <c r="J3727">
        <v>0</v>
      </c>
      <c r="K3727">
        <v>2</v>
      </c>
      <c r="L3727">
        <v>2</v>
      </c>
      <c r="M3727">
        <v>0</v>
      </c>
      <c r="N3727" s="23">
        <v>0</v>
      </c>
      <c r="O3727">
        <f t="shared" si="843"/>
        <v>2</v>
      </c>
      <c r="P3727" s="57">
        <f t="shared" si="844"/>
        <v>4</v>
      </c>
      <c r="Q3727" s="267">
        <f t="shared" si="845"/>
        <v>518</v>
      </c>
      <c r="R3727" s="23">
        <f t="shared" si="846"/>
        <v>132</v>
      </c>
      <c r="S3727" s="23">
        <f t="shared" si="847"/>
        <v>0</v>
      </c>
      <c r="T3727" s="23" t="str">
        <f t="shared" si="848"/>
        <v/>
      </c>
      <c r="U3727" t="str">
        <f t="shared" si="849"/>
        <v/>
      </c>
      <c r="V3727" s="87"/>
      <c r="AF3727" s="22"/>
      <c r="AG3727" s="23"/>
      <c r="AH3727" s="8"/>
      <c r="AL3727" s="344"/>
      <c r="AU3727" s="10"/>
    </row>
    <row r="3728" spans="1:47">
      <c r="A3728" t="str">
        <f t="shared" si="842"/>
        <v>PA_Alleg_2019g~Gen-member of council wilmerding (vote for 4)</v>
      </c>
      <c r="B3728" s="55" t="s">
        <v>1528</v>
      </c>
      <c r="C3728">
        <v>725</v>
      </c>
      <c r="D3728" s="55" t="s">
        <v>683</v>
      </c>
      <c r="E3728" s="55" t="s">
        <v>687</v>
      </c>
      <c r="F3728" t="s">
        <v>1294</v>
      </c>
      <c r="G3728" s="62">
        <v>146</v>
      </c>
      <c r="H3728">
        <v>20.92</v>
      </c>
      <c r="I3728">
        <v>1267</v>
      </c>
      <c r="J3728">
        <v>0</v>
      </c>
      <c r="K3728">
        <v>2</v>
      </c>
      <c r="L3728">
        <v>2</v>
      </c>
      <c r="M3728">
        <v>0</v>
      </c>
      <c r="N3728" s="23">
        <v>0</v>
      </c>
      <c r="O3728">
        <f t="shared" si="843"/>
        <v>3</v>
      </c>
      <c r="P3728" s="57">
        <f t="shared" si="844"/>
        <v>4</v>
      </c>
      <c r="Q3728" s="267">
        <f t="shared" si="845"/>
        <v>341</v>
      </c>
      <c r="R3728" s="23">
        <f t="shared" si="846"/>
        <v>132</v>
      </c>
      <c r="S3728" s="23">
        <f t="shared" si="847"/>
        <v>0</v>
      </c>
      <c r="T3728" s="23" t="str">
        <f t="shared" si="848"/>
        <v/>
      </c>
      <c r="U3728" t="str">
        <f t="shared" si="849"/>
        <v/>
      </c>
      <c r="V3728" s="87"/>
      <c r="AF3728" s="22"/>
      <c r="AG3728" s="308"/>
      <c r="AH3728" s="241"/>
      <c r="AI3728" s="309"/>
      <c r="AJ3728" s="309"/>
      <c r="AK3728" s="349"/>
      <c r="AL3728" s="350"/>
      <c r="AU3728" s="10"/>
    </row>
    <row r="3729" spans="1:47">
      <c r="A3729" t="str">
        <f t="shared" si="842"/>
        <v>PA_Alleg_2019g~Gen-member of council wilmerding (vote for 4)</v>
      </c>
      <c r="B3729" s="55" t="s">
        <v>1528</v>
      </c>
      <c r="C3729">
        <v>726</v>
      </c>
      <c r="D3729" s="55" t="s">
        <v>683</v>
      </c>
      <c r="E3729" s="55" t="s">
        <v>684</v>
      </c>
      <c r="F3729" t="s">
        <v>1294</v>
      </c>
      <c r="G3729" s="62">
        <v>132</v>
      </c>
      <c r="H3729">
        <v>18.91</v>
      </c>
      <c r="I3729">
        <v>1267</v>
      </c>
      <c r="J3729">
        <v>0</v>
      </c>
      <c r="K3729">
        <v>2</v>
      </c>
      <c r="L3729">
        <v>2</v>
      </c>
      <c r="M3729">
        <v>0</v>
      </c>
      <c r="N3729" s="23">
        <v>0</v>
      </c>
      <c r="O3729">
        <f t="shared" si="843"/>
        <v>4</v>
      </c>
      <c r="P3729" s="57">
        <f t="shared" si="844"/>
        <v>4</v>
      </c>
      <c r="Q3729" s="267">
        <f t="shared" si="845"/>
        <v>195</v>
      </c>
      <c r="R3729" s="23">
        <f t="shared" si="846"/>
        <v>132</v>
      </c>
      <c r="S3729" s="23">
        <f t="shared" si="847"/>
        <v>0</v>
      </c>
      <c r="T3729" s="23" t="str">
        <f t="shared" si="848"/>
        <v/>
      </c>
      <c r="U3729" t="str">
        <f t="shared" si="849"/>
        <v/>
      </c>
      <c r="V3729" s="87"/>
      <c r="AF3729" s="22"/>
      <c r="AU3729" s="10"/>
    </row>
    <row r="3730" spans="1:47">
      <c r="A3730" t="str">
        <f t="shared" si="842"/>
        <v>PA_Alleg_2019g~Gen-member of council wilmerding (vote for 4)</v>
      </c>
      <c r="B3730" s="55" t="s">
        <v>1528</v>
      </c>
      <c r="C3730">
        <v>727</v>
      </c>
      <c r="D3730" s="55" t="s">
        <v>683</v>
      </c>
      <c r="E3730" s="55" t="s">
        <v>15</v>
      </c>
      <c r="G3730" s="62">
        <v>63</v>
      </c>
      <c r="H3730">
        <v>9.0299999999999994</v>
      </c>
      <c r="I3730">
        <v>1267</v>
      </c>
      <c r="J3730">
        <v>0</v>
      </c>
      <c r="K3730">
        <v>2</v>
      </c>
      <c r="L3730">
        <v>2</v>
      </c>
      <c r="M3730">
        <v>0</v>
      </c>
      <c r="N3730" s="23">
        <v>0</v>
      </c>
      <c r="O3730">
        <f t="shared" si="843"/>
        <v>-4</v>
      </c>
      <c r="P3730" s="57">
        <f t="shared" si="844"/>
        <v>4</v>
      </c>
      <c r="Q3730" s="267">
        <f t="shared" si="845"/>
        <v>63</v>
      </c>
      <c r="R3730" s="23">
        <f t="shared" si="846"/>
        <v>1</v>
      </c>
      <c r="S3730" s="23">
        <f t="shared" si="847"/>
        <v>0</v>
      </c>
      <c r="T3730" s="23" t="str">
        <f t="shared" si="848"/>
        <v/>
      </c>
      <c r="U3730" t="str">
        <f t="shared" si="849"/>
        <v/>
      </c>
      <c r="V3730" s="87"/>
      <c r="AF3730" s="22"/>
      <c r="AU3730" s="10"/>
    </row>
    <row r="3731" spans="1:47">
      <c r="A3731" t="str">
        <f t="shared" si="842"/>
        <v>PA_Alleg_2019g~Gen-member of county council at-large (vote for 1)</v>
      </c>
      <c r="B3731" s="55" t="s">
        <v>1528</v>
      </c>
      <c r="C3731">
        <v>19</v>
      </c>
      <c r="D3731" s="55" t="s">
        <v>30</v>
      </c>
      <c r="E3731" s="55" t="s">
        <v>31</v>
      </c>
      <c r="F3731" t="s">
        <v>1294</v>
      </c>
      <c r="G3731" s="62">
        <v>168350</v>
      </c>
      <c r="H3731">
        <v>64.67</v>
      </c>
      <c r="I3731">
        <v>957735</v>
      </c>
      <c r="J3731">
        <v>0</v>
      </c>
      <c r="K3731">
        <v>1322</v>
      </c>
      <c r="L3731">
        <v>1322</v>
      </c>
      <c r="M3731">
        <v>0</v>
      </c>
      <c r="N3731" s="23">
        <v>0</v>
      </c>
      <c r="O3731">
        <f t="shared" si="843"/>
        <v>1</v>
      </c>
      <c r="P3731" s="57">
        <f t="shared" si="844"/>
        <v>1</v>
      </c>
      <c r="Q3731" s="267">
        <f t="shared" si="845"/>
        <v>260332</v>
      </c>
      <c r="R3731" s="23">
        <f t="shared" si="846"/>
        <v>168350</v>
      </c>
      <c r="S3731" s="23">
        <f t="shared" si="847"/>
        <v>91615</v>
      </c>
      <c r="T3731" s="23">
        <f t="shared" si="848"/>
        <v>76735</v>
      </c>
      <c r="U3731" t="str">
        <f t="shared" si="849"/>
        <v>PA_Alleg_2019g~Gen-member of county council at-large (vote for 1)</v>
      </c>
      <c r="V3731" s="87"/>
      <c r="AF3731" s="22"/>
      <c r="AU3731" s="10"/>
    </row>
    <row r="3732" spans="1:47">
      <c r="A3732" t="str">
        <f t="shared" si="842"/>
        <v>PA_Alleg_2019g~Gen-member of county council at-large (vote for 1)</v>
      </c>
      <c r="B3732" s="55" t="s">
        <v>1528</v>
      </c>
      <c r="C3732">
        <v>20</v>
      </c>
      <c r="D3732" s="55" t="s">
        <v>30</v>
      </c>
      <c r="E3732" s="55" t="s">
        <v>1121</v>
      </c>
      <c r="F3732" t="s">
        <v>1296</v>
      </c>
      <c r="G3732" s="62">
        <v>91615</v>
      </c>
      <c r="H3732">
        <v>35.19</v>
      </c>
      <c r="I3732">
        <v>957735</v>
      </c>
      <c r="J3732">
        <v>0</v>
      </c>
      <c r="K3732">
        <v>1322</v>
      </c>
      <c r="L3732">
        <v>1322</v>
      </c>
      <c r="M3732">
        <v>0</v>
      </c>
      <c r="N3732" s="23">
        <v>0</v>
      </c>
      <c r="O3732">
        <f t="shared" si="843"/>
        <v>2</v>
      </c>
      <c r="P3732" s="57">
        <f t="shared" si="844"/>
        <v>1</v>
      </c>
      <c r="Q3732" s="267">
        <f t="shared" si="845"/>
        <v>91982</v>
      </c>
      <c r="R3732" s="23" t="str">
        <f t="shared" si="846"/>
        <v/>
      </c>
      <c r="S3732" s="23">
        <f t="shared" si="847"/>
        <v>91615</v>
      </c>
      <c r="T3732" s="23" t="str">
        <f t="shared" si="848"/>
        <v/>
      </c>
      <c r="U3732" t="str">
        <f t="shared" si="849"/>
        <v/>
      </c>
      <c r="V3732" s="87"/>
      <c r="AF3732" s="22"/>
      <c r="AU3732" s="10"/>
    </row>
    <row r="3733" spans="1:47">
      <c r="A3733" t="str">
        <f t="shared" si="842"/>
        <v>PA_Alleg_2019g~Gen-member of county council at-large (vote for 1)</v>
      </c>
      <c r="B3733" s="55" t="s">
        <v>1528</v>
      </c>
      <c r="C3733">
        <v>21</v>
      </c>
      <c r="D3733" s="55" t="s">
        <v>30</v>
      </c>
      <c r="E3733" s="55" t="s">
        <v>15</v>
      </c>
      <c r="G3733" s="62">
        <v>367</v>
      </c>
      <c r="H3733">
        <v>0.14000000000000001</v>
      </c>
      <c r="I3733">
        <v>957735</v>
      </c>
      <c r="J3733">
        <v>0</v>
      </c>
      <c r="K3733">
        <v>1322</v>
      </c>
      <c r="L3733">
        <v>1322</v>
      </c>
      <c r="M3733">
        <v>0</v>
      </c>
      <c r="N3733" s="23">
        <v>0</v>
      </c>
      <c r="O3733">
        <f t="shared" si="843"/>
        <v>-2</v>
      </c>
      <c r="P3733" s="57">
        <f t="shared" si="844"/>
        <v>1</v>
      </c>
      <c r="Q3733" s="267">
        <f t="shared" si="845"/>
        <v>367</v>
      </c>
      <c r="R3733" s="23">
        <f t="shared" si="846"/>
        <v>1</v>
      </c>
      <c r="S3733" s="23">
        <f t="shared" si="847"/>
        <v>0</v>
      </c>
      <c r="T3733" s="23" t="str">
        <f t="shared" si="848"/>
        <v/>
      </c>
      <c r="U3733" t="str">
        <f t="shared" si="849"/>
        <v/>
      </c>
      <c r="V3733" s="87"/>
      <c r="AF3733" s="22"/>
      <c r="AG3733" s="23"/>
      <c r="AH3733" s="8"/>
      <c r="AU3733" s="10"/>
    </row>
    <row r="3734" spans="1:47">
      <c r="A3734" t="str">
        <f t="shared" si="842"/>
        <v>PA_Alleg_2019g~Gen-member of county council district 10 (vote for 1)</v>
      </c>
      <c r="B3734" s="55" t="s">
        <v>1528</v>
      </c>
      <c r="C3734">
        <v>33</v>
      </c>
      <c r="D3734" s="55" t="s">
        <v>42</v>
      </c>
      <c r="E3734" s="55" t="s">
        <v>43</v>
      </c>
      <c r="F3734" t="s">
        <v>1294</v>
      </c>
      <c r="G3734" s="62">
        <v>17295</v>
      </c>
      <c r="H3734">
        <v>98.98</v>
      </c>
      <c r="I3734">
        <v>84405</v>
      </c>
      <c r="J3734">
        <v>0</v>
      </c>
      <c r="K3734">
        <v>133</v>
      </c>
      <c r="L3734">
        <v>133</v>
      </c>
      <c r="M3734">
        <v>0</v>
      </c>
      <c r="N3734" s="23">
        <v>0</v>
      </c>
      <c r="O3734">
        <f t="shared" si="843"/>
        <v>1</v>
      </c>
      <c r="P3734" s="57">
        <f t="shared" si="844"/>
        <v>1</v>
      </c>
      <c r="Q3734" s="267">
        <f t="shared" si="845"/>
        <v>17474</v>
      </c>
      <c r="R3734" s="23">
        <f t="shared" si="846"/>
        <v>17295</v>
      </c>
      <c r="S3734" s="23">
        <f t="shared" si="847"/>
        <v>0</v>
      </c>
      <c r="T3734" s="23" t="str">
        <f t="shared" si="848"/>
        <v/>
      </c>
      <c r="U3734" t="str">
        <f t="shared" si="849"/>
        <v>PA_Alleg_2019g~Gen-member of county council district 10 (vote for 1)</v>
      </c>
      <c r="V3734" s="87"/>
      <c r="AF3734" s="22"/>
      <c r="AG3734" s="302"/>
      <c r="AH3734" s="301"/>
      <c r="AI3734" s="303"/>
      <c r="AJ3734" s="303"/>
      <c r="AK3734" s="342"/>
      <c r="AL3734" s="343"/>
      <c r="AU3734" s="10"/>
    </row>
    <row r="3735" spans="1:47">
      <c r="A3735" t="str">
        <f t="shared" si="842"/>
        <v>PA_Alleg_2019g~Gen-member of county council district 10 (vote for 1)</v>
      </c>
      <c r="B3735" s="55" t="s">
        <v>1528</v>
      </c>
      <c r="C3735">
        <v>34</v>
      </c>
      <c r="D3735" s="55" t="s">
        <v>42</v>
      </c>
      <c r="E3735" s="55" t="s">
        <v>15</v>
      </c>
      <c r="G3735" s="62">
        <v>179</v>
      </c>
      <c r="H3735">
        <v>1.02</v>
      </c>
      <c r="I3735">
        <v>84405</v>
      </c>
      <c r="J3735">
        <v>0</v>
      </c>
      <c r="K3735">
        <v>133</v>
      </c>
      <c r="L3735">
        <v>133</v>
      </c>
      <c r="M3735">
        <v>0</v>
      </c>
      <c r="N3735" s="23">
        <v>0</v>
      </c>
      <c r="O3735">
        <f t="shared" si="843"/>
        <v>-1</v>
      </c>
      <c r="P3735" s="57">
        <f t="shared" si="844"/>
        <v>1</v>
      </c>
      <c r="Q3735" s="267">
        <f t="shared" si="845"/>
        <v>179</v>
      </c>
      <c r="R3735" s="23">
        <f t="shared" si="846"/>
        <v>1</v>
      </c>
      <c r="S3735" s="23">
        <f t="shared" si="847"/>
        <v>0</v>
      </c>
      <c r="T3735" s="23" t="str">
        <f t="shared" si="848"/>
        <v/>
      </c>
      <c r="U3735" t="str">
        <f t="shared" si="849"/>
        <v/>
      </c>
      <c r="V3735" s="87"/>
      <c r="AF3735" s="22"/>
      <c r="AG3735" s="314"/>
      <c r="AH3735" s="313"/>
      <c r="AI3735" s="315"/>
      <c r="AJ3735" s="315"/>
      <c r="AK3735" s="345"/>
      <c r="AL3735" s="346"/>
      <c r="AU3735" s="10"/>
    </row>
    <row r="3736" spans="1:47">
      <c r="A3736" t="str">
        <f t="shared" si="842"/>
        <v>PA_Alleg_2019g~Gen-member of county council district 11 (vote for 1)</v>
      </c>
      <c r="B3736" s="55" t="s">
        <v>1528</v>
      </c>
      <c r="C3736">
        <v>35</v>
      </c>
      <c r="D3736" s="55" t="s">
        <v>44</v>
      </c>
      <c r="E3736" s="55" t="s">
        <v>45</v>
      </c>
      <c r="F3736" t="s">
        <v>1294</v>
      </c>
      <c r="G3736" s="62">
        <v>19081</v>
      </c>
      <c r="H3736">
        <v>98.97</v>
      </c>
      <c r="I3736">
        <v>79699</v>
      </c>
      <c r="J3736">
        <v>0</v>
      </c>
      <c r="K3736">
        <v>113</v>
      </c>
      <c r="L3736">
        <v>113</v>
      </c>
      <c r="M3736">
        <v>0</v>
      </c>
      <c r="N3736" s="23">
        <v>0</v>
      </c>
      <c r="O3736">
        <f t="shared" si="843"/>
        <v>1</v>
      </c>
      <c r="P3736" s="57">
        <f t="shared" si="844"/>
        <v>1</v>
      </c>
      <c r="Q3736" s="267">
        <f t="shared" si="845"/>
        <v>19280</v>
      </c>
      <c r="R3736" s="23">
        <f t="shared" si="846"/>
        <v>19081</v>
      </c>
      <c r="S3736" s="23">
        <f t="shared" si="847"/>
        <v>0</v>
      </c>
      <c r="T3736" s="23" t="str">
        <f t="shared" si="848"/>
        <v/>
      </c>
      <c r="U3736" t="str">
        <f t="shared" si="849"/>
        <v>PA_Alleg_2019g~Gen-member of county council district 11 (vote for 1)</v>
      </c>
      <c r="V3736" s="87"/>
      <c r="AF3736" s="22"/>
      <c r="AU3736" s="10"/>
    </row>
    <row r="3737" spans="1:47">
      <c r="A3737" t="str">
        <f t="shared" si="842"/>
        <v>PA_Alleg_2019g~Gen-member of county council district 11 (vote for 1)</v>
      </c>
      <c r="B3737" s="55" t="s">
        <v>1528</v>
      </c>
      <c r="C3737">
        <v>36</v>
      </c>
      <c r="D3737" s="55" t="s">
        <v>44</v>
      </c>
      <c r="E3737" s="55" t="s">
        <v>15</v>
      </c>
      <c r="G3737" s="62">
        <v>199</v>
      </c>
      <c r="H3737">
        <v>1.03</v>
      </c>
      <c r="I3737">
        <v>79699</v>
      </c>
      <c r="J3737">
        <v>0</v>
      </c>
      <c r="K3737">
        <v>113</v>
      </c>
      <c r="L3737">
        <v>113</v>
      </c>
      <c r="M3737">
        <v>0</v>
      </c>
      <c r="N3737" s="23">
        <v>0</v>
      </c>
      <c r="O3737">
        <f t="shared" si="843"/>
        <v>-1</v>
      </c>
      <c r="P3737" s="57">
        <f t="shared" si="844"/>
        <v>1</v>
      </c>
      <c r="Q3737" s="267">
        <f t="shared" si="845"/>
        <v>199</v>
      </c>
      <c r="R3737" s="23">
        <f t="shared" si="846"/>
        <v>1</v>
      </c>
      <c r="S3737" s="23">
        <f t="shared" si="847"/>
        <v>0</v>
      </c>
      <c r="T3737" s="23" t="str">
        <f t="shared" si="848"/>
        <v/>
      </c>
      <c r="U3737" t="str">
        <f t="shared" si="849"/>
        <v/>
      </c>
      <c r="V3737" s="87"/>
      <c r="AF3737" s="22"/>
      <c r="AU3737" s="10"/>
    </row>
    <row r="3738" spans="1:47">
      <c r="A3738" t="str">
        <f t="shared" si="842"/>
        <v>PA_Alleg_2019g~Gen-member of county council district 13 (vote for 1)</v>
      </c>
      <c r="B3738" s="55" t="s">
        <v>1528</v>
      </c>
      <c r="C3738">
        <v>37</v>
      </c>
      <c r="D3738" s="55" t="s">
        <v>46</v>
      </c>
      <c r="E3738" s="55" t="s">
        <v>48</v>
      </c>
      <c r="F3738" t="s">
        <v>1294</v>
      </c>
      <c r="G3738" s="62">
        <v>17074</v>
      </c>
      <c r="H3738">
        <v>98.93</v>
      </c>
      <c r="I3738">
        <v>76476</v>
      </c>
      <c r="J3738">
        <v>0</v>
      </c>
      <c r="K3738">
        <v>116</v>
      </c>
      <c r="L3738">
        <v>116</v>
      </c>
      <c r="M3738">
        <v>0</v>
      </c>
      <c r="N3738" s="23">
        <v>0</v>
      </c>
      <c r="O3738">
        <f t="shared" si="843"/>
        <v>1</v>
      </c>
      <c r="P3738" s="57">
        <f t="shared" si="844"/>
        <v>1</v>
      </c>
      <c r="Q3738" s="267">
        <f t="shared" si="845"/>
        <v>17259</v>
      </c>
      <c r="R3738" s="23">
        <f t="shared" si="846"/>
        <v>17074</v>
      </c>
      <c r="S3738" s="23">
        <f t="shared" si="847"/>
        <v>0</v>
      </c>
      <c r="T3738" s="23" t="str">
        <f t="shared" si="848"/>
        <v/>
      </c>
      <c r="U3738" t="str">
        <f t="shared" si="849"/>
        <v>PA_Alleg_2019g~Gen-member of county council district 13 (vote for 1)</v>
      </c>
      <c r="V3738" s="87"/>
      <c r="AF3738" s="22"/>
      <c r="AU3738" s="10"/>
    </row>
    <row r="3739" spans="1:47">
      <c r="A3739" t="str">
        <f t="shared" si="842"/>
        <v>PA_Alleg_2019g~Gen-member of county council district 13 (vote for 1)</v>
      </c>
      <c r="B3739" s="55" t="s">
        <v>1528</v>
      </c>
      <c r="C3739">
        <v>38</v>
      </c>
      <c r="D3739" s="55" t="s">
        <v>46</v>
      </c>
      <c r="E3739" s="55" t="s">
        <v>15</v>
      </c>
      <c r="G3739" s="62">
        <v>185</v>
      </c>
      <c r="H3739">
        <v>1.07</v>
      </c>
      <c r="I3739">
        <v>76476</v>
      </c>
      <c r="J3739">
        <v>0</v>
      </c>
      <c r="K3739">
        <v>116</v>
      </c>
      <c r="L3739">
        <v>116</v>
      </c>
      <c r="M3739">
        <v>0</v>
      </c>
      <c r="N3739" s="23">
        <v>0</v>
      </c>
      <c r="O3739">
        <f t="shared" si="843"/>
        <v>-1</v>
      </c>
      <c r="P3739" s="57">
        <f t="shared" si="844"/>
        <v>1</v>
      </c>
      <c r="Q3739" s="267">
        <f t="shared" si="845"/>
        <v>185</v>
      </c>
      <c r="R3739" s="23">
        <f t="shared" si="846"/>
        <v>1</v>
      </c>
      <c r="S3739" s="23">
        <f t="shared" si="847"/>
        <v>0</v>
      </c>
      <c r="T3739" s="23" t="str">
        <f t="shared" si="848"/>
        <v/>
      </c>
      <c r="U3739" t="str">
        <f t="shared" si="849"/>
        <v/>
      </c>
      <c r="V3739" s="87"/>
      <c r="AF3739" s="22"/>
      <c r="AU3739" s="10"/>
    </row>
    <row r="3740" spans="1:47">
      <c r="A3740" t="str">
        <f t="shared" si="842"/>
        <v>PA_Alleg_2019g~Gen-member of county council district 2 (vote for 1)</v>
      </c>
      <c r="B3740" s="55" t="s">
        <v>1528</v>
      </c>
      <c r="C3740">
        <v>23</v>
      </c>
      <c r="D3740" s="55" t="s">
        <v>33</v>
      </c>
      <c r="E3740" s="55" t="s">
        <v>1122</v>
      </c>
      <c r="F3740" t="s">
        <v>1296</v>
      </c>
      <c r="G3740" s="62">
        <v>12413</v>
      </c>
      <c r="H3740">
        <v>54.1</v>
      </c>
      <c r="I3740">
        <v>77209</v>
      </c>
      <c r="J3740">
        <v>0</v>
      </c>
      <c r="K3740">
        <v>70</v>
      </c>
      <c r="L3740">
        <v>70</v>
      </c>
      <c r="M3740">
        <v>0</v>
      </c>
      <c r="N3740" s="23">
        <v>0</v>
      </c>
      <c r="O3740">
        <f t="shared" si="843"/>
        <v>1</v>
      </c>
      <c r="P3740" s="57">
        <f t="shared" si="844"/>
        <v>1</v>
      </c>
      <c r="Q3740" s="267">
        <f t="shared" si="845"/>
        <v>22944</v>
      </c>
      <c r="R3740" s="23">
        <f t="shared" si="846"/>
        <v>12413</v>
      </c>
      <c r="S3740" s="23">
        <f t="shared" si="847"/>
        <v>10509</v>
      </c>
      <c r="T3740" s="23">
        <f t="shared" si="848"/>
        <v>1904</v>
      </c>
      <c r="U3740" t="str">
        <f t="shared" si="849"/>
        <v>PA_Alleg_2019g~Gen-member of county council district 2 (vote for 1)</v>
      </c>
      <c r="V3740" s="87"/>
      <c r="AF3740" s="22"/>
      <c r="AU3740" s="10"/>
    </row>
    <row r="3741" spans="1:47">
      <c r="A3741" t="str">
        <f t="shared" si="842"/>
        <v>PA_Alleg_2019g~Gen-member of county council district 2 (vote for 1)</v>
      </c>
      <c r="B3741" s="55" t="s">
        <v>1528</v>
      </c>
      <c r="C3741">
        <v>22</v>
      </c>
      <c r="D3741" s="55" t="s">
        <v>33</v>
      </c>
      <c r="E3741" s="55" t="s">
        <v>34</v>
      </c>
      <c r="F3741" t="s">
        <v>1294</v>
      </c>
      <c r="G3741" s="62">
        <v>10509</v>
      </c>
      <c r="H3741">
        <v>45.8</v>
      </c>
      <c r="I3741">
        <v>77209</v>
      </c>
      <c r="J3741">
        <v>0</v>
      </c>
      <c r="K3741">
        <v>70</v>
      </c>
      <c r="L3741">
        <v>70</v>
      </c>
      <c r="M3741">
        <v>0</v>
      </c>
      <c r="N3741" s="23">
        <v>0</v>
      </c>
      <c r="O3741">
        <f t="shared" si="843"/>
        <v>2</v>
      </c>
      <c r="P3741" s="57">
        <f t="shared" si="844"/>
        <v>1</v>
      </c>
      <c r="Q3741" s="267">
        <f t="shared" si="845"/>
        <v>10531</v>
      </c>
      <c r="R3741" s="23" t="str">
        <f t="shared" si="846"/>
        <v/>
      </c>
      <c r="S3741" s="23">
        <f t="shared" si="847"/>
        <v>10509</v>
      </c>
      <c r="T3741" s="23" t="str">
        <f t="shared" si="848"/>
        <v/>
      </c>
      <c r="U3741" t="str">
        <f t="shared" si="849"/>
        <v/>
      </c>
      <c r="V3741" s="87"/>
      <c r="AF3741" s="22"/>
      <c r="AG3741" s="23"/>
      <c r="AH3741" s="8"/>
      <c r="AL3741" s="344"/>
      <c r="AU3741" s="10"/>
    </row>
    <row r="3742" spans="1:47">
      <c r="A3742" t="str">
        <f t="shared" si="842"/>
        <v>PA_Alleg_2019g~Gen-member of county council district 2 (vote for 1)</v>
      </c>
      <c r="B3742" s="55" t="s">
        <v>1528</v>
      </c>
      <c r="C3742">
        <v>24</v>
      </c>
      <c r="D3742" s="55" t="s">
        <v>33</v>
      </c>
      <c r="E3742" s="55" t="s">
        <v>15</v>
      </c>
      <c r="G3742" s="62">
        <v>22</v>
      </c>
      <c r="H3742">
        <v>0.1</v>
      </c>
      <c r="I3742">
        <v>77209</v>
      </c>
      <c r="J3742">
        <v>0</v>
      </c>
      <c r="K3742">
        <v>70</v>
      </c>
      <c r="L3742">
        <v>70</v>
      </c>
      <c r="M3742">
        <v>0</v>
      </c>
      <c r="N3742" s="23">
        <v>0</v>
      </c>
      <c r="O3742">
        <f t="shared" si="843"/>
        <v>-2</v>
      </c>
      <c r="P3742" s="57">
        <f t="shared" si="844"/>
        <v>1</v>
      </c>
      <c r="Q3742" s="267">
        <f t="shared" si="845"/>
        <v>22</v>
      </c>
      <c r="R3742" s="23">
        <f t="shared" si="846"/>
        <v>1</v>
      </c>
      <c r="S3742" s="23">
        <f t="shared" si="847"/>
        <v>0</v>
      </c>
      <c r="T3742" s="23" t="str">
        <f t="shared" si="848"/>
        <v/>
      </c>
      <c r="U3742" t="str">
        <f t="shared" si="849"/>
        <v/>
      </c>
      <c r="V3742" s="87"/>
      <c r="AF3742" s="22"/>
      <c r="AU3742" s="10"/>
    </row>
    <row r="3743" spans="1:47">
      <c r="A3743" t="str">
        <f t="shared" si="842"/>
        <v>PA_Alleg_2019g~Gen-member of county council district 5 (vote for 1)</v>
      </c>
      <c r="B3743" s="55" t="s">
        <v>1528</v>
      </c>
      <c r="C3743">
        <v>25</v>
      </c>
      <c r="D3743" s="55" t="s">
        <v>35</v>
      </c>
      <c r="E3743" s="55" t="s">
        <v>1400</v>
      </c>
      <c r="F3743" t="s">
        <v>1294</v>
      </c>
      <c r="G3743" s="62">
        <v>14842</v>
      </c>
      <c r="H3743">
        <v>59.82</v>
      </c>
      <c r="I3743">
        <v>73471</v>
      </c>
      <c r="J3743">
        <v>0</v>
      </c>
      <c r="K3743">
        <v>88</v>
      </c>
      <c r="L3743">
        <v>88</v>
      </c>
      <c r="M3743">
        <v>0</v>
      </c>
      <c r="N3743" s="23">
        <v>0</v>
      </c>
      <c r="O3743">
        <f t="shared" si="843"/>
        <v>1</v>
      </c>
      <c r="P3743" s="57">
        <f t="shared" si="844"/>
        <v>1</v>
      </c>
      <c r="Q3743" s="267">
        <f t="shared" si="845"/>
        <v>24811</v>
      </c>
      <c r="R3743" s="23">
        <f t="shared" si="846"/>
        <v>14842</v>
      </c>
      <c r="S3743" s="23">
        <f t="shared" si="847"/>
        <v>9954</v>
      </c>
      <c r="T3743" s="23">
        <f t="shared" si="848"/>
        <v>4888</v>
      </c>
      <c r="U3743" t="str">
        <f t="shared" si="849"/>
        <v>PA_Alleg_2019g~Gen-member of county council district 5 (vote for 1)</v>
      </c>
      <c r="V3743" s="87"/>
      <c r="AF3743" s="22"/>
      <c r="AU3743" s="10"/>
    </row>
    <row r="3744" spans="1:47">
      <c r="A3744" t="str">
        <f t="shared" si="842"/>
        <v>PA_Alleg_2019g~Gen-member of county council district 5 (vote for 1)</v>
      </c>
      <c r="B3744" s="55" t="s">
        <v>1528</v>
      </c>
      <c r="C3744">
        <v>26</v>
      </c>
      <c r="D3744" s="55" t="s">
        <v>35</v>
      </c>
      <c r="E3744" s="55" t="s">
        <v>1123</v>
      </c>
      <c r="F3744" t="s">
        <v>1296</v>
      </c>
      <c r="G3744" s="62">
        <v>9954</v>
      </c>
      <c r="H3744">
        <v>40.119999999999997</v>
      </c>
      <c r="I3744">
        <v>73471</v>
      </c>
      <c r="J3744">
        <v>0</v>
      </c>
      <c r="K3744">
        <v>88</v>
      </c>
      <c r="L3744">
        <v>88</v>
      </c>
      <c r="M3744">
        <v>0</v>
      </c>
      <c r="N3744" s="23">
        <v>0</v>
      </c>
      <c r="O3744">
        <f t="shared" si="843"/>
        <v>2</v>
      </c>
      <c r="P3744" s="57">
        <f t="shared" si="844"/>
        <v>1</v>
      </c>
      <c r="Q3744" s="267">
        <f t="shared" si="845"/>
        <v>9969</v>
      </c>
      <c r="R3744" s="23" t="str">
        <f t="shared" si="846"/>
        <v/>
      </c>
      <c r="S3744" s="23">
        <f t="shared" si="847"/>
        <v>9954</v>
      </c>
      <c r="T3744" s="23" t="str">
        <f t="shared" si="848"/>
        <v/>
      </c>
      <c r="U3744" t="str">
        <f t="shared" si="849"/>
        <v/>
      </c>
      <c r="V3744" s="87"/>
      <c r="AF3744" s="22"/>
      <c r="AU3744" s="10"/>
    </row>
    <row r="3745" spans="1:47">
      <c r="A3745" t="str">
        <f t="shared" si="842"/>
        <v>PA_Alleg_2019g~Gen-member of county council district 5 (vote for 1)</v>
      </c>
      <c r="B3745" s="55" t="s">
        <v>1528</v>
      </c>
      <c r="C3745">
        <v>27</v>
      </c>
      <c r="D3745" s="55" t="s">
        <v>35</v>
      </c>
      <c r="E3745" s="55" t="s">
        <v>15</v>
      </c>
      <c r="G3745" s="62">
        <v>15</v>
      </c>
      <c r="H3745">
        <v>0.06</v>
      </c>
      <c r="I3745">
        <v>73471</v>
      </c>
      <c r="J3745">
        <v>0</v>
      </c>
      <c r="K3745">
        <v>88</v>
      </c>
      <c r="L3745">
        <v>88</v>
      </c>
      <c r="M3745">
        <v>0</v>
      </c>
      <c r="N3745" s="23">
        <v>0</v>
      </c>
      <c r="O3745">
        <f t="shared" si="843"/>
        <v>-2</v>
      </c>
      <c r="P3745" s="57">
        <f t="shared" si="844"/>
        <v>1</v>
      </c>
      <c r="Q3745" s="267">
        <f t="shared" si="845"/>
        <v>15</v>
      </c>
      <c r="R3745" s="23">
        <f t="shared" si="846"/>
        <v>1</v>
      </c>
      <c r="S3745" s="23">
        <f t="shared" si="847"/>
        <v>0</v>
      </c>
      <c r="T3745" s="23" t="str">
        <f t="shared" si="848"/>
        <v/>
      </c>
      <c r="U3745" t="str">
        <f t="shared" si="849"/>
        <v/>
      </c>
      <c r="V3745" s="87"/>
      <c r="AF3745" s="22"/>
      <c r="AU3745" s="10"/>
    </row>
    <row r="3746" spans="1:47">
      <c r="A3746" t="str">
        <f t="shared" si="842"/>
        <v>PA_Alleg_2019g~Gen-member of county council district 6 (vote for 1)</v>
      </c>
      <c r="B3746" s="55" t="s">
        <v>1528</v>
      </c>
      <c r="C3746">
        <v>28</v>
      </c>
      <c r="D3746" s="55" t="s">
        <v>37</v>
      </c>
      <c r="E3746" s="55" t="s">
        <v>39</v>
      </c>
      <c r="F3746" t="s">
        <v>1294</v>
      </c>
      <c r="G3746" s="62">
        <v>11145</v>
      </c>
      <c r="H3746">
        <v>59.3</v>
      </c>
      <c r="I3746">
        <v>69979</v>
      </c>
      <c r="J3746">
        <v>0</v>
      </c>
      <c r="K3746">
        <v>99</v>
      </c>
      <c r="L3746">
        <v>99</v>
      </c>
      <c r="M3746">
        <v>0</v>
      </c>
      <c r="N3746" s="23">
        <v>0</v>
      </c>
      <c r="O3746">
        <f t="shared" si="843"/>
        <v>1</v>
      </c>
      <c r="P3746" s="57">
        <f t="shared" si="844"/>
        <v>1</v>
      </c>
      <c r="Q3746" s="267">
        <f t="shared" si="845"/>
        <v>18795</v>
      </c>
      <c r="R3746" s="23">
        <f t="shared" si="846"/>
        <v>11145</v>
      </c>
      <c r="S3746" s="23">
        <f t="shared" si="847"/>
        <v>7627</v>
      </c>
      <c r="T3746" s="23">
        <f t="shared" si="848"/>
        <v>3518</v>
      </c>
      <c r="U3746" t="str">
        <f t="shared" si="849"/>
        <v>PA_Alleg_2019g~Gen-member of county council district 6 (vote for 1)</v>
      </c>
      <c r="V3746" s="87"/>
      <c r="AF3746" s="22"/>
      <c r="AU3746" s="10"/>
    </row>
    <row r="3747" spans="1:47">
      <c r="A3747" t="str">
        <f t="shared" si="842"/>
        <v>PA_Alleg_2019g~Gen-member of county council district 6 (vote for 1)</v>
      </c>
      <c r="B3747" s="55" t="s">
        <v>1528</v>
      </c>
      <c r="C3747">
        <v>29</v>
      </c>
      <c r="D3747" s="55" t="s">
        <v>37</v>
      </c>
      <c r="E3747" s="55" t="s">
        <v>1401</v>
      </c>
      <c r="F3747" t="s">
        <v>1296</v>
      </c>
      <c r="G3747" s="62">
        <v>7627</v>
      </c>
      <c r="H3747">
        <v>40.58</v>
      </c>
      <c r="I3747">
        <v>69979</v>
      </c>
      <c r="J3747">
        <v>0</v>
      </c>
      <c r="K3747">
        <v>99</v>
      </c>
      <c r="L3747">
        <v>99</v>
      </c>
      <c r="M3747">
        <v>0</v>
      </c>
      <c r="N3747" s="23">
        <v>0</v>
      </c>
      <c r="O3747">
        <f t="shared" si="843"/>
        <v>2</v>
      </c>
      <c r="P3747" s="57">
        <f t="shared" si="844"/>
        <v>1</v>
      </c>
      <c r="Q3747" s="267">
        <f t="shared" si="845"/>
        <v>7650</v>
      </c>
      <c r="R3747" s="23" t="str">
        <f t="shared" si="846"/>
        <v/>
      </c>
      <c r="S3747" s="23">
        <f t="shared" si="847"/>
        <v>7627</v>
      </c>
      <c r="T3747" s="23" t="str">
        <f t="shared" si="848"/>
        <v/>
      </c>
      <c r="U3747" t="str">
        <f t="shared" si="849"/>
        <v/>
      </c>
      <c r="V3747" s="87"/>
      <c r="AF3747" s="22"/>
      <c r="AU3747" s="10"/>
    </row>
    <row r="3748" spans="1:47">
      <c r="A3748" t="str">
        <f t="shared" si="842"/>
        <v>PA_Alleg_2019g~Gen-member of county council district 6 (vote for 1)</v>
      </c>
      <c r="B3748" s="55" t="s">
        <v>1528</v>
      </c>
      <c r="C3748">
        <v>30</v>
      </c>
      <c r="D3748" s="55" t="s">
        <v>37</v>
      </c>
      <c r="E3748" s="55" t="s">
        <v>15</v>
      </c>
      <c r="G3748" s="62">
        <v>23</v>
      </c>
      <c r="H3748">
        <v>0.12</v>
      </c>
      <c r="I3748">
        <v>69979</v>
      </c>
      <c r="J3748">
        <v>0</v>
      </c>
      <c r="K3748">
        <v>99</v>
      </c>
      <c r="L3748">
        <v>99</v>
      </c>
      <c r="M3748">
        <v>0</v>
      </c>
      <c r="N3748" s="23">
        <v>0</v>
      </c>
      <c r="O3748">
        <f t="shared" si="843"/>
        <v>-2</v>
      </c>
      <c r="P3748" s="57">
        <f t="shared" si="844"/>
        <v>1</v>
      </c>
      <c r="Q3748" s="267">
        <f t="shared" si="845"/>
        <v>23</v>
      </c>
      <c r="R3748" s="23">
        <f t="shared" si="846"/>
        <v>1</v>
      </c>
      <c r="S3748" s="23">
        <f t="shared" si="847"/>
        <v>0</v>
      </c>
      <c r="T3748" s="23" t="str">
        <f t="shared" si="848"/>
        <v/>
      </c>
      <c r="U3748" t="str">
        <f t="shared" si="849"/>
        <v/>
      </c>
      <c r="V3748" s="87"/>
      <c r="AF3748" s="22"/>
      <c r="AU3748" s="10"/>
    </row>
    <row r="3749" spans="1:47">
      <c r="A3749" t="str">
        <f t="shared" si="842"/>
        <v>PA_Alleg_2019g~Gen-member of county council district 7 (vote for 1)</v>
      </c>
      <c r="B3749" s="55" t="s">
        <v>1528</v>
      </c>
      <c r="C3749">
        <v>31</v>
      </c>
      <c r="D3749" s="55" t="s">
        <v>40</v>
      </c>
      <c r="E3749" s="55" t="s">
        <v>41</v>
      </c>
      <c r="F3749" t="s">
        <v>1396</v>
      </c>
      <c r="G3749" s="62">
        <v>18421</v>
      </c>
      <c r="H3749">
        <v>99.29</v>
      </c>
      <c r="I3749">
        <v>70081</v>
      </c>
      <c r="J3749">
        <v>0</v>
      </c>
      <c r="K3749">
        <v>105</v>
      </c>
      <c r="L3749">
        <v>105</v>
      </c>
      <c r="M3749">
        <v>0</v>
      </c>
      <c r="N3749" s="23">
        <v>0</v>
      </c>
      <c r="O3749">
        <f t="shared" si="843"/>
        <v>1</v>
      </c>
      <c r="P3749" s="57">
        <f t="shared" si="844"/>
        <v>1</v>
      </c>
      <c r="Q3749" s="267">
        <f t="shared" si="845"/>
        <v>18553</v>
      </c>
      <c r="R3749" s="23">
        <f t="shared" si="846"/>
        <v>18421</v>
      </c>
      <c r="S3749" s="23">
        <f t="shared" si="847"/>
        <v>0</v>
      </c>
      <c r="T3749" s="23" t="str">
        <f t="shared" si="848"/>
        <v/>
      </c>
      <c r="U3749" t="str">
        <f t="shared" si="849"/>
        <v>PA_Alleg_2019g~Gen-member of county council district 7 (vote for 1)</v>
      </c>
      <c r="V3749" s="87"/>
      <c r="AF3749" s="22"/>
      <c r="AU3749" s="10"/>
    </row>
    <row r="3750" spans="1:47">
      <c r="A3750" t="str">
        <f t="shared" si="842"/>
        <v>PA_Alleg_2019g~Gen-member of county council district 7 (vote for 1)</v>
      </c>
      <c r="B3750" s="55" t="s">
        <v>1528</v>
      </c>
      <c r="C3750">
        <v>32</v>
      </c>
      <c r="D3750" s="55" t="s">
        <v>40</v>
      </c>
      <c r="E3750" s="55" t="s">
        <v>15</v>
      </c>
      <c r="G3750" s="62">
        <v>132</v>
      </c>
      <c r="H3750">
        <v>0.71</v>
      </c>
      <c r="I3750">
        <v>70081</v>
      </c>
      <c r="J3750">
        <v>0</v>
      </c>
      <c r="K3750">
        <v>105</v>
      </c>
      <c r="L3750">
        <v>105</v>
      </c>
      <c r="M3750">
        <v>0</v>
      </c>
      <c r="N3750" s="23">
        <v>0</v>
      </c>
      <c r="O3750">
        <f t="shared" si="843"/>
        <v>-1</v>
      </c>
      <c r="P3750" s="57">
        <f t="shared" si="844"/>
        <v>1</v>
      </c>
      <c r="Q3750" s="267">
        <f t="shared" si="845"/>
        <v>132</v>
      </c>
      <c r="R3750" s="23">
        <f t="shared" si="846"/>
        <v>1</v>
      </c>
      <c r="S3750" s="23">
        <f t="shared" si="847"/>
        <v>0</v>
      </c>
      <c r="T3750" s="23" t="str">
        <f t="shared" si="848"/>
        <v/>
      </c>
      <c r="U3750" t="str">
        <f t="shared" si="849"/>
        <v/>
      </c>
      <c r="V3750" s="87"/>
      <c r="AF3750" s="22"/>
      <c r="AU3750" s="10"/>
    </row>
    <row r="3751" spans="1:47">
      <c r="A3751" t="str">
        <f t="shared" si="842"/>
        <v>PA_Alleg_2019g~Gen-member of county council district 8 (vote for 1)</v>
      </c>
      <c r="B3751" s="55" t="s">
        <v>1528</v>
      </c>
      <c r="C3751">
        <v>39</v>
      </c>
      <c r="D3751" s="55" t="s">
        <v>1402</v>
      </c>
      <c r="E3751" s="55" t="s">
        <v>1403</v>
      </c>
      <c r="F3751" t="s">
        <v>1294</v>
      </c>
      <c r="G3751" s="62">
        <v>14957</v>
      </c>
      <c r="H3751">
        <v>98.51</v>
      </c>
      <c r="I3751">
        <v>70363</v>
      </c>
      <c r="J3751">
        <v>0</v>
      </c>
      <c r="K3751">
        <v>97</v>
      </c>
      <c r="L3751">
        <v>97</v>
      </c>
      <c r="M3751">
        <v>0</v>
      </c>
      <c r="N3751" s="23">
        <v>0</v>
      </c>
      <c r="O3751">
        <f t="shared" si="843"/>
        <v>1</v>
      </c>
      <c r="P3751" s="57">
        <f t="shared" si="844"/>
        <v>1</v>
      </c>
      <c r="Q3751" s="267">
        <f t="shared" si="845"/>
        <v>15183</v>
      </c>
      <c r="R3751" s="23">
        <f t="shared" si="846"/>
        <v>14957</v>
      </c>
      <c r="S3751" s="23">
        <f t="shared" si="847"/>
        <v>0</v>
      </c>
      <c r="T3751" s="23" t="str">
        <f t="shared" si="848"/>
        <v/>
      </c>
      <c r="U3751" t="str">
        <f t="shared" si="849"/>
        <v>PA_Alleg_2019g~Gen-member of county council district 8 (vote for 1)</v>
      </c>
      <c r="V3751" s="87"/>
      <c r="AF3751" s="22"/>
      <c r="AU3751" s="10"/>
    </row>
    <row r="3752" spans="1:47">
      <c r="A3752" t="str">
        <f t="shared" si="842"/>
        <v>PA_Alleg_2019g~Gen-member of county council district 8 (vote for 1)</v>
      </c>
      <c r="B3752" s="55" t="s">
        <v>1528</v>
      </c>
      <c r="C3752">
        <v>40</v>
      </c>
      <c r="D3752" s="55" t="s">
        <v>1402</v>
      </c>
      <c r="E3752" s="55" t="s">
        <v>15</v>
      </c>
      <c r="G3752" s="62">
        <v>226</v>
      </c>
      <c r="H3752">
        <v>1.49</v>
      </c>
      <c r="I3752">
        <v>70363</v>
      </c>
      <c r="J3752">
        <v>0</v>
      </c>
      <c r="K3752">
        <v>97</v>
      </c>
      <c r="L3752">
        <v>97</v>
      </c>
      <c r="M3752">
        <v>0</v>
      </c>
      <c r="N3752" s="23">
        <v>0</v>
      </c>
      <c r="O3752">
        <f t="shared" si="843"/>
        <v>-1</v>
      </c>
      <c r="P3752" s="57">
        <f t="shared" si="844"/>
        <v>1</v>
      </c>
      <c r="Q3752" s="267">
        <f t="shared" si="845"/>
        <v>226</v>
      </c>
      <c r="R3752" s="23">
        <f t="shared" si="846"/>
        <v>1</v>
      </c>
      <c r="S3752" s="23">
        <f t="shared" si="847"/>
        <v>0</v>
      </c>
      <c r="T3752" s="23" t="str">
        <f t="shared" si="848"/>
        <v/>
      </c>
      <c r="U3752" t="str">
        <f t="shared" si="849"/>
        <v/>
      </c>
      <c r="V3752" s="87"/>
      <c r="AF3752" s="22"/>
      <c r="AU3752" s="10"/>
    </row>
    <row r="3753" spans="1:47">
      <c r="A3753" t="str">
        <f t="shared" si="842"/>
        <v>PA_Alleg_2019g~Gen-retention of judge berkeley clark (vote for 1)</v>
      </c>
      <c r="B3753" s="55" t="s">
        <v>1528</v>
      </c>
      <c r="C3753">
        <v>1272</v>
      </c>
      <c r="D3753" s="55" t="s">
        <v>1518</v>
      </c>
      <c r="E3753" s="55" t="s">
        <v>1393</v>
      </c>
      <c r="F3753" t="s">
        <v>1508</v>
      </c>
      <c r="G3753" s="62">
        <v>161756</v>
      </c>
      <c r="H3753">
        <v>78.41</v>
      </c>
      <c r="I3753">
        <v>957735</v>
      </c>
      <c r="J3753">
        <v>0</v>
      </c>
      <c r="K3753">
        <v>1322</v>
      </c>
      <c r="L3753">
        <v>1322</v>
      </c>
      <c r="M3753">
        <v>0</v>
      </c>
      <c r="N3753" s="23">
        <v>0</v>
      </c>
      <c r="O3753">
        <f t="shared" si="843"/>
        <v>1</v>
      </c>
      <c r="P3753" s="57">
        <f t="shared" si="844"/>
        <v>1</v>
      </c>
      <c r="Q3753" s="267">
        <f t="shared" si="845"/>
        <v>206288</v>
      </c>
      <c r="R3753" s="23">
        <f t="shared" si="846"/>
        <v>161756</v>
      </c>
      <c r="S3753" s="23">
        <f t="shared" si="847"/>
        <v>44532</v>
      </c>
      <c r="T3753" s="23">
        <f t="shared" si="848"/>
        <v>117224</v>
      </c>
      <c r="U3753" t="str">
        <f t="shared" si="849"/>
        <v>PA_Alleg_2019g~Gen-retention of judge berkeley clark (vote for 1)</v>
      </c>
      <c r="V3753" s="87"/>
      <c r="AF3753" s="22"/>
      <c r="AU3753" s="10"/>
    </row>
    <row r="3754" spans="1:47">
      <c r="A3754" t="str">
        <f t="shared" si="842"/>
        <v>PA_Alleg_2019g~Gen-retention of judge berkeley clark (vote for 1)</v>
      </c>
      <c r="B3754" s="55" t="s">
        <v>1528</v>
      </c>
      <c r="C3754">
        <v>1273</v>
      </c>
      <c r="D3754" s="55" t="s">
        <v>1518</v>
      </c>
      <c r="E3754" s="55" t="s">
        <v>1394</v>
      </c>
      <c r="F3754" t="s">
        <v>1509</v>
      </c>
      <c r="G3754" s="62">
        <v>44532</v>
      </c>
      <c r="H3754">
        <v>21.59</v>
      </c>
      <c r="I3754">
        <v>957735</v>
      </c>
      <c r="J3754">
        <v>0</v>
      </c>
      <c r="K3754">
        <v>1322</v>
      </c>
      <c r="L3754">
        <v>1322</v>
      </c>
      <c r="M3754">
        <v>0</v>
      </c>
      <c r="N3754" s="23">
        <v>0</v>
      </c>
      <c r="O3754">
        <f t="shared" si="843"/>
        <v>2</v>
      </c>
      <c r="P3754" s="57">
        <f t="shared" si="844"/>
        <v>1</v>
      </c>
      <c r="Q3754" s="267">
        <f t="shared" si="845"/>
        <v>44532</v>
      </c>
      <c r="R3754" s="23" t="str">
        <f t="shared" si="846"/>
        <v/>
      </c>
      <c r="S3754" s="23">
        <f t="shared" si="847"/>
        <v>44532</v>
      </c>
      <c r="T3754" s="23" t="str">
        <f t="shared" si="848"/>
        <v/>
      </c>
      <c r="U3754" t="str">
        <f t="shared" si="849"/>
        <v/>
      </c>
      <c r="V3754" s="87"/>
      <c r="AF3754" s="22"/>
      <c r="AU3754" s="10"/>
    </row>
    <row r="3755" spans="1:47">
      <c r="A3755" t="str">
        <f t="shared" si="842"/>
        <v>PA_Alleg_2019g~Gen-retention of judge brobson (vote for 1)</v>
      </c>
      <c r="B3755" s="55" t="s">
        <v>1528</v>
      </c>
      <c r="C3755">
        <v>1268</v>
      </c>
      <c r="D3755" s="55" t="s">
        <v>1516</v>
      </c>
      <c r="E3755" s="55" t="s">
        <v>1393</v>
      </c>
      <c r="F3755" t="s">
        <v>1508</v>
      </c>
      <c r="G3755" s="62">
        <v>146510</v>
      </c>
      <c r="H3755">
        <v>72.180000000000007</v>
      </c>
      <c r="I3755">
        <v>957735</v>
      </c>
      <c r="J3755">
        <v>0</v>
      </c>
      <c r="K3755">
        <v>1322</v>
      </c>
      <c r="L3755">
        <v>1322</v>
      </c>
      <c r="M3755">
        <v>0</v>
      </c>
      <c r="N3755" s="23">
        <v>0</v>
      </c>
      <c r="O3755">
        <f t="shared" si="843"/>
        <v>1</v>
      </c>
      <c r="P3755" s="57">
        <f t="shared" si="844"/>
        <v>1</v>
      </c>
      <c r="Q3755" s="267">
        <f t="shared" si="845"/>
        <v>202986</v>
      </c>
      <c r="R3755" s="23">
        <f t="shared" si="846"/>
        <v>146510</v>
      </c>
      <c r="S3755" s="23">
        <f t="shared" si="847"/>
        <v>56476</v>
      </c>
      <c r="T3755" s="23">
        <f t="shared" si="848"/>
        <v>90034</v>
      </c>
      <c r="U3755" t="str">
        <f t="shared" si="849"/>
        <v>PA_Alleg_2019g~Gen-retention of judge brobson (vote for 1)</v>
      </c>
      <c r="V3755" s="87"/>
      <c r="AF3755" s="22"/>
      <c r="AU3755" s="10"/>
    </row>
    <row r="3756" spans="1:47">
      <c r="A3756" t="str">
        <f t="shared" si="842"/>
        <v>PA_Alleg_2019g~Gen-retention of judge brobson (vote for 1)</v>
      </c>
      <c r="B3756" s="55" t="s">
        <v>1528</v>
      </c>
      <c r="C3756">
        <v>1269</v>
      </c>
      <c r="D3756" s="55" t="s">
        <v>1516</v>
      </c>
      <c r="E3756" s="55" t="s">
        <v>1394</v>
      </c>
      <c r="F3756" t="s">
        <v>1509</v>
      </c>
      <c r="G3756" s="62">
        <v>56476</v>
      </c>
      <c r="H3756">
        <v>27.82</v>
      </c>
      <c r="I3756">
        <v>957735</v>
      </c>
      <c r="J3756">
        <v>0</v>
      </c>
      <c r="K3756">
        <v>1322</v>
      </c>
      <c r="L3756">
        <v>1322</v>
      </c>
      <c r="M3756">
        <v>0</v>
      </c>
      <c r="N3756" s="23">
        <v>0</v>
      </c>
      <c r="O3756">
        <f t="shared" si="843"/>
        <v>2</v>
      </c>
      <c r="P3756" s="57">
        <f t="shared" si="844"/>
        <v>1</v>
      </c>
      <c r="Q3756" s="267">
        <f t="shared" si="845"/>
        <v>56476</v>
      </c>
      <c r="R3756" s="23" t="str">
        <f t="shared" si="846"/>
        <v/>
      </c>
      <c r="S3756" s="23">
        <f t="shared" si="847"/>
        <v>56476</v>
      </c>
      <c r="T3756" s="23" t="str">
        <f t="shared" si="848"/>
        <v/>
      </c>
      <c r="U3756" t="str">
        <f t="shared" si="849"/>
        <v/>
      </c>
      <c r="V3756" s="87"/>
      <c r="AF3756" s="22"/>
      <c r="AU3756" s="10"/>
    </row>
    <row r="3757" spans="1:47">
      <c r="A3757" t="str">
        <f t="shared" si="842"/>
        <v>PA_Alleg_2019g~Gen-retention of judge colville (vote for 1)</v>
      </c>
      <c r="B3757" s="55" t="s">
        <v>1528</v>
      </c>
      <c r="C3757">
        <v>1274</v>
      </c>
      <c r="D3757" s="55" t="s">
        <v>1519</v>
      </c>
      <c r="E3757" s="55" t="s">
        <v>1393</v>
      </c>
      <c r="F3757" t="s">
        <v>1508</v>
      </c>
      <c r="G3757" s="62">
        <v>157316</v>
      </c>
      <c r="H3757">
        <v>75.3</v>
      </c>
      <c r="I3757">
        <v>957735</v>
      </c>
      <c r="J3757">
        <v>0</v>
      </c>
      <c r="K3757">
        <v>1322</v>
      </c>
      <c r="L3757">
        <v>1322</v>
      </c>
      <c r="M3757">
        <v>0</v>
      </c>
      <c r="N3757" s="23">
        <v>0</v>
      </c>
      <c r="O3757">
        <f t="shared" si="843"/>
        <v>1</v>
      </c>
      <c r="P3757" s="57">
        <f t="shared" si="844"/>
        <v>1</v>
      </c>
      <c r="Q3757" s="267">
        <f t="shared" si="845"/>
        <v>208914</v>
      </c>
      <c r="R3757" s="23">
        <f t="shared" si="846"/>
        <v>157316</v>
      </c>
      <c r="S3757" s="23">
        <f t="shared" si="847"/>
        <v>51598</v>
      </c>
      <c r="T3757" s="23">
        <f t="shared" si="848"/>
        <v>105718</v>
      </c>
      <c r="U3757" t="str">
        <f t="shared" si="849"/>
        <v>PA_Alleg_2019g~Gen-retention of judge colville (vote for 1)</v>
      </c>
      <c r="V3757" s="87"/>
      <c r="AF3757" s="22"/>
      <c r="AU3757" s="10"/>
    </row>
    <row r="3758" spans="1:47">
      <c r="A3758" t="str">
        <f t="shared" si="842"/>
        <v>PA_Alleg_2019g~Gen-retention of judge colville (vote for 1)</v>
      </c>
      <c r="B3758" s="55" t="s">
        <v>1528</v>
      </c>
      <c r="C3758">
        <v>1275</v>
      </c>
      <c r="D3758" s="55" t="s">
        <v>1519</v>
      </c>
      <c r="E3758" s="55" t="s">
        <v>1394</v>
      </c>
      <c r="F3758" t="s">
        <v>1509</v>
      </c>
      <c r="G3758" s="62">
        <v>51598</v>
      </c>
      <c r="H3758">
        <v>24.7</v>
      </c>
      <c r="I3758">
        <v>957735</v>
      </c>
      <c r="J3758">
        <v>0</v>
      </c>
      <c r="K3758">
        <v>1322</v>
      </c>
      <c r="L3758">
        <v>1322</v>
      </c>
      <c r="M3758">
        <v>0</v>
      </c>
      <c r="N3758" s="23">
        <v>0</v>
      </c>
      <c r="O3758">
        <f t="shared" si="843"/>
        <v>2</v>
      </c>
      <c r="P3758" s="57">
        <f t="shared" si="844"/>
        <v>1</v>
      </c>
      <c r="Q3758" s="267">
        <f t="shared" si="845"/>
        <v>51598</v>
      </c>
      <c r="R3758" s="23" t="str">
        <f t="shared" si="846"/>
        <v/>
      </c>
      <c r="S3758" s="23">
        <f t="shared" si="847"/>
        <v>51598</v>
      </c>
      <c r="T3758" s="23" t="str">
        <f t="shared" si="848"/>
        <v/>
      </c>
      <c r="U3758" t="str">
        <f t="shared" si="849"/>
        <v/>
      </c>
      <c r="V3758" s="87"/>
      <c r="AF3758" s="22"/>
      <c r="AU3758" s="10"/>
    </row>
    <row r="3759" spans="1:47">
      <c r="A3759" t="str">
        <f t="shared" si="842"/>
        <v>PA_Alleg_2019g~Gen-retention of judge eaton (vote for 1)</v>
      </c>
      <c r="B3759" s="55" t="s">
        <v>1528</v>
      </c>
      <c r="C3759">
        <v>1276</v>
      </c>
      <c r="D3759" s="55" t="s">
        <v>1520</v>
      </c>
      <c r="E3759" s="55" t="s">
        <v>1393</v>
      </c>
      <c r="F3759" t="s">
        <v>1508</v>
      </c>
      <c r="G3759" s="62">
        <v>159121</v>
      </c>
      <c r="H3759">
        <v>77.88</v>
      </c>
      <c r="I3759">
        <v>957735</v>
      </c>
      <c r="J3759">
        <v>0</v>
      </c>
      <c r="K3759">
        <v>1322</v>
      </c>
      <c r="L3759">
        <v>1322</v>
      </c>
      <c r="M3759">
        <v>0</v>
      </c>
      <c r="N3759" s="23">
        <v>0</v>
      </c>
      <c r="O3759">
        <f t="shared" si="843"/>
        <v>1</v>
      </c>
      <c r="P3759" s="57">
        <f t="shared" si="844"/>
        <v>1</v>
      </c>
      <c r="Q3759" s="267">
        <f t="shared" si="845"/>
        <v>204308</v>
      </c>
      <c r="R3759" s="23">
        <f t="shared" si="846"/>
        <v>159121</v>
      </c>
      <c r="S3759" s="23">
        <f t="shared" si="847"/>
        <v>45187</v>
      </c>
      <c r="T3759" s="23">
        <f t="shared" si="848"/>
        <v>113934</v>
      </c>
      <c r="U3759" t="str">
        <f t="shared" si="849"/>
        <v>PA_Alleg_2019g~Gen-retention of judge eaton (vote for 1)</v>
      </c>
      <c r="V3759" s="87"/>
      <c r="AF3759" s="22"/>
      <c r="AU3759" s="10"/>
    </row>
    <row r="3760" spans="1:47">
      <c r="A3760" t="str">
        <f t="shared" si="842"/>
        <v>PA_Alleg_2019g~Gen-retention of judge eaton (vote for 1)</v>
      </c>
      <c r="B3760" s="55" t="s">
        <v>1528</v>
      </c>
      <c r="C3760">
        <v>1277</v>
      </c>
      <c r="D3760" s="55" t="s">
        <v>1520</v>
      </c>
      <c r="E3760" s="55" t="s">
        <v>1394</v>
      </c>
      <c r="F3760" t="s">
        <v>1509</v>
      </c>
      <c r="G3760" s="62">
        <v>45187</v>
      </c>
      <c r="H3760">
        <v>22.12</v>
      </c>
      <c r="I3760">
        <v>957735</v>
      </c>
      <c r="J3760">
        <v>0</v>
      </c>
      <c r="K3760">
        <v>1322</v>
      </c>
      <c r="L3760">
        <v>1322</v>
      </c>
      <c r="M3760">
        <v>0</v>
      </c>
      <c r="N3760" s="23">
        <v>0</v>
      </c>
      <c r="O3760">
        <f t="shared" si="843"/>
        <v>2</v>
      </c>
      <c r="P3760" s="57">
        <f t="shared" si="844"/>
        <v>1</v>
      </c>
      <c r="Q3760" s="267">
        <f t="shared" si="845"/>
        <v>45187</v>
      </c>
      <c r="R3760" s="23" t="str">
        <f t="shared" si="846"/>
        <v/>
      </c>
      <c r="S3760" s="23">
        <f t="shared" si="847"/>
        <v>45187</v>
      </c>
      <c r="T3760" s="23" t="str">
        <f t="shared" si="848"/>
        <v/>
      </c>
      <c r="U3760" t="str">
        <f t="shared" si="849"/>
        <v/>
      </c>
      <c r="V3760" s="87"/>
      <c r="AF3760" s="22"/>
      <c r="AU3760" s="10"/>
    </row>
    <row r="3761" spans="1:47">
      <c r="A3761" t="str">
        <f t="shared" si="842"/>
        <v>PA_Alleg_2019g~Gen-retention of judge evashavik dilucente (vote for 1)</v>
      </c>
      <c r="B3761" s="55" t="s">
        <v>1528</v>
      </c>
      <c r="C3761">
        <v>1278</v>
      </c>
      <c r="D3761" s="55" t="s">
        <v>1521</v>
      </c>
      <c r="E3761" s="55" t="s">
        <v>1393</v>
      </c>
      <c r="F3761" t="s">
        <v>1508</v>
      </c>
      <c r="G3761" s="62">
        <v>157945</v>
      </c>
      <c r="H3761">
        <v>76.72</v>
      </c>
      <c r="I3761">
        <v>957735</v>
      </c>
      <c r="J3761">
        <v>0</v>
      </c>
      <c r="K3761">
        <v>1322</v>
      </c>
      <c r="L3761">
        <v>1322</v>
      </c>
      <c r="M3761">
        <v>0</v>
      </c>
      <c r="N3761" s="23">
        <v>0</v>
      </c>
      <c r="O3761">
        <f t="shared" si="843"/>
        <v>1</v>
      </c>
      <c r="P3761" s="57">
        <f t="shared" si="844"/>
        <v>1</v>
      </c>
      <c r="Q3761" s="267">
        <f t="shared" si="845"/>
        <v>205880</v>
      </c>
      <c r="R3761" s="23">
        <f t="shared" si="846"/>
        <v>157945</v>
      </c>
      <c r="S3761" s="23">
        <f t="shared" si="847"/>
        <v>47935</v>
      </c>
      <c r="T3761" s="23">
        <f t="shared" si="848"/>
        <v>110010</v>
      </c>
      <c r="U3761" t="str">
        <f t="shared" si="849"/>
        <v>PA_Alleg_2019g~Gen-retention of judge evashavik dilucente (vote for 1)</v>
      </c>
      <c r="V3761" s="87"/>
      <c r="AF3761" s="22"/>
      <c r="AU3761" s="10"/>
    </row>
    <row r="3762" spans="1:47">
      <c r="A3762" t="str">
        <f t="shared" si="842"/>
        <v>PA_Alleg_2019g~Gen-retention of judge evashavik dilucente (vote for 1)</v>
      </c>
      <c r="B3762" s="55" t="s">
        <v>1528</v>
      </c>
      <c r="C3762">
        <v>1279</v>
      </c>
      <c r="D3762" s="55" t="s">
        <v>1521</v>
      </c>
      <c r="E3762" s="55" t="s">
        <v>1394</v>
      </c>
      <c r="F3762" t="s">
        <v>1509</v>
      </c>
      <c r="G3762" s="62">
        <v>47935</v>
      </c>
      <c r="H3762">
        <v>23.28</v>
      </c>
      <c r="I3762">
        <v>957735</v>
      </c>
      <c r="J3762">
        <v>0</v>
      </c>
      <c r="K3762">
        <v>1322</v>
      </c>
      <c r="L3762">
        <v>1322</v>
      </c>
      <c r="M3762">
        <v>0</v>
      </c>
      <c r="N3762" s="23">
        <v>0</v>
      </c>
      <c r="O3762">
        <f t="shared" si="843"/>
        <v>2</v>
      </c>
      <c r="P3762" s="57">
        <f t="shared" si="844"/>
        <v>1</v>
      </c>
      <c r="Q3762" s="267">
        <f t="shared" si="845"/>
        <v>47935</v>
      </c>
      <c r="R3762" s="23" t="str">
        <f t="shared" si="846"/>
        <v/>
      </c>
      <c r="S3762" s="23">
        <f t="shared" si="847"/>
        <v>47935</v>
      </c>
      <c r="T3762" s="23" t="str">
        <f t="shared" si="848"/>
        <v/>
      </c>
      <c r="U3762" t="str">
        <f t="shared" si="849"/>
        <v/>
      </c>
      <c r="V3762" s="87"/>
      <c r="AF3762" s="22"/>
      <c r="AU3762" s="10"/>
    </row>
    <row r="3763" spans="1:47">
      <c r="A3763" t="str">
        <f t="shared" si="842"/>
        <v>PA_Alleg_2019g~Gen-retention of judge ignelzi (vote for 1)</v>
      </c>
      <c r="B3763" s="55" t="s">
        <v>1528</v>
      </c>
      <c r="C3763">
        <v>1280</v>
      </c>
      <c r="D3763" s="55" t="s">
        <v>1522</v>
      </c>
      <c r="E3763" s="55" t="s">
        <v>1393</v>
      </c>
      <c r="F3763" t="s">
        <v>1508</v>
      </c>
      <c r="G3763" s="62">
        <v>149473</v>
      </c>
      <c r="H3763">
        <v>73.44</v>
      </c>
      <c r="I3763">
        <v>957735</v>
      </c>
      <c r="J3763">
        <v>0</v>
      </c>
      <c r="K3763">
        <v>1322</v>
      </c>
      <c r="L3763">
        <v>1322</v>
      </c>
      <c r="M3763">
        <v>0</v>
      </c>
      <c r="N3763" s="23">
        <v>0</v>
      </c>
      <c r="O3763">
        <f t="shared" si="843"/>
        <v>1</v>
      </c>
      <c r="P3763" s="57">
        <f t="shared" si="844"/>
        <v>1</v>
      </c>
      <c r="Q3763" s="267">
        <f t="shared" si="845"/>
        <v>203529</v>
      </c>
      <c r="R3763" s="23">
        <f t="shared" si="846"/>
        <v>149473</v>
      </c>
      <c r="S3763" s="23">
        <f t="shared" si="847"/>
        <v>54056</v>
      </c>
      <c r="T3763" s="23">
        <f t="shared" si="848"/>
        <v>95417</v>
      </c>
      <c r="U3763" t="str">
        <f t="shared" si="849"/>
        <v>PA_Alleg_2019g~Gen-retention of judge ignelzi (vote for 1)</v>
      </c>
      <c r="V3763" s="87"/>
      <c r="AF3763" s="22"/>
      <c r="AU3763" s="10"/>
    </row>
    <row r="3764" spans="1:47">
      <c r="A3764" t="str">
        <f t="shared" si="842"/>
        <v>PA_Alleg_2019g~Gen-retention of judge ignelzi (vote for 1)</v>
      </c>
      <c r="B3764" s="55" t="s">
        <v>1528</v>
      </c>
      <c r="C3764">
        <v>1281</v>
      </c>
      <c r="D3764" s="55" t="s">
        <v>1522</v>
      </c>
      <c r="E3764" s="55" t="s">
        <v>1394</v>
      </c>
      <c r="F3764" t="s">
        <v>1509</v>
      </c>
      <c r="G3764" s="62">
        <v>54056</v>
      </c>
      <c r="H3764">
        <v>26.56</v>
      </c>
      <c r="I3764">
        <v>957735</v>
      </c>
      <c r="J3764">
        <v>0</v>
      </c>
      <c r="K3764">
        <v>1322</v>
      </c>
      <c r="L3764">
        <v>1322</v>
      </c>
      <c r="M3764">
        <v>0</v>
      </c>
      <c r="N3764" s="23">
        <v>0</v>
      </c>
      <c r="O3764">
        <f t="shared" si="843"/>
        <v>2</v>
      </c>
      <c r="P3764" s="57">
        <f t="shared" si="844"/>
        <v>1</v>
      </c>
      <c r="Q3764" s="267">
        <f t="shared" si="845"/>
        <v>54056</v>
      </c>
      <c r="R3764" s="23" t="str">
        <f t="shared" si="846"/>
        <v/>
      </c>
      <c r="S3764" s="23">
        <f t="shared" si="847"/>
        <v>54056</v>
      </c>
      <c r="T3764" s="23" t="str">
        <f t="shared" si="848"/>
        <v/>
      </c>
      <c r="U3764" t="str">
        <f t="shared" si="849"/>
        <v/>
      </c>
      <c r="V3764" s="87"/>
      <c r="AF3764" s="22"/>
      <c r="AU3764" s="10"/>
    </row>
    <row r="3765" spans="1:47">
      <c r="A3765" t="str">
        <f t="shared" si="842"/>
        <v>PA_Alleg_2019g~Gen-retention of judge klein (vote for 1)</v>
      </c>
      <c r="B3765" s="55" t="s">
        <v>1528</v>
      </c>
      <c r="C3765">
        <v>1282</v>
      </c>
      <c r="D3765" s="55" t="s">
        <v>1523</v>
      </c>
      <c r="E3765" s="55" t="s">
        <v>1393</v>
      </c>
      <c r="F3765" t="s">
        <v>1508</v>
      </c>
      <c r="G3765" s="62">
        <v>154051</v>
      </c>
      <c r="H3765">
        <v>75.44</v>
      </c>
      <c r="I3765">
        <v>957735</v>
      </c>
      <c r="J3765">
        <v>0</v>
      </c>
      <c r="K3765">
        <v>1322</v>
      </c>
      <c r="L3765">
        <v>1322</v>
      </c>
      <c r="M3765">
        <v>0</v>
      </c>
      <c r="N3765" s="23">
        <v>0</v>
      </c>
      <c r="O3765">
        <f t="shared" si="843"/>
        <v>1</v>
      </c>
      <c r="P3765" s="57">
        <f t="shared" si="844"/>
        <v>1</v>
      </c>
      <c r="Q3765" s="267">
        <f t="shared" si="845"/>
        <v>204212</v>
      </c>
      <c r="R3765" s="23">
        <f t="shared" si="846"/>
        <v>154051</v>
      </c>
      <c r="S3765" s="23">
        <f t="shared" si="847"/>
        <v>50161</v>
      </c>
      <c r="T3765" s="23">
        <f t="shared" si="848"/>
        <v>103890</v>
      </c>
      <c r="U3765" t="str">
        <f t="shared" si="849"/>
        <v>PA_Alleg_2019g~Gen-retention of judge klein (vote for 1)</v>
      </c>
      <c r="V3765" s="87"/>
      <c r="AF3765" s="22"/>
      <c r="AU3765" s="10"/>
    </row>
    <row r="3766" spans="1:47">
      <c r="A3766" t="str">
        <f t="shared" si="842"/>
        <v>PA_Alleg_2019g~Gen-retention of judge klein (vote for 1)</v>
      </c>
      <c r="B3766" s="55" t="s">
        <v>1528</v>
      </c>
      <c r="C3766">
        <v>1283</v>
      </c>
      <c r="D3766" s="55" t="s">
        <v>1523</v>
      </c>
      <c r="E3766" s="55" t="s">
        <v>1394</v>
      </c>
      <c r="F3766" t="s">
        <v>1509</v>
      </c>
      <c r="G3766" s="62">
        <v>50161</v>
      </c>
      <c r="H3766">
        <v>24.56</v>
      </c>
      <c r="I3766">
        <v>957735</v>
      </c>
      <c r="J3766">
        <v>0</v>
      </c>
      <c r="K3766">
        <v>1322</v>
      </c>
      <c r="L3766">
        <v>1322</v>
      </c>
      <c r="M3766">
        <v>0</v>
      </c>
      <c r="N3766" s="23">
        <v>0</v>
      </c>
      <c r="O3766">
        <f t="shared" si="843"/>
        <v>2</v>
      </c>
      <c r="P3766" s="57">
        <f t="shared" si="844"/>
        <v>1</v>
      </c>
      <c r="Q3766" s="267">
        <f t="shared" si="845"/>
        <v>50161</v>
      </c>
      <c r="R3766" s="23" t="str">
        <f t="shared" si="846"/>
        <v/>
      </c>
      <c r="S3766" s="23">
        <f t="shared" si="847"/>
        <v>50161</v>
      </c>
      <c r="T3766" s="23" t="str">
        <f t="shared" si="848"/>
        <v/>
      </c>
      <c r="U3766" t="str">
        <f t="shared" si="849"/>
        <v/>
      </c>
      <c r="V3766" s="87"/>
      <c r="AF3766" s="22"/>
      <c r="AU3766" s="10"/>
    </row>
    <row r="3767" spans="1:47">
      <c r="A3767" t="str">
        <f t="shared" si="842"/>
        <v>PA_Alleg_2019g~Gen-retention of judge lazarus (vote for 1)</v>
      </c>
      <c r="B3767" s="55" t="s">
        <v>1528</v>
      </c>
      <c r="C3767">
        <v>1264</v>
      </c>
      <c r="D3767" s="55" t="s">
        <v>1514</v>
      </c>
      <c r="E3767" s="55" t="s">
        <v>1393</v>
      </c>
      <c r="F3767" t="s">
        <v>1508</v>
      </c>
      <c r="G3767" s="62">
        <v>162531</v>
      </c>
      <c r="H3767">
        <v>77.84</v>
      </c>
      <c r="I3767">
        <v>957735</v>
      </c>
      <c r="J3767">
        <v>0</v>
      </c>
      <c r="K3767">
        <v>1322</v>
      </c>
      <c r="L3767">
        <v>1322</v>
      </c>
      <c r="M3767">
        <v>0</v>
      </c>
      <c r="N3767" s="23">
        <v>0</v>
      </c>
      <c r="O3767">
        <f t="shared" si="843"/>
        <v>1</v>
      </c>
      <c r="P3767" s="57">
        <f t="shared" si="844"/>
        <v>1</v>
      </c>
      <c r="Q3767" s="267">
        <f t="shared" si="845"/>
        <v>208802</v>
      </c>
      <c r="R3767" s="23">
        <f t="shared" si="846"/>
        <v>162531</v>
      </c>
      <c r="S3767" s="23">
        <f t="shared" si="847"/>
        <v>46271</v>
      </c>
      <c r="T3767" s="23">
        <f t="shared" si="848"/>
        <v>116260</v>
      </c>
      <c r="U3767" t="str">
        <f t="shared" si="849"/>
        <v>PA_Alleg_2019g~Gen-retention of judge lazarus (vote for 1)</v>
      </c>
      <c r="V3767" s="87"/>
      <c r="AF3767" s="22"/>
      <c r="AU3767" s="10"/>
    </row>
    <row r="3768" spans="1:47">
      <c r="A3768" t="str">
        <f t="shared" ref="A3768:A3831" si="850">CONCATENATE(B3768,"~Gen-",LOWER(D3768))</f>
        <v>PA_Alleg_2019g~Gen-retention of judge lazarus (vote for 1)</v>
      </c>
      <c r="B3768" s="55" t="s">
        <v>1528</v>
      </c>
      <c r="C3768">
        <v>1265</v>
      </c>
      <c r="D3768" s="55" t="s">
        <v>1514</v>
      </c>
      <c r="E3768" s="55" t="s">
        <v>1394</v>
      </c>
      <c r="F3768" t="s">
        <v>1509</v>
      </c>
      <c r="G3768" s="62">
        <v>46271</v>
      </c>
      <c r="H3768">
        <v>22.16</v>
      </c>
      <c r="I3768">
        <v>957735</v>
      </c>
      <c r="J3768">
        <v>0</v>
      </c>
      <c r="K3768">
        <v>1322</v>
      </c>
      <c r="L3768">
        <v>1322</v>
      </c>
      <c r="M3768">
        <v>0</v>
      </c>
      <c r="N3768" s="23">
        <v>0</v>
      </c>
      <c r="O3768">
        <f t="shared" si="843"/>
        <v>2</v>
      </c>
      <c r="P3768" s="57">
        <f t="shared" si="844"/>
        <v>1</v>
      </c>
      <c r="Q3768" s="267">
        <f t="shared" si="845"/>
        <v>46271</v>
      </c>
      <c r="R3768" s="23" t="str">
        <f t="shared" si="846"/>
        <v/>
      </c>
      <c r="S3768" s="23">
        <f t="shared" si="847"/>
        <v>46271</v>
      </c>
      <c r="T3768" s="23" t="str">
        <f t="shared" si="848"/>
        <v/>
      </c>
      <c r="U3768" t="str">
        <f t="shared" si="849"/>
        <v/>
      </c>
      <c r="V3768" s="87"/>
      <c r="AF3768" s="22"/>
      <c r="AU3768" s="10"/>
    </row>
    <row r="3769" spans="1:47">
      <c r="A3769" t="str">
        <f t="shared" si="850"/>
        <v>PA_Alleg_2019g~Gen-retention of judge manning (vote for 1)</v>
      </c>
      <c r="B3769" s="55" t="s">
        <v>1528</v>
      </c>
      <c r="C3769">
        <v>1284</v>
      </c>
      <c r="D3769" s="55" t="s">
        <v>1524</v>
      </c>
      <c r="E3769" s="55" t="s">
        <v>1393</v>
      </c>
      <c r="F3769" t="s">
        <v>1508</v>
      </c>
      <c r="G3769" s="62">
        <v>157156</v>
      </c>
      <c r="H3769">
        <v>72.459999999999994</v>
      </c>
      <c r="I3769">
        <v>957735</v>
      </c>
      <c r="J3769">
        <v>0</v>
      </c>
      <c r="K3769">
        <v>1322</v>
      </c>
      <c r="L3769">
        <v>1322</v>
      </c>
      <c r="M3769">
        <v>0</v>
      </c>
      <c r="N3769" s="23">
        <v>0</v>
      </c>
      <c r="O3769">
        <f t="shared" si="843"/>
        <v>1</v>
      </c>
      <c r="P3769" s="57">
        <f t="shared" si="844"/>
        <v>1</v>
      </c>
      <c r="Q3769" s="267">
        <f t="shared" si="845"/>
        <v>216875</v>
      </c>
      <c r="R3769" s="23">
        <f t="shared" si="846"/>
        <v>157156</v>
      </c>
      <c r="S3769" s="23">
        <f t="shared" si="847"/>
        <v>59719</v>
      </c>
      <c r="T3769" s="23">
        <f t="shared" si="848"/>
        <v>97437</v>
      </c>
      <c r="U3769" t="str">
        <f t="shared" si="849"/>
        <v>PA_Alleg_2019g~Gen-retention of judge manning (vote for 1)</v>
      </c>
      <c r="V3769" s="87"/>
      <c r="AF3769" s="22"/>
      <c r="AU3769" s="10"/>
    </row>
    <row r="3770" spans="1:47">
      <c r="A3770" t="str">
        <f t="shared" si="850"/>
        <v>PA_Alleg_2019g~Gen-retention of judge manning (vote for 1)</v>
      </c>
      <c r="B3770" s="55" t="s">
        <v>1528</v>
      </c>
      <c r="C3770">
        <v>1285</v>
      </c>
      <c r="D3770" s="55" t="s">
        <v>1524</v>
      </c>
      <c r="E3770" s="55" t="s">
        <v>1394</v>
      </c>
      <c r="F3770" t="s">
        <v>1509</v>
      </c>
      <c r="G3770" s="62">
        <v>59719</v>
      </c>
      <c r="H3770">
        <v>27.54</v>
      </c>
      <c r="I3770">
        <v>957735</v>
      </c>
      <c r="J3770">
        <v>0</v>
      </c>
      <c r="K3770">
        <v>1322</v>
      </c>
      <c r="L3770">
        <v>1322</v>
      </c>
      <c r="M3770">
        <v>0</v>
      </c>
      <c r="N3770" s="23">
        <v>0</v>
      </c>
      <c r="O3770">
        <f t="shared" si="843"/>
        <v>2</v>
      </c>
      <c r="P3770" s="57">
        <f t="shared" si="844"/>
        <v>1</v>
      </c>
      <c r="Q3770" s="267">
        <f t="shared" si="845"/>
        <v>59719</v>
      </c>
      <c r="R3770" s="23" t="str">
        <f t="shared" si="846"/>
        <v/>
      </c>
      <c r="S3770" s="23">
        <f t="shared" si="847"/>
        <v>59719</v>
      </c>
      <c r="T3770" s="23" t="str">
        <f t="shared" si="848"/>
        <v/>
      </c>
      <c r="U3770" t="str">
        <f t="shared" si="849"/>
        <v/>
      </c>
      <c r="V3770" s="87"/>
      <c r="AF3770" s="22"/>
      <c r="AU3770" s="10"/>
    </row>
    <row r="3771" spans="1:47">
      <c r="A3771" t="str">
        <f t="shared" si="850"/>
        <v>PA_Alleg_2019g~Gen-retention of judge mccullough (vote for 1)</v>
      </c>
      <c r="B3771" s="55" t="s">
        <v>1528</v>
      </c>
      <c r="C3771">
        <v>1270</v>
      </c>
      <c r="D3771" s="55" t="s">
        <v>1517</v>
      </c>
      <c r="E3771" s="55" t="s">
        <v>1393</v>
      </c>
      <c r="F3771" t="s">
        <v>1508</v>
      </c>
      <c r="G3771" s="62">
        <v>161203</v>
      </c>
      <c r="H3771">
        <v>77.099999999999994</v>
      </c>
      <c r="I3771">
        <v>957735</v>
      </c>
      <c r="J3771">
        <v>0</v>
      </c>
      <c r="K3771">
        <v>1322</v>
      </c>
      <c r="L3771">
        <v>1322</v>
      </c>
      <c r="M3771">
        <v>0</v>
      </c>
      <c r="N3771" s="23">
        <v>0</v>
      </c>
      <c r="O3771">
        <f t="shared" si="843"/>
        <v>1</v>
      </c>
      <c r="P3771" s="57">
        <f t="shared" si="844"/>
        <v>1</v>
      </c>
      <c r="Q3771" s="267">
        <f t="shared" si="845"/>
        <v>209082</v>
      </c>
      <c r="R3771" s="23">
        <f t="shared" si="846"/>
        <v>161203</v>
      </c>
      <c r="S3771" s="23">
        <f t="shared" si="847"/>
        <v>47879</v>
      </c>
      <c r="T3771" s="23">
        <f t="shared" si="848"/>
        <v>113324</v>
      </c>
      <c r="U3771" t="str">
        <f t="shared" si="849"/>
        <v>PA_Alleg_2019g~Gen-retention of judge mccullough (vote for 1)</v>
      </c>
      <c r="V3771" s="87"/>
      <c r="AF3771" s="22"/>
      <c r="AU3771" s="10"/>
    </row>
    <row r="3772" spans="1:47">
      <c r="A3772" t="str">
        <f t="shared" si="850"/>
        <v>PA_Alleg_2019g~Gen-retention of judge mccullough (vote for 1)</v>
      </c>
      <c r="B3772" s="55" t="s">
        <v>1528</v>
      </c>
      <c r="C3772">
        <v>1271</v>
      </c>
      <c r="D3772" s="55" t="s">
        <v>1517</v>
      </c>
      <c r="E3772" s="55" t="s">
        <v>1394</v>
      </c>
      <c r="F3772" t="s">
        <v>1509</v>
      </c>
      <c r="G3772" s="62">
        <v>47879</v>
      </c>
      <c r="H3772">
        <v>22.9</v>
      </c>
      <c r="I3772">
        <v>957735</v>
      </c>
      <c r="J3772">
        <v>0</v>
      </c>
      <c r="K3772">
        <v>1322</v>
      </c>
      <c r="L3772">
        <v>1322</v>
      </c>
      <c r="M3772">
        <v>0</v>
      </c>
      <c r="N3772" s="23">
        <v>0</v>
      </c>
      <c r="O3772">
        <f t="shared" si="843"/>
        <v>2</v>
      </c>
      <c r="P3772" s="57">
        <f t="shared" si="844"/>
        <v>1</v>
      </c>
      <c r="Q3772" s="267">
        <f t="shared" si="845"/>
        <v>47879</v>
      </c>
      <c r="R3772" s="23" t="str">
        <f t="shared" si="846"/>
        <v/>
      </c>
      <c r="S3772" s="23">
        <f t="shared" si="847"/>
        <v>47879</v>
      </c>
      <c r="T3772" s="23" t="str">
        <f t="shared" si="848"/>
        <v/>
      </c>
      <c r="U3772" t="str">
        <f t="shared" si="849"/>
        <v/>
      </c>
      <c r="V3772" s="87"/>
      <c r="AF3772" s="22"/>
      <c r="AU3772" s="10"/>
    </row>
    <row r="3773" spans="1:47">
      <c r="A3773" t="str">
        <f t="shared" si="850"/>
        <v>PA_Alleg_2019g~Gen-retention of judge olson (vote for 1)</v>
      </c>
      <c r="B3773" s="55" t="s">
        <v>1528</v>
      </c>
      <c r="C3773">
        <v>1266</v>
      </c>
      <c r="D3773" s="55" t="s">
        <v>1515</v>
      </c>
      <c r="E3773" s="55" t="s">
        <v>1393</v>
      </c>
      <c r="F3773" t="s">
        <v>1508</v>
      </c>
      <c r="G3773" s="62">
        <v>159565</v>
      </c>
      <c r="H3773">
        <v>76.62</v>
      </c>
      <c r="I3773">
        <v>957735</v>
      </c>
      <c r="J3773">
        <v>0</v>
      </c>
      <c r="K3773">
        <v>1322</v>
      </c>
      <c r="L3773">
        <v>1322</v>
      </c>
      <c r="M3773">
        <v>0</v>
      </c>
      <c r="N3773" s="23">
        <v>0</v>
      </c>
      <c r="O3773">
        <f t="shared" si="843"/>
        <v>1</v>
      </c>
      <c r="P3773" s="57">
        <f t="shared" si="844"/>
        <v>1</v>
      </c>
      <c r="Q3773" s="267">
        <f t="shared" si="845"/>
        <v>208268</v>
      </c>
      <c r="R3773" s="23">
        <f t="shared" si="846"/>
        <v>159565</v>
      </c>
      <c r="S3773" s="23">
        <f t="shared" si="847"/>
        <v>48703</v>
      </c>
      <c r="T3773" s="23">
        <f t="shared" si="848"/>
        <v>110862</v>
      </c>
      <c r="U3773" t="str">
        <f t="shared" si="849"/>
        <v>PA_Alleg_2019g~Gen-retention of judge olson (vote for 1)</v>
      </c>
      <c r="V3773" s="87"/>
      <c r="AF3773" s="22"/>
      <c r="AU3773" s="10"/>
    </row>
    <row r="3774" spans="1:47">
      <c r="A3774" t="str">
        <f t="shared" si="850"/>
        <v>PA_Alleg_2019g~Gen-retention of judge olson (vote for 1)</v>
      </c>
      <c r="B3774" s="55" t="s">
        <v>1528</v>
      </c>
      <c r="C3774">
        <v>1267</v>
      </c>
      <c r="D3774" s="55" t="s">
        <v>1515</v>
      </c>
      <c r="E3774" s="55" t="s">
        <v>1394</v>
      </c>
      <c r="F3774" t="s">
        <v>1509</v>
      </c>
      <c r="G3774" s="62">
        <v>48703</v>
      </c>
      <c r="H3774">
        <v>23.38</v>
      </c>
      <c r="I3774">
        <v>957735</v>
      </c>
      <c r="J3774">
        <v>0</v>
      </c>
      <c r="K3774">
        <v>1322</v>
      </c>
      <c r="L3774">
        <v>1322</v>
      </c>
      <c r="M3774">
        <v>0</v>
      </c>
      <c r="N3774" s="23">
        <v>0</v>
      </c>
      <c r="O3774">
        <f t="shared" si="843"/>
        <v>2</v>
      </c>
      <c r="P3774" s="57">
        <f t="shared" si="844"/>
        <v>1</v>
      </c>
      <c r="Q3774" s="267">
        <f t="shared" si="845"/>
        <v>48703</v>
      </c>
      <c r="R3774" s="23" t="str">
        <f t="shared" si="846"/>
        <v/>
      </c>
      <c r="S3774" s="23">
        <f t="shared" si="847"/>
        <v>48703</v>
      </c>
      <c r="T3774" s="23" t="str">
        <f t="shared" si="848"/>
        <v/>
      </c>
      <c r="U3774" t="str">
        <f t="shared" si="849"/>
        <v/>
      </c>
      <c r="V3774" s="87"/>
      <c r="AF3774" s="22"/>
      <c r="AU3774" s="10"/>
    </row>
    <row r="3775" spans="1:47">
      <c r="A3775" t="str">
        <f t="shared" si="850"/>
        <v>PA_Alleg_2019g~Gen-retention of judge sasinoski (vote for 1)</v>
      </c>
      <c r="B3775" s="55" t="s">
        <v>1528</v>
      </c>
      <c r="C3775">
        <v>1286</v>
      </c>
      <c r="D3775" s="55" t="s">
        <v>1525</v>
      </c>
      <c r="E3775" s="55" t="s">
        <v>1393</v>
      </c>
      <c r="F3775" t="s">
        <v>1508</v>
      </c>
      <c r="G3775" s="62">
        <v>151465</v>
      </c>
      <c r="H3775">
        <v>74.319999999999993</v>
      </c>
      <c r="I3775">
        <v>957735</v>
      </c>
      <c r="J3775">
        <v>0</v>
      </c>
      <c r="K3775">
        <v>1322</v>
      </c>
      <c r="L3775">
        <v>1322</v>
      </c>
      <c r="M3775">
        <v>0</v>
      </c>
      <c r="N3775" s="23">
        <v>0</v>
      </c>
      <c r="O3775">
        <f t="shared" si="843"/>
        <v>1</v>
      </c>
      <c r="P3775" s="57">
        <f t="shared" si="844"/>
        <v>1</v>
      </c>
      <c r="Q3775" s="267">
        <f t="shared" si="845"/>
        <v>203814</v>
      </c>
      <c r="R3775" s="23">
        <f t="shared" si="846"/>
        <v>151465</v>
      </c>
      <c r="S3775" s="23">
        <f t="shared" si="847"/>
        <v>52349</v>
      </c>
      <c r="T3775" s="23">
        <f t="shared" si="848"/>
        <v>99116</v>
      </c>
      <c r="U3775" t="str">
        <f t="shared" si="849"/>
        <v>PA_Alleg_2019g~Gen-retention of judge sasinoski (vote for 1)</v>
      </c>
      <c r="V3775" s="87"/>
      <c r="AF3775" s="22"/>
      <c r="AU3775" s="10"/>
    </row>
    <row r="3776" spans="1:47">
      <c r="A3776" t="str">
        <f t="shared" si="850"/>
        <v>PA_Alleg_2019g~Gen-retention of judge sasinoski (vote for 1)</v>
      </c>
      <c r="B3776" s="55" t="s">
        <v>1528</v>
      </c>
      <c r="C3776">
        <v>1287</v>
      </c>
      <c r="D3776" s="55" t="s">
        <v>1525</v>
      </c>
      <c r="E3776" s="55" t="s">
        <v>1394</v>
      </c>
      <c r="F3776" t="s">
        <v>1509</v>
      </c>
      <c r="G3776" s="62">
        <v>52349</v>
      </c>
      <c r="H3776">
        <v>25.68</v>
      </c>
      <c r="I3776">
        <v>957735</v>
      </c>
      <c r="J3776">
        <v>0</v>
      </c>
      <c r="K3776">
        <v>1322</v>
      </c>
      <c r="L3776">
        <v>1322</v>
      </c>
      <c r="M3776">
        <v>0</v>
      </c>
      <c r="N3776" s="23">
        <v>0</v>
      </c>
      <c r="O3776">
        <f t="shared" si="843"/>
        <v>2</v>
      </c>
      <c r="P3776" s="57">
        <f t="shared" si="844"/>
        <v>1</v>
      </c>
      <c r="Q3776" s="267">
        <f t="shared" si="845"/>
        <v>52349</v>
      </c>
      <c r="R3776" s="23" t="str">
        <f t="shared" si="846"/>
        <v/>
      </c>
      <c r="S3776" s="23">
        <f t="shared" si="847"/>
        <v>52349</v>
      </c>
      <c r="T3776" s="23" t="str">
        <f t="shared" si="848"/>
        <v/>
      </c>
      <c r="U3776" t="str">
        <f t="shared" si="849"/>
        <v/>
      </c>
      <c r="V3776" s="87"/>
      <c r="AF3776" s="22"/>
      <c r="AU3776" s="10"/>
    </row>
    <row r="3777" spans="1:47">
      <c r="A3777" t="str">
        <f t="shared" si="850"/>
        <v>PA_Alleg_2019g~Gen-retention of judge walko (vote for 1)</v>
      </c>
      <c r="B3777" s="55" t="s">
        <v>1528</v>
      </c>
      <c r="C3777">
        <v>1288</v>
      </c>
      <c r="D3777" s="55" t="s">
        <v>1526</v>
      </c>
      <c r="E3777" s="55" t="s">
        <v>1393</v>
      </c>
      <c r="F3777" t="s">
        <v>1508</v>
      </c>
      <c r="G3777" s="62">
        <v>154072</v>
      </c>
      <c r="H3777">
        <v>75.11</v>
      </c>
      <c r="I3777">
        <v>957735</v>
      </c>
      <c r="J3777">
        <v>0</v>
      </c>
      <c r="K3777">
        <v>1322</v>
      </c>
      <c r="L3777">
        <v>1322</v>
      </c>
      <c r="M3777">
        <v>0</v>
      </c>
      <c r="N3777" s="23">
        <v>0</v>
      </c>
      <c r="O3777">
        <f t="shared" si="843"/>
        <v>1</v>
      </c>
      <c r="P3777" s="57">
        <f t="shared" si="844"/>
        <v>1</v>
      </c>
      <c r="Q3777" s="267">
        <f t="shared" si="845"/>
        <v>205137</v>
      </c>
      <c r="R3777" s="23">
        <f t="shared" si="846"/>
        <v>154072</v>
      </c>
      <c r="S3777" s="23">
        <f t="shared" si="847"/>
        <v>51065</v>
      </c>
      <c r="T3777" s="23">
        <f t="shared" si="848"/>
        <v>103007</v>
      </c>
      <c r="U3777" t="str">
        <f t="shared" si="849"/>
        <v>PA_Alleg_2019g~Gen-retention of judge walko (vote for 1)</v>
      </c>
      <c r="V3777" s="87"/>
      <c r="AF3777" s="22"/>
      <c r="AU3777" s="10"/>
    </row>
    <row r="3778" spans="1:47">
      <c r="A3778" t="str">
        <f t="shared" si="850"/>
        <v>PA_Alleg_2019g~Gen-retention of judge walko (vote for 1)</v>
      </c>
      <c r="B3778" s="55" t="s">
        <v>1528</v>
      </c>
      <c r="C3778">
        <v>1289</v>
      </c>
      <c r="D3778" s="55" t="s">
        <v>1526</v>
      </c>
      <c r="E3778" s="55" t="s">
        <v>1394</v>
      </c>
      <c r="F3778" t="s">
        <v>1509</v>
      </c>
      <c r="G3778" s="62">
        <v>51065</v>
      </c>
      <c r="H3778">
        <v>24.89</v>
      </c>
      <c r="I3778">
        <v>957735</v>
      </c>
      <c r="J3778">
        <v>0</v>
      </c>
      <c r="K3778">
        <v>1322</v>
      </c>
      <c r="L3778">
        <v>1322</v>
      </c>
      <c r="M3778">
        <v>0</v>
      </c>
      <c r="N3778" s="23">
        <v>0</v>
      </c>
      <c r="O3778">
        <f t="shared" ref="O3778:O3841" si="851">IF(OR(LOWER(LEFT(E3778,8))="write-in",LOWER(LEFT(E3778,8))="not qual"),IF(A3778=A3777,-ABS(O3777),0),IF(A3778=A3777,ABS(O3777)+1,1))</f>
        <v>2</v>
      </c>
      <c r="P3778" s="57">
        <f t="shared" ref="P3778:P3841" si="852">1*LEFT(RIGHT(A3778,2),1)</f>
        <v>1</v>
      </c>
      <c r="Q3778" s="267">
        <f t="shared" ref="Q3778:Q3841" si="853">IF(A3778&lt;&gt;A3779,G3778,IF(A3778=A3777,G3778+Q3779,MAX(G3778,(G3778+Q3779)/P3778)))</f>
        <v>51065</v>
      </c>
      <c r="R3778" s="23" t="str">
        <f t="shared" ref="R3778:R3841" si="854">IF(O3778&gt;P3778,"",IF(O3778=P3778,G3778,IF(A3778=A3779,R3779,IF(O3778&lt;=0,1,G3778))))</f>
        <v/>
      </c>
      <c r="S3778" s="23">
        <f t="shared" ref="S3778:S3841" si="855">IF(AND(O3778&gt;P3778,LOWER(LEFT(E3778,8))&lt;&gt;"write-in",LOWER(LEFT(E3778,8))&lt;&gt;"not qual"),G3778,IF(A3778=A3779,S3779,0))</f>
        <v>51065</v>
      </c>
      <c r="T3778" s="23" t="str">
        <f t="shared" ref="T3778:T3841" si="856">IF(OR(A3778=A3777,S3778=0),"",R3778-ABS(S3778))</f>
        <v/>
      </c>
      <c r="U3778" t="str">
        <f t="shared" ref="U3778:U3841" si="857">IF(A3778=A3777,"",A3778)</f>
        <v/>
      </c>
      <c r="V3778" s="87"/>
      <c r="AF3778" s="22"/>
      <c r="AU3778" s="10"/>
    </row>
    <row r="3779" spans="1:47">
      <c r="A3779" t="str">
        <f t="shared" si="850"/>
        <v>PA_Alleg_2019g~Gen-retention of judge williams (vote for 1)</v>
      </c>
      <c r="B3779" s="55" t="s">
        <v>1528</v>
      </c>
      <c r="C3779">
        <v>1290</v>
      </c>
      <c r="D3779" s="55" t="s">
        <v>1527</v>
      </c>
      <c r="E3779" s="55" t="s">
        <v>1393</v>
      </c>
      <c r="F3779" t="s">
        <v>1508</v>
      </c>
      <c r="G3779" s="62">
        <v>154657</v>
      </c>
      <c r="H3779">
        <v>75.27</v>
      </c>
      <c r="I3779">
        <v>957735</v>
      </c>
      <c r="J3779">
        <v>0</v>
      </c>
      <c r="K3779">
        <v>1322</v>
      </c>
      <c r="L3779">
        <v>1322</v>
      </c>
      <c r="M3779">
        <v>0</v>
      </c>
      <c r="N3779" s="23">
        <v>0</v>
      </c>
      <c r="O3779">
        <f t="shared" si="851"/>
        <v>1</v>
      </c>
      <c r="P3779" s="57">
        <f t="shared" si="852"/>
        <v>1</v>
      </c>
      <c r="Q3779" s="267">
        <f t="shared" si="853"/>
        <v>205468</v>
      </c>
      <c r="R3779" s="23">
        <f t="shared" si="854"/>
        <v>154657</v>
      </c>
      <c r="S3779" s="23">
        <f t="shared" si="855"/>
        <v>50811</v>
      </c>
      <c r="T3779" s="23">
        <f t="shared" si="856"/>
        <v>103846</v>
      </c>
      <c r="U3779" t="str">
        <f t="shared" si="857"/>
        <v>PA_Alleg_2019g~Gen-retention of judge williams (vote for 1)</v>
      </c>
      <c r="V3779" s="87"/>
      <c r="AF3779" s="22"/>
      <c r="AU3779" s="10"/>
    </row>
    <row r="3780" spans="1:47">
      <c r="A3780" t="str">
        <f t="shared" si="850"/>
        <v>PA_Alleg_2019g~Gen-retention of judge williams (vote for 1)</v>
      </c>
      <c r="B3780" s="55" t="s">
        <v>1528</v>
      </c>
      <c r="C3780">
        <v>1291</v>
      </c>
      <c r="D3780" s="55" t="s">
        <v>1527</v>
      </c>
      <c r="E3780" s="55" t="s">
        <v>1394</v>
      </c>
      <c r="F3780" t="s">
        <v>1509</v>
      </c>
      <c r="G3780" s="62">
        <v>50811</v>
      </c>
      <c r="H3780">
        <v>24.73</v>
      </c>
      <c r="I3780">
        <v>957735</v>
      </c>
      <c r="J3780">
        <v>0</v>
      </c>
      <c r="K3780">
        <v>1322</v>
      </c>
      <c r="L3780">
        <v>1322</v>
      </c>
      <c r="M3780">
        <v>0</v>
      </c>
      <c r="N3780" s="23">
        <v>0</v>
      </c>
      <c r="O3780">
        <f t="shared" si="851"/>
        <v>2</v>
      </c>
      <c r="P3780" s="57">
        <f t="shared" si="852"/>
        <v>1</v>
      </c>
      <c r="Q3780" s="267">
        <f t="shared" si="853"/>
        <v>50811</v>
      </c>
      <c r="R3780" s="23" t="str">
        <f t="shared" si="854"/>
        <v/>
      </c>
      <c r="S3780" s="23">
        <f t="shared" si="855"/>
        <v>50811</v>
      </c>
      <c r="T3780" s="23" t="str">
        <f t="shared" si="856"/>
        <v/>
      </c>
      <c r="U3780" t="str">
        <f t="shared" si="857"/>
        <v/>
      </c>
      <c r="V3780" s="87"/>
      <c r="AF3780" s="22"/>
      <c r="AL3780" s="344"/>
      <c r="AU3780" s="10"/>
    </row>
    <row r="3781" spans="1:47">
      <c r="A3781" t="str">
        <f t="shared" si="850"/>
        <v>PA_Alleg_2019g~Gen-school director allegheny valley (vote for 5)</v>
      </c>
      <c r="B3781" s="55" t="s">
        <v>1528</v>
      </c>
      <c r="C3781">
        <v>89</v>
      </c>
      <c r="D3781" s="55" t="s">
        <v>106</v>
      </c>
      <c r="E3781" s="55" t="s">
        <v>109</v>
      </c>
      <c r="F3781" t="s">
        <v>1396</v>
      </c>
      <c r="G3781" s="62">
        <v>1472</v>
      </c>
      <c r="H3781">
        <v>18.399999999999999</v>
      </c>
      <c r="I3781">
        <v>7227</v>
      </c>
      <c r="J3781">
        <v>0</v>
      </c>
      <c r="K3781">
        <v>10</v>
      </c>
      <c r="L3781">
        <v>10</v>
      </c>
      <c r="M3781">
        <v>0</v>
      </c>
      <c r="N3781" s="23">
        <v>0</v>
      </c>
      <c r="O3781">
        <f t="shared" si="851"/>
        <v>1</v>
      </c>
      <c r="P3781" s="57">
        <f t="shared" si="852"/>
        <v>5</v>
      </c>
      <c r="Q3781" s="267">
        <f t="shared" si="853"/>
        <v>1600</v>
      </c>
      <c r="R3781" s="23">
        <f t="shared" si="854"/>
        <v>1160</v>
      </c>
      <c r="S3781" s="23">
        <f t="shared" si="855"/>
        <v>1047</v>
      </c>
      <c r="T3781" s="23">
        <f t="shared" si="856"/>
        <v>113</v>
      </c>
      <c r="U3781" t="str">
        <f t="shared" si="857"/>
        <v>PA_Alleg_2019g~Gen-school director allegheny valley (vote for 5)</v>
      </c>
      <c r="V3781" s="87"/>
      <c r="AF3781" s="22"/>
      <c r="AU3781" s="10"/>
    </row>
    <row r="3782" spans="1:47">
      <c r="A3782" t="str">
        <f t="shared" si="850"/>
        <v>PA_Alleg_2019g~Gen-school director allegheny valley (vote for 5)</v>
      </c>
      <c r="B3782" s="55" t="s">
        <v>1528</v>
      </c>
      <c r="C3782">
        <v>93</v>
      </c>
      <c r="D3782" s="55" t="s">
        <v>106</v>
      </c>
      <c r="E3782" s="55" t="s">
        <v>113</v>
      </c>
      <c r="F3782" t="s">
        <v>1396</v>
      </c>
      <c r="G3782" s="62">
        <v>1447</v>
      </c>
      <c r="H3782">
        <v>18.09</v>
      </c>
      <c r="I3782">
        <v>7227</v>
      </c>
      <c r="J3782">
        <v>0</v>
      </c>
      <c r="K3782">
        <v>10</v>
      </c>
      <c r="L3782">
        <v>10</v>
      </c>
      <c r="M3782">
        <v>0</v>
      </c>
      <c r="N3782" s="23">
        <v>0</v>
      </c>
      <c r="O3782">
        <f t="shared" si="851"/>
        <v>2</v>
      </c>
      <c r="P3782" s="57">
        <f t="shared" si="852"/>
        <v>5</v>
      </c>
      <c r="Q3782" s="267">
        <f t="shared" si="853"/>
        <v>6528</v>
      </c>
      <c r="R3782" s="23">
        <f t="shared" si="854"/>
        <v>1160</v>
      </c>
      <c r="S3782" s="23">
        <f t="shared" si="855"/>
        <v>1047</v>
      </c>
      <c r="T3782" s="23" t="str">
        <f t="shared" si="856"/>
        <v/>
      </c>
      <c r="U3782" t="str">
        <f t="shared" si="857"/>
        <v/>
      </c>
      <c r="V3782" s="87"/>
      <c r="AF3782" s="22"/>
      <c r="AU3782" s="10"/>
    </row>
    <row r="3783" spans="1:47">
      <c r="A3783" t="str">
        <f t="shared" si="850"/>
        <v>PA_Alleg_2019g~Gen-school director allegheny valley (vote for 5)</v>
      </c>
      <c r="B3783" s="55" t="s">
        <v>1528</v>
      </c>
      <c r="C3783">
        <v>90</v>
      </c>
      <c r="D3783" s="55" t="s">
        <v>106</v>
      </c>
      <c r="E3783" s="55" t="s">
        <v>108</v>
      </c>
      <c r="F3783" t="s">
        <v>1396</v>
      </c>
      <c r="G3783" s="62">
        <v>1447</v>
      </c>
      <c r="H3783">
        <v>18.09</v>
      </c>
      <c r="I3783">
        <v>7227</v>
      </c>
      <c r="J3783">
        <v>0</v>
      </c>
      <c r="K3783">
        <v>10</v>
      </c>
      <c r="L3783">
        <v>10</v>
      </c>
      <c r="M3783">
        <v>0</v>
      </c>
      <c r="N3783" s="23">
        <v>0</v>
      </c>
      <c r="O3783">
        <f t="shared" si="851"/>
        <v>3</v>
      </c>
      <c r="P3783" s="57">
        <f t="shared" si="852"/>
        <v>5</v>
      </c>
      <c r="Q3783" s="267">
        <f t="shared" si="853"/>
        <v>5081</v>
      </c>
      <c r="R3783" s="23">
        <f t="shared" si="854"/>
        <v>1160</v>
      </c>
      <c r="S3783" s="23">
        <f t="shared" si="855"/>
        <v>1047</v>
      </c>
      <c r="T3783" s="23" t="str">
        <f t="shared" si="856"/>
        <v/>
      </c>
      <c r="U3783" t="str">
        <f t="shared" si="857"/>
        <v/>
      </c>
      <c r="V3783" s="87"/>
      <c r="AF3783" s="22"/>
      <c r="AU3783" s="10"/>
    </row>
    <row r="3784" spans="1:47">
      <c r="A3784" t="str">
        <f t="shared" si="850"/>
        <v>PA_Alleg_2019g~Gen-school director allegheny valley (vote for 5)</v>
      </c>
      <c r="B3784" s="55" t="s">
        <v>1528</v>
      </c>
      <c r="C3784">
        <v>92</v>
      </c>
      <c r="D3784" s="55" t="s">
        <v>106</v>
      </c>
      <c r="E3784" s="55" t="s">
        <v>110</v>
      </c>
      <c r="F3784" t="s">
        <v>1396</v>
      </c>
      <c r="G3784" s="62">
        <v>1388</v>
      </c>
      <c r="H3784">
        <v>17.350000000000001</v>
      </c>
      <c r="I3784">
        <v>7227</v>
      </c>
      <c r="J3784">
        <v>0</v>
      </c>
      <c r="K3784">
        <v>10</v>
      </c>
      <c r="L3784">
        <v>10</v>
      </c>
      <c r="M3784">
        <v>0</v>
      </c>
      <c r="N3784" s="23">
        <v>0</v>
      </c>
      <c r="O3784">
        <f t="shared" si="851"/>
        <v>4</v>
      </c>
      <c r="P3784" s="57">
        <f t="shared" si="852"/>
        <v>5</v>
      </c>
      <c r="Q3784" s="267">
        <f t="shared" si="853"/>
        <v>3634</v>
      </c>
      <c r="R3784" s="23">
        <f t="shared" si="854"/>
        <v>1160</v>
      </c>
      <c r="S3784" s="23">
        <f t="shared" si="855"/>
        <v>1047</v>
      </c>
      <c r="T3784" s="23" t="str">
        <f t="shared" si="856"/>
        <v/>
      </c>
      <c r="U3784" t="str">
        <f t="shared" si="857"/>
        <v/>
      </c>
      <c r="V3784" s="87"/>
      <c r="AF3784" s="22"/>
      <c r="AU3784" s="10"/>
    </row>
    <row r="3785" spans="1:47">
      <c r="A3785" t="str">
        <f t="shared" si="850"/>
        <v>PA_Alleg_2019g~Gen-school director allegheny valley (vote for 5)</v>
      </c>
      <c r="B3785" s="55" t="s">
        <v>1528</v>
      </c>
      <c r="C3785">
        <v>94</v>
      </c>
      <c r="D3785" s="55" t="s">
        <v>106</v>
      </c>
      <c r="E3785" s="55" t="s">
        <v>111</v>
      </c>
      <c r="F3785" t="s">
        <v>1296</v>
      </c>
      <c r="G3785" s="62">
        <v>1160</v>
      </c>
      <c r="H3785">
        <v>14.5</v>
      </c>
      <c r="I3785">
        <v>7227</v>
      </c>
      <c r="J3785">
        <v>0</v>
      </c>
      <c r="K3785">
        <v>10</v>
      </c>
      <c r="L3785">
        <v>10</v>
      </c>
      <c r="M3785">
        <v>0</v>
      </c>
      <c r="N3785" s="23">
        <v>0</v>
      </c>
      <c r="O3785">
        <f t="shared" si="851"/>
        <v>5</v>
      </c>
      <c r="P3785" s="57">
        <f t="shared" si="852"/>
        <v>5</v>
      </c>
      <c r="Q3785" s="267">
        <f t="shared" si="853"/>
        <v>2246</v>
      </c>
      <c r="R3785" s="23">
        <f t="shared" si="854"/>
        <v>1160</v>
      </c>
      <c r="S3785" s="23">
        <f t="shared" si="855"/>
        <v>1047</v>
      </c>
      <c r="T3785" s="23" t="str">
        <f t="shared" si="856"/>
        <v/>
      </c>
      <c r="U3785" t="str">
        <f t="shared" si="857"/>
        <v/>
      </c>
      <c r="V3785" s="87"/>
      <c r="AF3785" s="22"/>
      <c r="AU3785" s="10"/>
    </row>
    <row r="3786" spans="1:47">
      <c r="A3786" t="str">
        <f t="shared" si="850"/>
        <v>PA_Alleg_2019g~Gen-school director allegheny valley (vote for 5)</v>
      </c>
      <c r="B3786" s="55" t="s">
        <v>1528</v>
      </c>
      <c r="C3786">
        <v>91</v>
      </c>
      <c r="D3786" s="55" t="s">
        <v>106</v>
      </c>
      <c r="E3786" s="55" t="s">
        <v>107</v>
      </c>
      <c r="F3786" t="s">
        <v>1294</v>
      </c>
      <c r="G3786" s="62">
        <v>1047</v>
      </c>
      <c r="H3786">
        <v>13.09</v>
      </c>
      <c r="I3786">
        <v>7227</v>
      </c>
      <c r="J3786">
        <v>0</v>
      </c>
      <c r="K3786">
        <v>10</v>
      </c>
      <c r="L3786">
        <v>10</v>
      </c>
      <c r="M3786">
        <v>0</v>
      </c>
      <c r="N3786" s="23">
        <v>0</v>
      </c>
      <c r="O3786">
        <f t="shared" si="851"/>
        <v>6</v>
      </c>
      <c r="P3786" s="57">
        <f t="shared" si="852"/>
        <v>5</v>
      </c>
      <c r="Q3786" s="267">
        <f t="shared" si="853"/>
        <v>1086</v>
      </c>
      <c r="R3786" s="23" t="str">
        <f t="shared" si="854"/>
        <v/>
      </c>
      <c r="S3786" s="23">
        <f t="shared" si="855"/>
        <v>1047</v>
      </c>
      <c r="T3786" s="23" t="str">
        <f t="shared" si="856"/>
        <v/>
      </c>
      <c r="U3786" t="str">
        <f t="shared" si="857"/>
        <v/>
      </c>
      <c r="V3786" s="87"/>
      <c r="AF3786" s="22"/>
      <c r="AU3786" s="10"/>
    </row>
    <row r="3787" spans="1:47">
      <c r="A3787" t="str">
        <f t="shared" si="850"/>
        <v>PA_Alleg_2019g~Gen-school director allegheny valley (vote for 5)</v>
      </c>
      <c r="B3787" s="55" t="s">
        <v>1528</v>
      </c>
      <c r="C3787">
        <v>95</v>
      </c>
      <c r="D3787" s="55" t="s">
        <v>106</v>
      </c>
      <c r="E3787" s="55" t="s">
        <v>15</v>
      </c>
      <c r="G3787" s="62">
        <v>39</v>
      </c>
      <c r="H3787">
        <v>0.49</v>
      </c>
      <c r="I3787">
        <v>7227</v>
      </c>
      <c r="J3787">
        <v>0</v>
      </c>
      <c r="K3787">
        <v>10</v>
      </c>
      <c r="L3787">
        <v>10</v>
      </c>
      <c r="M3787">
        <v>0</v>
      </c>
      <c r="N3787" s="23">
        <v>0</v>
      </c>
      <c r="O3787">
        <f t="shared" si="851"/>
        <v>-6</v>
      </c>
      <c r="P3787" s="57">
        <f t="shared" si="852"/>
        <v>5</v>
      </c>
      <c r="Q3787" s="267">
        <f t="shared" si="853"/>
        <v>39</v>
      </c>
      <c r="R3787" s="23">
        <f t="shared" si="854"/>
        <v>1</v>
      </c>
      <c r="S3787" s="23">
        <f t="shared" si="855"/>
        <v>0</v>
      </c>
      <c r="T3787" s="23" t="str">
        <f t="shared" si="856"/>
        <v/>
      </c>
      <c r="U3787" t="str">
        <f t="shared" si="857"/>
        <v/>
      </c>
      <c r="V3787" s="87"/>
      <c r="AF3787" s="22"/>
      <c r="AU3787" s="10"/>
    </row>
    <row r="3788" spans="1:47">
      <c r="A3788" t="str">
        <f t="shared" si="850"/>
        <v>PA_Alleg_2019g~Gen-school director at large v3 t4 steel valley (vote for 3)</v>
      </c>
      <c r="B3788" s="55" t="s">
        <v>1528</v>
      </c>
      <c r="C3788">
        <v>81</v>
      </c>
      <c r="D3788" s="55" t="s">
        <v>98</v>
      </c>
      <c r="E3788" s="55" t="s">
        <v>100</v>
      </c>
      <c r="F3788" t="s">
        <v>1396</v>
      </c>
      <c r="G3788" s="62">
        <v>2527</v>
      </c>
      <c r="H3788">
        <v>35.56</v>
      </c>
      <c r="I3788">
        <v>12119</v>
      </c>
      <c r="J3788">
        <v>0</v>
      </c>
      <c r="K3788">
        <v>21</v>
      </c>
      <c r="L3788">
        <v>21</v>
      </c>
      <c r="M3788">
        <v>0</v>
      </c>
      <c r="N3788" s="23">
        <v>0</v>
      </c>
      <c r="O3788">
        <f t="shared" si="851"/>
        <v>1</v>
      </c>
      <c r="P3788" s="57">
        <f t="shared" si="852"/>
        <v>3</v>
      </c>
      <c r="Q3788" s="267">
        <f t="shared" si="853"/>
        <v>2527</v>
      </c>
      <c r="R3788" s="23">
        <f t="shared" si="854"/>
        <v>2208</v>
      </c>
      <c r="S3788" s="23">
        <f t="shared" si="855"/>
        <v>0</v>
      </c>
      <c r="T3788" s="23" t="str">
        <f t="shared" si="856"/>
        <v/>
      </c>
      <c r="U3788" t="str">
        <f t="shared" si="857"/>
        <v>PA_Alleg_2019g~Gen-school director at large v3 t4 steel valley (vote for 3)</v>
      </c>
      <c r="V3788" s="87"/>
      <c r="AF3788" s="22"/>
      <c r="AU3788" s="10"/>
    </row>
    <row r="3789" spans="1:47">
      <c r="A3789" t="str">
        <f t="shared" si="850"/>
        <v>PA_Alleg_2019g~Gen-school director at large v3 t4 steel valley (vote for 3)</v>
      </c>
      <c r="B3789" s="55" t="s">
        <v>1528</v>
      </c>
      <c r="C3789">
        <v>82</v>
      </c>
      <c r="D3789" s="55" t="s">
        <v>98</v>
      </c>
      <c r="E3789" s="55" t="s">
        <v>101</v>
      </c>
      <c r="F3789" t="s">
        <v>1396</v>
      </c>
      <c r="G3789" s="62">
        <v>2311</v>
      </c>
      <c r="H3789">
        <v>32.520000000000003</v>
      </c>
      <c r="I3789">
        <v>12119</v>
      </c>
      <c r="J3789">
        <v>0</v>
      </c>
      <c r="K3789">
        <v>21</v>
      </c>
      <c r="L3789">
        <v>21</v>
      </c>
      <c r="M3789">
        <v>0</v>
      </c>
      <c r="N3789" s="23">
        <v>0</v>
      </c>
      <c r="O3789">
        <f t="shared" si="851"/>
        <v>2</v>
      </c>
      <c r="P3789" s="57">
        <f t="shared" si="852"/>
        <v>3</v>
      </c>
      <c r="Q3789" s="267">
        <f t="shared" si="853"/>
        <v>4580</v>
      </c>
      <c r="R3789" s="23">
        <f t="shared" si="854"/>
        <v>2208</v>
      </c>
      <c r="S3789" s="23">
        <f t="shared" si="855"/>
        <v>0</v>
      </c>
      <c r="T3789" s="23" t="str">
        <f t="shared" si="856"/>
        <v/>
      </c>
      <c r="U3789" t="str">
        <f t="shared" si="857"/>
        <v/>
      </c>
      <c r="V3789" s="87"/>
      <c r="AF3789" s="22"/>
      <c r="AU3789" s="10"/>
    </row>
    <row r="3790" spans="1:47">
      <c r="A3790" t="str">
        <f t="shared" si="850"/>
        <v>PA_Alleg_2019g~Gen-school director at large v3 t4 steel valley (vote for 3)</v>
      </c>
      <c r="B3790" s="55" t="s">
        <v>1528</v>
      </c>
      <c r="C3790">
        <v>83</v>
      </c>
      <c r="D3790" s="55" t="s">
        <v>98</v>
      </c>
      <c r="E3790" s="55" t="s">
        <v>99</v>
      </c>
      <c r="F3790" t="s">
        <v>1396</v>
      </c>
      <c r="G3790" s="62">
        <v>2208</v>
      </c>
      <c r="H3790">
        <v>31.07</v>
      </c>
      <c r="I3790">
        <v>12119</v>
      </c>
      <c r="J3790">
        <v>0</v>
      </c>
      <c r="K3790">
        <v>21</v>
      </c>
      <c r="L3790">
        <v>21</v>
      </c>
      <c r="M3790">
        <v>0</v>
      </c>
      <c r="N3790" s="23">
        <v>0</v>
      </c>
      <c r="O3790">
        <f t="shared" si="851"/>
        <v>3</v>
      </c>
      <c r="P3790" s="57">
        <f t="shared" si="852"/>
        <v>3</v>
      </c>
      <c r="Q3790" s="267">
        <f t="shared" si="853"/>
        <v>2269</v>
      </c>
      <c r="R3790" s="23">
        <f t="shared" si="854"/>
        <v>2208</v>
      </c>
      <c r="S3790" s="23">
        <f t="shared" si="855"/>
        <v>0</v>
      </c>
      <c r="T3790" s="23" t="str">
        <f t="shared" si="856"/>
        <v/>
      </c>
      <c r="U3790" t="str">
        <f t="shared" si="857"/>
        <v/>
      </c>
      <c r="V3790" s="87"/>
      <c r="AF3790" s="22"/>
      <c r="AU3790" s="10"/>
    </row>
    <row r="3791" spans="1:47">
      <c r="A3791" t="str">
        <f t="shared" si="850"/>
        <v>PA_Alleg_2019g~Gen-school director at large v3 t4 steel valley (vote for 3)</v>
      </c>
      <c r="B3791" s="55" t="s">
        <v>1528</v>
      </c>
      <c r="C3791">
        <v>84</v>
      </c>
      <c r="D3791" s="55" t="s">
        <v>98</v>
      </c>
      <c r="E3791" s="55" t="s">
        <v>15</v>
      </c>
      <c r="G3791" s="62">
        <v>61</v>
      </c>
      <c r="H3791">
        <v>0.86</v>
      </c>
      <c r="I3791">
        <v>12119</v>
      </c>
      <c r="J3791">
        <v>0</v>
      </c>
      <c r="K3791">
        <v>21</v>
      </c>
      <c r="L3791">
        <v>21</v>
      </c>
      <c r="M3791">
        <v>0</v>
      </c>
      <c r="N3791" s="23">
        <v>0</v>
      </c>
      <c r="O3791">
        <f t="shared" si="851"/>
        <v>-3</v>
      </c>
      <c r="P3791" s="57">
        <f t="shared" si="852"/>
        <v>3</v>
      </c>
      <c r="Q3791" s="267">
        <f t="shared" si="853"/>
        <v>61</v>
      </c>
      <c r="R3791" s="23">
        <f t="shared" si="854"/>
        <v>1</v>
      </c>
      <c r="S3791" s="23">
        <f t="shared" si="855"/>
        <v>0</v>
      </c>
      <c r="T3791" s="23" t="str">
        <f t="shared" si="856"/>
        <v/>
      </c>
      <c r="U3791" t="str">
        <f t="shared" si="857"/>
        <v/>
      </c>
      <c r="V3791" s="87"/>
      <c r="AF3791" s="22"/>
      <c r="AU3791" s="10"/>
    </row>
    <row r="3792" spans="1:47">
      <c r="A3792" t="str">
        <f t="shared" si="850"/>
        <v>PA_Alleg_2019g~Gen-school director at-large clairton (vote for 1)</v>
      </c>
      <c r="B3792" s="55" t="s">
        <v>1528</v>
      </c>
      <c r="C3792">
        <v>85</v>
      </c>
      <c r="D3792" s="55" t="s">
        <v>103</v>
      </c>
      <c r="E3792" s="55" t="s">
        <v>104</v>
      </c>
      <c r="F3792" t="s">
        <v>1396</v>
      </c>
      <c r="G3792" s="62">
        <v>850</v>
      </c>
      <c r="H3792">
        <v>99.07</v>
      </c>
      <c r="I3792">
        <v>4594</v>
      </c>
      <c r="J3792">
        <v>0</v>
      </c>
      <c r="K3792">
        <v>12</v>
      </c>
      <c r="L3792">
        <v>12</v>
      </c>
      <c r="M3792">
        <v>0</v>
      </c>
      <c r="N3792" s="23">
        <v>0</v>
      </c>
      <c r="O3792">
        <f t="shared" si="851"/>
        <v>1</v>
      </c>
      <c r="P3792" s="57">
        <f t="shared" si="852"/>
        <v>1</v>
      </c>
      <c r="Q3792" s="267">
        <f t="shared" si="853"/>
        <v>858</v>
      </c>
      <c r="R3792" s="23">
        <f t="shared" si="854"/>
        <v>850</v>
      </c>
      <c r="S3792" s="23">
        <f t="shared" si="855"/>
        <v>0</v>
      </c>
      <c r="T3792" s="23" t="str">
        <f t="shared" si="856"/>
        <v/>
      </c>
      <c r="U3792" t="str">
        <f t="shared" si="857"/>
        <v>PA_Alleg_2019g~Gen-school director at-large clairton (vote for 1)</v>
      </c>
      <c r="V3792" s="87"/>
      <c r="AF3792" s="22"/>
      <c r="AU3792" s="10"/>
    </row>
    <row r="3793" spans="1:47">
      <c r="A3793" t="str">
        <f t="shared" si="850"/>
        <v>PA_Alleg_2019g~Gen-school director at-large clairton (vote for 1)</v>
      </c>
      <c r="B3793" s="55" t="s">
        <v>1528</v>
      </c>
      <c r="C3793">
        <v>86</v>
      </c>
      <c r="D3793" s="55" t="s">
        <v>103</v>
      </c>
      <c r="E3793" s="55" t="s">
        <v>15</v>
      </c>
      <c r="G3793" s="62">
        <v>8</v>
      </c>
      <c r="H3793">
        <v>0.93</v>
      </c>
      <c r="I3793">
        <v>4594</v>
      </c>
      <c r="J3793">
        <v>0</v>
      </c>
      <c r="K3793">
        <v>12</v>
      </c>
      <c r="L3793">
        <v>12</v>
      </c>
      <c r="M3793">
        <v>0</v>
      </c>
      <c r="N3793" s="23">
        <v>0</v>
      </c>
      <c r="O3793">
        <f t="shared" si="851"/>
        <v>-1</v>
      </c>
      <c r="P3793" s="57">
        <f t="shared" si="852"/>
        <v>1</v>
      </c>
      <c r="Q3793" s="267">
        <f t="shared" si="853"/>
        <v>8</v>
      </c>
      <c r="R3793" s="23">
        <f t="shared" si="854"/>
        <v>1</v>
      </c>
      <c r="S3793" s="23">
        <f t="shared" si="855"/>
        <v>0</v>
      </c>
      <c r="T3793" s="23" t="str">
        <f t="shared" si="856"/>
        <v/>
      </c>
      <c r="U3793" t="str">
        <f t="shared" si="857"/>
        <v/>
      </c>
      <c r="V3793" s="87"/>
      <c r="AF3793" s="22"/>
      <c r="AU3793" s="10"/>
    </row>
    <row r="3794" spans="1:47">
      <c r="A3794" t="str">
        <f t="shared" si="850"/>
        <v>PA_Alleg_2019g~Gen-school director at-large sto-rox (vote for 1)</v>
      </c>
      <c r="B3794" s="55" t="s">
        <v>1528</v>
      </c>
      <c r="C3794">
        <v>87</v>
      </c>
      <c r="D3794" s="55" t="s">
        <v>105</v>
      </c>
      <c r="E3794" s="55" t="s">
        <v>1415</v>
      </c>
      <c r="F3794" t="s">
        <v>1294</v>
      </c>
      <c r="G3794" s="62">
        <v>1340</v>
      </c>
      <c r="H3794">
        <v>98.24</v>
      </c>
      <c r="I3794">
        <v>8487</v>
      </c>
      <c r="J3794">
        <v>0</v>
      </c>
      <c r="K3794">
        <v>18</v>
      </c>
      <c r="L3794">
        <v>18</v>
      </c>
      <c r="M3794">
        <v>0</v>
      </c>
      <c r="N3794" s="23">
        <v>0</v>
      </c>
      <c r="O3794">
        <f t="shared" si="851"/>
        <v>1</v>
      </c>
      <c r="P3794" s="57">
        <f t="shared" si="852"/>
        <v>1</v>
      </c>
      <c r="Q3794" s="267">
        <f t="shared" si="853"/>
        <v>1364</v>
      </c>
      <c r="R3794" s="23">
        <f t="shared" si="854"/>
        <v>1340</v>
      </c>
      <c r="S3794" s="23">
        <f t="shared" si="855"/>
        <v>0</v>
      </c>
      <c r="T3794" s="23" t="str">
        <f t="shared" si="856"/>
        <v/>
      </c>
      <c r="U3794" t="str">
        <f t="shared" si="857"/>
        <v>PA_Alleg_2019g~Gen-school director at-large sto-rox (vote for 1)</v>
      </c>
      <c r="V3794" s="87"/>
      <c r="AF3794" s="22"/>
      <c r="AU3794" s="10"/>
    </row>
    <row r="3795" spans="1:47">
      <c r="A3795" t="str">
        <f t="shared" si="850"/>
        <v>PA_Alleg_2019g~Gen-school director at-large sto-rox (vote for 1)</v>
      </c>
      <c r="B3795" s="55" t="s">
        <v>1528</v>
      </c>
      <c r="C3795">
        <v>88</v>
      </c>
      <c r="D3795" s="55" t="s">
        <v>105</v>
      </c>
      <c r="E3795" s="55" t="s">
        <v>15</v>
      </c>
      <c r="G3795" s="62">
        <v>24</v>
      </c>
      <c r="H3795">
        <v>1.76</v>
      </c>
      <c r="I3795">
        <v>8487</v>
      </c>
      <c r="J3795">
        <v>0</v>
      </c>
      <c r="K3795">
        <v>18</v>
      </c>
      <c r="L3795">
        <v>18</v>
      </c>
      <c r="M3795">
        <v>0</v>
      </c>
      <c r="N3795" s="23">
        <v>0</v>
      </c>
      <c r="O3795">
        <f t="shared" si="851"/>
        <v>-1</v>
      </c>
      <c r="P3795" s="57">
        <f t="shared" si="852"/>
        <v>1</v>
      </c>
      <c r="Q3795" s="267">
        <f t="shared" si="853"/>
        <v>24</v>
      </c>
      <c r="R3795" s="23">
        <f t="shared" si="854"/>
        <v>1</v>
      </c>
      <c r="S3795" s="23">
        <f t="shared" si="855"/>
        <v>0</v>
      </c>
      <c r="T3795" s="23" t="str">
        <f t="shared" si="856"/>
        <v/>
      </c>
      <c r="U3795" t="str">
        <f t="shared" si="857"/>
        <v/>
      </c>
      <c r="V3795" s="87"/>
      <c r="AF3795" s="22"/>
      <c r="AU3795" s="10"/>
    </row>
    <row r="3796" spans="1:47">
      <c r="A3796" t="str">
        <f t="shared" si="850"/>
        <v>PA_Alleg_2019g~Gen-school director avonworth (vote for 5)</v>
      </c>
      <c r="B3796" s="55" t="s">
        <v>1528</v>
      </c>
      <c r="C3796">
        <v>96</v>
      </c>
      <c r="D3796" s="55" t="s">
        <v>114</v>
      </c>
      <c r="E3796" s="55" t="s">
        <v>115</v>
      </c>
      <c r="F3796" t="s">
        <v>1396</v>
      </c>
      <c r="G3796" s="62">
        <v>2162</v>
      </c>
      <c r="H3796">
        <v>20.69</v>
      </c>
      <c r="I3796">
        <v>9418</v>
      </c>
      <c r="J3796">
        <v>0</v>
      </c>
      <c r="K3796">
        <v>9</v>
      </c>
      <c r="L3796">
        <v>9</v>
      </c>
      <c r="M3796">
        <v>0</v>
      </c>
      <c r="N3796" s="23">
        <v>0</v>
      </c>
      <c r="O3796">
        <f t="shared" si="851"/>
        <v>1</v>
      </c>
      <c r="P3796" s="57">
        <f t="shared" si="852"/>
        <v>5</v>
      </c>
      <c r="Q3796" s="267">
        <f t="shared" si="853"/>
        <v>2162</v>
      </c>
      <c r="R3796" s="23">
        <f t="shared" si="854"/>
        <v>2021</v>
      </c>
      <c r="S3796" s="23">
        <f t="shared" si="855"/>
        <v>0</v>
      </c>
      <c r="T3796" s="23" t="str">
        <f t="shared" si="856"/>
        <v/>
      </c>
      <c r="U3796" t="str">
        <f t="shared" si="857"/>
        <v>PA_Alleg_2019g~Gen-school director avonworth (vote for 5)</v>
      </c>
      <c r="V3796" s="87"/>
      <c r="AF3796" s="22"/>
      <c r="AU3796" s="10"/>
    </row>
    <row r="3797" spans="1:47">
      <c r="A3797" t="str">
        <f t="shared" si="850"/>
        <v>PA_Alleg_2019g~Gen-school director avonworth (vote for 5)</v>
      </c>
      <c r="B3797" s="55" t="s">
        <v>1528</v>
      </c>
      <c r="C3797">
        <v>97</v>
      </c>
      <c r="D3797" s="55" t="s">
        <v>114</v>
      </c>
      <c r="E3797" s="55" t="s">
        <v>117</v>
      </c>
      <c r="F3797" t="s">
        <v>1396</v>
      </c>
      <c r="G3797" s="62">
        <v>2096</v>
      </c>
      <c r="H3797">
        <v>20.059999999999999</v>
      </c>
      <c r="I3797">
        <v>9418</v>
      </c>
      <c r="J3797">
        <v>0</v>
      </c>
      <c r="K3797">
        <v>9</v>
      </c>
      <c r="L3797">
        <v>9</v>
      </c>
      <c r="M3797">
        <v>0</v>
      </c>
      <c r="N3797" s="23">
        <v>0</v>
      </c>
      <c r="O3797">
        <f t="shared" si="851"/>
        <v>2</v>
      </c>
      <c r="P3797" s="57">
        <f t="shared" si="852"/>
        <v>5</v>
      </c>
      <c r="Q3797" s="267">
        <f t="shared" si="853"/>
        <v>8285</v>
      </c>
      <c r="R3797" s="23">
        <f t="shared" si="854"/>
        <v>2021</v>
      </c>
      <c r="S3797" s="23">
        <f t="shared" si="855"/>
        <v>0</v>
      </c>
      <c r="T3797" s="23" t="str">
        <f t="shared" si="856"/>
        <v/>
      </c>
      <c r="U3797" t="str">
        <f t="shared" si="857"/>
        <v/>
      </c>
      <c r="V3797" s="87"/>
      <c r="AF3797" s="22"/>
      <c r="AU3797" s="10"/>
    </row>
    <row r="3798" spans="1:47">
      <c r="A3798" t="str">
        <f t="shared" si="850"/>
        <v>PA_Alleg_2019g~Gen-school director avonworth (vote for 5)</v>
      </c>
      <c r="B3798" s="55" t="s">
        <v>1528</v>
      </c>
      <c r="C3798">
        <v>100</v>
      </c>
      <c r="D3798" s="55" t="s">
        <v>114</v>
      </c>
      <c r="E3798" s="55" t="s">
        <v>116</v>
      </c>
      <c r="F3798" t="s">
        <v>1396</v>
      </c>
      <c r="G3798" s="62">
        <v>2079</v>
      </c>
      <c r="H3798">
        <v>19.899999999999999</v>
      </c>
      <c r="I3798">
        <v>9418</v>
      </c>
      <c r="J3798">
        <v>0</v>
      </c>
      <c r="K3798">
        <v>9</v>
      </c>
      <c r="L3798">
        <v>9</v>
      </c>
      <c r="M3798">
        <v>0</v>
      </c>
      <c r="N3798" s="23">
        <v>0</v>
      </c>
      <c r="O3798">
        <f t="shared" si="851"/>
        <v>3</v>
      </c>
      <c r="P3798" s="57">
        <f t="shared" si="852"/>
        <v>5</v>
      </c>
      <c r="Q3798" s="267">
        <f t="shared" si="853"/>
        <v>6189</v>
      </c>
      <c r="R3798" s="23">
        <f t="shared" si="854"/>
        <v>2021</v>
      </c>
      <c r="S3798" s="23">
        <f t="shared" si="855"/>
        <v>0</v>
      </c>
      <c r="T3798" s="23" t="str">
        <f t="shared" si="856"/>
        <v/>
      </c>
      <c r="U3798" t="str">
        <f t="shared" si="857"/>
        <v/>
      </c>
      <c r="V3798" s="87"/>
      <c r="AF3798" s="22"/>
      <c r="AU3798" s="10"/>
    </row>
    <row r="3799" spans="1:47">
      <c r="A3799" t="str">
        <f t="shared" si="850"/>
        <v>PA_Alleg_2019g~Gen-school director avonworth (vote for 5)</v>
      </c>
      <c r="B3799" s="55" t="s">
        <v>1528</v>
      </c>
      <c r="C3799">
        <v>98</v>
      </c>
      <c r="D3799" s="55" t="s">
        <v>114</v>
      </c>
      <c r="E3799" s="55" t="s">
        <v>118</v>
      </c>
      <c r="F3799" t="s">
        <v>1396</v>
      </c>
      <c r="G3799" s="62">
        <v>2054</v>
      </c>
      <c r="H3799">
        <v>19.66</v>
      </c>
      <c r="I3799">
        <v>9418</v>
      </c>
      <c r="J3799">
        <v>0</v>
      </c>
      <c r="K3799">
        <v>9</v>
      </c>
      <c r="L3799">
        <v>9</v>
      </c>
      <c r="M3799">
        <v>0</v>
      </c>
      <c r="N3799" s="23">
        <v>0</v>
      </c>
      <c r="O3799">
        <f t="shared" si="851"/>
        <v>4</v>
      </c>
      <c r="P3799" s="57">
        <f t="shared" si="852"/>
        <v>5</v>
      </c>
      <c r="Q3799" s="267">
        <f t="shared" si="853"/>
        <v>4110</v>
      </c>
      <c r="R3799" s="23">
        <f t="shared" si="854"/>
        <v>2021</v>
      </c>
      <c r="S3799" s="23">
        <f t="shared" si="855"/>
        <v>0</v>
      </c>
      <c r="T3799" s="23" t="str">
        <f t="shared" si="856"/>
        <v/>
      </c>
      <c r="U3799" t="str">
        <f t="shared" si="857"/>
        <v/>
      </c>
      <c r="V3799" s="87"/>
      <c r="AF3799" s="22"/>
      <c r="AU3799" s="10"/>
    </row>
    <row r="3800" spans="1:47">
      <c r="A3800" t="str">
        <f t="shared" si="850"/>
        <v>PA_Alleg_2019g~Gen-school director avonworth (vote for 5)</v>
      </c>
      <c r="B3800" s="55" t="s">
        <v>1528</v>
      </c>
      <c r="C3800">
        <v>99</v>
      </c>
      <c r="D3800" s="55" t="s">
        <v>114</v>
      </c>
      <c r="E3800" s="55" t="s">
        <v>119</v>
      </c>
      <c r="F3800" t="s">
        <v>1396</v>
      </c>
      <c r="G3800" s="62">
        <v>2021</v>
      </c>
      <c r="H3800">
        <v>19.350000000000001</v>
      </c>
      <c r="I3800">
        <v>9418</v>
      </c>
      <c r="J3800">
        <v>0</v>
      </c>
      <c r="K3800">
        <v>9</v>
      </c>
      <c r="L3800">
        <v>9</v>
      </c>
      <c r="M3800">
        <v>0</v>
      </c>
      <c r="N3800" s="23">
        <v>0</v>
      </c>
      <c r="O3800">
        <f t="shared" si="851"/>
        <v>5</v>
      </c>
      <c r="P3800" s="57">
        <f t="shared" si="852"/>
        <v>5</v>
      </c>
      <c r="Q3800" s="267">
        <f t="shared" si="853"/>
        <v>2056</v>
      </c>
      <c r="R3800" s="23">
        <f t="shared" si="854"/>
        <v>2021</v>
      </c>
      <c r="S3800" s="23">
        <f t="shared" si="855"/>
        <v>0</v>
      </c>
      <c r="T3800" s="23" t="str">
        <f t="shared" si="856"/>
        <v/>
      </c>
      <c r="U3800" t="str">
        <f t="shared" si="857"/>
        <v/>
      </c>
      <c r="V3800" s="87"/>
      <c r="AF3800" s="22"/>
      <c r="AU3800" s="10"/>
    </row>
    <row r="3801" spans="1:47">
      <c r="A3801" t="str">
        <f t="shared" si="850"/>
        <v>PA_Alleg_2019g~Gen-school director avonworth (vote for 5)</v>
      </c>
      <c r="B3801" s="55" t="s">
        <v>1528</v>
      </c>
      <c r="C3801">
        <v>101</v>
      </c>
      <c r="D3801" s="55" t="s">
        <v>114</v>
      </c>
      <c r="E3801" s="55" t="s">
        <v>15</v>
      </c>
      <c r="G3801" s="62">
        <v>35</v>
      </c>
      <c r="H3801">
        <v>0.34</v>
      </c>
      <c r="I3801">
        <v>9418</v>
      </c>
      <c r="J3801">
        <v>0</v>
      </c>
      <c r="K3801">
        <v>9</v>
      </c>
      <c r="L3801">
        <v>9</v>
      </c>
      <c r="M3801">
        <v>0</v>
      </c>
      <c r="N3801" s="23">
        <v>0</v>
      </c>
      <c r="O3801">
        <f t="shared" si="851"/>
        <v>-5</v>
      </c>
      <c r="P3801" s="57">
        <f t="shared" si="852"/>
        <v>5</v>
      </c>
      <c r="Q3801" s="267">
        <f t="shared" si="853"/>
        <v>35</v>
      </c>
      <c r="R3801" s="23">
        <f t="shared" si="854"/>
        <v>1</v>
      </c>
      <c r="S3801" s="23">
        <f t="shared" si="855"/>
        <v>0</v>
      </c>
      <c r="T3801" s="23" t="str">
        <f t="shared" si="856"/>
        <v/>
      </c>
      <c r="U3801" t="str">
        <f t="shared" si="857"/>
        <v/>
      </c>
      <c r="V3801" s="87"/>
      <c r="AF3801" s="22"/>
      <c r="AU3801" s="10"/>
    </row>
    <row r="3802" spans="1:47">
      <c r="A3802" t="str">
        <f t="shared" si="850"/>
        <v>PA_Alleg_2019g~Gen-school director baldwin whitehall (vote for 5)</v>
      </c>
      <c r="B3802" s="55" t="s">
        <v>1528</v>
      </c>
      <c r="C3802">
        <v>102</v>
      </c>
      <c r="D3802" s="55" t="s">
        <v>120</v>
      </c>
      <c r="E3802" s="55" t="s">
        <v>121</v>
      </c>
      <c r="F3802" t="s">
        <v>1396</v>
      </c>
      <c r="G3802" s="62">
        <v>5636</v>
      </c>
      <c r="H3802">
        <v>19.02</v>
      </c>
      <c r="I3802">
        <v>28068</v>
      </c>
      <c r="J3802">
        <v>0</v>
      </c>
      <c r="K3802">
        <v>38</v>
      </c>
      <c r="L3802">
        <v>38</v>
      </c>
      <c r="M3802">
        <v>0</v>
      </c>
      <c r="N3802" s="23">
        <v>0</v>
      </c>
      <c r="O3802">
        <f t="shared" si="851"/>
        <v>1</v>
      </c>
      <c r="P3802" s="57">
        <f t="shared" si="852"/>
        <v>5</v>
      </c>
      <c r="Q3802" s="267">
        <f t="shared" si="853"/>
        <v>5927.2</v>
      </c>
      <c r="R3802" s="23">
        <f t="shared" si="854"/>
        <v>4343</v>
      </c>
      <c r="S3802" s="23">
        <f t="shared" si="855"/>
        <v>2776</v>
      </c>
      <c r="T3802" s="23">
        <f t="shared" si="856"/>
        <v>1567</v>
      </c>
      <c r="U3802" t="str">
        <f t="shared" si="857"/>
        <v>PA_Alleg_2019g~Gen-school director baldwin whitehall (vote for 5)</v>
      </c>
      <c r="V3802" s="87"/>
      <c r="AF3802" s="22"/>
      <c r="AU3802" s="10"/>
    </row>
    <row r="3803" spans="1:47">
      <c r="A3803" t="str">
        <f t="shared" si="850"/>
        <v>PA_Alleg_2019g~Gen-school director baldwin whitehall (vote for 5)</v>
      </c>
      <c r="B3803" s="55" t="s">
        <v>1528</v>
      </c>
      <c r="C3803">
        <v>104</v>
      </c>
      <c r="D3803" s="55" t="s">
        <v>120</v>
      </c>
      <c r="E3803" s="55" t="s">
        <v>125</v>
      </c>
      <c r="F3803" t="s">
        <v>1396</v>
      </c>
      <c r="G3803" s="62">
        <v>5628</v>
      </c>
      <c r="H3803">
        <v>18.989999999999998</v>
      </c>
      <c r="I3803">
        <v>28068</v>
      </c>
      <c r="J3803">
        <v>0</v>
      </c>
      <c r="K3803">
        <v>38</v>
      </c>
      <c r="L3803">
        <v>38</v>
      </c>
      <c r="M3803">
        <v>0</v>
      </c>
      <c r="N3803" s="23">
        <v>0</v>
      </c>
      <c r="O3803">
        <f t="shared" si="851"/>
        <v>2</v>
      </c>
      <c r="P3803" s="57">
        <f t="shared" si="852"/>
        <v>5</v>
      </c>
      <c r="Q3803" s="267">
        <f t="shared" si="853"/>
        <v>24000</v>
      </c>
      <c r="R3803" s="23">
        <f t="shared" si="854"/>
        <v>4343</v>
      </c>
      <c r="S3803" s="23">
        <f t="shared" si="855"/>
        <v>2776</v>
      </c>
      <c r="T3803" s="23" t="str">
        <f t="shared" si="856"/>
        <v/>
      </c>
      <c r="U3803" t="str">
        <f t="shared" si="857"/>
        <v/>
      </c>
      <c r="V3803" s="87"/>
      <c r="AF3803" s="22"/>
      <c r="AU3803" s="10"/>
    </row>
    <row r="3804" spans="1:47">
      <c r="A3804" t="str">
        <f t="shared" si="850"/>
        <v>PA_Alleg_2019g~Gen-school director baldwin whitehall (vote for 5)</v>
      </c>
      <c r="B3804" s="55" t="s">
        <v>1528</v>
      </c>
      <c r="C3804">
        <v>103</v>
      </c>
      <c r="D3804" s="55" t="s">
        <v>120</v>
      </c>
      <c r="E3804" s="55" t="s">
        <v>123</v>
      </c>
      <c r="F3804" t="s">
        <v>1396</v>
      </c>
      <c r="G3804" s="62">
        <v>5598</v>
      </c>
      <c r="H3804">
        <v>18.89</v>
      </c>
      <c r="I3804">
        <v>28068</v>
      </c>
      <c r="J3804">
        <v>0</v>
      </c>
      <c r="K3804">
        <v>38</v>
      </c>
      <c r="L3804">
        <v>38</v>
      </c>
      <c r="M3804">
        <v>0</v>
      </c>
      <c r="N3804" s="23">
        <v>0</v>
      </c>
      <c r="O3804">
        <f t="shared" si="851"/>
        <v>3</v>
      </c>
      <c r="P3804" s="57">
        <f t="shared" si="852"/>
        <v>5</v>
      </c>
      <c r="Q3804" s="267">
        <f t="shared" si="853"/>
        <v>18372</v>
      </c>
      <c r="R3804" s="23">
        <f t="shared" si="854"/>
        <v>4343</v>
      </c>
      <c r="S3804" s="23">
        <f t="shared" si="855"/>
        <v>2776</v>
      </c>
      <c r="T3804" s="23" t="str">
        <f t="shared" si="856"/>
        <v/>
      </c>
      <c r="U3804" t="str">
        <f t="shared" si="857"/>
        <v/>
      </c>
      <c r="V3804" s="87"/>
      <c r="AF3804" s="22"/>
      <c r="AU3804" s="10"/>
    </row>
    <row r="3805" spans="1:47">
      <c r="A3805" t="str">
        <f t="shared" si="850"/>
        <v>PA_Alleg_2019g~Gen-school director baldwin whitehall (vote for 5)</v>
      </c>
      <c r="B3805" s="55" t="s">
        <v>1528</v>
      </c>
      <c r="C3805">
        <v>105</v>
      </c>
      <c r="D3805" s="55" t="s">
        <v>120</v>
      </c>
      <c r="E3805" s="55" t="s">
        <v>126</v>
      </c>
      <c r="F3805" t="s">
        <v>1396</v>
      </c>
      <c r="G3805" s="62">
        <v>5558</v>
      </c>
      <c r="H3805">
        <v>18.75</v>
      </c>
      <c r="I3805">
        <v>28068</v>
      </c>
      <c r="J3805">
        <v>0</v>
      </c>
      <c r="K3805">
        <v>38</v>
      </c>
      <c r="L3805">
        <v>38</v>
      </c>
      <c r="M3805">
        <v>0</v>
      </c>
      <c r="N3805" s="23">
        <v>0</v>
      </c>
      <c r="O3805">
        <f t="shared" si="851"/>
        <v>4</v>
      </c>
      <c r="P3805" s="57">
        <f t="shared" si="852"/>
        <v>5</v>
      </c>
      <c r="Q3805" s="267">
        <f t="shared" si="853"/>
        <v>12774</v>
      </c>
      <c r="R3805" s="23">
        <f t="shared" si="854"/>
        <v>4343</v>
      </c>
      <c r="S3805" s="23">
        <f t="shared" si="855"/>
        <v>2776</v>
      </c>
      <c r="T3805" s="23" t="str">
        <f t="shared" si="856"/>
        <v/>
      </c>
      <c r="U3805" t="str">
        <f t="shared" si="857"/>
        <v/>
      </c>
      <c r="V3805" s="87"/>
      <c r="AF3805" s="22"/>
      <c r="AU3805" s="10"/>
    </row>
    <row r="3806" spans="1:47">
      <c r="A3806" t="str">
        <f t="shared" si="850"/>
        <v>PA_Alleg_2019g~Gen-school director baldwin whitehall (vote for 5)</v>
      </c>
      <c r="B3806" s="55" t="s">
        <v>1528</v>
      </c>
      <c r="C3806">
        <v>106</v>
      </c>
      <c r="D3806" s="55" t="s">
        <v>120</v>
      </c>
      <c r="E3806" s="55" t="s">
        <v>130</v>
      </c>
      <c r="F3806" t="s">
        <v>1294</v>
      </c>
      <c r="G3806" s="62">
        <v>4343</v>
      </c>
      <c r="H3806">
        <v>14.65</v>
      </c>
      <c r="I3806">
        <v>28068</v>
      </c>
      <c r="J3806">
        <v>0</v>
      </c>
      <c r="K3806">
        <v>38</v>
      </c>
      <c r="L3806">
        <v>38</v>
      </c>
      <c r="M3806">
        <v>0</v>
      </c>
      <c r="N3806" s="23">
        <v>0</v>
      </c>
      <c r="O3806">
        <f t="shared" si="851"/>
        <v>5</v>
      </c>
      <c r="P3806" s="57">
        <f t="shared" si="852"/>
        <v>5</v>
      </c>
      <c r="Q3806" s="267">
        <f t="shared" si="853"/>
        <v>7216</v>
      </c>
      <c r="R3806" s="23">
        <f t="shared" si="854"/>
        <v>4343</v>
      </c>
      <c r="S3806" s="23">
        <f t="shared" si="855"/>
        <v>2776</v>
      </c>
      <c r="T3806" s="23" t="str">
        <f t="shared" si="856"/>
        <v/>
      </c>
      <c r="U3806" t="str">
        <f t="shared" si="857"/>
        <v/>
      </c>
      <c r="V3806" s="87"/>
      <c r="AF3806" s="22"/>
      <c r="AU3806" s="10"/>
    </row>
    <row r="3807" spans="1:47">
      <c r="A3807" t="str">
        <f t="shared" si="850"/>
        <v>PA_Alleg_2019g~Gen-school director baldwin whitehall (vote for 5)</v>
      </c>
      <c r="B3807" s="55" t="s">
        <v>1528</v>
      </c>
      <c r="C3807">
        <v>107</v>
      </c>
      <c r="D3807" s="55" t="s">
        <v>120</v>
      </c>
      <c r="E3807" s="55" t="s">
        <v>122</v>
      </c>
      <c r="F3807" t="s">
        <v>1296</v>
      </c>
      <c r="G3807" s="62">
        <v>2776</v>
      </c>
      <c r="H3807">
        <v>9.3699999999999992</v>
      </c>
      <c r="I3807">
        <v>28068</v>
      </c>
      <c r="J3807">
        <v>0</v>
      </c>
      <c r="K3807">
        <v>38</v>
      </c>
      <c r="L3807">
        <v>38</v>
      </c>
      <c r="M3807">
        <v>0</v>
      </c>
      <c r="N3807" s="23">
        <v>0</v>
      </c>
      <c r="O3807">
        <f t="shared" si="851"/>
        <v>6</v>
      </c>
      <c r="P3807" s="57">
        <f t="shared" si="852"/>
        <v>5</v>
      </c>
      <c r="Q3807" s="267">
        <f t="shared" si="853"/>
        <v>2873</v>
      </c>
      <c r="R3807" s="23" t="str">
        <f t="shared" si="854"/>
        <v/>
      </c>
      <c r="S3807" s="23">
        <f t="shared" si="855"/>
        <v>2776</v>
      </c>
      <c r="T3807" s="23" t="str">
        <f t="shared" si="856"/>
        <v/>
      </c>
      <c r="U3807" t="str">
        <f t="shared" si="857"/>
        <v/>
      </c>
      <c r="V3807" s="87"/>
      <c r="AF3807" s="22"/>
      <c r="AU3807" s="10"/>
    </row>
    <row r="3808" spans="1:47">
      <c r="A3808" t="str">
        <f t="shared" si="850"/>
        <v>PA_Alleg_2019g~Gen-school director baldwin whitehall (vote for 5)</v>
      </c>
      <c r="B3808" s="55" t="s">
        <v>1528</v>
      </c>
      <c r="C3808">
        <v>108</v>
      </c>
      <c r="D3808" s="55" t="s">
        <v>120</v>
      </c>
      <c r="E3808" s="55" t="s">
        <v>15</v>
      </c>
      <c r="G3808" s="62">
        <v>97</v>
      </c>
      <c r="H3808">
        <v>0.33</v>
      </c>
      <c r="I3808">
        <v>28068</v>
      </c>
      <c r="J3808">
        <v>0</v>
      </c>
      <c r="K3808">
        <v>38</v>
      </c>
      <c r="L3808">
        <v>38</v>
      </c>
      <c r="M3808">
        <v>0</v>
      </c>
      <c r="N3808" s="23">
        <v>0</v>
      </c>
      <c r="O3808">
        <f t="shared" si="851"/>
        <v>-6</v>
      </c>
      <c r="P3808" s="57">
        <f t="shared" si="852"/>
        <v>5</v>
      </c>
      <c r="Q3808" s="267">
        <f t="shared" si="853"/>
        <v>97</v>
      </c>
      <c r="R3808" s="23">
        <f t="shared" si="854"/>
        <v>1</v>
      </c>
      <c r="S3808" s="23">
        <f t="shared" si="855"/>
        <v>0</v>
      </c>
      <c r="T3808" s="23" t="str">
        <f t="shared" si="856"/>
        <v/>
      </c>
      <c r="U3808" t="str">
        <f t="shared" si="857"/>
        <v/>
      </c>
      <c r="V3808" s="87"/>
      <c r="AF3808" s="22"/>
      <c r="AU3808" s="10"/>
    </row>
    <row r="3809" spans="1:47">
      <c r="A3809" t="str">
        <f t="shared" si="850"/>
        <v>PA_Alleg_2019g~Gen-school director bethel park (vote for 5)</v>
      </c>
      <c r="B3809" s="55" t="s">
        <v>1528</v>
      </c>
      <c r="C3809">
        <v>109</v>
      </c>
      <c r="D3809" s="55" t="s">
        <v>132</v>
      </c>
      <c r="E3809" s="55" t="s">
        <v>140</v>
      </c>
      <c r="F3809" t="s">
        <v>1396</v>
      </c>
      <c r="G3809" s="62">
        <v>7411</v>
      </c>
      <c r="H3809">
        <v>19.55</v>
      </c>
      <c r="I3809">
        <v>26458</v>
      </c>
      <c r="J3809">
        <v>0</v>
      </c>
      <c r="K3809">
        <v>29</v>
      </c>
      <c r="L3809">
        <v>29</v>
      </c>
      <c r="M3809">
        <v>0</v>
      </c>
      <c r="N3809" s="23">
        <v>0</v>
      </c>
      <c r="O3809">
        <f t="shared" si="851"/>
        <v>1</v>
      </c>
      <c r="P3809" s="57">
        <f t="shared" si="852"/>
        <v>5</v>
      </c>
      <c r="Q3809" s="267">
        <f t="shared" si="853"/>
        <v>7581.6</v>
      </c>
      <c r="R3809" s="23">
        <f t="shared" si="854"/>
        <v>5612</v>
      </c>
      <c r="S3809" s="23">
        <f t="shared" si="855"/>
        <v>3401</v>
      </c>
      <c r="T3809" s="23">
        <f t="shared" si="856"/>
        <v>2211</v>
      </c>
      <c r="U3809" t="str">
        <f t="shared" si="857"/>
        <v>PA_Alleg_2019g~Gen-school director bethel park (vote for 5)</v>
      </c>
      <c r="V3809" s="87"/>
      <c r="AF3809" s="22"/>
      <c r="AU3809" s="10"/>
    </row>
    <row r="3810" spans="1:47">
      <c r="A3810" t="str">
        <f t="shared" si="850"/>
        <v>PA_Alleg_2019g~Gen-school director bethel park (vote for 5)</v>
      </c>
      <c r="B3810" s="55" t="s">
        <v>1528</v>
      </c>
      <c r="C3810">
        <v>110</v>
      </c>
      <c r="D3810" s="55" t="s">
        <v>132</v>
      </c>
      <c r="E3810" s="55" t="s">
        <v>141</v>
      </c>
      <c r="F3810" t="s">
        <v>1396</v>
      </c>
      <c r="G3810" s="62">
        <v>7203</v>
      </c>
      <c r="H3810">
        <v>19</v>
      </c>
      <c r="I3810">
        <v>26458</v>
      </c>
      <c r="J3810">
        <v>0</v>
      </c>
      <c r="K3810">
        <v>29</v>
      </c>
      <c r="L3810">
        <v>29</v>
      </c>
      <c r="M3810">
        <v>0</v>
      </c>
      <c r="N3810" s="23">
        <v>0</v>
      </c>
      <c r="O3810">
        <f t="shared" si="851"/>
        <v>2</v>
      </c>
      <c r="P3810" s="57">
        <f t="shared" si="852"/>
        <v>5</v>
      </c>
      <c r="Q3810" s="267">
        <f t="shared" si="853"/>
        <v>30497</v>
      </c>
      <c r="R3810" s="23">
        <f t="shared" si="854"/>
        <v>5612</v>
      </c>
      <c r="S3810" s="23">
        <f t="shared" si="855"/>
        <v>3401</v>
      </c>
      <c r="T3810" s="23" t="str">
        <f t="shared" si="856"/>
        <v/>
      </c>
      <c r="U3810" t="str">
        <f t="shared" si="857"/>
        <v/>
      </c>
      <c r="V3810" s="87"/>
      <c r="AF3810" s="22"/>
      <c r="AU3810" s="10"/>
    </row>
    <row r="3811" spans="1:47">
      <c r="A3811" t="str">
        <f t="shared" si="850"/>
        <v>PA_Alleg_2019g~Gen-school director bethel park (vote for 5)</v>
      </c>
      <c r="B3811" s="55" t="s">
        <v>1528</v>
      </c>
      <c r="C3811">
        <v>111</v>
      </c>
      <c r="D3811" s="55" t="s">
        <v>132</v>
      </c>
      <c r="E3811" s="55" t="s">
        <v>139</v>
      </c>
      <c r="F3811" t="s">
        <v>1396</v>
      </c>
      <c r="G3811" s="62">
        <v>7099</v>
      </c>
      <c r="H3811">
        <v>18.73</v>
      </c>
      <c r="I3811">
        <v>26458</v>
      </c>
      <c r="J3811">
        <v>0</v>
      </c>
      <c r="K3811">
        <v>29</v>
      </c>
      <c r="L3811">
        <v>29</v>
      </c>
      <c r="M3811">
        <v>0</v>
      </c>
      <c r="N3811" s="23">
        <v>0</v>
      </c>
      <c r="O3811">
        <f t="shared" si="851"/>
        <v>3</v>
      </c>
      <c r="P3811" s="57">
        <f t="shared" si="852"/>
        <v>5</v>
      </c>
      <c r="Q3811" s="267">
        <f t="shared" si="853"/>
        <v>23294</v>
      </c>
      <c r="R3811" s="23">
        <f t="shared" si="854"/>
        <v>5612</v>
      </c>
      <c r="S3811" s="23">
        <f t="shared" si="855"/>
        <v>3401</v>
      </c>
      <c r="T3811" s="23" t="str">
        <f t="shared" si="856"/>
        <v/>
      </c>
      <c r="U3811" t="str">
        <f t="shared" si="857"/>
        <v/>
      </c>
      <c r="V3811" s="87"/>
      <c r="AF3811" s="22"/>
      <c r="AU3811" s="10"/>
    </row>
    <row r="3812" spans="1:47">
      <c r="A3812" t="str">
        <f t="shared" si="850"/>
        <v>PA_Alleg_2019g~Gen-school director bethel park (vote for 5)</v>
      </c>
      <c r="B3812" s="55" t="s">
        <v>1528</v>
      </c>
      <c r="C3812">
        <v>112</v>
      </c>
      <c r="D3812" s="55" t="s">
        <v>132</v>
      </c>
      <c r="E3812" s="55" t="s">
        <v>136</v>
      </c>
      <c r="F3812" t="s">
        <v>1396</v>
      </c>
      <c r="G3812" s="62">
        <v>7079</v>
      </c>
      <c r="H3812">
        <v>18.670000000000002</v>
      </c>
      <c r="I3812">
        <v>26458</v>
      </c>
      <c r="J3812">
        <v>0</v>
      </c>
      <c r="K3812">
        <v>29</v>
      </c>
      <c r="L3812">
        <v>29</v>
      </c>
      <c r="M3812">
        <v>0</v>
      </c>
      <c r="N3812" s="23">
        <v>0</v>
      </c>
      <c r="O3812">
        <f t="shared" si="851"/>
        <v>4</v>
      </c>
      <c r="P3812" s="57">
        <f t="shared" si="852"/>
        <v>5</v>
      </c>
      <c r="Q3812" s="267">
        <f t="shared" si="853"/>
        <v>16195</v>
      </c>
      <c r="R3812" s="23">
        <f t="shared" si="854"/>
        <v>5612</v>
      </c>
      <c r="S3812" s="23">
        <f t="shared" si="855"/>
        <v>3401</v>
      </c>
      <c r="T3812" s="23" t="str">
        <f t="shared" si="856"/>
        <v/>
      </c>
      <c r="U3812" t="str">
        <f t="shared" si="857"/>
        <v/>
      </c>
      <c r="V3812" s="87"/>
      <c r="AF3812" s="22"/>
      <c r="AU3812" s="10"/>
    </row>
    <row r="3813" spans="1:47">
      <c r="A3813" t="str">
        <f t="shared" si="850"/>
        <v>PA_Alleg_2019g~Gen-school director bethel park (vote for 5)</v>
      </c>
      <c r="B3813" s="55" t="s">
        <v>1528</v>
      </c>
      <c r="C3813">
        <v>113</v>
      </c>
      <c r="D3813" s="55" t="s">
        <v>132</v>
      </c>
      <c r="E3813" s="55" t="s">
        <v>135</v>
      </c>
      <c r="F3813" t="s">
        <v>1294</v>
      </c>
      <c r="G3813" s="62">
        <v>5612</v>
      </c>
      <c r="H3813">
        <v>14.8</v>
      </c>
      <c r="I3813">
        <v>26458</v>
      </c>
      <c r="J3813">
        <v>0</v>
      </c>
      <c r="K3813">
        <v>29</v>
      </c>
      <c r="L3813">
        <v>29</v>
      </c>
      <c r="M3813">
        <v>0</v>
      </c>
      <c r="N3813" s="23">
        <v>0</v>
      </c>
      <c r="O3813">
        <f t="shared" si="851"/>
        <v>5</v>
      </c>
      <c r="P3813" s="57">
        <f t="shared" si="852"/>
        <v>5</v>
      </c>
      <c r="Q3813" s="267">
        <f t="shared" si="853"/>
        <v>9116</v>
      </c>
      <c r="R3813" s="23">
        <f t="shared" si="854"/>
        <v>5612</v>
      </c>
      <c r="S3813" s="23">
        <f t="shared" si="855"/>
        <v>3401</v>
      </c>
      <c r="T3813" s="23" t="str">
        <f t="shared" si="856"/>
        <v/>
      </c>
      <c r="U3813" t="str">
        <f t="shared" si="857"/>
        <v/>
      </c>
      <c r="V3813" s="87"/>
      <c r="AF3813" s="22"/>
      <c r="AG3813" s="23"/>
      <c r="AH3813" s="8"/>
      <c r="AU3813" s="10"/>
    </row>
    <row r="3814" spans="1:47">
      <c r="A3814" t="str">
        <f t="shared" si="850"/>
        <v>PA_Alleg_2019g~Gen-school director bethel park (vote for 5)</v>
      </c>
      <c r="B3814" s="55" t="s">
        <v>1528</v>
      </c>
      <c r="C3814">
        <v>114</v>
      </c>
      <c r="D3814" s="55" t="s">
        <v>132</v>
      </c>
      <c r="E3814" s="55" t="s">
        <v>134</v>
      </c>
      <c r="F3814" t="s">
        <v>1296</v>
      </c>
      <c r="G3814" s="62">
        <v>3401</v>
      </c>
      <c r="H3814">
        <v>8.9700000000000006</v>
      </c>
      <c r="I3814">
        <v>26458</v>
      </c>
      <c r="J3814">
        <v>0</v>
      </c>
      <c r="K3814">
        <v>29</v>
      </c>
      <c r="L3814">
        <v>29</v>
      </c>
      <c r="M3814">
        <v>0</v>
      </c>
      <c r="N3814" s="23">
        <v>0</v>
      </c>
      <c r="O3814">
        <f t="shared" si="851"/>
        <v>6</v>
      </c>
      <c r="P3814" s="57">
        <f t="shared" si="852"/>
        <v>5</v>
      </c>
      <c r="Q3814" s="267">
        <f t="shared" si="853"/>
        <v>3504</v>
      </c>
      <c r="R3814" s="23" t="str">
        <f t="shared" si="854"/>
        <v/>
      </c>
      <c r="S3814" s="23">
        <f t="shared" si="855"/>
        <v>3401</v>
      </c>
      <c r="T3814" s="23" t="str">
        <f t="shared" si="856"/>
        <v/>
      </c>
      <c r="U3814" t="str">
        <f t="shared" si="857"/>
        <v/>
      </c>
      <c r="V3814" s="87"/>
      <c r="AF3814" s="22"/>
      <c r="AG3814" s="89"/>
      <c r="AH3814" s="274"/>
      <c r="AI3814" s="279"/>
      <c r="AJ3814" s="280"/>
      <c r="AK3814" s="92"/>
      <c r="AL3814" s="23"/>
      <c r="AU3814" s="10"/>
    </row>
    <row r="3815" spans="1:47">
      <c r="A3815" t="str">
        <f t="shared" si="850"/>
        <v>PA_Alleg_2019g~Gen-school director bethel park (vote for 5)</v>
      </c>
      <c r="B3815" s="55" t="s">
        <v>1528</v>
      </c>
      <c r="C3815">
        <v>115</v>
      </c>
      <c r="D3815" s="55" t="s">
        <v>132</v>
      </c>
      <c r="E3815" s="55" t="s">
        <v>15</v>
      </c>
      <c r="G3815" s="62">
        <v>103</v>
      </c>
      <c r="H3815">
        <v>0.27</v>
      </c>
      <c r="I3815">
        <v>26458</v>
      </c>
      <c r="J3815">
        <v>0</v>
      </c>
      <c r="K3815">
        <v>29</v>
      </c>
      <c r="L3815">
        <v>29</v>
      </c>
      <c r="M3815">
        <v>0</v>
      </c>
      <c r="N3815" s="23">
        <v>0</v>
      </c>
      <c r="O3815">
        <f t="shared" si="851"/>
        <v>-6</v>
      </c>
      <c r="P3815" s="57">
        <f t="shared" si="852"/>
        <v>5</v>
      </c>
      <c r="Q3815" s="267">
        <f t="shared" si="853"/>
        <v>103</v>
      </c>
      <c r="R3815" s="23">
        <f t="shared" si="854"/>
        <v>1</v>
      </c>
      <c r="S3815" s="23">
        <f t="shared" si="855"/>
        <v>0</v>
      </c>
      <c r="T3815" s="23" t="str">
        <f t="shared" si="856"/>
        <v/>
      </c>
      <c r="U3815" t="str">
        <f t="shared" si="857"/>
        <v/>
      </c>
      <c r="V3815" s="87"/>
      <c r="AF3815" s="22"/>
      <c r="AU3815" s="10"/>
    </row>
    <row r="3816" spans="1:47">
      <c r="A3816" t="str">
        <f t="shared" si="850"/>
        <v>PA_Alleg_2019g~Gen-school director brentwood (vote for 5)</v>
      </c>
      <c r="B3816" s="55" t="s">
        <v>1528</v>
      </c>
      <c r="C3816">
        <v>116</v>
      </c>
      <c r="D3816" s="55" t="s">
        <v>143</v>
      </c>
      <c r="E3816" s="55" t="s">
        <v>146</v>
      </c>
      <c r="F3816" t="s">
        <v>1396</v>
      </c>
      <c r="G3816" s="62">
        <v>1241</v>
      </c>
      <c r="H3816">
        <v>21.27</v>
      </c>
      <c r="I3816">
        <v>6751</v>
      </c>
      <c r="J3816">
        <v>0</v>
      </c>
      <c r="K3816">
        <v>10</v>
      </c>
      <c r="L3816">
        <v>10</v>
      </c>
      <c r="M3816">
        <v>0</v>
      </c>
      <c r="N3816" s="23">
        <v>0</v>
      </c>
      <c r="O3816">
        <f t="shared" si="851"/>
        <v>1</v>
      </c>
      <c r="P3816" s="57">
        <f t="shared" si="852"/>
        <v>5</v>
      </c>
      <c r="Q3816" s="267">
        <f t="shared" si="853"/>
        <v>1241</v>
      </c>
      <c r="R3816" s="23">
        <f t="shared" si="854"/>
        <v>1090</v>
      </c>
      <c r="S3816" s="23">
        <f t="shared" si="855"/>
        <v>0</v>
      </c>
      <c r="T3816" s="23" t="str">
        <f t="shared" si="856"/>
        <v/>
      </c>
      <c r="U3816" t="str">
        <f t="shared" si="857"/>
        <v>PA_Alleg_2019g~Gen-school director brentwood (vote for 5)</v>
      </c>
      <c r="V3816" s="87"/>
      <c r="AF3816" s="22"/>
      <c r="AU3816" s="10"/>
    </row>
    <row r="3817" spans="1:47">
      <c r="A3817" t="str">
        <f t="shared" si="850"/>
        <v>PA_Alleg_2019g~Gen-school director brentwood (vote for 5)</v>
      </c>
      <c r="B3817" s="55" t="s">
        <v>1528</v>
      </c>
      <c r="C3817">
        <v>117</v>
      </c>
      <c r="D3817" s="55" t="s">
        <v>143</v>
      </c>
      <c r="E3817" s="55" t="s">
        <v>144</v>
      </c>
      <c r="F3817" t="s">
        <v>1396</v>
      </c>
      <c r="G3817" s="62">
        <v>1179</v>
      </c>
      <c r="H3817">
        <v>20.21</v>
      </c>
      <c r="I3817">
        <v>6751</v>
      </c>
      <c r="J3817">
        <v>0</v>
      </c>
      <c r="K3817">
        <v>10</v>
      </c>
      <c r="L3817">
        <v>10</v>
      </c>
      <c r="M3817">
        <v>0</v>
      </c>
      <c r="N3817" s="23">
        <v>0</v>
      </c>
      <c r="O3817">
        <f t="shared" si="851"/>
        <v>2</v>
      </c>
      <c r="P3817" s="57">
        <f t="shared" si="852"/>
        <v>5</v>
      </c>
      <c r="Q3817" s="267">
        <f t="shared" si="853"/>
        <v>4594</v>
      </c>
      <c r="R3817" s="23">
        <f t="shared" si="854"/>
        <v>1090</v>
      </c>
      <c r="S3817" s="23">
        <f t="shared" si="855"/>
        <v>0</v>
      </c>
      <c r="T3817" s="23" t="str">
        <f t="shared" si="856"/>
        <v/>
      </c>
      <c r="U3817" t="str">
        <f t="shared" si="857"/>
        <v/>
      </c>
      <c r="V3817" s="87"/>
      <c r="AF3817" s="22"/>
      <c r="AG3817" s="89"/>
      <c r="AH3817" s="274"/>
      <c r="AI3817" s="279"/>
      <c r="AJ3817" s="280"/>
      <c r="AK3817" s="92"/>
      <c r="AL3817" s="23"/>
      <c r="AU3817" s="10"/>
    </row>
    <row r="3818" spans="1:47">
      <c r="A3818" t="str">
        <f t="shared" si="850"/>
        <v>PA_Alleg_2019g~Gen-school director brentwood (vote for 5)</v>
      </c>
      <c r="B3818" s="55" t="s">
        <v>1528</v>
      </c>
      <c r="C3818">
        <v>118</v>
      </c>
      <c r="D3818" s="55" t="s">
        <v>143</v>
      </c>
      <c r="E3818" s="55" t="s">
        <v>147</v>
      </c>
      <c r="F3818" t="s">
        <v>1396</v>
      </c>
      <c r="G3818" s="62">
        <v>1149</v>
      </c>
      <c r="H3818">
        <v>19.690000000000001</v>
      </c>
      <c r="I3818">
        <v>6751</v>
      </c>
      <c r="J3818">
        <v>0</v>
      </c>
      <c r="K3818">
        <v>10</v>
      </c>
      <c r="L3818">
        <v>10</v>
      </c>
      <c r="M3818">
        <v>0</v>
      </c>
      <c r="N3818" s="23">
        <v>0</v>
      </c>
      <c r="O3818">
        <f t="shared" si="851"/>
        <v>3</v>
      </c>
      <c r="P3818" s="57">
        <f t="shared" si="852"/>
        <v>5</v>
      </c>
      <c r="Q3818" s="267">
        <f t="shared" si="853"/>
        <v>3415</v>
      </c>
      <c r="R3818" s="23">
        <f t="shared" si="854"/>
        <v>1090</v>
      </c>
      <c r="S3818" s="23">
        <f t="shared" si="855"/>
        <v>0</v>
      </c>
      <c r="T3818" s="23" t="str">
        <f t="shared" si="856"/>
        <v/>
      </c>
      <c r="U3818" t="str">
        <f t="shared" si="857"/>
        <v/>
      </c>
      <c r="V3818" s="87"/>
      <c r="AF3818" s="22"/>
      <c r="AU3818" s="10"/>
    </row>
    <row r="3819" spans="1:47">
      <c r="A3819" t="str">
        <f t="shared" si="850"/>
        <v>PA_Alleg_2019g~Gen-school director brentwood (vote for 5)</v>
      </c>
      <c r="B3819" s="55" t="s">
        <v>1528</v>
      </c>
      <c r="C3819">
        <v>119</v>
      </c>
      <c r="D3819" s="55" t="s">
        <v>143</v>
      </c>
      <c r="E3819" s="55" t="s">
        <v>148</v>
      </c>
      <c r="F3819" t="s">
        <v>1396</v>
      </c>
      <c r="G3819" s="62">
        <v>1123</v>
      </c>
      <c r="H3819">
        <v>19.25</v>
      </c>
      <c r="I3819">
        <v>6751</v>
      </c>
      <c r="J3819">
        <v>0</v>
      </c>
      <c r="K3819">
        <v>10</v>
      </c>
      <c r="L3819">
        <v>10</v>
      </c>
      <c r="M3819">
        <v>0</v>
      </c>
      <c r="N3819" s="23">
        <v>0</v>
      </c>
      <c r="O3819">
        <f t="shared" si="851"/>
        <v>4</v>
      </c>
      <c r="P3819" s="57">
        <f t="shared" si="852"/>
        <v>5</v>
      </c>
      <c r="Q3819" s="267">
        <f t="shared" si="853"/>
        <v>2266</v>
      </c>
      <c r="R3819" s="23">
        <f t="shared" si="854"/>
        <v>1090</v>
      </c>
      <c r="S3819" s="23">
        <f t="shared" si="855"/>
        <v>0</v>
      </c>
      <c r="T3819" s="23" t="str">
        <f t="shared" si="856"/>
        <v/>
      </c>
      <c r="U3819" t="str">
        <f t="shared" si="857"/>
        <v/>
      </c>
      <c r="V3819" s="87"/>
      <c r="AF3819" s="22"/>
      <c r="AU3819" s="10"/>
    </row>
    <row r="3820" spans="1:47">
      <c r="A3820" t="str">
        <f t="shared" si="850"/>
        <v>PA_Alleg_2019g~Gen-school director brentwood (vote for 5)</v>
      </c>
      <c r="B3820" s="55" t="s">
        <v>1528</v>
      </c>
      <c r="C3820">
        <v>120</v>
      </c>
      <c r="D3820" s="55" t="s">
        <v>143</v>
      </c>
      <c r="E3820" s="55" t="s">
        <v>145</v>
      </c>
      <c r="F3820" t="s">
        <v>1396</v>
      </c>
      <c r="G3820" s="62">
        <v>1090</v>
      </c>
      <c r="H3820">
        <v>18.68</v>
      </c>
      <c r="I3820">
        <v>6751</v>
      </c>
      <c r="J3820">
        <v>0</v>
      </c>
      <c r="K3820">
        <v>10</v>
      </c>
      <c r="L3820">
        <v>10</v>
      </c>
      <c r="M3820">
        <v>0</v>
      </c>
      <c r="N3820" s="23">
        <v>0</v>
      </c>
      <c r="O3820">
        <f t="shared" si="851"/>
        <v>5</v>
      </c>
      <c r="P3820" s="57">
        <f t="shared" si="852"/>
        <v>5</v>
      </c>
      <c r="Q3820" s="267">
        <f t="shared" si="853"/>
        <v>1143</v>
      </c>
      <c r="R3820" s="23">
        <f t="shared" si="854"/>
        <v>1090</v>
      </c>
      <c r="S3820" s="23">
        <f t="shared" si="855"/>
        <v>0</v>
      </c>
      <c r="T3820" s="23" t="str">
        <f t="shared" si="856"/>
        <v/>
      </c>
      <c r="U3820" t="str">
        <f t="shared" si="857"/>
        <v/>
      </c>
      <c r="V3820" s="87"/>
      <c r="AF3820" s="22"/>
      <c r="AU3820" s="10"/>
    </row>
    <row r="3821" spans="1:47">
      <c r="A3821" t="str">
        <f t="shared" si="850"/>
        <v>PA_Alleg_2019g~Gen-school director brentwood (vote for 5)</v>
      </c>
      <c r="B3821" s="55" t="s">
        <v>1528</v>
      </c>
      <c r="C3821">
        <v>121</v>
      </c>
      <c r="D3821" s="55" t="s">
        <v>143</v>
      </c>
      <c r="E3821" s="55" t="s">
        <v>15</v>
      </c>
      <c r="G3821" s="62">
        <v>53</v>
      </c>
      <c r="H3821">
        <v>0.91</v>
      </c>
      <c r="I3821">
        <v>6751</v>
      </c>
      <c r="J3821">
        <v>0</v>
      </c>
      <c r="K3821">
        <v>10</v>
      </c>
      <c r="L3821">
        <v>10</v>
      </c>
      <c r="M3821">
        <v>0</v>
      </c>
      <c r="N3821" s="23">
        <v>0</v>
      </c>
      <c r="O3821">
        <f t="shared" si="851"/>
        <v>-5</v>
      </c>
      <c r="P3821" s="57">
        <f t="shared" si="852"/>
        <v>5</v>
      </c>
      <c r="Q3821" s="267">
        <f t="shared" si="853"/>
        <v>53</v>
      </c>
      <c r="R3821" s="23">
        <f t="shared" si="854"/>
        <v>1</v>
      </c>
      <c r="S3821" s="23">
        <f t="shared" si="855"/>
        <v>0</v>
      </c>
      <c r="T3821" s="23" t="str">
        <f t="shared" si="856"/>
        <v/>
      </c>
      <c r="U3821" t="str">
        <f t="shared" si="857"/>
        <v/>
      </c>
      <c r="V3821" s="87"/>
      <c r="AF3821" s="22"/>
      <c r="AU3821" s="10"/>
    </row>
    <row r="3822" spans="1:47">
      <c r="A3822" t="str">
        <f t="shared" si="850"/>
        <v>PA_Alleg_2019g~Gen-school director carlynton (vote for 1)</v>
      </c>
      <c r="B3822" s="55" t="s">
        <v>1528</v>
      </c>
      <c r="C3822">
        <v>306</v>
      </c>
      <c r="D3822" s="55" t="s">
        <v>341</v>
      </c>
      <c r="E3822" s="55" t="s">
        <v>342</v>
      </c>
      <c r="F3822" t="s">
        <v>1396</v>
      </c>
      <c r="G3822" s="62">
        <v>2471</v>
      </c>
      <c r="H3822">
        <v>98.8</v>
      </c>
      <c r="I3822">
        <v>10771</v>
      </c>
      <c r="J3822">
        <v>0</v>
      </c>
      <c r="K3822">
        <v>15</v>
      </c>
      <c r="L3822">
        <v>15</v>
      </c>
      <c r="M3822">
        <v>0</v>
      </c>
      <c r="N3822" s="23">
        <v>0</v>
      </c>
      <c r="O3822">
        <f t="shared" si="851"/>
        <v>1</v>
      </c>
      <c r="P3822" s="57">
        <f t="shared" si="852"/>
        <v>1</v>
      </c>
      <c r="Q3822" s="267">
        <f t="shared" si="853"/>
        <v>2501</v>
      </c>
      <c r="R3822" s="23">
        <f t="shared" si="854"/>
        <v>2471</v>
      </c>
      <c r="S3822" s="23">
        <f t="shared" si="855"/>
        <v>0</v>
      </c>
      <c r="T3822" s="23" t="str">
        <f t="shared" si="856"/>
        <v/>
      </c>
      <c r="U3822" t="str">
        <f t="shared" si="857"/>
        <v>PA_Alleg_2019g~Gen-school director carlynton (vote for 1)</v>
      </c>
      <c r="V3822" s="87"/>
      <c r="AF3822" s="22"/>
      <c r="AL3822" s="344"/>
      <c r="AU3822" s="10"/>
    </row>
    <row r="3823" spans="1:47">
      <c r="A3823" t="str">
        <f t="shared" si="850"/>
        <v>PA_Alleg_2019g~Gen-school director carlynton (vote for 1)</v>
      </c>
      <c r="B3823" s="55" t="s">
        <v>1528</v>
      </c>
      <c r="C3823">
        <v>307</v>
      </c>
      <c r="D3823" s="55" t="s">
        <v>341</v>
      </c>
      <c r="E3823" s="55" t="s">
        <v>15</v>
      </c>
      <c r="G3823" s="62">
        <v>30</v>
      </c>
      <c r="H3823">
        <v>1.2</v>
      </c>
      <c r="I3823">
        <v>10771</v>
      </c>
      <c r="J3823">
        <v>0</v>
      </c>
      <c r="K3823">
        <v>15</v>
      </c>
      <c r="L3823">
        <v>15</v>
      </c>
      <c r="M3823">
        <v>0</v>
      </c>
      <c r="N3823" s="23">
        <v>0</v>
      </c>
      <c r="O3823">
        <f t="shared" si="851"/>
        <v>-1</v>
      </c>
      <c r="P3823" s="57">
        <f t="shared" si="852"/>
        <v>1</v>
      </c>
      <c r="Q3823" s="267">
        <f t="shared" si="853"/>
        <v>30</v>
      </c>
      <c r="R3823" s="23">
        <f t="shared" si="854"/>
        <v>1</v>
      </c>
      <c r="S3823" s="23">
        <f t="shared" si="855"/>
        <v>0</v>
      </c>
      <c r="T3823" s="23" t="str">
        <f t="shared" si="856"/>
        <v/>
      </c>
      <c r="U3823" t="str">
        <f t="shared" si="857"/>
        <v/>
      </c>
      <c r="V3823" s="87"/>
      <c r="AF3823" s="22"/>
      <c r="AU3823" s="10"/>
    </row>
    <row r="3824" spans="1:47">
      <c r="A3824" t="str">
        <f t="shared" si="850"/>
        <v>PA_Alleg_2019g~Gen-school director carlynton (vote for 5)</v>
      </c>
      <c r="B3824" s="55" t="s">
        <v>1528</v>
      </c>
      <c r="C3824">
        <v>299</v>
      </c>
      <c r="D3824" s="55" t="s">
        <v>149</v>
      </c>
      <c r="E3824" s="55" t="s">
        <v>151</v>
      </c>
      <c r="F3824" t="s">
        <v>1396</v>
      </c>
      <c r="G3824" s="62">
        <v>2122</v>
      </c>
      <c r="H3824">
        <v>19.07</v>
      </c>
      <c r="I3824">
        <v>10771</v>
      </c>
      <c r="J3824">
        <v>0</v>
      </c>
      <c r="K3824">
        <v>15</v>
      </c>
      <c r="L3824">
        <v>15</v>
      </c>
      <c r="M3824">
        <v>0</v>
      </c>
      <c r="N3824" s="23">
        <v>0</v>
      </c>
      <c r="O3824">
        <f t="shared" si="851"/>
        <v>1</v>
      </c>
      <c r="P3824" s="57">
        <f t="shared" si="852"/>
        <v>5</v>
      </c>
      <c r="Q3824" s="267">
        <f t="shared" si="853"/>
        <v>2225.8000000000002</v>
      </c>
      <c r="R3824" s="23">
        <f t="shared" si="854"/>
        <v>1875</v>
      </c>
      <c r="S3824" s="23">
        <f t="shared" si="855"/>
        <v>1002</v>
      </c>
      <c r="T3824" s="23">
        <f t="shared" si="856"/>
        <v>873</v>
      </c>
      <c r="U3824" t="str">
        <f t="shared" si="857"/>
        <v>PA_Alleg_2019g~Gen-school director carlynton (vote for 5)</v>
      </c>
      <c r="V3824" s="87"/>
      <c r="AF3824" s="22"/>
      <c r="AU3824" s="10"/>
    </row>
    <row r="3825" spans="1:47">
      <c r="A3825" t="str">
        <f t="shared" si="850"/>
        <v>PA_Alleg_2019g~Gen-school director carlynton (vote for 5)</v>
      </c>
      <c r="B3825" s="55" t="s">
        <v>1528</v>
      </c>
      <c r="C3825">
        <v>300</v>
      </c>
      <c r="D3825" s="55" t="s">
        <v>149</v>
      </c>
      <c r="E3825" s="55" t="s">
        <v>153</v>
      </c>
      <c r="F3825" t="s">
        <v>1396</v>
      </c>
      <c r="G3825" s="62">
        <v>2095</v>
      </c>
      <c r="H3825">
        <v>18.82</v>
      </c>
      <c r="I3825">
        <v>10771</v>
      </c>
      <c r="J3825">
        <v>0</v>
      </c>
      <c r="K3825">
        <v>15</v>
      </c>
      <c r="L3825">
        <v>15</v>
      </c>
      <c r="M3825">
        <v>0</v>
      </c>
      <c r="N3825" s="23">
        <v>0</v>
      </c>
      <c r="O3825">
        <f t="shared" si="851"/>
        <v>2</v>
      </c>
      <c r="P3825" s="57">
        <f t="shared" si="852"/>
        <v>5</v>
      </c>
      <c r="Q3825" s="267">
        <f t="shared" si="853"/>
        <v>9007</v>
      </c>
      <c r="R3825" s="23">
        <f t="shared" si="854"/>
        <v>1875</v>
      </c>
      <c r="S3825" s="23">
        <f t="shared" si="855"/>
        <v>1002</v>
      </c>
      <c r="T3825" s="23" t="str">
        <f t="shared" si="856"/>
        <v/>
      </c>
      <c r="U3825" t="str">
        <f t="shared" si="857"/>
        <v/>
      </c>
      <c r="V3825" s="87"/>
      <c r="AF3825" s="22"/>
      <c r="AU3825" s="10"/>
    </row>
    <row r="3826" spans="1:47">
      <c r="A3826" t="str">
        <f t="shared" si="850"/>
        <v>PA_Alleg_2019g~Gen-school director carlynton (vote for 5)</v>
      </c>
      <c r="B3826" s="55" t="s">
        <v>1528</v>
      </c>
      <c r="C3826">
        <v>302</v>
      </c>
      <c r="D3826" s="55" t="s">
        <v>149</v>
      </c>
      <c r="E3826" s="55" t="s">
        <v>1430</v>
      </c>
      <c r="F3826" t="s">
        <v>1396</v>
      </c>
      <c r="G3826" s="62">
        <v>2031</v>
      </c>
      <c r="H3826">
        <v>18.25</v>
      </c>
      <c r="I3826">
        <v>10771</v>
      </c>
      <c r="J3826">
        <v>0</v>
      </c>
      <c r="K3826">
        <v>15</v>
      </c>
      <c r="L3826">
        <v>15</v>
      </c>
      <c r="M3826">
        <v>0</v>
      </c>
      <c r="N3826" s="23">
        <v>0</v>
      </c>
      <c r="O3826">
        <f t="shared" si="851"/>
        <v>3</v>
      </c>
      <c r="P3826" s="57">
        <f t="shared" si="852"/>
        <v>5</v>
      </c>
      <c r="Q3826" s="267">
        <f t="shared" si="853"/>
        <v>6912</v>
      </c>
      <c r="R3826" s="23">
        <f t="shared" si="854"/>
        <v>1875</v>
      </c>
      <c r="S3826" s="23">
        <f t="shared" si="855"/>
        <v>1002</v>
      </c>
      <c r="T3826" s="23" t="str">
        <f t="shared" si="856"/>
        <v/>
      </c>
      <c r="U3826" t="str">
        <f t="shared" si="857"/>
        <v/>
      </c>
      <c r="V3826" s="87"/>
      <c r="AF3826" s="22"/>
      <c r="AU3826" s="10"/>
    </row>
    <row r="3827" spans="1:47">
      <c r="A3827" t="str">
        <f t="shared" si="850"/>
        <v>PA_Alleg_2019g~Gen-school director carlynton (vote for 5)</v>
      </c>
      <c r="B3827" s="55" t="s">
        <v>1528</v>
      </c>
      <c r="C3827">
        <v>301</v>
      </c>
      <c r="D3827" s="55" t="s">
        <v>149</v>
      </c>
      <c r="E3827" s="55" t="s">
        <v>152</v>
      </c>
      <c r="F3827" t="s">
        <v>1396</v>
      </c>
      <c r="G3827" s="62">
        <v>1953</v>
      </c>
      <c r="H3827">
        <v>17.55</v>
      </c>
      <c r="I3827">
        <v>10771</v>
      </c>
      <c r="J3827">
        <v>0</v>
      </c>
      <c r="K3827">
        <v>15</v>
      </c>
      <c r="L3827">
        <v>15</v>
      </c>
      <c r="M3827">
        <v>0</v>
      </c>
      <c r="N3827" s="23">
        <v>0</v>
      </c>
      <c r="O3827">
        <f t="shared" si="851"/>
        <v>4</v>
      </c>
      <c r="P3827" s="57">
        <f t="shared" si="852"/>
        <v>5</v>
      </c>
      <c r="Q3827" s="267">
        <f t="shared" si="853"/>
        <v>4881</v>
      </c>
      <c r="R3827" s="23">
        <f t="shared" si="854"/>
        <v>1875</v>
      </c>
      <c r="S3827" s="23">
        <f t="shared" si="855"/>
        <v>1002</v>
      </c>
      <c r="T3827" s="23" t="str">
        <f t="shared" si="856"/>
        <v/>
      </c>
      <c r="U3827" t="str">
        <f t="shared" si="857"/>
        <v/>
      </c>
      <c r="V3827" s="87"/>
      <c r="AF3827" s="22"/>
      <c r="AU3827" s="10"/>
    </row>
    <row r="3828" spans="1:47">
      <c r="A3828" t="str">
        <f t="shared" si="850"/>
        <v>PA_Alleg_2019g~Gen-school director carlynton (vote for 5)</v>
      </c>
      <c r="B3828" s="55" t="s">
        <v>1528</v>
      </c>
      <c r="C3828">
        <v>303</v>
      </c>
      <c r="D3828" s="55" t="s">
        <v>149</v>
      </c>
      <c r="E3828" s="55" t="s">
        <v>154</v>
      </c>
      <c r="F3828" t="s">
        <v>1396</v>
      </c>
      <c r="G3828" s="62">
        <v>1875</v>
      </c>
      <c r="H3828">
        <v>16.850000000000001</v>
      </c>
      <c r="I3828">
        <v>10771</v>
      </c>
      <c r="J3828">
        <v>0</v>
      </c>
      <c r="K3828">
        <v>15</v>
      </c>
      <c r="L3828">
        <v>15</v>
      </c>
      <c r="M3828">
        <v>0</v>
      </c>
      <c r="N3828" s="23">
        <v>0</v>
      </c>
      <c r="O3828">
        <f t="shared" si="851"/>
        <v>5</v>
      </c>
      <c r="P3828" s="57">
        <f t="shared" si="852"/>
        <v>5</v>
      </c>
      <c r="Q3828" s="267">
        <f t="shared" si="853"/>
        <v>2928</v>
      </c>
      <c r="R3828" s="23">
        <f t="shared" si="854"/>
        <v>1875</v>
      </c>
      <c r="S3828" s="23">
        <f t="shared" si="855"/>
        <v>1002</v>
      </c>
      <c r="T3828" s="23" t="str">
        <f t="shared" si="856"/>
        <v/>
      </c>
      <c r="U3828" t="str">
        <f t="shared" si="857"/>
        <v/>
      </c>
      <c r="V3828" s="87"/>
      <c r="AF3828" s="22"/>
      <c r="AU3828" s="10"/>
    </row>
    <row r="3829" spans="1:47">
      <c r="A3829" t="str">
        <f t="shared" si="850"/>
        <v>PA_Alleg_2019g~Gen-school director carlynton (vote for 5)</v>
      </c>
      <c r="B3829" s="55" t="s">
        <v>1528</v>
      </c>
      <c r="C3829">
        <v>304</v>
      </c>
      <c r="D3829" s="55" t="s">
        <v>149</v>
      </c>
      <c r="E3829" s="55" t="s">
        <v>1431</v>
      </c>
      <c r="F3829" t="s">
        <v>1399</v>
      </c>
      <c r="G3829" s="62">
        <v>1002</v>
      </c>
      <c r="H3829">
        <v>9</v>
      </c>
      <c r="I3829">
        <v>10771</v>
      </c>
      <c r="J3829">
        <v>0</v>
      </c>
      <c r="K3829">
        <v>15</v>
      </c>
      <c r="L3829">
        <v>15</v>
      </c>
      <c r="M3829">
        <v>0</v>
      </c>
      <c r="N3829" s="23">
        <v>0</v>
      </c>
      <c r="O3829">
        <f t="shared" si="851"/>
        <v>6</v>
      </c>
      <c r="P3829" s="57">
        <f t="shared" si="852"/>
        <v>5</v>
      </c>
      <c r="Q3829" s="267">
        <f t="shared" si="853"/>
        <v>1053</v>
      </c>
      <c r="R3829" s="23" t="str">
        <f t="shared" si="854"/>
        <v/>
      </c>
      <c r="S3829" s="23">
        <f t="shared" si="855"/>
        <v>1002</v>
      </c>
      <c r="T3829" s="23" t="str">
        <f t="shared" si="856"/>
        <v/>
      </c>
      <c r="U3829" t="str">
        <f t="shared" si="857"/>
        <v/>
      </c>
      <c r="V3829" s="87"/>
      <c r="AF3829" s="22"/>
      <c r="AU3829" s="10"/>
    </row>
    <row r="3830" spans="1:47">
      <c r="A3830" t="str">
        <f t="shared" si="850"/>
        <v>PA_Alleg_2019g~Gen-school director carlynton (vote for 5)</v>
      </c>
      <c r="B3830" s="55" t="s">
        <v>1528</v>
      </c>
      <c r="C3830">
        <v>305</v>
      </c>
      <c r="D3830" s="55" t="s">
        <v>149</v>
      </c>
      <c r="E3830" s="55" t="s">
        <v>15</v>
      </c>
      <c r="G3830" s="62">
        <v>51</v>
      </c>
      <c r="H3830">
        <v>0.46</v>
      </c>
      <c r="I3830">
        <v>10771</v>
      </c>
      <c r="J3830">
        <v>0</v>
      </c>
      <c r="K3830">
        <v>15</v>
      </c>
      <c r="L3830">
        <v>15</v>
      </c>
      <c r="M3830">
        <v>0</v>
      </c>
      <c r="N3830" s="23">
        <v>0</v>
      </c>
      <c r="O3830">
        <f t="shared" si="851"/>
        <v>-6</v>
      </c>
      <c r="P3830" s="57">
        <f t="shared" si="852"/>
        <v>5</v>
      </c>
      <c r="Q3830" s="267">
        <f t="shared" si="853"/>
        <v>51</v>
      </c>
      <c r="R3830" s="23">
        <f t="shared" si="854"/>
        <v>1</v>
      </c>
      <c r="S3830" s="23">
        <f t="shared" si="855"/>
        <v>0</v>
      </c>
      <c r="T3830" s="23" t="str">
        <f t="shared" si="856"/>
        <v/>
      </c>
      <c r="U3830" t="str">
        <f t="shared" si="857"/>
        <v/>
      </c>
      <c r="V3830" s="87"/>
      <c r="AF3830" s="22"/>
      <c r="AU3830" s="10"/>
    </row>
    <row r="3831" spans="1:47">
      <c r="A3831" t="str">
        <f t="shared" si="850"/>
        <v>PA_Alleg_2019g~Gen-school director chartiers valley (vote for 5)</v>
      </c>
      <c r="B3831" s="55" t="s">
        <v>1528</v>
      </c>
      <c r="C3831">
        <v>122</v>
      </c>
      <c r="D3831" s="55" t="s">
        <v>155</v>
      </c>
      <c r="E3831" s="55" t="s">
        <v>157</v>
      </c>
      <c r="F3831" t="s">
        <v>1396</v>
      </c>
      <c r="G3831" s="62">
        <v>5241</v>
      </c>
      <c r="H3831">
        <v>20.74</v>
      </c>
      <c r="I3831">
        <v>22871</v>
      </c>
      <c r="J3831">
        <v>0</v>
      </c>
      <c r="K3831">
        <v>29</v>
      </c>
      <c r="L3831">
        <v>29</v>
      </c>
      <c r="M3831">
        <v>0</v>
      </c>
      <c r="N3831" s="23">
        <v>0</v>
      </c>
      <c r="O3831">
        <f t="shared" si="851"/>
        <v>1</v>
      </c>
      <c r="P3831" s="57">
        <f t="shared" si="852"/>
        <v>5</v>
      </c>
      <c r="Q3831" s="267">
        <f t="shared" si="853"/>
        <v>5241</v>
      </c>
      <c r="R3831" s="23">
        <f t="shared" si="854"/>
        <v>4905</v>
      </c>
      <c r="S3831" s="23">
        <f t="shared" si="855"/>
        <v>0</v>
      </c>
      <c r="T3831" s="23" t="str">
        <f t="shared" si="856"/>
        <v/>
      </c>
      <c r="U3831" t="str">
        <f t="shared" si="857"/>
        <v>PA_Alleg_2019g~Gen-school director chartiers valley (vote for 5)</v>
      </c>
      <c r="V3831" s="87"/>
      <c r="AF3831" s="22"/>
      <c r="AU3831" s="10"/>
    </row>
    <row r="3832" spans="1:47">
      <c r="A3832" t="str">
        <f t="shared" ref="A3832:A3895" si="858">CONCATENATE(B3832,"~Gen-",LOWER(D3832))</f>
        <v>PA_Alleg_2019g~Gen-school director chartiers valley (vote for 5)</v>
      </c>
      <c r="B3832" s="55" t="s">
        <v>1528</v>
      </c>
      <c r="C3832">
        <v>123</v>
      </c>
      <c r="D3832" s="55" t="s">
        <v>155</v>
      </c>
      <c r="E3832" s="55" t="s">
        <v>160</v>
      </c>
      <c r="F3832" t="s">
        <v>1396</v>
      </c>
      <c r="G3832" s="62">
        <v>5184</v>
      </c>
      <c r="H3832">
        <v>20.52</v>
      </c>
      <c r="I3832">
        <v>22871</v>
      </c>
      <c r="J3832">
        <v>0</v>
      </c>
      <c r="K3832">
        <v>29</v>
      </c>
      <c r="L3832">
        <v>29</v>
      </c>
      <c r="M3832">
        <v>0</v>
      </c>
      <c r="N3832" s="23">
        <v>0</v>
      </c>
      <c r="O3832">
        <f t="shared" si="851"/>
        <v>2</v>
      </c>
      <c r="P3832" s="57">
        <f t="shared" si="852"/>
        <v>5</v>
      </c>
      <c r="Q3832" s="267">
        <f t="shared" si="853"/>
        <v>20027</v>
      </c>
      <c r="R3832" s="23">
        <f t="shared" si="854"/>
        <v>4905</v>
      </c>
      <c r="S3832" s="23">
        <f t="shared" si="855"/>
        <v>0</v>
      </c>
      <c r="T3832" s="23" t="str">
        <f t="shared" si="856"/>
        <v/>
      </c>
      <c r="U3832" t="str">
        <f t="shared" si="857"/>
        <v/>
      </c>
      <c r="V3832" s="87"/>
      <c r="AF3832" s="22"/>
      <c r="AU3832" s="10"/>
    </row>
    <row r="3833" spans="1:47">
      <c r="A3833" t="str">
        <f t="shared" si="858"/>
        <v>PA_Alleg_2019g~Gen-school director chartiers valley (vote for 5)</v>
      </c>
      <c r="B3833" s="55" t="s">
        <v>1528</v>
      </c>
      <c r="C3833">
        <v>124</v>
      </c>
      <c r="D3833" s="55" t="s">
        <v>155</v>
      </c>
      <c r="E3833" s="55" t="s">
        <v>158</v>
      </c>
      <c r="F3833" t="s">
        <v>1396</v>
      </c>
      <c r="G3833" s="62">
        <v>4938</v>
      </c>
      <c r="H3833">
        <v>19.54</v>
      </c>
      <c r="I3833">
        <v>22871</v>
      </c>
      <c r="J3833">
        <v>0</v>
      </c>
      <c r="K3833">
        <v>29</v>
      </c>
      <c r="L3833">
        <v>29</v>
      </c>
      <c r="M3833">
        <v>0</v>
      </c>
      <c r="N3833" s="23">
        <v>0</v>
      </c>
      <c r="O3833">
        <f t="shared" si="851"/>
        <v>3</v>
      </c>
      <c r="P3833" s="57">
        <f t="shared" si="852"/>
        <v>5</v>
      </c>
      <c r="Q3833" s="267">
        <f t="shared" si="853"/>
        <v>14843</v>
      </c>
      <c r="R3833" s="23">
        <f t="shared" si="854"/>
        <v>4905</v>
      </c>
      <c r="S3833" s="23">
        <f t="shared" si="855"/>
        <v>0</v>
      </c>
      <c r="T3833" s="23" t="str">
        <f t="shared" si="856"/>
        <v/>
      </c>
      <c r="U3833" t="str">
        <f t="shared" si="857"/>
        <v/>
      </c>
      <c r="V3833" s="87"/>
      <c r="AF3833" s="22"/>
      <c r="AU3833" s="10"/>
    </row>
    <row r="3834" spans="1:47">
      <c r="A3834" t="str">
        <f t="shared" si="858"/>
        <v>PA_Alleg_2019g~Gen-school director chartiers valley (vote for 5)</v>
      </c>
      <c r="B3834" s="55" t="s">
        <v>1528</v>
      </c>
      <c r="C3834">
        <v>125</v>
      </c>
      <c r="D3834" s="55" t="s">
        <v>155</v>
      </c>
      <c r="E3834" s="55" t="s">
        <v>156</v>
      </c>
      <c r="F3834" t="s">
        <v>1396</v>
      </c>
      <c r="G3834" s="62">
        <v>4921</v>
      </c>
      <c r="H3834">
        <v>19.48</v>
      </c>
      <c r="I3834">
        <v>22871</v>
      </c>
      <c r="J3834">
        <v>0</v>
      </c>
      <c r="K3834">
        <v>29</v>
      </c>
      <c r="L3834">
        <v>29</v>
      </c>
      <c r="M3834">
        <v>0</v>
      </c>
      <c r="N3834" s="23">
        <v>0</v>
      </c>
      <c r="O3834">
        <f t="shared" si="851"/>
        <v>4</v>
      </c>
      <c r="P3834" s="57">
        <f t="shared" si="852"/>
        <v>5</v>
      </c>
      <c r="Q3834" s="267">
        <f t="shared" si="853"/>
        <v>9905</v>
      </c>
      <c r="R3834" s="23">
        <f t="shared" si="854"/>
        <v>4905</v>
      </c>
      <c r="S3834" s="23">
        <f t="shared" si="855"/>
        <v>0</v>
      </c>
      <c r="T3834" s="23" t="str">
        <f t="shared" si="856"/>
        <v/>
      </c>
      <c r="U3834" t="str">
        <f t="shared" si="857"/>
        <v/>
      </c>
      <c r="V3834" s="87"/>
      <c r="AF3834" s="22"/>
      <c r="AU3834" s="10"/>
    </row>
    <row r="3835" spans="1:47">
      <c r="A3835" t="str">
        <f t="shared" si="858"/>
        <v>PA_Alleg_2019g~Gen-school director chartiers valley (vote for 5)</v>
      </c>
      <c r="B3835" s="55" t="s">
        <v>1528</v>
      </c>
      <c r="C3835">
        <v>126</v>
      </c>
      <c r="D3835" s="55" t="s">
        <v>155</v>
      </c>
      <c r="E3835" s="55" t="s">
        <v>159</v>
      </c>
      <c r="F3835" t="s">
        <v>1396</v>
      </c>
      <c r="G3835" s="62">
        <v>4905</v>
      </c>
      <c r="H3835">
        <v>19.41</v>
      </c>
      <c r="I3835">
        <v>22871</v>
      </c>
      <c r="J3835">
        <v>0</v>
      </c>
      <c r="K3835">
        <v>29</v>
      </c>
      <c r="L3835">
        <v>29</v>
      </c>
      <c r="M3835">
        <v>0</v>
      </c>
      <c r="N3835" s="23">
        <v>0</v>
      </c>
      <c r="O3835">
        <f t="shared" si="851"/>
        <v>5</v>
      </c>
      <c r="P3835" s="57">
        <f t="shared" si="852"/>
        <v>5</v>
      </c>
      <c r="Q3835" s="267">
        <f t="shared" si="853"/>
        <v>4984</v>
      </c>
      <c r="R3835" s="23">
        <f t="shared" si="854"/>
        <v>4905</v>
      </c>
      <c r="S3835" s="23">
        <f t="shared" si="855"/>
        <v>0</v>
      </c>
      <c r="T3835" s="23" t="str">
        <f t="shared" si="856"/>
        <v/>
      </c>
      <c r="U3835" t="str">
        <f t="shared" si="857"/>
        <v/>
      </c>
      <c r="V3835" s="87"/>
      <c r="AF3835" s="22"/>
      <c r="AU3835" s="10"/>
    </row>
    <row r="3836" spans="1:47">
      <c r="A3836" t="str">
        <f t="shared" si="858"/>
        <v>PA_Alleg_2019g~Gen-school director chartiers valley (vote for 5)</v>
      </c>
      <c r="B3836" s="55" t="s">
        <v>1528</v>
      </c>
      <c r="C3836">
        <v>127</v>
      </c>
      <c r="D3836" s="55" t="s">
        <v>155</v>
      </c>
      <c r="E3836" s="55" t="s">
        <v>15</v>
      </c>
      <c r="G3836" s="62">
        <v>79</v>
      </c>
      <c r="H3836">
        <v>0.31</v>
      </c>
      <c r="I3836">
        <v>22871</v>
      </c>
      <c r="J3836">
        <v>0</v>
      </c>
      <c r="K3836">
        <v>29</v>
      </c>
      <c r="L3836">
        <v>29</v>
      </c>
      <c r="M3836">
        <v>0</v>
      </c>
      <c r="N3836" s="23">
        <v>0</v>
      </c>
      <c r="O3836">
        <f t="shared" si="851"/>
        <v>-5</v>
      </c>
      <c r="P3836" s="57">
        <f t="shared" si="852"/>
        <v>5</v>
      </c>
      <c r="Q3836" s="267">
        <f t="shared" si="853"/>
        <v>79</v>
      </c>
      <c r="R3836" s="23">
        <f t="shared" si="854"/>
        <v>1</v>
      </c>
      <c r="S3836" s="23">
        <f t="shared" si="855"/>
        <v>0</v>
      </c>
      <c r="T3836" s="23" t="str">
        <f t="shared" si="856"/>
        <v/>
      </c>
      <c r="U3836" t="str">
        <f t="shared" si="857"/>
        <v/>
      </c>
      <c r="V3836" s="87"/>
      <c r="AF3836" s="22"/>
      <c r="AU3836" s="10"/>
    </row>
    <row r="3837" spans="1:47">
      <c r="A3837" t="str">
        <f t="shared" si="858"/>
        <v>PA_Alleg_2019g~Gen-school director clairton region 1 (vote for 1)</v>
      </c>
      <c r="B3837" s="55" t="s">
        <v>1528</v>
      </c>
      <c r="C3837">
        <v>344</v>
      </c>
      <c r="D3837" s="55" t="s">
        <v>373</v>
      </c>
      <c r="E3837" s="55" t="s">
        <v>374</v>
      </c>
      <c r="F3837" t="s">
        <v>1294</v>
      </c>
      <c r="G3837" s="62">
        <v>191</v>
      </c>
      <c r="H3837">
        <v>98.96</v>
      </c>
      <c r="I3837">
        <v>1136</v>
      </c>
      <c r="J3837">
        <v>0</v>
      </c>
      <c r="K3837">
        <v>3</v>
      </c>
      <c r="L3837">
        <v>3</v>
      </c>
      <c r="M3837">
        <v>0</v>
      </c>
      <c r="N3837" s="23">
        <v>0</v>
      </c>
      <c r="O3837">
        <f t="shared" si="851"/>
        <v>1</v>
      </c>
      <c r="P3837" s="57">
        <f t="shared" si="852"/>
        <v>1</v>
      </c>
      <c r="Q3837" s="267">
        <f t="shared" si="853"/>
        <v>193</v>
      </c>
      <c r="R3837" s="23">
        <f t="shared" si="854"/>
        <v>191</v>
      </c>
      <c r="S3837" s="23">
        <f t="shared" si="855"/>
        <v>0</v>
      </c>
      <c r="T3837" s="23" t="str">
        <f t="shared" si="856"/>
        <v/>
      </c>
      <c r="U3837" t="str">
        <f t="shared" si="857"/>
        <v>PA_Alleg_2019g~Gen-school director clairton region 1 (vote for 1)</v>
      </c>
      <c r="V3837" s="87"/>
      <c r="AF3837" s="22"/>
      <c r="AU3837" s="10"/>
    </row>
    <row r="3838" spans="1:47">
      <c r="A3838" t="str">
        <f t="shared" si="858"/>
        <v>PA_Alleg_2019g~Gen-school director clairton region 1 (vote for 1)</v>
      </c>
      <c r="B3838" s="55" t="s">
        <v>1528</v>
      </c>
      <c r="C3838">
        <v>345</v>
      </c>
      <c r="D3838" s="55" t="s">
        <v>373</v>
      </c>
      <c r="E3838" s="55" t="s">
        <v>15</v>
      </c>
      <c r="G3838" s="62">
        <v>2</v>
      </c>
      <c r="H3838">
        <v>1.04</v>
      </c>
      <c r="I3838">
        <v>1136</v>
      </c>
      <c r="J3838">
        <v>0</v>
      </c>
      <c r="K3838">
        <v>3</v>
      </c>
      <c r="L3838">
        <v>3</v>
      </c>
      <c r="M3838">
        <v>0</v>
      </c>
      <c r="N3838" s="23">
        <v>0</v>
      </c>
      <c r="O3838">
        <f t="shared" si="851"/>
        <v>-1</v>
      </c>
      <c r="P3838" s="57">
        <f t="shared" si="852"/>
        <v>1</v>
      </c>
      <c r="Q3838" s="267">
        <f t="shared" si="853"/>
        <v>2</v>
      </c>
      <c r="R3838" s="23">
        <f t="shared" si="854"/>
        <v>1</v>
      </c>
      <c r="S3838" s="23">
        <f t="shared" si="855"/>
        <v>0</v>
      </c>
      <c r="T3838" s="23" t="str">
        <f t="shared" si="856"/>
        <v/>
      </c>
      <c r="U3838" t="str">
        <f t="shared" si="857"/>
        <v/>
      </c>
      <c r="V3838" s="87"/>
      <c r="AF3838" s="22"/>
      <c r="AU3838" s="10"/>
    </row>
    <row r="3839" spans="1:47">
      <c r="A3839" t="str">
        <f t="shared" si="858"/>
        <v>PA_Alleg_2019g~Gen-school director clairton region 2 (vote for 1)</v>
      </c>
      <c r="B3839" s="55" t="s">
        <v>1528</v>
      </c>
      <c r="C3839">
        <v>390</v>
      </c>
      <c r="D3839" s="55" t="s">
        <v>409</v>
      </c>
      <c r="E3839" s="55" t="s">
        <v>411</v>
      </c>
      <c r="F3839" t="s">
        <v>1294</v>
      </c>
      <c r="G3839" s="62">
        <v>180</v>
      </c>
      <c r="H3839">
        <v>100</v>
      </c>
      <c r="I3839">
        <v>930</v>
      </c>
      <c r="J3839">
        <v>0</v>
      </c>
      <c r="K3839">
        <v>3</v>
      </c>
      <c r="L3839">
        <v>3</v>
      </c>
      <c r="M3839">
        <v>0</v>
      </c>
      <c r="N3839" s="23">
        <v>0</v>
      </c>
      <c r="O3839">
        <f t="shared" si="851"/>
        <v>1</v>
      </c>
      <c r="P3839" s="57">
        <f t="shared" si="852"/>
        <v>1</v>
      </c>
      <c r="Q3839" s="267">
        <f t="shared" si="853"/>
        <v>351</v>
      </c>
      <c r="R3839" s="23">
        <f t="shared" si="854"/>
        <v>180</v>
      </c>
      <c r="S3839" s="23">
        <f t="shared" si="855"/>
        <v>166</v>
      </c>
      <c r="T3839" s="23">
        <f t="shared" si="856"/>
        <v>14</v>
      </c>
      <c r="U3839" t="str">
        <f t="shared" si="857"/>
        <v>PA_Alleg_2019g~Gen-school director clairton region 2 (vote for 1)</v>
      </c>
      <c r="V3839" s="87"/>
      <c r="AF3839" s="22"/>
      <c r="AU3839" s="10"/>
    </row>
    <row r="3840" spans="1:47">
      <c r="A3840" t="str">
        <f t="shared" si="858"/>
        <v>PA_Alleg_2019g~Gen-school director clairton region 2 (vote for 1)</v>
      </c>
      <c r="B3840" s="55" t="s">
        <v>1528</v>
      </c>
      <c r="C3840">
        <v>380</v>
      </c>
      <c r="D3840" s="55" t="s">
        <v>409</v>
      </c>
      <c r="E3840" s="55" t="s">
        <v>410</v>
      </c>
      <c r="F3840" t="s">
        <v>1294</v>
      </c>
      <c r="G3840" s="62">
        <v>166</v>
      </c>
      <c r="H3840">
        <v>97.08</v>
      </c>
      <c r="I3840">
        <v>930</v>
      </c>
      <c r="J3840">
        <v>0</v>
      </c>
      <c r="K3840">
        <v>3</v>
      </c>
      <c r="L3840">
        <v>3</v>
      </c>
      <c r="M3840">
        <v>0</v>
      </c>
      <c r="N3840" s="23">
        <v>0</v>
      </c>
      <c r="O3840">
        <f t="shared" si="851"/>
        <v>2</v>
      </c>
      <c r="P3840" s="57">
        <f t="shared" si="852"/>
        <v>1</v>
      </c>
      <c r="Q3840" s="267">
        <f t="shared" si="853"/>
        <v>171</v>
      </c>
      <c r="R3840" s="23" t="str">
        <f t="shared" si="854"/>
        <v/>
      </c>
      <c r="S3840" s="23">
        <f t="shared" si="855"/>
        <v>166</v>
      </c>
      <c r="T3840" s="23" t="str">
        <f t="shared" si="856"/>
        <v/>
      </c>
      <c r="U3840" t="str">
        <f t="shared" si="857"/>
        <v/>
      </c>
      <c r="V3840" s="87"/>
      <c r="AF3840" s="22"/>
      <c r="AU3840" s="10"/>
    </row>
    <row r="3841" spans="1:47">
      <c r="A3841" t="str">
        <f t="shared" si="858"/>
        <v>PA_Alleg_2019g~Gen-school director clairton region 2 (vote for 1)</v>
      </c>
      <c r="B3841" s="55" t="s">
        <v>1528</v>
      </c>
      <c r="C3841">
        <v>381</v>
      </c>
      <c r="D3841" s="55" t="s">
        <v>409</v>
      </c>
      <c r="E3841" s="55" t="s">
        <v>15</v>
      </c>
      <c r="G3841" s="62">
        <v>5</v>
      </c>
      <c r="H3841">
        <v>2.92</v>
      </c>
      <c r="I3841">
        <v>930</v>
      </c>
      <c r="J3841">
        <v>0</v>
      </c>
      <c r="K3841">
        <v>3</v>
      </c>
      <c r="L3841">
        <v>3</v>
      </c>
      <c r="M3841">
        <v>0</v>
      </c>
      <c r="N3841" s="23">
        <v>0</v>
      </c>
      <c r="O3841">
        <f t="shared" si="851"/>
        <v>-2</v>
      </c>
      <c r="P3841" s="57">
        <f t="shared" si="852"/>
        <v>1</v>
      </c>
      <c r="Q3841" s="267">
        <f t="shared" si="853"/>
        <v>5</v>
      </c>
      <c r="R3841" s="23">
        <f t="shared" si="854"/>
        <v>1</v>
      </c>
      <c r="S3841" s="23">
        <f t="shared" si="855"/>
        <v>0</v>
      </c>
      <c r="T3841" s="23" t="str">
        <f t="shared" si="856"/>
        <v/>
      </c>
      <c r="U3841" t="str">
        <f t="shared" si="857"/>
        <v/>
      </c>
      <c r="V3841" s="87"/>
      <c r="AF3841" s="22"/>
      <c r="AU3841" s="10"/>
    </row>
    <row r="3842" spans="1:47">
      <c r="A3842" t="str">
        <f t="shared" si="858"/>
        <v>PA_Alleg_2019g~Gen-school director clairton region 2 (vote for 1)</v>
      </c>
      <c r="B3842" s="55" t="s">
        <v>1528</v>
      </c>
      <c r="C3842">
        <v>391</v>
      </c>
      <c r="D3842" s="55" t="s">
        <v>409</v>
      </c>
      <c r="E3842" s="55" t="s">
        <v>15</v>
      </c>
      <c r="G3842" s="62">
        <v>0</v>
      </c>
      <c r="H3842">
        <v>0</v>
      </c>
      <c r="I3842">
        <v>930</v>
      </c>
      <c r="J3842">
        <v>0</v>
      </c>
      <c r="K3842">
        <v>3</v>
      </c>
      <c r="L3842">
        <v>3</v>
      </c>
      <c r="M3842">
        <v>0</v>
      </c>
      <c r="N3842" s="23">
        <v>0</v>
      </c>
      <c r="O3842">
        <f t="shared" ref="O3842:O3905" si="859">IF(OR(LOWER(LEFT(E3842,8))="write-in",LOWER(LEFT(E3842,8))="not qual"),IF(A3842=A3841,-ABS(O3841),0),IF(A3842=A3841,ABS(O3841)+1,1))</f>
        <v>-2</v>
      </c>
      <c r="P3842" s="57">
        <f t="shared" ref="P3842:P3905" si="860">1*LEFT(RIGHT(A3842,2),1)</f>
        <v>1</v>
      </c>
      <c r="Q3842" s="267">
        <f t="shared" ref="Q3842:Q3905" si="861">IF(A3842&lt;&gt;A3843,G3842,IF(A3842=A3841,G3842+Q3843,MAX(G3842,(G3842+Q3843)/P3842)))</f>
        <v>0</v>
      </c>
      <c r="R3842" s="23">
        <f t="shared" ref="R3842:R3905" si="862">IF(O3842&gt;P3842,"",IF(O3842=P3842,G3842,IF(A3842=A3843,R3843,IF(O3842&lt;=0,1,G3842))))</f>
        <v>1</v>
      </c>
      <c r="S3842" s="23">
        <f t="shared" ref="S3842:S3905" si="863">IF(AND(O3842&gt;P3842,LOWER(LEFT(E3842,8))&lt;&gt;"write-in",LOWER(LEFT(E3842,8))&lt;&gt;"not qual"),G3842,IF(A3842=A3843,S3843,0))</f>
        <v>0</v>
      </c>
      <c r="T3842" s="23" t="str">
        <f t="shared" ref="T3842:T3905" si="864">IF(OR(A3842=A3841,S3842=0),"",R3842-ABS(S3842))</f>
        <v/>
      </c>
      <c r="U3842" t="str">
        <f t="shared" ref="U3842:U3905" si="865">IF(A3842=A3841,"",A3842)</f>
        <v/>
      </c>
      <c r="V3842" s="87"/>
      <c r="AF3842" s="22"/>
      <c r="AU3842" s="10"/>
    </row>
    <row r="3843" spans="1:47">
      <c r="A3843" t="str">
        <f t="shared" si="858"/>
        <v>PA_Alleg_2019g~Gen-school director clairton region 3 (vote for 1)</v>
      </c>
      <c r="B3843" s="55" t="s">
        <v>1528</v>
      </c>
      <c r="C3843">
        <v>414</v>
      </c>
      <c r="D3843" s="55" t="s">
        <v>442</v>
      </c>
      <c r="E3843" s="55" t="s">
        <v>443</v>
      </c>
      <c r="F3843" t="s">
        <v>1294</v>
      </c>
      <c r="G3843" s="62">
        <v>182</v>
      </c>
      <c r="H3843">
        <v>98.38</v>
      </c>
      <c r="I3843">
        <v>1287</v>
      </c>
      <c r="J3843">
        <v>0</v>
      </c>
      <c r="K3843">
        <v>3</v>
      </c>
      <c r="L3843">
        <v>3</v>
      </c>
      <c r="M3843">
        <v>0</v>
      </c>
      <c r="N3843" s="23">
        <v>0</v>
      </c>
      <c r="O3843">
        <f t="shared" si="859"/>
        <v>1</v>
      </c>
      <c r="P3843" s="57">
        <f t="shared" si="860"/>
        <v>1</v>
      </c>
      <c r="Q3843" s="267">
        <f t="shared" si="861"/>
        <v>185</v>
      </c>
      <c r="R3843" s="23">
        <f t="shared" si="862"/>
        <v>182</v>
      </c>
      <c r="S3843" s="23">
        <f t="shared" si="863"/>
        <v>0</v>
      </c>
      <c r="T3843" s="23" t="str">
        <f t="shared" si="864"/>
        <v/>
      </c>
      <c r="U3843" t="str">
        <f t="shared" si="865"/>
        <v>PA_Alleg_2019g~Gen-school director clairton region 3 (vote for 1)</v>
      </c>
      <c r="V3843" s="87"/>
      <c r="AF3843" s="22"/>
      <c r="AU3843" s="10"/>
    </row>
    <row r="3844" spans="1:47">
      <c r="A3844" t="str">
        <f t="shared" si="858"/>
        <v>PA_Alleg_2019g~Gen-school director clairton region 3 (vote for 1)</v>
      </c>
      <c r="B3844" s="55" t="s">
        <v>1528</v>
      </c>
      <c r="C3844">
        <v>415</v>
      </c>
      <c r="D3844" s="55" t="s">
        <v>442</v>
      </c>
      <c r="E3844" s="55" t="s">
        <v>15</v>
      </c>
      <c r="G3844" s="62">
        <v>3</v>
      </c>
      <c r="H3844">
        <v>1.62</v>
      </c>
      <c r="I3844">
        <v>1287</v>
      </c>
      <c r="J3844">
        <v>0</v>
      </c>
      <c r="K3844">
        <v>3</v>
      </c>
      <c r="L3844">
        <v>3</v>
      </c>
      <c r="M3844">
        <v>0</v>
      </c>
      <c r="N3844" s="23">
        <v>0</v>
      </c>
      <c r="O3844">
        <f t="shared" si="859"/>
        <v>-1</v>
      </c>
      <c r="P3844" s="57">
        <f t="shared" si="860"/>
        <v>1</v>
      </c>
      <c r="Q3844" s="267">
        <f t="shared" si="861"/>
        <v>3</v>
      </c>
      <c r="R3844" s="23">
        <f t="shared" si="862"/>
        <v>1</v>
      </c>
      <c r="S3844" s="23">
        <f t="shared" si="863"/>
        <v>0</v>
      </c>
      <c r="T3844" s="23" t="str">
        <f t="shared" si="864"/>
        <v/>
      </c>
      <c r="U3844" t="str">
        <f t="shared" si="865"/>
        <v/>
      </c>
      <c r="V3844" s="87"/>
      <c r="AF3844" s="22"/>
      <c r="AG3844" s="23"/>
      <c r="AH3844" s="8"/>
      <c r="AU3844" s="10"/>
    </row>
    <row r="3845" spans="1:47">
      <c r="A3845" t="str">
        <f t="shared" si="858"/>
        <v>PA_Alleg_2019g~Gen-school director clairton region 4 (vote for 1)</v>
      </c>
      <c r="B3845" s="55" t="s">
        <v>1528</v>
      </c>
      <c r="C3845">
        <v>427</v>
      </c>
      <c r="D3845" s="55" t="s">
        <v>454</v>
      </c>
      <c r="E3845" s="55" t="s">
        <v>104</v>
      </c>
      <c r="F3845" t="s">
        <v>1396</v>
      </c>
      <c r="G3845" s="62">
        <v>248</v>
      </c>
      <c r="H3845">
        <v>98.41</v>
      </c>
      <c r="I3845">
        <v>1241</v>
      </c>
      <c r="J3845">
        <v>0</v>
      </c>
      <c r="K3845">
        <v>3</v>
      </c>
      <c r="L3845">
        <v>3</v>
      </c>
      <c r="M3845">
        <v>0</v>
      </c>
      <c r="N3845" s="23">
        <v>0</v>
      </c>
      <c r="O3845">
        <f t="shared" si="859"/>
        <v>1</v>
      </c>
      <c r="P3845" s="57">
        <f t="shared" si="860"/>
        <v>1</v>
      </c>
      <c r="Q3845" s="267">
        <f t="shared" si="861"/>
        <v>252</v>
      </c>
      <c r="R3845" s="23">
        <f t="shared" si="862"/>
        <v>248</v>
      </c>
      <c r="S3845" s="23">
        <f t="shared" si="863"/>
        <v>0</v>
      </c>
      <c r="T3845" s="23" t="str">
        <f t="shared" si="864"/>
        <v/>
      </c>
      <c r="U3845" t="str">
        <f t="shared" si="865"/>
        <v>PA_Alleg_2019g~Gen-school director clairton region 4 (vote for 1)</v>
      </c>
      <c r="V3845" s="87"/>
      <c r="AF3845" s="22"/>
      <c r="AU3845" s="10"/>
    </row>
    <row r="3846" spans="1:47">
      <c r="A3846" t="str">
        <f t="shared" si="858"/>
        <v>PA_Alleg_2019g~Gen-school director clairton region 4 (vote for 1)</v>
      </c>
      <c r="B3846" s="55" t="s">
        <v>1528</v>
      </c>
      <c r="C3846">
        <v>428</v>
      </c>
      <c r="D3846" s="55" t="s">
        <v>454</v>
      </c>
      <c r="E3846" s="55" t="s">
        <v>15</v>
      </c>
      <c r="G3846" s="62">
        <v>4</v>
      </c>
      <c r="H3846">
        <v>1.59</v>
      </c>
      <c r="I3846">
        <v>1241</v>
      </c>
      <c r="J3846">
        <v>0</v>
      </c>
      <c r="K3846">
        <v>3</v>
      </c>
      <c r="L3846">
        <v>3</v>
      </c>
      <c r="M3846">
        <v>0</v>
      </c>
      <c r="N3846" s="23">
        <v>0</v>
      </c>
      <c r="O3846">
        <f t="shared" si="859"/>
        <v>-1</v>
      </c>
      <c r="P3846" s="57">
        <f t="shared" si="860"/>
        <v>1</v>
      </c>
      <c r="Q3846" s="267">
        <f t="shared" si="861"/>
        <v>4</v>
      </c>
      <c r="R3846" s="23">
        <f t="shared" si="862"/>
        <v>1</v>
      </c>
      <c r="S3846" s="23">
        <f t="shared" si="863"/>
        <v>0</v>
      </c>
      <c r="T3846" s="23" t="str">
        <f t="shared" si="864"/>
        <v/>
      </c>
      <c r="U3846" t="str">
        <f t="shared" si="865"/>
        <v/>
      </c>
      <c r="V3846" s="87"/>
      <c r="AF3846" s="22"/>
      <c r="AU3846" s="10"/>
    </row>
    <row r="3847" spans="1:47">
      <c r="A3847" t="str">
        <f t="shared" si="858"/>
        <v>PA_Alleg_2019g~Gen-school director cornell (vote for 1)</v>
      </c>
      <c r="B3847" s="55" t="s">
        <v>1528</v>
      </c>
      <c r="C3847">
        <v>308</v>
      </c>
      <c r="D3847" s="55" t="s">
        <v>343</v>
      </c>
      <c r="E3847" s="55" t="s">
        <v>1432</v>
      </c>
      <c r="F3847" t="s">
        <v>1396</v>
      </c>
      <c r="G3847" s="62">
        <v>1230</v>
      </c>
      <c r="H3847">
        <v>99.43</v>
      </c>
      <c r="I3847">
        <v>4812</v>
      </c>
      <c r="J3847">
        <v>0</v>
      </c>
      <c r="K3847">
        <v>10</v>
      </c>
      <c r="L3847">
        <v>10</v>
      </c>
      <c r="M3847">
        <v>0</v>
      </c>
      <c r="N3847" s="23">
        <v>0</v>
      </c>
      <c r="O3847">
        <f t="shared" si="859"/>
        <v>1</v>
      </c>
      <c r="P3847" s="57">
        <f t="shared" si="860"/>
        <v>1</v>
      </c>
      <c r="Q3847" s="267">
        <f t="shared" si="861"/>
        <v>1237</v>
      </c>
      <c r="R3847" s="23">
        <f t="shared" si="862"/>
        <v>1230</v>
      </c>
      <c r="S3847" s="23">
        <f t="shared" si="863"/>
        <v>0</v>
      </c>
      <c r="T3847" s="23" t="str">
        <f t="shared" si="864"/>
        <v/>
      </c>
      <c r="U3847" t="str">
        <f t="shared" si="865"/>
        <v>PA_Alleg_2019g~Gen-school director cornell (vote for 1)</v>
      </c>
      <c r="V3847" s="87"/>
      <c r="AF3847" s="22"/>
      <c r="AU3847" s="10"/>
    </row>
    <row r="3848" spans="1:47">
      <c r="A3848" t="str">
        <f t="shared" si="858"/>
        <v>PA_Alleg_2019g~Gen-school director cornell (vote for 1)</v>
      </c>
      <c r="B3848" s="55" t="s">
        <v>1528</v>
      </c>
      <c r="C3848">
        <v>309</v>
      </c>
      <c r="D3848" s="55" t="s">
        <v>343</v>
      </c>
      <c r="E3848" s="55" t="s">
        <v>15</v>
      </c>
      <c r="G3848" s="62">
        <v>7</v>
      </c>
      <c r="H3848">
        <v>0.56999999999999995</v>
      </c>
      <c r="I3848">
        <v>4812</v>
      </c>
      <c r="J3848">
        <v>0</v>
      </c>
      <c r="K3848">
        <v>10</v>
      </c>
      <c r="L3848">
        <v>10</v>
      </c>
      <c r="M3848">
        <v>0</v>
      </c>
      <c r="N3848" s="23">
        <v>0</v>
      </c>
      <c r="O3848">
        <f t="shared" si="859"/>
        <v>-1</v>
      </c>
      <c r="P3848" s="57">
        <f t="shared" si="860"/>
        <v>1</v>
      </c>
      <c r="Q3848" s="267">
        <f t="shared" si="861"/>
        <v>7</v>
      </c>
      <c r="R3848" s="23">
        <f t="shared" si="862"/>
        <v>1</v>
      </c>
      <c r="S3848" s="23">
        <f t="shared" si="863"/>
        <v>0</v>
      </c>
      <c r="T3848" s="23" t="str">
        <f t="shared" si="864"/>
        <v/>
      </c>
      <c r="U3848" t="str">
        <f t="shared" si="865"/>
        <v/>
      </c>
      <c r="V3848" s="87"/>
      <c r="AF3848" s="22"/>
      <c r="AU3848" s="10"/>
    </row>
    <row r="3849" spans="1:47">
      <c r="A3849" t="str">
        <f t="shared" si="858"/>
        <v>PA_Alleg_2019g~Gen-school director cornell (vote for 5)</v>
      </c>
      <c r="B3849" s="55" t="s">
        <v>1528</v>
      </c>
      <c r="C3849">
        <v>128</v>
      </c>
      <c r="D3849" s="55" t="s">
        <v>161</v>
      </c>
      <c r="E3849" s="55" t="s">
        <v>164</v>
      </c>
      <c r="F3849" t="s">
        <v>1396</v>
      </c>
      <c r="G3849" s="62">
        <v>1114</v>
      </c>
      <c r="H3849">
        <v>21.26</v>
      </c>
      <c r="I3849">
        <v>4812</v>
      </c>
      <c r="J3849">
        <v>0</v>
      </c>
      <c r="K3849">
        <v>10</v>
      </c>
      <c r="L3849">
        <v>10</v>
      </c>
      <c r="M3849">
        <v>0</v>
      </c>
      <c r="N3849" s="23">
        <v>0</v>
      </c>
      <c r="O3849">
        <f t="shared" si="859"/>
        <v>1</v>
      </c>
      <c r="P3849" s="57">
        <f t="shared" si="860"/>
        <v>5</v>
      </c>
      <c r="Q3849" s="267">
        <f t="shared" si="861"/>
        <v>1114</v>
      </c>
      <c r="R3849" s="23">
        <f t="shared" si="862"/>
        <v>967</v>
      </c>
      <c r="S3849" s="23">
        <f t="shared" si="863"/>
        <v>0</v>
      </c>
      <c r="T3849" s="23" t="str">
        <f t="shared" si="864"/>
        <v/>
      </c>
      <c r="U3849" t="str">
        <f t="shared" si="865"/>
        <v>PA_Alleg_2019g~Gen-school director cornell (vote for 5)</v>
      </c>
      <c r="V3849" s="87"/>
      <c r="AF3849" s="22"/>
      <c r="AL3849" s="23"/>
      <c r="AU3849" s="10"/>
    </row>
    <row r="3850" spans="1:47">
      <c r="A3850" t="str">
        <f t="shared" si="858"/>
        <v>PA_Alleg_2019g~Gen-school director cornell (vote for 5)</v>
      </c>
      <c r="B3850" s="55" t="s">
        <v>1528</v>
      </c>
      <c r="C3850">
        <v>129</v>
      </c>
      <c r="D3850" s="55" t="s">
        <v>161</v>
      </c>
      <c r="E3850" s="55" t="s">
        <v>162</v>
      </c>
      <c r="F3850" t="s">
        <v>1396</v>
      </c>
      <c r="G3850" s="62">
        <v>1054</v>
      </c>
      <c r="H3850">
        <v>20.11</v>
      </c>
      <c r="I3850">
        <v>4812</v>
      </c>
      <c r="J3850">
        <v>0</v>
      </c>
      <c r="K3850">
        <v>10</v>
      </c>
      <c r="L3850">
        <v>10</v>
      </c>
      <c r="M3850">
        <v>0</v>
      </c>
      <c r="N3850" s="23">
        <v>0</v>
      </c>
      <c r="O3850">
        <f t="shared" si="859"/>
        <v>2</v>
      </c>
      <c r="P3850" s="57">
        <f t="shared" si="860"/>
        <v>5</v>
      </c>
      <c r="Q3850" s="267">
        <f t="shared" si="861"/>
        <v>4126</v>
      </c>
      <c r="R3850" s="23">
        <f t="shared" si="862"/>
        <v>967</v>
      </c>
      <c r="S3850" s="23">
        <f t="shared" si="863"/>
        <v>0</v>
      </c>
      <c r="T3850" s="23" t="str">
        <f t="shared" si="864"/>
        <v/>
      </c>
      <c r="U3850" t="str">
        <f t="shared" si="865"/>
        <v/>
      </c>
      <c r="V3850" s="87"/>
      <c r="AF3850" s="22"/>
      <c r="AU3850" s="10"/>
    </row>
    <row r="3851" spans="1:47">
      <c r="A3851" t="str">
        <f t="shared" si="858"/>
        <v>PA_Alleg_2019g~Gen-school director cornell (vote for 5)</v>
      </c>
      <c r="B3851" s="55" t="s">
        <v>1528</v>
      </c>
      <c r="C3851">
        <v>132</v>
      </c>
      <c r="D3851" s="55" t="s">
        <v>161</v>
      </c>
      <c r="E3851" s="55" t="s">
        <v>1416</v>
      </c>
      <c r="F3851" t="s">
        <v>1396</v>
      </c>
      <c r="G3851" s="62">
        <v>1050</v>
      </c>
      <c r="H3851">
        <v>20.04</v>
      </c>
      <c r="I3851">
        <v>4812</v>
      </c>
      <c r="J3851">
        <v>0</v>
      </c>
      <c r="K3851">
        <v>10</v>
      </c>
      <c r="L3851">
        <v>10</v>
      </c>
      <c r="M3851">
        <v>0</v>
      </c>
      <c r="N3851" s="23">
        <v>0</v>
      </c>
      <c r="O3851">
        <f t="shared" si="859"/>
        <v>3</v>
      </c>
      <c r="P3851" s="57">
        <f t="shared" si="860"/>
        <v>5</v>
      </c>
      <c r="Q3851" s="267">
        <f t="shared" si="861"/>
        <v>3072</v>
      </c>
      <c r="R3851" s="23">
        <f t="shared" si="862"/>
        <v>967</v>
      </c>
      <c r="S3851" s="23">
        <f t="shared" si="863"/>
        <v>0</v>
      </c>
      <c r="T3851" s="23" t="str">
        <f t="shared" si="864"/>
        <v/>
      </c>
      <c r="U3851" t="str">
        <f t="shared" si="865"/>
        <v/>
      </c>
      <c r="V3851" s="87"/>
      <c r="AF3851" s="22"/>
      <c r="AU3851" s="10"/>
    </row>
    <row r="3852" spans="1:47">
      <c r="A3852" t="str">
        <f t="shared" si="858"/>
        <v>PA_Alleg_2019g~Gen-school director cornell (vote for 5)</v>
      </c>
      <c r="B3852" s="55" t="s">
        <v>1528</v>
      </c>
      <c r="C3852">
        <v>130</v>
      </c>
      <c r="D3852" s="55" t="s">
        <v>161</v>
      </c>
      <c r="E3852" s="55" t="s">
        <v>163</v>
      </c>
      <c r="F3852" t="s">
        <v>1396</v>
      </c>
      <c r="G3852" s="62">
        <v>1026</v>
      </c>
      <c r="H3852">
        <v>19.579999999999998</v>
      </c>
      <c r="I3852">
        <v>4812</v>
      </c>
      <c r="J3852">
        <v>0</v>
      </c>
      <c r="K3852">
        <v>10</v>
      </c>
      <c r="L3852">
        <v>10</v>
      </c>
      <c r="M3852">
        <v>0</v>
      </c>
      <c r="N3852" s="23">
        <v>0</v>
      </c>
      <c r="O3852">
        <f t="shared" si="859"/>
        <v>4</v>
      </c>
      <c r="P3852" s="57">
        <f t="shared" si="860"/>
        <v>5</v>
      </c>
      <c r="Q3852" s="267">
        <f t="shared" si="861"/>
        <v>2022</v>
      </c>
      <c r="R3852" s="23">
        <f t="shared" si="862"/>
        <v>967</v>
      </c>
      <c r="S3852" s="23">
        <f t="shared" si="863"/>
        <v>0</v>
      </c>
      <c r="T3852" s="23" t="str">
        <f t="shared" si="864"/>
        <v/>
      </c>
      <c r="U3852" t="str">
        <f t="shared" si="865"/>
        <v/>
      </c>
      <c r="V3852" s="87"/>
      <c r="AF3852" s="22"/>
      <c r="AU3852" s="10"/>
    </row>
    <row r="3853" spans="1:47">
      <c r="A3853" t="str">
        <f t="shared" si="858"/>
        <v>PA_Alleg_2019g~Gen-school director cornell (vote for 5)</v>
      </c>
      <c r="B3853" s="55" t="s">
        <v>1528</v>
      </c>
      <c r="C3853">
        <v>131</v>
      </c>
      <c r="D3853" s="55" t="s">
        <v>161</v>
      </c>
      <c r="E3853" s="55" t="s">
        <v>165</v>
      </c>
      <c r="F3853" t="s">
        <v>1396</v>
      </c>
      <c r="G3853" s="62">
        <v>967</v>
      </c>
      <c r="H3853">
        <v>18.45</v>
      </c>
      <c r="I3853">
        <v>4812</v>
      </c>
      <c r="J3853">
        <v>0</v>
      </c>
      <c r="K3853">
        <v>10</v>
      </c>
      <c r="L3853">
        <v>10</v>
      </c>
      <c r="M3853">
        <v>0</v>
      </c>
      <c r="N3853" s="23">
        <v>0</v>
      </c>
      <c r="O3853">
        <f t="shared" si="859"/>
        <v>5</v>
      </c>
      <c r="P3853" s="57">
        <f t="shared" si="860"/>
        <v>5</v>
      </c>
      <c r="Q3853" s="267">
        <f t="shared" si="861"/>
        <v>996</v>
      </c>
      <c r="R3853" s="23">
        <f t="shared" si="862"/>
        <v>967</v>
      </c>
      <c r="S3853" s="23">
        <f t="shared" si="863"/>
        <v>0</v>
      </c>
      <c r="T3853" s="23" t="str">
        <f t="shared" si="864"/>
        <v/>
      </c>
      <c r="U3853" t="str">
        <f t="shared" si="865"/>
        <v/>
      </c>
      <c r="V3853" s="87"/>
      <c r="AF3853" s="22"/>
      <c r="AH3853" s="8"/>
      <c r="AU3853" s="10"/>
    </row>
    <row r="3854" spans="1:47">
      <c r="A3854" t="str">
        <f t="shared" si="858"/>
        <v>PA_Alleg_2019g~Gen-school director cornell (vote for 5)</v>
      </c>
      <c r="B3854" s="55" t="s">
        <v>1528</v>
      </c>
      <c r="C3854">
        <v>133</v>
      </c>
      <c r="D3854" s="55" t="s">
        <v>161</v>
      </c>
      <c r="E3854" s="55" t="s">
        <v>15</v>
      </c>
      <c r="G3854" s="62">
        <v>29</v>
      </c>
      <c r="H3854">
        <v>0.55000000000000004</v>
      </c>
      <c r="I3854">
        <v>4812</v>
      </c>
      <c r="J3854">
        <v>0</v>
      </c>
      <c r="K3854">
        <v>10</v>
      </c>
      <c r="L3854">
        <v>10</v>
      </c>
      <c r="M3854">
        <v>0</v>
      </c>
      <c r="N3854" s="23">
        <v>0</v>
      </c>
      <c r="O3854">
        <f t="shared" si="859"/>
        <v>-5</v>
      </c>
      <c r="P3854" s="57">
        <f t="shared" si="860"/>
        <v>5</v>
      </c>
      <c r="Q3854" s="267">
        <f t="shared" si="861"/>
        <v>29</v>
      </c>
      <c r="R3854" s="23">
        <f t="shared" si="862"/>
        <v>1</v>
      </c>
      <c r="S3854" s="23">
        <f t="shared" si="863"/>
        <v>0</v>
      </c>
      <c r="T3854" s="23" t="str">
        <f t="shared" si="864"/>
        <v/>
      </c>
      <c r="U3854" t="str">
        <f t="shared" si="865"/>
        <v/>
      </c>
      <c r="V3854" s="87"/>
      <c r="AF3854" s="22"/>
      <c r="AU3854" s="10"/>
    </row>
    <row r="3855" spans="1:47">
      <c r="A3855" t="str">
        <f t="shared" si="858"/>
        <v>PA_Alleg_2019g~Gen-school director deer lakes (vote for 5)</v>
      </c>
      <c r="B3855" s="55" t="s">
        <v>1528</v>
      </c>
      <c r="C3855">
        <v>138</v>
      </c>
      <c r="D3855" s="55" t="s">
        <v>166</v>
      </c>
      <c r="E3855" s="55" t="s">
        <v>1420</v>
      </c>
      <c r="F3855" t="s">
        <v>1396</v>
      </c>
      <c r="G3855" s="62">
        <v>2186</v>
      </c>
      <c r="H3855">
        <v>19.88</v>
      </c>
      <c r="I3855">
        <v>10192</v>
      </c>
      <c r="J3855">
        <v>0</v>
      </c>
      <c r="K3855">
        <v>11</v>
      </c>
      <c r="L3855">
        <v>11</v>
      </c>
      <c r="M3855">
        <v>0</v>
      </c>
      <c r="N3855" s="23">
        <v>0</v>
      </c>
      <c r="O3855">
        <f t="shared" si="859"/>
        <v>1</v>
      </c>
      <c r="P3855" s="57">
        <f t="shared" si="860"/>
        <v>5</v>
      </c>
      <c r="Q3855" s="267">
        <f t="shared" si="861"/>
        <v>2199.1999999999998</v>
      </c>
      <c r="R3855" s="23">
        <f t="shared" si="862"/>
        <v>1429</v>
      </c>
      <c r="S3855" s="23">
        <f t="shared" si="863"/>
        <v>1346</v>
      </c>
      <c r="T3855" s="23">
        <f t="shared" si="864"/>
        <v>83</v>
      </c>
      <c r="U3855" t="str">
        <f t="shared" si="865"/>
        <v>PA_Alleg_2019g~Gen-school director deer lakes (vote for 5)</v>
      </c>
      <c r="V3855" s="87"/>
      <c r="AF3855" s="22"/>
      <c r="AU3855" s="10"/>
    </row>
    <row r="3856" spans="1:47">
      <c r="A3856" t="str">
        <f t="shared" si="858"/>
        <v>PA_Alleg_2019g~Gen-school director deer lakes (vote for 5)</v>
      </c>
      <c r="B3856" s="55" t="s">
        <v>1528</v>
      </c>
      <c r="C3856">
        <v>135</v>
      </c>
      <c r="D3856" s="55" t="s">
        <v>166</v>
      </c>
      <c r="E3856" s="55" t="s">
        <v>1417</v>
      </c>
      <c r="F3856" t="s">
        <v>1396</v>
      </c>
      <c r="G3856" s="62">
        <v>2089</v>
      </c>
      <c r="H3856">
        <v>19</v>
      </c>
      <c r="I3856">
        <v>10192</v>
      </c>
      <c r="J3856">
        <v>0</v>
      </c>
      <c r="K3856">
        <v>11</v>
      </c>
      <c r="L3856">
        <v>11</v>
      </c>
      <c r="M3856">
        <v>0</v>
      </c>
      <c r="N3856" s="23">
        <v>0</v>
      </c>
      <c r="O3856">
        <f t="shared" si="859"/>
        <v>2</v>
      </c>
      <c r="P3856" s="57">
        <f t="shared" si="860"/>
        <v>5</v>
      </c>
      <c r="Q3856" s="267">
        <f t="shared" si="861"/>
        <v>8810</v>
      </c>
      <c r="R3856" s="23">
        <f t="shared" si="862"/>
        <v>1429</v>
      </c>
      <c r="S3856" s="23">
        <f t="shared" si="863"/>
        <v>1346</v>
      </c>
      <c r="T3856" s="23" t="str">
        <f t="shared" si="864"/>
        <v/>
      </c>
      <c r="U3856" t="str">
        <f t="shared" si="865"/>
        <v/>
      </c>
      <c r="V3856" s="87"/>
      <c r="AF3856" s="22"/>
      <c r="AU3856" s="10"/>
    </row>
    <row r="3857" spans="1:47">
      <c r="A3857" t="str">
        <f t="shared" si="858"/>
        <v>PA_Alleg_2019g~Gen-school director deer lakes (vote for 5)</v>
      </c>
      <c r="B3857" s="55" t="s">
        <v>1528</v>
      </c>
      <c r="C3857">
        <v>137</v>
      </c>
      <c r="D3857" s="55" t="s">
        <v>166</v>
      </c>
      <c r="E3857" s="55" t="s">
        <v>1419</v>
      </c>
      <c r="F3857" t="s">
        <v>1396</v>
      </c>
      <c r="G3857" s="62">
        <v>2021</v>
      </c>
      <c r="H3857">
        <v>18.38</v>
      </c>
      <c r="I3857">
        <v>10192</v>
      </c>
      <c r="J3857">
        <v>0</v>
      </c>
      <c r="K3857">
        <v>11</v>
      </c>
      <c r="L3857">
        <v>11</v>
      </c>
      <c r="M3857">
        <v>0</v>
      </c>
      <c r="N3857" s="23">
        <v>0</v>
      </c>
      <c r="O3857">
        <f t="shared" si="859"/>
        <v>3</v>
      </c>
      <c r="P3857" s="57">
        <f t="shared" si="860"/>
        <v>5</v>
      </c>
      <c r="Q3857" s="267">
        <f t="shared" si="861"/>
        <v>6721</v>
      </c>
      <c r="R3857" s="23">
        <f t="shared" si="862"/>
        <v>1429</v>
      </c>
      <c r="S3857" s="23">
        <f t="shared" si="863"/>
        <v>1346</v>
      </c>
      <c r="T3857" s="23" t="str">
        <f t="shared" si="864"/>
        <v/>
      </c>
      <c r="U3857" t="str">
        <f t="shared" si="865"/>
        <v/>
      </c>
      <c r="V3857" s="87"/>
      <c r="AF3857" s="22"/>
      <c r="AU3857" s="10"/>
    </row>
    <row r="3858" spans="1:47">
      <c r="A3858" t="str">
        <f t="shared" si="858"/>
        <v>PA_Alleg_2019g~Gen-school director deer lakes (vote for 5)</v>
      </c>
      <c r="B3858" s="55" t="s">
        <v>1528</v>
      </c>
      <c r="C3858">
        <v>134</v>
      </c>
      <c r="D3858" s="55" t="s">
        <v>166</v>
      </c>
      <c r="E3858" s="55" t="s">
        <v>167</v>
      </c>
      <c r="F3858" t="s">
        <v>1396</v>
      </c>
      <c r="G3858" s="62">
        <v>1893</v>
      </c>
      <c r="H3858">
        <v>17.22</v>
      </c>
      <c r="I3858">
        <v>10192</v>
      </c>
      <c r="J3858">
        <v>0</v>
      </c>
      <c r="K3858">
        <v>11</v>
      </c>
      <c r="L3858">
        <v>11</v>
      </c>
      <c r="M3858">
        <v>0</v>
      </c>
      <c r="N3858" s="23">
        <v>0</v>
      </c>
      <c r="O3858">
        <f t="shared" si="859"/>
        <v>4</v>
      </c>
      <c r="P3858" s="57">
        <f t="shared" si="860"/>
        <v>5</v>
      </c>
      <c r="Q3858" s="267">
        <f t="shared" si="861"/>
        <v>4700</v>
      </c>
      <c r="R3858" s="23">
        <f t="shared" si="862"/>
        <v>1429</v>
      </c>
      <c r="S3858" s="23">
        <f t="shared" si="863"/>
        <v>1346</v>
      </c>
      <c r="T3858" s="23" t="str">
        <f t="shared" si="864"/>
        <v/>
      </c>
      <c r="U3858" t="str">
        <f t="shared" si="865"/>
        <v/>
      </c>
      <c r="V3858" s="87"/>
      <c r="AF3858" s="22"/>
      <c r="AU3858" s="10"/>
    </row>
    <row r="3859" spans="1:47">
      <c r="A3859" t="str">
        <f t="shared" si="858"/>
        <v>PA_Alleg_2019g~Gen-school director deer lakes (vote for 5)</v>
      </c>
      <c r="B3859" s="55" t="s">
        <v>1528</v>
      </c>
      <c r="C3859">
        <v>139</v>
      </c>
      <c r="D3859" s="55" t="s">
        <v>166</v>
      </c>
      <c r="E3859" s="55" t="s">
        <v>1124</v>
      </c>
      <c r="F3859" t="s">
        <v>1296</v>
      </c>
      <c r="G3859" s="62">
        <v>1429</v>
      </c>
      <c r="H3859">
        <v>13</v>
      </c>
      <c r="I3859">
        <v>10192</v>
      </c>
      <c r="J3859">
        <v>0</v>
      </c>
      <c r="K3859">
        <v>11</v>
      </c>
      <c r="L3859">
        <v>11</v>
      </c>
      <c r="M3859">
        <v>0</v>
      </c>
      <c r="N3859" s="23">
        <v>0</v>
      </c>
      <c r="O3859">
        <f t="shared" si="859"/>
        <v>5</v>
      </c>
      <c r="P3859" s="57">
        <f t="shared" si="860"/>
        <v>5</v>
      </c>
      <c r="Q3859" s="267">
        <f t="shared" si="861"/>
        <v>2807</v>
      </c>
      <c r="R3859" s="23">
        <f t="shared" si="862"/>
        <v>1429</v>
      </c>
      <c r="S3859" s="23">
        <f t="shared" si="863"/>
        <v>1346</v>
      </c>
      <c r="T3859" s="23" t="str">
        <f t="shared" si="864"/>
        <v/>
      </c>
      <c r="U3859" t="str">
        <f t="shared" si="865"/>
        <v/>
      </c>
      <c r="V3859" s="87"/>
      <c r="AF3859" s="22"/>
      <c r="AU3859" s="10"/>
    </row>
    <row r="3860" spans="1:47">
      <c r="A3860" t="str">
        <f t="shared" si="858"/>
        <v>PA_Alleg_2019g~Gen-school director deer lakes (vote for 5)</v>
      </c>
      <c r="B3860" s="55" t="s">
        <v>1528</v>
      </c>
      <c r="C3860">
        <v>136</v>
      </c>
      <c r="D3860" s="55" t="s">
        <v>166</v>
      </c>
      <c r="E3860" s="55" t="s">
        <v>1418</v>
      </c>
      <c r="F3860" t="s">
        <v>1294</v>
      </c>
      <c r="G3860" s="62">
        <v>1346</v>
      </c>
      <c r="H3860">
        <v>12.24</v>
      </c>
      <c r="I3860">
        <v>10192</v>
      </c>
      <c r="J3860">
        <v>0</v>
      </c>
      <c r="K3860">
        <v>11</v>
      </c>
      <c r="L3860">
        <v>11</v>
      </c>
      <c r="M3860">
        <v>0</v>
      </c>
      <c r="N3860" s="23">
        <v>0</v>
      </c>
      <c r="O3860">
        <f t="shared" si="859"/>
        <v>6</v>
      </c>
      <c r="P3860" s="57">
        <f t="shared" si="860"/>
        <v>5</v>
      </c>
      <c r="Q3860" s="267">
        <f t="shared" si="861"/>
        <v>1378</v>
      </c>
      <c r="R3860" s="23" t="str">
        <f t="shared" si="862"/>
        <v/>
      </c>
      <c r="S3860" s="23">
        <f t="shared" si="863"/>
        <v>1346</v>
      </c>
      <c r="T3860" s="23" t="str">
        <f t="shared" si="864"/>
        <v/>
      </c>
      <c r="U3860" t="str">
        <f t="shared" si="865"/>
        <v/>
      </c>
      <c r="V3860" s="87"/>
      <c r="AF3860" s="22"/>
      <c r="AU3860" s="10"/>
    </row>
    <row r="3861" spans="1:47">
      <c r="A3861" t="str">
        <f t="shared" si="858"/>
        <v>PA_Alleg_2019g~Gen-school director deer lakes (vote for 5)</v>
      </c>
      <c r="B3861" s="55" t="s">
        <v>1528</v>
      </c>
      <c r="C3861">
        <v>140</v>
      </c>
      <c r="D3861" s="55" t="s">
        <v>166</v>
      </c>
      <c r="E3861" s="55" t="s">
        <v>15</v>
      </c>
      <c r="G3861" s="62">
        <v>32</v>
      </c>
      <c r="H3861">
        <v>0.28999999999999998</v>
      </c>
      <c r="I3861">
        <v>10192</v>
      </c>
      <c r="J3861">
        <v>0</v>
      </c>
      <c r="K3861">
        <v>11</v>
      </c>
      <c r="L3861">
        <v>11</v>
      </c>
      <c r="M3861">
        <v>0</v>
      </c>
      <c r="N3861" s="23">
        <v>0</v>
      </c>
      <c r="O3861">
        <f t="shared" si="859"/>
        <v>-6</v>
      </c>
      <c r="P3861" s="57">
        <f t="shared" si="860"/>
        <v>5</v>
      </c>
      <c r="Q3861" s="267">
        <f t="shared" si="861"/>
        <v>32</v>
      </c>
      <c r="R3861" s="23">
        <f t="shared" si="862"/>
        <v>1</v>
      </c>
      <c r="S3861" s="23">
        <f t="shared" si="863"/>
        <v>0</v>
      </c>
      <c r="T3861" s="23" t="str">
        <f t="shared" si="864"/>
        <v/>
      </c>
      <c r="U3861" t="str">
        <f t="shared" si="865"/>
        <v/>
      </c>
      <c r="V3861" s="87"/>
      <c r="AF3861" s="22"/>
      <c r="AU3861" s="10"/>
    </row>
    <row r="3862" spans="1:47">
      <c r="A3862" t="str">
        <f t="shared" si="858"/>
        <v>PA_Alleg_2019g~Gen-school director district 2 (vote for 1)</v>
      </c>
      <c r="B3862" s="55" t="s">
        <v>1528</v>
      </c>
      <c r="C3862">
        <v>59</v>
      </c>
      <c r="D3862" s="55" t="s">
        <v>70</v>
      </c>
      <c r="E3862" s="55" t="s">
        <v>72</v>
      </c>
      <c r="F3862" t="s">
        <v>1294</v>
      </c>
      <c r="G3862" s="62">
        <v>7939</v>
      </c>
      <c r="H3862">
        <v>82.2</v>
      </c>
      <c r="I3862">
        <v>32416</v>
      </c>
      <c r="J3862">
        <v>0</v>
      </c>
      <c r="K3862">
        <v>51</v>
      </c>
      <c r="L3862">
        <v>51</v>
      </c>
      <c r="M3862">
        <v>0</v>
      </c>
      <c r="N3862" s="23">
        <v>0</v>
      </c>
      <c r="O3862">
        <f t="shared" si="859"/>
        <v>1</v>
      </c>
      <c r="P3862" s="57">
        <f t="shared" si="860"/>
        <v>1</v>
      </c>
      <c r="Q3862" s="267">
        <f t="shared" si="861"/>
        <v>9658</v>
      </c>
      <c r="R3862" s="23">
        <f t="shared" si="862"/>
        <v>7939</v>
      </c>
      <c r="S3862" s="23">
        <f t="shared" si="863"/>
        <v>1703</v>
      </c>
      <c r="T3862" s="23">
        <f t="shared" si="864"/>
        <v>6236</v>
      </c>
      <c r="U3862" t="str">
        <f t="shared" si="865"/>
        <v>PA_Alleg_2019g~Gen-school director district 2 (vote for 1)</v>
      </c>
      <c r="V3862" s="87"/>
      <c r="AF3862" s="22"/>
      <c r="AU3862" s="10"/>
    </row>
    <row r="3863" spans="1:47">
      <c r="A3863" t="str">
        <f t="shared" si="858"/>
        <v>PA_Alleg_2019g~Gen-school director district 2 (vote for 1)</v>
      </c>
      <c r="B3863" s="55" t="s">
        <v>1528</v>
      </c>
      <c r="C3863">
        <v>60</v>
      </c>
      <c r="D3863" s="55" t="s">
        <v>70</v>
      </c>
      <c r="E3863" s="55" t="s">
        <v>73</v>
      </c>
      <c r="F3863" t="s">
        <v>1296</v>
      </c>
      <c r="G3863" s="62">
        <v>1703</v>
      </c>
      <c r="H3863">
        <v>17.63</v>
      </c>
      <c r="I3863">
        <v>32416</v>
      </c>
      <c r="J3863">
        <v>0</v>
      </c>
      <c r="K3863">
        <v>51</v>
      </c>
      <c r="L3863">
        <v>51</v>
      </c>
      <c r="M3863">
        <v>0</v>
      </c>
      <c r="N3863" s="23">
        <v>0</v>
      </c>
      <c r="O3863">
        <f t="shared" si="859"/>
        <v>2</v>
      </c>
      <c r="P3863" s="57">
        <f t="shared" si="860"/>
        <v>1</v>
      </c>
      <c r="Q3863" s="267">
        <f t="shared" si="861"/>
        <v>1719</v>
      </c>
      <c r="R3863" s="23" t="str">
        <f t="shared" si="862"/>
        <v/>
      </c>
      <c r="S3863" s="23">
        <f t="shared" si="863"/>
        <v>1703</v>
      </c>
      <c r="T3863" s="23" t="str">
        <f t="shared" si="864"/>
        <v/>
      </c>
      <c r="U3863" t="str">
        <f t="shared" si="865"/>
        <v/>
      </c>
      <c r="V3863" s="87"/>
      <c r="AF3863" s="22"/>
      <c r="AU3863" s="10"/>
    </row>
    <row r="3864" spans="1:47">
      <c r="A3864" t="str">
        <f t="shared" si="858"/>
        <v>PA_Alleg_2019g~Gen-school director district 2 (vote for 1)</v>
      </c>
      <c r="B3864" s="55" t="s">
        <v>1528</v>
      </c>
      <c r="C3864">
        <v>61</v>
      </c>
      <c r="D3864" s="55" t="s">
        <v>70</v>
      </c>
      <c r="E3864" s="55" t="s">
        <v>15</v>
      </c>
      <c r="G3864" s="62">
        <v>16</v>
      </c>
      <c r="H3864">
        <v>0.17</v>
      </c>
      <c r="I3864">
        <v>32416</v>
      </c>
      <c r="J3864">
        <v>0</v>
      </c>
      <c r="K3864">
        <v>51</v>
      </c>
      <c r="L3864">
        <v>51</v>
      </c>
      <c r="M3864">
        <v>0</v>
      </c>
      <c r="N3864" s="23">
        <v>0</v>
      </c>
      <c r="O3864">
        <f t="shared" si="859"/>
        <v>-2</v>
      </c>
      <c r="P3864" s="57">
        <f t="shared" si="860"/>
        <v>1</v>
      </c>
      <c r="Q3864" s="267">
        <f t="shared" si="861"/>
        <v>16</v>
      </c>
      <c r="R3864" s="23">
        <f t="shared" si="862"/>
        <v>1</v>
      </c>
      <c r="S3864" s="23">
        <f t="shared" si="863"/>
        <v>0</v>
      </c>
      <c r="T3864" s="23" t="str">
        <f t="shared" si="864"/>
        <v/>
      </c>
      <c r="U3864" t="str">
        <f t="shared" si="865"/>
        <v/>
      </c>
      <c r="V3864" s="87"/>
      <c r="AF3864" s="22"/>
      <c r="AU3864" s="10"/>
    </row>
    <row r="3865" spans="1:47">
      <c r="A3865" t="str">
        <f t="shared" si="858"/>
        <v>PA_Alleg_2019g~Gen-school director district 4 (vote for 1)</v>
      </c>
      <c r="B3865" s="55" t="s">
        <v>1528</v>
      </c>
      <c r="C3865">
        <v>62</v>
      </c>
      <c r="D3865" s="55" t="s">
        <v>75</v>
      </c>
      <c r="E3865" s="55" t="s">
        <v>76</v>
      </c>
      <c r="F3865" t="s">
        <v>1396</v>
      </c>
      <c r="G3865" s="62">
        <v>7661</v>
      </c>
      <c r="H3865">
        <v>98.52</v>
      </c>
      <c r="I3865">
        <v>36381</v>
      </c>
      <c r="J3865">
        <v>0</v>
      </c>
      <c r="K3865">
        <v>37</v>
      </c>
      <c r="L3865">
        <v>37</v>
      </c>
      <c r="M3865">
        <v>0</v>
      </c>
      <c r="N3865" s="23">
        <v>0</v>
      </c>
      <c r="O3865">
        <f t="shared" si="859"/>
        <v>1</v>
      </c>
      <c r="P3865" s="57">
        <f t="shared" si="860"/>
        <v>1</v>
      </c>
      <c r="Q3865" s="267">
        <f t="shared" si="861"/>
        <v>7776</v>
      </c>
      <c r="R3865" s="23">
        <f t="shared" si="862"/>
        <v>7661</v>
      </c>
      <c r="S3865" s="23">
        <f t="shared" si="863"/>
        <v>0</v>
      </c>
      <c r="T3865" s="23" t="str">
        <f t="shared" si="864"/>
        <v/>
      </c>
      <c r="U3865" t="str">
        <f t="shared" si="865"/>
        <v>PA_Alleg_2019g~Gen-school director district 4 (vote for 1)</v>
      </c>
      <c r="V3865" s="87"/>
      <c r="AF3865" s="22"/>
      <c r="AU3865" s="10"/>
    </row>
    <row r="3866" spans="1:47">
      <c r="A3866" t="str">
        <f t="shared" si="858"/>
        <v>PA_Alleg_2019g~Gen-school director district 4 (vote for 1)</v>
      </c>
      <c r="B3866" s="55" t="s">
        <v>1528</v>
      </c>
      <c r="C3866">
        <v>63</v>
      </c>
      <c r="D3866" s="55" t="s">
        <v>75</v>
      </c>
      <c r="E3866" s="55" t="s">
        <v>15</v>
      </c>
      <c r="G3866" s="62">
        <v>115</v>
      </c>
      <c r="H3866">
        <v>1.48</v>
      </c>
      <c r="I3866">
        <v>36381</v>
      </c>
      <c r="J3866">
        <v>0</v>
      </c>
      <c r="K3866">
        <v>37</v>
      </c>
      <c r="L3866">
        <v>37</v>
      </c>
      <c r="M3866">
        <v>0</v>
      </c>
      <c r="N3866" s="23">
        <v>0</v>
      </c>
      <c r="O3866">
        <f t="shared" si="859"/>
        <v>-1</v>
      </c>
      <c r="P3866" s="57">
        <f t="shared" si="860"/>
        <v>1</v>
      </c>
      <c r="Q3866" s="267">
        <f t="shared" si="861"/>
        <v>115</v>
      </c>
      <c r="R3866" s="23">
        <f t="shared" si="862"/>
        <v>1</v>
      </c>
      <c r="S3866" s="23">
        <f t="shared" si="863"/>
        <v>0</v>
      </c>
      <c r="T3866" s="23" t="str">
        <f t="shared" si="864"/>
        <v/>
      </c>
      <c r="U3866" t="str">
        <f t="shared" si="865"/>
        <v/>
      </c>
      <c r="V3866" s="87"/>
      <c r="AF3866" s="22"/>
      <c r="AH3866" s="8"/>
      <c r="AU3866" s="10"/>
    </row>
    <row r="3867" spans="1:47">
      <c r="A3867" t="str">
        <f t="shared" si="858"/>
        <v>PA_Alleg_2019g~Gen-school director district 6 (vote for 1)</v>
      </c>
      <c r="B3867" s="55" t="s">
        <v>1528</v>
      </c>
      <c r="C3867">
        <v>64</v>
      </c>
      <c r="D3867" s="55" t="s">
        <v>78</v>
      </c>
      <c r="E3867" s="55" t="s">
        <v>80</v>
      </c>
      <c r="F3867" t="s">
        <v>1294</v>
      </c>
      <c r="G3867" s="62">
        <v>6381</v>
      </c>
      <c r="H3867">
        <v>98.5</v>
      </c>
      <c r="I3867">
        <v>27181</v>
      </c>
      <c r="J3867">
        <v>0</v>
      </c>
      <c r="K3867">
        <v>49</v>
      </c>
      <c r="L3867">
        <v>49</v>
      </c>
      <c r="M3867">
        <v>0</v>
      </c>
      <c r="N3867" s="23">
        <v>0</v>
      </c>
      <c r="O3867">
        <f t="shared" si="859"/>
        <v>1</v>
      </c>
      <c r="P3867" s="57">
        <f t="shared" si="860"/>
        <v>1</v>
      </c>
      <c r="Q3867" s="267">
        <f t="shared" si="861"/>
        <v>6478</v>
      </c>
      <c r="R3867" s="23">
        <f t="shared" si="862"/>
        <v>6381</v>
      </c>
      <c r="S3867" s="23">
        <f t="shared" si="863"/>
        <v>0</v>
      </c>
      <c r="T3867" s="23" t="str">
        <f t="shared" si="864"/>
        <v/>
      </c>
      <c r="U3867" t="str">
        <f t="shared" si="865"/>
        <v>PA_Alleg_2019g~Gen-school director district 6 (vote for 1)</v>
      </c>
      <c r="V3867" s="87"/>
      <c r="AF3867" s="22"/>
      <c r="AU3867" s="10"/>
    </row>
    <row r="3868" spans="1:47">
      <c r="A3868" t="str">
        <f t="shared" si="858"/>
        <v>PA_Alleg_2019g~Gen-school director district 6 (vote for 1)</v>
      </c>
      <c r="B3868" s="55" t="s">
        <v>1528</v>
      </c>
      <c r="C3868">
        <v>65</v>
      </c>
      <c r="D3868" s="55" t="s">
        <v>78</v>
      </c>
      <c r="E3868" s="55" t="s">
        <v>15</v>
      </c>
      <c r="G3868" s="62">
        <v>97</v>
      </c>
      <c r="H3868">
        <v>1.5</v>
      </c>
      <c r="I3868">
        <v>27181</v>
      </c>
      <c r="J3868">
        <v>0</v>
      </c>
      <c r="K3868">
        <v>49</v>
      </c>
      <c r="L3868">
        <v>49</v>
      </c>
      <c r="M3868">
        <v>0</v>
      </c>
      <c r="N3868" s="23">
        <v>0</v>
      </c>
      <c r="O3868">
        <f t="shared" si="859"/>
        <v>-1</v>
      </c>
      <c r="P3868" s="57">
        <f t="shared" si="860"/>
        <v>1</v>
      </c>
      <c r="Q3868" s="267">
        <f t="shared" si="861"/>
        <v>97</v>
      </c>
      <c r="R3868" s="23">
        <f t="shared" si="862"/>
        <v>1</v>
      </c>
      <c r="S3868" s="23">
        <f t="shared" si="863"/>
        <v>0</v>
      </c>
      <c r="T3868" s="23" t="str">
        <f t="shared" si="864"/>
        <v/>
      </c>
      <c r="U3868" t="str">
        <f t="shared" si="865"/>
        <v/>
      </c>
      <c r="V3868" s="87"/>
      <c r="AF3868" s="22"/>
      <c r="AU3868" s="10"/>
    </row>
    <row r="3869" spans="1:47">
      <c r="A3869" t="str">
        <f t="shared" si="858"/>
        <v>PA_Alleg_2019g~Gen-school director district 8 (vote for 1)</v>
      </c>
      <c r="B3869" s="55" t="s">
        <v>1528</v>
      </c>
      <c r="C3869">
        <v>66</v>
      </c>
      <c r="D3869" s="55" t="s">
        <v>81</v>
      </c>
      <c r="E3869" s="55" t="s">
        <v>82</v>
      </c>
      <c r="F3869" t="s">
        <v>1294</v>
      </c>
      <c r="G3869" s="62">
        <v>4668</v>
      </c>
      <c r="H3869">
        <v>99.09</v>
      </c>
      <c r="I3869">
        <v>26511</v>
      </c>
      <c r="J3869">
        <v>0</v>
      </c>
      <c r="K3869">
        <v>42</v>
      </c>
      <c r="L3869">
        <v>42</v>
      </c>
      <c r="M3869">
        <v>0</v>
      </c>
      <c r="N3869" s="23">
        <v>0</v>
      </c>
      <c r="O3869">
        <f t="shared" si="859"/>
        <v>1</v>
      </c>
      <c r="P3869" s="57">
        <f t="shared" si="860"/>
        <v>1</v>
      </c>
      <c r="Q3869" s="267">
        <f t="shared" si="861"/>
        <v>4711</v>
      </c>
      <c r="R3869" s="23">
        <f t="shared" si="862"/>
        <v>4668</v>
      </c>
      <c r="S3869" s="23">
        <f t="shared" si="863"/>
        <v>0</v>
      </c>
      <c r="T3869" s="23" t="str">
        <f t="shared" si="864"/>
        <v/>
      </c>
      <c r="U3869" t="str">
        <f t="shared" si="865"/>
        <v>PA_Alleg_2019g~Gen-school director district 8 (vote for 1)</v>
      </c>
      <c r="V3869" s="87"/>
      <c r="AF3869" s="22"/>
      <c r="AU3869" s="10"/>
    </row>
    <row r="3870" spans="1:47">
      <c r="A3870" t="str">
        <f t="shared" si="858"/>
        <v>PA_Alleg_2019g~Gen-school director district 8 (vote for 1)</v>
      </c>
      <c r="B3870" s="55" t="s">
        <v>1528</v>
      </c>
      <c r="C3870">
        <v>67</v>
      </c>
      <c r="D3870" s="55" t="s">
        <v>81</v>
      </c>
      <c r="E3870" s="55" t="s">
        <v>15</v>
      </c>
      <c r="G3870" s="62">
        <v>43</v>
      </c>
      <c r="H3870">
        <v>0.91</v>
      </c>
      <c r="I3870">
        <v>26511</v>
      </c>
      <c r="J3870">
        <v>0</v>
      </c>
      <c r="K3870">
        <v>42</v>
      </c>
      <c r="L3870">
        <v>42</v>
      </c>
      <c r="M3870">
        <v>0</v>
      </c>
      <c r="N3870" s="23">
        <v>0</v>
      </c>
      <c r="O3870">
        <f t="shared" si="859"/>
        <v>-1</v>
      </c>
      <c r="P3870" s="57">
        <f t="shared" si="860"/>
        <v>1</v>
      </c>
      <c r="Q3870" s="267">
        <f t="shared" si="861"/>
        <v>43</v>
      </c>
      <c r="R3870" s="23">
        <f t="shared" si="862"/>
        <v>1</v>
      </c>
      <c r="S3870" s="23">
        <f t="shared" si="863"/>
        <v>0</v>
      </c>
      <c r="T3870" s="23" t="str">
        <f t="shared" si="864"/>
        <v/>
      </c>
      <c r="U3870" t="str">
        <f t="shared" si="865"/>
        <v/>
      </c>
      <c r="V3870" s="87"/>
      <c r="AF3870" s="22"/>
      <c r="AU3870" s="10"/>
    </row>
    <row r="3871" spans="1:47">
      <c r="A3871" t="str">
        <f t="shared" si="858"/>
        <v>PA_Alleg_2019g~Gen-school director duquesne (vote for 1)</v>
      </c>
      <c r="B3871" s="55" t="s">
        <v>1528</v>
      </c>
      <c r="C3871">
        <v>310</v>
      </c>
      <c r="D3871" s="55" t="s">
        <v>344</v>
      </c>
      <c r="E3871" s="55" t="s">
        <v>15</v>
      </c>
      <c r="G3871" s="62">
        <v>96</v>
      </c>
      <c r="H3871">
        <v>100</v>
      </c>
      <c r="I3871">
        <v>3847</v>
      </c>
      <c r="J3871">
        <v>0</v>
      </c>
      <c r="K3871">
        <v>10</v>
      </c>
      <c r="L3871">
        <v>10</v>
      </c>
      <c r="M3871">
        <v>0</v>
      </c>
      <c r="N3871" s="23">
        <v>0</v>
      </c>
      <c r="O3871">
        <f t="shared" si="859"/>
        <v>0</v>
      </c>
      <c r="P3871" s="57">
        <f t="shared" si="860"/>
        <v>1</v>
      </c>
      <c r="Q3871" s="267">
        <f t="shared" si="861"/>
        <v>96</v>
      </c>
      <c r="R3871" s="23">
        <f t="shared" si="862"/>
        <v>1</v>
      </c>
      <c r="S3871" s="23">
        <f t="shared" si="863"/>
        <v>0</v>
      </c>
      <c r="T3871" s="23" t="str">
        <f t="shared" si="864"/>
        <v/>
      </c>
      <c r="U3871" t="str">
        <f t="shared" si="865"/>
        <v>PA_Alleg_2019g~Gen-school director duquesne (vote for 1)</v>
      </c>
      <c r="V3871" s="87"/>
      <c r="AF3871" s="22"/>
      <c r="AH3871" s="8"/>
      <c r="AU3871" s="10"/>
    </row>
    <row r="3872" spans="1:47">
      <c r="A3872" t="str">
        <f t="shared" si="858"/>
        <v>PA_Alleg_2019g~Gen-school director duquesne (vote for 5)</v>
      </c>
      <c r="B3872" s="55" t="s">
        <v>1528</v>
      </c>
      <c r="C3872">
        <v>141</v>
      </c>
      <c r="D3872" s="55" t="s">
        <v>168</v>
      </c>
      <c r="E3872" s="55" t="s">
        <v>171</v>
      </c>
      <c r="F3872" t="s">
        <v>1294</v>
      </c>
      <c r="G3872" s="62">
        <v>559</v>
      </c>
      <c r="H3872">
        <v>20.94</v>
      </c>
      <c r="I3872">
        <v>3847</v>
      </c>
      <c r="J3872">
        <v>0</v>
      </c>
      <c r="K3872">
        <v>10</v>
      </c>
      <c r="L3872">
        <v>10</v>
      </c>
      <c r="M3872">
        <v>0</v>
      </c>
      <c r="N3872" s="23">
        <v>0</v>
      </c>
      <c r="O3872">
        <f t="shared" si="859"/>
        <v>1</v>
      </c>
      <c r="P3872" s="57">
        <f t="shared" si="860"/>
        <v>5</v>
      </c>
      <c r="Q3872" s="267">
        <f t="shared" si="861"/>
        <v>559</v>
      </c>
      <c r="R3872" s="23">
        <f t="shared" si="862"/>
        <v>480</v>
      </c>
      <c r="S3872" s="23">
        <f t="shared" si="863"/>
        <v>0</v>
      </c>
      <c r="T3872" s="23" t="str">
        <f t="shared" si="864"/>
        <v/>
      </c>
      <c r="U3872" t="str">
        <f t="shared" si="865"/>
        <v>PA_Alleg_2019g~Gen-school director duquesne (vote for 5)</v>
      </c>
      <c r="V3872" s="87"/>
      <c r="AF3872" s="22"/>
      <c r="AU3872" s="10"/>
    </row>
    <row r="3873" spans="1:47">
      <c r="A3873" t="str">
        <f t="shared" si="858"/>
        <v>PA_Alleg_2019g~Gen-school director duquesne (vote for 5)</v>
      </c>
      <c r="B3873" s="55" t="s">
        <v>1528</v>
      </c>
      <c r="C3873">
        <v>142</v>
      </c>
      <c r="D3873" s="55" t="s">
        <v>168</v>
      </c>
      <c r="E3873" s="55" t="s">
        <v>172</v>
      </c>
      <c r="F3873" t="s">
        <v>1294</v>
      </c>
      <c r="G3873" s="62">
        <v>555</v>
      </c>
      <c r="H3873">
        <v>20.79</v>
      </c>
      <c r="I3873">
        <v>3847</v>
      </c>
      <c r="J3873">
        <v>0</v>
      </c>
      <c r="K3873">
        <v>10</v>
      </c>
      <c r="L3873">
        <v>10</v>
      </c>
      <c r="M3873">
        <v>0</v>
      </c>
      <c r="N3873" s="23">
        <v>0</v>
      </c>
      <c r="O3873">
        <f t="shared" si="859"/>
        <v>2</v>
      </c>
      <c r="P3873" s="57">
        <f t="shared" si="860"/>
        <v>5</v>
      </c>
      <c r="Q3873" s="267">
        <f t="shared" si="861"/>
        <v>2111</v>
      </c>
      <c r="R3873" s="23">
        <f t="shared" si="862"/>
        <v>480</v>
      </c>
      <c r="S3873" s="23">
        <f t="shared" si="863"/>
        <v>0</v>
      </c>
      <c r="T3873" s="23" t="str">
        <f t="shared" si="864"/>
        <v/>
      </c>
      <c r="U3873" t="str">
        <f t="shared" si="865"/>
        <v/>
      </c>
      <c r="V3873" s="87"/>
      <c r="AF3873" s="22"/>
      <c r="AU3873" s="10"/>
    </row>
    <row r="3874" spans="1:47">
      <c r="A3874" t="str">
        <f t="shared" si="858"/>
        <v>PA_Alleg_2019g~Gen-school director duquesne (vote for 5)</v>
      </c>
      <c r="B3874" s="55" t="s">
        <v>1528</v>
      </c>
      <c r="C3874">
        <v>143</v>
      </c>
      <c r="D3874" s="55" t="s">
        <v>168</v>
      </c>
      <c r="E3874" s="55" t="s">
        <v>169</v>
      </c>
      <c r="F3874" t="s">
        <v>1294</v>
      </c>
      <c r="G3874" s="62">
        <v>526</v>
      </c>
      <c r="H3874">
        <v>19.7</v>
      </c>
      <c r="I3874">
        <v>3847</v>
      </c>
      <c r="J3874">
        <v>0</v>
      </c>
      <c r="K3874">
        <v>10</v>
      </c>
      <c r="L3874">
        <v>10</v>
      </c>
      <c r="M3874">
        <v>0</v>
      </c>
      <c r="N3874" s="23">
        <v>0</v>
      </c>
      <c r="O3874">
        <f t="shared" si="859"/>
        <v>3</v>
      </c>
      <c r="P3874" s="57">
        <f t="shared" si="860"/>
        <v>5</v>
      </c>
      <c r="Q3874" s="267">
        <f t="shared" si="861"/>
        <v>1556</v>
      </c>
      <c r="R3874" s="23">
        <f t="shared" si="862"/>
        <v>480</v>
      </c>
      <c r="S3874" s="23">
        <f t="shared" si="863"/>
        <v>0</v>
      </c>
      <c r="T3874" s="23" t="str">
        <f t="shared" si="864"/>
        <v/>
      </c>
      <c r="U3874" t="str">
        <f t="shared" si="865"/>
        <v/>
      </c>
      <c r="V3874" s="87"/>
      <c r="AF3874" s="22"/>
      <c r="AU3874" s="10"/>
    </row>
    <row r="3875" spans="1:47">
      <c r="A3875" t="str">
        <f t="shared" si="858"/>
        <v>PA_Alleg_2019g~Gen-school director duquesne (vote for 5)</v>
      </c>
      <c r="B3875" s="55" t="s">
        <v>1528</v>
      </c>
      <c r="C3875">
        <v>144</v>
      </c>
      <c r="D3875" s="55" t="s">
        <v>168</v>
      </c>
      <c r="E3875" s="55" t="s">
        <v>170</v>
      </c>
      <c r="F3875" t="s">
        <v>1294</v>
      </c>
      <c r="G3875" s="62">
        <v>492</v>
      </c>
      <c r="H3875">
        <v>18.43</v>
      </c>
      <c r="I3875">
        <v>3847</v>
      </c>
      <c r="J3875">
        <v>0</v>
      </c>
      <c r="K3875">
        <v>10</v>
      </c>
      <c r="L3875">
        <v>10</v>
      </c>
      <c r="M3875">
        <v>0</v>
      </c>
      <c r="N3875" s="23">
        <v>0</v>
      </c>
      <c r="O3875">
        <f t="shared" si="859"/>
        <v>4</v>
      </c>
      <c r="P3875" s="57">
        <f t="shared" si="860"/>
        <v>5</v>
      </c>
      <c r="Q3875" s="267">
        <f t="shared" si="861"/>
        <v>1030</v>
      </c>
      <c r="R3875" s="23">
        <f t="shared" si="862"/>
        <v>480</v>
      </c>
      <c r="S3875" s="23">
        <f t="shared" si="863"/>
        <v>0</v>
      </c>
      <c r="T3875" s="23" t="str">
        <f t="shared" si="864"/>
        <v/>
      </c>
      <c r="U3875" t="str">
        <f t="shared" si="865"/>
        <v/>
      </c>
      <c r="V3875" s="87"/>
      <c r="AF3875" s="22"/>
      <c r="AU3875" s="10"/>
    </row>
    <row r="3876" spans="1:47">
      <c r="A3876" t="str">
        <f t="shared" si="858"/>
        <v>PA_Alleg_2019g~Gen-school director duquesne (vote for 5)</v>
      </c>
      <c r="B3876" s="55" t="s">
        <v>1528</v>
      </c>
      <c r="C3876">
        <v>145</v>
      </c>
      <c r="D3876" s="55" t="s">
        <v>168</v>
      </c>
      <c r="E3876" s="55" t="s">
        <v>173</v>
      </c>
      <c r="F3876" t="s">
        <v>1294</v>
      </c>
      <c r="G3876" s="62">
        <v>480</v>
      </c>
      <c r="H3876">
        <v>17.98</v>
      </c>
      <c r="I3876">
        <v>3847</v>
      </c>
      <c r="J3876">
        <v>0</v>
      </c>
      <c r="K3876">
        <v>10</v>
      </c>
      <c r="L3876">
        <v>10</v>
      </c>
      <c r="M3876">
        <v>0</v>
      </c>
      <c r="N3876" s="23">
        <v>0</v>
      </c>
      <c r="O3876">
        <f t="shared" si="859"/>
        <v>5</v>
      </c>
      <c r="P3876" s="57">
        <f t="shared" si="860"/>
        <v>5</v>
      </c>
      <c r="Q3876" s="267">
        <f t="shared" si="861"/>
        <v>538</v>
      </c>
      <c r="R3876" s="23">
        <f t="shared" si="862"/>
        <v>480</v>
      </c>
      <c r="S3876" s="23">
        <f t="shared" si="863"/>
        <v>0</v>
      </c>
      <c r="T3876" s="23" t="str">
        <f t="shared" si="864"/>
        <v/>
      </c>
      <c r="U3876" t="str">
        <f t="shared" si="865"/>
        <v/>
      </c>
      <c r="V3876" s="87"/>
      <c r="AF3876" s="22"/>
      <c r="AG3876" s="89"/>
      <c r="AH3876" s="274"/>
      <c r="AI3876" s="279"/>
      <c r="AJ3876" s="280"/>
      <c r="AK3876" s="92"/>
      <c r="AL3876" s="23"/>
      <c r="AU3876" s="10"/>
    </row>
    <row r="3877" spans="1:47">
      <c r="A3877" t="str">
        <f t="shared" si="858"/>
        <v>PA_Alleg_2019g~Gen-school director duquesne (vote for 5)</v>
      </c>
      <c r="B3877" s="55" t="s">
        <v>1528</v>
      </c>
      <c r="C3877">
        <v>146</v>
      </c>
      <c r="D3877" s="55" t="s">
        <v>168</v>
      </c>
      <c r="E3877" s="55" t="s">
        <v>15</v>
      </c>
      <c r="G3877" s="62">
        <v>58</v>
      </c>
      <c r="H3877">
        <v>2.17</v>
      </c>
      <c r="I3877">
        <v>3847</v>
      </c>
      <c r="J3877">
        <v>0</v>
      </c>
      <c r="K3877">
        <v>10</v>
      </c>
      <c r="L3877">
        <v>10</v>
      </c>
      <c r="M3877">
        <v>0</v>
      </c>
      <c r="N3877" s="23">
        <v>0</v>
      </c>
      <c r="O3877">
        <f t="shared" si="859"/>
        <v>-5</v>
      </c>
      <c r="P3877" s="57">
        <f t="shared" si="860"/>
        <v>5</v>
      </c>
      <c r="Q3877" s="267">
        <f t="shared" si="861"/>
        <v>58</v>
      </c>
      <c r="R3877" s="23">
        <f t="shared" si="862"/>
        <v>1</v>
      </c>
      <c r="S3877" s="23">
        <f t="shared" si="863"/>
        <v>0</v>
      </c>
      <c r="T3877" s="23" t="str">
        <f t="shared" si="864"/>
        <v/>
      </c>
      <c r="U3877" t="str">
        <f t="shared" si="865"/>
        <v/>
      </c>
      <c r="V3877" s="87"/>
      <c r="AF3877" s="22"/>
      <c r="AU3877" s="10"/>
    </row>
    <row r="3878" spans="1:47">
      <c r="A3878" t="str">
        <f t="shared" si="858"/>
        <v>PA_Alleg_2019g~Gen-school director east allegheny region 1 (vote for 1)</v>
      </c>
      <c r="B3878" s="55" t="s">
        <v>1528</v>
      </c>
      <c r="C3878">
        <v>346</v>
      </c>
      <c r="D3878" s="55" t="s">
        <v>375</v>
      </c>
      <c r="E3878" s="55" t="s">
        <v>377</v>
      </c>
      <c r="F3878" t="s">
        <v>1294</v>
      </c>
      <c r="G3878" s="62">
        <v>186</v>
      </c>
      <c r="H3878">
        <v>73.81</v>
      </c>
      <c r="I3878">
        <v>904</v>
      </c>
      <c r="J3878">
        <v>0</v>
      </c>
      <c r="K3878">
        <v>2</v>
      </c>
      <c r="L3878">
        <v>2</v>
      </c>
      <c r="M3878">
        <v>0</v>
      </c>
      <c r="N3878" s="23">
        <v>0</v>
      </c>
      <c r="O3878">
        <f t="shared" si="859"/>
        <v>1</v>
      </c>
      <c r="P3878" s="57">
        <f t="shared" si="860"/>
        <v>1</v>
      </c>
      <c r="Q3878" s="267">
        <f t="shared" si="861"/>
        <v>252</v>
      </c>
      <c r="R3878" s="23">
        <f t="shared" si="862"/>
        <v>186</v>
      </c>
      <c r="S3878" s="23">
        <f t="shared" si="863"/>
        <v>65</v>
      </c>
      <c r="T3878" s="23">
        <f t="shared" si="864"/>
        <v>121</v>
      </c>
      <c r="U3878" t="str">
        <f t="shared" si="865"/>
        <v>PA_Alleg_2019g~Gen-school director east allegheny region 1 (vote for 1)</v>
      </c>
      <c r="V3878" s="87"/>
      <c r="AF3878" s="22"/>
      <c r="AU3878" s="10"/>
    </row>
    <row r="3879" spans="1:47">
      <c r="A3879" t="str">
        <f t="shared" si="858"/>
        <v>PA_Alleg_2019g~Gen-school director east allegheny region 1 (vote for 1)</v>
      </c>
      <c r="B3879" s="55" t="s">
        <v>1528</v>
      </c>
      <c r="C3879">
        <v>347</v>
      </c>
      <c r="D3879" s="55" t="s">
        <v>375</v>
      </c>
      <c r="E3879" s="55" t="s">
        <v>376</v>
      </c>
      <c r="F3879" t="s">
        <v>1296</v>
      </c>
      <c r="G3879" s="62">
        <v>65</v>
      </c>
      <c r="H3879">
        <v>25.79</v>
      </c>
      <c r="I3879">
        <v>904</v>
      </c>
      <c r="J3879">
        <v>0</v>
      </c>
      <c r="K3879">
        <v>2</v>
      </c>
      <c r="L3879">
        <v>2</v>
      </c>
      <c r="M3879">
        <v>0</v>
      </c>
      <c r="N3879" s="23">
        <v>0</v>
      </c>
      <c r="O3879">
        <f t="shared" si="859"/>
        <v>2</v>
      </c>
      <c r="P3879" s="57">
        <f t="shared" si="860"/>
        <v>1</v>
      </c>
      <c r="Q3879" s="267">
        <f t="shared" si="861"/>
        <v>66</v>
      </c>
      <c r="R3879" s="23" t="str">
        <f t="shared" si="862"/>
        <v/>
      </c>
      <c r="S3879" s="23">
        <f t="shared" si="863"/>
        <v>65</v>
      </c>
      <c r="T3879" s="23" t="str">
        <f t="shared" si="864"/>
        <v/>
      </c>
      <c r="U3879" t="str">
        <f t="shared" si="865"/>
        <v/>
      </c>
      <c r="V3879" s="87"/>
      <c r="AF3879" s="22"/>
      <c r="AU3879" s="10"/>
    </row>
    <row r="3880" spans="1:47">
      <c r="A3880" t="str">
        <f t="shared" si="858"/>
        <v>PA_Alleg_2019g~Gen-school director east allegheny region 1 (vote for 1)</v>
      </c>
      <c r="B3880" s="55" t="s">
        <v>1528</v>
      </c>
      <c r="C3880">
        <v>348</v>
      </c>
      <c r="D3880" s="55" t="s">
        <v>375</v>
      </c>
      <c r="E3880" s="55" t="s">
        <v>15</v>
      </c>
      <c r="G3880" s="62">
        <v>1</v>
      </c>
      <c r="H3880">
        <v>0.4</v>
      </c>
      <c r="I3880">
        <v>904</v>
      </c>
      <c r="J3880">
        <v>0</v>
      </c>
      <c r="K3880">
        <v>2</v>
      </c>
      <c r="L3880">
        <v>2</v>
      </c>
      <c r="M3880">
        <v>0</v>
      </c>
      <c r="N3880" s="23">
        <v>0</v>
      </c>
      <c r="O3880">
        <f t="shared" si="859"/>
        <v>-2</v>
      </c>
      <c r="P3880" s="57">
        <f t="shared" si="860"/>
        <v>1</v>
      </c>
      <c r="Q3880" s="267">
        <f t="shared" si="861"/>
        <v>1</v>
      </c>
      <c r="R3880" s="23">
        <f t="shared" si="862"/>
        <v>1</v>
      </c>
      <c r="S3880" s="23">
        <f t="shared" si="863"/>
        <v>0</v>
      </c>
      <c r="T3880" s="23" t="str">
        <f t="shared" si="864"/>
        <v/>
      </c>
      <c r="U3880" t="str">
        <f t="shared" si="865"/>
        <v/>
      </c>
      <c r="V3880" s="87"/>
      <c r="AF3880" s="22"/>
      <c r="AU3880" s="10"/>
    </row>
    <row r="3881" spans="1:47">
      <c r="A3881" t="str">
        <f t="shared" si="858"/>
        <v>PA_Alleg_2019g~Gen-school director east allegheny region 4 (vote for 1)</v>
      </c>
      <c r="B3881" s="55" t="s">
        <v>1528</v>
      </c>
      <c r="C3881">
        <v>429</v>
      </c>
      <c r="D3881" s="55" t="s">
        <v>455</v>
      </c>
      <c r="E3881" s="55" t="s">
        <v>456</v>
      </c>
      <c r="F3881" t="s">
        <v>1396</v>
      </c>
      <c r="G3881" s="62">
        <v>324</v>
      </c>
      <c r="H3881">
        <v>99.08</v>
      </c>
      <c r="I3881">
        <v>1320</v>
      </c>
      <c r="J3881">
        <v>0</v>
      </c>
      <c r="K3881">
        <v>2</v>
      </c>
      <c r="L3881">
        <v>2</v>
      </c>
      <c r="M3881">
        <v>0</v>
      </c>
      <c r="N3881" s="23">
        <v>0</v>
      </c>
      <c r="O3881">
        <f t="shared" si="859"/>
        <v>1</v>
      </c>
      <c r="P3881" s="57">
        <f t="shared" si="860"/>
        <v>1</v>
      </c>
      <c r="Q3881" s="267">
        <f t="shared" si="861"/>
        <v>327</v>
      </c>
      <c r="R3881" s="23">
        <f t="shared" si="862"/>
        <v>324</v>
      </c>
      <c r="S3881" s="23">
        <f t="shared" si="863"/>
        <v>0</v>
      </c>
      <c r="T3881" s="23" t="str">
        <f t="shared" si="864"/>
        <v/>
      </c>
      <c r="U3881" t="str">
        <f t="shared" si="865"/>
        <v>PA_Alleg_2019g~Gen-school director east allegheny region 4 (vote for 1)</v>
      </c>
      <c r="V3881" s="87"/>
      <c r="AF3881" s="22"/>
      <c r="AU3881" s="10"/>
    </row>
    <row r="3882" spans="1:47">
      <c r="A3882" t="str">
        <f t="shared" si="858"/>
        <v>PA_Alleg_2019g~Gen-school director east allegheny region 4 (vote for 1)</v>
      </c>
      <c r="B3882" s="55" t="s">
        <v>1528</v>
      </c>
      <c r="C3882">
        <v>430</v>
      </c>
      <c r="D3882" s="55" t="s">
        <v>455</v>
      </c>
      <c r="E3882" s="55" t="s">
        <v>15</v>
      </c>
      <c r="G3882" s="62">
        <v>3</v>
      </c>
      <c r="H3882">
        <v>0.92</v>
      </c>
      <c r="I3882">
        <v>1320</v>
      </c>
      <c r="J3882">
        <v>0</v>
      </c>
      <c r="K3882">
        <v>2</v>
      </c>
      <c r="L3882">
        <v>2</v>
      </c>
      <c r="M3882">
        <v>0</v>
      </c>
      <c r="N3882" s="23">
        <v>0</v>
      </c>
      <c r="O3882">
        <f t="shared" si="859"/>
        <v>-1</v>
      </c>
      <c r="P3882" s="57">
        <f t="shared" si="860"/>
        <v>1</v>
      </c>
      <c r="Q3882" s="267">
        <f t="shared" si="861"/>
        <v>3</v>
      </c>
      <c r="R3882" s="23">
        <f t="shared" si="862"/>
        <v>1</v>
      </c>
      <c r="S3882" s="23">
        <f t="shared" si="863"/>
        <v>0</v>
      </c>
      <c r="T3882" s="23" t="str">
        <f t="shared" si="864"/>
        <v/>
      </c>
      <c r="U3882" t="str">
        <f t="shared" si="865"/>
        <v/>
      </c>
      <c r="V3882" s="87"/>
      <c r="AF3882" s="22"/>
      <c r="AU3882" s="10"/>
    </row>
    <row r="3883" spans="1:47">
      <c r="A3883" t="str">
        <f t="shared" si="858"/>
        <v>PA_Alleg_2019g~Gen-school director east allegheny region 5 (vote for 1)</v>
      </c>
      <c r="B3883" s="55" t="s">
        <v>1528</v>
      </c>
      <c r="C3883">
        <v>431</v>
      </c>
      <c r="D3883" s="55" t="s">
        <v>457</v>
      </c>
      <c r="E3883" s="55" t="s">
        <v>458</v>
      </c>
      <c r="F3883" t="s">
        <v>1396</v>
      </c>
      <c r="G3883" s="62">
        <v>298</v>
      </c>
      <c r="H3883">
        <v>99.33</v>
      </c>
      <c r="I3883">
        <v>1200</v>
      </c>
      <c r="J3883">
        <v>0</v>
      </c>
      <c r="K3883">
        <v>2</v>
      </c>
      <c r="L3883">
        <v>2</v>
      </c>
      <c r="M3883">
        <v>0</v>
      </c>
      <c r="N3883" s="23">
        <v>0</v>
      </c>
      <c r="O3883">
        <f t="shared" si="859"/>
        <v>1</v>
      </c>
      <c r="P3883" s="57">
        <f t="shared" si="860"/>
        <v>1</v>
      </c>
      <c r="Q3883" s="267">
        <f t="shared" si="861"/>
        <v>300</v>
      </c>
      <c r="R3883" s="23">
        <f t="shared" si="862"/>
        <v>298</v>
      </c>
      <c r="S3883" s="23">
        <f t="shared" si="863"/>
        <v>0</v>
      </c>
      <c r="T3883" s="23" t="str">
        <f t="shared" si="864"/>
        <v/>
      </c>
      <c r="U3883" t="str">
        <f t="shared" si="865"/>
        <v>PA_Alleg_2019g~Gen-school director east allegheny region 5 (vote for 1)</v>
      </c>
      <c r="V3883" s="87"/>
      <c r="AF3883" s="22"/>
      <c r="AU3883" s="10"/>
    </row>
    <row r="3884" spans="1:47">
      <c r="A3884" t="str">
        <f t="shared" si="858"/>
        <v>PA_Alleg_2019g~Gen-school director east allegheny region 5 (vote for 1)</v>
      </c>
      <c r="B3884" s="55" t="s">
        <v>1528</v>
      </c>
      <c r="C3884">
        <v>432</v>
      </c>
      <c r="D3884" s="55" t="s">
        <v>457</v>
      </c>
      <c r="E3884" s="55" t="s">
        <v>15</v>
      </c>
      <c r="G3884" s="62">
        <v>2</v>
      </c>
      <c r="H3884">
        <v>0.67</v>
      </c>
      <c r="I3884">
        <v>1200</v>
      </c>
      <c r="J3884">
        <v>0</v>
      </c>
      <c r="K3884">
        <v>2</v>
      </c>
      <c r="L3884">
        <v>2</v>
      </c>
      <c r="M3884">
        <v>0</v>
      </c>
      <c r="N3884" s="23">
        <v>0</v>
      </c>
      <c r="O3884">
        <f t="shared" si="859"/>
        <v>-1</v>
      </c>
      <c r="P3884" s="57">
        <f t="shared" si="860"/>
        <v>1</v>
      </c>
      <c r="Q3884" s="267">
        <f t="shared" si="861"/>
        <v>2</v>
      </c>
      <c r="R3884" s="23">
        <f t="shared" si="862"/>
        <v>1</v>
      </c>
      <c r="S3884" s="23">
        <f t="shared" si="863"/>
        <v>0</v>
      </c>
      <c r="T3884" s="23" t="str">
        <f t="shared" si="864"/>
        <v/>
      </c>
      <c r="U3884" t="str">
        <f t="shared" si="865"/>
        <v/>
      </c>
      <c r="V3884" s="87"/>
      <c r="AF3884" s="22"/>
      <c r="AU3884" s="10"/>
    </row>
    <row r="3885" spans="1:47">
      <c r="A3885" t="str">
        <f t="shared" si="858"/>
        <v>PA_Alleg_2019g~Gen-school director east allegheny region 6 (vote for 1)</v>
      </c>
      <c r="B3885" s="55" t="s">
        <v>1528</v>
      </c>
      <c r="C3885">
        <v>433</v>
      </c>
      <c r="D3885" s="55" t="s">
        <v>459</v>
      </c>
      <c r="E3885" s="55" t="s">
        <v>460</v>
      </c>
      <c r="F3885" t="s">
        <v>1294</v>
      </c>
      <c r="G3885" s="62">
        <v>191</v>
      </c>
      <c r="H3885">
        <v>97.45</v>
      </c>
      <c r="I3885">
        <v>925</v>
      </c>
      <c r="J3885">
        <v>0</v>
      </c>
      <c r="K3885">
        <v>2</v>
      </c>
      <c r="L3885">
        <v>2</v>
      </c>
      <c r="M3885">
        <v>0</v>
      </c>
      <c r="N3885" s="23">
        <v>0</v>
      </c>
      <c r="O3885">
        <f t="shared" si="859"/>
        <v>1</v>
      </c>
      <c r="P3885" s="57">
        <f t="shared" si="860"/>
        <v>1</v>
      </c>
      <c r="Q3885" s="267">
        <f t="shared" si="861"/>
        <v>196</v>
      </c>
      <c r="R3885" s="23">
        <f t="shared" si="862"/>
        <v>191</v>
      </c>
      <c r="S3885" s="23">
        <f t="shared" si="863"/>
        <v>0</v>
      </c>
      <c r="T3885" s="23" t="str">
        <f t="shared" si="864"/>
        <v/>
      </c>
      <c r="U3885" t="str">
        <f t="shared" si="865"/>
        <v>PA_Alleg_2019g~Gen-school director east allegheny region 6 (vote for 1)</v>
      </c>
      <c r="V3885" s="87"/>
      <c r="AF3885" s="22"/>
      <c r="AU3885" s="10"/>
    </row>
    <row r="3886" spans="1:47">
      <c r="A3886" t="str">
        <f t="shared" si="858"/>
        <v>PA_Alleg_2019g~Gen-school director east allegheny region 6 (vote for 1)</v>
      </c>
      <c r="B3886" s="55" t="s">
        <v>1528</v>
      </c>
      <c r="C3886">
        <v>434</v>
      </c>
      <c r="D3886" s="55" t="s">
        <v>459</v>
      </c>
      <c r="E3886" s="55" t="s">
        <v>15</v>
      </c>
      <c r="G3886" s="62">
        <v>5</v>
      </c>
      <c r="H3886">
        <v>2.5499999999999998</v>
      </c>
      <c r="I3886">
        <v>925</v>
      </c>
      <c r="J3886">
        <v>0</v>
      </c>
      <c r="K3886">
        <v>2</v>
      </c>
      <c r="L3886">
        <v>2</v>
      </c>
      <c r="M3886">
        <v>0</v>
      </c>
      <c r="N3886" s="23">
        <v>0</v>
      </c>
      <c r="O3886">
        <f t="shared" si="859"/>
        <v>-1</v>
      </c>
      <c r="P3886" s="57">
        <f t="shared" si="860"/>
        <v>1</v>
      </c>
      <c r="Q3886" s="267">
        <f t="shared" si="861"/>
        <v>5</v>
      </c>
      <c r="R3886" s="23">
        <f t="shared" si="862"/>
        <v>1</v>
      </c>
      <c r="S3886" s="23">
        <f t="shared" si="863"/>
        <v>0</v>
      </c>
      <c r="T3886" s="23" t="str">
        <f t="shared" si="864"/>
        <v/>
      </c>
      <c r="U3886" t="str">
        <f t="shared" si="865"/>
        <v/>
      </c>
      <c r="V3886" s="87"/>
      <c r="AF3886" s="22"/>
      <c r="AU3886" s="10"/>
    </row>
    <row r="3887" spans="1:47">
      <c r="A3887" t="str">
        <f t="shared" si="858"/>
        <v>PA_Alleg_2019g~Gen-school director east allegheny region 8 (vote for 1)</v>
      </c>
      <c r="B3887" s="55" t="s">
        <v>1528</v>
      </c>
      <c r="C3887">
        <v>435</v>
      </c>
      <c r="D3887" s="55" t="s">
        <v>461</v>
      </c>
      <c r="E3887" s="55" t="s">
        <v>462</v>
      </c>
      <c r="F3887" t="s">
        <v>1396</v>
      </c>
      <c r="G3887" s="62">
        <v>181</v>
      </c>
      <c r="H3887">
        <v>97.84</v>
      </c>
      <c r="I3887">
        <v>918</v>
      </c>
      <c r="J3887">
        <v>0</v>
      </c>
      <c r="K3887">
        <v>2</v>
      </c>
      <c r="L3887">
        <v>2</v>
      </c>
      <c r="M3887">
        <v>0</v>
      </c>
      <c r="N3887" s="23">
        <v>0</v>
      </c>
      <c r="O3887">
        <f t="shared" si="859"/>
        <v>1</v>
      </c>
      <c r="P3887" s="57">
        <f t="shared" si="860"/>
        <v>1</v>
      </c>
      <c r="Q3887" s="267">
        <f t="shared" si="861"/>
        <v>185</v>
      </c>
      <c r="R3887" s="23">
        <f t="shared" si="862"/>
        <v>181</v>
      </c>
      <c r="S3887" s="23">
        <f t="shared" si="863"/>
        <v>0</v>
      </c>
      <c r="T3887" s="23" t="str">
        <f t="shared" si="864"/>
        <v/>
      </c>
      <c r="U3887" t="str">
        <f t="shared" si="865"/>
        <v>PA_Alleg_2019g~Gen-school director east allegheny region 8 (vote for 1)</v>
      </c>
      <c r="V3887" s="87"/>
      <c r="AF3887" s="22"/>
      <c r="AU3887" s="10"/>
    </row>
    <row r="3888" spans="1:47">
      <c r="A3888" t="str">
        <f t="shared" si="858"/>
        <v>PA_Alleg_2019g~Gen-school director east allegheny region 8 (vote for 1)</v>
      </c>
      <c r="B3888" s="55" t="s">
        <v>1528</v>
      </c>
      <c r="C3888">
        <v>436</v>
      </c>
      <c r="D3888" s="55" t="s">
        <v>461</v>
      </c>
      <c r="E3888" s="55" t="s">
        <v>15</v>
      </c>
      <c r="G3888" s="62">
        <v>4</v>
      </c>
      <c r="H3888">
        <v>2.16</v>
      </c>
      <c r="I3888">
        <v>918</v>
      </c>
      <c r="J3888">
        <v>0</v>
      </c>
      <c r="K3888">
        <v>2</v>
      </c>
      <c r="L3888">
        <v>2</v>
      </c>
      <c r="M3888">
        <v>0</v>
      </c>
      <c r="N3888" s="23">
        <v>0</v>
      </c>
      <c r="O3888">
        <f t="shared" si="859"/>
        <v>-1</v>
      </c>
      <c r="P3888" s="57">
        <f t="shared" si="860"/>
        <v>1</v>
      </c>
      <c r="Q3888" s="267">
        <f t="shared" si="861"/>
        <v>4</v>
      </c>
      <c r="R3888" s="23">
        <f t="shared" si="862"/>
        <v>1</v>
      </c>
      <c r="S3888" s="23">
        <f t="shared" si="863"/>
        <v>0</v>
      </c>
      <c r="T3888" s="23" t="str">
        <f t="shared" si="864"/>
        <v/>
      </c>
      <c r="U3888" t="str">
        <f t="shared" si="865"/>
        <v/>
      </c>
      <c r="V3888" s="87"/>
      <c r="AF3888" s="22"/>
      <c r="AU3888" s="10"/>
    </row>
    <row r="3889" spans="1:47">
      <c r="A3889" t="str">
        <f t="shared" si="858"/>
        <v>PA_Alleg_2019g~Gen-school director east allegheny region 9 (vote for 1)</v>
      </c>
      <c r="B3889" s="55" t="s">
        <v>1528</v>
      </c>
      <c r="C3889">
        <v>437</v>
      </c>
      <c r="D3889" s="55" t="s">
        <v>463</v>
      </c>
      <c r="E3889" s="55" t="s">
        <v>15</v>
      </c>
      <c r="G3889" s="62">
        <v>15</v>
      </c>
      <c r="H3889">
        <v>100</v>
      </c>
      <c r="I3889">
        <v>951</v>
      </c>
      <c r="J3889">
        <v>0</v>
      </c>
      <c r="K3889">
        <v>2</v>
      </c>
      <c r="L3889">
        <v>2</v>
      </c>
      <c r="M3889">
        <v>0</v>
      </c>
      <c r="N3889" s="23">
        <v>0</v>
      </c>
      <c r="O3889">
        <f t="shared" si="859"/>
        <v>0</v>
      </c>
      <c r="P3889" s="57">
        <f t="shared" si="860"/>
        <v>1</v>
      </c>
      <c r="Q3889" s="267">
        <f t="shared" si="861"/>
        <v>15</v>
      </c>
      <c r="R3889" s="23">
        <f t="shared" si="862"/>
        <v>1</v>
      </c>
      <c r="S3889" s="23">
        <f t="shared" si="863"/>
        <v>0</v>
      </c>
      <c r="T3889" s="23" t="str">
        <f t="shared" si="864"/>
        <v/>
      </c>
      <c r="U3889" t="str">
        <f t="shared" si="865"/>
        <v>PA_Alleg_2019g~Gen-school director east allegheny region 9 (vote for 1)</v>
      </c>
      <c r="V3889" s="87"/>
      <c r="AF3889" s="22"/>
      <c r="AU3889" s="10"/>
    </row>
    <row r="3890" spans="1:47">
      <c r="A3890" t="str">
        <f t="shared" si="858"/>
        <v>PA_Alleg_2019g~Gen-school director elizabeth forward (vote for 5)</v>
      </c>
      <c r="B3890" s="55" t="s">
        <v>1528</v>
      </c>
      <c r="C3890">
        <v>147</v>
      </c>
      <c r="D3890" s="55" t="s">
        <v>174</v>
      </c>
      <c r="E3890" s="55" t="s">
        <v>178</v>
      </c>
      <c r="F3890" t="s">
        <v>1396</v>
      </c>
      <c r="G3890" s="62">
        <v>2527</v>
      </c>
      <c r="H3890">
        <v>19.2</v>
      </c>
      <c r="I3890">
        <v>12429</v>
      </c>
      <c r="J3890">
        <v>0</v>
      </c>
      <c r="K3890">
        <v>16</v>
      </c>
      <c r="L3890">
        <v>16</v>
      </c>
      <c r="M3890">
        <v>0</v>
      </c>
      <c r="N3890" s="23">
        <v>0</v>
      </c>
      <c r="O3890">
        <f t="shared" si="859"/>
        <v>1</v>
      </c>
      <c r="P3890" s="57">
        <f t="shared" si="860"/>
        <v>5</v>
      </c>
      <c r="Q3890" s="267">
        <f t="shared" si="861"/>
        <v>2632.2</v>
      </c>
      <c r="R3890" s="23">
        <f t="shared" si="862"/>
        <v>1951</v>
      </c>
      <c r="S3890" s="23">
        <f t="shared" si="863"/>
        <v>1606</v>
      </c>
      <c r="T3890" s="23">
        <f t="shared" si="864"/>
        <v>345</v>
      </c>
      <c r="U3890" t="str">
        <f t="shared" si="865"/>
        <v>PA_Alleg_2019g~Gen-school director elizabeth forward (vote for 5)</v>
      </c>
      <c r="V3890" s="87"/>
      <c r="AF3890" s="22"/>
      <c r="AU3890" s="10"/>
    </row>
    <row r="3891" spans="1:47">
      <c r="A3891" t="str">
        <f t="shared" si="858"/>
        <v>PA_Alleg_2019g~Gen-school director elizabeth forward (vote for 5)</v>
      </c>
      <c r="B3891" s="55" t="s">
        <v>1528</v>
      </c>
      <c r="C3891">
        <v>150</v>
      </c>
      <c r="D3891" s="55" t="s">
        <v>174</v>
      </c>
      <c r="E3891" s="55" t="s">
        <v>177</v>
      </c>
      <c r="F3891" t="s">
        <v>1396</v>
      </c>
      <c r="G3891" s="62">
        <v>2371</v>
      </c>
      <c r="H3891">
        <v>18.02</v>
      </c>
      <c r="I3891">
        <v>12429</v>
      </c>
      <c r="J3891">
        <v>0</v>
      </c>
      <c r="K3891">
        <v>16</v>
      </c>
      <c r="L3891">
        <v>16</v>
      </c>
      <c r="M3891">
        <v>0</v>
      </c>
      <c r="N3891" s="23">
        <v>0</v>
      </c>
      <c r="O3891">
        <f t="shared" si="859"/>
        <v>2</v>
      </c>
      <c r="P3891" s="57">
        <f t="shared" si="860"/>
        <v>5</v>
      </c>
      <c r="Q3891" s="267">
        <f t="shared" si="861"/>
        <v>10634</v>
      </c>
      <c r="R3891" s="23">
        <f t="shared" si="862"/>
        <v>1951</v>
      </c>
      <c r="S3891" s="23">
        <f t="shared" si="863"/>
        <v>1606</v>
      </c>
      <c r="T3891" s="23" t="str">
        <f t="shared" si="864"/>
        <v/>
      </c>
      <c r="U3891" t="str">
        <f t="shared" si="865"/>
        <v/>
      </c>
      <c r="V3891" s="87"/>
      <c r="AF3891" s="22"/>
      <c r="AU3891" s="10"/>
    </row>
    <row r="3892" spans="1:47">
      <c r="A3892" t="str">
        <f t="shared" si="858"/>
        <v>PA_Alleg_2019g~Gen-school director elizabeth forward (vote for 5)</v>
      </c>
      <c r="B3892" s="55" t="s">
        <v>1528</v>
      </c>
      <c r="C3892">
        <v>148</v>
      </c>
      <c r="D3892" s="55" t="s">
        <v>174</v>
      </c>
      <c r="E3892" s="55" t="s">
        <v>179</v>
      </c>
      <c r="F3892" t="s">
        <v>1396</v>
      </c>
      <c r="G3892" s="62">
        <v>2301</v>
      </c>
      <c r="H3892">
        <v>17.48</v>
      </c>
      <c r="I3892">
        <v>12429</v>
      </c>
      <c r="J3892">
        <v>0</v>
      </c>
      <c r="K3892">
        <v>16</v>
      </c>
      <c r="L3892">
        <v>16</v>
      </c>
      <c r="M3892">
        <v>0</v>
      </c>
      <c r="N3892" s="23">
        <v>0</v>
      </c>
      <c r="O3892">
        <f t="shared" si="859"/>
        <v>3</v>
      </c>
      <c r="P3892" s="57">
        <f t="shared" si="860"/>
        <v>5</v>
      </c>
      <c r="Q3892" s="267">
        <f t="shared" si="861"/>
        <v>8263</v>
      </c>
      <c r="R3892" s="23">
        <f t="shared" si="862"/>
        <v>1951</v>
      </c>
      <c r="S3892" s="23">
        <f t="shared" si="863"/>
        <v>1606</v>
      </c>
      <c r="T3892" s="23" t="str">
        <f t="shared" si="864"/>
        <v/>
      </c>
      <c r="U3892" t="str">
        <f t="shared" si="865"/>
        <v/>
      </c>
      <c r="V3892" s="87"/>
      <c r="AF3892" s="22"/>
      <c r="AU3892" s="10"/>
    </row>
    <row r="3893" spans="1:47">
      <c r="A3893" t="str">
        <f t="shared" si="858"/>
        <v>PA_Alleg_2019g~Gen-school director elizabeth forward (vote for 5)</v>
      </c>
      <c r="B3893" s="55" t="s">
        <v>1528</v>
      </c>
      <c r="C3893">
        <v>149</v>
      </c>
      <c r="D3893" s="55" t="s">
        <v>174</v>
      </c>
      <c r="E3893" s="55" t="s">
        <v>175</v>
      </c>
      <c r="F3893" t="s">
        <v>1396</v>
      </c>
      <c r="G3893" s="62">
        <v>2300</v>
      </c>
      <c r="H3893">
        <v>17.48</v>
      </c>
      <c r="I3893">
        <v>12429</v>
      </c>
      <c r="J3893">
        <v>0</v>
      </c>
      <c r="K3893">
        <v>16</v>
      </c>
      <c r="L3893">
        <v>16</v>
      </c>
      <c r="M3893">
        <v>0</v>
      </c>
      <c r="N3893" s="23">
        <v>0</v>
      </c>
      <c r="O3893">
        <f t="shared" si="859"/>
        <v>4</v>
      </c>
      <c r="P3893" s="57">
        <f t="shared" si="860"/>
        <v>5</v>
      </c>
      <c r="Q3893" s="267">
        <f t="shared" si="861"/>
        <v>5962</v>
      </c>
      <c r="R3893" s="23">
        <f t="shared" si="862"/>
        <v>1951</v>
      </c>
      <c r="S3893" s="23">
        <f t="shared" si="863"/>
        <v>1606</v>
      </c>
      <c r="T3893" s="23" t="str">
        <f t="shared" si="864"/>
        <v/>
      </c>
      <c r="U3893" t="str">
        <f t="shared" si="865"/>
        <v/>
      </c>
      <c r="V3893" s="87"/>
      <c r="AF3893" s="22"/>
      <c r="AU3893" s="10"/>
    </row>
    <row r="3894" spans="1:47">
      <c r="A3894" t="str">
        <f t="shared" si="858"/>
        <v>PA_Alleg_2019g~Gen-school director elizabeth forward (vote for 5)</v>
      </c>
      <c r="B3894" s="55" t="s">
        <v>1528</v>
      </c>
      <c r="C3894">
        <v>152</v>
      </c>
      <c r="D3894" s="55" t="s">
        <v>174</v>
      </c>
      <c r="E3894" s="55" t="s">
        <v>180</v>
      </c>
      <c r="F3894" t="s">
        <v>1296</v>
      </c>
      <c r="G3894" s="62">
        <v>1951</v>
      </c>
      <c r="H3894">
        <v>14.82</v>
      </c>
      <c r="I3894">
        <v>12429</v>
      </c>
      <c r="J3894">
        <v>0</v>
      </c>
      <c r="K3894">
        <v>16</v>
      </c>
      <c r="L3894">
        <v>16</v>
      </c>
      <c r="M3894">
        <v>0</v>
      </c>
      <c r="N3894" s="23">
        <v>0</v>
      </c>
      <c r="O3894">
        <f t="shared" si="859"/>
        <v>5</v>
      </c>
      <c r="P3894" s="57">
        <f t="shared" si="860"/>
        <v>5</v>
      </c>
      <c r="Q3894" s="267">
        <f t="shared" si="861"/>
        <v>3662</v>
      </c>
      <c r="R3894" s="23">
        <f t="shared" si="862"/>
        <v>1951</v>
      </c>
      <c r="S3894" s="23">
        <f t="shared" si="863"/>
        <v>1606</v>
      </c>
      <c r="T3894" s="23" t="str">
        <f t="shared" si="864"/>
        <v/>
      </c>
      <c r="U3894" t="str">
        <f t="shared" si="865"/>
        <v/>
      </c>
      <c r="V3894" s="87"/>
      <c r="AF3894" s="22"/>
      <c r="AU3894" s="10"/>
    </row>
    <row r="3895" spans="1:47">
      <c r="A3895" t="str">
        <f t="shared" si="858"/>
        <v>PA_Alleg_2019g~Gen-school director elizabeth forward (vote for 5)</v>
      </c>
      <c r="B3895" s="55" t="s">
        <v>1528</v>
      </c>
      <c r="C3895">
        <v>151</v>
      </c>
      <c r="D3895" s="55" t="s">
        <v>174</v>
      </c>
      <c r="E3895" s="55" t="s">
        <v>176</v>
      </c>
      <c r="F3895" t="s">
        <v>1294</v>
      </c>
      <c r="G3895" s="62">
        <v>1606</v>
      </c>
      <c r="H3895">
        <v>12.2</v>
      </c>
      <c r="I3895">
        <v>12429</v>
      </c>
      <c r="J3895">
        <v>0</v>
      </c>
      <c r="K3895">
        <v>16</v>
      </c>
      <c r="L3895">
        <v>16</v>
      </c>
      <c r="M3895">
        <v>0</v>
      </c>
      <c r="N3895" s="23">
        <v>0</v>
      </c>
      <c r="O3895">
        <f t="shared" si="859"/>
        <v>6</v>
      </c>
      <c r="P3895" s="57">
        <f t="shared" si="860"/>
        <v>5</v>
      </c>
      <c r="Q3895" s="267">
        <f t="shared" si="861"/>
        <v>1711</v>
      </c>
      <c r="R3895" s="23" t="str">
        <f t="shared" si="862"/>
        <v/>
      </c>
      <c r="S3895" s="23">
        <f t="shared" si="863"/>
        <v>1606</v>
      </c>
      <c r="T3895" s="23" t="str">
        <f t="shared" si="864"/>
        <v/>
      </c>
      <c r="U3895" t="str">
        <f t="shared" si="865"/>
        <v/>
      </c>
      <c r="V3895" s="87"/>
      <c r="AF3895" s="22"/>
      <c r="AU3895" s="10"/>
    </row>
    <row r="3896" spans="1:47">
      <c r="A3896" t="str">
        <f t="shared" ref="A3896:A3959" si="866">CONCATENATE(B3896,"~Gen-",LOWER(D3896))</f>
        <v>PA_Alleg_2019g~Gen-school director elizabeth forward (vote for 5)</v>
      </c>
      <c r="B3896" s="55" t="s">
        <v>1528</v>
      </c>
      <c r="C3896">
        <v>153</v>
      </c>
      <c r="D3896" s="55" t="s">
        <v>174</v>
      </c>
      <c r="E3896" s="55" t="s">
        <v>15</v>
      </c>
      <c r="G3896" s="62">
        <v>105</v>
      </c>
      <c r="H3896">
        <v>0.8</v>
      </c>
      <c r="I3896">
        <v>12429</v>
      </c>
      <c r="J3896">
        <v>0</v>
      </c>
      <c r="K3896">
        <v>16</v>
      </c>
      <c r="L3896">
        <v>16</v>
      </c>
      <c r="M3896">
        <v>0</v>
      </c>
      <c r="N3896" s="23">
        <v>0</v>
      </c>
      <c r="O3896">
        <f t="shared" si="859"/>
        <v>-6</v>
      </c>
      <c r="P3896" s="57">
        <f t="shared" si="860"/>
        <v>5</v>
      </c>
      <c r="Q3896" s="267">
        <f t="shared" si="861"/>
        <v>105</v>
      </c>
      <c r="R3896" s="23">
        <f t="shared" si="862"/>
        <v>1</v>
      </c>
      <c r="S3896" s="23">
        <f t="shared" si="863"/>
        <v>0</v>
      </c>
      <c r="T3896" s="23" t="str">
        <f t="shared" si="864"/>
        <v/>
      </c>
      <c r="U3896" t="str">
        <f t="shared" si="865"/>
        <v/>
      </c>
      <c r="V3896" s="87"/>
      <c r="AF3896" s="22"/>
      <c r="AU3896" s="10"/>
    </row>
    <row r="3897" spans="1:47">
      <c r="A3897" t="str">
        <f t="shared" si="866"/>
        <v>PA_Alleg_2019g~Gen-school director fort cherry (vote for 5)</v>
      </c>
      <c r="B3897" s="55" t="s">
        <v>1528</v>
      </c>
      <c r="C3897">
        <v>154</v>
      </c>
      <c r="D3897" s="55" t="s">
        <v>181</v>
      </c>
      <c r="E3897" s="55" t="s">
        <v>182</v>
      </c>
      <c r="F3897" t="s">
        <v>1396</v>
      </c>
      <c r="G3897" s="62">
        <v>42</v>
      </c>
      <c r="H3897">
        <v>20.29</v>
      </c>
      <c r="I3897">
        <v>222</v>
      </c>
      <c r="J3897">
        <v>0</v>
      </c>
      <c r="K3897">
        <v>1</v>
      </c>
      <c r="L3897">
        <v>1</v>
      </c>
      <c r="M3897">
        <v>0</v>
      </c>
      <c r="N3897" s="23">
        <v>0</v>
      </c>
      <c r="O3897">
        <f t="shared" si="859"/>
        <v>1</v>
      </c>
      <c r="P3897" s="57">
        <f t="shared" si="860"/>
        <v>5</v>
      </c>
      <c r="Q3897" s="267">
        <f t="shared" si="861"/>
        <v>42</v>
      </c>
      <c r="R3897" s="23">
        <f t="shared" si="862"/>
        <v>34</v>
      </c>
      <c r="S3897" s="23">
        <f t="shared" si="863"/>
        <v>18</v>
      </c>
      <c r="T3897" s="23">
        <f t="shared" si="864"/>
        <v>16</v>
      </c>
      <c r="U3897" t="str">
        <f t="shared" si="865"/>
        <v>PA_Alleg_2019g~Gen-school director fort cherry (vote for 5)</v>
      </c>
      <c r="V3897" s="87"/>
      <c r="AF3897" s="22"/>
      <c r="AU3897" s="10"/>
    </row>
    <row r="3898" spans="1:47">
      <c r="A3898" t="str">
        <f t="shared" si="866"/>
        <v>PA_Alleg_2019g~Gen-school director fort cherry (vote for 5)</v>
      </c>
      <c r="B3898" s="55" t="s">
        <v>1528</v>
      </c>
      <c r="C3898">
        <v>155</v>
      </c>
      <c r="D3898" s="55" t="s">
        <v>181</v>
      </c>
      <c r="E3898" s="55" t="s">
        <v>186</v>
      </c>
      <c r="F3898" t="s">
        <v>1396</v>
      </c>
      <c r="G3898" s="62">
        <v>39</v>
      </c>
      <c r="H3898">
        <v>18.84</v>
      </c>
      <c r="I3898">
        <v>222</v>
      </c>
      <c r="J3898">
        <v>0</v>
      </c>
      <c r="K3898">
        <v>1</v>
      </c>
      <c r="L3898">
        <v>1</v>
      </c>
      <c r="M3898">
        <v>0</v>
      </c>
      <c r="N3898" s="23">
        <v>0</v>
      </c>
      <c r="O3898">
        <f t="shared" si="859"/>
        <v>2</v>
      </c>
      <c r="P3898" s="57">
        <f t="shared" si="860"/>
        <v>5</v>
      </c>
      <c r="Q3898" s="267">
        <f t="shared" si="861"/>
        <v>165</v>
      </c>
      <c r="R3898" s="23">
        <f t="shared" si="862"/>
        <v>34</v>
      </c>
      <c r="S3898" s="23">
        <f t="shared" si="863"/>
        <v>18</v>
      </c>
      <c r="T3898" s="23" t="str">
        <f t="shared" si="864"/>
        <v/>
      </c>
      <c r="U3898" t="str">
        <f t="shared" si="865"/>
        <v/>
      </c>
      <c r="V3898" s="87"/>
      <c r="AF3898" s="22"/>
      <c r="AU3898" s="10"/>
    </row>
    <row r="3899" spans="1:47">
      <c r="A3899" t="str">
        <f t="shared" si="866"/>
        <v>PA_Alleg_2019g~Gen-school director fort cherry (vote for 5)</v>
      </c>
      <c r="B3899" s="55" t="s">
        <v>1528</v>
      </c>
      <c r="C3899">
        <v>156</v>
      </c>
      <c r="D3899" s="55" t="s">
        <v>181</v>
      </c>
      <c r="E3899" s="55" t="s">
        <v>184</v>
      </c>
      <c r="F3899" t="s">
        <v>1396</v>
      </c>
      <c r="G3899" s="62">
        <v>38</v>
      </c>
      <c r="H3899">
        <v>18.36</v>
      </c>
      <c r="I3899">
        <v>222</v>
      </c>
      <c r="J3899">
        <v>0</v>
      </c>
      <c r="K3899">
        <v>1</v>
      </c>
      <c r="L3899">
        <v>1</v>
      </c>
      <c r="M3899">
        <v>0</v>
      </c>
      <c r="N3899" s="23">
        <v>0</v>
      </c>
      <c r="O3899">
        <f t="shared" si="859"/>
        <v>3</v>
      </c>
      <c r="P3899" s="57">
        <f t="shared" si="860"/>
        <v>5</v>
      </c>
      <c r="Q3899" s="267">
        <f t="shared" si="861"/>
        <v>126</v>
      </c>
      <c r="R3899" s="23">
        <f t="shared" si="862"/>
        <v>34</v>
      </c>
      <c r="S3899" s="23">
        <f t="shared" si="863"/>
        <v>18</v>
      </c>
      <c r="T3899" s="23" t="str">
        <f t="shared" si="864"/>
        <v/>
      </c>
      <c r="U3899" t="str">
        <f t="shared" si="865"/>
        <v/>
      </c>
      <c r="V3899" s="87"/>
      <c r="AF3899" s="22"/>
      <c r="AU3899" s="10"/>
    </row>
    <row r="3900" spans="1:47">
      <c r="A3900" t="str">
        <f t="shared" si="866"/>
        <v>PA_Alleg_2019g~Gen-school director fort cherry (vote for 5)</v>
      </c>
      <c r="B3900" s="55" t="s">
        <v>1528</v>
      </c>
      <c r="C3900">
        <v>158</v>
      </c>
      <c r="D3900" s="55" t="s">
        <v>181</v>
      </c>
      <c r="E3900" s="55" t="s">
        <v>185</v>
      </c>
      <c r="F3900" t="s">
        <v>1396</v>
      </c>
      <c r="G3900" s="62">
        <v>36</v>
      </c>
      <c r="H3900">
        <v>17.39</v>
      </c>
      <c r="I3900">
        <v>222</v>
      </c>
      <c r="J3900">
        <v>0</v>
      </c>
      <c r="K3900">
        <v>1</v>
      </c>
      <c r="L3900">
        <v>1</v>
      </c>
      <c r="M3900">
        <v>0</v>
      </c>
      <c r="N3900" s="23">
        <v>0</v>
      </c>
      <c r="O3900">
        <f t="shared" si="859"/>
        <v>4</v>
      </c>
      <c r="P3900" s="57">
        <f t="shared" si="860"/>
        <v>5</v>
      </c>
      <c r="Q3900" s="267">
        <f t="shared" si="861"/>
        <v>88</v>
      </c>
      <c r="R3900" s="23">
        <f t="shared" si="862"/>
        <v>34</v>
      </c>
      <c r="S3900" s="23">
        <f t="shared" si="863"/>
        <v>18</v>
      </c>
      <c r="T3900" s="23" t="str">
        <f t="shared" si="864"/>
        <v/>
      </c>
      <c r="U3900" t="str">
        <f t="shared" si="865"/>
        <v/>
      </c>
      <c r="V3900" s="87"/>
      <c r="AF3900" s="22"/>
      <c r="AU3900" s="10"/>
    </row>
    <row r="3901" spans="1:47">
      <c r="A3901" t="str">
        <f t="shared" si="866"/>
        <v>PA_Alleg_2019g~Gen-school director fort cherry (vote for 5)</v>
      </c>
      <c r="B3901" s="55" t="s">
        <v>1528</v>
      </c>
      <c r="C3901">
        <v>157</v>
      </c>
      <c r="D3901" s="55" t="s">
        <v>181</v>
      </c>
      <c r="E3901" s="55" t="s">
        <v>183</v>
      </c>
      <c r="F3901" t="s">
        <v>1396</v>
      </c>
      <c r="G3901" s="62">
        <v>34</v>
      </c>
      <c r="H3901">
        <v>16.43</v>
      </c>
      <c r="I3901">
        <v>222</v>
      </c>
      <c r="J3901">
        <v>0</v>
      </c>
      <c r="K3901">
        <v>1</v>
      </c>
      <c r="L3901">
        <v>1</v>
      </c>
      <c r="M3901">
        <v>0</v>
      </c>
      <c r="N3901" s="23">
        <v>0</v>
      </c>
      <c r="O3901">
        <f t="shared" si="859"/>
        <v>5</v>
      </c>
      <c r="P3901" s="57">
        <f t="shared" si="860"/>
        <v>5</v>
      </c>
      <c r="Q3901" s="267">
        <f t="shared" si="861"/>
        <v>52</v>
      </c>
      <c r="R3901" s="23">
        <f t="shared" si="862"/>
        <v>34</v>
      </c>
      <c r="S3901" s="23">
        <f t="shared" si="863"/>
        <v>18</v>
      </c>
      <c r="T3901" s="23" t="str">
        <f t="shared" si="864"/>
        <v/>
      </c>
      <c r="U3901" t="str">
        <f t="shared" si="865"/>
        <v/>
      </c>
      <c r="V3901" s="87"/>
      <c r="AF3901" s="22"/>
      <c r="AU3901" s="10"/>
    </row>
    <row r="3902" spans="1:47">
      <c r="A3902" t="str">
        <f t="shared" si="866"/>
        <v>PA_Alleg_2019g~Gen-school director fort cherry (vote for 5)</v>
      </c>
      <c r="B3902" s="55" t="s">
        <v>1528</v>
      </c>
      <c r="C3902">
        <v>159</v>
      </c>
      <c r="D3902" s="55" t="s">
        <v>181</v>
      </c>
      <c r="E3902" s="55" t="s">
        <v>1421</v>
      </c>
      <c r="F3902" t="s">
        <v>1399</v>
      </c>
      <c r="G3902" s="62">
        <v>18</v>
      </c>
      <c r="H3902">
        <v>8.6999999999999993</v>
      </c>
      <c r="I3902">
        <v>222</v>
      </c>
      <c r="J3902">
        <v>0</v>
      </c>
      <c r="K3902">
        <v>1</v>
      </c>
      <c r="L3902">
        <v>1</v>
      </c>
      <c r="M3902">
        <v>0</v>
      </c>
      <c r="N3902" s="23">
        <v>0</v>
      </c>
      <c r="O3902">
        <f t="shared" si="859"/>
        <v>6</v>
      </c>
      <c r="P3902" s="57">
        <f t="shared" si="860"/>
        <v>5</v>
      </c>
      <c r="Q3902" s="267">
        <f t="shared" si="861"/>
        <v>18</v>
      </c>
      <c r="R3902" s="23" t="str">
        <f t="shared" si="862"/>
        <v/>
      </c>
      <c r="S3902" s="23">
        <f t="shared" si="863"/>
        <v>18</v>
      </c>
      <c r="T3902" s="23" t="str">
        <f t="shared" si="864"/>
        <v/>
      </c>
      <c r="U3902" t="str">
        <f t="shared" si="865"/>
        <v/>
      </c>
      <c r="V3902" s="87"/>
      <c r="AF3902" s="22"/>
      <c r="AU3902" s="10"/>
    </row>
    <row r="3903" spans="1:47">
      <c r="A3903" t="str">
        <f t="shared" si="866"/>
        <v>PA_Alleg_2019g~Gen-school director fort cherry (vote for 5)</v>
      </c>
      <c r="B3903" s="55" t="s">
        <v>1528</v>
      </c>
      <c r="C3903">
        <v>160</v>
      </c>
      <c r="D3903" s="55" t="s">
        <v>181</v>
      </c>
      <c r="E3903" s="55" t="s">
        <v>15</v>
      </c>
      <c r="G3903" s="62">
        <v>0</v>
      </c>
      <c r="H3903">
        <v>0</v>
      </c>
      <c r="I3903">
        <v>222</v>
      </c>
      <c r="J3903">
        <v>0</v>
      </c>
      <c r="K3903">
        <v>1</v>
      </c>
      <c r="L3903">
        <v>1</v>
      </c>
      <c r="M3903">
        <v>0</v>
      </c>
      <c r="N3903" s="23">
        <v>0</v>
      </c>
      <c r="O3903">
        <f t="shared" si="859"/>
        <v>-6</v>
      </c>
      <c r="P3903" s="57">
        <f t="shared" si="860"/>
        <v>5</v>
      </c>
      <c r="Q3903" s="267">
        <f t="shared" si="861"/>
        <v>0</v>
      </c>
      <c r="R3903" s="23">
        <f t="shared" si="862"/>
        <v>1</v>
      </c>
      <c r="S3903" s="23">
        <f t="shared" si="863"/>
        <v>0</v>
      </c>
      <c r="T3903" s="23" t="str">
        <f t="shared" si="864"/>
        <v/>
      </c>
      <c r="U3903" t="str">
        <f t="shared" si="865"/>
        <v/>
      </c>
      <c r="V3903" s="87"/>
      <c r="AF3903" s="22"/>
      <c r="AU3903" s="10"/>
    </row>
    <row r="3904" spans="1:47">
      <c r="A3904" t="str">
        <f t="shared" si="866"/>
        <v>PA_Alleg_2019g~Gen-school director fox chapel region 1 (vote for 2)</v>
      </c>
      <c r="B3904" s="55" t="s">
        <v>1528</v>
      </c>
      <c r="C3904">
        <v>319</v>
      </c>
      <c r="D3904" s="55" t="s">
        <v>350</v>
      </c>
      <c r="E3904" s="55" t="s">
        <v>351</v>
      </c>
      <c r="F3904" t="s">
        <v>1396</v>
      </c>
      <c r="G3904" s="62">
        <v>1560</v>
      </c>
      <c r="H3904">
        <v>51.23</v>
      </c>
      <c r="I3904">
        <v>6546</v>
      </c>
      <c r="J3904">
        <v>0</v>
      </c>
      <c r="K3904">
        <v>9</v>
      </c>
      <c r="L3904">
        <v>9</v>
      </c>
      <c r="M3904">
        <v>0</v>
      </c>
      <c r="N3904" s="23">
        <v>0</v>
      </c>
      <c r="O3904">
        <f t="shared" si="859"/>
        <v>1</v>
      </c>
      <c r="P3904" s="57">
        <f t="shared" si="860"/>
        <v>2</v>
      </c>
      <c r="Q3904" s="267">
        <f t="shared" si="861"/>
        <v>1560</v>
      </c>
      <c r="R3904" s="23">
        <f t="shared" si="862"/>
        <v>1448</v>
      </c>
      <c r="S3904" s="23">
        <f t="shared" si="863"/>
        <v>0</v>
      </c>
      <c r="T3904" s="23" t="str">
        <f t="shared" si="864"/>
        <v/>
      </c>
      <c r="U3904" t="str">
        <f t="shared" si="865"/>
        <v>PA_Alleg_2019g~Gen-school director fox chapel region 1 (vote for 2)</v>
      </c>
      <c r="V3904" s="87"/>
      <c r="AF3904" s="22"/>
      <c r="AU3904" s="10"/>
    </row>
    <row r="3905" spans="1:47">
      <c r="A3905" t="str">
        <f t="shared" si="866"/>
        <v>PA_Alleg_2019g~Gen-school director fox chapel region 1 (vote for 2)</v>
      </c>
      <c r="B3905" s="55" t="s">
        <v>1528</v>
      </c>
      <c r="C3905">
        <v>320</v>
      </c>
      <c r="D3905" s="55" t="s">
        <v>350</v>
      </c>
      <c r="E3905" s="55" t="s">
        <v>352</v>
      </c>
      <c r="F3905" t="s">
        <v>1396</v>
      </c>
      <c r="G3905" s="62">
        <v>1448</v>
      </c>
      <c r="H3905">
        <v>47.55</v>
      </c>
      <c r="I3905">
        <v>6546</v>
      </c>
      <c r="J3905">
        <v>0</v>
      </c>
      <c r="K3905">
        <v>9</v>
      </c>
      <c r="L3905">
        <v>9</v>
      </c>
      <c r="M3905">
        <v>0</v>
      </c>
      <c r="N3905" s="23">
        <v>0</v>
      </c>
      <c r="O3905">
        <f t="shared" si="859"/>
        <v>2</v>
      </c>
      <c r="P3905" s="57">
        <f t="shared" si="860"/>
        <v>2</v>
      </c>
      <c r="Q3905" s="267">
        <f t="shared" si="861"/>
        <v>1485</v>
      </c>
      <c r="R3905" s="23">
        <f t="shared" si="862"/>
        <v>1448</v>
      </c>
      <c r="S3905" s="23">
        <f t="shared" si="863"/>
        <v>0</v>
      </c>
      <c r="T3905" s="23" t="str">
        <f t="shared" si="864"/>
        <v/>
      </c>
      <c r="U3905" t="str">
        <f t="shared" si="865"/>
        <v/>
      </c>
      <c r="V3905" s="87"/>
      <c r="AF3905" s="22"/>
      <c r="AU3905" s="10"/>
    </row>
    <row r="3906" spans="1:47">
      <c r="A3906" t="str">
        <f t="shared" si="866"/>
        <v>PA_Alleg_2019g~Gen-school director fox chapel region 1 (vote for 2)</v>
      </c>
      <c r="B3906" s="55" t="s">
        <v>1528</v>
      </c>
      <c r="C3906">
        <v>321</v>
      </c>
      <c r="D3906" s="55" t="s">
        <v>350</v>
      </c>
      <c r="E3906" s="55" t="s">
        <v>15</v>
      </c>
      <c r="G3906" s="62">
        <v>37</v>
      </c>
      <c r="H3906">
        <v>1.22</v>
      </c>
      <c r="I3906">
        <v>6546</v>
      </c>
      <c r="J3906">
        <v>0</v>
      </c>
      <c r="K3906">
        <v>9</v>
      </c>
      <c r="L3906">
        <v>9</v>
      </c>
      <c r="M3906">
        <v>0</v>
      </c>
      <c r="N3906" s="23">
        <v>0</v>
      </c>
      <c r="O3906">
        <f t="shared" ref="O3906:O3969" si="867">IF(OR(LOWER(LEFT(E3906,8))="write-in",LOWER(LEFT(E3906,8))="not qual"),IF(A3906=A3905,-ABS(O3905),0),IF(A3906=A3905,ABS(O3905)+1,1))</f>
        <v>-2</v>
      </c>
      <c r="P3906" s="57">
        <f t="shared" ref="P3906:P3969" si="868">1*LEFT(RIGHT(A3906,2),1)</f>
        <v>2</v>
      </c>
      <c r="Q3906" s="267">
        <f t="shared" ref="Q3906:Q3969" si="869">IF(A3906&lt;&gt;A3907,G3906,IF(A3906=A3905,G3906+Q3907,MAX(G3906,(G3906+Q3907)/P3906)))</f>
        <v>37</v>
      </c>
      <c r="R3906" s="23">
        <f t="shared" ref="R3906:R3969" si="870">IF(O3906&gt;P3906,"",IF(O3906=P3906,G3906,IF(A3906=A3907,R3907,IF(O3906&lt;=0,1,G3906))))</f>
        <v>1</v>
      </c>
      <c r="S3906" s="23">
        <f t="shared" ref="S3906:S3969" si="871">IF(AND(O3906&gt;P3906,LOWER(LEFT(E3906,8))&lt;&gt;"write-in",LOWER(LEFT(E3906,8))&lt;&gt;"not qual"),G3906,IF(A3906=A3907,S3907,0))</f>
        <v>0</v>
      </c>
      <c r="T3906" s="23" t="str">
        <f t="shared" ref="T3906:T3969" si="872">IF(OR(A3906=A3905,S3906=0),"",R3906-ABS(S3906))</f>
        <v/>
      </c>
      <c r="U3906" t="str">
        <f t="shared" ref="U3906:U3969" si="873">IF(A3906=A3905,"",A3906)</f>
        <v/>
      </c>
      <c r="V3906" s="87"/>
      <c r="AF3906" s="22"/>
      <c r="AU3906" s="10"/>
    </row>
    <row r="3907" spans="1:47">
      <c r="A3907" t="str">
        <f t="shared" si="866"/>
        <v>PA_Alleg_2019g~Gen-school director fox chapel region 2 (vote for 2)</v>
      </c>
      <c r="B3907" s="55" t="s">
        <v>1528</v>
      </c>
      <c r="C3907">
        <v>360</v>
      </c>
      <c r="D3907" s="55" t="s">
        <v>389</v>
      </c>
      <c r="E3907" s="55" t="s">
        <v>392</v>
      </c>
      <c r="F3907" t="s">
        <v>1396</v>
      </c>
      <c r="G3907" s="62">
        <v>2063</v>
      </c>
      <c r="H3907">
        <v>43.7</v>
      </c>
      <c r="I3907">
        <v>8403</v>
      </c>
      <c r="J3907">
        <v>0</v>
      </c>
      <c r="K3907">
        <v>8</v>
      </c>
      <c r="L3907">
        <v>8</v>
      </c>
      <c r="M3907">
        <v>0</v>
      </c>
      <c r="N3907" s="23">
        <v>0</v>
      </c>
      <c r="O3907">
        <f t="shared" si="867"/>
        <v>1</v>
      </c>
      <c r="P3907" s="57">
        <f t="shared" si="868"/>
        <v>2</v>
      </c>
      <c r="Q3907" s="267">
        <f t="shared" si="869"/>
        <v>2360.5</v>
      </c>
      <c r="R3907" s="23">
        <f t="shared" si="870"/>
        <v>1440</v>
      </c>
      <c r="S3907" s="23">
        <f t="shared" si="871"/>
        <v>1206</v>
      </c>
      <c r="T3907" s="23">
        <f t="shared" si="872"/>
        <v>234</v>
      </c>
      <c r="U3907" t="str">
        <f t="shared" si="873"/>
        <v>PA_Alleg_2019g~Gen-school director fox chapel region 2 (vote for 2)</v>
      </c>
      <c r="V3907" s="87"/>
      <c r="AF3907" s="22"/>
      <c r="AU3907" s="10"/>
    </row>
    <row r="3908" spans="1:47">
      <c r="A3908" t="str">
        <f t="shared" si="866"/>
        <v>PA_Alleg_2019g~Gen-school director fox chapel region 2 (vote for 2)</v>
      </c>
      <c r="B3908" s="55" t="s">
        <v>1528</v>
      </c>
      <c r="C3908">
        <v>359</v>
      </c>
      <c r="D3908" s="55" t="s">
        <v>389</v>
      </c>
      <c r="E3908" s="55" t="s">
        <v>390</v>
      </c>
      <c r="F3908" t="s">
        <v>1294</v>
      </c>
      <c r="G3908" s="62">
        <v>1440</v>
      </c>
      <c r="H3908">
        <v>30.5</v>
      </c>
      <c r="I3908">
        <v>8403</v>
      </c>
      <c r="J3908">
        <v>0</v>
      </c>
      <c r="K3908">
        <v>8</v>
      </c>
      <c r="L3908">
        <v>8</v>
      </c>
      <c r="M3908">
        <v>0</v>
      </c>
      <c r="N3908" s="23">
        <v>0</v>
      </c>
      <c r="O3908">
        <f t="shared" si="867"/>
        <v>2</v>
      </c>
      <c r="P3908" s="57">
        <f t="shared" si="868"/>
        <v>2</v>
      </c>
      <c r="Q3908" s="267">
        <f t="shared" si="869"/>
        <v>2658</v>
      </c>
      <c r="R3908" s="23">
        <f t="shared" si="870"/>
        <v>1440</v>
      </c>
      <c r="S3908" s="23">
        <f t="shared" si="871"/>
        <v>1206</v>
      </c>
      <c r="T3908" s="23" t="str">
        <f t="shared" si="872"/>
        <v/>
      </c>
      <c r="U3908" t="str">
        <f t="shared" si="873"/>
        <v/>
      </c>
      <c r="V3908" s="87"/>
      <c r="AF3908" s="22"/>
      <c r="AU3908" s="10"/>
    </row>
    <row r="3909" spans="1:47">
      <c r="A3909" t="str">
        <f t="shared" si="866"/>
        <v>PA_Alleg_2019g~Gen-school director fox chapel region 2 (vote for 2)</v>
      </c>
      <c r="B3909" s="55" t="s">
        <v>1528</v>
      </c>
      <c r="C3909">
        <v>361</v>
      </c>
      <c r="D3909" s="55" t="s">
        <v>389</v>
      </c>
      <c r="E3909" s="55" t="s">
        <v>391</v>
      </c>
      <c r="F3909" t="s">
        <v>1296</v>
      </c>
      <c r="G3909" s="62">
        <v>1206</v>
      </c>
      <c r="H3909">
        <v>25.55</v>
      </c>
      <c r="I3909">
        <v>8403</v>
      </c>
      <c r="J3909">
        <v>0</v>
      </c>
      <c r="K3909">
        <v>8</v>
      </c>
      <c r="L3909">
        <v>8</v>
      </c>
      <c r="M3909">
        <v>0</v>
      </c>
      <c r="N3909" s="23">
        <v>0</v>
      </c>
      <c r="O3909">
        <f t="shared" si="867"/>
        <v>3</v>
      </c>
      <c r="P3909" s="57">
        <f t="shared" si="868"/>
        <v>2</v>
      </c>
      <c r="Q3909" s="267">
        <f t="shared" si="869"/>
        <v>1218</v>
      </c>
      <c r="R3909" s="23" t="str">
        <f t="shared" si="870"/>
        <v/>
      </c>
      <c r="S3909" s="23">
        <f t="shared" si="871"/>
        <v>1206</v>
      </c>
      <c r="T3909" s="23" t="str">
        <f t="shared" si="872"/>
        <v/>
      </c>
      <c r="U3909" t="str">
        <f t="shared" si="873"/>
        <v/>
      </c>
      <c r="V3909" s="87"/>
      <c r="AF3909" s="22"/>
      <c r="AU3909" s="10"/>
    </row>
    <row r="3910" spans="1:47">
      <c r="A3910" t="str">
        <f t="shared" si="866"/>
        <v>PA_Alleg_2019g~Gen-school director fox chapel region 2 (vote for 2)</v>
      </c>
      <c r="B3910" s="55" t="s">
        <v>1528</v>
      </c>
      <c r="C3910">
        <v>362</v>
      </c>
      <c r="D3910" s="55" t="s">
        <v>389</v>
      </c>
      <c r="E3910" s="55" t="s">
        <v>15</v>
      </c>
      <c r="G3910" s="62">
        <v>12</v>
      </c>
      <c r="H3910">
        <v>0.25</v>
      </c>
      <c r="I3910">
        <v>8403</v>
      </c>
      <c r="J3910">
        <v>0</v>
      </c>
      <c r="K3910">
        <v>8</v>
      </c>
      <c r="L3910">
        <v>8</v>
      </c>
      <c r="M3910">
        <v>0</v>
      </c>
      <c r="N3910" s="23">
        <v>0</v>
      </c>
      <c r="O3910">
        <f t="shared" si="867"/>
        <v>-3</v>
      </c>
      <c r="P3910" s="57">
        <f t="shared" si="868"/>
        <v>2</v>
      </c>
      <c r="Q3910" s="267">
        <f t="shared" si="869"/>
        <v>12</v>
      </c>
      <c r="R3910" s="23">
        <f t="shared" si="870"/>
        <v>1</v>
      </c>
      <c r="S3910" s="23">
        <f t="shared" si="871"/>
        <v>0</v>
      </c>
      <c r="T3910" s="23" t="str">
        <f t="shared" si="872"/>
        <v/>
      </c>
      <c r="U3910" t="str">
        <f t="shared" si="873"/>
        <v/>
      </c>
      <c r="V3910" s="87"/>
      <c r="AF3910" s="22"/>
      <c r="AU3910" s="10"/>
    </row>
    <row r="3911" spans="1:47">
      <c r="A3911" t="str">
        <f t="shared" si="866"/>
        <v>PA_Alleg_2019g~Gen-school director fox chapel region 3 (vote for 1)</v>
      </c>
      <c r="B3911" s="55" t="s">
        <v>1528</v>
      </c>
      <c r="C3911">
        <v>416</v>
      </c>
      <c r="D3911" s="55" t="s">
        <v>444</v>
      </c>
      <c r="E3911" s="55" t="s">
        <v>445</v>
      </c>
      <c r="F3911" t="s">
        <v>1294</v>
      </c>
      <c r="G3911" s="62">
        <v>2060</v>
      </c>
      <c r="H3911">
        <v>96.08</v>
      </c>
      <c r="I3911">
        <v>8464</v>
      </c>
      <c r="J3911">
        <v>0</v>
      </c>
      <c r="K3911">
        <v>10</v>
      </c>
      <c r="L3911">
        <v>10</v>
      </c>
      <c r="M3911">
        <v>0</v>
      </c>
      <c r="N3911" s="23">
        <v>0</v>
      </c>
      <c r="O3911">
        <f t="shared" si="867"/>
        <v>1</v>
      </c>
      <c r="P3911" s="57">
        <f t="shared" si="868"/>
        <v>1</v>
      </c>
      <c r="Q3911" s="267">
        <f t="shared" si="869"/>
        <v>2144</v>
      </c>
      <c r="R3911" s="23">
        <f t="shared" si="870"/>
        <v>2060</v>
      </c>
      <c r="S3911" s="23">
        <f t="shared" si="871"/>
        <v>0</v>
      </c>
      <c r="T3911" s="23" t="str">
        <f t="shared" si="872"/>
        <v/>
      </c>
      <c r="U3911" t="str">
        <f t="shared" si="873"/>
        <v>PA_Alleg_2019g~Gen-school director fox chapel region 3 (vote for 1)</v>
      </c>
      <c r="V3911" s="87"/>
      <c r="AF3911" s="22"/>
      <c r="AU3911" s="10"/>
    </row>
    <row r="3912" spans="1:47">
      <c r="A3912" t="str">
        <f t="shared" si="866"/>
        <v>PA_Alleg_2019g~Gen-school director fox chapel region 3 (vote for 1)</v>
      </c>
      <c r="B3912" s="55" t="s">
        <v>1528</v>
      </c>
      <c r="C3912">
        <v>417</v>
      </c>
      <c r="D3912" s="55" t="s">
        <v>444</v>
      </c>
      <c r="E3912" s="55" t="s">
        <v>15</v>
      </c>
      <c r="G3912" s="62">
        <v>84</v>
      </c>
      <c r="H3912">
        <v>3.92</v>
      </c>
      <c r="I3912">
        <v>8464</v>
      </c>
      <c r="J3912">
        <v>0</v>
      </c>
      <c r="K3912">
        <v>10</v>
      </c>
      <c r="L3912">
        <v>10</v>
      </c>
      <c r="M3912">
        <v>0</v>
      </c>
      <c r="N3912" s="23">
        <v>0</v>
      </c>
      <c r="O3912">
        <f t="shared" si="867"/>
        <v>-1</v>
      </c>
      <c r="P3912" s="57">
        <f t="shared" si="868"/>
        <v>1</v>
      </c>
      <c r="Q3912" s="267">
        <f t="shared" si="869"/>
        <v>84</v>
      </c>
      <c r="R3912" s="23">
        <f t="shared" si="870"/>
        <v>1</v>
      </c>
      <c r="S3912" s="23">
        <f t="shared" si="871"/>
        <v>0</v>
      </c>
      <c r="T3912" s="23" t="str">
        <f t="shared" si="872"/>
        <v/>
      </c>
      <c r="U3912" t="str">
        <f t="shared" si="873"/>
        <v/>
      </c>
      <c r="V3912" s="87"/>
      <c r="AF3912" s="22"/>
      <c r="AU3912" s="10"/>
    </row>
    <row r="3913" spans="1:47">
      <c r="A3913" t="str">
        <f t="shared" si="866"/>
        <v>PA_Alleg_2019g~Gen-school director gateway (vote for 1)</v>
      </c>
      <c r="B3913" s="55" t="s">
        <v>1528</v>
      </c>
      <c r="C3913">
        <v>311</v>
      </c>
      <c r="D3913" s="55" t="s">
        <v>1433</v>
      </c>
      <c r="E3913" s="55" t="s">
        <v>1434</v>
      </c>
      <c r="F3913" t="s">
        <v>1294</v>
      </c>
      <c r="G3913" s="62">
        <v>3415</v>
      </c>
      <c r="H3913">
        <v>56.07</v>
      </c>
      <c r="I3913">
        <v>23487</v>
      </c>
      <c r="J3913">
        <v>0</v>
      </c>
      <c r="K3913">
        <v>28</v>
      </c>
      <c r="L3913">
        <v>28</v>
      </c>
      <c r="M3913">
        <v>0</v>
      </c>
      <c r="N3913" s="23">
        <v>0</v>
      </c>
      <c r="O3913">
        <f t="shared" si="867"/>
        <v>1</v>
      </c>
      <c r="P3913" s="57">
        <f t="shared" si="868"/>
        <v>1</v>
      </c>
      <c r="Q3913" s="267">
        <f t="shared" si="869"/>
        <v>6091</v>
      </c>
      <c r="R3913" s="23">
        <f t="shared" si="870"/>
        <v>3415</v>
      </c>
      <c r="S3913" s="23">
        <f t="shared" si="871"/>
        <v>2663</v>
      </c>
      <c r="T3913" s="23">
        <f t="shared" si="872"/>
        <v>752</v>
      </c>
      <c r="U3913" t="str">
        <f t="shared" si="873"/>
        <v>PA_Alleg_2019g~Gen-school director gateway (vote for 1)</v>
      </c>
      <c r="V3913" s="87"/>
      <c r="AF3913" s="22"/>
      <c r="AU3913" s="10"/>
    </row>
    <row r="3914" spans="1:47">
      <c r="A3914" t="str">
        <f t="shared" si="866"/>
        <v>PA_Alleg_2019g~Gen-school director gateway (vote for 1)</v>
      </c>
      <c r="B3914" s="55" t="s">
        <v>1528</v>
      </c>
      <c r="C3914">
        <v>312</v>
      </c>
      <c r="D3914" s="55" t="s">
        <v>1433</v>
      </c>
      <c r="E3914" s="55" t="s">
        <v>1435</v>
      </c>
      <c r="F3914" t="s">
        <v>1296</v>
      </c>
      <c r="G3914" s="62">
        <v>2663</v>
      </c>
      <c r="H3914">
        <v>43.72</v>
      </c>
      <c r="I3914">
        <v>23487</v>
      </c>
      <c r="J3914">
        <v>0</v>
      </c>
      <c r="K3914">
        <v>28</v>
      </c>
      <c r="L3914">
        <v>28</v>
      </c>
      <c r="M3914">
        <v>0</v>
      </c>
      <c r="N3914" s="23">
        <v>0</v>
      </c>
      <c r="O3914">
        <f t="shared" si="867"/>
        <v>2</v>
      </c>
      <c r="P3914" s="57">
        <f t="shared" si="868"/>
        <v>1</v>
      </c>
      <c r="Q3914" s="267">
        <f t="shared" si="869"/>
        <v>2676</v>
      </c>
      <c r="R3914" s="23" t="str">
        <f t="shared" si="870"/>
        <v/>
      </c>
      <c r="S3914" s="23">
        <f t="shared" si="871"/>
        <v>2663</v>
      </c>
      <c r="T3914" s="23" t="str">
        <f t="shared" si="872"/>
        <v/>
      </c>
      <c r="U3914" t="str">
        <f t="shared" si="873"/>
        <v/>
      </c>
      <c r="V3914" s="87"/>
      <c r="AF3914" s="22"/>
      <c r="AU3914" s="10"/>
    </row>
    <row r="3915" spans="1:47">
      <c r="A3915" t="str">
        <f t="shared" si="866"/>
        <v>PA_Alleg_2019g~Gen-school director gateway (vote for 1)</v>
      </c>
      <c r="B3915" s="55" t="s">
        <v>1528</v>
      </c>
      <c r="C3915">
        <v>313</v>
      </c>
      <c r="D3915" s="55" t="s">
        <v>1433</v>
      </c>
      <c r="E3915" s="55" t="s">
        <v>15</v>
      </c>
      <c r="G3915" s="62">
        <v>13</v>
      </c>
      <c r="H3915">
        <v>0.21</v>
      </c>
      <c r="I3915">
        <v>23487</v>
      </c>
      <c r="J3915">
        <v>0</v>
      </c>
      <c r="K3915">
        <v>28</v>
      </c>
      <c r="L3915">
        <v>28</v>
      </c>
      <c r="M3915">
        <v>0</v>
      </c>
      <c r="N3915" s="23">
        <v>0</v>
      </c>
      <c r="O3915">
        <f t="shared" si="867"/>
        <v>-2</v>
      </c>
      <c r="P3915" s="57">
        <f t="shared" si="868"/>
        <v>1</v>
      </c>
      <c r="Q3915" s="267">
        <f t="shared" si="869"/>
        <v>13</v>
      </c>
      <c r="R3915" s="23">
        <f t="shared" si="870"/>
        <v>1</v>
      </c>
      <c r="S3915" s="23">
        <f t="shared" si="871"/>
        <v>0</v>
      </c>
      <c r="T3915" s="23" t="str">
        <f t="shared" si="872"/>
        <v/>
      </c>
      <c r="U3915" t="str">
        <f t="shared" si="873"/>
        <v/>
      </c>
      <c r="V3915" s="87"/>
      <c r="AF3915" s="22"/>
      <c r="AG3915" s="23"/>
      <c r="AH3915" s="8"/>
      <c r="AU3915" s="10"/>
    </row>
    <row r="3916" spans="1:47">
      <c r="A3916" t="str">
        <f t="shared" si="866"/>
        <v>PA_Alleg_2019g~Gen-school director gateway (vote for 5)</v>
      </c>
      <c r="B3916" s="55" t="s">
        <v>1528</v>
      </c>
      <c r="C3916">
        <v>161</v>
      </c>
      <c r="D3916" s="55" t="s">
        <v>187</v>
      </c>
      <c r="E3916" s="55" t="s">
        <v>193</v>
      </c>
      <c r="F3916" t="s">
        <v>1396</v>
      </c>
      <c r="G3916" s="62">
        <v>4529</v>
      </c>
      <c r="H3916">
        <v>20.57</v>
      </c>
      <c r="I3916">
        <v>23487</v>
      </c>
      <c r="J3916">
        <v>0</v>
      </c>
      <c r="K3916">
        <v>28</v>
      </c>
      <c r="L3916">
        <v>28</v>
      </c>
      <c r="M3916">
        <v>0</v>
      </c>
      <c r="N3916" s="23">
        <v>0</v>
      </c>
      <c r="O3916">
        <f t="shared" si="867"/>
        <v>1</v>
      </c>
      <c r="P3916" s="57">
        <f t="shared" si="868"/>
        <v>5</v>
      </c>
      <c r="Q3916" s="267">
        <f t="shared" si="869"/>
        <v>4529</v>
      </c>
      <c r="R3916" s="23">
        <f t="shared" si="870"/>
        <v>4254</v>
      </c>
      <c r="S3916" s="23">
        <f t="shared" si="871"/>
        <v>0</v>
      </c>
      <c r="T3916" s="23" t="str">
        <f t="shared" si="872"/>
        <v/>
      </c>
      <c r="U3916" t="str">
        <f t="shared" si="873"/>
        <v>PA_Alleg_2019g~Gen-school director gateway (vote for 5)</v>
      </c>
      <c r="V3916" s="87"/>
      <c r="AF3916" s="22"/>
      <c r="AU3916" s="10"/>
    </row>
    <row r="3917" spans="1:47">
      <c r="A3917" t="str">
        <f t="shared" si="866"/>
        <v>PA_Alleg_2019g~Gen-school director gateway (vote for 5)</v>
      </c>
      <c r="B3917" s="55" t="s">
        <v>1528</v>
      </c>
      <c r="C3917">
        <v>165</v>
      </c>
      <c r="D3917" s="55" t="s">
        <v>187</v>
      </c>
      <c r="E3917" s="55" t="s">
        <v>188</v>
      </c>
      <c r="F3917" t="s">
        <v>1396</v>
      </c>
      <c r="G3917" s="62">
        <v>4492</v>
      </c>
      <c r="H3917">
        <v>20.399999999999999</v>
      </c>
      <c r="I3917">
        <v>23487</v>
      </c>
      <c r="J3917">
        <v>0</v>
      </c>
      <c r="K3917">
        <v>28</v>
      </c>
      <c r="L3917">
        <v>28</v>
      </c>
      <c r="M3917">
        <v>0</v>
      </c>
      <c r="N3917" s="23">
        <v>0</v>
      </c>
      <c r="O3917">
        <f t="shared" si="867"/>
        <v>2</v>
      </c>
      <c r="P3917" s="57">
        <f t="shared" si="868"/>
        <v>5</v>
      </c>
      <c r="Q3917" s="267">
        <f t="shared" si="869"/>
        <v>17487</v>
      </c>
      <c r="R3917" s="23">
        <f t="shared" si="870"/>
        <v>4254</v>
      </c>
      <c r="S3917" s="23">
        <f t="shared" si="871"/>
        <v>0</v>
      </c>
      <c r="T3917" s="23" t="str">
        <f t="shared" si="872"/>
        <v/>
      </c>
      <c r="U3917" t="str">
        <f t="shared" si="873"/>
        <v/>
      </c>
      <c r="V3917" s="87"/>
      <c r="AF3917" s="22"/>
      <c r="AU3917" s="10"/>
    </row>
    <row r="3918" spans="1:47">
      <c r="A3918" t="str">
        <f t="shared" si="866"/>
        <v>PA_Alleg_2019g~Gen-school director gateway (vote for 5)</v>
      </c>
      <c r="B3918" s="55" t="s">
        <v>1528</v>
      </c>
      <c r="C3918">
        <v>163</v>
      </c>
      <c r="D3918" s="55" t="s">
        <v>187</v>
      </c>
      <c r="E3918" s="55" t="s">
        <v>189</v>
      </c>
      <c r="F3918" t="s">
        <v>1396</v>
      </c>
      <c r="G3918" s="62">
        <v>4325</v>
      </c>
      <c r="H3918">
        <v>19.64</v>
      </c>
      <c r="I3918">
        <v>23487</v>
      </c>
      <c r="J3918">
        <v>0</v>
      </c>
      <c r="K3918">
        <v>28</v>
      </c>
      <c r="L3918">
        <v>28</v>
      </c>
      <c r="M3918">
        <v>0</v>
      </c>
      <c r="N3918" s="23">
        <v>0</v>
      </c>
      <c r="O3918">
        <f t="shared" si="867"/>
        <v>3</v>
      </c>
      <c r="P3918" s="57">
        <f t="shared" si="868"/>
        <v>5</v>
      </c>
      <c r="Q3918" s="267">
        <f t="shared" si="869"/>
        <v>12995</v>
      </c>
      <c r="R3918" s="23">
        <f t="shared" si="870"/>
        <v>4254</v>
      </c>
      <c r="S3918" s="23">
        <f t="shared" si="871"/>
        <v>0</v>
      </c>
      <c r="T3918" s="23" t="str">
        <f t="shared" si="872"/>
        <v/>
      </c>
      <c r="U3918" t="str">
        <f t="shared" si="873"/>
        <v/>
      </c>
      <c r="V3918" s="87"/>
      <c r="AF3918" s="22"/>
      <c r="AU3918" s="10"/>
    </row>
    <row r="3919" spans="1:47">
      <c r="A3919" t="str">
        <f t="shared" si="866"/>
        <v>PA_Alleg_2019g~Gen-school director gateway (vote for 5)</v>
      </c>
      <c r="B3919" s="55" t="s">
        <v>1528</v>
      </c>
      <c r="C3919">
        <v>164</v>
      </c>
      <c r="D3919" s="55" t="s">
        <v>187</v>
      </c>
      <c r="E3919" s="55" t="s">
        <v>192</v>
      </c>
      <c r="F3919" t="s">
        <v>1396</v>
      </c>
      <c r="G3919" s="62">
        <v>4291</v>
      </c>
      <c r="H3919">
        <v>19.489999999999998</v>
      </c>
      <c r="I3919">
        <v>23487</v>
      </c>
      <c r="J3919">
        <v>0</v>
      </c>
      <c r="K3919">
        <v>28</v>
      </c>
      <c r="L3919">
        <v>28</v>
      </c>
      <c r="M3919">
        <v>0</v>
      </c>
      <c r="N3919" s="23">
        <v>0</v>
      </c>
      <c r="O3919">
        <f t="shared" si="867"/>
        <v>4</v>
      </c>
      <c r="P3919" s="57">
        <f t="shared" si="868"/>
        <v>5</v>
      </c>
      <c r="Q3919" s="267">
        <f t="shared" si="869"/>
        <v>8670</v>
      </c>
      <c r="R3919" s="23">
        <f t="shared" si="870"/>
        <v>4254</v>
      </c>
      <c r="S3919" s="23">
        <f t="shared" si="871"/>
        <v>0</v>
      </c>
      <c r="T3919" s="23" t="str">
        <f t="shared" si="872"/>
        <v/>
      </c>
      <c r="U3919" t="str">
        <f t="shared" si="873"/>
        <v/>
      </c>
      <c r="V3919" s="87"/>
      <c r="AF3919" s="22"/>
      <c r="AU3919" s="10"/>
    </row>
    <row r="3920" spans="1:47">
      <c r="A3920" t="str">
        <f t="shared" si="866"/>
        <v>PA_Alleg_2019g~Gen-school director gateway (vote for 5)</v>
      </c>
      <c r="B3920" s="55" t="s">
        <v>1528</v>
      </c>
      <c r="C3920">
        <v>162</v>
      </c>
      <c r="D3920" s="55" t="s">
        <v>187</v>
      </c>
      <c r="E3920" s="55" t="s">
        <v>190</v>
      </c>
      <c r="F3920" t="s">
        <v>1396</v>
      </c>
      <c r="G3920" s="62">
        <v>4254</v>
      </c>
      <c r="H3920">
        <v>19.32</v>
      </c>
      <c r="I3920">
        <v>23487</v>
      </c>
      <c r="J3920">
        <v>0</v>
      </c>
      <c r="K3920">
        <v>28</v>
      </c>
      <c r="L3920">
        <v>28</v>
      </c>
      <c r="M3920">
        <v>0</v>
      </c>
      <c r="N3920" s="23">
        <v>0</v>
      </c>
      <c r="O3920">
        <f t="shared" si="867"/>
        <v>5</v>
      </c>
      <c r="P3920" s="57">
        <f t="shared" si="868"/>
        <v>5</v>
      </c>
      <c r="Q3920" s="267">
        <f t="shared" si="869"/>
        <v>4379</v>
      </c>
      <c r="R3920" s="23">
        <f t="shared" si="870"/>
        <v>4254</v>
      </c>
      <c r="S3920" s="23">
        <f t="shared" si="871"/>
        <v>0</v>
      </c>
      <c r="T3920" s="23" t="str">
        <f t="shared" si="872"/>
        <v/>
      </c>
      <c r="U3920" t="str">
        <f t="shared" si="873"/>
        <v/>
      </c>
      <c r="V3920" s="87"/>
      <c r="AF3920" s="22"/>
      <c r="AU3920" s="10"/>
    </row>
    <row r="3921" spans="1:47">
      <c r="A3921" t="str">
        <f t="shared" si="866"/>
        <v>PA_Alleg_2019g~Gen-school director gateway (vote for 5)</v>
      </c>
      <c r="B3921" s="55" t="s">
        <v>1528</v>
      </c>
      <c r="C3921">
        <v>166</v>
      </c>
      <c r="D3921" s="55" t="s">
        <v>187</v>
      </c>
      <c r="E3921" s="55" t="s">
        <v>15</v>
      </c>
      <c r="G3921" s="62">
        <v>125</v>
      </c>
      <c r="H3921">
        <v>0.56999999999999995</v>
      </c>
      <c r="I3921">
        <v>23487</v>
      </c>
      <c r="J3921">
        <v>0</v>
      </c>
      <c r="K3921">
        <v>28</v>
      </c>
      <c r="L3921">
        <v>28</v>
      </c>
      <c r="M3921">
        <v>0</v>
      </c>
      <c r="N3921" s="23">
        <v>0</v>
      </c>
      <c r="O3921">
        <f t="shared" si="867"/>
        <v>-5</v>
      </c>
      <c r="P3921" s="57">
        <f t="shared" si="868"/>
        <v>5</v>
      </c>
      <c r="Q3921" s="267">
        <f t="shared" si="869"/>
        <v>125</v>
      </c>
      <c r="R3921" s="23">
        <f t="shared" si="870"/>
        <v>1</v>
      </c>
      <c r="S3921" s="23">
        <f t="shared" si="871"/>
        <v>0</v>
      </c>
      <c r="T3921" s="23" t="str">
        <f t="shared" si="872"/>
        <v/>
      </c>
      <c r="U3921" t="str">
        <f t="shared" si="873"/>
        <v/>
      </c>
      <c r="V3921" s="87"/>
      <c r="AF3921" s="22"/>
      <c r="AU3921" s="10"/>
    </row>
    <row r="3922" spans="1:47">
      <c r="A3922" t="str">
        <f t="shared" si="866"/>
        <v>PA_Alleg_2019g~Gen-school director hampton (vote for 5)</v>
      </c>
      <c r="B3922" s="55" t="s">
        <v>1528</v>
      </c>
      <c r="C3922">
        <v>167</v>
      </c>
      <c r="D3922" s="55" t="s">
        <v>195</v>
      </c>
      <c r="E3922" s="55" t="s">
        <v>199</v>
      </c>
      <c r="F3922" t="s">
        <v>1396</v>
      </c>
      <c r="G3922" s="62">
        <v>3206</v>
      </c>
      <c r="H3922">
        <v>18.809999999999999</v>
      </c>
      <c r="I3922">
        <v>14286</v>
      </c>
      <c r="J3922">
        <v>0</v>
      </c>
      <c r="K3922">
        <v>13</v>
      </c>
      <c r="L3922">
        <v>13</v>
      </c>
      <c r="M3922">
        <v>0</v>
      </c>
      <c r="N3922" s="23">
        <v>0</v>
      </c>
      <c r="O3922">
        <f t="shared" si="867"/>
        <v>1</v>
      </c>
      <c r="P3922" s="57">
        <f t="shared" si="868"/>
        <v>5</v>
      </c>
      <c r="Q3922" s="267">
        <f t="shared" si="869"/>
        <v>3408.4</v>
      </c>
      <c r="R3922" s="23">
        <f t="shared" si="870"/>
        <v>2265</v>
      </c>
      <c r="S3922" s="23">
        <f t="shared" si="871"/>
        <v>2261</v>
      </c>
      <c r="T3922" s="23">
        <f t="shared" si="872"/>
        <v>4</v>
      </c>
      <c r="U3922" t="str">
        <f t="shared" si="873"/>
        <v>PA_Alleg_2019g~Gen-school director hampton (vote for 5)</v>
      </c>
      <c r="V3922" s="87"/>
      <c r="AF3922" s="22"/>
      <c r="AU3922" s="10"/>
    </row>
    <row r="3923" spans="1:47">
      <c r="A3923" t="str">
        <f t="shared" si="866"/>
        <v>PA_Alleg_2019g~Gen-school director hampton (vote for 5)</v>
      </c>
      <c r="B3923" s="55" t="s">
        <v>1528</v>
      </c>
      <c r="C3923">
        <v>169</v>
      </c>
      <c r="D3923" s="55" t="s">
        <v>195</v>
      </c>
      <c r="E3923" s="55" t="s">
        <v>196</v>
      </c>
      <c r="F3923" t="s">
        <v>1396</v>
      </c>
      <c r="G3923" s="62">
        <v>3143</v>
      </c>
      <c r="H3923">
        <v>18.440000000000001</v>
      </c>
      <c r="I3923">
        <v>14286</v>
      </c>
      <c r="J3923">
        <v>0</v>
      </c>
      <c r="K3923">
        <v>13</v>
      </c>
      <c r="L3923">
        <v>13</v>
      </c>
      <c r="M3923">
        <v>0</v>
      </c>
      <c r="N3923" s="23">
        <v>0</v>
      </c>
      <c r="O3923">
        <f t="shared" si="867"/>
        <v>2</v>
      </c>
      <c r="P3923" s="57">
        <f t="shared" si="868"/>
        <v>5</v>
      </c>
      <c r="Q3923" s="267">
        <f t="shared" si="869"/>
        <v>13836</v>
      </c>
      <c r="R3923" s="23">
        <f t="shared" si="870"/>
        <v>2265</v>
      </c>
      <c r="S3923" s="23">
        <f t="shared" si="871"/>
        <v>2261</v>
      </c>
      <c r="T3923" s="23" t="str">
        <f t="shared" si="872"/>
        <v/>
      </c>
      <c r="U3923" t="str">
        <f t="shared" si="873"/>
        <v/>
      </c>
      <c r="V3923" s="87"/>
      <c r="AF3923" s="22"/>
      <c r="AU3923" s="10"/>
    </row>
    <row r="3924" spans="1:47">
      <c r="A3924" t="str">
        <f t="shared" si="866"/>
        <v>PA_Alleg_2019g~Gen-school director hampton (vote for 5)</v>
      </c>
      <c r="B3924" s="55" t="s">
        <v>1528</v>
      </c>
      <c r="C3924">
        <v>170</v>
      </c>
      <c r="D3924" s="55" t="s">
        <v>195</v>
      </c>
      <c r="E3924" s="55" t="s">
        <v>197</v>
      </c>
      <c r="F3924" t="s">
        <v>1396</v>
      </c>
      <c r="G3924" s="62">
        <v>3078</v>
      </c>
      <c r="H3924">
        <v>18.059999999999999</v>
      </c>
      <c r="I3924">
        <v>14286</v>
      </c>
      <c r="J3924">
        <v>0</v>
      </c>
      <c r="K3924">
        <v>13</v>
      </c>
      <c r="L3924">
        <v>13</v>
      </c>
      <c r="M3924">
        <v>0</v>
      </c>
      <c r="N3924" s="23">
        <v>0</v>
      </c>
      <c r="O3924">
        <f t="shared" si="867"/>
        <v>3</v>
      </c>
      <c r="P3924" s="57">
        <f t="shared" si="868"/>
        <v>5</v>
      </c>
      <c r="Q3924" s="267">
        <f t="shared" si="869"/>
        <v>10693</v>
      </c>
      <c r="R3924" s="23">
        <f t="shared" si="870"/>
        <v>2265</v>
      </c>
      <c r="S3924" s="23">
        <f t="shared" si="871"/>
        <v>2261</v>
      </c>
      <c r="T3924" s="23" t="str">
        <f t="shared" si="872"/>
        <v/>
      </c>
      <c r="U3924" t="str">
        <f t="shared" si="873"/>
        <v/>
      </c>
      <c r="V3924" s="87"/>
      <c r="AF3924" s="22"/>
      <c r="AU3924" s="10"/>
    </row>
    <row r="3925" spans="1:47">
      <c r="A3925" t="str">
        <f t="shared" si="866"/>
        <v>PA_Alleg_2019g~Gen-school director hampton (vote for 5)</v>
      </c>
      <c r="B3925" s="55" t="s">
        <v>1528</v>
      </c>
      <c r="C3925">
        <v>171</v>
      </c>
      <c r="D3925" s="55" t="s">
        <v>195</v>
      </c>
      <c r="E3925" s="55" t="s">
        <v>200</v>
      </c>
      <c r="F3925" t="s">
        <v>1396</v>
      </c>
      <c r="G3925" s="62">
        <v>3061</v>
      </c>
      <c r="H3925">
        <v>17.96</v>
      </c>
      <c r="I3925">
        <v>14286</v>
      </c>
      <c r="J3925">
        <v>0</v>
      </c>
      <c r="K3925">
        <v>13</v>
      </c>
      <c r="L3925">
        <v>13</v>
      </c>
      <c r="M3925">
        <v>0</v>
      </c>
      <c r="N3925" s="23">
        <v>0</v>
      </c>
      <c r="O3925">
        <f t="shared" si="867"/>
        <v>4</v>
      </c>
      <c r="P3925" s="57">
        <f t="shared" si="868"/>
        <v>5</v>
      </c>
      <c r="Q3925" s="267">
        <f t="shared" si="869"/>
        <v>7615</v>
      </c>
      <c r="R3925" s="23">
        <f t="shared" si="870"/>
        <v>2265</v>
      </c>
      <c r="S3925" s="23">
        <f t="shared" si="871"/>
        <v>2261</v>
      </c>
      <c r="T3925" s="23" t="str">
        <f t="shared" si="872"/>
        <v/>
      </c>
      <c r="U3925" t="str">
        <f t="shared" si="873"/>
        <v/>
      </c>
      <c r="V3925" s="87"/>
      <c r="AF3925" s="22"/>
      <c r="AU3925" s="10"/>
    </row>
    <row r="3926" spans="1:47">
      <c r="A3926" t="str">
        <f t="shared" si="866"/>
        <v>PA_Alleg_2019g~Gen-school director hampton (vote for 5)</v>
      </c>
      <c r="B3926" s="55" t="s">
        <v>1528</v>
      </c>
      <c r="C3926">
        <v>168</v>
      </c>
      <c r="D3926" s="55" t="s">
        <v>195</v>
      </c>
      <c r="E3926" s="55" t="s">
        <v>1422</v>
      </c>
      <c r="F3926" t="s">
        <v>1294</v>
      </c>
      <c r="G3926" s="62">
        <v>2265</v>
      </c>
      <c r="H3926">
        <v>13.29</v>
      </c>
      <c r="I3926">
        <v>14286</v>
      </c>
      <c r="J3926">
        <v>0</v>
      </c>
      <c r="K3926">
        <v>13</v>
      </c>
      <c r="L3926">
        <v>13</v>
      </c>
      <c r="M3926">
        <v>0</v>
      </c>
      <c r="N3926" s="23">
        <v>0</v>
      </c>
      <c r="O3926">
        <f t="shared" si="867"/>
        <v>5</v>
      </c>
      <c r="P3926" s="57">
        <f t="shared" si="868"/>
        <v>5</v>
      </c>
      <c r="Q3926" s="267">
        <f t="shared" si="869"/>
        <v>4554</v>
      </c>
      <c r="R3926" s="23">
        <f t="shared" si="870"/>
        <v>2265</v>
      </c>
      <c r="S3926" s="23">
        <f t="shared" si="871"/>
        <v>2261</v>
      </c>
      <c r="T3926" s="23" t="str">
        <f t="shared" si="872"/>
        <v/>
      </c>
      <c r="U3926" t="str">
        <f t="shared" si="873"/>
        <v/>
      </c>
      <c r="V3926" s="87"/>
      <c r="AF3926" s="22"/>
      <c r="AU3926" s="10"/>
    </row>
    <row r="3927" spans="1:47">
      <c r="A3927" t="str">
        <f t="shared" si="866"/>
        <v>PA_Alleg_2019g~Gen-school director hampton (vote for 5)</v>
      </c>
      <c r="B3927" s="55" t="s">
        <v>1528</v>
      </c>
      <c r="C3927">
        <v>172</v>
      </c>
      <c r="D3927" s="55" t="s">
        <v>195</v>
      </c>
      <c r="E3927" s="55" t="s">
        <v>201</v>
      </c>
      <c r="F3927" t="s">
        <v>1296</v>
      </c>
      <c r="G3927" s="62">
        <v>2261</v>
      </c>
      <c r="H3927">
        <v>13.27</v>
      </c>
      <c r="I3927">
        <v>14286</v>
      </c>
      <c r="J3927">
        <v>0</v>
      </c>
      <c r="K3927">
        <v>13</v>
      </c>
      <c r="L3927">
        <v>13</v>
      </c>
      <c r="M3927">
        <v>0</v>
      </c>
      <c r="N3927" s="23">
        <v>0</v>
      </c>
      <c r="O3927">
        <f t="shared" si="867"/>
        <v>6</v>
      </c>
      <c r="P3927" s="57">
        <f t="shared" si="868"/>
        <v>5</v>
      </c>
      <c r="Q3927" s="267">
        <f t="shared" si="869"/>
        <v>2289</v>
      </c>
      <c r="R3927" s="23" t="str">
        <f t="shared" si="870"/>
        <v/>
      </c>
      <c r="S3927" s="23">
        <f t="shared" si="871"/>
        <v>2261</v>
      </c>
      <c r="T3927" s="23" t="str">
        <f t="shared" si="872"/>
        <v/>
      </c>
      <c r="U3927" t="str">
        <f t="shared" si="873"/>
        <v/>
      </c>
      <c r="V3927" s="87"/>
      <c r="AF3927" s="22"/>
      <c r="AU3927" s="10"/>
    </row>
    <row r="3928" spans="1:47">
      <c r="A3928" t="str">
        <f t="shared" si="866"/>
        <v>PA_Alleg_2019g~Gen-school director hampton (vote for 5)</v>
      </c>
      <c r="B3928" s="55" t="s">
        <v>1528</v>
      </c>
      <c r="C3928">
        <v>173</v>
      </c>
      <c r="D3928" s="55" t="s">
        <v>195</v>
      </c>
      <c r="E3928" s="55" t="s">
        <v>15</v>
      </c>
      <c r="G3928" s="62">
        <v>28</v>
      </c>
      <c r="H3928">
        <v>0.16</v>
      </c>
      <c r="I3928">
        <v>14286</v>
      </c>
      <c r="J3928">
        <v>0</v>
      </c>
      <c r="K3928">
        <v>13</v>
      </c>
      <c r="L3928">
        <v>13</v>
      </c>
      <c r="M3928">
        <v>0</v>
      </c>
      <c r="N3928" s="23">
        <v>0</v>
      </c>
      <c r="O3928">
        <f t="shared" si="867"/>
        <v>-6</v>
      </c>
      <c r="P3928" s="57">
        <f t="shared" si="868"/>
        <v>5</v>
      </c>
      <c r="Q3928" s="267">
        <f t="shared" si="869"/>
        <v>28</v>
      </c>
      <c r="R3928" s="23">
        <f t="shared" si="870"/>
        <v>1</v>
      </c>
      <c r="S3928" s="23">
        <f t="shared" si="871"/>
        <v>0</v>
      </c>
      <c r="T3928" s="23" t="str">
        <f t="shared" si="872"/>
        <v/>
      </c>
      <c r="U3928" t="str">
        <f t="shared" si="873"/>
        <v/>
      </c>
      <c r="V3928" s="87"/>
      <c r="AF3928" s="22"/>
      <c r="AU3928" s="10"/>
    </row>
    <row r="3929" spans="1:47">
      <c r="A3929" t="str">
        <f t="shared" si="866"/>
        <v>PA_Alleg_2019g~Gen-school director highlands region 1 (vote for 2)</v>
      </c>
      <c r="B3929" s="55" t="s">
        <v>1528</v>
      </c>
      <c r="C3929">
        <v>322</v>
      </c>
      <c r="D3929" s="55" t="s">
        <v>354</v>
      </c>
      <c r="E3929" s="55" t="s">
        <v>356</v>
      </c>
      <c r="F3929" t="s">
        <v>1396</v>
      </c>
      <c r="G3929" s="62">
        <v>677</v>
      </c>
      <c r="H3929">
        <v>48.43</v>
      </c>
      <c r="I3929">
        <v>4115</v>
      </c>
      <c r="J3929">
        <v>0</v>
      </c>
      <c r="K3929">
        <v>7</v>
      </c>
      <c r="L3929">
        <v>7</v>
      </c>
      <c r="M3929">
        <v>0</v>
      </c>
      <c r="N3929" s="23">
        <v>0</v>
      </c>
      <c r="O3929">
        <f t="shared" si="867"/>
        <v>1</v>
      </c>
      <c r="P3929" s="57">
        <f t="shared" si="868"/>
        <v>2</v>
      </c>
      <c r="Q3929" s="267">
        <f t="shared" si="869"/>
        <v>699</v>
      </c>
      <c r="R3929" s="23">
        <f t="shared" si="870"/>
        <v>547</v>
      </c>
      <c r="S3929" s="23">
        <f t="shared" si="871"/>
        <v>0</v>
      </c>
      <c r="T3929" s="23" t="str">
        <f t="shared" si="872"/>
        <v/>
      </c>
      <c r="U3929" t="str">
        <f t="shared" si="873"/>
        <v>PA_Alleg_2019g~Gen-school director highlands region 1 (vote for 2)</v>
      </c>
      <c r="V3929" s="87"/>
      <c r="AF3929" s="22"/>
      <c r="AU3929" s="10"/>
    </row>
    <row r="3930" spans="1:47">
      <c r="A3930" t="str">
        <f t="shared" si="866"/>
        <v>PA_Alleg_2019g~Gen-school director highlands region 1 (vote for 2)</v>
      </c>
      <c r="B3930" s="55" t="s">
        <v>1528</v>
      </c>
      <c r="C3930">
        <v>323</v>
      </c>
      <c r="D3930" s="55" t="s">
        <v>354</v>
      </c>
      <c r="E3930" s="55" t="s">
        <v>355</v>
      </c>
      <c r="F3930" t="s">
        <v>1396</v>
      </c>
      <c r="G3930" s="62">
        <v>547</v>
      </c>
      <c r="H3930">
        <v>39.130000000000003</v>
      </c>
      <c r="I3930">
        <v>4115</v>
      </c>
      <c r="J3930">
        <v>0</v>
      </c>
      <c r="K3930">
        <v>7</v>
      </c>
      <c r="L3930">
        <v>7</v>
      </c>
      <c r="M3930">
        <v>0</v>
      </c>
      <c r="N3930" s="23">
        <v>0</v>
      </c>
      <c r="O3930">
        <f t="shared" si="867"/>
        <v>2</v>
      </c>
      <c r="P3930" s="57">
        <f t="shared" si="868"/>
        <v>2</v>
      </c>
      <c r="Q3930" s="267">
        <f t="shared" si="869"/>
        <v>721</v>
      </c>
      <c r="R3930" s="23">
        <f t="shared" si="870"/>
        <v>547</v>
      </c>
      <c r="S3930" s="23">
        <f t="shared" si="871"/>
        <v>0</v>
      </c>
      <c r="T3930" s="23" t="str">
        <f t="shared" si="872"/>
        <v/>
      </c>
      <c r="U3930" t="str">
        <f t="shared" si="873"/>
        <v/>
      </c>
      <c r="V3930" s="87"/>
      <c r="AF3930" s="22"/>
      <c r="AU3930" s="10"/>
    </row>
    <row r="3931" spans="1:47">
      <c r="A3931" t="str">
        <f t="shared" si="866"/>
        <v>PA_Alleg_2019g~Gen-school director highlands region 1 (vote for 2)</v>
      </c>
      <c r="B3931" s="55" t="s">
        <v>1528</v>
      </c>
      <c r="C3931">
        <v>324</v>
      </c>
      <c r="D3931" s="55" t="s">
        <v>354</v>
      </c>
      <c r="E3931" s="55" t="s">
        <v>15</v>
      </c>
      <c r="G3931" s="62">
        <v>174</v>
      </c>
      <c r="H3931">
        <v>12.45</v>
      </c>
      <c r="I3931">
        <v>4115</v>
      </c>
      <c r="J3931">
        <v>0</v>
      </c>
      <c r="K3931">
        <v>7</v>
      </c>
      <c r="L3931">
        <v>7</v>
      </c>
      <c r="M3931">
        <v>0</v>
      </c>
      <c r="N3931" s="23">
        <v>0</v>
      </c>
      <c r="O3931">
        <f t="shared" si="867"/>
        <v>-2</v>
      </c>
      <c r="P3931" s="57">
        <f t="shared" si="868"/>
        <v>2</v>
      </c>
      <c r="Q3931" s="267">
        <f t="shared" si="869"/>
        <v>174</v>
      </c>
      <c r="R3931" s="23">
        <f t="shared" si="870"/>
        <v>1</v>
      </c>
      <c r="S3931" s="23">
        <f t="shared" si="871"/>
        <v>0</v>
      </c>
      <c r="T3931" s="23" t="str">
        <f t="shared" si="872"/>
        <v/>
      </c>
      <c r="U3931" t="str">
        <f t="shared" si="873"/>
        <v/>
      </c>
      <c r="V3931" s="87"/>
      <c r="AF3931" s="22"/>
      <c r="AU3931" s="10"/>
    </row>
    <row r="3932" spans="1:47">
      <c r="A3932" t="str">
        <f t="shared" si="866"/>
        <v>PA_Alleg_2019g~Gen-school director highlands region 2 (vote for 1)</v>
      </c>
      <c r="B3932" s="55" t="s">
        <v>1528</v>
      </c>
      <c r="C3932">
        <v>382</v>
      </c>
      <c r="D3932" s="55" t="s">
        <v>412</v>
      </c>
      <c r="E3932" s="55" t="s">
        <v>413</v>
      </c>
      <c r="F3932" t="s">
        <v>1396</v>
      </c>
      <c r="G3932" s="62">
        <v>810</v>
      </c>
      <c r="H3932">
        <v>99.51</v>
      </c>
      <c r="I3932">
        <v>3711</v>
      </c>
      <c r="J3932">
        <v>0</v>
      </c>
      <c r="K3932">
        <v>7</v>
      </c>
      <c r="L3932">
        <v>7</v>
      </c>
      <c r="M3932">
        <v>0</v>
      </c>
      <c r="N3932" s="23">
        <v>0</v>
      </c>
      <c r="O3932">
        <f t="shared" si="867"/>
        <v>1</v>
      </c>
      <c r="P3932" s="57">
        <f t="shared" si="868"/>
        <v>1</v>
      </c>
      <c r="Q3932" s="267">
        <f t="shared" si="869"/>
        <v>814</v>
      </c>
      <c r="R3932" s="23">
        <f t="shared" si="870"/>
        <v>810</v>
      </c>
      <c r="S3932" s="23">
        <f t="shared" si="871"/>
        <v>0</v>
      </c>
      <c r="T3932" s="23" t="str">
        <f t="shared" si="872"/>
        <v/>
      </c>
      <c r="U3932" t="str">
        <f t="shared" si="873"/>
        <v>PA_Alleg_2019g~Gen-school director highlands region 2 (vote for 1)</v>
      </c>
      <c r="V3932" s="87"/>
      <c r="AF3932" s="22"/>
      <c r="AU3932" s="10"/>
    </row>
    <row r="3933" spans="1:47">
      <c r="A3933" t="str">
        <f t="shared" si="866"/>
        <v>PA_Alleg_2019g~Gen-school director highlands region 2 (vote for 1)</v>
      </c>
      <c r="B3933" s="55" t="s">
        <v>1528</v>
      </c>
      <c r="C3933">
        <v>383</v>
      </c>
      <c r="D3933" s="55" t="s">
        <v>412</v>
      </c>
      <c r="E3933" s="55" t="s">
        <v>15</v>
      </c>
      <c r="G3933" s="62">
        <v>4</v>
      </c>
      <c r="H3933">
        <v>0.49</v>
      </c>
      <c r="I3933">
        <v>3711</v>
      </c>
      <c r="J3933">
        <v>0</v>
      </c>
      <c r="K3933">
        <v>7</v>
      </c>
      <c r="L3933">
        <v>7</v>
      </c>
      <c r="M3933">
        <v>0</v>
      </c>
      <c r="N3933" s="23">
        <v>0</v>
      </c>
      <c r="O3933">
        <f t="shared" si="867"/>
        <v>-1</v>
      </c>
      <c r="P3933" s="57">
        <f t="shared" si="868"/>
        <v>1</v>
      </c>
      <c r="Q3933" s="267">
        <f t="shared" si="869"/>
        <v>4</v>
      </c>
      <c r="R3933" s="23">
        <f t="shared" si="870"/>
        <v>1</v>
      </c>
      <c r="S3933" s="23">
        <f t="shared" si="871"/>
        <v>0</v>
      </c>
      <c r="T3933" s="23" t="str">
        <f t="shared" si="872"/>
        <v/>
      </c>
      <c r="U3933" t="str">
        <f t="shared" si="873"/>
        <v/>
      </c>
      <c r="V3933" s="87"/>
      <c r="AF3933" s="22"/>
      <c r="AU3933" s="10"/>
    </row>
    <row r="3934" spans="1:47">
      <c r="A3934" t="str">
        <f t="shared" si="866"/>
        <v>PA_Alleg_2019g~Gen-school director highlands region 3 (vote for 2)</v>
      </c>
      <c r="B3934" s="55" t="s">
        <v>1528</v>
      </c>
      <c r="C3934">
        <v>396</v>
      </c>
      <c r="D3934" s="55" t="s">
        <v>423</v>
      </c>
      <c r="E3934" s="55" t="s">
        <v>426</v>
      </c>
      <c r="F3934" t="s">
        <v>1396</v>
      </c>
      <c r="G3934" s="62">
        <v>1227</v>
      </c>
      <c r="H3934">
        <v>51.06</v>
      </c>
      <c r="I3934">
        <v>4984</v>
      </c>
      <c r="J3934">
        <v>0</v>
      </c>
      <c r="K3934">
        <v>7</v>
      </c>
      <c r="L3934">
        <v>7</v>
      </c>
      <c r="M3934">
        <v>0</v>
      </c>
      <c r="N3934" s="23">
        <v>0</v>
      </c>
      <c r="O3934">
        <f t="shared" si="867"/>
        <v>1</v>
      </c>
      <c r="P3934" s="57">
        <f t="shared" si="868"/>
        <v>2</v>
      </c>
      <c r="Q3934" s="267">
        <f t="shared" si="869"/>
        <v>1227</v>
      </c>
      <c r="R3934" s="23">
        <f t="shared" si="870"/>
        <v>1135</v>
      </c>
      <c r="S3934" s="23">
        <f t="shared" si="871"/>
        <v>0</v>
      </c>
      <c r="T3934" s="23" t="str">
        <f t="shared" si="872"/>
        <v/>
      </c>
      <c r="U3934" t="str">
        <f t="shared" si="873"/>
        <v>PA_Alleg_2019g~Gen-school director highlands region 3 (vote for 2)</v>
      </c>
      <c r="V3934" s="87"/>
      <c r="AF3934" s="22"/>
      <c r="AU3934" s="10"/>
    </row>
    <row r="3935" spans="1:47">
      <c r="A3935" t="str">
        <f t="shared" si="866"/>
        <v>PA_Alleg_2019g~Gen-school director highlands region 3 (vote for 2)</v>
      </c>
      <c r="B3935" s="55" t="s">
        <v>1528</v>
      </c>
      <c r="C3935">
        <v>397</v>
      </c>
      <c r="D3935" s="55" t="s">
        <v>423</v>
      </c>
      <c r="E3935" s="55" t="s">
        <v>425</v>
      </c>
      <c r="F3935" t="s">
        <v>1396</v>
      </c>
      <c r="G3935" s="62">
        <v>1135</v>
      </c>
      <c r="H3935">
        <v>47.23</v>
      </c>
      <c r="I3935">
        <v>4984</v>
      </c>
      <c r="J3935">
        <v>0</v>
      </c>
      <c r="K3935">
        <v>7</v>
      </c>
      <c r="L3935">
        <v>7</v>
      </c>
      <c r="M3935">
        <v>0</v>
      </c>
      <c r="N3935" s="23">
        <v>0</v>
      </c>
      <c r="O3935">
        <f t="shared" si="867"/>
        <v>2</v>
      </c>
      <c r="P3935" s="57">
        <f t="shared" si="868"/>
        <v>2</v>
      </c>
      <c r="Q3935" s="267">
        <f t="shared" si="869"/>
        <v>1176</v>
      </c>
      <c r="R3935" s="23">
        <f t="shared" si="870"/>
        <v>1135</v>
      </c>
      <c r="S3935" s="23">
        <f t="shared" si="871"/>
        <v>0</v>
      </c>
      <c r="T3935" s="23" t="str">
        <f t="shared" si="872"/>
        <v/>
      </c>
      <c r="U3935" t="str">
        <f t="shared" si="873"/>
        <v/>
      </c>
      <c r="V3935" s="87"/>
      <c r="AF3935" s="22"/>
      <c r="AU3935" s="10"/>
    </row>
    <row r="3936" spans="1:47">
      <c r="A3936" t="str">
        <f t="shared" si="866"/>
        <v>PA_Alleg_2019g~Gen-school director highlands region 3 (vote for 2)</v>
      </c>
      <c r="B3936" s="55" t="s">
        <v>1528</v>
      </c>
      <c r="C3936">
        <v>398</v>
      </c>
      <c r="D3936" s="55" t="s">
        <v>423</v>
      </c>
      <c r="E3936" s="55" t="s">
        <v>15</v>
      </c>
      <c r="G3936" s="62">
        <v>41</v>
      </c>
      <c r="H3936">
        <v>1.71</v>
      </c>
      <c r="I3936">
        <v>4984</v>
      </c>
      <c r="J3936">
        <v>0</v>
      </c>
      <c r="K3936">
        <v>7</v>
      </c>
      <c r="L3936">
        <v>7</v>
      </c>
      <c r="M3936">
        <v>0</v>
      </c>
      <c r="N3936" s="23">
        <v>0</v>
      </c>
      <c r="O3936">
        <f t="shared" si="867"/>
        <v>-2</v>
      </c>
      <c r="P3936" s="57">
        <f t="shared" si="868"/>
        <v>2</v>
      </c>
      <c r="Q3936" s="267">
        <f t="shared" si="869"/>
        <v>41</v>
      </c>
      <c r="R3936" s="23">
        <f t="shared" si="870"/>
        <v>1</v>
      </c>
      <c r="S3936" s="23">
        <f t="shared" si="871"/>
        <v>0</v>
      </c>
      <c r="T3936" s="23" t="str">
        <f t="shared" si="872"/>
        <v/>
      </c>
      <c r="U3936" t="str">
        <f t="shared" si="873"/>
        <v/>
      </c>
      <c r="V3936" s="87"/>
      <c r="AF3936" s="22"/>
      <c r="AU3936" s="10"/>
    </row>
    <row r="3937" spans="1:47">
      <c r="A3937" t="str">
        <f t="shared" si="866"/>
        <v>PA_Alleg_2019g~Gen-school director keystone oaks region 1 (vote for 1)</v>
      </c>
      <c r="B3937" s="55" t="s">
        <v>1528</v>
      </c>
      <c r="C3937">
        <v>349</v>
      </c>
      <c r="D3937" s="55" t="s">
        <v>378</v>
      </c>
      <c r="E3937" s="55" t="s">
        <v>379</v>
      </c>
      <c r="F3937" t="s">
        <v>1396</v>
      </c>
      <c r="G3937" s="62">
        <v>1370</v>
      </c>
      <c r="H3937">
        <v>98.7</v>
      </c>
      <c r="I3937">
        <v>6132</v>
      </c>
      <c r="J3937">
        <v>0</v>
      </c>
      <c r="K3937">
        <v>8</v>
      </c>
      <c r="L3937">
        <v>8</v>
      </c>
      <c r="M3937">
        <v>0</v>
      </c>
      <c r="N3937" s="23">
        <v>0</v>
      </c>
      <c r="O3937">
        <f t="shared" si="867"/>
        <v>1</v>
      </c>
      <c r="P3937" s="57">
        <f t="shared" si="868"/>
        <v>1</v>
      </c>
      <c r="Q3937" s="267">
        <f t="shared" si="869"/>
        <v>1388</v>
      </c>
      <c r="R3937" s="23">
        <f t="shared" si="870"/>
        <v>1370</v>
      </c>
      <c r="S3937" s="23">
        <f t="shared" si="871"/>
        <v>0</v>
      </c>
      <c r="T3937" s="23" t="str">
        <f t="shared" si="872"/>
        <v/>
      </c>
      <c r="U3937" t="str">
        <f t="shared" si="873"/>
        <v>PA_Alleg_2019g~Gen-school director keystone oaks region 1 (vote for 1)</v>
      </c>
      <c r="V3937" s="87"/>
      <c r="AF3937" s="22"/>
      <c r="AU3937" s="10"/>
    </row>
    <row r="3938" spans="1:47">
      <c r="A3938" t="str">
        <f t="shared" si="866"/>
        <v>PA_Alleg_2019g~Gen-school director keystone oaks region 1 (vote for 1)</v>
      </c>
      <c r="B3938" s="55" t="s">
        <v>1528</v>
      </c>
      <c r="C3938">
        <v>350</v>
      </c>
      <c r="D3938" s="55" t="s">
        <v>378</v>
      </c>
      <c r="E3938" s="55" t="s">
        <v>15</v>
      </c>
      <c r="G3938" s="62">
        <v>18</v>
      </c>
      <c r="H3938">
        <v>1.3</v>
      </c>
      <c r="I3938">
        <v>6132</v>
      </c>
      <c r="J3938">
        <v>0</v>
      </c>
      <c r="K3938">
        <v>8</v>
      </c>
      <c r="L3938">
        <v>8</v>
      </c>
      <c r="M3938">
        <v>0</v>
      </c>
      <c r="N3938" s="23">
        <v>0</v>
      </c>
      <c r="O3938">
        <f t="shared" si="867"/>
        <v>-1</v>
      </c>
      <c r="P3938" s="57">
        <f t="shared" si="868"/>
        <v>1</v>
      </c>
      <c r="Q3938" s="267">
        <f t="shared" si="869"/>
        <v>18</v>
      </c>
      <c r="R3938" s="23">
        <f t="shared" si="870"/>
        <v>1</v>
      </c>
      <c r="S3938" s="23">
        <f t="shared" si="871"/>
        <v>0</v>
      </c>
      <c r="T3938" s="23" t="str">
        <f t="shared" si="872"/>
        <v/>
      </c>
      <c r="U3938" t="str">
        <f t="shared" si="873"/>
        <v/>
      </c>
      <c r="V3938" s="87"/>
      <c r="AF3938" s="22"/>
      <c r="AU3938" s="10"/>
    </row>
    <row r="3939" spans="1:47">
      <c r="A3939" t="str">
        <f t="shared" si="866"/>
        <v>PA_Alleg_2019g~Gen-school director keystone oaks region 2 (vote for 2)</v>
      </c>
      <c r="B3939" s="55" t="s">
        <v>1528</v>
      </c>
      <c r="C3939">
        <v>363</v>
      </c>
      <c r="D3939" s="55" t="s">
        <v>393</v>
      </c>
      <c r="E3939" s="55" t="s">
        <v>394</v>
      </c>
      <c r="F3939" t="s">
        <v>1294</v>
      </c>
      <c r="G3939" s="62">
        <v>1429</v>
      </c>
      <c r="H3939">
        <v>50.48</v>
      </c>
      <c r="I3939">
        <v>6737</v>
      </c>
      <c r="J3939">
        <v>0</v>
      </c>
      <c r="K3939">
        <v>10</v>
      </c>
      <c r="L3939">
        <v>10</v>
      </c>
      <c r="M3939">
        <v>0</v>
      </c>
      <c r="N3939" s="23">
        <v>0</v>
      </c>
      <c r="O3939">
        <f t="shared" si="867"/>
        <v>1</v>
      </c>
      <c r="P3939" s="57">
        <f t="shared" si="868"/>
        <v>2</v>
      </c>
      <c r="Q3939" s="267">
        <f t="shared" si="869"/>
        <v>1429</v>
      </c>
      <c r="R3939" s="23">
        <f t="shared" si="870"/>
        <v>1376</v>
      </c>
      <c r="S3939" s="23">
        <f t="shared" si="871"/>
        <v>0</v>
      </c>
      <c r="T3939" s="23" t="str">
        <f t="shared" si="872"/>
        <v/>
      </c>
      <c r="U3939" t="str">
        <f t="shared" si="873"/>
        <v>PA_Alleg_2019g~Gen-school director keystone oaks region 2 (vote for 2)</v>
      </c>
      <c r="V3939" s="87"/>
      <c r="AF3939" s="22"/>
      <c r="AU3939" s="10"/>
    </row>
    <row r="3940" spans="1:47">
      <c r="A3940" t="str">
        <f t="shared" si="866"/>
        <v>PA_Alleg_2019g~Gen-school director keystone oaks region 2 (vote for 2)</v>
      </c>
      <c r="B3940" s="55" t="s">
        <v>1528</v>
      </c>
      <c r="C3940">
        <v>364</v>
      </c>
      <c r="D3940" s="55" t="s">
        <v>393</v>
      </c>
      <c r="E3940" s="55" t="s">
        <v>1439</v>
      </c>
      <c r="F3940" t="s">
        <v>1294</v>
      </c>
      <c r="G3940" s="62">
        <v>1376</v>
      </c>
      <c r="H3940">
        <v>48.6</v>
      </c>
      <c r="I3940">
        <v>6737</v>
      </c>
      <c r="J3940">
        <v>0</v>
      </c>
      <c r="K3940">
        <v>10</v>
      </c>
      <c r="L3940">
        <v>10</v>
      </c>
      <c r="M3940">
        <v>0</v>
      </c>
      <c r="N3940" s="23">
        <v>0</v>
      </c>
      <c r="O3940">
        <f t="shared" si="867"/>
        <v>2</v>
      </c>
      <c r="P3940" s="57">
        <f t="shared" si="868"/>
        <v>2</v>
      </c>
      <c r="Q3940" s="267">
        <f t="shared" si="869"/>
        <v>1402</v>
      </c>
      <c r="R3940" s="23">
        <f t="shared" si="870"/>
        <v>1376</v>
      </c>
      <c r="S3940" s="23">
        <f t="shared" si="871"/>
        <v>0</v>
      </c>
      <c r="T3940" s="23" t="str">
        <f t="shared" si="872"/>
        <v/>
      </c>
      <c r="U3940" t="str">
        <f t="shared" si="873"/>
        <v/>
      </c>
      <c r="V3940" s="87"/>
      <c r="AF3940" s="22"/>
      <c r="AU3940" s="10"/>
    </row>
    <row r="3941" spans="1:47">
      <c r="A3941" t="str">
        <f t="shared" si="866"/>
        <v>PA_Alleg_2019g~Gen-school director keystone oaks region 2 (vote for 2)</v>
      </c>
      <c r="B3941" s="55" t="s">
        <v>1528</v>
      </c>
      <c r="C3941">
        <v>365</v>
      </c>
      <c r="D3941" s="55" t="s">
        <v>393</v>
      </c>
      <c r="E3941" s="55" t="s">
        <v>15</v>
      </c>
      <c r="G3941" s="62">
        <v>26</v>
      </c>
      <c r="H3941">
        <v>0.92</v>
      </c>
      <c r="I3941">
        <v>6737</v>
      </c>
      <c r="J3941">
        <v>0</v>
      </c>
      <c r="K3941">
        <v>10</v>
      </c>
      <c r="L3941">
        <v>10</v>
      </c>
      <c r="M3941">
        <v>0</v>
      </c>
      <c r="N3941" s="23">
        <v>0</v>
      </c>
      <c r="O3941">
        <f t="shared" si="867"/>
        <v>-2</v>
      </c>
      <c r="P3941" s="57">
        <f t="shared" si="868"/>
        <v>2</v>
      </c>
      <c r="Q3941" s="267">
        <f t="shared" si="869"/>
        <v>26</v>
      </c>
      <c r="R3941" s="23">
        <f t="shared" si="870"/>
        <v>1</v>
      </c>
      <c r="S3941" s="23">
        <f t="shared" si="871"/>
        <v>0</v>
      </c>
      <c r="T3941" s="23" t="str">
        <f t="shared" si="872"/>
        <v/>
      </c>
      <c r="U3941" t="str">
        <f t="shared" si="873"/>
        <v/>
      </c>
      <c r="V3941" s="87"/>
      <c r="AF3941" s="22"/>
      <c r="AG3941" s="89"/>
      <c r="AH3941" s="274"/>
      <c r="AI3941" s="279"/>
      <c r="AJ3941" s="280"/>
      <c r="AK3941" s="92"/>
      <c r="AL3941" s="23"/>
      <c r="AU3941" s="10"/>
    </row>
    <row r="3942" spans="1:47">
      <c r="A3942" t="str">
        <f t="shared" si="866"/>
        <v>PA_Alleg_2019g~Gen-school director keystone oaks region 3 (vote for 2)</v>
      </c>
      <c r="B3942" s="55" t="s">
        <v>1528</v>
      </c>
      <c r="C3942">
        <v>399</v>
      </c>
      <c r="D3942" s="55" t="s">
        <v>427</v>
      </c>
      <c r="E3942" s="55" t="s">
        <v>429</v>
      </c>
      <c r="F3942" t="s">
        <v>1396</v>
      </c>
      <c r="G3942" s="62">
        <v>872</v>
      </c>
      <c r="H3942">
        <v>50.4</v>
      </c>
      <c r="I3942">
        <v>3725</v>
      </c>
      <c r="J3942">
        <v>0</v>
      </c>
      <c r="K3942">
        <v>4</v>
      </c>
      <c r="L3942">
        <v>4</v>
      </c>
      <c r="M3942">
        <v>0</v>
      </c>
      <c r="N3942" s="23">
        <v>0</v>
      </c>
      <c r="O3942">
        <f t="shared" si="867"/>
        <v>1</v>
      </c>
      <c r="P3942" s="57">
        <f t="shared" si="868"/>
        <v>2</v>
      </c>
      <c r="Q3942" s="267">
        <f t="shared" si="869"/>
        <v>872</v>
      </c>
      <c r="R3942" s="23">
        <f t="shared" si="870"/>
        <v>852</v>
      </c>
      <c r="S3942" s="23">
        <f t="shared" si="871"/>
        <v>0</v>
      </c>
      <c r="T3942" s="23" t="str">
        <f t="shared" si="872"/>
        <v/>
      </c>
      <c r="U3942" t="str">
        <f t="shared" si="873"/>
        <v>PA_Alleg_2019g~Gen-school director keystone oaks region 3 (vote for 2)</v>
      </c>
      <c r="V3942" s="87"/>
      <c r="AF3942" s="22"/>
      <c r="AU3942" s="10"/>
    </row>
    <row r="3943" spans="1:47">
      <c r="A3943" t="str">
        <f t="shared" si="866"/>
        <v>PA_Alleg_2019g~Gen-school director keystone oaks region 3 (vote for 2)</v>
      </c>
      <c r="B3943" s="55" t="s">
        <v>1528</v>
      </c>
      <c r="C3943">
        <v>400</v>
      </c>
      <c r="D3943" s="55" t="s">
        <v>427</v>
      </c>
      <c r="E3943" s="55" t="s">
        <v>428</v>
      </c>
      <c r="F3943" t="s">
        <v>1396</v>
      </c>
      <c r="G3943" s="62">
        <v>852</v>
      </c>
      <c r="H3943">
        <v>49.25</v>
      </c>
      <c r="I3943">
        <v>3725</v>
      </c>
      <c r="J3943">
        <v>0</v>
      </c>
      <c r="K3943">
        <v>4</v>
      </c>
      <c r="L3943">
        <v>4</v>
      </c>
      <c r="M3943">
        <v>0</v>
      </c>
      <c r="N3943" s="23">
        <v>0</v>
      </c>
      <c r="O3943">
        <f t="shared" si="867"/>
        <v>2</v>
      </c>
      <c r="P3943" s="57">
        <f t="shared" si="868"/>
        <v>2</v>
      </c>
      <c r="Q3943" s="267">
        <f t="shared" si="869"/>
        <v>858</v>
      </c>
      <c r="R3943" s="23">
        <f t="shared" si="870"/>
        <v>852</v>
      </c>
      <c r="S3943" s="23">
        <f t="shared" si="871"/>
        <v>0</v>
      </c>
      <c r="T3943" s="23" t="str">
        <f t="shared" si="872"/>
        <v/>
      </c>
      <c r="U3943" t="str">
        <f t="shared" si="873"/>
        <v/>
      </c>
      <c r="V3943" s="87"/>
      <c r="AF3943" s="22"/>
      <c r="AU3943" s="10"/>
    </row>
    <row r="3944" spans="1:47">
      <c r="A3944" t="str">
        <f t="shared" si="866"/>
        <v>PA_Alleg_2019g~Gen-school director keystone oaks region 3 (vote for 2)</v>
      </c>
      <c r="B3944" s="55" t="s">
        <v>1528</v>
      </c>
      <c r="C3944">
        <v>401</v>
      </c>
      <c r="D3944" s="55" t="s">
        <v>427</v>
      </c>
      <c r="E3944" s="55" t="s">
        <v>15</v>
      </c>
      <c r="G3944" s="62">
        <v>6</v>
      </c>
      <c r="H3944">
        <v>0.35</v>
      </c>
      <c r="I3944">
        <v>3725</v>
      </c>
      <c r="J3944">
        <v>0</v>
      </c>
      <c r="K3944">
        <v>4</v>
      </c>
      <c r="L3944">
        <v>4</v>
      </c>
      <c r="M3944">
        <v>0</v>
      </c>
      <c r="N3944" s="23">
        <v>0</v>
      </c>
      <c r="O3944">
        <f t="shared" si="867"/>
        <v>-2</v>
      </c>
      <c r="P3944" s="57">
        <f t="shared" si="868"/>
        <v>2</v>
      </c>
      <c r="Q3944" s="267">
        <f t="shared" si="869"/>
        <v>6</v>
      </c>
      <c r="R3944" s="23">
        <f t="shared" si="870"/>
        <v>1</v>
      </c>
      <c r="S3944" s="23">
        <f t="shared" si="871"/>
        <v>0</v>
      </c>
      <c r="T3944" s="23" t="str">
        <f t="shared" si="872"/>
        <v/>
      </c>
      <c r="U3944" t="str">
        <f t="shared" si="873"/>
        <v/>
      </c>
      <c r="V3944" s="87"/>
      <c r="AF3944" s="22"/>
      <c r="AU3944" s="10"/>
    </row>
    <row r="3945" spans="1:47">
      <c r="A3945" t="str">
        <f t="shared" si="866"/>
        <v>PA_Alleg_2019g~Gen-school director mckeesport area (vote for 5)</v>
      </c>
      <c r="B3945" s="55" t="s">
        <v>1528</v>
      </c>
      <c r="C3945">
        <v>177</v>
      </c>
      <c r="D3945" s="55" t="s">
        <v>202</v>
      </c>
      <c r="E3945" s="55" t="s">
        <v>209</v>
      </c>
      <c r="F3945" t="s">
        <v>1396</v>
      </c>
      <c r="G3945" s="62">
        <v>4241</v>
      </c>
      <c r="H3945">
        <v>22.4</v>
      </c>
      <c r="I3945">
        <v>20871</v>
      </c>
      <c r="J3945">
        <v>0</v>
      </c>
      <c r="K3945">
        <v>45</v>
      </c>
      <c r="L3945">
        <v>45</v>
      </c>
      <c r="M3945">
        <v>0</v>
      </c>
      <c r="N3945" s="23">
        <v>0</v>
      </c>
      <c r="O3945">
        <f t="shared" si="867"/>
        <v>1</v>
      </c>
      <c r="P3945" s="57">
        <f t="shared" si="868"/>
        <v>5</v>
      </c>
      <c r="Q3945" s="267">
        <f t="shared" si="869"/>
        <v>4241</v>
      </c>
      <c r="R3945" s="23">
        <f t="shared" si="870"/>
        <v>3302</v>
      </c>
      <c r="S3945" s="23">
        <f t="shared" si="871"/>
        <v>0</v>
      </c>
      <c r="T3945" s="23" t="str">
        <f t="shared" si="872"/>
        <v/>
      </c>
      <c r="U3945" t="str">
        <f t="shared" si="873"/>
        <v>PA_Alleg_2019g~Gen-school director mckeesport area (vote for 5)</v>
      </c>
      <c r="V3945" s="87"/>
      <c r="AF3945" s="22"/>
      <c r="AU3945" s="10"/>
    </row>
    <row r="3946" spans="1:47">
      <c r="A3946" t="str">
        <f t="shared" si="866"/>
        <v>PA_Alleg_2019g~Gen-school director mckeesport area (vote for 5)</v>
      </c>
      <c r="B3946" s="55" t="s">
        <v>1528</v>
      </c>
      <c r="C3946">
        <v>175</v>
      </c>
      <c r="D3946" s="55" t="s">
        <v>202</v>
      </c>
      <c r="E3946" s="55" t="s">
        <v>206</v>
      </c>
      <c r="F3946" t="s">
        <v>1396</v>
      </c>
      <c r="G3946" s="62">
        <v>4233</v>
      </c>
      <c r="H3946">
        <v>22.36</v>
      </c>
      <c r="I3946">
        <v>20871</v>
      </c>
      <c r="J3946">
        <v>0</v>
      </c>
      <c r="K3946">
        <v>45</v>
      </c>
      <c r="L3946">
        <v>45</v>
      </c>
      <c r="M3946">
        <v>0</v>
      </c>
      <c r="N3946" s="23">
        <v>0</v>
      </c>
      <c r="O3946">
        <f t="shared" si="867"/>
        <v>2</v>
      </c>
      <c r="P3946" s="57">
        <f t="shared" si="868"/>
        <v>5</v>
      </c>
      <c r="Q3946" s="267">
        <f t="shared" si="869"/>
        <v>14688</v>
      </c>
      <c r="R3946" s="23">
        <f t="shared" si="870"/>
        <v>3302</v>
      </c>
      <c r="S3946" s="23">
        <f t="shared" si="871"/>
        <v>0</v>
      </c>
      <c r="T3946" s="23" t="str">
        <f t="shared" si="872"/>
        <v/>
      </c>
      <c r="U3946" t="str">
        <f t="shared" si="873"/>
        <v/>
      </c>
      <c r="V3946" s="87"/>
      <c r="AF3946" s="22"/>
      <c r="AH3946" s="8"/>
      <c r="AL3946" s="23"/>
      <c r="AU3946" s="10"/>
    </row>
    <row r="3947" spans="1:47">
      <c r="A3947" t="str">
        <f t="shared" si="866"/>
        <v>PA_Alleg_2019g~Gen-school director mckeesport area (vote for 5)</v>
      </c>
      <c r="B3947" s="55" t="s">
        <v>1528</v>
      </c>
      <c r="C3947">
        <v>174</v>
      </c>
      <c r="D3947" s="55" t="s">
        <v>202</v>
      </c>
      <c r="E3947" s="55" t="s">
        <v>1423</v>
      </c>
      <c r="F3947" t="s">
        <v>1294</v>
      </c>
      <c r="G3947" s="62">
        <v>3640</v>
      </c>
      <c r="H3947">
        <v>19.23</v>
      </c>
      <c r="I3947">
        <v>20871</v>
      </c>
      <c r="J3947">
        <v>0</v>
      </c>
      <c r="K3947">
        <v>45</v>
      </c>
      <c r="L3947">
        <v>45</v>
      </c>
      <c r="M3947">
        <v>0</v>
      </c>
      <c r="N3947" s="23">
        <v>0</v>
      </c>
      <c r="O3947">
        <f t="shared" si="867"/>
        <v>3</v>
      </c>
      <c r="P3947" s="57">
        <f t="shared" si="868"/>
        <v>5</v>
      </c>
      <c r="Q3947" s="267">
        <f t="shared" si="869"/>
        <v>10455</v>
      </c>
      <c r="R3947" s="23">
        <f t="shared" si="870"/>
        <v>3302</v>
      </c>
      <c r="S3947" s="23">
        <f t="shared" si="871"/>
        <v>0</v>
      </c>
      <c r="T3947" s="23" t="str">
        <f t="shared" si="872"/>
        <v/>
      </c>
      <c r="U3947" t="str">
        <f t="shared" si="873"/>
        <v/>
      </c>
      <c r="V3947" s="87"/>
      <c r="AF3947" s="22"/>
      <c r="AU3947" s="10"/>
    </row>
    <row r="3948" spans="1:47">
      <c r="A3948" t="str">
        <f t="shared" si="866"/>
        <v>PA_Alleg_2019g~Gen-school director mckeesport area (vote for 5)</v>
      </c>
      <c r="B3948" s="55" t="s">
        <v>1528</v>
      </c>
      <c r="C3948">
        <v>176</v>
      </c>
      <c r="D3948" s="55" t="s">
        <v>202</v>
      </c>
      <c r="E3948" s="55" t="s">
        <v>203</v>
      </c>
      <c r="F3948" t="s">
        <v>1294</v>
      </c>
      <c r="G3948" s="62">
        <v>3412</v>
      </c>
      <c r="H3948">
        <v>18.03</v>
      </c>
      <c r="I3948">
        <v>20871</v>
      </c>
      <c r="J3948">
        <v>0</v>
      </c>
      <c r="K3948">
        <v>45</v>
      </c>
      <c r="L3948">
        <v>45</v>
      </c>
      <c r="M3948">
        <v>0</v>
      </c>
      <c r="N3948" s="23">
        <v>0</v>
      </c>
      <c r="O3948">
        <f t="shared" si="867"/>
        <v>4</v>
      </c>
      <c r="P3948" s="57">
        <f t="shared" si="868"/>
        <v>5</v>
      </c>
      <c r="Q3948" s="267">
        <f t="shared" si="869"/>
        <v>6815</v>
      </c>
      <c r="R3948" s="23">
        <f t="shared" si="870"/>
        <v>3302</v>
      </c>
      <c r="S3948" s="23">
        <f t="shared" si="871"/>
        <v>0</v>
      </c>
      <c r="T3948" s="23" t="str">
        <f t="shared" si="872"/>
        <v/>
      </c>
      <c r="U3948" t="str">
        <f t="shared" si="873"/>
        <v/>
      </c>
      <c r="V3948" s="87"/>
      <c r="AF3948" s="22"/>
      <c r="AU3948" s="10"/>
    </row>
    <row r="3949" spans="1:47">
      <c r="A3949" t="str">
        <f t="shared" si="866"/>
        <v>PA_Alleg_2019g~Gen-school director mckeesport area (vote for 5)</v>
      </c>
      <c r="B3949" s="55" t="s">
        <v>1528</v>
      </c>
      <c r="C3949">
        <v>178</v>
      </c>
      <c r="D3949" s="55" t="s">
        <v>202</v>
      </c>
      <c r="E3949" s="55" t="s">
        <v>204</v>
      </c>
      <c r="F3949" t="s">
        <v>1294</v>
      </c>
      <c r="G3949" s="62">
        <v>3302</v>
      </c>
      <c r="H3949">
        <v>17.440000000000001</v>
      </c>
      <c r="I3949">
        <v>20871</v>
      </c>
      <c r="J3949">
        <v>0</v>
      </c>
      <c r="K3949">
        <v>45</v>
      </c>
      <c r="L3949">
        <v>45</v>
      </c>
      <c r="M3949">
        <v>0</v>
      </c>
      <c r="N3949" s="23">
        <v>0</v>
      </c>
      <c r="O3949">
        <f t="shared" si="867"/>
        <v>5</v>
      </c>
      <c r="P3949" s="57">
        <f t="shared" si="868"/>
        <v>5</v>
      </c>
      <c r="Q3949" s="267">
        <f t="shared" si="869"/>
        <v>3403</v>
      </c>
      <c r="R3949" s="23">
        <f t="shared" si="870"/>
        <v>3302</v>
      </c>
      <c r="S3949" s="23">
        <f t="shared" si="871"/>
        <v>0</v>
      </c>
      <c r="T3949" s="23" t="str">
        <f t="shared" si="872"/>
        <v/>
      </c>
      <c r="U3949" t="str">
        <f t="shared" si="873"/>
        <v/>
      </c>
      <c r="V3949" s="87"/>
      <c r="AF3949" s="22"/>
      <c r="AU3949" s="10"/>
    </row>
    <row r="3950" spans="1:47">
      <c r="A3950" t="str">
        <f t="shared" si="866"/>
        <v>PA_Alleg_2019g~Gen-school director mckeesport area (vote for 5)</v>
      </c>
      <c r="B3950" s="55" t="s">
        <v>1528</v>
      </c>
      <c r="C3950">
        <v>179</v>
      </c>
      <c r="D3950" s="55" t="s">
        <v>202</v>
      </c>
      <c r="E3950" s="55" t="s">
        <v>15</v>
      </c>
      <c r="G3950" s="62">
        <v>101</v>
      </c>
      <c r="H3950">
        <v>0.53</v>
      </c>
      <c r="I3950">
        <v>20871</v>
      </c>
      <c r="J3950">
        <v>0</v>
      </c>
      <c r="K3950">
        <v>45</v>
      </c>
      <c r="L3950">
        <v>45</v>
      </c>
      <c r="M3950">
        <v>0</v>
      </c>
      <c r="N3950" s="23">
        <v>0</v>
      </c>
      <c r="O3950">
        <f t="shared" si="867"/>
        <v>-5</v>
      </c>
      <c r="P3950" s="57">
        <f t="shared" si="868"/>
        <v>5</v>
      </c>
      <c r="Q3950" s="267">
        <f t="shared" si="869"/>
        <v>101</v>
      </c>
      <c r="R3950" s="23">
        <f t="shared" si="870"/>
        <v>1</v>
      </c>
      <c r="S3950" s="23">
        <f t="shared" si="871"/>
        <v>0</v>
      </c>
      <c r="T3950" s="23" t="str">
        <f t="shared" si="872"/>
        <v/>
      </c>
      <c r="U3950" t="str">
        <f t="shared" si="873"/>
        <v/>
      </c>
      <c r="V3950" s="87"/>
      <c r="AF3950" s="22"/>
      <c r="AU3950" s="10"/>
    </row>
    <row r="3951" spans="1:47">
      <c r="A3951" t="str">
        <f t="shared" si="866"/>
        <v>PA_Alleg_2019g~Gen-school director montour region 1 (vote for 2)</v>
      </c>
      <c r="B3951" s="55" t="s">
        <v>1528</v>
      </c>
      <c r="C3951">
        <v>325</v>
      </c>
      <c r="D3951" s="55" t="s">
        <v>357</v>
      </c>
      <c r="E3951" s="55" t="s">
        <v>359</v>
      </c>
      <c r="F3951" t="s">
        <v>1396</v>
      </c>
      <c r="G3951" s="62">
        <v>1327</v>
      </c>
      <c r="H3951">
        <v>50.36</v>
      </c>
      <c r="I3951">
        <v>6798</v>
      </c>
      <c r="J3951">
        <v>0</v>
      </c>
      <c r="K3951">
        <v>7</v>
      </c>
      <c r="L3951">
        <v>7</v>
      </c>
      <c r="M3951">
        <v>0</v>
      </c>
      <c r="N3951" s="23">
        <v>0</v>
      </c>
      <c r="O3951">
        <f t="shared" si="867"/>
        <v>1</v>
      </c>
      <c r="P3951" s="57">
        <f t="shared" si="868"/>
        <v>2</v>
      </c>
      <c r="Q3951" s="267">
        <f t="shared" si="869"/>
        <v>1327</v>
      </c>
      <c r="R3951" s="23">
        <f t="shared" si="870"/>
        <v>1300</v>
      </c>
      <c r="S3951" s="23">
        <f t="shared" si="871"/>
        <v>0</v>
      </c>
      <c r="T3951" s="23" t="str">
        <f t="shared" si="872"/>
        <v/>
      </c>
      <c r="U3951" t="str">
        <f t="shared" si="873"/>
        <v>PA_Alleg_2019g~Gen-school director montour region 1 (vote for 2)</v>
      </c>
      <c r="V3951" s="87"/>
      <c r="AF3951" s="22"/>
      <c r="AU3951" s="10"/>
    </row>
    <row r="3952" spans="1:47">
      <c r="A3952" t="str">
        <f t="shared" si="866"/>
        <v>PA_Alleg_2019g~Gen-school director montour region 1 (vote for 2)</v>
      </c>
      <c r="B3952" s="55" t="s">
        <v>1528</v>
      </c>
      <c r="C3952">
        <v>326</v>
      </c>
      <c r="D3952" s="55" t="s">
        <v>357</v>
      </c>
      <c r="E3952" s="55" t="s">
        <v>358</v>
      </c>
      <c r="F3952" t="s">
        <v>1396</v>
      </c>
      <c r="G3952" s="62">
        <v>1300</v>
      </c>
      <c r="H3952">
        <v>49.34</v>
      </c>
      <c r="I3952">
        <v>6798</v>
      </c>
      <c r="J3952">
        <v>0</v>
      </c>
      <c r="K3952">
        <v>7</v>
      </c>
      <c r="L3952">
        <v>7</v>
      </c>
      <c r="M3952">
        <v>0</v>
      </c>
      <c r="N3952" s="23">
        <v>0</v>
      </c>
      <c r="O3952">
        <f t="shared" si="867"/>
        <v>2</v>
      </c>
      <c r="P3952" s="57">
        <f t="shared" si="868"/>
        <v>2</v>
      </c>
      <c r="Q3952" s="267">
        <f t="shared" si="869"/>
        <v>1308</v>
      </c>
      <c r="R3952" s="23">
        <f t="shared" si="870"/>
        <v>1300</v>
      </c>
      <c r="S3952" s="23">
        <f t="shared" si="871"/>
        <v>0</v>
      </c>
      <c r="T3952" s="23" t="str">
        <f t="shared" si="872"/>
        <v/>
      </c>
      <c r="U3952" t="str">
        <f t="shared" si="873"/>
        <v/>
      </c>
      <c r="V3952" s="87"/>
      <c r="AF3952" s="22"/>
      <c r="AU3952" s="10"/>
    </row>
    <row r="3953" spans="1:47">
      <c r="A3953" t="str">
        <f t="shared" si="866"/>
        <v>PA_Alleg_2019g~Gen-school director montour region 1 (vote for 2)</v>
      </c>
      <c r="B3953" s="55" t="s">
        <v>1528</v>
      </c>
      <c r="C3953">
        <v>327</v>
      </c>
      <c r="D3953" s="55" t="s">
        <v>357</v>
      </c>
      <c r="E3953" s="55" t="s">
        <v>15</v>
      </c>
      <c r="G3953" s="62">
        <v>8</v>
      </c>
      <c r="H3953">
        <v>0.3</v>
      </c>
      <c r="I3953">
        <v>6798</v>
      </c>
      <c r="J3953">
        <v>0</v>
      </c>
      <c r="K3953">
        <v>7</v>
      </c>
      <c r="L3953">
        <v>7</v>
      </c>
      <c r="M3953">
        <v>0</v>
      </c>
      <c r="N3953" s="23">
        <v>0</v>
      </c>
      <c r="O3953">
        <f t="shared" si="867"/>
        <v>-2</v>
      </c>
      <c r="P3953" s="57">
        <f t="shared" si="868"/>
        <v>2</v>
      </c>
      <c r="Q3953" s="267">
        <f t="shared" si="869"/>
        <v>8</v>
      </c>
      <c r="R3953" s="23">
        <f t="shared" si="870"/>
        <v>1</v>
      </c>
      <c r="S3953" s="23">
        <f t="shared" si="871"/>
        <v>0</v>
      </c>
      <c r="T3953" s="23" t="str">
        <f t="shared" si="872"/>
        <v/>
      </c>
      <c r="U3953" t="str">
        <f t="shared" si="873"/>
        <v/>
      </c>
      <c r="V3953" s="87"/>
      <c r="AF3953" s="22"/>
      <c r="AU3953" s="10"/>
    </row>
    <row r="3954" spans="1:47">
      <c r="A3954" t="str">
        <f t="shared" si="866"/>
        <v>PA_Alleg_2019g~Gen-school director montour region 2 (vote for 3)</v>
      </c>
      <c r="B3954" s="55" t="s">
        <v>1528</v>
      </c>
      <c r="C3954">
        <v>355</v>
      </c>
      <c r="D3954" s="55" t="s">
        <v>385</v>
      </c>
      <c r="E3954" s="55" t="s">
        <v>386</v>
      </c>
      <c r="F3954" t="s">
        <v>1396</v>
      </c>
      <c r="G3954" s="62">
        <v>1786</v>
      </c>
      <c r="H3954">
        <v>33.94</v>
      </c>
      <c r="I3954">
        <v>7980</v>
      </c>
      <c r="J3954">
        <v>0</v>
      </c>
      <c r="K3954">
        <v>7</v>
      </c>
      <c r="L3954">
        <v>7</v>
      </c>
      <c r="M3954">
        <v>0</v>
      </c>
      <c r="N3954" s="23">
        <v>0</v>
      </c>
      <c r="O3954">
        <f t="shared" si="867"/>
        <v>1</v>
      </c>
      <c r="P3954" s="57">
        <f t="shared" si="868"/>
        <v>3</v>
      </c>
      <c r="Q3954" s="267">
        <f t="shared" si="869"/>
        <v>1786</v>
      </c>
      <c r="R3954" s="23">
        <f t="shared" si="870"/>
        <v>1725</v>
      </c>
      <c r="S3954" s="23">
        <f t="shared" si="871"/>
        <v>0</v>
      </c>
      <c r="T3954" s="23" t="str">
        <f t="shared" si="872"/>
        <v/>
      </c>
      <c r="U3954" t="str">
        <f t="shared" si="873"/>
        <v>PA_Alleg_2019g~Gen-school director montour region 2 (vote for 3)</v>
      </c>
      <c r="V3954" s="87"/>
      <c r="AF3954" s="22"/>
      <c r="AH3954" s="8"/>
      <c r="AL3954" s="23"/>
      <c r="AU3954" s="10"/>
    </row>
    <row r="3955" spans="1:47">
      <c r="A3955" t="str">
        <f t="shared" si="866"/>
        <v>PA_Alleg_2019g~Gen-school director montour region 2 (vote for 3)</v>
      </c>
      <c r="B3955" s="55" t="s">
        <v>1528</v>
      </c>
      <c r="C3955">
        <v>356</v>
      </c>
      <c r="D3955" s="55" t="s">
        <v>385</v>
      </c>
      <c r="E3955" s="55" t="s">
        <v>387</v>
      </c>
      <c r="F3955" t="s">
        <v>1396</v>
      </c>
      <c r="G3955" s="62">
        <v>1731</v>
      </c>
      <c r="H3955">
        <v>32.89</v>
      </c>
      <c r="I3955">
        <v>7980</v>
      </c>
      <c r="J3955">
        <v>0</v>
      </c>
      <c r="K3955">
        <v>7</v>
      </c>
      <c r="L3955">
        <v>7</v>
      </c>
      <c r="M3955">
        <v>0</v>
      </c>
      <c r="N3955" s="23">
        <v>0</v>
      </c>
      <c r="O3955">
        <f t="shared" si="867"/>
        <v>2</v>
      </c>
      <c r="P3955" s="57">
        <f t="shared" si="868"/>
        <v>3</v>
      </c>
      <c r="Q3955" s="267">
        <f t="shared" si="869"/>
        <v>3477</v>
      </c>
      <c r="R3955" s="23">
        <f t="shared" si="870"/>
        <v>1725</v>
      </c>
      <c r="S3955" s="23">
        <f t="shared" si="871"/>
        <v>0</v>
      </c>
      <c r="T3955" s="23" t="str">
        <f t="shared" si="872"/>
        <v/>
      </c>
      <c r="U3955" t="str">
        <f t="shared" si="873"/>
        <v/>
      </c>
      <c r="V3955" s="87"/>
      <c r="AF3955" s="22"/>
      <c r="AU3955" s="10"/>
    </row>
    <row r="3956" spans="1:47">
      <c r="A3956" t="str">
        <f t="shared" si="866"/>
        <v>PA_Alleg_2019g~Gen-school director montour region 2 (vote for 3)</v>
      </c>
      <c r="B3956" s="55" t="s">
        <v>1528</v>
      </c>
      <c r="C3956">
        <v>357</v>
      </c>
      <c r="D3956" s="55" t="s">
        <v>385</v>
      </c>
      <c r="E3956" s="55" t="s">
        <v>388</v>
      </c>
      <c r="F3956" t="s">
        <v>1396</v>
      </c>
      <c r="G3956" s="62">
        <v>1725</v>
      </c>
      <c r="H3956">
        <v>32.78</v>
      </c>
      <c r="I3956">
        <v>7980</v>
      </c>
      <c r="J3956">
        <v>0</v>
      </c>
      <c r="K3956">
        <v>7</v>
      </c>
      <c r="L3956">
        <v>7</v>
      </c>
      <c r="M3956">
        <v>0</v>
      </c>
      <c r="N3956" s="23">
        <v>0</v>
      </c>
      <c r="O3956">
        <f t="shared" si="867"/>
        <v>3</v>
      </c>
      <c r="P3956" s="57">
        <f t="shared" si="868"/>
        <v>3</v>
      </c>
      <c r="Q3956" s="267">
        <f t="shared" si="869"/>
        <v>1746</v>
      </c>
      <c r="R3956" s="23">
        <f t="shared" si="870"/>
        <v>1725</v>
      </c>
      <c r="S3956" s="23">
        <f t="shared" si="871"/>
        <v>0</v>
      </c>
      <c r="T3956" s="23" t="str">
        <f t="shared" si="872"/>
        <v/>
      </c>
      <c r="U3956" t="str">
        <f t="shared" si="873"/>
        <v/>
      </c>
      <c r="V3956" s="87"/>
      <c r="AF3956" s="22"/>
      <c r="AU3956" s="10"/>
    </row>
    <row r="3957" spans="1:47">
      <c r="A3957" t="str">
        <f t="shared" si="866"/>
        <v>PA_Alleg_2019g~Gen-school director montour region 2 (vote for 3)</v>
      </c>
      <c r="B3957" s="55" t="s">
        <v>1528</v>
      </c>
      <c r="C3957">
        <v>358</v>
      </c>
      <c r="D3957" s="55" t="s">
        <v>385</v>
      </c>
      <c r="E3957" s="55" t="s">
        <v>15</v>
      </c>
      <c r="G3957" s="62">
        <v>21</v>
      </c>
      <c r="H3957">
        <v>0.4</v>
      </c>
      <c r="I3957">
        <v>7980</v>
      </c>
      <c r="J3957">
        <v>0</v>
      </c>
      <c r="K3957">
        <v>7</v>
      </c>
      <c r="L3957">
        <v>7</v>
      </c>
      <c r="M3957">
        <v>0</v>
      </c>
      <c r="N3957" s="23">
        <v>0</v>
      </c>
      <c r="O3957">
        <f t="shared" si="867"/>
        <v>-3</v>
      </c>
      <c r="P3957" s="57">
        <f t="shared" si="868"/>
        <v>3</v>
      </c>
      <c r="Q3957" s="267">
        <f t="shared" si="869"/>
        <v>21</v>
      </c>
      <c r="R3957" s="23">
        <f t="shared" si="870"/>
        <v>1</v>
      </c>
      <c r="S3957" s="23">
        <f t="shared" si="871"/>
        <v>0</v>
      </c>
      <c r="T3957" s="23" t="str">
        <f t="shared" si="872"/>
        <v/>
      </c>
      <c r="U3957" t="str">
        <f t="shared" si="873"/>
        <v/>
      </c>
      <c r="V3957" s="87"/>
      <c r="AF3957" s="22"/>
      <c r="AU3957" s="10"/>
    </row>
    <row r="3958" spans="1:47">
      <c r="A3958" t="str">
        <f t="shared" si="866"/>
        <v>PA_Alleg_2019g~Gen-school director moon area (vote for 5)</v>
      </c>
      <c r="B3958" s="55" t="s">
        <v>1528</v>
      </c>
      <c r="C3958">
        <v>180</v>
      </c>
      <c r="D3958" s="55" t="s">
        <v>211</v>
      </c>
      <c r="E3958" s="55" t="s">
        <v>216</v>
      </c>
      <c r="F3958" t="s">
        <v>1396</v>
      </c>
      <c r="G3958" s="62">
        <v>4286</v>
      </c>
      <c r="H3958">
        <v>20.28</v>
      </c>
      <c r="I3958">
        <v>20956</v>
      </c>
      <c r="J3958">
        <v>0</v>
      </c>
      <c r="K3958">
        <v>15</v>
      </c>
      <c r="L3958">
        <v>15</v>
      </c>
      <c r="M3958">
        <v>0</v>
      </c>
      <c r="N3958" s="23">
        <v>0</v>
      </c>
      <c r="O3958">
        <f t="shared" si="867"/>
        <v>1</v>
      </c>
      <c r="P3958" s="57">
        <f t="shared" si="868"/>
        <v>5</v>
      </c>
      <c r="Q3958" s="267">
        <f t="shared" si="869"/>
        <v>4286</v>
      </c>
      <c r="R3958" s="23">
        <f t="shared" si="870"/>
        <v>4115</v>
      </c>
      <c r="S3958" s="23">
        <f t="shared" si="871"/>
        <v>0</v>
      </c>
      <c r="T3958" s="23" t="str">
        <f t="shared" si="872"/>
        <v/>
      </c>
      <c r="U3958" t="str">
        <f t="shared" si="873"/>
        <v>PA_Alleg_2019g~Gen-school director moon area (vote for 5)</v>
      </c>
      <c r="V3958" s="87"/>
      <c r="AF3958" s="22"/>
      <c r="AG3958" s="23"/>
      <c r="AH3958" s="8"/>
      <c r="AU3958" s="10"/>
    </row>
    <row r="3959" spans="1:47">
      <c r="A3959" t="str">
        <f t="shared" si="866"/>
        <v>PA_Alleg_2019g~Gen-school director moon area (vote for 5)</v>
      </c>
      <c r="B3959" s="55" t="s">
        <v>1528</v>
      </c>
      <c r="C3959">
        <v>182</v>
      </c>
      <c r="D3959" s="55" t="s">
        <v>211</v>
      </c>
      <c r="E3959" s="55" t="s">
        <v>212</v>
      </c>
      <c r="F3959" t="s">
        <v>1396</v>
      </c>
      <c r="G3959" s="62">
        <v>4284</v>
      </c>
      <c r="H3959">
        <v>20.27</v>
      </c>
      <c r="I3959">
        <v>20956</v>
      </c>
      <c r="J3959">
        <v>0</v>
      </c>
      <c r="K3959">
        <v>15</v>
      </c>
      <c r="L3959">
        <v>15</v>
      </c>
      <c r="M3959">
        <v>0</v>
      </c>
      <c r="N3959" s="23">
        <v>0</v>
      </c>
      <c r="O3959">
        <f t="shared" si="867"/>
        <v>2</v>
      </c>
      <c r="P3959" s="57">
        <f t="shared" si="868"/>
        <v>5</v>
      </c>
      <c r="Q3959" s="267">
        <f t="shared" si="869"/>
        <v>16848</v>
      </c>
      <c r="R3959" s="23">
        <f t="shared" si="870"/>
        <v>4115</v>
      </c>
      <c r="S3959" s="23">
        <f t="shared" si="871"/>
        <v>0</v>
      </c>
      <c r="T3959" s="23" t="str">
        <f t="shared" si="872"/>
        <v/>
      </c>
      <c r="U3959" t="str">
        <f t="shared" si="873"/>
        <v/>
      </c>
      <c r="V3959" s="87"/>
      <c r="AF3959" s="22"/>
      <c r="AU3959" s="10"/>
    </row>
    <row r="3960" spans="1:47">
      <c r="A3960" t="str">
        <f t="shared" ref="A3960:A4023" si="874">CONCATENATE(B3960,"~Gen-",LOWER(D3960))</f>
        <v>PA_Alleg_2019g~Gen-school director moon area (vote for 5)</v>
      </c>
      <c r="B3960" s="55" t="s">
        <v>1528</v>
      </c>
      <c r="C3960">
        <v>184</v>
      </c>
      <c r="D3960" s="55" t="s">
        <v>211</v>
      </c>
      <c r="E3960" s="55" t="s">
        <v>213</v>
      </c>
      <c r="F3960" t="s">
        <v>1396</v>
      </c>
      <c r="G3960" s="62">
        <v>4180</v>
      </c>
      <c r="H3960">
        <v>19.78</v>
      </c>
      <c r="I3960">
        <v>20956</v>
      </c>
      <c r="J3960">
        <v>0</v>
      </c>
      <c r="K3960">
        <v>15</v>
      </c>
      <c r="L3960">
        <v>15</v>
      </c>
      <c r="M3960">
        <v>0</v>
      </c>
      <c r="N3960" s="23">
        <v>0</v>
      </c>
      <c r="O3960">
        <f t="shared" si="867"/>
        <v>3</v>
      </c>
      <c r="P3960" s="57">
        <f t="shared" si="868"/>
        <v>5</v>
      </c>
      <c r="Q3960" s="267">
        <f t="shared" si="869"/>
        <v>12564</v>
      </c>
      <c r="R3960" s="23">
        <f t="shared" si="870"/>
        <v>4115</v>
      </c>
      <c r="S3960" s="23">
        <f t="shared" si="871"/>
        <v>0</v>
      </c>
      <c r="T3960" s="23" t="str">
        <f t="shared" si="872"/>
        <v/>
      </c>
      <c r="U3960" t="str">
        <f t="shared" si="873"/>
        <v/>
      </c>
      <c r="V3960" s="87"/>
      <c r="AF3960" s="22"/>
      <c r="AH3960" s="8"/>
      <c r="AU3960" s="10"/>
    </row>
    <row r="3961" spans="1:47">
      <c r="A3961" t="str">
        <f t="shared" si="874"/>
        <v>PA_Alleg_2019g~Gen-school director moon area (vote for 5)</v>
      </c>
      <c r="B3961" s="55" t="s">
        <v>1528</v>
      </c>
      <c r="C3961">
        <v>183</v>
      </c>
      <c r="D3961" s="55" t="s">
        <v>211</v>
      </c>
      <c r="E3961" s="55" t="s">
        <v>214</v>
      </c>
      <c r="F3961" t="s">
        <v>1396</v>
      </c>
      <c r="G3961" s="62">
        <v>4119</v>
      </c>
      <c r="H3961">
        <v>19.489999999999998</v>
      </c>
      <c r="I3961">
        <v>20956</v>
      </c>
      <c r="J3961">
        <v>0</v>
      </c>
      <c r="K3961">
        <v>15</v>
      </c>
      <c r="L3961">
        <v>15</v>
      </c>
      <c r="M3961">
        <v>0</v>
      </c>
      <c r="N3961" s="23">
        <v>0</v>
      </c>
      <c r="O3961">
        <f t="shared" si="867"/>
        <v>4</v>
      </c>
      <c r="P3961" s="57">
        <f t="shared" si="868"/>
        <v>5</v>
      </c>
      <c r="Q3961" s="267">
        <f t="shared" si="869"/>
        <v>8384</v>
      </c>
      <c r="R3961" s="23">
        <f t="shared" si="870"/>
        <v>4115</v>
      </c>
      <c r="S3961" s="23">
        <f t="shared" si="871"/>
        <v>0</v>
      </c>
      <c r="T3961" s="23" t="str">
        <f t="shared" si="872"/>
        <v/>
      </c>
      <c r="U3961" t="str">
        <f t="shared" si="873"/>
        <v/>
      </c>
      <c r="V3961" s="87"/>
      <c r="AF3961" s="22"/>
      <c r="AU3961" s="10"/>
    </row>
    <row r="3962" spans="1:47">
      <c r="A3962" t="str">
        <f t="shared" si="874"/>
        <v>PA_Alleg_2019g~Gen-school director moon area (vote for 5)</v>
      </c>
      <c r="B3962" s="55" t="s">
        <v>1528</v>
      </c>
      <c r="C3962">
        <v>181</v>
      </c>
      <c r="D3962" s="55" t="s">
        <v>211</v>
      </c>
      <c r="E3962" s="55" t="s">
        <v>215</v>
      </c>
      <c r="F3962" t="s">
        <v>1396</v>
      </c>
      <c r="G3962" s="62">
        <v>4115</v>
      </c>
      <c r="H3962">
        <v>19.47</v>
      </c>
      <c r="I3962">
        <v>20956</v>
      </c>
      <c r="J3962">
        <v>0</v>
      </c>
      <c r="K3962">
        <v>15</v>
      </c>
      <c r="L3962">
        <v>15</v>
      </c>
      <c r="M3962">
        <v>0</v>
      </c>
      <c r="N3962" s="23">
        <v>0</v>
      </c>
      <c r="O3962">
        <f t="shared" si="867"/>
        <v>5</v>
      </c>
      <c r="P3962" s="57">
        <f t="shared" si="868"/>
        <v>5</v>
      </c>
      <c r="Q3962" s="267">
        <f t="shared" si="869"/>
        <v>4265</v>
      </c>
      <c r="R3962" s="23">
        <f t="shared" si="870"/>
        <v>4115</v>
      </c>
      <c r="S3962" s="23">
        <f t="shared" si="871"/>
        <v>0</v>
      </c>
      <c r="T3962" s="23" t="str">
        <f t="shared" si="872"/>
        <v/>
      </c>
      <c r="U3962" t="str">
        <f t="shared" si="873"/>
        <v/>
      </c>
      <c r="V3962" s="87"/>
      <c r="AF3962" s="22"/>
      <c r="AU3962" s="10"/>
    </row>
    <row r="3963" spans="1:47">
      <c r="A3963" t="str">
        <f t="shared" si="874"/>
        <v>PA_Alleg_2019g~Gen-school director moon area (vote for 5)</v>
      </c>
      <c r="B3963" s="55" t="s">
        <v>1528</v>
      </c>
      <c r="C3963">
        <v>185</v>
      </c>
      <c r="D3963" s="55" t="s">
        <v>211</v>
      </c>
      <c r="E3963" s="55" t="s">
        <v>15</v>
      </c>
      <c r="G3963" s="62">
        <v>150</v>
      </c>
      <c r="H3963">
        <v>0.71</v>
      </c>
      <c r="I3963">
        <v>20956</v>
      </c>
      <c r="J3963">
        <v>0</v>
      </c>
      <c r="K3963">
        <v>15</v>
      </c>
      <c r="L3963">
        <v>15</v>
      </c>
      <c r="M3963">
        <v>0</v>
      </c>
      <c r="N3963" s="23">
        <v>0</v>
      </c>
      <c r="O3963">
        <f t="shared" si="867"/>
        <v>-5</v>
      </c>
      <c r="P3963" s="57">
        <f t="shared" si="868"/>
        <v>5</v>
      </c>
      <c r="Q3963" s="267">
        <f t="shared" si="869"/>
        <v>150</v>
      </c>
      <c r="R3963" s="23">
        <f t="shared" si="870"/>
        <v>1</v>
      </c>
      <c r="S3963" s="23">
        <f t="shared" si="871"/>
        <v>0</v>
      </c>
      <c r="T3963" s="23" t="str">
        <f t="shared" si="872"/>
        <v/>
      </c>
      <c r="U3963" t="str">
        <f t="shared" si="873"/>
        <v/>
      </c>
      <c r="V3963" s="87"/>
      <c r="AF3963" s="22"/>
      <c r="AU3963" s="10"/>
    </row>
    <row r="3964" spans="1:47">
      <c r="A3964" t="str">
        <f t="shared" si="874"/>
        <v>PA_Alleg_2019g~Gen-school director mt lebanon (vote for 5)</v>
      </c>
      <c r="B3964" s="55" t="s">
        <v>1528</v>
      </c>
      <c r="C3964">
        <v>186</v>
      </c>
      <c r="D3964" s="55" t="s">
        <v>217</v>
      </c>
      <c r="E3964" s="55" t="s">
        <v>218</v>
      </c>
      <c r="F3964" t="s">
        <v>1396</v>
      </c>
      <c r="G3964" s="62">
        <v>7314</v>
      </c>
      <c r="H3964">
        <v>20.56</v>
      </c>
      <c r="I3964">
        <v>27576</v>
      </c>
      <c r="J3964">
        <v>0</v>
      </c>
      <c r="K3964">
        <v>38</v>
      </c>
      <c r="L3964">
        <v>38</v>
      </c>
      <c r="M3964">
        <v>0</v>
      </c>
      <c r="N3964" s="23">
        <v>0</v>
      </c>
      <c r="O3964">
        <f t="shared" si="867"/>
        <v>1</v>
      </c>
      <c r="P3964" s="57">
        <f t="shared" si="868"/>
        <v>5</v>
      </c>
      <c r="Q3964" s="267">
        <f t="shared" si="869"/>
        <v>7314</v>
      </c>
      <c r="R3964" s="23">
        <f t="shared" si="870"/>
        <v>6906</v>
      </c>
      <c r="S3964" s="23">
        <f t="shared" si="871"/>
        <v>0</v>
      </c>
      <c r="T3964" s="23" t="str">
        <f t="shared" si="872"/>
        <v/>
      </c>
      <c r="U3964" t="str">
        <f t="shared" si="873"/>
        <v>PA_Alleg_2019g~Gen-school director mt lebanon (vote for 5)</v>
      </c>
      <c r="V3964" s="87"/>
      <c r="AF3964" s="22"/>
      <c r="AU3964" s="10"/>
    </row>
    <row r="3965" spans="1:47">
      <c r="A3965" t="str">
        <f t="shared" si="874"/>
        <v>PA_Alleg_2019g~Gen-school director mt lebanon (vote for 5)</v>
      </c>
      <c r="B3965" s="55" t="s">
        <v>1528</v>
      </c>
      <c r="C3965">
        <v>187</v>
      </c>
      <c r="D3965" s="55" t="s">
        <v>217</v>
      </c>
      <c r="E3965" s="55" t="s">
        <v>219</v>
      </c>
      <c r="F3965" t="s">
        <v>1396</v>
      </c>
      <c r="G3965" s="62">
        <v>7269</v>
      </c>
      <c r="H3965">
        <v>20.43</v>
      </c>
      <c r="I3965">
        <v>27576</v>
      </c>
      <c r="J3965">
        <v>0</v>
      </c>
      <c r="K3965">
        <v>38</v>
      </c>
      <c r="L3965">
        <v>38</v>
      </c>
      <c r="M3965">
        <v>0</v>
      </c>
      <c r="N3965" s="23">
        <v>0</v>
      </c>
      <c r="O3965">
        <f t="shared" si="867"/>
        <v>2</v>
      </c>
      <c r="P3965" s="57">
        <f t="shared" si="868"/>
        <v>5</v>
      </c>
      <c r="Q3965" s="267">
        <f t="shared" si="869"/>
        <v>28264</v>
      </c>
      <c r="R3965" s="23">
        <f t="shared" si="870"/>
        <v>6906</v>
      </c>
      <c r="S3965" s="23">
        <f t="shared" si="871"/>
        <v>0</v>
      </c>
      <c r="T3965" s="23" t="str">
        <f t="shared" si="872"/>
        <v/>
      </c>
      <c r="U3965" t="str">
        <f t="shared" si="873"/>
        <v/>
      </c>
      <c r="V3965" s="87"/>
      <c r="AF3965" s="22"/>
      <c r="AU3965" s="10"/>
    </row>
    <row r="3966" spans="1:47">
      <c r="A3966" t="str">
        <f t="shared" si="874"/>
        <v>PA_Alleg_2019g~Gen-school director mt lebanon (vote for 5)</v>
      </c>
      <c r="B3966" s="55" t="s">
        <v>1528</v>
      </c>
      <c r="C3966">
        <v>188</v>
      </c>
      <c r="D3966" s="55" t="s">
        <v>217</v>
      </c>
      <c r="E3966" s="55" t="s">
        <v>220</v>
      </c>
      <c r="F3966" t="s">
        <v>1396</v>
      </c>
      <c r="G3966" s="62">
        <v>6996</v>
      </c>
      <c r="H3966">
        <v>19.66</v>
      </c>
      <c r="I3966">
        <v>27576</v>
      </c>
      <c r="J3966">
        <v>0</v>
      </c>
      <c r="K3966">
        <v>38</v>
      </c>
      <c r="L3966">
        <v>38</v>
      </c>
      <c r="M3966">
        <v>0</v>
      </c>
      <c r="N3966" s="23">
        <v>0</v>
      </c>
      <c r="O3966">
        <f t="shared" si="867"/>
        <v>3</v>
      </c>
      <c r="P3966" s="57">
        <f t="shared" si="868"/>
        <v>5</v>
      </c>
      <c r="Q3966" s="267">
        <f t="shared" si="869"/>
        <v>20995</v>
      </c>
      <c r="R3966" s="23">
        <f t="shared" si="870"/>
        <v>6906</v>
      </c>
      <c r="S3966" s="23">
        <f t="shared" si="871"/>
        <v>0</v>
      </c>
      <c r="T3966" s="23" t="str">
        <f t="shared" si="872"/>
        <v/>
      </c>
      <c r="U3966" t="str">
        <f t="shared" si="873"/>
        <v/>
      </c>
      <c r="V3966" s="87"/>
      <c r="AF3966" s="22"/>
      <c r="AU3966" s="10"/>
    </row>
    <row r="3967" spans="1:47">
      <c r="A3967" t="str">
        <f t="shared" si="874"/>
        <v>PA_Alleg_2019g~Gen-school director mt lebanon (vote for 5)</v>
      </c>
      <c r="B3967" s="55" t="s">
        <v>1528</v>
      </c>
      <c r="C3967">
        <v>189</v>
      </c>
      <c r="D3967" s="55" t="s">
        <v>217</v>
      </c>
      <c r="E3967" s="55" t="s">
        <v>222</v>
      </c>
      <c r="F3967" t="s">
        <v>1396</v>
      </c>
      <c r="G3967" s="62">
        <v>6957</v>
      </c>
      <c r="H3967">
        <v>19.55</v>
      </c>
      <c r="I3967">
        <v>27576</v>
      </c>
      <c r="J3967">
        <v>0</v>
      </c>
      <c r="K3967">
        <v>38</v>
      </c>
      <c r="L3967">
        <v>38</v>
      </c>
      <c r="M3967">
        <v>0</v>
      </c>
      <c r="N3967" s="23">
        <v>0</v>
      </c>
      <c r="O3967">
        <f t="shared" si="867"/>
        <v>4</v>
      </c>
      <c r="P3967" s="57">
        <f t="shared" si="868"/>
        <v>5</v>
      </c>
      <c r="Q3967" s="267">
        <f t="shared" si="869"/>
        <v>13999</v>
      </c>
      <c r="R3967" s="23">
        <f t="shared" si="870"/>
        <v>6906</v>
      </c>
      <c r="S3967" s="23">
        <f t="shared" si="871"/>
        <v>0</v>
      </c>
      <c r="T3967" s="23" t="str">
        <f t="shared" si="872"/>
        <v/>
      </c>
      <c r="U3967" t="str">
        <f t="shared" si="873"/>
        <v/>
      </c>
      <c r="V3967" s="87"/>
      <c r="AF3967" s="22"/>
      <c r="AU3967" s="10"/>
    </row>
    <row r="3968" spans="1:47">
      <c r="A3968" t="str">
        <f t="shared" si="874"/>
        <v>PA_Alleg_2019g~Gen-school director mt lebanon (vote for 5)</v>
      </c>
      <c r="B3968" s="55" t="s">
        <v>1528</v>
      </c>
      <c r="C3968">
        <v>190</v>
      </c>
      <c r="D3968" s="55" t="s">
        <v>217</v>
      </c>
      <c r="E3968" s="55" t="s">
        <v>221</v>
      </c>
      <c r="F3968" t="s">
        <v>1396</v>
      </c>
      <c r="G3968" s="62">
        <v>6906</v>
      </c>
      <c r="H3968">
        <v>19.41</v>
      </c>
      <c r="I3968">
        <v>27576</v>
      </c>
      <c r="J3968">
        <v>0</v>
      </c>
      <c r="K3968">
        <v>38</v>
      </c>
      <c r="L3968">
        <v>38</v>
      </c>
      <c r="M3968">
        <v>0</v>
      </c>
      <c r="N3968" s="23">
        <v>0</v>
      </c>
      <c r="O3968">
        <f t="shared" si="867"/>
        <v>5</v>
      </c>
      <c r="P3968" s="57">
        <f t="shared" si="868"/>
        <v>5</v>
      </c>
      <c r="Q3968" s="267">
        <f t="shared" si="869"/>
        <v>7042</v>
      </c>
      <c r="R3968" s="23">
        <f t="shared" si="870"/>
        <v>6906</v>
      </c>
      <c r="S3968" s="23">
        <f t="shared" si="871"/>
        <v>0</v>
      </c>
      <c r="T3968" s="23" t="str">
        <f t="shared" si="872"/>
        <v/>
      </c>
      <c r="U3968" t="str">
        <f t="shared" si="873"/>
        <v/>
      </c>
      <c r="V3968" s="87"/>
      <c r="AF3968" s="22"/>
      <c r="AU3968" s="10"/>
    </row>
    <row r="3969" spans="1:47">
      <c r="A3969" t="str">
        <f t="shared" si="874"/>
        <v>PA_Alleg_2019g~Gen-school director mt lebanon (vote for 5)</v>
      </c>
      <c r="B3969" s="55" t="s">
        <v>1528</v>
      </c>
      <c r="C3969">
        <v>191</v>
      </c>
      <c r="D3969" s="55" t="s">
        <v>217</v>
      </c>
      <c r="E3969" s="55" t="s">
        <v>15</v>
      </c>
      <c r="G3969" s="62">
        <v>136</v>
      </c>
      <c r="H3969">
        <v>0.38</v>
      </c>
      <c r="I3969">
        <v>27576</v>
      </c>
      <c r="J3969">
        <v>0</v>
      </c>
      <c r="K3969">
        <v>38</v>
      </c>
      <c r="L3969">
        <v>38</v>
      </c>
      <c r="M3969">
        <v>0</v>
      </c>
      <c r="N3969" s="23">
        <v>0</v>
      </c>
      <c r="O3969">
        <f t="shared" si="867"/>
        <v>-5</v>
      </c>
      <c r="P3969" s="57">
        <f t="shared" si="868"/>
        <v>5</v>
      </c>
      <c r="Q3969" s="267">
        <f t="shared" si="869"/>
        <v>136</v>
      </c>
      <c r="R3969" s="23">
        <f t="shared" si="870"/>
        <v>1</v>
      </c>
      <c r="S3969" s="23">
        <f t="shared" si="871"/>
        <v>0</v>
      </c>
      <c r="T3969" s="23" t="str">
        <f t="shared" si="872"/>
        <v/>
      </c>
      <c r="U3969" t="str">
        <f t="shared" si="873"/>
        <v/>
      </c>
      <c r="V3969" s="87"/>
      <c r="AF3969" s="22"/>
      <c r="AU3969" s="10"/>
    </row>
    <row r="3970" spans="1:47">
      <c r="A3970" t="str">
        <f t="shared" si="874"/>
        <v>PA_Alleg_2019g~Gen-school director north allegheny (vote for 5)</v>
      </c>
      <c r="B3970" s="55" t="s">
        <v>1528</v>
      </c>
      <c r="C3970">
        <v>195</v>
      </c>
      <c r="D3970" s="55" t="s">
        <v>223</v>
      </c>
      <c r="E3970" s="55" t="s">
        <v>230</v>
      </c>
      <c r="F3970" t="s">
        <v>1396</v>
      </c>
      <c r="G3970" s="62">
        <v>8981</v>
      </c>
      <c r="H3970">
        <v>15.79</v>
      </c>
      <c r="I3970">
        <v>41741</v>
      </c>
      <c r="J3970">
        <v>0</v>
      </c>
      <c r="K3970">
        <v>37</v>
      </c>
      <c r="L3970">
        <v>37</v>
      </c>
      <c r="M3970">
        <v>0</v>
      </c>
      <c r="N3970" s="23">
        <v>0</v>
      </c>
      <c r="O3970">
        <f t="shared" ref="O3970:O4033" si="875">IF(OR(LOWER(LEFT(E3970,8))="write-in",LOWER(LEFT(E3970,8))="not qual"),IF(A3970=A3969,-ABS(O3969),0),IF(A3970=A3969,ABS(O3969)+1,1))</f>
        <v>1</v>
      </c>
      <c r="P3970" s="57">
        <f t="shared" ref="P3970:P4033" si="876">1*LEFT(RIGHT(A3970,2),1)</f>
        <v>5</v>
      </c>
      <c r="Q3970" s="267">
        <f t="shared" ref="Q3970:Q4033" si="877">IF(A3970&lt;&gt;A3971,G3970,IF(A3970=A3969,G3970+Q3971,MAX(G3970,(G3970+Q3971)/P3970)))</f>
        <v>11378.6</v>
      </c>
      <c r="R3970" s="23">
        <f t="shared" ref="R3970:R4033" si="878">IF(O3970&gt;P3970,"",IF(O3970=P3970,G3970,IF(A3970=A3971,R3971,IF(O3970&lt;=0,1,G3970))))</f>
        <v>6604</v>
      </c>
      <c r="S3970" s="23">
        <f t="shared" ref="S3970:S4033" si="879">IF(AND(O3970&gt;P3970,LOWER(LEFT(E3970,8))&lt;&gt;"write-in",LOWER(LEFT(E3970,8))&lt;&gt;"not qual"),G3970,IF(A3970=A3971,S3971,0))</f>
        <v>6544</v>
      </c>
      <c r="T3970" s="23">
        <f t="shared" ref="T3970:T4033" si="880">IF(OR(A3970=A3969,S3970=0),"",R3970-ABS(S3970))</f>
        <v>60</v>
      </c>
      <c r="U3970" t="str">
        <f t="shared" ref="U3970:U4033" si="881">IF(A3970=A3969,"",A3970)</f>
        <v>PA_Alleg_2019g~Gen-school director north allegheny (vote for 5)</v>
      </c>
      <c r="V3970" s="87"/>
      <c r="AF3970" s="22"/>
      <c r="AU3970" s="10"/>
    </row>
    <row r="3971" spans="1:47">
      <c r="A3971" t="str">
        <f t="shared" si="874"/>
        <v>PA_Alleg_2019g~Gen-school director north allegheny (vote for 5)</v>
      </c>
      <c r="B3971" s="55" t="s">
        <v>1528</v>
      </c>
      <c r="C3971">
        <v>196</v>
      </c>
      <c r="D3971" s="55" t="s">
        <v>223</v>
      </c>
      <c r="E3971" s="55" t="s">
        <v>224</v>
      </c>
      <c r="F3971" t="s">
        <v>1396</v>
      </c>
      <c r="G3971" s="62">
        <v>8567</v>
      </c>
      <c r="H3971">
        <v>15.06</v>
      </c>
      <c r="I3971">
        <v>41741</v>
      </c>
      <c r="J3971">
        <v>0</v>
      </c>
      <c r="K3971">
        <v>37</v>
      </c>
      <c r="L3971">
        <v>37</v>
      </c>
      <c r="M3971">
        <v>0</v>
      </c>
      <c r="N3971" s="23">
        <v>0</v>
      </c>
      <c r="O3971">
        <f t="shared" si="875"/>
        <v>2</v>
      </c>
      <c r="P3971" s="57">
        <f t="shared" si="876"/>
        <v>5</v>
      </c>
      <c r="Q3971" s="267">
        <f t="shared" si="877"/>
        <v>47912</v>
      </c>
      <c r="R3971" s="23">
        <f t="shared" si="878"/>
        <v>6604</v>
      </c>
      <c r="S3971" s="23">
        <f t="shared" si="879"/>
        <v>6544</v>
      </c>
      <c r="T3971" s="23" t="str">
        <f t="shared" si="880"/>
        <v/>
      </c>
      <c r="U3971" t="str">
        <f t="shared" si="881"/>
        <v/>
      </c>
      <c r="V3971" s="87"/>
      <c r="AF3971" s="22"/>
      <c r="AU3971" s="10"/>
    </row>
    <row r="3972" spans="1:47">
      <c r="A3972" t="str">
        <f t="shared" si="874"/>
        <v>PA_Alleg_2019g~Gen-school director north allegheny (vote for 5)</v>
      </c>
      <c r="B3972" s="55" t="s">
        <v>1528</v>
      </c>
      <c r="C3972">
        <v>192</v>
      </c>
      <c r="D3972" s="55" t="s">
        <v>223</v>
      </c>
      <c r="E3972" s="55" t="s">
        <v>227</v>
      </c>
      <c r="F3972" t="s">
        <v>1294</v>
      </c>
      <c r="G3972" s="62">
        <v>6774</v>
      </c>
      <c r="H3972">
        <v>11.91</v>
      </c>
      <c r="I3972">
        <v>41741</v>
      </c>
      <c r="J3972">
        <v>0</v>
      </c>
      <c r="K3972">
        <v>37</v>
      </c>
      <c r="L3972">
        <v>37</v>
      </c>
      <c r="M3972">
        <v>0</v>
      </c>
      <c r="N3972" s="23">
        <v>0</v>
      </c>
      <c r="O3972">
        <f t="shared" si="875"/>
        <v>3</v>
      </c>
      <c r="P3972" s="57">
        <f t="shared" si="876"/>
        <v>5</v>
      </c>
      <c r="Q3972" s="267">
        <f t="shared" si="877"/>
        <v>39345</v>
      </c>
      <c r="R3972" s="23">
        <f t="shared" si="878"/>
        <v>6604</v>
      </c>
      <c r="S3972" s="23">
        <f t="shared" si="879"/>
        <v>6544</v>
      </c>
      <c r="T3972" s="23" t="str">
        <f t="shared" si="880"/>
        <v/>
      </c>
      <c r="U3972" t="str">
        <f t="shared" si="881"/>
        <v/>
      </c>
      <c r="V3972" s="87"/>
      <c r="AF3972" s="22"/>
      <c r="AU3972" s="10"/>
    </row>
    <row r="3973" spans="1:47">
      <c r="A3973" t="str">
        <f t="shared" si="874"/>
        <v>PA_Alleg_2019g~Gen-school director north allegheny (vote for 5)</v>
      </c>
      <c r="B3973" s="55" t="s">
        <v>1528</v>
      </c>
      <c r="C3973">
        <v>197</v>
      </c>
      <c r="D3973" s="55" t="s">
        <v>223</v>
      </c>
      <c r="E3973" s="55" t="s">
        <v>231</v>
      </c>
      <c r="F3973" t="s">
        <v>1296</v>
      </c>
      <c r="G3973" s="62">
        <v>6631</v>
      </c>
      <c r="H3973">
        <v>11.66</v>
      </c>
      <c r="I3973">
        <v>41741</v>
      </c>
      <c r="J3973">
        <v>0</v>
      </c>
      <c r="K3973">
        <v>37</v>
      </c>
      <c r="L3973">
        <v>37</v>
      </c>
      <c r="M3973">
        <v>0</v>
      </c>
      <c r="N3973" s="23">
        <v>0</v>
      </c>
      <c r="O3973">
        <f t="shared" si="875"/>
        <v>4</v>
      </c>
      <c r="P3973" s="57">
        <f t="shared" si="876"/>
        <v>5</v>
      </c>
      <c r="Q3973" s="267">
        <f t="shared" si="877"/>
        <v>32571</v>
      </c>
      <c r="R3973" s="23">
        <f t="shared" si="878"/>
        <v>6604</v>
      </c>
      <c r="S3973" s="23">
        <f t="shared" si="879"/>
        <v>6544</v>
      </c>
      <c r="T3973" s="23" t="str">
        <f t="shared" si="880"/>
        <v/>
      </c>
      <c r="U3973" t="str">
        <f t="shared" si="881"/>
        <v/>
      </c>
      <c r="V3973" s="87"/>
      <c r="AF3973" s="22"/>
      <c r="AU3973" s="10"/>
    </row>
    <row r="3974" spans="1:47">
      <c r="A3974" t="str">
        <f t="shared" si="874"/>
        <v>PA_Alleg_2019g~Gen-school director north allegheny (vote for 5)</v>
      </c>
      <c r="B3974" s="55" t="s">
        <v>1528</v>
      </c>
      <c r="C3974">
        <v>193</v>
      </c>
      <c r="D3974" s="55" t="s">
        <v>223</v>
      </c>
      <c r="E3974" s="55" t="s">
        <v>229</v>
      </c>
      <c r="F3974" t="s">
        <v>1294</v>
      </c>
      <c r="G3974" s="62">
        <v>6604</v>
      </c>
      <c r="H3974">
        <v>11.61</v>
      </c>
      <c r="I3974">
        <v>41741</v>
      </c>
      <c r="J3974">
        <v>0</v>
      </c>
      <c r="K3974">
        <v>37</v>
      </c>
      <c r="L3974">
        <v>37</v>
      </c>
      <c r="M3974">
        <v>0</v>
      </c>
      <c r="N3974" s="23">
        <v>0</v>
      </c>
      <c r="O3974">
        <f t="shared" si="875"/>
        <v>5</v>
      </c>
      <c r="P3974" s="57">
        <f t="shared" si="876"/>
        <v>5</v>
      </c>
      <c r="Q3974" s="267">
        <f t="shared" si="877"/>
        <v>25940</v>
      </c>
      <c r="R3974" s="23">
        <f t="shared" si="878"/>
        <v>6604</v>
      </c>
      <c r="S3974" s="23">
        <f t="shared" si="879"/>
        <v>6544</v>
      </c>
      <c r="T3974" s="23" t="str">
        <f t="shared" si="880"/>
        <v/>
      </c>
      <c r="U3974" t="str">
        <f t="shared" si="881"/>
        <v/>
      </c>
      <c r="V3974" s="87"/>
      <c r="AF3974" s="22"/>
      <c r="AU3974" s="10"/>
    </row>
    <row r="3975" spans="1:47">
      <c r="A3975" t="str">
        <f t="shared" si="874"/>
        <v>PA_Alleg_2019g~Gen-school director north allegheny (vote for 5)</v>
      </c>
      <c r="B3975" s="55" t="s">
        <v>1528</v>
      </c>
      <c r="C3975">
        <v>198</v>
      </c>
      <c r="D3975" s="55" t="s">
        <v>223</v>
      </c>
      <c r="E3975" s="55" t="s">
        <v>225</v>
      </c>
      <c r="F3975" t="s">
        <v>1296</v>
      </c>
      <c r="G3975" s="62">
        <v>6544</v>
      </c>
      <c r="H3975">
        <v>11.5</v>
      </c>
      <c r="I3975">
        <v>41741</v>
      </c>
      <c r="J3975">
        <v>0</v>
      </c>
      <c r="K3975">
        <v>37</v>
      </c>
      <c r="L3975">
        <v>37</v>
      </c>
      <c r="M3975">
        <v>0</v>
      </c>
      <c r="N3975" s="23">
        <v>0</v>
      </c>
      <c r="O3975">
        <f t="shared" si="875"/>
        <v>6</v>
      </c>
      <c r="P3975" s="57">
        <f t="shared" si="876"/>
        <v>5</v>
      </c>
      <c r="Q3975" s="267">
        <f t="shared" si="877"/>
        <v>19336</v>
      </c>
      <c r="R3975" s="23" t="str">
        <f t="shared" si="878"/>
        <v/>
      </c>
      <c r="S3975" s="23">
        <f t="shared" si="879"/>
        <v>6544</v>
      </c>
      <c r="T3975" s="23" t="str">
        <f t="shared" si="880"/>
        <v/>
      </c>
      <c r="U3975" t="str">
        <f t="shared" si="881"/>
        <v/>
      </c>
      <c r="V3975" s="87"/>
      <c r="AF3975" s="22"/>
      <c r="AU3975" s="10"/>
    </row>
    <row r="3976" spans="1:47">
      <c r="A3976" t="str">
        <f t="shared" si="874"/>
        <v>PA_Alleg_2019g~Gen-school director north allegheny (vote for 5)</v>
      </c>
      <c r="B3976" s="55" t="s">
        <v>1528</v>
      </c>
      <c r="C3976">
        <v>199</v>
      </c>
      <c r="D3976" s="55" t="s">
        <v>223</v>
      </c>
      <c r="E3976" s="55" t="s">
        <v>226</v>
      </c>
      <c r="F3976" t="s">
        <v>1296</v>
      </c>
      <c r="G3976" s="62">
        <v>6379</v>
      </c>
      <c r="H3976">
        <v>11.21</v>
      </c>
      <c r="I3976">
        <v>41741</v>
      </c>
      <c r="J3976">
        <v>0</v>
      </c>
      <c r="K3976">
        <v>37</v>
      </c>
      <c r="L3976">
        <v>37</v>
      </c>
      <c r="M3976">
        <v>0</v>
      </c>
      <c r="N3976" s="23">
        <v>0</v>
      </c>
      <c r="O3976">
        <f t="shared" si="875"/>
        <v>7</v>
      </c>
      <c r="P3976" s="57">
        <f t="shared" si="876"/>
        <v>5</v>
      </c>
      <c r="Q3976" s="267">
        <f t="shared" si="877"/>
        <v>12792</v>
      </c>
      <c r="R3976" s="23" t="str">
        <f t="shared" si="878"/>
        <v/>
      </c>
      <c r="S3976" s="23">
        <f t="shared" si="879"/>
        <v>6379</v>
      </c>
      <c r="T3976" s="23" t="str">
        <f t="shared" si="880"/>
        <v/>
      </c>
      <c r="U3976" t="str">
        <f t="shared" si="881"/>
        <v/>
      </c>
      <c r="V3976" s="87"/>
      <c r="AF3976" s="22"/>
      <c r="AU3976" s="10"/>
    </row>
    <row r="3977" spans="1:47">
      <c r="A3977" t="str">
        <f t="shared" si="874"/>
        <v>PA_Alleg_2019g~Gen-school director north allegheny (vote for 5)</v>
      </c>
      <c r="B3977" s="55" t="s">
        <v>1528</v>
      </c>
      <c r="C3977">
        <v>194</v>
      </c>
      <c r="D3977" s="55" t="s">
        <v>223</v>
      </c>
      <c r="E3977" s="55" t="s">
        <v>228</v>
      </c>
      <c r="F3977" t="s">
        <v>1294</v>
      </c>
      <c r="G3977" s="62">
        <v>6345</v>
      </c>
      <c r="H3977">
        <v>11.15</v>
      </c>
      <c r="I3977">
        <v>41741</v>
      </c>
      <c r="J3977">
        <v>0</v>
      </c>
      <c r="K3977">
        <v>37</v>
      </c>
      <c r="L3977">
        <v>37</v>
      </c>
      <c r="M3977">
        <v>0</v>
      </c>
      <c r="N3977" s="23">
        <v>0</v>
      </c>
      <c r="O3977">
        <f t="shared" si="875"/>
        <v>8</v>
      </c>
      <c r="P3977" s="57">
        <f t="shared" si="876"/>
        <v>5</v>
      </c>
      <c r="Q3977" s="267">
        <f t="shared" si="877"/>
        <v>6413</v>
      </c>
      <c r="R3977" s="23" t="str">
        <f t="shared" si="878"/>
        <v/>
      </c>
      <c r="S3977" s="23">
        <f t="shared" si="879"/>
        <v>6345</v>
      </c>
      <c r="T3977" s="23" t="str">
        <f t="shared" si="880"/>
        <v/>
      </c>
      <c r="U3977" t="str">
        <f t="shared" si="881"/>
        <v/>
      </c>
      <c r="V3977" s="87"/>
      <c r="AU3977" s="10"/>
    </row>
    <row r="3978" spans="1:47">
      <c r="A3978" t="str">
        <f t="shared" si="874"/>
        <v>PA_Alleg_2019g~Gen-school director north allegheny (vote for 5)</v>
      </c>
      <c r="B3978" s="55" t="s">
        <v>1528</v>
      </c>
      <c r="C3978">
        <v>200</v>
      </c>
      <c r="D3978" s="55" t="s">
        <v>223</v>
      </c>
      <c r="E3978" s="55" t="s">
        <v>15</v>
      </c>
      <c r="G3978" s="62">
        <v>68</v>
      </c>
      <c r="H3978">
        <v>0.12</v>
      </c>
      <c r="I3978">
        <v>41741</v>
      </c>
      <c r="J3978">
        <v>0</v>
      </c>
      <c r="K3978">
        <v>37</v>
      </c>
      <c r="L3978">
        <v>37</v>
      </c>
      <c r="M3978">
        <v>0</v>
      </c>
      <c r="N3978" s="23">
        <v>0</v>
      </c>
      <c r="O3978">
        <f t="shared" si="875"/>
        <v>-8</v>
      </c>
      <c r="P3978" s="57">
        <f t="shared" si="876"/>
        <v>5</v>
      </c>
      <c r="Q3978" s="267">
        <f t="shared" si="877"/>
        <v>68</v>
      </c>
      <c r="R3978" s="23">
        <f t="shared" si="878"/>
        <v>1</v>
      </c>
      <c r="S3978" s="23">
        <f t="shared" si="879"/>
        <v>0</v>
      </c>
      <c r="T3978" s="23" t="str">
        <f t="shared" si="880"/>
        <v/>
      </c>
      <c r="U3978" t="str">
        <f t="shared" si="881"/>
        <v/>
      </c>
      <c r="V3978" s="87"/>
      <c r="AU3978" s="10"/>
    </row>
    <row r="3979" spans="1:47">
      <c r="A3979" t="str">
        <f t="shared" si="874"/>
        <v>PA_Alleg_2019g~Gen-school director north hills (vote for 5)</v>
      </c>
      <c r="B3979" s="55" t="s">
        <v>1528</v>
      </c>
      <c r="C3979">
        <v>204</v>
      </c>
      <c r="D3979" s="55" t="s">
        <v>232</v>
      </c>
      <c r="E3979" s="55" t="s">
        <v>234</v>
      </c>
      <c r="F3979" t="s">
        <v>1396</v>
      </c>
      <c r="G3979" s="62">
        <v>5818</v>
      </c>
      <c r="H3979">
        <v>14.16</v>
      </c>
      <c r="I3979">
        <v>29638</v>
      </c>
      <c r="J3979">
        <v>0</v>
      </c>
      <c r="K3979">
        <v>40</v>
      </c>
      <c r="L3979">
        <v>40</v>
      </c>
      <c r="M3979">
        <v>0</v>
      </c>
      <c r="N3979" s="23">
        <v>0</v>
      </c>
      <c r="O3979">
        <f t="shared" si="875"/>
        <v>1</v>
      </c>
      <c r="P3979" s="57">
        <f t="shared" si="876"/>
        <v>5</v>
      </c>
      <c r="Q3979" s="267">
        <f t="shared" si="877"/>
        <v>8217.6</v>
      </c>
      <c r="R3979" s="23">
        <f t="shared" si="878"/>
        <v>4738</v>
      </c>
      <c r="S3979" s="23">
        <f t="shared" si="879"/>
        <v>4056</v>
      </c>
      <c r="T3979" s="23">
        <f t="shared" si="880"/>
        <v>682</v>
      </c>
      <c r="U3979" t="str">
        <f t="shared" si="881"/>
        <v>PA_Alleg_2019g~Gen-school director north hills (vote for 5)</v>
      </c>
      <c r="V3979" s="87"/>
      <c r="AU3979" s="10"/>
    </row>
    <row r="3980" spans="1:47">
      <c r="A3980" t="str">
        <f t="shared" si="874"/>
        <v>PA_Alleg_2019g~Gen-school director north hills (vote for 5)</v>
      </c>
      <c r="B3980" s="55" t="s">
        <v>1528</v>
      </c>
      <c r="C3980">
        <v>201</v>
      </c>
      <c r="D3980" s="55" t="s">
        <v>232</v>
      </c>
      <c r="E3980" s="55" t="s">
        <v>237</v>
      </c>
      <c r="F3980" t="s">
        <v>1294</v>
      </c>
      <c r="G3980" s="62">
        <v>5253</v>
      </c>
      <c r="H3980">
        <v>12.78</v>
      </c>
      <c r="I3980">
        <v>29638</v>
      </c>
      <c r="J3980">
        <v>0</v>
      </c>
      <c r="K3980">
        <v>40</v>
      </c>
      <c r="L3980">
        <v>40</v>
      </c>
      <c r="M3980">
        <v>0</v>
      </c>
      <c r="N3980" s="23">
        <v>0</v>
      </c>
      <c r="O3980">
        <f t="shared" si="875"/>
        <v>2</v>
      </c>
      <c r="P3980" s="57">
        <f t="shared" si="876"/>
        <v>5</v>
      </c>
      <c r="Q3980" s="267">
        <f t="shared" si="877"/>
        <v>35270</v>
      </c>
      <c r="R3980" s="23">
        <f t="shared" si="878"/>
        <v>4738</v>
      </c>
      <c r="S3980" s="23">
        <f t="shared" si="879"/>
        <v>4056</v>
      </c>
      <c r="T3980" s="23" t="str">
        <f t="shared" si="880"/>
        <v/>
      </c>
      <c r="U3980" t="str">
        <f t="shared" si="881"/>
        <v/>
      </c>
      <c r="V3980" s="87"/>
      <c r="AU3980" s="10"/>
    </row>
    <row r="3981" spans="1:47">
      <c r="A3981" t="str">
        <f t="shared" si="874"/>
        <v>PA_Alleg_2019g~Gen-school director north hills (vote for 5)</v>
      </c>
      <c r="B3981" s="55" t="s">
        <v>1528</v>
      </c>
      <c r="C3981">
        <v>205</v>
      </c>
      <c r="D3981" s="55" t="s">
        <v>232</v>
      </c>
      <c r="E3981" s="55" t="s">
        <v>233</v>
      </c>
      <c r="F3981" t="s">
        <v>1294</v>
      </c>
      <c r="G3981" s="62">
        <v>5033</v>
      </c>
      <c r="H3981">
        <v>12.25</v>
      </c>
      <c r="I3981">
        <v>29638</v>
      </c>
      <c r="J3981">
        <v>0</v>
      </c>
      <c r="K3981">
        <v>40</v>
      </c>
      <c r="L3981">
        <v>40</v>
      </c>
      <c r="M3981">
        <v>0</v>
      </c>
      <c r="N3981" s="23">
        <v>0</v>
      </c>
      <c r="O3981">
        <f t="shared" si="875"/>
        <v>3</v>
      </c>
      <c r="P3981" s="57">
        <f t="shared" si="876"/>
        <v>5</v>
      </c>
      <c r="Q3981" s="267">
        <f t="shared" si="877"/>
        <v>30017</v>
      </c>
      <c r="R3981" s="23">
        <f t="shared" si="878"/>
        <v>4738</v>
      </c>
      <c r="S3981" s="23">
        <f t="shared" si="879"/>
        <v>4056</v>
      </c>
      <c r="T3981" s="23" t="str">
        <f t="shared" si="880"/>
        <v/>
      </c>
      <c r="U3981" t="str">
        <f t="shared" si="881"/>
        <v/>
      </c>
      <c r="V3981" s="87"/>
      <c r="AF3981" s="22"/>
      <c r="AU3981" s="10"/>
    </row>
    <row r="3982" spans="1:47">
      <c r="A3982" t="str">
        <f t="shared" si="874"/>
        <v>PA_Alleg_2019g~Gen-school director north hills (vote for 5)</v>
      </c>
      <c r="B3982" s="55" t="s">
        <v>1528</v>
      </c>
      <c r="C3982">
        <v>203</v>
      </c>
      <c r="D3982" s="55" t="s">
        <v>232</v>
      </c>
      <c r="E3982" s="55" t="s">
        <v>236</v>
      </c>
      <c r="F3982" t="s">
        <v>1294</v>
      </c>
      <c r="G3982" s="62">
        <v>4747</v>
      </c>
      <c r="H3982">
        <v>11.55</v>
      </c>
      <c r="I3982">
        <v>29638</v>
      </c>
      <c r="J3982">
        <v>0</v>
      </c>
      <c r="K3982">
        <v>40</v>
      </c>
      <c r="L3982">
        <v>40</v>
      </c>
      <c r="M3982">
        <v>0</v>
      </c>
      <c r="N3982" s="23">
        <v>0</v>
      </c>
      <c r="O3982">
        <f t="shared" si="875"/>
        <v>4</v>
      </c>
      <c r="P3982" s="57">
        <f t="shared" si="876"/>
        <v>5</v>
      </c>
      <c r="Q3982" s="267">
        <f t="shared" si="877"/>
        <v>24984</v>
      </c>
      <c r="R3982" s="23">
        <f t="shared" si="878"/>
        <v>4738</v>
      </c>
      <c r="S3982" s="23">
        <f t="shared" si="879"/>
        <v>4056</v>
      </c>
      <c r="T3982" s="23" t="str">
        <f t="shared" si="880"/>
        <v/>
      </c>
      <c r="U3982" t="str">
        <f t="shared" si="881"/>
        <v/>
      </c>
      <c r="V3982" s="87"/>
      <c r="AF3982" s="22"/>
      <c r="AU3982" s="10"/>
    </row>
    <row r="3983" spans="1:47">
      <c r="A3983" t="str">
        <f t="shared" si="874"/>
        <v>PA_Alleg_2019g~Gen-school director north hills (vote for 5)</v>
      </c>
      <c r="B3983" s="55" t="s">
        <v>1528</v>
      </c>
      <c r="C3983">
        <v>202</v>
      </c>
      <c r="D3983" s="55" t="s">
        <v>232</v>
      </c>
      <c r="E3983" s="55" t="s">
        <v>239</v>
      </c>
      <c r="F3983" t="s">
        <v>1294</v>
      </c>
      <c r="G3983" s="62">
        <v>4738</v>
      </c>
      <c r="H3983">
        <v>11.53</v>
      </c>
      <c r="I3983">
        <v>29638</v>
      </c>
      <c r="J3983">
        <v>0</v>
      </c>
      <c r="K3983">
        <v>40</v>
      </c>
      <c r="L3983">
        <v>40</v>
      </c>
      <c r="M3983">
        <v>0</v>
      </c>
      <c r="N3983" s="23">
        <v>0</v>
      </c>
      <c r="O3983">
        <f t="shared" si="875"/>
        <v>5</v>
      </c>
      <c r="P3983" s="57">
        <f t="shared" si="876"/>
        <v>5</v>
      </c>
      <c r="Q3983" s="267">
        <f t="shared" si="877"/>
        <v>20237</v>
      </c>
      <c r="R3983" s="23">
        <f t="shared" si="878"/>
        <v>4738</v>
      </c>
      <c r="S3983" s="23">
        <f t="shared" si="879"/>
        <v>4056</v>
      </c>
      <c r="T3983" s="23" t="str">
        <f t="shared" si="880"/>
        <v/>
      </c>
      <c r="U3983" t="str">
        <f t="shared" si="881"/>
        <v/>
      </c>
      <c r="V3983" s="87"/>
      <c r="AF3983" s="22"/>
      <c r="AU3983" s="10"/>
    </row>
    <row r="3984" spans="1:47">
      <c r="A3984" t="str">
        <f t="shared" si="874"/>
        <v>PA_Alleg_2019g~Gen-school director north hills (vote for 5)</v>
      </c>
      <c r="B3984" s="55" t="s">
        <v>1528</v>
      </c>
      <c r="C3984">
        <v>207</v>
      </c>
      <c r="D3984" s="55" t="s">
        <v>232</v>
      </c>
      <c r="E3984" s="55" t="s">
        <v>240</v>
      </c>
      <c r="F3984" t="s">
        <v>1296</v>
      </c>
      <c r="G3984" s="62">
        <v>4056</v>
      </c>
      <c r="H3984">
        <v>9.8699999999999992</v>
      </c>
      <c r="I3984">
        <v>29638</v>
      </c>
      <c r="J3984">
        <v>0</v>
      </c>
      <c r="K3984">
        <v>40</v>
      </c>
      <c r="L3984">
        <v>40</v>
      </c>
      <c r="M3984">
        <v>0</v>
      </c>
      <c r="N3984" s="23">
        <v>0</v>
      </c>
      <c r="O3984">
        <f t="shared" si="875"/>
        <v>6</v>
      </c>
      <c r="P3984" s="57">
        <f t="shared" si="876"/>
        <v>5</v>
      </c>
      <c r="Q3984" s="267">
        <f t="shared" si="877"/>
        <v>15499</v>
      </c>
      <c r="R3984" s="23" t="str">
        <f t="shared" si="878"/>
        <v/>
      </c>
      <c r="S3984" s="23">
        <f t="shared" si="879"/>
        <v>4056</v>
      </c>
      <c r="T3984" s="23" t="str">
        <f t="shared" si="880"/>
        <v/>
      </c>
      <c r="U3984" t="str">
        <f t="shared" si="881"/>
        <v/>
      </c>
      <c r="V3984" s="87"/>
      <c r="AF3984" s="22"/>
      <c r="AU3984" s="10"/>
    </row>
    <row r="3985" spans="1:47">
      <c r="A3985" t="str">
        <f t="shared" si="874"/>
        <v>PA_Alleg_2019g~Gen-school director north hills (vote for 5)</v>
      </c>
      <c r="B3985" s="55" t="s">
        <v>1528</v>
      </c>
      <c r="C3985">
        <v>206</v>
      </c>
      <c r="D3985" s="55" t="s">
        <v>232</v>
      </c>
      <c r="E3985" s="55" t="s">
        <v>235</v>
      </c>
      <c r="F3985" t="s">
        <v>1296</v>
      </c>
      <c r="G3985" s="62">
        <v>3868</v>
      </c>
      <c r="H3985">
        <v>9.41</v>
      </c>
      <c r="I3985">
        <v>29638</v>
      </c>
      <c r="J3985">
        <v>0</v>
      </c>
      <c r="K3985">
        <v>40</v>
      </c>
      <c r="L3985">
        <v>40</v>
      </c>
      <c r="M3985">
        <v>0</v>
      </c>
      <c r="N3985" s="23">
        <v>0</v>
      </c>
      <c r="O3985">
        <f t="shared" si="875"/>
        <v>7</v>
      </c>
      <c r="P3985" s="57">
        <f t="shared" si="876"/>
        <v>5</v>
      </c>
      <c r="Q3985" s="267">
        <f t="shared" si="877"/>
        <v>11443</v>
      </c>
      <c r="R3985" s="23" t="str">
        <f t="shared" si="878"/>
        <v/>
      </c>
      <c r="S3985" s="23">
        <f t="shared" si="879"/>
        <v>3868</v>
      </c>
      <c r="T3985" s="23" t="str">
        <f t="shared" si="880"/>
        <v/>
      </c>
      <c r="U3985" t="str">
        <f t="shared" si="881"/>
        <v/>
      </c>
      <c r="V3985" s="87"/>
      <c r="AF3985" s="22"/>
      <c r="AU3985" s="10"/>
    </row>
    <row r="3986" spans="1:47">
      <c r="A3986" t="str">
        <f t="shared" si="874"/>
        <v>PA_Alleg_2019g~Gen-school director north hills (vote for 5)</v>
      </c>
      <c r="B3986" s="55" t="s">
        <v>1528</v>
      </c>
      <c r="C3986">
        <v>209</v>
      </c>
      <c r="D3986" s="55" t="s">
        <v>232</v>
      </c>
      <c r="E3986" s="55" t="s">
        <v>241</v>
      </c>
      <c r="F3986" t="s">
        <v>1296</v>
      </c>
      <c r="G3986" s="62">
        <v>3835</v>
      </c>
      <c r="H3986">
        <v>9.33</v>
      </c>
      <c r="I3986">
        <v>29638</v>
      </c>
      <c r="J3986">
        <v>0</v>
      </c>
      <c r="K3986">
        <v>40</v>
      </c>
      <c r="L3986">
        <v>40</v>
      </c>
      <c r="M3986">
        <v>0</v>
      </c>
      <c r="N3986" s="23">
        <v>0</v>
      </c>
      <c r="O3986">
        <f t="shared" si="875"/>
        <v>8</v>
      </c>
      <c r="P3986" s="57">
        <f t="shared" si="876"/>
        <v>5</v>
      </c>
      <c r="Q3986" s="267">
        <f t="shared" si="877"/>
        <v>7575</v>
      </c>
      <c r="R3986" s="23" t="str">
        <f t="shared" si="878"/>
        <v/>
      </c>
      <c r="S3986" s="23">
        <f t="shared" si="879"/>
        <v>3835</v>
      </c>
      <c r="T3986" s="23" t="str">
        <f t="shared" si="880"/>
        <v/>
      </c>
      <c r="U3986" t="str">
        <f t="shared" si="881"/>
        <v/>
      </c>
      <c r="V3986" s="87"/>
      <c r="AF3986" s="22"/>
      <c r="AH3986" s="8"/>
      <c r="AU3986" s="10"/>
    </row>
    <row r="3987" spans="1:47">
      <c r="A3987" t="str">
        <f t="shared" si="874"/>
        <v>PA_Alleg_2019g~Gen-school director north hills (vote for 5)</v>
      </c>
      <c r="B3987" s="55" t="s">
        <v>1528</v>
      </c>
      <c r="C3987">
        <v>208</v>
      </c>
      <c r="D3987" s="55" t="s">
        <v>232</v>
      </c>
      <c r="E3987" s="55" t="s">
        <v>238</v>
      </c>
      <c r="F3987" t="s">
        <v>1296</v>
      </c>
      <c r="G3987" s="62">
        <v>3670</v>
      </c>
      <c r="H3987">
        <v>8.93</v>
      </c>
      <c r="I3987">
        <v>29638</v>
      </c>
      <c r="J3987">
        <v>0</v>
      </c>
      <c r="K3987">
        <v>40</v>
      </c>
      <c r="L3987">
        <v>40</v>
      </c>
      <c r="M3987">
        <v>0</v>
      </c>
      <c r="N3987" s="23">
        <v>0</v>
      </c>
      <c r="O3987">
        <f t="shared" si="875"/>
        <v>9</v>
      </c>
      <c r="P3987" s="57">
        <f t="shared" si="876"/>
        <v>5</v>
      </c>
      <c r="Q3987" s="267">
        <f t="shared" si="877"/>
        <v>3740</v>
      </c>
      <c r="R3987" s="23" t="str">
        <f t="shared" si="878"/>
        <v/>
      </c>
      <c r="S3987" s="23">
        <f t="shared" si="879"/>
        <v>3670</v>
      </c>
      <c r="T3987" s="23" t="str">
        <f t="shared" si="880"/>
        <v/>
      </c>
      <c r="U3987" t="str">
        <f t="shared" si="881"/>
        <v/>
      </c>
      <c r="V3987" s="87"/>
      <c r="AF3987" s="22"/>
      <c r="AU3987" s="10"/>
    </row>
    <row r="3988" spans="1:47">
      <c r="A3988" t="str">
        <f t="shared" si="874"/>
        <v>PA_Alleg_2019g~Gen-school director north hills (vote for 5)</v>
      </c>
      <c r="B3988" s="55" t="s">
        <v>1528</v>
      </c>
      <c r="C3988">
        <v>210</v>
      </c>
      <c r="D3988" s="55" t="s">
        <v>232</v>
      </c>
      <c r="E3988" s="55" t="s">
        <v>15</v>
      </c>
      <c r="G3988" s="62">
        <v>70</v>
      </c>
      <c r="H3988">
        <v>0.17</v>
      </c>
      <c r="I3988">
        <v>29638</v>
      </c>
      <c r="J3988">
        <v>0</v>
      </c>
      <c r="K3988">
        <v>40</v>
      </c>
      <c r="L3988">
        <v>40</v>
      </c>
      <c r="M3988">
        <v>0</v>
      </c>
      <c r="N3988" s="23">
        <v>0</v>
      </c>
      <c r="O3988">
        <f t="shared" si="875"/>
        <v>-9</v>
      </c>
      <c r="P3988" s="57">
        <f t="shared" si="876"/>
        <v>5</v>
      </c>
      <c r="Q3988" s="267">
        <f t="shared" si="877"/>
        <v>70</v>
      </c>
      <c r="R3988" s="23">
        <f t="shared" si="878"/>
        <v>1</v>
      </c>
      <c r="S3988" s="23">
        <f t="shared" si="879"/>
        <v>0</v>
      </c>
      <c r="T3988" s="23" t="str">
        <f t="shared" si="880"/>
        <v/>
      </c>
      <c r="U3988" t="str">
        <f t="shared" si="881"/>
        <v/>
      </c>
      <c r="V3988" s="87"/>
      <c r="AF3988" s="22"/>
      <c r="AU3988" s="10"/>
    </row>
    <row r="3989" spans="1:47">
      <c r="A3989" t="str">
        <f t="shared" si="874"/>
        <v>PA_Alleg_2019g~Gen-school director northgate (vote for 5)</v>
      </c>
      <c r="B3989" s="55" t="s">
        <v>1528</v>
      </c>
      <c r="C3989">
        <v>211</v>
      </c>
      <c r="D3989" s="55" t="s">
        <v>242</v>
      </c>
      <c r="E3989" s="55" t="s">
        <v>247</v>
      </c>
      <c r="F3989" t="s">
        <v>1396</v>
      </c>
      <c r="G3989" s="62">
        <v>1846</v>
      </c>
      <c r="H3989">
        <v>20.89</v>
      </c>
      <c r="I3989">
        <v>9983</v>
      </c>
      <c r="J3989">
        <v>0</v>
      </c>
      <c r="K3989">
        <v>12</v>
      </c>
      <c r="L3989">
        <v>12</v>
      </c>
      <c r="M3989">
        <v>0</v>
      </c>
      <c r="N3989" s="23">
        <v>0</v>
      </c>
      <c r="O3989">
        <f t="shared" si="875"/>
        <v>1</v>
      </c>
      <c r="P3989" s="57">
        <f t="shared" si="876"/>
        <v>5</v>
      </c>
      <c r="Q3989" s="267">
        <f t="shared" si="877"/>
        <v>1846</v>
      </c>
      <c r="R3989" s="23">
        <f t="shared" si="878"/>
        <v>1677</v>
      </c>
      <c r="S3989" s="23">
        <f t="shared" si="879"/>
        <v>0</v>
      </c>
      <c r="T3989" s="23" t="str">
        <f t="shared" si="880"/>
        <v/>
      </c>
      <c r="U3989" t="str">
        <f t="shared" si="881"/>
        <v>PA_Alleg_2019g~Gen-school director northgate (vote for 5)</v>
      </c>
      <c r="V3989" s="87"/>
      <c r="AF3989" s="22"/>
      <c r="AU3989" s="10"/>
    </row>
    <row r="3990" spans="1:47">
      <c r="A3990" t="str">
        <f t="shared" si="874"/>
        <v>PA_Alleg_2019g~Gen-school director northgate (vote for 5)</v>
      </c>
      <c r="B3990" s="55" t="s">
        <v>1528</v>
      </c>
      <c r="C3990">
        <v>212</v>
      </c>
      <c r="D3990" s="55" t="s">
        <v>242</v>
      </c>
      <c r="E3990" s="55" t="s">
        <v>245</v>
      </c>
      <c r="F3990" t="s">
        <v>1396</v>
      </c>
      <c r="G3990" s="62">
        <v>1757</v>
      </c>
      <c r="H3990">
        <v>19.89</v>
      </c>
      <c r="I3990">
        <v>9983</v>
      </c>
      <c r="J3990">
        <v>0</v>
      </c>
      <c r="K3990">
        <v>12</v>
      </c>
      <c r="L3990">
        <v>12</v>
      </c>
      <c r="M3990">
        <v>0</v>
      </c>
      <c r="N3990" s="23">
        <v>0</v>
      </c>
      <c r="O3990">
        <f t="shared" si="875"/>
        <v>2</v>
      </c>
      <c r="P3990" s="57">
        <f t="shared" si="876"/>
        <v>5</v>
      </c>
      <c r="Q3990" s="267">
        <f t="shared" si="877"/>
        <v>6989</v>
      </c>
      <c r="R3990" s="23">
        <f t="shared" si="878"/>
        <v>1677</v>
      </c>
      <c r="S3990" s="23">
        <f t="shared" si="879"/>
        <v>0</v>
      </c>
      <c r="T3990" s="23" t="str">
        <f t="shared" si="880"/>
        <v/>
      </c>
      <c r="U3990" t="str">
        <f t="shared" si="881"/>
        <v/>
      </c>
      <c r="V3990" s="87"/>
      <c r="AF3990" s="22"/>
      <c r="AU3990" s="10"/>
    </row>
    <row r="3991" spans="1:47">
      <c r="A3991" t="str">
        <f t="shared" si="874"/>
        <v>PA_Alleg_2019g~Gen-school director northgate (vote for 5)</v>
      </c>
      <c r="B3991" s="55" t="s">
        <v>1528</v>
      </c>
      <c r="C3991">
        <v>213</v>
      </c>
      <c r="D3991" s="55" t="s">
        <v>242</v>
      </c>
      <c r="E3991" s="55" t="s">
        <v>248</v>
      </c>
      <c r="F3991" t="s">
        <v>1396</v>
      </c>
      <c r="G3991" s="62">
        <v>1740</v>
      </c>
      <c r="H3991">
        <v>19.690000000000001</v>
      </c>
      <c r="I3991">
        <v>9983</v>
      </c>
      <c r="J3991">
        <v>0</v>
      </c>
      <c r="K3991">
        <v>12</v>
      </c>
      <c r="L3991">
        <v>12</v>
      </c>
      <c r="M3991">
        <v>0</v>
      </c>
      <c r="N3991" s="23">
        <v>0</v>
      </c>
      <c r="O3991">
        <f t="shared" si="875"/>
        <v>3</v>
      </c>
      <c r="P3991" s="57">
        <f t="shared" si="876"/>
        <v>5</v>
      </c>
      <c r="Q3991" s="267">
        <f t="shared" si="877"/>
        <v>5232</v>
      </c>
      <c r="R3991" s="23">
        <f t="shared" si="878"/>
        <v>1677</v>
      </c>
      <c r="S3991" s="23">
        <f t="shared" si="879"/>
        <v>0</v>
      </c>
      <c r="T3991" s="23" t="str">
        <f t="shared" si="880"/>
        <v/>
      </c>
      <c r="U3991" t="str">
        <f t="shared" si="881"/>
        <v/>
      </c>
      <c r="V3991" s="87"/>
      <c r="AF3991" s="22"/>
      <c r="AU3991" s="10"/>
    </row>
    <row r="3992" spans="1:47">
      <c r="A3992" t="str">
        <f t="shared" si="874"/>
        <v>PA_Alleg_2019g~Gen-school director northgate (vote for 5)</v>
      </c>
      <c r="B3992" s="55" t="s">
        <v>1528</v>
      </c>
      <c r="C3992">
        <v>215</v>
      </c>
      <c r="D3992" s="55" t="s">
        <v>242</v>
      </c>
      <c r="E3992" s="55" t="s">
        <v>244</v>
      </c>
      <c r="F3992" t="s">
        <v>1396</v>
      </c>
      <c r="G3992" s="62">
        <v>1737</v>
      </c>
      <c r="H3992">
        <v>19.66</v>
      </c>
      <c r="I3992">
        <v>9983</v>
      </c>
      <c r="J3992">
        <v>0</v>
      </c>
      <c r="K3992">
        <v>12</v>
      </c>
      <c r="L3992">
        <v>12</v>
      </c>
      <c r="M3992">
        <v>0</v>
      </c>
      <c r="N3992" s="23">
        <v>0</v>
      </c>
      <c r="O3992">
        <f t="shared" si="875"/>
        <v>4</v>
      </c>
      <c r="P3992" s="57">
        <f t="shared" si="876"/>
        <v>5</v>
      </c>
      <c r="Q3992" s="267">
        <f t="shared" si="877"/>
        <v>3492</v>
      </c>
      <c r="R3992" s="23">
        <f t="shared" si="878"/>
        <v>1677</v>
      </c>
      <c r="S3992" s="23">
        <f t="shared" si="879"/>
        <v>0</v>
      </c>
      <c r="T3992" s="23" t="str">
        <f t="shared" si="880"/>
        <v/>
      </c>
      <c r="U3992" t="str">
        <f t="shared" si="881"/>
        <v/>
      </c>
      <c r="V3992" s="87"/>
      <c r="AF3992" s="22"/>
      <c r="AU3992" s="10"/>
    </row>
    <row r="3993" spans="1:47">
      <c r="A3993" t="str">
        <f t="shared" si="874"/>
        <v>PA_Alleg_2019g~Gen-school director northgate (vote for 5)</v>
      </c>
      <c r="B3993" s="55" t="s">
        <v>1528</v>
      </c>
      <c r="C3993">
        <v>214</v>
      </c>
      <c r="D3993" s="55" t="s">
        <v>242</v>
      </c>
      <c r="E3993" s="55" t="s">
        <v>246</v>
      </c>
      <c r="F3993" t="s">
        <v>1294</v>
      </c>
      <c r="G3993" s="62">
        <v>1677</v>
      </c>
      <c r="H3993">
        <v>18.98</v>
      </c>
      <c r="I3993">
        <v>9983</v>
      </c>
      <c r="J3993">
        <v>0</v>
      </c>
      <c r="K3993">
        <v>12</v>
      </c>
      <c r="L3993">
        <v>12</v>
      </c>
      <c r="M3993">
        <v>0</v>
      </c>
      <c r="N3993" s="23">
        <v>0</v>
      </c>
      <c r="O3993">
        <f t="shared" si="875"/>
        <v>5</v>
      </c>
      <c r="P3993" s="57">
        <f t="shared" si="876"/>
        <v>5</v>
      </c>
      <c r="Q3993" s="267">
        <f t="shared" si="877"/>
        <v>1755</v>
      </c>
      <c r="R3993" s="23">
        <f t="shared" si="878"/>
        <v>1677</v>
      </c>
      <c r="S3993" s="23">
        <f t="shared" si="879"/>
        <v>0</v>
      </c>
      <c r="T3993" s="23" t="str">
        <f t="shared" si="880"/>
        <v/>
      </c>
      <c r="U3993" t="str">
        <f t="shared" si="881"/>
        <v/>
      </c>
      <c r="V3993" s="87"/>
      <c r="AF3993" s="22"/>
      <c r="AU3993" s="10"/>
    </row>
    <row r="3994" spans="1:47">
      <c r="A3994" t="str">
        <f t="shared" si="874"/>
        <v>PA_Alleg_2019g~Gen-school director northgate (vote for 5)</v>
      </c>
      <c r="B3994" s="55" t="s">
        <v>1528</v>
      </c>
      <c r="C3994">
        <v>216</v>
      </c>
      <c r="D3994" s="55" t="s">
        <v>242</v>
      </c>
      <c r="E3994" s="55" t="s">
        <v>15</v>
      </c>
      <c r="G3994" s="62">
        <v>78</v>
      </c>
      <c r="H3994">
        <v>0.88</v>
      </c>
      <c r="I3994">
        <v>9983</v>
      </c>
      <c r="J3994">
        <v>0</v>
      </c>
      <c r="K3994">
        <v>12</v>
      </c>
      <c r="L3994">
        <v>12</v>
      </c>
      <c r="M3994">
        <v>0</v>
      </c>
      <c r="N3994" s="23">
        <v>0</v>
      </c>
      <c r="O3994">
        <f t="shared" si="875"/>
        <v>-5</v>
      </c>
      <c r="P3994" s="57">
        <f t="shared" si="876"/>
        <v>5</v>
      </c>
      <c r="Q3994" s="267">
        <f t="shared" si="877"/>
        <v>78</v>
      </c>
      <c r="R3994" s="23">
        <f t="shared" si="878"/>
        <v>1</v>
      </c>
      <c r="S3994" s="23">
        <f t="shared" si="879"/>
        <v>0</v>
      </c>
      <c r="T3994" s="23" t="str">
        <f t="shared" si="880"/>
        <v/>
      </c>
      <c r="U3994" t="str">
        <f t="shared" si="881"/>
        <v/>
      </c>
      <c r="V3994" s="87"/>
      <c r="AF3994" s="22"/>
      <c r="AU3994" s="10"/>
    </row>
    <row r="3995" spans="1:47">
      <c r="A3995" t="str">
        <f t="shared" si="874"/>
        <v>PA_Alleg_2019g~Gen-school director norwin (vote for 5)</v>
      </c>
      <c r="B3995" s="55" t="s">
        <v>1528</v>
      </c>
      <c r="C3995">
        <v>293</v>
      </c>
      <c r="D3995" s="55" t="s">
        <v>315</v>
      </c>
      <c r="E3995" s="55" t="s">
        <v>324</v>
      </c>
      <c r="F3995" t="s">
        <v>1396</v>
      </c>
      <c r="G3995" s="62">
        <v>5</v>
      </c>
      <c r="H3995">
        <v>20.83</v>
      </c>
      <c r="I3995">
        <v>1276</v>
      </c>
      <c r="J3995">
        <v>0</v>
      </c>
      <c r="K3995">
        <v>2</v>
      </c>
      <c r="L3995">
        <v>2</v>
      </c>
      <c r="M3995">
        <v>0</v>
      </c>
      <c r="N3995" s="23">
        <v>0</v>
      </c>
      <c r="O3995">
        <f t="shared" si="875"/>
        <v>1</v>
      </c>
      <c r="P3995" s="57">
        <f t="shared" si="876"/>
        <v>5</v>
      </c>
      <c r="Q3995" s="267">
        <f t="shared" si="877"/>
        <v>5</v>
      </c>
      <c r="R3995" s="23">
        <f t="shared" si="878"/>
        <v>3</v>
      </c>
      <c r="S3995" s="23">
        <f t="shared" si="879"/>
        <v>2</v>
      </c>
      <c r="T3995" s="23">
        <f t="shared" si="880"/>
        <v>1</v>
      </c>
      <c r="U3995" t="str">
        <f t="shared" si="881"/>
        <v>PA_Alleg_2019g~Gen-school director norwin (vote for 5)</v>
      </c>
      <c r="V3995" s="87"/>
      <c r="AF3995" s="22"/>
      <c r="AU3995" s="10"/>
    </row>
    <row r="3996" spans="1:47">
      <c r="A3996" t="str">
        <f t="shared" si="874"/>
        <v>PA_Alleg_2019g~Gen-school director norwin (vote for 5)</v>
      </c>
      <c r="B3996" s="55" t="s">
        <v>1528</v>
      </c>
      <c r="C3996">
        <v>291</v>
      </c>
      <c r="D3996" s="55" t="s">
        <v>315</v>
      </c>
      <c r="E3996" s="55" t="s">
        <v>316</v>
      </c>
      <c r="F3996" t="s">
        <v>1396</v>
      </c>
      <c r="G3996" s="62">
        <v>5</v>
      </c>
      <c r="H3996">
        <v>20.83</v>
      </c>
      <c r="I3996">
        <v>1276</v>
      </c>
      <c r="J3996">
        <v>0</v>
      </c>
      <c r="K3996">
        <v>2</v>
      </c>
      <c r="L3996">
        <v>2</v>
      </c>
      <c r="M3996">
        <v>0</v>
      </c>
      <c r="N3996" s="23">
        <v>0</v>
      </c>
      <c r="O3996">
        <f t="shared" si="875"/>
        <v>2</v>
      </c>
      <c r="P3996" s="57">
        <f t="shared" si="876"/>
        <v>5</v>
      </c>
      <c r="Q3996" s="267">
        <f t="shared" si="877"/>
        <v>19</v>
      </c>
      <c r="R3996" s="23">
        <f t="shared" si="878"/>
        <v>3</v>
      </c>
      <c r="S3996" s="23">
        <f t="shared" si="879"/>
        <v>2</v>
      </c>
      <c r="T3996" s="23" t="str">
        <f t="shared" si="880"/>
        <v/>
      </c>
      <c r="U3996" t="str">
        <f t="shared" si="881"/>
        <v/>
      </c>
      <c r="V3996" s="87"/>
      <c r="AF3996" s="22"/>
      <c r="AU3996" s="10"/>
    </row>
    <row r="3997" spans="1:47">
      <c r="A3997" t="str">
        <f t="shared" si="874"/>
        <v>PA_Alleg_2019g~Gen-school director norwin (vote for 5)</v>
      </c>
      <c r="B3997" s="55" t="s">
        <v>1528</v>
      </c>
      <c r="C3997">
        <v>294</v>
      </c>
      <c r="D3997" s="55" t="s">
        <v>315</v>
      </c>
      <c r="E3997" s="55" t="s">
        <v>318</v>
      </c>
      <c r="F3997" t="s">
        <v>1396</v>
      </c>
      <c r="G3997" s="62">
        <v>4</v>
      </c>
      <c r="H3997">
        <v>16.670000000000002</v>
      </c>
      <c r="I3997">
        <v>1276</v>
      </c>
      <c r="J3997">
        <v>0</v>
      </c>
      <c r="K3997">
        <v>2</v>
      </c>
      <c r="L3997">
        <v>2</v>
      </c>
      <c r="M3997">
        <v>0</v>
      </c>
      <c r="N3997" s="23">
        <v>0</v>
      </c>
      <c r="O3997">
        <f t="shared" si="875"/>
        <v>3</v>
      </c>
      <c r="P3997" s="57">
        <f t="shared" si="876"/>
        <v>5</v>
      </c>
      <c r="Q3997" s="267">
        <f t="shared" si="877"/>
        <v>14</v>
      </c>
      <c r="R3997" s="23">
        <f t="shared" si="878"/>
        <v>3</v>
      </c>
      <c r="S3997" s="23">
        <f t="shared" si="879"/>
        <v>2</v>
      </c>
      <c r="T3997" s="23" t="str">
        <f t="shared" si="880"/>
        <v/>
      </c>
      <c r="U3997" t="str">
        <f t="shared" si="881"/>
        <v/>
      </c>
      <c r="V3997" s="87"/>
      <c r="AF3997" s="312"/>
      <c r="AU3997" s="10"/>
    </row>
    <row r="3998" spans="1:47">
      <c r="A3998" t="str">
        <f t="shared" si="874"/>
        <v>PA_Alleg_2019g~Gen-school director norwin (vote for 5)</v>
      </c>
      <c r="B3998" s="55" t="s">
        <v>1528</v>
      </c>
      <c r="C3998">
        <v>297</v>
      </c>
      <c r="D3998" s="55" t="s">
        <v>315</v>
      </c>
      <c r="E3998" s="55" t="s">
        <v>320</v>
      </c>
      <c r="F3998" t="s">
        <v>1296</v>
      </c>
      <c r="G3998" s="62">
        <v>3</v>
      </c>
      <c r="H3998">
        <v>12.5</v>
      </c>
      <c r="I3998">
        <v>1276</v>
      </c>
      <c r="J3998">
        <v>0</v>
      </c>
      <c r="K3998">
        <v>2</v>
      </c>
      <c r="L3998">
        <v>2</v>
      </c>
      <c r="M3998">
        <v>0</v>
      </c>
      <c r="N3998" s="23">
        <v>0</v>
      </c>
      <c r="O3998">
        <f t="shared" si="875"/>
        <v>4</v>
      </c>
      <c r="P3998" s="57">
        <f t="shared" si="876"/>
        <v>5</v>
      </c>
      <c r="Q3998" s="267">
        <f t="shared" si="877"/>
        <v>10</v>
      </c>
      <c r="R3998" s="23">
        <f t="shared" si="878"/>
        <v>3</v>
      </c>
      <c r="S3998" s="23">
        <f t="shared" si="879"/>
        <v>2</v>
      </c>
      <c r="T3998" s="23" t="str">
        <f t="shared" si="880"/>
        <v/>
      </c>
      <c r="U3998" t="str">
        <f t="shared" si="881"/>
        <v/>
      </c>
      <c r="V3998" s="87"/>
      <c r="AF3998" s="22"/>
      <c r="AU3998" s="10"/>
    </row>
    <row r="3999" spans="1:47">
      <c r="A3999" t="str">
        <f t="shared" si="874"/>
        <v>PA_Alleg_2019g~Gen-school director norwin (vote for 5)</v>
      </c>
      <c r="B3999" s="55" t="s">
        <v>1528</v>
      </c>
      <c r="C3999">
        <v>295</v>
      </c>
      <c r="D3999" s="55" t="s">
        <v>315</v>
      </c>
      <c r="E3999" s="55" t="s">
        <v>321</v>
      </c>
      <c r="F3999" t="s">
        <v>1294</v>
      </c>
      <c r="G3999" s="62">
        <v>3</v>
      </c>
      <c r="H3999">
        <v>12.5</v>
      </c>
      <c r="I3999">
        <v>1276</v>
      </c>
      <c r="J3999">
        <v>0</v>
      </c>
      <c r="K3999">
        <v>2</v>
      </c>
      <c r="L3999">
        <v>2</v>
      </c>
      <c r="M3999">
        <v>0</v>
      </c>
      <c r="N3999" s="23">
        <v>0</v>
      </c>
      <c r="O3999">
        <f t="shared" si="875"/>
        <v>5</v>
      </c>
      <c r="P3999" s="57">
        <f t="shared" si="876"/>
        <v>5</v>
      </c>
      <c r="Q3999" s="267">
        <f t="shared" si="877"/>
        <v>7</v>
      </c>
      <c r="R3999" s="23">
        <f t="shared" si="878"/>
        <v>3</v>
      </c>
      <c r="S3999" s="23">
        <f t="shared" si="879"/>
        <v>2</v>
      </c>
      <c r="T3999" s="23" t="str">
        <f t="shared" si="880"/>
        <v/>
      </c>
      <c r="U3999" t="str">
        <f t="shared" si="881"/>
        <v/>
      </c>
      <c r="V3999" s="87"/>
      <c r="AF3999" s="307"/>
      <c r="AU3999" s="10"/>
    </row>
    <row r="4000" spans="1:47">
      <c r="A4000" t="str">
        <f t="shared" si="874"/>
        <v>PA_Alleg_2019g~Gen-school director norwin (vote for 5)</v>
      </c>
      <c r="B4000" s="55" t="s">
        <v>1528</v>
      </c>
      <c r="C4000">
        <v>292</v>
      </c>
      <c r="D4000" s="55" t="s">
        <v>315</v>
      </c>
      <c r="E4000" s="55" t="s">
        <v>319</v>
      </c>
      <c r="F4000" t="s">
        <v>1294</v>
      </c>
      <c r="G4000" s="62">
        <v>2</v>
      </c>
      <c r="H4000">
        <v>8.33</v>
      </c>
      <c r="I4000">
        <v>1276</v>
      </c>
      <c r="J4000">
        <v>0</v>
      </c>
      <c r="K4000">
        <v>2</v>
      </c>
      <c r="L4000">
        <v>2</v>
      </c>
      <c r="M4000">
        <v>0</v>
      </c>
      <c r="N4000" s="23">
        <v>0</v>
      </c>
      <c r="O4000">
        <f t="shared" si="875"/>
        <v>6</v>
      </c>
      <c r="P4000" s="57">
        <f t="shared" si="876"/>
        <v>5</v>
      </c>
      <c r="Q4000" s="267">
        <f t="shared" si="877"/>
        <v>4</v>
      </c>
      <c r="R4000" s="23" t="str">
        <f t="shared" si="878"/>
        <v/>
      </c>
      <c r="S4000" s="23">
        <f t="shared" si="879"/>
        <v>2</v>
      </c>
      <c r="T4000" s="23" t="str">
        <f t="shared" si="880"/>
        <v/>
      </c>
      <c r="U4000" t="str">
        <f t="shared" si="881"/>
        <v/>
      </c>
      <c r="V4000" s="87"/>
      <c r="AF4000" s="22"/>
      <c r="AU4000" s="10"/>
    </row>
    <row r="4001" spans="1:47">
      <c r="A4001" t="str">
        <f t="shared" si="874"/>
        <v>PA_Alleg_2019g~Gen-school director norwin (vote for 5)</v>
      </c>
      <c r="B4001" s="55" t="s">
        <v>1528</v>
      </c>
      <c r="C4001">
        <v>296</v>
      </c>
      <c r="D4001" s="55" t="s">
        <v>315</v>
      </c>
      <c r="E4001" s="55" t="s">
        <v>323</v>
      </c>
      <c r="F4001" t="s">
        <v>1296</v>
      </c>
      <c r="G4001" s="62">
        <v>2</v>
      </c>
      <c r="H4001">
        <v>8.33</v>
      </c>
      <c r="I4001">
        <v>1276</v>
      </c>
      <c r="J4001">
        <v>0</v>
      </c>
      <c r="K4001">
        <v>2</v>
      </c>
      <c r="L4001">
        <v>2</v>
      </c>
      <c r="M4001">
        <v>0</v>
      </c>
      <c r="N4001" s="23">
        <v>0</v>
      </c>
      <c r="O4001">
        <f t="shared" si="875"/>
        <v>7</v>
      </c>
      <c r="P4001" s="57">
        <f t="shared" si="876"/>
        <v>5</v>
      </c>
      <c r="Q4001" s="267">
        <f t="shared" si="877"/>
        <v>2</v>
      </c>
      <c r="R4001" s="23" t="str">
        <f t="shared" si="878"/>
        <v/>
      </c>
      <c r="S4001" s="23">
        <f t="shared" si="879"/>
        <v>2</v>
      </c>
      <c r="T4001" s="23" t="str">
        <f t="shared" si="880"/>
        <v/>
      </c>
      <c r="U4001" t="str">
        <f t="shared" si="881"/>
        <v/>
      </c>
      <c r="V4001" s="87"/>
      <c r="AF4001" s="22"/>
      <c r="AG4001" s="23"/>
      <c r="AH4001" s="8"/>
      <c r="AU4001" s="10"/>
    </row>
    <row r="4002" spans="1:47">
      <c r="A4002" t="str">
        <f t="shared" si="874"/>
        <v>PA_Alleg_2019g~Gen-school director norwin (vote for 5)</v>
      </c>
      <c r="B4002" s="55" t="s">
        <v>1528</v>
      </c>
      <c r="C4002">
        <v>298</v>
      </c>
      <c r="D4002" s="55" t="s">
        <v>315</v>
      </c>
      <c r="E4002" s="55" t="s">
        <v>15</v>
      </c>
      <c r="G4002" s="62">
        <v>0</v>
      </c>
      <c r="H4002">
        <v>0</v>
      </c>
      <c r="I4002">
        <v>1276</v>
      </c>
      <c r="J4002">
        <v>0</v>
      </c>
      <c r="K4002">
        <v>2</v>
      </c>
      <c r="L4002">
        <v>2</v>
      </c>
      <c r="M4002">
        <v>0</v>
      </c>
      <c r="N4002" s="23">
        <v>0</v>
      </c>
      <c r="O4002">
        <f t="shared" si="875"/>
        <v>-7</v>
      </c>
      <c r="P4002" s="57">
        <f t="shared" si="876"/>
        <v>5</v>
      </c>
      <c r="Q4002" s="267">
        <f t="shared" si="877"/>
        <v>0</v>
      </c>
      <c r="R4002" s="23">
        <f t="shared" si="878"/>
        <v>1</v>
      </c>
      <c r="S4002" s="23">
        <f t="shared" si="879"/>
        <v>0</v>
      </c>
      <c r="T4002" s="23" t="str">
        <f t="shared" si="880"/>
        <v/>
      </c>
      <c r="U4002" t="str">
        <f t="shared" si="881"/>
        <v/>
      </c>
      <c r="V4002" s="87"/>
      <c r="AF4002" s="22"/>
      <c r="AH4002" s="8"/>
      <c r="AU4002" s="10"/>
    </row>
    <row r="4003" spans="1:47">
      <c r="A4003" t="str">
        <f t="shared" si="874"/>
        <v>PA_Alleg_2019g~Gen-school director penn hills (vote for 5)</v>
      </c>
      <c r="B4003" s="55" t="s">
        <v>1528</v>
      </c>
      <c r="C4003">
        <v>220</v>
      </c>
      <c r="D4003" s="55" t="s">
        <v>249</v>
      </c>
      <c r="E4003" s="55" t="s">
        <v>1425</v>
      </c>
      <c r="F4003" t="s">
        <v>1396</v>
      </c>
      <c r="G4003" s="62">
        <v>6357</v>
      </c>
      <c r="H4003">
        <v>18.100000000000001</v>
      </c>
      <c r="I4003">
        <v>32233</v>
      </c>
      <c r="J4003">
        <v>0</v>
      </c>
      <c r="K4003">
        <v>50</v>
      </c>
      <c r="L4003">
        <v>50</v>
      </c>
      <c r="M4003">
        <v>0</v>
      </c>
      <c r="N4003" s="23">
        <v>0</v>
      </c>
      <c r="O4003">
        <f t="shared" si="875"/>
        <v>1</v>
      </c>
      <c r="P4003" s="57">
        <f t="shared" si="876"/>
        <v>5</v>
      </c>
      <c r="Q4003" s="267">
        <f t="shared" si="877"/>
        <v>7023.8</v>
      </c>
      <c r="R4003" s="23">
        <f t="shared" si="878"/>
        <v>5508</v>
      </c>
      <c r="S4003" s="23">
        <f t="shared" si="879"/>
        <v>4503</v>
      </c>
      <c r="T4003" s="23">
        <f t="shared" si="880"/>
        <v>1005</v>
      </c>
      <c r="U4003" t="str">
        <f t="shared" si="881"/>
        <v>PA_Alleg_2019g~Gen-school director penn hills (vote for 5)</v>
      </c>
      <c r="V4003" s="87"/>
      <c r="AF4003" s="22"/>
      <c r="AU4003" s="10"/>
    </row>
    <row r="4004" spans="1:47">
      <c r="A4004" t="str">
        <f t="shared" si="874"/>
        <v>PA_Alleg_2019g~Gen-school director penn hills (vote for 5)</v>
      </c>
      <c r="B4004" s="55" t="s">
        <v>1528</v>
      </c>
      <c r="C4004">
        <v>219</v>
      </c>
      <c r="D4004" s="55" t="s">
        <v>249</v>
      </c>
      <c r="E4004" s="55" t="s">
        <v>1424</v>
      </c>
      <c r="F4004" t="s">
        <v>1396</v>
      </c>
      <c r="G4004" s="62">
        <v>6297</v>
      </c>
      <c r="H4004">
        <v>17.93</v>
      </c>
      <c r="I4004">
        <v>32233</v>
      </c>
      <c r="J4004">
        <v>0</v>
      </c>
      <c r="K4004">
        <v>50</v>
      </c>
      <c r="L4004">
        <v>50</v>
      </c>
      <c r="M4004">
        <v>0</v>
      </c>
      <c r="N4004" s="23">
        <v>0</v>
      </c>
      <c r="O4004">
        <f t="shared" si="875"/>
        <v>2</v>
      </c>
      <c r="P4004" s="57">
        <f t="shared" si="876"/>
        <v>5</v>
      </c>
      <c r="Q4004" s="267">
        <f t="shared" si="877"/>
        <v>28762</v>
      </c>
      <c r="R4004" s="23">
        <f t="shared" si="878"/>
        <v>5508</v>
      </c>
      <c r="S4004" s="23">
        <f t="shared" si="879"/>
        <v>4503</v>
      </c>
      <c r="T4004" s="23" t="str">
        <f t="shared" si="880"/>
        <v/>
      </c>
      <c r="U4004" t="str">
        <f t="shared" si="881"/>
        <v/>
      </c>
      <c r="V4004" s="87"/>
      <c r="AF4004" s="22"/>
      <c r="AU4004" s="10"/>
    </row>
    <row r="4005" spans="1:47">
      <c r="A4005" t="str">
        <f t="shared" si="874"/>
        <v>PA_Alleg_2019g~Gen-school director penn hills (vote for 5)</v>
      </c>
      <c r="B4005" s="55" t="s">
        <v>1528</v>
      </c>
      <c r="C4005">
        <v>218</v>
      </c>
      <c r="D4005" s="55" t="s">
        <v>249</v>
      </c>
      <c r="E4005" s="55" t="s">
        <v>251</v>
      </c>
      <c r="F4005" t="s">
        <v>1396</v>
      </c>
      <c r="G4005" s="62">
        <v>6174</v>
      </c>
      <c r="H4005">
        <v>17.579999999999998</v>
      </c>
      <c r="I4005">
        <v>32233</v>
      </c>
      <c r="J4005">
        <v>0</v>
      </c>
      <c r="K4005">
        <v>50</v>
      </c>
      <c r="L4005">
        <v>50</v>
      </c>
      <c r="M4005">
        <v>0</v>
      </c>
      <c r="N4005" s="23">
        <v>0</v>
      </c>
      <c r="O4005">
        <f t="shared" si="875"/>
        <v>3</v>
      </c>
      <c r="P4005" s="57">
        <f t="shared" si="876"/>
        <v>5</v>
      </c>
      <c r="Q4005" s="267">
        <f t="shared" si="877"/>
        <v>22465</v>
      </c>
      <c r="R4005" s="23">
        <f t="shared" si="878"/>
        <v>5508</v>
      </c>
      <c r="S4005" s="23">
        <f t="shared" si="879"/>
        <v>4503</v>
      </c>
      <c r="T4005" s="23" t="str">
        <f t="shared" si="880"/>
        <v/>
      </c>
      <c r="U4005" t="str">
        <f t="shared" si="881"/>
        <v/>
      </c>
      <c r="V4005" s="87"/>
      <c r="AF4005" s="300"/>
      <c r="AU4005" s="10"/>
    </row>
    <row r="4006" spans="1:47">
      <c r="A4006" t="str">
        <f t="shared" si="874"/>
        <v>PA_Alleg_2019g~Gen-school director penn hills (vote for 5)</v>
      </c>
      <c r="B4006" s="55" t="s">
        <v>1528</v>
      </c>
      <c r="C4006">
        <v>221</v>
      </c>
      <c r="D4006" s="55" t="s">
        <v>249</v>
      </c>
      <c r="E4006" s="55" t="s">
        <v>1426</v>
      </c>
      <c r="F4006" t="s">
        <v>1396</v>
      </c>
      <c r="G4006" s="62">
        <v>6151</v>
      </c>
      <c r="H4006">
        <v>17.510000000000002</v>
      </c>
      <c r="I4006">
        <v>32233</v>
      </c>
      <c r="J4006">
        <v>0</v>
      </c>
      <c r="K4006">
        <v>50</v>
      </c>
      <c r="L4006">
        <v>50</v>
      </c>
      <c r="M4006">
        <v>0</v>
      </c>
      <c r="N4006" s="23">
        <v>0</v>
      </c>
      <c r="O4006">
        <f t="shared" si="875"/>
        <v>4</v>
      </c>
      <c r="P4006" s="57">
        <f t="shared" si="876"/>
        <v>5</v>
      </c>
      <c r="Q4006" s="267">
        <f t="shared" si="877"/>
        <v>16291</v>
      </c>
      <c r="R4006" s="23">
        <f t="shared" si="878"/>
        <v>5508</v>
      </c>
      <c r="S4006" s="23">
        <f t="shared" si="879"/>
        <v>4503</v>
      </c>
      <c r="T4006" s="23" t="str">
        <f t="shared" si="880"/>
        <v/>
      </c>
      <c r="U4006" t="str">
        <f t="shared" si="881"/>
        <v/>
      </c>
      <c r="V4006" s="87"/>
      <c r="AF4006" s="312"/>
      <c r="AU4006" s="10"/>
    </row>
    <row r="4007" spans="1:47">
      <c r="A4007" t="str">
        <f t="shared" si="874"/>
        <v>PA_Alleg_2019g~Gen-school director penn hills (vote for 5)</v>
      </c>
      <c r="B4007" s="55" t="s">
        <v>1528</v>
      </c>
      <c r="C4007">
        <v>217</v>
      </c>
      <c r="D4007" s="55" t="s">
        <v>249</v>
      </c>
      <c r="E4007" s="55" t="s">
        <v>250</v>
      </c>
      <c r="F4007" t="s">
        <v>1396</v>
      </c>
      <c r="G4007" s="62">
        <v>5508</v>
      </c>
      <c r="H4007">
        <v>15.68</v>
      </c>
      <c r="I4007">
        <v>32233</v>
      </c>
      <c r="J4007">
        <v>0</v>
      </c>
      <c r="K4007">
        <v>50</v>
      </c>
      <c r="L4007">
        <v>50</v>
      </c>
      <c r="M4007">
        <v>0</v>
      </c>
      <c r="N4007" s="23">
        <v>0</v>
      </c>
      <c r="O4007">
        <f t="shared" si="875"/>
        <v>5</v>
      </c>
      <c r="P4007" s="57">
        <f t="shared" si="876"/>
        <v>5</v>
      </c>
      <c r="Q4007" s="267">
        <f t="shared" si="877"/>
        <v>10140</v>
      </c>
      <c r="R4007" s="23">
        <f t="shared" si="878"/>
        <v>5508</v>
      </c>
      <c r="S4007" s="23">
        <f t="shared" si="879"/>
        <v>4503</v>
      </c>
      <c r="T4007" s="23" t="str">
        <f t="shared" si="880"/>
        <v/>
      </c>
      <c r="U4007" t="str">
        <f t="shared" si="881"/>
        <v/>
      </c>
      <c r="V4007" s="87"/>
      <c r="AF4007" s="22"/>
      <c r="AU4007" s="10"/>
    </row>
    <row r="4008" spans="1:47">
      <c r="A4008" t="str">
        <f t="shared" si="874"/>
        <v>PA_Alleg_2019g~Gen-school director penn hills (vote for 5)</v>
      </c>
      <c r="B4008" s="55" t="s">
        <v>1528</v>
      </c>
      <c r="C4008">
        <v>222</v>
      </c>
      <c r="D4008" s="55" t="s">
        <v>249</v>
      </c>
      <c r="E4008" s="55" t="s">
        <v>1427</v>
      </c>
      <c r="F4008" t="s">
        <v>1399</v>
      </c>
      <c r="G4008" s="62">
        <v>4503</v>
      </c>
      <c r="H4008">
        <v>12.82</v>
      </c>
      <c r="I4008">
        <v>32233</v>
      </c>
      <c r="J4008">
        <v>0</v>
      </c>
      <c r="K4008">
        <v>50</v>
      </c>
      <c r="L4008">
        <v>50</v>
      </c>
      <c r="M4008">
        <v>0</v>
      </c>
      <c r="N4008" s="23">
        <v>0</v>
      </c>
      <c r="O4008">
        <f t="shared" si="875"/>
        <v>6</v>
      </c>
      <c r="P4008" s="57">
        <f t="shared" si="876"/>
        <v>5</v>
      </c>
      <c r="Q4008" s="267">
        <f t="shared" si="877"/>
        <v>4632</v>
      </c>
      <c r="R4008" s="23" t="str">
        <f t="shared" si="878"/>
        <v/>
      </c>
      <c r="S4008" s="23">
        <f t="shared" si="879"/>
        <v>4503</v>
      </c>
      <c r="T4008" s="23" t="str">
        <f t="shared" si="880"/>
        <v/>
      </c>
      <c r="U4008" t="str">
        <f t="shared" si="881"/>
        <v/>
      </c>
      <c r="V4008" s="87"/>
      <c r="AF4008" s="22"/>
      <c r="AU4008" s="10"/>
    </row>
    <row r="4009" spans="1:47">
      <c r="A4009" t="str">
        <f t="shared" si="874"/>
        <v>PA_Alleg_2019g~Gen-school director penn hills (vote for 5)</v>
      </c>
      <c r="B4009" s="55" t="s">
        <v>1528</v>
      </c>
      <c r="C4009">
        <v>223</v>
      </c>
      <c r="D4009" s="55" t="s">
        <v>249</v>
      </c>
      <c r="E4009" s="55" t="s">
        <v>15</v>
      </c>
      <c r="G4009" s="62">
        <v>129</v>
      </c>
      <c r="H4009">
        <v>0.37</v>
      </c>
      <c r="I4009">
        <v>32233</v>
      </c>
      <c r="J4009">
        <v>0</v>
      </c>
      <c r="K4009">
        <v>50</v>
      </c>
      <c r="L4009">
        <v>50</v>
      </c>
      <c r="M4009">
        <v>0</v>
      </c>
      <c r="N4009" s="23">
        <v>0</v>
      </c>
      <c r="O4009">
        <f t="shared" si="875"/>
        <v>-6</v>
      </c>
      <c r="P4009" s="57">
        <f t="shared" si="876"/>
        <v>5</v>
      </c>
      <c r="Q4009" s="267">
        <f t="shared" si="877"/>
        <v>129</v>
      </c>
      <c r="R4009" s="23">
        <f t="shared" si="878"/>
        <v>1</v>
      </c>
      <c r="S4009" s="23">
        <f t="shared" si="879"/>
        <v>0</v>
      </c>
      <c r="T4009" s="23" t="str">
        <f t="shared" si="880"/>
        <v/>
      </c>
      <c r="U4009" t="str">
        <f t="shared" si="881"/>
        <v/>
      </c>
      <c r="V4009" s="87"/>
      <c r="AF4009" s="22"/>
      <c r="AU4009" s="10"/>
    </row>
    <row r="4010" spans="1:47">
      <c r="A4010" t="str">
        <f t="shared" si="874"/>
        <v>PA_Alleg_2019g~Gen-school director penn -trafford (vote for 2)</v>
      </c>
      <c r="B4010" s="55" t="s">
        <v>1528</v>
      </c>
      <c r="C4010">
        <v>331</v>
      </c>
      <c r="D4010" s="55" t="s">
        <v>362</v>
      </c>
      <c r="E4010" s="55" t="s">
        <v>363</v>
      </c>
      <c r="F4010" t="s">
        <v>1396</v>
      </c>
      <c r="G4010" s="62">
        <v>11</v>
      </c>
      <c r="H4010">
        <v>52.38</v>
      </c>
      <c r="I4010">
        <v>59</v>
      </c>
      <c r="J4010">
        <v>0</v>
      </c>
      <c r="K4010">
        <v>1</v>
      </c>
      <c r="L4010">
        <v>1</v>
      </c>
      <c r="M4010">
        <v>0</v>
      </c>
      <c r="N4010" s="23">
        <v>0</v>
      </c>
      <c r="O4010">
        <f t="shared" si="875"/>
        <v>1</v>
      </c>
      <c r="P4010" s="57">
        <f t="shared" si="876"/>
        <v>2</v>
      </c>
      <c r="Q4010" s="267">
        <f t="shared" si="877"/>
        <v>11</v>
      </c>
      <c r="R4010" s="23">
        <f t="shared" si="878"/>
        <v>10</v>
      </c>
      <c r="S4010" s="23">
        <f t="shared" si="879"/>
        <v>0</v>
      </c>
      <c r="T4010" s="23" t="str">
        <f t="shared" si="880"/>
        <v/>
      </c>
      <c r="U4010" t="str">
        <f t="shared" si="881"/>
        <v>PA_Alleg_2019g~Gen-school director penn -trafford (vote for 2)</v>
      </c>
      <c r="V4010" s="87"/>
      <c r="AF4010" s="22"/>
      <c r="AU4010" s="10"/>
    </row>
    <row r="4011" spans="1:47">
      <c r="A4011" t="str">
        <f t="shared" si="874"/>
        <v>PA_Alleg_2019g~Gen-school director penn -trafford (vote for 2)</v>
      </c>
      <c r="B4011" s="55" t="s">
        <v>1528</v>
      </c>
      <c r="C4011">
        <v>332</v>
      </c>
      <c r="D4011" s="55" t="s">
        <v>362</v>
      </c>
      <c r="E4011" s="55" t="s">
        <v>364</v>
      </c>
      <c r="F4011" t="s">
        <v>1396</v>
      </c>
      <c r="G4011" s="62">
        <v>10</v>
      </c>
      <c r="H4011">
        <v>47.62</v>
      </c>
      <c r="I4011">
        <v>59</v>
      </c>
      <c r="J4011">
        <v>0</v>
      </c>
      <c r="K4011">
        <v>1</v>
      </c>
      <c r="L4011">
        <v>1</v>
      </c>
      <c r="M4011">
        <v>0</v>
      </c>
      <c r="N4011" s="23">
        <v>0</v>
      </c>
      <c r="O4011">
        <f t="shared" si="875"/>
        <v>2</v>
      </c>
      <c r="P4011" s="57">
        <f t="shared" si="876"/>
        <v>2</v>
      </c>
      <c r="Q4011" s="267">
        <f t="shared" si="877"/>
        <v>10</v>
      </c>
      <c r="R4011" s="23">
        <f t="shared" si="878"/>
        <v>10</v>
      </c>
      <c r="S4011" s="23">
        <f t="shared" si="879"/>
        <v>0</v>
      </c>
      <c r="T4011" s="23" t="str">
        <f t="shared" si="880"/>
        <v/>
      </c>
      <c r="U4011" t="str">
        <f t="shared" si="881"/>
        <v/>
      </c>
      <c r="V4011" s="87"/>
      <c r="AF4011" s="22"/>
      <c r="AU4011" s="10"/>
    </row>
    <row r="4012" spans="1:47">
      <c r="A4012" t="str">
        <f t="shared" si="874"/>
        <v>PA_Alleg_2019g~Gen-school director penn -trafford (vote for 2)</v>
      </c>
      <c r="B4012" s="55" t="s">
        <v>1528</v>
      </c>
      <c r="C4012">
        <v>333</v>
      </c>
      <c r="D4012" s="55" t="s">
        <v>362</v>
      </c>
      <c r="E4012" s="55" t="s">
        <v>15</v>
      </c>
      <c r="G4012" s="62">
        <v>0</v>
      </c>
      <c r="H4012">
        <v>0</v>
      </c>
      <c r="I4012">
        <v>59</v>
      </c>
      <c r="J4012">
        <v>0</v>
      </c>
      <c r="K4012">
        <v>1</v>
      </c>
      <c r="L4012">
        <v>1</v>
      </c>
      <c r="M4012">
        <v>0</v>
      </c>
      <c r="N4012" s="23">
        <v>0</v>
      </c>
      <c r="O4012">
        <f t="shared" si="875"/>
        <v>-2</v>
      </c>
      <c r="P4012" s="57">
        <f t="shared" si="876"/>
        <v>2</v>
      </c>
      <c r="Q4012" s="267">
        <f t="shared" si="877"/>
        <v>0</v>
      </c>
      <c r="R4012" s="23">
        <f t="shared" si="878"/>
        <v>1</v>
      </c>
      <c r="S4012" s="23">
        <f t="shared" si="879"/>
        <v>0</v>
      </c>
      <c r="T4012" s="23" t="str">
        <f t="shared" si="880"/>
        <v/>
      </c>
      <c r="U4012" t="str">
        <f t="shared" si="881"/>
        <v/>
      </c>
      <c r="V4012" s="87"/>
      <c r="AF4012" s="22"/>
      <c r="AU4012" s="10"/>
    </row>
    <row r="4013" spans="1:47">
      <c r="A4013" t="str">
        <f t="shared" si="874"/>
        <v>PA_Alleg_2019g~Gen-school director pine richland region 1 (vote for 2)</v>
      </c>
      <c r="B4013" s="55" t="s">
        <v>1528</v>
      </c>
      <c r="C4013">
        <v>328</v>
      </c>
      <c r="D4013" s="55" t="s">
        <v>360</v>
      </c>
      <c r="E4013" s="55" t="s">
        <v>361</v>
      </c>
      <c r="F4013" t="s">
        <v>1396</v>
      </c>
      <c r="G4013" s="62">
        <v>1062</v>
      </c>
      <c r="H4013">
        <v>51.18</v>
      </c>
      <c r="I4013">
        <v>7187</v>
      </c>
      <c r="J4013">
        <v>0</v>
      </c>
      <c r="K4013">
        <v>5</v>
      </c>
      <c r="L4013">
        <v>5</v>
      </c>
      <c r="M4013">
        <v>0</v>
      </c>
      <c r="N4013" s="23">
        <v>0</v>
      </c>
      <c r="O4013">
        <f t="shared" si="875"/>
        <v>1</v>
      </c>
      <c r="P4013" s="57">
        <f t="shared" si="876"/>
        <v>2</v>
      </c>
      <c r="Q4013" s="267">
        <f t="shared" si="877"/>
        <v>1062</v>
      </c>
      <c r="R4013" s="23">
        <f t="shared" si="878"/>
        <v>988</v>
      </c>
      <c r="S4013" s="23">
        <f t="shared" si="879"/>
        <v>0</v>
      </c>
      <c r="T4013" s="23" t="str">
        <f t="shared" si="880"/>
        <v/>
      </c>
      <c r="U4013" t="str">
        <f t="shared" si="881"/>
        <v>PA_Alleg_2019g~Gen-school director pine richland region 1 (vote for 2)</v>
      </c>
      <c r="V4013" s="87"/>
      <c r="AF4013" s="22"/>
      <c r="AU4013" s="10"/>
    </row>
    <row r="4014" spans="1:47">
      <c r="A4014" t="str">
        <f t="shared" si="874"/>
        <v>PA_Alleg_2019g~Gen-school director pine richland region 1 (vote for 2)</v>
      </c>
      <c r="B4014" s="55" t="s">
        <v>1528</v>
      </c>
      <c r="C4014">
        <v>329</v>
      </c>
      <c r="D4014" s="55" t="s">
        <v>360</v>
      </c>
      <c r="E4014" s="55" t="s">
        <v>1125</v>
      </c>
      <c r="F4014" t="s">
        <v>1296</v>
      </c>
      <c r="G4014" s="62">
        <v>988</v>
      </c>
      <c r="H4014">
        <v>47.61</v>
      </c>
      <c r="I4014">
        <v>7187</v>
      </c>
      <c r="J4014">
        <v>0</v>
      </c>
      <c r="K4014">
        <v>5</v>
      </c>
      <c r="L4014">
        <v>5</v>
      </c>
      <c r="M4014">
        <v>0</v>
      </c>
      <c r="N4014" s="23">
        <v>0</v>
      </c>
      <c r="O4014">
        <f t="shared" si="875"/>
        <v>2</v>
      </c>
      <c r="P4014" s="57">
        <f t="shared" si="876"/>
        <v>2</v>
      </c>
      <c r="Q4014" s="267">
        <f t="shared" si="877"/>
        <v>1013</v>
      </c>
      <c r="R4014" s="23">
        <f t="shared" si="878"/>
        <v>988</v>
      </c>
      <c r="S4014" s="23">
        <f t="shared" si="879"/>
        <v>0</v>
      </c>
      <c r="T4014" s="23" t="str">
        <f t="shared" si="880"/>
        <v/>
      </c>
      <c r="U4014" t="str">
        <f t="shared" si="881"/>
        <v/>
      </c>
      <c r="V4014" s="87"/>
      <c r="AF4014" s="22"/>
      <c r="AL4014" s="344"/>
      <c r="AU4014" s="10"/>
    </row>
    <row r="4015" spans="1:47">
      <c r="A4015" t="str">
        <f t="shared" si="874"/>
        <v>PA_Alleg_2019g~Gen-school director pine richland region 1 (vote for 2)</v>
      </c>
      <c r="B4015" s="55" t="s">
        <v>1528</v>
      </c>
      <c r="C4015">
        <v>330</v>
      </c>
      <c r="D4015" s="55" t="s">
        <v>360</v>
      </c>
      <c r="E4015" s="55" t="s">
        <v>15</v>
      </c>
      <c r="G4015" s="62">
        <v>25</v>
      </c>
      <c r="H4015">
        <v>1.2</v>
      </c>
      <c r="I4015">
        <v>7187</v>
      </c>
      <c r="J4015">
        <v>0</v>
      </c>
      <c r="K4015">
        <v>5</v>
      </c>
      <c r="L4015">
        <v>5</v>
      </c>
      <c r="M4015">
        <v>0</v>
      </c>
      <c r="N4015" s="23">
        <v>0</v>
      </c>
      <c r="O4015">
        <f t="shared" si="875"/>
        <v>-2</v>
      </c>
      <c r="P4015" s="57">
        <f t="shared" si="876"/>
        <v>2</v>
      </c>
      <c r="Q4015" s="267">
        <f t="shared" si="877"/>
        <v>25</v>
      </c>
      <c r="R4015" s="23">
        <f t="shared" si="878"/>
        <v>1</v>
      </c>
      <c r="S4015" s="23">
        <f t="shared" si="879"/>
        <v>0</v>
      </c>
      <c r="T4015" s="23" t="str">
        <f t="shared" si="880"/>
        <v/>
      </c>
      <c r="U4015" t="str">
        <f t="shared" si="881"/>
        <v/>
      </c>
      <c r="V4015" s="87"/>
      <c r="AF4015" s="22"/>
      <c r="AU4015" s="10"/>
    </row>
    <row r="4016" spans="1:47">
      <c r="A4016" t="str">
        <f t="shared" si="874"/>
        <v>PA_Alleg_2019g~Gen-school director pine richland region 2 (vote for 1)</v>
      </c>
      <c r="B4016" s="55" t="s">
        <v>1528</v>
      </c>
      <c r="C4016">
        <v>384</v>
      </c>
      <c r="D4016" s="55" t="s">
        <v>414</v>
      </c>
      <c r="E4016" s="55" t="s">
        <v>415</v>
      </c>
      <c r="F4016" t="s">
        <v>1396</v>
      </c>
      <c r="G4016" s="62">
        <v>1388</v>
      </c>
      <c r="H4016">
        <v>97.54</v>
      </c>
      <c r="I4016">
        <v>6248</v>
      </c>
      <c r="J4016">
        <v>0</v>
      </c>
      <c r="K4016">
        <v>6</v>
      </c>
      <c r="L4016">
        <v>6</v>
      </c>
      <c r="M4016">
        <v>0</v>
      </c>
      <c r="N4016" s="23">
        <v>0</v>
      </c>
      <c r="O4016">
        <f t="shared" si="875"/>
        <v>1</v>
      </c>
      <c r="P4016" s="57">
        <f t="shared" si="876"/>
        <v>1</v>
      </c>
      <c r="Q4016" s="267">
        <f t="shared" si="877"/>
        <v>1423</v>
      </c>
      <c r="R4016" s="23">
        <f t="shared" si="878"/>
        <v>1388</v>
      </c>
      <c r="S4016" s="23">
        <f t="shared" si="879"/>
        <v>0</v>
      </c>
      <c r="T4016" s="23" t="str">
        <f t="shared" si="880"/>
        <v/>
      </c>
      <c r="U4016" t="str">
        <f t="shared" si="881"/>
        <v>PA_Alleg_2019g~Gen-school director pine richland region 2 (vote for 1)</v>
      </c>
      <c r="V4016" s="87"/>
      <c r="AF4016" s="22"/>
      <c r="AG4016" s="23"/>
      <c r="AH4016" s="8"/>
      <c r="AL4016" s="23"/>
      <c r="AU4016" s="10"/>
    </row>
    <row r="4017" spans="1:47">
      <c r="A4017" t="str">
        <f t="shared" si="874"/>
        <v>PA_Alleg_2019g~Gen-school director pine richland region 2 (vote for 1)</v>
      </c>
      <c r="B4017" s="55" t="s">
        <v>1528</v>
      </c>
      <c r="C4017">
        <v>385</v>
      </c>
      <c r="D4017" s="55" t="s">
        <v>414</v>
      </c>
      <c r="E4017" s="55" t="s">
        <v>15</v>
      </c>
      <c r="G4017" s="62">
        <v>35</v>
      </c>
      <c r="H4017">
        <v>2.46</v>
      </c>
      <c r="I4017">
        <v>6248</v>
      </c>
      <c r="J4017">
        <v>0</v>
      </c>
      <c r="K4017">
        <v>6</v>
      </c>
      <c r="L4017">
        <v>6</v>
      </c>
      <c r="M4017">
        <v>0</v>
      </c>
      <c r="N4017" s="23">
        <v>0</v>
      </c>
      <c r="O4017">
        <f t="shared" si="875"/>
        <v>-1</v>
      </c>
      <c r="P4017" s="57">
        <f t="shared" si="876"/>
        <v>1</v>
      </c>
      <c r="Q4017" s="267">
        <f t="shared" si="877"/>
        <v>35</v>
      </c>
      <c r="R4017" s="23">
        <f t="shared" si="878"/>
        <v>1</v>
      </c>
      <c r="S4017" s="23">
        <f t="shared" si="879"/>
        <v>0</v>
      </c>
      <c r="T4017" s="23" t="str">
        <f t="shared" si="880"/>
        <v/>
      </c>
      <c r="U4017" t="str">
        <f t="shared" si="881"/>
        <v/>
      </c>
      <c r="V4017" s="87"/>
      <c r="AF4017" s="22"/>
      <c r="AU4017" s="10"/>
    </row>
    <row r="4018" spans="1:47">
      <c r="A4018" t="str">
        <f t="shared" si="874"/>
        <v>PA_Alleg_2019g~Gen-school director pine richland region 3 (vote for 1)</v>
      </c>
      <c r="B4018" s="55" t="s">
        <v>1528</v>
      </c>
      <c r="C4018">
        <v>423</v>
      </c>
      <c r="D4018" s="55" t="s">
        <v>451</v>
      </c>
      <c r="E4018" s="55" t="s">
        <v>432</v>
      </c>
      <c r="F4018" t="s">
        <v>1296</v>
      </c>
      <c r="G4018" s="62">
        <v>708</v>
      </c>
      <c r="H4018">
        <v>52.64</v>
      </c>
      <c r="I4018">
        <v>5619</v>
      </c>
      <c r="J4018">
        <v>0</v>
      </c>
      <c r="K4018">
        <v>5</v>
      </c>
      <c r="L4018">
        <v>5</v>
      </c>
      <c r="M4018">
        <v>0</v>
      </c>
      <c r="N4018" s="23">
        <v>0</v>
      </c>
      <c r="O4018">
        <f t="shared" si="875"/>
        <v>1</v>
      </c>
      <c r="P4018" s="57">
        <f t="shared" si="876"/>
        <v>1</v>
      </c>
      <c r="Q4018" s="267">
        <f t="shared" si="877"/>
        <v>1345</v>
      </c>
      <c r="R4018" s="23">
        <f t="shared" si="878"/>
        <v>708</v>
      </c>
      <c r="S4018" s="23">
        <f t="shared" si="879"/>
        <v>633</v>
      </c>
      <c r="T4018" s="23">
        <f t="shared" si="880"/>
        <v>75</v>
      </c>
      <c r="U4018" t="str">
        <f t="shared" si="881"/>
        <v>PA_Alleg_2019g~Gen-school director pine richland region 3 (vote for 1)</v>
      </c>
      <c r="V4018" s="87"/>
      <c r="AF4018" s="22"/>
      <c r="AU4018" s="10"/>
    </row>
    <row r="4019" spans="1:47">
      <c r="A4019" t="str">
        <f t="shared" si="874"/>
        <v>PA_Alleg_2019g~Gen-school director pine richland region 3 (vote for 1)</v>
      </c>
      <c r="B4019" s="55" t="s">
        <v>1528</v>
      </c>
      <c r="C4019">
        <v>422</v>
      </c>
      <c r="D4019" s="55" t="s">
        <v>451</v>
      </c>
      <c r="E4019" s="55" t="s">
        <v>431</v>
      </c>
      <c r="F4019" t="s">
        <v>1294</v>
      </c>
      <c r="G4019" s="62">
        <v>633</v>
      </c>
      <c r="H4019">
        <v>47.06</v>
      </c>
      <c r="I4019">
        <v>5619</v>
      </c>
      <c r="J4019">
        <v>0</v>
      </c>
      <c r="K4019">
        <v>5</v>
      </c>
      <c r="L4019">
        <v>5</v>
      </c>
      <c r="M4019">
        <v>0</v>
      </c>
      <c r="N4019" s="23">
        <v>0</v>
      </c>
      <c r="O4019">
        <f t="shared" si="875"/>
        <v>2</v>
      </c>
      <c r="P4019" s="57">
        <f t="shared" si="876"/>
        <v>1</v>
      </c>
      <c r="Q4019" s="267">
        <f t="shared" si="877"/>
        <v>637</v>
      </c>
      <c r="R4019" s="23" t="str">
        <f t="shared" si="878"/>
        <v/>
      </c>
      <c r="S4019" s="23">
        <f t="shared" si="879"/>
        <v>633</v>
      </c>
      <c r="T4019" s="23" t="str">
        <f t="shared" si="880"/>
        <v/>
      </c>
      <c r="U4019" t="str">
        <f t="shared" si="881"/>
        <v/>
      </c>
      <c r="V4019" s="87"/>
      <c r="AF4019" s="22"/>
      <c r="AU4019" s="10"/>
    </row>
    <row r="4020" spans="1:47">
      <c r="A4020" t="str">
        <f t="shared" si="874"/>
        <v>PA_Alleg_2019g~Gen-school director pine richland region 3 (vote for 1)</v>
      </c>
      <c r="B4020" s="55" t="s">
        <v>1528</v>
      </c>
      <c r="C4020">
        <v>424</v>
      </c>
      <c r="D4020" s="55" t="s">
        <v>451</v>
      </c>
      <c r="E4020" s="55" t="s">
        <v>15</v>
      </c>
      <c r="G4020" s="62">
        <v>4</v>
      </c>
      <c r="H4020">
        <v>0.3</v>
      </c>
      <c r="I4020">
        <v>5619</v>
      </c>
      <c r="J4020">
        <v>0</v>
      </c>
      <c r="K4020">
        <v>5</v>
      </c>
      <c r="L4020">
        <v>5</v>
      </c>
      <c r="M4020">
        <v>0</v>
      </c>
      <c r="N4020" s="23">
        <v>0</v>
      </c>
      <c r="O4020">
        <f t="shared" si="875"/>
        <v>-2</v>
      </c>
      <c r="P4020" s="57">
        <f t="shared" si="876"/>
        <v>1</v>
      </c>
      <c r="Q4020" s="267">
        <f t="shared" si="877"/>
        <v>4</v>
      </c>
      <c r="R4020" s="23">
        <f t="shared" si="878"/>
        <v>1</v>
      </c>
      <c r="S4020" s="23">
        <f t="shared" si="879"/>
        <v>0</v>
      </c>
      <c r="T4020" s="23" t="str">
        <f t="shared" si="880"/>
        <v/>
      </c>
      <c r="U4020" t="str">
        <f t="shared" si="881"/>
        <v/>
      </c>
      <c r="V4020" s="87"/>
      <c r="AF4020" s="22"/>
      <c r="AU4020" s="10"/>
    </row>
    <row r="4021" spans="1:47">
      <c r="A4021" t="str">
        <f t="shared" si="874"/>
        <v>PA_Alleg_2019g~Gen-school director pine richland region 3 (vote for 2)</v>
      </c>
      <c r="B4021" s="55" t="s">
        <v>1528</v>
      </c>
      <c r="C4021">
        <v>403</v>
      </c>
      <c r="D4021" s="55" t="s">
        <v>430</v>
      </c>
      <c r="E4021" s="55" t="s">
        <v>432</v>
      </c>
      <c r="F4021" t="s">
        <v>1396</v>
      </c>
      <c r="G4021" s="62">
        <v>1078</v>
      </c>
      <c r="H4021">
        <v>51.11</v>
      </c>
      <c r="I4021">
        <v>5619</v>
      </c>
      <c r="J4021">
        <v>0</v>
      </c>
      <c r="K4021">
        <v>5</v>
      </c>
      <c r="L4021">
        <v>5</v>
      </c>
      <c r="M4021">
        <v>0</v>
      </c>
      <c r="N4021" s="23">
        <v>0</v>
      </c>
      <c r="O4021">
        <f t="shared" si="875"/>
        <v>1</v>
      </c>
      <c r="P4021" s="57">
        <f t="shared" si="876"/>
        <v>2</v>
      </c>
      <c r="Q4021" s="267">
        <f t="shared" si="877"/>
        <v>1078</v>
      </c>
      <c r="R4021" s="23">
        <f t="shared" si="878"/>
        <v>1024</v>
      </c>
      <c r="S4021" s="23">
        <f t="shared" si="879"/>
        <v>0</v>
      </c>
      <c r="T4021" s="23" t="str">
        <f t="shared" si="880"/>
        <v/>
      </c>
      <c r="U4021" t="str">
        <f t="shared" si="881"/>
        <v>PA_Alleg_2019g~Gen-school director pine richland region 3 (vote for 2)</v>
      </c>
      <c r="V4021" s="87"/>
      <c r="AF4021" s="22"/>
      <c r="AU4021" s="10"/>
    </row>
    <row r="4022" spans="1:47">
      <c r="A4022" t="str">
        <f t="shared" si="874"/>
        <v>PA_Alleg_2019g~Gen-school director pine richland region 3 (vote for 2)</v>
      </c>
      <c r="B4022" s="55" t="s">
        <v>1528</v>
      </c>
      <c r="C4022">
        <v>402</v>
      </c>
      <c r="D4022" s="55" t="s">
        <v>430</v>
      </c>
      <c r="E4022" s="55" t="s">
        <v>431</v>
      </c>
      <c r="F4022" t="s">
        <v>1396</v>
      </c>
      <c r="G4022" s="62">
        <v>1024</v>
      </c>
      <c r="H4022">
        <v>48.55</v>
      </c>
      <c r="I4022">
        <v>5619</v>
      </c>
      <c r="J4022">
        <v>0</v>
      </c>
      <c r="K4022">
        <v>5</v>
      </c>
      <c r="L4022">
        <v>5</v>
      </c>
      <c r="M4022">
        <v>0</v>
      </c>
      <c r="N4022" s="23">
        <v>0</v>
      </c>
      <c r="O4022">
        <f t="shared" si="875"/>
        <v>2</v>
      </c>
      <c r="P4022" s="57">
        <f t="shared" si="876"/>
        <v>2</v>
      </c>
      <c r="Q4022" s="267">
        <f t="shared" si="877"/>
        <v>1031</v>
      </c>
      <c r="R4022" s="23">
        <f t="shared" si="878"/>
        <v>1024</v>
      </c>
      <c r="S4022" s="23">
        <f t="shared" si="879"/>
        <v>0</v>
      </c>
      <c r="T4022" s="23" t="str">
        <f t="shared" si="880"/>
        <v/>
      </c>
      <c r="U4022" t="str">
        <f t="shared" si="881"/>
        <v/>
      </c>
      <c r="V4022" s="87"/>
      <c r="AF4022" s="22"/>
      <c r="AG4022" s="23"/>
      <c r="AH4022" s="8"/>
      <c r="AU4022" s="10"/>
    </row>
    <row r="4023" spans="1:47">
      <c r="A4023" t="str">
        <f t="shared" si="874"/>
        <v>PA_Alleg_2019g~Gen-school director pine richland region 3 (vote for 2)</v>
      </c>
      <c r="B4023" s="55" t="s">
        <v>1528</v>
      </c>
      <c r="C4023">
        <v>404</v>
      </c>
      <c r="D4023" s="55" t="s">
        <v>430</v>
      </c>
      <c r="E4023" s="55" t="s">
        <v>15</v>
      </c>
      <c r="G4023" s="62">
        <v>7</v>
      </c>
      <c r="H4023">
        <v>0.33</v>
      </c>
      <c r="I4023">
        <v>5619</v>
      </c>
      <c r="J4023">
        <v>0</v>
      </c>
      <c r="K4023">
        <v>5</v>
      </c>
      <c r="L4023">
        <v>5</v>
      </c>
      <c r="M4023">
        <v>0</v>
      </c>
      <c r="N4023" s="23">
        <v>0</v>
      </c>
      <c r="O4023">
        <f t="shared" si="875"/>
        <v>-2</v>
      </c>
      <c r="P4023" s="57">
        <f t="shared" si="876"/>
        <v>2</v>
      </c>
      <c r="Q4023" s="267">
        <f t="shared" si="877"/>
        <v>7</v>
      </c>
      <c r="R4023" s="23">
        <f t="shared" si="878"/>
        <v>1</v>
      </c>
      <c r="S4023" s="23">
        <f t="shared" si="879"/>
        <v>0</v>
      </c>
      <c r="T4023" s="23" t="str">
        <f t="shared" si="880"/>
        <v/>
      </c>
      <c r="U4023" t="str">
        <f t="shared" si="881"/>
        <v/>
      </c>
      <c r="V4023" s="87"/>
      <c r="AF4023" s="22"/>
      <c r="AG4023" s="302"/>
      <c r="AH4023" s="301"/>
      <c r="AI4023" s="303"/>
      <c r="AJ4023" s="303"/>
      <c r="AK4023" s="342"/>
      <c r="AL4023" s="343"/>
      <c r="AU4023" s="10"/>
    </row>
    <row r="4024" spans="1:47">
      <c r="A4024" t="str">
        <f t="shared" ref="A4024:A4087" si="882">CONCATENATE(B4024,"~Gen-",LOWER(D4024))</f>
        <v>PA_Alleg_2019g~Gen-school director plum (vote for 1)</v>
      </c>
      <c r="B4024" s="55" t="s">
        <v>1528</v>
      </c>
      <c r="C4024">
        <v>315</v>
      </c>
      <c r="D4024" s="55" t="s">
        <v>345</v>
      </c>
      <c r="E4024" s="55" t="s">
        <v>347</v>
      </c>
      <c r="F4024" t="s">
        <v>1296</v>
      </c>
      <c r="G4024" s="62">
        <v>2816</v>
      </c>
      <c r="H4024">
        <v>48.75</v>
      </c>
      <c r="I4024">
        <v>19420</v>
      </c>
      <c r="J4024">
        <v>0</v>
      </c>
      <c r="K4024">
        <v>21</v>
      </c>
      <c r="L4024">
        <v>21</v>
      </c>
      <c r="M4024">
        <v>0</v>
      </c>
      <c r="N4024" s="23">
        <v>0</v>
      </c>
      <c r="O4024">
        <f t="shared" si="875"/>
        <v>1</v>
      </c>
      <c r="P4024" s="57">
        <f t="shared" si="876"/>
        <v>1</v>
      </c>
      <c r="Q4024" s="267">
        <f t="shared" si="877"/>
        <v>5776</v>
      </c>
      <c r="R4024" s="23">
        <f t="shared" si="878"/>
        <v>2816</v>
      </c>
      <c r="S4024" s="23">
        <f t="shared" si="879"/>
        <v>2783</v>
      </c>
      <c r="T4024" s="23">
        <f t="shared" si="880"/>
        <v>33</v>
      </c>
      <c r="U4024" t="str">
        <f t="shared" si="881"/>
        <v>PA_Alleg_2019g~Gen-school director plum (vote for 1)</v>
      </c>
      <c r="V4024" s="87"/>
      <c r="AF4024" s="22"/>
      <c r="AL4024" s="344"/>
      <c r="AU4024" s="10"/>
    </row>
    <row r="4025" spans="1:47">
      <c r="A4025" t="str">
        <f t="shared" si="882"/>
        <v>PA_Alleg_2019g~Gen-school director plum (vote for 1)</v>
      </c>
      <c r="B4025" s="55" t="s">
        <v>1528</v>
      </c>
      <c r="C4025">
        <v>314</v>
      </c>
      <c r="D4025" s="55" t="s">
        <v>345</v>
      </c>
      <c r="E4025" s="55" t="s">
        <v>346</v>
      </c>
      <c r="F4025" t="s">
        <v>1294</v>
      </c>
      <c r="G4025" s="62">
        <v>2783</v>
      </c>
      <c r="H4025">
        <v>48.18</v>
      </c>
      <c r="I4025">
        <v>19420</v>
      </c>
      <c r="J4025">
        <v>0</v>
      </c>
      <c r="K4025">
        <v>21</v>
      </c>
      <c r="L4025">
        <v>21</v>
      </c>
      <c r="M4025">
        <v>0</v>
      </c>
      <c r="N4025" s="23">
        <v>0</v>
      </c>
      <c r="O4025">
        <f t="shared" si="875"/>
        <v>2</v>
      </c>
      <c r="P4025" s="57">
        <f t="shared" si="876"/>
        <v>1</v>
      </c>
      <c r="Q4025" s="267">
        <f t="shared" si="877"/>
        <v>2960</v>
      </c>
      <c r="R4025" s="23" t="str">
        <f t="shared" si="878"/>
        <v/>
      </c>
      <c r="S4025" s="23">
        <f t="shared" si="879"/>
        <v>2783</v>
      </c>
      <c r="T4025" s="23" t="str">
        <f t="shared" si="880"/>
        <v/>
      </c>
      <c r="U4025" t="str">
        <f t="shared" si="881"/>
        <v/>
      </c>
      <c r="V4025" s="87"/>
      <c r="AF4025" s="22"/>
      <c r="AU4025" s="10"/>
    </row>
    <row r="4026" spans="1:47">
      <c r="A4026" t="str">
        <f t="shared" si="882"/>
        <v>PA_Alleg_2019g~Gen-school director plum (vote for 1)</v>
      </c>
      <c r="B4026" s="55" t="s">
        <v>1528</v>
      </c>
      <c r="C4026">
        <v>316</v>
      </c>
      <c r="D4026" s="55" t="s">
        <v>345</v>
      </c>
      <c r="E4026" s="55" t="s">
        <v>15</v>
      </c>
      <c r="G4026" s="62">
        <v>177</v>
      </c>
      <c r="H4026">
        <v>3.06</v>
      </c>
      <c r="I4026">
        <v>19420</v>
      </c>
      <c r="J4026">
        <v>0</v>
      </c>
      <c r="K4026">
        <v>21</v>
      </c>
      <c r="L4026">
        <v>21</v>
      </c>
      <c r="M4026">
        <v>0</v>
      </c>
      <c r="N4026" s="23">
        <v>0</v>
      </c>
      <c r="O4026">
        <f t="shared" si="875"/>
        <v>-2</v>
      </c>
      <c r="P4026" s="57">
        <f t="shared" si="876"/>
        <v>1</v>
      </c>
      <c r="Q4026" s="267">
        <f t="shared" si="877"/>
        <v>177</v>
      </c>
      <c r="R4026" s="23">
        <f t="shared" si="878"/>
        <v>1</v>
      </c>
      <c r="S4026" s="23">
        <f t="shared" si="879"/>
        <v>0</v>
      </c>
      <c r="T4026" s="23" t="str">
        <f t="shared" si="880"/>
        <v/>
      </c>
      <c r="U4026" t="str">
        <f t="shared" si="881"/>
        <v/>
      </c>
      <c r="V4026" s="87"/>
      <c r="AF4026" s="22"/>
      <c r="AG4026" s="23"/>
      <c r="AH4026" s="8"/>
      <c r="AL4026" s="344"/>
      <c r="AU4026" s="10"/>
    </row>
    <row r="4027" spans="1:47">
      <c r="A4027" t="str">
        <f t="shared" si="882"/>
        <v>PA_Alleg_2019g~Gen-school director plum (vote for 5)</v>
      </c>
      <c r="B4027" s="55" t="s">
        <v>1528</v>
      </c>
      <c r="C4027">
        <v>226</v>
      </c>
      <c r="D4027" s="55" t="s">
        <v>325</v>
      </c>
      <c r="E4027" s="55" t="s">
        <v>331</v>
      </c>
      <c r="F4027" t="s">
        <v>1294</v>
      </c>
      <c r="G4027" s="62">
        <v>3365</v>
      </c>
      <c r="H4027">
        <v>12.15</v>
      </c>
      <c r="I4027">
        <v>19420</v>
      </c>
      <c r="J4027">
        <v>0</v>
      </c>
      <c r="K4027">
        <v>21</v>
      </c>
      <c r="L4027">
        <v>21</v>
      </c>
      <c r="M4027">
        <v>0</v>
      </c>
      <c r="N4027" s="23">
        <v>0</v>
      </c>
      <c r="O4027">
        <f t="shared" si="875"/>
        <v>1</v>
      </c>
      <c r="P4027" s="57">
        <f t="shared" si="876"/>
        <v>5</v>
      </c>
      <c r="Q4027" s="267">
        <f t="shared" si="877"/>
        <v>5540.6</v>
      </c>
      <c r="R4027" s="23">
        <f t="shared" si="878"/>
        <v>2760</v>
      </c>
      <c r="S4027" s="23">
        <f t="shared" si="879"/>
        <v>2654</v>
      </c>
      <c r="T4027" s="23">
        <f t="shared" si="880"/>
        <v>106</v>
      </c>
      <c r="U4027" t="str">
        <f t="shared" si="881"/>
        <v>PA_Alleg_2019g~Gen-school director plum (vote for 5)</v>
      </c>
      <c r="V4027" s="87"/>
      <c r="AF4027" s="22"/>
      <c r="AU4027" s="10"/>
    </row>
    <row r="4028" spans="1:47">
      <c r="A4028" t="str">
        <f t="shared" si="882"/>
        <v>PA_Alleg_2019g~Gen-school director plum (vote for 5)</v>
      </c>
      <c r="B4028" s="55" t="s">
        <v>1528</v>
      </c>
      <c r="C4028">
        <v>225</v>
      </c>
      <c r="D4028" s="55" t="s">
        <v>325</v>
      </c>
      <c r="E4028" s="55" t="s">
        <v>330</v>
      </c>
      <c r="F4028" t="s">
        <v>1294</v>
      </c>
      <c r="G4028" s="62">
        <v>3110</v>
      </c>
      <c r="H4028">
        <v>11.23</v>
      </c>
      <c r="I4028">
        <v>19420</v>
      </c>
      <c r="J4028">
        <v>0</v>
      </c>
      <c r="K4028">
        <v>21</v>
      </c>
      <c r="L4028">
        <v>21</v>
      </c>
      <c r="M4028">
        <v>0</v>
      </c>
      <c r="N4028" s="23">
        <v>0</v>
      </c>
      <c r="O4028">
        <f t="shared" si="875"/>
        <v>2</v>
      </c>
      <c r="P4028" s="57">
        <f t="shared" si="876"/>
        <v>5</v>
      </c>
      <c r="Q4028" s="267">
        <f t="shared" si="877"/>
        <v>24338</v>
      </c>
      <c r="R4028" s="23">
        <f t="shared" si="878"/>
        <v>2760</v>
      </c>
      <c r="S4028" s="23">
        <f t="shared" si="879"/>
        <v>2654</v>
      </c>
      <c r="T4028" s="23" t="str">
        <f t="shared" si="880"/>
        <v/>
      </c>
      <c r="U4028" t="str">
        <f t="shared" si="881"/>
        <v/>
      </c>
      <c r="V4028" s="87"/>
      <c r="AF4028" s="22"/>
      <c r="AU4028" s="10"/>
    </row>
    <row r="4029" spans="1:47">
      <c r="A4029" t="str">
        <f t="shared" si="882"/>
        <v>PA_Alleg_2019g~Gen-school director plum (vote for 5)</v>
      </c>
      <c r="B4029" s="55" t="s">
        <v>1528</v>
      </c>
      <c r="C4029">
        <v>227</v>
      </c>
      <c r="D4029" s="55" t="s">
        <v>325</v>
      </c>
      <c r="E4029" s="55" t="s">
        <v>334</v>
      </c>
      <c r="F4029" t="s">
        <v>1294</v>
      </c>
      <c r="G4029" s="62">
        <v>2912</v>
      </c>
      <c r="H4029">
        <v>10.51</v>
      </c>
      <c r="I4029">
        <v>19420</v>
      </c>
      <c r="J4029">
        <v>0</v>
      </c>
      <c r="K4029">
        <v>21</v>
      </c>
      <c r="L4029">
        <v>21</v>
      </c>
      <c r="M4029">
        <v>0</v>
      </c>
      <c r="N4029" s="23">
        <v>0</v>
      </c>
      <c r="O4029">
        <f t="shared" si="875"/>
        <v>3</v>
      </c>
      <c r="P4029" s="57">
        <f t="shared" si="876"/>
        <v>5</v>
      </c>
      <c r="Q4029" s="267">
        <f t="shared" si="877"/>
        <v>21228</v>
      </c>
      <c r="R4029" s="23">
        <f t="shared" si="878"/>
        <v>2760</v>
      </c>
      <c r="S4029" s="23">
        <f t="shared" si="879"/>
        <v>2654</v>
      </c>
      <c r="T4029" s="23" t="str">
        <f t="shared" si="880"/>
        <v/>
      </c>
      <c r="U4029" t="str">
        <f t="shared" si="881"/>
        <v/>
      </c>
      <c r="V4029" s="87"/>
      <c r="AF4029" s="22"/>
      <c r="AU4029" s="10"/>
    </row>
    <row r="4030" spans="1:47">
      <c r="A4030" t="str">
        <f t="shared" si="882"/>
        <v>PA_Alleg_2019g~Gen-school director plum (vote for 5)</v>
      </c>
      <c r="B4030" s="55" t="s">
        <v>1528</v>
      </c>
      <c r="C4030">
        <v>224</v>
      </c>
      <c r="D4030" s="55" t="s">
        <v>325</v>
      </c>
      <c r="E4030" s="55" t="s">
        <v>328</v>
      </c>
      <c r="F4030" t="s">
        <v>1294</v>
      </c>
      <c r="G4030" s="62">
        <v>2817</v>
      </c>
      <c r="H4030">
        <v>10.17</v>
      </c>
      <c r="I4030">
        <v>19420</v>
      </c>
      <c r="J4030">
        <v>0</v>
      </c>
      <c r="K4030">
        <v>21</v>
      </c>
      <c r="L4030">
        <v>21</v>
      </c>
      <c r="M4030">
        <v>0</v>
      </c>
      <c r="N4030" s="23">
        <v>0</v>
      </c>
      <c r="O4030">
        <f t="shared" si="875"/>
        <v>4</v>
      </c>
      <c r="P4030" s="57">
        <f t="shared" si="876"/>
        <v>5</v>
      </c>
      <c r="Q4030" s="267">
        <f t="shared" si="877"/>
        <v>18316</v>
      </c>
      <c r="R4030" s="23">
        <f t="shared" si="878"/>
        <v>2760</v>
      </c>
      <c r="S4030" s="23">
        <f t="shared" si="879"/>
        <v>2654</v>
      </c>
      <c r="T4030" s="23" t="str">
        <f t="shared" si="880"/>
        <v/>
      </c>
      <c r="U4030" t="str">
        <f t="shared" si="881"/>
        <v/>
      </c>
      <c r="V4030" s="87"/>
      <c r="AF4030" s="22"/>
      <c r="AU4030" s="10"/>
    </row>
    <row r="4031" spans="1:47">
      <c r="A4031" t="str">
        <f t="shared" si="882"/>
        <v>PA_Alleg_2019g~Gen-school director plum (vote for 5)</v>
      </c>
      <c r="B4031" s="55" t="s">
        <v>1528</v>
      </c>
      <c r="C4031">
        <v>228</v>
      </c>
      <c r="D4031" s="55" t="s">
        <v>325</v>
      </c>
      <c r="E4031" s="55" t="s">
        <v>335</v>
      </c>
      <c r="F4031" t="s">
        <v>1294</v>
      </c>
      <c r="G4031" s="62">
        <v>2760</v>
      </c>
      <c r="H4031">
        <v>9.9600000000000009</v>
      </c>
      <c r="I4031">
        <v>19420</v>
      </c>
      <c r="J4031">
        <v>0</v>
      </c>
      <c r="K4031">
        <v>21</v>
      </c>
      <c r="L4031">
        <v>21</v>
      </c>
      <c r="M4031">
        <v>0</v>
      </c>
      <c r="N4031" s="23">
        <v>0</v>
      </c>
      <c r="O4031">
        <f t="shared" si="875"/>
        <v>5</v>
      </c>
      <c r="P4031" s="57">
        <f t="shared" si="876"/>
        <v>5</v>
      </c>
      <c r="Q4031" s="267">
        <f t="shared" si="877"/>
        <v>15499</v>
      </c>
      <c r="R4031" s="23">
        <f t="shared" si="878"/>
        <v>2760</v>
      </c>
      <c r="S4031" s="23">
        <f t="shared" si="879"/>
        <v>2654</v>
      </c>
      <c r="T4031" s="23" t="str">
        <f t="shared" si="880"/>
        <v/>
      </c>
      <c r="U4031" t="str">
        <f t="shared" si="881"/>
        <v/>
      </c>
      <c r="V4031" s="87"/>
      <c r="AF4031" s="22"/>
      <c r="AG4031" s="295"/>
      <c r="AH4031" s="294"/>
      <c r="AI4031" s="279"/>
      <c r="AJ4031" s="279"/>
      <c r="AL4031" s="341"/>
      <c r="AU4031" s="10"/>
    </row>
    <row r="4032" spans="1:47">
      <c r="A4032" t="str">
        <f t="shared" si="882"/>
        <v>PA_Alleg_2019g~Gen-school director plum (vote for 5)</v>
      </c>
      <c r="B4032" s="55" t="s">
        <v>1528</v>
      </c>
      <c r="C4032">
        <v>229</v>
      </c>
      <c r="D4032" s="55" t="s">
        <v>325</v>
      </c>
      <c r="E4032" s="55" t="s">
        <v>327</v>
      </c>
      <c r="F4032" t="s">
        <v>1296</v>
      </c>
      <c r="G4032" s="62">
        <v>2654</v>
      </c>
      <c r="H4032">
        <v>9.58</v>
      </c>
      <c r="I4032">
        <v>19420</v>
      </c>
      <c r="J4032">
        <v>0</v>
      </c>
      <c r="K4032">
        <v>21</v>
      </c>
      <c r="L4032">
        <v>21</v>
      </c>
      <c r="M4032">
        <v>0</v>
      </c>
      <c r="N4032" s="23">
        <v>0</v>
      </c>
      <c r="O4032">
        <f t="shared" si="875"/>
        <v>6</v>
      </c>
      <c r="P4032" s="57">
        <f t="shared" si="876"/>
        <v>5</v>
      </c>
      <c r="Q4032" s="267">
        <f t="shared" si="877"/>
        <v>12739</v>
      </c>
      <c r="R4032" s="23" t="str">
        <f t="shared" si="878"/>
        <v/>
      </c>
      <c r="S4032" s="23">
        <f t="shared" si="879"/>
        <v>2654</v>
      </c>
      <c r="T4032" s="23" t="str">
        <f t="shared" si="880"/>
        <v/>
      </c>
      <c r="U4032" t="str">
        <f t="shared" si="881"/>
        <v/>
      </c>
      <c r="V4032" s="87"/>
      <c r="AF4032" s="22"/>
      <c r="AU4032" s="10"/>
    </row>
    <row r="4033" spans="1:47">
      <c r="A4033" t="str">
        <f t="shared" si="882"/>
        <v>PA_Alleg_2019g~Gen-school director plum (vote for 5)</v>
      </c>
      <c r="B4033" s="55" t="s">
        <v>1528</v>
      </c>
      <c r="C4033">
        <v>230</v>
      </c>
      <c r="D4033" s="55" t="s">
        <v>325</v>
      </c>
      <c r="E4033" s="55" t="s">
        <v>326</v>
      </c>
      <c r="F4033" t="s">
        <v>1296</v>
      </c>
      <c r="G4033" s="62">
        <v>2637</v>
      </c>
      <c r="H4033">
        <v>9.52</v>
      </c>
      <c r="I4033">
        <v>19420</v>
      </c>
      <c r="J4033">
        <v>0</v>
      </c>
      <c r="K4033">
        <v>21</v>
      </c>
      <c r="L4033">
        <v>21</v>
      </c>
      <c r="M4033">
        <v>0</v>
      </c>
      <c r="N4033" s="23">
        <v>0</v>
      </c>
      <c r="O4033">
        <f t="shared" si="875"/>
        <v>7</v>
      </c>
      <c r="P4033" s="57">
        <f t="shared" si="876"/>
        <v>5</v>
      </c>
      <c r="Q4033" s="267">
        <f t="shared" si="877"/>
        <v>10085</v>
      </c>
      <c r="R4033" s="23" t="str">
        <f t="shared" si="878"/>
        <v/>
      </c>
      <c r="S4033" s="23">
        <f t="shared" si="879"/>
        <v>2637</v>
      </c>
      <c r="T4033" s="23" t="str">
        <f t="shared" si="880"/>
        <v/>
      </c>
      <c r="U4033" t="str">
        <f t="shared" si="881"/>
        <v/>
      </c>
      <c r="V4033" s="87"/>
      <c r="AF4033" s="22"/>
      <c r="AU4033" s="10"/>
    </row>
    <row r="4034" spans="1:47">
      <c r="A4034" t="str">
        <f t="shared" si="882"/>
        <v>PA_Alleg_2019g~Gen-school director plum (vote for 5)</v>
      </c>
      <c r="B4034" s="55" t="s">
        <v>1528</v>
      </c>
      <c r="C4034">
        <v>231</v>
      </c>
      <c r="D4034" s="55" t="s">
        <v>325</v>
      </c>
      <c r="E4034" s="55" t="s">
        <v>329</v>
      </c>
      <c r="F4034" t="s">
        <v>1296</v>
      </c>
      <c r="G4034" s="62">
        <v>2524</v>
      </c>
      <c r="H4034">
        <v>9.11</v>
      </c>
      <c r="I4034">
        <v>19420</v>
      </c>
      <c r="J4034">
        <v>0</v>
      </c>
      <c r="K4034">
        <v>21</v>
      </c>
      <c r="L4034">
        <v>21</v>
      </c>
      <c r="M4034">
        <v>0</v>
      </c>
      <c r="N4034" s="23">
        <v>0</v>
      </c>
      <c r="O4034">
        <f t="shared" ref="O4034:O4097" si="883">IF(OR(LOWER(LEFT(E4034,8))="write-in",LOWER(LEFT(E4034,8))="not qual"),IF(A4034=A4033,-ABS(O4033),0),IF(A4034=A4033,ABS(O4033)+1,1))</f>
        <v>8</v>
      </c>
      <c r="P4034" s="57">
        <f t="shared" ref="P4034:P4097" si="884">1*LEFT(RIGHT(A4034,2),1)</f>
        <v>5</v>
      </c>
      <c r="Q4034" s="267">
        <f t="shared" ref="Q4034:Q4097" si="885">IF(A4034&lt;&gt;A4035,G4034,IF(A4034=A4033,G4034+Q4035,MAX(G4034,(G4034+Q4035)/P4034)))</f>
        <v>7448</v>
      </c>
      <c r="R4034" s="23" t="str">
        <f t="shared" ref="R4034:R4097" si="886">IF(O4034&gt;P4034,"",IF(O4034=P4034,G4034,IF(A4034=A4035,R4035,IF(O4034&lt;=0,1,G4034))))</f>
        <v/>
      </c>
      <c r="S4034" s="23">
        <f t="shared" ref="S4034:S4097" si="887">IF(AND(O4034&gt;P4034,LOWER(LEFT(E4034,8))&lt;&gt;"write-in",LOWER(LEFT(E4034,8))&lt;&gt;"not qual"),G4034,IF(A4034=A4035,S4035,0))</f>
        <v>2524</v>
      </c>
      <c r="T4034" s="23" t="str">
        <f t="shared" ref="T4034:T4097" si="888">IF(OR(A4034=A4033,S4034=0),"",R4034-ABS(S4034))</f>
        <v/>
      </c>
      <c r="U4034" t="str">
        <f t="shared" ref="U4034:U4097" si="889">IF(A4034=A4033,"",A4034)</f>
        <v/>
      </c>
      <c r="V4034" s="87"/>
      <c r="AF4034" s="22"/>
      <c r="AU4034" s="10"/>
    </row>
    <row r="4035" spans="1:47">
      <c r="A4035" t="str">
        <f t="shared" si="882"/>
        <v>PA_Alleg_2019g~Gen-school director plum (vote for 5)</v>
      </c>
      <c r="B4035" s="55" t="s">
        <v>1528</v>
      </c>
      <c r="C4035">
        <v>232</v>
      </c>
      <c r="D4035" s="55" t="s">
        <v>325</v>
      </c>
      <c r="E4035" s="55" t="s">
        <v>332</v>
      </c>
      <c r="F4035" t="s">
        <v>1296</v>
      </c>
      <c r="G4035" s="62">
        <v>2406</v>
      </c>
      <c r="H4035">
        <v>8.68</v>
      </c>
      <c r="I4035">
        <v>19420</v>
      </c>
      <c r="J4035">
        <v>0</v>
      </c>
      <c r="K4035">
        <v>21</v>
      </c>
      <c r="L4035">
        <v>21</v>
      </c>
      <c r="M4035">
        <v>0</v>
      </c>
      <c r="N4035" s="23">
        <v>0</v>
      </c>
      <c r="O4035">
        <f t="shared" si="883"/>
        <v>9</v>
      </c>
      <c r="P4035" s="57">
        <f t="shared" si="884"/>
        <v>5</v>
      </c>
      <c r="Q4035" s="267">
        <f t="shared" si="885"/>
        <v>4924</v>
      </c>
      <c r="R4035" s="23" t="str">
        <f t="shared" si="886"/>
        <v/>
      </c>
      <c r="S4035" s="23">
        <f t="shared" si="887"/>
        <v>2406</v>
      </c>
      <c r="T4035" s="23" t="str">
        <f t="shared" si="888"/>
        <v/>
      </c>
      <c r="U4035" t="str">
        <f t="shared" si="889"/>
        <v/>
      </c>
      <c r="V4035" s="87"/>
      <c r="AF4035" s="22"/>
      <c r="AU4035" s="10"/>
    </row>
    <row r="4036" spans="1:47">
      <c r="A4036" t="str">
        <f t="shared" si="882"/>
        <v>PA_Alleg_2019g~Gen-school director plum (vote for 5)</v>
      </c>
      <c r="B4036" s="55" t="s">
        <v>1528</v>
      </c>
      <c r="C4036">
        <v>233</v>
      </c>
      <c r="D4036" s="55" t="s">
        <v>325</v>
      </c>
      <c r="E4036" s="55" t="s">
        <v>338</v>
      </c>
      <c r="F4036" t="s">
        <v>1296</v>
      </c>
      <c r="G4036" s="62">
        <v>2375</v>
      </c>
      <c r="H4036">
        <v>8.57</v>
      </c>
      <c r="I4036">
        <v>19420</v>
      </c>
      <c r="J4036">
        <v>0</v>
      </c>
      <c r="K4036">
        <v>21</v>
      </c>
      <c r="L4036">
        <v>21</v>
      </c>
      <c r="M4036">
        <v>0</v>
      </c>
      <c r="N4036" s="23">
        <v>0</v>
      </c>
      <c r="O4036">
        <f t="shared" si="883"/>
        <v>10</v>
      </c>
      <c r="P4036" s="57">
        <f t="shared" si="884"/>
        <v>5</v>
      </c>
      <c r="Q4036" s="267">
        <f t="shared" si="885"/>
        <v>2518</v>
      </c>
      <c r="R4036" s="23" t="str">
        <f t="shared" si="886"/>
        <v/>
      </c>
      <c r="S4036" s="23">
        <f t="shared" si="887"/>
        <v>2375</v>
      </c>
      <c r="T4036" s="23" t="str">
        <f t="shared" si="888"/>
        <v/>
      </c>
      <c r="U4036" t="str">
        <f t="shared" si="889"/>
        <v/>
      </c>
      <c r="V4036" s="87"/>
      <c r="AF4036" s="22"/>
      <c r="AH4036" s="8"/>
      <c r="AU4036" s="10"/>
    </row>
    <row r="4037" spans="1:47">
      <c r="A4037" t="str">
        <f t="shared" si="882"/>
        <v>PA_Alleg_2019g~Gen-school director plum (vote for 5)</v>
      </c>
      <c r="B4037" s="55" t="s">
        <v>1528</v>
      </c>
      <c r="C4037">
        <v>234</v>
      </c>
      <c r="D4037" s="55" t="s">
        <v>325</v>
      </c>
      <c r="E4037" s="55" t="s">
        <v>15</v>
      </c>
      <c r="G4037" s="62">
        <v>143</v>
      </c>
      <c r="H4037">
        <v>0.52</v>
      </c>
      <c r="I4037">
        <v>19420</v>
      </c>
      <c r="J4037">
        <v>0</v>
      </c>
      <c r="K4037">
        <v>21</v>
      </c>
      <c r="L4037">
        <v>21</v>
      </c>
      <c r="M4037">
        <v>0</v>
      </c>
      <c r="N4037" s="23">
        <v>0</v>
      </c>
      <c r="O4037">
        <f t="shared" si="883"/>
        <v>-10</v>
      </c>
      <c r="P4037" s="57">
        <f t="shared" si="884"/>
        <v>5</v>
      </c>
      <c r="Q4037" s="267">
        <f t="shared" si="885"/>
        <v>143</v>
      </c>
      <c r="R4037" s="23">
        <f t="shared" si="886"/>
        <v>1</v>
      </c>
      <c r="S4037" s="23">
        <f t="shared" si="887"/>
        <v>0</v>
      </c>
      <c r="T4037" s="23" t="str">
        <f t="shared" si="888"/>
        <v/>
      </c>
      <c r="U4037" t="str">
        <f t="shared" si="889"/>
        <v/>
      </c>
      <c r="V4037" s="87"/>
      <c r="AF4037" s="22"/>
      <c r="AU4037" s="10"/>
    </row>
    <row r="4038" spans="1:47">
      <c r="A4038" t="str">
        <f t="shared" si="882"/>
        <v>PA_Alleg_2019g~Gen-school director quaker valley region 1 (vote for 1)</v>
      </c>
      <c r="B4038" s="55" t="s">
        <v>1528</v>
      </c>
      <c r="C4038">
        <v>351</v>
      </c>
      <c r="D4038" s="55" t="s">
        <v>381</v>
      </c>
      <c r="E4038" s="55" t="s">
        <v>382</v>
      </c>
      <c r="F4038" t="s">
        <v>1396</v>
      </c>
      <c r="G4038" s="62">
        <v>883</v>
      </c>
      <c r="H4038">
        <v>95.77</v>
      </c>
      <c r="I4038">
        <v>3255</v>
      </c>
      <c r="J4038">
        <v>0</v>
      </c>
      <c r="K4038">
        <v>4</v>
      </c>
      <c r="L4038">
        <v>4</v>
      </c>
      <c r="M4038">
        <v>0</v>
      </c>
      <c r="N4038" s="23">
        <v>0</v>
      </c>
      <c r="O4038">
        <f t="shared" si="883"/>
        <v>1</v>
      </c>
      <c r="P4038" s="57">
        <f t="shared" si="884"/>
        <v>1</v>
      </c>
      <c r="Q4038" s="267">
        <f t="shared" si="885"/>
        <v>922</v>
      </c>
      <c r="R4038" s="23">
        <f t="shared" si="886"/>
        <v>883</v>
      </c>
      <c r="S4038" s="23">
        <f t="shared" si="887"/>
        <v>0</v>
      </c>
      <c r="T4038" s="23" t="str">
        <f t="shared" si="888"/>
        <v/>
      </c>
      <c r="U4038" t="str">
        <f t="shared" si="889"/>
        <v>PA_Alleg_2019g~Gen-school director quaker valley region 1 (vote for 1)</v>
      </c>
      <c r="V4038" s="87"/>
      <c r="AF4038" s="22"/>
      <c r="AU4038" s="10"/>
    </row>
    <row r="4039" spans="1:47">
      <c r="A4039" t="str">
        <f t="shared" si="882"/>
        <v>PA_Alleg_2019g~Gen-school director quaker valley region 1 (vote for 1)</v>
      </c>
      <c r="B4039" s="55" t="s">
        <v>1528</v>
      </c>
      <c r="C4039">
        <v>352</v>
      </c>
      <c r="D4039" s="55" t="s">
        <v>381</v>
      </c>
      <c r="E4039" s="55" t="s">
        <v>15</v>
      </c>
      <c r="G4039" s="62">
        <v>39</v>
      </c>
      <c r="H4039">
        <v>4.2300000000000004</v>
      </c>
      <c r="I4039">
        <v>3255</v>
      </c>
      <c r="J4039">
        <v>0</v>
      </c>
      <c r="K4039">
        <v>4</v>
      </c>
      <c r="L4039">
        <v>4</v>
      </c>
      <c r="M4039">
        <v>0</v>
      </c>
      <c r="N4039" s="23">
        <v>0</v>
      </c>
      <c r="O4039">
        <f t="shared" si="883"/>
        <v>-1</v>
      </c>
      <c r="P4039" s="57">
        <f t="shared" si="884"/>
        <v>1</v>
      </c>
      <c r="Q4039" s="267">
        <f t="shared" si="885"/>
        <v>39</v>
      </c>
      <c r="R4039" s="23">
        <f t="shared" si="886"/>
        <v>1</v>
      </c>
      <c r="S4039" s="23">
        <f t="shared" si="887"/>
        <v>0</v>
      </c>
      <c r="T4039" s="23" t="str">
        <f t="shared" si="888"/>
        <v/>
      </c>
      <c r="U4039" t="str">
        <f t="shared" si="889"/>
        <v/>
      </c>
      <c r="V4039" s="87"/>
      <c r="AF4039" s="22"/>
      <c r="AU4039" s="10"/>
    </row>
    <row r="4040" spans="1:47">
      <c r="A4040" t="str">
        <f t="shared" si="882"/>
        <v>PA_Alleg_2019g~Gen-school director quaker valley region 2 (vote for 2)</v>
      </c>
      <c r="B4040" s="55" t="s">
        <v>1528</v>
      </c>
      <c r="C4040">
        <v>366</v>
      </c>
      <c r="D4040" s="55" t="s">
        <v>395</v>
      </c>
      <c r="E4040" s="55" t="s">
        <v>398</v>
      </c>
      <c r="F4040" t="s">
        <v>1396</v>
      </c>
      <c r="G4040" s="62">
        <v>646</v>
      </c>
      <c r="H4040">
        <v>35.85</v>
      </c>
      <c r="I4040">
        <v>3273</v>
      </c>
      <c r="J4040">
        <v>0</v>
      </c>
      <c r="K4040">
        <v>4</v>
      </c>
      <c r="L4040">
        <v>4</v>
      </c>
      <c r="M4040">
        <v>0</v>
      </c>
      <c r="N4040" s="23">
        <v>0</v>
      </c>
      <c r="O4040">
        <f t="shared" si="883"/>
        <v>1</v>
      </c>
      <c r="P4040" s="57">
        <f t="shared" si="884"/>
        <v>2</v>
      </c>
      <c r="Q4040" s="267">
        <f t="shared" si="885"/>
        <v>901</v>
      </c>
      <c r="R4040" s="23">
        <f t="shared" si="886"/>
        <v>569</v>
      </c>
      <c r="S4040" s="23">
        <f t="shared" si="887"/>
        <v>536</v>
      </c>
      <c r="T4040" s="23">
        <f t="shared" si="888"/>
        <v>33</v>
      </c>
      <c r="U4040" t="str">
        <f t="shared" si="889"/>
        <v>PA_Alleg_2019g~Gen-school director quaker valley region 2 (vote for 2)</v>
      </c>
      <c r="V4040" s="87"/>
      <c r="AF4040" s="22"/>
      <c r="AU4040" s="10"/>
    </row>
    <row r="4041" spans="1:47">
      <c r="A4041" t="str">
        <f t="shared" si="882"/>
        <v>PA_Alleg_2019g~Gen-school director quaker valley region 2 (vote for 2)</v>
      </c>
      <c r="B4041" s="55" t="s">
        <v>1528</v>
      </c>
      <c r="C4041">
        <v>367</v>
      </c>
      <c r="D4041" s="55" t="s">
        <v>395</v>
      </c>
      <c r="E4041" s="55" t="s">
        <v>397</v>
      </c>
      <c r="F4041" t="s">
        <v>1294</v>
      </c>
      <c r="G4041" s="62">
        <v>569</v>
      </c>
      <c r="H4041">
        <v>31.58</v>
      </c>
      <c r="I4041">
        <v>3273</v>
      </c>
      <c r="J4041">
        <v>0</v>
      </c>
      <c r="K4041">
        <v>4</v>
      </c>
      <c r="L4041">
        <v>4</v>
      </c>
      <c r="M4041">
        <v>0</v>
      </c>
      <c r="N4041" s="23">
        <v>0</v>
      </c>
      <c r="O4041">
        <f t="shared" si="883"/>
        <v>2</v>
      </c>
      <c r="P4041" s="57">
        <f t="shared" si="884"/>
        <v>2</v>
      </c>
      <c r="Q4041" s="267">
        <f t="shared" si="885"/>
        <v>1156</v>
      </c>
      <c r="R4041" s="23">
        <f t="shared" si="886"/>
        <v>569</v>
      </c>
      <c r="S4041" s="23">
        <f t="shared" si="887"/>
        <v>536</v>
      </c>
      <c r="T4041" s="23" t="str">
        <f t="shared" si="888"/>
        <v/>
      </c>
      <c r="U4041" t="str">
        <f t="shared" si="889"/>
        <v/>
      </c>
      <c r="V4041" s="87"/>
      <c r="AF4041" s="22"/>
      <c r="AU4041" s="10"/>
    </row>
    <row r="4042" spans="1:47">
      <c r="A4042" t="str">
        <f t="shared" si="882"/>
        <v>PA_Alleg_2019g~Gen-school director quaker valley region 2 (vote for 2)</v>
      </c>
      <c r="B4042" s="55" t="s">
        <v>1528</v>
      </c>
      <c r="C4042">
        <v>368</v>
      </c>
      <c r="D4042" s="55" t="s">
        <v>395</v>
      </c>
      <c r="E4042" s="55" t="s">
        <v>396</v>
      </c>
      <c r="F4042" t="s">
        <v>1296</v>
      </c>
      <c r="G4042" s="62">
        <v>536</v>
      </c>
      <c r="H4042">
        <v>29.74</v>
      </c>
      <c r="I4042">
        <v>3273</v>
      </c>
      <c r="J4042">
        <v>0</v>
      </c>
      <c r="K4042">
        <v>4</v>
      </c>
      <c r="L4042">
        <v>4</v>
      </c>
      <c r="M4042">
        <v>0</v>
      </c>
      <c r="N4042" s="23">
        <v>0</v>
      </c>
      <c r="O4042">
        <f t="shared" si="883"/>
        <v>3</v>
      </c>
      <c r="P4042" s="57">
        <f t="shared" si="884"/>
        <v>2</v>
      </c>
      <c r="Q4042" s="267">
        <f t="shared" si="885"/>
        <v>587</v>
      </c>
      <c r="R4042" s="23" t="str">
        <f t="shared" si="886"/>
        <v/>
      </c>
      <c r="S4042" s="23">
        <f t="shared" si="887"/>
        <v>536</v>
      </c>
      <c r="T4042" s="23" t="str">
        <f t="shared" si="888"/>
        <v/>
      </c>
      <c r="U4042" t="str">
        <f t="shared" si="889"/>
        <v/>
      </c>
      <c r="V4042" s="87"/>
      <c r="AF4042" s="22"/>
      <c r="AU4042" s="10"/>
    </row>
    <row r="4043" spans="1:47">
      <c r="A4043" t="str">
        <f t="shared" si="882"/>
        <v>PA_Alleg_2019g~Gen-school director quaker valley region 2 (vote for 2)</v>
      </c>
      <c r="B4043" s="55" t="s">
        <v>1528</v>
      </c>
      <c r="C4043">
        <v>369</v>
      </c>
      <c r="D4043" s="55" t="s">
        <v>395</v>
      </c>
      <c r="E4043" s="55" t="s">
        <v>15</v>
      </c>
      <c r="G4043" s="62">
        <v>51</v>
      </c>
      <c r="H4043">
        <v>2.83</v>
      </c>
      <c r="I4043">
        <v>3273</v>
      </c>
      <c r="J4043">
        <v>0</v>
      </c>
      <c r="K4043">
        <v>4</v>
      </c>
      <c r="L4043">
        <v>4</v>
      </c>
      <c r="M4043">
        <v>0</v>
      </c>
      <c r="N4043" s="23">
        <v>0</v>
      </c>
      <c r="O4043">
        <f t="shared" si="883"/>
        <v>-3</v>
      </c>
      <c r="P4043" s="57">
        <f t="shared" si="884"/>
        <v>2</v>
      </c>
      <c r="Q4043" s="267">
        <f t="shared" si="885"/>
        <v>51</v>
      </c>
      <c r="R4043" s="23">
        <f t="shared" si="886"/>
        <v>1</v>
      </c>
      <c r="S4043" s="23">
        <f t="shared" si="887"/>
        <v>0</v>
      </c>
      <c r="T4043" s="23" t="str">
        <f t="shared" si="888"/>
        <v/>
      </c>
      <c r="U4043" t="str">
        <f t="shared" si="889"/>
        <v/>
      </c>
      <c r="V4043" s="87"/>
      <c r="AF4043" s="22"/>
      <c r="AU4043" s="10"/>
    </row>
    <row r="4044" spans="1:47">
      <c r="A4044" t="str">
        <f t="shared" si="882"/>
        <v>PA_Alleg_2019g~Gen-school director quaker valley region 3 (vote for 2)</v>
      </c>
      <c r="B4044" s="55" t="s">
        <v>1528</v>
      </c>
      <c r="C4044">
        <v>406</v>
      </c>
      <c r="D4044" s="55" t="s">
        <v>433</v>
      </c>
      <c r="E4044" s="55" t="s">
        <v>435</v>
      </c>
      <c r="F4044" t="s">
        <v>1396</v>
      </c>
      <c r="G4044" s="62">
        <v>895</v>
      </c>
      <c r="H4044">
        <v>36.369999999999997</v>
      </c>
      <c r="I4044">
        <v>4872</v>
      </c>
      <c r="J4044">
        <v>0</v>
      </c>
      <c r="K4044">
        <v>8</v>
      </c>
      <c r="L4044">
        <v>8</v>
      </c>
      <c r="M4044">
        <v>0</v>
      </c>
      <c r="N4044" s="23">
        <v>0</v>
      </c>
      <c r="O4044">
        <f t="shared" si="883"/>
        <v>1</v>
      </c>
      <c r="P4044" s="57">
        <f t="shared" si="884"/>
        <v>2</v>
      </c>
      <c r="Q4044" s="267">
        <f t="shared" si="885"/>
        <v>1230.5</v>
      </c>
      <c r="R4044" s="23">
        <f t="shared" si="886"/>
        <v>871</v>
      </c>
      <c r="S4044" s="23">
        <f t="shared" si="887"/>
        <v>0</v>
      </c>
      <c r="T4044" s="23" t="str">
        <f t="shared" si="888"/>
        <v/>
      </c>
      <c r="U4044" t="str">
        <f t="shared" si="889"/>
        <v>PA_Alleg_2019g~Gen-school director quaker valley region 3 (vote for 2)</v>
      </c>
      <c r="V4044" s="87"/>
      <c r="AF4044" s="22"/>
      <c r="AU4044" s="10"/>
    </row>
    <row r="4045" spans="1:47">
      <c r="A4045" t="str">
        <f t="shared" si="882"/>
        <v>PA_Alleg_2019g~Gen-school director quaker valley region 3 (vote for 2)</v>
      </c>
      <c r="B4045" s="55" t="s">
        <v>1528</v>
      </c>
      <c r="C4045">
        <v>405</v>
      </c>
      <c r="D4045" s="55" t="s">
        <v>433</v>
      </c>
      <c r="E4045" s="55" t="s">
        <v>434</v>
      </c>
      <c r="F4045" t="s">
        <v>1396</v>
      </c>
      <c r="G4045" s="62">
        <v>871</v>
      </c>
      <c r="H4045">
        <v>35.39</v>
      </c>
      <c r="I4045">
        <v>4872</v>
      </c>
      <c r="J4045">
        <v>0</v>
      </c>
      <c r="K4045">
        <v>8</v>
      </c>
      <c r="L4045">
        <v>8</v>
      </c>
      <c r="M4045">
        <v>0</v>
      </c>
      <c r="N4045" s="23">
        <v>0</v>
      </c>
      <c r="O4045">
        <f t="shared" si="883"/>
        <v>2</v>
      </c>
      <c r="P4045" s="57">
        <f t="shared" si="884"/>
        <v>2</v>
      </c>
      <c r="Q4045" s="267">
        <f t="shared" si="885"/>
        <v>1566</v>
      </c>
      <c r="R4045" s="23">
        <f t="shared" si="886"/>
        <v>871</v>
      </c>
      <c r="S4045" s="23">
        <f t="shared" si="887"/>
        <v>0</v>
      </c>
      <c r="T4045" s="23" t="str">
        <f t="shared" si="888"/>
        <v/>
      </c>
      <c r="U4045" t="str">
        <f t="shared" si="889"/>
        <v/>
      </c>
      <c r="V4045" s="87"/>
      <c r="AF4045" s="22"/>
      <c r="AL4045" s="23"/>
      <c r="AU4045" s="10"/>
    </row>
    <row r="4046" spans="1:47">
      <c r="A4046" t="str">
        <f t="shared" si="882"/>
        <v>PA_Alleg_2019g~Gen-school director quaker valley region 3 (vote for 2)</v>
      </c>
      <c r="B4046" s="55" t="s">
        <v>1528</v>
      </c>
      <c r="C4046">
        <v>407</v>
      </c>
      <c r="D4046" s="55" t="s">
        <v>433</v>
      </c>
      <c r="E4046" s="55" t="s">
        <v>15</v>
      </c>
      <c r="G4046" s="62">
        <v>695</v>
      </c>
      <c r="H4046">
        <v>28.24</v>
      </c>
      <c r="I4046">
        <v>4872</v>
      </c>
      <c r="J4046">
        <v>0</v>
      </c>
      <c r="K4046">
        <v>8</v>
      </c>
      <c r="L4046">
        <v>8</v>
      </c>
      <c r="M4046">
        <v>0</v>
      </c>
      <c r="N4046" s="23">
        <v>0</v>
      </c>
      <c r="O4046">
        <f t="shared" si="883"/>
        <v>-2</v>
      </c>
      <c r="P4046" s="57">
        <f t="shared" si="884"/>
        <v>2</v>
      </c>
      <c r="Q4046" s="267">
        <f t="shared" si="885"/>
        <v>695</v>
      </c>
      <c r="R4046" s="23">
        <f t="shared" si="886"/>
        <v>1</v>
      </c>
      <c r="S4046" s="23">
        <f t="shared" si="887"/>
        <v>0</v>
      </c>
      <c r="T4046" s="23" t="str">
        <f t="shared" si="888"/>
        <v/>
      </c>
      <c r="U4046" t="str">
        <f t="shared" si="889"/>
        <v/>
      </c>
      <c r="V4046" s="87"/>
      <c r="AF4046" s="22"/>
      <c r="AU4046" s="10"/>
    </row>
    <row r="4047" spans="1:47">
      <c r="A4047" t="str">
        <f t="shared" si="882"/>
        <v>PA_Alleg_2019g~Gen-school director riverview (vote for 5)</v>
      </c>
      <c r="B4047" s="55" t="s">
        <v>1528</v>
      </c>
      <c r="C4047">
        <v>235</v>
      </c>
      <c r="D4047" s="55" t="s">
        <v>252</v>
      </c>
      <c r="E4047" s="55" t="s">
        <v>258</v>
      </c>
      <c r="F4047" t="s">
        <v>1396</v>
      </c>
      <c r="G4047" s="62">
        <v>1821</v>
      </c>
      <c r="H4047">
        <v>18.07</v>
      </c>
      <c r="I4047">
        <v>7320</v>
      </c>
      <c r="J4047">
        <v>0</v>
      </c>
      <c r="K4047">
        <v>9</v>
      </c>
      <c r="L4047">
        <v>9</v>
      </c>
      <c r="M4047">
        <v>0</v>
      </c>
      <c r="N4047" s="23">
        <v>0</v>
      </c>
      <c r="O4047">
        <f t="shared" si="883"/>
        <v>1</v>
      </c>
      <c r="P4047" s="57">
        <f t="shared" si="884"/>
        <v>5</v>
      </c>
      <c r="Q4047" s="267">
        <f t="shared" si="885"/>
        <v>2015</v>
      </c>
      <c r="R4047" s="23">
        <f t="shared" si="886"/>
        <v>1234</v>
      </c>
      <c r="S4047" s="23">
        <f t="shared" si="887"/>
        <v>1230</v>
      </c>
      <c r="T4047" s="23">
        <f t="shared" si="888"/>
        <v>4</v>
      </c>
      <c r="U4047" t="str">
        <f t="shared" si="889"/>
        <v>PA_Alleg_2019g~Gen-school director riverview (vote for 5)</v>
      </c>
      <c r="V4047" s="87"/>
      <c r="AF4047" s="22"/>
      <c r="AU4047" s="10"/>
    </row>
    <row r="4048" spans="1:47">
      <c r="A4048" t="str">
        <f t="shared" si="882"/>
        <v>PA_Alleg_2019g~Gen-school director riverview (vote for 5)</v>
      </c>
      <c r="B4048" s="55" t="s">
        <v>1528</v>
      </c>
      <c r="C4048">
        <v>236</v>
      </c>
      <c r="D4048" s="55" t="s">
        <v>252</v>
      </c>
      <c r="E4048" s="55" t="s">
        <v>257</v>
      </c>
      <c r="F4048" t="s">
        <v>1396</v>
      </c>
      <c r="G4048" s="62">
        <v>1681</v>
      </c>
      <c r="H4048">
        <v>16.68</v>
      </c>
      <c r="I4048">
        <v>7320</v>
      </c>
      <c r="J4048">
        <v>0</v>
      </c>
      <c r="K4048">
        <v>9</v>
      </c>
      <c r="L4048">
        <v>9</v>
      </c>
      <c r="M4048">
        <v>0</v>
      </c>
      <c r="N4048" s="23">
        <v>0</v>
      </c>
      <c r="O4048">
        <f t="shared" si="883"/>
        <v>2</v>
      </c>
      <c r="P4048" s="57">
        <f t="shared" si="884"/>
        <v>5</v>
      </c>
      <c r="Q4048" s="267">
        <f t="shared" si="885"/>
        <v>8254</v>
      </c>
      <c r="R4048" s="23">
        <f t="shared" si="886"/>
        <v>1234</v>
      </c>
      <c r="S4048" s="23">
        <f t="shared" si="887"/>
        <v>1230</v>
      </c>
      <c r="T4048" s="23" t="str">
        <f t="shared" si="888"/>
        <v/>
      </c>
      <c r="U4048" t="str">
        <f t="shared" si="889"/>
        <v/>
      </c>
      <c r="V4048" s="87"/>
      <c r="AF4048" s="22"/>
      <c r="AU4048" s="10"/>
    </row>
    <row r="4049" spans="1:47">
      <c r="A4049" t="str">
        <f t="shared" si="882"/>
        <v>PA_Alleg_2019g~Gen-school director riverview (vote for 5)</v>
      </c>
      <c r="B4049" s="55" t="s">
        <v>1528</v>
      </c>
      <c r="C4049">
        <v>238</v>
      </c>
      <c r="D4049" s="55" t="s">
        <v>252</v>
      </c>
      <c r="E4049" s="55" t="s">
        <v>256</v>
      </c>
      <c r="F4049" t="s">
        <v>1396</v>
      </c>
      <c r="G4049" s="62">
        <v>1575</v>
      </c>
      <c r="H4049">
        <v>15.63</v>
      </c>
      <c r="I4049">
        <v>7320</v>
      </c>
      <c r="J4049">
        <v>0</v>
      </c>
      <c r="K4049">
        <v>9</v>
      </c>
      <c r="L4049">
        <v>9</v>
      </c>
      <c r="M4049">
        <v>0</v>
      </c>
      <c r="N4049" s="23">
        <v>0</v>
      </c>
      <c r="O4049">
        <f t="shared" si="883"/>
        <v>3</v>
      </c>
      <c r="P4049" s="57">
        <f t="shared" si="884"/>
        <v>5</v>
      </c>
      <c r="Q4049" s="267">
        <f t="shared" si="885"/>
        <v>6573</v>
      </c>
      <c r="R4049" s="23">
        <f t="shared" si="886"/>
        <v>1234</v>
      </c>
      <c r="S4049" s="23">
        <f t="shared" si="887"/>
        <v>1230</v>
      </c>
      <c r="T4049" s="23" t="str">
        <f t="shared" si="888"/>
        <v/>
      </c>
      <c r="U4049" t="str">
        <f t="shared" si="889"/>
        <v/>
      </c>
      <c r="V4049" s="87"/>
      <c r="AF4049" s="22"/>
      <c r="AU4049" s="10"/>
    </row>
    <row r="4050" spans="1:47">
      <c r="A4050" t="str">
        <f t="shared" si="882"/>
        <v>PA_Alleg_2019g~Gen-school director riverview (vote for 5)</v>
      </c>
      <c r="B4050" s="55" t="s">
        <v>1528</v>
      </c>
      <c r="C4050">
        <v>237</v>
      </c>
      <c r="D4050" s="55" t="s">
        <v>252</v>
      </c>
      <c r="E4050" s="55" t="s">
        <v>255</v>
      </c>
      <c r="F4050" t="s">
        <v>1294</v>
      </c>
      <c r="G4050" s="62">
        <v>1469</v>
      </c>
      <c r="H4050">
        <v>14.58</v>
      </c>
      <c r="I4050">
        <v>7320</v>
      </c>
      <c r="J4050">
        <v>0</v>
      </c>
      <c r="K4050">
        <v>9</v>
      </c>
      <c r="L4050">
        <v>9</v>
      </c>
      <c r="M4050">
        <v>0</v>
      </c>
      <c r="N4050" s="23">
        <v>0</v>
      </c>
      <c r="O4050">
        <f t="shared" si="883"/>
        <v>4</v>
      </c>
      <c r="P4050" s="57">
        <f t="shared" si="884"/>
        <v>5</v>
      </c>
      <c r="Q4050" s="267">
        <f t="shared" si="885"/>
        <v>4998</v>
      </c>
      <c r="R4050" s="23">
        <f t="shared" si="886"/>
        <v>1234</v>
      </c>
      <c r="S4050" s="23">
        <f t="shared" si="887"/>
        <v>1230</v>
      </c>
      <c r="T4050" s="23" t="str">
        <f t="shared" si="888"/>
        <v/>
      </c>
      <c r="U4050" t="str">
        <f t="shared" si="889"/>
        <v/>
      </c>
      <c r="V4050" s="87"/>
      <c r="AF4050" s="22"/>
      <c r="AU4050" s="10"/>
    </row>
    <row r="4051" spans="1:47">
      <c r="A4051" t="str">
        <f t="shared" si="882"/>
        <v>PA_Alleg_2019g~Gen-school director riverview (vote for 5)</v>
      </c>
      <c r="B4051" s="55" t="s">
        <v>1528</v>
      </c>
      <c r="C4051">
        <v>239</v>
      </c>
      <c r="D4051" s="55" t="s">
        <v>252</v>
      </c>
      <c r="E4051" s="55" t="s">
        <v>254</v>
      </c>
      <c r="F4051" t="s">
        <v>1294</v>
      </c>
      <c r="G4051" s="62">
        <v>1234</v>
      </c>
      <c r="H4051">
        <v>12.25</v>
      </c>
      <c r="I4051">
        <v>7320</v>
      </c>
      <c r="J4051">
        <v>0</v>
      </c>
      <c r="K4051">
        <v>9</v>
      </c>
      <c r="L4051">
        <v>9</v>
      </c>
      <c r="M4051">
        <v>0</v>
      </c>
      <c r="N4051" s="23">
        <v>0</v>
      </c>
      <c r="O4051">
        <f t="shared" si="883"/>
        <v>5</v>
      </c>
      <c r="P4051" s="57">
        <f t="shared" si="884"/>
        <v>5</v>
      </c>
      <c r="Q4051" s="267">
        <f t="shared" si="885"/>
        <v>3529</v>
      </c>
      <c r="R4051" s="23">
        <f t="shared" si="886"/>
        <v>1234</v>
      </c>
      <c r="S4051" s="23">
        <f t="shared" si="887"/>
        <v>1230</v>
      </c>
      <c r="T4051" s="23" t="str">
        <f t="shared" si="888"/>
        <v/>
      </c>
      <c r="U4051" t="str">
        <f t="shared" si="889"/>
        <v/>
      </c>
      <c r="V4051" s="87"/>
      <c r="AF4051" s="22"/>
      <c r="AU4051" s="10"/>
    </row>
    <row r="4052" spans="1:47">
      <c r="A4052" t="str">
        <f t="shared" si="882"/>
        <v>PA_Alleg_2019g~Gen-school director riverview (vote for 5)</v>
      </c>
      <c r="B4052" s="55" t="s">
        <v>1528</v>
      </c>
      <c r="C4052">
        <v>240</v>
      </c>
      <c r="D4052" s="55" t="s">
        <v>252</v>
      </c>
      <c r="E4052" s="55" t="s">
        <v>259</v>
      </c>
      <c r="F4052" t="s">
        <v>1296</v>
      </c>
      <c r="G4052" s="62">
        <v>1230</v>
      </c>
      <c r="H4052">
        <v>12.21</v>
      </c>
      <c r="I4052">
        <v>7320</v>
      </c>
      <c r="J4052">
        <v>0</v>
      </c>
      <c r="K4052">
        <v>9</v>
      </c>
      <c r="L4052">
        <v>9</v>
      </c>
      <c r="M4052">
        <v>0</v>
      </c>
      <c r="N4052" s="23">
        <v>0</v>
      </c>
      <c r="O4052">
        <f t="shared" si="883"/>
        <v>6</v>
      </c>
      <c r="P4052" s="57">
        <f t="shared" si="884"/>
        <v>5</v>
      </c>
      <c r="Q4052" s="267">
        <f t="shared" si="885"/>
        <v>2295</v>
      </c>
      <c r="R4052" s="23" t="str">
        <f t="shared" si="886"/>
        <v/>
      </c>
      <c r="S4052" s="23">
        <f t="shared" si="887"/>
        <v>1230</v>
      </c>
      <c r="T4052" s="23" t="str">
        <f t="shared" si="888"/>
        <v/>
      </c>
      <c r="U4052" t="str">
        <f t="shared" si="889"/>
        <v/>
      </c>
      <c r="V4052" s="87"/>
      <c r="AF4052" s="22"/>
      <c r="AL4052" s="344"/>
      <c r="AU4052" s="10"/>
    </row>
    <row r="4053" spans="1:47">
      <c r="A4053" t="str">
        <f t="shared" si="882"/>
        <v>PA_Alleg_2019g~Gen-school director riverview (vote for 5)</v>
      </c>
      <c r="B4053" s="55" t="s">
        <v>1528</v>
      </c>
      <c r="C4053">
        <v>241</v>
      </c>
      <c r="D4053" s="55" t="s">
        <v>252</v>
      </c>
      <c r="E4053" s="55" t="s">
        <v>253</v>
      </c>
      <c r="F4053" t="s">
        <v>1296</v>
      </c>
      <c r="G4053" s="62">
        <v>1053</v>
      </c>
      <c r="H4053">
        <v>10.45</v>
      </c>
      <c r="I4053">
        <v>7320</v>
      </c>
      <c r="J4053">
        <v>0</v>
      </c>
      <c r="K4053">
        <v>9</v>
      </c>
      <c r="L4053">
        <v>9</v>
      </c>
      <c r="M4053">
        <v>0</v>
      </c>
      <c r="N4053" s="23">
        <v>0</v>
      </c>
      <c r="O4053">
        <f t="shared" si="883"/>
        <v>7</v>
      </c>
      <c r="P4053" s="57">
        <f t="shared" si="884"/>
        <v>5</v>
      </c>
      <c r="Q4053" s="267">
        <f t="shared" si="885"/>
        <v>1065</v>
      </c>
      <c r="R4053" s="23" t="str">
        <f t="shared" si="886"/>
        <v/>
      </c>
      <c r="S4053" s="23">
        <f t="shared" si="887"/>
        <v>1053</v>
      </c>
      <c r="T4053" s="23" t="str">
        <f t="shared" si="888"/>
        <v/>
      </c>
      <c r="U4053" t="str">
        <f t="shared" si="889"/>
        <v/>
      </c>
      <c r="V4053" s="87"/>
      <c r="AF4053" s="22"/>
      <c r="AU4053" s="10"/>
    </row>
    <row r="4054" spans="1:47">
      <c r="A4054" t="str">
        <f t="shared" si="882"/>
        <v>PA_Alleg_2019g~Gen-school director riverview (vote for 5)</v>
      </c>
      <c r="B4054" s="55" t="s">
        <v>1528</v>
      </c>
      <c r="C4054">
        <v>242</v>
      </c>
      <c r="D4054" s="55" t="s">
        <v>252</v>
      </c>
      <c r="E4054" s="55" t="s">
        <v>15</v>
      </c>
      <c r="G4054" s="62">
        <v>12</v>
      </c>
      <c r="H4054">
        <v>0.12</v>
      </c>
      <c r="I4054">
        <v>7320</v>
      </c>
      <c r="J4054">
        <v>0</v>
      </c>
      <c r="K4054">
        <v>9</v>
      </c>
      <c r="L4054">
        <v>9</v>
      </c>
      <c r="M4054">
        <v>0</v>
      </c>
      <c r="N4054" s="23">
        <v>0</v>
      </c>
      <c r="O4054">
        <f t="shared" si="883"/>
        <v>-7</v>
      </c>
      <c r="P4054" s="57">
        <f t="shared" si="884"/>
        <v>5</v>
      </c>
      <c r="Q4054" s="267">
        <f t="shared" si="885"/>
        <v>12</v>
      </c>
      <c r="R4054" s="23">
        <f t="shared" si="886"/>
        <v>1</v>
      </c>
      <c r="S4054" s="23">
        <f t="shared" si="887"/>
        <v>0</v>
      </c>
      <c r="T4054" s="23" t="str">
        <f t="shared" si="888"/>
        <v/>
      </c>
      <c r="U4054" t="str">
        <f t="shared" si="889"/>
        <v/>
      </c>
      <c r="V4054" s="87"/>
      <c r="AF4054" s="22"/>
      <c r="AG4054" s="295"/>
      <c r="AH4054" s="294"/>
      <c r="AI4054" s="279"/>
      <c r="AJ4054" s="279"/>
      <c r="AL4054" s="341"/>
      <c r="AU4054" s="10"/>
    </row>
    <row r="4055" spans="1:47">
      <c r="A4055" t="str">
        <f t="shared" si="882"/>
        <v>PA_Alleg_2019g~Gen-school director shaler area region 1 (vote for 1)</v>
      </c>
      <c r="B4055" s="55" t="s">
        <v>1528</v>
      </c>
      <c r="C4055">
        <v>353</v>
      </c>
      <c r="D4055" s="55" t="s">
        <v>383</v>
      </c>
      <c r="E4055" s="55" t="s">
        <v>384</v>
      </c>
      <c r="F4055" t="s">
        <v>1396</v>
      </c>
      <c r="G4055" s="62">
        <v>2490</v>
      </c>
      <c r="H4055">
        <v>99.01</v>
      </c>
      <c r="I4055">
        <v>9138</v>
      </c>
      <c r="J4055">
        <v>0</v>
      </c>
      <c r="K4055">
        <v>15</v>
      </c>
      <c r="L4055">
        <v>15</v>
      </c>
      <c r="M4055">
        <v>0</v>
      </c>
      <c r="N4055" s="23">
        <v>0</v>
      </c>
      <c r="O4055">
        <f t="shared" si="883"/>
        <v>1</v>
      </c>
      <c r="P4055" s="57">
        <f t="shared" si="884"/>
        <v>1</v>
      </c>
      <c r="Q4055" s="267">
        <f t="shared" si="885"/>
        <v>2515</v>
      </c>
      <c r="R4055" s="23">
        <f t="shared" si="886"/>
        <v>2490</v>
      </c>
      <c r="S4055" s="23">
        <f t="shared" si="887"/>
        <v>0</v>
      </c>
      <c r="T4055" s="23" t="str">
        <f t="shared" si="888"/>
        <v/>
      </c>
      <c r="U4055" t="str">
        <f t="shared" si="889"/>
        <v>PA_Alleg_2019g~Gen-school director shaler area region 1 (vote for 1)</v>
      </c>
      <c r="V4055" s="87"/>
      <c r="AF4055" s="22"/>
      <c r="AL4055" s="344"/>
      <c r="AU4055" s="10"/>
    </row>
    <row r="4056" spans="1:47">
      <c r="A4056" t="str">
        <f t="shared" si="882"/>
        <v>PA_Alleg_2019g~Gen-school director shaler area region 1 (vote for 1)</v>
      </c>
      <c r="B4056" s="55" t="s">
        <v>1528</v>
      </c>
      <c r="C4056">
        <v>354</v>
      </c>
      <c r="D4056" s="55" t="s">
        <v>383</v>
      </c>
      <c r="E4056" s="55" t="s">
        <v>15</v>
      </c>
      <c r="G4056" s="62">
        <v>25</v>
      </c>
      <c r="H4056">
        <v>0.99</v>
      </c>
      <c r="I4056">
        <v>9138</v>
      </c>
      <c r="J4056">
        <v>0</v>
      </c>
      <c r="K4056">
        <v>15</v>
      </c>
      <c r="L4056">
        <v>15</v>
      </c>
      <c r="M4056">
        <v>0</v>
      </c>
      <c r="N4056" s="23">
        <v>0</v>
      </c>
      <c r="O4056">
        <f t="shared" si="883"/>
        <v>-1</v>
      </c>
      <c r="P4056" s="57">
        <f t="shared" si="884"/>
        <v>1</v>
      </c>
      <c r="Q4056" s="267">
        <f t="shared" si="885"/>
        <v>25</v>
      </c>
      <c r="R4056" s="23">
        <f t="shared" si="886"/>
        <v>1</v>
      </c>
      <c r="S4056" s="23">
        <f t="shared" si="887"/>
        <v>0</v>
      </c>
      <c r="T4056" s="23" t="str">
        <f t="shared" si="888"/>
        <v/>
      </c>
      <c r="U4056" t="str">
        <f t="shared" si="889"/>
        <v/>
      </c>
      <c r="V4056" s="87"/>
      <c r="AF4056" s="22"/>
      <c r="AU4056" s="10"/>
    </row>
    <row r="4057" spans="1:47">
      <c r="A4057" t="str">
        <f t="shared" si="882"/>
        <v>PA_Alleg_2019g~Gen-school director shaler area region 2 (vote for 2)</v>
      </c>
      <c r="B4057" s="55" t="s">
        <v>1528</v>
      </c>
      <c r="C4057">
        <v>370</v>
      </c>
      <c r="D4057" s="55" t="s">
        <v>399</v>
      </c>
      <c r="E4057" s="55" t="s">
        <v>401</v>
      </c>
      <c r="F4057" t="s">
        <v>1396</v>
      </c>
      <c r="G4057" s="62">
        <v>2163</v>
      </c>
      <c r="H4057">
        <v>49.88</v>
      </c>
      <c r="I4057">
        <v>10349</v>
      </c>
      <c r="J4057">
        <v>0</v>
      </c>
      <c r="K4057">
        <v>16</v>
      </c>
      <c r="L4057">
        <v>16</v>
      </c>
      <c r="M4057">
        <v>0</v>
      </c>
      <c r="N4057" s="23">
        <v>0</v>
      </c>
      <c r="O4057">
        <f t="shared" si="883"/>
        <v>1</v>
      </c>
      <c r="P4057" s="57">
        <f t="shared" si="884"/>
        <v>2</v>
      </c>
      <c r="Q4057" s="267">
        <f t="shared" si="885"/>
        <v>2168</v>
      </c>
      <c r="R4057" s="23">
        <f t="shared" si="886"/>
        <v>2148</v>
      </c>
      <c r="S4057" s="23">
        <f t="shared" si="887"/>
        <v>0</v>
      </c>
      <c r="T4057" s="23" t="str">
        <f t="shared" si="888"/>
        <v/>
      </c>
      <c r="U4057" t="str">
        <f t="shared" si="889"/>
        <v>PA_Alleg_2019g~Gen-school director shaler area region 2 (vote for 2)</v>
      </c>
      <c r="V4057" s="87"/>
      <c r="AF4057" s="22"/>
      <c r="AU4057" s="10"/>
    </row>
    <row r="4058" spans="1:47">
      <c r="A4058" t="str">
        <f t="shared" si="882"/>
        <v>PA_Alleg_2019g~Gen-school director shaler area region 2 (vote for 2)</v>
      </c>
      <c r="B4058" s="55" t="s">
        <v>1528</v>
      </c>
      <c r="C4058">
        <v>371</v>
      </c>
      <c r="D4058" s="55" t="s">
        <v>399</v>
      </c>
      <c r="E4058" s="55" t="s">
        <v>400</v>
      </c>
      <c r="F4058" t="s">
        <v>1396</v>
      </c>
      <c r="G4058" s="62">
        <v>2148</v>
      </c>
      <c r="H4058">
        <v>49.54</v>
      </c>
      <c r="I4058">
        <v>10349</v>
      </c>
      <c r="J4058">
        <v>0</v>
      </c>
      <c r="K4058">
        <v>16</v>
      </c>
      <c r="L4058">
        <v>16</v>
      </c>
      <c r="M4058">
        <v>0</v>
      </c>
      <c r="N4058" s="23">
        <v>0</v>
      </c>
      <c r="O4058">
        <f t="shared" si="883"/>
        <v>2</v>
      </c>
      <c r="P4058" s="57">
        <f t="shared" si="884"/>
        <v>2</v>
      </c>
      <c r="Q4058" s="267">
        <f t="shared" si="885"/>
        <v>2173</v>
      </c>
      <c r="R4058" s="23">
        <f t="shared" si="886"/>
        <v>2148</v>
      </c>
      <c r="S4058" s="23">
        <f t="shared" si="887"/>
        <v>0</v>
      </c>
      <c r="T4058" s="23" t="str">
        <f t="shared" si="888"/>
        <v/>
      </c>
      <c r="U4058" t="str">
        <f t="shared" si="889"/>
        <v/>
      </c>
      <c r="V4058" s="87"/>
      <c r="AF4058" s="22"/>
      <c r="AU4058" s="10"/>
    </row>
    <row r="4059" spans="1:47">
      <c r="A4059" t="str">
        <f t="shared" si="882"/>
        <v>PA_Alleg_2019g~Gen-school director shaler area region 2 (vote for 2)</v>
      </c>
      <c r="B4059" s="55" t="s">
        <v>1528</v>
      </c>
      <c r="C4059">
        <v>372</v>
      </c>
      <c r="D4059" s="55" t="s">
        <v>399</v>
      </c>
      <c r="E4059" s="55" t="s">
        <v>15</v>
      </c>
      <c r="G4059" s="62">
        <v>25</v>
      </c>
      <c r="H4059">
        <v>0.57999999999999996</v>
      </c>
      <c r="I4059">
        <v>10349</v>
      </c>
      <c r="J4059">
        <v>0</v>
      </c>
      <c r="K4059">
        <v>16</v>
      </c>
      <c r="L4059">
        <v>16</v>
      </c>
      <c r="M4059">
        <v>0</v>
      </c>
      <c r="N4059" s="23">
        <v>0</v>
      </c>
      <c r="O4059">
        <f t="shared" si="883"/>
        <v>-2</v>
      </c>
      <c r="P4059" s="57">
        <f t="shared" si="884"/>
        <v>2</v>
      </c>
      <c r="Q4059" s="267">
        <f t="shared" si="885"/>
        <v>25</v>
      </c>
      <c r="R4059" s="23">
        <f t="shared" si="886"/>
        <v>1</v>
      </c>
      <c r="S4059" s="23">
        <f t="shared" si="887"/>
        <v>0</v>
      </c>
      <c r="T4059" s="23" t="str">
        <f t="shared" si="888"/>
        <v/>
      </c>
      <c r="U4059" t="str">
        <f t="shared" si="889"/>
        <v/>
      </c>
      <c r="V4059" s="87"/>
      <c r="AF4059" s="22"/>
      <c r="AU4059" s="10"/>
    </row>
    <row r="4060" spans="1:47">
      <c r="A4060" t="str">
        <f t="shared" si="882"/>
        <v>PA_Alleg_2019g~Gen-school director shaler area region 3 (vote for 2)</v>
      </c>
      <c r="B4060" s="55" t="s">
        <v>1528</v>
      </c>
      <c r="C4060">
        <v>408</v>
      </c>
      <c r="D4060" s="55" t="s">
        <v>436</v>
      </c>
      <c r="E4060" s="55" t="s">
        <v>438</v>
      </c>
      <c r="F4060" t="s">
        <v>1396</v>
      </c>
      <c r="G4060" s="62">
        <v>2257</v>
      </c>
      <c r="H4060">
        <v>51.92</v>
      </c>
      <c r="I4060">
        <v>9481</v>
      </c>
      <c r="J4060">
        <v>0</v>
      </c>
      <c r="K4060">
        <v>15</v>
      </c>
      <c r="L4060">
        <v>15</v>
      </c>
      <c r="M4060">
        <v>0</v>
      </c>
      <c r="N4060" s="23">
        <v>0</v>
      </c>
      <c r="O4060">
        <f t="shared" si="883"/>
        <v>1</v>
      </c>
      <c r="P4060" s="57">
        <f t="shared" si="884"/>
        <v>2</v>
      </c>
      <c r="Q4060" s="267">
        <f t="shared" si="885"/>
        <v>2257</v>
      </c>
      <c r="R4060" s="23">
        <f t="shared" si="886"/>
        <v>2066</v>
      </c>
      <c r="S4060" s="23">
        <f t="shared" si="887"/>
        <v>0</v>
      </c>
      <c r="T4060" s="23" t="str">
        <f t="shared" si="888"/>
        <v/>
      </c>
      <c r="U4060" t="str">
        <f t="shared" si="889"/>
        <v>PA_Alleg_2019g~Gen-school director shaler area region 3 (vote for 2)</v>
      </c>
      <c r="V4060" s="87"/>
      <c r="AF4060" s="22"/>
      <c r="AU4060" s="10"/>
    </row>
    <row r="4061" spans="1:47">
      <c r="A4061" t="str">
        <f t="shared" si="882"/>
        <v>PA_Alleg_2019g~Gen-school director shaler area region 3 (vote for 2)</v>
      </c>
      <c r="B4061" s="55" t="s">
        <v>1528</v>
      </c>
      <c r="C4061">
        <v>409</v>
      </c>
      <c r="D4061" s="55" t="s">
        <v>436</v>
      </c>
      <c r="E4061" s="55" t="s">
        <v>437</v>
      </c>
      <c r="F4061" t="s">
        <v>1396</v>
      </c>
      <c r="G4061" s="62">
        <v>2066</v>
      </c>
      <c r="H4061">
        <v>47.53</v>
      </c>
      <c r="I4061">
        <v>9481</v>
      </c>
      <c r="J4061">
        <v>0</v>
      </c>
      <c r="K4061">
        <v>15</v>
      </c>
      <c r="L4061">
        <v>15</v>
      </c>
      <c r="M4061">
        <v>0</v>
      </c>
      <c r="N4061" s="23">
        <v>0</v>
      </c>
      <c r="O4061">
        <f t="shared" si="883"/>
        <v>2</v>
      </c>
      <c r="P4061" s="57">
        <f t="shared" si="884"/>
        <v>2</v>
      </c>
      <c r="Q4061" s="267">
        <f t="shared" si="885"/>
        <v>2090</v>
      </c>
      <c r="R4061" s="23">
        <f t="shared" si="886"/>
        <v>2066</v>
      </c>
      <c r="S4061" s="23">
        <f t="shared" si="887"/>
        <v>0</v>
      </c>
      <c r="T4061" s="23" t="str">
        <f t="shared" si="888"/>
        <v/>
      </c>
      <c r="U4061" t="str">
        <f t="shared" si="889"/>
        <v/>
      </c>
      <c r="V4061" s="87"/>
      <c r="AF4061" s="22"/>
      <c r="AU4061" s="10"/>
    </row>
    <row r="4062" spans="1:47">
      <c r="A4062" t="str">
        <f t="shared" si="882"/>
        <v>PA_Alleg_2019g~Gen-school director shaler area region 3 (vote for 2)</v>
      </c>
      <c r="B4062" s="55" t="s">
        <v>1528</v>
      </c>
      <c r="C4062">
        <v>410</v>
      </c>
      <c r="D4062" s="55" t="s">
        <v>436</v>
      </c>
      <c r="E4062" s="55" t="s">
        <v>15</v>
      </c>
      <c r="G4062" s="62">
        <v>24</v>
      </c>
      <c r="H4062">
        <v>0.55000000000000004</v>
      </c>
      <c r="I4062">
        <v>9481</v>
      </c>
      <c r="J4062">
        <v>0</v>
      </c>
      <c r="K4062">
        <v>15</v>
      </c>
      <c r="L4062">
        <v>15</v>
      </c>
      <c r="M4062">
        <v>0</v>
      </c>
      <c r="N4062" s="23">
        <v>0</v>
      </c>
      <c r="O4062">
        <f t="shared" si="883"/>
        <v>-2</v>
      </c>
      <c r="P4062" s="57">
        <f t="shared" si="884"/>
        <v>2</v>
      </c>
      <c r="Q4062" s="267">
        <f t="shared" si="885"/>
        <v>24</v>
      </c>
      <c r="R4062" s="23">
        <f t="shared" si="886"/>
        <v>1</v>
      </c>
      <c r="S4062" s="23">
        <f t="shared" si="887"/>
        <v>0</v>
      </c>
      <c r="T4062" s="23" t="str">
        <f t="shared" si="888"/>
        <v/>
      </c>
      <c r="U4062" t="str">
        <f t="shared" si="889"/>
        <v/>
      </c>
      <c r="V4062" s="87"/>
      <c r="AF4062" s="22"/>
      <c r="AU4062" s="10"/>
    </row>
    <row r="4063" spans="1:47">
      <c r="A4063" t="str">
        <f t="shared" si="882"/>
        <v>PA_Alleg_2019g~Gen-school director south allegheny (vote for 5)</v>
      </c>
      <c r="B4063" s="55" t="s">
        <v>1528</v>
      </c>
      <c r="C4063">
        <v>243</v>
      </c>
      <c r="D4063" s="55" t="s">
        <v>260</v>
      </c>
      <c r="E4063" s="55" t="s">
        <v>270</v>
      </c>
      <c r="F4063" t="s">
        <v>1396</v>
      </c>
      <c r="G4063" s="62">
        <v>1644</v>
      </c>
      <c r="H4063">
        <v>18.72</v>
      </c>
      <c r="I4063">
        <v>7448</v>
      </c>
      <c r="J4063">
        <v>0</v>
      </c>
      <c r="K4063">
        <v>13</v>
      </c>
      <c r="L4063">
        <v>13</v>
      </c>
      <c r="M4063">
        <v>0</v>
      </c>
      <c r="N4063" s="23">
        <v>0</v>
      </c>
      <c r="O4063">
        <f t="shared" si="883"/>
        <v>1</v>
      </c>
      <c r="P4063" s="57">
        <f t="shared" si="884"/>
        <v>5</v>
      </c>
      <c r="Q4063" s="267">
        <f t="shared" si="885"/>
        <v>1756.6</v>
      </c>
      <c r="R4063" s="23">
        <f t="shared" si="886"/>
        <v>1078</v>
      </c>
      <c r="S4063" s="23">
        <f t="shared" si="887"/>
        <v>987</v>
      </c>
      <c r="T4063" s="23">
        <f t="shared" si="888"/>
        <v>91</v>
      </c>
      <c r="U4063" t="str">
        <f t="shared" si="889"/>
        <v>PA_Alleg_2019g~Gen-school director south allegheny (vote for 5)</v>
      </c>
      <c r="V4063" s="87"/>
      <c r="AF4063" s="22"/>
      <c r="AU4063" s="10"/>
    </row>
    <row r="4064" spans="1:47">
      <c r="A4064" t="str">
        <f t="shared" si="882"/>
        <v>PA_Alleg_2019g~Gen-school director south allegheny (vote for 5)</v>
      </c>
      <c r="B4064" s="55" t="s">
        <v>1528</v>
      </c>
      <c r="C4064">
        <v>245</v>
      </c>
      <c r="D4064" s="55" t="s">
        <v>260</v>
      </c>
      <c r="E4064" s="55" t="s">
        <v>263</v>
      </c>
      <c r="F4064" t="s">
        <v>1396</v>
      </c>
      <c r="G4064" s="62">
        <v>1478</v>
      </c>
      <c r="H4064">
        <v>16.829999999999998</v>
      </c>
      <c r="I4064">
        <v>7448</v>
      </c>
      <c r="J4064">
        <v>0</v>
      </c>
      <c r="K4064">
        <v>13</v>
      </c>
      <c r="L4064">
        <v>13</v>
      </c>
      <c r="M4064">
        <v>0</v>
      </c>
      <c r="N4064" s="23">
        <v>0</v>
      </c>
      <c r="O4064">
        <f t="shared" si="883"/>
        <v>2</v>
      </c>
      <c r="P4064" s="57">
        <f t="shared" si="884"/>
        <v>5</v>
      </c>
      <c r="Q4064" s="267">
        <f t="shared" si="885"/>
        <v>7139</v>
      </c>
      <c r="R4064" s="23">
        <f t="shared" si="886"/>
        <v>1078</v>
      </c>
      <c r="S4064" s="23">
        <f t="shared" si="887"/>
        <v>987</v>
      </c>
      <c r="T4064" s="23" t="str">
        <f t="shared" si="888"/>
        <v/>
      </c>
      <c r="U4064" t="str">
        <f t="shared" si="889"/>
        <v/>
      </c>
      <c r="V4064" s="87"/>
      <c r="AF4064" s="22"/>
      <c r="AU4064" s="10"/>
    </row>
    <row r="4065" spans="1:47">
      <c r="A4065" t="str">
        <f t="shared" si="882"/>
        <v>PA_Alleg_2019g~Gen-school director south allegheny (vote for 5)</v>
      </c>
      <c r="B4065" s="55" t="s">
        <v>1528</v>
      </c>
      <c r="C4065">
        <v>244</v>
      </c>
      <c r="D4065" s="55" t="s">
        <v>260</v>
      </c>
      <c r="E4065" s="55" t="s">
        <v>265</v>
      </c>
      <c r="F4065" t="s">
        <v>1396</v>
      </c>
      <c r="G4065" s="62">
        <v>1431</v>
      </c>
      <c r="H4065">
        <v>16.29</v>
      </c>
      <c r="I4065">
        <v>7448</v>
      </c>
      <c r="J4065">
        <v>0</v>
      </c>
      <c r="K4065">
        <v>13</v>
      </c>
      <c r="L4065">
        <v>13</v>
      </c>
      <c r="M4065">
        <v>0</v>
      </c>
      <c r="N4065" s="23">
        <v>0</v>
      </c>
      <c r="O4065">
        <f t="shared" si="883"/>
        <v>3</v>
      </c>
      <c r="P4065" s="57">
        <f t="shared" si="884"/>
        <v>5</v>
      </c>
      <c r="Q4065" s="267">
        <f t="shared" si="885"/>
        <v>5661</v>
      </c>
      <c r="R4065" s="23">
        <f t="shared" si="886"/>
        <v>1078</v>
      </c>
      <c r="S4065" s="23">
        <f t="shared" si="887"/>
        <v>987</v>
      </c>
      <c r="T4065" s="23" t="str">
        <f t="shared" si="888"/>
        <v/>
      </c>
      <c r="U4065" t="str">
        <f t="shared" si="889"/>
        <v/>
      </c>
      <c r="V4065" s="87"/>
      <c r="AF4065" s="22"/>
      <c r="AU4065" s="10"/>
    </row>
    <row r="4066" spans="1:47">
      <c r="A4066" t="str">
        <f t="shared" si="882"/>
        <v>PA_Alleg_2019g~Gen-school director south allegheny (vote for 5)</v>
      </c>
      <c r="B4066" s="55" t="s">
        <v>1528</v>
      </c>
      <c r="C4066">
        <v>248</v>
      </c>
      <c r="D4066" s="55" t="s">
        <v>260</v>
      </c>
      <c r="E4066" s="55" t="s">
        <v>269</v>
      </c>
      <c r="F4066" t="s">
        <v>1296</v>
      </c>
      <c r="G4066" s="62">
        <v>1168</v>
      </c>
      <c r="H4066">
        <v>13.3</v>
      </c>
      <c r="I4066">
        <v>7448</v>
      </c>
      <c r="J4066">
        <v>0</v>
      </c>
      <c r="K4066">
        <v>13</v>
      </c>
      <c r="L4066">
        <v>13</v>
      </c>
      <c r="M4066">
        <v>0</v>
      </c>
      <c r="N4066" s="23">
        <v>0</v>
      </c>
      <c r="O4066">
        <f t="shared" si="883"/>
        <v>4</v>
      </c>
      <c r="P4066" s="57">
        <f t="shared" si="884"/>
        <v>5</v>
      </c>
      <c r="Q4066" s="267">
        <f t="shared" si="885"/>
        <v>4230</v>
      </c>
      <c r="R4066" s="23">
        <f t="shared" si="886"/>
        <v>1078</v>
      </c>
      <c r="S4066" s="23">
        <f t="shared" si="887"/>
        <v>987</v>
      </c>
      <c r="T4066" s="23" t="str">
        <f t="shared" si="888"/>
        <v/>
      </c>
      <c r="U4066" t="str">
        <f t="shared" si="889"/>
        <v/>
      </c>
      <c r="V4066" s="87"/>
      <c r="AF4066" s="22"/>
      <c r="AU4066" s="10"/>
    </row>
    <row r="4067" spans="1:47">
      <c r="A4067" t="str">
        <f t="shared" si="882"/>
        <v>PA_Alleg_2019g~Gen-school director south allegheny (vote for 5)</v>
      </c>
      <c r="B4067" s="55" t="s">
        <v>1528</v>
      </c>
      <c r="C4067">
        <v>246</v>
      </c>
      <c r="D4067" s="55" t="s">
        <v>260</v>
      </c>
      <c r="E4067" s="55" t="s">
        <v>264</v>
      </c>
      <c r="F4067" t="s">
        <v>1294</v>
      </c>
      <c r="G4067" s="62">
        <v>1078</v>
      </c>
      <c r="H4067">
        <v>12.27</v>
      </c>
      <c r="I4067">
        <v>7448</v>
      </c>
      <c r="J4067">
        <v>0</v>
      </c>
      <c r="K4067">
        <v>13</v>
      </c>
      <c r="L4067">
        <v>13</v>
      </c>
      <c r="M4067">
        <v>0</v>
      </c>
      <c r="N4067" s="23">
        <v>0</v>
      </c>
      <c r="O4067">
        <f t="shared" si="883"/>
        <v>5</v>
      </c>
      <c r="P4067" s="57">
        <f t="shared" si="884"/>
        <v>5</v>
      </c>
      <c r="Q4067" s="267">
        <f t="shared" si="885"/>
        <v>3062</v>
      </c>
      <c r="R4067" s="23">
        <f t="shared" si="886"/>
        <v>1078</v>
      </c>
      <c r="S4067" s="23">
        <f t="shared" si="887"/>
        <v>987</v>
      </c>
      <c r="T4067" s="23" t="str">
        <f t="shared" si="888"/>
        <v/>
      </c>
      <c r="U4067" t="str">
        <f t="shared" si="889"/>
        <v/>
      </c>
      <c r="V4067" s="87"/>
      <c r="AF4067" s="22"/>
      <c r="AU4067" s="10"/>
    </row>
    <row r="4068" spans="1:47">
      <c r="A4068" t="str">
        <f t="shared" si="882"/>
        <v>PA_Alleg_2019g~Gen-school director south allegheny (vote for 5)</v>
      </c>
      <c r="B4068" s="55" t="s">
        <v>1528</v>
      </c>
      <c r="C4068">
        <v>249</v>
      </c>
      <c r="D4068" s="55" t="s">
        <v>260</v>
      </c>
      <c r="E4068" s="55" t="s">
        <v>267</v>
      </c>
      <c r="F4068" t="s">
        <v>1296</v>
      </c>
      <c r="G4068" s="62">
        <v>987</v>
      </c>
      <c r="H4068">
        <v>11.24</v>
      </c>
      <c r="I4068">
        <v>7448</v>
      </c>
      <c r="J4068">
        <v>0</v>
      </c>
      <c r="K4068">
        <v>13</v>
      </c>
      <c r="L4068">
        <v>13</v>
      </c>
      <c r="M4068">
        <v>0</v>
      </c>
      <c r="N4068" s="23">
        <v>0</v>
      </c>
      <c r="O4068">
        <f t="shared" si="883"/>
        <v>6</v>
      </c>
      <c r="P4068" s="57">
        <f t="shared" si="884"/>
        <v>5</v>
      </c>
      <c r="Q4068" s="267">
        <f t="shared" si="885"/>
        <v>1984</v>
      </c>
      <c r="R4068" s="23" t="str">
        <f t="shared" si="886"/>
        <v/>
      </c>
      <c r="S4068" s="23">
        <f t="shared" si="887"/>
        <v>987</v>
      </c>
      <c r="T4068" s="23" t="str">
        <f t="shared" si="888"/>
        <v/>
      </c>
      <c r="U4068" t="str">
        <f t="shared" si="889"/>
        <v/>
      </c>
      <c r="V4068" s="87"/>
      <c r="AF4068" s="22"/>
      <c r="AU4068" s="10"/>
    </row>
    <row r="4069" spans="1:47">
      <c r="A4069" t="str">
        <f t="shared" si="882"/>
        <v>PA_Alleg_2019g~Gen-school director south allegheny (vote for 5)</v>
      </c>
      <c r="B4069" s="55" t="s">
        <v>1528</v>
      </c>
      <c r="C4069">
        <v>247</v>
      </c>
      <c r="D4069" s="55" t="s">
        <v>260</v>
      </c>
      <c r="E4069" s="55" t="s">
        <v>268</v>
      </c>
      <c r="F4069" t="s">
        <v>1294</v>
      </c>
      <c r="G4069" s="62">
        <v>929</v>
      </c>
      <c r="H4069">
        <v>10.58</v>
      </c>
      <c r="I4069">
        <v>7448</v>
      </c>
      <c r="J4069">
        <v>0</v>
      </c>
      <c r="K4069">
        <v>13</v>
      </c>
      <c r="L4069">
        <v>13</v>
      </c>
      <c r="M4069">
        <v>0</v>
      </c>
      <c r="N4069" s="23">
        <v>0</v>
      </c>
      <c r="O4069">
        <f t="shared" si="883"/>
        <v>7</v>
      </c>
      <c r="P4069" s="57">
        <f t="shared" si="884"/>
        <v>5</v>
      </c>
      <c r="Q4069" s="267">
        <f t="shared" si="885"/>
        <v>997</v>
      </c>
      <c r="R4069" s="23" t="str">
        <f t="shared" si="886"/>
        <v/>
      </c>
      <c r="S4069" s="23">
        <f t="shared" si="887"/>
        <v>929</v>
      </c>
      <c r="T4069" s="23" t="str">
        <f t="shared" si="888"/>
        <v/>
      </c>
      <c r="U4069" t="str">
        <f t="shared" si="889"/>
        <v/>
      </c>
      <c r="V4069" s="87"/>
      <c r="AF4069" s="22"/>
      <c r="AU4069" s="10"/>
    </row>
    <row r="4070" spans="1:47">
      <c r="A4070" t="str">
        <f t="shared" si="882"/>
        <v>PA_Alleg_2019g~Gen-school director south allegheny (vote for 5)</v>
      </c>
      <c r="B4070" s="55" t="s">
        <v>1528</v>
      </c>
      <c r="C4070">
        <v>250</v>
      </c>
      <c r="D4070" s="55" t="s">
        <v>260</v>
      </c>
      <c r="E4070" s="55" t="s">
        <v>15</v>
      </c>
      <c r="G4070" s="62">
        <v>68</v>
      </c>
      <c r="H4070">
        <v>0.77</v>
      </c>
      <c r="I4070">
        <v>7448</v>
      </c>
      <c r="J4070">
        <v>0</v>
      </c>
      <c r="K4070">
        <v>13</v>
      </c>
      <c r="L4070">
        <v>13</v>
      </c>
      <c r="M4070">
        <v>0</v>
      </c>
      <c r="N4070" s="23">
        <v>0</v>
      </c>
      <c r="O4070">
        <f t="shared" si="883"/>
        <v>-7</v>
      </c>
      <c r="P4070" s="57">
        <f t="shared" si="884"/>
        <v>5</v>
      </c>
      <c r="Q4070" s="267">
        <f t="shared" si="885"/>
        <v>68</v>
      </c>
      <c r="R4070" s="23">
        <f t="shared" si="886"/>
        <v>1</v>
      </c>
      <c r="S4070" s="23">
        <f t="shared" si="887"/>
        <v>0</v>
      </c>
      <c r="T4070" s="23" t="str">
        <f t="shared" si="888"/>
        <v/>
      </c>
      <c r="U4070" t="str">
        <f t="shared" si="889"/>
        <v/>
      </c>
      <c r="V4070" s="87"/>
      <c r="AF4070" s="22"/>
      <c r="AU4070" s="10"/>
    </row>
    <row r="4071" spans="1:47">
      <c r="A4071" t="str">
        <f t="shared" si="882"/>
        <v>PA_Alleg_2019g~Gen-school director south fayette (vote for 1)</v>
      </c>
      <c r="B4071" s="55" t="s">
        <v>1528</v>
      </c>
      <c r="C4071">
        <v>317</v>
      </c>
      <c r="D4071" s="55" t="s">
        <v>348</v>
      </c>
      <c r="E4071" s="55" t="s">
        <v>349</v>
      </c>
      <c r="F4071" t="s">
        <v>1396</v>
      </c>
      <c r="G4071" s="62">
        <v>2436</v>
      </c>
      <c r="H4071">
        <v>98.94</v>
      </c>
      <c r="I4071">
        <v>11733</v>
      </c>
      <c r="J4071">
        <v>0</v>
      </c>
      <c r="K4071">
        <v>12</v>
      </c>
      <c r="L4071">
        <v>12</v>
      </c>
      <c r="M4071">
        <v>0</v>
      </c>
      <c r="N4071" s="23">
        <v>0</v>
      </c>
      <c r="O4071">
        <f t="shared" si="883"/>
        <v>1</v>
      </c>
      <c r="P4071" s="57">
        <f t="shared" si="884"/>
        <v>1</v>
      </c>
      <c r="Q4071" s="267">
        <f t="shared" si="885"/>
        <v>2462</v>
      </c>
      <c r="R4071" s="23">
        <f t="shared" si="886"/>
        <v>2436</v>
      </c>
      <c r="S4071" s="23">
        <f t="shared" si="887"/>
        <v>0</v>
      </c>
      <c r="T4071" s="23" t="str">
        <f t="shared" si="888"/>
        <v/>
      </c>
      <c r="U4071" t="str">
        <f t="shared" si="889"/>
        <v>PA_Alleg_2019g~Gen-school director south fayette (vote for 1)</v>
      </c>
      <c r="V4071" s="87"/>
      <c r="AF4071" s="22"/>
      <c r="AU4071" s="10"/>
    </row>
    <row r="4072" spans="1:47">
      <c r="A4072" t="str">
        <f t="shared" si="882"/>
        <v>PA_Alleg_2019g~Gen-school director south fayette (vote for 1)</v>
      </c>
      <c r="B4072" s="55" t="s">
        <v>1528</v>
      </c>
      <c r="C4072">
        <v>318</v>
      </c>
      <c r="D4072" s="55" t="s">
        <v>348</v>
      </c>
      <c r="E4072" s="55" t="s">
        <v>15</v>
      </c>
      <c r="G4072" s="62">
        <v>26</v>
      </c>
      <c r="H4072">
        <v>1.06</v>
      </c>
      <c r="I4072">
        <v>11733</v>
      </c>
      <c r="J4072">
        <v>0</v>
      </c>
      <c r="K4072">
        <v>12</v>
      </c>
      <c r="L4072">
        <v>12</v>
      </c>
      <c r="M4072">
        <v>0</v>
      </c>
      <c r="N4072" s="23">
        <v>0</v>
      </c>
      <c r="O4072">
        <f t="shared" si="883"/>
        <v>-1</v>
      </c>
      <c r="P4072" s="57">
        <f t="shared" si="884"/>
        <v>1</v>
      </c>
      <c r="Q4072" s="267">
        <f t="shared" si="885"/>
        <v>26</v>
      </c>
      <c r="R4072" s="23">
        <f t="shared" si="886"/>
        <v>1</v>
      </c>
      <c r="S4072" s="23">
        <f t="shared" si="887"/>
        <v>0</v>
      </c>
      <c r="T4072" s="23" t="str">
        <f t="shared" si="888"/>
        <v/>
      </c>
      <c r="U4072" t="str">
        <f t="shared" si="889"/>
        <v/>
      </c>
      <c r="V4072" s="87"/>
      <c r="AF4072" s="22"/>
      <c r="AU4072" s="10"/>
    </row>
    <row r="4073" spans="1:47">
      <c r="A4073" t="str">
        <f t="shared" si="882"/>
        <v>PA_Alleg_2019g~Gen-school director south fayette (vote for 5)</v>
      </c>
      <c r="B4073" s="55" t="s">
        <v>1528</v>
      </c>
      <c r="C4073">
        <v>251</v>
      </c>
      <c r="D4073" s="55" t="s">
        <v>271</v>
      </c>
      <c r="E4073" s="55" t="s">
        <v>278</v>
      </c>
      <c r="F4073" t="s">
        <v>1396</v>
      </c>
      <c r="G4073" s="62">
        <v>2401</v>
      </c>
      <c r="H4073">
        <v>21.96</v>
      </c>
      <c r="I4073">
        <v>11733</v>
      </c>
      <c r="J4073">
        <v>0</v>
      </c>
      <c r="K4073">
        <v>12</v>
      </c>
      <c r="L4073">
        <v>12</v>
      </c>
      <c r="M4073">
        <v>0</v>
      </c>
      <c r="N4073" s="23">
        <v>0</v>
      </c>
      <c r="O4073">
        <f t="shared" si="883"/>
        <v>1</v>
      </c>
      <c r="P4073" s="57">
        <f t="shared" si="884"/>
        <v>5</v>
      </c>
      <c r="Q4073" s="267">
        <f t="shared" si="885"/>
        <v>2401</v>
      </c>
      <c r="R4073" s="23">
        <f t="shared" si="886"/>
        <v>2061</v>
      </c>
      <c r="S4073" s="23">
        <f t="shared" si="887"/>
        <v>0</v>
      </c>
      <c r="T4073" s="23" t="str">
        <f t="shared" si="888"/>
        <v/>
      </c>
      <c r="U4073" t="str">
        <f t="shared" si="889"/>
        <v>PA_Alleg_2019g~Gen-school director south fayette (vote for 5)</v>
      </c>
      <c r="V4073" s="87"/>
      <c r="AF4073" s="22"/>
      <c r="AU4073" s="10"/>
    </row>
    <row r="4074" spans="1:47">
      <c r="A4074" t="str">
        <f t="shared" si="882"/>
        <v>PA_Alleg_2019g~Gen-school director south fayette (vote for 5)</v>
      </c>
      <c r="B4074" s="55" t="s">
        <v>1528</v>
      </c>
      <c r="C4074">
        <v>254</v>
      </c>
      <c r="D4074" s="55" t="s">
        <v>271</v>
      </c>
      <c r="E4074" s="55" t="s">
        <v>274</v>
      </c>
      <c r="F4074" t="s">
        <v>1396</v>
      </c>
      <c r="G4074" s="62">
        <v>2199</v>
      </c>
      <c r="H4074">
        <v>20.11</v>
      </c>
      <c r="I4074">
        <v>11733</v>
      </c>
      <c r="J4074">
        <v>0</v>
      </c>
      <c r="K4074">
        <v>12</v>
      </c>
      <c r="L4074">
        <v>12</v>
      </c>
      <c r="M4074">
        <v>0</v>
      </c>
      <c r="N4074" s="23">
        <v>0</v>
      </c>
      <c r="O4074">
        <f t="shared" si="883"/>
        <v>2</v>
      </c>
      <c r="P4074" s="57">
        <f t="shared" si="884"/>
        <v>5</v>
      </c>
      <c r="Q4074" s="267">
        <f t="shared" si="885"/>
        <v>8532</v>
      </c>
      <c r="R4074" s="23">
        <f t="shared" si="886"/>
        <v>2061</v>
      </c>
      <c r="S4074" s="23">
        <f t="shared" si="887"/>
        <v>0</v>
      </c>
      <c r="T4074" s="23" t="str">
        <f t="shared" si="888"/>
        <v/>
      </c>
      <c r="U4074" t="str">
        <f t="shared" si="889"/>
        <v/>
      </c>
      <c r="V4074" s="87"/>
      <c r="AF4074" s="22"/>
      <c r="AU4074" s="10"/>
    </row>
    <row r="4075" spans="1:47">
      <c r="A4075" t="str">
        <f t="shared" si="882"/>
        <v>PA_Alleg_2019g~Gen-school director south fayette (vote for 5)</v>
      </c>
      <c r="B4075" s="55" t="s">
        <v>1528</v>
      </c>
      <c r="C4075">
        <v>252</v>
      </c>
      <c r="D4075" s="55" t="s">
        <v>271</v>
      </c>
      <c r="E4075" s="55" t="s">
        <v>277</v>
      </c>
      <c r="F4075" t="s">
        <v>1396</v>
      </c>
      <c r="G4075" s="62">
        <v>2147</v>
      </c>
      <c r="H4075">
        <v>19.64</v>
      </c>
      <c r="I4075">
        <v>11733</v>
      </c>
      <c r="J4075">
        <v>0</v>
      </c>
      <c r="K4075">
        <v>12</v>
      </c>
      <c r="L4075">
        <v>12</v>
      </c>
      <c r="M4075">
        <v>0</v>
      </c>
      <c r="N4075" s="23">
        <v>0</v>
      </c>
      <c r="O4075">
        <f t="shared" si="883"/>
        <v>3</v>
      </c>
      <c r="P4075" s="57">
        <f t="shared" si="884"/>
        <v>5</v>
      </c>
      <c r="Q4075" s="267">
        <f t="shared" si="885"/>
        <v>6333</v>
      </c>
      <c r="R4075" s="23">
        <f t="shared" si="886"/>
        <v>2061</v>
      </c>
      <c r="S4075" s="23">
        <f t="shared" si="887"/>
        <v>0</v>
      </c>
      <c r="T4075" s="23" t="str">
        <f t="shared" si="888"/>
        <v/>
      </c>
      <c r="U4075" t="str">
        <f t="shared" si="889"/>
        <v/>
      </c>
      <c r="V4075" s="87"/>
      <c r="AF4075" s="22"/>
      <c r="AU4075" s="10"/>
    </row>
    <row r="4076" spans="1:47">
      <c r="A4076" t="str">
        <f t="shared" si="882"/>
        <v>PA_Alleg_2019g~Gen-school director south fayette (vote for 5)</v>
      </c>
      <c r="B4076" s="55" t="s">
        <v>1528</v>
      </c>
      <c r="C4076">
        <v>253</v>
      </c>
      <c r="D4076" s="55" t="s">
        <v>271</v>
      </c>
      <c r="E4076" s="55" t="s">
        <v>272</v>
      </c>
      <c r="F4076" t="s">
        <v>1396</v>
      </c>
      <c r="G4076" s="62">
        <v>2093</v>
      </c>
      <c r="H4076">
        <v>19.14</v>
      </c>
      <c r="I4076">
        <v>11733</v>
      </c>
      <c r="J4076">
        <v>0</v>
      </c>
      <c r="K4076">
        <v>12</v>
      </c>
      <c r="L4076">
        <v>12</v>
      </c>
      <c r="M4076">
        <v>0</v>
      </c>
      <c r="N4076" s="23">
        <v>0</v>
      </c>
      <c r="O4076">
        <f t="shared" si="883"/>
        <v>4</v>
      </c>
      <c r="P4076" s="57">
        <f t="shared" si="884"/>
        <v>5</v>
      </c>
      <c r="Q4076" s="267">
        <f t="shared" si="885"/>
        <v>4186</v>
      </c>
      <c r="R4076" s="23">
        <f t="shared" si="886"/>
        <v>2061</v>
      </c>
      <c r="S4076" s="23">
        <f t="shared" si="887"/>
        <v>0</v>
      </c>
      <c r="T4076" s="23" t="str">
        <f t="shared" si="888"/>
        <v/>
      </c>
      <c r="U4076" t="str">
        <f t="shared" si="889"/>
        <v/>
      </c>
      <c r="V4076" s="87"/>
      <c r="AF4076" s="22"/>
      <c r="AG4076" s="302"/>
      <c r="AH4076" s="301"/>
      <c r="AI4076" s="303"/>
      <c r="AJ4076" s="303"/>
      <c r="AK4076" s="342"/>
      <c r="AL4076" s="343"/>
      <c r="AU4076" s="10"/>
    </row>
    <row r="4077" spans="1:47">
      <c r="A4077" t="str">
        <f t="shared" si="882"/>
        <v>PA_Alleg_2019g~Gen-school director south fayette (vote for 5)</v>
      </c>
      <c r="B4077" s="55" t="s">
        <v>1528</v>
      </c>
      <c r="C4077">
        <v>255</v>
      </c>
      <c r="D4077" s="55" t="s">
        <v>271</v>
      </c>
      <c r="E4077" s="55" t="s">
        <v>275</v>
      </c>
      <c r="F4077" t="s">
        <v>1294</v>
      </c>
      <c r="G4077" s="62">
        <v>2061</v>
      </c>
      <c r="H4077">
        <v>18.850000000000001</v>
      </c>
      <c r="I4077">
        <v>11733</v>
      </c>
      <c r="J4077">
        <v>0</v>
      </c>
      <c r="K4077">
        <v>12</v>
      </c>
      <c r="L4077">
        <v>12</v>
      </c>
      <c r="M4077">
        <v>0</v>
      </c>
      <c r="N4077" s="23">
        <v>0</v>
      </c>
      <c r="O4077">
        <f t="shared" si="883"/>
        <v>5</v>
      </c>
      <c r="P4077" s="57">
        <f t="shared" si="884"/>
        <v>5</v>
      </c>
      <c r="Q4077" s="267">
        <f t="shared" si="885"/>
        <v>2093</v>
      </c>
      <c r="R4077" s="23">
        <f t="shared" si="886"/>
        <v>2061</v>
      </c>
      <c r="S4077" s="23">
        <f t="shared" si="887"/>
        <v>0</v>
      </c>
      <c r="T4077" s="23" t="str">
        <f t="shared" si="888"/>
        <v/>
      </c>
      <c r="U4077" t="str">
        <f t="shared" si="889"/>
        <v/>
      </c>
      <c r="V4077" s="87"/>
      <c r="AF4077" s="22"/>
      <c r="AU4077" s="10"/>
    </row>
    <row r="4078" spans="1:47">
      <c r="A4078" t="str">
        <f t="shared" si="882"/>
        <v>PA_Alleg_2019g~Gen-school director south fayette (vote for 5)</v>
      </c>
      <c r="B4078" s="55" t="s">
        <v>1528</v>
      </c>
      <c r="C4078">
        <v>256</v>
      </c>
      <c r="D4078" s="55" t="s">
        <v>271</v>
      </c>
      <c r="E4078" s="55" t="s">
        <v>15</v>
      </c>
      <c r="G4078" s="62">
        <v>32</v>
      </c>
      <c r="H4078">
        <v>0.28999999999999998</v>
      </c>
      <c r="I4078">
        <v>11733</v>
      </c>
      <c r="J4078">
        <v>0</v>
      </c>
      <c r="K4078">
        <v>12</v>
      </c>
      <c r="L4078">
        <v>12</v>
      </c>
      <c r="M4078">
        <v>0</v>
      </c>
      <c r="N4078" s="23">
        <v>0</v>
      </c>
      <c r="O4078">
        <f t="shared" si="883"/>
        <v>-5</v>
      </c>
      <c r="P4078" s="57">
        <f t="shared" si="884"/>
        <v>5</v>
      </c>
      <c r="Q4078" s="267">
        <f t="shared" si="885"/>
        <v>32</v>
      </c>
      <c r="R4078" s="23">
        <f t="shared" si="886"/>
        <v>1</v>
      </c>
      <c r="S4078" s="23">
        <f t="shared" si="887"/>
        <v>0</v>
      </c>
      <c r="T4078" s="23" t="str">
        <f t="shared" si="888"/>
        <v/>
      </c>
      <c r="U4078" t="str">
        <f t="shared" si="889"/>
        <v/>
      </c>
      <c r="V4078" s="87"/>
      <c r="AF4078" s="22"/>
      <c r="AU4078" s="10"/>
    </row>
    <row r="4079" spans="1:47">
      <c r="A4079" t="str">
        <f t="shared" si="882"/>
        <v>PA_Alleg_2019g~Gen-school director south park (vote for 5)</v>
      </c>
      <c r="B4079" s="55" t="s">
        <v>1528</v>
      </c>
      <c r="C4079">
        <v>257</v>
      </c>
      <c r="D4079" s="55" t="s">
        <v>279</v>
      </c>
      <c r="E4079" s="55" t="s">
        <v>283</v>
      </c>
      <c r="F4079" t="s">
        <v>1396</v>
      </c>
      <c r="G4079" s="62">
        <v>2310</v>
      </c>
      <c r="H4079">
        <v>20.56</v>
      </c>
      <c r="I4079">
        <v>9833</v>
      </c>
      <c r="J4079">
        <v>0</v>
      </c>
      <c r="K4079">
        <v>13</v>
      </c>
      <c r="L4079">
        <v>13</v>
      </c>
      <c r="M4079">
        <v>0</v>
      </c>
      <c r="N4079" s="23">
        <v>0</v>
      </c>
      <c r="O4079">
        <f t="shared" si="883"/>
        <v>1</v>
      </c>
      <c r="P4079" s="57">
        <f t="shared" si="884"/>
        <v>5</v>
      </c>
      <c r="Q4079" s="267">
        <f t="shared" si="885"/>
        <v>2310</v>
      </c>
      <c r="R4079" s="23">
        <f t="shared" si="886"/>
        <v>2153</v>
      </c>
      <c r="S4079" s="23">
        <f t="shared" si="887"/>
        <v>0</v>
      </c>
      <c r="T4079" s="23" t="str">
        <f t="shared" si="888"/>
        <v/>
      </c>
      <c r="U4079" t="str">
        <f t="shared" si="889"/>
        <v>PA_Alleg_2019g~Gen-school director south park (vote for 5)</v>
      </c>
      <c r="V4079" s="87"/>
      <c r="AF4079" s="22"/>
      <c r="AU4079" s="10"/>
    </row>
    <row r="4080" spans="1:47">
      <c r="A4080" t="str">
        <f t="shared" si="882"/>
        <v>PA_Alleg_2019g~Gen-school director south park (vote for 5)</v>
      </c>
      <c r="B4080" s="55" t="s">
        <v>1528</v>
      </c>
      <c r="C4080">
        <v>261</v>
      </c>
      <c r="D4080" s="55" t="s">
        <v>279</v>
      </c>
      <c r="E4080" s="55" t="s">
        <v>284</v>
      </c>
      <c r="F4080" t="s">
        <v>1396</v>
      </c>
      <c r="G4080" s="62">
        <v>2266</v>
      </c>
      <c r="H4080">
        <v>20.170000000000002</v>
      </c>
      <c r="I4080">
        <v>9833</v>
      </c>
      <c r="J4080">
        <v>0</v>
      </c>
      <c r="K4080">
        <v>13</v>
      </c>
      <c r="L4080">
        <v>13</v>
      </c>
      <c r="M4080">
        <v>0</v>
      </c>
      <c r="N4080" s="23">
        <v>0</v>
      </c>
      <c r="O4080">
        <f t="shared" si="883"/>
        <v>2</v>
      </c>
      <c r="P4080" s="57">
        <f t="shared" si="884"/>
        <v>5</v>
      </c>
      <c r="Q4080" s="267">
        <f t="shared" si="885"/>
        <v>8923</v>
      </c>
      <c r="R4080" s="23">
        <f t="shared" si="886"/>
        <v>2153</v>
      </c>
      <c r="S4080" s="23">
        <f t="shared" si="887"/>
        <v>0</v>
      </c>
      <c r="T4080" s="23" t="str">
        <f t="shared" si="888"/>
        <v/>
      </c>
      <c r="U4080" t="str">
        <f t="shared" si="889"/>
        <v/>
      </c>
      <c r="V4080" s="87"/>
      <c r="AF4080" s="22"/>
      <c r="AG4080" s="23"/>
      <c r="AH4080" s="8"/>
      <c r="AU4080" s="10"/>
    </row>
    <row r="4081" spans="1:47">
      <c r="A4081" t="str">
        <f t="shared" si="882"/>
        <v>PA_Alleg_2019g~Gen-school director south park (vote for 5)</v>
      </c>
      <c r="B4081" s="55" t="s">
        <v>1528</v>
      </c>
      <c r="C4081">
        <v>259</v>
      </c>
      <c r="D4081" s="55" t="s">
        <v>279</v>
      </c>
      <c r="E4081" s="55" t="s">
        <v>280</v>
      </c>
      <c r="F4081" t="s">
        <v>1396</v>
      </c>
      <c r="G4081" s="62">
        <v>2239</v>
      </c>
      <c r="H4081">
        <v>19.93</v>
      </c>
      <c r="I4081">
        <v>9833</v>
      </c>
      <c r="J4081">
        <v>0</v>
      </c>
      <c r="K4081">
        <v>13</v>
      </c>
      <c r="L4081">
        <v>13</v>
      </c>
      <c r="M4081">
        <v>0</v>
      </c>
      <c r="N4081" s="23">
        <v>0</v>
      </c>
      <c r="O4081">
        <f t="shared" si="883"/>
        <v>3</v>
      </c>
      <c r="P4081" s="57">
        <f t="shared" si="884"/>
        <v>5</v>
      </c>
      <c r="Q4081" s="267">
        <f t="shared" si="885"/>
        <v>6657</v>
      </c>
      <c r="R4081" s="23">
        <f t="shared" si="886"/>
        <v>2153</v>
      </c>
      <c r="S4081" s="23">
        <f t="shared" si="887"/>
        <v>0</v>
      </c>
      <c r="T4081" s="23" t="str">
        <f t="shared" si="888"/>
        <v/>
      </c>
      <c r="U4081" t="str">
        <f t="shared" si="889"/>
        <v/>
      </c>
      <c r="V4081" s="87"/>
      <c r="AF4081" s="22"/>
      <c r="AU4081" s="10"/>
    </row>
    <row r="4082" spans="1:47">
      <c r="A4082" t="str">
        <f t="shared" si="882"/>
        <v>PA_Alleg_2019g~Gen-school director south park (vote for 5)</v>
      </c>
      <c r="B4082" s="55" t="s">
        <v>1528</v>
      </c>
      <c r="C4082">
        <v>258</v>
      </c>
      <c r="D4082" s="55" t="s">
        <v>279</v>
      </c>
      <c r="E4082" s="55" t="s">
        <v>281</v>
      </c>
      <c r="F4082" t="s">
        <v>1396</v>
      </c>
      <c r="G4082" s="62">
        <v>2215</v>
      </c>
      <c r="H4082">
        <v>19.72</v>
      </c>
      <c r="I4082">
        <v>9833</v>
      </c>
      <c r="J4082">
        <v>0</v>
      </c>
      <c r="K4082">
        <v>13</v>
      </c>
      <c r="L4082">
        <v>13</v>
      </c>
      <c r="M4082">
        <v>0</v>
      </c>
      <c r="N4082" s="23">
        <v>0</v>
      </c>
      <c r="O4082">
        <f t="shared" si="883"/>
        <v>4</v>
      </c>
      <c r="P4082" s="57">
        <f t="shared" si="884"/>
        <v>5</v>
      </c>
      <c r="Q4082" s="267">
        <f t="shared" si="885"/>
        <v>4418</v>
      </c>
      <c r="R4082" s="23">
        <f t="shared" si="886"/>
        <v>2153</v>
      </c>
      <c r="S4082" s="23">
        <f t="shared" si="887"/>
        <v>0</v>
      </c>
      <c r="T4082" s="23" t="str">
        <f t="shared" si="888"/>
        <v/>
      </c>
      <c r="U4082" t="str">
        <f t="shared" si="889"/>
        <v/>
      </c>
      <c r="V4082" s="87"/>
      <c r="AF4082" s="22"/>
      <c r="AU4082" s="10"/>
    </row>
    <row r="4083" spans="1:47">
      <c r="A4083" t="str">
        <f t="shared" si="882"/>
        <v>PA_Alleg_2019g~Gen-school director south park (vote for 5)</v>
      </c>
      <c r="B4083" s="55" t="s">
        <v>1528</v>
      </c>
      <c r="C4083">
        <v>260</v>
      </c>
      <c r="D4083" s="55" t="s">
        <v>279</v>
      </c>
      <c r="E4083" s="55" t="s">
        <v>282</v>
      </c>
      <c r="F4083" t="s">
        <v>1396</v>
      </c>
      <c r="G4083" s="62">
        <v>2153</v>
      </c>
      <c r="H4083">
        <v>19.170000000000002</v>
      </c>
      <c r="I4083">
        <v>9833</v>
      </c>
      <c r="J4083">
        <v>0</v>
      </c>
      <c r="K4083">
        <v>13</v>
      </c>
      <c r="L4083">
        <v>13</v>
      </c>
      <c r="M4083">
        <v>0</v>
      </c>
      <c r="N4083" s="23">
        <v>0</v>
      </c>
      <c r="O4083">
        <f t="shared" si="883"/>
        <v>5</v>
      </c>
      <c r="P4083" s="57">
        <f t="shared" si="884"/>
        <v>5</v>
      </c>
      <c r="Q4083" s="267">
        <f t="shared" si="885"/>
        <v>2203</v>
      </c>
      <c r="R4083" s="23">
        <f t="shared" si="886"/>
        <v>2153</v>
      </c>
      <c r="S4083" s="23">
        <f t="shared" si="887"/>
        <v>0</v>
      </c>
      <c r="T4083" s="23" t="str">
        <f t="shared" si="888"/>
        <v/>
      </c>
      <c r="U4083" t="str">
        <f t="shared" si="889"/>
        <v/>
      </c>
      <c r="V4083" s="87"/>
      <c r="AF4083" s="22"/>
      <c r="AU4083" s="10"/>
    </row>
    <row r="4084" spans="1:47">
      <c r="A4084" t="str">
        <f t="shared" si="882"/>
        <v>PA_Alleg_2019g~Gen-school director south park (vote for 5)</v>
      </c>
      <c r="B4084" s="55" t="s">
        <v>1528</v>
      </c>
      <c r="C4084">
        <v>262</v>
      </c>
      <c r="D4084" s="55" t="s">
        <v>279</v>
      </c>
      <c r="E4084" s="55" t="s">
        <v>15</v>
      </c>
      <c r="G4084" s="62">
        <v>50</v>
      </c>
      <c r="H4084">
        <v>0.45</v>
      </c>
      <c r="I4084">
        <v>9833</v>
      </c>
      <c r="J4084">
        <v>0</v>
      </c>
      <c r="K4084">
        <v>13</v>
      </c>
      <c r="L4084">
        <v>13</v>
      </c>
      <c r="M4084">
        <v>0</v>
      </c>
      <c r="N4084" s="23">
        <v>0</v>
      </c>
      <c r="O4084">
        <f t="shared" si="883"/>
        <v>-5</v>
      </c>
      <c r="P4084" s="57">
        <f t="shared" si="884"/>
        <v>5</v>
      </c>
      <c r="Q4084" s="267">
        <f t="shared" si="885"/>
        <v>50</v>
      </c>
      <c r="R4084" s="23">
        <f t="shared" si="886"/>
        <v>1</v>
      </c>
      <c r="S4084" s="23">
        <f t="shared" si="887"/>
        <v>0</v>
      </c>
      <c r="T4084" s="23" t="str">
        <f t="shared" si="888"/>
        <v/>
      </c>
      <c r="U4084" t="str">
        <f t="shared" si="889"/>
        <v/>
      </c>
      <c r="V4084" s="87"/>
      <c r="AF4084" s="22"/>
      <c r="AU4084" s="10"/>
    </row>
    <row r="4085" spans="1:47">
      <c r="A4085" t="str">
        <f t="shared" si="882"/>
        <v>PA_Alleg_2019g~Gen-school director steel valley region 2 (vote for 1)</v>
      </c>
      <c r="B4085" s="55" t="s">
        <v>1528</v>
      </c>
      <c r="C4085">
        <v>388</v>
      </c>
      <c r="D4085" s="55" t="s">
        <v>419</v>
      </c>
      <c r="E4085" s="55" t="s">
        <v>420</v>
      </c>
      <c r="F4085" t="s">
        <v>1396</v>
      </c>
      <c r="G4085" s="62">
        <v>838</v>
      </c>
      <c r="H4085">
        <v>99.29</v>
      </c>
      <c r="I4085">
        <v>3210</v>
      </c>
      <c r="J4085">
        <v>0</v>
      </c>
      <c r="K4085">
        <v>6</v>
      </c>
      <c r="L4085">
        <v>6</v>
      </c>
      <c r="M4085">
        <v>0</v>
      </c>
      <c r="N4085" s="23">
        <v>0</v>
      </c>
      <c r="O4085">
        <f t="shared" si="883"/>
        <v>1</v>
      </c>
      <c r="P4085" s="57">
        <f t="shared" si="884"/>
        <v>1</v>
      </c>
      <c r="Q4085" s="267">
        <f t="shared" si="885"/>
        <v>844</v>
      </c>
      <c r="R4085" s="23">
        <f t="shared" si="886"/>
        <v>838</v>
      </c>
      <c r="S4085" s="23">
        <f t="shared" si="887"/>
        <v>0</v>
      </c>
      <c r="T4085" s="23" t="str">
        <f t="shared" si="888"/>
        <v/>
      </c>
      <c r="U4085" t="str">
        <f t="shared" si="889"/>
        <v>PA_Alleg_2019g~Gen-school director steel valley region 2 (vote for 1)</v>
      </c>
      <c r="V4085" s="87"/>
      <c r="AF4085" s="88"/>
      <c r="AG4085" s="302"/>
      <c r="AH4085" s="301"/>
      <c r="AI4085" s="303"/>
      <c r="AJ4085" s="303"/>
      <c r="AK4085" s="342"/>
      <c r="AL4085" s="343"/>
      <c r="AU4085" s="10"/>
    </row>
    <row r="4086" spans="1:47">
      <c r="A4086" t="str">
        <f t="shared" si="882"/>
        <v>PA_Alleg_2019g~Gen-school director steel valley region 2 (vote for 1)</v>
      </c>
      <c r="B4086" s="55" t="s">
        <v>1528</v>
      </c>
      <c r="C4086">
        <v>389</v>
      </c>
      <c r="D4086" s="55" t="s">
        <v>419</v>
      </c>
      <c r="E4086" s="55" t="s">
        <v>15</v>
      </c>
      <c r="G4086" s="62">
        <v>6</v>
      </c>
      <c r="H4086">
        <v>0.71</v>
      </c>
      <c r="I4086">
        <v>3210</v>
      </c>
      <c r="J4086">
        <v>0</v>
      </c>
      <c r="K4086">
        <v>6</v>
      </c>
      <c r="L4086">
        <v>6</v>
      </c>
      <c r="M4086">
        <v>0</v>
      </c>
      <c r="N4086" s="23">
        <v>0</v>
      </c>
      <c r="O4086">
        <f t="shared" si="883"/>
        <v>-1</v>
      </c>
      <c r="P4086" s="57">
        <f t="shared" si="884"/>
        <v>1</v>
      </c>
      <c r="Q4086" s="267">
        <f t="shared" si="885"/>
        <v>6</v>
      </c>
      <c r="R4086" s="23">
        <f t="shared" si="886"/>
        <v>1</v>
      </c>
      <c r="S4086" s="23">
        <f t="shared" si="887"/>
        <v>0</v>
      </c>
      <c r="T4086" s="23" t="str">
        <f t="shared" si="888"/>
        <v/>
      </c>
      <c r="U4086" t="str">
        <f t="shared" si="889"/>
        <v/>
      </c>
      <c r="V4086" s="87"/>
      <c r="AF4086" s="22"/>
      <c r="AL4086" s="23"/>
      <c r="AU4086" s="10"/>
    </row>
    <row r="4087" spans="1:47">
      <c r="A4087" t="str">
        <f t="shared" si="882"/>
        <v>PA_Alleg_2019g~Gen-school director steel valley region 3 (vote for 1)</v>
      </c>
      <c r="B4087" s="55" t="s">
        <v>1528</v>
      </c>
      <c r="C4087">
        <v>420</v>
      </c>
      <c r="D4087" s="55" t="s">
        <v>449</v>
      </c>
      <c r="E4087" s="55" t="s">
        <v>450</v>
      </c>
      <c r="F4087" t="s">
        <v>1396</v>
      </c>
      <c r="G4087" s="62">
        <v>1235</v>
      </c>
      <c r="H4087">
        <v>99.2</v>
      </c>
      <c r="I4087">
        <v>4018</v>
      </c>
      <c r="J4087">
        <v>0</v>
      </c>
      <c r="K4087">
        <v>5</v>
      </c>
      <c r="L4087">
        <v>5</v>
      </c>
      <c r="M4087">
        <v>0</v>
      </c>
      <c r="N4087" s="23">
        <v>0</v>
      </c>
      <c r="O4087">
        <f t="shared" si="883"/>
        <v>1</v>
      </c>
      <c r="P4087" s="57">
        <f t="shared" si="884"/>
        <v>1</v>
      </c>
      <c r="Q4087" s="267">
        <f t="shared" si="885"/>
        <v>1245</v>
      </c>
      <c r="R4087" s="23">
        <f t="shared" si="886"/>
        <v>1235</v>
      </c>
      <c r="S4087" s="23">
        <f t="shared" si="887"/>
        <v>0</v>
      </c>
      <c r="T4087" s="23" t="str">
        <f t="shared" si="888"/>
        <v/>
      </c>
      <c r="U4087" t="str">
        <f t="shared" si="889"/>
        <v>PA_Alleg_2019g~Gen-school director steel valley region 3 (vote for 1)</v>
      </c>
      <c r="V4087" s="87"/>
      <c r="AF4087" s="22"/>
      <c r="AU4087" s="10"/>
    </row>
    <row r="4088" spans="1:47">
      <c r="A4088" t="str">
        <f t="shared" ref="A4088:A4151" si="890">CONCATENATE(B4088,"~Gen-",LOWER(D4088))</f>
        <v>PA_Alleg_2019g~Gen-school director steel valley region 3 (vote for 1)</v>
      </c>
      <c r="B4088" s="55" t="s">
        <v>1528</v>
      </c>
      <c r="C4088">
        <v>421</v>
      </c>
      <c r="D4088" s="55" t="s">
        <v>449</v>
      </c>
      <c r="E4088" s="55" t="s">
        <v>15</v>
      </c>
      <c r="G4088" s="62">
        <v>10</v>
      </c>
      <c r="H4088">
        <v>0.8</v>
      </c>
      <c r="I4088">
        <v>4018</v>
      </c>
      <c r="J4088">
        <v>0</v>
      </c>
      <c r="K4088">
        <v>5</v>
      </c>
      <c r="L4088">
        <v>5</v>
      </c>
      <c r="M4088">
        <v>0</v>
      </c>
      <c r="N4088" s="23">
        <v>0</v>
      </c>
      <c r="O4088">
        <f t="shared" si="883"/>
        <v>-1</v>
      </c>
      <c r="P4088" s="57">
        <f t="shared" si="884"/>
        <v>1</v>
      </c>
      <c r="Q4088" s="267">
        <f t="shared" si="885"/>
        <v>10</v>
      </c>
      <c r="R4088" s="23">
        <f t="shared" si="886"/>
        <v>1</v>
      </c>
      <c r="S4088" s="23">
        <f t="shared" si="887"/>
        <v>0</v>
      </c>
      <c r="T4088" s="23" t="str">
        <f t="shared" si="888"/>
        <v/>
      </c>
      <c r="U4088" t="str">
        <f t="shared" si="889"/>
        <v/>
      </c>
      <c r="V4088" s="87"/>
      <c r="AF4088" s="88"/>
      <c r="AL4088" s="23"/>
      <c r="AU4088" s="10"/>
    </row>
    <row r="4089" spans="1:47">
      <c r="A4089" t="str">
        <f t="shared" si="890"/>
        <v>PA_Alleg_2019g~Gen-school director sto-rox region 1 (vote for 2)</v>
      </c>
      <c r="B4089" s="55" t="s">
        <v>1528</v>
      </c>
      <c r="C4089">
        <v>334</v>
      </c>
      <c r="D4089" s="55" t="s">
        <v>365</v>
      </c>
      <c r="E4089" s="55" t="s">
        <v>366</v>
      </c>
      <c r="F4089" t="s">
        <v>1294</v>
      </c>
      <c r="G4089" s="62">
        <v>546</v>
      </c>
      <c r="H4089">
        <v>51.41</v>
      </c>
      <c r="I4089">
        <v>4094</v>
      </c>
      <c r="J4089">
        <v>0</v>
      </c>
      <c r="K4089">
        <v>7</v>
      </c>
      <c r="L4089">
        <v>7</v>
      </c>
      <c r="M4089">
        <v>0</v>
      </c>
      <c r="N4089" s="23">
        <v>0</v>
      </c>
      <c r="O4089">
        <f t="shared" si="883"/>
        <v>1</v>
      </c>
      <c r="P4089" s="57">
        <f t="shared" si="884"/>
        <v>2</v>
      </c>
      <c r="Q4089" s="267">
        <f t="shared" si="885"/>
        <v>546</v>
      </c>
      <c r="R4089" s="23">
        <f t="shared" si="886"/>
        <v>503</v>
      </c>
      <c r="S4089" s="23">
        <f t="shared" si="887"/>
        <v>0</v>
      </c>
      <c r="T4089" s="23" t="str">
        <f t="shared" si="888"/>
        <v/>
      </c>
      <c r="U4089" t="str">
        <f t="shared" si="889"/>
        <v>PA_Alleg_2019g~Gen-school director sto-rox region 1 (vote for 2)</v>
      </c>
      <c r="V4089" s="87"/>
      <c r="AF4089" s="22"/>
      <c r="AL4089" s="23"/>
      <c r="AU4089" s="10"/>
    </row>
    <row r="4090" spans="1:47">
      <c r="A4090" t="str">
        <f t="shared" si="890"/>
        <v>PA_Alleg_2019g~Gen-school director sto-rox region 1 (vote for 2)</v>
      </c>
      <c r="B4090" s="55" t="s">
        <v>1528</v>
      </c>
      <c r="C4090">
        <v>335</v>
      </c>
      <c r="D4090" s="55" t="s">
        <v>365</v>
      </c>
      <c r="E4090" s="55" t="s">
        <v>367</v>
      </c>
      <c r="F4090" t="s">
        <v>1294</v>
      </c>
      <c r="G4090" s="62">
        <v>503</v>
      </c>
      <c r="H4090">
        <v>47.36</v>
      </c>
      <c r="I4090">
        <v>4094</v>
      </c>
      <c r="J4090">
        <v>0</v>
      </c>
      <c r="K4090">
        <v>7</v>
      </c>
      <c r="L4090">
        <v>7</v>
      </c>
      <c r="M4090">
        <v>0</v>
      </c>
      <c r="N4090" s="23">
        <v>0</v>
      </c>
      <c r="O4090">
        <f t="shared" si="883"/>
        <v>2</v>
      </c>
      <c r="P4090" s="57">
        <f t="shared" si="884"/>
        <v>2</v>
      </c>
      <c r="Q4090" s="267">
        <f t="shared" si="885"/>
        <v>516</v>
      </c>
      <c r="R4090" s="23">
        <f t="shared" si="886"/>
        <v>503</v>
      </c>
      <c r="S4090" s="23">
        <f t="shared" si="887"/>
        <v>0</v>
      </c>
      <c r="T4090" s="23" t="str">
        <f t="shared" si="888"/>
        <v/>
      </c>
      <c r="U4090" t="str">
        <f t="shared" si="889"/>
        <v/>
      </c>
      <c r="V4090" s="87"/>
      <c r="AF4090" s="22"/>
      <c r="AG4090" s="23"/>
      <c r="AH4090" s="8"/>
      <c r="AU4090" s="10"/>
    </row>
    <row r="4091" spans="1:47">
      <c r="A4091" t="str">
        <f t="shared" si="890"/>
        <v>PA_Alleg_2019g~Gen-school director sto-rox region 1 (vote for 2)</v>
      </c>
      <c r="B4091" s="55" t="s">
        <v>1528</v>
      </c>
      <c r="C4091">
        <v>336</v>
      </c>
      <c r="D4091" s="55" t="s">
        <v>365</v>
      </c>
      <c r="E4091" s="55" t="s">
        <v>15</v>
      </c>
      <c r="G4091" s="62">
        <v>13</v>
      </c>
      <c r="H4091">
        <v>1.22</v>
      </c>
      <c r="I4091">
        <v>4094</v>
      </c>
      <c r="J4091">
        <v>0</v>
      </c>
      <c r="K4091">
        <v>7</v>
      </c>
      <c r="L4091">
        <v>7</v>
      </c>
      <c r="M4091">
        <v>0</v>
      </c>
      <c r="N4091" s="23">
        <v>0</v>
      </c>
      <c r="O4091">
        <f t="shared" si="883"/>
        <v>-2</v>
      </c>
      <c r="P4091" s="57">
        <f t="shared" si="884"/>
        <v>2</v>
      </c>
      <c r="Q4091" s="267">
        <f t="shared" si="885"/>
        <v>13</v>
      </c>
      <c r="R4091" s="23">
        <f t="shared" si="886"/>
        <v>1</v>
      </c>
      <c r="S4091" s="23">
        <f t="shared" si="887"/>
        <v>0</v>
      </c>
      <c r="T4091" s="23" t="str">
        <f t="shared" si="888"/>
        <v/>
      </c>
      <c r="U4091" t="str">
        <f t="shared" si="889"/>
        <v/>
      </c>
      <c r="V4091" s="87"/>
      <c r="AF4091" s="22"/>
      <c r="AH4091" s="8"/>
      <c r="AU4091" s="10"/>
    </row>
    <row r="4092" spans="1:47">
      <c r="A4092" t="str">
        <f t="shared" si="890"/>
        <v>PA_Alleg_2019g~Gen-school director sto-rox region 2 (vote for 1)</v>
      </c>
      <c r="B4092" s="55" t="s">
        <v>1528</v>
      </c>
      <c r="C4092">
        <v>392</v>
      </c>
      <c r="D4092" s="55" t="s">
        <v>421</v>
      </c>
      <c r="E4092" s="55" t="s">
        <v>403</v>
      </c>
      <c r="F4092" t="s">
        <v>1294</v>
      </c>
      <c r="G4092" s="62">
        <v>714</v>
      </c>
      <c r="H4092">
        <v>97.81</v>
      </c>
      <c r="I4092">
        <v>4393</v>
      </c>
      <c r="J4092">
        <v>0</v>
      </c>
      <c r="K4092">
        <v>11</v>
      </c>
      <c r="L4092">
        <v>11</v>
      </c>
      <c r="M4092">
        <v>0</v>
      </c>
      <c r="N4092" s="23">
        <v>0</v>
      </c>
      <c r="O4092">
        <f t="shared" si="883"/>
        <v>1</v>
      </c>
      <c r="P4092" s="57">
        <f t="shared" si="884"/>
        <v>1</v>
      </c>
      <c r="Q4092" s="267">
        <f t="shared" si="885"/>
        <v>730</v>
      </c>
      <c r="R4092" s="23">
        <f t="shared" si="886"/>
        <v>714</v>
      </c>
      <c r="S4092" s="23">
        <f t="shared" si="887"/>
        <v>0</v>
      </c>
      <c r="T4092" s="23" t="str">
        <f t="shared" si="888"/>
        <v/>
      </c>
      <c r="U4092" t="str">
        <f t="shared" si="889"/>
        <v>PA_Alleg_2019g~Gen-school director sto-rox region 2 (vote for 1)</v>
      </c>
      <c r="V4092" s="87"/>
      <c r="AF4092" s="22"/>
      <c r="AU4092" s="10"/>
    </row>
    <row r="4093" spans="1:47">
      <c r="A4093" t="str">
        <f t="shared" si="890"/>
        <v>PA_Alleg_2019g~Gen-school director sto-rox region 2 (vote for 1)</v>
      </c>
      <c r="B4093" s="55" t="s">
        <v>1528</v>
      </c>
      <c r="C4093">
        <v>393</v>
      </c>
      <c r="D4093" s="55" t="s">
        <v>421</v>
      </c>
      <c r="E4093" s="55" t="s">
        <v>15</v>
      </c>
      <c r="G4093" s="62">
        <v>16</v>
      </c>
      <c r="H4093">
        <v>2.19</v>
      </c>
      <c r="I4093">
        <v>4393</v>
      </c>
      <c r="J4093">
        <v>0</v>
      </c>
      <c r="K4093">
        <v>11</v>
      </c>
      <c r="L4093">
        <v>11</v>
      </c>
      <c r="M4093">
        <v>0</v>
      </c>
      <c r="N4093" s="23">
        <v>0</v>
      </c>
      <c r="O4093">
        <f t="shared" si="883"/>
        <v>-1</v>
      </c>
      <c r="P4093" s="57">
        <f t="shared" si="884"/>
        <v>1</v>
      </c>
      <c r="Q4093" s="267">
        <f t="shared" si="885"/>
        <v>16</v>
      </c>
      <c r="R4093" s="23">
        <f t="shared" si="886"/>
        <v>1</v>
      </c>
      <c r="S4093" s="23">
        <f t="shared" si="887"/>
        <v>0</v>
      </c>
      <c r="T4093" s="23" t="str">
        <f t="shared" si="888"/>
        <v/>
      </c>
      <c r="U4093" t="str">
        <f t="shared" si="889"/>
        <v/>
      </c>
      <c r="V4093" s="87"/>
      <c r="AF4093" s="22"/>
      <c r="AU4093" s="10"/>
    </row>
    <row r="4094" spans="1:47">
      <c r="A4094" t="str">
        <f t="shared" si="890"/>
        <v>PA_Alleg_2019g~Gen-school director sto-rox region 2 (vote for 2)</v>
      </c>
      <c r="B4094" s="55" t="s">
        <v>1528</v>
      </c>
      <c r="C4094">
        <v>373</v>
      </c>
      <c r="D4094" s="55" t="s">
        <v>402</v>
      </c>
      <c r="E4094" s="55" t="s">
        <v>403</v>
      </c>
      <c r="F4094" t="s">
        <v>1294</v>
      </c>
      <c r="G4094" s="62">
        <v>666</v>
      </c>
      <c r="H4094">
        <v>51.91</v>
      </c>
      <c r="I4094">
        <v>4393</v>
      </c>
      <c r="J4094">
        <v>0</v>
      </c>
      <c r="K4094">
        <v>11</v>
      </c>
      <c r="L4094">
        <v>11</v>
      </c>
      <c r="M4094">
        <v>0</v>
      </c>
      <c r="N4094" s="23">
        <v>0</v>
      </c>
      <c r="O4094">
        <f t="shared" si="883"/>
        <v>1</v>
      </c>
      <c r="P4094" s="57">
        <f t="shared" si="884"/>
        <v>2</v>
      </c>
      <c r="Q4094" s="267">
        <f t="shared" si="885"/>
        <v>666</v>
      </c>
      <c r="R4094" s="23">
        <f t="shared" si="886"/>
        <v>601</v>
      </c>
      <c r="S4094" s="23">
        <f t="shared" si="887"/>
        <v>0</v>
      </c>
      <c r="T4094" s="23" t="str">
        <f t="shared" si="888"/>
        <v/>
      </c>
      <c r="U4094" t="str">
        <f t="shared" si="889"/>
        <v>PA_Alleg_2019g~Gen-school director sto-rox region 2 (vote for 2)</v>
      </c>
      <c r="V4094" s="87"/>
      <c r="AF4094" s="22"/>
      <c r="AU4094" s="10"/>
    </row>
    <row r="4095" spans="1:47">
      <c r="A4095" t="str">
        <f t="shared" si="890"/>
        <v>PA_Alleg_2019g~Gen-school director sto-rox region 2 (vote for 2)</v>
      </c>
      <c r="B4095" s="55" t="s">
        <v>1528</v>
      </c>
      <c r="C4095">
        <v>374</v>
      </c>
      <c r="D4095" s="55" t="s">
        <v>402</v>
      </c>
      <c r="E4095" s="55" t="s">
        <v>404</v>
      </c>
      <c r="F4095" t="s">
        <v>1294</v>
      </c>
      <c r="G4095" s="62">
        <v>601</v>
      </c>
      <c r="H4095">
        <v>46.84</v>
      </c>
      <c r="I4095">
        <v>4393</v>
      </c>
      <c r="J4095">
        <v>0</v>
      </c>
      <c r="K4095">
        <v>11</v>
      </c>
      <c r="L4095">
        <v>11</v>
      </c>
      <c r="M4095">
        <v>0</v>
      </c>
      <c r="N4095" s="23">
        <v>0</v>
      </c>
      <c r="O4095">
        <f t="shared" si="883"/>
        <v>2</v>
      </c>
      <c r="P4095" s="57">
        <f t="shared" si="884"/>
        <v>2</v>
      </c>
      <c r="Q4095" s="267">
        <f t="shared" si="885"/>
        <v>617</v>
      </c>
      <c r="R4095" s="23">
        <f t="shared" si="886"/>
        <v>601</v>
      </c>
      <c r="S4095" s="23">
        <f t="shared" si="887"/>
        <v>0</v>
      </c>
      <c r="T4095" s="23" t="str">
        <f t="shared" si="888"/>
        <v/>
      </c>
      <c r="U4095" t="str">
        <f t="shared" si="889"/>
        <v/>
      </c>
      <c r="V4095" s="87"/>
      <c r="AF4095" s="22"/>
      <c r="AU4095" s="10"/>
    </row>
    <row r="4096" spans="1:47">
      <c r="A4096" t="str">
        <f t="shared" si="890"/>
        <v>PA_Alleg_2019g~Gen-school director sto-rox region 2 (vote for 2)</v>
      </c>
      <c r="B4096" s="55" t="s">
        <v>1528</v>
      </c>
      <c r="C4096">
        <v>375</v>
      </c>
      <c r="D4096" s="55" t="s">
        <v>402</v>
      </c>
      <c r="E4096" s="55" t="s">
        <v>15</v>
      </c>
      <c r="G4096" s="62">
        <v>16</v>
      </c>
      <c r="H4096">
        <v>1.25</v>
      </c>
      <c r="I4096">
        <v>4393</v>
      </c>
      <c r="J4096">
        <v>0</v>
      </c>
      <c r="K4096">
        <v>11</v>
      </c>
      <c r="L4096">
        <v>11</v>
      </c>
      <c r="M4096">
        <v>0</v>
      </c>
      <c r="N4096" s="23">
        <v>0</v>
      </c>
      <c r="O4096">
        <f t="shared" si="883"/>
        <v>-2</v>
      </c>
      <c r="P4096" s="57">
        <f t="shared" si="884"/>
        <v>2</v>
      </c>
      <c r="Q4096" s="267">
        <f t="shared" si="885"/>
        <v>16</v>
      </c>
      <c r="R4096" s="23">
        <f t="shared" si="886"/>
        <v>1</v>
      </c>
      <c r="S4096" s="23">
        <f t="shared" si="887"/>
        <v>0</v>
      </c>
      <c r="T4096" s="23" t="str">
        <f t="shared" si="888"/>
        <v/>
      </c>
      <c r="U4096" t="str">
        <f t="shared" si="889"/>
        <v/>
      </c>
      <c r="V4096" s="87"/>
      <c r="AF4096" s="22"/>
      <c r="AU4096" s="10"/>
    </row>
    <row r="4097" spans="1:47">
      <c r="A4097" t="str">
        <f t="shared" si="890"/>
        <v>PA_Alleg_2019g~Gen-school director upper saint clair (vote for 5)</v>
      </c>
      <c r="B4097" s="55" t="s">
        <v>1528</v>
      </c>
      <c r="C4097">
        <v>263</v>
      </c>
      <c r="D4097" s="55" t="s">
        <v>285</v>
      </c>
      <c r="E4097" s="55" t="s">
        <v>290</v>
      </c>
      <c r="F4097" t="s">
        <v>1396</v>
      </c>
      <c r="G4097" s="62">
        <v>4132</v>
      </c>
      <c r="H4097">
        <v>18.71</v>
      </c>
      <c r="I4097">
        <v>16496</v>
      </c>
      <c r="J4097">
        <v>0</v>
      </c>
      <c r="K4097">
        <v>18</v>
      </c>
      <c r="L4097">
        <v>18</v>
      </c>
      <c r="M4097">
        <v>0</v>
      </c>
      <c r="N4097" s="23">
        <v>0</v>
      </c>
      <c r="O4097">
        <f t="shared" si="883"/>
        <v>1</v>
      </c>
      <c r="P4097" s="57">
        <f t="shared" si="884"/>
        <v>5</v>
      </c>
      <c r="Q4097" s="267">
        <f t="shared" si="885"/>
        <v>4416.3999999999996</v>
      </c>
      <c r="R4097" s="23">
        <f t="shared" si="886"/>
        <v>2769</v>
      </c>
      <c r="S4097" s="23">
        <f t="shared" si="887"/>
        <v>2348</v>
      </c>
      <c r="T4097" s="23">
        <f t="shared" si="888"/>
        <v>421</v>
      </c>
      <c r="U4097" t="str">
        <f t="shared" si="889"/>
        <v>PA_Alleg_2019g~Gen-school director upper saint clair (vote for 5)</v>
      </c>
      <c r="V4097" s="87"/>
      <c r="AF4097" s="22"/>
      <c r="AU4097" s="10"/>
    </row>
    <row r="4098" spans="1:47">
      <c r="A4098" t="str">
        <f t="shared" si="890"/>
        <v>PA_Alleg_2019g~Gen-school director upper saint clair (vote for 5)</v>
      </c>
      <c r="B4098" s="55" t="s">
        <v>1528</v>
      </c>
      <c r="C4098">
        <v>264</v>
      </c>
      <c r="D4098" s="55" t="s">
        <v>285</v>
      </c>
      <c r="E4098" s="55" t="s">
        <v>287</v>
      </c>
      <c r="F4098" t="s">
        <v>1396</v>
      </c>
      <c r="G4098" s="62">
        <v>4062</v>
      </c>
      <c r="H4098">
        <v>18.399999999999999</v>
      </c>
      <c r="I4098">
        <v>16496</v>
      </c>
      <c r="J4098">
        <v>0</v>
      </c>
      <c r="K4098">
        <v>18</v>
      </c>
      <c r="L4098">
        <v>18</v>
      </c>
      <c r="M4098">
        <v>0</v>
      </c>
      <c r="N4098" s="23">
        <v>0</v>
      </c>
      <c r="O4098">
        <f t="shared" ref="O4098:O4161" si="891">IF(OR(LOWER(LEFT(E4098,8))="write-in",LOWER(LEFT(E4098,8))="not qual"),IF(A4098=A4097,-ABS(O4097),0),IF(A4098=A4097,ABS(O4097)+1,1))</f>
        <v>2</v>
      </c>
      <c r="P4098" s="57">
        <f t="shared" ref="P4098:P4161" si="892">1*LEFT(RIGHT(A4098,2),1)</f>
        <v>5</v>
      </c>
      <c r="Q4098" s="267">
        <f t="shared" ref="Q4098:Q4161" si="893">IF(A4098&lt;&gt;A4099,G4098,IF(A4098=A4097,G4098+Q4099,MAX(G4098,(G4098+Q4099)/P4098)))</f>
        <v>17950</v>
      </c>
      <c r="R4098" s="23">
        <f t="shared" ref="R4098:R4161" si="894">IF(O4098&gt;P4098,"",IF(O4098=P4098,G4098,IF(A4098=A4099,R4099,IF(O4098&lt;=0,1,G4098))))</f>
        <v>2769</v>
      </c>
      <c r="S4098" s="23">
        <f t="shared" ref="S4098:S4161" si="895">IF(AND(O4098&gt;P4098,LOWER(LEFT(E4098,8))&lt;&gt;"write-in",LOWER(LEFT(E4098,8))&lt;&gt;"not qual"),G4098,IF(A4098=A4099,S4099,0))</f>
        <v>2348</v>
      </c>
      <c r="T4098" s="23" t="str">
        <f t="shared" ref="T4098:T4161" si="896">IF(OR(A4098=A4097,S4098=0),"",R4098-ABS(S4098))</f>
        <v/>
      </c>
      <c r="U4098" t="str">
        <f t="shared" ref="U4098:U4161" si="897">IF(A4098=A4097,"",A4098)</f>
        <v/>
      </c>
      <c r="V4098" s="87"/>
      <c r="AF4098" s="22"/>
      <c r="AU4098" s="10"/>
    </row>
    <row r="4099" spans="1:47">
      <c r="A4099" t="str">
        <f t="shared" si="890"/>
        <v>PA_Alleg_2019g~Gen-school director upper saint clair (vote for 5)</v>
      </c>
      <c r="B4099" s="55" t="s">
        <v>1528</v>
      </c>
      <c r="C4099">
        <v>265</v>
      </c>
      <c r="D4099" s="55" t="s">
        <v>285</v>
      </c>
      <c r="E4099" s="55" t="s">
        <v>291</v>
      </c>
      <c r="F4099" t="s">
        <v>1396</v>
      </c>
      <c r="G4099" s="62">
        <v>4028</v>
      </c>
      <c r="H4099">
        <v>18.239999999999998</v>
      </c>
      <c r="I4099">
        <v>16496</v>
      </c>
      <c r="J4099">
        <v>0</v>
      </c>
      <c r="K4099">
        <v>18</v>
      </c>
      <c r="L4099">
        <v>18</v>
      </c>
      <c r="M4099">
        <v>0</v>
      </c>
      <c r="N4099" s="23">
        <v>0</v>
      </c>
      <c r="O4099">
        <f t="shared" si="891"/>
        <v>3</v>
      </c>
      <c r="P4099" s="57">
        <f t="shared" si="892"/>
        <v>5</v>
      </c>
      <c r="Q4099" s="267">
        <f t="shared" si="893"/>
        <v>13888</v>
      </c>
      <c r="R4099" s="23">
        <f t="shared" si="894"/>
        <v>2769</v>
      </c>
      <c r="S4099" s="23">
        <f t="shared" si="895"/>
        <v>2348</v>
      </c>
      <c r="T4099" s="23" t="str">
        <f t="shared" si="896"/>
        <v/>
      </c>
      <c r="U4099" t="str">
        <f t="shared" si="897"/>
        <v/>
      </c>
      <c r="V4099" s="87"/>
      <c r="AF4099" s="22"/>
      <c r="AU4099" s="10"/>
    </row>
    <row r="4100" spans="1:47">
      <c r="A4100" t="str">
        <f t="shared" si="890"/>
        <v>PA_Alleg_2019g~Gen-school director upper saint clair (vote for 5)</v>
      </c>
      <c r="B4100" s="55" t="s">
        <v>1528</v>
      </c>
      <c r="C4100">
        <v>267</v>
      </c>
      <c r="D4100" s="55" t="s">
        <v>285</v>
      </c>
      <c r="E4100" s="55" t="s">
        <v>288</v>
      </c>
      <c r="F4100" t="s">
        <v>1396</v>
      </c>
      <c r="G4100" s="62">
        <v>3881</v>
      </c>
      <c r="H4100">
        <v>17.579999999999998</v>
      </c>
      <c r="I4100">
        <v>16496</v>
      </c>
      <c r="J4100">
        <v>0</v>
      </c>
      <c r="K4100">
        <v>18</v>
      </c>
      <c r="L4100">
        <v>18</v>
      </c>
      <c r="M4100">
        <v>0</v>
      </c>
      <c r="N4100" s="23">
        <v>0</v>
      </c>
      <c r="O4100">
        <f t="shared" si="891"/>
        <v>4</v>
      </c>
      <c r="P4100" s="57">
        <f t="shared" si="892"/>
        <v>5</v>
      </c>
      <c r="Q4100" s="267">
        <f t="shared" si="893"/>
        <v>9860</v>
      </c>
      <c r="R4100" s="23">
        <f t="shared" si="894"/>
        <v>2769</v>
      </c>
      <c r="S4100" s="23">
        <f t="shared" si="895"/>
        <v>2348</v>
      </c>
      <c r="T4100" s="23" t="str">
        <f t="shared" si="896"/>
        <v/>
      </c>
      <c r="U4100" t="str">
        <f t="shared" si="897"/>
        <v/>
      </c>
      <c r="V4100" s="87"/>
      <c r="AF4100" s="22"/>
      <c r="AU4100" s="10"/>
    </row>
    <row r="4101" spans="1:47">
      <c r="A4101" t="str">
        <f t="shared" si="890"/>
        <v>PA_Alleg_2019g~Gen-school director upper saint clair (vote for 5)</v>
      </c>
      <c r="B4101" s="55" t="s">
        <v>1528</v>
      </c>
      <c r="C4101">
        <v>268</v>
      </c>
      <c r="D4101" s="55" t="s">
        <v>285</v>
      </c>
      <c r="E4101" s="55" t="s">
        <v>293</v>
      </c>
      <c r="F4101" t="s">
        <v>1296</v>
      </c>
      <c r="G4101" s="62">
        <v>2769</v>
      </c>
      <c r="H4101">
        <v>12.54</v>
      </c>
      <c r="I4101">
        <v>16496</v>
      </c>
      <c r="J4101">
        <v>0</v>
      </c>
      <c r="K4101">
        <v>18</v>
      </c>
      <c r="L4101">
        <v>18</v>
      </c>
      <c r="M4101">
        <v>0</v>
      </c>
      <c r="N4101" s="23">
        <v>0</v>
      </c>
      <c r="O4101">
        <f t="shared" si="891"/>
        <v>5</v>
      </c>
      <c r="P4101" s="57">
        <f t="shared" si="892"/>
        <v>5</v>
      </c>
      <c r="Q4101" s="267">
        <f t="shared" si="893"/>
        <v>5979</v>
      </c>
      <c r="R4101" s="23">
        <f t="shared" si="894"/>
        <v>2769</v>
      </c>
      <c r="S4101" s="23">
        <f t="shared" si="895"/>
        <v>2348</v>
      </c>
      <c r="T4101" s="23" t="str">
        <f t="shared" si="896"/>
        <v/>
      </c>
      <c r="U4101" t="str">
        <f t="shared" si="897"/>
        <v/>
      </c>
      <c r="V4101" s="87"/>
      <c r="AF4101" s="22"/>
      <c r="AU4101" s="10"/>
    </row>
    <row r="4102" spans="1:47">
      <c r="A4102" t="str">
        <f t="shared" si="890"/>
        <v>PA_Alleg_2019g~Gen-school director upper saint clair (vote for 5)</v>
      </c>
      <c r="B4102" s="55" t="s">
        <v>1528</v>
      </c>
      <c r="C4102">
        <v>266</v>
      </c>
      <c r="D4102" s="55" t="s">
        <v>285</v>
      </c>
      <c r="E4102" s="55" t="s">
        <v>292</v>
      </c>
      <c r="F4102" t="s">
        <v>1294</v>
      </c>
      <c r="G4102" s="62">
        <v>2348</v>
      </c>
      <c r="H4102">
        <v>10.63</v>
      </c>
      <c r="I4102">
        <v>16496</v>
      </c>
      <c r="J4102">
        <v>0</v>
      </c>
      <c r="K4102">
        <v>18</v>
      </c>
      <c r="L4102">
        <v>18</v>
      </c>
      <c r="M4102">
        <v>0</v>
      </c>
      <c r="N4102" s="23">
        <v>0</v>
      </c>
      <c r="O4102">
        <f t="shared" si="891"/>
        <v>6</v>
      </c>
      <c r="P4102" s="57">
        <f t="shared" si="892"/>
        <v>5</v>
      </c>
      <c r="Q4102" s="267">
        <f t="shared" si="893"/>
        <v>3210</v>
      </c>
      <c r="R4102" s="23" t="str">
        <f t="shared" si="894"/>
        <v/>
      </c>
      <c r="S4102" s="23">
        <f t="shared" si="895"/>
        <v>2348</v>
      </c>
      <c r="T4102" s="23" t="str">
        <f t="shared" si="896"/>
        <v/>
      </c>
      <c r="U4102" t="str">
        <f t="shared" si="897"/>
        <v/>
      </c>
      <c r="V4102" s="87"/>
      <c r="AF4102" s="22"/>
      <c r="AG4102" s="89"/>
      <c r="AH4102" s="274"/>
      <c r="AI4102" s="279"/>
      <c r="AJ4102" s="280"/>
      <c r="AK4102" s="92"/>
      <c r="AL4102" s="23"/>
      <c r="AU4102" s="10"/>
    </row>
    <row r="4103" spans="1:47">
      <c r="A4103" t="str">
        <f t="shared" si="890"/>
        <v>PA_Alleg_2019g~Gen-school director upper saint clair (vote for 5)</v>
      </c>
      <c r="B4103" s="55" t="s">
        <v>1528</v>
      </c>
      <c r="C4103">
        <v>269</v>
      </c>
      <c r="D4103" s="55" t="s">
        <v>285</v>
      </c>
      <c r="E4103" s="55" t="s">
        <v>1428</v>
      </c>
      <c r="F4103" t="s">
        <v>1306</v>
      </c>
      <c r="G4103" s="62">
        <v>809</v>
      </c>
      <c r="H4103">
        <v>3.66</v>
      </c>
      <c r="I4103">
        <v>16496</v>
      </c>
      <c r="J4103">
        <v>0</v>
      </c>
      <c r="K4103">
        <v>18</v>
      </c>
      <c r="L4103">
        <v>18</v>
      </c>
      <c r="M4103">
        <v>0</v>
      </c>
      <c r="N4103" s="23">
        <v>0</v>
      </c>
      <c r="O4103">
        <f t="shared" si="891"/>
        <v>7</v>
      </c>
      <c r="P4103" s="57">
        <f t="shared" si="892"/>
        <v>5</v>
      </c>
      <c r="Q4103" s="267">
        <f t="shared" si="893"/>
        <v>862</v>
      </c>
      <c r="R4103" s="23" t="str">
        <f t="shared" si="894"/>
        <v/>
      </c>
      <c r="S4103" s="23">
        <f t="shared" si="895"/>
        <v>809</v>
      </c>
      <c r="T4103" s="23" t="str">
        <f t="shared" si="896"/>
        <v/>
      </c>
      <c r="U4103" t="str">
        <f t="shared" si="897"/>
        <v/>
      </c>
      <c r="V4103" s="87"/>
      <c r="AF4103" s="22"/>
      <c r="AU4103" s="10"/>
    </row>
    <row r="4104" spans="1:47">
      <c r="A4104" t="str">
        <f t="shared" si="890"/>
        <v>PA_Alleg_2019g~Gen-school director upper saint clair (vote for 5)</v>
      </c>
      <c r="B4104" s="55" t="s">
        <v>1528</v>
      </c>
      <c r="C4104">
        <v>270</v>
      </c>
      <c r="D4104" s="55" t="s">
        <v>285</v>
      </c>
      <c r="E4104" s="55" t="s">
        <v>15</v>
      </c>
      <c r="G4104" s="62">
        <v>53</v>
      </c>
      <c r="H4104">
        <v>0.24</v>
      </c>
      <c r="I4104">
        <v>16496</v>
      </c>
      <c r="J4104">
        <v>0</v>
      </c>
      <c r="K4104">
        <v>18</v>
      </c>
      <c r="L4104">
        <v>18</v>
      </c>
      <c r="M4104">
        <v>0</v>
      </c>
      <c r="N4104" s="23">
        <v>0</v>
      </c>
      <c r="O4104">
        <f t="shared" si="891"/>
        <v>-7</v>
      </c>
      <c r="P4104" s="57">
        <f t="shared" si="892"/>
        <v>5</v>
      </c>
      <c r="Q4104" s="267">
        <f t="shared" si="893"/>
        <v>53</v>
      </c>
      <c r="R4104" s="23">
        <f t="shared" si="894"/>
        <v>1</v>
      </c>
      <c r="S4104" s="23">
        <f t="shared" si="895"/>
        <v>0</v>
      </c>
      <c r="T4104" s="23" t="str">
        <f t="shared" si="896"/>
        <v/>
      </c>
      <c r="U4104" t="str">
        <f t="shared" si="897"/>
        <v/>
      </c>
      <c r="V4104" s="87"/>
      <c r="AF4104" s="22"/>
      <c r="AU4104" s="10"/>
    </row>
    <row r="4105" spans="1:47">
      <c r="A4105" t="str">
        <f t="shared" si="890"/>
        <v>PA_Alleg_2019g~Gen-school director west allegheny region 1 (vote for 2)</v>
      </c>
      <c r="B4105" s="55" t="s">
        <v>1528</v>
      </c>
      <c r="C4105">
        <v>337</v>
      </c>
      <c r="D4105" s="55" t="s">
        <v>368</v>
      </c>
      <c r="E4105" s="55" t="s">
        <v>370</v>
      </c>
      <c r="F4105" t="s">
        <v>1396</v>
      </c>
      <c r="G4105" s="62">
        <v>581</v>
      </c>
      <c r="H4105">
        <v>49.03</v>
      </c>
      <c r="I4105">
        <v>3154</v>
      </c>
      <c r="J4105">
        <v>0</v>
      </c>
      <c r="K4105">
        <v>3</v>
      </c>
      <c r="L4105">
        <v>3</v>
      </c>
      <c r="M4105">
        <v>0</v>
      </c>
      <c r="N4105" s="23">
        <v>0</v>
      </c>
      <c r="O4105">
        <f t="shared" si="891"/>
        <v>1</v>
      </c>
      <c r="P4105" s="57">
        <f t="shared" si="892"/>
        <v>2</v>
      </c>
      <c r="Q4105" s="267">
        <f t="shared" si="893"/>
        <v>592.5</v>
      </c>
      <c r="R4105" s="23">
        <f t="shared" si="894"/>
        <v>580</v>
      </c>
      <c r="S4105" s="23">
        <f t="shared" si="895"/>
        <v>0</v>
      </c>
      <c r="T4105" s="23" t="str">
        <f t="shared" si="896"/>
        <v/>
      </c>
      <c r="U4105" t="str">
        <f t="shared" si="897"/>
        <v>PA_Alleg_2019g~Gen-school director west allegheny region 1 (vote for 2)</v>
      </c>
      <c r="V4105" s="87"/>
      <c r="AF4105" s="22"/>
      <c r="AU4105" s="10"/>
    </row>
    <row r="4106" spans="1:47">
      <c r="A4106" t="str">
        <f t="shared" si="890"/>
        <v>PA_Alleg_2019g~Gen-school director west allegheny region 1 (vote for 2)</v>
      </c>
      <c r="B4106" s="55" t="s">
        <v>1528</v>
      </c>
      <c r="C4106">
        <v>338</v>
      </c>
      <c r="D4106" s="55" t="s">
        <v>368</v>
      </c>
      <c r="E4106" s="55" t="s">
        <v>369</v>
      </c>
      <c r="F4106" t="s">
        <v>1396</v>
      </c>
      <c r="G4106" s="62">
        <v>580</v>
      </c>
      <c r="H4106">
        <v>48.95</v>
      </c>
      <c r="I4106">
        <v>3154</v>
      </c>
      <c r="J4106">
        <v>0</v>
      </c>
      <c r="K4106">
        <v>3</v>
      </c>
      <c r="L4106">
        <v>3</v>
      </c>
      <c r="M4106">
        <v>0</v>
      </c>
      <c r="N4106" s="23">
        <v>0</v>
      </c>
      <c r="O4106">
        <f t="shared" si="891"/>
        <v>2</v>
      </c>
      <c r="P4106" s="57">
        <f t="shared" si="892"/>
        <v>2</v>
      </c>
      <c r="Q4106" s="267">
        <f t="shared" si="893"/>
        <v>604</v>
      </c>
      <c r="R4106" s="23">
        <f t="shared" si="894"/>
        <v>580</v>
      </c>
      <c r="S4106" s="23">
        <f t="shared" si="895"/>
        <v>0</v>
      </c>
      <c r="T4106" s="23" t="str">
        <f t="shared" si="896"/>
        <v/>
      </c>
      <c r="U4106" t="str">
        <f t="shared" si="897"/>
        <v/>
      </c>
      <c r="V4106" s="87"/>
      <c r="AF4106" s="22"/>
      <c r="AU4106" s="10"/>
    </row>
    <row r="4107" spans="1:47">
      <c r="A4107" t="str">
        <f t="shared" si="890"/>
        <v>PA_Alleg_2019g~Gen-school director west allegheny region 1 (vote for 2)</v>
      </c>
      <c r="B4107" s="55" t="s">
        <v>1528</v>
      </c>
      <c r="C4107">
        <v>339</v>
      </c>
      <c r="D4107" s="55" t="s">
        <v>368</v>
      </c>
      <c r="E4107" s="55" t="s">
        <v>15</v>
      </c>
      <c r="G4107" s="62">
        <v>24</v>
      </c>
      <c r="H4107">
        <v>2.0299999999999998</v>
      </c>
      <c r="I4107">
        <v>3154</v>
      </c>
      <c r="J4107">
        <v>0</v>
      </c>
      <c r="K4107">
        <v>3</v>
      </c>
      <c r="L4107">
        <v>3</v>
      </c>
      <c r="M4107">
        <v>0</v>
      </c>
      <c r="N4107" s="23">
        <v>0</v>
      </c>
      <c r="O4107">
        <f t="shared" si="891"/>
        <v>-2</v>
      </c>
      <c r="P4107" s="57">
        <f t="shared" si="892"/>
        <v>2</v>
      </c>
      <c r="Q4107" s="267">
        <f t="shared" si="893"/>
        <v>24</v>
      </c>
      <c r="R4107" s="23">
        <f t="shared" si="894"/>
        <v>1</v>
      </c>
      <c r="S4107" s="23">
        <f t="shared" si="895"/>
        <v>0</v>
      </c>
      <c r="T4107" s="23" t="str">
        <f t="shared" si="896"/>
        <v/>
      </c>
      <c r="U4107" t="str">
        <f t="shared" si="897"/>
        <v/>
      </c>
      <c r="V4107" s="87"/>
      <c r="AF4107" s="22"/>
      <c r="AU4107" s="10"/>
    </row>
    <row r="4108" spans="1:47">
      <c r="A4108" t="str">
        <f t="shared" si="890"/>
        <v>PA_Alleg_2019g~Gen-school director west allegheny region 2 (vote for 1)</v>
      </c>
      <c r="B4108" s="55" t="s">
        <v>1528</v>
      </c>
      <c r="C4108">
        <v>394</v>
      </c>
      <c r="D4108" s="55" t="s">
        <v>416</v>
      </c>
      <c r="E4108" s="55" t="s">
        <v>422</v>
      </c>
      <c r="F4108" t="s">
        <v>1396</v>
      </c>
      <c r="G4108" s="62">
        <v>1566</v>
      </c>
      <c r="H4108">
        <v>98.55</v>
      </c>
      <c r="I4108">
        <v>8867</v>
      </c>
      <c r="J4108">
        <v>0</v>
      </c>
      <c r="K4108">
        <v>4</v>
      </c>
      <c r="L4108">
        <v>4</v>
      </c>
      <c r="M4108">
        <v>0</v>
      </c>
      <c r="N4108" s="23">
        <v>0</v>
      </c>
      <c r="O4108">
        <f t="shared" si="891"/>
        <v>1</v>
      </c>
      <c r="P4108" s="57">
        <f t="shared" si="892"/>
        <v>1</v>
      </c>
      <c r="Q4108" s="267">
        <f t="shared" si="893"/>
        <v>3212</v>
      </c>
      <c r="R4108" s="23">
        <f t="shared" si="894"/>
        <v>1566</v>
      </c>
      <c r="S4108" s="23">
        <f t="shared" si="895"/>
        <v>1454</v>
      </c>
      <c r="T4108" s="23">
        <f t="shared" si="896"/>
        <v>112</v>
      </c>
      <c r="U4108" t="str">
        <f t="shared" si="897"/>
        <v>PA_Alleg_2019g~Gen-school director west allegheny region 2 (vote for 1)</v>
      </c>
      <c r="V4108" s="87"/>
      <c r="AF4108" s="22"/>
      <c r="AU4108" s="10"/>
    </row>
    <row r="4109" spans="1:47">
      <c r="A4109" t="str">
        <f t="shared" si="890"/>
        <v>PA_Alleg_2019g~Gen-school director west allegheny region 2 (vote for 1)</v>
      </c>
      <c r="B4109" s="55" t="s">
        <v>1528</v>
      </c>
      <c r="C4109">
        <v>386</v>
      </c>
      <c r="D4109" s="55" t="s">
        <v>416</v>
      </c>
      <c r="E4109" s="55" t="s">
        <v>418</v>
      </c>
      <c r="F4109" t="s">
        <v>1396</v>
      </c>
      <c r="G4109" s="62">
        <v>1454</v>
      </c>
      <c r="H4109">
        <v>89.59</v>
      </c>
      <c r="I4109">
        <v>8867</v>
      </c>
      <c r="J4109">
        <v>0</v>
      </c>
      <c r="K4109">
        <v>4</v>
      </c>
      <c r="L4109">
        <v>4</v>
      </c>
      <c r="M4109">
        <v>0</v>
      </c>
      <c r="N4109" s="23">
        <v>0</v>
      </c>
      <c r="O4109">
        <f t="shared" si="891"/>
        <v>2</v>
      </c>
      <c r="P4109" s="57">
        <f t="shared" si="892"/>
        <v>1</v>
      </c>
      <c r="Q4109" s="267">
        <f t="shared" si="893"/>
        <v>1646</v>
      </c>
      <c r="R4109" s="23" t="str">
        <f t="shared" si="894"/>
        <v/>
      </c>
      <c r="S4109" s="23">
        <f t="shared" si="895"/>
        <v>1454</v>
      </c>
      <c r="T4109" s="23" t="str">
        <f t="shared" si="896"/>
        <v/>
      </c>
      <c r="U4109" t="str">
        <f t="shared" si="897"/>
        <v/>
      </c>
      <c r="V4109" s="87"/>
      <c r="AF4109" s="22"/>
      <c r="AU4109" s="10"/>
    </row>
    <row r="4110" spans="1:47">
      <c r="A4110" t="str">
        <f t="shared" si="890"/>
        <v>PA_Alleg_2019g~Gen-school director west allegheny region 2 (vote for 1)</v>
      </c>
      <c r="B4110" s="55" t="s">
        <v>1528</v>
      </c>
      <c r="C4110">
        <v>387</v>
      </c>
      <c r="D4110" s="55" t="s">
        <v>416</v>
      </c>
      <c r="E4110" s="55" t="s">
        <v>15</v>
      </c>
      <c r="G4110" s="62">
        <v>169</v>
      </c>
      <c r="H4110">
        <v>10.41</v>
      </c>
      <c r="I4110">
        <v>8867</v>
      </c>
      <c r="J4110">
        <v>0</v>
      </c>
      <c r="K4110">
        <v>4</v>
      </c>
      <c r="L4110">
        <v>4</v>
      </c>
      <c r="M4110">
        <v>0</v>
      </c>
      <c r="N4110" s="23">
        <v>0</v>
      </c>
      <c r="O4110">
        <f t="shared" si="891"/>
        <v>-2</v>
      </c>
      <c r="P4110" s="57">
        <f t="shared" si="892"/>
        <v>1</v>
      </c>
      <c r="Q4110" s="267">
        <f t="shared" si="893"/>
        <v>192</v>
      </c>
      <c r="R4110" s="23">
        <f t="shared" si="894"/>
        <v>1</v>
      </c>
      <c r="S4110" s="23">
        <f t="shared" si="895"/>
        <v>0</v>
      </c>
      <c r="T4110" s="23" t="str">
        <f t="shared" si="896"/>
        <v/>
      </c>
      <c r="U4110" t="str">
        <f t="shared" si="897"/>
        <v/>
      </c>
      <c r="V4110" s="87"/>
      <c r="AF4110" s="22"/>
      <c r="AU4110" s="10"/>
    </row>
    <row r="4111" spans="1:47">
      <c r="A4111" t="str">
        <f t="shared" si="890"/>
        <v>PA_Alleg_2019g~Gen-school director west allegheny region 2 (vote for 1)</v>
      </c>
      <c r="B4111" s="55" t="s">
        <v>1528</v>
      </c>
      <c r="C4111">
        <v>395</v>
      </c>
      <c r="D4111" s="55" t="s">
        <v>416</v>
      </c>
      <c r="E4111" s="55" t="s">
        <v>15</v>
      </c>
      <c r="G4111" s="62">
        <v>23</v>
      </c>
      <c r="H4111">
        <v>1.45</v>
      </c>
      <c r="I4111">
        <v>8867</v>
      </c>
      <c r="J4111">
        <v>0</v>
      </c>
      <c r="K4111">
        <v>4</v>
      </c>
      <c r="L4111">
        <v>4</v>
      </c>
      <c r="M4111">
        <v>0</v>
      </c>
      <c r="N4111" s="23">
        <v>0</v>
      </c>
      <c r="O4111">
        <f t="shared" si="891"/>
        <v>-2</v>
      </c>
      <c r="P4111" s="57">
        <f t="shared" si="892"/>
        <v>1</v>
      </c>
      <c r="Q4111" s="267">
        <f t="shared" si="893"/>
        <v>23</v>
      </c>
      <c r="R4111" s="23">
        <f t="shared" si="894"/>
        <v>1</v>
      </c>
      <c r="S4111" s="23">
        <f t="shared" si="895"/>
        <v>0</v>
      </c>
      <c r="T4111" s="23" t="str">
        <f t="shared" si="896"/>
        <v/>
      </c>
      <c r="U4111" t="str">
        <f t="shared" si="897"/>
        <v/>
      </c>
      <c r="V4111" s="87"/>
      <c r="AF4111" s="22"/>
      <c r="AU4111" s="10"/>
    </row>
    <row r="4112" spans="1:47">
      <c r="A4112" t="str">
        <f t="shared" si="890"/>
        <v>PA_Alleg_2019g~Gen-school director west allegheny region 3 (vote for 2)</v>
      </c>
      <c r="B4112" s="55" t="s">
        <v>1528</v>
      </c>
      <c r="C4112">
        <v>412</v>
      </c>
      <c r="D4112" s="55" t="s">
        <v>439</v>
      </c>
      <c r="E4112" s="55" t="s">
        <v>441</v>
      </c>
      <c r="F4112" t="s">
        <v>1396</v>
      </c>
      <c r="G4112" s="62">
        <v>707</v>
      </c>
      <c r="H4112">
        <v>41.25</v>
      </c>
      <c r="I4112">
        <v>4416</v>
      </c>
      <c r="J4112">
        <v>0</v>
      </c>
      <c r="K4112">
        <v>3</v>
      </c>
      <c r="L4112">
        <v>3</v>
      </c>
      <c r="M4112">
        <v>0</v>
      </c>
      <c r="N4112" s="23">
        <v>0</v>
      </c>
      <c r="O4112">
        <f t="shared" si="891"/>
        <v>1</v>
      </c>
      <c r="P4112" s="57">
        <f t="shared" si="892"/>
        <v>2</v>
      </c>
      <c r="Q4112" s="267">
        <f t="shared" si="893"/>
        <v>857</v>
      </c>
      <c r="R4112" s="23">
        <f t="shared" si="894"/>
        <v>687</v>
      </c>
      <c r="S4112" s="23">
        <f t="shared" si="895"/>
        <v>0</v>
      </c>
      <c r="T4112" s="23" t="str">
        <f t="shared" si="896"/>
        <v/>
      </c>
      <c r="U4112" t="str">
        <f t="shared" si="897"/>
        <v>PA_Alleg_2019g~Gen-school director west allegheny region 3 (vote for 2)</v>
      </c>
      <c r="V4112" s="87"/>
      <c r="AF4112" s="22"/>
      <c r="AU4112" s="10"/>
    </row>
    <row r="4113" spans="1:47">
      <c r="A4113" t="str">
        <f t="shared" si="890"/>
        <v>PA_Alleg_2019g~Gen-school director west allegheny region 3 (vote for 2)</v>
      </c>
      <c r="B4113" s="55" t="s">
        <v>1528</v>
      </c>
      <c r="C4113">
        <v>411</v>
      </c>
      <c r="D4113" s="55" t="s">
        <v>439</v>
      </c>
      <c r="E4113" s="55" t="s">
        <v>440</v>
      </c>
      <c r="F4113" t="s">
        <v>1396</v>
      </c>
      <c r="G4113" s="62">
        <v>687</v>
      </c>
      <c r="H4113">
        <v>40.08</v>
      </c>
      <c r="I4113">
        <v>4416</v>
      </c>
      <c r="J4113">
        <v>0</v>
      </c>
      <c r="K4113">
        <v>3</v>
      </c>
      <c r="L4113">
        <v>3</v>
      </c>
      <c r="M4113">
        <v>0</v>
      </c>
      <c r="N4113" s="23">
        <v>0</v>
      </c>
      <c r="O4113">
        <f t="shared" si="891"/>
        <v>2</v>
      </c>
      <c r="P4113" s="57">
        <f t="shared" si="892"/>
        <v>2</v>
      </c>
      <c r="Q4113" s="267">
        <f t="shared" si="893"/>
        <v>1007</v>
      </c>
      <c r="R4113" s="23">
        <f t="shared" si="894"/>
        <v>687</v>
      </c>
      <c r="S4113" s="23">
        <f t="shared" si="895"/>
        <v>0</v>
      </c>
      <c r="T4113" s="23" t="str">
        <f t="shared" si="896"/>
        <v/>
      </c>
      <c r="U4113" t="str">
        <f t="shared" si="897"/>
        <v/>
      </c>
      <c r="V4113" s="87"/>
      <c r="AF4113" s="22"/>
      <c r="AU4113" s="10"/>
    </row>
    <row r="4114" spans="1:47">
      <c r="A4114" t="str">
        <f t="shared" si="890"/>
        <v>PA_Alleg_2019g~Gen-school director west allegheny region 3 (vote for 2)</v>
      </c>
      <c r="B4114" s="55" t="s">
        <v>1528</v>
      </c>
      <c r="C4114">
        <v>413</v>
      </c>
      <c r="D4114" s="55" t="s">
        <v>439</v>
      </c>
      <c r="E4114" s="55" t="s">
        <v>15</v>
      </c>
      <c r="G4114" s="62">
        <v>320</v>
      </c>
      <c r="H4114">
        <v>18.670000000000002</v>
      </c>
      <c r="I4114">
        <v>4416</v>
      </c>
      <c r="J4114">
        <v>0</v>
      </c>
      <c r="K4114">
        <v>3</v>
      </c>
      <c r="L4114">
        <v>3</v>
      </c>
      <c r="M4114">
        <v>0</v>
      </c>
      <c r="N4114" s="23">
        <v>0</v>
      </c>
      <c r="O4114">
        <f t="shared" si="891"/>
        <v>-2</v>
      </c>
      <c r="P4114" s="57">
        <f t="shared" si="892"/>
        <v>2</v>
      </c>
      <c r="Q4114" s="267">
        <f t="shared" si="893"/>
        <v>320</v>
      </c>
      <c r="R4114" s="23">
        <f t="shared" si="894"/>
        <v>1</v>
      </c>
      <c r="S4114" s="23">
        <f t="shared" si="895"/>
        <v>0</v>
      </c>
      <c r="T4114" s="23" t="str">
        <f t="shared" si="896"/>
        <v/>
      </c>
      <c r="U4114" t="str">
        <f t="shared" si="897"/>
        <v/>
      </c>
      <c r="V4114" s="87"/>
      <c r="AF4114" s="22"/>
      <c r="AU4114" s="10"/>
    </row>
    <row r="4115" spans="1:47">
      <c r="A4115" t="str">
        <f t="shared" si="890"/>
        <v>PA_Alleg_2019g~Gen-school director west jefferson hills (vote for 5)</v>
      </c>
      <c r="B4115" s="55" t="s">
        <v>1528</v>
      </c>
      <c r="C4115">
        <v>271</v>
      </c>
      <c r="D4115" s="55" t="s">
        <v>294</v>
      </c>
      <c r="E4115" s="55" t="s">
        <v>299</v>
      </c>
      <c r="F4115" t="s">
        <v>1396</v>
      </c>
      <c r="G4115" s="62">
        <v>3269</v>
      </c>
      <c r="H4115">
        <v>20.51</v>
      </c>
      <c r="I4115">
        <v>15100</v>
      </c>
      <c r="J4115">
        <v>0</v>
      </c>
      <c r="K4115">
        <v>19</v>
      </c>
      <c r="L4115">
        <v>19</v>
      </c>
      <c r="M4115">
        <v>0</v>
      </c>
      <c r="N4115" s="23">
        <v>0</v>
      </c>
      <c r="O4115">
        <f t="shared" si="891"/>
        <v>1</v>
      </c>
      <c r="P4115" s="57">
        <f t="shared" si="892"/>
        <v>5</v>
      </c>
      <c r="Q4115" s="267">
        <f t="shared" si="893"/>
        <v>3269</v>
      </c>
      <c r="R4115" s="23">
        <f t="shared" si="894"/>
        <v>3090</v>
      </c>
      <c r="S4115" s="23">
        <f t="shared" si="895"/>
        <v>0</v>
      </c>
      <c r="T4115" s="23" t="str">
        <f t="shared" si="896"/>
        <v/>
      </c>
      <c r="U4115" t="str">
        <f t="shared" si="897"/>
        <v>PA_Alleg_2019g~Gen-school director west jefferson hills (vote for 5)</v>
      </c>
      <c r="V4115" s="87"/>
      <c r="AF4115" s="22"/>
      <c r="AU4115" s="10"/>
    </row>
    <row r="4116" spans="1:47">
      <c r="A4116" t="str">
        <f t="shared" si="890"/>
        <v>PA_Alleg_2019g~Gen-school director west jefferson hills (vote for 5)</v>
      </c>
      <c r="B4116" s="55" t="s">
        <v>1528</v>
      </c>
      <c r="C4116">
        <v>272</v>
      </c>
      <c r="D4116" s="55" t="s">
        <v>294</v>
      </c>
      <c r="E4116" s="55" t="s">
        <v>298</v>
      </c>
      <c r="F4116" t="s">
        <v>1396</v>
      </c>
      <c r="G4116" s="62">
        <v>3209</v>
      </c>
      <c r="H4116">
        <v>20.13</v>
      </c>
      <c r="I4116">
        <v>15100</v>
      </c>
      <c r="J4116">
        <v>0</v>
      </c>
      <c r="K4116">
        <v>19</v>
      </c>
      <c r="L4116">
        <v>19</v>
      </c>
      <c r="M4116">
        <v>0</v>
      </c>
      <c r="N4116" s="23">
        <v>0</v>
      </c>
      <c r="O4116">
        <f t="shared" si="891"/>
        <v>2</v>
      </c>
      <c r="P4116" s="57">
        <f t="shared" si="892"/>
        <v>5</v>
      </c>
      <c r="Q4116" s="267">
        <f t="shared" si="893"/>
        <v>12671</v>
      </c>
      <c r="R4116" s="23">
        <f t="shared" si="894"/>
        <v>3090</v>
      </c>
      <c r="S4116" s="23">
        <f t="shared" si="895"/>
        <v>0</v>
      </c>
      <c r="T4116" s="23" t="str">
        <f t="shared" si="896"/>
        <v/>
      </c>
      <c r="U4116" t="str">
        <f t="shared" si="897"/>
        <v/>
      </c>
      <c r="V4116" s="87"/>
      <c r="AF4116" s="22"/>
      <c r="AU4116" s="10"/>
    </row>
    <row r="4117" spans="1:47">
      <c r="A4117" t="str">
        <f t="shared" si="890"/>
        <v>PA_Alleg_2019g~Gen-school director west jefferson hills (vote for 5)</v>
      </c>
      <c r="B4117" s="55" t="s">
        <v>1528</v>
      </c>
      <c r="C4117">
        <v>274</v>
      </c>
      <c r="D4117" s="55" t="s">
        <v>294</v>
      </c>
      <c r="E4117" s="55" t="s">
        <v>296</v>
      </c>
      <c r="F4117" t="s">
        <v>1396</v>
      </c>
      <c r="G4117" s="62">
        <v>3178</v>
      </c>
      <c r="H4117">
        <v>19.940000000000001</v>
      </c>
      <c r="I4117">
        <v>15100</v>
      </c>
      <c r="J4117">
        <v>0</v>
      </c>
      <c r="K4117">
        <v>19</v>
      </c>
      <c r="L4117">
        <v>19</v>
      </c>
      <c r="M4117">
        <v>0</v>
      </c>
      <c r="N4117" s="23">
        <v>0</v>
      </c>
      <c r="O4117">
        <f t="shared" si="891"/>
        <v>3</v>
      </c>
      <c r="P4117" s="57">
        <f t="shared" si="892"/>
        <v>5</v>
      </c>
      <c r="Q4117" s="267">
        <f t="shared" si="893"/>
        <v>9462</v>
      </c>
      <c r="R4117" s="23">
        <f t="shared" si="894"/>
        <v>3090</v>
      </c>
      <c r="S4117" s="23">
        <f t="shared" si="895"/>
        <v>0</v>
      </c>
      <c r="T4117" s="23" t="str">
        <f t="shared" si="896"/>
        <v/>
      </c>
      <c r="U4117" t="str">
        <f t="shared" si="897"/>
        <v/>
      </c>
      <c r="V4117" s="87"/>
      <c r="AF4117" s="22"/>
      <c r="AU4117" s="10"/>
    </row>
    <row r="4118" spans="1:47">
      <c r="A4118" t="str">
        <f t="shared" si="890"/>
        <v>PA_Alleg_2019g~Gen-school director west jefferson hills (vote for 5)</v>
      </c>
      <c r="B4118" s="55" t="s">
        <v>1528</v>
      </c>
      <c r="C4118">
        <v>273</v>
      </c>
      <c r="D4118" s="55" t="s">
        <v>294</v>
      </c>
      <c r="E4118" s="55" t="s">
        <v>297</v>
      </c>
      <c r="F4118" t="s">
        <v>1396</v>
      </c>
      <c r="G4118" s="62">
        <v>3121</v>
      </c>
      <c r="H4118">
        <v>19.579999999999998</v>
      </c>
      <c r="I4118">
        <v>15100</v>
      </c>
      <c r="J4118">
        <v>0</v>
      </c>
      <c r="K4118">
        <v>19</v>
      </c>
      <c r="L4118">
        <v>19</v>
      </c>
      <c r="M4118">
        <v>0</v>
      </c>
      <c r="N4118" s="23">
        <v>0</v>
      </c>
      <c r="O4118">
        <f t="shared" si="891"/>
        <v>4</v>
      </c>
      <c r="P4118" s="57">
        <f t="shared" si="892"/>
        <v>5</v>
      </c>
      <c r="Q4118" s="267">
        <f t="shared" si="893"/>
        <v>6284</v>
      </c>
      <c r="R4118" s="23">
        <f t="shared" si="894"/>
        <v>3090</v>
      </c>
      <c r="S4118" s="23">
        <f t="shared" si="895"/>
        <v>0</v>
      </c>
      <c r="T4118" s="23" t="str">
        <f t="shared" si="896"/>
        <v/>
      </c>
      <c r="U4118" t="str">
        <f t="shared" si="897"/>
        <v/>
      </c>
      <c r="V4118" s="87"/>
      <c r="AF4118" s="22"/>
      <c r="AU4118" s="10"/>
    </row>
    <row r="4119" spans="1:47">
      <c r="A4119" t="str">
        <f t="shared" si="890"/>
        <v>PA_Alleg_2019g~Gen-school director west jefferson hills (vote for 5)</v>
      </c>
      <c r="B4119" s="55" t="s">
        <v>1528</v>
      </c>
      <c r="C4119">
        <v>275</v>
      </c>
      <c r="D4119" s="55" t="s">
        <v>294</v>
      </c>
      <c r="E4119" s="55" t="s">
        <v>295</v>
      </c>
      <c r="F4119" t="s">
        <v>1396</v>
      </c>
      <c r="G4119" s="62">
        <v>3090</v>
      </c>
      <c r="H4119">
        <v>19.39</v>
      </c>
      <c r="I4119">
        <v>15100</v>
      </c>
      <c r="J4119">
        <v>0</v>
      </c>
      <c r="K4119">
        <v>19</v>
      </c>
      <c r="L4119">
        <v>19</v>
      </c>
      <c r="M4119">
        <v>0</v>
      </c>
      <c r="N4119" s="23">
        <v>0</v>
      </c>
      <c r="O4119">
        <f t="shared" si="891"/>
        <v>5</v>
      </c>
      <c r="P4119" s="57">
        <f t="shared" si="892"/>
        <v>5</v>
      </c>
      <c r="Q4119" s="267">
        <f t="shared" si="893"/>
        <v>3163</v>
      </c>
      <c r="R4119" s="23">
        <f t="shared" si="894"/>
        <v>3090</v>
      </c>
      <c r="S4119" s="23">
        <f t="shared" si="895"/>
        <v>0</v>
      </c>
      <c r="T4119" s="23" t="str">
        <f t="shared" si="896"/>
        <v/>
      </c>
      <c r="U4119" t="str">
        <f t="shared" si="897"/>
        <v/>
      </c>
      <c r="V4119" s="87"/>
      <c r="AF4119" s="22"/>
      <c r="AU4119" s="10"/>
    </row>
    <row r="4120" spans="1:47">
      <c r="A4120" t="str">
        <f t="shared" si="890"/>
        <v>PA_Alleg_2019g~Gen-school director west jefferson hills (vote for 5)</v>
      </c>
      <c r="B4120" s="55" t="s">
        <v>1528</v>
      </c>
      <c r="C4120">
        <v>276</v>
      </c>
      <c r="D4120" s="55" t="s">
        <v>294</v>
      </c>
      <c r="E4120" s="55" t="s">
        <v>15</v>
      </c>
      <c r="G4120" s="62">
        <v>73</v>
      </c>
      <c r="H4120">
        <v>0.46</v>
      </c>
      <c r="I4120">
        <v>15100</v>
      </c>
      <c r="J4120">
        <v>0</v>
      </c>
      <c r="K4120">
        <v>19</v>
      </c>
      <c r="L4120">
        <v>19</v>
      </c>
      <c r="M4120">
        <v>0</v>
      </c>
      <c r="N4120" s="23">
        <v>0</v>
      </c>
      <c r="O4120">
        <f t="shared" si="891"/>
        <v>-5</v>
      </c>
      <c r="P4120" s="57">
        <f t="shared" si="892"/>
        <v>5</v>
      </c>
      <c r="Q4120" s="267">
        <f t="shared" si="893"/>
        <v>73</v>
      </c>
      <c r="R4120" s="23">
        <f t="shared" si="894"/>
        <v>1</v>
      </c>
      <c r="S4120" s="23">
        <f t="shared" si="895"/>
        <v>0</v>
      </c>
      <c r="T4120" s="23" t="str">
        <f t="shared" si="896"/>
        <v/>
      </c>
      <c r="U4120" t="str">
        <f t="shared" si="897"/>
        <v/>
      </c>
      <c r="V4120" s="87"/>
      <c r="AF4120" s="22"/>
      <c r="AU4120" s="10"/>
    </row>
    <row r="4121" spans="1:47">
      <c r="A4121" t="str">
        <f t="shared" si="890"/>
        <v>PA_Alleg_2019g~Gen-school director west mifflin area (vote for 5)</v>
      </c>
      <c r="B4121" s="55" t="s">
        <v>1528</v>
      </c>
      <c r="C4121">
        <v>277</v>
      </c>
      <c r="D4121" s="55" t="s">
        <v>300</v>
      </c>
      <c r="E4121" s="55" t="s">
        <v>306</v>
      </c>
      <c r="F4121" t="s">
        <v>1396</v>
      </c>
      <c r="G4121" s="62">
        <v>3111</v>
      </c>
      <c r="H4121">
        <v>19.670000000000002</v>
      </c>
      <c r="I4121">
        <v>15017</v>
      </c>
      <c r="J4121">
        <v>0</v>
      </c>
      <c r="K4121">
        <v>23</v>
      </c>
      <c r="L4121">
        <v>23</v>
      </c>
      <c r="M4121">
        <v>0</v>
      </c>
      <c r="N4121" s="23">
        <v>0</v>
      </c>
      <c r="O4121">
        <f t="shared" si="891"/>
        <v>1</v>
      </c>
      <c r="P4121" s="57">
        <f t="shared" si="892"/>
        <v>5</v>
      </c>
      <c r="Q4121" s="267">
        <f t="shared" si="893"/>
        <v>3163.4</v>
      </c>
      <c r="R4121" s="23">
        <f t="shared" si="894"/>
        <v>2375</v>
      </c>
      <c r="S4121" s="23">
        <f t="shared" si="895"/>
        <v>1549</v>
      </c>
      <c r="T4121" s="23">
        <f t="shared" si="896"/>
        <v>826</v>
      </c>
      <c r="U4121" t="str">
        <f t="shared" si="897"/>
        <v>PA_Alleg_2019g~Gen-school director west mifflin area (vote for 5)</v>
      </c>
      <c r="V4121" s="87"/>
      <c r="AF4121" s="22"/>
      <c r="AU4121" s="10"/>
    </row>
    <row r="4122" spans="1:47">
      <c r="A4122" t="str">
        <f t="shared" si="890"/>
        <v>PA_Alleg_2019g~Gen-school director west mifflin area (vote for 5)</v>
      </c>
      <c r="B4122" s="55" t="s">
        <v>1528</v>
      </c>
      <c r="C4122">
        <v>278</v>
      </c>
      <c r="D4122" s="55" t="s">
        <v>300</v>
      </c>
      <c r="E4122" s="55" t="s">
        <v>308</v>
      </c>
      <c r="F4122" t="s">
        <v>1396</v>
      </c>
      <c r="G4122" s="62">
        <v>2810</v>
      </c>
      <c r="H4122">
        <v>17.77</v>
      </c>
      <c r="I4122">
        <v>15017</v>
      </c>
      <c r="J4122">
        <v>0</v>
      </c>
      <c r="K4122">
        <v>23</v>
      </c>
      <c r="L4122">
        <v>23</v>
      </c>
      <c r="M4122">
        <v>0</v>
      </c>
      <c r="N4122" s="23">
        <v>0</v>
      </c>
      <c r="O4122">
        <f t="shared" si="891"/>
        <v>2</v>
      </c>
      <c r="P4122" s="57">
        <f t="shared" si="892"/>
        <v>5</v>
      </c>
      <c r="Q4122" s="267">
        <f t="shared" si="893"/>
        <v>12706</v>
      </c>
      <c r="R4122" s="23">
        <f t="shared" si="894"/>
        <v>2375</v>
      </c>
      <c r="S4122" s="23">
        <f t="shared" si="895"/>
        <v>1549</v>
      </c>
      <c r="T4122" s="23" t="str">
        <f t="shared" si="896"/>
        <v/>
      </c>
      <c r="U4122" t="str">
        <f t="shared" si="897"/>
        <v/>
      </c>
      <c r="V4122" s="87"/>
      <c r="AF4122" s="22"/>
      <c r="AG4122" s="302"/>
      <c r="AH4122" s="301"/>
      <c r="AI4122" s="303"/>
      <c r="AJ4122" s="303"/>
      <c r="AK4122" s="342"/>
      <c r="AL4122" s="343"/>
      <c r="AU4122" s="10"/>
    </row>
    <row r="4123" spans="1:47">
      <c r="A4123" t="str">
        <f t="shared" si="890"/>
        <v>PA_Alleg_2019g~Gen-school director west mifflin area (vote for 5)</v>
      </c>
      <c r="B4123" s="55" t="s">
        <v>1528</v>
      </c>
      <c r="C4123">
        <v>279</v>
      </c>
      <c r="D4123" s="55" t="s">
        <v>300</v>
      </c>
      <c r="E4123" s="55" t="s">
        <v>302</v>
      </c>
      <c r="F4123" t="s">
        <v>1396</v>
      </c>
      <c r="G4123" s="62">
        <v>2753</v>
      </c>
      <c r="H4123">
        <v>17.41</v>
      </c>
      <c r="I4123">
        <v>15017</v>
      </c>
      <c r="J4123">
        <v>0</v>
      </c>
      <c r="K4123">
        <v>23</v>
      </c>
      <c r="L4123">
        <v>23</v>
      </c>
      <c r="M4123">
        <v>0</v>
      </c>
      <c r="N4123" s="23">
        <v>0</v>
      </c>
      <c r="O4123">
        <f t="shared" si="891"/>
        <v>3</v>
      </c>
      <c r="P4123" s="57">
        <f t="shared" si="892"/>
        <v>5</v>
      </c>
      <c r="Q4123" s="267">
        <f t="shared" si="893"/>
        <v>9896</v>
      </c>
      <c r="R4123" s="23">
        <f t="shared" si="894"/>
        <v>2375</v>
      </c>
      <c r="S4123" s="23">
        <f t="shared" si="895"/>
        <v>1549</v>
      </c>
      <c r="T4123" s="23" t="str">
        <f t="shared" si="896"/>
        <v/>
      </c>
      <c r="U4123" t="str">
        <f t="shared" si="897"/>
        <v/>
      </c>
      <c r="V4123" s="87"/>
      <c r="AF4123" s="22"/>
      <c r="AU4123" s="10"/>
    </row>
    <row r="4124" spans="1:47">
      <c r="A4124" t="str">
        <f t="shared" si="890"/>
        <v>PA_Alleg_2019g~Gen-school director west mifflin area (vote for 5)</v>
      </c>
      <c r="B4124" s="55" t="s">
        <v>1528</v>
      </c>
      <c r="C4124">
        <v>280</v>
      </c>
      <c r="D4124" s="55" t="s">
        <v>300</v>
      </c>
      <c r="E4124" s="55" t="s">
        <v>303</v>
      </c>
      <c r="F4124" t="s">
        <v>1396</v>
      </c>
      <c r="G4124" s="62">
        <v>2675</v>
      </c>
      <c r="H4124">
        <v>16.91</v>
      </c>
      <c r="I4124">
        <v>15017</v>
      </c>
      <c r="J4124">
        <v>0</v>
      </c>
      <c r="K4124">
        <v>23</v>
      </c>
      <c r="L4124">
        <v>23</v>
      </c>
      <c r="M4124">
        <v>0</v>
      </c>
      <c r="N4124" s="23">
        <v>0</v>
      </c>
      <c r="O4124">
        <f t="shared" si="891"/>
        <v>4</v>
      </c>
      <c r="P4124" s="57">
        <f t="shared" si="892"/>
        <v>5</v>
      </c>
      <c r="Q4124" s="267">
        <f t="shared" si="893"/>
        <v>7143</v>
      </c>
      <c r="R4124" s="23">
        <f t="shared" si="894"/>
        <v>2375</v>
      </c>
      <c r="S4124" s="23">
        <f t="shared" si="895"/>
        <v>1549</v>
      </c>
      <c r="T4124" s="23" t="str">
        <f t="shared" si="896"/>
        <v/>
      </c>
      <c r="U4124" t="str">
        <f t="shared" si="897"/>
        <v/>
      </c>
      <c r="V4124" s="87"/>
      <c r="AF4124" s="22"/>
      <c r="AU4124" s="10"/>
    </row>
    <row r="4125" spans="1:47">
      <c r="A4125" t="str">
        <f t="shared" si="890"/>
        <v>PA_Alleg_2019g~Gen-school director west mifflin area (vote for 5)</v>
      </c>
      <c r="B4125" s="55" t="s">
        <v>1528</v>
      </c>
      <c r="C4125">
        <v>281</v>
      </c>
      <c r="D4125" s="55" t="s">
        <v>300</v>
      </c>
      <c r="E4125" s="55" t="s">
        <v>304</v>
      </c>
      <c r="F4125" t="s">
        <v>1294</v>
      </c>
      <c r="G4125" s="62">
        <v>2375</v>
      </c>
      <c r="H4125">
        <v>15.02</v>
      </c>
      <c r="I4125">
        <v>15017</v>
      </c>
      <c r="J4125">
        <v>0</v>
      </c>
      <c r="K4125">
        <v>23</v>
      </c>
      <c r="L4125">
        <v>23</v>
      </c>
      <c r="M4125">
        <v>0</v>
      </c>
      <c r="N4125" s="23">
        <v>0</v>
      </c>
      <c r="O4125">
        <f t="shared" si="891"/>
        <v>5</v>
      </c>
      <c r="P4125" s="57">
        <f t="shared" si="892"/>
        <v>5</v>
      </c>
      <c r="Q4125" s="267">
        <f t="shared" si="893"/>
        <v>4468</v>
      </c>
      <c r="R4125" s="23">
        <f t="shared" si="894"/>
        <v>2375</v>
      </c>
      <c r="S4125" s="23">
        <f t="shared" si="895"/>
        <v>1549</v>
      </c>
      <c r="T4125" s="23" t="str">
        <f t="shared" si="896"/>
        <v/>
      </c>
      <c r="U4125" t="str">
        <f t="shared" si="897"/>
        <v/>
      </c>
      <c r="V4125" s="87"/>
      <c r="AF4125" s="22"/>
      <c r="AG4125" s="89"/>
      <c r="AH4125" s="274"/>
      <c r="AI4125" s="279"/>
      <c r="AJ4125" s="280"/>
      <c r="AK4125" s="92"/>
      <c r="AL4125" s="23"/>
      <c r="AU4125" s="10"/>
    </row>
    <row r="4126" spans="1:47">
      <c r="A4126" t="str">
        <f t="shared" si="890"/>
        <v>PA_Alleg_2019g~Gen-school director west mifflin area (vote for 5)</v>
      </c>
      <c r="B4126" s="55" t="s">
        <v>1528</v>
      </c>
      <c r="C4126">
        <v>282</v>
      </c>
      <c r="D4126" s="55" t="s">
        <v>300</v>
      </c>
      <c r="E4126" s="55" t="s">
        <v>307</v>
      </c>
      <c r="F4126" t="s">
        <v>1296</v>
      </c>
      <c r="G4126" s="62">
        <v>1549</v>
      </c>
      <c r="H4126">
        <v>9.7899999999999991</v>
      </c>
      <c r="I4126">
        <v>15017</v>
      </c>
      <c r="J4126">
        <v>0</v>
      </c>
      <c r="K4126">
        <v>23</v>
      </c>
      <c r="L4126">
        <v>23</v>
      </c>
      <c r="M4126">
        <v>0</v>
      </c>
      <c r="N4126" s="23">
        <v>0</v>
      </c>
      <c r="O4126">
        <f t="shared" si="891"/>
        <v>6</v>
      </c>
      <c r="P4126" s="57">
        <f t="shared" si="892"/>
        <v>5</v>
      </c>
      <c r="Q4126" s="267">
        <f t="shared" si="893"/>
        <v>2093</v>
      </c>
      <c r="R4126" s="23" t="str">
        <f t="shared" si="894"/>
        <v/>
      </c>
      <c r="S4126" s="23">
        <f t="shared" si="895"/>
        <v>1549</v>
      </c>
      <c r="T4126" s="23" t="str">
        <f t="shared" si="896"/>
        <v/>
      </c>
      <c r="U4126" t="str">
        <f t="shared" si="897"/>
        <v/>
      </c>
      <c r="V4126" s="87"/>
      <c r="AF4126" s="22"/>
      <c r="AG4126" s="89"/>
      <c r="AH4126" s="274"/>
      <c r="AI4126" s="279"/>
      <c r="AJ4126" s="280"/>
      <c r="AK4126" s="92"/>
      <c r="AL4126" s="23"/>
      <c r="AU4126" s="10"/>
    </row>
    <row r="4127" spans="1:47">
      <c r="A4127" t="str">
        <f t="shared" si="890"/>
        <v>PA_Alleg_2019g~Gen-school director west mifflin area (vote for 5)</v>
      </c>
      <c r="B4127" s="55" t="s">
        <v>1528</v>
      </c>
      <c r="C4127">
        <v>283</v>
      </c>
      <c r="D4127" s="55" t="s">
        <v>300</v>
      </c>
      <c r="E4127" s="55" t="s">
        <v>15</v>
      </c>
      <c r="G4127" s="62">
        <v>544</v>
      </c>
      <c r="H4127">
        <v>3.44</v>
      </c>
      <c r="I4127">
        <v>15017</v>
      </c>
      <c r="J4127">
        <v>0</v>
      </c>
      <c r="K4127">
        <v>23</v>
      </c>
      <c r="L4127">
        <v>23</v>
      </c>
      <c r="M4127">
        <v>0</v>
      </c>
      <c r="N4127" s="23">
        <v>0</v>
      </c>
      <c r="O4127">
        <f t="shared" si="891"/>
        <v>-6</v>
      </c>
      <c r="P4127" s="57">
        <f t="shared" si="892"/>
        <v>5</v>
      </c>
      <c r="Q4127" s="267">
        <f t="shared" si="893"/>
        <v>544</v>
      </c>
      <c r="R4127" s="23">
        <f t="shared" si="894"/>
        <v>1</v>
      </c>
      <c r="S4127" s="23">
        <f t="shared" si="895"/>
        <v>0</v>
      </c>
      <c r="T4127" s="23" t="str">
        <f t="shared" si="896"/>
        <v/>
      </c>
      <c r="U4127" t="str">
        <f t="shared" si="897"/>
        <v/>
      </c>
      <c r="V4127" s="87"/>
      <c r="AF4127" s="22"/>
      <c r="AG4127" s="89"/>
      <c r="AH4127" s="274"/>
      <c r="AI4127" s="279"/>
      <c r="AJ4127" s="280"/>
      <c r="AK4127" s="92"/>
      <c r="AL4127" s="23"/>
      <c r="AU4127" s="10"/>
    </row>
    <row r="4128" spans="1:47">
      <c r="A4128" t="str">
        <f t="shared" si="890"/>
        <v>PA_Alleg_2019g~Gen-school director wilkinsburg (vote for 5)</v>
      </c>
      <c r="B4128" s="55" t="s">
        <v>1528</v>
      </c>
      <c r="C4128">
        <v>284</v>
      </c>
      <c r="D4128" s="55" t="s">
        <v>309</v>
      </c>
      <c r="E4128" s="55" t="s">
        <v>313</v>
      </c>
      <c r="F4128" t="s">
        <v>1396</v>
      </c>
      <c r="G4128" s="62">
        <v>2747</v>
      </c>
      <c r="H4128">
        <v>20.97</v>
      </c>
      <c r="I4128">
        <v>13970</v>
      </c>
      <c r="J4128">
        <v>0</v>
      </c>
      <c r="K4128">
        <v>17</v>
      </c>
      <c r="L4128">
        <v>17</v>
      </c>
      <c r="M4128">
        <v>0</v>
      </c>
      <c r="N4128" s="23">
        <v>0</v>
      </c>
      <c r="O4128">
        <f t="shared" si="891"/>
        <v>1</v>
      </c>
      <c r="P4128" s="57">
        <f t="shared" si="892"/>
        <v>5</v>
      </c>
      <c r="Q4128" s="267">
        <f t="shared" si="893"/>
        <v>2747</v>
      </c>
      <c r="R4128" s="23">
        <f t="shared" si="894"/>
        <v>2401</v>
      </c>
      <c r="S4128" s="23">
        <f t="shared" si="895"/>
        <v>378</v>
      </c>
      <c r="T4128" s="23">
        <f t="shared" si="896"/>
        <v>2023</v>
      </c>
      <c r="U4128" t="str">
        <f t="shared" si="897"/>
        <v>PA_Alleg_2019g~Gen-school director wilkinsburg (vote for 5)</v>
      </c>
      <c r="V4128" s="87"/>
      <c r="AF4128" s="22"/>
      <c r="AU4128" s="10"/>
    </row>
    <row r="4129" spans="1:47">
      <c r="A4129" t="str">
        <f t="shared" si="890"/>
        <v>PA_Alleg_2019g~Gen-school director wilkinsburg (vote for 5)</v>
      </c>
      <c r="B4129" s="55" t="s">
        <v>1528</v>
      </c>
      <c r="C4129">
        <v>288</v>
      </c>
      <c r="D4129" s="55" t="s">
        <v>309</v>
      </c>
      <c r="E4129" s="55" t="s">
        <v>312</v>
      </c>
      <c r="F4129" t="s">
        <v>1294</v>
      </c>
      <c r="G4129" s="62">
        <v>2598</v>
      </c>
      <c r="H4129">
        <v>19.829999999999998</v>
      </c>
      <c r="I4129">
        <v>13970</v>
      </c>
      <c r="J4129">
        <v>0</v>
      </c>
      <c r="K4129">
        <v>17</v>
      </c>
      <c r="L4129">
        <v>17</v>
      </c>
      <c r="M4129">
        <v>0</v>
      </c>
      <c r="N4129" s="23">
        <v>0</v>
      </c>
      <c r="O4129">
        <f t="shared" si="891"/>
        <v>2</v>
      </c>
      <c r="P4129" s="57">
        <f t="shared" si="892"/>
        <v>5</v>
      </c>
      <c r="Q4129" s="267">
        <f t="shared" si="893"/>
        <v>10352</v>
      </c>
      <c r="R4129" s="23">
        <f t="shared" si="894"/>
        <v>2401</v>
      </c>
      <c r="S4129" s="23">
        <f t="shared" si="895"/>
        <v>378</v>
      </c>
      <c r="T4129" s="23" t="str">
        <f t="shared" si="896"/>
        <v/>
      </c>
      <c r="U4129" t="str">
        <f t="shared" si="897"/>
        <v/>
      </c>
      <c r="V4129" s="87"/>
      <c r="AF4129" s="22"/>
      <c r="AU4129" s="10"/>
    </row>
    <row r="4130" spans="1:47">
      <c r="A4130" t="str">
        <f t="shared" si="890"/>
        <v>PA_Alleg_2019g~Gen-school director wilkinsburg (vote for 5)</v>
      </c>
      <c r="B4130" s="55" t="s">
        <v>1528</v>
      </c>
      <c r="C4130">
        <v>285</v>
      </c>
      <c r="D4130" s="55" t="s">
        <v>309</v>
      </c>
      <c r="E4130" s="55" t="s">
        <v>311</v>
      </c>
      <c r="F4130" t="s">
        <v>1396</v>
      </c>
      <c r="G4130" s="62">
        <v>2501</v>
      </c>
      <c r="H4130">
        <v>19.09</v>
      </c>
      <c r="I4130">
        <v>13970</v>
      </c>
      <c r="J4130">
        <v>0</v>
      </c>
      <c r="K4130">
        <v>17</v>
      </c>
      <c r="L4130">
        <v>17</v>
      </c>
      <c r="M4130">
        <v>0</v>
      </c>
      <c r="N4130" s="23">
        <v>0</v>
      </c>
      <c r="O4130">
        <f t="shared" si="891"/>
        <v>3</v>
      </c>
      <c r="P4130" s="57">
        <f t="shared" si="892"/>
        <v>5</v>
      </c>
      <c r="Q4130" s="267">
        <f t="shared" si="893"/>
        <v>7754</v>
      </c>
      <c r="R4130" s="23">
        <f t="shared" si="894"/>
        <v>2401</v>
      </c>
      <c r="S4130" s="23">
        <f t="shared" si="895"/>
        <v>378</v>
      </c>
      <c r="T4130" s="23" t="str">
        <f t="shared" si="896"/>
        <v/>
      </c>
      <c r="U4130" t="str">
        <f t="shared" si="897"/>
        <v/>
      </c>
      <c r="V4130" s="87"/>
      <c r="AF4130" s="22"/>
      <c r="AU4130" s="10"/>
    </row>
    <row r="4131" spans="1:47">
      <c r="A4131" t="str">
        <f t="shared" si="890"/>
        <v>PA_Alleg_2019g~Gen-school director wilkinsburg (vote for 5)</v>
      </c>
      <c r="B4131" s="55" t="s">
        <v>1528</v>
      </c>
      <c r="C4131">
        <v>286</v>
      </c>
      <c r="D4131" s="55" t="s">
        <v>309</v>
      </c>
      <c r="E4131" s="55" t="s">
        <v>310</v>
      </c>
      <c r="F4131" t="s">
        <v>1396</v>
      </c>
      <c r="G4131" s="62">
        <v>2421</v>
      </c>
      <c r="H4131">
        <v>18.48</v>
      </c>
      <c r="I4131">
        <v>13970</v>
      </c>
      <c r="J4131">
        <v>0</v>
      </c>
      <c r="K4131">
        <v>17</v>
      </c>
      <c r="L4131">
        <v>17</v>
      </c>
      <c r="M4131">
        <v>0</v>
      </c>
      <c r="N4131" s="23">
        <v>0</v>
      </c>
      <c r="O4131">
        <f t="shared" si="891"/>
        <v>4</v>
      </c>
      <c r="P4131" s="57">
        <f t="shared" si="892"/>
        <v>5</v>
      </c>
      <c r="Q4131" s="267">
        <f t="shared" si="893"/>
        <v>5253</v>
      </c>
      <c r="R4131" s="23">
        <f t="shared" si="894"/>
        <v>2401</v>
      </c>
      <c r="S4131" s="23">
        <f t="shared" si="895"/>
        <v>378</v>
      </c>
      <c r="T4131" s="23" t="str">
        <f t="shared" si="896"/>
        <v/>
      </c>
      <c r="U4131" t="str">
        <f t="shared" si="897"/>
        <v/>
      </c>
      <c r="V4131" s="87"/>
      <c r="AF4131" s="22"/>
      <c r="AU4131" s="10"/>
    </row>
    <row r="4132" spans="1:47">
      <c r="A4132" t="str">
        <f t="shared" si="890"/>
        <v>PA_Alleg_2019g~Gen-school director wilkinsburg (vote for 5)</v>
      </c>
      <c r="B4132" s="55" t="s">
        <v>1528</v>
      </c>
      <c r="C4132">
        <v>287</v>
      </c>
      <c r="D4132" s="55" t="s">
        <v>309</v>
      </c>
      <c r="E4132" s="55" t="s">
        <v>314</v>
      </c>
      <c r="F4132" t="s">
        <v>1396</v>
      </c>
      <c r="G4132" s="62">
        <v>2401</v>
      </c>
      <c r="H4132">
        <v>18.329999999999998</v>
      </c>
      <c r="I4132">
        <v>13970</v>
      </c>
      <c r="J4132">
        <v>0</v>
      </c>
      <c r="K4132">
        <v>17</v>
      </c>
      <c r="L4132">
        <v>17</v>
      </c>
      <c r="M4132">
        <v>0</v>
      </c>
      <c r="N4132" s="23">
        <v>0</v>
      </c>
      <c r="O4132">
        <f t="shared" si="891"/>
        <v>5</v>
      </c>
      <c r="P4132" s="57">
        <f t="shared" si="892"/>
        <v>5</v>
      </c>
      <c r="Q4132" s="267">
        <f t="shared" si="893"/>
        <v>2832</v>
      </c>
      <c r="R4132" s="23">
        <f t="shared" si="894"/>
        <v>2401</v>
      </c>
      <c r="S4132" s="23">
        <f t="shared" si="895"/>
        <v>378</v>
      </c>
      <c r="T4132" s="23" t="str">
        <f t="shared" si="896"/>
        <v/>
      </c>
      <c r="U4132" t="str">
        <f t="shared" si="897"/>
        <v/>
      </c>
      <c r="V4132" s="87"/>
      <c r="AF4132" s="22"/>
      <c r="AG4132" s="89"/>
      <c r="AH4132" s="274"/>
      <c r="AI4132" s="279"/>
      <c r="AJ4132" s="280"/>
      <c r="AK4132" s="92"/>
      <c r="AL4132" s="23"/>
      <c r="AU4132" s="10"/>
    </row>
    <row r="4133" spans="1:47">
      <c r="A4133" t="str">
        <f t="shared" si="890"/>
        <v>PA_Alleg_2019g~Gen-school director wilkinsburg (vote for 5)</v>
      </c>
      <c r="B4133" s="55" t="s">
        <v>1528</v>
      </c>
      <c r="C4133">
        <v>289</v>
      </c>
      <c r="D4133" s="55" t="s">
        <v>309</v>
      </c>
      <c r="E4133" s="55" t="s">
        <v>1429</v>
      </c>
      <c r="F4133" t="s">
        <v>1296</v>
      </c>
      <c r="G4133" s="62">
        <v>378</v>
      </c>
      <c r="H4133">
        <v>2.89</v>
      </c>
      <c r="I4133">
        <v>13970</v>
      </c>
      <c r="J4133">
        <v>0</v>
      </c>
      <c r="K4133">
        <v>17</v>
      </c>
      <c r="L4133">
        <v>17</v>
      </c>
      <c r="M4133">
        <v>0</v>
      </c>
      <c r="N4133" s="23">
        <v>0</v>
      </c>
      <c r="O4133">
        <f t="shared" si="891"/>
        <v>6</v>
      </c>
      <c r="P4133" s="57">
        <f t="shared" si="892"/>
        <v>5</v>
      </c>
      <c r="Q4133" s="267">
        <f t="shared" si="893"/>
        <v>431</v>
      </c>
      <c r="R4133" s="23" t="str">
        <f t="shared" si="894"/>
        <v/>
      </c>
      <c r="S4133" s="23">
        <f t="shared" si="895"/>
        <v>378</v>
      </c>
      <c r="T4133" s="23" t="str">
        <f t="shared" si="896"/>
        <v/>
      </c>
      <c r="U4133" t="str">
        <f t="shared" si="897"/>
        <v/>
      </c>
      <c r="V4133" s="87"/>
      <c r="AF4133" s="22"/>
      <c r="AU4133" s="10"/>
    </row>
    <row r="4134" spans="1:47">
      <c r="A4134" t="str">
        <f t="shared" si="890"/>
        <v>PA_Alleg_2019g~Gen-school director wilkinsburg (vote for 5)</v>
      </c>
      <c r="B4134" s="55" t="s">
        <v>1528</v>
      </c>
      <c r="C4134">
        <v>290</v>
      </c>
      <c r="D4134" s="55" t="s">
        <v>309</v>
      </c>
      <c r="E4134" s="55" t="s">
        <v>15</v>
      </c>
      <c r="G4134" s="62">
        <v>53</v>
      </c>
      <c r="H4134">
        <v>0.4</v>
      </c>
      <c r="I4134">
        <v>13970</v>
      </c>
      <c r="J4134">
        <v>0</v>
      </c>
      <c r="K4134">
        <v>17</v>
      </c>
      <c r="L4134">
        <v>17</v>
      </c>
      <c r="M4134">
        <v>0</v>
      </c>
      <c r="N4134" s="23">
        <v>0</v>
      </c>
      <c r="O4134">
        <f t="shared" si="891"/>
        <v>-6</v>
      </c>
      <c r="P4134" s="57">
        <f t="shared" si="892"/>
        <v>5</v>
      </c>
      <c r="Q4134" s="267">
        <f t="shared" si="893"/>
        <v>53</v>
      </c>
      <c r="R4134" s="23">
        <f t="shared" si="894"/>
        <v>1</v>
      </c>
      <c r="S4134" s="23">
        <f t="shared" si="895"/>
        <v>0</v>
      </c>
      <c r="T4134" s="23" t="str">
        <f t="shared" si="896"/>
        <v/>
      </c>
      <c r="U4134" t="str">
        <f t="shared" si="897"/>
        <v/>
      </c>
      <c r="V4134" s="87"/>
      <c r="AF4134" s="22"/>
      <c r="AL4134" s="23"/>
      <c r="AU4134" s="10"/>
    </row>
    <row r="4135" spans="1:47">
      <c r="A4135" t="str">
        <f t="shared" si="890"/>
        <v>PA_Alleg_2019g~Gen-school director woodland hills region 1 (vote for 2)</v>
      </c>
      <c r="B4135" s="55" t="s">
        <v>1528</v>
      </c>
      <c r="C4135">
        <v>341</v>
      </c>
      <c r="D4135" s="55" t="s">
        <v>371</v>
      </c>
      <c r="E4135" s="55" t="s">
        <v>1436</v>
      </c>
      <c r="F4135" t="s">
        <v>1396</v>
      </c>
      <c r="G4135" s="62">
        <v>2031</v>
      </c>
      <c r="H4135">
        <v>38.549999999999997</v>
      </c>
      <c r="I4135">
        <v>11822</v>
      </c>
      <c r="J4135">
        <v>0</v>
      </c>
      <c r="K4135">
        <v>18</v>
      </c>
      <c r="L4135">
        <v>18</v>
      </c>
      <c r="M4135">
        <v>0</v>
      </c>
      <c r="N4135" s="23">
        <v>0</v>
      </c>
      <c r="O4135">
        <f t="shared" si="891"/>
        <v>1</v>
      </c>
      <c r="P4135" s="57">
        <f t="shared" si="892"/>
        <v>2</v>
      </c>
      <c r="Q4135" s="267">
        <f t="shared" si="893"/>
        <v>2634.5</v>
      </c>
      <c r="R4135" s="23">
        <f t="shared" si="894"/>
        <v>2006</v>
      </c>
      <c r="S4135" s="23">
        <f t="shared" si="895"/>
        <v>1212</v>
      </c>
      <c r="T4135" s="23">
        <f t="shared" si="896"/>
        <v>794</v>
      </c>
      <c r="U4135" t="str">
        <f t="shared" si="897"/>
        <v>PA_Alleg_2019g~Gen-school director woodland hills region 1 (vote for 2)</v>
      </c>
      <c r="V4135" s="87"/>
      <c r="AF4135" s="22"/>
      <c r="AL4135" s="344"/>
      <c r="AU4135" s="10"/>
    </row>
    <row r="4136" spans="1:47">
      <c r="A4136" t="str">
        <f t="shared" si="890"/>
        <v>PA_Alleg_2019g~Gen-school director woodland hills region 1 (vote for 2)</v>
      </c>
      <c r="B4136" s="55" t="s">
        <v>1528</v>
      </c>
      <c r="C4136">
        <v>340</v>
      </c>
      <c r="D4136" s="55" t="s">
        <v>371</v>
      </c>
      <c r="E4136" s="55" t="s">
        <v>372</v>
      </c>
      <c r="F4136" t="s">
        <v>1294</v>
      </c>
      <c r="G4136" s="62">
        <v>2006</v>
      </c>
      <c r="H4136">
        <v>38.07</v>
      </c>
      <c r="I4136">
        <v>11822</v>
      </c>
      <c r="J4136">
        <v>0</v>
      </c>
      <c r="K4136">
        <v>18</v>
      </c>
      <c r="L4136">
        <v>18</v>
      </c>
      <c r="M4136">
        <v>0</v>
      </c>
      <c r="N4136" s="23">
        <v>0</v>
      </c>
      <c r="O4136">
        <f t="shared" si="891"/>
        <v>2</v>
      </c>
      <c r="P4136" s="57">
        <f t="shared" si="892"/>
        <v>2</v>
      </c>
      <c r="Q4136" s="267">
        <f t="shared" si="893"/>
        <v>3238</v>
      </c>
      <c r="R4136" s="23">
        <f t="shared" si="894"/>
        <v>2006</v>
      </c>
      <c r="S4136" s="23">
        <f t="shared" si="895"/>
        <v>1212</v>
      </c>
      <c r="T4136" s="23" t="str">
        <f t="shared" si="896"/>
        <v/>
      </c>
      <c r="U4136" t="str">
        <f t="shared" si="897"/>
        <v/>
      </c>
      <c r="V4136" s="87"/>
      <c r="AF4136" s="22"/>
      <c r="AL4136" s="23"/>
      <c r="AU4136" s="10"/>
    </row>
    <row r="4137" spans="1:47">
      <c r="A4137" t="str">
        <f t="shared" si="890"/>
        <v>PA_Alleg_2019g~Gen-school director woodland hills region 1 (vote for 2)</v>
      </c>
      <c r="B4137" s="55" t="s">
        <v>1528</v>
      </c>
      <c r="C4137">
        <v>342</v>
      </c>
      <c r="D4137" s="55" t="s">
        <v>371</v>
      </c>
      <c r="E4137" s="55" t="s">
        <v>1437</v>
      </c>
      <c r="F4137" t="s">
        <v>1438</v>
      </c>
      <c r="G4137" s="62">
        <v>1212</v>
      </c>
      <c r="H4137">
        <v>23</v>
      </c>
      <c r="I4137">
        <v>11822</v>
      </c>
      <c r="J4137">
        <v>0</v>
      </c>
      <c r="K4137">
        <v>18</v>
      </c>
      <c r="L4137">
        <v>18</v>
      </c>
      <c r="M4137">
        <v>0</v>
      </c>
      <c r="N4137" s="23">
        <v>0</v>
      </c>
      <c r="O4137">
        <f t="shared" si="891"/>
        <v>3</v>
      </c>
      <c r="P4137" s="57">
        <f t="shared" si="892"/>
        <v>2</v>
      </c>
      <c r="Q4137" s="267">
        <f t="shared" si="893"/>
        <v>1232</v>
      </c>
      <c r="R4137" s="23" t="str">
        <f t="shared" si="894"/>
        <v/>
      </c>
      <c r="S4137" s="23">
        <f t="shared" si="895"/>
        <v>1212</v>
      </c>
      <c r="T4137" s="23" t="str">
        <f t="shared" si="896"/>
        <v/>
      </c>
      <c r="U4137" t="str">
        <f t="shared" si="897"/>
        <v/>
      </c>
      <c r="V4137" s="87"/>
      <c r="AF4137" s="22"/>
      <c r="AU4137" s="10"/>
    </row>
    <row r="4138" spans="1:47">
      <c r="A4138" t="str">
        <f t="shared" si="890"/>
        <v>PA_Alleg_2019g~Gen-school director woodland hills region 1 (vote for 2)</v>
      </c>
      <c r="B4138" s="55" t="s">
        <v>1528</v>
      </c>
      <c r="C4138">
        <v>343</v>
      </c>
      <c r="D4138" s="55" t="s">
        <v>371</v>
      </c>
      <c r="E4138" s="55" t="s">
        <v>15</v>
      </c>
      <c r="G4138" s="62">
        <v>20</v>
      </c>
      <c r="H4138">
        <v>0.38</v>
      </c>
      <c r="I4138">
        <v>11822</v>
      </c>
      <c r="J4138">
        <v>0</v>
      </c>
      <c r="K4138">
        <v>18</v>
      </c>
      <c r="L4138">
        <v>18</v>
      </c>
      <c r="M4138">
        <v>0</v>
      </c>
      <c r="N4138" s="23">
        <v>0</v>
      </c>
      <c r="O4138">
        <f t="shared" si="891"/>
        <v>-3</v>
      </c>
      <c r="P4138" s="57">
        <f t="shared" si="892"/>
        <v>2</v>
      </c>
      <c r="Q4138" s="267">
        <f t="shared" si="893"/>
        <v>20</v>
      </c>
      <c r="R4138" s="23">
        <f t="shared" si="894"/>
        <v>1</v>
      </c>
      <c r="S4138" s="23">
        <f t="shared" si="895"/>
        <v>0</v>
      </c>
      <c r="T4138" s="23" t="str">
        <f t="shared" si="896"/>
        <v/>
      </c>
      <c r="U4138" t="str">
        <f t="shared" si="897"/>
        <v/>
      </c>
      <c r="V4138" s="87"/>
      <c r="AF4138" s="22"/>
      <c r="AH4138" s="8"/>
      <c r="AU4138" s="10"/>
    </row>
    <row r="4139" spans="1:47">
      <c r="A4139" t="str">
        <f t="shared" si="890"/>
        <v>PA_Alleg_2019g~Gen-school director woodland hills region 2 (vote for 2)</v>
      </c>
      <c r="B4139" s="55" t="s">
        <v>1528</v>
      </c>
      <c r="C4139">
        <v>376</v>
      </c>
      <c r="D4139" s="55" t="s">
        <v>405</v>
      </c>
      <c r="E4139" s="55" t="s">
        <v>407</v>
      </c>
      <c r="F4139" t="s">
        <v>1294</v>
      </c>
      <c r="G4139" s="62">
        <v>3026</v>
      </c>
      <c r="H4139">
        <v>46.3</v>
      </c>
      <c r="I4139">
        <v>13433</v>
      </c>
      <c r="J4139">
        <v>0</v>
      </c>
      <c r="K4139">
        <v>20</v>
      </c>
      <c r="L4139">
        <v>20</v>
      </c>
      <c r="M4139">
        <v>0</v>
      </c>
      <c r="N4139" s="23">
        <v>0</v>
      </c>
      <c r="O4139">
        <f t="shared" si="891"/>
        <v>1</v>
      </c>
      <c r="P4139" s="57">
        <f t="shared" si="892"/>
        <v>2</v>
      </c>
      <c r="Q4139" s="267">
        <f t="shared" si="893"/>
        <v>3267.5</v>
      </c>
      <c r="R4139" s="23">
        <f t="shared" si="894"/>
        <v>2886</v>
      </c>
      <c r="S4139" s="23">
        <f t="shared" si="895"/>
        <v>607</v>
      </c>
      <c r="T4139" s="23">
        <f t="shared" si="896"/>
        <v>2279</v>
      </c>
      <c r="U4139" t="str">
        <f t="shared" si="897"/>
        <v>PA_Alleg_2019g~Gen-school director woodland hills region 2 (vote for 2)</v>
      </c>
      <c r="V4139" s="87"/>
      <c r="AF4139" s="22"/>
      <c r="AU4139" s="10"/>
    </row>
    <row r="4140" spans="1:47">
      <c r="A4140" t="str">
        <f t="shared" si="890"/>
        <v>PA_Alleg_2019g~Gen-school director woodland hills region 2 (vote for 2)</v>
      </c>
      <c r="B4140" s="55" t="s">
        <v>1528</v>
      </c>
      <c r="C4140">
        <v>377</v>
      </c>
      <c r="D4140" s="55" t="s">
        <v>405</v>
      </c>
      <c r="E4140" s="55" t="s">
        <v>408</v>
      </c>
      <c r="F4140" t="s">
        <v>1294</v>
      </c>
      <c r="G4140" s="62">
        <v>2886</v>
      </c>
      <c r="H4140">
        <v>44.16</v>
      </c>
      <c r="I4140">
        <v>13433</v>
      </c>
      <c r="J4140">
        <v>0</v>
      </c>
      <c r="K4140">
        <v>20</v>
      </c>
      <c r="L4140">
        <v>20</v>
      </c>
      <c r="M4140">
        <v>0</v>
      </c>
      <c r="N4140" s="23">
        <v>0</v>
      </c>
      <c r="O4140">
        <f t="shared" si="891"/>
        <v>2</v>
      </c>
      <c r="P4140" s="57">
        <f t="shared" si="892"/>
        <v>2</v>
      </c>
      <c r="Q4140" s="267">
        <f t="shared" si="893"/>
        <v>3509</v>
      </c>
      <c r="R4140" s="23">
        <f t="shared" si="894"/>
        <v>2886</v>
      </c>
      <c r="S4140" s="23">
        <f t="shared" si="895"/>
        <v>607</v>
      </c>
      <c r="T4140" s="23" t="str">
        <f t="shared" si="896"/>
        <v/>
      </c>
      <c r="U4140" t="str">
        <f t="shared" si="897"/>
        <v/>
      </c>
      <c r="V4140" s="87"/>
      <c r="AF4140" s="22"/>
      <c r="AU4140" s="10"/>
    </row>
    <row r="4141" spans="1:47">
      <c r="A4141" t="str">
        <f t="shared" si="890"/>
        <v>PA_Alleg_2019g~Gen-school director woodland hills region 2 (vote for 2)</v>
      </c>
      <c r="B4141" s="55" t="s">
        <v>1528</v>
      </c>
      <c r="C4141">
        <v>378</v>
      </c>
      <c r="D4141" s="55" t="s">
        <v>405</v>
      </c>
      <c r="E4141" s="55" t="s">
        <v>406</v>
      </c>
      <c r="F4141" t="s">
        <v>1296</v>
      </c>
      <c r="G4141" s="62">
        <v>607</v>
      </c>
      <c r="H4141">
        <v>9.2899999999999991</v>
      </c>
      <c r="I4141">
        <v>13433</v>
      </c>
      <c r="J4141">
        <v>0</v>
      </c>
      <c r="K4141">
        <v>20</v>
      </c>
      <c r="L4141">
        <v>20</v>
      </c>
      <c r="M4141">
        <v>0</v>
      </c>
      <c r="N4141" s="23">
        <v>0</v>
      </c>
      <c r="O4141">
        <f t="shared" si="891"/>
        <v>3</v>
      </c>
      <c r="P4141" s="57">
        <f t="shared" si="892"/>
        <v>2</v>
      </c>
      <c r="Q4141" s="267">
        <f t="shared" si="893"/>
        <v>623</v>
      </c>
      <c r="R4141" s="23" t="str">
        <f t="shared" si="894"/>
        <v/>
      </c>
      <c r="S4141" s="23">
        <f t="shared" si="895"/>
        <v>607</v>
      </c>
      <c r="T4141" s="23" t="str">
        <f t="shared" si="896"/>
        <v/>
      </c>
      <c r="U4141" t="str">
        <f t="shared" si="897"/>
        <v/>
      </c>
      <c r="V4141" s="87"/>
      <c r="AF4141" s="22"/>
      <c r="AU4141" s="10"/>
    </row>
    <row r="4142" spans="1:47">
      <c r="A4142" t="str">
        <f t="shared" si="890"/>
        <v>PA_Alleg_2019g~Gen-school director woodland hills region 2 (vote for 2)</v>
      </c>
      <c r="B4142" s="55" t="s">
        <v>1528</v>
      </c>
      <c r="C4142">
        <v>379</v>
      </c>
      <c r="D4142" s="55" t="s">
        <v>405</v>
      </c>
      <c r="E4142" s="55" t="s">
        <v>15</v>
      </c>
      <c r="G4142" s="62">
        <v>16</v>
      </c>
      <c r="H4142">
        <v>0.24</v>
      </c>
      <c r="I4142">
        <v>13433</v>
      </c>
      <c r="J4142">
        <v>0</v>
      </c>
      <c r="K4142">
        <v>20</v>
      </c>
      <c r="L4142">
        <v>20</v>
      </c>
      <c r="M4142">
        <v>0</v>
      </c>
      <c r="N4142" s="23">
        <v>0</v>
      </c>
      <c r="O4142">
        <f t="shared" si="891"/>
        <v>-3</v>
      </c>
      <c r="P4142" s="57">
        <f t="shared" si="892"/>
        <v>2</v>
      </c>
      <c r="Q4142" s="267">
        <f t="shared" si="893"/>
        <v>16</v>
      </c>
      <c r="R4142" s="23">
        <f t="shared" si="894"/>
        <v>1</v>
      </c>
      <c r="S4142" s="23">
        <f t="shared" si="895"/>
        <v>0</v>
      </c>
      <c r="T4142" s="23" t="str">
        <f t="shared" si="896"/>
        <v/>
      </c>
      <c r="U4142" t="str">
        <f t="shared" si="897"/>
        <v/>
      </c>
      <c r="V4142" s="87"/>
      <c r="AF4142" s="22"/>
      <c r="AL4142" s="23"/>
      <c r="AU4142" s="10"/>
    </row>
    <row r="4143" spans="1:47">
      <c r="A4143" t="str">
        <f t="shared" si="890"/>
        <v>PA_Alleg_2019g~Gen-school director woodland hills region 3 (vote for 1)</v>
      </c>
      <c r="B4143" s="55" t="s">
        <v>1528</v>
      </c>
      <c r="C4143">
        <v>425</v>
      </c>
      <c r="D4143" s="55" t="s">
        <v>447</v>
      </c>
      <c r="E4143" s="55" t="s">
        <v>453</v>
      </c>
      <c r="F4143" t="s">
        <v>1396</v>
      </c>
      <c r="G4143" s="62">
        <v>3102</v>
      </c>
      <c r="H4143">
        <v>99.42</v>
      </c>
      <c r="I4143">
        <v>11568</v>
      </c>
      <c r="J4143">
        <v>0</v>
      </c>
      <c r="K4143">
        <v>20</v>
      </c>
      <c r="L4143">
        <v>20</v>
      </c>
      <c r="M4143">
        <v>0</v>
      </c>
      <c r="N4143" s="23">
        <v>0</v>
      </c>
      <c r="O4143">
        <f t="shared" si="891"/>
        <v>1</v>
      </c>
      <c r="P4143" s="57">
        <f t="shared" si="892"/>
        <v>1</v>
      </c>
      <c r="Q4143" s="267">
        <f t="shared" si="893"/>
        <v>5974</v>
      </c>
      <c r="R4143" s="23">
        <f t="shared" si="894"/>
        <v>3102</v>
      </c>
      <c r="S4143" s="23">
        <f t="shared" si="895"/>
        <v>2826</v>
      </c>
      <c r="T4143" s="23">
        <f t="shared" si="896"/>
        <v>276</v>
      </c>
      <c r="U4143" t="str">
        <f t="shared" si="897"/>
        <v>PA_Alleg_2019g~Gen-school director woodland hills region 3 (vote for 1)</v>
      </c>
      <c r="V4143" s="87"/>
      <c r="AF4143" s="22"/>
      <c r="AG4143" s="23"/>
      <c r="AH4143" s="8"/>
      <c r="AU4143" s="10"/>
    </row>
    <row r="4144" spans="1:47">
      <c r="A4144" t="str">
        <f t="shared" si="890"/>
        <v>PA_Alleg_2019g~Gen-school director woodland hills region 3 (vote for 1)</v>
      </c>
      <c r="B4144" s="55" t="s">
        <v>1528</v>
      </c>
      <c r="C4144">
        <v>418</v>
      </c>
      <c r="D4144" s="55" t="s">
        <v>447</v>
      </c>
      <c r="E4144" s="55" t="s">
        <v>448</v>
      </c>
      <c r="F4144" t="s">
        <v>1294</v>
      </c>
      <c r="G4144" s="62">
        <v>2826</v>
      </c>
      <c r="H4144">
        <v>99.02</v>
      </c>
      <c r="I4144">
        <v>11568</v>
      </c>
      <c r="J4144">
        <v>0</v>
      </c>
      <c r="K4144">
        <v>20</v>
      </c>
      <c r="L4144">
        <v>20</v>
      </c>
      <c r="M4144">
        <v>0</v>
      </c>
      <c r="N4144" s="23">
        <v>0</v>
      </c>
      <c r="O4144">
        <f t="shared" si="891"/>
        <v>2</v>
      </c>
      <c r="P4144" s="57">
        <f t="shared" si="892"/>
        <v>1</v>
      </c>
      <c r="Q4144" s="267">
        <f t="shared" si="893"/>
        <v>2872</v>
      </c>
      <c r="R4144" s="23" t="str">
        <f t="shared" si="894"/>
        <v/>
      </c>
      <c r="S4144" s="23">
        <f t="shared" si="895"/>
        <v>2826</v>
      </c>
      <c r="T4144" s="23" t="str">
        <f t="shared" si="896"/>
        <v/>
      </c>
      <c r="U4144" t="str">
        <f t="shared" si="897"/>
        <v/>
      </c>
      <c r="V4144" s="87"/>
      <c r="AF4144" s="22"/>
      <c r="AU4144" s="10"/>
    </row>
    <row r="4145" spans="1:47">
      <c r="A4145" t="str">
        <f t="shared" si="890"/>
        <v>PA_Alleg_2019g~Gen-school director woodland hills region 3 (vote for 1)</v>
      </c>
      <c r="B4145" s="55" t="s">
        <v>1528</v>
      </c>
      <c r="C4145">
        <v>419</v>
      </c>
      <c r="D4145" s="55" t="s">
        <v>447</v>
      </c>
      <c r="E4145" s="55" t="s">
        <v>15</v>
      </c>
      <c r="G4145" s="62">
        <v>28</v>
      </c>
      <c r="H4145">
        <v>0.98</v>
      </c>
      <c r="I4145">
        <v>11568</v>
      </c>
      <c r="J4145">
        <v>0</v>
      </c>
      <c r="K4145">
        <v>20</v>
      </c>
      <c r="L4145">
        <v>20</v>
      </c>
      <c r="M4145">
        <v>0</v>
      </c>
      <c r="N4145" s="23">
        <v>0</v>
      </c>
      <c r="O4145">
        <f t="shared" si="891"/>
        <v>-2</v>
      </c>
      <c r="P4145" s="57">
        <f t="shared" si="892"/>
        <v>1</v>
      </c>
      <c r="Q4145" s="267">
        <f t="shared" si="893"/>
        <v>46</v>
      </c>
      <c r="R4145" s="23">
        <f t="shared" si="894"/>
        <v>1</v>
      </c>
      <c r="S4145" s="23">
        <f t="shared" si="895"/>
        <v>0</v>
      </c>
      <c r="T4145" s="23" t="str">
        <f t="shared" si="896"/>
        <v/>
      </c>
      <c r="U4145" t="str">
        <f t="shared" si="897"/>
        <v/>
      </c>
      <c r="V4145" s="87"/>
      <c r="AU4145" s="10"/>
    </row>
    <row r="4146" spans="1:47">
      <c r="A4146" t="str">
        <f t="shared" si="890"/>
        <v>PA_Alleg_2019g~Gen-school director woodland hills region 3 (vote for 1)</v>
      </c>
      <c r="B4146" s="55" t="s">
        <v>1528</v>
      </c>
      <c r="C4146">
        <v>426</v>
      </c>
      <c r="D4146" s="55" t="s">
        <v>447</v>
      </c>
      <c r="E4146" s="55" t="s">
        <v>15</v>
      </c>
      <c r="G4146" s="62">
        <v>18</v>
      </c>
      <c r="H4146">
        <v>0.57999999999999996</v>
      </c>
      <c r="I4146">
        <v>11568</v>
      </c>
      <c r="J4146">
        <v>0</v>
      </c>
      <c r="K4146">
        <v>20</v>
      </c>
      <c r="L4146">
        <v>20</v>
      </c>
      <c r="M4146">
        <v>0</v>
      </c>
      <c r="N4146" s="23">
        <v>0</v>
      </c>
      <c r="O4146">
        <f t="shared" si="891"/>
        <v>-2</v>
      </c>
      <c r="P4146" s="57">
        <f t="shared" si="892"/>
        <v>1</v>
      </c>
      <c r="Q4146" s="267">
        <f t="shared" si="893"/>
        <v>18</v>
      </c>
      <c r="R4146" s="23">
        <f t="shared" si="894"/>
        <v>1</v>
      </c>
      <c r="S4146" s="23">
        <f t="shared" si="895"/>
        <v>0</v>
      </c>
      <c r="T4146" s="23" t="str">
        <f t="shared" si="896"/>
        <v/>
      </c>
      <c r="U4146" t="str">
        <f t="shared" si="897"/>
        <v/>
      </c>
      <c r="V4146" s="87"/>
      <c r="AF4146" s="22"/>
      <c r="AL4146" s="23"/>
      <c r="AU4146" s="10"/>
    </row>
    <row r="4147" spans="1:47">
      <c r="A4147" t="str">
        <f t="shared" si="890"/>
        <v>PA_Alleg_2019g~Gen-supervisor at-large richland (vote for 1)</v>
      </c>
      <c r="B4147" s="55" t="s">
        <v>1528</v>
      </c>
      <c r="C4147">
        <v>1197</v>
      </c>
      <c r="D4147" s="55" t="s">
        <v>1082</v>
      </c>
      <c r="E4147" s="55" t="s">
        <v>1262</v>
      </c>
      <c r="F4147" t="s">
        <v>1296</v>
      </c>
      <c r="G4147" s="62">
        <v>1680</v>
      </c>
      <c r="H4147">
        <v>97.73</v>
      </c>
      <c r="I4147">
        <v>8755</v>
      </c>
      <c r="J4147">
        <v>0</v>
      </c>
      <c r="K4147">
        <v>8</v>
      </c>
      <c r="L4147">
        <v>8</v>
      </c>
      <c r="M4147">
        <v>0</v>
      </c>
      <c r="N4147" s="23">
        <v>0</v>
      </c>
      <c r="O4147">
        <f t="shared" si="891"/>
        <v>1</v>
      </c>
      <c r="P4147" s="57">
        <f t="shared" si="892"/>
        <v>1</v>
      </c>
      <c r="Q4147" s="267">
        <f t="shared" si="893"/>
        <v>1719</v>
      </c>
      <c r="R4147" s="23">
        <f t="shared" si="894"/>
        <v>1680</v>
      </c>
      <c r="S4147" s="23">
        <f t="shared" si="895"/>
        <v>0</v>
      </c>
      <c r="T4147" s="23" t="str">
        <f t="shared" si="896"/>
        <v/>
      </c>
      <c r="U4147" t="str">
        <f t="shared" si="897"/>
        <v>PA_Alleg_2019g~Gen-supervisor at-large richland (vote for 1)</v>
      </c>
      <c r="V4147" s="87"/>
      <c r="AF4147" s="88"/>
      <c r="AU4147" s="10"/>
    </row>
    <row r="4148" spans="1:47">
      <c r="A4148" t="str">
        <f t="shared" si="890"/>
        <v>PA_Alleg_2019g~Gen-supervisor at-large richland (vote for 1)</v>
      </c>
      <c r="B4148" s="55" t="s">
        <v>1528</v>
      </c>
      <c r="C4148">
        <v>1198</v>
      </c>
      <c r="D4148" s="55" t="s">
        <v>1082</v>
      </c>
      <c r="E4148" s="55" t="s">
        <v>15</v>
      </c>
      <c r="G4148" s="62">
        <v>39</v>
      </c>
      <c r="H4148">
        <v>2.27</v>
      </c>
      <c r="I4148">
        <v>8755</v>
      </c>
      <c r="J4148">
        <v>0</v>
      </c>
      <c r="K4148">
        <v>8</v>
      </c>
      <c r="L4148">
        <v>8</v>
      </c>
      <c r="M4148">
        <v>0</v>
      </c>
      <c r="N4148" s="23">
        <v>0</v>
      </c>
      <c r="O4148">
        <f t="shared" si="891"/>
        <v>-1</v>
      </c>
      <c r="P4148" s="57">
        <f t="shared" si="892"/>
        <v>1</v>
      </c>
      <c r="Q4148" s="267">
        <f t="shared" si="893"/>
        <v>39</v>
      </c>
      <c r="R4148" s="23">
        <f t="shared" si="894"/>
        <v>1</v>
      </c>
      <c r="S4148" s="23">
        <f t="shared" si="895"/>
        <v>0</v>
      </c>
      <c r="T4148" s="23" t="str">
        <f t="shared" si="896"/>
        <v/>
      </c>
      <c r="U4148" t="str">
        <f t="shared" si="897"/>
        <v/>
      </c>
      <c r="V4148" s="87"/>
      <c r="AF4148" s="22"/>
      <c r="AG4148" s="89"/>
      <c r="AH4148" s="274"/>
      <c r="AI4148" s="279"/>
      <c r="AJ4148" s="280"/>
      <c r="AK4148" s="92"/>
      <c r="AL4148" s="23"/>
      <c r="AU4148" s="10"/>
    </row>
    <row r="4149" spans="1:47">
      <c r="A4149" t="str">
        <f t="shared" si="890"/>
        <v>PA_Alleg_2019g~Gen-supervisor fawn (vote for 1)</v>
      </c>
      <c r="B4149" s="55" t="s">
        <v>1528</v>
      </c>
      <c r="C4149">
        <v>1234</v>
      </c>
      <c r="D4149" s="55" t="s">
        <v>1087</v>
      </c>
      <c r="E4149" s="55" t="s">
        <v>1089</v>
      </c>
      <c r="F4149" t="s">
        <v>1296</v>
      </c>
      <c r="G4149" s="62">
        <f>174+159</f>
        <v>333</v>
      </c>
      <c r="H4149">
        <v>39.85</v>
      </c>
      <c r="I4149">
        <v>1489</v>
      </c>
      <c r="J4149">
        <v>0</v>
      </c>
      <c r="K4149">
        <v>2</v>
      </c>
      <c r="L4149">
        <v>2</v>
      </c>
      <c r="M4149">
        <v>0</v>
      </c>
      <c r="N4149" s="23">
        <v>0</v>
      </c>
      <c r="O4149">
        <f t="shared" si="891"/>
        <v>1</v>
      </c>
      <c r="P4149" s="57">
        <f t="shared" si="892"/>
        <v>1</v>
      </c>
      <c r="Q4149" s="267">
        <f t="shared" si="893"/>
        <v>818</v>
      </c>
      <c r="R4149" s="23">
        <f t="shared" si="894"/>
        <v>333</v>
      </c>
      <c r="S4149" s="23">
        <f t="shared" si="895"/>
        <v>244</v>
      </c>
      <c r="T4149" s="23">
        <f t="shared" si="896"/>
        <v>89</v>
      </c>
      <c r="U4149" t="str">
        <f t="shared" si="897"/>
        <v>PA_Alleg_2019g~Gen-supervisor fawn (vote for 1)</v>
      </c>
      <c r="V4149" s="87"/>
      <c r="AF4149" s="22"/>
      <c r="AU4149" s="10"/>
    </row>
    <row r="4150" spans="1:47">
      <c r="A4150" t="str">
        <f t="shared" si="890"/>
        <v>PA_Alleg_2019g~Gen-supervisor fawn (vote for 1)</v>
      </c>
      <c r="B4150" s="55" t="s">
        <v>1528</v>
      </c>
      <c r="C4150">
        <v>1207</v>
      </c>
      <c r="D4150" s="55" t="s">
        <v>1087</v>
      </c>
      <c r="E4150" s="55" t="s">
        <v>1267</v>
      </c>
      <c r="F4150" t="s">
        <v>1296</v>
      </c>
      <c r="G4150" s="62">
        <v>244</v>
      </c>
      <c r="H4150">
        <v>58.23</v>
      </c>
      <c r="I4150">
        <v>1489</v>
      </c>
      <c r="J4150">
        <v>0</v>
      </c>
      <c r="K4150">
        <v>2</v>
      </c>
      <c r="L4150">
        <v>2</v>
      </c>
      <c r="M4150">
        <v>0</v>
      </c>
      <c r="N4150" s="23">
        <v>0</v>
      </c>
      <c r="O4150">
        <f t="shared" si="891"/>
        <v>2</v>
      </c>
      <c r="P4150" s="57">
        <f t="shared" si="892"/>
        <v>1</v>
      </c>
      <c r="Q4150" s="267">
        <f t="shared" si="893"/>
        <v>485</v>
      </c>
      <c r="R4150" s="23" t="str">
        <f t="shared" si="894"/>
        <v/>
      </c>
      <c r="S4150" s="23">
        <f t="shared" si="895"/>
        <v>244</v>
      </c>
      <c r="T4150" s="23" t="str">
        <f t="shared" si="896"/>
        <v/>
      </c>
      <c r="U4150" t="str">
        <f t="shared" si="897"/>
        <v/>
      </c>
      <c r="V4150" s="87"/>
      <c r="AF4150" s="22"/>
      <c r="AU4150" s="10"/>
    </row>
    <row r="4151" spans="1:47">
      <c r="A4151" t="str">
        <f t="shared" si="890"/>
        <v>PA_Alleg_2019g~Gen-supervisor fawn (vote for 1)</v>
      </c>
      <c r="B4151" s="55" t="s">
        <v>1528</v>
      </c>
      <c r="C4151">
        <v>1233</v>
      </c>
      <c r="D4151" s="55" t="s">
        <v>1087</v>
      </c>
      <c r="E4151" s="55" t="s">
        <v>1105</v>
      </c>
      <c r="F4151" t="s">
        <v>1294</v>
      </c>
      <c r="G4151" s="62">
        <v>222</v>
      </c>
      <c r="H4151">
        <v>55.64</v>
      </c>
      <c r="I4151">
        <v>1489</v>
      </c>
      <c r="J4151">
        <v>0</v>
      </c>
      <c r="K4151">
        <v>2</v>
      </c>
      <c r="L4151">
        <v>2</v>
      </c>
      <c r="M4151">
        <v>0</v>
      </c>
      <c r="N4151" s="23">
        <v>0</v>
      </c>
      <c r="O4151">
        <f t="shared" si="891"/>
        <v>3</v>
      </c>
      <c r="P4151" s="57">
        <f t="shared" si="892"/>
        <v>1</v>
      </c>
      <c r="Q4151" s="267">
        <f t="shared" si="893"/>
        <v>241</v>
      </c>
      <c r="R4151" s="23" t="str">
        <f t="shared" si="894"/>
        <v/>
      </c>
      <c r="S4151" s="23">
        <f t="shared" si="895"/>
        <v>222</v>
      </c>
      <c r="T4151" s="23" t="str">
        <f t="shared" si="896"/>
        <v/>
      </c>
      <c r="U4151" t="str">
        <f t="shared" si="897"/>
        <v/>
      </c>
      <c r="V4151" s="87"/>
      <c r="AF4151" s="22"/>
      <c r="AU4151" s="10"/>
    </row>
    <row r="4152" spans="1:47">
      <c r="A4152" t="str">
        <f t="shared" ref="A4152:A4215" si="898">CONCATENATE(B4152,"~Gen-",LOWER(D4152))</f>
        <v>PA_Alleg_2019g~Gen-supervisor fawn (vote for 1)</v>
      </c>
      <c r="B4152" s="55" t="s">
        <v>1528</v>
      </c>
      <c r="C4152">
        <v>1235</v>
      </c>
      <c r="D4152" s="55" t="s">
        <v>1087</v>
      </c>
      <c r="E4152" s="55" t="s">
        <v>15</v>
      </c>
      <c r="G4152" s="62">
        <v>18</v>
      </c>
      <c r="H4152">
        <v>4.51</v>
      </c>
      <c r="I4152">
        <v>1489</v>
      </c>
      <c r="J4152">
        <v>0</v>
      </c>
      <c r="K4152">
        <v>2</v>
      </c>
      <c r="L4152">
        <v>2</v>
      </c>
      <c r="M4152">
        <v>0</v>
      </c>
      <c r="N4152" s="23">
        <v>0</v>
      </c>
      <c r="O4152">
        <f t="shared" si="891"/>
        <v>-3</v>
      </c>
      <c r="P4152" s="57">
        <f t="shared" si="892"/>
        <v>1</v>
      </c>
      <c r="Q4152" s="267">
        <f t="shared" si="893"/>
        <v>19</v>
      </c>
      <c r="R4152" s="23" t="str">
        <f t="shared" si="894"/>
        <v/>
      </c>
      <c r="S4152" s="23">
        <f t="shared" si="895"/>
        <v>0</v>
      </c>
      <c r="T4152" s="23" t="str">
        <f t="shared" si="896"/>
        <v/>
      </c>
      <c r="U4152" t="str">
        <f t="shared" si="897"/>
        <v/>
      </c>
      <c r="V4152" s="87"/>
      <c r="AU4152" s="10"/>
    </row>
    <row r="4153" spans="1:47">
      <c r="A4153" t="str">
        <f t="shared" si="898"/>
        <v>PA_Alleg_2019g~Gen-supervisor fawn (vote for 1)</v>
      </c>
      <c r="B4153" s="55" t="s">
        <v>1528</v>
      </c>
      <c r="C4153">
        <v>1208</v>
      </c>
      <c r="D4153" s="55" t="s">
        <v>1087</v>
      </c>
      <c r="E4153" s="55" t="s">
        <v>15</v>
      </c>
      <c r="G4153" s="62">
        <v>1</v>
      </c>
      <c r="H4153">
        <v>0.24</v>
      </c>
      <c r="I4153">
        <v>1489</v>
      </c>
      <c r="J4153">
        <v>0</v>
      </c>
      <c r="K4153">
        <v>2</v>
      </c>
      <c r="L4153">
        <v>2</v>
      </c>
      <c r="M4153">
        <v>0</v>
      </c>
      <c r="N4153" s="23">
        <v>0</v>
      </c>
      <c r="O4153">
        <f t="shared" si="891"/>
        <v>-3</v>
      </c>
      <c r="P4153" s="57">
        <f t="shared" si="892"/>
        <v>1</v>
      </c>
      <c r="Q4153" s="267">
        <f t="shared" si="893"/>
        <v>1</v>
      </c>
      <c r="R4153" s="23" t="str">
        <f t="shared" si="894"/>
        <v/>
      </c>
      <c r="S4153" s="23">
        <f t="shared" si="895"/>
        <v>0</v>
      </c>
      <c r="T4153" s="23" t="str">
        <f t="shared" si="896"/>
        <v/>
      </c>
      <c r="U4153" t="str">
        <f t="shared" si="897"/>
        <v/>
      </c>
      <c r="V4153" s="87"/>
      <c r="AF4153" s="22"/>
      <c r="AU4153" s="10"/>
    </row>
    <row r="4154" spans="1:47">
      <c r="A4154" t="str">
        <f t="shared" si="898"/>
        <v>PA_Alleg_2019g~Gen-supervisor fawn (vote for 1)</v>
      </c>
      <c r="B4154" s="55" t="s">
        <v>1528</v>
      </c>
      <c r="C4154">
        <v>1206</v>
      </c>
      <c r="D4154" s="55" t="s">
        <v>1087</v>
      </c>
      <c r="E4154" s="55" t="s">
        <v>1089</v>
      </c>
      <c r="F4154" t="s">
        <v>1294</v>
      </c>
      <c r="G4154" s="62">
        <v>0</v>
      </c>
      <c r="H4154">
        <v>41.53</v>
      </c>
      <c r="I4154">
        <v>1489</v>
      </c>
      <c r="J4154">
        <v>0</v>
      </c>
      <c r="K4154">
        <v>2</v>
      </c>
      <c r="L4154">
        <v>2</v>
      </c>
      <c r="M4154">
        <v>0</v>
      </c>
      <c r="N4154" s="23">
        <v>0</v>
      </c>
      <c r="O4154">
        <f t="shared" si="891"/>
        <v>4</v>
      </c>
      <c r="P4154" s="57">
        <f t="shared" si="892"/>
        <v>1</v>
      </c>
      <c r="Q4154" s="267">
        <f t="shared" si="893"/>
        <v>0</v>
      </c>
      <c r="R4154" s="23" t="str">
        <f t="shared" si="894"/>
        <v/>
      </c>
      <c r="S4154" s="23">
        <f t="shared" si="895"/>
        <v>0</v>
      </c>
      <c r="T4154" s="23" t="str">
        <f t="shared" si="896"/>
        <v/>
      </c>
      <c r="U4154" t="str">
        <f t="shared" si="897"/>
        <v/>
      </c>
      <c r="V4154" s="87"/>
      <c r="AF4154" s="22"/>
      <c r="AU4154" s="10"/>
    </row>
    <row r="4155" spans="1:47">
      <c r="A4155" t="str">
        <f t="shared" si="898"/>
        <v>PA_Alleg_2019g~Gen-supervisor findlay (vote for 1)</v>
      </c>
      <c r="B4155" s="55" t="s">
        <v>1528</v>
      </c>
      <c r="C4155">
        <v>1209</v>
      </c>
      <c r="D4155" s="55" t="s">
        <v>1090</v>
      </c>
      <c r="E4155" s="55" t="s">
        <v>1091</v>
      </c>
      <c r="F4155" t="s">
        <v>1396</v>
      </c>
      <c r="G4155" s="62">
        <v>967</v>
      </c>
      <c r="H4155">
        <v>97.97</v>
      </c>
      <c r="I4155">
        <v>4416</v>
      </c>
      <c r="J4155">
        <v>0</v>
      </c>
      <c r="K4155">
        <v>3</v>
      </c>
      <c r="L4155">
        <v>3</v>
      </c>
      <c r="M4155">
        <v>0</v>
      </c>
      <c r="N4155" s="23">
        <v>0</v>
      </c>
      <c r="O4155">
        <f t="shared" si="891"/>
        <v>1</v>
      </c>
      <c r="P4155" s="57">
        <f t="shared" si="892"/>
        <v>1</v>
      </c>
      <c r="Q4155" s="267">
        <f t="shared" si="893"/>
        <v>987</v>
      </c>
      <c r="R4155" s="23">
        <f t="shared" si="894"/>
        <v>967</v>
      </c>
      <c r="S4155" s="23">
        <f t="shared" si="895"/>
        <v>0</v>
      </c>
      <c r="T4155" s="23" t="str">
        <f t="shared" si="896"/>
        <v/>
      </c>
      <c r="U4155" t="str">
        <f t="shared" si="897"/>
        <v>PA_Alleg_2019g~Gen-supervisor findlay (vote for 1)</v>
      </c>
      <c r="V4155" s="87"/>
      <c r="AU4155" s="10"/>
    </row>
    <row r="4156" spans="1:47">
      <c r="A4156" t="str">
        <f t="shared" si="898"/>
        <v>PA_Alleg_2019g~Gen-supervisor findlay (vote for 1)</v>
      </c>
      <c r="B4156" s="55" t="s">
        <v>1528</v>
      </c>
      <c r="C4156">
        <v>1210</v>
      </c>
      <c r="D4156" s="55" t="s">
        <v>1090</v>
      </c>
      <c r="E4156" s="55" t="s">
        <v>15</v>
      </c>
      <c r="G4156" s="62">
        <v>20</v>
      </c>
      <c r="H4156">
        <v>2.0299999999999998</v>
      </c>
      <c r="I4156">
        <v>4416</v>
      </c>
      <c r="J4156">
        <v>0</v>
      </c>
      <c r="K4156">
        <v>3</v>
      </c>
      <c r="L4156">
        <v>3</v>
      </c>
      <c r="M4156">
        <v>0</v>
      </c>
      <c r="N4156" s="23">
        <v>0</v>
      </c>
      <c r="O4156">
        <f t="shared" si="891"/>
        <v>-1</v>
      </c>
      <c r="P4156" s="57">
        <f t="shared" si="892"/>
        <v>1</v>
      </c>
      <c r="Q4156" s="267">
        <f t="shared" si="893"/>
        <v>20</v>
      </c>
      <c r="R4156" s="23">
        <f t="shared" si="894"/>
        <v>1</v>
      </c>
      <c r="S4156" s="23">
        <f t="shared" si="895"/>
        <v>0</v>
      </c>
      <c r="T4156" s="23" t="str">
        <f t="shared" si="896"/>
        <v/>
      </c>
      <c r="U4156" t="str">
        <f t="shared" si="897"/>
        <v/>
      </c>
      <c r="V4156" s="87"/>
      <c r="AF4156" s="22"/>
      <c r="AU4156" s="10"/>
    </row>
    <row r="4157" spans="1:47">
      <c r="A4157" t="str">
        <f t="shared" si="898"/>
        <v>PA_Alleg_2019g~Gen-supervisor forward (vote for 1)</v>
      </c>
      <c r="B4157" s="55" t="s">
        <v>1528</v>
      </c>
      <c r="C4157">
        <v>1211</v>
      </c>
      <c r="D4157" s="55" t="s">
        <v>1092</v>
      </c>
      <c r="E4157" s="55" t="s">
        <v>1093</v>
      </c>
      <c r="F4157" t="s">
        <v>1396</v>
      </c>
      <c r="G4157" s="62">
        <v>484</v>
      </c>
      <c r="H4157">
        <v>98.37</v>
      </c>
      <c r="I4157">
        <v>2118</v>
      </c>
      <c r="J4157">
        <v>0</v>
      </c>
      <c r="K4157">
        <v>4</v>
      </c>
      <c r="L4157">
        <v>4</v>
      </c>
      <c r="M4157">
        <v>0</v>
      </c>
      <c r="N4157" s="23">
        <v>0</v>
      </c>
      <c r="O4157">
        <f t="shared" si="891"/>
        <v>1</v>
      </c>
      <c r="P4157" s="57">
        <f t="shared" si="892"/>
        <v>1</v>
      </c>
      <c r="Q4157" s="267">
        <f t="shared" si="893"/>
        <v>492</v>
      </c>
      <c r="R4157" s="23">
        <f t="shared" si="894"/>
        <v>484</v>
      </c>
      <c r="S4157" s="23">
        <f t="shared" si="895"/>
        <v>0</v>
      </c>
      <c r="T4157" s="23" t="str">
        <f t="shared" si="896"/>
        <v/>
      </c>
      <c r="U4157" t="str">
        <f t="shared" si="897"/>
        <v>PA_Alleg_2019g~Gen-supervisor forward (vote for 1)</v>
      </c>
      <c r="V4157" s="87"/>
      <c r="AF4157" s="22"/>
      <c r="AU4157" s="10"/>
    </row>
    <row r="4158" spans="1:47">
      <c r="A4158" t="str">
        <f t="shared" si="898"/>
        <v>PA_Alleg_2019g~Gen-supervisor forward (vote for 1)</v>
      </c>
      <c r="B4158" s="55" t="s">
        <v>1528</v>
      </c>
      <c r="C4158">
        <v>1212</v>
      </c>
      <c r="D4158" s="55" t="s">
        <v>1092</v>
      </c>
      <c r="E4158" s="55" t="s">
        <v>15</v>
      </c>
      <c r="G4158" s="62">
        <v>8</v>
      </c>
      <c r="H4158">
        <v>1.63</v>
      </c>
      <c r="I4158">
        <v>2118</v>
      </c>
      <c r="J4158">
        <v>0</v>
      </c>
      <c r="K4158">
        <v>4</v>
      </c>
      <c r="L4158">
        <v>4</v>
      </c>
      <c r="M4158">
        <v>0</v>
      </c>
      <c r="N4158" s="23">
        <v>0</v>
      </c>
      <c r="O4158">
        <f t="shared" si="891"/>
        <v>-1</v>
      </c>
      <c r="P4158" s="57">
        <f t="shared" si="892"/>
        <v>1</v>
      </c>
      <c r="Q4158" s="267">
        <f t="shared" si="893"/>
        <v>8</v>
      </c>
      <c r="R4158" s="23">
        <f t="shared" si="894"/>
        <v>1</v>
      </c>
      <c r="S4158" s="23">
        <f t="shared" si="895"/>
        <v>0</v>
      </c>
      <c r="T4158" s="23" t="str">
        <f t="shared" si="896"/>
        <v/>
      </c>
      <c r="U4158" t="str">
        <f t="shared" si="897"/>
        <v/>
      </c>
      <c r="V4158" s="87"/>
      <c r="AF4158" s="22"/>
      <c r="AU4158" s="10"/>
    </row>
    <row r="4159" spans="1:47">
      <c r="A4159" t="str">
        <f t="shared" si="898"/>
        <v>PA_Alleg_2019g~Gen-supervisor frazer (vote for 1)</v>
      </c>
      <c r="B4159" s="55" t="s">
        <v>1528</v>
      </c>
      <c r="C4159">
        <v>1213</v>
      </c>
      <c r="D4159" s="55" t="s">
        <v>1094</v>
      </c>
      <c r="E4159" s="55" t="s">
        <v>1095</v>
      </c>
      <c r="F4159" t="s">
        <v>1294</v>
      </c>
      <c r="G4159" s="62">
        <v>135</v>
      </c>
      <c r="H4159">
        <v>95.74</v>
      </c>
      <c r="I4159">
        <v>770</v>
      </c>
      <c r="J4159">
        <v>0</v>
      </c>
      <c r="K4159">
        <v>1</v>
      </c>
      <c r="L4159">
        <v>1</v>
      </c>
      <c r="M4159">
        <v>0</v>
      </c>
      <c r="N4159" s="23">
        <v>0</v>
      </c>
      <c r="O4159">
        <f t="shared" si="891"/>
        <v>1</v>
      </c>
      <c r="P4159" s="57">
        <f t="shared" si="892"/>
        <v>1</v>
      </c>
      <c r="Q4159" s="267">
        <f t="shared" si="893"/>
        <v>141</v>
      </c>
      <c r="R4159" s="23">
        <f t="shared" si="894"/>
        <v>135</v>
      </c>
      <c r="S4159" s="23">
        <f t="shared" si="895"/>
        <v>0</v>
      </c>
      <c r="T4159" s="23" t="str">
        <f t="shared" si="896"/>
        <v/>
      </c>
      <c r="U4159" t="str">
        <f t="shared" si="897"/>
        <v>PA_Alleg_2019g~Gen-supervisor frazer (vote for 1)</v>
      </c>
      <c r="V4159" s="87"/>
      <c r="AF4159" s="22"/>
      <c r="AU4159" s="10"/>
    </row>
    <row r="4160" spans="1:47">
      <c r="A4160" t="str">
        <f t="shared" si="898"/>
        <v>PA_Alleg_2019g~Gen-supervisor frazer (vote for 1)</v>
      </c>
      <c r="B4160" s="55" t="s">
        <v>1528</v>
      </c>
      <c r="C4160">
        <v>1214</v>
      </c>
      <c r="D4160" s="55" t="s">
        <v>1094</v>
      </c>
      <c r="E4160" s="55" t="s">
        <v>15</v>
      </c>
      <c r="G4160" s="62">
        <v>6</v>
      </c>
      <c r="H4160">
        <v>4.26</v>
      </c>
      <c r="I4160">
        <v>770</v>
      </c>
      <c r="J4160">
        <v>0</v>
      </c>
      <c r="K4160">
        <v>1</v>
      </c>
      <c r="L4160">
        <v>1</v>
      </c>
      <c r="M4160">
        <v>0</v>
      </c>
      <c r="N4160" s="23">
        <v>0</v>
      </c>
      <c r="O4160">
        <f t="shared" si="891"/>
        <v>-1</v>
      </c>
      <c r="P4160" s="57">
        <f t="shared" si="892"/>
        <v>1</v>
      </c>
      <c r="Q4160" s="267">
        <f t="shared" si="893"/>
        <v>6</v>
      </c>
      <c r="R4160" s="23">
        <f t="shared" si="894"/>
        <v>1</v>
      </c>
      <c r="S4160" s="23">
        <f t="shared" si="895"/>
        <v>0</v>
      </c>
      <c r="T4160" s="23" t="str">
        <f t="shared" si="896"/>
        <v/>
      </c>
      <c r="U4160" t="str">
        <f t="shared" si="897"/>
        <v/>
      </c>
      <c r="V4160" s="87"/>
      <c r="AF4160" s="22"/>
      <c r="AU4160" s="10"/>
    </row>
    <row r="4161" spans="1:47">
      <c r="A4161" t="str">
        <f t="shared" si="898"/>
        <v>PA_Alleg_2019g~Gen-supervisor harmar (vote for 1)</v>
      </c>
      <c r="B4161" s="55" t="s">
        <v>1528</v>
      </c>
      <c r="C4161">
        <v>1215</v>
      </c>
      <c r="D4161" s="55" t="s">
        <v>1096</v>
      </c>
      <c r="E4161" s="55" t="s">
        <v>1097</v>
      </c>
      <c r="F4161" t="s">
        <v>1396</v>
      </c>
      <c r="G4161" s="62">
        <v>496</v>
      </c>
      <c r="H4161">
        <v>99</v>
      </c>
      <c r="I4161">
        <v>2425</v>
      </c>
      <c r="J4161">
        <v>0</v>
      </c>
      <c r="K4161">
        <v>3</v>
      </c>
      <c r="L4161">
        <v>3</v>
      </c>
      <c r="M4161">
        <v>0</v>
      </c>
      <c r="N4161" s="23">
        <v>0</v>
      </c>
      <c r="O4161">
        <f t="shared" si="891"/>
        <v>1</v>
      </c>
      <c r="P4161" s="57">
        <f t="shared" si="892"/>
        <v>1</v>
      </c>
      <c r="Q4161" s="267">
        <f t="shared" si="893"/>
        <v>501</v>
      </c>
      <c r="R4161" s="23">
        <f t="shared" si="894"/>
        <v>496</v>
      </c>
      <c r="S4161" s="23">
        <f t="shared" si="895"/>
        <v>0</v>
      </c>
      <c r="T4161" s="23" t="str">
        <f t="shared" si="896"/>
        <v/>
      </c>
      <c r="U4161" t="str">
        <f t="shared" si="897"/>
        <v>PA_Alleg_2019g~Gen-supervisor harmar (vote for 1)</v>
      </c>
      <c r="V4161" s="87"/>
      <c r="AF4161" s="22"/>
      <c r="AU4161" s="10"/>
    </row>
    <row r="4162" spans="1:47">
      <c r="A4162" t="str">
        <f t="shared" si="898"/>
        <v>PA_Alleg_2019g~Gen-supervisor harmar (vote for 1)</v>
      </c>
      <c r="B4162" s="55" t="s">
        <v>1528</v>
      </c>
      <c r="C4162">
        <v>1216</v>
      </c>
      <c r="D4162" s="55" t="s">
        <v>1096</v>
      </c>
      <c r="E4162" s="55" t="s">
        <v>15</v>
      </c>
      <c r="G4162" s="62">
        <v>5</v>
      </c>
      <c r="H4162">
        <v>1</v>
      </c>
      <c r="I4162">
        <v>2425</v>
      </c>
      <c r="J4162">
        <v>0</v>
      </c>
      <c r="K4162">
        <v>3</v>
      </c>
      <c r="L4162">
        <v>3</v>
      </c>
      <c r="M4162">
        <v>0</v>
      </c>
      <c r="N4162" s="23">
        <v>0</v>
      </c>
      <c r="O4162">
        <f t="shared" ref="O4162:O4225" si="899">IF(OR(LOWER(LEFT(E4162,8))="write-in",LOWER(LEFT(E4162,8))="not qual"),IF(A4162=A4161,-ABS(O4161),0),IF(A4162=A4161,ABS(O4161)+1,1))</f>
        <v>-1</v>
      </c>
      <c r="P4162" s="57">
        <f t="shared" ref="P4162:P4225" si="900">1*LEFT(RIGHT(A4162,2),1)</f>
        <v>1</v>
      </c>
      <c r="Q4162" s="267">
        <f t="shared" ref="Q4162:Q4225" si="901">IF(A4162&lt;&gt;A4163,G4162,IF(A4162=A4161,G4162+Q4163,MAX(G4162,(G4162+Q4163)/P4162)))</f>
        <v>5</v>
      </c>
      <c r="R4162" s="23">
        <f t="shared" ref="R4162:R4225" si="902">IF(O4162&gt;P4162,"",IF(O4162=P4162,G4162,IF(A4162=A4163,R4163,IF(O4162&lt;=0,1,G4162))))</f>
        <v>1</v>
      </c>
      <c r="S4162" s="23">
        <f t="shared" ref="S4162:S4225" si="903">IF(AND(O4162&gt;P4162,LOWER(LEFT(E4162,8))&lt;&gt;"write-in",LOWER(LEFT(E4162,8))&lt;&gt;"not qual"),G4162,IF(A4162=A4163,S4163,0))</f>
        <v>0</v>
      </c>
      <c r="T4162" s="23" t="str">
        <f t="shared" ref="T4162:T4225" si="904">IF(OR(A4162=A4161,S4162=0),"",R4162-ABS(S4162))</f>
        <v/>
      </c>
      <c r="U4162" t="str">
        <f t="shared" ref="U4162:U4225" si="905">IF(A4162=A4161,"",A4162)</f>
        <v/>
      </c>
      <c r="V4162" s="87"/>
      <c r="AF4162" s="22"/>
      <c r="AU4162" s="10"/>
    </row>
    <row r="4163" spans="1:47">
      <c r="A4163" t="str">
        <f t="shared" si="898"/>
        <v>PA_Alleg_2019g~Gen-supervisor indiana district 1 (vote for 1)</v>
      </c>
      <c r="B4163" s="55" t="s">
        <v>1528</v>
      </c>
      <c r="C4163">
        <v>1237</v>
      </c>
      <c r="D4163" s="55" t="s">
        <v>1106</v>
      </c>
      <c r="E4163" s="55" t="s">
        <v>1278</v>
      </c>
      <c r="F4163" t="s">
        <v>1296</v>
      </c>
      <c r="G4163" s="62">
        <v>173</v>
      </c>
      <c r="H4163">
        <v>55.99</v>
      </c>
      <c r="I4163">
        <v>987</v>
      </c>
      <c r="J4163">
        <v>0</v>
      </c>
      <c r="K4163">
        <v>1</v>
      </c>
      <c r="L4163">
        <v>1</v>
      </c>
      <c r="M4163">
        <v>0</v>
      </c>
      <c r="N4163" s="23">
        <v>0</v>
      </c>
      <c r="O4163">
        <f t="shared" si="899"/>
        <v>1</v>
      </c>
      <c r="P4163" s="57">
        <f t="shared" si="900"/>
        <v>1</v>
      </c>
      <c r="Q4163" s="267">
        <f t="shared" si="901"/>
        <v>309</v>
      </c>
      <c r="R4163" s="23">
        <f t="shared" si="902"/>
        <v>173</v>
      </c>
      <c r="S4163" s="23">
        <f t="shared" si="903"/>
        <v>136</v>
      </c>
      <c r="T4163" s="23">
        <f t="shared" si="904"/>
        <v>37</v>
      </c>
      <c r="U4163" t="str">
        <f t="shared" si="905"/>
        <v>PA_Alleg_2019g~Gen-supervisor indiana district 1 (vote for 1)</v>
      </c>
      <c r="V4163" s="87"/>
      <c r="AF4163" s="22"/>
      <c r="AU4163" s="10"/>
    </row>
    <row r="4164" spans="1:47">
      <c r="A4164" t="str">
        <f t="shared" si="898"/>
        <v>PA_Alleg_2019g~Gen-supervisor indiana district 1 (vote for 1)</v>
      </c>
      <c r="B4164" s="55" t="s">
        <v>1528</v>
      </c>
      <c r="C4164">
        <v>1236</v>
      </c>
      <c r="D4164" s="55" t="s">
        <v>1106</v>
      </c>
      <c r="E4164" s="55" t="s">
        <v>1107</v>
      </c>
      <c r="F4164" t="s">
        <v>1294</v>
      </c>
      <c r="G4164" s="62">
        <v>136</v>
      </c>
      <c r="H4164">
        <v>44.01</v>
      </c>
      <c r="I4164">
        <v>987</v>
      </c>
      <c r="J4164">
        <v>0</v>
      </c>
      <c r="K4164">
        <v>1</v>
      </c>
      <c r="L4164">
        <v>1</v>
      </c>
      <c r="M4164">
        <v>0</v>
      </c>
      <c r="N4164" s="23">
        <v>0</v>
      </c>
      <c r="O4164">
        <f t="shared" si="899"/>
        <v>2</v>
      </c>
      <c r="P4164" s="57">
        <f t="shared" si="900"/>
        <v>1</v>
      </c>
      <c r="Q4164" s="267">
        <f t="shared" si="901"/>
        <v>136</v>
      </c>
      <c r="R4164" s="23" t="str">
        <f t="shared" si="902"/>
        <v/>
      </c>
      <c r="S4164" s="23">
        <f t="shared" si="903"/>
        <v>136</v>
      </c>
      <c r="T4164" s="23" t="str">
        <f t="shared" si="904"/>
        <v/>
      </c>
      <c r="U4164" t="str">
        <f t="shared" si="905"/>
        <v/>
      </c>
      <c r="V4164" s="87"/>
      <c r="AF4164" s="22"/>
      <c r="AU4164" s="10"/>
    </row>
    <row r="4165" spans="1:47">
      <c r="A4165" t="str">
        <f t="shared" si="898"/>
        <v>PA_Alleg_2019g~Gen-supervisor indiana district 1 (vote for 1)</v>
      </c>
      <c r="B4165" s="55" t="s">
        <v>1528</v>
      </c>
      <c r="C4165">
        <v>1238</v>
      </c>
      <c r="D4165" s="55" t="s">
        <v>1106</v>
      </c>
      <c r="E4165" s="55" t="s">
        <v>15</v>
      </c>
      <c r="G4165" s="62">
        <v>0</v>
      </c>
      <c r="H4165">
        <v>0</v>
      </c>
      <c r="I4165">
        <v>987</v>
      </c>
      <c r="J4165">
        <v>0</v>
      </c>
      <c r="K4165">
        <v>1</v>
      </c>
      <c r="L4165">
        <v>1</v>
      </c>
      <c r="M4165">
        <v>0</v>
      </c>
      <c r="N4165" s="23">
        <v>0</v>
      </c>
      <c r="O4165">
        <f t="shared" si="899"/>
        <v>-2</v>
      </c>
      <c r="P4165" s="57">
        <f t="shared" si="900"/>
        <v>1</v>
      </c>
      <c r="Q4165" s="267">
        <f t="shared" si="901"/>
        <v>0</v>
      </c>
      <c r="R4165" s="23">
        <f t="shared" si="902"/>
        <v>1</v>
      </c>
      <c r="S4165" s="23">
        <f t="shared" si="903"/>
        <v>0</v>
      </c>
      <c r="T4165" s="23" t="str">
        <f t="shared" si="904"/>
        <v/>
      </c>
      <c r="U4165" t="str">
        <f t="shared" si="905"/>
        <v/>
      </c>
      <c r="V4165" s="87"/>
      <c r="AF4165" s="22"/>
      <c r="AU4165" s="10"/>
    </row>
    <row r="4166" spans="1:47">
      <c r="A4166" t="str">
        <f t="shared" si="898"/>
        <v>PA_Alleg_2019g~Gen-supervisor indiana district 2 (vote for 1)</v>
      </c>
      <c r="B4166" s="55" t="s">
        <v>1528</v>
      </c>
      <c r="C4166">
        <v>1239</v>
      </c>
      <c r="D4166" s="55" t="s">
        <v>1108</v>
      </c>
      <c r="E4166" s="55" t="s">
        <v>1279</v>
      </c>
      <c r="F4166" t="s">
        <v>1296</v>
      </c>
      <c r="G4166" s="62">
        <v>194</v>
      </c>
      <c r="H4166">
        <v>96.52</v>
      </c>
      <c r="I4166">
        <v>871</v>
      </c>
      <c r="J4166">
        <v>0</v>
      </c>
      <c r="K4166">
        <v>1</v>
      </c>
      <c r="L4166">
        <v>1</v>
      </c>
      <c r="M4166">
        <v>0</v>
      </c>
      <c r="N4166" s="23">
        <v>0</v>
      </c>
      <c r="O4166">
        <f t="shared" si="899"/>
        <v>1</v>
      </c>
      <c r="P4166" s="57">
        <f t="shared" si="900"/>
        <v>1</v>
      </c>
      <c r="Q4166" s="267">
        <f t="shared" si="901"/>
        <v>201</v>
      </c>
      <c r="R4166" s="23">
        <f t="shared" si="902"/>
        <v>194</v>
      </c>
      <c r="S4166" s="23">
        <f t="shared" si="903"/>
        <v>0</v>
      </c>
      <c r="T4166" s="23" t="str">
        <f t="shared" si="904"/>
        <v/>
      </c>
      <c r="U4166" t="str">
        <f t="shared" si="905"/>
        <v>PA_Alleg_2019g~Gen-supervisor indiana district 2 (vote for 1)</v>
      </c>
      <c r="V4166" s="87"/>
      <c r="AU4166" s="10"/>
    </row>
    <row r="4167" spans="1:47">
      <c r="A4167" t="str">
        <f t="shared" si="898"/>
        <v>PA_Alleg_2019g~Gen-supervisor indiana district 2 (vote for 1)</v>
      </c>
      <c r="B4167" s="55" t="s">
        <v>1528</v>
      </c>
      <c r="C4167">
        <v>1240</v>
      </c>
      <c r="D4167" s="55" t="s">
        <v>1108</v>
      </c>
      <c r="E4167" s="55" t="s">
        <v>15</v>
      </c>
      <c r="G4167" s="62">
        <v>7</v>
      </c>
      <c r="H4167">
        <v>3.48</v>
      </c>
      <c r="I4167">
        <v>871</v>
      </c>
      <c r="J4167">
        <v>0</v>
      </c>
      <c r="K4167">
        <v>1</v>
      </c>
      <c r="L4167">
        <v>1</v>
      </c>
      <c r="M4167">
        <v>0</v>
      </c>
      <c r="N4167" s="23">
        <v>0</v>
      </c>
      <c r="O4167">
        <f t="shared" si="899"/>
        <v>-1</v>
      </c>
      <c r="P4167" s="57">
        <f t="shared" si="900"/>
        <v>1</v>
      </c>
      <c r="Q4167" s="267">
        <f t="shared" si="901"/>
        <v>7</v>
      </c>
      <c r="R4167" s="23">
        <f t="shared" si="902"/>
        <v>1</v>
      </c>
      <c r="S4167" s="23">
        <f t="shared" si="903"/>
        <v>0</v>
      </c>
      <c r="T4167" s="23" t="str">
        <f t="shared" si="904"/>
        <v/>
      </c>
      <c r="U4167" t="str">
        <f t="shared" si="905"/>
        <v/>
      </c>
      <c r="V4167" s="87"/>
      <c r="AU4167" s="10"/>
    </row>
    <row r="4168" spans="1:47">
      <c r="A4168" t="str">
        <f t="shared" si="898"/>
        <v>PA_Alleg_2019g~Gen-supervisor indiana district 3 (vote for 1)</v>
      </c>
      <c r="B4168" s="55" t="s">
        <v>1528</v>
      </c>
      <c r="C4168">
        <v>1241</v>
      </c>
      <c r="D4168" s="55" t="s">
        <v>1109</v>
      </c>
      <c r="E4168" s="55" t="s">
        <v>1280</v>
      </c>
      <c r="F4168" t="s">
        <v>1296</v>
      </c>
      <c r="G4168" s="62">
        <v>176</v>
      </c>
      <c r="H4168">
        <v>92.15</v>
      </c>
      <c r="I4168">
        <v>1265</v>
      </c>
      <c r="J4168">
        <v>0</v>
      </c>
      <c r="K4168">
        <v>1</v>
      </c>
      <c r="L4168">
        <v>1</v>
      </c>
      <c r="M4168">
        <v>0</v>
      </c>
      <c r="N4168" s="23">
        <v>0</v>
      </c>
      <c r="O4168">
        <f t="shared" si="899"/>
        <v>1</v>
      </c>
      <c r="P4168" s="57">
        <f t="shared" si="900"/>
        <v>1</v>
      </c>
      <c r="Q4168" s="267">
        <f t="shared" si="901"/>
        <v>191</v>
      </c>
      <c r="R4168" s="23">
        <f t="shared" si="902"/>
        <v>176</v>
      </c>
      <c r="S4168" s="23">
        <f t="shared" si="903"/>
        <v>0</v>
      </c>
      <c r="T4168" s="23" t="str">
        <f t="shared" si="904"/>
        <v/>
      </c>
      <c r="U4168" t="str">
        <f t="shared" si="905"/>
        <v>PA_Alleg_2019g~Gen-supervisor indiana district 3 (vote for 1)</v>
      </c>
      <c r="V4168" s="87"/>
      <c r="AF4168" s="22"/>
      <c r="AU4168" s="10"/>
    </row>
    <row r="4169" spans="1:47">
      <c r="A4169" t="str">
        <f t="shared" si="898"/>
        <v>PA_Alleg_2019g~Gen-supervisor indiana district 3 (vote for 1)</v>
      </c>
      <c r="B4169" s="55" t="s">
        <v>1528</v>
      </c>
      <c r="C4169">
        <v>1242</v>
      </c>
      <c r="D4169" s="55" t="s">
        <v>1109</v>
      </c>
      <c r="E4169" s="55" t="s">
        <v>15</v>
      </c>
      <c r="G4169" s="62">
        <v>15</v>
      </c>
      <c r="H4169">
        <v>7.85</v>
      </c>
      <c r="I4169">
        <v>1265</v>
      </c>
      <c r="J4169">
        <v>0</v>
      </c>
      <c r="K4169">
        <v>1</v>
      </c>
      <c r="L4169">
        <v>1</v>
      </c>
      <c r="M4169">
        <v>0</v>
      </c>
      <c r="N4169" s="23">
        <v>0</v>
      </c>
      <c r="O4169">
        <f t="shared" si="899"/>
        <v>-1</v>
      </c>
      <c r="P4169" s="57">
        <f t="shared" si="900"/>
        <v>1</v>
      </c>
      <c r="Q4169" s="267">
        <f t="shared" si="901"/>
        <v>15</v>
      </c>
      <c r="R4169" s="23">
        <f t="shared" si="902"/>
        <v>1</v>
      </c>
      <c r="S4169" s="23">
        <f t="shared" si="903"/>
        <v>0</v>
      </c>
      <c r="T4169" s="23" t="str">
        <f t="shared" si="904"/>
        <v/>
      </c>
      <c r="U4169" t="str">
        <f t="shared" si="905"/>
        <v/>
      </c>
      <c r="V4169" s="87"/>
      <c r="AU4169" s="10"/>
    </row>
    <row r="4170" spans="1:47">
      <c r="A4170" t="str">
        <f t="shared" si="898"/>
        <v>PA_Alleg_2019g~Gen-supervisor indiana district 4 (vote for 1)</v>
      </c>
      <c r="B4170" s="55" t="s">
        <v>1528</v>
      </c>
      <c r="C4170">
        <v>1243</v>
      </c>
      <c r="D4170" s="55" t="s">
        <v>1110</v>
      </c>
      <c r="E4170" s="55" t="s">
        <v>1506</v>
      </c>
      <c r="F4170" t="s">
        <v>1294</v>
      </c>
      <c r="G4170" s="62">
        <v>201</v>
      </c>
      <c r="H4170">
        <v>50.12</v>
      </c>
      <c r="I4170">
        <v>1139</v>
      </c>
      <c r="J4170">
        <v>0</v>
      </c>
      <c r="K4170">
        <v>1</v>
      </c>
      <c r="L4170">
        <v>1</v>
      </c>
      <c r="M4170">
        <v>0</v>
      </c>
      <c r="N4170" s="23">
        <v>0</v>
      </c>
      <c r="O4170">
        <f t="shared" si="899"/>
        <v>1</v>
      </c>
      <c r="P4170" s="57">
        <f t="shared" si="900"/>
        <v>1</v>
      </c>
      <c r="Q4170" s="267">
        <f t="shared" si="901"/>
        <v>401</v>
      </c>
      <c r="R4170" s="23">
        <f t="shared" si="902"/>
        <v>201</v>
      </c>
      <c r="S4170" s="23">
        <f t="shared" si="903"/>
        <v>200</v>
      </c>
      <c r="T4170" s="23">
        <f t="shared" si="904"/>
        <v>1</v>
      </c>
      <c r="U4170" t="str">
        <f t="shared" si="905"/>
        <v>PA_Alleg_2019g~Gen-supervisor indiana district 4 (vote for 1)</v>
      </c>
      <c r="V4170" s="87"/>
      <c r="AH4170" s="8"/>
      <c r="AU4170" s="10"/>
    </row>
    <row r="4171" spans="1:47">
      <c r="A4171" t="str">
        <f t="shared" si="898"/>
        <v>PA_Alleg_2019g~Gen-supervisor indiana district 4 (vote for 1)</v>
      </c>
      <c r="B4171" s="55" t="s">
        <v>1528</v>
      </c>
      <c r="C4171">
        <v>1244</v>
      </c>
      <c r="D4171" s="55" t="s">
        <v>1110</v>
      </c>
      <c r="E4171" s="55" t="s">
        <v>1281</v>
      </c>
      <c r="F4171" t="s">
        <v>1296</v>
      </c>
      <c r="G4171" s="62">
        <v>200</v>
      </c>
      <c r="H4171">
        <v>49.88</v>
      </c>
      <c r="I4171">
        <v>1139</v>
      </c>
      <c r="J4171">
        <v>0</v>
      </c>
      <c r="K4171">
        <v>1</v>
      </c>
      <c r="L4171">
        <v>1</v>
      </c>
      <c r="M4171">
        <v>0</v>
      </c>
      <c r="N4171" s="23">
        <v>0</v>
      </c>
      <c r="O4171">
        <f t="shared" si="899"/>
        <v>2</v>
      </c>
      <c r="P4171" s="57">
        <f t="shared" si="900"/>
        <v>1</v>
      </c>
      <c r="Q4171" s="267">
        <f t="shared" si="901"/>
        <v>200</v>
      </c>
      <c r="R4171" s="23" t="str">
        <f t="shared" si="902"/>
        <v/>
      </c>
      <c r="S4171" s="23">
        <f t="shared" si="903"/>
        <v>200</v>
      </c>
      <c r="T4171" s="23" t="str">
        <f t="shared" si="904"/>
        <v/>
      </c>
      <c r="U4171" t="str">
        <f t="shared" si="905"/>
        <v/>
      </c>
      <c r="V4171" s="87"/>
      <c r="AF4171" s="22"/>
      <c r="AG4171" s="23"/>
      <c r="AH4171" s="8"/>
      <c r="AU4171" s="10"/>
    </row>
    <row r="4172" spans="1:47">
      <c r="A4172" t="str">
        <f t="shared" si="898"/>
        <v>PA_Alleg_2019g~Gen-supervisor indiana district 4 (vote for 1)</v>
      </c>
      <c r="B4172" s="55" t="s">
        <v>1528</v>
      </c>
      <c r="C4172">
        <v>1245</v>
      </c>
      <c r="D4172" s="55" t="s">
        <v>1110</v>
      </c>
      <c r="E4172" s="55" t="s">
        <v>15</v>
      </c>
      <c r="G4172" s="62">
        <v>0</v>
      </c>
      <c r="H4172">
        <v>0</v>
      </c>
      <c r="I4172">
        <v>1139</v>
      </c>
      <c r="J4172">
        <v>0</v>
      </c>
      <c r="K4172">
        <v>1</v>
      </c>
      <c r="L4172">
        <v>1</v>
      </c>
      <c r="M4172">
        <v>0</v>
      </c>
      <c r="N4172" s="23">
        <v>0</v>
      </c>
      <c r="O4172">
        <f t="shared" si="899"/>
        <v>-2</v>
      </c>
      <c r="P4172" s="57">
        <f t="shared" si="900"/>
        <v>1</v>
      </c>
      <c r="Q4172" s="267">
        <f t="shared" si="901"/>
        <v>0</v>
      </c>
      <c r="R4172" s="23">
        <f t="shared" si="902"/>
        <v>1</v>
      </c>
      <c r="S4172" s="23">
        <f t="shared" si="903"/>
        <v>0</v>
      </c>
      <c r="T4172" s="23" t="str">
        <f t="shared" si="904"/>
        <v/>
      </c>
      <c r="U4172" t="str">
        <f t="shared" si="905"/>
        <v/>
      </c>
      <c r="V4172" s="87"/>
      <c r="AF4172" s="22"/>
      <c r="AU4172" s="10"/>
    </row>
    <row r="4173" spans="1:47">
      <c r="A4173" t="str">
        <f t="shared" si="898"/>
        <v>PA_Alleg_2019g~Gen-supervisor kilbuck (vote for 1)</v>
      </c>
      <c r="B4173" s="55" t="s">
        <v>1528</v>
      </c>
      <c r="C4173">
        <v>1217</v>
      </c>
      <c r="D4173" s="55" t="s">
        <v>1098</v>
      </c>
      <c r="E4173" s="55" t="s">
        <v>1505</v>
      </c>
      <c r="F4173" t="s">
        <v>1396</v>
      </c>
      <c r="G4173" s="62">
        <v>191</v>
      </c>
      <c r="H4173">
        <v>98.45</v>
      </c>
      <c r="I4173">
        <v>607</v>
      </c>
      <c r="J4173">
        <v>0</v>
      </c>
      <c r="K4173">
        <v>1</v>
      </c>
      <c r="L4173">
        <v>1</v>
      </c>
      <c r="M4173">
        <v>0</v>
      </c>
      <c r="N4173" s="23">
        <v>0</v>
      </c>
      <c r="O4173">
        <f t="shared" si="899"/>
        <v>1</v>
      </c>
      <c r="P4173" s="57">
        <f t="shared" si="900"/>
        <v>1</v>
      </c>
      <c r="Q4173" s="267">
        <f t="shared" si="901"/>
        <v>194</v>
      </c>
      <c r="R4173" s="23">
        <f t="shared" si="902"/>
        <v>191</v>
      </c>
      <c r="S4173" s="23">
        <f t="shared" si="903"/>
        <v>0</v>
      </c>
      <c r="T4173" s="23" t="str">
        <f t="shared" si="904"/>
        <v/>
      </c>
      <c r="U4173" t="str">
        <f t="shared" si="905"/>
        <v>PA_Alleg_2019g~Gen-supervisor kilbuck (vote for 1)</v>
      </c>
      <c r="V4173" s="87"/>
      <c r="AF4173" s="22"/>
      <c r="AL4173" s="344"/>
      <c r="AU4173" s="10"/>
    </row>
    <row r="4174" spans="1:47">
      <c r="A4174" t="str">
        <f t="shared" si="898"/>
        <v>PA_Alleg_2019g~Gen-supervisor kilbuck (vote for 1)</v>
      </c>
      <c r="B4174" s="55" t="s">
        <v>1528</v>
      </c>
      <c r="C4174">
        <v>1218</v>
      </c>
      <c r="D4174" s="55" t="s">
        <v>1098</v>
      </c>
      <c r="E4174" s="55" t="s">
        <v>15</v>
      </c>
      <c r="G4174" s="62">
        <v>3</v>
      </c>
      <c r="H4174">
        <v>1.55</v>
      </c>
      <c r="I4174">
        <v>607</v>
      </c>
      <c r="J4174">
        <v>0</v>
      </c>
      <c r="K4174">
        <v>1</v>
      </c>
      <c r="L4174">
        <v>1</v>
      </c>
      <c r="M4174">
        <v>0</v>
      </c>
      <c r="N4174" s="23">
        <v>0</v>
      </c>
      <c r="O4174">
        <f t="shared" si="899"/>
        <v>-1</v>
      </c>
      <c r="P4174" s="57">
        <f t="shared" si="900"/>
        <v>1</v>
      </c>
      <c r="Q4174" s="267">
        <f t="shared" si="901"/>
        <v>3</v>
      </c>
      <c r="R4174" s="23">
        <f t="shared" si="902"/>
        <v>1</v>
      </c>
      <c r="S4174" s="23">
        <f t="shared" si="903"/>
        <v>0</v>
      </c>
      <c r="T4174" s="23" t="str">
        <f t="shared" si="904"/>
        <v/>
      </c>
      <c r="U4174" t="str">
        <f t="shared" si="905"/>
        <v/>
      </c>
      <c r="V4174" s="87"/>
      <c r="AF4174" s="22"/>
      <c r="AU4174" s="10"/>
    </row>
    <row r="4175" spans="1:47">
      <c r="A4175" t="str">
        <f t="shared" si="898"/>
        <v>PA_Alleg_2019g~Gen-supervisor marshall (vote for 2)</v>
      </c>
      <c r="B4175" s="55" t="s">
        <v>1528</v>
      </c>
      <c r="C4175">
        <v>1200</v>
      </c>
      <c r="D4175" s="55" t="s">
        <v>1083</v>
      </c>
      <c r="E4175" s="55" t="s">
        <v>1264</v>
      </c>
      <c r="F4175" t="s">
        <v>1296</v>
      </c>
      <c r="G4175" s="62">
        <v>945</v>
      </c>
      <c r="H4175">
        <v>49.01</v>
      </c>
      <c r="I4175">
        <v>6909</v>
      </c>
      <c r="J4175">
        <v>0</v>
      </c>
      <c r="K4175">
        <v>6</v>
      </c>
      <c r="L4175">
        <v>6</v>
      </c>
      <c r="M4175">
        <v>0</v>
      </c>
      <c r="N4175" s="23">
        <v>0</v>
      </c>
      <c r="O4175">
        <f t="shared" si="899"/>
        <v>1</v>
      </c>
      <c r="P4175" s="57">
        <f t="shared" si="900"/>
        <v>2</v>
      </c>
      <c r="Q4175" s="267">
        <f t="shared" si="901"/>
        <v>964</v>
      </c>
      <c r="R4175" s="23">
        <f t="shared" si="902"/>
        <v>938</v>
      </c>
      <c r="S4175" s="23">
        <f t="shared" si="903"/>
        <v>0</v>
      </c>
      <c r="T4175" s="23" t="str">
        <f t="shared" si="904"/>
        <v/>
      </c>
      <c r="U4175" t="str">
        <f t="shared" si="905"/>
        <v>PA_Alleg_2019g~Gen-supervisor marshall (vote for 2)</v>
      </c>
      <c r="V4175" s="87"/>
      <c r="AF4175" s="22"/>
      <c r="AG4175" s="23"/>
      <c r="AH4175" s="8"/>
      <c r="AU4175" s="10"/>
    </row>
    <row r="4176" spans="1:47">
      <c r="A4176" t="str">
        <f t="shared" si="898"/>
        <v>PA_Alleg_2019g~Gen-supervisor marshall (vote for 2)</v>
      </c>
      <c r="B4176" s="55" t="s">
        <v>1528</v>
      </c>
      <c r="C4176">
        <v>1199</v>
      </c>
      <c r="D4176" s="55" t="s">
        <v>1083</v>
      </c>
      <c r="E4176" s="55" t="s">
        <v>1263</v>
      </c>
      <c r="F4176" t="s">
        <v>1296</v>
      </c>
      <c r="G4176" s="62">
        <v>938</v>
      </c>
      <c r="H4176">
        <v>48.65</v>
      </c>
      <c r="I4176">
        <v>6909</v>
      </c>
      <c r="J4176">
        <v>0</v>
      </c>
      <c r="K4176">
        <v>6</v>
      </c>
      <c r="L4176">
        <v>6</v>
      </c>
      <c r="M4176">
        <v>0</v>
      </c>
      <c r="N4176" s="23">
        <v>0</v>
      </c>
      <c r="O4176">
        <f t="shared" si="899"/>
        <v>2</v>
      </c>
      <c r="P4176" s="57">
        <f t="shared" si="900"/>
        <v>2</v>
      </c>
      <c r="Q4176" s="267">
        <f t="shared" si="901"/>
        <v>983</v>
      </c>
      <c r="R4176" s="23">
        <f t="shared" si="902"/>
        <v>938</v>
      </c>
      <c r="S4176" s="23">
        <f t="shared" si="903"/>
        <v>0</v>
      </c>
      <c r="T4176" s="23" t="str">
        <f t="shared" si="904"/>
        <v/>
      </c>
      <c r="U4176" t="str">
        <f t="shared" si="905"/>
        <v/>
      </c>
      <c r="V4176" s="87"/>
      <c r="AF4176" s="22"/>
      <c r="AU4176" s="10"/>
    </row>
    <row r="4177" spans="1:47">
      <c r="A4177" t="str">
        <f t="shared" si="898"/>
        <v>PA_Alleg_2019g~Gen-supervisor marshall (vote for 2)</v>
      </c>
      <c r="B4177" s="55" t="s">
        <v>1528</v>
      </c>
      <c r="C4177">
        <v>1201</v>
      </c>
      <c r="D4177" s="55" t="s">
        <v>1083</v>
      </c>
      <c r="E4177" s="55" t="s">
        <v>15</v>
      </c>
      <c r="G4177" s="62">
        <v>45</v>
      </c>
      <c r="H4177">
        <v>2.33</v>
      </c>
      <c r="I4177">
        <v>6909</v>
      </c>
      <c r="J4177">
        <v>0</v>
      </c>
      <c r="K4177">
        <v>6</v>
      </c>
      <c r="L4177">
        <v>6</v>
      </c>
      <c r="M4177">
        <v>0</v>
      </c>
      <c r="N4177" s="23">
        <v>0</v>
      </c>
      <c r="O4177">
        <f t="shared" si="899"/>
        <v>-2</v>
      </c>
      <c r="P4177" s="57">
        <f t="shared" si="900"/>
        <v>2</v>
      </c>
      <c r="Q4177" s="267">
        <f t="shared" si="901"/>
        <v>45</v>
      </c>
      <c r="R4177" s="23">
        <f t="shared" si="902"/>
        <v>1</v>
      </c>
      <c r="S4177" s="23">
        <f t="shared" si="903"/>
        <v>0</v>
      </c>
      <c r="T4177" s="23" t="str">
        <f t="shared" si="904"/>
        <v/>
      </c>
      <c r="U4177" t="str">
        <f t="shared" si="905"/>
        <v/>
      </c>
      <c r="V4177" s="87"/>
      <c r="AH4177" s="8"/>
      <c r="AU4177" s="10"/>
    </row>
    <row r="4178" spans="1:47">
      <c r="A4178" t="str">
        <f t="shared" si="898"/>
        <v>PA_Alleg_2019g~Gen-supervisor moon (vote for 2)</v>
      </c>
      <c r="B4178" s="55" t="s">
        <v>1528</v>
      </c>
      <c r="C4178">
        <v>1202</v>
      </c>
      <c r="D4178" s="55" t="s">
        <v>1084</v>
      </c>
      <c r="E4178" s="55" t="s">
        <v>1085</v>
      </c>
      <c r="F4178" t="s">
        <v>1294</v>
      </c>
      <c r="G4178" s="62">
        <v>2876</v>
      </c>
      <c r="H4178">
        <v>36.36</v>
      </c>
      <c r="I4178">
        <v>19127</v>
      </c>
      <c r="J4178">
        <v>0</v>
      </c>
      <c r="K4178">
        <v>13</v>
      </c>
      <c r="L4178">
        <v>13</v>
      </c>
      <c r="M4178">
        <v>0</v>
      </c>
      <c r="N4178" s="23">
        <v>0</v>
      </c>
      <c r="O4178">
        <f t="shared" si="899"/>
        <v>1</v>
      </c>
      <c r="P4178" s="57">
        <f t="shared" si="900"/>
        <v>2</v>
      </c>
      <c r="Q4178" s="267">
        <f t="shared" si="901"/>
        <v>3955</v>
      </c>
      <c r="R4178" s="23">
        <f t="shared" si="902"/>
        <v>2731</v>
      </c>
      <c r="S4178" s="23">
        <f t="shared" si="903"/>
        <v>2281</v>
      </c>
      <c r="T4178" s="23">
        <f t="shared" si="904"/>
        <v>450</v>
      </c>
      <c r="U4178" t="str">
        <f t="shared" si="905"/>
        <v>PA_Alleg_2019g~Gen-supervisor moon (vote for 2)</v>
      </c>
      <c r="V4178" s="87"/>
      <c r="AF4178" s="22"/>
      <c r="AG4178" s="89"/>
      <c r="AH4178" s="274"/>
      <c r="AI4178" s="279"/>
      <c r="AJ4178" s="280"/>
      <c r="AK4178" s="92"/>
      <c r="AL4178" s="23"/>
      <c r="AU4178" s="10"/>
    </row>
    <row r="4179" spans="1:47">
      <c r="A4179" t="str">
        <f t="shared" si="898"/>
        <v>PA_Alleg_2019g~Gen-supervisor moon (vote for 2)</v>
      </c>
      <c r="B4179" s="55" t="s">
        <v>1528</v>
      </c>
      <c r="C4179">
        <v>1204</v>
      </c>
      <c r="D4179" s="55" t="s">
        <v>1084</v>
      </c>
      <c r="E4179" s="55" t="s">
        <v>1266</v>
      </c>
      <c r="F4179" t="s">
        <v>1296</v>
      </c>
      <c r="G4179" s="62">
        <v>2731</v>
      </c>
      <c r="H4179">
        <v>34.53</v>
      </c>
      <c r="I4179">
        <v>19127</v>
      </c>
      <c r="J4179">
        <v>0</v>
      </c>
      <c r="K4179">
        <v>13</v>
      </c>
      <c r="L4179">
        <v>13</v>
      </c>
      <c r="M4179">
        <v>0</v>
      </c>
      <c r="N4179" s="23">
        <v>0</v>
      </c>
      <c r="O4179">
        <f t="shared" si="899"/>
        <v>2</v>
      </c>
      <c r="P4179" s="57">
        <f t="shared" si="900"/>
        <v>2</v>
      </c>
      <c r="Q4179" s="267">
        <f t="shared" si="901"/>
        <v>5034</v>
      </c>
      <c r="R4179" s="23">
        <f t="shared" si="902"/>
        <v>2731</v>
      </c>
      <c r="S4179" s="23">
        <f t="shared" si="903"/>
        <v>2281</v>
      </c>
      <c r="T4179" s="23" t="str">
        <f t="shared" si="904"/>
        <v/>
      </c>
      <c r="U4179" t="str">
        <f t="shared" si="905"/>
        <v/>
      </c>
      <c r="V4179" s="87"/>
      <c r="AF4179" s="22"/>
      <c r="AU4179" s="10"/>
    </row>
    <row r="4180" spans="1:47">
      <c r="A4180" t="str">
        <f t="shared" si="898"/>
        <v>PA_Alleg_2019g~Gen-supervisor moon (vote for 2)</v>
      </c>
      <c r="B4180" s="55" t="s">
        <v>1528</v>
      </c>
      <c r="C4180">
        <v>1203</v>
      </c>
      <c r="D4180" s="55" t="s">
        <v>1084</v>
      </c>
      <c r="E4180" s="55" t="s">
        <v>1086</v>
      </c>
      <c r="F4180" t="s">
        <v>1294</v>
      </c>
      <c r="G4180" s="62">
        <v>2281</v>
      </c>
      <c r="H4180">
        <v>28.84</v>
      </c>
      <c r="I4180">
        <v>19127</v>
      </c>
      <c r="J4180">
        <v>0</v>
      </c>
      <c r="K4180">
        <v>13</v>
      </c>
      <c r="L4180">
        <v>13</v>
      </c>
      <c r="M4180">
        <v>0</v>
      </c>
      <c r="N4180" s="23">
        <v>0</v>
      </c>
      <c r="O4180">
        <f t="shared" si="899"/>
        <v>3</v>
      </c>
      <c r="P4180" s="57">
        <f t="shared" si="900"/>
        <v>2</v>
      </c>
      <c r="Q4180" s="267">
        <f t="shared" si="901"/>
        <v>2303</v>
      </c>
      <c r="R4180" s="23" t="str">
        <f t="shared" si="902"/>
        <v/>
      </c>
      <c r="S4180" s="23">
        <f t="shared" si="903"/>
        <v>2281</v>
      </c>
      <c r="T4180" s="23" t="str">
        <f t="shared" si="904"/>
        <v/>
      </c>
      <c r="U4180" t="str">
        <f t="shared" si="905"/>
        <v/>
      </c>
      <c r="AF4180" s="22"/>
      <c r="AU4180" s="10"/>
    </row>
    <row r="4181" spans="1:47">
      <c r="A4181" t="str">
        <f t="shared" si="898"/>
        <v>PA_Alleg_2019g~Gen-supervisor moon (vote for 2)</v>
      </c>
      <c r="B4181" s="55" t="s">
        <v>1528</v>
      </c>
      <c r="C4181">
        <v>1205</v>
      </c>
      <c r="D4181" s="55" t="s">
        <v>1084</v>
      </c>
      <c r="E4181" s="55" t="s">
        <v>15</v>
      </c>
      <c r="G4181" s="62">
        <v>22</v>
      </c>
      <c r="H4181">
        <v>0.28000000000000003</v>
      </c>
      <c r="I4181">
        <v>19127</v>
      </c>
      <c r="J4181">
        <v>0</v>
      </c>
      <c r="K4181">
        <v>13</v>
      </c>
      <c r="L4181">
        <v>13</v>
      </c>
      <c r="M4181">
        <v>0</v>
      </c>
      <c r="N4181" s="23">
        <v>0</v>
      </c>
      <c r="O4181">
        <f t="shared" si="899"/>
        <v>-3</v>
      </c>
      <c r="P4181" s="57">
        <f t="shared" si="900"/>
        <v>2</v>
      </c>
      <c r="Q4181" s="267">
        <f t="shared" si="901"/>
        <v>22</v>
      </c>
      <c r="R4181" s="23">
        <f t="shared" si="902"/>
        <v>1</v>
      </c>
      <c r="S4181" s="23">
        <f t="shared" si="903"/>
        <v>0</v>
      </c>
      <c r="T4181" s="23" t="str">
        <f t="shared" si="904"/>
        <v/>
      </c>
      <c r="U4181" t="str">
        <f t="shared" si="905"/>
        <v/>
      </c>
      <c r="AF4181" s="22"/>
    </row>
    <row r="4182" spans="1:47">
      <c r="A4182" t="str">
        <f t="shared" si="898"/>
        <v>PA_Alleg_2019g~Gen-supervisor north fayette (vote for 1)</v>
      </c>
      <c r="B4182" s="55" t="s">
        <v>1528</v>
      </c>
      <c r="C4182">
        <v>1219</v>
      </c>
      <c r="D4182" s="55" t="s">
        <v>1099</v>
      </c>
      <c r="E4182" s="55" t="s">
        <v>1268</v>
      </c>
      <c r="F4182" t="s">
        <v>1396</v>
      </c>
      <c r="G4182" s="62">
        <v>1982</v>
      </c>
      <c r="H4182">
        <v>99.35</v>
      </c>
      <c r="I4182">
        <v>10967</v>
      </c>
      <c r="J4182">
        <v>0</v>
      </c>
      <c r="K4182">
        <v>5</v>
      </c>
      <c r="L4182">
        <v>5</v>
      </c>
      <c r="M4182">
        <v>0</v>
      </c>
      <c r="N4182" s="23">
        <v>0</v>
      </c>
      <c r="O4182">
        <f t="shared" si="899"/>
        <v>1</v>
      </c>
      <c r="P4182" s="57">
        <f t="shared" si="900"/>
        <v>1</v>
      </c>
      <c r="Q4182" s="267">
        <f t="shared" si="901"/>
        <v>1995</v>
      </c>
      <c r="R4182" s="23">
        <f t="shared" si="902"/>
        <v>1982</v>
      </c>
      <c r="S4182" s="23">
        <f t="shared" si="903"/>
        <v>0</v>
      </c>
      <c r="T4182" s="23" t="str">
        <f t="shared" si="904"/>
        <v/>
      </c>
      <c r="U4182" t="str">
        <f t="shared" si="905"/>
        <v>PA_Alleg_2019g~Gen-supervisor north fayette (vote for 1)</v>
      </c>
      <c r="AF4182" s="22"/>
    </row>
    <row r="4183" spans="1:47">
      <c r="A4183" t="str">
        <f t="shared" si="898"/>
        <v>PA_Alleg_2019g~Gen-supervisor north fayette (vote for 1)</v>
      </c>
      <c r="B4183" s="55" t="s">
        <v>1528</v>
      </c>
      <c r="C4183">
        <v>1220</v>
      </c>
      <c r="D4183" s="55" t="s">
        <v>1099</v>
      </c>
      <c r="E4183" s="55" t="s">
        <v>15</v>
      </c>
      <c r="G4183" s="62">
        <v>13</v>
      </c>
      <c r="H4183">
        <v>0.65</v>
      </c>
      <c r="I4183">
        <v>10967</v>
      </c>
      <c r="J4183">
        <v>0</v>
      </c>
      <c r="K4183">
        <v>5</v>
      </c>
      <c r="L4183">
        <v>5</v>
      </c>
      <c r="M4183">
        <v>0</v>
      </c>
      <c r="N4183" s="23">
        <v>0</v>
      </c>
      <c r="O4183">
        <f t="shared" si="899"/>
        <v>-1</v>
      </c>
      <c r="P4183" s="57">
        <f t="shared" si="900"/>
        <v>1</v>
      </c>
      <c r="Q4183" s="267">
        <f t="shared" si="901"/>
        <v>13</v>
      </c>
      <c r="R4183" s="23">
        <f t="shared" si="902"/>
        <v>1</v>
      </c>
      <c r="S4183" s="23">
        <f t="shared" si="903"/>
        <v>0</v>
      </c>
      <c r="T4183" s="23" t="str">
        <f t="shared" si="904"/>
        <v/>
      </c>
      <c r="U4183" t="str">
        <f t="shared" si="905"/>
        <v/>
      </c>
      <c r="AF4183" s="22"/>
    </row>
    <row r="4184" spans="1:47">
      <c r="A4184" t="str">
        <f t="shared" si="898"/>
        <v>PA_Alleg_2019g~Gen-supervisor ohio (vote for 1)</v>
      </c>
      <c r="B4184" s="55" t="s">
        <v>1528</v>
      </c>
      <c r="C4184">
        <v>1221</v>
      </c>
      <c r="D4184" s="55" t="s">
        <v>1100</v>
      </c>
      <c r="E4184" s="55" t="s">
        <v>1269</v>
      </c>
      <c r="F4184" t="s">
        <v>1396</v>
      </c>
      <c r="G4184" s="62">
        <v>1239</v>
      </c>
      <c r="H4184">
        <v>98.02</v>
      </c>
      <c r="I4184">
        <v>5245</v>
      </c>
      <c r="J4184">
        <v>0</v>
      </c>
      <c r="K4184">
        <v>3</v>
      </c>
      <c r="L4184">
        <v>3</v>
      </c>
      <c r="M4184">
        <v>0</v>
      </c>
      <c r="N4184" s="23">
        <v>0</v>
      </c>
      <c r="O4184">
        <f t="shared" si="899"/>
        <v>1</v>
      </c>
      <c r="P4184" s="57">
        <f t="shared" si="900"/>
        <v>1</v>
      </c>
      <c r="Q4184" s="267">
        <f t="shared" si="901"/>
        <v>1264</v>
      </c>
      <c r="R4184" s="23">
        <f t="shared" si="902"/>
        <v>1239</v>
      </c>
      <c r="S4184" s="23">
        <f t="shared" si="903"/>
        <v>0</v>
      </c>
      <c r="T4184" s="23" t="str">
        <f t="shared" si="904"/>
        <v/>
      </c>
      <c r="U4184" t="str">
        <f t="shared" si="905"/>
        <v>PA_Alleg_2019g~Gen-supervisor ohio (vote for 1)</v>
      </c>
      <c r="AF4184" s="22"/>
      <c r="AG4184" s="281"/>
      <c r="AH4184" s="287"/>
      <c r="AI4184" s="288"/>
      <c r="AJ4184" s="288"/>
      <c r="AK4184" s="347"/>
      <c r="AL4184" s="348"/>
    </row>
    <row r="4185" spans="1:47">
      <c r="A4185" t="str">
        <f t="shared" si="898"/>
        <v>PA_Alleg_2019g~Gen-supervisor ohio (vote for 1)</v>
      </c>
      <c r="B4185" s="55" t="s">
        <v>1528</v>
      </c>
      <c r="C4185">
        <v>1222</v>
      </c>
      <c r="D4185" s="55" t="s">
        <v>1100</v>
      </c>
      <c r="E4185" s="55" t="s">
        <v>15</v>
      </c>
      <c r="G4185" s="62">
        <v>25</v>
      </c>
      <c r="H4185">
        <v>1.98</v>
      </c>
      <c r="I4185">
        <v>5245</v>
      </c>
      <c r="J4185">
        <v>0</v>
      </c>
      <c r="K4185">
        <v>3</v>
      </c>
      <c r="L4185">
        <v>3</v>
      </c>
      <c r="M4185">
        <v>0</v>
      </c>
      <c r="N4185" s="23">
        <v>0</v>
      </c>
      <c r="O4185">
        <f t="shared" si="899"/>
        <v>-1</v>
      </c>
      <c r="P4185" s="57">
        <f t="shared" si="900"/>
        <v>1</v>
      </c>
      <c r="Q4185" s="267">
        <f t="shared" si="901"/>
        <v>25</v>
      </c>
      <c r="R4185" s="23">
        <f t="shared" si="902"/>
        <v>1</v>
      </c>
      <c r="S4185" s="23">
        <f t="shared" si="903"/>
        <v>0</v>
      </c>
      <c r="T4185" s="23" t="str">
        <f t="shared" si="904"/>
        <v/>
      </c>
      <c r="U4185" t="str">
        <f t="shared" si="905"/>
        <v/>
      </c>
      <c r="AF4185" s="22"/>
      <c r="AG4185" s="23"/>
      <c r="AH4185" s="8"/>
    </row>
    <row r="4186" spans="1:47">
      <c r="A4186" t="str">
        <f t="shared" si="898"/>
        <v>PA_Alleg_2019g~Gen-supervisor pine (vote for 3)</v>
      </c>
      <c r="B4186" s="55" t="s">
        <v>1528</v>
      </c>
      <c r="C4186">
        <v>1231</v>
      </c>
      <c r="D4186" s="55" t="s">
        <v>1103</v>
      </c>
      <c r="E4186" s="55" t="s">
        <v>1276</v>
      </c>
      <c r="F4186" t="s">
        <v>1296</v>
      </c>
      <c r="G4186" s="62">
        <v>1302</v>
      </c>
      <c r="H4186">
        <v>19.350000000000001</v>
      </c>
      <c r="I4186">
        <v>10299</v>
      </c>
      <c r="J4186">
        <v>0</v>
      </c>
      <c r="K4186">
        <v>8</v>
      </c>
      <c r="L4186">
        <v>8</v>
      </c>
      <c r="M4186">
        <v>0</v>
      </c>
      <c r="N4186" s="23">
        <v>0</v>
      </c>
      <c r="O4186">
        <f t="shared" si="899"/>
        <v>1</v>
      </c>
      <c r="P4186" s="57">
        <f t="shared" si="900"/>
        <v>3</v>
      </c>
      <c r="Q4186" s="267">
        <f t="shared" si="901"/>
        <v>2242.6666666666665</v>
      </c>
      <c r="R4186" s="23">
        <f t="shared" si="902"/>
        <v>1188</v>
      </c>
      <c r="S4186" s="23">
        <f t="shared" si="903"/>
        <v>1047</v>
      </c>
      <c r="T4186" s="23">
        <f t="shared" si="904"/>
        <v>141</v>
      </c>
      <c r="U4186" t="str">
        <f t="shared" si="905"/>
        <v>PA_Alleg_2019g~Gen-supervisor pine (vote for 3)</v>
      </c>
      <c r="AF4186" s="22"/>
    </row>
    <row r="4187" spans="1:47">
      <c r="A4187" t="str">
        <f t="shared" si="898"/>
        <v>PA_Alleg_2019g~Gen-supervisor pine (vote for 3)</v>
      </c>
      <c r="B4187" s="55" t="s">
        <v>1528</v>
      </c>
      <c r="C4187">
        <v>1229</v>
      </c>
      <c r="D4187" s="55" t="s">
        <v>1103</v>
      </c>
      <c r="E4187" s="55" t="s">
        <v>1277</v>
      </c>
      <c r="F4187" t="s">
        <v>1296</v>
      </c>
      <c r="G4187" s="62">
        <v>1289</v>
      </c>
      <c r="H4187">
        <v>19.16</v>
      </c>
      <c r="I4187">
        <v>10299</v>
      </c>
      <c r="J4187">
        <v>0</v>
      </c>
      <c r="K4187">
        <v>8</v>
      </c>
      <c r="L4187">
        <v>8</v>
      </c>
      <c r="M4187">
        <v>0</v>
      </c>
      <c r="N4187" s="23">
        <v>0</v>
      </c>
      <c r="O4187">
        <f t="shared" si="899"/>
        <v>2</v>
      </c>
      <c r="P4187" s="57">
        <f t="shared" si="900"/>
        <v>3</v>
      </c>
      <c r="Q4187" s="267">
        <f t="shared" si="901"/>
        <v>5426</v>
      </c>
      <c r="R4187" s="23">
        <f t="shared" si="902"/>
        <v>1188</v>
      </c>
      <c r="S4187" s="23">
        <f t="shared" si="903"/>
        <v>1047</v>
      </c>
      <c r="T4187" s="23" t="str">
        <f t="shared" si="904"/>
        <v/>
      </c>
      <c r="U4187" t="str">
        <f t="shared" si="905"/>
        <v/>
      </c>
      <c r="AF4187" s="22"/>
    </row>
    <row r="4188" spans="1:47">
      <c r="A4188" t="str">
        <f t="shared" si="898"/>
        <v>PA_Alleg_2019g~Gen-supervisor pine (vote for 3)</v>
      </c>
      <c r="B4188" s="55" t="s">
        <v>1528</v>
      </c>
      <c r="C4188">
        <v>1230</v>
      </c>
      <c r="D4188" s="55" t="s">
        <v>1103</v>
      </c>
      <c r="E4188" s="55" t="s">
        <v>1271</v>
      </c>
      <c r="F4188" t="s">
        <v>1296</v>
      </c>
      <c r="G4188" s="62">
        <v>1188</v>
      </c>
      <c r="H4188">
        <v>17.66</v>
      </c>
      <c r="I4188">
        <v>10299</v>
      </c>
      <c r="J4188">
        <v>0</v>
      </c>
      <c r="K4188">
        <v>8</v>
      </c>
      <c r="L4188">
        <v>8</v>
      </c>
      <c r="M4188">
        <v>0</v>
      </c>
      <c r="N4188" s="23">
        <v>0</v>
      </c>
      <c r="O4188">
        <f t="shared" si="899"/>
        <v>3</v>
      </c>
      <c r="P4188" s="57">
        <f t="shared" si="900"/>
        <v>3</v>
      </c>
      <c r="Q4188" s="267">
        <f t="shared" si="901"/>
        <v>4137</v>
      </c>
      <c r="R4188" s="23">
        <f t="shared" si="902"/>
        <v>1188</v>
      </c>
      <c r="S4188" s="23">
        <f t="shared" si="903"/>
        <v>1047</v>
      </c>
      <c r="T4188" s="23" t="str">
        <f t="shared" si="904"/>
        <v/>
      </c>
      <c r="U4188" t="str">
        <f t="shared" si="905"/>
        <v/>
      </c>
      <c r="AF4188" s="22"/>
    </row>
    <row r="4189" spans="1:47">
      <c r="A4189" t="str">
        <f t="shared" si="898"/>
        <v>PA_Alleg_2019g~Gen-supervisor pine (vote for 3)</v>
      </c>
      <c r="B4189" s="55" t="s">
        <v>1528</v>
      </c>
      <c r="C4189">
        <v>1226</v>
      </c>
      <c r="D4189" s="55" t="s">
        <v>1103</v>
      </c>
      <c r="E4189" s="55" t="s">
        <v>1104</v>
      </c>
      <c r="F4189" t="s">
        <v>1294</v>
      </c>
      <c r="G4189" s="62">
        <v>1047</v>
      </c>
      <c r="H4189">
        <v>15.56</v>
      </c>
      <c r="I4189">
        <v>10299</v>
      </c>
      <c r="J4189">
        <v>0</v>
      </c>
      <c r="K4189">
        <v>8</v>
      </c>
      <c r="L4189">
        <v>8</v>
      </c>
      <c r="M4189">
        <v>0</v>
      </c>
      <c r="N4189" s="23">
        <v>0</v>
      </c>
      <c r="O4189">
        <f t="shared" si="899"/>
        <v>4</v>
      </c>
      <c r="P4189" s="57">
        <f t="shared" si="900"/>
        <v>3</v>
      </c>
      <c r="Q4189" s="267">
        <f t="shared" si="901"/>
        <v>2949</v>
      </c>
      <c r="R4189" s="23" t="str">
        <f t="shared" si="902"/>
        <v/>
      </c>
      <c r="S4189" s="23">
        <f t="shared" si="903"/>
        <v>1047</v>
      </c>
      <c r="T4189" s="23" t="str">
        <f t="shared" si="904"/>
        <v/>
      </c>
      <c r="U4189" t="str">
        <f t="shared" si="905"/>
        <v/>
      </c>
      <c r="AF4189" s="22"/>
      <c r="AL4189" s="344"/>
    </row>
    <row r="4190" spans="1:47">
      <c r="A4190" t="str">
        <f t="shared" si="898"/>
        <v>PA_Alleg_2019g~Gen-supervisor pine (vote for 3)</v>
      </c>
      <c r="B4190" s="55" t="s">
        <v>1528</v>
      </c>
      <c r="C4190">
        <v>1227</v>
      </c>
      <c r="D4190" s="55" t="s">
        <v>1103</v>
      </c>
      <c r="E4190" s="55" t="s">
        <v>1274</v>
      </c>
      <c r="F4190" t="s">
        <v>1294</v>
      </c>
      <c r="G4190" s="62">
        <v>978</v>
      </c>
      <c r="H4190">
        <v>14.54</v>
      </c>
      <c r="I4190">
        <v>10299</v>
      </c>
      <c r="J4190">
        <v>0</v>
      </c>
      <c r="K4190">
        <v>8</v>
      </c>
      <c r="L4190">
        <v>8</v>
      </c>
      <c r="M4190">
        <v>0</v>
      </c>
      <c r="N4190" s="23">
        <v>0</v>
      </c>
      <c r="O4190">
        <f t="shared" si="899"/>
        <v>5</v>
      </c>
      <c r="P4190" s="57">
        <f t="shared" si="900"/>
        <v>3</v>
      </c>
      <c r="Q4190" s="267">
        <f t="shared" si="901"/>
        <v>1902</v>
      </c>
      <c r="R4190" s="23" t="str">
        <f t="shared" si="902"/>
        <v/>
      </c>
      <c r="S4190" s="23">
        <f t="shared" si="903"/>
        <v>978</v>
      </c>
      <c r="T4190" s="23" t="str">
        <f t="shared" si="904"/>
        <v/>
      </c>
      <c r="U4190" t="str">
        <f t="shared" si="905"/>
        <v/>
      </c>
      <c r="AF4190" s="22"/>
    </row>
    <row r="4191" spans="1:47">
      <c r="A4191" t="str">
        <f t="shared" si="898"/>
        <v>PA_Alleg_2019g~Gen-supervisor pine (vote for 3)</v>
      </c>
      <c r="B4191" s="55" t="s">
        <v>1528</v>
      </c>
      <c r="C4191">
        <v>1228</v>
      </c>
      <c r="D4191" s="55" t="s">
        <v>1103</v>
      </c>
      <c r="E4191" s="55" t="s">
        <v>1275</v>
      </c>
      <c r="F4191" t="s">
        <v>1294</v>
      </c>
      <c r="G4191" s="62">
        <v>886</v>
      </c>
      <c r="H4191">
        <v>13.17</v>
      </c>
      <c r="I4191">
        <v>10299</v>
      </c>
      <c r="J4191">
        <v>0</v>
      </c>
      <c r="K4191">
        <v>8</v>
      </c>
      <c r="L4191">
        <v>8</v>
      </c>
      <c r="M4191">
        <v>0</v>
      </c>
      <c r="N4191" s="23">
        <v>0</v>
      </c>
      <c r="O4191">
        <f t="shared" si="899"/>
        <v>6</v>
      </c>
      <c r="P4191" s="57">
        <f t="shared" si="900"/>
        <v>3</v>
      </c>
      <c r="Q4191" s="267">
        <f t="shared" si="901"/>
        <v>924</v>
      </c>
      <c r="R4191" s="23" t="str">
        <f t="shared" si="902"/>
        <v/>
      </c>
      <c r="S4191" s="23">
        <f t="shared" si="903"/>
        <v>886</v>
      </c>
      <c r="T4191" s="23" t="str">
        <f t="shared" si="904"/>
        <v/>
      </c>
      <c r="U4191" t="str">
        <f t="shared" si="905"/>
        <v/>
      </c>
      <c r="AF4191" s="22"/>
    </row>
    <row r="4192" spans="1:47">
      <c r="A4192" t="str">
        <f t="shared" si="898"/>
        <v>PA_Alleg_2019g~Gen-supervisor pine (vote for 3)</v>
      </c>
      <c r="B4192" s="55" t="s">
        <v>1528</v>
      </c>
      <c r="C4192">
        <v>1232</v>
      </c>
      <c r="D4192" s="55" t="s">
        <v>1103</v>
      </c>
      <c r="E4192" s="55" t="s">
        <v>15</v>
      </c>
      <c r="G4192" s="62">
        <v>38</v>
      </c>
      <c r="H4192">
        <v>0.56000000000000005</v>
      </c>
      <c r="I4192">
        <v>10299</v>
      </c>
      <c r="J4192">
        <v>0</v>
      </c>
      <c r="K4192">
        <v>8</v>
      </c>
      <c r="L4192">
        <v>8</v>
      </c>
      <c r="M4192">
        <v>0</v>
      </c>
      <c r="N4192" s="23">
        <v>0</v>
      </c>
      <c r="O4192">
        <f t="shared" si="899"/>
        <v>-6</v>
      </c>
      <c r="P4192" s="57">
        <f t="shared" si="900"/>
        <v>3</v>
      </c>
      <c r="Q4192" s="267">
        <f t="shared" si="901"/>
        <v>38</v>
      </c>
      <c r="R4192" s="23">
        <f t="shared" si="902"/>
        <v>1</v>
      </c>
      <c r="S4192" s="23">
        <f t="shared" si="903"/>
        <v>0</v>
      </c>
      <c r="T4192" s="23" t="str">
        <f t="shared" si="904"/>
        <v/>
      </c>
      <c r="U4192" t="str">
        <f t="shared" si="905"/>
        <v/>
      </c>
      <c r="AF4192" s="22"/>
      <c r="AG4192" s="23"/>
      <c r="AH4192" s="8"/>
    </row>
    <row r="4193" spans="1:38">
      <c r="A4193" t="str">
        <f t="shared" si="898"/>
        <v>PA_Alleg_2019g~Gen-supervisor richland supervisor 3 (vote for 1)</v>
      </c>
      <c r="B4193" s="55" t="s">
        <v>1528</v>
      </c>
      <c r="C4193">
        <v>1246</v>
      </c>
      <c r="D4193" s="55" t="s">
        <v>1111</v>
      </c>
      <c r="E4193" s="55" t="s">
        <v>1282</v>
      </c>
      <c r="F4193" t="s">
        <v>1296</v>
      </c>
      <c r="G4193" s="62">
        <v>411</v>
      </c>
      <c r="H4193">
        <v>96.71</v>
      </c>
      <c r="I4193">
        <v>2109</v>
      </c>
      <c r="J4193">
        <v>0</v>
      </c>
      <c r="K4193">
        <v>2</v>
      </c>
      <c r="L4193">
        <v>2</v>
      </c>
      <c r="M4193">
        <v>0</v>
      </c>
      <c r="N4193" s="23">
        <v>0</v>
      </c>
      <c r="O4193">
        <f t="shared" si="899"/>
        <v>1</v>
      </c>
      <c r="P4193" s="57">
        <f t="shared" si="900"/>
        <v>1</v>
      </c>
      <c r="Q4193" s="267">
        <f t="shared" si="901"/>
        <v>425</v>
      </c>
      <c r="R4193" s="23">
        <f t="shared" si="902"/>
        <v>411</v>
      </c>
      <c r="S4193" s="23">
        <f t="shared" si="903"/>
        <v>0</v>
      </c>
      <c r="T4193" s="23" t="str">
        <f t="shared" si="904"/>
        <v/>
      </c>
      <c r="U4193" t="str">
        <f t="shared" si="905"/>
        <v>PA_Alleg_2019g~Gen-supervisor richland supervisor 3 (vote for 1)</v>
      </c>
      <c r="AF4193" s="22"/>
    </row>
    <row r="4194" spans="1:38">
      <c r="A4194" t="str">
        <f t="shared" si="898"/>
        <v>PA_Alleg_2019g~Gen-supervisor richland supervisor 3 (vote for 1)</v>
      </c>
      <c r="B4194" s="55" t="s">
        <v>1528</v>
      </c>
      <c r="C4194">
        <v>1247</v>
      </c>
      <c r="D4194" s="55" t="s">
        <v>1111</v>
      </c>
      <c r="E4194" s="55" t="s">
        <v>15</v>
      </c>
      <c r="G4194" s="62">
        <v>14</v>
      </c>
      <c r="H4194">
        <v>3.29</v>
      </c>
      <c r="I4194">
        <v>2109</v>
      </c>
      <c r="J4194">
        <v>0</v>
      </c>
      <c r="K4194">
        <v>2</v>
      </c>
      <c r="L4194">
        <v>2</v>
      </c>
      <c r="M4194">
        <v>0</v>
      </c>
      <c r="N4194" s="23">
        <v>0</v>
      </c>
      <c r="O4194">
        <f t="shared" si="899"/>
        <v>-1</v>
      </c>
      <c r="P4194" s="57">
        <f t="shared" si="900"/>
        <v>1</v>
      </c>
      <c r="Q4194" s="267">
        <f t="shared" si="901"/>
        <v>14</v>
      </c>
      <c r="R4194" s="23">
        <f t="shared" si="902"/>
        <v>1</v>
      </c>
      <c r="S4194" s="23">
        <f t="shared" si="903"/>
        <v>0</v>
      </c>
      <c r="T4194" s="23" t="str">
        <f t="shared" si="904"/>
        <v/>
      </c>
      <c r="U4194" t="str">
        <f t="shared" si="905"/>
        <v/>
      </c>
      <c r="AF4194" s="22"/>
      <c r="AG4194" s="89"/>
      <c r="AH4194" s="274"/>
      <c r="AI4194" s="279"/>
      <c r="AJ4194" s="280"/>
      <c r="AK4194" s="92"/>
      <c r="AL4194" s="23"/>
    </row>
    <row r="4195" spans="1:38">
      <c r="A4195" t="str">
        <f t="shared" si="898"/>
        <v>PA_Alleg_2019g~Gen-supervisor richland supervisor 4 (vote for 1)</v>
      </c>
      <c r="B4195" s="55" t="s">
        <v>1528</v>
      </c>
      <c r="C4195">
        <v>1248</v>
      </c>
      <c r="D4195" s="55" t="s">
        <v>1112</v>
      </c>
      <c r="E4195" s="55" t="s">
        <v>1283</v>
      </c>
      <c r="F4195" t="s">
        <v>1296</v>
      </c>
      <c r="G4195" s="62">
        <v>431</v>
      </c>
      <c r="H4195">
        <v>98.63</v>
      </c>
      <c r="I4195">
        <v>2050</v>
      </c>
      <c r="J4195">
        <v>0</v>
      </c>
      <c r="K4195">
        <v>2</v>
      </c>
      <c r="L4195">
        <v>2</v>
      </c>
      <c r="M4195">
        <v>0</v>
      </c>
      <c r="N4195" s="23">
        <v>0</v>
      </c>
      <c r="O4195">
        <f t="shared" si="899"/>
        <v>1</v>
      </c>
      <c r="P4195" s="57">
        <f t="shared" si="900"/>
        <v>1</v>
      </c>
      <c r="Q4195" s="267">
        <f t="shared" si="901"/>
        <v>437</v>
      </c>
      <c r="R4195" s="23">
        <f t="shared" si="902"/>
        <v>431</v>
      </c>
      <c r="S4195" s="23">
        <f t="shared" si="903"/>
        <v>0</v>
      </c>
      <c r="T4195" s="23" t="str">
        <f t="shared" si="904"/>
        <v/>
      </c>
      <c r="U4195" t="str">
        <f t="shared" si="905"/>
        <v>PA_Alleg_2019g~Gen-supervisor richland supervisor 4 (vote for 1)</v>
      </c>
      <c r="AF4195" s="22"/>
    </row>
    <row r="4196" spans="1:38">
      <c r="A4196" t="str">
        <f t="shared" si="898"/>
        <v>PA_Alleg_2019g~Gen-supervisor richland supervisor 4 (vote for 1)</v>
      </c>
      <c r="B4196" s="55" t="s">
        <v>1528</v>
      </c>
      <c r="C4196">
        <v>1249</v>
      </c>
      <c r="D4196" s="55" t="s">
        <v>1112</v>
      </c>
      <c r="E4196" s="55" t="s">
        <v>15</v>
      </c>
      <c r="G4196" s="62">
        <v>6</v>
      </c>
      <c r="H4196">
        <v>1.37</v>
      </c>
      <c r="I4196">
        <v>2050</v>
      </c>
      <c r="J4196">
        <v>0</v>
      </c>
      <c r="K4196">
        <v>2</v>
      </c>
      <c r="L4196">
        <v>2</v>
      </c>
      <c r="M4196">
        <v>0</v>
      </c>
      <c r="N4196" s="23">
        <v>0</v>
      </c>
      <c r="O4196">
        <f t="shared" si="899"/>
        <v>-1</v>
      </c>
      <c r="P4196" s="57">
        <f t="shared" si="900"/>
        <v>1</v>
      </c>
      <c r="Q4196" s="267">
        <f t="shared" si="901"/>
        <v>6</v>
      </c>
      <c r="R4196" s="23">
        <f t="shared" si="902"/>
        <v>1</v>
      </c>
      <c r="S4196" s="23">
        <f t="shared" si="903"/>
        <v>0</v>
      </c>
      <c r="T4196" s="23" t="str">
        <f t="shared" si="904"/>
        <v/>
      </c>
      <c r="U4196" t="str">
        <f t="shared" si="905"/>
        <v/>
      </c>
      <c r="AF4196" s="22"/>
    </row>
    <row r="4197" spans="1:38">
      <c r="A4197" t="str">
        <f t="shared" si="898"/>
        <v>PA_Alleg_2019g~Gen-supervisor south park (vote for 1)</v>
      </c>
      <c r="B4197" s="55" t="s">
        <v>1528</v>
      </c>
      <c r="C4197">
        <v>1224</v>
      </c>
      <c r="D4197" s="55" t="s">
        <v>1101</v>
      </c>
      <c r="E4197" s="55" t="s">
        <v>1270</v>
      </c>
      <c r="F4197" t="s">
        <v>1296</v>
      </c>
      <c r="G4197" s="62">
        <v>1687</v>
      </c>
      <c r="H4197">
        <v>55.18</v>
      </c>
      <c r="I4197">
        <v>9833</v>
      </c>
      <c r="J4197">
        <v>0</v>
      </c>
      <c r="K4197">
        <v>13</v>
      </c>
      <c r="L4197">
        <v>13</v>
      </c>
      <c r="M4197">
        <v>0</v>
      </c>
      <c r="N4197" s="23">
        <v>0</v>
      </c>
      <c r="O4197">
        <f t="shared" si="899"/>
        <v>1</v>
      </c>
      <c r="P4197" s="57">
        <f t="shared" si="900"/>
        <v>1</v>
      </c>
      <c r="Q4197" s="267">
        <f t="shared" si="901"/>
        <v>3057</v>
      </c>
      <c r="R4197" s="23">
        <f t="shared" si="902"/>
        <v>1687</v>
      </c>
      <c r="S4197" s="23">
        <f t="shared" si="903"/>
        <v>1366</v>
      </c>
      <c r="T4197" s="23">
        <f t="shared" si="904"/>
        <v>321</v>
      </c>
      <c r="U4197" t="str">
        <f t="shared" si="905"/>
        <v>PA_Alleg_2019g~Gen-supervisor south park (vote for 1)</v>
      </c>
      <c r="AF4197" s="22"/>
    </row>
    <row r="4198" spans="1:38">
      <c r="A4198" t="str">
        <f t="shared" si="898"/>
        <v>PA_Alleg_2019g~Gen-supervisor south park (vote for 1)</v>
      </c>
      <c r="B4198" s="55" t="s">
        <v>1528</v>
      </c>
      <c r="C4198">
        <v>1223</v>
      </c>
      <c r="D4198" s="55" t="s">
        <v>1101</v>
      </c>
      <c r="E4198" s="55" t="s">
        <v>1102</v>
      </c>
      <c r="F4198" t="s">
        <v>1294</v>
      </c>
      <c r="G4198" s="62">
        <v>1366</v>
      </c>
      <c r="H4198">
        <v>44.68</v>
      </c>
      <c r="I4198">
        <v>9833</v>
      </c>
      <c r="J4198">
        <v>0</v>
      </c>
      <c r="K4198">
        <v>13</v>
      </c>
      <c r="L4198">
        <v>13</v>
      </c>
      <c r="M4198">
        <v>0</v>
      </c>
      <c r="N4198" s="23">
        <v>0</v>
      </c>
      <c r="O4198">
        <f t="shared" si="899"/>
        <v>2</v>
      </c>
      <c r="P4198" s="57">
        <f t="shared" si="900"/>
        <v>1</v>
      </c>
      <c r="Q4198" s="267">
        <f t="shared" si="901"/>
        <v>1370</v>
      </c>
      <c r="R4198" s="23" t="str">
        <f t="shared" si="902"/>
        <v/>
      </c>
      <c r="S4198" s="23">
        <f t="shared" si="903"/>
        <v>1366</v>
      </c>
      <c r="T4198" s="23" t="str">
        <f t="shared" si="904"/>
        <v/>
      </c>
      <c r="U4198" t="str">
        <f t="shared" si="905"/>
        <v/>
      </c>
      <c r="AF4198" s="22"/>
    </row>
    <row r="4199" spans="1:38">
      <c r="A4199" t="str">
        <f t="shared" si="898"/>
        <v>PA_Alleg_2019g~Gen-supervisor south park (vote for 1)</v>
      </c>
      <c r="B4199" s="55" t="s">
        <v>1528</v>
      </c>
      <c r="C4199">
        <v>1225</v>
      </c>
      <c r="D4199" s="55" t="s">
        <v>1101</v>
      </c>
      <c r="E4199" s="55" t="s">
        <v>15</v>
      </c>
      <c r="G4199" s="62">
        <v>4</v>
      </c>
      <c r="H4199">
        <v>0.13</v>
      </c>
      <c r="I4199">
        <v>9833</v>
      </c>
      <c r="J4199">
        <v>0</v>
      </c>
      <c r="K4199">
        <v>13</v>
      </c>
      <c r="L4199">
        <v>13</v>
      </c>
      <c r="M4199">
        <v>0</v>
      </c>
      <c r="N4199" s="23">
        <v>0</v>
      </c>
      <c r="O4199">
        <f t="shared" si="899"/>
        <v>-2</v>
      </c>
      <c r="P4199" s="57">
        <f t="shared" si="900"/>
        <v>1</v>
      </c>
      <c r="Q4199" s="267">
        <f t="shared" si="901"/>
        <v>4</v>
      </c>
      <c r="R4199" s="23">
        <f t="shared" si="902"/>
        <v>1</v>
      </c>
      <c r="S4199" s="23">
        <f t="shared" si="903"/>
        <v>0</v>
      </c>
      <c r="T4199" s="23" t="str">
        <f t="shared" si="904"/>
        <v/>
      </c>
      <c r="U4199" t="str">
        <f t="shared" si="905"/>
        <v/>
      </c>
      <c r="AF4199" s="22"/>
    </row>
    <row r="4200" spans="1:38">
      <c r="A4200" t="str">
        <f t="shared" si="898"/>
        <v>PA_Alleg_2019g~Gen-supervisor supervisor district 1 (vote for 1)</v>
      </c>
      <c r="B4200" s="55" t="s">
        <v>1528</v>
      </c>
      <c r="C4200">
        <v>1250</v>
      </c>
      <c r="D4200" s="55" t="s">
        <v>1113</v>
      </c>
      <c r="E4200" s="55" t="s">
        <v>1114</v>
      </c>
      <c r="F4200" t="s">
        <v>1396</v>
      </c>
      <c r="G4200" s="62">
        <v>480</v>
      </c>
      <c r="H4200">
        <v>98.77</v>
      </c>
      <c r="I4200">
        <v>2015</v>
      </c>
      <c r="J4200">
        <v>0</v>
      </c>
      <c r="K4200">
        <v>2</v>
      </c>
      <c r="L4200">
        <v>2</v>
      </c>
      <c r="M4200">
        <v>0</v>
      </c>
      <c r="N4200" s="23">
        <v>0</v>
      </c>
      <c r="O4200">
        <f t="shared" si="899"/>
        <v>1</v>
      </c>
      <c r="P4200" s="57">
        <f t="shared" si="900"/>
        <v>1</v>
      </c>
      <c r="Q4200" s="267">
        <f t="shared" si="901"/>
        <v>486</v>
      </c>
      <c r="R4200" s="23">
        <f t="shared" si="902"/>
        <v>480</v>
      </c>
      <c r="S4200" s="23">
        <f t="shared" si="903"/>
        <v>0</v>
      </c>
      <c r="T4200" s="23" t="str">
        <f t="shared" si="904"/>
        <v/>
      </c>
      <c r="U4200" t="str">
        <f t="shared" si="905"/>
        <v>PA_Alleg_2019g~Gen-supervisor supervisor district 1 (vote for 1)</v>
      </c>
      <c r="AF4200" s="22"/>
    </row>
    <row r="4201" spans="1:38">
      <c r="A4201" t="str">
        <f t="shared" si="898"/>
        <v>PA_Alleg_2019g~Gen-supervisor supervisor district 1 (vote for 1)</v>
      </c>
      <c r="B4201" s="55" t="s">
        <v>1528</v>
      </c>
      <c r="C4201">
        <v>1251</v>
      </c>
      <c r="D4201" s="55" t="s">
        <v>1113</v>
      </c>
      <c r="E4201" s="55" t="s">
        <v>15</v>
      </c>
      <c r="G4201" s="62">
        <v>6</v>
      </c>
      <c r="H4201">
        <v>1.23</v>
      </c>
      <c r="I4201">
        <v>2015</v>
      </c>
      <c r="J4201">
        <v>0</v>
      </c>
      <c r="K4201">
        <v>2</v>
      </c>
      <c r="L4201">
        <v>2</v>
      </c>
      <c r="M4201">
        <v>0</v>
      </c>
      <c r="N4201" s="23">
        <v>0</v>
      </c>
      <c r="O4201">
        <f t="shared" si="899"/>
        <v>-1</v>
      </c>
      <c r="P4201" s="57">
        <f t="shared" si="900"/>
        <v>1</v>
      </c>
      <c r="Q4201" s="267">
        <f t="shared" si="901"/>
        <v>6</v>
      </c>
      <c r="R4201" s="23">
        <f t="shared" si="902"/>
        <v>1</v>
      </c>
      <c r="S4201" s="23">
        <f t="shared" si="903"/>
        <v>0</v>
      </c>
      <c r="T4201" s="23" t="str">
        <f t="shared" si="904"/>
        <v/>
      </c>
      <c r="U4201" t="str">
        <f t="shared" si="905"/>
        <v/>
      </c>
      <c r="AF4201" s="22"/>
    </row>
    <row r="4202" spans="1:38">
      <c r="A4202" t="str">
        <f t="shared" si="898"/>
        <v>PA_Alleg_2019g~Gen-supervisor supervisor district 3 (vote for 1)</v>
      </c>
      <c r="B4202" s="55" t="s">
        <v>1528</v>
      </c>
      <c r="C4202">
        <v>1252</v>
      </c>
      <c r="D4202" s="55" t="s">
        <v>1115</v>
      </c>
      <c r="E4202" s="55" t="s">
        <v>1284</v>
      </c>
      <c r="F4202" t="s">
        <v>1296</v>
      </c>
      <c r="G4202" s="62">
        <v>489</v>
      </c>
      <c r="H4202">
        <v>98.19</v>
      </c>
      <c r="I4202">
        <v>2554</v>
      </c>
      <c r="J4202">
        <v>0</v>
      </c>
      <c r="K4202">
        <v>2</v>
      </c>
      <c r="L4202">
        <v>2</v>
      </c>
      <c r="M4202">
        <v>0</v>
      </c>
      <c r="N4202" s="23">
        <v>0</v>
      </c>
      <c r="O4202">
        <f t="shared" si="899"/>
        <v>1</v>
      </c>
      <c r="P4202" s="57">
        <f t="shared" si="900"/>
        <v>1</v>
      </c>
      <c r="Q4202" s="267">
        <f t="shared" si="901"/>
        <v>498</v>
      </c>
      <c r="R4202" s="23">
        <f t="shared" si="902"/>
        <v>489</v>
      </c>
      <c r="S4202" s="23">
        <f t="shared" si="903"/>
        <v>0</v>
      </c>
      <c r="T4202" s="23" t="str">
        <f t="shared" si="904"/>
        <v/>
      </c>
      <c r="U4202" t="str">
        <f t="shared" si="905"/>
        <v>PA_Alleg_2019g~Gen-supervisor supervisor district 3 (vote for 1)</v>
      </c>
      <c r="AF4202" s="22"/>
      <c r="AG4202" s="89"/>
      <c r="AH4202" s="274"/>
      <c r="AI4202" s="279"/>
      <c r="AJ4202" s="280"/>
      <c r="AK4202" s="92"/>
      <c r="AL4202" s="23"/>
    </row>
    <row r="4203" spans="1:38">
      <c r="A4203" t="str">
        <f t="shared" si="898"/>
        <v>PA_Alleg_2019g~Gen-supervisor supervisor district 3 (vote for 1)</v>
      </c>
      <c r="B4203" s="55" t="s">
        <v>1528</v>
      </c>
      <c r="C4203">
        <v>1253</v>
      </c>
      <c r="D4203" s="55" t="s">
        <v>1115</v>
      </c>
      <c r="E4203" s="55" t="s">
        <v>15</v>
      </c>
      <c r="G4203" s="62">
        <v>9</v>
      </c>
      <c r="H4203">
        <v>1.81</v>
      </c>
      <c r="I4203">
        <v>2554</v>
      </c>
      <c r="J4203">
        <v>0</v>
      </c>
      <c r="K4203">
        <v>2</v>
      </c>
      <c r="L4203">
        <v>2</v>
      </c>
      <c r="M4203">
        <v>0</v>
      </c>
      <c r="N4203" s="23">
        <v>0</v>
      </c>
      <c r="O4203">
        <f t="shared" si="899"/>
        <v>-1</v>
      </c>
      <c r="P4203" s="57">
        <f t="shared" si="900"/>
        <v>1</v>
      </c>
      <c r="Q4203" s="267">
        <f t="shared" si="901"/>
        <v>9</v>
      </c>
      <c r="R4203" s="23">
        <f t="shared" si="902"/>
        <v>1</v>
      </c>
      <c r="S4203" s="23">
        <f t="shared" si="903"/>
        <v>0</v>
      </c>
      <c r="T4203" s="23" t="str">
        <f t="shared" si="904"/>
        <v/>
      </c>
      <c r="U4203" t="str">
        <f t="shared" si="905"/>
        <v/>
      </c>
      <c r="AF4203" s="22"/>
    </row>
    <row r="4204" spans="1:38">
      <c r="A4204" t="str">
        <f t="shared" si="898"/>
        <v>PA_Alleg_2019g~Gen-tax collector avalon (vote for 1)</v>
      </c>
      <c r="B4204" s="55" t="s">
        <v>1528</v>
      </c>
      <c r="C4204">
        <v>459</v>
      </c>
      <c r="D4204" s="55" t="s">
        <v>485</v>
      </c>
      <c r="E4204" s="55" t="s">
        <v>15</v>
      </c>
      <c r="G4204" s="62">
        <v>64</v>
      </c>
      <c r="H4204">
        <v>100</v>
      </c>
      <c r="I4204">
        <v>3710</v>
      </c>
      <c r="J4204">
        <v>0</v>
      </c>
      <c r="K4204">
        <v>6</v>
      </c>
      <c r="L4204">
        <v>6</v>
      </c>
      <c r="M4204">
        <v>0</v>
      </c>
      <c r="N4204" s="23">
        <v>0</v>
      </c>
      <c r="O4204">
        <f t="shared" si="899"/>
        <v>0</v>
      </c>
      <c r="P4204" s="57">
        <f t="shared" si="900"/>
        <v>1</v>
      </c>
      <c r="Q4204" s="267">
        <f t="shared" si="901"/>
        <v>64</v>
      </c>
      <c r="R4204" s="23">
        <f t="shared" si="902"/>
        <v>1</v>
      </c>
      <c r="S4204" s="23">
        <f t="shared" si="903"/>
        <v>0</v>
      </c>
      <c r="T4204" s="23" t="str">
        <f t="shared" si="904"/>
        <v/>
      </c>
      <c r="U4204" t="str">
        <f t="shared" si="905"/>
        <v>PA_Alleg_2019g~Gen-tax collector avalon (vote for 1)</v>
      </c>
      <c r="AF4204" s="22"/>
    </row>
    <row r="4205" spans="1:38">
      <c r="A4205" t="str">
        <f t="shared" si="898"/>
        <v>PA_Alleg_2019g~Gen-tax collector ben avon heights (vote for 1)</v>
      </c>
      <c r="B4205" s="55" t="s">
        <v>1528</v>
      </c>
      <c r="C4205">
        <v>460</v>
      </c>
      <c r="D4205" s="55" t="s">
        <v>486</v>
      </c>
      <c r="E4205" s="55" t="s">
        <v>15</v>
      </c>
      <c r="G4205" s="62">
        <v>15</v>
      </c>
      <c r="H4205">
        <v>100</v>
      </c>
      <c r="I4205">
        <v>327</v>
      </c>
      <c r="J4205">
        <v>0</v>
      </c>
      <c r="K4205">
        <v>1</v>
      </c>
      <c r="L4205">
        <v>1</v>
      </c>
      <c r="M4205">
        <v>0</v>
      </c>
      <c r="N4205" s="23">
        <v>0</v>
      </c>
      <c r="O4205">
        <f t="shared" si="899"/>
        <v>0</v>
      </c>
      <c r="P4205" s="57">
        <f t="shared" si="900"/>
        <v>1</v>
      </c>
      <c r="Q4205" s="267">
        <f t="shared" si="901"/>
        <v>15</v>
      </c>
      <c r="R4205" s="23">
        <f t="shared" si="902"/>
        <v>1</v>
      </c>
      <c r="S4205" s="23">
        <f t="shared" si="903"/>
        <v>0</v>
      </c>
      <c r="T4205" s="23" t="str">
        <f t="shared" si="904"/>
        <v/>
      </c>
      <c r="U4205" t="str">
        <f t="shared" si="905"/>
        <v>PA_Alleg_2019g~Gen-tax collector ben avon heights (vote for 1)</v>
      </c>
      <c r="AF4205" s="22"/>
    </row>
    <row r="4206" spans="1:38">
      <c r="A4206" t="str">
        <f t="shared" si="898"/>
        <v>PA_Alleg_2019g~Gen-tax collector carnegie (vote for 1)</v>
      </c>
      <c r="B4206" s="55" t="s">
        <v>1528</v>
      </c>
      <c r="C4206">
        <v>461</v>
      </c>
      <c r="D4206" s="55" t="s">
        <v>487</v>
      </c>
      <c r="E4206" s="55" t="s">
        <v>15</v>
      </c>
      <c r="G4206" s="62">
        <v>60</v>
      </c>
      <c r="H4206">
        <v>100</v>
      </c>
      <c r="I4206">
        <v>5746</v>
      </c>
      <c r="J4206">
        <v>0</v>
      </c>
      <c r="K4206">
        <v>8</v>
      </c>
      <c r="L4206">
        <v>8</v>
      </c>
      <c r="M4206">
        <v>0</v>
      </c>
      <c r="N4206" s="23">
        <v>0</v>
      </c>
      <c r="O4206">
        <f t="shared" si="899"/>
        <v>0</v>
      </c>
      <c r="P4206" s="57">
        <f t="shared" si="900"/>
        <v>1</v>
      </c>
      <c r="Q4206" s="267">
        <f t="shared" si="901"/>
        <v>60</v>
      </c>
      <c r="R4206" s="23">
        <f t="shared" si="902"/>
        <v>1</v>
      </c>
      <c r="S4206" s="23">
        <f t="shared" si="903"/>
        <v>0</v>
      </c>
      <c r="T4206" s="23" t="str">
        <f t="shared" si="904"/>
        <v/>
      </c>
      <c r="U4206" t="str">
        <f t="shared" si="905"/>
        <v>PA_Alleg_2019g~Gen-tax collector carnegie (vote for 1)</v>
      </c>
      <c r="AF4206" s="22"/>
    </row>
    <row r="4207" spans="1:38">
      <c r="A4207" t="str">
        <f t="shared" si="898"/>
        <v>PA_Alleg_2019g~Gen-tax collector chalfant (vote for 1)</v>
      </c>
      <c r="B4207" s="55" t="s">
        <v>1528</v>
      </c>
      <c r="C4207">
        <v>462</v>
      </c>
      <c r="D4207" s="55" t="s">
        <v>488</v>
      </c>
      <c r="E4207" s="55" t="s">
        <v>1130</v>
      </c>
      <c r="F4207" t="s">
        <v>1296</v>
      </c>
      <c r="G4207" s="62">
        <v>122</v>
      </c>
      <c r="H4207">
        <v>98.39</v>
      </c>
      <c r="I4207">
        <v>596</v>
      </c>
      <c r="J4207">
        <v>0</v>
      </c>
      <c r="K4207">
        <v>1</v>
      </c>
      <c r="L4207">
        <v>1</v>
      </c>
      <c r="M4207">
        <v>0</v>
      </c>
      <c r="N4207" s="23">
        <v>0</v>
      </c>
      <c r="O4207">
        <f t="shared" si="899"/>
        <v>1</v>
      </c>
      <c r="P4207" s="57">
        <f t="shared" si="900"/>
        <v>1</v>
      </c>
      <c r="Q4207" s="267">
        <f t="shared" si="901"/>
        <v>124</v>
      </c>
      <c r="R4207" s="23">
        <f t="shared" si="902"/>
        <v>122</v>
      </c>
      <c r="S4207" s="23">
        <f t="shared" si="903"/>
        <v>0</v>
      </c>
      <c r="T4207" s="23" t="str">
        <f t="shared" si="904"/>
        <v/>
      </c>
      <c r="U4207" t="str">
        <f t="shared" si="905"/>
        <v>PA_Alleg_2019g~Gen-tax collector chalfant (vote for 1)</v>
      </c>
      <c r="AF4207" s="22"/>
    </row>
    <row r="4208" spans="1:38">
      <c r="A4208" t="str">
        <f t="shared" si="898"/>
        <v>PA_Alleg_2019g~Gen-tax collector chalfant (vote for 1)</v>
      </c>
      <c r="B4208" s="55" t="s">
        <v>1528</v>
      </c>
      <c r="C4208">
        <v>463</v>
      </c>
      <c r="D4208" s="55" t="s">
        <v>488</v>
      </c>
      <c r="E4208" s="55" t="s">
        <v>15</v>
      </c>
      <c r="G4208" s="62">
        <v>2</v>
      </c>
      <c r="H4208">
        <v>1.61</v>
      </c>
      <c r="I4208">
        <v>596</v>
      </c>
      <c r="J4208">
        <v>0</v>
      </c>
      <c r="K4208">
        <v>1</v>
      </c>
      <c r="L4208">
        <v>1</v>
      </c>
      <c r="M4208">
        <v>0</v>
      </c>
      <c r="N4208" s="23">
        <v>0</v>
      </c>
      <c r="O4208">
        <f t="shared" si="899"/>
        <v>-1</v>
      </c>
      <c r="P4208" s="57">
        <f t="shared" si="900"/>
        <v>1</v>
      </c>
      <c r="Q4208" s="267">
        <f t="shared" si="901"/>
        <v>2</v>
      </c>
      <c r="R4208" s="23">
        <f t="shared" si="902"/>
        <v>1</v>
      </c>
      <c r="S4208" s="23">
        <f t="shared" si="903"/>
        <v>0</v>
      </c>
      <c r="T4208" s="23" t="str">
        <f t="shared" si="904"/>
        <v/>
      </c>
      <c r="U4208" t="str">
        <f t="shared" si="905"/>
        <v/>
      </c>
      <c r="AF4208" s="22"/>
      <c r="AG4208" s="89"/>
      <c r="AH4208" s="274"/>
      <c r="AI4208" s="279"/>
      <c r="AJ4208" s="280"/>
      <c r="AK4208" s="92"/>
      <c r="AL4208" s="23"/>
    </row>
    <row r="4209" spans="1:38">
      <c r="A4209" t="str">
        <f t="shared" si="898"/>
        <v>PA_Alleg_2019g~Gen-tax collector glenfield (vote for 1)</v>
      </c>
      <c r="B4209" s="55" t="s">
        <v>1528</v>
      </c>
      <c r="C4209">
        <v>464</v>
      </c>
      <c r="D4209" s="55" t="s">
        <v>489</v>
      </c>
      <c r="E4209" s="55" t="s">
        <v>15</v>
      </c>
      <c r="G4209" s="62">
        <v>8</v>
      </c>
      <c r="H4209">
        <v>100</v>
      </c>
      <c r="I4209">
        <v>153</v>
      </c>
      <c r="J4209">
        <v>0</v>
      </c>
      <c r="K4209">
        <v>1</v>
      </c>
      <c r="L4209">
        <v>1</v>
      </c>
      <c r="M4209">
        <v>0</v>
      </c>
      <c r="N4209" s="23">
        <v>0</v>
      </c>
      <c r="O4209">
        <f t="shared" si="899"/>
        <v>0</v>
      </c>
      <c r="P4209" s="57">
        <f t="shared" si="900"/>
        <v>1</v>
      </c>
      <c r="Q4209" s="267">
        <f t="shared" si="901"/>
        <v>8</v>
      </c>
      <c r="R4209" s="23">
        <f t="shared" si="902"/>
        <v>1</v>
      </c>
      <c r="S4209" s="23">
        <f t="shared" si="903"/>
        <v>0</v>
      </c>
      <c r="T4209" s="23" t="str">
        <f t="shared" si="904"/>
        <v/>
      </c>
      <c r="U4209" t="str">
        <f t="shared" si="905"/>
        <v>PA_Alleg_2019g~Gen-tax collector glenfield (vote for 1)</v>
      </c>
      <c r="AF4209" s="22"/>
      <c r="AH4209" s="8"/>
    </row>
    <row r="4210" spans="1:38">
      <c r="A4210" t="str">
        <f t="shared" si="898"/>
        <v>PA_Alleg_2019g~Gen-tax collector haysville (vote for 1)</v>
      </c>
      <c r="B4210" s="55" t="s">
        <v>1528</v>
      </c>
      <c r="C4210">
        <v>465</v>
      </c>
      <c r="D4210" s="55" t="s">
        <v>490</v>
      </c>
      <c r="E4210" s="55" t="s">
        <v>15</v>
      </c>
      <c r="G4210" s="62">
        <v>4</v>
      </c>
      <c r="H4210">
        <v>100</v>
      </c>
      <c r="I4210">
        <v>63</v>
      </c>
      <c r="J4210">
        <v>0</v>
      </c>
      <c r="K4210">
        <v>1</v>
      </c>
      <c r="L4210">
        <v>1</v>
      </c>
      <c r="M4210">
        <v>0</v>
      </c>
      <c r="N4210" s="23">
        <v>0</v>
      </c>
      <c r="O4210">
        <f t="shared" si="899"/>
        <v>0</v>
      </c>
      <c r="P4210" s="57">
        <f t="shared" si="900"/>
        <v>1</v>
      </c>
      <c r="Q4210" s="267">
        <f t="shared" si="901"/>
        <v>4</v>
      </c>
      <c r="R4210" s="23">
        <f t="shared" si="902"/>
        <v>1</v>
      </c>
      <c r="S4210" s="23">
        <f t="shared" si="903"/>
        <v>0</v>
      </c>
      <c r="T4210" s="23" t="str">
        <f t="shared" si="904"/>
        <v/>
      </c>
      <c r="U4210" t="str">
        <f t="shared" si="905"/>
        <v>PA_Alleg_2019g~Gen-tax collector haysville (vote for 1)</v>
      </c>
      <c r="AF4210" s="22"/>
    </row>
    <row r="4211" spans="1:38">
      <c r="A4211" t="str">
        <f t="shared" si="898"/>
        <v>PA_Alleg_2019g~Gen-tax collector homestead (vote for 1)</v>
      </c>
      <c r="B4211" s="55" t="s">
        <v>1528</v>
      </c>
      <c r="C4211">
        <v>466</v>
      </c>
      <c r="D4211" s="55" t="s">
        <v>491</v>
      </c>
      <c r="E4211" s="55" t="s">
        <v>492</v>
      </c>
      <c r="F4211" t="s">
        <v>1294</v>
      </c>
      <c r="G4211" s="62">
        <v>454</v>
      </c>
      <c r="H4211">
        <v>99.56</v>
      </c>
      <c r="I4211">
        <v>2610</v>
      </c>
      <c r="J4211">
        <v>0</v>
      </c>
      <c r="K4211">
        <v>6</v>
      </c>
      <c r="L4211">
        <v>6</v>
      </c>
      <c r="M4211">
        <v>0</v>
      </c>
      <c r="N4211" s="23">
        <v>0</v>
      </c>
      <c r="O4211">
        <f t="shared" si="899"/>
        <v>1</v>
      </c>
      <c r="P4211" s="57">
        <f t="shared" si="900"/>
        <v>1</v>
      </c>
      <c r="Q4211" s="267">
        <f t="shared" si="901"/>
        <v>456</v>
      </c>
      <c r="R4211" s="23">
        <f t="shared" si="902"/>
        <v>454</v>
      </c>
      <c r="S4211" s="23">
        <f t="shared" si="903"/>
        <v>0</v>
      </c>
      <c r="T4211" s="23" t="str">
        <f t="shared" si="904"/>
        <v/>
      </c>
      <c r="U4211" t="str">
        <f t="shared" si="905"/>
        <v>PA_Alleg_2019g~Gen-tax collector homestead (vote for 1)</v>
      </c>
      <c r="AF4211" s="22"/>
    </row>
    <row r="4212" spans="1:38">
      <c r="A4212" t="str">
        <f t="shared" si="898"/>
        <v>PA_Alleg_2019g~Gen-tax collector homestead (vote for 1)</v>
      </c>
      <c r="B4212" s="55" t="s">
        <v>1528</v>
      </c>
      <c r="C4212">
        <v>467</v>
      </c>
      <c r="D4212" s="55" t="s">
        <v>491</v>
      </c>
      <c r="E4212" s="55" t="s">
        <v>15</v>
      </c>
      <c r="G4212" s="62">
        <v>2</v>
      </c>
      <c r="H4212">
        <v>0.44</v>
      </c>
      <c r="I4212">
        <v>2610</v>
      </c>
      <c r="J4212">
        <v>0</v>
      </c>
      <c r="K4212">
        <v>6</v>
      </c>
      <c r="L4212">
        <v>6</v>
      </c>
      <c r="M4212">
        <v>0</v>
      </c>
      <c r="N4212" s="23">
        <v>0</v>
      </c>
      <c r="O4212">
        <f t="shared" si="899"/>
        <v>-1</v>
      </c>
      <c r="P4212" s="57">
        <f t="shared" si="900"/>
        <v>1</v>
      </c>
      <c r="Q4212" s="267">
        <f t="shared" si="901"/>
        <v>2</v>
      </c>
      <c r="R4212" s="23">
        <f t="shared" si="902"/>
        <v>1</v>
      </c>
      <c r="S4212" s="23">
        <f t="shared" si="903"/>
        <v>0</v>
      </c>
      <c r="T4212" s="23" t="str">
        <f t="shared" si="904"/>
        <v/>
      </c>
      <c r="U4212" t="str">
        <f t="shared" si="905"/>
        <v/>
      </c>
      <c r="AF4212" s="88"/>
    </row>
    <row r="4213" spans="1:38">
      <c r="A4213" t="str">
        <f t="shared" si="898"/>
        <v>PA_Alleg_2019g~Gen-tax collector ingram (vote for 1)</v>
      </c>
      <c r="B4213" s="55" t="s">
        <v>1528</v>
      </c>
      <c r="C4213">
        <v>468</v>
      </c>
      <c r="D4213" s="55" t="s">
        <v>493</v>
      </c>
      <c r="E4213" s="55" t="s">
        <v>15</v>
      </c>
      <c r="G4213" s="62">
        <v>35</v>
      </c>
      <c r="H4213">
        <v>100</v>
      </c>
      <c r="I4213">
        <v>2404</v>
      </c>
      <c r="J4213">
        <v>0</v>
      </c>
      <c r="K4213">
        <v>3</v>
      </c>
      <c r="L4213">
        <v>3</v>
      </c>
      <c r="M4213">
        <v>0</v>
      </c>
      <c r="N4213" s="23">
        <v>0</v>
      </c>
      <c r="O4213">
        <f t="shared" si="899"/>
        <v>0</v>
      </c>
      <c r="P4213" s="57">
        <f t="shared" si="900"/>
        <v>1</v>
      </c>
      <c r="Q4213" s="267">
        <f t="shared" si="901"/>
        <v>35</v>
      </c>
      <c r="R4213" s="23">
        <f t="shared" si="902"/>
        <v>1</v>
      </c>
      <c r="S4213" s="23">
        <f t="shared" si="903"/>
        <v>0</v>
      </c>
      <c r="T4213" s="23" t="str">
        <f t="shared" si="904"/>
        <v/>
      </c>
      <c r="U4213" t="str">
        <f t="shared" si="905"/>
        <v>PA_Alleg_2019g~Gen-tax collector ingram (vote for 1)</v>
      </c>
      <c r="AF4213" s="22"/>
    </row>
    <row r="4214" spans="1:38">
      <c r="A4214" t="str">
        <f t="shared" si="898"/>
        <v>PA_Alleg_2019g~Gen-tax collector north braddock (vote for 1)</v>
      </c>
      <c r="B4214" s="55" t="s">
        <v>1528</v>
      </c>
      <c r="C4214">
        <v>469</v>
      </c>
      <c r="D4214" s="55" t="s">
        <v>1442</v>
      </c>
      <c r="E4214" s="55" t="s">
        <v>1443</v>
      </c>
      <c r="F4214" t="s">
        <v>1294</v>
      </c>
      <c r="G4214" s="62">
        <v>673</v>
      </c>
      <c r="H4214">
        <v>98.54</v>
      </c>
      <c r="I4214">
        <v>3371</v>
      </c>
      <c r="J4214">
        <v>0</v>
      </c>
      <c r="K4214">
        <v>7</v>
      </c>
      <c r="L4214">
        <v>7</v>
      </c>
      <c r="M4214">
        <v>0</v>
      </c>
      <c r="N4214" s="23">
        <v>0</v>
      </c>
      <c r="O4214">
        <f t="shared" si="899"/>
        <v>1</v>
      </c>
      <c r="P4214" s="57">
        <f t="shared" si="900"/>
        <v>1</v>
      </c>
      <c r="Q4214" s="267">
        <f t="shared" si="901"/>
        <v>683</v>
      </c>
      <c r="R4214" s="23">
        <f t="shared" si="902"/>
        <v>673</v>
      </c>
      <c r="S4214" s="23">
        <f t="shared" si="903"/>
        <v>0</v>
      </c>
      <c r="T4214" s="23" t="str">
        <f t="shared" si="904"/>
        <v/>
      </c>
      <c r="U4214" t="str">
        <f t="shared" si="905"/>
        <v>PA_Alleg_2019g~Gen-tax collector north braddock (vote for 1)</v>
      </c>
      <c r="AF4214" s="22"/>
    </row>
    <row r="4215" spans="1:38">
      <c r="A4215" t="str">
        <f t="shared" si="898"/>
        <v>PA_Alleg_2019g~Gen-tax collector north braddock (vote for 1)</v>
      </c>
      <c r="B4215" s="55" t="s">
        <v>1528</v>
      </c>
      <c r="C4215">
        <v>470</v>
      </c>
      <c r="D4215" s="55" t="s">
        <v>1442</v>
      </c>
      <c r="E4215" s="55" t="s">
        <v>15</v>
      </c>
      <c r="G4215" s="62">
        <v>10</v>
      </c>
      <c r="H4215">
        <v>1.46</v>
      </c>
      <c r="I4215">
        <v>3371</v>
      </c>
      <c r="J4215">
        <v>0</v>
      </c>
      <c r="K4215">
        <v>7</v>
      </c>
      <c r="L4215">
        <v>7</v>
      </c>
      <c r="M4215">
        <v>0</v>
      </c>
      <c r="N4215" s="23">
        <v>0</v>
      </c>
      <c r="O4215">
        <f t="shared" si="899"/>
        <v>-1</v>
      </c>
      <c r="P4215" s="57">
        <f t="shared" si="900"/>
        <v>1</v>
      </c>
      <c r="Q4215" s="267">
        <f t="shared" si="901"/>
        <v>10</v>
      </c>
      <c r="R4215" s="23">
        <f t="shared" si="902"/>
        <v>1</v>
      </c>
      <c r="S4215" s="23">
        <f t="shared" si="903"/>
        <v>0</v>
      </c>
      <c r="T4215" s="23" t="str">
        <f t="shared" si="904"/>
        <v/>
      </c>
      <c r="U4215" t="str">
        <f t="shared" si="905"/>
        <v/>
      </c>
      <c r="AF4215" s="22"/>
      <c r="AG4215" s="23"/>
      <c r="AH4215" s="8"/>
      <c r="AL4215" s="344"/>
    </row>
    <row r="4216" spans="1:38">
      <c r="A4216" t="str">
        <f t="shared" ref="A4216:A4226" si="906">CONCATENATE(B4216,"~Gen-",LOWER(D4216))</f>
        <v>PA_Alleg_2019g~Gen-tax collector oakmont (vote for 1)</v>
      </c>
      <c r="B4216" s="55" t="s">
        <v>1528</v>
      </c>
      <c r="C4216">
        <v>471</v>
      </c>
      <c r="D4216" s="55" t="s">
        <v>494</v>
      </c>
      <c r="E4216" s="55" t="s">
        <v>15</v>
      </c>
      <c r="G4216" s="62">
        <v>52</v>
      </c>
      <c r="H4216">
        <v>100</v>
      </c>
      <c r="I4216">
        <v>5589</v>
      </c>
      <c r="J4216">
        <v>0</v>
      </c>
      <c r="K4216">
        <v>6</v>
      </c>
      <c r="L4216">
        <v>6</v>
      </c>
      <c r="M4216">
        <v>0</v>
      </c>
      <c r="N4216" s="23">
        <v>0</v>
      </c>
      <c r="O4216">
        <f t="shared" si="899"/>
        <v>0</v>
      </c>
      <c r="P4216" s="57">
        <f t="shared" si="900"/>
        <v>1</v>
      </c>
      <c r="Q4216" s="267">
        <f t="shared" si="901"/>
        <v>52</v>
      </c>
      <c r="R4216" s="23">
        <f t="shared" si="902"/>
        <v>1</v>
      </c>
      <c r="S4216" s="23">
        <f t="shared" si="903"/>
        <v>0</v>
      </c>
      <c r="T4216" s="23" t="str">
        <f t="shared" si="904"/>
        <v/>
      </c>
      <c r="U4216" t="str">
        <f t="shared" si="905"/>
        <v>PA_Alleg_2019g~Gen-tax collector oakmont (vote for 1)</v>
      </c>
      <c r="AF4216" s="22"/>
      <c r="AG4216" s="23"/>
      <c r="AH4216" s="8"/>
    </row>
    <row r="4217" spans="1:38">
      <c r="A4217" t="str">
        <f t="shared" si="906"/>
        <v>PA_Alleg_2019g~Gen-tax collector plum (vote for 1)</v>
      </c>
      <c r="B4217" s="55" t="s">
        <v>1528</v>
      </c>
      <c r="C4217">
        <v>472</v>
      </c>
      <c r="D4217" s="55" t="s">
        <v>1444</v>
      </c>
      <c r="E4217" s="55" t="s">
        <v>1445</v>
      </c>
      <c r="F4217" t="s">
        <v>1296</v>
      </c>
      <c r="G4217" s="62">
        <v>4493</v>
      </c>
      <c r="H4217">
        <v>98.57</v>
      </c>
      <c r="I4217">
        <v>19420</v>
      </c>
      <c r="J4217">
        <v>0</v>
      </c>
      <c r="K4217">
        <v>21</v>
      </c>
      <c r="L4217">
        <v>21</v>
      </c>
      <c r="M4217">
        <v>0</v>
      </c>
      <c r="N4217" s="23">
        <v>0</v>
      </c>
      <c r="O4217">
        <f t="shared" si="899"/>
        <v>1</v>
      </c>
      <c r="P4217" s="57">
        <f t="shared" si="900"/>
        <v>1</v>
      </c>
      <c r="Q4217" s="267">
        <f t="shared" si="901"/>
        <v>4558</v>
      </c>
      <c r="R4217" s="23">
        <f t="shared" si="902"/>
        <v>4493</v>
      </c>
      <c r="S4217" s="23">
        <f t="shared" si="903"/>
        <v>0</v>
      </c>
      <c r="T4217" s="23" t="str">
        <f t="shared" si="904"/>
        <v/>
      </c>
      <c r="U4217" t="str">
        <f t="shared" si="905"/>
        <v>PA_Alleg_2019g~Gen-tax collector plum (vote for 1)</v>
      </c>
      <c r="AF4217" s="22"/>
    </row>
    <row r="4218" spans="1:38">
      <c r="A4218" t="str">
        <f t="shared" si="906"/>
        <v>PA_Alleg_2019g~Gen-tax collector plum (vote for 1)</v>
      </c>
      <c r="B4218" s="55" t="s">
        <v>1528</v>
      </c>
      <c r="C4218">
        <v>473</v>
      </c>
      <c r="D4218" s="55" t="s">
        <v>1444</v>
      </c>
      <c r="E4218" s="55" t="s">
        <v>15</v>
      </c>
      <c r="G4218" s="62">
        <v>65</v>
      </c>
      <c r="H4218">
        <v>1.43</v>
      </c>
      <c r="I4218">
        <v>19420</v>
      </c>
      <c r="J4218">
        <v>0</v>
      </c>
      <c r="K4218">
        <v>21</v>
      </c>
      <c r="L4218">
        <v>21</v>
      </c>
      <c r="M4218">
        <v>0</v>
      </c>
      <c r="N4218" s="23">
        <v>0</v>
      </c>
      <c r="O4218">
        <f t="shared" si="899"/>
        <v>-1</v>
      </c>
      <c r="P4218" s="57">
        <f t="shared" si="900"/>
        <v>1</v>
      </c>
      <c r="Q4218" s="267">
        <f t="shared" si="901"/>
        <v>65</v>
      </c>
      <c r="R4218" s="23">
        <f t="shared" si="902"/>
        <v>1</v>
      </c>
      <c r="S4218" s="23">
        <f t="shared" si="903"/>
        <v>0</v>
      </c>
      <c r="T4218" s="23" t="str">
        <f t="shared" si="904"/>
        <v/>
      </c>
      <c r="U4218" t="str">
        <f t="shared" si="905"/>
        <v/>
      </c>
      <c r="AF4218" s="22"/>
    </row>
    <row r="4219" spans="1:38">
      <c r="A4219" t="str">
        <f t="shared" si="906"/>
        <v>PA_Alleg_2019g~Gen-tax collector ross (vote for 1)</v>
      </c>
      <c r="B4219" s="55" t="s">
        <v>1528</v>
      </c>
      <c r="C4219">
        <v>474</v>
      </c>
      <c r="D4219" s="55" t="s">
        <v>495</v>
      </c>
      <c r="E4219" s="55" t="s">
        <v>496</v>
      </c>
      <c r="F4219" t="s">
        <v>1294</v>
      </c>
      <c r="G4219" s="62">
        <v>4347</v>
      </c>
      <c r="H4219">
        <v>54.32</v>
      </c>
      <c r="I4219">
        <v>24864</v>
      </c>
      <c r="J4219">
        <v>0</v>
      </c>
      <c r="K4219">
        <v>33</v>
      </c>
      <c r="L4219">
        <v>33</v>
      </c>
      <c r="M4219">
        <v>0</v>
      </c>
      <c r="N4219" s="23">
        <v>0</v>
      </c>
      <c r="O4219">
        <f t="shared" si="899"/>
        <v>1</v>
      </c>
      <c r="P4219" s="57">
        <f t="shared" si="900"/>
        <v>1</v>
      </c>
      <c r="Q4219" s="267">
        <f t="shared" si="901"/>
        <v>8003</v>
      </c>
      <c r="R4219" s="23">
        <f t="shared" si="902"/>
        <v>4347</v>
      </c>
      <c r="S4219" s="23">
        <f t="shared" si="903"/>
        <v>3650</v>
      </c>
      <c r="T4219" s="23">
        <f t="shared" si="904"/>
        <v>697</v>
      </c>
      <c r="U4219" t="str">
        <f t="shared" si="905"/>
        <v>PA_Alleg_2019g~Gen-tax collector ross (vote for 1)</v>
      </c>
      <c r="AF4219" s="22"/>
    </row>
    <row r="4220" spans="1:38">
      <c r="A4220" t="str">
        <f t="shared" si="906"/>
        <v>PA_Alleg_2019g~Gen-tax collector ross (vote for 1)</v>
      </c>
      <c r="B4220" s="55" t="s">
        <v>1528</v>
      </c>
      <c r="C4220">
        <v>475</v>
      </c>
      <c r="D4220" s="55" t="s">
        <v>495</v>
      </c>
      <c r="E4220" s="55" t="s">
        <v>1131</v>
      </c>
      <c r="F4220" t="s">
        <v>1296</v>
      </c>
      <c r="G4220" s="62">
        <v>3650</v>
      </c>
      <c r="H4220">
        <v>45.61</v>
      </c>
      <c r="I4220">
        <v>24864</v>
      </c>
      <c r="J4220">
        <v>0</v>
      </c>
      <c r="K4220">
        <v>33</v>
      </c>
      <c r="L4220">
        <v>33</v>
      </c>
      <c r="M4220">
        <v>0</v>
      </c>
      <c r="N4220" s="23">
        <v>0</v>
      </c>
      <c r="O4220">
        <f t="shared" si="899"/>
        <v>2</v>
      </c>
      <c r="P4220" s="57">
        <f t="shared" si="900"/>
        <v>1</v>
      </c>
      <c r="Q4220" s="267">
        <f t="shared" si="901"/>
        <v>3656</v>
      </c>
      <c r="R4220" s="23" t="str">
        <f t="shared" si="902"/>
        <v/>
      </c>
      <c r="S4220" s="23">
        <f t="shared" si="903"/>
        <v>3650</v>
      </c>
      <c r="T4220" s="23" t="str">
        <f t="shared" si="904"/>
        <v/>
      </c>
      <c r="U4220" t="str">
        <f t="shared" si="905"/>
        <v/>
      </c>
      <c r="AF4220" s="22"/>
    </row>
    <row r="4221" spans="1:38">
      <c r="A4221" t="str">
        <f t="shared" si="906"/>
        <v>PA_Alleg_2019g~Gen-tax collector ross (vote for 1)</v>
      </c>
      <c r="B4221" s="55" t="s">
        <v>1528</v>
      </c>
      <c r="C4221">
        <v>476</v>
      </c>
      <c r="D4221" s="55" t="s">
        <v>495</v>
      </c>
      <c r="E4221" s="55" t="s">
        <v>15</v>
      </c>
      <c r="G4221" s="62">
        <v>6</v>
      </c>
      <c r="H4221">
        <v>7.0000000000000007E-2</v>
      </c>
      <c r="I4221">
        <v>24864</v>
      </c>
      <c r="J4221">
        <v>0</v>
      </c>
      <c r="K4221">
        <v>33</v>
      </c>
      <c r="L4221">
        <v>33</v>
      </c>
      <c r="M4221">
        <v>0</v>
      </c>
      <c r="N4221" s="23">
        <v>0</v>
      </c>
      <c r="O4221">
        <f t="shared" si="899"/>
        <v>-2</v>
      </c>
      <c r="P4221" s="57">
        <f t="shared" si="900"/>
        <v>1</v>
      </c>
      <c r="Q4221" s="267">
        <f t="shared" si="901"/>
        <v>6</v>
      </c>
      <c r="R4221" s="23">
        <f t="shared" si="902"/>
        <v>1</v>
      </c>
      <c r="S4221" s="23">
        <f t="shared" si="903"/>
        <v>0</v>
      </c>
      <c r="T4221" s="23" t="str">
        <f t="shared" si="904"/>
        <v/>
      </c>
      <c r="U4221" t="str">
        <f t="shared" si="905"/>
        <v/>
      </c>
      <c r="AF4221" s="22"/>
    </row>
    <row r="4222" spans="1:38">
      <c r="A4222" t="str">
        <f t="shared" si="906"/>
        <v>PA_Alleg_2019g~Gen-tax collector rosslyn farms (vote for 1)</v>
      </c>
      <c r="B4222" s="55" t="s">
        <v>1528</v>
      </c>
      <c r="C4222">
        <v>477</v>
      </c>
      <c r="D4222" s="55" t="s">
        <v>497</v>
      </c>
      <c r="E4222" s="55" t="s">
        <v>15</v>
      </c>
      <c r="G4222" s="62">
        <v>1</v>
      </c>
      <c r="H4222">
        <v>100</v>
      </c>
      <c r="I4222">
        <v>396</v>
      </c>
      <c r="J4222">
        <v>0</v>
      </c>
      <c r="K4222">
        <v>1</v>
      </c>
      <c r="L4222">
        <v>1</v>
      </c>
      <c r="M4222">
        <v>0</v>
      </c>
      <c r="N4222" s="23">
        <v>0</v>
      </c>
      <c r="O4222">
        <f t="shared" si="899"/>
        <v>0</v>
      </c>
      <c r="P4222" s="57">
        <f t="shared" si="900"/>
        <v>1</v>
      </c>
      <c r="Q4222" s="267">
        <f t="shared" si="901"/>
        <v>1</v>
      </c>
      <c r="R4222" s="23">
        <f t="shared" si="902"/>
        <v>1</v>
      </c>
      <c r="S4222" s="23">
        <f t="shared" si="903"/>
        <v>0</v>
      </c>
      <c r="T4222" s="23" t="str">
        <f t="shared" si="904"/>
        <v/>
      </c>
      <c r="U4222" t="str">
        <f t="shared" si="905"/>
        <v>PA_Alleg_2019g~Gen-tax collector rosslyn farms (vote for 1)</v>
      </c>
      <c r="AF4222" s="22"/>
    </row>
    <row r="4223" spans="1:38">
      <c r="A4223" t="str">
        <f t="shared" si="906"/>
        <v>PA_Alleg_2019g~Gen-tax collector sewickley heights (vote for 1)</v>
      </c>
      <c r="B4223" s="55" t="s">
        <v>1528</v>
      </c>
      <c r="C4223">
        <v>478</v>
      </c>
      <c r="D4223" s="55" t="s">
        <v>498</v>
      </c>
      <c r="E4223" s="55" t="s">
        <v>15</v>
      </c>
      <c r="G4223" s="62">
        <v>7</v>
      </c>
      <c r="H4223">
        <v>100</v>
      </c>
      <c r="I4223">
        <v>783</v>
      </c>
      <c r="J4223">
        <v>0</v>
      </c>
      <c r="K4223">
        <v>1</v>
      </c>
      <c r="L4223">
        <v>1</v>
      </c>
      <c r="M4223">
        <v>0</v>
      </c>
      <c r="N4223" s="23">
        <v>0</v>
      </c>
      <c r="O4223">
        <f t="shared" si="899"/>
        <v>0</v>
      </c>
      <c r="P4223" s="57">
        <f t="shared" si="900"/>
        <v>1</v>
      </c>
      <c r="Q4223" s="267">
        <f t="shared" si="901"/>
        <v>7</v>
      </c>
      <c r="R4223" s="23">
        <f t="shared" si="902"/>
        <v>1</v>
      </c>
      <c r="S4223" s="23">
        <f t="shared" si="903"/>
        <v>0</v>
      </c>
      <c r="T4223" s="23" t="str">
        <f t="shared" si="904"/>
        <v/>
      </c>
      <c r="U4223" t="str">
        <f t="shared" si="905"/>
        <v>PA_Alleg_2019g~Gen-tax collector sewickley heights (vote for 1)</v>
      </c>
      <c r="AF4223" s="22"/>
    </row>
    <row r="4224" spans="1:38">
      <c r="A4224" t="str">
        <f t="shared" si="906"/>
        <v>PA_Alleg_2019g~Gen-tax collector stowe (vote for 1)</v>
      </c>
      <c r="B4224" s="55" t="s">
        <v>1528</v>
      </c>
      <c r="C4224">
        <v>479</v>
      </c>
      <c r="D4224" s="55" t="s">
        <v>499</v>
      </c>
      <c r="E4224" s="55" t="s">
        <v>15</v>
      </c>
      <c r="G4224" s="62">
        <v>41</v>
      </c>
      <c r="H4224">
        <v>100</v>
      </c>
      <c r="I4224">
        <v>4393</v>
      </c>
      <c r="J4224">
        <v>0</v>
      </c>
      <c r="K4224">
        <v>11</v>
      </c>
      <c r="L4224">
        <v>11</v>
      </c>
      <c r="M4224">
        <v>0</v>
      </c>
      <c r="N4224" s="23">
        <v>0</v>
      </c>
      <c r="O4224">
        <f t="shared" si="899"/>
        <v>0</v>
      </c>
      <c r="P4224" s="57">
        <f t="shared" si="900"/>
        <v>1</v>
      </c>
      <c r="Q4224" s="267">
        <f t="shared" si="901"/>
        <v>41</v>
      </c>
      <c r="R4224" s="23">
        <f t="shared" si="902"/>
        <v>1</v>
      </c>
      <c r="S4224" s="23">
        <f t="shared" si="903"/>
        <v>0</v>
      </c>
      <c r="T4224" s="23" t="str">
        <f t="shared" si="904"/>
        <v/>
      </c>
      <c r="U4224" t="str">
        <f t="shared" si="905"/>
        <v>PA_Alleg_2019g~Gen-tax collector stowe (vote for 1)</v>
      </c>
      <c r="AF4224" s="22"/>
    </row>
    <row r="4225" spans="1:38">
      <c r="A4225" t="str">
        <f t="shared" si="906"/>
        <v>PA_Alleg_2019g~Gen-tax collector verona (vote for 1)</v>
      </c>
      <c r="B4225" s="55" t="s">
        <v>1528</v>
      </c>
      <c r="C4225">
        <v>480</v>
      </c>
      <c r="D4225" s="55" t="s">
        <v>500</v>
      </c>
      <c r="E4225" s="55" t="s">
        <v>15</v>
      </c>
      <c r="G4225" s="62">
        <v>11</v>
      </c>
      <c r="H4225">
        <v>100</v>
      </c>
      <c r="I4225">
        <v>1731</v>
      </c>
      <c r="J4225">
        <v>0</v>
      </c>
      <c r="K4225">
        <v>3</v>
      </c>
      <c r="L4225">
        <v>3</v>
      </c>
      <c r="M4225">
        <v>0</v>
      </c>
      <c r="N4225" s="23">
        <v>0</v>
      </c>
      <c r="O4225">
        <f t="shared" si="899"/>
        <v>0</v>
      </c>
      <c r="P4225" s="57">
        <f t="shared" si="900"/>
        <v>1</v>
      </c>
      <c r="Q4225" s="267">
        <f t="shared" si="901"/>
        <v>11</v>
      </c>
      <c r="R4225" s="23">
        <f t="shared" si="902"/>
        <v>1</v>
      </c>
      <c r="S4225" s="23">
        <f t="shared" si="903"/>
        <v>0</v>
      </c>
      <c r="T4225" s="23" t="str">
        <f t="shared" si="904"/>
        <v/>
      </c>
      <c r="U4225" t="str">
        <f t="shared" si="905"/>
        <v>PA_Alleg_2019g~Gen-tax collector verona (vote for 1)</v>
      </c>
      <c r="AF4225" s="22"/>
      <c r="AH4225" s="8"/>
    </row>
    <row r="4226" spans="1:38">
      <c r="A4226" t="str">
        <f t="shared" si="906"/>
        <v>PA_Alleg_2019g~Gen-treasurer duquesne (vote for 1)</v>
      </c>
      <c r="B4226" s="55" t="s">
        <v>1528</v>
      </c>
      <c r="C4226">
        <v>481</v>
      </c>
      <c r="D4226" s="55" t="s">
        <v>501</v>
      </c>
      <c r="E4226" s="55" t="s">
        <v>15</v>
      </c>
      <c r="G4226" s="62">
        <v>61</v>
      </c>
      <c r="H4226">
        <v>100</v>
      </c>
      <c r="I4226">
        <v>3847</v>
      </c>
      <c r="J4226">
        <v>0</v>
      </c>
      <c r="K4226">
        <v>10</v>
      </c>
      <c r="L4226">
        <v>10</v>
      </c>
      <c r="M4226">
        <v>0</v>
      </c>
      <c r="N4226" s="23">
        <v>0</v>
      </c>
      <c r="O4226">
        <f t="shared" ref="O4226:O4289" si="907">IF(OR(LOWER(LEFT(E4226,8))="write-in",LOWER(LEFT(E4226,8))="not qual"),IF(A4226=A4225,-ABS(O4225),0),IF(A4226=A4225,ABS(O4225)+1,1))</f>
        <v>0</v>
      </c>
      <c r="P4226" s="57">
        <f t="shared" ref="P4226:P4289" si="908">1*LEFT(RIGHT(A4226,2),1)</f>
        <v>1</v>
      </c>
      <c r="Q4226" s="267">
        <f t="shared" ref="Q4226:Q4289" si="909">IF(A4226&lt;&gt;A4227,G4226,IF(A4226=A4225,G4226+Q4227,MAX(G4226,(G4226+Q4227)/P4226)))</f>
        <v>61</v>
      </c>
      <c r="R4226" s="23">
        <f t="shared" ref="R4226:R4289" si="910">IF(O4226&gt;P4226,"",IF(O4226=P4226,G4226,IF(A4226=A4227,R4227,IF(O4226&lt;=0,1,G4226))))</f>
        <v>1</v>
      </c>
      <c r="S4226" s="23">
        <f t="shared" ref="S4226:S4289" si="911">IF(AND(O4226&gt;P4226,LOWER(LEFT(E4226,8))&lt;&gt;"write-in",LOWER(LEFT(E4226,8))&lt;&gt;"not qual"),G4226,IF(A4226=A4227,S4227,0))</f>
        <v>0</v>
      </c>
      <c r="T4226" s="23" t="str">
        <f t="shared" ref="T4226:T4289" si="912">IF(OR(A4226=A4225,S4226=0),"",R4226-ABS(S4226))</f>
        <v/>
      </c>
      <c r="U4226" t="str">
        <f t="shared" ref="U4226:U4289" si="913">IF(A4226=A4225,"",A4226)</f>
        <v>PA_Alleg_2019g~Gen-treasurer duquesne (vote for 1)</v>
      </c>
      <c r="AF4226" s="22"/>
    </row>
    <row r="4227" spans="1:38">
      <c r="A4227" t="str">
        <f t="shared" ref="A4227:A4290" si="914">CONCATENATE(B4227,"~",F4227,"-",LOWER(D4227))</f>
        <v>PA_Alleg_2019p~Dem-auditor bellevue (vote for 1)</v>
      </c>
      <c r="B4227" s="55" t="s">
        <v>1291</v>
      </c>
      <c r="C4227">
        <v>502</v>
      </c>
      <c r="D4227" s="55" t="s">
        <v>502</v>
      </c>
      <c r="E4227" s="55" t="s">
        <v>503</v>
      </c>
      <c r="F4227" t="s">
        <v>12</v>
      </c>
      <c r="G4227" s="62">
        <f>451+239+466</f>
        <v>1156</v>
      </c>
      <c r="H4227" s="25">
        <v>93.37</v>
      </c>
      <c r="I4227">
        <v>6242</v>
      </c>
      <c r="J4227">
        <v>875</v>
      </c>
      <c r="K4227">
        <v>6</v>
      </c>
      <c r="L4227">
        <v>6</v>
      </c>
      <c r="M4227">
        <v>0</v>
      </c>
      <c r="N4227" s="23">
        <v>0</v>
      </c>
      <c r="O4227">
        <f t="shared" si="907"/>
        <v>1</v>
      </c>
      <c r="P4227" s="57">
        <f t="shared" si="908"/>
        <v>1</v>
      </c>
      <c r="Q4227" s="267">
        <f t="shared" si="909"/>
        <v>1551</v>
      </c>
      <c r="R4227" s="23">
        <f t="shared" si="910"/>
        <v>1156</v>
      </c>
      <c r="S4227" s="23">
        <f t="shared" si="911"/>
        <v>324</v>
      </c>
      <c r="T4227" s="23">
        <f t="shared" si="912"/>
        <v>832</v>
      </c>
      <c r="U4227" t="str">
        <f t="shared" si="913"/>
        <v>PA_Alleg_2019p~Dem-auditor bellevue (vote for 1)</v>
      </c>
      <c r="AF4227" s="22"/>
    </row>
    <row r="4228" spans="1:38">
      <c r="A4228" t="str">
        <f t="shared" si="914"/>
        <v>PA_Alleg_2019p~Dem-auditor bellevue (vote for 1)</v>
      </c>
      <c r="B4228" s="55" t="s">
        <v>1291</v>
      </c>
      <c r="C4228">
        <v>525</v>
      </c>
      <c r="D4228" s="55" t="s">
        <v>502</v>
      </c>
      <c r="E4228" s="55" t="s">
        <v>524</v>
      </c>
      <c r="F4228" t="s">
        <v>12</v>
      </c>
      <c r="G4228" s="62">
        <v>324</v>
      </c>
      <c r="H4228" s="25">
        <v>57.04</v>
      </c>
      <c r="I4228">
        <v>6242</v>
      </c>
      <c r="J4228">
        <v>875</v>
      </c>
      <c r="K4228">
        <v>6</v>
      </c>
      <c r="L4228">
        <v>6</v>
      </c>
      <c r="M4228">
        <v>0</v>
      </c>
      <c r="N4228" s="23">
        <v>0</v>
      </c>
      <c r="O4228">
        <f t="shared" si="907"/>
        <v>2</v>
      </c>
      <c r="P4228" s="57">
        <f t="shared" si="908"/>
        <v>1</v>
      </c>
      <c r="Q4228" s="267">
        <f t="shared" si="909"/>
        <v>395</v>
      </c>
      <c r="R4228" s="23" t="str">
        <f t="shared" si="910"/>
        <v/>
      </c>
      <c r="S4228" s="23">
        <f t="shared" si="911"/>
        <v>324</v>
      </c>
      <c r="T4228" s="23" t="str">
        <f t="shared" si="912"/>
        <v/>
      </c>
      <c r="U4228" t="str">
        <f t="shared" si="913"/>
        <v/>
      </c>
      <c r="AF4228" s="22"/>
    </row>
    <row r="4229" spans="1:38">
      <c r="A4229" t="str">
        <f t="shared" si="914"/>
        <v>PA_Alleg_2019p~Dem-auditor bellevue (vote for 1)</v>
      </c>
      <c r="B4229" s="55" t="s">
        <v>1291</v>
      </c>
      <c r="C4229">
        <v>535</v>
      </c>
      <c r="D4229" s="55" t="s">
        <v>502</v>
      </c>
      <c r="E4229" s="55" t="s">
        <v>15</v>
      </c>
      <c r="F4229" t="s">
        <v>12</v>
      </c>
      <c r="G4229" s="62">
        <v>34</v>
      </c>
      <c r="H4229" s="25">
        <v>6.8</v>
      </c>
      <c r="I4229">
        <v>6242</v>
      </c>
      <c r="J4229">
        <v>875</v>
      </c>
      <c r="K4229">
        <v>6</v>
      </c>
      <c r="L4229">
        <v>6</v>
      </c>
      <c r="M4229">
        <v>0</v>
      </c>
      <c r="N4229" s="23">
        <v>0</v>
      </c>
      <c r="O4229">
        <f t="shared" si="907"/>
        <v>-2</v>
      </c>
      <c r="P4229" s="57">
        <f t="shared" si="908"/>
        <v>1</v>
      </c>
      <c r="Q4229" s="267">
        <f t="shared" si="909"/>
        <v>71</v>
      </c>
      <c r="R4229" s="23" t="str">
        <f t="shared" si="910"/>
        <v/>
      </c>
      <c r="S4229" s="23">
        <f t="shared" si="911"/>
        <v>0</v>
      </c>
      <c r="T4229" s="23" t="str">
        <f t="shared" si="912"/>
        <v/>
      </c>
      <c r="U4229" t="str">
        <f t="shared" si="913"/>
        <v/>
      </c>
      <c r="AF4229" s="22"/>
    </row>
    <row r="4230" spans="1:38">
      <c r="A4230" t="str">
        <f t="shared" si="914"/>
        <v>PA_Alleg_2019p~Dem-auditor bellevue (vote for 1)</v>
      </c>
      <c r="B4230" s="55" t="s">
        <v>1291</v>
      </c>
      <c r="C4230">
        <v>503</v>
      </c>
      <c r="D4230" s="55" t="s">
        <v>502</v>
      </c>
      <c r="E4230" s="55" t="s">
        <v>15</v>
      </c>
      <c r="F4230" t="s">
        <v>12</v>
      </c>
      <c r="G4230" s="62">
        <v>32</v>
      </c>
      <c r="H4230" s="25">
        <v>6.63</v>
      </c>
      <c r="I4230">
        <v>6242</v>
      </c>
      <c r="J4230">
        <v>875</v>
      </c>
      <c r="K4230">
        <v>6</v>
      </c>
      <c r="L4230">
        <v>6</v>
      </c>
      <c r="M4230">
        <v>0</v>
      </c>
      <c r="N4230" s="23">
        <v>0</v>
      </c>
      <c r="O4230">
        <f t="shared" si="907"/>
        <v>-2</v>
      </c>
      <c r="P4230" s="57">
        <f t="shared" si="908"/>
        <v>1</v>
      </c>
      <c r="Q4230" s="267">
        <f t="shared" si="909"/>
        <v>37</v>
      </c>
      <c r="R4230" s="23" t="str">
        <f t="shared" si="910"/>
        <v/>
      </c>
      <c r="S4230" s="23">
        <f t="shared" si="911"/>
        <v>0</v>
      </c>
      <c r="T4230" s="23" t="str">
        <f t="shared" si="912"/>
        <v/>
      </c>
      <c r="U4230" t="str">
        <f t="shared" si="913"/>
        <v/>
      </c>
      <c r="AF4230" s="22"/>
      <c r="AG4230" s="23"/>
      <c r="AH4230" s="8"/>
      <c r="AL4230" s="344"/>
    </row>
    <row r="4231" spans="1:38">
      <c r="A4231" t="str">
        <f t="shared" si="914"/>
        <v>PA_Alleg_2019p~Dem-auditor bellevue (vote for 1)</v>
      </c>
      <c r="B4231" s="55" t="s">
        <v>1291</v>
      </c>
      <c r="C4231">
        <v>526</v>
      </c>
      <c r="D4231" s="55" t="s">
        <v>502</v>
      </c>
      <c r="E4231" s="55" t="s">
        <v>15</v>
      </c>
      <c r="F4231" t="s">
        <v>12</v>
      </c>
      <c r="G4231" s="62">
        <v>5</v>
      </c>
      <c r="H4231" s="25">
        <v>0.88</v>
      </c>
      <c r="I4231">
        <v>6242</v>
      </c>
      <c r="J4231">
        <v>875</v>
      </c>
      <c r="K4231">
        <v>6</v>
      </c>
      <c r="L4231">
        <v>6</v>
      </c>
      <c r="M4231">
        <v>0</v>
      </c>
      <c r="N4231" s="23">
        <v>0</v>
      </c>
      <c r="O4231">
        <f t="shared" si="907"/>
        <v>-2</v>
      </c>
      <c r="P4231" s="57">
        <f t="shared" si="908"/>
        <v>1</v>
      </c>
      <c r="Q4231" s="267">
        <f t="shared" si="909"/>
        <v>5</v>
      </c>
      <c r="R4231" s="23" t="str">
        <f t="shared" si="910"/>
        <v/>
      </c>
      <c r="S4231" s="23">
        <f t="shared" si="911"/>
        <v>0</v>
      </c>
      <c r="T4231" s="23" t="str">
        <f t="shared" si="912"/>
        <v/>
      </c>
      <c r="U4231" t="str">
        <f t="shared" si="913"/>
        <v/>
      </c>
      <c r="AF4231" s="22"/>
    </row>
    <row r="4232" spans="1:38">
      <c r="A4232" t="str">
        <f t="shared" si="914"/>
        <v>PA_Alleg_2019p~Dem-auditor bellevue (vote for 1)</v>
      </c>
      <c r="B4232" s="55" t="s">
        <v>1291</v>
      </c>
      <c r="C4232">
        <v>524</v>
      </c>
      <c r="D4232" s="55" t="s">
        <v>502</v>
      </c>
      <c r="E4232" s="55" t="s">
        <v>503</v>
      </c>
      <c r="F4232" t="s">
        <v>12</v>
      </c>
      <c r="G4232" s="62">
        <v>0</v>
      </c>
      <c r="H4232" s="25">
        <v>42.08</v>
      </c>
      <c r="I4232">
        <v>6242</v>
      </c>
      <c r="J4232">
        <v>875</v>
      </c>
      <c r="K4232">
        <v>6</v>
      </c>
      <c r="L4232">
        <v>6</v>
      </c>
      <c r="M4232">
        <v>0</v>
      </c>
      <c r="N4232" s="23">
        <v>0</v>
      </c>
      <c r="O4232">
        <f t="shared" si="907"/>
        <v>3</v>
      </c>
      <c r="P4232" s="57">
        <f t="shared" si="908"/>
        <v>1</v>
      </c>
      <c r="Q4232" s="267">
        <f t="shared" si="909"/>
        <v>0</v>
      </c>
      <c r="R4232" s="23" t="str">
        <f t="shared" si="910"/>
        <v/>
      </c>
      <c r="S4232" s="23">
        <f t="shared" si="911"/>
        <v>0</v>
      </c>
      <c r="T4232" s="23" t="str">
        <f t="shared" si="912"/>
        <v/>
      </c>
      <c r="U4232" t="str">
        <f t="shared" si="913"/>
        <v/>
      </c>
      <c r="AF4232" s="22"/>
    </row>
    <row r="4233" spans="1:38">
      <c r="A4233" t="str">
        <f t="shared" si="914"/>
        <v>PA_Alleg_2019p~Dem-auditor bellevue (vote for 1)</v>
      </c>
      <c r="B4233" s="55" t="s">
        <v>1291</v>
      </c>
      <c r="C4233">
        <v>534</v>
      </c>
      <c r="D4233" s="55" t="s">
        <v>502</v>
      </c>
      <c r="E4233" s="55" t="s">
        <v>503</v>
      </c>
      <c r="F4233" t="s">
        <v>12</v>
      </c>
      <c r="G4233" s="62">
        <v>0</v>
      </c>
      <c r="H4233" s="25">
        <v>93.2</v>
      </c>
      <c r="I4233">
        <v>6242</v>
      </c>
      <c r="J4233">
        <v>875</v>
      </c>
      <c r="K4233">
        <v>6</v>
      </c>
      <c r="L4233">
        <v>6</v>
      </c>
      <c r="M4233">
        <v>0</v>
      </c>
      <c r="N4233" s="23">
        <v>0</v>
      </c>
      <c r="O4233">
        <f t="shared" si="907"/>
        <v>4</v>
      </c>
      <c r="P4233" s="57">
        <f t="shared" si="908"/>
        <v>1</v>
      </c>
      <c r="Q4233" s="267">
        <f t="shared" si="909"/>
        <v>0</v>
      </c>
      <c r="R4233" s="23" t="str">
        <f t="shared" si="910"/>
        <v/>
      </c>
      <c r="S4233" s="23">
        <f t="shared" si="911"/>
        <v>0</v>
      </c>
      <c r="T4233" s="23" t="str">
        <f t="shared" si="912"/>
        <v/>
      </c>
      <c r="U4233" t="str">
        <f t="shared" si="913"/>
        <v/>
      </c>
      <c r="AF4233" s="22"/>
    </row>
    <row r="4234" spans="1:38">
      <c r="A4234" t="str">
        <f t="shared" si="914"/>
        <v>PA_Alleg_2019p~Dem-auditor east deer (vote for 1)</v>
      </c>
      <c r="B4234" s="55" t="s">
        <v>1291</v>
      </c>
      <c r="C4234">
        <v>504</v>
      </c>
      <c r="D4234" s="55" t="s">
        <v>504</v>
      </c>
      <c r="E4234" s="55" t="s">
        <v>505</v>
      </c>
      <c r="F4234" t="s">
        <v>12</v>
      </c>
      <c r="G4234" s="62">
        <v>81</v>
      </c>
      <c r="H4234" s="25">
        <v>100</v>
      </c>
      <c r="I4234">
        <v>890</v>
      </c>
      <c r="J4234">
        <v>113</v>
      </c>
      <c r="K4234">
        <v>2</v>
      </c>
      <c r="L4234">
        <v>2</v>
      </c>
      <c r="M4234">
        <v>0</v>
      </c>
      <c r="N4234" s="23">
        <v>0</v>
      </c>
      <c r="O4234">
        <f t="shared" si="907"/>
        <v>1</v>
      </c>
      <c r="P4234" s="57">
        <f t="shared" si="908"/>
        <v>1</v>
      </c>
      <c r="Q4234" s="267">
        <f t="shared" si="909"/>
        <v>81</v>
      </c>
      <c r="R4234" s="23">
        <f t="shared" si="910"/>
        <v>81</v>
      </c>
      <c r="S4234" s="23">
        <f t="shared" si="911"/>
        <v>0</v>
      </c>
      <c r="T4234" s="23" t="str">
        <f t="shared" si="912"/>
        <v/>
      </c>
      <c r="U4234" t="str">
        <f t="shared" si="913"/>
        <v>PA_Alleg_2019p~Dem-auditor east deer (vote for 1)</v>
      </c>
      <c r="AF4234" s="22"/>
    </row>
    <row r="4235" spans="1:38">
      <c r="A4235" t="str">
        <f t="shared" si="914"/>
        <v>PA_Alleg_2019p~Dem-auditor east deer (vote for 1)</v>
      </c>
      <c r="B4235" s="55" t="s">
        <v>1291</v>
      </c>
      <c r="C4235">
        <v>505</v>
      </c>
      <c r="D4235" s="55" t="s">
        <v>504</v>
      </c>
      <c r="E4235" s="55" t="s">
        <v>15</v>
      </c>
      <c r="F4235" t="s">
        <v>12</v>
      </c>
      <c r="G4235" s="62">
        <v>0</v>
      </c>
      <c r="H4235" s="25">
        <v>0</v>
      </c>
      <c r="I4235">
        <v>890</v>
      </c>
      <c r="J4235">
        <v>113</v>
      </c>
      <c r="K4235">
        <v>2</v>
      </c>
      <c r="L4235">
        <v>2</v>
      </c>
      <c r="M4235">
        <v>0</v>
      </c>
      <c r="N4235" s="23">
        <v>0</v>
      </c>
      <c r="O4235">
        <f t="shared" si="907"/>
        <v>-1</v>
      </c>
      <c r="P4235" s="57">
        <f t="shared" si="908"/>
        <v>1</v>
      </c>
      <c r="Q4235" s="267">
        <f t="shared" si="909"/>
        <v>0</v>
      </c>
      <c r="R4235" s="23">
        <f t="shared" si="910"/>
        <v>1</v>
      </c>
      <c r="S4235" s="23">
        <f t="shared" si="911"/>
        <v>0</v>
      </c>
      <c r="T4235" s="23" t="str">
        <f t="shared" si="912"/>
        <v/>
      </c>
      <c r="U4235" t="str">
        <f t="shared" si="913"/>
        <v/>
      </c>
      <c r="AF4235" s="22"/>
    </row>
    <row r="4236" spans="1:38">
      <c r="A4236" t="str">
        <f t="shared" si="914"/>
        <v>PA_Alleg_2019p~Dem-auditor fawn (vote for 1)</v>
      </c>
      <c r="B4236" s="55" t="s">
        <v>1291</v>
      </c>
      <c r="C4236">
        <v>506</v>
      </c>
      <c r="D4236" s="55" t="s">
        <v>506</v>
      </c>
      <c r="E4236" s="55" t="s">
        <v>15</v>
      </c>
      <c r="F4236" t="s">
        <v>12</v>
      </c>
      <c r="G4236" s="62">
        <v>3</v>
      </c>
      <c r="H4236" s="25">
        <v>100</v>
      </c>
      <c r="I4236">
        <v>1476</v>
      </c>
      <c r="J4236">
        <v>295</v>
      </c>
      <c r="K4236">
        <v>2</v>
      </c>
      <c r="L4236">
        <v>2</v>
      </c>
      <c r="M4236">
        <v>0</v>
      </c>
      <c r="N4236" s="23">
        <v>0</v>
      </c>
      <c r="O4236">
        <f t="shared" si="907"/>
        <v>0</v>
      </c>
      <c r="P4236" s="57">
        <f t="shared" si="908"/>
        <v>1</v>
      </c>
      <c r="Q4236" s="267">
        <f t="shared" si="909"/>
        <v>8</v>
      </c>
      <c r="R4236" s="23">
        <f t="shared" si="910"/>
        <v>1</v>
      </c>
      <c r="S4236" s="23">
        <f t="shared" si="911"/>
        <v>0</v>
      </c>
      <c r="T4236" s="23" t="str">
        <f t="shared" si="912"/>
        <v/>
      </c>
      <c r="U4236" t="str">
        <f t="shared" si="913"/>
        <v>PA_Alleg_2019p~Dem-auditor fawn (vote for 1)</v>
      </c>
      <c r="AF4236" s="22"/>
    </row>
    <row r="4237" spans="1:38">
      <c r="A4237" t="str">
        <f t="shared" si="914"/>
        <v>PA_Alleg_2019p~Dem-auditor fawn (vote for 1)</v>
      </c>
      <c r="B4237" s="55" t="s">
        <v>1291</v>
      </c>
      <c r="C4237">
        <v>536</v>
      </c>
      <c r="D4237" s="55" t="s">
        <v>506</v>
      </c>
      <c r="E4237" s="55" t="s">
        <v>15</v>
      </c>
      <c r="F4237" t="s">
        <v>12</v>
      </c>
      <c r="G4237" s="62">
        <v>3</v>
      </c>
      <c r="H4237" s="25">
        <v>100</v>
      </c>
      <c r="I4237">
        <v>1476</v>
      </c>
      <c r="J4237">
        <v>295</v>
      </c>
      <c r="K4237">
        <v>2</v>
      </c>
      <c r="L4237">
        <v>2</v>
      </c>
      <c r="M4237">
        <v>0</v>
      </c>
      <c r="N4237" s="23">
        <v>0</v>
      </c>
      <c r="O4237">
        <f t="shared" si="907"/>
        <v>0</v>
      </c>
      <c r="P4237" s="57">
        <f t="shared" si="908"/>
        <v>1</v>
      </c>
      <c r="Q4237" s="267">
        <f t="shared" si="909"/>
        <v>5</v>
      </c>
      <c r="R4237" s="23">
        <f t="shared" si="910"/>
        <v>1</v>
      </c>
      <c r="S4237" s="23">
        <f t="shared" si="911"/>
        <v>0</v>
      </c>
      <c r="T4237" s="23" t="str">
        <f t="shared" si="912"/>
        <v/>
      </c>
      <c r="U4237" t="str">
        <f t="shared" si="913"/>
        <v/>
      </c>
      <c r="AF4237" s="22"/>
    </row>
    <row r="4238" spans="1:38">
      <c r="A4238" t="str">
        <f t="shared" si="914"/>
        <v>PA_Alleg_2019p~Dem-auditor fawn (vote for 1)</v>
      </c>
      <c r="B4238" s="55" t="s">
        <v>1291</v>
      </c>
      <c r="C4238">
        <v>527</v>
      </c>
      <c r="D4238" s="55" t="s">
        <v>506</v>
      </c>
      <c r="E4238" s="55" t="s">
        <v>15</v>
      </c>
      <c r="F4238" t="s">
        <v>12</v>
      </c>
      <c r="G4238" s="62">
        <v>2</v>
      </c>
      <c r="H4238" s="25">
        <v>100</v>
      </c>
      <c r="I4238">
        <v>1476</v>
      </c>
      <c r="J4238">
        <v>295</v>
      </c>
      <c r="K4238">
        <v>2</v>
      </c>
      <c r="L4238">
        <v>2</v>
      </c>
      <c r="M4238">
        <v>0</v>
      </c>
      <c r="N4238" s="23">
        <v>0</v>
      </c>
      <c r="O4238">
        <f t="shared" si="907"/>
        <v>0</v>
      </c>
      <c r="P4238" s="57">
        <f t="shared" si="908"/>
        <v>1</v>
      </c>
      <c r="Q4238" s="267">
        <f t="shared" si="909"/>
        <v>2</v>
      </c>
      <c r="R4238" s="23">
        <f t="shared" si="910"/>
        <v>1</v>
      </c>
      <c r="S4238" s="23">
        <f t="shared" si="911"/>
        <v>0</v>
      </c>
      <c r="T4238" s="23" t="str">
        <f t="shared" si="912"/>
        <v/>
      </c>
      <c r="U4238" t="str">
        <f t="shared" si="913"/>
        <v/>
      </c>
      <c r="AF4238" s="22"/>
    </row>
    <row r="4239" spans="1:38">
      <c r="A4239" t="str">
        <f t="shared" si="914"/>
        <v>PA_Alleg_2019p~Dem-auditor findlay (vote for 1)</v>
      </c>
      <c r="B4239" s="55" t="s">
        <v>1291</v>
      </c>
      <c r="C4239">
        <v>507</v>
      </c>
      <c r="D4239" s="55" t="s">
        <v>507</v>
      </c>
      <c r="E4239" s="55" t="s">
        <v>15</v>
      </c>
      <c r="F4239" t="s">
        <v>12</v>
      </c>
      <c r="G4239" s="62">
        <v>13</v>
      </c>
      <c r="H4239" s="25">
        <v>100</v>
      </c>
      <c r="I4239">
        <v>4351</v>
      </c>
      <c r="J4239">
        <v>539</v>
      </c>
      <c r="K4239">
        <v>3</v>
      </c>
      <c r="L4239">
        <v>3</v>
      </c>
      <c r="M4239">
        <v>0</v>
      </c>
      <c r="N4239" s="23">
        <v>0</v>
      </c>
      <c r="O4239">
        <f t="shared" si="907"/>
        <v>0</v>
      </c>
      <c r="P4239" s="57">
        <f t="shared" si="908"/>
        <v>1</v>
      </c>
      <c r="Q4239" s="267">
        <f t="shared" si="909"/>
        <v>25</v>
      </c>
      <c r="R4239" s="23">
        <f t="shared" si="910"/>
        <v>1</v>
      </c>
      <c r="S4239" s="23">
        <f t="shared" si="911"/>
        <v>0</v>
      </c>
      <c r="T4239" s="23" t="str">
        <f t="shared" si="912"/>
        <v/>
      </c>
      <c r="U4239" t="str">
        <f t="shared" si="913"/>
        <v>PA_Alleg_2019p~Dem-auditor findlay (vote for 1)</v>
      </c>
      <c r="AF4239" s="22"/>
      <c r="AG4239" s="89"/>
      <c r="AH4239" s="274"/>
      <c r="AI4239" s="279"/>
      <c r="AJ4239" s="280"/>
      <c r="AK4239" s="92"/>
      <c r="AL4239" s="23"/>
    </row>
    <row r="4240" spans="1:38">
      <c r="A4240" t="str">
        <f t="shared" si="914"/>
        <v>PA_Alleg_2019p~Dem-auditor findlay (vote for 1)</v>
      </c>
      <c r="B4240" s="55" t="s">
        <v>1291</v>
      </c>
      <c r="C4240">
        <v>537</v>
      </c>
      <c r="D4240" s="55" t="s">
        <v>507</v>
      </c>
      <c r="E4240" s="55" t="s">
        <v>15</v>
      </c>
      <c r="F4240" t="s">
        <v>12</v>
      </c>
      <c r="G4240" s="62">
        <v>12</v>
      </c>
      <c r="H4240" s="25">
        <v>100</v>
      </c>
      <c r="I4240">
        <v>4351</v>
      </c>
      <c r="J4240">
        <v>539</v>
      </c>
      <c r="K4240">
        <v>3</v>
      </c>
      <c r="L4240">
        <v>3</v>
      </c>
      <c r="M4240">
        <v>0</v>
      </c>
      <c r="N4240" s="23">
        <v>0</v>
      </c>
      <c r="O4240">
        <f t="shared" si="907"/>
        <v>0</v>
      </c>
      <c r="P4240" s="57">
        <f t="shared" si="908"/>
        <v>1</v>
      </c>
      <c r="Q4240" s="267">
        <f t="shared" si="909"/>
        <v>12</v>
      </c>
      <c r="R4240" s="23">
        <f t="shared" si="910"/>
        <v>1</v>
      </c>
      <c r="S4240" s="23">
        <f t="shared" si="911"/>
        <v>0</v>
      </c>
      <c r="T4240" s="23" t="str">
        <f t="shared" si="912"/>
        <v/>
      </c>
      <c r="U4240" t="str">
        <f t="shared" si="913"/>
        <v/>
      </c>
      <c r="AF4240" s="22"/>
      <c r="AG4240" s="89"/>
      <c r="AH4240" s="274"/>
      <c r="AI4240" s="279"/>
      <c r="AJ4240" s="280"/>
      <c r="AK4240" s="92"/>
      <c r="AL4240" s="23"/>
    </row>
    <row r="4241" spans="1:38">
      <c r="A4241" t="str">
        <f t="shared" si="914"/>
        <v>PA_Alleg_2019p~Dem-auditor forward (vote for 1)</v>
      </c>
      <c r="B4241" s="55" t="s">
        <v>1291</v>
      </c>
      <c r="C4241">
        <v>538</v>
      </c>
      <c r="D4241" s="55" t="s">
        <v>508</v>
      </c>
      <c r="E4241" s="55" t="s">
        <v>15</v>
      </c>
      <c r="F4241" t="s">
        <v>12</v>
      </c>
      <c r="G4241" s="62">
        <v>2</v>
      </c>
      <c r="H4241" s="25">
        <v>100</v>
      </c>
      <c r="I4241">
        <v>2091</v>
      </c>
      <c r="J4241">
        <v>333</v>
      </c>
      <c r="K4241">
        <v>4</v>
      </c>
      <c r="L4241">
        <v>4</v>
      </c>
      <c r="M4241">
        <v>0</v>
      </c>
      <c r="N4241" s="23">
        <v>0</v>
      </c>
      <c r="O4241">
        <f t="shared" si="907"/>
        <v>0</v>
      </c>
      <c r="P4241" s="57">
        <f t="shared" si="908"/>
        <v>1</v>
      </c>
      <c r="Q4241" s="267">
        <f t="shared" si="909"/>
        <v>4</v>
      </c>
      <c r="R4241" s="23">
        <f t="shared" si="910"/>
        <v>1</v>
      </c>
      <c r="S4241" s="23">
        <f t="shared" si="911"/>
        <v>0</v>
      </c>
      <c r="T4241" s="23" t="str">
        <f t="shared" si="912"/>
        <v/>
      </c>
      <c r="U4241" t="str">
        <f t="shared" si="913"/>
        <v>PA_Alleg_2019p~Dem-auditor forward (vote for 1)</v>
      </c>
      <c r="AF4241" s="22"/>
      <c r="AG4241" s="23"/>
      <c r="AH4241" s="8"/>
      <c r="AL4241" s="344"/>
    </row>
    <row r="4242" spans="1:38">
      <c r="A4242" t="str">
        <f t="shared" si="914"/>
        <v>PA_Alleg_2019p~Dem-auditor forward (vote for 1)</v>
      </c>
      <c r="B4242" s="55" t="s">
        <v>1291</v>
      </c>
      <c r="C4242">
        <v>508</v>
      </c>
      <c r="D4242" s="55" t="s">
        <v>508</v>
      </c>
      <c r="E4242" s="55" t="s">
        <v>15</v>
      </c>
      <c r="F4242" t="s">
        <v>12</v>
      </c>
      <c r="G4242" s="62">
        <v>1</v>
      </c>
      <c r="H4242" s="25">
        <v>100</v>
      </c>
      <c r="I4242">
        <v>2091</v>
      </c>
      <c r="J4242">
        <v>333</v>
      </c>
      <c r="K4242">
        <v>4</v>
      </c>
      <c r="L4242">
        <v>4</v>
      </c>
      <c r="M4242">
        <v>0</v>
      </c>
      <c r="N4242" s="23">
        <v>0</v>
      </c>
      <c r="O4242">
        <f t="shared" si="907"/>
        <v>0</v>
      </c>
      <c r="P4242" s="57">
        <f t="shared" si="908"/>
        <v>1</v>
      </c>
      <c r="Q4242" s="267">
        <f t="shared" si="909"/>
        <v>2</v>
      </c>
      <c r="R4242" s="23">
        <f t="shared" si="910"/>
        <v>1</v>
      </c>
      <c r="S4242" s="23">
        <f t="shared" si="911"/>
        <v>0</v>
      </c>
      <c r="T4242" s="23" t="str">
        <f t="shared" si="912"/>
        <v/>
      </c>
      <c r="U4242" t="str">
        <f t="shared" si="913"/>
        <v/>
      </c>
      <c r="AF4242" s="22"/>
    </row>
    <row r="4243" spans="1:38">
      <c r="A4243" t="str">
        <f t="shared" si="914"/>
        <v>PA_Alleg_2019p~Dem-auditor forward (vote for 1)</v>
      </c>
      <c r="B4243" s="55" t="s">
        <v>1291</v>
      </c>
      <c r="C4243">
        <v>528</v>
      </c>
      <c r="D4243" s="55" t="s">
        <v>508</v>
      </c>
      <c r="E4243" s="55" t="s">
        <v>15</v>
      </c>
      <c r="F4243" t="s">
        <v>12</v>
      </c>
      <c r="G4243" s="62">
        <v>1</v>
      </c>
      <c r="H4243" s="25">
        <v>100</v>
      </c>
      <c r="I4243">
        <v>2091</v>
      </c>
      <c r="J4243">
        <v>333</v>
      </c>
      <c r="K4243">
        <v>4</v>
      </c>
      <c r="L4243">
        <v>4</v>
      </c>
      <c r="M4243">
        <v>0</v>
      </c>
      <c r="N4243" s="23">
        <v>0</v>
      </c>
      <c r="O4243">
        <f t="shared" si="907"/>
        <v>0</v>
      </c>
      <c r="P4243" s="57">
        <f t="shared" si="908"/>
        <v>1</v>
      </c>
      <c r="Q4243" s="267">
        <f t="shared" si="909"/>
        <v>1</v>
      </c>
      <c r="R4243" s="23">
        <f t="shared" si="910"/>
        <v>1</v>
      </c>
      <c r="S4243" s="23">
        <f t="shared" si="911"/>
        <v>0</v>
      </c>
      <c r="T4243" s="23" t="str">
        <f t="shared" si="912"/>
        <v/>
      </c>
      <c r="U4243" t="str">
        <f t="shared" si="913"/>
        <v/>
      </c>
      <c r="AF4243" s="22"/>
    </row>
    <row r="4244" spans="1:38">
      <c r="A4244" t="str">
        <f t="shared" si="914"/>
        <v>PA_Alleg_2019p~Dem-auditor frazer (vote for 1)</v>
      </c>
      <c r="B4244" s="55" t="s">
        <v>1291</v>
      </c>
      <c r="C4244">
        <v>509</v>
      </c>
      <c r="D4244" s="55" t="s">
        <v>509</v>
      </c>
      <c r="E4244" s="55" t="s">
        <v>510</v>
      </c>
      <c r="F4244" t="s">
        <v>12</v>
      </c>
      <c r="G4244" s="62">
        <v>43</v>
      </c>
      <c r="H4244" s="25">
        <v>100</v>
      </c>
      <c r="I4244">
        <v>766</v>
      </c>
      <c r="J4244">
        <v>91</v>
      </c>
      <c r="K4244">
        <v>1</v>
      </c>
      <c r="L4244">
        <v>1</v>
      </c>
      <c r="M4244">
        <v>0</v>
      </c>
      <c r="N4244" s="23">
        <v>0</v>
      </c>
      <c r="O4244">
        <f t="shared" si="907"/>
        <v>1</v>
      </c>
      <c r="P4244" s="57">
        <f t="shared" si="908"/>
        <v>1</v>
      </c>
      <c r="Q4244" s="267">
        <f t="shared" si="909"/>
        <v>84</v>
      </c>
      <c r="R4244" s="23">
        <f t="shared" si="910"/>
        <v>43</v>
      </c>
      <c r="S4244" s="23">
        <f t="shared" si="911"/>
        <v>41</v>
      </c>
      <c r="T4244" s="23">
        <f t="shared" si="912"/>
        <v>2</v>
      </c>
      <c r="U4244" t="str">
        <f t="shared" si="913"/>
        <v>PA_Alleg_2019p~Dem-auditor frazer (vote for 1)</v>
      </c>
      <c r="AF4244" s="22"/>
      <c r="AG4244" s="89"/>
      <c r="AH4244" s="274"/>
      <c r="AI4244" s="279"/>
      <c r="AJ4244" s="280"/>
      <c r="AK4244" s="92"/>
      <c r="AL4244" s="23"/>
    </row>
    <row r="4245" spans="1:38">
      <c r="A4245" t="str">
        <f t="shared" si="914"/>
        <v>PA_Alleg_2019p~Dem-auditor frazer (vote for 1)</v>
      </c>
      <c r="B4245" s="55" t="s">
        <v>1291</v>
      </c>
      <c r="C4245">
        <v>539</v>
      </c>
      <c r="D4245" s="55" t="s">
        <v>509</v>
      </c>
      <c r="E4245" s="55" t="s">
        <v>525</v>
      </c>
      <c r="F4245" t="s">
        <v>12</v>
      </c>
      <c r="G4245" s="62">
        <v>41</v>
      </c>
      <c r="H4245" s="25">
        <v>100</v>
      </c>
      <c r="I4245">
        <v>766</v>
      </c>
      <c r="J4245">
        <v>91</v>
      </c>
      <c r="K4245">
        <v>1</v>
      </c>
      <c r="L4245">
        <v>1</v>
      </c>
      <c r="M4245">
        <v>0</v>
      </c>
      <c r="N4245" s="23">
        <v>0</v>
      </c>
      <c r="O4245">
        <f t="shared" si="907"/>
        <v>2</v>
      </c>
      <c r="P4245" s="57">
        <f t="shared" si="908"/>
        <v>1</v>
      </c>
      <c r="Q4245" s="267">
        <f t="shared" si="909"/>
        <v>41</v>
      </c>
      <c r="R4245" s="23" t="str">
        <f t="shared" si="910"/>
        <v/>
      </c>
      <c r="S4245" s="23">
        <f t="shared" si="911"/>
        <v>41</v>
      </c>
      <c r="T4245" s="23" t="str">
        <f t="shared" si="912"/>
        <v/>
      </c>
      <c r="U4245" t="str">
        <f t="shared" si="913"/>
        <v/>
      </c>
      <c r="AF4245" s="22"/>
    </row>
    <row r="4246" spans="1:38">
      <c r="A4246" t="str">
        <f t="shared" si="914"/>
        <v>PA_Alleg_2019p~Dem-auditor frazer (vote for 1)</v>
      </c>
      <c r="B4246" s="55" t="s">
        <v>1291</v>
      </c>
      <c r="C4246">
        <v>510</v>
      </c>
      <c r="D4246" s="55" t="s">
        <v>509</v>
      </c>
      <c r="E4246" s="55" t="s">
        <v>15</v>
      </c>
      <c r="F4246" t="s">
        <v>12</v>
      </c>
      <c r="G4246" s="62">
        <v>0</v>
      </c>
      <c r="H4246" s="25">
        <v>0</v>
      </c>
      <c r="I4246">
        <v>766</v>
      </c>
      <c r="J4246">
        <v>91</v>
      </c>
      <c r="K4246">
        <v>1</v>
      </c>
      <c r="L4246">
        <v>1</v>
      </c>
      <c r="M4246">
        <v>0</v>
      </c>
      <c r="N4246" s="23">
        <v>0</v>
      </c>
      <c r="O4246">
        <f t="shared" si="907"/>
        <v>-2</v>
      </c>
      <c r="P4246" s="57">
        <f t="shared" si="908"/>
        <v>1</v>
      </c>
      <c r="Q4246" s="267">
        <f t="shared" si="909"/>
        <v>0</v>
      </c>
      <c r="R4246" s="23">
        <f t="shared" si="910"/>
        <v>1</v>
      </c>
      <c r="S4246" s="23">
        <f t="shared" si="911"/>
        <v>0</v>
      </c>
      <c r="T4246" s="23" t="str">
        <f t="shared" si="912"/>
        <v/>
      </c>
      <c r="U4246" t="str">
        <f t="shared" si="913"/>
        <v/>
      </c>
      <c r="AF4246" s="22"/>
    </row>
    <row r="4247" spans="1:38">
      <c r="A4247" t="str">
        <f t="shared" si="914"/>
        <v>PA_Alleg_2019p~Dem-auditor frazer (vote for 1)</v>
      </c>
      <c r="B4247" s="55" t="s">
        <v>1291</v>
      </c>
      <c r="C4247">
        <v>540</v>
      </c>
      <c r="D4247" s="55" t="s">
        <v>509</v>
      </c>
      <c r="E4247" s="55" t="s">
        <v>15</v>
      </c>
      <c r="F4247" t="s">
        <v>12</v>
      </c>
      <c r="G4247" s="62">
        <v>0</v>
      </c>
      <c r="H4247" s="25">
        <v>0</v>
      </c>
      <c r="I4247">
        <v>766</v>
      </c>
      <c r="J4247">
        <v>91</v>
      </c>
      <c r="K4247">
        <v>1</v>
      </c>
      <c r="L4247">
        <v>1</v>
      </c>
      <c r="M4247">
        <v>0</v>
      </c>
      <c r="N4247" s="23">
        <v>0</v>
      </c>
      <c r="O4247">
        <f t="shared" si="907"/>
        <v>-2</v>
      </c>
      <c r="P4247" s="57">
        <f t="shared" si="908"/>
        <v>1</v>
      </c>
      <c r="Q4247" s="267">
        <f t="shared" si="909"/>
        <v>0</v>
      </c>
      <c r="R4247" s="23">
        <f t="shared" si="910"/>
        <v>1</v>
      </c>
      <c r="S4247" s="23">
        <f t="shared" si="911"/>
        <v>0</v>
      </c>
      <c r="T4247" s="23" t="str">
        <f t="shared" si="912"/>
        <v/>
      </c>
      <c r="U4247" t="str">
        <f t="shared" si="913"/>
        <v/>
      </c>
      <c r="AF4247" s="22"/>
    </row>
    <row r="4248" spans="1:38">
      <c r="A4248" t="str">
        <f t="shared" si="914"/>
        <v>PA_Alleg_2019p~Dem-auditor glenfield (vote for 1)</v>
      </c>
      <c r="B4248" s="55" t="s">
        <v>1291</v>
      </c>
      <c r="C4248">
        <v>511</v>
      </c>
      <c r="D4248" s="55" t="s">
        <v>511</v>
      </c>
      <c r="E4248" s="55" t="s">
        <v>15</v>
      </c>
      <c r="F4248" t="s">
        <v>12</v>
      </c>
      <c r="G4248" s="62">
        <v>3</v>
      </c>
      <c r="H4248" s="25">
        <v>100</v>
      </c>
      <c r="I4248">
        <v>153</v>
      </c>
      <c r="J4248">
        <v>26</v>
      </c>
      <c r="K4248">
        <v>1</v>
      </c>
      <c r="L4248">
        <v>1</v>
      </c>
      <c r="M4248">
        <v>0</v>
      </c>
      <c r="N4248" s="23">
        <v>0</v>
      </c>
      <c r="O4248">
        <f t="shared" si="907"/>
        <v>0</v>
      </c>
      <c r="P4248" s="57">
        <f t="shared" si="908"/>
        <v>1</v>
      </c>
      <c r="Q4248" s="267">
        <f t="shared" si="909"/>
        <v>6</v>
      </c>
      <c r="R4248" s="23">
        <f t="shared" si="910"/>
        <v>1</v>
      </c>
      <c r="S4248" s="23">
        <f t="shared" si="911"/>
        <v>0</v>
      </c>
      <c r="T4248" s="23" t="str">
        <f t="shared" si="912"/>
        <v/>
      </c>
      <c r="U4248" t="str">
        <f t="shared" si="913"/>
        <v>PA_Alleg_2019p~Dem-auditor glenfield (vote for 1)</v>
      </c>
      <c r="AF4248" s="22"/>
    </row>
    <row r="4249" spans="1:38">
      <c r="A4249" t="str">
        <f t="shared" si="914"/>
        <v>PA_Alleg_2019p~Dem-auditor glenfield (vote for 1)</v>
      </c>
      <c r="B4249" s="55" t="s">
        <v>1291</v>
      </c>
      <c r="C4249">
        <v>529</v>
      </c>
      <c r="D4249" s="55" t="s">
        <v>511</v>
      </c>
      <c r="E4249" s="55" t="s">
        <v>15</v>
      </c>
      <c r="F4249" t="s">
        <v>12</v>
      </c>
      <c r="G4249" s="62">
        <v>2</v>
      </c>
      <c r="H4249" s="25">
        <v>100</v>
      </c>
      <c r="I4249">
        <v>153</v>
      </c>
      <c r="J4249">
        <v>26</v>
      </c>
      <c r="K4249">
        <v>1</v>
      </c>
      <c r="L4249">
        <v>1</v>
      </c>
      <c r="M4249">
        <v>0</v>
      </c>
      <c r="N4249" s="23">
        <v>0</v>
      </c>
      <c r="O4249">
        <f t="shared" si="907"/>
        <v>0</v>
      </c>
      <c r="P4249" s="57">
        <f t="shared" si="908"/>
        <v>1</v>
      </c>
      <c r="Q4249" s="267">
        <f t="shared" si="909"/>
        <v>3</v>
      </c>
      <c r="R4249" s="23">
        <f t="shared" si="910"/>
        <v>1</v>
      </c>
      <c r="S4249" s="23">
        <f t="shared" si="911"/>
        <v>0</v>
      </c>
      <c r="T4249" s="23" t="str">
        <f t="shared" si="912"/>
        <v/>
      </c>
      <c r="U4249" t="str">
        <f t="shared" si="913"/>
        <v/>
      </c>
      <c r="AF4249" s="22"/>
      <c r="AG4249" s="89"/>
      <c r="AH4249" s="274"/>
      <c r="AI4249" s="279"/>
      <c r="AJ4249" s="280"/>
      <c r="AK4249" s="92"/>
      <c r="AL4249" s="23"/>
    </row>
    <row r="4250" spans="1:38">
      <c r="A4250" t="str">
        <f t="shared" si="914"/>
        <v>PA_Alleg_2019p~Dem-auditor glenfield (vote for 1)</v>
      </c>
      <c r="B4250" s="55" t="s">
        <v>1291</v>
      </c>
      <c r="C4250">
        <v>541</v>
      </c>
      <c r="D4250" s="55" t="s">
        <v>511</v>
      </c>
      <c r="E4250" s="55" t="s">
        <v>15</v>
      </c>
      <c r="F4250" t="s">
        <v>12</v>
      </c>
      <c r="G4250" s="62">
        <v>1</v>
      </c>
      <c r="H4250" s="25">
        <v>100</v>
      </c>
      <c r="I4250">
        <v>153</v>
      </c>
      <c r="J4250">
        <v>26</v>
      </c>
      <c r="K4250">
        <v>1</v>
      </c>
      <c r="L4250">
        <v>1</v>
      </c>
      <c r="M4250">
        <v>0</v>
      </c>
      <c r="N4250" s="23">
        <v>0</v>
      </c>
      <c r="O4250">
        <f t="shared" si="907"/>
        <v>0</v>
      </c>
      <c r="P4250" s="57">
        <f t="shared" si="908"/>
        <v>1</v>
      </c>
      <c r="Q4250" s="267">
        <f t="shared" si="909"/>
        <v>1</v>
      </c>
      <c r="R4250" s="23">
        <f t="shared" si="910"/>
        <v>1</v>
      </c>
      <c r="S4250" s="23">
        <f t="shared" si="911"/>
        <v>0</v>
      </c>
      <c r="T4250" s="23" t="str">
        <f t="shared" si="912"/>
        <v/>
      </c>
      <c r="U4250" t="str">
        <f t="shared" si="913"/>
        <v/>
      </c>
      <c r="AF4250" s="22"/>
      <c r="AL4250" s="344"/>
    </row>
    <row r="4251" spans="1:38">
      <c r="A4251" t="str">
        <f t="shared" si="914"/>
        <v>PA_Alleg_2019p~Dem-auditor harmar (vote for 1)</v>
      </c>
      <c r="B4251" s="55" t="s">
        <v>1291</v>
      </c>
      <c r="C4251">
        <v>512</v>
      </c>
      <c r="D4251" s="55" t="s">
        <v>512</v>
      </c>
      <c r="E4251" s="55" t="s">
        <v>15</v>
      </c>
      <c r="F4251" t="s">
        <v>12</v>
      </c>
      <c r="G4251" s="62">
        <v>8</v>
      </c>
      <c r="H4251" s="25">
        <v>100</v>
      </c>
      <c r="I4251">
        <v>2438</v>
      </c>
      <c r="J4251">
        <v>373</v>
      </c>
      <c r="K4251">
        <v>3</v>
      </c>
      <c r="L4251">
        <v>3</v>
      </c>
      <c r="M4251">
        <v>0</v>
      </c>
      <c r="N4251" s="23">
        <v>0</v>
      </c>
      <c r="O4251">
        <f t="shared" si="907"/>
        <v>0</v>
      </c>
      <c r="P4251" s="57">
        <f t="shared" si="908"/>
        <v>1</v>
      </c>
      <c r="Q4251" s="267">
        <f t="shared" si="909"/>
        <v>11</v>
      </c>
      <c r="R4251" s="23">
        <f t="shared" si="910"/>
        <v>1</v>
      </c>
      <c r="S4251" s="23">
        <f t="shared" si="911"/>
        <v>0</v>
      </c>
      <c r="T4251" s="23" t="str">
        <f t="shared" si="912"/>
        <v/>
      </c>
      <c r="U4251" t="str">
        <f t="shared" si="913"/>
        <v>PA_Alleg_2019p~Dem-auditor harmar (vote for 1)</v>
      </c>
      <c r="AF4251" s="22"/>
    </row>
    <row r="4252" spans="1:38">
      <c r="A4252" t="str">
        <f t="shared" si="914"/>
        <v>PA_Alleg_2019p~Dem-auditor harmar (vote for 1)</v>
      </c>
      <c r="B4252" s="55" t="s">
        <v>1291</v>
      </c>
      <c r="C4252">
        <v>530</v>
      </c>
      <c r="D4252" s="55" t="s">
        <v>512</v>
      </c>
      <c r="E4252" s="55" t="s">
        <v>15</v>
      </c>
      <c r="F4252" t="s">
        <v>12</v>
      </c>
      <c r="G4252" s="62">
        <v>3</v>
      </c>
      <c r="H4252" s="25">
        <v>100</v>
      </c>
      <c r="I4252">
        <v>2438</v>
      </c>
      <c r="J4252">
        <v>373</v>
      </c>
      <c r="K4252">
        <v>3</v>
      </c>
      <c r="L4252">
        <v>3</v>
      </c>
      <c r="M4252">
        <v>0</v>
      </c>
      <c r="N4252" s="23">
        <v>0</v>
      </c>
      <c r="O4252">
        <f t="shared" si="907"/>
        <v>0</v>
      </c>
      <c r="P4252" s="57">
        <f t="shared" si="908"/>
        <v>1</v>
      </c>
      <c r="Q4252" s="267">
        <f t="shared" si="909"/>
        <v>3</v>
      </c>
      <c r="R4252" s="23">
        <f t="shared" si="910"/>
        <v>1</v>
      </c>
      <c r="S4252" s="23">
        <f t="shared" si="911"/>
        <v>0</v>
      </c>
      <c r="T4252" s="23" t="str">
        <f t="shared" si="912"/>
        <v/>
      </c>
      <c r="U4252" t="str">
        <f t="shared" si="913"/>
        <v/>
      </c>
      <c r="AF4252" s="22"/>
      <c r="AH4252" s="8"/>
    </row>
    <row r="4253" spans="1:38">
      <c r="A4253" t="str">
        <f t="shared" si="914"/>
        <v>PA_Alleg_2019p~Dem-auditor indiana (vote for 1)</v>
      </c>
      <c r="B4253" s="55" t="s">
        <v>1291</v>
      </c>
      <c r="C4253">
        <v>542</v>
      </c>
      <c r="D4253" s="55" t="s">
        <v>513</v>
      </c>
      <c r="E4253" s="55" t="s">
        <v>15</v>
      </c>
      <c r="F4253" t="s">
        <v>12</v>
      </c>
      <c r="G4253" s="62">
        <v>24</v>
      </c>
      <c r="H4253" s="25">
        <v>100</v>
      </c>
      <c r="I4253">
        <v>5167</v>
      </c>
      <c r="J4253">
        <v>947</v>
      </c>
      <c r="K4253">
        <v>5</v>
      </c>
      <c r="L4253">
        <v>5</v>
      </c>
      <c r="M4253">
        <v>0</v>
      </c>
      <c r="N4253" s="23">
        <v>0</v>
      </c>
      <c r="O4253">
        <f t="shared" si="907"/>
        <v>0</v>
      </c>
      <c r="P4253" s="57">
        <f t="shared" si="908"/>
        <v>1</v>
      </c>
      <c r="Q4253" s="267">
        <f t="shared" si="909"/>
        <v>60</v>
      </c>
      <c r="R4253" s="23">
        <f t="shared" si="910"/>
        <v>1</v>
      </c>
      <c r="S4253" s="23">
        <f t="shared" si="911"/>
        <v>0</v>
      </c>
      <c r="T4253" s="23" t="str">
        <f t="shared" si="912"/>
        <v/>
      </c>
      <c r="U4253" t="str">
        <f t="shared" si="913"/>
        <v>PA_Alleg_2019p~Dem-auditor indiana (vote for 1)</v>
      </c>
      <c r="AF4253" s="22"/>
      <c r="AL4253" s="23"/>
    </row>
    <row r="4254" spans="1:38">
      <c r="A4254" t="str">
        <f t="shared" si="914"/>
        <v>PA_Alleg_2019p~Dem-auditor indiana (vote for 1)</v>
      </c>
      <c r="B4254" s="55" t="s">
        <v>1291</v>
      </c>
      <c r="C4254">
        <v>513</v>
      </c>
      <c r="D4254" s="55" t="s">
        <v>513</v>
      </c>
      <c r="E4254" s="55" t="s">
        <v>15</v>
      </c>
      <c r="F4254" t="s">
        <v>12</v>
      </c>
      <c r="G4254" s="62">
        <v>20</v>
      </c>
      <c r="H4254" s="25">
        <v>100</v>
      </c>
      <c r="I4254">
        <v>5167</v>
      </c>
      <c r="J4254">
        <v>947</v>
      </c>
      <c r="K4254">
        <v>5</v>
      </c>
      <c r="L4254">
        <v>5</v>
      </c>
      <c r="M4254">
        <v>0</v>
      </c>
      <c r="N4254" s="23">
        <v>0</v>
      </c>
      <c r="O4254">
        <f t="shared" si="907"/>
        <v>0</v>
      </c>
      <c r="P4254" s="57">
        <f t="shared" si="908"/>
        <v>1</v>
      </c>
      <c r="Q4254" s="267">
        <f t="shared" si="909"/>
        <v>36</v>
      </c>
      <c r="R4254" s="23">
        <f t="shared" si="910"/>
        <v>1</v>
      </c>
      <c r="S4254" s="23">
        <f t="shared" si="911"/>
        <v>0</v>
      </c>
      <c r="T4254" s="23" t="str">
        <f t="shared" si="912"/>
        <v/>
      </c>
      <c r="U4254" t="str">
        <f t="shared" si="913"/>
        <v/>
      </c>
      <c r="AF4254" s="22"/>
    </row>
    <row r="4255" spans="1:38">
      <c r="A4255" t="str">
        <f t="shared" si="914"/>
        <v>PA_Alleg_2019p~Dem-auditor indiana (vote for 1)</v>
      </c>
      <c r="B4255" s="55" t="s">
        <v>1291</v>
      </c>
      <c r="C4255">
        <v>531</v>
      </c>
      <c r="D4255" s="55" t="s">
        <v>513</v>
      </c>
      <c r="E4255" s="55" t="s">
        <v>15</v>
      </c>
      <c r="F4255" t="s">
        <v>12</v>
      </c>
      <c r="G4255" s="62">
        <v>16</v>
      </c>
      <c r="H4255" s="25">
        <v>100</v>
      </c>
      <c r="I4255">
        <v>5167</v>
      </c>
      <c r="J4255">
        <v>947</v>
      </c>
      <c r="K4255">
        <v>5</v>
      </c>
      <c r="L4255">
        <v>5</v>
      </c>
      <c r="M4255">
        <v>0</v>
      </c>
      <c r="N4255" s="23">
        <v>0</v>
      </c>
      <c r="O4255">
        <f t="shared" si="907"/>
        <v>0</v>
      </c>
      <c r="P4255" s="57">
        <f t="shared" si="908"/>
        <v>1</v>
      </c>
      <c r="Q4255" s="267">
        <f t="shared" si="909"/>
        <v>16</v>
      </c>
      <c r="R4255" s="23">
        <f t="shared" si="910"/>
        <v>1</v>
      </c>
      <c r="S4255" s="23">
        <f t="shared" si="911"/>
        <v>0</v>
      </c>
      <c r="T4255" s="23" t="str">
        <f t="shared" si="912"/>
        <v/>
      </c>
      <c r="U4255" t="str">
        <f t="shared" si="913"/>
        <v/>
      </c>
      <c r="AF4255" s="22"/>
      <c r="AG4255" s="302"/>
      <c r="AH4255" s="301"/>
      <c r="AI4255" s="303"/>
      <c r="AJ4255" s="303"/>
      <c r="AK4255" s="342"/>
      <c r="AL4255" s="343"/>
    </row>
    <row r="4256" spans="1:38">
      <c r="A4256" t="str">
        <f t="shared" si="914"/>
        <v>PA_Alleg_2019p~Dem-auditor kilbuck (vote for 1)</v>
      </c>
      <c r="B4256" s="55" t="s">
        <v>1291</v>
      </c>
      <c r="C4256">
        <v>514</v>
      </c>
      <c r="D4256" s="55" t="s">
        <v>514</v>
      </c>
      <c r="E4256" s="55" t="s">
        <v>15</v>
      </c>
      <c r="F4256" t="s">
        <v>12</v>
      </c>
      <c r="G4256" s="62">
        <v>1</v>
      </c>
      <c r="H4256" s="25">
        <v>100</v>
      </c>
      <c r="I4256">
        <v>608</v>
      </c>
      <c r="J4256">
        <v>116</v>
      </c>
      <c r="K4256">
        <v>1</v>
      </c>
      <c r="L4256">
        <v>1</v>
      </c>
      <c r="M4256">
        <v>0</v>
      </c>
      <c r="N4256" s="23">
        <v>0</v>
      </c>
      <c r="O4256">
        <f t="shared" si="907"/>
        <v>0</v>
      </c>
      <c r="P4256" s="57">
        <f t="shared" si="908"/>
        <v>1</v>
      </c>
      <c r="Q4256" s="267">
        <f t="shared" si="909"/>
        <v>2</v>
      </c>
      <c r="R4256" s="23">
        <f t="shared" si="910"/>
        <v>1</v>
      </c>
      <c r="S4256" s="23">
        <f t="shared" si="911"/>
        <v>0</v>
      </c>
      <c r="T4256" s="23" t="str">
        <f t="shared" si="912"/>
        <v/>
      </c>
      <c r="U4256" t="str">
        <f t="shared" si="913"/>
        <v>PA_Alleg_2019p~Dem-auditor kilbuck (vote for 1)</v>
      </c>
      <c r="AF4256" s="22"/>
    </row>
    <row r="4257" spans="1:38">
      <c r="A4257" t="str">
        <f t="shared" si="914"/>
        <v>PA_Alleg_2019p~Dem-auditor kilbuck (vote for 1)</v>
      </c>
      <c r="B4257" s="55" t="s">
        <v>1291</v>
      </c>
      <c r="C4257">
        <v>543</v>
      </c>
      <c r="D4257" s="55" t="s">
        <v>514</v>
      </c>
      <c r="E4257" s="55" t="s">
        <v>15</v>
      </c>
      <c r="F4257" t="s">
        <v>12</v>
      </c>
      <c r="G4257" s="62">
        <v>1</v>
      </c>
      <c r="H4257" s="25">
        <v>100</v>
      </c>
      <c r="I4257">
        <v>608</v>
      </c>
      <c r="J4257">
        <v>116</v>
      </c>
      <c r="K4257">
        <v>1</v>
      </c>
      <c r="L4257">
        <v>1</v>
      </c>
      <c r="M4257">
        <v>0</v>
      </c>
      <c r="N4257" s="23">
        <v>0</v>
      </c>
      <c r="O4257">
        <f t="shared" si="907"/>
        <v>0</v>
      </c>
      <c r="P4257" s="57">
        <f t="shared" si="908"/>
        <v>1</v>
      </c>
      <c r="Q4257" s="267">
        <f t="shared" si="909"/>
        <v>1</v>
      </c>
      <c r="R4257" s="23">
        <f t="shared" si="910"/>
        <v>1</v>
      </c>
      <c r="S4257" s="23">
        <f t="shared" si="911"/>
        <v>0</v>
      </c>
      <c r="T4257" s="23" t="str">
        <f t="shared" si="912"/>
        <v/>
      </c>
      <c r="U4257" t="str">
        <f t="shared" si="913"/>
        <v/>
      </c>
      <c r="AF4257" s="22"/>
      <c r="AG4257" s="89"/>
      <c r="AH4257" s="274"/>
      <c r="AI4257" s="279"/>
      <c r="AJ4257" s="280"/>
      <c r="AK4257" s="92"/>
      <c r="AL4257" s="23"/>
    </row>
    <row r="4258" spans="1:38">
      <c r="A4258" t="str">
        <f t="shared" si="914"/>
        <v>PA_Alleg_2019p~Dem-auditor kilbuck (vote for 1)</v>
      </c>
      <c r="B4258" s="55" t="s">
        <v>1291</v>
      </c>
      <c r="C4258">
        <v>532</v>
      </c>
      <c r="D4258" s="55" t="s">
        <v>514</v>
      </c>
      <c r="E4258" s="55" t="s">
        <v>15</v>
      </c>
      <c r="F4258" t="s">
        <v>12</v>
      </c>
      <c r="G4258" s="62">
        <v>0</v>
      </c>
      <c r="H4258" s="25">
        <v>0</v>
      </c>
      <c r="I4258">
        <v>608</v>
      </c>
      <c r="J4258">
        <v>116</v>
      </c>
      <c r="K4258">
        <v>1</v>
      </c>
      <c r="L4258">
        <v>1</v>
      </c>
      <c r="M4258">
        <v>0</v>
      </c>
      <c r="N4258" s="23">
        <v>0</v>
      </c>
      <c r="O4258">
        <f t="shared" si="907"/>
        <v>0</v>
      </c>
      <c r="P4258" s="57">
        <f t="shared" si="908"/>
        <v>1</v>
      </c>
      <c r="Q4258" s="267">
        <f t="shared" si="909"/>
        <v>0</v>
      </c>
      <c r="R4258" s="23">
        <f t="shared" si="910"/>
        <v>1</v>
      </c>
      <c r="S4258" s="23">
        <f t="shared" si="911"/>
        <v>0</v>
      </c>
      <c r="T4258" s="23" t="str">
        <f t="shared" si="912"/>
        <v/>
      </c>
      <c r="U4258" t="str">
        <f t="shared" si="913"/>
        <v/>
      </c>
      <c r="AF4258" s="22"/>
    </row>
    <row r="4259" spans="1:38">
      <c r="A4259" t="str">
        <f t="shared" si="914"/>
        <v>PA_Alleg_2019p~Dem-auditor marshall (vote for 1)</v>
      </c>
      <c r="B4259" s="55" t="s">
        <v>1291</v>
      </c>
      <c r="C4259">
        <v>515</v>
      </c>
      <c r="D4259" s="55" t="s">
        <v>515</v>
      </c>
      <c r="E4259" s="55" t="s">
        <v>15</v>
      </c>
      <c r="F4259" t="s">
        <v>12</v>
      </c>
      <c r="G4259" s="62">
        <v>23</v>
      </c>
      <c r="H4259" s="25">
        <v>100</v>
      </c>
      <c r="I4259">
        <v>6810</v>
      </c>
      <c r="J4259">
        <v>683</v>
      </c>
      <c r="K4259">
        <v>6</v>
      </c>
      <c r="L4259">
        <v>6</v>
      </c>
      <c r="M4259">
        <v>0</v>
      </c>
      <c r="N4259" s="23">
        <v>0</v>
      </c>
      <c r="O4259">
        <f t="shared" si="907"/>
        <v>0</v>
      </c>
      <c r="P4259" s="57">
        <f t="shared" si="908"/>
        <v>1</v>
      </c>
      <c r="Q4259" s="267">
        <f t="shared" si="909"/>
        <v>23</v>
      </c>
      <c r="R4259" s="23">
        <f t="shared" si="910"/>
        <v>1</v>
      </c>
      <c r="S4259" s="23">
        <f t="shared" si="911"/>
        <v>0</v>
      </c>
      <c r="T4259" s="23" t="str">
        <f t="shared" si="912"/>
        <v/>
      </c>
      <c r="U4259" t="str">
        <f t="shared" si="913"/>
        <v>PA_Alleg_2019p~Dem-auditor marshall (vote for 1)</v>
      </c>
      <c r="AF4259" s="22"/>
      <c r="AG4259" s="89"/>
      <c r="AH4259" s="274"/>
      <c r="AI4259" s="279"/>
      <c r="AJ4259" s="280"/>
      <c r="AK4259" s="92"/>
      <c r="AL4259" s="23"/>
    </row>
    <row r="4260" spans="1:38">
      <c r="A4260" t="str">
        <f t="shared" si="914"/>
        <v>PA_Alleg_2019p~Dem-auditor moon (vote for 1)</v>
      </c>
      <c r="B4260" s="55" t="s">
        <v>1291</v>
      </c>
      <c r="C4260">
        <v>516</v>
      </c>
      <c r="D4260" s="55" t="s">
        <v>516</v>
      </c>
      <c r="E4260" s="55" t="s">
        <v>517</v>
      </c>
      <c r="F4260" t="s">
        <v>12</v>
      </c>
      <c r="G4260" s="62">
        <v>1231</v>
      </c>
      <c r="H4260" s="25">
        <v>99.03</v>
      </c>
      <c r="I4260">
        <v>19077</v>
      </c>
      <c r="J4260">
        <v>2966</v>
      </c>
      <c r="K4260">
        <v>13</v>
      </c>
      <c r="L4260">
        <v>13</v>
      </c>
      <c r="M4260">
        <v>0</v>
      </c>
      <c r="N4260" s="23">
        <v>0</v>
      </c>
      <c r="O4260">
        <f t="shared" si="907"/>
        <v>1</v>
      </c>
      <c r="P4260" s="57">
        <f t="shared" si="908"/>
        <v>1</v>
      </c>
      <c r="Q4260" s="267">
        <f t="shared" si="909"/>
        <v>1320</v>
      </c>
      <c r="R4260" s="23">
        <f t="shared" si="910"/>
        <v>1231</v>
      </c>
      <c r="S4260" s="23">
        <f t="shared" si="911"/>
        <v>0</v>
      </c>
      <c r="T4260" s="23" t="str">
        <f t="shared" si="912"/>
        <v/>
      </c>
      <c r="U4260" t="str">
        <f t="shared" si="913"/>
        <v>PA_Alleg_2019p~Dem-auditor moon (vote for 1)</v>
      </c>
      <c r="AF4260" s="22"/>
    </row>
    <row r="4261" spans="1:38">
      <c r="A4261" t="str">
        <f t="shared" si="914"/>
        <v>PA_Alleg_2019p~Dem-auditor moon (vote for 1)</v>
      </c>
      <c r="B4261" s="55" t="s">
        <v>1291</v>
      </c>
      <c r="C4261">
        <v>544</v>
      </c>
      <c r="D4261" s="55" t="s">
        <v>516</v>
      </c>
      <c r="E4261" s="55" t="s">
        <v>15</v>
      </c>
      <c r="F4261" t="s">
        <v>12</v>
      </c>
      <c r="G4261" s="62">
        <v>77</v>
      </c>
      <c r="H4261" s="25">
        <v>100</v>
      </c>
      <c r="I4261">
        <v>19077</v>
      </c>
      <c r="J4261">
        <v>2966</v>
      </c>
      <c r="K4261">
        <v>13</v>
      </c>
      <c r="L4261">
        <v>13</v>
      </c>
      <c r="M4261">
        <v>0</v>
      </c>
      <c r="N4261" s="23">
        <v>0</v>
      </c>
      <c r="O4261">
        <f t="shared" si="907"/>
        <v>-1</v>
      </c>
      <c r="P4261" s="57">
        <f t="shared" si="908"/>
        <v>1</v>
      </c>
      <c r="Q4261" s="267">
        <f t="shared" si="909"/>
        <v>89</v>
      </c>
      <c r="R4261" s="23">
        <f t="shared" si="910"/>
        <v>1</v>
      </c>
      <c r="S4261" s="23">
        <f t="shared" si="911"/>
        <v>0</v>
      </c>
      <c r="T4261" s="23" t="str">
        <f t="shared" si="912"/>
        <v/>
      </c>
      <c r="U4261" t="str">
        <f t="shared" si="913"/>
        <v/>
      </c>
      <c r="AF4261" s="22"/>
      <c r="AG4261" s="302"/>
      <c r="AH4261" s="301"/>
      <c r="AI4261" s="303"/>
      <c r="AJ4261" s="303"/>
      <c r="AK4261" s="342"/>
      <c r="AL4261" s="343"/>
    </row>
    <row r="4262" spans="1:38">
      <c r="A4262" t="str">
        <f t="shared" si="914"/>
        <v>PA_Alleg_2019p~Dem-auditor moon (vote for 1)</v>
      </c>
      <c r="B4262" s="55" t="s">
        <v>1291</v>
      </c>
      <c r="C4262">
        <v>517</v>
      </c>
      <c r="D4262" s="55" t="s">
        <v>516</v>
      </c>
      <c r="E4262" s="55" t="s">
        <v>15</v>
      </c>
      <c r="F4262" t="s">
        <v>12</v>
      </c>
      <c r="G4262" s="62">
        <v>12</v>
      </c>
      <c r="H4262" s="25">
        <v>0.97</v>
      </c>
      <c r="I4262">
        <v>19077</v>
      </c>
      <c r="J4262">
        <v>2966</v>
      </c>
      <c r="K4262">
        <v>13</v>
      </c>
      <c r="L4262">
        <v>13</v>
      </c>
      <c r="M4262">
        <v>0</v>
      </c>
      <c r="N4262" s="23">
        <v>0</v>
      </c>
      <c r="O4262">
        <f t="shared" si="907"/>
        <v>-1</v>
      </c>
      <c r="P4262" s="57">
        <f t="shared" si="908"/>
        <v>1</v>
      </c>
      <c r="Q4262" s="267">
        <f t="shared" si="909"/>
        <v>12</v>
      </c>
      <c r="R4262" s="23">
        <f t="shared" si="910"/>
        <v>1</v>
      </c>
      <c r="S4262" s="23">
        <f t="shared" si="911"/>
        <v>0</v>
      </c>
      <c r="T4262" s="23" t="str">
        <f t="shared" si="912"/>
        <v/>
      </c>
      <c r="U4262" t="str">
        <f t="shared" si="913"/>
        <v/>
      </c>
      <c r="AF4262" s="22"/>
    </row>
    <row r="4263" spans="1:38">
      <c r="A4263" t="str">
        <f t="shared" si="914"/>
        <v>PA_Alleg_2019p~Dem-auditor north fayette (vote for 1)</v>
      </c>
      <c r="B4263" s="55" t="s">
        <v>1291</v>
      </c>
      <c r="C4263">
        <v>518</v>
      </c>
      <c r="D4263" s="55" t="s">
        <v>518</v>
      </c>
      <c r="E4263" s="55" t="s">
        <v>15</v>
      </c>
      <c r="F4263" t="s">
        <v>12</v>
      </c>
      <c r="G4263" s="62">
        <v>22</v>
      </c>
      <c r="H4263" s="25">
        <v>100</v>
      </c>
      <c r="I4263">
        <v>10857</v>
      </c>
      <c r="J4263">
        <v>1052</v>
      </c>
      <c r="K4263">
        <v>5</v>
      </c>
      <c r="L4263">
        <v>5</v>
      </c>
      <c r="M4263">
        <v>0</v>
      </c>
      <c r="N4263" s="23">
        <v>0</v>
      </c>
      <c r="O4263">
        <f t="shared" si="907"/>
        <v>0</v>
      </c>
      <c r="P4263" s="57">
        <f t="shared" si="908"/>
        <v>1</v>
      </c>
      <c r="Q4263" s="267">
        <f t="shared" si="909"/>
        <v>22</v>
      </c>
      <c r="R4263" s="23">
        <f t="shared" si="910"/>
        <v>1</v>
      </c>
      <c r="S4263" s="23">
        <f t="shared" si="911"/>
        <v>0</v>
      </c>
      <c r="T4263" s="23" t="str">
        <f t="shared" si="912"/>
        <v/>
      </c>
      <c r="U4263" t="str">
        <f t="shared" si="913"/>
        <v>PA_Alleg_2019p~Dem-auditor north fayette (vote for 1)</v>
      </c>
      <c r="AF4263" s="22"/>
    </row>
    <row r="4264" spans="1:38">
      <c r="A4264" t="str">
        <f t="shared" si="914"/>
        <v>PA_Alleg_2019p~Dem-auditor ohara (vote for 1)</v>
      </c>
      <c r="B4264" s="55" t="s">
        <v>1291</v>
      </c>
      <c r="C4264">
        <v>519</v>
      </c>
      <c r="D4264" s="55" t="s">
        <v>519</v>
      </c>
      <c r="E4264" s="55" t="s">
        <v>15</v>
      </c>
      <c r="F4264" t="s">
        <v>12</v>
      </c>
      <c r="G4264" s="62">
        <v>36</v>
      </c>
      <c r="H4264" s="25">
        <v>100</v>
      </c>
      <c r="I4264">
        <v>7581</v>
      </c>
      <c r="J4264">
        <v>1591</v>
      </c>
      <c r="K4264">
        <v>10</v>
      </c>
      <c r="L4264">
        <v>10</v>
      </c>
      <c r="M4264">
        <v>0</v>
      </c>
      <c r="N4264" s="23">
        <v>0</v>
      </c>
      <c r="O4264">
        <f t="shared" si="907"/>
        <v>0</v>
      </c>
      <c r="P4264" s="57">
        <f t="shared" si="908"/>
        <v>1</v>
      </c>
      <c r="Q4264" s="267">
        <f t="shared" si="909"/>
        <v>36</v>
      </c>
      <c r="R4264" s="23">
        <f t="shared" si="910"/>
        <v>1</v>
      </c>
      <c r="S4264" s="23">
        <f t="shared" si="911"/>
        <v>0</v>
      </c>
      <c r="T4264" s="23" t="str">
        <f t="shared" si="912"/>
        <v/>
      </c>
      <c r="U4264" t="str">
        <f t="shared" si="913"/>
        <v>PA_Alleg_2019p~Dem-auditor ohara (vote for 1)</v>
      </c>
      <c r="AF4264" s="22"/>
    </row>
    <row r="4265" spans="1:38">
      <c r="A4265" t="str">
        <f t="shared" si="914"/>
        <v>PA_Alleg_2019p~Dem-auditor south park (vote for 1)</v>
      </c>
      <c r="B4265" s="55" t="s">
        <v>1291</v>
      </c>
      <c r="C4265">
        <v>520</v>
      </c>
      <c r="D4265" s="55" t="s">
        <v>520</v>
      </c>
      <c r="E4265" s="55" t="s">
        <v>521</v>
      </c>
      <c r="F4265" t="s">
        <v>12</v>
      </c>
      <c r="G4265" s="62">
        <v>766</v>
      </c>
      <c r="H4265" s="25">
        <v>99.61</v>
      </c>
      <c r="I4265">
        <v>9810</v>
      </c>
      <c r="J4265">
        <v>1387</v>
      </c>
      <c r="K4265">
        <v>13</v>
      </c>
      <c r="L4265">
        <v>13</v>
      </c>
      <c r="M4265">
        <v>0</v>
      </c>
      <c r="N4265" s="23">
        <v>0</v>
      </c>
      <c r="O4265">
        <f t="shared" si="907"/>
        <v>1</v>
      </c>
      <c r="P4265" s="57">
        <f t="shared" si="908"/>
        <v>1</v>
      </c>
      <c r="Q4265" s="267">
        <f t="shared" si="909"/>
        <v>769</v>
      </c>
      <c r="R4265" s="23">
        <f t="shared" si="910"/>
        <v>766</v>
      </c>
      <c r="S4265" s="23">
        <f t="shared" si="911"/>
        <v>0</v>
      </c>
      <c r="T4265" s="23" t="str">
        <f t="shared" si="912"/>
        <v/>
      </c>
      <c r="U4265" t="str">
        <f t="shared" si="913"/>
        <v>PA_Alleg_2019p~Dem-auditor south park (vote for 1)</v>
      </c>
      <c r="AF4265" s="22"/>
    </row>
    <row r="4266" spans="1:38">
      <c r="A4266" t="str">
        <f t="shared" si="914"/>
        <v>PA_Alleg_2019p~Dem-auditor south park (vote for 1)</v>
      </c>
      <c r="B4266" s="55" t="s">
        <v>1291</v>
      </c>
      <c r="C4266">
        <v>521</v>
      </c>
      <c r="D4266" s="55" t="s">
        <v>520</v>
      </c>
      <c r="E4266" s="55" t="s">
        <v>15</v>
      </c>
      <c r="F4266" t="s">
        <v>12</v>
      </c>
      <c r="G4266" s="62">
        <v>3</v>
      </c>
      <c r="H4266" s="25">
        <v>0.39</v>
      </c>
      <c r="I4266">
        <v>9810</v>
      </c>
      <c r="J4266">
        <v>1387</v>
      </c>
      <c r="K4266">
        <v>13</v>
      </c>
      <c r="L4266">
        <v>13</v>
      </c>
      <c r="M4266">
        <v>0</v>
      </c>
      <c r="N4266" s="23">
        <v>0</v>
      </c>
      <c r="O4266">
        <f t="shared" si="907"/>
        <v>-1</v>
      </c>
      <c r="P4266" s="57">
        <f t="shared" si="908"/>
        <v>1</v>
      </c>
      <c r="Q4266" s="267">
        <f t="shared" si="909"/>
        <v>3</v>
      </c>
      <c r="R4266" s="23">
        <f t="shared" si="910"/>
        <v>1</v>
      </c>
      <c r="S4266" s="23">
        <f t="shared" si="911"/>
        <v>0</v>
      </c>
      <c r="T4266" s="23" t="str">
        <f t="shared" si="912"/>
        <v/>
      </c>
      <c r="U4266" t="str">
        <f t="shared" si="913"/>
        <v/>
      </c>
      <c r="AF4266" s="22"/>
    </row>
    <row r="4267" spans="1:38">
      <c r="A4267" t="str">
        <f t="shared" si="914"/>
        <v>PA_Alleg_2019p~Dem-auditor west deer (vote for 1)</v>
      </c>
      <c r="B4267" s="55" t="s">
        <v>1291</v>
      </c>
      <c r="C4267">
        <v>533</v>
      </c>
      <c r="D4267" s="55" t="s">
        <v>522</v>
      </c>
      <c r="E4267" s="55" t="s">
        <v>15</v>
      </c>
      <c r="F4267" t="s">
        <v>12</v>
      </c>
      <c r="G4267" s="62">
        <v>13</v>
      </c>
      <c r="H4267" s="25">
        <v>100</v>
      </c>
      <c r="I4267">
        <v>8479</v>
      </c>
      <c r="J4267">
        <v>1082</v>
      </c>
      <c r="K4267">
        <v>8</v>
      </c>
      <c r="L4267">
        <v>8</v>
      </c>
      <c r="M4267">
        <v>0</v>
      </c>
      <c r="N4267" s="23">
        <v>0</v>
      </c>
      <c r="O4267">
        <f t="shared" si="907"/>
        <v>0</v>
      </c>
      <c r="P4267" s="57">
        <f t="shared" si="908"/>
        <v>1</v>
      </c>
      <c r="Q4267" s="267">
        <f t="shared" si="909"/>
        <v>35</v>
      </c>
      <c r="R4267" s="23">
        <f t="shared" si="910"/>
        <v>1</v>
      </c>
      <c r="S4267" s="23">
        <f t="shared" si="911"/>
        <v>0</v>
      </c>
      <c r="T4267" s="23" t="str">
        <f t="shared" si="912"/>
        <v/>
      </c>
      <c r="U4267" t="str">
        <f t="shared" si="913"/>
        <v>PA_Alleg_2019p~Dem-auditor west deer (vote for 1)</v>
      </c>
      <c r="AF4267" s="22"/>
      <c r="AL4267" s="344"/>
    </row>
    <row r="4268" spans="1:38">
      <c r="A4268" t="str">
        <f t="shared" si="914"/>
        <v>PA_Alleg_2019p~Dem-auditor west deer (vote for 1)</v>
      </c>
      <c r="B4268" s="55" t="s">
        <v>1291</v>
      </c>
      <c r="C4268">
        <v>522</v>
      </c>
      <c r="D4268" s="55" t="s">
        <v>522</v>
      </c>
      <c r="E4268" s="55" t="s">
        <v>15</v>
      </c>
      <c r="F4268" t="s">
        <v>12</v>
      </c>
      <c r="G4268" s="62">
        <v>11</v>
      </c>
      <c r="H4268" s="25">
        <v>100</v>
      </c>
      <c r="I4268">
        <v>8479</v>
      </c>
      <c r="J4268">
        <v>1082</v>
      </c>
      <c r="K4268">
        <v>8</v>
      </c>
      <c r="L4268">
        <v>8</v>
      </c>
      <c r="M4268">
        <v>0</v>
      </c>
      <c r="N4268" s="23">
        <v>0</v>
      </c>
      <c r="O4268">
        <f t="shared" si="907"/>
        <v>0</v>
      </c>
      <c r="P4268" s="57">
        <f t="shared" si="908"/>
        <v>1</v>
      </c>
      <c r="Q4268" s="267">
        <f t="shared" si="909"/>
        <v>22</v>
      </c>
      <c r="R4268" s="23">
        <f t="shared" si="910"/>
        <v>1</v>
      </c>
      <c r="S4268" s="23">
        <f t="shared" si="911"/>
        <v>0</v>
      </c>
      <c r="T4268" s="23" t="str">
        <f t="shared" si="912"/>
        <v/>
      </c>
      <c r="U4268" t="str">
        <f t="shared" si="913"/>
        <v/>
      </c>
      <c r="AF4268" s="22"/>
    </row>
    <row r="4269" spans="1:38">
      <c r="A4269" t="str">
        <f t="shared" si="914"/>
        <v>PA_Alleg_2019p~Dem-auditor west deer (vote for 1)</v>
      </c>
      <c r="B4269" s="55" t="s">
        <v>1291</v>
      </c>
      <c r="C4269">
        <v>545</v>
      </c>
      <c r="D4269" s="55" t="s">
        <v>522</v>
      </c>
      <c r="E4269" s="55" t="s">
        <v>15</v>
      </c>
      <c r="F4269" t="s">
        <v>12</v>
      </c>
      <c r="G4269" s="62">
        <v>11</v>
      </c>
      <c r="H4269" s="25">
        <v>100</v>
      </c>
      <c r="I4269">
        <v>8479</v>
      </c>
      <c r="J4269">
        <v>1082</v>
      </c>
      <c r="K4269">
        <v>8</v>
      </c>
      <c r="L4269">
        <v>8</v>
      </c>
      <c r="M4269">
        <v>0</v>
      </c>
      <c r="N4269" s="23">
        <v>0</v>
      </c>
      <c r="O4269">
        <f t="shared" si="907"/>
        <v>0</v>
      </c>
      <c r="P4269" s="57">
        <f t="shared" si="908"/>
        <v>1</v>
      </c>
      <c r="Q4269" s="267">
        <f t="shared" si="909"/>
        <v>11</v>
      </c>
      <c r="R4269" s="23">
        <f t="shared" si="910"/>
        <v>1</v>
      </c>
      <c r="S4269" s="23">
        <f t="shared" si="911"/>
        <v>0</v>
      </c>
      <c r="T4269" s="23" t="str">
        <f t="shared" si="912"/>
        <v/>
      </c>
      <c r="U4269" t="str">
        <f t="shared" si="913"/>
        <v/>
      </c>
      <c r="AF4269" s="22"/>
    </row>
    <row r="4270" spans="1:38">
      <c r="A4270" t="str">
        <f t="shared" si="914"/>
        <v>PA_Alleg_2019p~Dem-auditor west elizabeth (vote for 1)</v>
      </c>
      <c r="B4270" s="55" t="s">
        <v>1291</v>
      </c>
      <c r="C4270">
        <v>523</v>
      </c>
      <c r="D4270" s="55" t="s">
        <v>523</v>
      </c>
      <c r="E4270" s="55" t="s">
        <v>15</v>
      </c>
      <c r="F4270" t="s">
        <v>12</v>
      </c>
      <c r="G4270" s="62">
        <v>11</v>
      </c>
      <c r="H4270" s="25">
        <v>100</v>
      </c>
      <c r="I4270">
        <v>274</v>
      </c>
      <c r="J4270">
        <v>50</v>
      </c>
      <c r="K4270">
        <v>1</v>
      </c>
      <c r="L4270">
        <v>1</v>
      </c>
      <c r="M4270">
        <v>0</v>
      </c>
      <c r="N4270" s="23">
        <v>0</v>
      </c>
      <c r="O4270">
        <f t="shared" si="907"/>
        <v>0</v>
      </c>
      <c r="P4270" s="57">
        <f t="shared" si="908"/>
        <v>1</v>
      </c>
      <c r="Q4270" s="267">
        <f t="shared" si="909"/>
        <v>15</v>
      </c>
      <c r="R4270" s="23">
        <f t="shared" si="910"/>
        <v>1</v>
      </c>
      <c r="S4270" s="23">
        <f t="shared" si="911"/>
        <v>0</v>
      </c>
      <c r="T4270" s="23" t="str">
        <f t="shared" si="912"/>
        <v/>
      </c>
      <c r="U4270" t="str">
        <f t="shared" si="913"/>
        <v>PA_Alleg_2019p~Dem-auditor west elizabeth (vote for 1)</v>
      </c>
      <c r="AF4270" s="22"/>
    </row>
    <row r="4271" spans="1:38">
      <c r="A4271" t="str">
        <f t="shared" si="914"/>
        <v>PA_Alleg_2019p~Dem-auditor west elizabeth (vote for 1)</v>
      </c>
      <c r="B4271" s="55" t="s">
        <v>1291</v>
      </c>
      <c r="C4271">
        <v>546</v>
      </c>
      <c r="D4271" s="55" t="s">
        <v>523</v>
      </c>
      <c r="E4271" s="55" t="s">
        <v>15</v>
      </c>
      <c r="F4271" t="s">
        <v>12</v>
      </c>
      <c r="G4271" s="62">
        <v>4</v>
      </c>
      <c r="H4271" s="25">
        <v>100</v>
      </c>
      <c r="I4271">
        <v>274</v>
      </c>
      <c r="J4271">
        <v>50</v>
      </c>
      <c r="K4271">
        <v>1</v>
      </c>
      <c r="L4271">
        <v>1</v>
      </c>
      <c r="M4271">
        <v>0</v>
      </c>
      <c r="N4271" s="23">
        <v>0</v>
      </c>
      <c r="O4271">
        <f t="shared" si="907"/>
        <v>0</v>
      </c>
      <c r="P4271" s="57">
        <f t="shared" si="908"/>
        <v>1</v>
      </c>
      <c r="Q4271" s="267">
        <f t="shared" si="909"/>
        <v>4</v>
      </c>
      <c r="R4271" s="23">
        <f t="shared" si="910"/>
        <v>1</v>
      </c>
      <c r="S4271" s="23">
        <f t="shared" si="911"/>
        <v>0</v>
      </c>
      <c r="T4271" s="23" t="str">
        <f t="shared" si="912"/>
        <v/>
      </c>
      <c r="U4271" t="str">
        <f t="shared" si="913"/>
        <v/>
      </c>
      <c r="AF4271" s="22"/>
    </row>
    <row r="4272" spans="1:38">
      <c r="A4272" t="str">
        <f t="shared" si="914"/>
        <v>PA_Alleg_2019p~Dem-commissioner aleppo (vote for 2)</v>
      </c>
      <c r="B4272" s="55" t="s">
        <v>1291</v>
      </c>
      <c r="C4272">
        <v>579</v>
      </c>
      <c r="D4272" s="55" t="s">
        <v>558</v>
      </c>
      <c r="E4272" s="55" t="s">
        <v>559</v>
      </c>
      <c r="F4272" t="s">
        <v>12</v>
      </c>
      <c r="G4272" s="62">
        <v>69</v>
      </c>
      <c r="H4272" s="25">
        <v>75</v>
      </c>
      <c r="I4272">
        <v>1369</v>
      </c>
      <c r="J4272">
        <v>229</v>
      </c>
      <c r="K4272">
        <v>1</v>
      </c>
      <c r="L4272">
        <v>1</v>
      </c>
      <c r="M4272">
        <v>0</v>
      </c>
      <c r="N4272" s="23">
        <v>0</v>
      </c>
      <c r="O4272">
        <f t="shared" si="907"/>
        <v>1</v>
      </c>
      <c r="P4272" s="57">
        <f t="shared" si="908"/>
        <v>2</v>
      </c>
      <c r="Q4272" s="267">
        <f t="shared" si="909"/>
        <v>69</v>
      </c>
      <c r="R4272" s="23">
        <f t="shared" si="910"/>
        <v>1</v>
      </c>
      <c r="S4272" s="23">
        <f t="shared" si="911"/>
        <v>0</v>
      </c>
      <c r="T4272" s="23" t="str">
        <f t="shared" si="912"/>
        <v/>
      </c>
      <c r="U4272" t="str">
        <f t="shared" si="913"/>
        <v>PA_Alleg_2019p~Dem-commissioner aleppo (vote for 2)</v>
      </c>
      <c r="AF4272" s="22"/>
      <c r="AH4272" s="8"/>
      <c r="AL4272" s="23"/>
    </row>
    <row r="4273" spans="1:32">
      <c r="A4273" t="str">
        <f t="shared" si="914"/>
        <v>PA_Alleg_2019p~Dem-commissioner aleppo (vote for 2)</v>
      </c>
      <c r="B4273" s="55" t="s">
        <v>1291</v>
      </c>
      <c r="C4273">
        <v>580</v>
      </c>
      <c r="D4273" s="55" t="s">
        <v>558</v>
      </c>
      <c r="E4273" s="55" t="s">
        <v>15</v>
      </c>
      <c r="F4273" t="s">
        <v>12</v>
      </c>
      <c r="G4273" s="62">
        <v>23</v>
      </c>
      <c r="H4273" s="25">
        <v>25</v>
      </c>
      <c r="I4273">
        <v>1369</v>
      </c>
      <c r="J4273">
        <v>229</v>
      </c>
      <c r="K4273">
        <v>1</v>
      </c>
      <c r="L4273">
        <v>1</v>
      </c>
      <c r="M4273">
        <v>0</v>
      </c>
      <c r="N4273" s="23">
        <v>0</v>
      </c>
      <c r="O4273">
        <f t="shared" si="907"/>
        <v>-1</v>
      </c>
      <c r="P4273" s="57">
        <f t="shared" si="908"/>
        <v>2</v>
      </c>
      <c r="Q4273" s="267">
        <f t="shared" si="909"/>
        <v>23</v>
      </c>
      <c r="R4273" s="23">
        <f t="shared" si="910"/>
        <v>1</v>
      </c>
      <c r="S4273" s="23">
        <f t="shared" si="911"/>
        <v>0</v>
      </c>
      <c r="T4273" s="23" t="str">
        <f t="shared" si="912"/>
        <v/>
      </c>
      <c r="U4273" t="str">
        <f t="shared" si="913"/>
        <v/>
      </c>
      <c r="AF4273" s="22"/>
    </row>
    <row r="4274" spans="1:32">
      <c r="A4274" t="str">
        <f t="shared" si="914"/>
        <v>PA_Alleg_2019p~Dem-commissioner at-large crescent (vote for 2)</v>
      </c>
      <c r="B4274" s="55" t="s">
        <v>1291</v>
      </c>
      <c r="C4274">
        <v>551</v>
      </c>
      <c r="D4274" s="55" t="s">
        <v>530</v>
      </c>
      <c r="E4274" s="55" t="s">
        <v>15</v>
      </c>
      <c r="F4274" t="s">
        <v>12</v>
      </c>
      <c r="G4274" s="62">
        <v>110</v>
      </c>
      <c r="H4274" s="25">
        <v>100</v>
      </c>
      <c r="I4274">
        <v>1832</v>
      </c>
      <c r="J4274">
        <v>329</v>
      </c>
      <c r="K4274">
        <v>2</v>
      </c>
      <c r="L4274">
        <v>2</v>
      </c>
      <c r="M4274">
        <v>0</v>
      </c>
      <c r="N4274" s="23">
        <v>0</v>
      </c>
      <c r="O4274">
        <f t="shared" si="907"/>
        <v>0</v>
      </c>
      <c r="P4274" s="57">
        <f t="shared" si="908"/>
        <v>2</v>
      </c>
      <c r="Q4274" s="267">
        <f t="shared" si="909"/>
        <v>110</v>
      </c>
      <c r="R4274" s="23">
        <f t="shared" si="910"/>
        <v>1</v>
      </c>
      <c r="S4274" s="23">
        <f t="shared" si="911"/>
        <v>0</v>
      </c>
      <c r="T4274" s="23" t="str">
        <f t="shared" si="912"/>
        <v/>
      </c>
      <c r="U4274" t="str">
        <f t="shared" si="913"/>
        <v>PA_Alleg_2019p~Dem-commissioner at-large crescent (vote for 2)</v>
      </c>
      <c r="AF4274" s="22"/>
    </row>
    <row r="4275" spans="1:32">
      <c r="A4275" t="str">
        <f t="shared" si="914"/>
        <v>PA_Alleg_2019p~Dem-commissioner at-large east deer (vote for 3)</v>
      </c>
      <c r="B4275" s="55" t="s">
        <v>1291</v>
      </c>
      <c r="C4275">
        <v>548</v>
      </c>
      <c r="D4275" s="55" t="s">
        <v>526</v>
      </c>
      <c r="E4275" s="55" t="s">
        <v>528</v>
      </c>
      <c r="F4275" t="s">
        <v>12</v>
      </c>
      <c r="G4275" s="62">
        <v>74</v>
      </c>
      <c r="H4275" s="25">
        <v>33.33</v>
      </c>
      <c r="I4275">
        <v>890</v>
      </c>
      <c r="J4275">
        <v>113</v>
      </c>
      <c r="K4275">
        <v>2</v>
      </c>
      <c r="L4275">
        <v>2</v>
      </c>
      <c r="M4275">
        <v>0</v>
      </c>
      <c r="N4275" s="23">
        <v>0</v>
      </c>
      <c r="O4275">
        <f t="shared" si="907"/>
        <v>1</v>
      </c>
      <c r="P4275" s="57">
        <f t="shared" si="908"/>
        <v>3</v>
      </c>
      <c r="Q4275" s="267">
        <f t="shared" si="909"/>
        <v>74</v>
      </c>
      <c r="R4275" s="23">
        <f t="shared" si="910"/>
        <v>71</v>
      </c>
      <c r="S4275" s="23">
        <f t="shared" si="911"/>
        <v>0</v>
      </c>
      <c r="T4275" s="23" t="str">
        <f t="shared" si="912"/>
        <v/>
      </c>
      <c r="U4275" t="str">
        <f t="shared" si="913"/>
        <v>PA_Alleg_2019p~Dem-commissioner at-large east deer (vote for 3)</v>
      </c>
      <c r="AF4275" s="22"/>
    </row>
    <row r="4276" spans="1:32">
      <c r="A4276" t="str">
        <f t="shared" si="914"/>
        <v>PA_Alleg_2019p~Dem-commissioner at-large east deer (vote for 3)</v>
      </c>
      <c r="B4276" s="55" t="s">
        <v>1291</v>
      </c>
      <c r="C4276">
        <v>547</v>
      </c>
      <c r="D4276" s="55" t="s">
        <v>526</v>
      </c>
      <c r="E4276" s="55" t="s">
        <v>527</v>
      </c>
      <c r="F4276" t="s">
        <v>12</v>
      </c>
      <c r="G4276" s="62">
        <v>73</v>
      </c>
      <c r="H4276" s="25">
        <v>32.880000000000003</v>
      </c>
      <c r="I4276">
        <v>890</v>
      </c>
      <c r="J4276">
        <v>113</v>
      </c>
      <c r="K4276">
        <v>2</v>
      </c>
      <c r="L4276">
        <v>2</v>
      </c>
      <c r="M4276">
        <v>0</v>
      </c>
      <c r="N4276" s="23">
        <v>0</v>
      </c>
      <c r="O4276">
        <f t="shared" si="907"/>
        <v>2</v>
      </c>
      <c r="P4276" s="57">
        <f t="shared" si="908"/>
        <v>3</v>
      </c>
      <c r="Q4276" s="267">
        <f t="shared" si="909"/>
        <v>148</v>
      </c>
      <c r="R4276" s="23">
        <f t="shared" si="910"/>
        <v>71</v>
      </c>
      <c r="S4276" s="23">
        <f t="shared" si="911"/>
        <v>0</v>
      </c>
      <c r="T4276" s="23" t="str">
        <f t="shared" si="912"/>
        <v/>
      </c>
      <c r="U4276" t="str">
        <f t="shared" si="913"/>
        <v/>
      </c>
      <c r="AF4276" s="22"/>
    </row>
    <row r="4277" spans="1:32">
      <c r="A4277" t="str">
        <f t="shared" si="914"/>
        <v>PA_Alleg_2019p~Dem-commissioner at-large east deer (vote for 3)</v>
      </c>
      <c r="B4277" s="55" t="s">
        <v>1291</v>
      </c>
      <c r="C4277">
        <v>549</v>
      </c>
      <c r="D4277" s="55" t="s">
        <v>526</v>
      </c>
      <c r="E4277" s="55" t="s">
        <v>529</v>
      </c>
      <c r="F4277" t="s">
        <v>12</v>
      </c>
      <c r="G4277" s="62">
        <v>71</v>
      </c>
      <c r="H4277" s="25">
        <v>31.98</v>
      </c>
      <c r="I4277">
        <v>890</v>
      </c>
      <c r="J4277">
        <v>113</v>
      </c>
      <c r="K4277">
        <v>2</v>
      </c>
      <c r="L4277">
        <v>2</v>
      </c>
      <c r="M4277">
        <v>0</v>
      </c>
      <c r="N4277" s="23">
        <v>0</v>
      </c>
      <c r="O4277">
        <f t="shared" si="907"/>
        <v>3</v>
      </c>
      <c r="P4277" s="57">
        <f t="shared" si="908"/>
        <v>3</v>
      </c>
      <c r="Q4277" s="267">
        <f t="shared" si="909"/>
        <v>75</v>
      </c>
      <c r="R4277" s="23">
        <f t="shared" si="910"/>
        <v>71</v>
      </c>
      <c r="S4277" s="23">
        <f t="shared" si="911"/>
        <v>0</v>
      </c>
      <c r="T4277" s="23" t="str">
        <f t="shared" si="912"/>
        <v/>
      </c>
      <c r="U4277" t="str">
        <f t="shared" si="913"/>
        <v/>
      </c>
      <c r="AF4277" s="22"/>
    </row>
    <row r="4278" spans="1:32">
      <c r="A4278" t="str">
        <f t="shared" si="914"/>
        <v>PA_Alleg_2019p~Dem-commissioner at-large east deer (vote for 3)</v>
      </c>
      <c r="B4278" s="55" t="s">
        <v>1291</v>
      </c>
      <c r="C4278">
        <v>550</v>
      </c>
      <c r="D4278" s="55" t="s">
        <v>526</v>
      </c>
      <c r="E4278" s="55" t="s">
        <v>15</v>
      </c>
      <c r="F4278" t="s">
        <v>12</v>
      </c>
      <c r="G4278" s="62">
        <v>4</v>
      </c>
      <c r="H4278" s="25">
        <v>1.8</v>
      </c>
      <c r="I4278">
        <v>890</v>
      </c>
      <c r="J4278">
        <v>113</v>
      </c>
      <c r="K4278">
        <v>2</v>
      </c>
      <c r="L4278">
        <v>2</v>
      </c>
      <c r="M4278">
        <v>0</v>
      </c>
      <c r="N4278" s="23">
        <v>0</v>
      </c>
      <c r="O4278">
        <f t="shared" si="907"/>
        <v>-3</v>
      </c>
      <c r="P4278" s="57">
        <f t="shared" si="908"/>
        <v>3</v>
      </c>
      <c r="Q4278" s="267">
        <f t="shared" si="909"/>
        <v>4</v>
      </c>
      <c r="R4278" s="23">
        <f t="shared" si="910"/>
        <v>1</v>
      </c>
      <c r="S4278" s="23">
        <f t="shared" si="911"/>
        <v>0</v>
      </c>
      <c r="T4278" s="23" t="str">
        <f t="shared" si="912"/>
        <v/>
      </c>
      <c r="U4278" t="str">
        <f t="shared" si="913"/>
        <v/>
      </c>
      <c r="AF4278" s="22"/>
    </row>
    <row r="4279" spans="1:32">
      <c r="A4279" t="str">
        <f t="shared" si="914"/>
        <v>PA_Alleg_2019p~Dem-commissioner at-large neville (vote for 1)</v>
      </c>
      <c r="B4279" s="55" t="s">
        <v>1291</v>
      </c>
      <c r="C4279">
        <v>555</v>
      </c>
      <c r="D4279" s="55" t="s">
        <v>534</v>
      </c>
      <c r="E4279" s="55" t="s">
        <v>535</v>
      </c>
      <c r="F4279" t="s">
        <v>12</v>
      </c>
      <c r="G4279" s="62">
        <v>114</v>
      </c>
      <c r="H4279" s="25">
        <v>66.67</v>
      </c>
      <c r="I4279">
        <v>797</v>
      </c>
      <c r="J4279">
        <v>246</v>
      </c>
      <c r="K4279">
        <v>3</v>
      </c>
      <c r="L4279">
        <v>3</v>
      </c>
      <c r="M4279">
        <v>0</v>
      </c>
      <c r="N4279" s="23">
        <v>0</v>
      </c>
      <c r="O4279">
        <f t="shared" si="907"/>
        <v>1</v>
      </c>
      <c r="P4279" s="57">
        <f t="shared" si="908"/>
        <v>1</v>
      </c>
      <c r="Q4279" s="267">
        <f t="shared" si="909"/>
        <v>171</v>
      </c>
      <c r="R4279" s="23">
        <f t="shared" si="910"/>
        <v>114</v>
      </c>
      <c r="S4279" s="23">
        <f t="shared" si="911"/>
        <v>0</v>
      </c>
      <c r="T4279" s="23" t="str">
        <f t="shared" si="912"/>
        <v/>
      </c>
      <c r="U4279" t="str">
        <f t="shared" si="913"/>
        <v>PA_Alleg_2019p~Dem-commissioner at-large neville (vote for 1)</v>
      </c>
      <c r="AF4279" s="22"/>
    </row>
    <row r="4280" spans="1:32">
      <c r="A4280" t="str">
        <f t="shared" si="914"/>
        <v>PA_Alleg_2019p~Dem-commissioner at-large neville (vote for 1)</v>
      </c>
      <c r="B4280" s="55" t="s">
        <v>1291</v>
      </c>
      <c r="C4280">
        <v>556</v>
      </c>
      <c r="D4280" s="55" t="s">
        <v>534</v>
      </c>
      <c r="E4280" s="55" t="s">
        <v>15</v>
      </c>
      <c r="F4280" t="s">
        <v>12</v>
      </c>
      <c r="G4280" s="62">
        <v>57</v>
      </c>
      <c r="H4280" s="25">
        <v>33.33</v>
      </c>
      <c r="I4280">
        <v>797</v>
      </c>
      <c r="J4280">
        <v>246</v>
      </c>
      <c r="K4280">
        <v>3</v>
      </c>
      <c r="L4280">
        <v>3</v>
      </c>
      <c r="M4280">
        <v>0</v>
      </c>
      <c r="N4280" s="23">
        <v>0</v>
      </c>
      <c r="O4280">
        <f t="shared" si="907"/>
        <v>-1</v>
      </c>
      <c r="P4280" s="57">
        <f t="shared" si="908"/>
        <v>1</v>
      </c>
      <c r="Q4280" s="267">
        <f t="shared" si="909"/>
        <v>57</v>
      </c>
      <c r="R4280" s="23">
        <f t="shared" si="910"/>
        <v>1</v>
      </c>
      <c r="S4280" s="23">
        <f t="shared" si="911"/>
        <v>0</v>
      </c>
      <c r="T4280" s="23" t="str">
        <f t="shared" si="912"/>
        <v/>
      </c>
      <c r="U4280" t="str">
        <f t="shared" si="913"/>
        <v/>
      </c>
      <c r="AF4280" s="22"/>
    </row>
    <row r="4281" spans="1:32">
      <c r="A4281" t="str">
        <f t="shared" si="914"/>
        <v>PA_Alleg_2019p~Dem-commissioner at-large reserve (vote for 1)</v>
      </c>
      <c r="B4281" s="55" t="s">
        <v>1291</v>
      </c>
      <c r="C4281">
        <v>557</v>
      </c>
      <c r="D4281" s="55" t="s">
        <v>536</v>
      </c>
      <c r="E4281" s="55" t="s">
        <v>537</v>
      </c>
      <c r="F4281" t="s">
        <v>12</v>
      </c>
      <c r="G4281" s="62">
        <v>289</v>
      </c>
      <c r="H4281" s="25">
        <v>96.33</v>
      </c>
      <c r="I4281">
        <v>2501</v>
      </c>
      <c r="J4281">
        <v>433</v>
      </c>
      <c r="K4281">
        <v>4</v>
      </c>
      <c r="L4281">
        <v>4</v>
      </c>
      <c r="M4281">
        <v>0</v>
      </c>
      <c r="N4281" s="23">
        <v>0</v>
      </c>
      <c r="O4281">
        <f t="shared" si="907"/>
        <v>1</v>
      </c>
      <c r="P4281" s="57">
        <f t="shared" si="908"/>
        <v>1</v>
      </c>
      <c r="Q4281" s="267">
        <f t="shared" si="909"/>
        <v>300</v>
      </c>
      <c r="R4281" s="23">
        <f t="shared" si="910"/>
        <v>289</v>
      </c>
      <c r="S4281" s="23">
        <f t="shared" si="911"/>
        <v>0</v>
      </c>
      <c r="T4281" s="23" t="str">
        <f t="shared" si="912"/>
        <v/>
      </c>
      <c r="U4281" t="str">
        <f t="shared" si="913"/>
        <v>PA_Alleg_2019p~Dem-commissioner at-large reserve (vote for 1)</v>
      </c>
      <c r="AF4281" s="22"/>
    </row>
    <row r="4282" spans="1:32">
      <c r="A4282" t="str">
        <f t="shared" si="914"/>
        <v>PA_Alleg_2019p~Dem-commissioner at-large reserve (vote for 1)</v>
      </c>
      <c r="B4282" s="55" t="s">
        <v>1291</v>
      </c>
      <c r="C4282">
        <v>558</v>
      </c>
      <c r="D4282" s="55" t="s">
        <v>536</v>
      </c>
      <c r="E4282" s="55" t="s">
        <v>15</v>
      </c>
      <c r="F4282" t="s">
        <v>12</v>
      </c>
      <c r="G4282" s="62">
        <v>11</v>
      </c>
      <c r="H4282" s="25">
        <v>3.67</v>
      </c>
      <c r="I4282">
        <v>2501</v>
      </c>
      <c r="J4282">
        <v>433</v>
      </c>
      <c r="K4282">
        <v>4</v>
      </c>
      <c r="L4282">
        <v>4</v>
      </c>
      <c r="M4282">
        <v>0</v>
      </c>
      <c r="N4282" s="23">
        <v>0</v>
      </c>
      <c r="O4282">
        <f t="shared" si="907"/>
        <v>-1</v>
      </c>
      <c r="P4282" s="57">
        <f t="shared" si="908"/>
        <v>1</v>
      </c>
      <c r="Q4282" s="267">
        <f t="shared" si="909"/>
        <v>11</v>
      </c>
      <c r="R4282" s="23">
        <f t="shared" si="910"/>
        <v>1</v>
      </c>
      <c r="S4282" s="23">
        <f t="shared" si="911"/>
        <v>0</v>
      </c>
      <c r="T4282" s="23" t="str">
        <f t="shared" si="912"/>
        <v/>
      </c>
      <c r="U4282" t="str">
        <f t="shared" si="913"/>
        <v/>
      </c>
      <c r="AF4282" s="22"/>
    </row>
    <row r="4283" spans="1:32">
      <c r="A4283" t="str">
        <f t="shared" si="914"/>
        <v>PA_Alleg_2019p~Dem-commissioner at-large upper st clair (vote for 1)</v>
      </c>
      <c r="B4283" s="55" t="s">
        <v>1291</v>
      </c>
      <c r="C4283">
        <v>559</v>
      </c>
      <c r="D4283" s="55" t="s">
        <v>538</v>
      </c>
      <c r="E4283" s="55" t="s">
        <v>15</v>
      </c>
      <c r="F4283" t="s">
        <v>12</v>
      </c>
      <c r="G4283" s="62">
        <v>199</v>
      </c>
      <c r="H4283" s="25">
        <v>100</v>
      </c>
      <c r="I4283">
        <v>16476</v>
      </c>
      <c r="J4283">
        <v>2893</v>
      </c>
      <c r="K4283">
        <v>18</v>
      </c>
      <c r="L4283">
        <v>18</v>
      </c>
      <c r="M4283">
        <v>0</v>
      </c>
      <c r="N4283" s="23">
        <v>0</v>
      </c>
      <c r="O4283">
        <f t="shared" si="907"/>
        <v>0</v>
      </c>
      <c r="P4283" s="57">
        <f t="shared" si="908"/>
        <v>1</v>
      </c>
      <c r="Q4283" s="267">
        <f t="shared" si="909"/>
        <v>199</v>
      </c>
      <c r="R4283" s="23">
        <f t="shared" si="910"/>
        <v>1</v>
      </c>
      <c r="S4283" s="23">
        <f t="shared" si="911"/>
        <v>0</v>
      </c>
      <c r="T4283" s="23" t="str">
        <f t="shared" si="912"/>
        <v/>
      </c>
      <c r="U4283" t="str">
        <f t="shared" si="913"/>
        <v>PA_Alleg_2019p~Dem-commissioner at-large upper st clair (vote for 1)</v>
      </c>
      <c r="AF4283" s="22"/>
    </row>
    <row r="4284" spans="1:32">
      <c r="A4284" t="str">
        <f t="shared" si="914"/>
        <v>PA_Alleg_2019p~Dem-commissioner at-large wilkins (vote for 2)</v>
      </c>
      <c r="B4284" s="55" t="s">
        <v>1291</v>
      </c>
      <c r="C4284">
        <v>552</v>
      </c>
      <c r="D4284" s="55" t="s">
        <v>531</v>
      </c>
      <c r="E4284" s="55" t="s">
        <v>532</v>
      </c>
      <c r="F4284" t="s">
        <v>12</v>
      </c>
      <c r="G4284" s="62">
        <v>454</v>
      </c>
      <c r="H4284" s="25">
        <v>50.11</v>
      </c>
      <c r="I4284">
        <v>4985</v>
      </c>
      <c r="J4284">
        <v>855</v>
      </c>
      <c r="K4284">
        <v>7</v>
      </c>
      <c r="L4284">
        <v>7</v>
      </c>
      <c r="M4284">
        <v>0</v>
      </c>
      <c r="N4284" s="23">
        <v>0</v>
      </c>
      <c r="O4284">
        <f t="shared" si="907"/>
        <v>1</v>
      </c>
      <c r="P4284" s="57">
        <f t="shared" si="908"/>
        <v>2</v>
      </c>
      <c r="Q4284" s="267">
        <f t="shared" si="909"/>
        <v>454</v>
      </c>
      <c r="R4284" s="23">
        <f t="shared" si="910"/>
        <v>445</v>
      </c>
      <c r="S4284" s="23">
        <f t="shared" si="911"/>
        <v>0</v>
      </c>
      <c r="T4284" s="23" t="str">
        <f t="shared" si="912"/>
        <v/>
      </c>
      <c r="U4284" t="str">
        <f t="shared" si="913"/>
        <v>PA_Alleg_2019p~Dem-commissioner at-large wilkins (vote for 2)</v>
      </c>
      <c r="AF4284" s="22"/>
    </row>
    <row r="4285" spans="1:32">
      <c r="A4285" t="str">
        <f t="shared" si="914"/>
        <v>PA_Alleg_2019p~Dem-commissioner at-large wilkins (vote for 2)</v>
      </c>
      <c r="B4285" s="55" t="s">
        <v>1291</v>
      </c>
      <c r="C4285">
        <v>553</v>
      </c>
      <c r="D4285" s="55" t="s">
        <v>531</v>
      </c>
      <c r="E4285" s="55" t="s">
        <v>533</v>
      </c>
      <c r="F4285" t="s">
        <v>12</v>
      </c>
      <c r="G4285" s="62">
        <v>445</v>
      </c>
      <c r="H4285" s="25">
        <v>49.12</v>
      </c>
      <c r="I4285">
        <v>4985</v>
      </c>
      <c r="J4285">
        <v>855</v>
      </c>
      <c r="K4285">
        <v>7</v>
      </c>
      <c r="L4285">
        <v>7</v>
      </c>
      <c r="M4285">
        <v>0</v>
      </c>
      <c r="N4285" s="23">
        <v>0</v>
      </c>
      <c r="O4285">
        <f t="shared" si="907"/>
        <v>2</v>
      </c>
      <c r="P4285" s="57">
        <f t="shared" si="908"/>
        <v>2</v>
      </c>
      <c r="Q4285" s="267">
        <f t="shared" si="909"/>
        <v>452</v>
      </c>
      <c r="R4285" s="23">
        <f t="shared" si="910"/>
        <v>445</v>
      </c>
      <c r="S4285" s="23">
        <f t="shared" si="911"/>
        <v>0</v>
      </c>
      <c r="T4285" s="23" t="str">
        <f t="shared" si="912"/>
        <v/>
      </c>
      <c r="U4285" t="str">
        <f t="shared" si="913"/>
        <v/>
      </c>
      <c r="AF4285" s="22"/>
    </row>
    <row r="4286" spans="1:32">
      <c r="A4286" t="str">
        <f t="shared" si="914"/>
        <v>PA_Alleg_2019p~Dem-commissioner at-large wilkins (vote for 2)</v>
      </c>
      <c r="B4286" s="55" t="s">
        <v>1291</v>
      </c>
      <c r="C4286">
        <v>554</v>
      </c>
      <c r="D4286" s="55" t="s">
        <v>531</v>
      </c>
      <c r="E4286" s="55" t="s">
        <v>15</v>
      </c>
      <c r="F4286" t="s">
        <v>12</v>
      </c>
      <c r="G4286" s="62">
        <v>7</v>
      </c>
      <c r="H4286" s="25">
        <v>0.77</v>
      </c>
      <c r="I4286">
        <v>4985</v>
      </c>
      <c r="J4286">
        <v>855</v>
      </c>
      <c r="K4286">
        <v>7</v>
      </c>
      <c r="L4286">
        <v>7</v>
      </c>
      <c r="M4286">
        <v>0</v>
      </c>
      <c r="N4286" s="23">
        <v>0</v>
      </c>
      <c r="O4286">
        <f t="shared" si="907"/>
        <v>-2</v>
      </c>
      <c r="P4286" s="57">
        <f t="shared" si="908"/>
        <v>2</v>
      </c>
      <c r="Q4286" s="267">
        <f t="shared" si="909"/>
        <v>7</v>
      </c>
      <c r="R4286" s="23">
        <f t="shared" si="910"/>
        <v>1</v>
      </c>
      <c r="S4286" s="23">
        <f t="shared" si="911"/>
        <v>0</v>
      </c>
      <c r="T4286" s="23" t="str">
        <f t="shared" si="912"/>
        <v/>
      </c>
      <c r="U4286" t="str">
        <f t="shared" si="913"/>
        <v/>
      </c>
      <c r="AF4286" s="22"/>
    </row>
    <row r="4287" spans="1:32">
      <c r="A4287" t="str">
        <f t="shared" si="914"/>
        <v>PA_Alleg_2019p~Dem-commissioner baldwin township (vote for 3)</v>
      </c>
      <c r="B4287" s="55" t="s">
        <v>1291</v>
      </c>
      <c r="C4287">
        <v>565</v>
      </c>
      <c r="D4287" s="55" t="s">
        <v>544</v>
      </c>
      <c r="E4287" s="55" t="s">
        <v>15</v>
      </c>
      <c r="F4287" t="s">
        <v>12</v>
      </c>
      <c r="G4287" s="62">
        <v>32</v>
      </c>
      <c r="H4287" s="25">
        <v>100</v>
      </c>
      <c r="I4287">
        <v>1496</v>
      </c>
      <c r="J4287">
        <v>247</v>
      </c>
      <c r="K4287">
        <v>2</v>
      </c>
      <c r="L4287">
        <v>2</v>
      </c>
      <c r="M4287">
        <v>0</v>
      </c>
      <c r="N4287" s="23">
        <v>0</v>
      </c>
      <c r="O4287">
        <f t="shared" si="907"/>
        <v>0</v>
      </c>
      <c r="P4287" s="57">
        <f t="shared" si="908"/>
        <v>3</v>
      </c>
      <c r="Q4287" s="267">
        <f t="shared" si="909"/>
        <v>32</v>
      </c>
      <c r="R4287" s="23">
        <f t="shared" si="910"/>
        <v>1</v>
      </c>
      <c r="S4287" s="23">
        <f t="shared" si="911"/>
        <v>0</v>
      </c>
      <c r="T4287" s="23" t="str">
        <f t="shared" si="912"/>
        <v/>
      </c>
      <c r="U4287" t="str">
        <f t="shared" si="913"/>
        <v>PA_Alleg_2019p~Dem-commissioner baldwin township (vote for 3)</v>
      </c>
      <c r="AF4287" s="22"/>
    </row>
    <row r="4288" spans="1:32">
      <c r="A4288" t="str">
        <f t="shared" si="914"/>
        <v>PA_Alleg_2019p~Dem-commissioner collier (vote for 2)</v>
      </c>
      <c r="B4288" s="55" t="s">
        <v>1291</v>
      </c>
      <c r="C4288">
        <v>583</v>
      </c>
      <c r="D4288" s="55" t="s">
        <v>560</v>
      </c>
      <c r="E4288" s="55" t="s">
        <v>15</v>
      </c>
      <c r="F4288" t="s">
        <v>12</v>
      </c>
      <c r="G4288" s="62">
        <v>361</v>
      </c>
      <c r="H4288" s="25">
        <v>35.64</v>
      </c>
      <c r="I4288">
        <v>6694</v>
      </c>
      <c r="J4288">
        <v>1089</v>
      </c>
      <c r="K4288">
        <v>6</v>
      </c>
      <c r="L4288">
        <v>6</v>
      </c>
      <c r="M4288">
        <v>0</v>
      </c>
      <c r="N4288" s="23">
        <v>0</v>
      </c>
      <c r="O4288">
        <f t="shared" si="907"/>
        <v>0</v>
      </c>
      <c r="P4288" s="57">
        <f t="shared" si="908"/>
        <v>2</v>
      </c>
      <c r="Q4288" s="267">
        <f t="shared" si="909"/>
        <v>506.5</v>
      </c>
      <c r="R4288" s="23">
        <f t="shared" si="910"/>
        <v>318</v>
      </c>
      <c r="S4288" s="23">
        <f t="shared" si="911"/>
        <v>0</v>
      </c>
      <c r="T4288" s="23" t="str">
        <f t="shared" si="912"/>
        <v/>
      </c>
      <c r="U4288" t="str">
        <f t="shared" si="913"/>
        <v>PA_Alleg_2019p~Dem-commissioner collier (vote for 2)</v>
      </c>
      <c r="AF4288" s="22"/>
    </row>
    <row r="4289" spans="1:38">
      <c r="A4289" t="str">
        <f t="shared" si="914"/>
        <v>PA_Alleg_2019p~Dem-commissioner collier (vote for 2)</v>
      </c>
      <c r="B4289" s="55" t="s">
        <v>1291</v>
      </c>
      <c r="C4289">
        <v>582</v>
      </c>
      <c r="D4289" s="55" t="s">
        <v>560</v>
      </c>
      <c r="E4289" s="55" t="s">
        <v>562</v>
      </c>
      <c r="F4289" t="s">
        <v>12</v>
      </c>
      <c r="G4289" s="62">
        <v>334</v>
      </c>
      <c r="H4289" s="25">
        <v>32.97</v>
      </c>
      <c r="I4289">
        <v>6694</v>
      </c>
      <c r="J4289">
        <v>1089</v>
      </c>
      <c r="K4289">
        <v>6</v>
      </c>
      <c r="L4289">
        <v>6</v>
      </c>
      <c r="M4289">
        <v>0</v>
      </c>
      <c r="N4289" s="23">
        <v>0</v>
      </c>
      <c r="O4289">
        <f t="shared" si="907"/>
        <v>1</v>
      </c>
      <c r="P4289" s="57">
        <f t="shared" si="908"/>
        <v>2</v>
      </c>
      <c r="Q4289" s="267">
        <f t="shared" si="909"/>
        <v>652</v>
      </c>
      <c r="R4289" s="23">
        <f t="shared" si="910"/>
        <v>318</v>
      </c>
      <c r="S4289" s="23">
        <f t="shared" si="911"/>
        <v>0</v>
      </c>
      <c r="T4289" s="23" t="str">
        <f t="shared" si="912"/>
        <v/>
      </c>
      <c r="U4289" t="str">
        <f t="shared" si="913"/>
        <v/>
      </c>
      <c r="AF4289" s="22"/>
    </row>
    <row r="4290" spans="1:38">
      <c r="A4290" t="str">
        <f t="shared" si="914"/>
        <v>PA_Alleg_2019p~Dem-commissioner collier (vote for 2)</v>
      </c>
      <c r="B4290" s="55" t="s">
        <v>1291</v>
      </c>
      <c r="C4290">
        <v>581</v>
      </c>
      <c r="D4290" s="55" t="s">
        <v>560</v>
      </c>
      <c r="E4290" s="55" t="s">
        <v>561</v>
      </c>
      <c r="F4290" t="s">
        <v>12</v>
      </c>
      <c r="G4290" s="62">
        <v>318</v>
      </c>
      <c r="H4290" s="25">
        <v>31.39</v>
      </c>
      <c r="I4290">
        <v>6694</v>
      </c>
      <c r="J4290">
        <v>1089</v>
      </c>
      <c r="K4290">
        <v>6</v>
      </c>
      <c r="L4290">
        <v>6</v>
      </c>
      <c r="M4290">
        <v>0</v>
      </c>
      <c r="N4290" s="23">
        <v>0</v>
      </c>
      <c r="O4290">
        <f t="shared" ref="O4290:O4353" si="915">IF(OR(LOWER(LEFT(E4290,8))="write-in",LOWER(LEFT(E4290,8))="not qual"),IF(A4290=A4289,-ABS(O4289),0),IF(A4290=A4289,ABS(O4289)+1,1))</f>
        <v>2</v>
      </c>
      <c r="P4290" s="57">
        <f t="shared" ref="P4290:P4353" si="916">1*LEFT(RIGHT(A4290,2),1)</f>
        <v>2</v>
      </c>
      <c r="Q4290" s="267">
        <f t="shared" ref="Q4290:Q4353" si="917">IF(A4290&lt;&gt;A4291,G4290,IF(A4290=A4289,G4290+Q4291,MAX(G4290,(G4290+Q4291)/P4290)))</f>
        <v>318</v>
      </c>
      <c r="R4290" s="23">
        <f t="shared" ref="R4290:R4353" si="918">IF(O4290&gt;P4290,"",IF(O4290=P4290,G4290,IF(A4290=A4291,R4291,IF(O4290&lt;=0,1,G4290))))</f>
        <v>318</v>
      </c>
      <c r="S4290" s="23">
        <f t="shared" ref="S4290:S4353" si="919">IF(AND(O4290&gt;P4290,LOWER(LEFT(E4290,8))&lt;&gt;"write-in",LOWER(LEFT(E4290,8))&lt;&gt;"not qual"),G4290,IF(A4290=A4291,S4291,0))</f>
        <v>0</v>
      </c>
      <c r="T4290" s="23" t="str">
        <f t="shared" ref="T4290:T4353" si="920">IF(OR(A4290=A4289,S4290=0),"",R4290-ABS(S4290))</f>
        <v/>
      </c>
      <c r="U4290" t="str">
        <f t="shared" ref="U4290:U4353" si="921">IF(A4290=A4289,"",A4290)</f>
        <v/>
      </c>
      <c r="AF4290" s="22"/>
    </row>
    <row r="4291" spans="1:38">
      <c r="A4291" t="str">
        <f t="shared" ref="A4291:A4354" si="922">CONCATENATE(B4291,"~",F4291,"-",LOWER(D4291))</f>
        <v>PA_Alleg_2019p~Dem-commissioner crescent ward 1 (vote for 1)</v>
      </c>
      <c r="B4291" s="55" t="s">
        <v>1291</v>
      </c>
      <c r="C4291">
        <v>593</v>
      </c>
      <c r="D4291" s="55" t="s">
        <v>572</v>
      </c>
      <c r="E4291" s="55" t="s">
        <v>15</v>
      </c>
      <c r="F4291" t="s">
        <v>12</v>
      </c>
      <c r="G4291" s="62">
        <v>20</v>
      </c>
      <c r="H4291" s="25">
        <v>100</v>
      </c>
      <c r="I4291">
        <v>1149</v>
      </c>
      <c r="J4291">
        <v>208</v>
      </c>
      <c r="K4291">
        <v>1</v>
      </c>
      <c r="L4291">
        <v>1</v>
      </c>
      <c r="M4291">
        <v>0</v>
      </c>
      <c r="N4291" s="23">
        <v>0</v>
      </c>
      <c r="O4291">
        <f t="shared" si="915"/>
        <v>0</v>
      </c>
      <c r="P4291" s="57">
        <f t="shared" si="916"/>
        <v>1</v>
      </c>
      <c r="Q4291" s="267">
        <f t="shared" si="917"/>
        <v>20</v>
      </c>
      <c r="R4291" s="23">
        <f t="shared" si="918"/>
        <v>1</v>
      </c>
      <c r="S4291" s="23">
        <f t="shared" si="919"/>
        <v>0</v>
      </c>
      <c r="T4291" s="23" t="str">
        <f t="shared" si="920"/>
        <v/>
      </c>
      <c r="U4291" t="str">
        <f t="shared" si="921"/>
        <v>PA_Alleg_2019p~Dem-commissioner crescent ward 1 (vote for 1)</v>
      </c>
      <c r="AF4291" s="22"/>
      <c r="AG4291" s="295"/>
      <c r="AH4291" s="294"/>
      <c r="AI4291" s="279"/>
      <c r="AJ4291" s="279"/>
      <c r="AL4291" s="341"/>
    </row>
    <row r="4292" spans="1:38">
      <c r="A4292" t="str">
        <f t="shared" si="922"/>
        <v>PA_Alleg_2019p~Dem-commissioner east deer ward 1 (vote for 1)</v>
      </c>
      <c r="B4292" s="55" t="s">
        <v>1291</v>
      </c>
      <c r="C4292">
        <v>594</v>
      </c>
      <c r="D4292" s="55" t="s">
        <v>573</v>
      </c>
      <c r="E4292" s="55" t="s">
        <v>574</v>
      </c>
      <c r="F4292" t="s">
        <v>12</v>
      </c>
      <c r="G4292" s="62">
        <v>38</v>
      </c>
      <c r="H4292" s="25">
        <v>100</v>
      </c>
      <c r="I4292">
        <v>314</v>
      </c>
      <c r="J4292">
        <v>45</v>
      </c>
      <c r="K4292">
        <v>1</v>
      </c>
      <c r="L4292">
        <v>1</v>
      </c>
      <c r="M4292">
        <v>0</v>
      </c>
      <c r="N4292" s="23">
        <v>0</v>
      </c>
      <c r="O4292">
        <f t="shared" si="915"/>
        <v>1</v>
      </c>
      <c r="P4292" s="57">
        <f t="shared" si="916"/>
        <v>1</v>
      </c>
      <c r="Q4292" s="267">
        <f t="shared" si="917"/>
        <v>38</v>
      </c>
      <c r="R4292" s="23">
        <f t="shared" si="918"/>
        <v>38</v>
      </c>
      <c r="S4292" s="23">
        <f t="shared" si="919"/>
        <v>0</v>
      </c>
      <c r="T4292" s="23" t="str">
        <f t="shared" si="920"/>
        <v/>
      </c>
      <c r="U4292" t="str">
        <f t="shared" si="921"/>
        <v>PA_Alleg_2019p~Dem-commissioner east deer ward 1 (vote for 1)</v>
      </c>
      <c r="AF4292" s="22"/>
      <c r="AG4292" s="295"/>
      <c r="AH4292" s="294"/>
      <c r="AI4292" s="279"/>
      <c r="AJ4292" s="279"/>
      <c r="AL4292" s="341"/>
    </row>
    <row r="4293" spans="1:38">
      <c r="A4293" t="str">
        <f t="shared" si="922"/>
        <v>PA_Alleg_2019p~Dem-commissioner east deer ward 1 (vote for 1)</v>
      </c>
      <c r="B4293" s="55" t="s">
        <v>1291</v>
      </c>
      <c r="C4293">
        <v>595</v>
      </c>
      <c r="D4293" s="55" t="s">
        <v>573</v>
      </c>
      <c r="E4293" s="55" t="s">
        <v>15</v>
      </c>
      <c r="F4293" t="s">
        <v>12</v>
      </c>
      <c r="G4293" s="62">
        <v>0</v>
      </c>
      <c r="H4293" s="25">
        <v>0</v>
      </c>
      <c r="I4293">
        <v>314</v>
      </c>
      <c r="J4293">
        <v>45</v>
      </c>
      <c r="K4293">
        <v>1</v>
      </c>
      <c r="L4293">
        <v>1</v>
      </c>
      <c r="M4293">
        <v>0</v>
      </c>
      <c r="N4293" s="23">
        <v>0</v>
      </c>
      <c r="O4293">
        <f t="shared" si="915"/>
        <v>-1</v>
      </c>
      <c r="P4293" s="57">
        <f t="shared" si="916"/>
        <v>1</v>
      </c>
      <c r="Q4293" s="267">
        <f t="shared" si="917"/>
        <v>0</v>
      </c>
      <c r="R4293" s="23">
        <f t="shared" si="918"/>
        <v>1</v>
      </c>
      <c r="S4293" s="23">
        <f t="shared" si="919"/>
        <v>0</v>
      </c>
      <c r="T4293" s="23" t="str">
        <f t="shared" si="920"/>
        <v/>
      </c>
      <c r="U4293" t="str">
        <f t="shared" si="921"/>
        <v/>
      </c>
      <c r="AF4293" s="22"/>
      <c r="AL4293" s="23"/>
    </row>
    <row r="4294" spans="1:38">
      <c r="A4294" t="str">
        <f t="shared" si="922"/>
        <v>PA_Alleg_2019p~Dem-commissioner elizabeth township ward 1 (vote for 1)</v>
      </c>
      <c r="B4294" s="55" t="s">
        <v>1291</v>
      </c>
      <c r="C4294">
        <v>596</v>
      </c>
      <c r="D4294" s="55" t="s">
        <v>575</v>
      </c>
      <c r="E4294" s="55" t="s">
        <v>576</v>
      </c>
      <c r="F4294" t="s">
        <v>12</v>
      </c>
      <c r="G4294" s="62">
        <v>123</v>
      </c>
      <c r="H4294" s="25">
        <v>77.849999999999994</v>
      </c>
      <c r="I4294">
        <v>1501</v>
      </c>
      <c r="J4294">
        <v>287</v>
      </c>
      <c r="K4294">
        <v>2</v>
      </c>
      <c r="L4294">
        <v>2</v>
      </c>
      <c r="M4294">
        <v>0</v>
      </c>
      <c r="N4294" s="23">
        <v>0</v>
      </c>
      <c r="O4294">
        <f t="shared" si="915"/>
        <v>1</v>
      </c>
      <c r="P4294" s="57">
        <f t="shared" si="916"/>
        <v>1</v>
      </c>
      <c r="Q4294" s="267">
        <f t="shared" si="917"/>
        <v>158</v>
      </c>
      <c r="R4294" s="23">
        <f t="shared" si="918"/>
        <v>123</v>
      </c>
      <c r="S4294" s="23">
        <f t="shared" si="919"/>
        <v>0</v>
      </c>
      <c r="T4294" s="23" t="str">
        <f t="shared" si="920"/>
        <v/>
      </c>
      <c r="U4294" t="str">
        <f t="shared" si="921"/>
        <v>PA_Alleg_2019p~Dem-commissioner elizabeth township ward 1 (vote for 1)</v>
      </c>
      <c r="AF4294" s="300"/>
    </row>
    <row r="4295" spans="1:38">
      <c r="A4295" t="str">
        <f t="shared" si="922"/>
        <v>PA_Alleg_2019p~Dem-commissioner elizabeth township ward 1 (vote for 1)</v>
      </c>
      <c r="B4295" s="55" t="s">
        <v>1291</v>
      </c>
      <c r="C4295">
        <v>597</v>
      </c>
      <c r="D4295" s="55" t="s">
        <v>575</v>
      </c>
      <c r="E4295" s="55" t="s">
        <v>15</v>
      </c>
      <c r="F4295" t="s">
        <v>12</v>
      </c>
      <c r="G4295" s="62">
        <v>35</v>
      </c>
      <c r="H4295" s="25">
        <v>22.15</v>
      </c>
      <c r="I4295">
        <v>1501</v>
      </c>
      <c r="J4295">
        <v>287</v>
      </c>
      <c r="K4295">
        <v>2</v>
      </c>
      <c r="L4295">
        <v>2</v>
      </c>
      <c r="M4295">
        <v>0</v>
      </c>
      <c r="N4295" s="23">
        <v>0</v>
      </c>
      <c r="O4295">
        <f t="shared" si="915"/>
        <v>-1</v>
      </c>
      <c r="P4295" s="57">
        <f t="shared" si="916"/>
        <v>1</v>
      </c>
      <c r="Q4295" s="267">
        <f t="shared" si="917"/>
        <v>35</v>
      </c>
      <c r="R4295" s="23">
        <f t="shared" si="918"/>
        <v>1</v>
      </c>
      <c r="S4295" s="23">
        <f t="shared" si="919"/>
        <v>0</v>
      </c>
      <c r="T4295" s="23" t="str">
        <f t="shared" si="920"/>
        <v/>
      </c>
      <c r="U4295" t="str">
        <f t="shared" si="921"/>
        <v/>
      </c>
      <c r="AF4295" s="22"/>
    </row>
    <row r="4296" spans="1:38">
      <c r="A4296" t="str">
        <f t="shared" si="922"/>
        <v>PA_Alleg_2019p~Dem-commissioner elizabeth township ward 3 (vote for 1)</v>
      </c>
      <c r="B4296" s="55" t="s">
        <v>1291</v>
      </c>
      <c r="C4296">
        <v>599</v>
      </c>
      <c r="D4296" s="55" t="s">
        <v>577</v>
      </c>
      <c r="E4296" s="55" t="s">
        <v>15</v>
      </c>
      <c r="F4296" t="s">
        <v>12</v>
      </c>
      <c r="G4296" s="62">
        <v>122</v>
      </c>
      <c r="H4296" s="25">
        <v>51.69</v>
      </c>
      <c r="I4296">
        <v>1347</v>
      </c>
      <c r="J4296">
        <v>381</v>
      </c>
      <c r="K4296">
        <v>1</v>
      </c>
      <c r="L4296">
        <v>1</v>
      </c>
      <c r="M4296">
        <v>0</v>
      </c>
      <c r="N4296" s="23">
        <v>0</v>
      </c>
      <c r="O4296">
        <f t="shared" si="915"/>
        <v>0</v>
      </c>
      <c r="P4296" s="57">
        <f t="shared" si="916"/>
        <v>1</v>
      </c>
      <c r="Q4296" s="267">
        <f t="shared" si="917"/>
        <v>236</v>
      </c>
      <c r="R4296" s="23">
        <f t="shared" si="918"/>
        <v>114</v>
      </c>
      <c r="S4296" s="23">
        <f t="shared" si="919"/>
        <v>0</v>
      </c>
      <c r="T4296" s="23" t="str">
        <f t="shared" si="920"/>
        <v/>
      </c>
      <c r="U4296" t="str">
        <f t="shared" si="921"/>
        <v>PA_Alleg_2019p~Dem-commissioner elizabeth township ward 3 (vote for 1)</v>
      </c>
      <c r="W4296" s="40"/>
      <c r="X4296" s="72"/>
      <c r="Y4296" s="40"/>
      <c r="AF4296" s="22"/>
    </row>
    <row r="4297" spans="1:38">
      <c r="A4297" t="str">
        <f t="shared" si="922"/>
        <v>PA_Alleg_2019p~Dem-commissioner elizabeth township ward 3 (vote for 1)</v>
      </c>
      <c r="B4297" s="55" t="s">
        <v>1291</v>
      </c>
      <c r="C4297">
        <v>598</v>
      </c>
      <c r="D4297" s="55" t="s">
        <v>577</v>
      </c>
      <c r="E4297" s="55" t="s">
        <v>578</v>
      </c>
      <c r="F4297" t="s">
        <v>12</v>
      </c>
      <c r="G4297" s="62">
        <v>114</v>
      </c>
      <c r="H4297" s="25">
        <v>48.31</v>
      </c>
      <c r="I4297">
        <v>1347</v>
      </c>
      <c r="J4297">
        <v>381</v>
      </c>
      <c r="K4297">
        <v>1</v>
      </c>
      <c r="L4297">
        <v>1</v>
      </c>
      <c r="M4297">
        <v>0</v>
      </c>
      <c r="N4297" s="23">
        <v>0</v>
      </c>
      <c r="O4297">
        <f t="shared" si="915"/>
        <v>1</v>
      </c>
      <c r="P4297" s="57">
        <f t="shared" si="916"/>
        <v>1</v>
      </c>
      <c r="Q4297" s="267">
        <f t="shared" si="917"/>
        <v>114</v>
      </c>
      <c r="R4297" s="23">
        <f t="shared" si="918"/>
        <v>114</v>
      </c>
      <c r="S4297" s="23">
        <f t="shared" si="919"/>
        <v>0</v>
      </c>
      <c r="T4297" s="23" t="str">
        <f t="shared" si="920"/>
        <v/>
      </c>
      <c r="U4297" t="str">
        <f t="shared" si="921"/>
        <v/>
      </c>
      <c r="W4297" s="40"/>
      <c r="X4297" s="72"/>
      <c r="Y4297" s="40"/>
      <c r="AF4297" s="22"/>
      <c r="AG4297" s="89"/>
      <c r="AH4297" s="274"/>
      <c r="AI4297" s="279"/>
      <c r="AJ4297" s="280"/>
      <c r="AK4297" s="92"/>
      <c r="AL4297" s="23"/>
    </row>
    <row r="4298" spans="1:38">
      <c r="A4298" t="str">
        <f t="shared" si="922"/>
        <v>PA_Alleg_2019p~Dem-commissioner elizabeth township ward 5 (vote for 1)</v>
      </c>
      <c r="B4298" s="55" t="s">
        <v>1291</v>
      </c>
      <c r="C4298">
        <v>600</v>
      </c>
      <c r="D4298" s="55" t="s">
        <v>579</v>
      </c>
      <c r="E4298" s="55" t="s">
        <v>15</v>
      </c>
      <c r="F4298" t="s">
        <v>12</v>
      </c>
      <c r="G4298" s="62">
        <v>44</v>
      </c>
      <c r="H4298" s="25">
        <v>100</v>
      </c>
      <c r="I4298">
        <v>1296</v>
      </c>
      <c r="J4298">
        <v>215</v>
      </c>
      <c r="K4298">
        <v>2</v>
      </c>
      <c r="L4298">
        <v>2</v>
      </c>
      <c r="M4298">
        <v>0</v>
      </c>
      <c r="N4298" s="23">
        <v>0</v>
      </c>
      <c r="O4298">
        <f t="shared" si="915"/>
        <v>0</v>
      </c>
      <c r="P4298" s="57">
        <f t="shared" si="916"/>
        <v>1</v>
      </c>
      <c r="Q4298" s="267">
        <f t="shared" si="917"/>
        <v>44</v>
      </c>
      <c r="R4298" s="23">
        <f t="shared" si="918"/>
        <v>1</v>
      </c>
      <c r="S4298" s="23">
        <f t="shared" si="919"/>
        <v>0</v>
      </c>
      <c r="T4298" s="23" t="str">
        <f t="shared" si="920"/>
        <v/>
      </c>
      <c r="U4298" t="str">
        <f t="shared" si="921"/>
        <v>PA_Alleg_2019p~Dem-commissioner elizabeth township ward 5 (vote for 1)</v>
      </c>
      <c r="W4298" s="40"/>
      <c r="X4298" s="72"/>
      <c r="Y4298" s="40"/>
      <c r="AF4298" s="22"/>
      <c r="AG4298" s="302"/>
      <c r="AH4298" s="301"/>
      <c r="AI4298" s="303"/>
      <c r="AJ4298" s="303"/>
      <c r="AK4298" s="342"/>
      <c r="AL4298" s="343"/>
    </row>
    <row r="4299" spans="1:38">
      <c r="A4299" t="str">
        <f t="shared" si="922"/>
        <v>PA_Alleg_2019p~Dem-commissioner elizabeth township ward 7 (vote for 1)</v>
      </c>
      <c r="B4299" s="55" t="s">
        <v>1291</v>
      </c>
      <c r="C4299">
        <v>601</v>
      </c>
      <c r="D4299" s="55" t="s">
        <v>580</v>
      </c>
      <c r="E4299" s="55" t="s">
        <v>581</v>
      </c>
      <c r="F4299" t="s">
        <v>12</v>
      </c>
      <c r="G4299" s="62">
        <v>88</v>
      </c>
      <c r="H4299" s="25">
        <v>67.69</v>
      </c>
      <c r="I4299">
        <v>1276</v>
      </c>
      <c r="J4299">
        <v>243</v>
      </c>
      <c r="K4299">
        <v>1</v>
      </c>
      <c r="L4299">
        <v>1</v>
      </c>
      <c r="M4299">
        <v>0</v>
      </c>
      <c r="N4299" s="23">
        <v>0</v>
      </c>
      <c r="O4299">
        <f t="shared" si="915"/>
        <v>1</v>
      </c>
      <c r="P4299" s="57">
        <f t="shared" si="916"/>
        <v>1</v>
      </c>
      <c r="Q4299" s="267">
        <f t="shared" si="917"/>
        <v>130</v>
      </c>
      <c r="R4299" s="23">
        <f t="shared" si="918"/>
        <v>88</v>
      </c>
      <c r="S4299" s="23">
        <f t="shared" si="919"/>
        <v>0</v>
      </c>
      <c r="T4299" s="23" t="str">
        <f t="shared" si="920"/>
        <v/>
      </c>
      <c r="U4299" t="str">
        <f t="shared" si="921"/>
        <v>PA_Alleg_2019p~Dem-commissioner elizabeth township ward 7 (vote for 1)</v>
      </c>
      <c r="W4299" s="40"/>
      <c r="X4299" s="72"/>
      <c r="Y4299" s="40"/>
      <c r="AC4299" s="9"/>
      <c r="AD4299" s="9"/>
      <c r="AE4299" s="9"/>
      <c r="AF4299" s="22"/>
    </row>
    <row r="4300" spans="1:38">
      <c r="A4300" t="str">
        <f t="shared" si="922"/>
        <v>PA_Alleg_2019p~Dem-commissioner elizabeth township ward 7 (vote for 1)</v>
      </c>
      <c r="B4300" s="55" t="s">
        <v>1291</v>
      </c>
      <c r="C4300">
        <v>602</v>
      </c>
      <c r="D4300" s="55" t="s">
        <v>580</v>
      </c>
      <c r="E4300" s="55" t="s">
        <v>15</v>
      </c>
      <c r="F4300" t="s">
        <v>12</v>
      </c>
      <c r="G4300" s="62">
        <v>42</v>
      </c>
      <c r="H4300" s="25">
        <v>32.31</v>
      </c>
      <c r="I4300">
        <v>1276</v>
      </c>
      <c r="J4300">
        <v>243</v>
      </c>
      <c r="K4300">
        <v>1</v>
      </c>
      <c r="L4300">
        <v>1</v>
      </c>
      <c r="M4300">
        <v>0</v>
      </c>
      <c r="N4300" s="23">
        <v>0</v>
      </c>
      <c r="O4300">
        <f t="shared" si="915"/>
        <v>-1</v>
      </c>
      <c r="P4300" s="57">
        <f t="shared" si="916"/>
        <v>1</v>
      </c>
      <c r="Q4300" s="267">
        <f t="shared" si="917"/>
        <v>42</v>
      </c>
      <c r="R4300" s="23">
        <f t="shared" si="918"/>
        <v>1</v>
      </c>
      <c r="S4300" s="23">
        <f t="shared" si="919"/>
        <v>0</v>
      </c>
      <c r="T4300" s="23" t="str">
        <f t="shared" si="920"/>
        <v/>
      </c>
      <c r="U4300" t="str">
        <f t="shared" si="921"/>
        <v/>
      </c>
      <c r="W4300" s="40"/>
      <c r="X4300" s="72"/>
      <c r="Y4300" s="40"/>
      <c r="AC4300" s="9"/>
      <c r="AD4300" s="9"/>
      <c r="AE4300" s="9"/>
      <c r="AF4300" s="22"/>
    </row>
    <row r="4301" spans="1:38">
      <c r="A4301" t="str">
        <f t="shared" si="922"/>
        <v>PA_Alleg_2019p~Dem-commissioner harrison ward 1 (vote for 1)</v>
      </c>
      <c r="B4301" s="55" t="s">
        <v>1291</v>
      </c>
      <c r="C4301">
        <v>604</v>
      </c>
      <c r="D4301" s="55" t="s">
        <v>582</v>
      </c>
      <c r="E4301" s="55" t="s">
        <v>584</v>
      </c>
      <c r="F4301" t="s">
        <v>12</v>
      </c>
      <c r="G4301" s="62">
        <v>175</v>
      </c>
      <c r="H4301" s="25">
        <v>69.17</v>
      </c>
      <c r="I4301">
        <v>1541</v>
      </c>
      <c r="J4301">
        <v>433</v>
      </c>
      <c r="K4301">
        <v>3</v>
      </c>
      <c r="L4301">
        <v>3</v>
      </c>
      <c r="M4301">
        <v>0</v>
      </c>
      <c r="N4301" s="23">
        <v>0</v>
      </c>
      <c r="O4301">
        <f t="shared" si="915"/>
        <v>1</v>
      </c>
      <c r="P4301" s="57">
        <f t="shared" si="916"/>
        <v>1</v>
      </c>
      <c r="Q4301" s="267">
        <f t="shared" si="917"/>
        <v>253</v>
      </c>
      <c r="R4301" s="23">
        <f t="shared" si="918"/>
        <v>175</v>
      </c>
      <c r="S4301" s="23">
        <f t="shared" si="919"/>
        <v>74</v>
      </c>
      <c r="T4301" s="23">
        <f t="shared" si="920"/>
        <v>101</v>
      </c>
      <c r="U4301" t="str">
        <f t="shared" si="921"/>
        <v>PA_Alleg_2019p~Dem-commissioner harrison ward 1 (vote for 1)</v>
      </c>
      <c r="W4301" s="40"/>
      <c r="X4301" s="72"/>
      <c r="Y4301" s="40"/>
      <c r="AC4301" s="9"/>
      <c r="AD4301" s="9"/>
      <c r="AE4301" s="9"/>
      <c r="AF4301" s="22"/>
    </row>
    <row r="4302" spans="1:38">
      <c r="A4302" t="str">
        <f t="shared" si="922"/>
        <v>PA_Alleg_2019p~Dem-commissioner harrison ward 1 (vote for 1)</v>
      </c>
      <c r="B4302" s="55" t="s">
        <v>1291</v>
      </c>
      <c r="C4302">
        <v>603</v>
      </c>
      <c r="D4302" s="55" t="s">
        <v>582</v>
      </c>
      <c r="E4302" s="55" t="s">
        <v>583</v>
      </c>
      <c r="F4302" t="s">
        <v>12</v>
      </c>
      <c r="G4302" s="62">
        <v>74</v>
      </c>
      <c r="H4302" s="25">
        <v>29.25</v>
      </c>
      <c r="I4302">
        <v>1541</v>
      </c>
      <c r="J4302">
        <v>433</v>
      </c>
      <c r="K4302">
        <v>3</v>
      </c>
      <c r="L4302">
        <v>3</v>
      </c>
      <c r="M4302">
        <v>0</v>
      </c>
      <c r="N4302" s="23">
        <v>0</v>
      </c>
      <c r="O4302">
        <f t="shared" si="915"/>
        <v>2</v>
      </c>
      <c r="P4302" s="57">
        <f t="shared" si="916"/>
        <v>1</v>
      </c>
      <c r="Q4302" s="267">
        <f t="shared" si="917"/>
        <v>78</v>
      </c>
      <c r="R4302" s="23" t="str">
        <f t="shared" si="918"/>
        <v/>
      </c>
      <c r="S4302" s="23">
        <f t="shared" si="919"/>
        <v>74</v>
      </c>
      <c r="T4302" s="23" t="str">
        <f t="shared" si="920"/>
        <v/>
      </c>
      <c r="U4302" t="str">
        <f t="shared" si="921"/>
        <v/>
      </c>
      <c r="W4302" s="40"/>
      <c r="X4302" s="72"/>
      <c r="Y4302" s="40"/>
      <c r="AC4302" s="9"/>
      <c r="AD4302" s="9"/>
      <c r="AE4302" s="9"/>
      <c r="AF4302" s="293"/>
    </row>
    <row r="4303" spans="1:38">
      <c r="A4303" t="str">
        <f t="shared" si="922"/>
        <v>PA_Alleg_2019p~Dem-commissioner harrison ward 1 (vote for 1)</v>
      </c>
      <c r="B4303" s="55" t="s">
        <v>1291</v>
      </c>
      <c r="C4303">
        <v>605</v>
      </c>
      <c r="D4303" s="55" t="s">
        <v>582</v>
      </c>
      <c r="E4303" s="55" t="s">
        <v>15</v>
      </c>
      <c r="F4303" t="s">
        <v>12</v>
      </c>
      <c r="G4303" s="62">
        <v>4</v>
      </c>
      <c r="H4303" s="25">
        <v>1.58</v>
      </c>
      <c r="I4303">
        <v>1541</v>
      </c>
      <c r="J4303">
        <v>433</v>
      </c>
      <c r="K4303">
        <v>3</v>
      </c>
      <c r="L4303">
        <v>3</v>
      </c>
      <c r="M4303">
        <v>0</v>
      </c>
      <c r="N4303" s="23">
        <v>0</v>
      </c>
      <c r="O4303">
        <f t="shared" si="915"/>
        <v>-2</v>
      </c>
      <c r="P4303" s="57">
        <f t="shared" si="916"/>
        <v>1</v>
      </c>
      <c r="Q4303" s="267">
        <f t="shared" si="917"/>
        <v>4</v>
      </c>
      <c r="R4303" s="23">
        <f t="shared" si="918"/>
        <v>1</v>
      </c>
      <c r="S4303" s="23">
        <f t="shared" si="919"/>
        <v>0</v>
      </c>
      <c r="T4303" s="23" t="str">
        <f t="shared" si="920"/>
        <v/>
      </c>
      <c r="U4303" t="str">
        <f t="shared" si="921"/>
        <v/>
      </c>
      <c r="W4303" s="40"/>
      <c r="X4303" s="72"/>
      <c r="Y4303" s="40"/>
      <c r="AC4303" s="9"/>
      <c r="AD4303" s="9"/>
      <c r="AE4303" s="9"/>
      <c r="AF4303" s="22"/>
    </row>
    <row r="4304" spans="1:38">
      <c r="A4304" t="str">
        <f t="shared" si="922"/>
        <v>PA_Alleg_2019p~Dem-commissioner harrison ward 3 (vote for 1)</v>
      </c>
      <c r="B4304" s="55" t="s">
        <v>1291</v>
      </c>
      <c r="C4304">
        <v>606</v>
      </c>
      <c r="D4304" s="55" t="s">
        <v>585</v>
      </c>
      <c r="E4304" s="55" t="s">
        <v>586</v>
      </c>
      <c r="F4304" t="s">
        <v>12</v>
      </c>
      <c r="G4304" s="62">
        <v>182</v>
      </c>
      <c r="H4304" s="25">
        <v>52.15</v>
      </c>
      <c r="I4304">
        <v>1665</v>
      </c>
      <c r="J4304">
        <v>533</v>
      </c>
      <c r="K4304">
        <v>2</v>
      </c>
      <c r="L4304">
        <v>2</v>
      </c>
      <c r="M4304">
        <v>0</v>
      </c>
      <c r="N4304" s="23">
        <v>0</v>
      </c>
      <c r="O4304">
        <f t="shared" si="915"/>
        <v>1</v>
      </c>
      <c r="P4304" s="57">
        <f t="shared" si="916"/>
        <v>1</v>
      </c>
      <c r="Q4304" s="267">
        <f t="shared" si="917"/>
        <v>349</v>
      </c>
      <c r="R4304" s="23">
        <f t="shared" si="918"/>
        <v>182</v>
      </c>
      <c r="S4304" s="23">
        <f t="shared" si="919"/>
        <v>164</v>
      </c>
      <c r="T4304" s="23">
        <f t="shared" si="920"/>
        <v>18</v>
      </c>
      <c r="U4304" t="str">
        <f t="shared" si="921"/>
        <v>PA_Alleg_2019p~Dem-commissioner harrison ward 3 (vote for 1)</v>
      </c>
      <c r="W4304" s="40"/>
      <c r="X4304" s="72"/>
      <c r="Y4304" s="40"/>
      <c r="AC4304" s="9"/>
      <c r="AD4304" s="9"/>
      <c r="AE4304" s="9"/>
      <c r="AF4304" s="22"/>
    </row>
    <row r="4305" spans="1:38">
      <c r="A4305" t="str">
        <f t="shared" si="922"/>
        <v>PA_Alleg_2019p~Dem-commissioner harrison ward 3 (vote for 1)</v>
      </c>
      <c r="B4305" s="55" t="s">
        <v>1291</v>
      </c>
      <c r="C4305">
        <v>607</v>
      </c>
      <c r="D4305" s="55" t="s">
        <v>585</v>
      </c>
      <c r="E4305" s="55" t="s">
        <v>587</v>
      </c>
      <c r="F4305" t="s">
        <v>12</v>
      </c>
      <c r="G4305" s="62">
        <v>164</v>
      </c>
      <c r="H4305" s="25">
        <v>46.99</v>
      </c>
      <c r="I4305">
        <v>1665</v>
      </c>
      <c r="J4305">
        <v>533</v>
      </c>
      <c r="K4305">
        <v>2</v>
      </c>
      <c r="L4305">
        <v>2</v>
      </c>
      <c r="M4305">
        <v>0</v>
      </c>
      <c r="N4305" s="23">
        <v>0</v>
      </c>
      <c r="O4305">
        <f t="shared" si="915"/>
        <v>2</v>
      </c>
      <c r="P4305" s="57">
        <f t="shared" si="916"/>
        <v>1</v>
      </c>
      <c r="Q4305" s="267">
        <f t="shared" si="917"/>
        <v>167</v>
      </c>
      <c r="R4305" s="23" t="str">
        <f t="shared" si="918"/>
        <v/>
      </c>
      <c r="S4305" s="23">
        <f t="shared" si="919"/>
        <v>164</v>
      </c>
      <c r="T4305" s="23" t="str">
        <f t="shared" si="920"/>
        <v/>
      </c>
      <c r="U4305" t="str">
        <f t="shared" si="921"/>
        <v/>
      </c>
      <c r="W4305" s="40"/>
      <c r="X4305" s="72"/>
      <c r="Y4305" s="40"/>
      <c r="AC4305" s="9"/>
      <c r="AD4305" s="9"/>
      <c r="AE4305" s="9"/>
      <c r="AF4305" s="22"/>
    </row>
    <row r="4306" spans="1:38">
      <c r="A4306" t="str">
        <f t="shared" si="922"/>
        <v>PA_Alleg_2019p~Dem-commissioner harrison ward 3 (vote for 1)</v>
      </c>
      <c r="B4306" s="55" t="s">
        <v>1291</v>
      </c>
      <c r="C4306">
        <v>608</v>
      </c>
      <c r="D4306" s="55" t="s">
        <v>585</v>
      </c>
      <c r="E4306" s="55" t="s">
        <v>15</v>
      </c>
      <c r="F4306" t="s">
        <v>12</v>
      </c>
      <c r="G4306" s="62">
        <v>3</v>
      </c>
      <c r="H4306" s="25">
        <v>0.86</v>
      </c>
      <c r="I4306">
        <v>1665</v>
      </c>
      <c r="J4306">
        <v>533</v>
      </c>
      <c r="K4306">
        <v>2</v>
      </c>
      <c r="L4306">
        <v>2</v>
      </c>
      <c r="M4306">
        <v>0</v>
      </c>
      <c r="N4306" s="23">
        <v>0</v>
      </c>
      <c r="O4306">
        <f t="shared" si="915"/>
        <v>-2</v>
      </c>
      <c r="P4306" s="57">
        <f t="shared" si="916"/>
        <v>1</v>
      </c>
      <c r="Q4306" s="267">
        <f t="shared" si="917"/>
        <v>3</v>
      </c>
      <c r="R4306" s="23">
        <f t="shared" si="918"/>
        <v>1</v>
      </c>
      <c r="S4306" s="23">
        <f t="shared" si="919"/>
        <v>0</v>
      </c>
      <c r="T4306" s="23" t="str">
        <f t="shared" si="920"/>
        <v/>
      </c>
      <c r="U4306" t="str">
        <f t="shared" si="921"/>
        <v/>
      </c>
      <c r="W4306" s="40"/>
      <c r="X4306" s="72"/>
      <c r="Y4306" s="40"/>
      <c r="AC4306" s="9"/>
      <c r="AD4306" s="9"/>
      <c r="AE4306" s="9"/>
      <c r="AF4306" s="22"/>
    </row>
    <row r="4307" spans="1:38">
      <c r="A4307" t="str">
        <f t="shared" si="922"/>
        <v>PA_Alleg_2019p~Dem-commissioner harrison ward 5 (vote for 1)</v>
      </c>
      <c r="B4307" s="55" t="s">
        <v>1291</v>
      </c>
      <c r="C4307">
        <v>609</v>
      </c>
      <c r="D4307" s="55" t="s">
        <v>588</v>
      </c>
      <c r="E4307" s="55" t="s">
        <v>589</v>
      </c>
      <c r="F4307" t="s">
        <v>12</v>
      </c>
      <c r="G4307" s="62">
        <v>115</v>
      </c>
      <c r="H4307" s="25">
        <v>98.29</v>
      </c>
      <c r="I4307">
        <v>1347</v>
      </c>
      <c r="J4307">
        <v>202</v>
      </c>
      <c r="K4307">
        <v>2</v>
      </c>
      <c r="L4307">
        <v>2</v>
      </c>
      <c r="M4307">
        <v>0</v>
      </c>
      <c r="N4307" s="23">
        <v>0</v>
      </c>
      <c r="O4307">
        <f t="shared" si="915"/>
        <v>1</v>
      </c>
      <c r="P4307" s="57">
        <f t="shared" si="916"/>
        <v>1</v>
      </c>
      <c r="Q4307" s="267">
        <f t="shared" si="917"/>
        <v>117</v>
      </c>
      <c r="R4307" s="23">
        <f t="shared" si="918"/>
        <v>115</v>
      </c>
      <c r="S4307" s="23">
        <f t="shared" si="919"/>
        <v>0</v>
      </c>
      <c r="T4307" s="23" t="str">
        <f t="shared" si="920"/>
        <v/>
      </c>
      <c r="U4307" t="str">
        <f t="shared" si="921"/>
        <v>PA_Alleg_2019p~Dem-commissioner harrison ward 5 (vote for 1)</v>
      </c>
      <c r="W4307" s="40"/>
      <c r="X4307" s="72"/>
      <c r="Y4307" s="40"/>
      <c r="AC4307" s="9"/>
      <c r="AD4307" s="9"/>
      <c r="AE4307" s="9"/>
      <c r="AF4307" s="22"/>
    </row>
    <row r="4308" spans="1:38">
      <c r="A4308" t="str">
        <f t="shared" si="922"/>
        <v>PA_Alleg_2019p~Dem-commissioner harrison ward 5 (vote for 1)</v>
      </c>
      <c r="B4308" s="55" t="s">
        <v>1291</v>
      </c>
      <c r="C4308">
        <v>610</v>
      </c>
      <c r="D4308" s="55" t="s">
        <v>588</v>
      </c>
      <c r="E4308" s="55" t="s">
        <v>15</v>
      </c>
      <c r="F4308" t="s">
        <v>12</v>
      </c>
      <c r="G4308" s="62">
        <v>2</v>
      </c>
      <c r="H4308" s="25">
        <v>1.71</v>
      </c>
      <c r="I4308">
        <v>1347</v>
      </c>
      <c r="J4308">
        <v>202</v>
      </c>
      <c r="K4308">
        <v>2</v>
      </c>
      <c r="L4308">
        <v>2</v>
      </c>
      <c r="M4308">
        <v>0</v>
      </c>
      <c r="N4308" s="23">
        <v>0</v>
      </c>
      <c r="O4308">
        <f t="shared" si="915"/>
        <v>-1</v>
      </c>
      <c r="P4308" s="57">
        <f t="shared" si="916"/>
        <v>1</v>
      </c>
      <c r="Q4308" s="267">
        <f t="shared" si="917"/>
        <v>2</v>
      </c>
      <c r="R4308" s="23">
        <f t="shared" si="918"/>
        <v>1</v>
      </c>
      <c r="S4308" s="23">
        <f t="shared" si="919"/>
        <v>0</v>
      </c>
      <c r="T4308" s="23" t="str">
        <f t="shared" si="920"/>
        <v/>
      </c>
      <c r="U4308" t="str">
        <f t="shared" si="921"/>
        <v/>
      </c>
      <c r="W4308" s="40"/>
      <c r="X4308" s="72"/>
      <c r="Y4308" s="40"/>
      <c r="AC4308" s="9"/>
      <c r="AD4308" s="9"/>
      <c r="AE4308" s="9"/>
      <c r="AF4308" s="22"/>
    </row>
    <row r="4309" spans="1:38">
      <c r="A4309" t="str">
        <f t="shared" si="922"/>
        <v>PA_Alleg_2019p~Dem-commissioner kennedy (vote for 1)</v>
      </c>
      <c r="B4309" s="55" t="s">
        <v>1291</v>
      </c>
      <c r="C4309">
        <v>591</v>
      </c>
      <c r="D4309" s="55" t="s">
        <v>570</v>
      </c>
      <c r="E4309" s="55" t="s">
        <v>571</v>
      </c>
      <c r="F4309" t="s">
        <v>12</v>
      </c>
      <c r="G4309" s="62">
        <v>882</v>
      </c>
      <c r="H4309" s="25">
        <v>99.1</v>
      </c>
      <c r="I4309">
        <v>6687</v>
      </c>
      <c r="J4309">
        <v>1153</v>
      </c>
      <c r="K4309">
        <v>7</v>
      </c>
      <c r="L4309">
        <v>7</v>
      </c>
      <c r="M4309">
        <v>0</v>
      </c>
      <c r="N4309" s="23">
        <v>0</v>
      </c>
      <c r="O4309">
        <f t="shared" si="915"/>
        <v>1</v>
      </c>
      <c r="P4309" s="57">
        <f t="shared" si="916"/>
        <v>1</v>
      </c>
      <c r="Q4309" s="267">
        <f t="shared" si="917"/>
        <v>890</v>
      </c>
      <c r="R4309" s="23">
        <f t="shared" si="918"/>
        <v>882</v>
      </c>
      <c r="S4309" s="23">
        <f t="shared" si="919"/>
        <v>0</v>
      </c>
      <c r="T4309" s="23" t="str">
        <f t="shared" si="920"/>
        <v/>
      </c>
      <c r="U4309" t="str">
        <f t="shared" si="921"/>
        <v>PA_Alleg_2019p~Dem-commissioner kennedy (vote for 1)</v>
      </c>
      <c r="W4309" s="40"/>
      <c r="X4309" s="72"/>
      <c r="Y4309" s="40"/>
      <c r="AC4309" s="9"/>
      <c r="AD4309" s="9"/>
      <c r="AE4309" s="9"/>
      <c r="AF4309" s="22"/>
      <c r="AG4309" s="302"/>
      <c r="AH4309" s="301"/>
      <c r="AI4309" s="303"/>
      <c r="AJ4309" s="303"/>
      <c r="AK4309" s="342"/>
      <c r="AL4309" s="343"/>
    </row>
    <row r="4310" spans="1:38">
      <c r="A4310" t="str">
        <f t="shared" si="922"/>
        <v>PA_Alleg_2019p~Dem-commissioner kennedy (vote for 1)</v>
      </c>
      <c r="B4310" s="55" t="s">
        <v>1291</v>
      </c>
      <c r="C4310">
        <v>592</v>
      </c>
      <c r="D4310" s="55" t="s">
        <v>570</v>
      </c>
      <c r="E4310" s="55" t="s">
        <v>15</v>
      </c>
      <c r="F4310" t="s">
        <v>12</v>
      </c>
      <c r="G4310" s="62">
        <v>8</v>
      </c>
      <c r="H4310" s="25">
        <v>0.9</v>
      </c>
      <c r="I4310">
        <v>6687</v>
      </c>
      <c r="J4310">
        <v>1153</v>
      </c>
      <c r="K4310">
        <v>7</v>
      </c>
      <c r="L4310">
        <v>7</v>
      </c>
      <c r="M4310">
        <v>0</v>
      </c>
      <c r="N4310" s="23">
        <v>0</v>
      </c>
      <c r="O4310">
        <f t="shared" si="915"/>
        <v>-1</v>
      </c>
      <c r="P4310" s="57">
        <f t="shared" si="916"/>
        <v>1</v>
      </c>
      <c r="Q4310" s="267">
        <f t="shared" si="917"/>
        <v>8</v>
      </c>
      <c r="R4310" s="23">
        <f t="shared" si="918"/>
        <v>1</v>
      </c>
      <c r="S4310" s="23">
        <f t="shared" si="919"/>
        <v>0</v>
      </c>
      <c r="T4310" s="23" t="str">
        <f t="shared" si="920"/>
        <v/>
      </c>
      <c r="U4310" t="str">
        <f t="shared" si="921"/>
        <v/>
      </c>
      <c r="W4310" s="40"/>
      <c r="X4310" s="72"/>
      <c r="Y4310" s="40"/>
      <c r="AC4310" s="9"/>
      <c r="AD4310" s="9"/>
      <c r="AE4310" s="9"/>
      <c r="AF4310" s="22"/>
    </row>
    <row r="4311" spans="1:38">
      <c r="A4311" t="str">
        <f t="shared" si="922"/>
        <v>PA_Alleg_2019p~Dem-commissioner kennedy (vote for 2)</v>
      </c>
      <c r="B4311" s="55" t="s">
        <v>1291</v>
      </c>
      <c r="C4311">
        <v>584</v>
      </c>
      <c r="D4311" s="55" t="s">
        <v>563</v>
      </c>
      <c r="E4311" s="55" t="s">
        <v>564</v>
      </c>
      <c r="F4311" t="s">
        <v>12</v>
      </c>
      <c r="G4311" s="62">
        <v>824</v>
      </c>
      <c r="H4311" s="25">
        <v>49.37</v>
      </c>
      <c r="I4311">
        <v>6687</v>
      </c>
      <c r="J4311">
        <v>1153</v>
      </c>
      <c r="K4311">
        <v>7</v>
      </c>
      <c r="L4311">
        <v>7</v>
      </c>
      <c r="M4311">
        <v>0</v>
      </c>
      <c r="N4311" s="23">
        <v>0</v>
      </c>
      <c r="O4311">
        <f t="shared" si="915"/>
        <v>1</v>
      </c>
      <c r="P4311" s="57">
        <f t="shared" si="916"/>
        <v>2</v>
      </c>
      <c r="Q4311" s="267">
        <f t="shared" si="917"/>
        <v>834.5</v>
      </c>
      <c r="R4311" s="23">
        <f t="shared" si="918"/>
        <v>821</v>
      </c>
      <c r="S4311" s="23">
        <f t="shared" si="919"/>
        <v>0</v>
      </c>
      <c r="T4311" s="23" t="str">
        <f t="shared" si="920"/>
        <v/>
      </c>
      <c r="U4311" t="str">
        <f t="shared" si="921"/>
        <v>PA_Alleg_2019p~Dem-commissioner kennedy (vote for 2)</v>
      </c>
      <c r="W4311" s="40"/>
      <c r="X4311" s="72"/>
      <c r="Y4311" s="40"/>
      <c r="AC4311" s="9"/>
      <c r="AD4311" s="9"/>
      <c r="AE4311" s="9"/>
      <c r="AF4311" s="22"/>
    </row>
    <row r="4312" spans="1:38">
      <c r="A4312" t="str">
        <f t="shared" si="922"/>
        <v>PA_Alleg_2019p~Dem-commissioner kennedy (vote for 2)</v>
      </c>
      <c r="B4312" s="55" t="s">
        <v>1291</v>
      </c>
      <c r="C4312">
        <v>585</v>
      </c>
      <c r="D4312" s="55" t="s">
        <v>563</v>
      </c>
      <c r="E4312" s="55" t="s">
        <v>565</v>
      </c>
      <c r="F4312" t="s">
        <v>12</v>
      </c>
      <c r="G4312" s="62">
        <v>821</v>
      </c>
      <c r="H4312" s="25">
        <v>49.19</v>
      </c>
      <c r="I4312">
        <v>6687</v>
      </c>
      <c r="J4312">
        <v>1153</v>
      </c>
      <c r="K4312">
        <v>7</v>
      </c>
      <c r="L4312">
        <v>7</v>
      </c>
      <c r="M4312">
        <v>0</v>
      </c>
      <c r="N4312" s="23">
        <v>0</v>
      </c>
      <c r="O4312">
        <f t="shared" si="915"/>
        <v>2</v>
      </c>
      <c r="P4312" s="57">
        <f t="shared" si="916"/>
        <v>2</v>
      </c>
      <c r="Q4312" s="267">
        <f t="shared" si="917"/>
        <v>845</v>
      </c>
      <c r="R4312" s="23">
        <f t="shared" si="918"/>
        <v>821</v>
      </c>
      <c r="S4312" s="23">
        <f t="shared" si="919"/>
        <v>0</v>
      </c>
      <c r="T4312" s="23" t="str">
        <f t="shared" si="920"/>
        <v/>
      </c>
      <c r="U4312" t="str">
        <f t="shared" si="921"/>
        <v/>
      </c>
      <c r="W4312" s="40"/>
      <c r="X4312" s="72"/>
      <c r="Y4312" s="40"/>
      <c r="AC4312" s="9"/>
      <c r="AD4312" s="9"/>
      <c r="AE4312" s="9"/>
      <c r="AF4312" s="22"/>
    </row>
    <row r="4313" spans="1:38">
      <c r="A4313" t="str">
        <f t="shared" si="922"/>
        <v>PA_Alleg_2019p~Dem-commissioner kennedy (vote for 2)</v>
      </c>
      <c r="B4313" s="55" t="s">
        <v>1291</v>
      </c>
      <c r="C4313">
        <v>586</v>
      </c>
      <c r="D4313" s="55" t="s">
        <v>563</v>
      </c>
      <c r="E4313" s="55" t="s">
        <v>15</v>
      </c>
      <c r="F4313" t="s">
        <v>12</v>
      </c>
      <c r="G4313" s="62">
        <v>24</v>
      </c>
      <c r="H4313" s="25">
        <v>1.44</v>
      </c>
      <c r="I4313">
        <v>6687</v>
      </c>
      <c r="J4313">
        <v>1153</v>
      </c>
      <c r="K4313">
        <v>7</v>
      </c>
      <c r="L4313">
        <v>7</v>
      </c>
      <c r="M4313">
        <v>0</v>
      </c>
      <c r="N4313" s="23">
        <v>0</v>
      </c>
      <c r="O4313">
        <f t="shared" si="915"/>
        <v>-2</v>
      </c>
      <c r="P4313" s="57">
        <f t="shared" si="916"/>
        <v>2</v>
      </c>
      <c r="Q4313" s="267">
        <f t="shared" si="917"/>
        <v>24</v>
      </c>
      <c r="R4313" s="23">
        <f t="shared" si="918"/>
        <v>1</v>
      </c>
      <c r="S4313" s="23">
        <f t="shared" si="919"/>
        <v>0</v>
      </c>
      <c r="T4313" s="23" t="str">
        <f t="shared" si="920"/>
        <v/>
      </c>
      <c r="U4313" t="str">
        <f t="shared" si="921"/>
        <v/>
      </c>
      <c r="W4313" s="40"/>
      <c r="X4313" s="72"/>
      <c r="Y4313" s="40"/>
      <c r="AC4313" s="9"/>
      <c r="AD4313" s="9"/>
      <c r="AE4313" s="9"/>
      <c r="AF4313" s="22"/>
      <c r="AL4313" s="344"/>
    </row>
    <row r="4314" spans="1:38">
      <c r="A4314" t="str">
        <f t="shared" si="922"/>
        <v>PA_Alleg_2019p~Dem-commissioner leet (vote for 3)</v>
      </c>
      <c r="B4314" s="55" t="s">
        <v>1291</v>
      </c>
      <c r="C4314">
        <v>567</v>
      </c>
      <c r="D4314" s="55" t="s">
        <v>545</v>
      </c>
      <c r="E4314" s="55" t="s">
        <v>15</v>
      </c>
      <c r="F4314" t="s">
        <v>12</v>
      </c>
      <c r="G4314" s="62">
        <v>103</v>
      </c>
      <c r="H4314" s="25">
        <v>50.74</v>
      </c>
      <c r="I4314">
        <v>1199</v>
      </c>
      <c r="J4314">
        <v>267</v>
      </c>
      <c r="K4314">
        <v>2</v>
      </c>
      <c r="L4314">
        <v>2</v>
      </c>
      <c r="M4314">
        <v>0</v>
      </c>
      <c r="N4314" s="23">
        <v>0</v>
      </c>
      <c r="O4314">
        <f t="shared" si="915"/>
        <v>0</v>
      </c>
      <c r="P4314" s="57">
        <f t="shared" si="916"/>
        <v>3</v>
      </c>
      <c r="Q4314" s="267">
        <f t="shared" si="917"/>
        <v>103</v>
      </c>
      <c r="R4314" s="23">
        <f t="shared" si="918"/>
        <v>100</v>
      </c>
      <c r="S4314" s="23">
        <f t="shared" si="919"/>
        <v>0</v>
      </c>
      <c r="T4314" s="23" t="str">
        <f t="shared" si="920"/>
        <v/>
      </c>
      <c r="U4314" t="str">
        <f t="shared" si="921"/>
        <v>PA_Alleg_2019p~Dem-commissioner leet (vote for 3)</v>
      </c>
      <c r="W4314" s="40"/>
      <c r="X4314" s="72"/>
      <c r="Y4314" s="40"/>
      <c r="AC4314" s="9"/>
      <c r="AD4314" s="9"/>
      <c r="AE4314" s="9"/>
      <c r="AF4314" s="22"/>
    </row>
    <row r="4315" spans="1:38">
      <c r="A4315" t="str">
        <f t="shared" si="922"/>
        <v>PA_Alleg_2019p~Dem-commissioner leet (vote for 3)</v>
      </c>
      <c r="B4315" s="55" t="s">
        <v>1291</v>
      </c>
      <c r="C4315">
        <v>566</v>
      </c>
      <c r="D4315" s="55" t="s">
        <v>545</v>
      </c>
      <c r="E4315" s="55" t="s">
        <v>546</v>
      </c>
      <c r="F4315" t="s">
        <v>12</v>
      </c>
      <c r="G4315" s="62">
        <v>100</v>
      </c>
      <c r="H4315" s="25">
        <v>49.26</v>
      </c>
      <c r="I4315">
        <v>1199</v>
      </c>
      <c r="J4315">
        <v>267</v>
      </c>
      <c r="K4315">
        <v>2</v>
      </c>
      <c r="L4315">
        <v>2</v>
      </c>
      <c r="M4315">
        <v>0</v>
      </c>
      <c r="N4315" s="23">
        <v>0</v>
      </c>
      <c r="O4315">
        <f t="shared" si="915"/>
        <v>1</v>
      </c>
      <c r="P4315" s="57">
        <f t="shared" si="916"/>
        <v>3</v>
      </c>
      <c r="Q4315" s="267">
        <f t="shared" si="917"/>
        <v>100</v>
      </c>
      <c r="R4315" s="23">
        <f t="shared" si="918"/>
        <v>100</v>
      </c>
      <c r="S4315" s="23">
        <f t="shared" si="919"/>
        <v>0</v>
      </c>
      <c r="T4315" s="23" t="str">
        <f t="shared" si="920"/>
        <v/>
      </c>
      <c r="U4315" t="str">
        <f t="shared" si="921"/>
        <v/>
      </c>
      <c r="W4315" s="40"/>
      <c r="X4315" s="72"/>
      <c r="Y4315" s="40"/>
      <c r="AC4315" s="9"/>
      <c r="AD4315" s="9"/>
      <c r="AE4315" s="9"/>
      <c r="AF4315" s="22"/>
    </row>
    <row r="4316" spans="1:38">
      <c r="A4316" t="str">
        <f t="shared" si="922"/>
        <v>PA_Alleg_2019p~Dem-commissioner mt lebanon ward 1 (vote for 1)</v>
      </c>
      <c r="B4316" s="55" t="s">
        <v>1291</v>
      </c>
      <c r="C4316">
        <v>611</v>
      </c>
      <c r="D4316" s="55" t="s">
        <v>590</v>
      </c>
      <c r="E4316" s="55" t="s">
        <v>591</v>
      </c>
      <c r="F4316" t="s">
        <v>12</v>
      </c>
      <c r="G4316" s="62">
        <v>559</v>
      </c>
      <c r="H4316" s="25">
        <v>99.82</v>
      </c>
      <c r="I4316">
        <v>5600</v>
      </c>
      <c r="J4316">
        <v>857</v>
      </c>
      <c r="K4316">
        <v>7</v>
      </c>
      <c r="L4316">
        <v>7</v>
      </c>
      <c r="M4316">
        <v>0</v>
      </c>
      <c r="N4316" s="23">
        <v>0</v>
      </c>
      <c r="O4316">
        <f t="shared" si="915"/>
        <v>1</v>
      </c>
      <c r="P4316" s="57">
        <f t="shared" si="916"/>
        <v>1</v>
      </c>
      <c r="Q4316" s="267">
        <f t="shared" si="917"/>
        <v>560</v>
      </c>
      <c r="R4316" s="23">
        <f t="shared" si="918"/>
        <v>559</v>
      </c>
      <c r="S4316" s="23">
        <f t="shared" si="919"/>
        <v>0</v>
      </c>
      <c r="T4316" s="23" t="str">
        <f t="shared" si="920"/>
        <v/>
      </c>
      <c r="U4316" t="str">
        <f t="shared" si="921"/>
        <v>PA_Alleg_2019p~Dem-commissioner mt lebanon ward 1 (vote for 1)</v>
      </c>
      <c r="W4316" s="40"/>
      <c r="X4316" s="72"/>
      <c r="Y4316" s="40"/>
      <c r="AC4316" s="9"/>
      <c r="AD4316" s="9"/>
      <c r="AE4316" s="9"/>
      <c r="AF4316" s="22"/>
      <c r="AG4316" s="89"/>
      <c r="AH4316" s="274"/>
      <c r="AI4316" s="279"/>
      <c r="AJ4316" s="280"/>
      <c r="AK4316" s="92"/>
      <c r="AL4316" s="23"/>
    </row>
    <row r="4317" spans="1:38">
      <c r="A4317" t="str">
        <f t="shared" si="922"/>
        <v>PA_Alleg_2019p~Dem-commissioner mt lebanon ward 1 (vote for 1)</v>
      </c>
      <c r="B4317" s="55" t="s">
        <v>1291</v>
      </c>
      <c r="C4317">
        <v>612</v>
      </c>
      <c r="D4317" s="55" t="s">
        <v>590</v>
      </c>
      <c r="E4317" s="55" t="s">
        <v>15</v>
      </c>
      <c r="F4317" t="s">
        <v>12</v>
      </c>
      <c r="G4317" s="62">
        <v>1</v>
      </c>
      <c r="H4317" s="25">
        <v>0.18</v>
      </c>
      <c r="I4317">
        <v>5600</v>
      </c>
      <c r="J4317">
        <v>857</v>
      </c>
      <c r="K4317">
        <v>7</v>
      </c>
      <c r="L4317">
        <v>7</v>
      </c>
      <c r="M4317">
        <v>0</v>
      </c>
      <c r="N4317" s="23">
        <v>0</v>
      </c>
      <c r="O4317">
        <f t="shared" si="915"/>
        <v>-1</v>
      </c>
      <c r="P4317" s="57">
        <f t="shared" si="916"/>
        <v>1</v>
      </c>
      <c r="Q4317" s="267">
        <f t="shared" si="917"/>
        <v>1</v>
      </c>
      <c r="R4317" s="23">
        <f t="shared" si="918"/>
        <v>1</v>
      </c>
      <c r="S4317" s="23">
        <f t="shared" si="919"/>
        <v>0</v>
      </c>
      <c r="T4317" s="23" t="str">
        <f t="shared" si="920"/>
        <v/>
      </c>
      <c r="U4317" t="str">
        <f t="shared" si="921"/>
        <v/>
      </c>
      <c r="W4317" s="40"/>
      <c r="X4317" s="72"/>
      <c r="Y4317" s="40"/>
      <c r="AC4317" s="9"/>
      <c r="AD4317" s="9"/>
      <c r="AE4317" s="9"/>
      <c r="AF4317" s="22"/>
      <c r="AG4317" s="23"/>
      <c r="AH4317" s="8"/>
    </row>
    <row r="4318" spans="1:38">
      <c r="A4318" t="str">
        <f t="shared" si="922"/>
        <v>PA_Alleg_2019p~Dem-commissioner mt lebanon ward 3 (vote for 1)</v>
      </c>
      <c r="B4318" s="55" t="s">
        <v>1291</v>
      </c>
      <c r="C4318">
        <v>613</v>
      </c>
      <c r="D4318" s="55" t="s">
        <v>592</v>
      </c>
      <c r="E4318" s="55" t="s">
        <v>593</v>
      </c>
      <c r="F4318" t="s">
        <v>12</v>
      </c>
      <c r="G4318" s="62">
        <v>572</v>
      </c>
      <c r="H4318" s="25">
        <v>99.65</v>
      </c>
      <c r="I4318">
        <v>5468</v>
      </c>
      <c r="J4318">
        <v>839</v>
      </c>
      <c r="K4318">
        <v>8</v>
      </c>
      <c r="L4318">
        <v>8</v>
      </c>
      <c r="M4318">
        <v>0</v>
      </c>
      <c r="N4318" s="23">
        <v>0</v>
      </c>
      <c r="O4318">
        <f t="shared" si="915"/>
        <v>1</v>
      </c>
      <c r="P4318" s="57">
        <f t="shared" si="916"/>
        <v>1</v>
      </c>
      <c r="Q4318" s="267">
        <f t="shared" si="917"/>
        <v>574</v>
      </c>
      <c r="R4318" s="23">
        <f t="shared" si="918"/>
        <v>572</v>
      </c>
      <c r="S4318" s="23">
        <f t="shared" si="919"/>
        <v>0</v>
      </c>
      <c r="T4318" s="23" t="str">
        <f t="shared" si="920"/>
        <v/>
      </c>
      <c r="U4318" t="str">
        <f t="shared" si="921"/>
        <v>PA_Alleg_2019p~Dem-commissioner mt lebanon ward 3 (vote for 1)</v>
      </c>
      <c r="W4318" s="40"/>
      <c r="X4318" s="72"/>
      <c r="Y4318" s="40"/>
      <c r="AC4318" s="9"/>
      <c r="AD4318" s="9"/>
      <c r="AE4318" s="9"/>
      <c r="AF4318" s="22"/>
      <c r="AG4318" s="23"/>
      <c r="AH4318" s="8"/>
    </row>
    <row r="4319" spans="1:38">
      <c r="A4319" t="str">
        <f t="shared" si="922"/>
        <v>PA_Alleg_2019p~Dem-commissioner mt lebanon ward 3 (vote for 1)</v>
      </c>
      <c r="B4319" s="55" t="s">
        <v>1291</v>
      </c>
      <c r="C4319">
        <v>614</v>
      </c>
      <c r="D4319" s="55" t="s">
        <v>592</v>
      </c>
      <c r="E4319" s="55" t="s">
        <v>15</v>
      </c>
      <c r="F4319" t="s">
        <v>12</v>
      </c>
      <c r="G4319" s="62">
        <v>2</v>
      </c>
      <c r="H4319" s="25">
        <v>0.35</v>
      </c>
      <c r="I4319">
        <v>5468</v>
      </c>
      <c r="J4319">
        <v>839</v>
      </c>
      <c r="K4319">
        <v>8</v>
      </c>
      <c r="L4319">
        <v>8</v>
      </c>
      <c r="M4319">
        <v>0</v>
      </c>
      <c r="N4319" s="23">
        <v>0</v>
      </c>
      <c r="O4319">
        <f t="shared" si="915"/>
        <v>-1</v>
      </c>
      <c r="P4319" s="57">
        <f t="shared" si="916"/>
        <v>1</v>
      </c>
      <c r="Q4319" s="267">
        <f t="shared" si="917"/>
        <v>2</v>
      </c>
      <c r="R4319" s="23">
        <f t="shared" si="918"/>
        <v>1</v>
      </c>
      <c r="S4319" s="23">
        <f t="shared" si="919"/>
        <v>0</v>
      </c>
      <c r="T4319" s="23" t="str">
        <f t="shared" si="920"/>
        <v/>
      </c>
      <c r="U4319" t="str">
        <f t="shared" si="921"/>
        <v/>
      </c>
      <c r="W4319" s="40"/>
      <c r="X4319" s="72"/>
      <c r="Y4319" s="40"/>
      <c r="AC4319" s="9"/>
      <c r="AD4319" s="9"/>
      <c r="AE4319" s="9"/>
      <c r="AF4319" s="22"/>
    </row>
    <row r="4320" spans="1:38">
      <c r="A4320" t="str">
        <f t="shared" si="922"/>
        <v>PA_Alleg_2019p~Dem-commissioner mt lebanon ward 5 (vote for 1)</v>
      </c>
      <c r="B4320" s="55" t="s">
        <v>1291</v>
      </c>
      <c r="C4320">
        <v>615</v>
      </c>
      <c r="D4320" s="55" t="s">
        <v>594</v>
      </c>
      <c r="E4320" s="55" t="s">
        <v>595</v>
      </c>
      <c r="F4320" t="s">
        <v>12</v>
      </c>
      <c r="G4320" s="62">
        <v>559</v>
      </c>
      <c r="H4320" s="25">
        <v>98.94</v>
      </c>
      <c r="I4320">
        <v>5320</v>
      </c>
      <c r="J4320">
        <v>826</v>
      </c>
      <c r="K4320">
        <v>8</v>
      </c>
      <c r="L4320">
        <v>8</v>
      </c>
      <c r="M4320">
        <v>0</v>
      </c>
      <c r="N4320" s="23">
        <v>0</v>
      </c>
      <c r="O4320">
        <f t="shared" si="915"/>
        <v>1</v>
      </c>
      <c r="P4320" s="57">
        <f t="shared" si="916"/>
        <v>1</v>
      </c>
      <c r="Q4320" s="267">
        <f t="shared" si="917"/>
        <v>565</v>
      </c>
      <c r="R4320" s="23">
        <f t="shared" si="918"/>
        <v>559</v>
      </c>
      <c r="S4320" s="23">
        <f t="shared" si="919"/>
        <v>0</v>
      </c>
      <c r="T4320" s="23" t="str">
        <f t="shared" si="920"/>
        <v/>
      </c>
      <c r="U4320" t="str">
        <f t="shared" si="921"/>
        <v>PA_Alleg_2019p~Dem-commissioner mt lebanon ward 5 (vote for 1)</v>
      </c>
      <c r="W4320" s="40"/>
      <c r="X4320" s="72"/>
      <c r="Y4320" s="40"/>
      <c r="AC4320" s="9"/>
      <c r="AD4320" s="9"/>
      <c r="AE4320" s="9"/>
      <c r="AF4320" s="22"/>
    </row>
    <row r="4321" spans="1:38">
      <c r="A4321" t="str">
        <f t="shared" si="922"/>
        <v>PA_Alleg_2019p~Dem-commissioner mt lebanon ward 5 (vote for 1)</v>
      </c>
      <c r="B4321" s="55" t="s">
        <v>1291</v>
      </c>
      <c r="C4321">
        <v>616</v>
      </c>
      <c r="D4321" s="55" t="s">
        <v>594</v>
      </c>
      <c r="E4321" s="55" t="s">
        <v>15</v>
      </c>
      <c r="F4321" t="s">
        <v>12</v>
      </c>
      <c r="G4321" s="62">
        <v>6</v>
      </c>
      <c r="H4321" s="25">
        <v>1.06</v>
      </c>
      <c r="I4321">
        <v>5320</v>
      </c>
      <c r="J4321">
        <v>826</v>
      </c>
      <c r="K4321">
        <v>8</v>
      </c>
      <c r="L4321">
        <v>8</v>
      </c>
      <c r="M4321">
        <v>0</v>
      </c>
      <c r="N4321" s="23">
        <v>0</v>
      </c>
      <c r="O4321">
        <f t="shared" si="915"/>
        <v>-1</v>
      </c>
      <c r="P4321" s="57">
        <f t="shared" si="916"/>
        <v>1</v>
      </c>
      <c r="Q4321" s="267">
        <f t="shared" si="917"/>
        <v>6</v>
      </c>
      <c r="R4321" s="23">
        <f t="shared" si="918"/>
        <v>1</v>
      </c>
      <c r="S4321" s="23">
        <f t="shared" si="919"/>
        <v>0</v>
      </c>
      <c r="T4321" s="23" t="str">
        <f t="shared" si="920"/>
        <v/>
      </c>
      <c r="U4321" t="str">
        <f t="shared" si="921"/>
        <v/>
      </c>
      <c r="W4321" s="40"/>
      <c r="X4321" s="72"/>
      <c r="Y4321" s="40"/>
      <c r="AC4321" s="9"/>
      <c r="AD4321" s="9"/>
      <c r="AE4321" s="9"/>
      <c r="AF4321" s="22"/>
      <c r="AL4321" s="23"/>
    </row>
    <row r="4322" spans="1:38">
      <c r="A4322" t="str">
        <f t="shared" si="922"/>
        <v>PA_Alleg_2019p~Dem-commissioner neville ward 1 (vote for 1)</v>
      </c>
      <c r="B4322" s="55" t="s">
        <v>1291</v>
      </c>
      <c r="C4322">
        <v>617</v>
      </c>
      <c r="D4322" s="55" t="s">
        <v>596</v>
      </c>
      <c r="E4322" s="55" t="s">
        <v>15</v>
      </c>
      <c r="F4322" t="s">
        <v>12</v>
      </c>
      <c r="G4322" s="62">
        <v>17</v>
      </c>
      <c r="H4322" s="25">
        <v>100</v>
      </c>
      <c r="I4322">
        <v>282</v>
      </c>
      <c r="J4322">
        <v>74</v>
      </c>
      <c r="K4322">
        <v>1</v>
      </c>
      <c r="L4322">
        <v>1</v>
      </c>
      <c r="M4322">
        <v>0</v>
      </c>
      <c r="N4322" s="23">
        <v>0</v>
      </c>
      <c r="O4322">
        <f t="shared" si="915"/>
        <v>0</v>
      </c>
      <c r="P4322" s="57">
        <f t="shared" si="916"/>
        <v>1</v>
      </c>
      <c r="Q4322" s="267">
        <f t="shared" si="917"/>
        <v>17</v>
      </c>
      <c r="R4322" s="23">
        <f t="shared" si="918"/>
        <v>1</v>
      </c>
      <c r="S4322" s="23">
        <f t="shared" si="919"/>
        <v>0</v>
      </c>
      <c r="T4322" s="23" t="str">
        <f t="shared" si="920"/>
        <v/>
      </c>
      <c r="U4322" t="str">
        <f t="shared" si="921"/>
        <v>PA_Alleg_2019p~Dem-commissioner neville ward 1 (vote for 1)</v>
      </c>
      <c r="W4322" s="40"/>
      <c r="X4322" s="72"/>
      <c r="Y4322" s="40"/>
      <c r="AC4322" s="9"/>
      <c r="AD4322" s="9"/>
      <c r="AE4322" s="9"/>
      <c r="AF4322" s="22"/>
    </row>
    <row r="4323" spans="1:38">
      <c r="A4323" t="str">
        <f t="shared" si="922"/>
        <v>PA_Alleg_2019p~Dem-commissioner neville ward 3 (vote for 1)</v>
      </c>
      <c r="B4323" s="55" t="s">
        <v>1291</v>
      </c>
      <c r="C4323">
        <v>618</v>
      </c>
      <c r="D4323" s="55" t="s">
        <v>597</v>
      </c>
      <c r="E4323" s="55" t="s">
        <v>598</v>
      </c>
      <c r="F4323" t="s">
        <v>12</v>
      </c>
      <c r="G4323" s="62">
        <v>61</v>
      </c>
      <c r="H4323" s="25">
        <v>96.83</v>
      </c>
      <c r="I4323">
        <v>268</v>
      </c>
      <c r="J4323">
        <v>113</v>
      </c>
      <c r="K4323">
        <v>1</v>
      </c>
      <c r="L4323">
        <v>1</v>
      </c>
      <c r="M4323">
        <v>0</v>
      </c>
      <c r="N4323" s="23">
        <v>0</v>
      </c>
      <c r="O4323">
        <f t="shared" si="915"/>
        <v>1</v>
      </c>
      <c r="P4323" s="57">
        <f t="shared" si="916"/>
        <v>1</v>
      </c>
      <c r="Q4323" s="267">
        <f t="shared" si="917"/>
        <v>63</v>
      </c>
      <c r="R4323" s="23">
        <f t="shared" si="918"/>
        <v>61</v>
      </c>
      <c r="S4323" s="23">
        <f t="shared" si="919"/>
        <v>0</v>
      </c>
      <c r="T4323" s="23" t="str">
        <f t="shared" si="920"/>
        <v/>
      </c>
      <c r="U4323" t="str">
        <f t="shared" si="921"/>
        <v>PA_Alleg_2019p~Dem-commissioner neville ward 3 (vote for 1)</v>
      </c>
      <c r="W4323" s="40"/>
      <c r="X4323" s="72"/>
      <c r="Y4323" s="40"/>
      <c r="AC4323" s="9"/>
      <c r="AD4323" s="9"/>
      <c r="AE4323" s="9"/>
      <c r="AF4323" s="22"/>
      <c r="AL4323" s="344"/>
    </row>
    <row r="4324" spans="1:38">
      <c r="A4324" t="str">
        <f t="shared" si="922"/>
        <v>PA_Alleg_2019p~Dem-commissioner neville ward 3 (vote for 1)</v>
      </c>
      <c r="B4324" s="55" t="s">
        <v>1291</v>
      </c>
      <c r="C4324">
        <v>619</v>
      </c>
      <c r="D4324" s="55" t="s">
        <v>597</v>
      </c>
      <c r="E4324" s="55" t="s">
        <v>15</v>
      </c>
      <c r="F4324" t="s">
        <v>12</v>
      </c>
      <c r="G4324" s="62">
        <v>2</v>
      </c>
      <c r="H4324" s="25">
        <v>3.17</v>
      </c>
      <c r="I4324">
        <v>268</v>
      </c>
      <c r="J4324">
        <v>113</v>
      </c>
      <c r="K4324">
        <v>1</v>
      </c>
      <c r="L4324">
        <v>1</v>
      </c>
      <c r="M4324">
        <v>0</v>
      </c>
      <c r="N4324" s="23">
        <v>0</v>
      </c>
      <c r="O4324">
        <f t="shared" si="915"/>
        <v>-1</v>
      </c>
      <c r="P4324" s="57">
        <f t="shared" si="916"/>
        <v>1</v>
      </c>
      <c r="Q4324" s="267">
        <f t="shared" si="917"/>
        <v>2</v>
      </c>
      <c r="R4324" s="23">
        <f t="shared" si="918"/>
        <v>1</v>
      </c>
      <c r="S4324" s="23">
        <f t="shared" si="919"/>
        <v>0</v>
      </c>
      <c r="T4324" s="23" t="str">
        <f t="shared" si="920"/>
        <v/>
      </c>
      <c r="U4324" t="str">
        <f t="shared" si="921"/>
        <v/>
      </c>
      <c r="W4324" s="40"/>
      <c r="X4324" s="72"/>
      <c r="Y4324" s="40"/>
      <c r="AC4324" s="9"/>
      <c r="AD4324" s="9"/>
      <c r="AE4324" s="9"/>
      <c r="AF4324" s="22"/>
      <c r="AH4324" s="8"/>
    </row>
    <row r="4325" spans="1:38">
      <c r="A4325" t="str">
        <f t="shared" si="922"/>
        <v>PA_Alleg_2019p~Dem-commissioner north versailles ward 1 (vote for 1)</v>
      </c>
      <c r="B4325" s="55" t="s">
        <v>1291</v>
      </c>
      <c r="C4325">
        <v>620</v>
      </c>
      <c r="D4325" s="55" t="s">
        <v>599</v>
      </c>
      <c r="E4325" s="55" t="s">
        <v>600</v>
      </c>
      <c r="F4325" t="s">
        <v>12</v>
      </c>
      <c r="G4325" s="62">
        <v>139</v>
      </c>
      <c r="H4325" s="25">
        <v>95.86</v>
      </c>
      <c r="I4325">
        <v>1320</v>
      </c>
      <c r="J4325">
        <v>202</v>
      </c>
      <c r="K4325">
        <v>2</v>
      </c>
      <c r="L4325">
        <v>2</v>
      </c>
      <c r="M4325">
        <v>0</v>
      </c>
      <c r="N4325" s="23">
        <v>0</v>
      </c>
      <c r="O4325">
        <f t="shared" si="915"/>
        <v>1</v>
      </c>
      <c r="P4325" s="57">
        <f t="shared" si="916"/>
        <v>1</v>
      </c>
      <c r="Q4325" s="267">
        <f t="shared" si="917"/>
        <v>145</v>
      </c>
      <c r="R4325" s="23">
        <f t="shared" si="918"/>
        <v>139</v>
      </c>
      <c r="S4325" s="23">
        <f t="shared" si="919"/>
        <v>0</v>
      </c>
      <c r="T4325" s="23" t="str">
        <f t="shared" si="920"/>
        <v/>
      </c>
      <c r="U4325" t="str">
        <f t="shared" si="921"/>
        <v>PA_Alleg_2019p~Dem-commissioner north versailles ward 1 (vote for 1)</v>
      </c>
      <c r="W4325" s="40"/>
      <c r="X4325" s="72"/>
      <c r="Y4325" s="40"/>
      <c r="AC4325" s="9"/>
      <c r="AD4325" s="9"/>
      <c r="AE4325" s="9"/>
      <c r="AF4325" s="293"/>
      <c r="AG4325" s="23"/>
      <c r="AH4325" s="8"/>
    </row>
    <row r="4326" spans="1:38">
      <c r="A4326" t="str">
        <f t="shared" si="922"/>
        <v>PA_Alleg_2019p~Dem-commissioner north versailles ward 1 (vote for 1)</v>
      </c>
      <c r="B4326" s="55" t="s">
        <v>1291</v>
      </c>
      <c r="C4326">
        <v>621</v>
      </c>
      <c r="D4326" s="55" t="s">
        <v>599</v>
      </c>
      <c r="E4326" s="55" t="s">
        <v>15</v>
      </c>
      <c r="F4326" t="s">
        <v>12</v>
      </c>
      <c r="G4326" s="62">
        <v>6</v>
      </c>
      <c r="H4326" s="25">
        <v>4.1399999999999997</v>
      </c>
      <c r="I4326">
        <v>1320</v>
      </c>
      <c r="J4326">
        <v>202</v>
      </c>
      <c r="K4326">
        <v>2</v>
      </c>
      <c r="L4326">
        <v>2</v>
      </c>
      <c r="M4326">
        <v>0</v>
      </c>
      <c r="N4326" s="23">
        <v>0</v>
      </c>
      <c r="O4326">
        <f t="shared" si="915"/>
        <v>-1</v>
      </c>
      <c r="P4326" s="57">
        <f t="shared" si="916"/>
        <v>1</v>
      </c>
      <c r="Q4326" s="267">
        <f t="shared" si="917"/>
        <v>6</v>
      </c>
      <c r="R4326" s="23">
        <f t="shared" si="918"/>
        <v>1</v>
      </c>
      <c r="S4326" s="23">
        <f t="shared" si="919"/>
        <v>0</v>
      </c>
      <c r="T4326" s="23" t="str">
        <f t="shared" si="920"/>
        <v/>
      </c>
      <c r="U4326" t="str">
        <f t="shared" si="921"/>
        <v/>
      </c>
      <c r="W4326" s="40"/>
      <c r="X4326" s="72"/>
      <c r="Y4326" s="40"/>
      <c r="AC4326" s="9"/>
      <c r="AD4326" s="9"/>
      <c r="AE4326" s="9"/>
      <c r="AF4326" s="22"/>
    </row>
    <row r="4327" spans="1:38">
      <c r="A4327" t="str">
        <f t="shared" si="922"/>
        <v>PA_Alleg_2019p~Dem-commissioner north versailles ward 3 (vote for 1)</v>
      </c>
      <c r="B4327" s="55" t="s">
        <v>1291</v>
      </c>
      <c r="C4327">
        <v>623</v>
      </c>
      <c r="D4327" s="55" t="s">
        <v>601</v>
      </c>
      <c r="E4327" s="55" t="s">
        <v>603</v>
      </c>
      <c r="F4327" t="s">
        <v>12</v>
      </c>
      <c r="G4327" s="62">
        <v>86</v>
      </c>
      <c r="H4327" s="25">
        <v>50.29</v>
      </c>
      <c r="I4327">
        <v>1128</v>
      </c>
      <c r="J4327">
        <v>223</v>
      </c>
      <c r="K4327">
        <v>2</v>
      </c>
      <c r="L4327">
        <v>2</v>
      </c>
      <c r="M4327">
        <v>0</v>
      </c>
      <c r="N4327" s="23">
        <v>0</v>
      </c>
      <c r="O4327">
        <f t="shared" si="915"/>
        <v>1</v>
      </c>
      <c r="P4327" s="57">
        <f t="shared" si="916"/>
        <v>1</v>
      </c>
      <c r="Q4327" s="267">
        <f t="shared" si="917"/>
        <v>171</v>
      </c>
      <c r="R4327" s="23">
        <f t="shared" si="918"/>
        <v>86</v>
      </c>
      <c r="S4327" s="23">
        <f t="shared" si="919"/>
        <v>84</v>
      </c>
      <c r="T4327" s="23">
        <f t="shared" si="920"/>
        <v>2</v>
      </c>
      <c r="U4327" t="str">
        <f t="shared" si="921"/>
        <v>PA_Alleg_2019p~Dem-commissioner north versailles ward 3 (vote for 1)</v>
      </c>
      <c r="W4327" s="40"/>
      <c r="X4327" s="72"/>
      <c r="Y4327" s="40"/>
      <c r="AC4327" s="9"/>
      <c r="AD4327" s="9"/>
      <c r="AE4327" s="9"/>
      <c r="AF4327" s="22"/>
      <c r="AH4327" s="8"/>
      <c r="AL4327" s="23"/>
    </row>
    <row r="4328" spans="1:38">
      <c r="A4328" t="str">
        <f t="shared" si="922"/>
        <v>PA_Alleg_2019p~Dem-commissioner north versailles ward 3 (vote for 1)</v>
      </c>
      <c r="B4328" s="55" t="s">
        <v>1291</v>
      </c>
      <c r="C4328">
        <v>622</v>
      </c>
      <c r="D4328" s="55" t="s">
        <v>601</v>
      </c>
      <c r="E4328" s="55" t="s">
        <v>602</v>
      </c>
      <c r="F4328" t="s">
        <v>12</v>
      </c>
      <c r="G4328" s="62">
        <v>84</v>
      </c>
      <c r="H4328" s="25">
        <v>49.12</v>
      </c>
      <c r="I4328">
        <v>1128</v>
      </c>
      <c r="J4328">
        <v>223</v>
      </c>
      <c r="K4328">
        <v>2</v>
      </c>
      <c r="L4328">
        <v>2</v>
      </c>
      <c r="M4328">
        <v>0</v>
      </c>
      <c r="N4328" s="23">
        <v>0</v>
      </c>
      <c r="O4328">
        <f t="shared" si="915"/>
        <v>2</v>
      </c>
      <c r="P4328" s="57">
        <f t="shared" si="916"/>
        <v>1</v>
      </c>
      <c r="Q4328" s="267">
        <f t="shared" si="917"/>
        <v>85</v>
      </c>
      <c r="R4328" s="23" t="str">
        <f t="shared" si="918"/>
        <v/>
      </c>
      <c r="S4328" s="23">
        <f t="shared" si="919"/>
        <v>84</v>
      </c>
      <c r="T4328" s="23" t="str">
        <f t="shared" si="920"/>
        <v/>
      </c>
      <c r="U4328" t="str">
        <f t="shared" si="921"/>
        <v/>
      </c>
      <c r="W4328" s="40"/>
      <c r="X4328" s="72"/>
      <c r="Y4328" s="40"/>
      <c r="AC4328" s="9"/>
      <c r="AD4328" s="9"/>
      <c r="AE4328" s="9"/>
      <c r="AF4328" s="22"/>
      <c r="AG4328" s="23"/>
      <c r="AH4328" s="8"/>
    </row>
    <row r="4329" spans="1:38">
      <c r="A4329" t="str">
        <f t="shared" si="922"/>
        <v>PA_Alleg_2019p~Dem-commissioner north versailles ward 3 (vote for 1)</v>
      </c>
      <c r="B4329" s="55" t="s">
        <v>1291</v>
      </c>
      <c r="C4329">
        <v>624</v>
      </c>
      <c r="D4329" s="55" t="s">
        <v>601</v>
      </c>
      <c r="E4329" s="55" t="s">
        <v>15</v>
      </c>
      <c r="F4329" t="s">
        <v>12</v>
      </c>
      <c r="G4329" s="62">
        <v>1</v>
      </c>
      <c r="H4329" s="25">
        <v>0.57999999999999996</v>
      </c>
      <c r="I4329">
        <v>1128</v>
      </c>
      <c r="J4329">
        <v>223</v>
      </c>
      <c r="K4329">
        <v>2</v>
      </c>
      <c r="L4329">
        <v>2</v>
      </c>
      <c r="M4329">
        <v>0</v>
      </c>
      <c r="N4329" s="23">
        <v>0</v>
      </c>
      <c r="O4329">
        <f t="shared" si="915"/>
        <v>-2</v>
      </c>
      <c r="P4329" s="57">
        <f t="shared" si="916"/>
        <v>1</v>
      </c>
      <c r="Q4329" s="267">
        <f t="shared" si="917"/>
        <v>1</v>
      </c>
      <c r="R4329" s="23">
        <f t="shared" si="918"/>
        <v>1</v>
      </c>
      <c r="S4329" s="23">
        <f t="shared" si="919"/>
        <v>0</v>
      </c>
      <c r="T4329" s="23" t="str">
        <f t="shared" si="920"/>
        <v/>
      </c>
      <c r="U4329" t="str">
        <f t="shared" si="921"/>
        <v/>
      </c>
      <c r="W4329" s="40"/>
      <c r="X4329" s="72"/>
      <c r="Y4329" s="40"/>
      <c r="AC4329" s="9"/>
      <c r="AD4329" s="9"/>
      <c r="AE4329" s="9"/>
      <c r="AF4329" s="22"/>
    </row>
    <row r="4330" spans="1:38">
      <c r="A4330" t="str">
        <f t="shared" si="922"/>
        <v>PA_Alleg_2019p~Dem-commissioner north versailles ward 5 (vote for 1)</v>
      </c>
      <c r="B4330" s="55" t="s">
        <v>1291</v>
      </c>
      <c r="C4330">
        <v>625</v>
      </c>
      <c r="D4330" s="55" t="s">
        <v>604</v>
      </c>
      <c r="E4330" s="55" t="s">
        <v>605</v>
      </c>
      <c r="F4330" t="s">
        <v>12</v>
      </c>
      <c r="G4330" s="62">
        <v>63</v>
      </c>
      <c r="H4330" s="25">
        <v>95.45</v>
      </c>
      <c r="I4330">
        <v>965</v>
      </c>
      <c r="J4330">
        <v>92</v>
      </c>
      <c r="K4330">
        <v>2</v>
      </c>
      <c r="L4330">
        <v>2</v>
      </c>
      <c r="M4330">
        <v>0</v>
      </c>
      <c r="N4330" s="23">
        <v>0</v>
      </c>
      <c r="O4330">
        <f t="shared" si="915"/>
        <v>1</v>
      </c>
      <c r="P4330" s="57">
        <f t="shared" si="916"/>
        <v>1</v>
      </c>
      <c r="Q4330" s="267">
        <f t="shared" si="917"/>
        <v>66</v>
      </c>
      <c r="R4330" s="23">
        <f t="shared" si="918"/>
        <v>63</v>
      </c>
      <c r="S4330" s="23">
        <f t="shared" si="919"/>
        <v>0</v>
      </c>
      <c r="T4330" s="23" t="str">
        <f t="shared" si="920"/>
        <v/>
      </c>
      <c r="U4330" t="str">
        <f t="shared" si="921"/>
        <v>PA_Alleg_2019p~Dem-commissioner north versailles ward 5 (vote for 1)</v>
      </c>
      <c r="W4330" s="40"/>
      <c r="X4330" s="72"/>
      <c r="Y4330" s="40"/>
      <c r="AC4330" s="9"/>
      <c r="AD4330" s="9"/>
      <c r="AE4330" s="9"/>
      <c r="AF4330" s="22"/>
      <c r="AG4330" s="23"/>
      <c r="AH4330" s="8"/>
    </row>
    <row r="4331" spans="1:38">
      <c r="A4331" t="str">
        <f t="shared" si="922"/>
        <v>PA_Alleg_2019p~Dem-commissioner north versailles ward 5 (vote for 1)</v>
      </c>
      <c r="B4331" s="55" t="s">
        <v>1291</v>
      </c>
      <c r="C4331">
        <v>626</v>
      </c>
      <c r="D4331" s="55" t="s">
        <v>604</v>
      </c>
      <c r="E4331" s="55" t="s">
        <v>15</v>
      </c>
      <c r="F4331" t="s">
        <v>12</v>
      </c>
      <c r="G4331" s="62">
        <v>3</v>
      </c>
      <c r="H4331" s="25">
        <v>4.55</v>
      </c>
      <c r="I4331">
        <v>965</v>
      </c>
      <c r="J4331">
        <v>92</v>
      </c>
      <c r="K4331">
        <v>2</v>
      </c>
      <c r="L4331">
        <v>2</v>
      </c>
      <c r="M4331">
        <v>0</v>
      </c>
      <c r="N4331" s="23">
        <v>0</v>
      </c>
      <c r="O4331">
        <f t="shared" si="915"/>
        <v>-1</v>
      </c>
      <c r="P4331" s="57">
        <f t="shared" si="916"/>
        <v>1</v>
      </c>
      <c r="Q4331" s="267">
        <f t="shared" si="917"/>
        <v>3</v>
      </c>
      <c r="R4331" s="23">
        <f t="shared" si="918"/>
        <v>1</v>
      </c>
      <c r="S4331" s="23">
        <f t="shared" si="919"/>
        <v>0</v>
      </c>
      <c r="T4331" s="23" t="str">
        <f t="shared" si="920"/>
        <v/>
      </c>
      <c r="U4331" t="str">
        <f t="shared" si="921"/>
        <v/>
      </c>
      <c r="W4331" s="40"/>
      <c r="X4331" s="72"/>
      <c r="Y4331" s="40"/>
      <c r="AC4331" s="9"/>
      <c r="AD4331" s="9"/>
      <c r="AE4331" s="9"/>
      <c r="AF4331" s="22"/>
    </row>
    <row r="4332" spans="1:38">
      <c r="A4332" t="str">
        <f t="shared" si="922"/>
        <v>PA_Alleg_2019p~Dem-commissioner north versailles ward 6 (vote for 1)</v>
      </c>
      <c r="B4332" s="55" t="s">
        <v>1291</v>
      </c>
      <c r="C4332">
        <v>668</v>
      </c>
      <c r="D4332" s="55" t="s">
        <v>647</v>
      </c>
      <c r="E4332" s="55" t="s">
        <v>648</v>
      </c>
      <c r="F4332" t="s">
        <v>12</v>
      </c>
      <c r="G4332" s="62">
        <v>155</v>
      </c>
      <c r="H4332" s="25">
        <v>99.36</v>
      </c>
      <c r="I4332">
        <v>1198</v>
      </c>
      <c r="J4332">
        <v>249</v>
      </c>
      <c r="K4332">
        <v>2</v>
      </c>
      <c r="L4332">
        <v>2</v>
      </c>
      <c r="M4332">
        <v>0</v>
      </c>
      <c r="N4332" s="23">
        <v>0</v>
      </c>
      <c r="O4332">
        <f t="shared" si="915"/>
        <v>1</v>
      </c>
      <c r="P4332" s="57">
        <f t="shared" si="916"/>
        <v>1</v>
      </c>
      <c r="Q4332" s="267">
        <f t="shared" si="917"/>
        <v>156</v>
      </c>
      <c r="R4332" s="23">
        <f t="shared" si="918"/>
        <v>155</v>
      </c>
      <c r="S4332" s="23">
        <f t="shared" si="919"/>
        <v>0</v>
      </c>
      <c r="T4332" s="23" t="str">
        <f t="shared" si="920"/>
        <v/>
      </c>
      <c r="U4332" t="str">
        <f t="shared" si="921"/>
        <v>PA_Alleg_2019p~Dem-commissioner north versailles ward 6 (vote for 1)</v>
      </c>
      <c r="W4332" s="40"/>
      <c r="X4332" s="72"/>
      <c r="Y4332" s="40"/>
      <c r="AC4332" s="9"/>
      <c r="AD4332" s="9"/>
      <c r="AE4332" s="9"/>
      <c r="AF4332" s="22"/>
      <c r="AH4332" s="8"/>
      <c r="AL4332" s="23"/>
    </row>
    <row r="4333" spans="1:38">
      <c r="A4333" t="str">
        <f t="shared" si="922"/>
        <v>PA_Alleg_2019p~Dem-commissioner north versailles ward 6 (vote for 1)</v>
      </c>
      <c r="B4333" s="55" t="s">
        <v>1291</v>
      </c>
      <c r="C4333">
        <v>669</v>
      </c>
      <c r="D4333" s="55" t="s">
        <v>647</v>
      </c>
      <c r="E4333" s="55" t="s">
        <v>15</v>
      </c>
      <c r="F4333" t="s">
        <v>12</v>
      </c>
      <c r="G4333" s="62">
        <v>1</v>
      </c>
      <c r="H4333" s="25">
        <v>0.64</v>
      </c>
      <c r="I4333">
        <v>1198</v>
      </c>
      <c r="J4333">
        <v>249</v>
      </c>
      <c r="K4333">
        <v>2</v>
      </c>
      <c r="L4333">
        <v>2</v>
      </c>
      <c r="M4333">
        <v>0</v>
      </c>
      <c r="N4333" s="23">
        <v>0</v>
      </c>
      <c r="O4333">
        <f t="shared" si="915"/>
        <v>-1</v>
      </c>
      <c r="P4333" s="57">
        <f t="shared" si="916"/>
        <v>1</v>
      </c>
      <c r="Q4333" s="267">
        <f t="shared" si="917"/>
        <v>1</v>
      </c>
      <c r="R4333" s="23">
        <f t="shared" si="918"/>
        <v>1</v>
      </c>
      <c r="S4333" s="23">
        <f t="shared" si="919"/>
        <v>0</v>
      </c>
      <c r="T4333" s="23" t="str">
        <f t="shared" si="920"/>
        <v/>
      </c>
      <c r="U4333" t="str">
        <f t="shared" si="921"/>
        <v/>
      </c>
      <c r="W4333" s="40"/>
      <c r="X4333" s="72"/>
      <c r="Y4333" s="40"/>
      <c r="AC4333" s="9"/>
      <c r="AD4333" s="9"/>
      <c r="AE4333" s="9"/>
      <c r="AF4333" s="22"/>
    </row>
    <row r="4334" spans="1:38">
      <c r="A4334" t="str">
        <f t="shared" si="922"/>
        <v>PA_Alleg_2019p~Dem-commissioner north versailles ward 7 (vote for 1)</v>
      </c>
      <c r="B4334" s="55" t="s">
        <v>1291</v>
      </c>
      <c r="C4334">
        <v>627</v>
      </c>
      <c r="D4334" s="55" t="s">
        <v>606</v>
      </c>
      <c r="E4334" s="55" t="s">
        <v>607</v>
      </c>
      <c r="F4334" t="s">
        <v>12</v>
      </c>
      <c r="G4334" s="62">
        <v>150</v>
      </c>
      <c r="H4334" s="25">
        <v>99.34</v>
      </c>
      <c r="I4334">
        <v>715</v>
      </c>
      <c r="J4334">
        <v>168</v>
      </c>
      <c r="K4334">
        <v>1</v>
      </c>
      <c r="L4334">
        <v>1</v>
      </c>
      <c r="M4334">
        <v>0</v>
      </c>
      <c r="N4334" s="23">
        <v>0</v>
      </c>
      <c r="O4334">
        <f t="shared" si="915"/>
        <v>1</v>
      </c>
      <c r="P4334" s="57">
        <f t="shared" si="916"/>
        <v>1</v>
      </c>
      <c r="Q4334" s="267">
        <f t="shared" si="917"/>
        <v>151</v>
      </c>
      <c r="R4334" s="23">
        <f t="shared" si="918"/>
        <v>150</v>
      </c>
      <c r="S4334" s="23">
        <f t="shared" si="919"/>
        <v>0</v>
      </c>
      <c r="T4334" s="23" t="str">
        <f t="shared" si="920"/>
        <v/>
      </c>
      <c r="U4334" t="str">
        <f t="shared" si="921"/>
        <v>PA_Alleg_2019p~Dem-commissioner north versailles ward 7 (vote for 1)</v>
      </c>
      <c r="W4334" s="40"/>
      <c r="X4334" s="72"/>
      <c r="Y4334" s="40"/>
      <c r="AC4334" s="9"/>
      <c r="AD4334" s="9"/>
      <c r="AE4334" s="9"/>
      <c r="AF4334" s="22"/>
    </row>
    <row r="4335" spans="1:38">
      <c r="A4335" t="str">
        <f t="shared" si="922"/>
        <v>PA_Alleg_2019p~Dem-commissioner north versailles ward 7 (vote for 1)</v>
      </c>
      <c r="B4335" s="55" t="s">
        <v>1291</v>
      </c>
      <c r="C4335">
        <v>628</v>
      </c>
      <c r="D4335" s="55" t="s">
        <v>606</v>
      </c>
      <c r="E4335" s="55" t="s">
        <v>15</v>
      </c>
      <c r="F4335" t="s">
        <v>12</v>
      </c>
      <c r="G4335" s="62">
        <v>1</v>
      </c>
      <c r="H4335" s="25">
        <v>0.66</v>
      </c>
      <c r="I4335">
        <v>715</v>
      </c>
      <c r="J4335">
        <v>168</v>
      </c>
      <c r="K4335">
        <v>1</v>
      </c>
      <c r="L4335">
        <v>1</v>
      </c>
      <c r="M4335">
        <v>0</v>
      </c>
      <c r="N4335" s="23">
        <v>0</v>
      </c>
      <c r="O4335">
        <f t="shared" si="915"/>
        <v>-1</v>
      </c>
      <c r="P4335" s="57">
        <f t="shared" si="916"/>
        <v>1</v>
      </c>
      <c r="Q4335" s="267">
        <f t="shared" si="917"/>
        <v>1</v>
      </c>
      <c r="R4335" s="23">
        <f t="shared" si="918"/>
        <v>1</v>
      </c>
      <c r="S4335" s="23">
        <f t="shared" si="919"/>
        <v>0</v>
      </c>
      <c r="T4335" s="23" t="str">
        <f t="shared" si="920"/>
        <v/>
      </c>
      <c r="U4335" t="str">
        <f t="shared" si="921"/>
        <v/>
      </c>
      <c r="W4335" s="40"/>
      <c r="X4335" s="72"/>
      <c r="Y4335" s="40"/>
      <c r="AC4335" s="9"/>
      <c r="AD4335" s="9"/>
      <c r="AE4335" s="9"/>
      <c r="AF4335" s="22"/>
      <c r="AG4335" s="302"/>
      <c r="AH4335" s="301"/>
      <c r="AI4335" s="303"/>
      <c r="AJ4335" s="303"/>
      <c r="AK4335" s="342"/>
      <c r="AL4335" s="343"/>
    </row>
    <row r="4336" spans="1:38">
      <c r="A4336" t="str">
        <f t="shared" si="922"/>
        <v>PA_Alleg_2019p~Dem-commissioner reserve ward 1 (vote for 1)</v>
      </c>
      <c r="B4336" s="55" t="s">
        <v>1291</v>
      </c>
      <c r="C4336">
        <v>629</v>
      </c>
      <c r="D4336" s="55" t="s">
        <v>608</v>
      </c>
      <c r="E4336" s="55" t="s">
        <v>609</v>
      </c>
      <c r="F4336" t="s">
        <v>12</v>
      </c>
      <c r="G4336" s="62">
        <v>83</v>
      </c>
      <c r="H4336" s="25">
        <v>100</v>
      </c>
      <c r="I4336">
        <v>540</v>
      </c>
      <c r="J4336">
        <v>121</v>
      </c>
      <c r="K4336">
        <v>1</v>
      </c>
      <c r="L4336">
        <v>1</v>
      </c>
      <c r="M4336">
        <v>0</v>
      </c>
      <c r="N4336" s="23">
        <v>0</v>
      </c>
      <c r="O4336">
        <f t="shared" si="915"/>
        <v>1</v>
      </c>
      <c r="P4336" s="57">
        <f t="shared" si="916"/>
        <v>1</v>
      </c>
      <c r="Q4336" s="267">
        <f t="shared" si="917"/>
        <v>83</v>
      </c>
      <c r="R4336" s="23">
        <f t="shared" si="918"/>
        <v>83</v>
      </c>
      <c r="S4336" s="23">
        <f t="shared" si="919"/>
        <v>0</v>
      </c>
      <c r="T4336" s="23" t="str">
        <f t="shared" si="920"/>
        <v/>
      </c>
      <c r="U4336" t="str">
        <f t="shared" si="921"/>
        <v>PA_Alleg_2019p~Dem-commissioner reserve ward 1 (vote for 1)</v>
      </c>
      <c r="W4336" s="40"/>
      <c r="X4336" s="72"/>
      <c r="Y4336" s="40"/>
      <c r="AC4336" s="9"/>
      <c r="AD4336" s="9"/>
      <c r="AE4336" s="9"/>
      <c r="AF4336" s="22"/>
    </row>
    <row r="4337" spans="1:38">
      <c r="A4337" t="str">
        <f t="shared" si="922"/>
        <v>PA_Alleg_2019p~Dem-commissioner reserve ward 1 (vote for 1)</v>
      </c>
      <c r="B4337" s="55" t="s">
        <v>1291</v>
      </c>
      <c r="C4337">
        <v>630</v>
      </c>
      <c r="D4337" s="55" t="s">
        <v>608</v>
      </c>
      <c r="E4337" s="55" t="s">
        <v>15</v>
      </c>
      <c r="F4337" t="s">
        <v>12</v>
      </c>
      <c r="G4337" s="62">
        <v>0</v>
      </c>
      <c r="H4337" s="25">
        <v>0</v>
      </c>
      <c r="I4337">
        <v>540</v>
      </c>
      <c r="J4337">
        <v>121</v>
      </c>
      <c r="K4337">
        <v>1</v>
      </c>
      <c r="L4337">
        <v>1</v>
      </c>
      <c r="M4337">
        <v>0</v>
      </c>
      <c r="N4337" s="23">
        <v>0</v>
      </c>
      <c r="O4337">
        <f t="shared" si="915"/>
        <v>-1</v>
      </c>
      <c r="P4337" s="57">
        <f t="shared" si="916"/>
        <v>1</v>
      </c>
      <c r="Q4337" s="267">
        <f t="shared" si="917"/>
        <v>0</v>
      </c>
      <c r="R4337" s="23">
        <f t="shared" si="918"/>
        <v>1</v>
      </c>
      <c r="S4337" s="23">
        <f t="shared" si="919"/>
        <v>0</v>
      </c>
      <c r="T4337" s="23" t="str">
        <f t="shared" si="920"/>
        <v/>
      </c>
      <c r="U4337" t="str">
        <f t="shared" si="921"/>
        <v/>
      </c>
      <c r="W4337" s="40"/>
      <c r="X4337" s="72"/>
      <c r="Y4337" s="40"/>
      <c r="AC4337" s="9"/>
      <c r="AD4337" s="9"/>
      <c r="AE4337" s="9"/>
      <c r="AF4337" s="22"/>
    </row>
    <row r="4338" spans="1:38">
      <c r="A4338" t="str">
        <f t="shared" si="922"/>
        <v>PA_Alleg_2019p~Dem-commissioner reserve ward 3 (vote for 1)</v>
      </c>
      <c r="B4338" s="55" t="s">
        <v>1291</v>
      </c>
      <c r="C4338">
        <v>631</v>
      </c>
      <c r="D4338" s="55" t="s">
        <v>610</v>
      </c>
      <c r="E4338" s="55" t="s">
        <v>611</v>
      </c>
      <c r="F4338" t="s">
        <v>12</v>
      </c>
      <c r="G4338" s="62">
        <v>46</v>
      </c>
      <c r="H4338" s="25">
        <v>97.87</v>
      </c>
      <c r="I4338">
        <v>530</v>
      </c>
      <c r="J4338">
        <v>72</v>
      </c>
      <c r="K4338">
        <v>1</v>
      </c>
      <c r="L4338">
        <v>1</v>
      </c>
      <c r="M4338">
        <v>0</v>
      </c>
      <c r="N4338" s="23">
        <v>0</v>
      </c>
      <c r="O4338">
        <f t="shared" si="915"/>
        <v>1</v>
      </c>
      <c r="P4338" s="57">
        <f t="shared" si="916"/>
        <v>1</v>
      </c>
      <c r="Q4338" s="267">
        <f t="shared" si="917"/>
        <v>47</v>
      </c>
      <c r="R4338" s="23">
        <f t="shared" si="918"/>
        <v>46</v>
      </c>
      <c r="S4338" s="23">
        <f t="shared" si="919"/>
        <v>0</v>
      </c>
      <c r="T4338" s="23" t="str">
        <f t="shared" si="920"/>
        <v/>
      </c>
      <c r="U4338" t="str">
        <f t="shared" si="921"/>
        <v>PA_Alleg_2019p~Dem-commissioner reserve ward 3 (vote for 1)</v>
      </c>
      <c r="W4338" s="40"/>
      <c r="X4338" s="72"/>
      <c r="Y4338" s="40"/>
      <c r="AC4338" s="9"/>
      <c r="AD4338" s="9"/>
      <c r="AE4338" s="9"/>
      <c r="AF4338" s="22"/>
    </row>
    <row r="4339" spans="1:38">
      <c r="A4339" t="str">
        <f t="shared" si="922"/>
        <v>PA_Alleg_2019p~Dem-commissioner reserve ward 3 (vote for 1)</v>
      </c>
      <c r="B4339" s="55" t="s">
        <v>1291</v>
      </c>
      <c r="C4339">
        <v>632</v>
      </c>
      <c r="D4339" s="55" t="s">
        <v>610</v>
      </c>
      <c r="E4339" s="55" t="s">
        <v>15</v>
      </c>
      <c r="F4339" t="s">
        <v>12</v>
      </c>
      <c r="G4339" s="62">
        <v>1</v>
      </c>
      <c r="H4339" s="25">
        <v>2.13</v>
      </c>
      <c r="I4339">
        <v>530</v>
      </c>
      <c r="J4339">
        <v>72</v>
      </c>
      <c r="K4339">
        <v>1</v>
      </c>
      <c r="L4339">
        <v>1</v>
      </c>
      <c r="M4339">
        <v>0</v>
      </c>
      <c r="N4339" s="23">
        <v>0</v>
      </c>
      <c r="O4339">
        <f t="shared" si="915"/>
        <v>-1</v>
      </c>
      <c r="P4339" s="57">
        <f t="shared" si="916"/>
        <v>1</v>
      </c>
      <c r="Q4339" s="267">
        <f t="shared" si="917"/>
        <v>1</v>
      </c>
      <c r="R4339" s="23">
        <f t="shared" si="918"/>
        <v>1</v>
      </c>
      <c r="S4339" s="23">
        <f t="shared" si="919"/>
        <v>0</v>
      </c>
      <c r="T4339" s="23" t="str">
        <f t="shared" si="920"/>
        <v/>
      </c>
      <c r="U4339" t="str">
        <f t="shared" si="921"/>
        <v/>
      </c>
      <c r="W4339" s="40"/>
      <c r="X4339" s="72"/>
      <c r="Y4339" s="40"/>
      <c r="AC4339" s="9"/>
      <c r="AD4339" s="9"/>
      <c r="AE4339" s="9"/>
      <c r="AF4339" s="22"/>
    </row>
    <row r="4340" spans="1:38">
      <c r="A4340" t="str">
        <f t="shared" si="922"/>
        <v>PA_Alleg_2019p~Dem-commissioner robinson (vote for 2)</v>
      </c>
      <c r="B4340" s="55" t="s">
        <v>1291</v>
      </c>
      <c r="C4340">
        <v>588</v>
      </c>
      <c r="D4340" s="55" t="s">
        <v>566</v>
      </c>
      <c r="E4340" s="55" t="s">
        <v>568</v>
      </c>
      <c r="F4340" t="s">
        <v>12</v>
      </c>
      <c r="G4340" s="62">
        <v>939</v>
      </c>
      <c r="H4340" s="25">
        <v>49.71</v>
      </c>
      <c r="I4340">
        <v>11244</v>
      </c>
      <c r="J4340">
        <v>1595</v>
      </c>
      <c r="K4340">
        <v>9</v>
      </c>
      <c r="L4340">
        <v>9</v>
      </c>
      <c r="M4340">
        <v>0</v>
      </c>
      <c r="N4340" s="23">
        <v>0</v>
      </c>
      <c r="O4340">
        <f t="shared" si="915"/>
        <v>1</v>
      </c>
      <c r="P4340" s="57">
        <f t="shared" si="916"/>
        <v>2</v>
      </c>
      <c r="Q4340" s="267">
        <f t="shared" si="917"/>
        <v>944.5</v>
      </c>
      <c r="R4340" s="23">
        <f t="shared" si="918"/>
        <v>939</v>
      </c>
      <c r="S4340" s="23">
        <f t="shared" si="919"/>
        <v>0</v>
      </c>
      <c r="T4340" s="23" t="str">
        <f t="shared" si="920"/>
        <v/>
      </c>
      <c r="U4340" t="str">
        <f t="shared" si="921"/>
        <v>PA_Alleg_2019p~Dem-commissioner robinson (vote for 2)</v>
      </c>
      <c r="W4340" s="40"/>
      <c r="X4340" s="72"/>
      <c r="Y4340" s="40"/>
      <c r="AC4340" s="9"/>
      <c r="AD4340" s="9"/>
      <c r="AE4340" s="9"/>
      <c r="AF4340" s="22"/>
      <c r="AG4340" s="23"/>
      <c r="AH4340" s="8"/>
    </row>
    <row r="4341" spans="1:38">
      <c r="A4341" t="str">
        <f t="shared" si="922"/>
        <v>PA_Alleg_2019p~Dem-commissioner robinson (vote for 2)</v>
      </c>
      <c r="B4341" s="55" t="s">
        <v>1291</v>
      </c>
      <c r="C4341">
        <v>587</v>
      </c>
      <c r="D4341" s="55" t="s">
        <v>566</v>
      </c>
      <c r="E4341" s="55" t="s">
        <v>567</v>
      </c>
      <c r="F4341" t="s">
        <v>12</v>
      </c>
      <c r="G4341" s="62">
        <v>939</v>
      </c>
      <c r="H4341" s="25">
        <v>49.71</v>
      </c>
      <c r="I4341">
        <v>11244</v>
      </c>
      <c r="J4341">
        <v>1595</v>
      </c>
      <c r="K4341">
        <v>9</v>
      </c>
      <c r="L4341">
        <v>9</v>
      </c>
      <c r="M4341">
        <v>0</v>
      </c>
      <c r="N4341" s="23">
        <v>0</v>
      </c>
      <c r="O4341">
        <f t="shared" si="915"/>
        <v>2</v>
      </c>
      <c r="P4341" s="57">
        <f t="shared" si="916"/>
        <v>2</v>
      </c>
      <c r="Q4341" s="267">
        <f t="shared" si="917"/>
        <v>950</v>
      </c>
      <c r="R4341" s="23">
        <f t="shared" si="918"/>
        <v>939</v>
      </c>
      <c r="S4341" s="23">
        <f t="shared" si="919"/>
        <v>0</v>
      </c>
      <c r="T4341" s="23" t="str">
        <f t="shared" si="920"/>
        <v/>
      </c>
      <c r="U4341" t="str">
        <f t="shared" si="921"/>
        <v/>
      </c>
      <c r="W4341" s="40"/>
      <c r="X4341" s="72"/>
      <c r="Y4341" s="40"/>
      <c r="AC4341" s="9"/>
      <c r="AD4341" s="9"/>
      <c r="AE4341" s="9"/>
      <c r="AF4341" s="22"/>
    </row>
    <row r="4342" spans="1:38">
      <c r="A4342" t="str">
        <f t="shared" si="922"/>
        <v>PA_Alleg_2019p~Dem-commissioner robinson (vote for 2)</v>
      </c>
      <c r="B4342" s="55" t="s">
        <v>1291</v>
      </c>
      <c r="C4342">
        <v>589</v>
      </c>
      <c r="D4342" s="55" t="s">
        <v>566</v>
      </c>
      <c r="E4342" s="55" t="s">
        <v>15</v>
      </c>
      <c r="F4342" t="s">
        <v>12</v>
      </c>
      <c r="G4342" s="62">
        <v>11</v>
      </c>
      <c r="H4342" s="25">
        <v>0.57999999999999996</v>
      </c>
      <c r="I4342">
        <v>11244</v>
      </c>
      <c r="J4342">
        <v>1595</v>
      </c>
      <c r="K4342">
        <v>9</v>
      </c>
      <c r="L4342">
        <v>9</v>
      </c>
      <c r="M4342">
        <v>0</v>
      </c>
      <c r="N4342" s="23">
        <v>0</v>
      </c>
      <c r="O4342">
        <f t="shared" si="915"/>
        <v>-2</v>
      </c>
      <c r="P4342" s="57">
        <f t="shared" si="916"/>
        <v>2</v>
      </c>
      <c r="Q4342" s="267">
        <f t="shared" si="917"/>
        <v>11</v>
      </c>
      <c r="R4342" s="23">
        <f t="shared" si="918"/>
        <v>1</v>
      </c>
      <c r="S4342" s="23">
        <f t="shared" si="919"/>
        <v>0</v>
      </c>
      <c r="T4342" s="23" t="str">
        <f t="shared" si="920"/>
        <v/>
      </c>
      <c r="U4342" t="str">
        <f t="shared" si="921"/>
        <v/>
      </c>
      <c r="W4342" s="40"/>
      <c r="X4342" s="72"/>
      <c r="Y4342" s="40"/>
      <c r="AC4342" s="9"/>
      <c r="AD4342" s="9"/>
      <c r="AE4342" s="9"/>
      <c r="AF4342" s="22"/>
    </row>
    <row r="4343" spans="1:38">
      <c r="A4343" t="str">
        <f t="shared" si="922"/>
        <v>PA_Alleg_2019p~Dem-commissioner ross ward 1 (vote for 1)</v>
      </c>
      <c r="B4343" s="55" t="s">
        <v>1291</v>
      </c>
      <c r="C4343">
        <v>634</v>
      </c>
      <c r="D4343" s="55" t="s">
        <v>612</v>
      </c>
      <c r="E4343" s="55" t="s">
        <v>614</v>
      </c>
      <c r="F4343" t="s">
        <v>12</v>
      </c>
      <c r="G4343" s="62">
        <v>262</v>
      </c>
      <c r="H4343" s="25">
        <v>72.78</v>
      </c>
      <c r="I4343">
        <v>2779</v>
      </c>
      <c r="J4343">
        <v>560</v>
      </c>
      <c r="K4343">
        <v>4</v>
      </c>
      <c r="L4343">
        <v>4</v>
      </c>
      <c r="M4343">
        <v>0</v>
      </c>
      <c r="N4343" s="23">
        <v>0</v>
      </c>
      <c r="O4343">
        <f t="shared" si="915"/>
        <v>1</v>
      </c>
      <c r="P4343" s="57">
        <f t="shared" si="916"/>
        <v>1</v>
      </c>
      <c r="Q4343" s="267">
        <f t="shared" si="917"/>
        <v>360</v>
      </c>
      <c r="R4343" s="23">
        <f t="shared" si="918"/>
        <v>262</v>
      </c>
      <c r="S4343" s="23">
        <f t="shared" si="919"/>
        <v>94</v>
      </c>
      <c r="T4343" s="23">
        <f t="shared" si="920"/>
        <v>168</v>
      </c>
      <c r="U4343" t="str">
        <f t="shared" si="921"/>
        <v>PA_Alleg_2019p~Dem-commissioner ross ward 1 (vote for 1)</v>
      </c>
      <c r="W4343" s="40"/>
      <c r="X4343" s="72"/>
      <c r="Y4343" s="40"/>
      <c r="AC4343" s="9"/>
      <c r="AD4343" s="9"/>
      <c r="AE4343" s="9"/>
      <c r="AF4343" s="22"/>
    </row>
    <row r="4344" spans="1:38">
      <c r="A4344" t="str">
        <f t="shared" si="922"/>
        <v>PA_Alleg_2019p~Dem-commissioner ross ward 1 (vote for 1)</v>
      </c>
      <c r="B4344" s="55" t="s">
        <v>1291</v>
      </c>
      <c r="C4344">
        <v>633</v>
      </c>
      <c r="D4344" s="55" t="s">
        <v>612</v>
      </c>
      <c r="E4344" s="55" t="s">
        <v>613</v>
      </c>
      <c r="F4344" t="s">
        <v>12</v>
      </c>
      <c r="G4344" s="62">
        <v>94</v>
      </c>
      <c r="H4344" s="25">
        <v>26.11</v>
      </c>
      <c r="I4344">
        <v>2779</v>
      </c>
      <c r="J4344">
        <v>560</v>
      </c>
      <c r="K4344">
        <v>4</v>
      </c>
      <c r="L4344">
        <v>4</v>
      </c>
      <c r="M4344">
        <v>0</v>
      </c>
      <c r="N4344" s="23">
        <v>0</v>
      </c>
      <c r="O4344">
        <f t="shared" si="915"/>
        <v>2</v>
      </c>
      <c r="P4344" s="57">
        <f t="shared" si="916"/>
        <v>1</v>
      </c>
      <c r="Q4344" s="267">
        <f t="shared" si="917"/>
        <v>98</v>
      </c>
      <c r="R4344" s="23" t="str">
        <f t="shared" si="918"/>
        <v/>
      </c>
      <c r="S4344" s="23">
        <f t="shared" si="919"/>
        <v>94</v>
      </c>
      <c r="T4344" s="23" t="str">
        <f t="shared" si="920"/>
        <v/>
      </c>
      <c r="U4344" t="str">
        <f t="shared" si="921"/>
        <v/>
      </c>
      <c r="W4344" s="40"/>
      <c r="X4344" s="72"/>
      <c r="Y4344" s="40"/>
      <c r="AC4344" s="9"/>
      <c r="AD4344" s="9"/>
      <c r="AE4344" s="9"/>
      <c r="AF4344" s="22"/>
    </row>
    <row r="4345" spans="1:38">
      <c r="A4345" t="str">
        <f t="shared" si="922"/>
        <v>PA_Alleg_2019p~Dem-commissioner ross ward 1 (vote for 1)</v>
      </c>
      <c r="B4345" s="55" t="s">
        <v>1291</v>
      </c>
      <c r="C4345">
        <v>635</v>
      </c>
      <c r="D4345" s="55" t="s">
        <v>612</v>
      </c>
      <c r="E4345" s="55" t="s">
        <v>15</v>
      </c>
      <c r="F4345" t="s">
        <v>12</v>
      </c>
      <c r="G4345" s="62">
        <v>4</v>
      </c>
      <c r="H4345" s="25">
        <v>1.1100000000000001</v>
      </c>
      <c r="I4345">
        <v>2779</v>
      </c>
      <c r="J4345">
        <v>560</v>
      </c>
      <c r="K4345">
        <v>4</v>
      </c>
      <c r="L4345">
        <v>4</v>
      </c>
      <c r="M4345">
        <v>0</v>
      </c>
      <c r="N4345" s="23">
        <v>0</v>
      </c>
      <c r="O4345">
        <f t="shared" si="915"/>
        <v>-2</v>
      </c>
      <c r="P4345" s="57">
        <f t="shared" si="916"/>
        <v>1</v>
      </c>
      <c r="Q4345" s="267">
        <f t="shared" si="917"/>
        <v>4</v>
      </c>
      <c r="R4345" s="23">
        <f t="shared" si="918"/>
        <v>1</v>
      </c>
      <c r="S4345" s="23">
        <f t="shared" si="919"/>
        <v>0</v>
      </c>
      <c r="T4345" s="23" t="str">
        <f t="shared" si="920"/>
        <v/>
      </c>
      <c r="U4345" t="str">
        <f t="shared" si="921"/>
        <v/>
      </c>
      <c r="W4345" s="40"/>
      <c r="X4345" s="72"/>
      <c r="Y4345" s="40"/>
      <c r="AC4345" s="9"/>
      <c r="AD4345" s="9"/>
      <c r="AE4345" s="9"/>
      <c r="AF4345" s="22"/>
    </row>
    <row r="4346" spans="1:38">
      <c r="A4346" t="str">
        <f t="shared" si="922"/>
        <v>PA_Alleg_2019p~Dem-commissioner ross ward 3 (vote for 1)</v>
      </c>
      <c r="B4346" s="55" t="s">
        <v>1291</v>
      </c>
      <c r="C4346">
        <v>636</v>
      </c>
      <c r="D4346" s="55" t="s">
        <v>615</v>
      </c>
      <c r="E4346" s="55" t="s">
        <v>616</v>
      </c>
      <c r="F4346" t="s">
        <v>12</v>
      </c>
      <c r="G4346" s="62">
        <v>221</v>
      </c>
      <c r="H4346" s="25">
        <v>66.77</v>
      </c>
      <c r="I4346">
        <v>2647</v>
      </c>
      <c r="J4346">
        <v>513</v>
      </c>
      <c r="K4346">
        <v>4</v>
      </c>
      <c r="L4346">
        <v>4</v>
      </c>
      <c r="M4346">
        <v>0</v>
      </c>
      <c r="N4346" s="23">
        <v>0</v>
      </c>
      <c r="O4346">
        <f t="shared" si="915"/>
        <v>1</v>
      </c>
      <c r="P4346" s="57">
        <f t="shared" si="916"/>
        <v>1</v>
      </c>
      <c r="Q4346" s="267">
        <f t="shared" si="917"/>
        <v>331</v>
      </c>
      <c r="R4346" s="23">
        <f t="shared" si="918"/>
        <v>221</v>
      </c>
      <c r="S4346" s="23">
        <f t="shared" si="919"/>
        <v>0</v>
      </c>
      <c r="T4346" s="23" t="str">
        <f t="shared" si="920"/>
        <v/>
      </c>
      <c r="U4346" t="str">
        <f t="shared" si="921"/>
        <v>PA_Alleg_2019p~Dem-commissioner ross ward 3 (vote for 1)</v>
      </c>
      <c r="W4346" s="40"/>
      <c r="X4346" s="72"/>
      <c r="Y4346" s="40"/>
      <c r="AC4346" s="9"/>
      <c r="AD4346" s="9"/>
      <c r="AE4346" s="9"/>
      <c r="AF4346" s="22"/>
      <c r="AL4346" s="344"/>
    </row>
    <row r="4347" spans="1:38">
      <c r="A4347" t="str">
        <f t="shared" si="922"/>
        <v>PA_Alleg_2019p~Dem-commissioner ross ward 3 (vote for 1)</v>
      </c>
      <c r="B4347" s="55" t="s">
        <v>1291</v>
      </c>
      <c r="C4347">
        <v>637</v>
      </c>
      <c r="D4347" s="55" t="s">
        <v>615</v>
      </c>
      <c r="E4347" s="55" t="s">
        <v>15</v>
      </c>
      <c r="F4347" t="s">
        <v>12</v>
      </c>
      <c r="G4347" s="62">
        <v>110</v>
      </c>
      <c r="H4347" s="25">
        <v>33.229999999999997</v>
      </c>
      <c r="I4347">
        <v>2647</v>
      </c>
      <c r="J4347">
        <v>513</v>
      </c>
      <c r="K4347">
        <v>4</v>
      </c>
      <c r="L4347">
        <v>4</v>
      </c>
      <c r="M4347">
        <v>0</v>
      </c>
      <c r="N4347" s="23">
        <v>0</v>
      </c>
      <c r="O4347">
        <f t="shared" si="915"/>
        <v>-1</v>
      </c>
      <c r="P4347" s="57">
        <f t="shared" si="916"/>
        <v>1</v>
      </c>
      <c r="Q4347" s="267">
        <f t="shared" si="917"/>
        <v>110</v>
      </c>
      <c r="R4347" s="23">
        <f t="shared" si="918"/>
        <v>1</v>
      </c>
      <c r="S4347" s="23">
        <f t="shared" si="919"/>
        <v>0</v>
      </c>
      <c r="T4347" s="23" t="str">
        <f t="shared" si="920"/>
        <v/>
      </c>
      <c r="U4347" t="str">
        <f t="shared" si="921"/>
        <v/>
      </c>
      <c r="W4347" s="40"/>
      <c r="X4347" s="72"/>
      <c r="Y4347" s="40"/>
      <c r="AC4347" s="9"/>
      <c r="AD4347" s="9"/>
      <c r="AE4347" s="9"/>
      <c r="AF4347" s="300"/>
      <c r="AG4347" s="302"/>
      <c r="AH4347" s="301"/>
      <c r="AI4347" s="303"/>
      <c r="AJ4347" s="303"/>
      <c r="AK4347" s="342"/>
      <c r="AL4347" s="343"/>
    </row>
    <row r="4348" spans="1:38">
      <c r="A4348" t="str">
        <f t="shared" si="922"/>
        <v>PA_Alleg_2019p~Dem-commissioner ross ward 5 (vote for 1)</v>
      </c>
      <c r="B4348" s="55" t="s">
        <v>1291</v>
      </c>
      <c r="C4348">
        <v>638</v>
      </c>
      <c r="D4348" s="55" t="s">
        <v>617</v>
      </c>
      <c r="E4348" s="55" t="s">
        <v>618</v>
      </c>
      <c r="F4348" t="s">
        <v>12</v>
      </c>
      <c r="G4348" s="62">
        <v>232</v>
      </c>
      <c r="H4348" s="25">
        <v>83.15</v>
      </c>
      <c r="I4348">
        <v>2587</v>
      </c>
      <c r="J4348">
        <v>501</v>
      </c>
      <c r="K4348">
        <v>4</v>
      </c>
      <c r="L4348">
        <v>4</v>
      </c>
      <c r="M4348">
        <v>0</v>
      </c>
      <c r="N4348" s="23">
        <v>0</v>
      </c>
      <c r="O4348">
        <f t="shared" si="915"/>
        <v>1</v>
      </c>
      <c r="P4348" s="57">
        <f t="shared" si="916"/>
        <v>1</v>
      </c>
      <c r="Q4348" s="267">
        <f t="shared" si="917"/>
        <v>279</v>
      </c>
      <c r="R4348" s="23">
        <f t="shared" si="918"/>
        <v>232</v>
      </c>
      <c r="S4348" s="23">
        <f t="shared" si="919"/>
        <v>0</v>
      </c>
      <c r="T4348" s="23" t="str">
        <f t="shared" si="920"/>
        <v/>
      </c>
      <c r="U4348" t="str">
        <f t="shared" si="921"/>
        <v>PA_Alleg_2019p~Dem-commissioner ross ward 5 (vote for 1)</v>
      </c>
      <c r="W4348" s="40"/>
      <c r="X4348" s="72"/>
      <c r="Y4348" s="40"/>
      <c r="AC4348" s="9"/>
      <c r="AD4348" s="9"/>
      <c r="AE4348" s="9"/>
      <c r="AF4348" s="22"/>
    </row>
    <row r="4349" spans="1:38">
      <c r="A4349" t="str">
        <f t="shared" si="922"/>
        <v>PA_Alleg_2019p~Dem-commissioner ross ward 5 (vote for 1)</v>
      </c>
      <c r="B4349" s="55" t="s">
        <v>1291</v>
      </c>
      <c r="C4349">
        <v>639</v>
      </c>
      <c r="D4349" s="55" t="s">
        <v>617</v>
      </c>
      <c r="E4349" s="55" t="s">
        <v>15</v>
      </c>
      <c r="F4349" t="s">
        <v>12</v>
      </c>
      <c r="G4349" s="62">
        <v>47</v>
      </c>
      <c r="H4349" s="25">
        <v>16.850000000000001</v>
      </c>
      <c r="I4349">
        <v>2587</v>
      </c>
      <c r="J4349">
        <v>501</v>
      </c>
      <c r="K4349">
        <v>4</v>
      </c>
      <c r="L4349">
        <v>4</v>
      </c>
      <c r="M4349">
        <v>0</v>
      </c>
      <c r="N4349" s="23">
        <v>0</v>
      </c>
      <c r="O4349">
        <f t="shared" si="915"/>
        <v>-1</v>
      </c>
      <c r="P4349" s="57">
        <f t="shared" si="916"/>
        <v>1</v>
      </c>
      <c r="Q4349" s="267">
        <f t="shared" si="917"/>
        <v>47</v>
      </c>
      <c r="R4349" s="23">
        <f t="shared" si="918"/>
        <v>1</v>
      </c>
      <c r="S4349" s="23">
        <f t="shared" si="919"/>
        <v>0</v>
      </c>
      <c r="T4349" s="23" t="str">
        <f t="shared" si="920"/>
        <v/>
      </c>
      <c r="U4349" t="str">
        <f t="shared" si="921"/>
        <v/>
      </c>
      <c r="W4349" s="40"/>
      <c r="X4349" s="72"/>
      <c r="Y4349" s="40"/>
      <c r="AC4349" s="9"/>
      <c r="AD4349" s="9"/>
      <c r="AE4349" s="9"/>
      <c r="AF4349" s="22"/>
    </row>
    <row r="4350" spans="1:38">
      <c r="A4350" t="str">
        <f t="shared" si="922"/>
        <v>PA_Alleg_2019p~Dem-commissioner ross ward 7 (vote for 1)</v>
      </c>
      <c r="B4350" s="55" t="s">
        <v>1291</v>
      </c>
      <c r="C4350">
        <v>640</v>
      </c>
      <c r="D4350" s="55" t="s">
        <v>619</v>
      </c>
      <c r="E4350" s="55" t="s">
        <v>620</v>
      </c>
      <c r="F4350" t="s">
        <v>12</v>
      </c>
      <c r="G4350" s="62">
        <v>287</v>
      </c>
      <c r="H4350" s="25">
        <v>81.77</v>
      </c>
      <c r="I4350">
        <v>2510</v>
      </c>
      <c r="J4350">
        <v>521</v>
      </c>
      <c r="K4350">
        <v>4</v>
      </c>
      <c r="L4350">
        <v>4</v>
      </c>
      <c r="M4350">
        <v>0</v>
      </c>
      <c r="N4350" s="23">
        <v>0</v>
      </c>
      <c r="O4350">
        <f t="shared" si="915"/>
        <v>1</v>
      </c>
      <c r="P4350" s="57">
        <f t="shared" si="916"/>
        <v>1</v>
      </c>
      <c r="Q4350" s="267">
        <f t="shared" si="917"/>
        <v>351</v>
      </c>
      <c r="R4350" s="23">
        <f t="shared" si="918"/>
        <v>287</v>
      </c>
      <c r="S4350" s="23">
        <f t="shared" si="919"/>
        <v>0</v>
      </c>
      <c r="T4350" s="23" t="str">
        <f t="shared" si="920"/>
        <v/>
      </c>
      <c r="U4350" t="str">
        <f t="shared" si="921"/>
        <v>PA_Alleg_2019p~Dem-commissioner ross ward 7 (vote for 1)</v>
      </c>
      <c r="W4350" s="40"/>
      <c r="X4350" s="72"/>
      <c r="Y4350" s="40"/>
      <c r="AC4350" s="9"/>
      <c r="AD4350" s="9"/>
      <c r="AE4350" s="9"/>
      <c r="AF4350" s="22"/>
    </row>
    <row r="4351" spans="1:38">
      <c r="A4351" t="str">
        <f t="shared" si="922"/>
        <v>PA_Alleg_2019p~Dem-commissioner ross ward 7 (vote for 1)</v>
      </c>
      <c r="B4351" s="55" t="s">
        <v>1291</v>
      </c>
      <c r="C4351">
        <v>641</v>
      </c>
      <c r="D4351" s="55" t="s">
        <v>619</v>
      </c>
      <c r="E4351" s="55" t="s">
        <v>15</v>
      </c>
      <c r="F4351" t="s">
        <v>12</v>
      </c>
      <c r="G4351" s="62">
        <v>64</v>
      </c>
      <c r="H4351" s="25">
        <v>18.23</v>
      </c>
      <c r="I4351">
        <v>2510</v>
      </c>
      <c r="J4351">
        <v>521</v>
      </c>
      <c r="K4351">
        <v>4</v>
      </c>
      <c r="L4351">
        <v>4</v>
      </c>
      <c r="M4351">
        <v>0</v>
      </c>
      <c r="N4351" s="23">
        <v>0</v>
      </c>
      <c r="O4351">
        <f t="shared" si="915"/>
        <v>-1</v>
      </c>
      <c r="P4351" s="57">
        <f t="shared" si="916"/>
        <v>1</v>
      </c>
      <c r="Q4351" s="267">
        <f t="shared" si="917"/>
        <v>64</v>
      </c>
      <c r="R4351" s="23">
        <f t="shared" si="918"/>
        <v>1</v>
      </c>
      <c r="S4351" s="23">
        <f t="shared" si="919"/>
        <v>0</v>
      </c>
      <c r="T4351" s="23" t="str">
        <f t="shared" si="920"/>
        <v/>
      </c>
      <c r="U4351" t="str">
        <f t="shared" si="921"/>
        <v/>
      </c>
      <c r="W4351" s="40"/>
      <c r="X4351" s="72"/>
      <c r="Y4351" s="40"/>
      <c r="AC4351" s="9"/>
      <c r="AD4351" s="9"/>
      <c r="AE4351" s="9"/>
      <c r="AF4351" s="22"/>
    </row>
    <row r="4352" spans="1:38">
      <c r="A4352" t="str">
        <f t="shared" si="922"/>
        <v>PA_Alleg_2019p~Dem-commissioner ross ward 9 (vote for 1)</v>
      </c>
      <c r="B4352" s="55" t="s">
        <v>1291</v>
      </c>
      <c r="C4352">
        <v>642</v>
      </c>
      <c r="D4352" s="55" t="s">
        <v>621</v>
      </c>
      <c r="E4352" s="55" t="s">
        <v>622</v>
      </c>
      <c r="F4352" t="s">
        <v>12</v>
      </c>
      <c r="G4352" s="62">
        <v>256</v>
      </c>
      <c r="H4352" s="25">
        <v>98.08</v>
      </c>
      <c r="I4352">
        <v>2593</v>
      </c>
      <c r="J4352">
        <v>494</v>
      </c>
      <c r="K4352">
        <v>3</v>
      </c>
      <c r="L4352">
        <v>3</v>
      </c>
      <c r="M4352">
        <v>0</v>
      </c>
      <c r="N4352" s="23">
        <v>0</v>
      </c>
      <c r="O4352">
        <f t="shared" si="915"/>
        <v>1</v>
      </c>
      <c r="P4352" s="57">
        <f t="shared" si="916"/>
        <v>1</v>
      </c>
      <c r="Q4352" s="267">
        <f t="shared" si="917"/>
        <v>261</v>
      </c>
      <c r="R4352" s="23">
        <f t="shared" si="918"/>
        <v>256</v>
      </c>
      <c r="S4352" s="23">
        <f t="shared" si="919"/>
        <v>0</v>
      </c>
      <c r="T4352" s="23" t="str">
        <f t="shared" si="920"/>
        <v/>
      </c>
      <c r="U4352" t="str">
        <f t="shared" si="921"/>
        <v>PA_Alleg_2019p~Dem-commissioner ross ward 9 (vote for 1)</v>
      </c>
      <c r="W4352" s="40"/>
      <c r="X4352" s="72"/>
      <c r="Y4352" s="40"/>
      <c r="AC4352" s="9"/>
      <c r="AD4352" s="9"/>
      <c r="AE4352" s="9"/>
      <c r="AF4352" s="22"/>
      <c r="AG4352" s="89"/>
      <c r="AH4352" s="274"/>
      <c r="AI4352" s="279"/>
      <c r="AJ4352" s="280"/>
      <c r="AK4352" s="92"/>
      <c r="AL4352" s="23"/>
    </row>
    <row r="4353" spans="1:38">
      <c r="A4353" t="str">
        <f t="shared" si="922"/>
        <v>PA_Alleg_2019p~Dem-commissioner ross ward 9 (vote for 1)</v>
      </c>
      <c r="B4353" s="55" t="s">
        <v>1291</v>
      </c>
      <c r="C4353">
        <v>643</v>
      </c>
      <c r="D4353" s="55" t="s">
        <v>621</v>
      </c>
      <c r="E4353" s="55" t="s">
        <v>15</v>
      </c>
      <c r="F4353" t="s">
        <v>12</v>
      </c>
      <c r="G4353" s="62">
        <v>5</v>
      </c>
      <c r="H4353" s="25">
        <v>1.92</v>
      </c>
      <c r="I4353">
        <v>2593</v>
      </c>
      <c r="J4353">
        <v>494</v>
      </c>
      <c r="K4353">
        <v>3</v>
      </c>
      <c r="L4353">
        <v>3</v>
      </c>
      <c r="M4353">
        <v>0</v>
      </c>
      <c r="N4353" s="23">
        <v>0</v>
      </c>
      <c r="O4353">
        <f t="shared" si="915"/>
        <v>-1</v>
      </c>
      <c r="P4353" s="57">
        <f t="shared" si="916"/>
        <v>1</v>
      </c>
      <c r="Q4353" s="267">
        <f t="shared" si="917"/>
        <v>5</v>
      </c>
      <c r="R4353" s="23">
        <f t="shared" si="918"/>
        <v>1</v>
      </c>
      <c r="S4353" s="23">
        <f t="shared" si="919"/>
        <v>0</v>
      </c>
      <c r="T4353" s="23" t="str">
        <f t="shared" si="920"/>
        <v/>
      </c>
      <c r="U4353" t="str">
        <f t="shared" si="921"/>
        <v/>
      </c>
      <c r="W4353" s="40"/>
      <c r="X4353" s="72"/>
      <c r="Y4353" s="40"/>
      <c r="AC4353" s="9"/>
      <c r="AD4353" s="9"/>
      <c r="AE4353" s="9"/>
      <c r="AF4353" s="22"/>
      <c r="AG4353" s="23"/>
      <c r="AH4353" s="8"/>
      <c r="AL4353" s="344"/>
    </row>
    <row r="4354" spans="1:38">
      <c r="A4354" t="str">
        <f t="shared" si="922"/>
        <v>PA_Alleg_2019p~Dem-commissioner scott ward 1 (vote for 1)</v>
      </c>
      <c r="B4354" s="55" t="s">
        <v>1291</v>
      </c>
      <c r="C4354">
        <v>645</v>
      </c>
      <c r="D4354" s="55" t="s">
        <v>623</v>
      </c>
      <c r="E4354" s="55" t="s">
        <v>625</v>
      </c>
      <c r="F4354" t="s">
        <v>12</v>
      </c>
      <c r="G4354" s="62">
        <v>102</v>
      </c>
      <c r="H4354" s="25">
        <v>62.2</v>
      </c>
      <c r="I4354">
        <v>1262</v>
      </c>
      <c r="J4354">
        <v>216</v>
      </c>
      <c r="K4354">
        <v>2</v>
      </c>
      <c r="L4354">
        <v>2</v>
      </c>
      <c r="M4354">
        <v>0</v>
      </c>
      <c r="N4354" s="23">
        <v>0</v>
      </c>
      <c r="O4354">
        <f t="shared" ref="O4354:O4417" si="923">IF(OR(LOWER(LEFT(E4354,8))="write-in",LOWER(LEFT(E4354,8))="not qual"),IF(A4354=A4353,-ABS(O4353),0),IF(A4354=A4353,ABS(O4353)+1,1))</f>
        <v>1</v>
      </c>
      <c r="P4354" s="57">
        <f t="shared" ref="P4354:P4417" si="924">1*LEFT(RIGHT(A4354,2),1)</f>
        <v>1</v>
      </c>
      <c r="Q4354" s="267">
        <f t="shared" ref="Q4354:Q4417" si="925">IF(A4354&lt;&gt;A4355,G4354,IF(A4354=A4353,G4354+Q4355,MAX(G4354,(G4354+Q4355)/P4354)))</f>
        <v>164</v>
      </c>
      <c r="R4354" s="23">
        <f t="shared" ref="R4354:R4417" si="926">IF(O4354&gt;P4354,"",IF(O4354=P4354,G4354,IF(A4354=A4355,R4355,IF(O4354&lt;=0,1,G4354))))</f>
        <v>102</v>
      </c>
      <c r="S4354" s="23">
        <f t="shared" ref="S4354:S4417" si="927">IF(AND(O4354&gt;P4354,LOWER(LEFT(E4354,8))&lt;&gt;"write-in",LOWER(LEFT(E4354,8))&lt;&gt;"not qual"),G4354,IF(A4354=A4355,S4355,0))</f>
        <v>62</v>
      </c>
      <c r="T4354" s="23">
        <f t="shared" ref="T4354:T4417" si="928">IF(OR(A4354=A4353,S4354=0),"",R4354-ABS(S4354))</f>
        <v>40</v>
      </c>
      <c r="U4354" t="str">
        <f t="shared" ref="U4354:U4417" si="929">IF(A4354=A4353,"",A4354)</f>
        <v>PA_Alleg_2019p~Dem-commissioner scott ward 1 (vote for 1)</v>
      </c>
      <c r="W4354" s="40"/>
      <c r="X4354" s="72"/>
      <c r="Y4354" s="40"/>
      <c r="AC4354" s="9"/>
      <c r="AD4354" s="9"/>
      <c r="AE4354" s="9"/>
      <c r="AF4354" s="22"/>
    </row>
    <row r="4355" spans="1:38">
      <c r="A4355" t="str">
        <f t="shared" ref="A4355:A4418" si="930">CONCATENATE(B4355,"~",F4355,"-",LOWER(D4355))</f>
        <v>PA_Alleg_2019p~Dem-commissioner scott ward 1 (vote for 1)</v>
      </c>
      <c r="B4355" s="55" t="s">
        <v>1291</v>
      </c>
      <c r="C4355">
        <v>644</v>
      </c>
      <c r="D4355" s="55" t="s">
        <v>623</v>
      </c>
      <c r="E4355" s="55" t="s">
        <v>624</v>
      </c>
      <c r="F4355" t="s">
        <v>12</v>
      </c>
      <c r="G4355" s="62">
        <v>62</v>
      </c>
      <c r="H4355" s="25">
        <v>37.799999999999997</v>
      </c>
      <c r="I4355">
        <v>1262</v>
      </c>
      <c r="J4355">
        <v>216</v>
      </c>
      <c r="K4355">
        <v>2</v>
      </c>
      <c r="L4355">
        <v>2</v>
      </c>
      <c r="M4355">
        <v>0</v>
      </c>
      <c r="N4355" s="23">
        <v>0</v>
      </c>
      <c r="O4355">
        <f t="shared" si="923"/>
        <v>2</v>
      </c>
      <c r="P4355" s="57">
        <f t="shared" si="924"/>
        <v>1</v>
      </c>
      <c r="Q4355" s="267">
        <f t="shared" si="925"/>
        <v>62</v>
      </c>
      <c r="R4355" s="23" t="str">
        <f t="shared" si="926"/>
        <v/>
      </c>
      <c r="S4355" s="23">
        <f t="shared" si="927"/>
        <v>62</v>
      </c>
      <c r="T4355" s="23" t="str">
        <f t="shared" si="928"/>
        <v/>
      </c>
      <c r="U4355" t="str">
        <f t="shared" si="929"/>
        <v/>
      </c>
      <c r="W4355" s="40"/>
      <c r="X4355" s="72"/>
      <c r="Y4355" s="40"/>
      <c r="AC4355" s="9"/>
      <c r="AD4355" s="9"/>
      <c r="AE4355" s="9"/>
      <c r="AF4355" s="22"/>
      <c r="AH4355" s="8"/>
    </row>
    <row r="4356" spans="1:38">
      <c r="A4356" t="str">
        <f t="shared" si="930"/>
        <v>PA_Alleg_2019p~Dem-commissioner scott ward 1 (vote for 1)</v>
      </c>
      <c r="B4356" s="55" t="s">
        <v>1291</v>
      </c>
      <c r="C4356">
        <v>646</v>
      </c>
      <c r="D4356" s="55" t="s">
        <v>623</v>
      </c>
      <c r="E4356" s="55" t="s">
        <v>15</v>
      </c>
      <c r="F4356" t="s">
        <v>12</v>
      </c>
      <c r="G4356" s="62">
        <v>0</v>
      </c>
      <c r="H4356" s="25">
        <v>0</v>
      </c>
      <c r="I4356">
        <v>1262</v>
      </c>
      <c r="J4356">
        <v>216</v>
      </c>
      <c r="K4356">
        <v>2</v>
      </c>
      <c r="L4356">
        <v>2</v>
      </c>
      <c r="M4356">
        <v>0</v>
      </c>
      <c r="N4356" s="23">
        <v>0</v>
      </c>
      <c r="O4356">
        <f t="shared" si="923"/>
        <v>-2</v>
      </c>
      <c r="P4356" s="57">
        <f t="shared" si="924"/>
        <v>1</v>
      </c>
      <c r="Q4356" s="267">
        <f t="shared" si="925"/>
        <v>0</v>
      </c>
      <c r="R4356" s="23">
        <f t="shared" si="926"/>
        <v>1</v>
      </c>
      <c r="S4356" s="23">
        <f t="shared" si="927"/>
        <v>0</v>
      </c>
      <c r="T4356" s="23" t="str">
        <f t="shared" si="928"/>
        <v/>
      </c>
      <c r="U4356" t="str">
        <f t="shared" si="929"/>
        <v/>
      </c>
      <c r="W4356" s="40"/>
      <c r="X4356" s="72"/>
      <c r="Y4356" s="40"/>
      <c r="AC4356" s="9"/>
      <c r="AD4356" s="9"/>
      <c r="AE4356" s="9"/>
      <c r="AF4356" s="300"/>
      <c r="AG4356" s="302"/>
      <c r="AH4356" s="301"/>
      <c r="AI4356" s="303"/>
      <c r="AJ4356" s="303"/>
      <c r="AK4356" s="342"/>
      <c r="AL4356" s="343"/>
    </row>
    <row r="4357" spans="1:38">
      <c r="A4357" t="str">
        <f t="shared" si="930"/>
        <v>PA_Alleg_2019p~Dem-commissioner scott ward 3 (vote for 1)</v>
      </c>
      <c r="B4357" s="55" t="s">
        <v>1291</v>
      </c>
      <c r="C4357">
        <v>647</v>
      </c>
      <c r="D4357" s="55" t="s">
        <v>626</v>
      </c>
      <c r="E4357" s="55" t="s">
        <v>627</v>
      </c>
      <c r="F4357" t="s">
        <v>12</v>
      </c>
      <c r="G4357" s="62">
        <v>116</v>
      </c>
      <c r="H4357" s="25">
        <v>81.12</v>
      </c>
      <c r="I4357">
        <v>1260</v>
      </c>
      <c r="J4357">
        <v>249</v>
      </c>
      <c r="K4357">
        <v>2</v>
      </c>
      <c r="L4357">
        <v>2</v>
      </c>
      <c r="M4357">
        <v>0</v>
      </c>
      <c r="N4357" s="23">
        <v>0</v>
      </c>
      <c r="O4357">
        <f t="shared" si="923"/>
        <v>1</v>
      </c>
      <c r="P4357" s="57">
        <f t="shared" si="924"/>
        <v>1</v>
      </c>
      <c r="Q4357" s="267">
        <f t="shared" si="925"/>
        <v>143</v>
      </c>
      <c r="R4357" s="23">
        <f t="shared" si="926"/>
        <v>116</v>
      </c>
      <c r="S4357" s="23">
        <f t="shared" si="927"/>
        <v>0</v>
      </c>
      <c r="T4357" s="23" t="str">
        <f t="shared" si="928"/>
        <v/>
      </c>
      <c r="U4357" t="str">
        <f t="shared" si="929"/>
        <v>PA_Alleg_2019p~Dem-commissioner scott ward 3 (vote for 1)</v>
      </c>
      <c r="W4357" s="40"/>
      <c r="X4357" s="72"/>
      <c r="Y4357" s="40"/>
      <c r="AC4357" s="9"/>
      <c r="AD4357" s="9"/>
      <c r="AE4357" s="9"/>
      <c r="AF4357" s="22"/>
      <c r="AL4357" s="344"/>
    </row>
    <row r="4358" spans="1:38">
      <c r="A4358" t="str">
        <f t="shared" si="930"/>
        <v>PA_Alleg_2019p~Dem-commissioner scott ward 3 (vote for 1)</v>
      </c>
      <c r="B4358" s="55" t="s">
        <v>1291</v>
      </c>
      <c r="C4358">
        <v>648</v>
      </c>
      <c r="D4358" s="55" t="s">
        <v>626</v>
      </c>
      <c r="E4358" s="55" t="s">
        <v>15</v>
      </c>
      <c r="F4358" t="s">
        <v>12</v>
      </c>
      <c r="G4358" s="62">
        <v>27</v>
      </c>
      <c r="H4358" s="25">
        <v>18.88</v>
      </c>
      <c r="I4358">
        <v>1260</v>
      </c>
      <c r="J4358">
        <v>249</v>
      </c>
      <c r="K4358">
        <v>2</v>
      </c>
      <c r="L4358">
        <v>2</v>
      </c>
      <c r="M4358">
        <v>0</v>
      </c>
      <c r="N4358" s="23">
        <v>0</v>
      </c>
      <c r="O4358">
        <f t="shared" si="923"/>
        <v>-1</v>
      </c>
      <c r="P4358" s="57">
        <f t="shared" si="924"/>
        <v>1</v>
      </c>
      <c r="Q4358" s="267">
        <f t="shared" si="925"/>
        <v>27</v>
      </c>
      <c r="R4358" s="23">
        <f t="shared" si="926"/>
        <v>1</v>
      </c>
      <c r="S4358" s="23">
        <f t="shared" si="927"/>
        <v>0</v>
      </c>
      <c r="T4358" s="23" t="str">
        <f t="shared" si="928"/>
        <v/>
      </c>
      <c r="U4358" t="str">
        <f t="shared" si="929"/>
        <v/>
      </c>
      <c r="W4358" s="40"/>
      <c r="X4358" s="72"/>
      <c r="Y4358" s="40"/>
      <c r="AC4358" s="9"/>
      <c r="AD4358" s="9"/>
      <c r="AE4358" s="9"/>
      <c r="AF4358" s="22"/>
      <c r="AG4358" s="23"/>
      <c r="AH4358" s="8"/>
    </row>
    <row r="4359" spans="1:38">
      <c r="A4359" t="str">
        <f t="shared" si="930"/>
        <v>PA_Alleg_2019p~Dem-commissioner scott ward 5 (vote for 1)</v>
      </c>
      <c r="B4359" s="55" t="s">
        <v>1291</v>
      </c>
      <c r="C4359">
        <v>649</v>
      </c>
      <c r="D4359" s="55" t="s">
        <v>628</v>
      </c>
      <c r="E4359" s="55" t="s">
        <v>629</v>
      </c>
      <c r="F4359" t="s">
        <v>12</v>
      </c>
      <c r="G4359" s="62">
        <v>123</v>
      </c>
      <c r="H4359" s="25">
        <v>96.09</v>
      </c>
      <c r="I4359">
        <v>1339</v>
      </c>
      <c r="J4359">
        <v>214</v>
      </c>
      <c r="K4359">
        <v>2</v>
      </c>
      <c r="L4359">
        <v>2</v>
      </c>
      <c r="M4359">
        <v>0</v>
      </c>
      <c r="N4359" s="23">
        <v>0</v>
      </c>
      <c r="O4359">
        <f t="shared" si="923"/>
        <v>1</v>
      </c>
      <c r="P4359" s="57">
        <f t="shared" si="924"/>
        <v>1</v>
      </c>
      <c r="Q4359" s="267">
        <f t="shared" si="925"/>
        <v>128</v>
      </c>
      <c r="R4359" s="23">
        <f t="shared" si="926"/>
        <v>123</v>
      </c>
      <c r="S4359" s="23">
        <f t="shared" si="927"/>
        <v>0</v>
      </c>
      <c r="T4359" s="23" t="str">
        <f t="shared" si="928"/>
        <v/>
      </c>
      <c r="U4359" t="str">
        <f t="shared" si="929"/>
        <v>PA_Alleg_2019p~Dem-commissioner scott ward 5 (vote for 1)</v>
      </c>
      <c r="W4359" s="40"/>
      <c r="X4359" s="72"/>
      <c r="Y4359" s="40"/>
      <c r="AC4359" s="9"/>
      <c r="AD4359" s="9"/>
      <c r="AE4359" s="9"/>
      <c r="AF4359" s="22"/>
    </row>
    <row r="4360" spans="1:38">
      <c r="A4360" t="str">
        <f t="shared" si="930"/>
        <v>PA_Alleg_2019p~Dem-commissioner scott ward 5 (vote for 1)</v>
      </c>
      <c r="B4360" s="55" t="s">
        <v>1291</v>
      </c>
      <c r="C4360">
        <v>650</v>
      </c>
      <c r="D4360" s="55" t="s">
        <v>628</v>
      </c>
      <c r="E4360" s="55" t="s">
        <v>15</v>
      </c>
      <c r="F4360" t="s">
        <v>12</v>
      </c>
      <c r="G4360" s="62">
        <v>5</v>
      </c>
      <c r="H4360" s="25">
        <v>3.91</v>
      </c>
      <c r="I4360">
        <v>1339</v>
      </c>
      <c r="J4360">
        <v>214</v>
      </c>
      <c r="K4360">
        <v>2</v>
      </c>
      <c r="L4360">
        <v>2</v>
      </c>
      <c r="M4360">
        <v>0</v>
      </c>
      <c r="N4360" s="23">
        <v>0</v>
      </c>
      <c r="O4360">
        <f t="shared" si="923"/>
        <v>-1</v>
      </c>
      <c r="P4360" s="57">
        <f t="shared" si="924"/>
        <v>1</v>
      </c>
      <c r="Q4360" s="267">
        <f t="shared" si="925"/>
        <v>5</v>
      </c>
      <c r="R4360" s="23">
        <f t="shared" si="926"/>
        <v>1</v>
      </c>
      <c r="S4360" s="23">
        <f t="shared" si="927"/>
        <v>0</v>
      </c>
      <c r="T4360" s="23" t="str">
        <f t="shared" si="928"/>
        <v/>
      </c>
      <c r="U4360" t="str">
        <f t="shared" si="929"/>
        <v/>
      </c>
      <c r="W4360" s="40"/>
      <c r="X4360" s="72"/>
      <c r="Y4360" s="40"/>
      <c r="AC4360" s="9"/>
      <c r="AD4360" s="9"/>
      <c r="AE4360" s="9"/>
      <c r="AF4360" s="22"/>
    </row>
    <row r="4361" spans="1:38">
      <c r="A4361" t="str">
        <f t="shared" si="930"/>
        <v>PA_Alleg_2019p~Dem-commissioner scott ward 7 (vote for 1)</v>
      </c>
      <c r="B4361" s="55" t="s">
        <v>1291</v>
      </c>
      <c r="C4361">
        <v>651</v>
      </c>
      <c r="D4361" s="55" t="s">
        <v>630</v>
      </c>
      <c r="E4361" s="55" t="s">
        <v>631</v>
      </c>
      <c r="F4361" t="s">
        <v>12</v>
      </c>
      <c r="G4361" s="62">
        <v>246</v>
      </c>
      <c r="H4361" s="25">
        <v>96.47</v>
      </c>
      <c r="I4361">
        <v>1542</v>
      </c>
      <c r="J4361">
        <v>411</v>
      </c>
      <c r="K4361">
        <v>2</v>
      </c>
      <c r="L4361">
        <v>2</v>
      </c>
      <c r="M4361">
        <v>0</v>
      </c>
      <c r="N4361" s="23">
        <v>0</v>
      </c>
      <c r="O4361">
        <f t="shared" si="923"/>
        <v>1</v>
      </c>
      <c r="P4361" s="57">
        <f t="shared" si="924"/>
        <v>1</v>
      </c>
      <c r="Q4361" s="267">
        <f t="shared" si="925"/>
        <v>255</v>
      </c>
      <c r="R4361" s="23">
        <f t="shared" si="926"/>
        <v>246</v>
      </c>
      <c r="S4361" s="23">
        <f t="shared" si="927"/>
        <v>0</v>
      </c>
      <c r="T4361" s="23" t="str">
        <f t="shared" si="928"/>
        <v/>
      </c>
      <c r="U4361" t="str">
        <f t="shared" si="929"/>
        <v>PA_Alleg_2019p~Dem-commissioner scott ward 7 (vote for 1)</v>
      </c>
      <c r="W4361" s="40"/>
      <c r="X4361" s="72"/>
      <c r="Y4361" s="40"/>
      <c r="AC4361" s="9"/>
      <c r="AD4361" s="9"/>
      <c r="AE4361" s="9"/>
      <c r="AF4361" s="22"/>
    </row>
    <row r="4362" spans="1:38">
      <c r="A4362" t="str">
        <f t="shared" si="930"/>
        <v>PA_Alleg_2019p~Dem-commissioner scott ward 7 (vote for 1)</v>
      </c>
      <c r="B4362" s="55" t="s">
        <v>1291</v>
      </c>
      <c r="C4362">
        <v>652</v>
      </c>
      <c r="D4362" s="55" t="s">
        <v>630</v>
      </c>
      <c r="E4362" s="55" t="s">
        <v>15</v>
      </c>
      <c r="F4362" t="s">
        <v>12</v>
      </c>
      <c r="G4362" s="62">
        <v>9</v>
      </c>
      <c r="H4362" s="25">
        <v>3.53</v>
      </c>
      <c r="I4362">
        <v>1542</v>
      </c>
      <c r="J4362">
        <v>411</v>
      </c>
      <c r="K4362">
        <v>2</v>
      </c>
      <c r="L4362">
        <v>2</v>
      </c>
      <c r="M4362">
        <v>0</v>
      </c>
      <c r="N4362" s="23">
        <v>0</v>
      </c>
      <c r="O4362">
        <f t="shared" si="923"/>
        <v>-1</v>
      </c>
      <c r="P4362" s="57">
        <f t="shared" si="924"/>
        <v>1</v>
      </c>
      <c r="Q4362" s="267">
        <f t="shared" si="925"/>
        <v>9</v>
      </c>
      <c r="R4362" s="23">
        <f t="shared" si="926"/>
        <v>1</v>
      </c>
      <c r="S4362" s="23">
        <f t="shared" si="927"/>
        <v>0</v>
      </c>
      <c r="T4362" s="23" t="str">
        <f t="shared" si="928"/>
        <v/>
      </c>
      <c r="U4362" t="str">
        <f t="shared" si="929"/>
        <v/>
      </c>
      <c r="W4362" s="40"/>
      <c r="X4362" s="72"/>
      <c r="Y4362" s="40"/>
      <c r="AC4362" s="9"/>
      <c r="AD4362" s="9"/>
      <c r="AE4362" s="9"/>
      <c r="AF4362" s="22"/>
    </row>
    <row r="4363" spans="1:38">
      <c r="A4363" t="str">
        <f t="shared" si="930"/>
        <v>PA_Alleg_2019p~Dem-commissioner scott ward 9 (vote for 1)</v>
      </c>
      <c r="B4363" s="55" t="s">
        <v>1291</v>
      </c>
      <c r="C4363">
        <v>654</v>
      </c>
      <c r="D4363" s="55" t="s">
        <v>632</v>
      </c>
      <c r="E4363" s="55" t="s">
        <v>634</v>
      </c>
      <c r="F4363" t="s">
        <v>12</v>
      </c>
      <c r="G4363" s="62">
        <v>49</v>
      </c>
      <c r="H4363" s="25">
        <v>53.26</v>
      </c>
      <c r="I4363">
        <v>628</v>
      </c>
      <c r="J4363">
        <v>120</v>
      </c>
      <c r="K4363">
        <v>2</v>
      </c>
      <c r="L4363">
        <v>2</v>
      </c>
      <c r="M4363">
        <v>0</v>
      </c>
      <c r="N4363" s="23">
        <v>0</v>
      </c>
      <c r="O4363">
        <f t="shared" si="923"/>
        <v>1</v>
      </c>
      <c r="P4363" s="57">
        <f t="shared" si="924"/>
        <v>1</v>
      </c>
      <c r="Q4363" s="267">
        <f t="shared" si="925"/>
        <v>92</v>
      </c>
      <c r="R4363" s="23">
        <f t="shared" si="926"/>
        <v>49</v>
      </c>
      <c r="S4363" s="23">
        <f t="shared" si="927"/>
        <v>43</v>
      </c>
      <c r="T4363" s="23">
        <f t="shared" si="928"/>
        <v>6</v>
      </c>
      <c r="U4363" t="str">
        <f t="shared" si="929"/>
        <v>PA_Alleg_2019p~Dem-commissioner scott ward 9 (vote for 1)</v>
      </c>
      <c r="W4363" s="40"/>
      <c r="X4363" s="72"/>
      <c r="Y4363" s="40"/>
      <c r="AC4363" s="9"/>
      <c r="AD4363" s="9"/>
      <c r="AE4363" s="9"/>
      <c r="AF4363" s="22"/>
      <c r="AH4363" s="8"/>
    </row>
    <row r="4364" spans="1:38">
      <c r="A4364" t="str">
        <f t="shared" si="930"/>
        <v>PA_Alleg_2019p~Dem-commissioner scott ward 9 (vote for 1)</v>
      </c>
      <c r="B4364" s="55" t="s">
        <v>1291</v>
      </c>
      <c r="C4364">
        <v>653</v>
      </c>
      <c r="D4364" s="55" t="s">
        <v>632</v>
      </c>
      <c r="E4364" s="55" t="s">
        <v>633</v>
      </c>
      <c r="F4364" t="s">
        <v>12</v>
      </c>
      <c r="G4364" s="62">
        <v>43</v>
      </c>
      <c r="H4364" s="25">
        <v>46.74</v>
      </c>
      <c r="I4364">
        <v>628</v>
      </c>
      <c r="J4364">
        <v>120</v>
      </c>
      <c r="K4364">
        <v>2</v>
      </c>
      <c r="L4364">
        <v>2</v>
      </c>
      <c r="M4364">
        <v>0</v>
      </c>
      <c r="N4364" s="23">
        <v>0</v>
      </c>
      <c r="O4364">
        <f t="shared" si="923"/>
        <v>2</v>
      </c>
      <c r="P4364" s="57">
        <f t="shared" si="924"/>
        <v>1</v>
      </c>
      <c r="Q4364" s="267">
        <f t="shared" si="925"/>
        <v>43</v>
      </c>
      <c r="R4364" s="23" t="str">
        <f t="shared" si="926"/>
        <v/>
      </c>
      <c r="S4364" s="23">
        <f t="shared" si="927"/>
        <v>43</v>
      </c>
      <c r="T4364" s="23" t="str">
        <f t="shared" si="928"/>
        <v/>
      </c>
      <c r="U4364" t="str">
        <f t="shared" si="929"/>
        <v/>
      </c>
      <c r="W4364" s="40"/>
      <c r="X4364" s="72"/>
      <c r="Y4364" s="40"/>
      <c r="AC4364" s="9"/>
      <c r="AD4364" s="9"/>
      <c r="AE4364" s="9"/>
      <c r="AF4364" s="22"/>
    </row>
    <row r="4365" spans="1:38">
      <c r="A4365" t="str">
        <f t="shared" si="930"/>
        <v>PA_Alleg_2019p~Dem-commissioner scott ward 9 (vote for 1)</v>
      </c>
      <c r="B4365" s="55" t="s">
        <v>1291</v>
      </c>
      <c r="C4365">
        <v>655</v>
      </c>
      <c r="D4365" s="55" t="s">
        <v>632</v>
      </c>
      <c r="E4365" s="55" t="s">
        <v>15</v>
      </c>
      <c r="F4365" t="s">
        <v>12</v>
      </c>
      <c r="G4365" s="62">
        <v>0</v>
      </c>
      <c r="H4365" s="25">
        <v>0</v>
      </c>
      <c r="I4365">
        <v>628</v>
      </c>
      <c r="J4365">
        <v>120</v>
      </c>
      <c r="K4365">
        <v>2</v>
      </c>
      <c r="L4365">
        <v>2</v>
      </c>
      <c r="M4365">
        <v>0</v>
      </c>
      <c r="N4365" s="23">
        <v>0</v>
      </c>
      <c r="O4365">
        <f t="shared" si="923"/>
        <v>-2</v>
      </c>
      <c r="P4365" s="57">
        <f t="shared" si="924"/>
        <v>1</v>
      </c>
      <c r="Q4365" s="267">
        <f t="shared" si="925"/>
        <v>0</v>
      </c>
      <c r="R4365" s="23">
        <f t="shared" si="926"/>
        <v>1</v>
      </c>
      <c r="S4365" s="23">
        <f t="shared" si="927"/>
        <v>0</v>
      </c>
      <c r="T4365" s="23" t="str">
        <f t="shared" si="928"/>
        <v/>
      </c>
      <c r="U4365" t="str">
        <f t="shared" si="929"/>
        <v/>
      </c>
      <c r="W4365" s="40"/>
      <c r="X4365" s="72"/>
      <c r="Y4365" s="40"/>
      <c r="AC4365" s="9"/>
      <c r="AD4365" s="9"/>
      <c r="AE4365" s="9"/>
      <c r="AF4365" s="22"/>
    </row>
    <row r="4366" spans="1:38">
      <c r="A4366" t="str">
        <f t="shared" si="930"/>
        <v>PA_Alleg_2019p~Dem-commissioner shaler ward 1 (vote for 1)</v>
      </c>
      <c r="B4366" s="55" t="s">
        <v>1291</v>
      </c>
      <c r="C4366">
        <v>656</v>
      </c>
      <c r="D4366" s="55" t="s">
        <v>635</v>
      </c>
      <c r="E4366" s="55" t="s">
        <v>636</v>
      </c>
      <c r="F4366" t="s">
        <v>12</v>
      </c>
      <c r="G4366" s="62">
        <v>237</v>
      </c>
      <c r="H4366" s="25">
        <v>58.66</v>
      </c>
      <c r="I4366">
        <v>2857</v>
      </c>
      <c r="J4366">
        <v>568</v>
      </c>
      <c r="K4366">
        <v>5</v>
      </c>
      <c r="L4366">
        <v>5</v>
      </c>
      <c r="M4366">
        <v>0</v>
      </c>
      <c r="N4366" s="23">
        <v>0</v>
      </c>
      <c r="O4366">
        <f t="shared" si="923"/>
        <v>1</v>
      </c>
      <c r="P4366" s="57">
        <f t="shared" si="924"/>
        <v>1</v>
      </c>
      <c r="Q4366" s="267">
        <f t="shared" si="925"/>
        <v>404</v>
      </c>
      <c r="R4366" s="23">
        <f t="shared" si="926"/>
        <v>237</v>
      </c>
      <c r="S4366" s="23">
        <f t="shared" si="927"/>
        <v>164</v>
      </c>
      <c r="T4366" s="23">
        <f t="shared" si="928"/>
        <v>73</v>
      </c>
      <c r="U4366" t="str">
        <f t="shared" si="929"/>
        <v>PA_Alleg_2019p~Dem-commissioner shaler ward 1 (vote for 1)</v>
      </c>
      <c r="W4366" s="40"/>
      <c r="X4366" s="72"/>
      <c r="Y4366" s="40"/>
      <c r="AC4366" s="9"/>
      <c r="AD4366" s="9"/>
      <c r="AE4366" s="9"/>
      <c r="AL4366" s="23"/>
    </row>
    <row r="4367" spans="1:38">
      <c r="A4367" t="str">
        <f t="shared" si="930"/>
        <v>PA_Alleg_2019p~Dem-commissioner shaler ward 1 (vote for 1)</v>
      </c>
      <c r="B4367" s="55" t="s">
        <v>1291</v>
      </c>
      <c r="C4367">
        <v>657</v>
      </c>
      <c r="D4367" s="55" t="s">
        <v>635</v>
      </c>
      <c r="E4367" s="55" t="s">
        <v>637</v>
      </c>
      <c r="F4367" t="s">
        <v>12</v>
      </c>
      <c r="G4367" s="62">
        <v>164</v>
      </c>
      <c r="H4367" s="25">
        <v>40.590000000000003</v>
      </c>
      <c r="I4367">
        <v>2857</v>
      </c>
      <c r="J4367">
        <v>568</v>
      </c>
      <c r="K4367">
        <v>5</v>
      </c>
      <c r="L4367">
        <v>5</v>
      </c>
      <c r="M4367">
        <v>0</v>
      </c>
      <c r="N4367" s="23">
        <v>0</v>
      </c>
      <c r="O4367">
        <f t="shared" si="923"/>
        <v>2</v>
      </c>
      <c r="P4367" s="57">
        <f t="shared" si="924"/>
        <v>1</v>
      </c>
      <c r="Q4367" s="267">
        <f t="shared" si="925"/>
        <v>167</v>
      </c>
      <c r="R4367" s="23" t="str">
        <f t="shared" si="926"/>
        <v/>
      </c>
      <c r="S4367" s="23">
        <f t="shared" si="927"/>
        <v>164</v>
      </c>
      <c r="T4367" s="23" t="str">
        <f t="shared" si="928"/>
        <v/>
      </c>
      <c r="U4367" t="str">
        <f t="shared" si="929"/>
        <v/>
      </c>
      <c r="W4367" s="40"/>
      <c r="X4367" s="72"/>
      <c r="Y4367" s="40"/>
      <c r="AC4367" s="9"/>
      <c r="AD4367" s="9"/>
      <c r="AE4367" s="9"/>
      <c r="AF4367" s="22"/>
    </row>
    <row r="4368" spans="1:38">
      <c r="A4368" t="str">
        <f t="shared" si="930"/>
        <v>PA_Alleg_2019p~Dem-commissioner shaler ward 1 (vote for 1)</v>
      </c>
      <c r="B4368" s="55" t="s">
        <v>1291</v>
      </c>
      <c r="C4368">
        <v>658</v>
      </c>
      <c r="D4368" s="55" t="s">
        <v>635</v>
      </c>
      <c r="E4368" s="55" t="s">
        <v>15</v>
      </c>
      <c r="F4368" t="s">
        <v>12</v>
      </c>
      <c r="G4368" s="62">
        <v>3</v>
      </c>
      <c r="H4368" s="25">
        <v>0.74</v>
      </c>
      <c r="I4368">
        <v>2857</v>
      </c>
      <c r="J4368">
        <v>568</v>
      </c>
      <c r="K4368">
        <v>5</v>
      </c>
      <c r="L4368">
        <v>5</v>
      </c>
      <c r="M4368">
        <v>0</v>
      </c>
      <c r="N4368" s="23">
        <v>0</v>
      </c>
      <c r="O4368">
        <f t="shared" si="923"/>
        <v>-2</v>
      </c>
      <c r="P4368" s="57">
        <f t="shared" si="924"/>
        <v>1</v>
      </c>
      <c r="Q4368" s="267">
        <f t="shared" si="925"/>
        <v>3</v>
      </c>
      <c r="R4368" s="23">
        <f t="shared" si="926"/>
        <v>1</v>
      </c>
      <c r="S4368" s="23">
        <f t="shared" si="927"/>
        <v>0</v>
      </c>
      <c r="T4368" s="23" t="str">
        <f t="shared" si="928"/>
        <v/>
      </c>
      <c r="U4368" t="str">
        <f t="shared" si="929"/>
        <v/>
      </c>
      <c r="W4368" s="40"/>
      <c r="X4368" s="72"/>
      <c r="Y4368" s="40"/>
      <c r="AC4368" s="9"/>
      <c r="AD4368" s="9"/>
      <c r="AE4368" s="9"/>
      <c r="AF4368" s="22"/>
    </row>
    <row r="4369" spans="1:38">
      <c r="A4369" t="str">
        <f t="shared" si="930"/>
        <v>PA_Alleg_2019p~Dem-commissioner shaler ward 2 (vote for 1)</v>
      </c>
      <c r="B4369" s="55" t="s">
        <v>1291</v>
      </c>
      <c r="C4369">
        <v>670</v>
      </c>
      <c r="D4369" s="55" t="s">
        <v>649</v>
      </c>
      <c r="E4369" s="55" t="s">
        <v>15</v>
      </c>
      <c r="F4369" t="s">
        <v>12</v>
      </c>
      <c r="G4369" s="62">
        <v>61</v>
      </c>
      <c r="H4369" s="25">
        <v>100</v>
      </c>
      <c r="I4369">
        <v>3536</v>
      </c>
      <c r="J4369">
        <v>534</v>
      </c>
      <c r="K4369">
        <v>5</v>
      </c>
      <c r="L4369">
        <v>5</v>
      </c>
      <c r="M4369">
        <v>0</v>
      </c>
      <c r="N4369" s="23">
        <v>0</v>
      </c>
      <c r="O4369">
        <f t="shared" si="923"/>
        <v>0</v>
      </c>
      <c r="P4369" s="57">
        <f t="shared" si="924"/>
        <v>1</v>
      </c>
      <c r="Q4369" s="267">
        <f t="shared" si="925"/>
        <v>61</v>
      </c>
      <c r="R4369" s="23">
        <f t="shared" si="926"/>
        <v>1</v>
      </c>
      <c r="S4369" s="23">
        <f t="shared" si="927"/>
        <v>0</v>
      </c>
      <c r="T4369" s="23" t="str">
        <f t="shared" si="928"/>
        <v/>
      </c>
      <c r="U4369" t="str">
        <f t="shared" si="929"/>
        <v>PA_Alleg_2019p~Dem-commissioner shaler ward 2 (vote for 1)</v>
      </c>
      <c r="W4369" s="40"/>
      <c r="X4369" s="72"/>
      <c r="Y4369" s="40"/>
      <c r="AC4369" s="9"/>
      <c r="AD4369" s="9"/>
      <c r="AE4369" s="9"/>
      <c r="AF4369" s="22"/>
    </row>
    <row r="4370" spans="1:38">
      <c r="A4370" t="str">
        <f t="shared" si="930"/>
        <v>PA_Alleg_2019p~Dem-commissioner shaler ward 3 (vote for 1)</v>
      </c>
      <c r="B4370" s="55" t="s">
        <v>1291</v>
      </c>
      <c r="C4370">
        <v>659</v>
      </c>
      <c r="D4370" s="55" t="s">
        <v>638</v>
      </c>
      <c r="E4370" s="55" t="s">
        <v>15</v>
      </c>
      <c r="F4370" t="s">
        <v>12</v>
      </c>
      <c r="G4370" s="62">
        <v>66</v>
      </c>
      <c r="H4370" s="25">
        <v>100</v>
      </c>
      <c r="I4370">
        <v>3198</v>
      </c>
      <c r="J4370">
        <v>495</v>
      </c>
      <c r="K4370">
        <v>5</v>
      </c>
      <c r="L4370">
        <v>5</v>
      </c>
      <c r="M4370">
        <v>0</v>
      </c>
      <c r="N4370" s="23">
        <v>0</v>
      </c>
      <c r="O4370">
        <f t="shared" si="923"/>
        <v>0</v>
      </c>
      <c r="P4370" s="57">
        <f t="shared" si="924"/>
        <v>1</v>
      </c>
      <c r="Q4370" s="267">
        <f t="shared" si="925"/>
        <v>66</v>
      </c>
      <c r="R4370" s="23">
        <f t="shared" si="926"/>
        <v>1</v>
      </c>
      <c r="S4370" s="23">
        <f t="shared" si="927"/>
        <v>0</v>
      </c>
      <c r="T4370" s="23" t="str">
        <f t="shared" si="928"/>
        <v/>
      </c>
      <c r="U4370" t="str">
        <f t="shared" si="929"/>
        <v>PA_Alleg_2019p~Dem-commissioner shaler ward 3 (vote for 1)</v>
      </c>
      <c r="W4370" s="40"/>
      <c r="X4370" s="72"/>
      <c r="Y4370" s="40"/>
      <c r="AC4370" s="9"/>
      <c r="AD4370" s="9"/>
      <c r="AE4370" s="9"/>
      <c r="AF4370" s="22"/>
    </row>
    <row r="4371" spans="1:38">
      <c r="A4371" t="str">
        <f t="shared" si="930"/>
        <v>PA_Alleg_2019p~Dem-commissioner shaler ward 5 (vote for 1)</v>
      </c>
      <c r="B4371" s="55" t="s">
        <v>1291</v>
      </c>
      <c r="C4371">
        <v>660</v>
      </c>
      <c r="D4371" s="55" t="s">
        <v>639</v>
      </c>
      <c r="E4371" s="55" t="s">
        <v>15</v>
      </c>
      <c r="F4371" t="s">
        <v>12</v>
      </c>
      <c r="G4371" s="62">
        <v>65</v>
      </c>
      <c r="H4371" s="25">
        <v>100</v>
      </c>
      <c r="I4371">
        <v>3093</v>
      </c>
      <c r="J4371">
        <v>526</v>
      </c>
      <c r="K4371">
        <v>5</v>
      </c>
      <c r="L4371">
        <v>5</v>
      </c>
      <c r="M4371">
        <v>0</v>
      </c>
      <c r="N4371" s="23">
        <v>0</v>
      </c>
      <c r="O4371">
        <f t="shared" si="923"/>
        <v>0</v>
      </c>
      <c r="P4371" s="57">
        <f t="shared" si="924"/>
        <v>1</v>
      </c>
      <c r="Q4371" s="267">
        <f t="shared" si="925"/>
        <v>65</v>
      </c>
      <c r="R4371" s="23">
        <f t="shared" si="926"/>
        <v>1</v>
      </c>
      <c r="S4371" s="23">
        <f t="shared" si="927"/>
        <v>0</v>
      </c>
      <c r="T4371" s="23" t="str">
        <f t="shared" si="928"/>
        <v/>
      </c>
      <c r="U4371" t="str">
        <f t="shared" si="929"/>
        <v>PA_Alleg_2019p~Dem-commissioner shaler ward 5 (vote for 1)</v>
      </c>
      <c r="W4371" s="40"/>
      <c r="X4371" s="72"/>
      <c r="Y4371" s="40"/>
      <c r="AC4371" s="9"/>
      <c r="AD4371" s="9"/>
      <c r="AE4371" s="9"/>
      <c r="AF4371" s="22"/>
    </row>
    <row r="4372" spans="1:38">
      <c r="A4372" t="str">
        <f t="shared" si="930"/>
        <v>PA_Alleg_2019p~Dem-commissioner shaler ward 7 (vote for 1)</v>
      </c>
      <c r="B4372" s="55" t="s">
        <v>1291</v>
      </c>
      <c r="C4372">
        <v>661</v>
      </c>
      <c r="D4372" s="55" t="s">
        <v>640</v>
      </c>
      <c r="E4372" s="55" t="s">
        <v>15</v>
      </c>
      <c r="F4372" t="s">
        <v>12</v>
      </c>
      <c r="G4372" s="62">
        <v>179</v>
      </c>
      <c r="H4372" s="25">
        <v>100</v>
      </c>
      <c r="I4372">
        <v>3116</v>
      </c>
      <c r="J4372">
        <v>598</v>
      </c>
      <c r="K4372">
        <v>4</v>
      </c>
      <c r="L4372">
        <v>4</v>
      </c>
      <c r="M4372">
        <v>0</v>
      </c>
      <c r="N4372" s="23">
        <v>0</v>
      </c>
      <c r="O4372">
        <f t="shared" si="923"/>
        <v>0</v>
      </c>
      <c r="P4372" s="57">
        <f t="shared" si="924"/>
        <v>1</v>
      </c>
      <c r="Q4372" s="267">
        <f t="shared" si="925"/>
        <v>179</v>
      </c>
      <c r="R4372" s="23">
        <f t="shared" si="926"/>
        <v>1</v>
      </c>
      <c r="S4372" s="23">
        <f t="shared" si="927"/>
        <v>0</v>
      </c>
      <c r="T4372" s="23" t="str">
        <f t="shared" si="928"/>
        <v/>
      </c>
      <c r="U4372" t="str">
        <f t="shared" si="929"/>
        <v>PA_Alleg_2019p~Dem-commissioner shaler ward 7 (vote for 1)</v>
      </c>
      <c r="W4372" s="40"/>
      <c r="X4372" s="72"/>
      <c r="Y4372" s="40"/>
      <c r="AC4372" s="9"/>
      <c r="AD4372" s="9"/>
      <c r="AE4372" s="9"/>
      <c r="AF4372" s="22"/>
    </row>
    <row r="4373" spans="1:38">
      <c r="A4373" t="str">
        <f t="shared" si="930"/>
        <v>PA_Alleg_2019p~Dem-commissioner south fayette (vote for 4)</v>
      </c>
      <c r="B4373" s="55" t="s">
        <v>1291</v>
      </c>
      <c r="C4373">
        <v>562</v>
      </c>
      <c r="D4373" s="55" t="s">
        <v>539</v>
      </c>
      <c r="E4373" s="55" t="s">
        <v>542</v>
      </c>
      <c r="F4373" t="s">
        <v>12</v>
      </c>
      <c r="G4373" s="62">
        <v>573</v>
      </c>
      <c r="H4373" s="25">
        <v>26.91</v>
      </c>
      <c r="I4373">
        <v>11553</v>
      </c>
      <c r="J4373">
        <v>1482</v>
      </c>
      <c r="K4373">
        <v>12</v>
      </c>
      <c r="L4373">
        <v>12</v>
      </c>
      <c r="M4373">
        <v>0</v>
      </c>
      <c r="N4373" s="23">
        <v>0</v>
      </c>
      <c r="O4373">
        <f t="shared" si="923"/>
        <v>1</v>
      </c>
      <c r="P4373" s="57">
        <f t="shared" si="924"/>
        <v>4</v>
      </c>
      <c r="Q4373" s="267">
        <f t="shared" si="925"/>
        <v>573</v>
      </c>
      <c r="R4373" s="23">
        <f t="shared" si="926"/>
        <v>492</v>
      </c>
      <c r="S4373" s="23">
        <f t="shared" si="927"/>
        <v>0</v>
      </c>
      <c r="T4373" s="23" t="str">
        <f t="shared" si="928"/>
        <v/>
      </c>
      <c r="U4373" t="str">
        <f t="shared" si="929"/>
        <v>PA_Alleg_2019p~Dem-commissioner south fayette (vote for 4)</v>
      </c>
      <c r="W4373" s="40"/>
      <c r="X4373" s="72"/>
      <c r="Y4373" s="40"/>
      <c r="AC4373" s="9"/>
      <c r="AD4373" s="9"/>
      <c r="AE4373" s="9"/>
      <c r="AF4373" s="88"/>
      <c r="AL4373" s="344"/>
    </row>
    <row r="4374" spans="1:38">
      <c r="A4374" t="str">
        <f t="shared" si="930"/>
        <v>PA_Alleg_2019p~Dem-commissioner south fayette (vote for 4)</v>
      </c>
      <c r="B4374" s="55" t="s">
        <v>1291</v>
      </c>
      <c r="C4374">
        <v>561</v>
      </c>
      <c r="D4374" s="55" t="s">
        <v>539</v>
      </c>
      <c r="E4374" s="55" t="s">
        <v>541</v>
      </c>
      <c r="F4374" t="s">
        <v>12</v>
      </c>
      <c r="G4374" s="62">
        <v>522</v>
      </c>
      <c r="H4374" s="25">
        <v>24.52</v>
      </c>
      <c r="I4374">
        <v>11553</v>
      </c>
      <c r="J4374">
        <v>1482</v>
      </c>
      <c r="K4374">
        <v>12</v>
      </c>
      <c r="L4374">
        <v>12</v>
      </c>
      <c r="M4374">
        <v>0</v>
      </c>
      <c r="N4374" s="23">
        <v>0</v>
      </c>
      <c r="O4374">
        <f t="shared" si="923"/>
        <v>2</v>
      </c>
      <c r="P4374" s="57">
        <f t="shared" si="924"/>
        <v>4</v>
      </c>
      <c r="Q4374" s="267">
        <f t="shared" si="925"/>
        <v>1556</v>
      </c>
      <c r="R4374" s="23">
        <f t="shared" si="926"/>
        <v>492</v>
      </c>
      <c r="S4374" s="23">
        <f t="shared" si="927"/>
        <v>0</v>
      </c>
      <c r="T4374" s="23" t="str">
        <f t="shared" si="928"/>
        <v/>
      </c>
      <c r="U4374" t="str">
        <f t="shared" si="929"/>
        <v/>
      </c>
      <c r="W4374" s="40"/>
      <c r="X4374" s="72"/>
      <c r="Y4374" s="40"/>
      <c r="AC4374" s="9"/>
      <c r="AD4374" s="9"/>
      <c r="AE4374" s="9"/>
      <c r="AF4374" s="22"/>
    </row>
    <row r="4375" spans="1:38">
      <c r="A4375" t="str">
        <f t="shared" si="930"/>
        <v>PA_Alleg_2019p~Dem-commissioner south fayette (vote for 4)</v>
      </c>
      <c r="B4375" s="55" t="s">
        <v>1291</v>
      </c>
      <c r="C4375">
        <v>560</v>
      </c>
      <c r="D4375" s="55" t="s">
        <v>539</v>
      </c>
      <c r="E4375" s="55" t="s">
        <v>540</v>
      </c>
      <c r="F4375" t="s">
        <v>12</v>
      </c>
      <c r="G4375" s="62">
        <v>500</v>
      </c>
      <c r="H4375" s="25">
        <v>23.49</v>
      </c>
      <c r="I4375">
        <v>11553</v>
      </c>
      <c r="J4375">
        <v>1482</v>
      </c>
      <c r="K4375">
        <v>12</v>
      </c>
      <c r="L4375">
        <v>12</v>
      </c>
      <c r="M4375">
        <v>0</v>
      </c>
      <c r="N4375" s="23">
        <v>0</v>
      </c>
      <c r="O4375">
        <f t="shared" si="923"/>
        <v>3</v>
      </c>
      <c r="P4375" s="57">
        <f t="shared" si="924"/>
        <v>4</v>
      </c>
      <c r="Q4375" s="267">
        <f t="shared" si="925"/>
        <v>1034</v>
      </c>
      <c r="R4375" s="23">
        <f t="shared" si="926"/>
        <v>492</v>
      </c>
      <c r="S4375" s="23">
        <f t="shared" si="927"/>
        <v>0</v>
      </c>
      <c r="T4375" s="23" t="str">
        <f t="shared" si="928"/>
        <v/>
      </c>
      <c r="U4375" t="str">
        <f t="shared" si="929"/>
        <v/>
      </c>
      <c r="W4375" s="40"/>
      <c r="X4375" s="72"/>
      <c r="Y4375" s="40"/>
      <c r="AC4375" s="9"/>
      <c r="AD4375" s="9"/>
      <c r="AE4375" s="9"/>
      <c r="AF4375" s="22"/>
    </row>
    <row r="4376" spans="1:38">
      <c r="A4376" t="str">
        <f t="shared" si="930"/>
        <v>PA_Alleg_2019p~Dem-commissioner south fayette (vote for 4)</v>
      </c>
      <c r="B4376" s="55" t="s">
        <v>1291</v>
      </c>
      <c r="C4376">
        <v>563</v>
      </c>
      <c r="D4376" s="55" t="s">
        <v>539</v>
      </c>
      <c r="E4376" s="55" t="s">
        <v>543</v>
      </c>
      <c r="F4376" t="s">
        <v>12</v>
      </c>
      <c r="G4376" s="62">
        <v>492</v>
      </c>
      <c r="H4376" s="25">
        <v>23.11</v>
      </c>
      <c r="I4376">
        <v>11553</v>
      </c>
      <c r="J4376">
        <v>1482</v>
      </c>
      <c r="K4376">
        <v>12</v>
      </c>
      <c r="L4376">
        <v>12</v>
      </c>
      <c r="M4376">
        <v>0</v>
      </c>
      <c r="N4376" s="23">
        <v>0</v>
      </c>
      <c r="O4376">
        <f t="shared" si="923"/>
        <v>4</v>
      </c>
      <c r="P4376" s="57">
        <f t="shared" si="924"/>
        <v>4</v>
      </c>
      <c r="Q4376" s="267">
        <f t="shared" si="925"/>
        <v>534</v>
      </c>
      <c r="R4376" s="23">
        <f t="shared" si="926"/>
        <v>492</v>
      </c>
      <c r="S4376" s="23">
        <f t="shared" si="927"/>
        <v>0</v>
      </c>
      <c r="T4376" s="23" t="str">
        <f t="shared" si="928"/>
        <v/>
      </c>
      <c r="U4376" t="str">
        <f t="shared" si="929"/>
        <v/>
      </c>
      <c r="W4376" s="40"/>
      <c r="X4376" s="72"/>
      <c r="Y4376" s="40"/>
      <c r="AC4376" s="9"/>
      <c r="AD4376" s="9"/>
      <c r="AE4376" s="9"/>
      <c r="AF4376" s="22"/>
    </row>
    <row r="4377" spans="1:38">
      <c r="A4377" t="str">
        <f t="shared" si="930"/>
        <v>PA_Alleg_2019p~Dem-commissioner south fayette (vote for 4)</v>
      </c>
      <c r="B4377" s="55" t="s">
        <v>1291</v>
      </c>
      <c r="C4377">
        <v>564</v>
      </c>
      <c r="D4377" s="55" t="s">
        <v>539</v>
      </c>
      <c r="E4377" s="55" t="s">
        <v>15</v>
      </c>
      <c r="F4377" t="s">
        <v>12</v>
      </c>
      <c r="G4377" s="62">
        <v>42</v>
      </c>
      <c r="H4377" s="25">
        <v>1.97</v>
      </c>
      <c r="I4377">
        <v>11553</v>
      </c>
      <c r="J4377">
        <v>1482</v>
      </c>
      <c r="K4377">
        <v>12</v>
      </c>
      <c r="L4377">
        <v>12</v>
      </c>
      <c r="M4377">
        <v>0</v>
      </c>
      <c r="N4377" s="23">
        <v>0</v>
      </c>
      <c r="O4377">
        <f t="shared" si="923"/>
        <v>-4</v>
      </c>
      <c r="P4377" s="57">
        <f t="shared" si="924"/>
        <v>4</v>
      </c>
      <c r="Q4377" s="267">
        <f t="shared" si="925"/>
        <v>42</v>
      </c>
      <c r="R4377" s="23">
        <f t="shared" si="926"/>
        <v>1</v>
      </c>
      <c r="S4377" s="23">
        <f t="shared" si="927"/>
        <v>0</v>
      </c>
      <c r="T4377" s="23" t="str">
        <f t="shared" si="928"/>
        <v/>
      </c>
      <c r="U4377" t="str">
        <f t="shared" si="929"/>
        <v/>
      </c>
      <c r="W4377" s="40"/>
      <c r="X4377" s="72"/>
      <c r="Y4377" s="40"/>
      <c r="AC4377" s="9"/>
      <c r="AD4377" s="9"/>
      <c r="AE4377" s="9"/>
      <c r="AF4377" s="22"/>
      <c r="AG4377" s="302"/>
      <c r="AH4377" s="301"/>
      <c r="AI4377" s="303"/>
      <c r="AJ4377" s="303"/>
      <c r="AK4377" s="342"/>
      <c r="AL4377" s="343"/>
    </row>
    <row r="4378" spans="1:38">
      <c r="A4378" t="str">
        <f t="shared" si="930"/>
        <v>PA_Alleg_2019p~Dem-commissioner south versailles (vote for 2)</v>
      </c>
      <c r="B4378" s="55" t="s">
        <v>1291</v>
      </c>
      <c r="C4378">
        <v>590</v>
      </c>
      <c r="D4378" s="55" t="s">
        <v>569</v>
      </c>
      <c r="E4378" s="55" t="s">
        <v>15</v>
      </c>
      <c r="F4378" t="s">
        <v>12</v>
      </c>
      <c r="G4378" s="62">
        <v>13</v>
      </c>
      <c r="H4378" s="25">
        <v>100</v>
      </c>
      <c r="I4378">
        <v>216</v>
      </c>
      <c r="J4378">
        <v>43</v>
      </c>
      <c r="K4378">
        <v>1</v>
      </c>
      <c r="L4378">
        <v>1</v>
      </c>
      <c r="M4378">
        <v>0</v>
      </c>
      <c r="N4378" s="23">
        <v>0</v>
      </c>
      <c r="O4378">
        <f t="shared" si="923"/>
        <v>0</v>
      </c>
      <c r="P4378" s="57">
        <f t="shared" si="924"/>
        <v>2</v>
      </c>
      <c r="Q4378" s="267">
        <f t="shared" si="925"/>
        <v>13</v>
      </c>
      <c r="R4378" s="23">
        <f t="shared" si="926"/>
        <v>1</v>
      </c>
      <c r="S4378" s="23">
        <f t="shared" si="927"/>
        <v>0</v>
      </c>
      <c r="T4378" s="23" t="str">
        <f t="shared" si="928"/>
        <v/>
      </c>
      <c r="U4378" t="str">
        <f t="shared" si="929"/>
        <v>PA_Alleg_2019p~Dem-commissioner south versailles (vote for 2)</v>
      </c>
      <c r="W4378" s="40"/>
      <c r="X4378" s="72"/>
      <c r="Y4378" s="40"/>
      <c r="AC4378" s="9"/>
      <c r="AD4378" s="9"/>
      <c r="AE4378" s="9"/>
      <c r="AF4378" s="22"/>
    </row>
    <row r="4379" spans="1:38">
      <c r="A4379" t="str">
        <f t="shared" si="930"/>
        <v>PA_Alleg_2019p~Dem-commissioner springdale township (vote for 3)</v>
      </c>
      <c r="B4379" s="55" t="s">
        <v>1291</v>
      </c>
      <c r="C4379">
        <v>569</v>
      </c>
      <c r="D4379" s="55" t="s">
        <v>547</v>
      </c>
      <c r="E4379" s="55" t="s">
        <v>549</v>
      </c>
      <c r="F4379" t="s">
        <v>12</v>
      </c>
      <c r="G4379" s="62">
        <v>115</v>
      </c>
      <c r="H4379" s="25">
        <v>27</v>
      </c>
      <c r="I4379">
        <v>1195</v>
      </c>
      <c r="J4379">
        <v>304</v>
      </c>
      <c r="K4379">
        <v>1</v>
      </c>
      <c r="L4379">
        <v>1</v>
      </c>
      <c r="M4379">
        <v>0</v>
      </c>
      <c r="N4379" s="23">
        <v>0</v>
      </c>
      <c r="O4379">
        <f t="shared" si="923"/>
        <v>1</v>
      </c>
      <c r="P4379" s="57">
        <f t="shared" si="924"/>
        <v>3</v>
      </c>
      <c r="Q4379" s="267">
        <f t="shared" si="925"/>
        <v>142</v>
      </c>
      <c r="R4379" s="23">
        <f t="shared" si="926"/>
        <v>85</v>
      </c>
      <c r="S4379" s="23">
        <f t="shared" si="927"/>
        <v>74</v>
      </c>
      <c r="T4379" s="23">
        <f t="shared" si="928"/>
        <v>11</v>
      </c>
      <c r="U4379" t="str">
        <f t="shared" si="929"/>
        <v>PA_Alleg_2019p~Dem-commissioner springdale township (vote for 3)</v>
      </c>
      <c r="W4379" s="40"/>
      <c r="X4379" s="72"/>
      <c r="Y4379" s="40"/>
      <c r="AC4379" s="9"/>
      <c r="AD4379" s="9"/>
      <c r="AE4379" s="9"/>
      <c r="AF4379" s="22"/>
    </row>
    <row r="4380" spans="1:38">
      <c r="A4380" t="str">
        <f t="shared" si="930"/>
        <v>PA_Alleg_2019p~Dem-commissioner springdale township (vote for 3)</v>
      </c>
      <c r="B4380" s="55" t="s">
        <v>1291</v>
      </c>
      <c r="C4380">
        <v>571</v>
      </c>
      <c r="D4380" s="55" t="s">
        <v>547</v>
      </c>
      <c r="E4380" s="55" t="s">
        <v>551</v>
      </c>
      <c r="F4380" t="s">
        <v>12</v>
      </c>
      <c r="G4380" s="62">
        <v>106</v>
      </c>
      <c r="H4380" s="25">
        <v>24.88</v>
      </c>
      <c r="I4380">
        <v>1195</v>
      </c>
      <c r="J4380">
        <v>304</v>
      </c>
      <c r="K4380">
        <v>1</v>
      </c>
      <c r="L4380">
        <v>1</v>
      </c>
      <c r="M4380">
        <v>0</v>
      </c>
      <c r="N4380" s="23">
        <v>0</v>
      </c>
      <c r="O4380">
        <f t="shared" si="923"/>
        <v>2</v>
      </c>
      <c r="P4380" s="57">
        <f t="shared" si="924"/>
        <v>3</v>
      </c>
      <c r="Q4380" s="267">
        <f t="shared" si="925"/>
        <v>311</v>
      </c>
      <c r="R4380" s="23">
        <f t="shared" si="926"/>
        <v>85</v>
      </c>
      <c r="S4380" s="23">
        <f t="shared" si="927"/>
        <v>74</v>
      </c>
      <c r="T4380" s="23" t="str">
        <f t="shared" si="928"/>
        <v/>
      </c>
      <c r="U4380" t="str">
        <f t="shared" si="929"/>
        <v/>
      </c>
      <c r="W4380" s="40"/>
      <c r="X4380" s="72"/>
      <c r="Y4380" s="40"/>
      <c r="AC4380" s="9"/>
      <c r="AD4380" s="9"/>
      <c r="AE4380" s="9"/>
      <c r="AF4380" s="22"/>
    </row>
    <row r="4381" spans="1:38">
      <c r="A4381" t="str">
        <f t="shared" si="930"/>
        <v>PA_Alleg_2019p~Dem-commissioner springdale township (vote for 3)</v>
      </c>
      <c r="B4381" s="55" t="s">
        <v>1291</v>
      </c>
      <c r="C4381">
        <v>570</v>
      </c>
      <c r="D4381" s="55" t="s">
        <v>547</v>
      </c>
      <c r="E4381" s="55" t="s">
        <v>550</v>
      </c>
      <c r="F4381" t="s">
        <v>12</v>
      </c>
      <c r="G4381" s="62">
        <v>85</v>
      </c>
      <c r="H4381" s="25">
        <v>19.95</v>
      </c>
      <c r="I4381">
        <v>1195</v>
      </c>
      <c r="J4381">
        <v>304</v>
      </c>
      <c r="K4381">
        <v>1</v>
      </c>
      <c r="L4381">
        <v>1</v>
      </c>
      <c r="M4381">
        <v>0</v>
      </c>
      <c r="N4381" s="23">
        <v>0</v>
      </c>
      <c r="O4381">
        <f t="shared" si="923"/>
        <v>3</v>
      </c>
      <c r="P4381" s="57">
        <f t="shared" si="924"/>
        <v>3</v>
      </c>
      <c r="Q4381" s="267">
        <f t="shared" si="925"/>
        <v>205</v>
      </c>
      <c r="R4381" s="23">
        <f t="shared" si="926"/>
        <v>85</v>
      </c>
      <c r="S4381" s="23">
        <f t="shared" si="927"/>
        <v>74</v>
      </c>
      <c r="T4381" s="23" t="str">
        <f t="shared" si="928"/>
        <v/>
      </c>
      <c r="U4381" t="str">
        <f t="shared" si="929"/>
        <v/>
      </c>
      <c r="W4381" s="40"/>
      <c r="X4381" s="72"/>
      <c r="Y4381" s="40"/>
      <c r="AC4381" s="9"/>
      <c r="AD4381" s="9"/>
      <c r="AE4381" s="9"/>
      <c r="AF4381" s="22"/>
    </row>
    <row r="4382" spans="1:38">
      <c r="A4382" t="str">
        <f t="shared" si="930"/>
        <v>PA_Alleg_2019p~Dem-commissioner springdale township (vote for 3)</v>
      </c>
      <c r="B4382" s="55" t="s">
        <v>1291</v>
      </c>
      <c r="C4382">
        <v>568</v>
      </c>
      <c r="D4382" s="55" t="s">
        <v>547</v>
      </c>
      <c r="E4382" s="55" t="s">
        <v>548</v>
      </c>
      <c r="F4382" t="s">
        <v>12</v>
      </c>
      <c r="G4382" s="62">
        <v>74</v>
      </c>
      <c r="H4382" s="25">
        <v>17.37</v>
      </c>
      <c r="I4382">
        <v>1195</v>
      </c>
      <c r="J4382">
        <v>304</v>
      </c>
      <c r="K4382">
        <v>1</v>
      </c>
      <c r="L4382">
        <v>1</v>
      </c>
      <c r="M4382">
        <v>0</v>
      </c>
      <c r="N4382" s="23">
        <v>0</v>
      </c>
      <c r="O4382">
        <f t="shared" si="923"/>
        <v>4</v>
      </c>
      <c r="P4382" s="57">
        <f t="shared" si="924"/>
        <v>3</v>
      </c>
      <c r="Q4382" s="267">
        <f t="shared" si="925"/>
        <v>120</v>
      </c>
      <c r="R4382" s="23" t="str">
        <f t="shared" si="926"/>
        <v/>
      </c>
      <c r="S4382" s="23">
        <f t="shared" si="927"/>
        <v>74</v>
      </c>
      <c r="T4382" s="23" t="str">
        <f t="shared" si="928"/>
        <v/>
      </c>
      <c r="U4382" t="str">
        <f t="shared" si="929"/>
        <v/>
      </c>
      <c r="W4382" s="40"/>
      <c r="X4382" s="72"/>
      <c r="Y4382" s="40"/>
      <c r="AC4382" s="9"/>
      <c r="AD4382" s="9"/>
      <c r="AE4382" s="9"/>
      <c r="AF4382" s="22"/>
    </row>
    <row r="4383" spans="1:38">
      <c r="A4383" t="str">
        <f t="shared" si="930"/>
        <v>PA_Alleg_2019p~Dem-commissioner springdale township (vote for 3)</v>
      </c>
      <c r="B4383" s="55" t="s">
        <v>1291</v>
      </c>
      <c r="C4383">
        <v>572</v>
      </c>
      <c r="D4383" s="55" t="s">
        <v>547</v>
      </c>
      <c r="E4383" s="55" t="s">
        <v>15</v>
      </c>
      <c r="F4383" t="s">
        <v>12</v>
      </c>
      <c r="G4383" s="62">
        <v>46</v>
      </c>
      <c r="H4383" s="25">
        <v>10.8</v>
      </c>
      <c r="I4383">
        <v>1195</v>
      </c>
      <c r="J4383">
        <v>304</v>
      </c>
      <c r="K4383">
        <v>1</v>
      </c>
      <c r="L4383">
        <v>1</v>
      </c>
      <c r="M4383">
        <v>0</v>
      </c>
      <c r="N4383" s="23">
        <v>0</v>
      </c>
      <c r="O4383">
        <f t="shared" si="923"/>
        <v>-4</v>
      </c>
      <c r="P4383" s="57">
        <f t="shared" si="924"/>
        <v>3</v>
      </c>
      <c r="Q4383" s="267">
        <f t="shared" si="925"/>
        <v>46</v>
      </c>
      <c r="R4383" s="23">
        <f t="shared" si="926"/>
        <v>1</v>
      </c>
      <c r="S4383" s="23">
        <f t="shared" si="927"/>
        <v>0</v>
      </c>
      <c r="T4383" s="23" t="str">
        <f t="shared" si="928"/>
        <v/>
      </c>
      <c r="U4383" t="str">
        <f t="shared" si="929"/>
        <v/>
      </c>
      <c r="W4383" s="40"/>
      <c r="X4383" s="72"/>
      <c r="Y4383" s="40"/>
      <c r="AC4383" s="9"/>
      <c r="AD4383" s="9"/>
      <c r="AE4383" s="9"/>
      <c r="AF4383" s="22"/>
    </row>
    <row r="4384" spans="1:38">
      <c r="A4384" t="str">
        <f t="shared" si="930"/>
        <v>PA_Alleg_2019p~Dem-commissioner stowe (vote for 3)</v>
      </c>
      <c r="B4384" s="55" t="s">
        <v>1291</v>
      </c>
      <c r="C4384">
        <v>577</v>
      </c>
      <c r="D4384" s="55" t="s">
        <v>552</v>
      </c>
      <c r="E4384" s="55" t="s">
        <v>557</v>
      </c>
      <c r="F4384" t="s">
        <v>12</v>
      </c>
      <c r="G4384" s="62">
        <v>460</v>
      </c>
      <c r="H4384" s="25">
        <v>24.77</v>
      </c>
      <c r="I4384">
        <v>4411</v>
      </c>
      <c r="J4384">
        <v>829</v>
      </c>
      <c r="K4384">
        <v>11</v>
      </c>
      <c r="L4384">
        <v>11</v>
      </c>
      <c r="M4384">
        <v>0</v>
      </c>
      <c r="N4384" s="23">
        <v>0</v>
      </c>
      <c r="O4384">
        <f t="shared" si="923"/>
        <v>1</v>
      </c>
      <c r="P4384" s="57">
        <f t="shared" si="924"/>
        <v>3</v>
      </c>
      <c r="Q4384" s="267">
        <f t="shared" si="925"/>
        <v>619</v>
      </c>
      <c r="R4384" s="23">
        <f t="shared" si="926"/>
        <v>368</v>
      </c>
      <c r="S4384" s="23">
        <f t="shared" si="927"/>
        <v>323</v>
      </c>
      <c r="T4384" s="23">
        <f t="shared" si="928"/>
        <v>45</v>
      </c>
      <c r="U4384" t="str">
        <f t="shared" si="929"/>
        <v>PA_Alleg_2019p~Dem-commissioner stowe (vote for 3)</v>
      </c>
      <c r="W4384" s="40"/>
      <c r="X4384" s="72"/>
      <c r="Y4384" s="40"/>
      <c r="AC4384" s="9"/>
      <c r="AD4384" s="9"/>
      <c r="AE4384" s="9"/>
      <c r="AF4384" s="22"/>
    </row>
    <row r="4385" spans="1:38">
      <c r="A4385" t="str">
        <f t="shared" si="930"/>
        <v>PA_Alleg_2019p~Dem-commissioner stowe (vote for 3)</v>
      </c>
      <c r="B4385" s="55" t="s">
        <v>1291</v>
      </c>
      <c r="C4385">
        <v>576</v>
      </c>
      <c r="D4385" s="55" t="s">
        <v>552</v>
      </c>
      <c r="E4385" s="55" t="s">
        <v>556</v>
      </c>
      <c r="F4385" t="s">
        <v>12</v>
      </c>
      <c r="G4385" s="62">
        <v>420</v>
      </c>
      <c r="H4385" s="25">
        <v>22.62</v>
      </c>
      <c r="I4385">
        <v>4411</v>
      </c>
      <c r="J4385">
        <v>829</v>
      </c>
      <c r="K4385">
        <v>11</v>
      </c>
      <c r="L4385">
        <v>11</v>
      </c>
      <c r="M4385">
        <v>0</v>
      </c>
      <c r="N4385" s="23">
        <v>0</v>
      </c>
      <c r="O4385">
        <f t="shared" si="923"/>
        <v>2</v>
      </c>
      <c r="P4385" s="57">
        <f t="shared" si="924"/>
        <v>3</v>
      </c>
      <c r="Q4385" s="267">
        <f t="shared" si="925"/>
        <v>1397</v>
      </c>
      <c r="R4385" s="23">
        <f t="shared" si="926"/>
        <v>368</v>
      </c>
      <c r="S4385" s="23">
        <f t="shared" si="927"/>
        <v>323</v>
      </c>
      <c r="T4385" s="23" t="str">
        <f t="shared" si="928"/>
        <v/>
      </c>
      <c r="U4385" t="str">
        <f t="shared" si="929"/>
        <v/>
      </c>
      <c r="W4385" s="40"/>
      <c r="X4385" s="72"/>
      <c r="Y4385" s="40"/>
      <c r="AC4385" s="9"/>
      <c r="AD4385" s="9"/>
      <c r="AE4385" s="9"/>
      <c r="AF4385" s="22"/>
    </row>
    <row r="4386" spans="1:38">
      <c r="A4386" t="str">
        <f t="shared" si="930"/>
        <v>PA_Alleg_2019p~Dem-commissioner stowe (vote for 3)</v>
      </c>
      <c r="B4386" s="55" t="s">
        <v>1291</v>
      </c>
      <c r="C4386">
        <v>574</v>
      </c>
      <c r="D4386" s="55" t="s">
        <v>552</v>
      </c>
      <c r="E4386" s="55" t="s">
        <v>554</v>
      </c>
      <c r="F4386" t="s">
        <v>12</v>
      </c>
      <c r="G4386" s="62">
        <v>368</v>
      </c>
      <c r="H4386" s="25">
        <v>19.82</v>
      </c>
      <c r="I4386">
        <v>4411</v>
      </c>
      <c r="J4386">
        <v>829</v>
      </c>
      <c r="K4386">
        <v>11</v>
      </c>
      <c r="L4386">
        <v>11</v>
      </c>
      <c r="M4386">
        <v>0</v>
      </c>
      <c r="N4386" s="23">
        <v>0</v>
      </c>
      <c r="O4386">
        <f t="shared" si="923"/>
        <v>3</v>
      </c>
      <c r="P4386" s="57">
        <f t="shared" si="924"/>
        <v>3</v>
      </c>
      <c r="Q4386" s="267">
        <f t="shared" si="925"/>
        <v>977</v>
      </c>
      <c r="R4386" s="23">
        <f t="shared" si="926"/>
        <v>368</v>
      </c>
      <c r="S4386" s="23">
        <f t="shared" si="927"/>
        <v>323</v>
      </c>
      <c r="T4386" s="23" t="str">
        <f t="shared" si="928"/>
        <v/>
      </c>
      <c r="U4386" t="str">
        <f t="shared" si="929"/>
        <v/>
      </c>
      <c r="W4386" s="40"/>
      <c r="X4386" s="72"/>
      <c r="Y4386" s="40"/>
      <c r="AC4386" s="9"/>
      <c r="AD4386" s="9"/>
      <c r="AE4386" s="9"/>
      <c r="AF4386" s="22"/>
      <c r="AG4386" s="23"/>
      <c r="AH4386" s="8"/>
    </row>
    <row r="4387" spans="1:38">
      <c r="A4387" t="str">
        <f t="shared" si="930"/>
        <v>PA_Alleg_2019p~Dem-commissioner stowe (vote for 3)</v>
      </c>
      <c r="B4387" s="55" t="s">
        <v>1291</v>
      </c>
      <c r="C4387">
        <v>573</v>
      </c>
      <c r="D4387" s="55" t="s">
        <v>552</v>
      </c>
      <c r="E4387" s="55" t="s">
        <v>553</v>
      </c>
      <c r="F4387" t="s">
        <v>12</v>
      </c>
      <c r="G4387" s="62">
        <v>323</v>
      </c>
      <c r="H4387" s="25">
        <v>17.39</v>
      </c>
      <c r="I4387">
        <v>4411</v>
      </c>
      <c r="J4387">
        <v>829</v>
      </c>
      <c r="K4387">
        <v>11</v>
      </c>
      <c r="L4387">
        <v>11</v>
      </c>
      <c r="M4387">
        <v>0</v>
      </c>
      <c r="N4387" s="23">
        <v>0</v>
      </c>
      <c r="O4387">
        <f t="shared" si="923"/>
        <v>4</v>
      </c>
      <c r="P4387" s="57">
        <f t="shared" si="924"/>
        <v>3</v>
      </c>
      <c r="Q4387" s="267">
        <f t="shared" si="925"/>
        <v>609</v>
      </c>
      <c r="R4387" s="23" t="str">
        <f t="shared" si="926"/>
        <v/>
      </c>
      <c r="S4387" s="23">
        <f t="shared" si="927"/>
        <v>323</v>
      </c>
      <c r="T4387" s="23" t="str">
        <f t="shared" si="928"/>
        <v/>
      </c>
      <c r="U4387" t="str">
        <f t="shared" si="929"/>
        <v/>
      </c>
      <c r="W4387" s="40"/>
      <c r="X4387" s="72"/>
      <c r="Y4387" s="40"/>
      <c r="AC4387" s="9"/>
      <c r="AD4387" s="9"/>
      <c r="AE4387" s="9"/>
      <c r="AF4387" s="22"/>
    </row>
    <row r="4388" spans="1:38">
      <c r="A4388" t="str">
        <f t="shared" si="930"/>
        <v>PA_Alleg_2019p~Dem-commissioner stowe (vote for 3)</v>
      </c>
      <c r="B4388" s="55" t="s">
        <v>1291</v>
      </c>
      <c r="C4388">
        <v>575</v>
      </c>
      <c r="D4388" s="55" t="s">
        <v>552</v>
      </c>
      <c r="E4388" s="55" t="s">
        <v>555</v>
      </c>
      <c r="F4388" t="s">
        <v>12</v>
      </c>
      <c r="G4388" s="62">
        <v>237</v>
      </c>
      <c r="H4388" s="25">
        <v>12.76</v>
      </c>
      <c r="I4388">
        <v>4411</v>
      </c>
      <c r="J4388">
        <v>829</v>
      </c>
      <c r="K4388">
        <v>11</v>
      </c>
      <c r="L4388">
        <v>11</v>
      </c>
      <c r="M4388">
        <v>0</v>
      </c>
      <c r="N4388" s="23">
        <v>0</v>
      </c>
      <c r="O4388">
        <f t="shared" si="923"/>
        <v>5</v>
      </c>
      <c r="P4388" s="57">
        <f t="shared" si="924"/>
        <v>3</v>
      </c>
      <c r="Q4388" s="267">
        <f t="shared" si="925"/>
        <v>286</v>
      </c>
      <c r="R4388" s="23" t="str">
        <f t="shared" si="926"/>
        <v/>
      </c>
      <c r="S4388" s="23">
        <f t="shared" si="927"/>
        <v>237</v>
      </c>
      <c r="T4388" s="23" t="str">
        <f t="shared" si="928"/>
        <v/>
      </c>
      <c r="U4388" t="str">
        <f t="shared" si="929"/>
        <v/>
      </c>
      <c r="W4388" s="40"/>
      <c r="X4388" s="72"/>
      <c r="Y4388" s="40"/>
      <c r="AC4388" s="9"/>
      <c r="AD4388" s="9"/>
      <c r="AE4388" s="9"/>
      <c r="AF4388" s="22"/>
      <c r="AG4388" s="304"/>
      <c r="AH4388" s="301"/>
      <c r="AI4388" s="303"/>
      <c r="AJ4388" s="303"/>
      <c r="AK4388" s="342"/>
      <c r="AL4388" s="343"/>
    </row>
    <row r="4389" spans="1:38">
      <c r="A4389" t="str">
        <f t="shared" si="930"/>
        <v>PA_Alleg_2019p~Dem-commissioner stowe (vote for 3)</v>
      </c>
      <c r="B4389" s="55" t="s">
        <v>1291</v>
      </c>
      <c r="C4389">
        <v>578</v>
      </c>
      <c r="D4389" s="55" t="s">
        <v>552</v>
      </c>
      <c r="E4389" s="55" t="s">
        <v>15</v>
      </c>
      <c r="F4389" t="s">
        <v>12</v>
      </c>
      <c r="G4389" s="62">
        <v>49</v>
      </c>
      <c r="H4389" s="25">
        <v>2.64</v>
      </c>
      <c r="I4389">
        <v>4411</v>
      </c>
      <c r="J4389">
        <v>829</v>
      </c>
      <c r="K4389">
        <v>11</v>
      </c>
      <c r="L4389">
        <v>11</v>
      </c>
      <c r="M4389">
        <v>0</v>
      </c>
      <c r="N4389" s="23">
        <v>0</v>
      </c>
      <c r="O4389">
        <f t="shared" si="923"/>
        <v>-5</v>
      </c>
      <c r="P4389" s="57">
        <f t="shared" si="924"/>
        <v>3</v>
      </c>
      <c r="Q4389" s="267">
        <f t="shared" si="925"/>
        <v>49</v>
      </c>
      <c r="R4389" s="23">
        <f t="shared" si="926"/>
        <v>1</v>
      </c>
      <c r="S4389" s="23">
        <f t="shared" si="927"/>
        <v>0</v>
      </c>
      <c r="T4389" s="23" t="str">
        <f t="shared" si="928"/>
        <v/>
      </c>
      <c r="U4389" t="str">
        <f t="shared" si="929"/>
        <v/>
      </c>
      <c r="W4389" s="40"/>
      <c r="X4389" s="72"/>
      <c r="Y4389" s="40"/>
      <c r="AC4389" s="9"/>
      <c r="AD4389" s="9"/>
      <c r="AE4389" s="9"/>
      <c r="AF4389" s="22"/>
    </row>
    <row r="4390" spans="1:38">
      <c r="A4390" t="str">
        <f t="shared" si="930"/>
        <v>PA_Alleg_2019p~Dem-commissioner upper st clair ward 1 (vote for 1)</v>
      </c>
      <c r="B4390" s="55" t="s">
        <v>1291</v>
      </c>
      <c r="C4390">
        <v>662</v>
      </c>
      <c r="D4390" s="55" t="s">
        <v>641</v>
      </c>
      <c r="E4390" s="55" t="s">
        <v>15</v>
      </c>
      <c r="F4390" t="s">
        <v>12</v>
      </c>
      <c r="G4390" s="62">
        <v>22</v>
      </c>
      <c r="H4390" s="25">
        <v>100</v>
      </c>
      <c r="I4390">
        <v>3483</v>
      </c>
      <c r="J4390">
        <v>684</v>
      </c>
      <c r="K4390">
        <v>4</v>
      </c>
      <c r="L4390">
        <v>4</v>
      </c>
      <c r="M4390">
        <v>0</v>
      </c>
      <c r="N4390" s="23">
        <v>0</v>
      </c>
      <c r="O4390">
        <f t="shared" si="923"/>
        <v>0</v>
      </c>
      <c r="P4390" s="57">
        <f t="shared" si="924"/>
        <v>1</v>
      </c>
      <c r="Q4390" s="267">
        <f t="shared" si="925"/>
        <v>22</v>
      </c>
      <c r="R4390" s="23">
        <f t="shared" si="926"/>
        <v>1</v>
      </c>
      <c r="S4390" s="23">
        <f t="shared" si="927"/>
        <v>0</v>
      </c>
      <c r="T4390" s="23" t="str">
        <f t="shared" si="928"/>
        <v/>
      </c>
      <c r="U4390" t="str">
        <f t="shared" si="929"/>
        <v>PA_Alleg_2019p~Dem-commissioner upper st clair ward 1 (vote for 1)</v>
      </c>
      <c r="W4390" s="40"/>
      <c r="X4390" s="72"/>
      <c r="Y4390" s="40"/>
      <c r="AC4390" s="9"/>
      <c r="AD4390" s="9"/>
      <c r="AE4390" s="9"/>
      <c r="AF4390" s="22"/>
      <c r="AG4390" s="23"/>
      <c r="AH4390" s="8"/>
      <c r="AL4390" s="344"/>
    </row>
    <row r="4391" spans="1:38">
      <c r="A4391" t="str">
        <f t="shared" si="930"/>
        <v>PA_Alleg_2019p~Dem-commissioner upper st clair ward 3 (vote for 1)</v>
      </c>
      <c r="B4391" s="55" t="s">
        <v>1291</v>
      </c>
      <c r="C4391">
        <v>663</v>
      </c>
      <c r="D4391" s="55" t="s">
        <v>642</v>
      </c>
      <c r="E4391" s="55" t="s">
        <v>643</v>
      </c>
      <c r="F4391" t="s">
        <v>12</v>
      </c>
      <c r="G4391" s="62">
        <v>212</v>
      </c>
      <c r="H4391" s="25">
        <v>95.93</v>
      </c>
      <c r="I4391">
        <v>3110</v>
      </c>
      <c r="J4391">
        <v>593</v>
      </c>
      <c r="K4391">
        <v>3</v>
      </c>
      <c r="L4391">
        <v>3</v>
      </c>
      <c r="M4391">
        <v>0</v>
      </c>
      <c r="N4391" s="23">
        <v>0</v>
      </c>
      <c r="O4391">
        <f t="shared" si="923"/>
        <v>1</v>
      </c>
      <c r="P4391" s="57">
        <f t="shared" si="924"/>
        <v>1</v>
      </c>
      <c r="Q4391" s="267">
        <f t="shared" si="925"/>
        <v>221</v>
      </c>
      <c r="R4391" s="23">
        <f t="shared" si="926"/>
        <v>212</v>
      </c>
      <c r="S4391" s="23">
        <f t="shared" si="927"/>
        <v>0</v>
      </c>
      <c r="T4391" s="23" t="str">
        <f t="shared" si="928"/>
        <v/>
      </c>
      <c r="U4391" t="str">
        <f t="shared" si="929"/>
        <v>PA_Alleg_2019p~Dem-commissioner upper st clair ward 3 (vote for 1)</v>
      </c>
      <c r="W4391" s="40"/>
      <c r="X4391" s="72"/>
      <c r="Y4391" s="40"/>
      <c r="AC4391" s="9"/>
      <c r="AD4391" s="9"/>
      <c r="AE4391" s="9"/>
      <c r="AF4391" s="22"/>
      <c r="AG4391" s="302"/>
      <c r="AH4391" s="301"/>
      <c r="AI4391" s="303"/>
      <c r="AJ4391" s="303"/>
      <c r="AK4391" s="342"/>
      <c r="AL4391" s="343"/>
    </row>
    <row r="4392" spans="1:38">
      <c r="A4392" t="str">
        <f t="shared" si="930"/>
        <v>PA_Alleg_2019p~Dem-commissioner upper st clair ward 3 (vote for 1)</v>
      </c>
      <c r="B4392" s="55" t="s">
        <v>1291</v>
      </c>
      <c r="C4392">
        <v>664</v>
      </c>
      <c r="D4392" s="55" t="s">
        <v>642</v>
      </c>
      <c r="E4392" s="55" t="s">
        <v>15</v>
      </c>
      <c r="F4392" t="s">
        <v>12</v>
      </c>
      <c r="G4392" s="62">
        <v>9</v>
      </c>
      <c r="H4392" s="25">
        <v>4.07</v>
      </c>
      <c r="I4392">
        <v>3110</v>
      </c>
      <c r="J4392">
        <v>593</v>
      </c>
      <c r="K4392">
        <v>3</v>
      </c>
      <c r="L4392">
        <v>3</v>
      </c>
      <c r="M4392">
        <v>0</v>
      </c>
      <c r="N4392" s="23">
        <v>0</v>
      </c>
      <c r="O4392">
        <f t="shared" si="923"/>
        <v>-1</v>
      </c>
      <c r="P4392" s="57">
        <f t="shared" si="924"/>
        <v>1</v>
      </c>
      <c r="Q4392" s="267">
        <f t="shared" si="925"/>
        <v>9</v>
      </c>
      <c r="R4392" s="23">
        <f t="shared" si="926"/>
        <v>1</v>
      </c>
      <c r="S4392" s="23">
        <f t="shared" si="927"/>
        <v>0</v>
      </c>
      <c r="T4392" s="23" t="str">
        <f t="shared" si="928"/>
        <v/>
      </c>
      <c r="U4392" t="str">
        <f t="shared" si="929"/>
        <v/>
      </c>
      <c r="W4392" s="40"/>
      <c r="X4392" s="72"/>
      <c r="Y4392" s="40"/>
      <c r="AC4392" s="9"/>
      <c r="AD4392" s="9"/>
      <c r="AE4392" s="9"/>
      <c r="AF4392" s="22"/>
    </row>
    <row r="4393" spans="1:38">
      <c r="A4393" t="str">
        <f t="shared" si="930"/>
        <v>PA_Alleg_2019p~Dem-commissioner upper st clair ward 5 (vote for 1)</v>
      </c>
      <c r="B4393" s="55" t="s">
        <v>1291</v>
      </c>
      <c r="C4393">
        <v>665</v>
      </c>
      <c r="D4393" s="55" t="s">
        <v>644</v>
      </c>
      <c r="E4393" s="55" t="s">
        <v>15</v>
      </c>
      <c r="F4393" t="s">
        <v>12</v>
      </c>
      <c r="G4393" s="62">
        <v>22</v>
      </c>
      <c r="H4393" s="25">
        <v>100</v>
      </c>
      <c r="I4393">
        <v>3054</v>
      </c>
      <c r="J4393">
        <v>483</v>
      </c>
      <c r="K4393">
        <v>3</v>
      </c>
      <c r="L4393">
        <v>3</v>
      </c>
      <c r="M4393">
        <v>0</v>
      </c>
      <c r="N4393" s="23">
        <v>0</v>
      </c>
      <c r="O4393">
        <f t="shared" si="923"/>
        <v>0</v>
      </c>
      <c r="P4393" s="57">
        <f t="shared" si="924"/>
        <v>1</v>
      </c>
      <c r="Q4393" s="267">
        <f t="shared" si="925"/>
        <v>22</v>
      </c>
      <c r="R4393" s="23">
        <f t="shared" si="926"/>
        <v>1</v>
      </c>
      <c r="S4393" s="23">
        <f t="shared" si="927"/>
        <v>0</v>
      </c>
      <c r="T4393" s="23" t="str">
        <f t="shared" si="928"/>
        <v/>
      </c>
      <c r="U4393" t="str">
        <f t="shared" si="929"/>
        <v>PA_Alleg_2019p~Dem-commissioner upper st clair ward 5 (vote for 1)</v>
      </c>
      <c r="W4393" s="40"/>
      <c r="X4393" s="72"/>
      <c r="Y4393" s="40"/>
      <c r="AC4393" s="9"/>
      <c r="AD4393" s="9"/>
      <c r="AE4393" s="9"/>
      <c r="AF4393" s="300"/>
    </row>
    <row r="4394" spans="1:38">
      <c r="A4394" t="str">
        <f t="shared" si="930"/>
        <v>PA_Alleg_2019p~Dem-commissioner wilkins ward 1 (vote for 1)</v>
      </c>
      <c r="B4394" s="55" t="s">
        <v>1291</v>
      </c>
      <c r="C4394">
        <v>666</v>
      </c>
      <c r="D4394" s="55" t="s">
        <v>645</v>
      </c>
      <c r="E4394" s="55" t="s">
        <v>646</v>
      </c>
      <c r="F4394" t="s">
        <v>12</v>
      </c>
      <c r="G4394" s="62">
        <v>391</v>
      </c>
      <c r="H4394" s="25">
        <v>98.49</v>
      </c>
      <c r="I4394">
        <v>3398</v>
      </c>
      <c r="J4394">
        <v>578</v>
      </c>
      <c r="K4394">
        <v>5</v>
      </c>
      <c r="L4394">
        <v>5</v>
      </c>
      <c r="M4394">
        <v>0</v>
      </c>
      <c r="N4394" s="23">
        <v>0</v>
      </c>
      <c r="O4394">
        <f t="shared" si="923"/>
        <v>1</v>
      </c>
      <c r="P4394" s="57">
        <f t="shared" si="924"/>
        <v>1</v>
      </c>
      <c r="Q4394" s="267">
        <f t="shared" si="925"/>
        <v>397</v>
      </c>
      <c r="R4394" s="23">
        <f t="shared" si="926"/>
        <v>391</v>
      </c>
      <c r="S4394" s="23">
        <f t="shared" si="927"/>
        <v>0</v>
      </c>
      <c r="T4394" s="23" t="str">
        <f t="shared" si="928"/>
        <v/>
      </c>
      <c r="U4394" t="str">
        <f t="shared" si="929"/>
        <v>PA_Alleg_2019p~Dem-commissioner wilkins ward 1 (vote for 1)</v>
      </c>
      <c r="W4394" s="40"/>
      <c r="X4394" s="72"/>
      <c r="Y4394" s="40"/>
      <c r="AC4394" s="9"/>
      <c r="AD4394" s="9"/>
      <c r="AE4394" s="9"/>
      <c r="AF4394" s="22"/>
    </row>
    <row r="4395" spans="1:38">
      <c r="A4395" t="str">
        <f t="shared" si="930"/>
        <v>PA_Alleg_2019p~Dem-commissioner wilkins ward 1 (vote for 1)</v>
      </c>
      <c r="B4395" s="55" t="s">
        <v>1291</v>
      </c>
      <c r="C4395">
        <v>667</v>
      </c>
      <c r="D4395" s="55" t="s">
        <v>645</v>
      </c>
      <c r="E4395" s="55" t="s">
        <v>15</v>
      </c>
      <c r="F4395" t="s">
        <v>12</v>
      </c>
      <c r="G4395" s="62">
        <v>6</v>
      </c>
      <c r="H4395" s="25">
        <v>1.51</v>
      </c>
      <c r="I4395">
        <v>3398</v>
      </c>
      <c r="J4395">
        <v>578</v>
      </c>
      <c r="K4395">
        <v>5</v>
      </c>
      <c r="L4395">
        <v>5</v>
      </c>
      <c r="M4395">
        <v>0</v>
      </c>
      <c r="N4395" s="23">
        <v>0</v>
      </c>
      <c r="O4395">
        <f t="shared" si="923"/>
        <v>-1</v>
      </c>
      <c r="P4395" s="57">
        <f t="shared" si="924"/>
        <v>1</v>
      </c>
      <c r="Q4395" s="267">
        <f t="shared" si="925"/>
        <v>6</v>
      </c>
      <c r="R4395" s="23">
        <f t="shared" si="926"/>
        <v>1</v>
      </c>
      <c r="S4395" s="23">
        <f t="shared" si="927"/>
        <v>0</v>
      </c>
      <c r="T4395" s="23" t="str">
        <f t="shared" si="928"/>
        <v/>
      </c>
      <c r="U4395" t="str">
        <f t="shared" si="929"/>
        <v/>
      </c>
      <c r="W4395" s="40"/>
      <c r="X4395" s="72"/>
      <c r="Y4395" s="40"/>
      <c r="AC4395" s="9"/>
      <c r="AD4395" s="9"/>
      <c r="AE4395" s="9"/>
      <c r="AF4395" s="22"/>
    </row>
    <row r="4396" spans="1:38">
      <c r="A4396" t="str">
        <f t="shared" si="930"/>
        <v>PA_Alleg_2019p~Dem-controller citywide (vote for 1)</v>
      </c>
      <c r="B4396" s="55" t="s">
        <v>1291</v>
      </c>
      <c r="C4396">
        <v>38</v>
      </c>
      <c r="D4396" s="55" t="s">
        <v>49</v>
      </c>
      <c r="E4396" s="55" t="s">
        <v>50</v>
      </c>
      <c r="F4396" t="s">
        <v>12</v>
      </c>
      <c r="G4396" s="62">
        <v>31952</v>
      </c>
      <c r="H4396" s="25">
        <v>99.39</v>
      </c>
      <c r="I4396">
        <v>252924</v>
      </c>
      <c r="J4396">
        <v>39906</v>
      </c>
      <c r="K4396">
        <v>402</v>
      </c>
      <c r="L4396">
        <v>402</v>
      </c>
      <c r="M4396">
        <v>0</v>
      </c>
      <c r="N4396" s="23">
        <v>0</v>
      </c>
      <c r="O4396">
        <f t="shared" si="923"/>
        <v>1</v>
      </c>
      <c r="P4396" s="57">
        <f t="shared" si="924"/>
        <v>1</v>
      </c>
      <c r="Q4396" s="267">
        <f t="shared" si="925"/>
        <v>32149</v>
      </c>
      <c r="R4396" s="23">
        <f t="shared" si="926"/>
        <v>31952</v>
      </c>
      <c r="S4396" s="23">
        <f t="shared" si="927"/>
        <v>0</v>
      </c>
      <c r="T4396" s="23" t="str">
        <f t="shared" si="928"/>
        <v/>
      </c>
      <c r="U4396" t="str">
        <f t="shared" si="929"/>
        <v>PA_Alleg_2019p~Dem-controller citywide (vote for 1)</v>
      </c>
      <c r="W4396" s="40"/>
      <c r="X4396" s="72"/>
      <c r="Y4396" s="40"/>
      <c r="AC4396" s="9"/>
      <c r="AD4396" s="9"/>
      <c r="AE4396" s="9"/>
      <c r="AF4396" s="88"/>
      <c r="AH4396" s="8"/>
      <c r="AL4396" s="344"/>
    </row>
    <row r="4397" spans="1:38">
      <c r="A4397" t="str">
        <f t="shared" si="930"/>
        <v>PA_Alleg_2019p~Dem-controller citywide (vote for 1)</v>
      </c>
      <c r="B4397" s="55" t="s">
        <v>1291</v>
      </c>
      <c r="C4397">
        <v>39</v>
      </c>
      <c r="D4397" s="55" t="s">
        <v>49</v>
      </c>
      <c r="E4397" s="55" t="s">
        <v>15</v>
      </c>
      <c r="F4397" t="s">
        <v>12</v>
      </c>
      <c r="G4397" s="62">
        <v>197</v>
      </c>
      <c r="H4397" s="25">
        <v>0.61</v>
      </c>
      <c r="I4397">
        <v>252924</v>
      </c>
      <c r="J4397">
        <v>39906</v>
      </c>
      <c r="K4397">
        <v>402</v>
      </c>
      <c r="L4397">
        <v>402</v>
      </c>
      <c r="M4397">
        <v>0</v>
      </c>
      <c r="N4397" s="23">
        <v>0</v>
      </c>
      <c r="O4397">
        <f t="shared" si="923"/>
        <v>-1</v>
      </c>
      <c r="P4397" s="57">
        <f t="shared" si="924"/>
        <v>1</v>
      </c>
      <c r="Q4397" s="267">
        <f t="shared" si="925"/>
        <v>197</v>
      </c>
      <c r="R4397" s="23">
        <f t="shared" si="926"/>
        <v>1</v>
      </c>
      <c r="S4397" s="23">
        <f t="shared" si="927"/>
        <v>0</v>
      </c>
      <c r="T4397" s="23" t="str">
        <f t="shared" si="928"/>
        <v/>
      </c>
      <c r="U4397" t="str">
        <f t="shared" si="929"/>
        <v/>
      </c>
      <c r="W4397" s="40"/>
      <c r="X4397" s="72"/>
      <c r="Y4397" s="40"/>
      <c r="AC4397" s="9"/>
      <c r="AD4397" s="9"/>
      <c r="AE4397" s="9"/>
      <c r="AF4397" s="88"/>
    </row>
    <row r="4398" spans="1:38">
      <c r="A4398" t="str">
        <f t="shared" si="930"/>
        <v>PA_Alleg_2019p~Dem-controller duquesne (vote for 1)</v>
      </c>
      <c r="B4398" s="55" t="s">
        <v>1291</v>
      </c>
      <c r="C4398">
        <v>484</v>
      </c>
      <c r="D4398" s="55" t="s">
        <v>484</v>
      </c>
      <c r="E4398" s="55" t="s">
        <v>15</v>
      </c>
      <c r="F4398" t="s">
        <v>12</v>
      </c>
      <c r="G4398" s="62">
        <v>24</v>
      </c>
      <c r="H4398" s="25">
        <v>100</v>
      </c>
      <c r="I4398">
        <v>3901</v>
      </c>
      <c r="J4398">
        <v>641</v>
      </c>
      <c r="K4398">
        <v>10</v>
      </c>
      <c r="L4398">
        <v>10</v>
      </c>
      <c r="M4398">
        <v>0</v>
      </c>
      <c r="N4398" s="23">
        <v>0</v>
      </c>
      <c r="O4398">
        <f t="shared" si="923"/>
        <v>0</v>
      </c>
      <c r="P4398" s="57">
        <f t="shared" si="924"/>
        <v>1</v>
      </c>
      <c r="Q4398" s="267">
        <f t="shared" si="925"/>
        <v>24</v>
      </c>
      <c r="R4398" s="23">
        <f t="shared" si="926"/>
        <v>1</v>
      </c>
      <c r="S4398" s="23">
        <f t="shared" si="927"/>
        <v>0</v>
      </c>
      <c r="T4398" s="23" t="str">
        <f t="shared" si="928"/>
        <v/>
      </c>
      <c r="U4398" t="str">
        <f t="shared" si="929"/>
        <v>PA_Alleg_2019p~Dem-controller duquesne (vote for 1)</v>
      </c>
      <c r="W4398" s="40"/>
      <c r="X4398" s="72"/>
      <c r="Y4398" s="40"/>
      <c r="AC4398" s="9"/>
      <c r="AD4398" s="9"/>
      <c r="AE4398" s="9"/>
      <c r="AF4398" s="88"/>
    </row>
    <row r="4399" spans="1:38">
      <c r="A4399" t="str">
        <f t="shared" si="930"/>
        <v>PA_Alleg_2019p~Dem-controller hampton (vote for 1)</v>
      </c>
      <c r="B4399" s="55" t="s">
        <v>1291</v>
      </c>
      <c r="C4399">
        <v>481</v>
      </c>
      <c r="D4399" s="55" t="s">
        <v>481</v>
      </c>
      <c r="E4399" s="55" t="s">
        <v>15</v>
      </c>
      <c r="F4399" t="s">
        <v>12</v>
      </c>
      <c r="G4399" s="62">
        <v>57</v>
      </c>
      <c r="H4399" s="25">
        <v>100</v>
      </c>
      <c r="I4399">
        <v>14273</v>
      </c>
      <c r="J4399">
        <v>2114</v>
      </c>
      <c r="K4399">
        <v>13</v>
      </c>
      <c r="L4399">
        <v>13</v>
      </c>
      <c r="M4399">
        <v>0</v>
      </c>
      <c r="N4399" s="23">
        <v>0</v>
      </c>
      <c r="O4399">
        <f t="shared" si="923"/>
        <v>0</v>
      </c>
      <c r="P4399" s="57">
        <f t="shared" si="924"/>
        <v>1</v>
      </c>
      <c r="Q4399" s="267">
        <f t="shared" si="925"/>
        <v>57</v>
      </c>
      <c r="R4399" s="23">
        <f t="shared" si="926"/>
        <v>1</v>
      </c>
      <c r="S4399" s="23">
        <f t="shared" si="927"/>
        <v>0</v>
      </c>
      <c r="T4399" s="23" t="str">
        <f t="shared" si="928"/>
        <v/>
      </c>
      <c r="U4399" t="str">
        <f t="shared" si="929"/>
        <v>PA_Alleg_2019p~Dem-controller hampton (vote for 1)</v>
      </c>
      <c r="W4399" s="40"/>
      <c r="X4399" s="72"/>
      <c r="Y4399" s="40"/>
      <c r="AC4399" s="9"/>
      <c r="AD4399" s="9"/>
      <c r="AE4399" s="9"/>
      <c r="AF4399" s="22"/>
    </row>
    <row r="4400" spans="1:38">
      <c r="A4400" t="str">
        <f t="shared" si="930"/>
        <v>PA_Alleg_2019p~Dem-controller penn hills (vote for 1)</v>
      </c>
      <c r="B4400" s="55" t="s">
        <v>1291</v>
      </c>
      <c r="C4400">
        <v>482</v>
      </c>
      <c r="D4400" s="55" t="s">
        <v>482</v>
      </c>
      <c r="E4400" s="55" t="s">
        <v>483</v>
      </c>
      <c r="F4400" t="s">
        <v>12</v>
      </c>
      <c r="G4400" s="62">
        <v>3765</v>
      </c>
      <c r="H4400" s="25">
        <v>99.05</v>
      </c>
      <c r="I4400">
        <v>32131</v>
      </c>
      <c r="J4400">
        <v>6084</v>
      </c>
      <c r="K4400">
        <v>50</v>
      </c>
      <c r="L4400">
        <v>50</v>
      </c>
      <c r="M4400">
        <v>0</v>
      </c>
      <c r="N4400" s="23">
        <v>0</v>
      </c>
      <c r="O4400">
        <f t="shared" si="923"/>
        <v>1</v>
      </c>
      <c r="P4400" s="57">
        <f t="shared" si="924"/>
        <v>1</v>
      </c>
      <c r="Q4400" s="267">
        <f t="shared" si="925"/>
        <v>3801</v>
      </c>
      <c r="R4400" s="23">
        <f t="shared" si="926"/>
        <v>3765</v>
      </c>
      <c r="S4400" s="23">
        <f t="shared" si="927"/>
        <v>0</v>
      </c>
      <c r="T4400" s="23" t="str">
        <f t="shared" si="928"/>
        <v/>
      </c>
      <c r="U4400" t="str">
        <f t="shared" si="929"/>
        <v>PA_Alleg_2019p~Dem-controller penn hills (vote for 1)</v>
      </c>
      <c r="W4400" s="40"/>
      <c r="X4400" s="72"/>
      <c r="Y4400" s="40"/>
      <c r="AC4400" s="9"/>
      <c r="AD4400" s="9"/>
      <c r="AE4400" s="9"/>
      <c r="AF4400" s="22"/>
      <c r="AG4400" s="302"/>
      <c r="AH4400" s="301"/>
      <c r="AI4400" s="303"/>
      <c r="AJ4400" s="303"/>
      <c r="AK4400" s="342"/>
      <c r="AL4400" s="343"/>
    </row>
    <row r="4401" spans="1:38">
      <c r="A4401" t="str">
        <f t="shared" si="930"/>
        <v>PA_Alleg_2019p~Dem-controller penn hills (vote for 1)</v>
      </c>
      <c r="B4401" s="55" t="s">
        <v>1291</v>
      </c>
      <c r="C4401">
        <v>483</v>
      </c>
      <c r="D4401" s="55" t="s">
        <v>482</v>
      </c>
      <c r="E4401" s="55" t="s">
        <v>15</v>
      </c>
      <c r="F4401" t="s">
        <v>12</v>
      </c>
      <c r="G4401" s="62">
        <v>36</v>
      </c>
      <c r="H4401" s="25">
        <v>0.95</v>
      </c>
      <c r="I4401">
        <v>32131</v>
      </c>
      <c r="J4401">
        <v>6084</v>
      </c>
      <c r="K4401">
        <v>50</v>
      </c>
      <c r="L4401">
        <v>50</v>
      </c>
      <c r="M4401">
        <v>0</v>
      </c>
      <c r="N4401" s="23">
        <v>0</v>
      </c>
      <c r="O4401">
        <f t="shared" si="923"/>
        <v>-1</v>
      </c>
      <c r="P4401" s="57">
        <f t="shared" si="924"/>
        <v>1</v>
      </c>
      <c r="Q4401" s="267">
        <f t="shared" si="925"/>
        <v>36</v>
      </c>
      <c r="R4401" s="23">
        <f t="shared" si="926"/>
        <v>1</v>
      </c>
      <c r="S4401" s="23">
        <f t="shared" si="927"/>
        <v>0</v>
      </c>
      <c r="T4401" s="23" t="str">
        <f t="shared" si="928"/>
        <v/>
      </c>
      <c r="U4401" t="str">
        <f t="shared" si="929"/>
        <v/>
      </c>
      <c r="W4401" s="40"/>
      <c r="X4401" s="72"/>
      <c r="Y4401" s="40"/>
      <c r="AC4401" s="9"/>
      <c r="AD4401" s="9"/>
      <c r="AE4401" s="9"/>
      <c r="AF4401" s="22"/>
    </row>
    <row r="4402" spans="1:38">
      <c r="A4402" t="str">
        <f t="shared" si="930"/>
        <v>PA_Alleg_2019p~Dem-county chief executive (vote for 1)</v>
      </c>
      <c r="B4402" s="55" t="s">
        <v>1291</v>
      </c>
      <c r="C4402">
        <v>10</v>
      </c>
      <c r="D4402" s="55" t="s">
        <v>21</v>
      </c>
      <c r="E4402" s="55" t="s">
        <v>22</v>
      </c>
      <c r="F4402" t="s">
        <v>12</v>
      </c>
      <c r="G4402" s="62">
        <v>97484</v>
      </c>
      <c r="H4402" s="25">
        <v>98.21</v>
      </c>
      <c r="I4402">
        <v>952750</v>
      </c>
      <c r="J4402">
        <v>157264</v>
      </c>
      <c r="K4402">
        <v>1322</v>
      </c>
      <c r="L4402">
        <v>1322</v>
      </c>
      <c r="M4402">
        <v>0</v>
      </c>
      <c r="N4402" s="23">
        <v>0</v>
      </c>
      <c r="O4402">
        <f t="shared" si="923"/>
        <v>1</v>
      </c>
      <c r="P4402" s="57">
        <f t="shared" si="924"/>
        <v>1</v>
      </c>
      <c r="Q4402" s="267">
        <f t="shared" si="925"/>
        <v>99263</v>
      </c>
      <c r="R4402" s="23">
        <f t="shared" si="926"/>
        <v>97484</v>
      </c>
      <c r="S4402" s="23">
        <f t="shared" si="927"/>
        <v>0</v>
      </c>
      <c r="T4402" s="23" t="str">
        <f t="shared" si="928"/>
        <v/>
      </c>
      <c r="U4402" t="str">
        <f t="shared" si="929"/>
        <v>PA_Alleg_2019p~Dem-county chief executive (vote for 1)</v>
      </c>
      <c r="W4402" s="40"/>
      <c r="X4402" s="72"/>
      <c r="Y4402" s="40"/>
      <c r="AC4402" s="9"/>
      <c r="AD4402" s="9"/>
      <c r="AE4402" s="9"/>
      <c r="AF4402" s="22"/>
    </row>
    <row r="4403" spans="1:38">
      <c r="A4403" t="str">
        <f t="shared" si="930"/>
        <v>PA_Alleg_2019p~Dem-county chief executive (vote for 1)</v>
      </c>
      <c r="B4403" s="55" t="s">
        <v>1291</v>
      </c>
      <c r="C4403">
        <v>11</v>
      </c>
      <c r="D4403" s="55" t="s">
        <v>21</v>
      </c>
      <c r="E4403" s="55" t="s">
        <v>15</v>
      </c>
      <c r="F4403" t="s">
        <v>12</v>
      </c>
      <c r="G4403" s="62">
        <v>1779</v>
      </c>
      <c r="H4403" s="25">
        <v>1.79</v>
      </c>
      <c r="I4403">
        <v>952750</v>
      </c>
      <c r="J4403">
        <v>157264</v>
      </c>
      <c r="K4403">
        <v>1322</v>
      </c>
      <c r="L4403">
        <v>1322</v>
      </c>
      <c r="M4403">
        <v>0</v>
      </c>
      <c r="N4403" s="23">
        <v>0</v>
      </c>
      <c r="O4403">
        <f t="shared" si="923"/>
        <v>-1</v>
      </c>
      <c r="P4403" s="57">
        <f t="shared" si="924"/>
        <v>1</v>
      </c>
      <c r="Q4403" s="267">
        <f t="shared" si="925"/>
        <v>1779</v>
      </c>
      <c r="R4403" s="23">
        <f t="shared" si="926"/>
        <v>1</v>
      </c>
      <c r="S4403" s="23">
        <f t="shared" si="927"/>
        <v>0</v>
      </c>
      <c r="T4403" s="23" t="str">
        <f t="shared" si="928"/>
        <v/>
      </c>
      <c r="U4403" t="str">
        <f t="shared" si="929"/>
        <v/>
      </c>
      <c r="W4403" s="40"/>
      <c r="X4403" s="72"/>
      <c r="Y4403" s="40"/>
      <c r="AC4403" s="9"/>
      <c r="AD4403" s="9"/>
      <c r="AE4403" s="9"/>
      <c r="AF4403" s="88"/>
    </row>
    <row r="4404" spans="1:38">
      <c r="A4404" t="str">
        <f t="shared" si="930"/>
        <v>PA_Alleg_2019p~Dem-county controller (vote for 1)</v>
      </c>
      <c r="B4404" s="55" t="s">
        <v>1291</v>
      </c>
      <c r="C4404">
        <v>12</v>
      </c>
      <c r="D4404" s="55" t="s">
        <v>23</v>
      </c>
      <c r="E4404" s="55" t="s">
        <v>24</v>
      </c>
      <c r="F4404" t="s">
        <v>12</v>
      </c>
      <c r="G4404" s="62">
        <v>89893</v>
      </c>
      <c r="H4404" s="25">
        <v>98.08</v>
      </c>
      <c r="I4404">
        <v>952750</v>
      </c>
      <c r="J4404">
        <v>157264</v>
      </c>
      <c r="K4404">
        <v>1322</v>
      </c>
      <c r="L4404">
        <v>1322</v>
      </c>
      <c r="M4404">
        <v>0</v>
      </c>
      <c r="N4404" s="23">
        <v>0</v>
      </c>
      <c r="O4404">
        <f t="shared" si="923"/>
        <v>1</v>
      </c>
      <c r="P4404" s="57">
        <f t="shared" si="924"/>
        <v>1</v>
      </c>
      <c r="Q4404" s="267">
        <f t="shared" si="925"/>
        <v>91649</v>
      </c>
      <c r="R4404" s="23">
        <f t="shared" si="926"/>
        <v>89893</v>
      </c>
      <c r="S4404" s="23">
        <f t="shared" si="927"/>
        <v>0</v>
      </c>
      <c r="T4404" s="23" t="str">
        <f t="shared" si="928"/>
        <v/>
      </c>
      <c r="U4404" t="str">
        <f t="shared" si="929"/>
        <v>PA_Alleg_2019p~Dem-county controller (vote for 1)</v>
      </c>
      <c r="W4404" s="40"/>
      <c r="X4404" s="72"/>
      <c r="Y4404" s="40"/>
      <c r="AC4404" s="9"/>
      <c r="AD4404" s="9"/>
      <c r="AE4404" s="9"/>
      <c r="AF4404" s="22"/>
    </row>
    <row r="4405" spans="1:38">
      <c r="A4405" t="str">
        <f t="shared" si="930"/>
        <v>PA_Alleg_2019p~Dem-county controller (vote for 1)</v>
      </c>
      <c r="B4405" s="55" t="s">
        <v>1291</v>
      </c>
      <c r="C4405">
        <v>13</v>
      </c>
      <c r="D4405" s="55" t="s">
        <v>23</v>
      </c>
      <c r="E4405" s="55" t="s">
        <v>15</v>
      </c>
      <c r="F4405" t="s">
        <v>12</v>
      </c>
      <c r="G4405" s="62">
        <v>1756</v>
      </c>
      <c r="H4405" s="25">
        <v>1.92</v>
      </c>
      <c r="I4405">
        <v>952750</v>
      </c>
      <c r="J4405">
        <v>157264</v>
      </c>
      <c r="K4405">
        <v>1322</v>
      </c>
      <c r="L4405">
        <v>1322</v>
      </c>
      <c r="M4405">
        <v>0</v>
      </c>
      <c r="N4405" s="23">
        <v>0</v>
      </c>
      <c r="O4405">
        <f t="shared" si="923"/>
        <v>-1</v>
      </c>
      <c r="P4405" s="57">
        <f t="shared" si="924"/>
        <v>1</v>
      </c>
      <c r="Q4405" s="267">
        <f t="shared" si="925"/>
        <v>1756</v>
      </c>
      <c r="R4405" s="23">
        <f t="shared" si="926"/>
        <v>1</v>
      </c>
      <c r="S4405" s="23">
        <f t="shared" si="927"/>
        <v>0</v>
      </c>
      <c r="T4405" s="23" t="str">
        <f t="shared" si="928"/>
        <v/>
      </c>
      <c r="U4405" t="str">
        <f t="shared" si="929"/>
        <v/>
      </c>
      <c r="W4405" s="40"/>
      <c r="X4405" s="72"/>
      <c r="Y4405" s="40"/>
      <c r="AC4405" s="9"/>
      <c r="AD4405" s="9"/>
      <c r="AE4405" s="9"/>
      <c r="AF4405" s="22"/>
    </row>
    <row r="4406" spans="1:38">
      <c r="A4406" t="str">
        <f t="shared" si="930"/>
        <v>PA_Alleg_2019p~Dem-county treasurer (vote for 1)</v>
      </c>
      <c r="B4406" s="55" t="s">
        <v>1291</v>
      </c>
      <c r="C4406">
        <v>17</v>
      </c>
      <c r="D4406" s="55" t="s">
        <v>28</v>
      </c>
      <c r="E4406" s="55" t="s">
        <v>29</v>
      </c>
      <c r="F4406" t="s">
        <v>12</v>
      </c>
      <c r="G4406" s="62">
        <v>99383</v>
      </c>
      <c r="H4406" s="25">
        <v>99.5</v>
      </c>
      <c r="I4406">
        <v>952750</v>
      </c>
      <c r="J4406">
        <v>157264</v>
      </c>
      <c r="K4406">
        <v>1322</v>
      </c>
      <c r="L4406">
        <v>1322</v>
      </c>
      <c r="M4406">
        <v>0</v>
      </c>
      <c r="N4406" s="23">
        <v>0</v>
      </c>
      <c r="O4406">
        <f t="shared" si="923"/>
        <v>1</v>
      </c>
      <c r="P4406" s="57">
        <f t="shared" si="924"/>
        <v>1</v>
      </c>
      <c r="Q4406" s="267">
        <f t="shared" si="925"/>
        <v>99879</v>
      </c>
      <c r="R4406" s="23">
        <f t="shared" si="926"/>
        <v>99383</v>
      </c>
      <c r="S4406" s="23">
        <f t="shared" si="927"/>
        <v>0</v>
      </c>
      <c r="T4406" s="23" t="str">
        <f t="shared" si="928"/>
        <v/>
      </c>
      <c r="U4406" t="str">
        <f t="shared" si="929"/>
        <v>PA_Alleg_2019p~Dem-county treasurer (vote for 1)</v>
      </c>
      <c r="W4406" s="40"/>
      <c r="X4406" s="72"/>
      <c r="Y4406" s="40"/>
      <c r="AC4406" s="9"/>
      <c r="AD4406" s="9"/>
      <c r="AE4406" s="9"/>
      <c r="AF4406" s="22"/>
      <c r="AL4406" s="344"/>
    </row>
    <row r="4407" spans="1:38">
      <c r="A4407" t="str">
        <f t="shared" si="930"/>
        <v>PA_Alleg_2019p~Dem-county treasurer (vote for 1)</v>
      </c>
      <c r="B4407" s="55" t="s">
        <v>1291</v>
      </c>
      <c r="C4407">
        <v>18</v>
      </c>
      <c r="D4407" s="55" t="s">
        <v>28</v>
      </c>
      <c r="E4407" s="55" t="s">
        <v>15</v>
      </c>
      <c r="F4407" t="s">
        <v>12</v>
      </c>
      <c r="G4407" s="62">
        <v>496</v>
      </c>
      <c r="H4407" s="25">
        <v>0.5</v>
      </c>
      <c r="I4407">
        <v>952750</v>
      </c>
      <c r="J4407">
        <v>157264</v>
      </c>
      <c r="K4407">
        <v>1322</v>
      </c>
      <c r="L4407">
        <v>1322</v>
      </c>
      <c r="M4407">
        <v>0</v>
      </c>
      <c r="N4407" s="23">
        <v>0</v>
      </c>
      <c r="O4407">
        <f t="shared" si="923"/>
        <v>-1</v>
      </c>
      <c r="P4407" s="57">
        <f t="shared" si="924"/>
        <v>1</v>
      </c>
      <c r="Q4407" s="267">
        <f t="shared" si="925"/>
        <v>496</v>
      </c>
      <c r="R4407" s="23">
        <f t="shared" si="926"/>
        <v>1</v>
      </c>
      <c r="S4407" s="23">
        <f t="shared" si="927"/>
        <v>0</v>
      </c>
      <c r="T4407" s="23" t="str">
        <f t="shared" si="928"/>
        <v/>
      </c>
      <c r="U4407" t="str">
        <f t="shared" si="929"/>
        <v/>
      </c>
      <c r="W4407" s="40"/>
      <c r="X4407" s="72"/>
      <c r="Y4407" s="40"/>
      <c r="AC4407" s="9"/>
      <c r="AD4407" s="9"/>
      <c r="AE4407" s="9"/>
      <c r="AF4407" s="22"/>
    </row>
    <row r="4408" spans="1:38">
      <c r="A4408" t="str">
        <f t="shared" si="930"/>
        <v>PA_Alleg_2019p~Dem-district attorney (vote for 1)</v>
      </c>
      <c r="B4408" s="55" t="s">
        <v>1291</v>
      </c>
      <c r="C4408">
        <v>15</v>
      </c>
      <c r="D4408" s="55" t="s">
        <v>25</v>
      </c>
      <c r="E4408" s="55" t="s">
        <v>27</v>
      </c>
      <c r="F4408" t="s">
        <v>12</v>
      </c>
      <c r="G4408" s="62">
        <v>65581</v>
      </c>
      <c r="H4408" s="25">
        <v>59.06</v>
      </c>
      <c r="I4408">
        <v>952750</v>
      </c>
      <c r="J4408">
        <v>157264</v>
      </c>
      <c r="K4408">
        <v>1322</v>
      </c>
      <c r="L4408">
        <v>1322</v>
      </c>
      <c r="M4408">
        <v>0</v>
      </c>
      <c r="N4408" s="23">
        <v>0</v>
      </c>
      <c r="O4408">
        <f t="shared" si="923"/>
        <v>1</v>
      </c>
      <c r="P4408" s="57">
        <f t="shared" si="924"/>
        <v>1</v>
      </c>
      <c r="Q4408" s="267">
        <f t="shared" si="925"/>
        <v>111040</v>
      </c>
      <c r="R4408" s="23">
        <f t="shared" si="926"/>
        <v>65581</v>
      </c>
      <c r="S4408" s="23">
        <f t="shared" si="927"/>
        <v>45224</v>
      </c>
      <c r="T4408" s="23">
        <f t="shared" si="928"/>
        <v>20357</v>
      </c>
      <c r="U4408" t="str">
        <f t="shared" si="929"/>
        <v>PA_Alleg_2019p~Dem-district attorney (vote for 1)</v>
      </c>
      <c r="W4408" s="40"/>
      <c r="X4408" s="72"/>
      <c r="Y4408" s="40"/>
      <c r="AC4408" s="9"/>
      <c r="AD4408" s="9"/>
      <c r="AE4408" s="9"/>
      <c r="AF4408" s="22"/>
    </row>
    <row r="4409" spans="1:38">
      <c r="A4409" t="str">
        <f t="shared" si="930"/>
        <v>PA_Alleg_2019p~Dem-district attorney (vote for 1)</v>
      </c>
      <c r="B4409" s="55" t="s">
        <v>1291</v>
      </c>
      <c r="C4409">
        <v>14</v>
      </c>
      <c r="D4409" s="55" t="s">
        <v>25</v>
      </c>
      <c r="E4409" s="55" t="s">
        <v>26</v>
      </c>
      <c r="F4409" t="s">
        <v>12</v>
      </c>
      <c r="G4409" s="62">
        <v>45224</v>
      </c>
      <c r="H4409" s="25">
        <v>40.729999999999997</v>
      </c>
      <c r="I4409">
        <v>952750</v>
      </c>
      <c r="J4409">
        <v>157264</v>
      </c>
      <c r="K4409">
        <v>1322</v>
      </c>
      <c r="L4409">
        <v>1322</v>
      </c>
      <c r="M4409">
        <v>0</v>
      </c>
      <c r="N4409" s="23">
        <v>0</v>
      </c>
      <c r="O4409">
        <f t="shared" si="923"/>
        <v>2</v>
      </c>
      <c r="P4409" s="57">
        <f t="shared" si="924"/>
        <v>1</v>
      </c>
      <c r="Q4409" s="267">
        <f t="shared" si="925"/>
        <v>45459</v>
      </c>
      <c r="R4409" s="23" t="str">
        <f t="shared" si="926"/>
        <v/>
      </c>
      <c r="S4409" s="23">
        <f t="shared" si="927"/>
        <v>45224</v>
      </c>
      <c r="T4409" s="23" t="str">
        <f t="shared" si="928"/>
        <v/>
      </c>
      <c r="U4409" t="str">
        <f t="shared" si="929"/>
        <v/>
      </c>
      <c r="W4409" s="40"/>
      <c r="X4409" s="72"/>
      <c r="Y4409" s="40"/>
      <c r="AC4409" s="9"/>
      <c r="AD4409" s="9"/>
      <c r="AE4409" s="9"/>
      <c r="AF4409" s="22"/>
      <c r="AL4409" s="23"/>
    </row>
    <row r="4410" spans="1:38">
      <c r="A4410" t="str">
        <f t="shared" si="930"/>
        <v>PA_Alleg_2019p~Dem-district attorney (vote for 1)</v>
      </c>
      <c r="B4410" s="55" t="s">
        <v>1291</v>
      </c>
      <c r="C4410">
        <v>16</v>
      </c>
      <c r="D4410" s="55" t="s">
        <v>25</v>
      </c>
      <c r="E4410" s="55" t="s">
        <v>15</v>
      </c>
      <c r="F4410" t="s">
        <v>12</v>
      </c>
      <c r="G4410" s="62">
        <v>235</v>
      </c>
      <c r="H4410" s="25">
        <v>0.21</v>
      </c>
      <c r="I4410">
        <v>952750</v>
      </c>
      <c r="J4410">
        <v>157264</v>
      </c>
      <c r="K4410">
        <v>1322</v>
      </c>
      <c r="L4410">
        <v>1322</v>
      </c>
      <c r="M4410">
        <v>0</v>
      </c>
      <c r="N4410" s="23">
        <v>0</v>
      </c>
      <c r="O4410">
        <f t="shared" si="923"/>
        <v>-2</v>
      </c>
      <c r="P4410" s="57">
        <f t="shared" si="924"/>
        <v>1</v>
      </c>
      <c r="Q4410" s="267">
        <f t="shared" si="925"/>
        <v>235</v>
      </c>
      <c r="R4410" s="23">
        <f t="shared" si="926"/>
        <v>1</v>
      </c>
      <c r="S4410" s="23">
        <f t="shared" si="927"/>
        <v>0</v>
      </c>
      <c r="T4410" s="23" t="str">
        <f t="shared" si="928"/>
        <v/>
      </c>
      <c r="U4410" t="str">
        <f t="shared" si="929"/>
        <v/>
      </c>
      <c r="W4410" s="40"/>
      <c r="X4410" s="72"/>
      <c r="Y4410" s="40"/>
      <c r="AC4410" s="9"/>
      <c r="AD4410" s="9"/>
      <c r="AE4410" s="9"/>
      <c r="AF4410" s="22"/>
      <c r="AG4410" s="302"/>
      <c r="AH4410" s="301"/>
      <c r="AI4410" s="303"/>
      <c r="AJ4410" s="303"/>
      <c r="AK4410" s="342"/>
      <c r="AL4410" s="343"/>
    </row>
    <row r="4411" spans="1:38">
      <c r="A4411" t="str">
        <f t="shared" si="930"/>
        <v>PA_Alleg_2019p~Dem-judge of the court of common pleas (vote for 1)</v>
      </c>
      <c r="B4411" s="55" t="s">
        <v>1291</v>
      </c>
      <c r="C4411">
        <v>6</v>
      </c>
      <c r="D4411" s="55" t="s">
        <v>16</v>
      </c>
      <c r="E4411" s="55" t="s">
        <v>18</v>
      </c>
      <c r="F4411" t="s">
        <v>12</v>
      </c>
      <c r="G4411" s="62">
        <v>79444</v>
      </c>
      <c r="H4411" s="25">
        <v>75.510000000000005</v>
      </c>
      <c r="I4411">
        <v>952750</v>
      </c>
      <c r="J4411">
        <v>157264</v>
      </c>
      <c r="K4411">
        <v>1322</v>
      </c>
      <c r="L4411">
        <v>1322</v>
      </c>
      <c r="M4411">
        <v>0</v>
      </c>
      <c r="N4411" s="23">
        <v>0</v>
      </c>
      <c r="O4411">
        <f t="shared" si="923"/>
        <v>1</v>
      </c>
      <c r="P4411" s="57">
        <f t="shared" si="924"/>
        <v>1</v>
      </c>
      <c r="Q4411" s="267">
        <f t="shared" si="925"/>
        <v>105215</v>
      </c>
      <c r="R4411" s="23">
        <f t="shared" si="926"/>
        <v>79444</v>
      </c>
      <c r="S4411" s="23">
        <f t="shared" si="927"/>
        <v>9586</v>
      </c>
      <c r="T4411" s="23">
        <f t="shared" si="928"/>
        <v>69858</v>
      </c>
      <c r="U4411" t="str">
        <f t="shared" si="929"/>
        <v>PA_Alleg_2019p~Dem-judge of the court of common pleas (vote for 1)</v>
      </c>
      <c r="W4411" s="40"/>
      <c r="X4411" s="72"/>
      <c r="Y4411" s="40"/>
      <c r="AC4411" s="9"/>
      <c r="AD4411" s="9"/>
      <c r="AE4411" s="9"/>
      <c r="AF4411" s="22"/>
    </row>
    <row r="4412" spans="1:38">
      <c r="A4412" t="str">
        <f t="shared" si="930"/>
        <v>PA_Alleg_2019p~Dem-judge of the court of common pleas (vote for 1)</v>
      </c>
      <c r="B4412" s="55" t="s">
        <v>1291</v>
      </c>
      <c r="C4412">
        <v>7</v>
      </c>
      <c r="D4412" s="55" t="s">
        <v>16</v>
      </c>
      <c r="E4412" s="55" t="s">
        <v>19</v>
      </c>
      <c r="F4412" t="s">
        <v>12</v>
      </c>
      <c r="G4412" s="62">
        <v>9586</v>
      </c>
      <c r="H4412" s="25">
        <v>9.11</v>
      </c>
      <c r="I4412">
        <v>952750</v>
      </c>
      <c r="J4412">
        <v>157264</v>
      </c>
      <c r="K4412">
        <v>1322</v>
      </c>
      <c r="L4412">
        <v>1322</v>
      </c>
      <c r="M4412">
        <v>0</v>
      </c>
      <c r="N4412" s="23">
        <v>0</v>
      </c>
      <c r="O4412">
        <f t="shared" si="923"/>
        <v>2</v>
      </c>
      <c r="P4412" s="57">
        <f t="shared" si="924"/>
        <v>1</v>
      </c>
      <c r="Q4412" s="267">
        <f t="shared" si="925"/>
        <v>25771</v>
      </c>
      <c r="R4412" s="23" t="str">
        <f t="shared" si="926"/>
        <v/>
      </c>
      <c r="S4412" s="23">
        <f t="shared" si="927"/>
        <v>9586</v>
      </c>
      <c r="T4412" s="23" t="str">
        <f t="shared" si="928"/>
        <v/>
      </c>
      <c r="U4412" t="str">
        <f t="shared" si="929"/>
        <v/>
      </c>
      <c r="W4412" s="40"/>
      <c r="X4412" s="72"/>
      <c r="Y4412" s="40"/>
      <c r="AC4412" s="9"/>
      <c r="AD4412" s="9"/>
      <c r="AE4412" s="9"/>
      <c r="AF4412" s="22"/>
    </row>
    <row r="4413" spans="1:38">
      <c r="A4413" t="str">
        <f t="shared" si="930"/>
        <v>PA_Alleg_2019p~Dem-judge of the court of common pleas (vote for 1)</v>
      </c>
      <c r="B4413" s="55" t="s">
        <v>1291</v>
      </c>
      <c r="C4413">
        <v>5</v>
      </c>
      <c r="D4413" s="55" t="s">
        <v>16</v>
      </c>
      <c r="E4413" s="55" t="s">
        <v>17</v>
      </c>
      <c r="F4413" t="s">
        <v>12</v>
      </c>
      <c r="G4413" s="62">
        <v>9366</v>
      </c>
      <c r="H4413" s="25">
        <v>8.9</v>
      </c>
      <c r="I4413">
        <v>952750</v>
      </c>
      <c r="J4413">
        <v>157264</v>
      </c>
      <c r="K4413">
        <v>1322</v>
      </c>
      <c r="L4413">
        <v>1322</v>
      </c>
      <c r="M4413">
        <v>0</v>
      </c>
      <c r="N4413" s="23">
        <v>0</v>
      </c>
      <c r="O4413">
        <f t="shared" si="923"/>
        <v>3</v>
      </c>
      <c r="P4413" s="57">
        <f t="shared" si="924"/>
        <v>1</v>
      </c>
      <c r="Q4413" s="267">
        <f t="shared" si="925"/>
        <v>16185</v>
      </c>
      <c r="R4413" s="23" t="str">
        <f t="shared" si="926"/>
        <v/>
      </c>
      <c r="S4413" s="23">
        <f t="shared" si="927"/>
        <v>9366</v>
      </c>
      <c r="T4413" s="23" t="str">
        <f t="shared" si="928"/>
        <v/>
      </c>
      <c r="U4413" t="str">
        <f t="shared" si="929"/>
        <v/>
      </c>
      <c r="W4413" s="40"/>
      <c r="X4413" s="72"/>
      <c r="Y4413" s="40"/>
      <c r="AC4413" s="9"/>
      <c r="AD4413" s="9"/>
      <c r="AE4413" s="9"/>
      <c r="AF4413" s="22"/>
      <c r="AG4413" s="23"/>
      <c r="AH4413" s="8"/>
    </row>
    <row r="4414" spans="1:38">
      <c r="A4414" t="str">
        <f t="shared" si="930"/>
        <v>PA_Alleg_2019p~Dem-judge of the court of common pleas (vote for 1)</v>
      </c>
      <c r="B4414" s="55" t="s">
        <v>1291</v>
      </c>
      <c r="C4414">
        <v>8</v>
      </c>
      <c r="D4414" s="55" t="s">
        <v>16</v>
      </c>
      <c r="E4414" s="55" t="s">
        <v>20</v>
      </c>
      <c r="F4414" t="s">
        <v>12</v>
      </c>
      <c r="G4414" s="62">
        <v>6574</v>
      </c>
      <c r="H4414" s="25">
        <v>6.25</v>
      </c>
      <c r="I4414">
        <v>952750</v>
      </c>
      <c r="J4414">
        <v>157264</v>
      </c>
      <c r="K4414">
        <v>1322</v>
      </c>
      <c r="L4414">
        <v>1322</v>
      </c>
      <c r="M4414">
        <v>0</v>
      </c>
      <c r="N4414" s="23">
        <v>0</v>
      </c>
      <c r="O4414">
        <f t="shared" si="923"/>
        <v>4</v>
      </c>
      <c r="P4414" s="57">
        <f t="shared" si="924"/>
        <v>1</v>
      </c>
      <c r="Q4414" s="267">
        <f t="shared" si="925"/>
        <v>6819</v>
      </c>
      <c r="R4414" s="23" t="str">
        <f t="shared" si="926"/>
        <v/>
      </c>
      <c r="S4414" s="23">
        <f t="shared" si="927"/>
        <v>6574</v>
      </c>
      <c r="T4414" s="23" t="str">
        <f t="shared" si="928"/>
        <v/>
      </c>
      <c r="U4414" t="str">
        <f t="shared" si="929"/>
        <v/>
      </c>
      <c r="W4414" s="40"/>
      <c r="X4414" s="72"/>
      <c r="Y4414" s="40"/>
      <c r="AC4414" s="9"/>
      <c r="AD4414" s="9"/>
      <c r="AE4414" s="9"/>
      <c r="AF4414" s="22"/>
    </row>
    <row r="4415" spans="1:38">
      <c r="A4415" t="str">
        <f t="shared" si="930"/>
        <v>PA_Alleg_2019p~Dem-judge of the court of common pleas (vote for 1)</v>
      </c>
      <c r="B4415" s="55" t="s">
        <v>1291</v>
      </c>
      <c r="C4415">
        <v>9</v>
      </c>
      <c r="D4415" s="55" t="s">
        <v>16</v>
      </c>
      <c r="E4415" s="55" t="s">
        <v>15</v>
      </c>
      <c r="F4415" t="s">
        <v>12</v>
      </c>
      <c r="G4415" s="62">
        <v>245</v>
      </c>
      <c r="H4415" s="25">
        <v>0.23</v>
      </c>
      <c r="I4415">
        <v>952750</v>
      </c>
      <c r="J4415">
        <v>157264</v>
      </c>
      <c r="K4415">
        <v>1322</v>
      </c>
      <c r="L4415">
        <v>1322</v>
      </c>
      <c r="M4415">
        <v>0</v>
      </c>
      <c r="N4415" s="23">
        <v>0</v>
      </c>
      <c r="O4415">
        <f t="shared" si="923"/>
        <v>-4</v>
      </c>
      <c r="P4415" s="57">
        <f t="shared" si="924"/>
        <v>1</v>
      </c>
      <c r="Q4415" s="267">
        <f t="shared" si="925"/>
        <v>245</v>
      </c>
      <c r="R4415" s="23">
        <f t="shared" si="926"/>
        <v>1</v>
      </c>
      <c r="S4415" s="23">
        <f t="shared" si="927"/>
        <v>0</v>
      </c>
      <c r="T4415" s="23" t="str">
        <f t="shared" si="928"/>
        <v/>
      </c>
      <c r="U4415" t="str">
        <f t="shared" si="929"/>
        <v/>
      </c>
      <c r="W4415" s="40"/>
      <c r="X4415" s="72"/>
      <c r="Y4415" s="40"/>
      <c r="AC4415" s="9"/>
      <c r="AD4415" s="9"/>
      <c r="AE4415" s="9"/>
      <c r="AF4415" s="22"/>
    </row>
    <row r="4416" spans="1:38">
      <c r="A4416" t="str">
        <f t="shared" si="930"/>
        <v>PA_Alleg_2019p~Dem-judge of the superior court (vote for 2)</v>
      </c>
      <c r="B4416" s="55" t="s">
        <v>1291</v>
      </c>
      <c r="C4416">
        <v>3</v>
      </c>
      <c r="D4416" s="55" t="s">
        <v>10</v>
      </c>
      <c r="E4416" s="55" t="s">
        <v>14</v>
      </c>
      <c r="F4416" t="s">
        <v>12</v>
      </c>
      <c r="G4416" s="62">
        <v>78534</v>
      </c>
      <c r="H4416" s="25">
        <v>44.91</v>
      </c>
      <c r="I4416">
        <v>952750</v>
      </c>
      <c r="J4416">
        <v>157264</v>
      </c>
      <c r="K4416">
        <v>1322</v>
      </c>
      <c r="L4416">
        <v>1322</v>
      </c>
      <c r="M4416">
        <v>0</v>
      </c>
      <c r="N4416" s="23">
        <v>0</v>
      </c>
      <c r="O4416">
        <f t="shared" si="923"/>
        <v>1</v>
      </c>
      <c r="P4416" s="57">
        <f t="shared" si="924"/>
        <v>2</v>
      </c>
      <c r="Q4416" s="267">
        <f t="shared" si="925"/>
        <v>87428.5</v>
      </c>
      <c r="R4416" s="23">
        <f t="shared" si="926"/>
        <v>75148</v>
      </c>
      <c r="S4416" s="23">
        <f t="shared" si="927"/>
        <v>20607</v>
      </c>
      <c r="T4416" s="23">
        <f t="shared" si="928"/>
        <v>54541</v>
      </c>
      <c r="U4416" t="str">
        <f t="shared" si="929"/>
        <v>PA_Alleg_2019p~Dem-judge of the superior court (vote for 2)</v>
      </c>
      <c r="W4416" s="40"/>
      <c r="X4416" s="72"/>
      <c r="Y4416" s="40"/>
      <c r="AC4416" s="9"/>
      <c r="AD4416" s="9"/>
      <c r="AE4416" s="9"/>
      <c r="AF4416" s="22"/>
      <c r="AL4416" s="344"/>
    </row>
    <row r="4417" spans="1:34">
      <c r="A4417" t="str">
        <f t="shared" si="930"/>
        <v>PA_Alleg_2019p~Dem-judge of the superior court (vote for 2)</v>
      </c>
      <c r="B4417" s="55" t="s">
        <v>1291</v>
      </c>
      <c r="C4417">
        <v>1</v>
      </c>
      <c r="D4417" s="55" t="s">
        <v>10</v>
      </c>
      <c r="E4417" s="55" t="s">
        <v>11</v>
      </c>
      <c r="F4417" t="s">
        <v>12</v>
      </c>
      <c r="G4417" s="62">
        <v>75148</v>
      </c>
      <c r="H4417" s="25">
        <v>42.98</v>
      </c>
      <c r="I4417">
        <v>952750</v>
      </c>
      <c r="J4417">
        <v>157264</v>
      </c>
      <c r="K4417">
        <v>1322</v>
      </c>
      <c r="L4417">
        <v>1322</v>
      </c>
      <c r="M4417">
        <v>0</v>
      </c>
      <c r="N4417" s="23">
        <v>0</v>
      </c>
      <c r="O4417">
        <f t="shared" si="923"/>
        <v>2</v>
      </c>
      <c r="P4417" s="57">
        <f t="shared" si="924"/>
        <v>2</v>
      </c>
      <c r="Q4417" s="267">
        <f t="shared" si="925"/>
        <v>96323</v>
      </c>
      <c r="R4417" s="23">
        <f t="shared" si="926"/>
        <v>75148</v>
      </c>
      <c r="S4417" s="23">
        <f t="shared" si="927"/>
        <v>20607</v>
      </c>
      <c r="T4417" s="23" t="str">
        <f t="shared" si="928"/>
        <v/>
      </c>
      <c r="U4417" t="str">
        <f t="shared" si="929"/>
        <v/>
      </c>
      <c r="W4417" s="40"/>
      <c r="X4417" s="72"/>
      <c r="Y4417" s="40"/>
      <c r="AC4417" s="9"/>
      <c r="AD4417" s="9"/>
      <c r="AE4417" s="9"/>
      <c r="AF4417" s="22"/>
    </row>
    <row r="4418" spans="1:34">
      <c r="A4418" t="str">
        <f t="shared" si="930"/>
        <v>PA_Alleg_2019p~Dem-judge of the superior court (vote for 2)</v>
      </c>
      <c r="B4418" s="55" t="s">
        <v>1291</v>
      </c>
      <c r="C4418">
        <v>2</v>
      </c>
      <c r="D4418" s="55" t="s">
        <v>10</v>
      </c>
      <c r="E4418" s="55" t="s">
        <v>13</v>
      </c>
      <c r="F4418" t="s">
        <v>12</v>
      </c>
      <c r="G4418" s="62">
        <v>20607</v>
      </c>
      <c r="H4418" s="25">
        <v>11.79</v>
      </c>
      <c r="I4418">
        <v>952750</v>
      </c>
      <c r="J4418">
        <v>157264</v>
      </c>
      <c r="K4418">
        <v>1322</v>
      </c>
      <c r="L4418">
        <v>1322</v>
      </c>
      <c r="M4418">
        <v>0</v>
      </c>
      <c r="N4418" s="23">
        <v>0</v>
      </c>
      <c r="O4418">
        <f t="shared" ref="O4418:O4481" si="931">IF(OR(LOWER(LEFT(E4418,8))="write-in",LOWER(LEFT(E4418,8))="not qual"),IF(A4418=A4417,-ABS(O4417),0),IF(A4418=A4417,ABS(O4417)+1,1))</f>
        <v>3</v>
      </c>
      <c r="P4418" s="57">
        <f t="shared" ref="P4418:P4481" si="932">1*LEFT(RIGHT(A4418,2),1)</f>
        <v>2</v>
      </c>
      <c r="Q4418" s="267">
        <f t="shared" ref="Q4418:Q4481" si="933">IF(A4418&lt;&gt;A4419,G4418,IF(A4418=A4417,G4418+Q4419,MAX(G4418,(G4418+Q4419)/P4418)))</f>
        <v>21175</v>
      </c>
      <c r="R4418" s="23" t="str">
        <f t="shared" ref="R4418:R4481" si="934">IF(O4418&gt;P4418,"",IF(O4418=P4418,G4418,IF(A4418=A4419,R4419,IF(O4418&lt;=0,1,G4418))))</f>
        <v/>
      </c>
      <c r="S4418" s="23">
        <f t="shared" ref="S4418:S4481" si="935">IF(AND(O4418&gt;P4418,LOWER(LEFT(E4418,8))&lt;&gt;"write-in",LOWER(LEFT(E4418,8))&lt;&gt;"not qual"),G4418,IF(A4418=A4419,S4419,0))</f>
        <v>20607</v>
      </c>
      <c r="T4418" s="23" t="str">
        <f t="shared" ref="T4418:T4481" si="936">IF(OR(A4418=A4417,S4418=0),"",R4418-ABS(S4418))</f>
        <v/>
      </c>
      <c r="U4418" t="str">
        <f t="shared" ref="U4418:U4481" si="937">IF(A4418=A4417,"",A4418)</f>
        <v/>
      </c>
      <c r="W4418" s="40"/>
      <c r="X4418" s="72"/>
      <c r="Y4418" s="40"/>
      <c r="AC4418" s="9"/>
      <c r="AD4418" s="9"/>
      <c r="AE4418" s="9"/>
      <c r="AF4418" s="22"/>
      <c r="AG4418" s="23"/>
      <c r="AH4418" s="8"/>
    </row>
    <row r="4419" spans="1:34">
      <c r="A4419" t="str">
        <f t="shared" ref="A4419:A4482" si="938">CONCATENATE(B4419,"~",F4419,"-",LOWER(D4419))</f>
        <v>PA_Alleg_2019p~Dem-judge of the superior court (vote for 2)</v>
      </c>
      <c r="B4419" s="55" t="s">
        <v>1291</v>
      </c>
      <c r="C4419">
        <v>4</v>
      </c>
      <c r="D4419" s="55" t="s">
        <v>10</v>
      </c>
      <c r="E4419" s="55" t="s">
        <v>15</v>
      </c>
      <c r="F4419" t="s">
        <v>12</v>
      </c>
      <c r="G4419" s="62">
        <v>568</v>
      </c>
      <c r="H4419" s="25">
        <v>0.32</v>
      </c>
      <c r="I4419">
        <v>952750</v>
      </c>
      <c r="J4419">
        <v>157264</v>
      </c>
      <c r="K4419">
        <v>1322</v>
      </c>
      <c r="L4419">
        <v>1322</v>
      </c>
      <c r="M4419">
        <v>0</v>
      </c>
      <c r="N4419" s="23">
        <v>0</v>
      </c>
      <c r="O4419">
        <f t="shared" si="931"/>
        <v>-3</v>
      </c>
      <c r="P4419" s="57">
        <f t="shared" si="932"/>
        <v>2</v>
      </c>
      <c r="Q4419" s="267">
        <f t="shared" si="933"/>
        <v>568</v>
      </c>
      <c r="R4419" s="23">
        <f t="shared" si="934"/>
        <v>1</v>
      </c>
      <c r="S4419" s="23">
        <f t="shared" si="935"/>
        <v>0</v>
      </c>
      <c r="T4419" s="23" t="str">
        <f t="shared" si="936"/>
        <v/>
      </c>
      <c r="U4419" t="str">
        <f t="shared" si="937"/>
        <v/>
      </c>
      <c r="W4419" s="40"/>
      <c r="X4419" s="72"/>
      <c r="Y4419" s="40"/>
      <c r="AC4419" s="9"/>
      <c r="AD4419" s="9"/>
      <c r="AE4419" s="9"/>
      <c r="AF4419" s="88"/>
    </row>
    <row r="4420" spans="1:34">
      <c r="A4420" t="str">
        <f t="shared" si="938"/>
        <v>PA_Alleg_2019p~Dem-magisterial district judge 05-02-13 (vote for 1)</v>
      </c>
      <c r="B4420" s="55" t="s">
        <v>1291</v>
      </c>
      <c r="C4420">
        <v>72</v>
      </c>
      <c r="D4420" s="55" t="s">
        <v>83</v>
      </c>
      <c r="E4420" s="55" t="s">
        <v>84</v>
      </c>
      <c r="F4420" t="s">
        <v>12</v>
      </c>
      <c r="G4420" s="62">
        <v>1724</v>
      </c>
      <c r="H4420" s="25">
        <v>99.48</v>
      </c>
      <c r="I4420">
        <v>12636</v>
      </c>
      <c r="J4420">
        <v>2295</v>
      </c>
      <c r="K4420">
        <v>32</v>
      </c>
      <c r="L4420">
        <v>32</v>
      </c>
      <c r="M4420">
        <v>0</v>
      </c>
      <c r="N4420" s="23">
        <v>0</v>
      </c>
      <c r="O4420">
        <f t="shared" si="931"/>
        <v>1</v>
      </c>
      <c r="P4420" s="57">
        <f t="shared" si="932"/>
        <v>1</v>
      </c>
      <c r="Q4420" s="267">
        <f t="shared" si="933"/>
        <v>1733</v>
      </c>
      <c r="R4420" s="23">
        <f t="shared" si="934"/>
        <v>1724</v>
      </c>
      <c r="S4420" s="23">
        <f t="shared" si="935"/>
        <v>0</v>
      </c>
      <c r="T4420" s="23" t="str">
        <f t="shared" si="936"/>
        <v/>
      </c>
      <c r="U4420" t="str">
        <f t="shared" si="937"/>
        <v>PA_Alleg_2019p~Dem-magisterial district judge 05-02-13 (vote for 1)</v>
      </c>
      <c r="W4420" s="40"/>
      <c r="X4420" s="72"/>
      <c r="Y4420" s="40"/>
      <c r="AC4420" s="9"/>
      <c r="AD4420" s="9"/>
      <c r="AE4420" s="9"/>
      <c r="AF4420" s="22"/>
    </row>
    <row r="4421" spans="1:34">
      <c r="A4421" t="str">
        <f t="shared" si="938"/>
        <v>PA_Alleg_2019p~Dem-magisterial district judge 05-02-13 (vote for 1)</v>
      </c>
      <c r="B4421" s="55" t="s">
        <v>1291</v>
      </c>
      <c r="C4421">
        <v>73</v>
      </c>
      <c r="D4421" s="55" t="s">
        <v>83</v>
      </c>
      <c r="E4421" s="55" t="s">
        <v>15</v>
      </c>
      <c r="F4421" t="s">
        <v>12</v>
      </c>
      <c r="G4421" s="62">
        <v>9</v>
      </c>
      <c r="H4421" s="25">
        <v>0.52</v>
      </c>
      <c r="I4421">
        <v>12636</v>
      </c>
      <c r="J4421">
        <v>2295</v>
      </c>
      <c r="K4421">
        <v>32</v>
      </c>
      <c r="L4421">
        <v>32</v>
      </c>
      <c r="M4421">
        <v>0</v>
      </c>
      <c r="N4421" s="23">
        <v>0</v>
      </c>
      <c r="O4421">
        <f t="shared" si="931"/>
        <v>-1</v>
      </c>
      <c r="P4421" s="57">
        <f t="shared" si="932"/>
        <v>1</v>
      </c>
      <c r="Q4421" s="267">
        <f t="shared" si="933"/>
        <v>9</v>
      </c>
      <c r="R4421" s="23">
        <f t="shared" si="934"/>
        <v>1</v>
      </c>
      <c r="S4421" s="23">
        <f t="shared" si="935"/>
        <v>0</v>
      </c>
      <c r="T4421" s="23" t="str">
        <f t="shared" si="936"/>
        <v/>
      </c>
      <c r="U4421" t="str">
        <f t="shared" si="937"/>
        <v/>
      </c>
      <c r="W4421" s="40"/>
      <c r="X4421" s="72"/>
      <c r="Y4421" s="40"/>
      <c r="AC4421" s="9"/>
      <c r="AD4421" s="9"/>
      <c r="AE4421" s="9"/>
      <c r="AF4421" s="22"/>
    </row>
    <row r="4422" spans="1:34">
      <c r="A4422" t="str">
        <f t="shared" si="938"/>
        <v>PA_Alleg_2019p~Dem-magisterial district judge 05-02-14 (vote for 1)</v>
      </c>
      <c r="B4422" s="55" t="s">
        <v>1291</v>
      </c>
      <c r="C4422">
        <v>74</v>
      </c>
      <c r="D4422" s="55" t="s">
        <v>85</v>
      </c>
      <c r="E4422" s="55" t="s">
        <v>86</v>
      </c>
      <c r="F4422" t="s">
        <v>12</v>
      </c>
      <c r="G4422" s="62">
        <v>2734</v>
      </c>
      <c r="H4422" s="25">
        <v>99.2</v>
      </c>
      <c r="I4422">
        <v>17703</v>
      </c>
      <c r="J4422">
        <v>3761</v>
      </c>
      <c r="K4422">
        <v>29</v>
      </c>
      <c r="L4422">
        <v>29</v>
      </c>
      <c r="M4422">
        <v>0</v>
      </c>
      <c r="N4422" s="23">
        <v>0</v>
      </c>
      <c r="O4422">
        <f t="shared" si="931"/>
        <v>1</v>
      </c>
      <c r="P4422" s="57">
        <f t="shared" si="932"/>
        <v>1</v>
      </c>
      <c r="Q4422" s="267">
        <f t="shared" si="933"/>
        <v>2756</v>
      </c>
      <c r="R4422" s="23">
        <f t="shared" si="934"/>
        <v>2734</v>
      </c>
      <c r="S4422" s="23">
        <f t="shared" si="935"/>
        <v>0</v>
      </c>
      <c r="T4422" s="23" t="str">
        <f t="shared" si="936"/>
        <v/>
      </c>
      <c r="U4422" t="str">
        <f t="shared" si="937"/>
        <v>PA_Alleg_2019p~Dem-magisterial district judge 05-02-14 (vote for 1)</v>
      </c>
      <c r="W4422" s="40"/>
      <c r="X4422" s="72"/>
      <c r="Y4422" s="40"/>
      <c r="AC4422" s="9"/>
      <c r="AD4422" s="9"/>
      <c r="AE4422" s="9"/>
      <c r="AF4422" s="22"/>
    </row>
    <row r="4423" spans="1:34">
      <c r="A4423" t="str">
        <f t="shared" si="938"/>
        <v>PA_Alleg_2019p~Dem-magisterial district judge 05-02-14 (vote for 1)</v>
      </c>
      <c r="B4423" s="55" t="s">
        <v>1291</v>
      </c>
      <c r="C4423">
        <v>75</v>
      </c>
      <c r="D4423" s="55" t="s">
        <v>85</v>
      </c>
      <c r="E4423" s="55" t="s">
        <v>15</v>
      </c>
      <c r="F4423" t="s">
        <v>12</v>
      </c>
      <c r="G4423" s="62">
        <v>22</v>
      </c>
      <c r="H4423" s="25">
        <v>0.8</v>
      </c>
      <c r="I4423">
        <v>17703</v>
      </c>
      <c r="J4423">
        <v>3761</v>
      </c>
      <c r="K4423">
        <v>29</v>
      </c>
      <c r="L4423">
        <v>29</v>
      </c>
      <c r="M4423">
        <v>0</v>
      </c>
      <c r="N4423" s="23">
        <v>0</v>
      </c>
      <c r="O4423">
        <f t="shared" si="931"/>
        <v>-1</v>
      </c>
      <c r="P4423" s="57">
        <f t="shared" si="932"/>
        <v>1</v>
      </c>
      <c r="Q4423" s="267">
        <f t="shared" si="933"/>
        <v>22</v>
      </c>
      <c r="R4423" s="23">
        <f t="shared" si="934"/>
        <v>1</v>
      </c>
      <c r="S4423" s="23">
        <f t="shared" si="935"/>
        <v>0</v>
      </c>
      <c r="T4423" s="23" t="str">
        <f t="shared" si="936"/>
        <v/>
      </c>
      <c r="U4423" t="str">
        <f t="shared" si="937"/>
        <v/>
      </c>
      <c r="W4423" s="40"/>
      <c r="X4423" s="72"/>
      <c r="Y4423" s="40"/>
      <c r="AC4423" s="9"/>
      <c r="AD4423" s="9"/>
      <c r="AE4423" s="9"/>
      <c r="AF4423" s="22"/>
    </row>
    <row r="4424" spans="1:34">
      <c r="A4424" t="str">
        <f t="shared" si="938"/>
        <v>PA_Alleg_2019p~Dem-magisterial district judge 05-02-25 (vote for 1)</v>
      </c>
      <c r="B4424" s="55" t="s">
        <v>1291</v>
      </c>
      <c r="C4424">
        <v>76</v>
      </c>
      <c r="D4424" s="55" t="s">
        <v>87</v>
      </c>
      <c r="E4424" s="55" t="s">
        <v>88</v>
      </c>
      <c r="F4424" t="s">
        <v>12</v>
      </c>
      <c r="G4424" s="62">
        <v>1183</v>
      </c>
      <c r="H4424" s="25">
        <v>45.48</v>
      </c>
      <c r="I4424">
        <v>25729</v>
      </c>
      <c r="J4424">
        <v>4363</v>
      </c>
      <c r="K4424">
        <v>25</v>
      </c>
      <c r="L4424">
        <v>25</v>
      </c>
      <c r="M4424">
        <v>0</v>
      </c>
      <c r="N4424" s="23">
        <v>0</v>
      </c>
      <c r="O4424">
        <f t="shared" si="931"/>
        <v>1</v>
      </c>
      <c r="P4424" s="57">
        <f t="shared" si="932"/>
        <v>1</v>
      </c>
      <c r="Q4424" s="267">
        <f t="shared" si="933"/>
        <v>2601</v>
      </c>
      <c r="R4424" s="23">
        <f t="shared" si="934"/>
        <v>1183</v>
      </c>
      <c r="S4424" s="23">
        <f t="shared" si="935"/>
        <v>843</v>
      </c>
      <c r="T4424" s="23">
        <f t="shared" si="936"/>
        <v>340</v>
      </c>
      <c r="U4424" t="str">
        <f t="shared" si="937"/>
        <v>PA_Alleg_2019p~Dem-magisterial district judge 05-02-25 (vote for 1)</v>
      </c>
      <c r="W4424" s="40"/>
      <c r="X4424" s="72"/>
      <c r="Y4424" s="40"/>
      <c r="AC4424" s="9"/>
      <c r="AD4424" s="9"/>
      <c r="AE4424" s="9"/>
      <c r="AF4424" s="22"/>
    </row>
    <row r="4425" spans="1:34">
      <c r="A4425" t="str">
        <f t="shared" si="938"/>
        <v>PA_Alleg_2019p~Dem-magisterial district judge 05-02-25 (vote for 1)</v>
      </c>
      <c r="B4425" s="55" t="s">
        <v>1291</v>
      </c>
      <c r="C4425">
        <v>78</v>
      </c>
      <c r="D4425" s="55" t="s">
        <v>87</v>
      </c>
      <c r="E4425" s="55" t="s">
        <v>90</v>
      </c>
      <c r="F4425" t="s">
        <v>12</v>
      </c>
      <c r="G4425" s="62">
        <v>843</v>
      </c>
      <c r="H4425" s="25">
        <v>32.409999999999997</v>
      </c>
      <c r="I4425">
        <v>25729</v>
      </c>
      <c r="J4425">
        <v>4363</v>
      </c>
      <c r="K4425">
        <v>25</v>
      </c>
      <c r="L4425">
        <v>25</v>
      </c>
      <c r="M4425">
        <v>0</v>
      </c>
      <c r="N4425" s="23">
        <v>0</v>
      </c>
      <c r="O4425">
        <f t="shared" si="931"/>
        <v>2</v>
      </c>
      <c r="P4425" s="57">
        <f t="shared" si="932"/>
        <v>1</v>
      </c>
      <c r="Q4425" s="267">
        <f t="shared" si="933"/>
        <v>1418</v>
      </c>
      <c r="R4425" s="23" t="str">
        <f t="shared" si="934"/>
        <v/>
      </c>
      <c r="S4425" s="23">
        <f t="shared" si="935"/>
        <v>843</v>
      </c>
      <c r="T4425" s="23" t="str">
        <f t="shared" si="936"/>
        <v/>
      </c>
      <c r="U4425" t="str">
        <f t="shared" si="937"/>
        <v/>
      </c>
      <c r="W4425" s="40"/>
      <c r="X4425" s="72"/>
      <c r="Y4425" s="40"/>
      <c r="AC4425" s="9"/>
      <c r="AD4425" s="9"/>
      <c r="AE4425" s="9"/>
      <c r="AF4425" s="22"/>
    </row>
    <row r="4426" spans="1:34">
      <c r="A4426" t="str">
        <f t="shared" si="938"/>
        <v>PA_Alleg_2019p~Dem-magisterial district judge 05-02-25 (vote for 1)</v>
      </c>
      <c r="B4426" s="55" t="s">
        <v>1291</v>
      </c>
      <c r="C4426">
        <v>77</v>
      </c>
      <c r="D4426" s="55" t="s">
        <v>87</v>
      </c>
      <c r="E4426" s="55" t="s">
        <v>89</v>
      </c>
      <c r="F4426" t="s">
        <v>12</v>
      </c>
      <c r="G4426" s="62">
        <v>570</v>
      </c>
      <c r="H4426" s="25">
        <v>21.91</v>
      </c>
      <c r="I4426">
        <v>25729</v>
      </c>
      <c r="J4426">
        <v>4363</v>
      </c>
      <c r="K4426">
        <v>25</v>
      </c>
      <c r="L4426">
        <v>25</v>
      </c>
      <c r="M4426">
        <v>0</v>
      </c>
      <c r="N4426" s="23">
        <v>0</v>
      </c>
      <c r="O4426">
        <f t="shared" si="931"/>
        <v>3</v>
      </c>
      <c r="P4426" s="57">
        <f t="shared" si="932"/>
        <v>1</v>
      </c>
      <c r="Q4426" s="267">
        <f t="shared" si="933"/>
        <v>575</v>
      </c>
      <c r="R4426" s="23" t="str">
        <f t="shared" si="934"/>
        <v/>
      </c>
      <c r="S4426" s="23">
        <f t="shared" si="935"/>
        <v>570</v>
      </c>
      <c r="T4426" s="23" t="str">
        <f t="shared" si="936"/>
        <v/>
      </c>
      <c r="U4426" t="str">
        <f t="shared" si="937"/>
        <v/>
      </c>
      <c r="W4426" s="40"/>
      <c r="X4426" s="72"/>
      <c r="Y4426" s="40"/>
      <c r="AC4426" s="9"/>
      <c r="AD4426" s="9"/>
      <c r="AE4426" s="9"/>
      <c r="AF4426" s="22"/>
    </row>
    <row r="4427" spans="1:34">
      <c r="A4427" t="str">
        <f t="shared" si="938"/>
        <v>PA_Alleg_2019p~Dem-magisterial district judge 05-02-25 (vote for 1)</v>
      </c>
      <c r="B4427" s="55" t="s">
        <v>1291</v>
      </c>
      <c r="C4427">
        <v>79</v>
      </c>
      <c r="D4427" s="55" t="s">
        <v>87</v>
      </c>
      <c r="E4427" s="55" t="s">
        <v>15</v>
      </c>
      <c r="F4427" t="s">
        <v>12</v>
      </c>
      <c r="G4427" s="62">
        <v>5</v>
      </c>
      <c r="H4427" s="25">
        <v>0.19</v>
      </c>
      <c r="I4427">
        <v>25729</v>
      </c>
      <c r="J4427">
        <v>4363</v>
      </c>
      <c r="K4427">
        <v>25</v>
      </c>
      <c r="L4427">
        <v>25</v>
      </c>
      <c r="M4427">
        <v>0</v>
      </c>
      <c r="N4427" s="23">
        <v>0</v>
      </c>
      <c r="O4427">
        <f t="shared" si="931"/>
        <v>-3</v>
      </c>
      <c r="P4427" s="57">
        <f t="shared" si="932"/>
        <v>1</v>
      </c>
      <c r="Q4427" s="267">
        <f t="shared" si="933"/>
        <v>5</v>
      </c>
      <c r="R4427" s="23">
        <f t="shared" si="934"/>
        <v>1</v>
      </c>
      <c r="S4427" s="23">
        <f t="shared" si="935"/>
        <v>0</v>
      </c>
      <c r="T4427" s="23" t="str">
        <f t="shared" si="936"/>
        <v/>
      </c>
      <c r="U4427" t="str">
        <f t="shared" si="937"/>
        <v/>
      </c>
      <c r="W4427" s="40"/>
      <c r="X4427" s="72"/>
      <c r="Y4427" s="40"/>
      <c r="AC4427" s="9"/>
      <c r="AD4427" s="9"/>
      <c r="AE4427" s="9"/>
      <c r="AF4427" s="22"/>
    </row>
    <row r="4428" spans="1:34">
      <c r="A4428" t="str">
        <f t="shared" si="938"/>
        <v>PA_Alleg_2019p~Dem-magisterial district judge 05-02-26 (vote for 1)</v>
      </c>
      <c r="B4428" s="55" t="s">
        <v>1291</v>
      </c>
      <c r="C4428">
        <v>80</v>
      </c>
      <c r="D4428" s="55" t="s">
        <v>91</v>
      </c>
      <c r="E4428" s="55" t="s">
        <v>92</v>
      </c>
      <c r="F4428" t="s">
        <v>12</v>
      </c>
      <c r="G4428" s="62">
        <v>1239</v>
      </c>
      <c r="H4428" s="25">
        <v>99.12</v>
      </c>
      <c r="I4428">
        <v>12699</v>
      </c>
      <c r="J4428">
        <v>2309</v>
      </c>
      <c r="K4428">
        <v>17</v>
      </c>
      <c r="L4428">
        <v>17</v>
      </c>
      <c r="M4428">
        <v>0</v>
      </c>
      <c r="N4428" s="23">
        <v>0</v>
      </c>
      <c r="O4428">
        <f t="shared" si="931"/>
        <v>1</v>
      </c>
      <c r="P4428" s="57">
        <f t="shared" si="932"/>
        <v>1</v>
      </c>
      <c r="Q4428" s="267">
        <f t="shared" si="933"/>
        <v>1250</v>
      </c>
      <c r="R4428" s="23">
        <f t="shared" si="934"/>
        <v>1239</v>
      </c>
      <c r="S4428" s="23">
        <f t="shared" si="935"/>
        <v>0</v>
      </c>
      <c r="T4428" s="23" t="str">
        <f t="shared" si="936"/>
        <v/>
      </c>
      <c r="U4428" t="str">
        <f t="shared" si="937"/>
        <v>PA_Alleg_2019p~Dem-magisterial district judge 05-02-26 (vote for 1)</v>
      </c>
      <c r="W4428" s="40"/>
      <c r="X4428" s="72"/>
      <c r="Y4428" s="40"/>
      <c r="AC4428" s="9"/>
      <c r="AD4428" s="9"/>
      <c r="AE4428" s="9"/>
      <c r="AF4428" s="22"/>
    </row>
    <row r="4429" spans="1:34">
      <c r="A4429" t="str">
        <f t="shared" si="938"/>
        <v>PA_Alleg_2019p~Dem-magisterial district judge 05-02-26 (vote for 1)</v>
      </c>
      <c r="B4429" s="55" t="s">
        <v>1291</v>
      </c>
      <c r="C4429">
        <v>81</v>
      </c>
      <c r="D4429" s="55" t="s">
        <v>91</v>
      </c>
      <c r="E4429" s="55" t="s">
        <v>15</v>
      </c>
      <c r="F4429" t="s">
        <v>12</v>
      </c>
      <c r="G4429" s="62">
        <v>11</v>
      </c>
      <c r="H4429" s="25">
        <v>0.88</v>
      </c>
      <c r="I4429">
        <v>12699</v>
      </c>
      <c r="J4429">
        <v>2309</v>
      </c>
      <c r="K4429">
        <v>17</v>
      </c>
      <c r="L4429">
        <v>17</v>
      </c>
      <c r="M4429">
        <v>0</v>
      </c>
      <c r="N4429" s="23">
        <v>0</v>
      </c>
      <c r="O4429">
        <f t="shared" si="931"/>
        <v>-1</v>
      </c>
      <c r="P4429" s="57">
        <f t="shared" si="932"/>
        <v>1</v>
      </c>
      <c r="Q4429" s="267">
        <f t="shared" si="933"/>
        <v>11</v>
      </c>
      <c r="R4429" s="23">
        <f t="shared" si="934"/>
        <v>1</v>
      </c>
      <c r="S4429" s="23">
        <f t="shared" si="935"/>
        <v>0</v>
      </c>
      <c r="T4429" s="23" t="str">
        <f t="shared" si="936"/>
        <v/>
      </c>
      <c r="U4429" t="str">
        <f t="shared" si="937"/>
        <v/>
      </c>
      <c r="W4429" s="40"/>
      <c r="X4429" s="72"/>
      <c r="Y4429" s="40"/>
      <c r="AC4429" s="9"/>
      <c r="AD4429" s="9"/>
      <c r="AE4429" s="9"/>
      <c r="AF4429" s="22"/>
    </row>
    <row r="4430" spans="1:34">
      <c r="A4430" t="str">
        <f t="shared" si="938"/>
        <v>PA_Alleg_2019p~Dem-magisterial district judge 05-02-28 (vote for 1)</v>
      </c>
      <c r="B4430" s="55" t="s">
        <v>1291</v>
      </c>
      <c r="C4430">
        <v>83</v>
      </c>
      <c r="D4430" s="55" t="s">
        <v>93</v>
      </c>
      <c r="E4430" s="55" t="s">
        <v>95</v>
      </c>
      <c r="F4430" t="s">
        <v>12</v>
      </c>
      <c r="G4430" s="62">
        <v>1432</v>
      </c>
      <c r="H4430" s="25">
        <v>70.400000000000006</v>
      </c>
      <c r="I4430">
        <v>17331</v>
      </c>
      <c r="J4430">
        <v>2147</v>
      </c>
      <c r="K4430">
        <v>27</v>
      </c>
      <c r="L4430">
        <v>27</v>
      </c>
      <c r="M4430">
        <v>0</v>
      </c>
      <c r="N4430" s="23">
        <v>0</v>
      </c>
      <c r="O4430">
        <f t="shared" si="931"/>
        <v>1</v>
      </c>
      <c r="P4430" s="57">
        <f t="shared" si="932"/>
        <v>1</v>
      </c>
      <c r="Q4430" s="267">
        <f t="shared" si="933"/>
        <v>2034</v>
      </c>
      <c r="R4430" s="23">
        <f t="shared" si="934"/>
        <v>1432</v>
      </c>
      <c r="S4430" s="23">
        <f t="shared" si="935"/>
        <v>594</v>
      </c>
      <c r="T4430" s="23">
        <f t="shared" si="936"/>
        <v>838</v>
      </c>
      <c r="U4430" t="str">
        <f t="shared" si="937"/>
        <v>PA_Alleg_2019p~Dem-magisterial district judge 05-02-28 (vote for 1)</v>
      </c>
      <c r="W4430" s="40"/>
      <c r="X4430" s="72"/>
      <c r="Y4430" s="40"/>
      <c r="AC4430" s="9"/>
      <c r="AD4430" s="9"/>
      <c r="AE4430" s="9"/>
      <c r="AF4430" s="22"/>
    </row>
    <row r="4431" spans="1:34">
      <c r="A4431" t="str">
        <f t="shared" si="938"/>
        <v>PA_Alleg_2019p~Dem-magisterial district judge 05-02-28 (vote for 1)</v>
      </c>
      <c r="B4431" s="55" t="s">
        <v>1291</v>
      </c>
      <c r="C4431">
        <v>82</v>
      </c>
      <c r="D4431" s="55" t="s">
        <v>93</v>
      </c>
      <c r="E4431" s="55" t="s">
        <v>94</v>
      </c>
      <c r="F4431" t="s">
        <v>12</v>
      </c>
      <c r="G4431" s="62">
        <v>594</v>
      </c>
      <c r="H4431" s="25">
        <v>29.2</v>
      </c>
      <c r="I4431">
        <v>17331</v>
      </c>
      <c r="J4431">
        <v>2147</v>
      </c>
      <c r="K4431">
        <v>27</v>
      </c>
      <c r="L4431">
        <v>27</v>
      </c>
      <c r="M4431">
        <v>0</v>
      </c>
      <c r="N4431" s="23">
        <v>0</v>
      </c>
      <c r="O4431">
        <f t="shared" si="931"/>
        <v>2</v>
      </c>
      <c r="P4431" s="57">
        <f t="shared" si="932"/>
        <v>1</v>
      </c>
      <c r="Q4431" s="267">
        <f t="shared" si="933"/>
        <v>602</v>
      </c>
      <c r="R4431" s="23" t="str">
        <f t="shared" si="934"/>
        <v/>
      </c>
      <c r="S4431" s="23">
        <f t="shared" si="935"/>
        <v>594</v>
      </c>
      <c r="T4431" s="23" t="str">
        <f t="shared" si="936"/>
        <v/>
      </c>
      <c r="U4431" t="str">
        <f t="shared" si="937"/>
        <v/>
      </c>
      <c r="W4431" s="40"/>
      <c r="X4431" s="72"/>
      <c r="Y4431" s="40"/>
      <c r="AC4431" s="9"/>
      <c r="AD4431" s="9"/>
      <c r="AE4431" s="9"/>
      <c r="AF4431" s="22"/>
    </row>
    <row r="4432" spans="1:34">
      <c r="A4432" t="str">
        <f t="shared" si="938"/>
        <v>PA_Alleg_2019p~Dem-magisterial district judge 05-02-28 (vote for 1)</v>
      </c>
      <c r="B4432" s="55" t="s">
        <v>1291</v>
      </c>
      <c r="C4432">
        <v>84</v>
      </c>
      <c r="D4432" s="55" t="s">
        <v>93</v>
      </c>
      <c r="E4432" s="55" t="s">
        <v>15</v>
      </c>
      <c r="F4432" t="s">
        <v>12</v>
      </c>
      <c r="G4432" s="62">
        <v>8</v>
      </c>
      <c r="H4432" s="25">
        <v>0.39</v>
      </c>
      <c r="I4432">
        <v>17331</v>
      </c>
      <c r="J4432">
        <v>2147</v>
      </c>
      <c r="K4432">
        <v>27</v>
      </c>
      <c r="L4432">
        <v>27</v>
      </c>
      <c r="M4432">
        <v>0</v>
      </c>
      <c r="N4432" s="23">
        <v>0</v>
      </c>
      <c r="O4432">
        <f t="shared" si="931"/>
        <v>-2</v>
      </c>
      <c r="P4432" s="57">
        <f t="shared" si="932"/>
        <v>1</v>
      </c>
      <c r="Q4432" s="267">
        <f t="shared" si="933"/>
        <v>8</v>
      </c>
      <c r="R4432" s="23">
        <f t="shared" si="934"/>
        <v>1</v>
      </c>
      <c r="S4432" s="23">
        <f t="shared" si="935"/>
        <v>0</v>
      </c>
      <c r="T4432" s="23" t="str">
        <f t="shared" si="936"/>
        <v/>
      </c>
      <c r="U4432" t="str">
        <f t="shared" si="937"/>
        <v/>
      </c>
      <c r="W4432" s="40"/>
      <c r="X4432" s="72"/>
      <c r="Y4432" s="40"/>
      <c r="AC4432" s="9"/>
      <c r="AD4432" s="9"/>
      <c r="AE4432" s="9"/>
      <c r="AF4432" s="22"/>
    </row>
    <row r="4433" spans="1:38">
      <c r="A4433" t="str">
        <f t="shared" si="938"/>
        <v>PA_Alleg_2019p~Dem-magisterial district judge 05-03-17 (vote for 1)</v>
      </c>
      <c r="B4433" s="55" t="s">
        <v>1291</v>
      </c>
      <c r="C4433">
        <v>85</v>
      </c>
      <c r="D4433" s="55" t="s">
        <v>96</v>
      </c>
      <c r="E4433" s="55" t="s">
        <v>97</v>
      </c>
      <c r="F4433" t="s">
        <v>12</v>
      </c>
      <c r="G4433" s="62">
        <v>951</v>
      </c>
      <c r="H4433" s="25">
        <v>99.58</v>
      </c>
      <c r="I4433">
        <v>16477</v>
      </c>
      <c r="J4433">
        <v>1801</v>
      </c>
      <c r="K4433">
        <v>11</v>
      </c>
      <c r="L4433">
        <v>11</v>
      </c>
      <c r="M4433">
        <v>0</v>
      </c>
      <c r="N4433" s="23">
        <v>0</v>
      </c>
      <c r="O4433">
        <f t="shared" si="931"/>
        <v>1</v>
      </c>
      <c r="P4433" s="57">
        <f t="shared" si="932"/>
        <v>1</v>
      </c>
      <c r="Q4433" s="267">
        <f t="shared" si="933"/>
        <v>955</v>
      </c>
      <c r="R4433" s="23">
        <f t="shared" si="934"/>
        <v>951</v>
      </c>
      <c r="S4433" s="23">
        <f t="shared" si="935"/>
        <v>0</v>
      </c>
      <c r="T4433" s="23" t="str">
        <f t="shared" si="936"/>
        <v/>
      </c>
      <c r="U4433" t="str">
        <f t="shared" si="937"/>
        <v>PA_Alleg_2019p~Dem-magisterial district judge 05-03-17 (vote for 1)</v>
      </c>
      <c r="W4433" s="40"/>
      <c r="X4433" s="72"/>
      <c r="Y4433" s="40"/>
      <c r="AC4433" s="9"/>
      <c r="AD4433" s="9"/>
      <c r="AE4433" s="9"/>
      <c r="AF4433" s="22"/>
    </row>
    <row r="4434" spans="1:38">
      <c r="A4434" t="str">
        <f t="shared" si="938"/>
        <v>PA_Alleg_2019p~Dem-magisterial district judge 05-03-17 (vote for 1)</v>
      </c>
      <c r="B4434" s="55" t="s">
        <v>1291</v>
      </c>
      <c r="C4434">
        <v>86</v>
      </c>
      <c r="D4434" s="55" t="s">
        <v>96</v>
      </c>
      <c r="E4434" s="55" t="s">
        <v>15</v>
      </c>
      <c r="F4434" t="s">
        <v>12</v>
      </c>
      <c r="G4434" s="62">
        <v>4</v>
      </c>
      <c r="H4434" s="25">
        <v>0.42</v>
      </c>
      <c r="I4434">
        <v>16477</v>
      </c>
      <c r="J4434">
        <v>1801</v>
      </c>
      <c r="K4434">
        <v>11</v>
      </c>
      <c r="L4434">
        <v>11</v>
      </c>
      <c r="M4434">
        <v>0</v>
      </c>
      <c r="N4434" s="23">
        <v>0</v>
      </c>
      <c r="O4434">
        <f t="shared" si="931"/>
        <v>-1</v>
      </c>
      <c r="P4434" s="57">
        <f t="shared" si="932"/>
        <v>1</v>
      </c>
      <c r="Q4434" s="267">
        <f t="shared" si="933"/>
        <v>4</v>
      </c>
      <c r="R4434" s="23">
        <f t="shared" si="934"/>
        <v>1</v>
      </c>
      <c r="S4434" s="23">
        <f t="shared" si="935"/>
        <v>0</v>
      </c>
      <c r="T4434" s="23" t="str">
        <f t="shared" si="936"/>
        <v/>
      </c>
      <c r="U4434" t="str">
        <f t="shared" si="937"/>
        <v/>
      </c>
      <c r="W4434" s="40"/>
      <c r="X4434" s="72"/>
      <c r="Y4434" s="40"/>
      <c r="AC4434" s="9"/>
      <c r="AD4434" s="9"/>
      <c r="AE4434" s="9"/>
      <c r="AF4434" s="22"/>
    </row>
    <row r="4435" spans="1:38">
      <c r="A4435" t="str">
        <f t="shared" si="938"/>
        <v>PA_Alleg_2019p~Dem-mayor aspinwall (vote for 1)</v>
      </c>
      <c r="B4435" s="55" t="s">
        <v>1291</v>
      </c>
      <c r="C4435">
        <v>470</v>
      </c>
      <c r="D4435" s="55" t="s">
        <v>470</v>
      </c>
      <c r="E4435" s="55" t="s">
        <v>15</v>
      </c>
      <c r="F4435" t="s">
        <v>12</v>
      </c>
      <c r="G4435" s="62">
        <v>33</v>
      </c>
      <c r="H4435" s="25">
        <v>100</v>
      </c>
      <c r="I4435">
        <v>2364</v>
      </c>
      <c r="J4435">
        <v>497</v>
      </c>
      <c r="K4435">
        <v>3</v>
      </c>
      <c r="L4435">
        <v>3</v>
      </c>
      <c r="M4435">
        <v>0</v>
      </c>
      <c r="N4435" s="23">
        <v>0</v>
      </c>
      <c r="O4435">
        <f t="shared" si="931"/>
        <v>0</v>
      </c>
      <c r="P4435" s="57">
        <f t="shared" si="932"/>
        <v>1</v>
      </c>
      <c r="Q4435" s="267">
        <f t="shared" si="933"/>
        <v>33</v>
      </c>
      <c r="R4435" s="23">
        <f t="shared" si="934"/>
        <v>1</v>
      </c>
      <c r="S4435" s="23">
        <f t="shared" si="935"/>
        <v>0</v>
      </c>
      <c r="T4435" s="23" t="str">
        <f t="shared" si="936"/>
        <v/>
      </c>
      <c r="U4435" t="str">
        <f t="shared" si="937"/>
        <v>PA_Alleg_2019p~Dem-mayor aspinwall (vote for 1)</v>
      </c>
      <c r="W4435" s="40"/>
      <c r="X4435" s="72"/>
      <c r="Y4435" s="40"/>
      <c r="AC4435" s="9"/>
      <c r="AD4435" s="9"/>
      <c r="AE4435" s="9"/>
      <c r="AF4435" s="22"/>
    </row>
    <row r="4436" spans="1:38">
      <c r="A4436" t="str">
        <f t="shared" si="938"/>
        <v>PA_Alleg_2019p~Dem-mayor bell acres (vote for 1)</v>
      </c>
      <c r="B4436" s="55" t="s">
        <v>1291</v>
      </c>
      <c r="C4436">
        <v>471</v>
      </c>
      <c r="D4436" s="55" t="s">
        <v>471</v>
      </c>
      <c r="E4436" s="55" t="s">
        <v>472</v>
      </c>
      <c r="F4436" t="s">
        <v>12</v>
      </c>
      <c r="G4436" s="62">
        <v>82</v>
      </c>
      <c r="H4436" s="25">
        <v>98.8</v>
      </c>
      <c r="I4436">
        <v>1167</v>
      </c>
      <c r="J4436">
        <v>162</v>
      </c>
      <c r="K4436">
        <v>1</v>
      </c>
      <c r="L4436">
        <v>1</v>
      </c>
      <c r="M4436">
        <v>0</v>
      </c>
      <c r="N4436" s="23">
        <v>0</v>
      </c>
      <c r="O4436">
        <f t="shared" si="931"/>
        <v>1</v>
      </c>
      <c r="P4436" s="57">
        <f t="shared" si="932"/>
        <v>1</v>
      </c>
      <c r="Q4436" s="267">
        <f t="shared" si="933"/>
        <v>83</v>
      </c>
      <c r="R4436" s="23">
        <f t="shared" si="934"/>
        <v>82</v>
      </c>
      <c r="S4436" s="23">
        <f t="shared" si="935"/>
        <v>0</v>
      </c>
      <c r="T4436" s="23" t="str">
        <f t="shared" si="936"/>
        <v/>
      </c>
      <c r="U4436" t="str">
        <f t="shared" si="937"/>
        <v>PA_Alleg_2019p~Dem-mayor bell acres (vote for 1)</v>
      </c>
      <c r="W4436" s="40"/>
      <c r="X4436" s="72"/>
      <c r="Y4436" s="40"/>
      <c r="AC4436" s="9"/>
      <c r="AD4436" s="9"/>
      <c r="AE4436" s="9"/>
      <c r="AF4436" s="22"/>
    </row>
    <row r="4437" spans="1:38">
      <c r="A4437" t="str">
        <f t="shared" si="938"/>
        <v>PA_Alleg_2019p~Dem-mayor bell acres (vote for 1)</v>
      </c>
      <c r="B4437" s="55" t="s">
        <v>1291</v>
      </c>
      <c r="C4437">
        <v>472</v>
      </c>
      <c r="D4437" s="55" t="s">
        <v>471</v>
      </c>
      <c r="E4437" s="55" t="s">
        <v>15</v>
      </c>
      <c r="F4437" t="s">
        <v>12</v>
      </c>
      <c r="G4437" s="62">
        <v>1</v>
      </c>
      <c r="H4437" s="25">
        <v>1.2</v>
      </c>
      <c r="I4437">
        <v>1167</v>
      </c>
      <c r="J4437">
        <v>162</v>
      </c>
      <c r="K4437">
        <v>1</v>
      </c>
      <c r="L4437">
        <v>1</v>
      </c>
      <c r="M4437">
        <v>0</v>
      </c>
      <c r="N4437" s="23">
        <v>0</v>
      </c>
      <c r="O4437">
        <f t="shared" si="931"/>
        <v>-1</v>
      </c>
      <c r="P4437" s="57">
        <f t="shared" si="932"/>
        <v>1</v>
      </c>
      <c r="Q4437" s="267">
        <f t="shared" si="933"/>
        <v>1</v>
      </c>
      <c r="R4437" s="23">
        <f t="shared" si="934"/>
        <v>1</v>
      </c>
      <c r="S4437" s="23">
        <f t="shared" si="935"/>
        <v>0</v>
      </c>
      <c r="T4437" s="23" t="str">
        <f t="shared" si="936"/>
        <v/>
      </c>
      <c r="U4437" t="str">
        <f t="shared" si="937"/>
        <v/>
      </c>
      <c r="W4437" s="40"/>
      <c r="X4437" s="72"/>
      <c r="Y4437" s="40"/>
      <c r="AC4437" s="9"/>
      <c r="AD4437" s="9"/>
      <c r="AE4437" s="9"/>
      <c r="AF4437" s="22"/>
    </row>
    <row r="4438" spans="1:38">
      <c r="A4438" t="str">
        <f t="shared" si="938"/>
        <v>PA_Alleg_2019p~Dem-mayor braddock (vote for 1)</v>
      </c>
      <c r="B4438" s="55" t="s">
        <v>1291</v>
      </c>
      <c r="C4438">
        <v>474</v>
      </c>
      <c r="D4438" s="55" t="s">
        <v>473</v>
      </c>
      <c r="E4438" s="55" t="s">
        <v>475</v>
      </c>
      <c r="F4438" t="s">
        <v>12</v>
      </c>
      <c r="G4438" s="62">
        <v>141</v>
      </c>
      <c r="H4438" s="25">
        <v>50.72</v>
      </c>
      <c r="I4438">
        <v>1698</v>
      </c>
      <c r="J4438">
        <v>298</v>
      </c>
      <c r="K4438">
        <v>3</v>
      </c>
      <c r="L4438">
        <v>3</v>
      </c>
      <c r="M4438">
        <v>0</v>
      </c>
      <c r="N4438" s="23">
        <v>0</v>
      </c>
      <c r="O4438">
        <f t="shared" si="931"/>
        <v>1</v>
      </c>
      <c r="P4438" s="57">
        <f t="shared" si="932"/>
        <v>1</v>
      </c>
      <c r="Q4438" s="267">
        <f t="shared" si="933"/>
        <v>278</v>
      </c>
      <c r="R4438" s="23">
        <f t="shared" si="934"/>
        <v>141</v>
      </c>
      <c r="S4438" s="23">
        <f t="shared" si="935"/>
        <v>103</v>
      </c>
      <c r="T4438" s="23">
        <f t="shared" si="936"/>
        <v>38</v>
      </c>
      <c r="U4438" t="str">
        <f t="shared" si="937"/>
        <v>PA_Alleg_2019p~Dem-mayor braddock (vote for 1)</v>
      </c>
      <c r="W4438" s="40"/>
      <c r="X4438" s="72"/>
      <c r="Y4438" s="40"/>
      <c r="AC4438" s="9"/>
      <c r="AD4438" s="9"/>
      <c r="AE4438" s="9"/>
      <c r="AF4438" s="22"/>
    </row>
    <row r="4439" spans="1:38">
      <c r="A4439" t="str">
        <f t="shared" si="938"/>
        <v>PA_Alleg_2019p~Dem-mayor braddock (vote for 1)</v>
      </c>
      <c r="B4439" s="55" t="s">
        <v>1291</v>
      </c>
      <c r="C4439">
        <v>473</v>
      </c>
      <c r="D4439" s="55" t="s">
        <v>473</v>
      </c>
      <c r="E4439" s="55" t="s">
        <v>474</v>
      </c>
      <c r="F4439" t="s">
        <v>12</v>
      </c>
      <c r="G4439" s="62">
        <v>103</v>
      </c>
      <c r="H4439" s="25">
        <v>37.049999999999997</v>
      </c>
      <c r="I4439">
        <v>1698</v>
      </c>
      <c r="J4439">
        <v>298</v>
      </c>
      <c r="K4439">
        <v>3</v>
      </c>
      <c r="L4439">
        <v>3</v>
      </c>
      <c r="M4439">
        <v>0</v>
      </c>
      <c r="N4439" s="23">
        <v>0</v>
      </c>
      <c r="O4439">
        <f t="shared" si="931"/>
        <v>2</v>
      </c>
      <c r="P4439" s="57">
        <f t="shared" si="932"/>
        <v>1</v>
      </c>
      <c r="Q4439" s="267">
        <f t="shared" si="933"/>
        <v>137</v>
      </c>
      <c r="R4439" s="23" t="str">
        <f t="shared" si="934"/>
        <v/>
      </c>
      <c r="S4439" s="23">
        <f t="shared" si="935"/>
        <v>103</v>
      </c>
      <c r="T4439" s="23" t="str">
        <f t="shared" si="936"/>
        <v/>
      </c>
      <c r="U4439" t="str">
        <f t="shared" si="937"/>
        <v/>
      </c>
      <c r="W4439" s="40"/>
      <c r="X4439" s="72"/>
      <c r="Y4439" s="40"/>
      <c r="AC4439" s="9"/>
      <c r="AD4439" s="9"/>
      <c r="AE4439" s="9"/>
      <c r="AF4439" s="22"/>
    </row>
    <row r="4440" spans="1:38">
      <c r="A4440" t="str">
        <f t="shared" si="938"/>
        <v>PA_Alleg_2019p~Dem-mayor braddock (vote for 1)</v>
      </c>
      <c r="B4440" s="55" t="s">
        <v>1291</v>
      </c>
      <c r="C4440">
        <v>475</v>
      </c>
      <c r="D4440" s="55" t="s">
        <v>473</v>
      </c>
      <c r="E4440" s="55" t="s">
        <v>476</v>
      </c>
      <c r="F4440" t="s">
        <v>12</v>
      </c>
      <c r="G4440" s="62">
        <v>34</v>
      </c>
      <c r="H4440" s="25">
        <v>12.23</v>
      </c>
      <c r="I4440">
        <v>1698</v>
      </c>
      <c r="J4440">
        <v>298</v>
      </c>
      <c r="K4440">
        <v>3</v>
      </c>
      <c r="L4440">
        <v>3</v>
      </c>
      <c r="M4440">
        <v>0</v>
      </c>
      <c r="N4440" s="23">
        <v>0</v>
      </c>
      <c r="O4440">
        <f t="shared" si="931"/>
        <v>3</v>
      </c>
      <c r="P4440" s="57">
        <f t="shared" si="932"/>
        <v>1</v>
      </c>
      <c r="Q4440" s="267">
        <f t="shared" si="933"/>
        <v>34</v>
      </c>
      <c r="R4440" s="23" t="str">
        <f t="shared" si="934"/>
        <v/>
      </c>
      <c r="S4440" s="23">
        <f t="shared" si="935"/>
        <v>34</v>
      </c>
      <c r="T4440" s="23" t="str">
        <f t="shared" si="936"/>
        <v/>
      </c>
      <c r="U4440" t="str">
        <f t="shared" si="937"/>
        <v/>
      </c>
      <c r="W4440" s="40"/>
      <c r="X4440" s="72"/>
      <c r="Y4440" s="40"/>
      <c r="AC4440" s="9"/>
      <c r="AD4440" s="9"/>
      <c r="AE4440" s="9"/>
      <c r="AF4440" s="22"/>
      <c r="AG4440" s="302"/>
      <c r="AH4440" s="301"/>
      <c r="AI4440" s="303"/>
      <c r="AJ4440" s="303"/>
      <c r="AK4440" s="342"/>
      <c r="AL4440" s="343"/>
    </row>
    <row r="4441" spans="1:38">
      <c r="A4441" t="str">
        <f t="shared" si="938"/>
        <v>PA_Alleg_2019p~Dem-mayor braddock (vote for 1)</v>
      </c>
      <c r="B4441" s="55" t="s">
        <v>1291</v>
      </c>
      <c r="C4441">
        <v>476</v>
      </c>
      <c r="D4441" s="55" t="s">
        <v>473</v>
      </c>
      <c r="E4441" s="55" t="s">
        <v>15</v>
      </c>
      <c r="F4441" t="s">
        <v>12</v>
      </c>
      <c r="G4441" s="62">
        <v>0</v>
      </c>
      <c r="H4441" s="25">
        <v>0</v>
      </c>
      <c r="I4441">
        <v>1698</v>
      </c>
      <c r="J4441">
        <v>298</v>
      </c>
      <c r="K4441">
        <v>3</v>
      </c>
      <c r="L4441">
        <v>3</v>
      </c>
      <c r="M4441">
        <v>0</v>
      </c>
      <c r="N4441" s="23">
        <v>0</v>
      </c>
      <c r="O4441">
        <f t="shared" si="931"/>
        <v>-3</v>
      </c>
      <c r="P4441" s="57">
        <f t="shared" si="932"/>
        <v>1</v>
      </c>
      <c r="Q4441" s="267">
        <f t="shared" si="933"/>
        <v>0</v>
      </c>
      <c r="R4441" s="23">
        <f t="shared" si="934"/>
        <v>1</v>
      </c>
      <c r="S4441" s="23">
        <f t="shared" si="935"/>
        <v>0</v>
      </c>
      <c r="T4441" s="23" t="str">
        <f t="shared" si="936"/>
        <v/>
      </c>
      <c r="U4441" t="str">
        <f t="shared" si="937"/>
        <v/>
      </c>
      <c r="W4441" s="40"/>
      <c r="X4441" s="72"/>
      <c r="Y4441" s="40"/>
      <c r="AC4441" s="9"/>
      <c r="AD4441" s="9"/>
      <c r="AE4441" s="9"/>
      <c r="AF4441" s="22"/>
    </row>
    <row r="4442" spans="1:38">
      <c r="A4442" t="str">
        <f t="shared" si="938"/>
        <v>PA_Alleg_2019p~Dem-mayor bradford woods (vote for 1)</v>
      </c>
      <c r="B4442" s="55" t="s">
        <v>1291</v>
      </c>
      <c r="C4442">
        <v>477</v>
      </c>
      <c r="D4442" s="55" t="s">
        <v>477</v>
      </c>
      <c r="E4442" s="55" t="s">
        <v>15</v>
      </c>
      <c r="F4442" t="s">
        <v>12</v>
      </c>
      <c r="G4442" s="62">
        <v>10</v>
      </c>
      <c r="H4442" s="25">
        <v>100</v>
      </c>
      <c r="I4442">
        <v>1027</v>
      </c>
      <c r="J4442">
        <v>207</v>
      </c>
      <c r="K4442">
        <v>1</v>
      </c>
      <c r="L4442">
        <v>1</v>
      </c>
      <c r="M4442">
        <v>0</v>
      </c>
      <c r="N4442" s="23">
        <v>0</v>
      </c>
      <c r="O4442">
        <f t="shared" si="931"/>
        <v>0</v>
      </c>
      <c r="P4442" s="57">
        <f t="shared" si="932"/>
        <v>1</v>
      </c>
      <c r="Q4442" s="267">
        <f t="shared" si="933"/>
        <v>10</v>
      </c>
      <c r="R4442" s="23">
        <f t="shared" si="934"/>
        <v>1</v>
      </c>
      <c r="S4442" s="23">
        <f t="shared" si="935"/>
        <v>0</v>
      </c>
      <c r="T4442" s="23" t="str">
        <f t="shared" si="936"/>
        <v/>
      </c>
      <c r="U4442" t="str">
        <f t="shared" si="937"/>
        <v>PA_Alleg_2019p~Dem-mayor bradford woods (vote for 1)</v>
      </c>
      <c r="W4442" s="40"/>
      <c r="X4442" s="72"/>
      <c r="Y4442" s="40"/>
      <c r="AC4442" s="9"/>
      <c r="AD4442" s="9"/>
      <c r="AE4442" s="9"/>
      <c r="AF4442" s="22"/>
    </row>
    <row r="4443" spans="1:38">
      <c r="A4443" t="str">
        <f t="shared" si="938"/>
        <v>PA_Alleg_2019p~Dem-mayor mcdonald (vote for 1)</v>
      </c>
      <c r="B4443" s="55" t="s">
        <v>1291</v>
      </c>
      <c r="C4443">
        <v>479</v>
      </c>
      <c r="D4443" s="55" t="s">
        <v>478</v>
      </c>
      <c r="E4443" s="55" t="s">
        <v>480</v>
      </c>
      <c r="F4443" t="s">
        <v>12</v>
      </c>
      <c r="G4443" s="62">
        <v>23</v>
      </c>
      <c r="H4443" s="25">
        <v>76.67</v>
      </c>
      <c r="I4443">
        <v>220</v>
      </c>
      <c r="J4443">
        <v>47</v>
      </c>
      <c r="K4443">
        <v>1</v>
      </c>
      <c r="L4443">
        <v>1</v>
      </c>
      <c r="M4443">
        <v>0</v>
      </c>
      <c r="N4443" s="23">
        <v>0</v>
      </c>
      <c r="O4443">
        <f t="shared" si="931"/>
        <v>1</v>
      </c>
      <c r="P4443" s="57">
        <f t="shared" si="932"/>
        <v>1</v>
      </c>
      <c r="Q4443" s="267">
        <f t="shared" si="933"/>
        <v>30</v>
      </c>
      <c r="R4443" s="23">
        <f t="shared" si="934"/>
        <v>23</v>
      </c>
      <c r="S4443" s="23">
        <f t="shared" si="935"/>
        <v>7</v>
      </c>
      <c r="T4443" s="23">
        <f t="shared" si="936"/>
        <v>16</v>
      </c>
      <c r="U4443" t="str">
        <f t="shared" si="937"/>
        <v>PA_Alleg_2019p~Dem-mayor mcdonald (vote for 1)</v>
      </c>
      <c r="W4443" s="40"/>
      <c r="X4443" s="72"/>
      <c r="Y4443" s="40"/>
      <c r="AC4443" s="9"/>
      <c r="AD4443" s="9"/>
      <c r="AE4443" s="9"/>
      <c r="AF4443" s="22"/>
      <c r="AL4443" s="344"/>
    </row>
    <row r="4444" spans="1:38">
      <c r="A4444" t="str">
        <f t="shared" si="938"/>
        <v>PA_Alleg_2019p~Dem-mayor mcdonald (vote for 1)</v>
      </c>
      <c r="B4444" s="55" t="s">
        <v>1291</v>
      </c>
      <c r="C4444">
        <v>478</v>
      </c>
      <c r="D4444" s="55" t="s">
        <v>478</v>
      </c>
      <c r="E4444" s="55" t="s">
        <v>479</v>
      </c>
      <c r="F4444" t="s">
        <v>12</v>
      </c>
      <c r="G4444" s="62">
        <v>7</v>
      </c>
      <c r="H4444" s="25">
        <v>23.33</v>
      </c>
      <c r="I4444">
        <v>220</v>
      </c>
      <c r="J4444">
        <v>47</v>
      </c>
      <c r="K4444">
        <v>1</v>
      </c>
      <c r="L4444">
        <v>1</v>
      </c>
      <c r="M4444">
        <v>0</v>
      </c>
      <c r="N4444" s="23">
        <v>0</v>
      </c>
      <c r="O4444">
        <f t="shared" si="931"/>
        <v>2</v>
      </c>
      <c r="P4444" s="57">
        <f t="shared" si="932"/>
        <v>1</v>
      </c>
      <c r="Q4444" s="267">
        <f t="shared" si="933"/>
        <v>7</v>
      </c>
      <c r="R4444" s="23" t="str">
        <f t="shared" si="934"/>
        <v/>
      </c>
      <c r="S4444" s="23">
        <f t="shared" si="935"/>
        <v>7</v>
      </c>
      <c r="T4444" s="23" t="str">
        <f t="shared" si="936"/>
        <v/>
      </c>
      <c r="U4444" t="str">
        <f t="shared" si="937"/>
        <v/>
      </c>
      <c r="W4444" s="40"/>
      <c r="X4444" s="72"/>
      <c r="Y4444" s="40"/>
      <c r="AC4444" s="9"/>
      <c r="AD4444" s="9"/>
      <c r="AE4444" s="9"/>
      <c r="AF4444" s="22"/>
    </row>
    <row r="4445" spans="1:38">
      <c r="A4445" t="str">
        <f t="shared" si="938"/>
        <v>PA_Alleg_2019p~Dem-mayor mcdonald (vote for 1)</v>
      </c>
      <c r="B4445" s="55" t="s">
        <v>1291</v>
      </c>
      <c r="C4445">
        <v>480</v>
      </c>
      <c r="D4445" s="55" t="s">
        <v>478</v>
      </c>
      <c r="E4445" s="55" t="s">
        <v>15</v>
      </c>
      <c r="F4445" t="s">
        <v>12</v>
      </c>
      <c r="G4445" s="62">
        <v>0</v>
      </c>
      <c r="H4445" s="25">
        <v>0</v>
      </c>
      <c r="I4445">
        <v>220</v>
      </c>
      <c r="J4445">
        <v>47</v>
      </c>
      <c r="K4445">
        <v>1</v>
      </c>
      <c r="L4445">
        <v>1</v>
      </c>
      <c r="M4445">
        <v>0</v>
      </c>
      <c r="N4445" s="23">
        <v>0</v>
      </c>
      <c r="O4445">
        <f t="shared" si="931"/>
        <v>-2</v>
      </c>
      <c r="P4445" s="57">
        <f t="shared" si="932"/>
        <v>1</v>
      </c>
      <c r="Q4445" s="267">
        <f t="shared" si="933"/>
        <v>0</v>
      </c>
      <c r="R4445" s="23">
        <f t="shared" si="934"/>
        <v>1</v>
      </c>
      <c r="S4445" s="23">
        <f t="shared" si="935"/>
        <v>0</v>
      </c>
      <c r="T4445" s="23" t="str">
        <f t="shared" si="936"/>
        <v/>
      </c>
      <c r="U4445" t="str">
        <f t="shared" si="937"/>
        <v/>
      </c>
      <c r="W4445" s="40"/>
      <c r="X4445" s="72"/>
      <c r="Y4445" s="40"/>
      <c r="AC4445" s="9"/>
      <c r="AD4445" s="9"/>
      <c r="AE4445" s="9"/>
      <c r="AF4445" s="22"/>
    </row>
    <row r="4446" spans="1:38">
      <c r="A4446" t="str">
        <f t="shared" si="938"/>
        <v>PA_Alleg_2019p~Dem-mayor mckeesport (vote for 1)</v>
      </c>
      <c r="B4446" s="55" t="s">
        <v>1291</v>
      </c>
      <c r="C4446">
        <v>465</v>
      </c>
      <c r="D4446" s="55" t="s">
        <v>465</v>
      </c>
      <c r="E4446" s="55" t="s">
        <v>466</v>
      </c>
      <c r="F4446" t="s">
        <v>12</v>
      </c>
      <c r="G4446" s="62">
        <v>1557</v>
      </c>
      <c r="H4446" s="25">
        <v>95.17</v>
      </c>
      <c r="I4446">
        <v>12636</v>
      </c>
      <c r="J4446">
        <v>2295</v>
      </c>
      <c r="K4446">
        <v>32</v>
      </c>
      <c r="L4446">
        <v>32</v>
      </c>
      <c r="M4446">
        <v>0</v>
      </c>
      <c r="N4446" s="23">
        <v>0</v>
      </c>
      <c r="O4446">
        <f t="shared" si="931"/>
        <v>1</v>
      </c>
      <c r="P4446" s="57">
        <f t="shared" si="932"/>
        <v>1</v>
      </c>
      <c r="Q4446" s="267">
        <f t="shared" si="933"/>
        <v>1636</v>
      </c>
      <c r="R4446" s="23">
        <f t="shared" si="934"/>
        <v>1557</v>
      </c>
      <c r="S4446" s="23">
        <f t="shared" si="935"/>
        <v>0</v>
      </c>
      <c r="T4446" s="23" t="str">
        <f t="shared" si="936"/>
        <v/>
      </c>
      <c r="U4446" t="str">
        <f t="shared" si="937"/>
        <v>PA_Alleg_2019p~Dem-mayor mckeesport (vote for 1)</v>
      </c>
      <c r="W4446" s="40"/>
      <c r="X4446" s="72"/>
      <c r="Y4446" s="40"/>
      <c r="AC4446" s="9"/>
      <c r="AD4446" s="9"/>
      <c r="AE4446" s="9"/>
      <c r="AF4446" s="22"/>
    </row>
    <row r="4447" spans="1:38">
      <c r="A4447" t="str">
        <f t="shared" si="938"/>
        <v>PA_Alleg_2019p~Dem-mayor mckeesport (vote for 1)</v>
      </c>
      <c r="B4447" s="55" t="s">
        <v>1291</v>
      </c>
      <c r="C4447">
        <v>466</v>
      </c>
      <c r="D4447" s="55" t="s">
        <v>465</v>
      </c>
      <c r="E4447" s="55" t="s">
        <v>15</v>
      </c>
      <c r="F4447" t="s">
        <v>12</v>
      </c>
      <c r="G4447" s="62">
        <v>79</v>
      </c>
      <c r="H4447" s="25">
        <v>4.83</v>
      </c>
      <c r="I4447">
        <v>12636</v>
      </c>
      <c r="J4447">
        <v>2295</v>
      </c>
      <c r="K4447">
        <v>32</v>
      </c>
      <c r="L4447">
        <v>32</v>
      </c>
      <c r="M4447">
        <v>0</v>
      </c>
      <c r="N4447" s="23">
        <v>0</v>
      </c>
      <c r="O4447">
        <f t="shared" si="931"/>
        <v>-1</v>
      </c>
      <c r="P4447" s="57">
        <f t="shared" si="932"/>
        <v>1</v>
      </c>
      <c r="Q4447" s="267">
        <f t="shared" si="933"/>
        <v>79</v>
      </c>
      <c r="R4447" s="23">
        <f t="shared" si="934"/>
        <v>1</v>
      </c>
      <c r="S4447" s="23">
        <f t="shared" si="935"/>
        <v>0</v>
      </c>
      <c r="T4447" s="23" t="str">
        <f t="shared" si="936"/>
        <v/>
      </c>
      <c r="U4447" t="str">
        <f t="shared" si="937"/>
        <v/>
      </c>
      <c r="W4447" s="40"/>
      <c r="X4447" s="72"/>
      <c r="Y4447" s="40"/>
      <c r="AC4447" s="9"/>
      <c r="AD4447" s="9"/>
      <c r="AE4447" s="9"/>
      <c r="AF4447" s="22"/>
    </row>
    <row r="4448" spans="1:38">
      <c r="A4448" t="str">
        <f t="shared" si="938"/>
        <v>PA_Alleg_2019p~Dem-mayor penn hills (vote for 1)</v>
      </c>
      <c r="B4448" s="55" t="s">
        <v>1291</v>
      </c>
      <c r="C4448">
        <v>468</v>
      </c>
      <c r="D4448" s="55" t="s">
        <v>467</v>
      </c>
      <c r="E4448" s="55" t="s">
        <v>469</v>
      </c>
      <c r="F4448" t="s">
        <v>12</v>
      </c>
      <c r="G4448" s="62">
        <v>2503</v>
      </c>
      <c r="H4448" s="25">
        <v>52.62</v>
      </c>
      <c r="I4448">
        <v>32131</v>
      </c>
      <c r="J4448">
        <v>6084</v>
      </c>
      <c r="K4448">
        <v>50</v>
      </c>
      <c r="L4448">
        <v>50</v>
      </c>
      <c r="M4448">
        <v>0</v>
      </c>
      <c r="N4448" s="23">
        <v>0</v>
      </c>
      <c r="O4448">
        <f t="shared" si="931"/>
        <v>1</v>
      </c>
      <c r="P4448" s="57">
        <f t="shared" si="932"/>
        <v>1</v>
      </c>
      <c r="Q4448" s="267">
        <f t="shared" si="933"/>
        <v>4757</v>
      </c>
      <c r="R4448" s="23">
        <f t="shared" si="934"/>
        <v>2503</v>
      </c>
      <c r="S4448" s="23">
        <f t="shared" si="935"/>
        <v>2229</v>
      </c>
      <c r="T4448" s="23">
        <f t="shared" si="936"/>
        <v>274</v>
      </c>
      <c r="U4448" t="str">
        <f t="shared" si="937"/>
        <v>PA_Alleg_2019p~Dem-mayor penn hills (vote for 1)</v>
      </c>
      <c r="W4448" s="40"/>
      <c r="X4448" s="72"/>
      <c r="Y4448" s="40"/>
      <c r="AC4448" s="9"/>
      <c r="AD4448" s="9"/>
      <c r="AE4448" s="9"/>
      <c r="AF4448" s="22"/>
    </row>
    <row r="4449" spans="1:38">
      <c r="A4449" t="str">
        <f t="shared" si="938"/>
        <v>PA_Alleg_2019p~Dem-mayor penn hills (vote for 1)</v>
      </c>
      <c r="B4449" s="55" t="s">
        <v>1291</v>
      </c>
      <c r="C4449">
        <v>467</v>
      </c>
      <c r="D4449" s="55" t="s">
        <v>467</v>
      </c>
      <c r="E4449" s="55" t="s">
        <v>468</v>
      </c>
      <c r="F4449" t="s">
        <v>12</v>
      </c>
      <c r="G4449" s="62">
        <v>2229</v>
      </c>
      <c r="H4449" s="25">
        <v>46.86</v>
      </c>
      <c r="I4449">
        <v>32131</v>
      </c>
      <c r="J4449">
        <v>6084</v>
      </c>
      <c r="K4449">
        <v>50</v>
      </c>
      <c r="L4449">
        <v>50</v>
      </c>
      <c r="M4449">
        <v>0</v>
      </c>
      <c r="N4449" s="23">
        <v>0</v>
      </c>
      <c r="O4449">
        <f t="shared" si="931"/>
        <v>2</v>
      </c>
      <c r="P4449" s="57">
        <f t="shared" si="932"/>
        <v>1</v>
      </c>
      <c r="Q4449" s="267">
        <f t="shared" si="933"/>
        <v>2254</v>
      </c>
      <c r="R4449" s="23" t="str">
        <f t="shared" si="934"/>
        <v/>
      </c>
      <c r="S4449" s="23">
        <f t="shared" si="935"/>
        <v>2229</v>
      </c>
      <c r="T4449" s="23" t="str">
        <f t="shared" si="936"/>
        <v/>
      </c>
      <c r="U4449" t="str">
        <f t="shared" si="937"/>
        <v/>
      </c>
      <c r="W4449" s="40"/>
      <c r="X4449" s="72"/>
      <c r="Y4449" s="40"/>
      <c r="AC4449" s="9"/>
      <c r="AD4449" s="9"/>
      <c r="AE4449" s="9"/>
      <c r="AF4449" s="88"/>
    </row>
    <row r="4450" spans="1:38">
      <c r="A4450" t="str">
        <f t="shared" si="938"/>
        <v>PA_Alleg_2019p~Dem-mayor penn hills (vote for 1)</v>
      </c>
      <c r="B4450" s="55" t="s">
        <v>1291</v>
      </c>
      <c r="C4450">
        <v>469</v>
      </c>
      <c r="D4450" s="55" t="s">
        <v>467</v>
      </c>
      <c r="E4450" s="55" t="s">
        <v>15</v>
      </c>
      <c r="F4450" t="s">
        <v>12</v>
      </c>
      <c r="G4450" s="62">
        <v>25</v>
      </c>
      <c r="H4450" s="25">
        <v>0.53</v>
      </c>
      <c r="I4450">
        <v>32131</v>
      </c>
      <c r="J4450">
        <v>6084</v>
      </c>
      <c r="K4450">
        <v>50</v>
      </c>
      <c r="L4450">
        <v>50</v>
      </c>
      <c r="M4450">
        <v>0</v>
      </c>
      <c r="N4450" s="23">
        <v>0</v>
      </c>
      <c r="O4450">
        <f t="shared" si="931"/>
        <v>-2</v>
      </c>
      <c r="P4450" s="57">
        <f t="shared" si="932"/>
        <v>1</v>
      </c>
      <c r="Q4450" s="267">
        <f t="shared" si="933"/>
        <v>25</v>
      </c>
      <c r="R4450" s="23">
        <f t="shared" si="934"/>
        <v>1</v>
      </c>
      <c r="S4450" s="23">
        <f t="shared" si="935"/>
        <v>0</v>
      </c>
      <c r="T4450" s="23" t="str">
        <f t="shared" si="936"/>
        <v/>
      </c>
      <c r="U4450" t="str">
        <f t="shared" si="937"/>
        <v/>
      </c>
      <c r="W4450" s="40"/>
      <c r="X4450" s="72"/>
      <c r="Y4450" s="40"/>
      <c r="AC4450" s="9"/>
      <c r="AD4450" s="9"/>
      <c r="AE4450" s="9"/>
      <c r="AF4450" s="22"/>
      <c r="AG4450" s="302"/>
      <c r="AH4450" s="301"/>
      <c r="AI4450" s="303"/>
      <c r="AJ4450" s="303"/>
      <c r="AK4450" s="342"/>
      <c r="AL4450" s="343"/>
    </row>
    <row r="4451" spans="1:38">
      <c r="A4451" t="str">
        <f t="shared" si="938"/>
        <v>PA_Alleg_2019p~Dem-member of council aspinwall (vote for 1)</v>
      </c>
      <c r="B4451" s="55" t="s">
        <v>1291</v>
      </c>
      <c r="C4451">
        <v>933</v>
      </c>
      <c r="D4451" s="55" t="s">
        <v>911</v>
      </c>
      <c r="E4451" s="55" t="s">
        <v>691</v>
      </c>
      <c r="F4451" t="s">
        <v>12</v>
      </c>
      <c r="G4451" s="62">
        <v>156</v>
      </c>
      <c r="H4451" s="25">
        <v>56.12</v>
      </c>
      <c r="I4451">
        <v>2364</v>
      </c>
      <c r="J4451">
        <v>497</v>
      </c>
      <c r="K4451">
        <v>3</v>
      </c>
      <c r="L4451">
        <v>3</v>
      </c>
      <c r="M4451">
        <v>0</v>
      </c>
      <c r="N4451" s="23">
        <v>0</v>
      </c>
      <c r="O4451">
        <f t="shared" si="931"/>
        <v>1</v>
      </c>
      <c r="P4451" s="57">
        <f t="shared" si="932"/>
        <v>1</v>
      </c>
      <c r="Q4451" s="267">
        <f t="shared" si="933"/>
        <v>278</v>
      </c>
      <c r="R4451" s="23">
        <f t="shared" si="934"/>
        <v>156</v>
      </c>
      <c r="S4451" s="23">
        <f t="shared" si="935"/>
        <v>119</v>
      </c>
      <c r="T4451" s="23">
        <f t="shared" si="936"/>
        <v>37</v>
      </c>
      <c r="U4451" t="str">
        <f t="shared" si="937"/>
        <v>PA_Alleg_2019p~Dem-member of council aspinwall (vote for 1)</v>
      </c>
      <c r="W4451" s="40"/>
      <c r="X4451" s="72"/>
      <c r="Y4451" s="40"/>
      <c r="AC4451" s="9"/>
      <c r="AD4451" s="9"/>
      <c r="AE4451" s="9"/>
      <c r="AF4451" s="22"/>
      <c r="AG4451" s="23"/>
      <c r="AH4451" s="8"/>
      <c r="AL4451" s="344"/>
    </row>
    <row r="4452" spans="1:38">
      <c r="A4452" t="str">
        <f t="shared" si="938"/>
        <v>PA_Alleg_2019p~Dem-member of council aspinwall (vote for 1)</v>
      </c>
      <c r="B4452" s="55" t="s">
        <v>1291</v>
      </c>
      <c r="C4452">
        <v>934</v>
      </c>
      <c r="D4452" s="55" t="s">
        <v>911</v>
      </c>
      <c r="E4452" s="55" t="s">
        <v>692</v>
      </c>
      <c r="F4452" t="s">
        <v>12</v>
      </c>
      <c r="G4452" s="62">
        <v>119</v>
      </c>
      <c r="H4452" s="25">
        <v>42.81</v>
      </c>
      <c r="I4452">
        <v>2364</v>
      </c>
      <c r="J4452">
        <v>497</v>
      </c>
      <c r="K4452">
        <v>3</v>
      </c>
      <c r="L4452">
        <v>3</v>
      </c>
      <c r="M4452">
        <v>0</v>
      </c>
      <c r="N4452" s="23">
        <v>0</v>
      </c>
      <c r="O4452">
        <f t="shared" si="931"/>
        <v>2</v>
      </c>
      <c r="P4452" s="57">
        <f t="shared" si="932"/>
        <v>1</v>
      </c>
      <c r="Q4452" s="267">
        <f t="shared" si="933"/>
        <v>122</v>
      </c>
      <c r="R4452" s="23" t="str">
        <f t="shared" si="934"/>
        <v/>
      </c>
      <c r="S4452" s="23">
        <f t="shared" si="935"/>
        <v>119</v>
      </c>
      <c r="T4452" s="23" t="str">
        <f t="shared" si="936"/>
        <v/>
      </c>
      <c r="U4452" t="str">
        <f t="shared" si="937"/>
        <v/>
      </c>
      <c r="W4452" s="40"/>
      <c r="X4452" s="72"/>
      <c r="Y4452" s="40"/>
      <c r="AC4452" s="9"/>
      <c r="AD4452" s="9"/>
      <c r="AE4452" s="9"/>
      <c r="AF4452" s="22"/>
    </row>
    <row r="4453" spans="1:38">
      <c r="A4453" t="str">
        <f t="shared" si="938"/>
        <v>PA_Alleg_2019p~Dem-member of council aspinwall (vote for 1)</v>
      </c>
      <c r="B4453" s="55" t="s">
        <v>1291</v>
      </c>
      <c r="C4453">
        <v>935</v>
      </c>
      <c r="D4453" s="55" t="s">
        <v>911</v>
      </c>
      <c r="E4453" s="55" t="s">
        <v>15</v>
      </c>
      <c r="F4453" t="s">
        <v>12</v>
      </c>
      <c r="G4453" s="62">
        <v>3</v>
      </c>
      <c r="H4453" s="25">
        <v>1.08</v>
      </c>
      <c r="I4453">
        <v>2364</v>
      </c>
      <c r="J4453">
        <v>497</v>
      </c>
      <c r="K4453">
        <v>3</v>
      </c>
      <c r="L4453">
        <v>3</v>
      </c>
      <c r="M4453">
        <v>0</v>
      </c>
      <c r="N4453" s="23">
        <v>0</v>
      </c>
      <c r="O4453">
        <f t="shared" si="931"/>
        <v>-2</v>
      </c>
      <c r="P4453" s="57">
        <f t="shared" si="932"/>
        <v>1</v>
      </c>
      <c r="Q4453" s="267">
        <f t="shared" si="933"/>
        <v>3</v>
      </c>
      <c r="R4453" s="23">
        <f t="shared" si="934"/>
        <v>1</v>
      </c>
      <c r="S4453" s="23">
        <f t="shared" si="935"/>
        <v>0</v>
      </c>
      <c r="T4453" s="23" t="str">
        <f t="shared" si="936"/>
        <v/>
      </c>
      <c r="U4453" t="str">
        <f t="shared" si="937"/>
        <v/>
      </c>
      <c r="W4453" s="40"/>
      <c r="X4453" s="72"/>
      <c r="Y4453" s="40"/>
      <c r="AC4453" s="9"/>
      <c r="AD4453" s="9"/>
      <c r="AE4453" s="9"/>
      <c r="AF4453" s="22"/>
    </row>
    <row r="4454" spans="1:38">
      <c r="A4454" t="str">
        <f t="shared" si="938"/>
        <v>PA_Alleg_2019p~Dem-member of council aspinwall (vote for 3)</v>
      </c>
      <c r="B4454" s="55" t="s">
        <v>1291</v>
      </c>
      <c r="C4454">
        <v>711</v>
      </c>
      <c r="D4454" s="55" t="s">
        <v>690</v>
      </c>
      <c r="E4454" s="55" t="s">
        <v>691</v>
      </c>
      <c r="F4454" t="s">
        <v>12</v>
      </c>
      <c r="G4454" s="62">
        <v>245</v>
      </c>
      <c r="H4454" s="25">
        <v>51.47</v>
      </c>
      <c r="I4454">
        <v>2364</v>
      </c>
      <c r="J4454">
        <v>497</v>
      </c>
      <c r="K4454">
        <v>3</v>
      </c>
      <c r="L4454">
        <v>3</v>
      </c>
      <c r="M4454">
        <v>0</v>
      </c>
      <c r="N4454" s="23">
        <v>0</v>
      </c>
      <c r="O4454">
        <f t="shared" si="931"/>
        <v>1</v>
      </c>
      <c r="P4454" s="57">
        <f t="shared" si="932"/>
        <v>3</v>
      </c>
      <c r="Q4454" s="267">
        <f t="shared" si="933"/>
        <v>245</v>
      </c>
      <c r="R4454" s="23">
        <f t="shared" si="934"/>
        <v>1</v>
      </c>
      <c r="S4454" s="23">
        <f t="shared" si="935"/>
        <v>0</v>
      </c>
      <c r="T4454" s="23" t="str">
        <f t="shared" si="936"/>
        <v/>
      </c>
      <c r="U4454" t="str">
        <f t="shared" si="937"/>
        <v>PA_Alleg_2019p~Dem-member of council aspinwall (vote for 3)</v>
      </c>
      <c r="W4454" s="40"/>
      <c r="X4454" s="72"/>
      <c r="Y4454" s="40"/>
      <c r="AC4454" s="9"/>
      <c r="AD4454" s="9"/>
      <c r="AE4454" s="9"/>
      <c r="AF4454" s="22"/>
    </row>
    <row r="4455" spans="1:38">
      <c r="A4455" t="str">
        <f t="shared" si="938"/>
        <v>PA_Alleg_2019p~Dem-member of council aspinwall (vote for 3)</v>
      </c>
      <c r="B4455" s="55" t="s">
        <v>1291</v>
      </c>
      <c r="C4455">
        <v>712</v>
      </c>
      <c r="D4455" s="55" t="s">
        <v>690</v>
      </c>
      <c r="E4455" s="55" t="s">
        <v>692</v>
      </c>
      <c r="F4455" t="s">
        <v>12</v>
      </c>
      <c r="G4455" s="62">
        <v>215</v>
      </c>
      <c r="H4455" s="25">
        <v>45.17</v>
      </c>
      <c r="I4455">
        <v>2364</v>
      </c>
      <c r="J4455">
        <v>497</v>
      </c>
      <c r="K4455">
        <v>3</v>
      </c>
      <c r="L4455">
        <v>3</v>
      </c>
      <c r="M4455">
        <v>0</v>
      </c>
      <c r="N4455" s="23">
        <v>0</v>
      </c>
      <c r="O4455">
        <f t="shared" si="931"/>
        <v>2</v>
      </c>
      <c r="P4455" s="57">
        <f t="shared" si="932"/>
        <v>3</v>
      </c>
      <c r="Q4455" s="267">
        <f t="shared" si="933"/>
        <v>231</v>
      </c>
      <c r="R4455" s="23">
        <f t="shared" si="934"/>
        <v>1</v>
      </c>
      <c r="S4455" s="23">
        <f t="shared" si="935"/>
        <v>0</v>
      </c>
      <c r="T4455" s="23" t="str">
        <f t="shared" si="936"/>
        <v/>
      </c>
      <c r="U4455" t="str">
        <f t="shared" si="937"/>
        <v/>
      </c>
      <c r="W4455" s="40"/>
      <c r="X4455" s="72"/>
      <c r="Y4455" s="40"/>
      <c r="AC4455" s="9"/>
      <c r="AD4455" s="9"/>
      <c r="AE4455" s="9"/>
      <c r="AF4455" s="286"/>
    </row>
    <row r="4456" spans="1:38">
      <c r="A4456" t="str">
        <f t="shared" si="938"/>
        <v>PA_Alleg_2019p~Dem-member of council aspinwall (vote for 3)</v>
      </c>
      <c r="B4456" s="55" t="s">
        <v>1291</v>
      </c>
      <c r="C4456">
        <v>713</v>
      </c>
      <c r="D4456" s="55" t="s">
        <v>690</v>
      </c>
      <c r="E4456" s="55" t="s">
        <v>15</v>
      </c>
      <c r="F4456" t="s">
        <v>12</v>
      </c>
      <c r="G4456" s="62">
        <v>16</v>
      </c>
      <c r="H4456" s="25">
        <v>3.36</v>
      </c>
      <c r="I4456">
        <v>2364</v>
      </c>
      <c r="J4456">
        <v>497</v>
      </c>
      <c r="K4456">
        <v>3</v>
      </c>
      <c r="L4456">
        <v>3</v>
      </c>
      <c r="M4456">
        <v>0</v>
      </c>
      <c r="N4456" s="23">
        <v>0</v>
      </c>
      <c r="O4456">
        <f t="shared" si="931"/>
        <v>-2</v>
      </c>
      <c r="P4456" s="57">
        <f t="shared" si="932"/>
        <v>3</v>
      </c>
      <c r="Q4456" s="267">
        <f t="shared" si="933"/>
        <v>16</v>
      </c>
      <c r="R4456" s="23">
        <f t="shared" si="934"/>
        <v>1</v>
      </c>
      <c r="S4456" s="23">
        <f t="shared" si="935"/>
        <v>0</v>
      </c>
      <c r="T4456" s="23" t="str">
        <f t="shared" si="936"/>
        <v/>
      </c>
      <c r="U4456" t="str">
        <f t="shared" si="937"/>
        <v/>
      </c>
      <c r="W4456" s="40"/>
      <c r="X4456" s="72"/>
      <c r="Y4456" s="40"/>
      <c r="AC4456" s="9"/>
      <c r="AD4456" s="9"/>
      <c r="AE4456" s="9"/>
      <c r="AF4456" s="22"/>
    </row>
    <row r="4457" spans="1:38">
      <c r="A4457" t="str">
        <f t="shared" si="938"/>
        <v>PA_Alleg_2019p~Dem-member of council at-large east pittsburgh (vote for 2)</v>
      </c>
      <c r="B4457" s="55" t="s">
        <v>1291</v>
      </c>
      <c r="C4457">
        <v>671</v>
      </c>
      <c r="D4457" s="55" t="s">
        <v>650</v>
      </c>
      <c r="E4457" s="55" t="s">
        <v>651</v>
      </c>
      <c r="F4457" t="s">
        <v>12</v>
      </c>
      <c r="G4457" s="62">
        <v>107</v>
      </c>
      <c r="H4457" s="25">
        <v>30.48</v>
      </c>
      <c r="I4457">
        <v>1307</v>
      </c>
      <c r="J4457">
        <v>230</v>
      </c>
      <c r="K4457">
        <v>3</v>
      </c>
      <c r="L4457">
        <v>3</v>
      </c>
      <c r="M4457">
        <v>0</v>
      </c>
      <c r="N4457" s="23">
        <v>0</v>
      </c>
      <c r="O4457">
        <f t="shared" si="931"/>
        <v>1</v>
      </c>
      <c r="P4457" s="57">
        <f t="shared" si="932"/>
        <v>2</v>
      </c>
      <c r="Q4457" s="267">
        <f t="shared" si="933"/>
        <v>175.5</v>
      </c>
      <c r="R4457" s="23">
        <f t="shared" si="934"/>
        <v>107</v>
      </c>
      <c r="S4457" s="23">
        <f t="shared" si="935"/>
        <v>86</v>
      </c>
      <c r="T4457" s="23">
        <f t="shared" si="936"/>
        <v>21</v>
      </c>
      <c r="U4457" t="str">
        <f t="shared" si="937"/>
        <v>PA_Alleg_2019p~Dem-member of council at-large east pittsburgh (vote for 2)</v>
      </c>
      <c r="W4457" s="40"/>
      <c r="X4457" s="72"/>
      <c r="Y4457" s="40"/>
      <c r="AC4457" s="9"/>
      <c r="AD4457" s="9"/>
      <c r="AE4457" s="9"/>
      <c r="AF4457" s="22"/>
    </row>
    <row r="4458" spans="1:38">
      <c r="A4458" t="str">
        <f t="shared" si="938"/>
        <v>PA_Alleg_2019p~Dem-member of council at-large east pittsburgh (vote for 2)</v>
      </c>
      <c r="B4458" s="55" t="s">
        <v>1291</v>
      </c>
      <c r="C4458">
        <v>674</v>
      </c>
      <c r="D4458" s="55" t="s">
        <v>650</v>
      </c>
      <c r="E4458" s="55" t="s">
        <v>654</v>
      </c>
      <c r="F4458" t="s">
        <v>12</v>
      </c>
      <c r="G4458" s="62">
        <v>107</v>
      </c>
      <c r="H4458" s="25">
        <v>30.48</v>
      </c>
      <c r="I4458">
        <v>1307</v>
      </c>
      <c r="J4458">
        <v>230</v>
      </c>
      <c r="K4458">
        <v>3</v>
      </c>
      <c r="L4458">
        <v>3</v>
      </c>
      <c r="M4458">
        <v>0</v>
      </c>
      <c r="N4458" s="23">
        <v>0</v>
      </c>
      <c r="O4458">
        <f t="shared" si="931"/>
        <v>2</v>
      </c>
      <c r="P4458" s="57">
        <f t="shared" si="932"/>
        <v>2</v>
      </c>
      <c r="Q4458" s="267">
        <f t="shared" si="933"/>
        <v>244</v>
      </c>
      <c r="R4458" s="23">
        <f t="shared" si="934"/>
        <v>107</v>
      </c>
      <c r="S4458" s="23">
        <f t="shared" si="935"/>
        <v>86</v>
      </c>
      <c r="T4458" s="23" t="str">
        <f t="shared" si="936"/>
        <v/>
      </c>
      <c r="U4458" t="str">
        <f t="shared" si="937"/>
        <v/>
      </c>
      <c r="W4458" s="40"/>
      <c r="X4458" s="72"/>
      <c r="Y4458" s="40"/>
      <c r="AC4458" s="9"/>
      <c r="AD4458" s="9"/>
      <c r="AE4458" s="9"/>
      <c r="AF4458" s="22"/>
    </row>
    <row r="4459" spans="1:38">
      <c r="A4459" t="str">
        <f t="shared" si="938"/>
        <v>PA_Alleg_2019p~Dem-member of council at-large east pittsburgh (vote for 2)</v>
      </c>
      <c r="B4459" s="55" t="s">
        <v>1291</v>
      </c>
      <c r="C4459">
        <v>673</v>
      </c>
      <c r="D4459" s="55" t="s">
        <v>650</v>
      </c>
      <c r="E4459" s="55" t="s">
        <v>653</v>
      </c>
      <c r="F4459" t="s">
        <v>12</v>
      </c>
      <c r="G4459" s="62">
        <v>86</v>
      </c>
      <c r="H4459" s="25">
        <v>24.5</v>
      </c>
      <c r="I4459">
        <v>1307</v>
      </c>
      <c r="J4459">
        <v>230</v>
      </c>
      <c r="K4459">
        <v>3</v>
      </c>
      <c r="L4459">
        <v>3</v>
      </c>
      <c r="M4459">
        <v>0</v>
      </c>
      <c r="N4459" s="23">
        <v>0</v>
      </c>
      <c r="O4459">
        <f t="shared" si="931"/>
        <v>3</v>
      </c>
      <c r="P4459" s="57">
        <f t="shared" si="932"/>
        <v>2</v>
      </c>
      <c r="Q4459" s="267">
        <f t="shared" si="933"/>
        <v>137</v>
      </c>
      <c r="R4459" s="23" t="str">
        <f t="shared" si="934"/>
        <v/>
      </c>
      <c r="S4459" s="23">
        <f t="shared" si="935"/>
        <v>86</v>
      </c>
      <c r="T4459" s="23" t="str">
        <f t="shared" si="936"/>
        <v/>
      </c>
      <c r="U4459" t="str">
        <f t="shared" si="937"/>
        <v/>
      </c>
      <c r="W4459" s="40"/>
      <c r="X4459" s="72"/>
      <c r="Y4459" s="40"/>
      <c r="AC4459" s="9"/>
      <c r="AD4459" s="9"/>
      <c r="AE4459" s="9"/>
      <c r="AF4459" s="22"/>
    </row>
    <row r="4460" spans="1:38">
      <c r="A4460" t="str">
        <f t="shared" si="938"/>
        <v>PA_Alleg_2019p~Dem-member of council at-large east pittsburgh (vote for 2)</v>
      </c>
      <c r="B4460" s="55" t="s">
        <v>1291</v>
      </c>
      <c r="C4460">
        <v>672</v>
      </c>
      <c r="D4460" s="55" t="s">
        <v>650</v>
      </c>
      <c r="E4460" s="55" t="s">
        <v>652</v>
      </c>
      <c r="F4460" t="s">
        <v>12</v>
      </c>
      <c r="G4460" s="62">
        <v>48</v>
      </c>
      <c r="H4460" s="25">
        <v>13.68</v>
      </c>
      <c r="I4460">
        <v>1307</v>
      </c>
      <c r="J4460">
        <v>230</v>
      </c>
      <c r="K4460">
        <v>3</v>
      </c>
      <c r="L4460">
        <v>3</v>
      </c>
      <c r="M4460">
        <v>0</v>
      </c>
      <c r="N4460" s="23">
        <v>0</v>
      </c>
      <c r="O4460">
        <f t="shared" si="931"/>
        <v>4</v>
      </c>
      <c r="P4460" s="57">
        <f t="shared" si="932"/>
        <v>2</v>
      </c>
      <c r="Q4460" s="267">
        <f t="shared" si="933"/>
        <v>51</v>
      </c>
      <c r="R4460" s="23" t="str">
        <f t="shared" si="934"/>
        <v/>
      </c>
      <c r="S4460" s="23">
        <f t="shared" si="935"/>
        <v>48</v>
      </c>
      <c r="T4460" s="23" t="str">
        <f t="shared" si="936"/>
        <v/>
      </c>
      <c r="U4460" t="str">
        <f t="shared" si="937"/>
        <v/>
      </c>
      <c r="W4460" s="40"/>
      <c r="X4460" s="72"/>
      <c r="Y4460" s="40"/>
      <c r="AC4460" s="9"/>
      <c r="AD4460" s="9"/>
      <c r="AE4460" s="9"/>
      <c r="AF4460" s="22"/>
      <c r="AH4460" s="8"/>
      <c r="AL4460" s="23"/>
    </row>
    <row r="4461" spans="1:38">
      <c r="A4461" t="str">
        <f t="shared" si="938"/>
        <v>PA_Alleg_2019p~Dem-member of council at-large east pittsburgh (vote for 2)</v>
      </c>
      <c r="B4461" s="55" t="s">
        <v>1291</v>
      </c>
      <c r="C4461">
        <v>675</v>
      </c>
      <c r="D4461" s="55" t="s">
        <v>650</v>
      </c>
      <c r="E4461" s="55" t="s">
        <v>15</v>
      </c>
      <c r="F4461" t="s">
        <v>12</v>
      </c>
      <c r="G4461" s="62">
        <v>3</v>
      </c>
      <c r="H4461" s="25">
        <v>0.85</v>
      </c>
      <c r="I4461">
        <v>1307</v>
      </c>
      <c r="J4461">
        <v>230</v>
      </c>
      <c r="K4461">
        <v>3</v>
      </c>
      <c r="L4461">
        <v>3</v>
      </c>
      <c r="M4461">
        <v>0</v>
      </c>
      <c r="N4461" s="23">
        <v>0</v>
      </c>
      <c r="O4461">
        <f t="shared" si="931"/>
        <v>-4</v>
      </c>
      <c r="P4461" s="57">
        <f t="shared" si="932"/>
        <v>2</v>
      </c>
      <c r="Q4461" s="267">
        <f t="shared" si="933"/>
        <v>3</v>
      </c>
      <c r="R4461" s="23">
        <f t="shared" si="934"/>
        <v>1</v>
      </c>
      <c r="S4461" s="23">
        <f t="shared" si="935"/>
        <v>0</v>
      </c>
      <c r="T4461" s="23" t="str">
        <f t="shared" si="936"/>
        <v/>
      </c>
      <c r="U4461" t="str">
        <f t="shared" si="937"/>
        <v/>
      </c>
      <c r="W4461" s="40"/>
      <c r="X4461" s="72"/>
      <c r="Y4461" s="40"/>
      <c r="AC4461" s="9"/>
      <c r="AD4461" s="9"/>
      <c r="AE4461" s="9"/>
      <c r="AF4461" s="22"/>
    </row>
    <row r="4462" spans="1:38">
      <c r="A4462" t="str">
        <f t="shared" si="938"/>
        <v>PA_Alleg_2019p~Dem-member of council at-large ohara (vote for 2)</v>
      </c>
      <c r="B4462" s="55" t="s">
        <v>1291</v>
      </c>
      <c r="C4462">
        <v>676</v>
      </c>
      <c r="D4462" s="55" t="s">
        <v>655</v>
      </c>
      <c r="E4462" s="55" t="s">
        <v>15</v>
      </c>
      <c r="F4462" t="s">
        <v>12</v>
      </c>
      <c r="G4462" s="62">
        <v>240</v>
      </c>
      <c r="H4462" s="25">
        <v>100</v>
      </c>
      <c r="I4462">
        <v>7581</v>
      </c>
      <c r="J4462">
        <v>1591</v>
      </c>
      <c r="K4462">
        <v>10</v>
      </c>
      <c r="L4462">
        <v>10</v>
      </c>
      <c r="M4462">
        <v>0</v>
      </c>
      <c r="N4462" s="23">
        <v>0</v>
      </c>
      <c r="O4462">
        <f t="shared" si="931"/>
        <v>0</v>
      </c>
      <c r="P4462" s="57">
        <f t="shared" si="932"/>
        <v>2</v>
      </c>
      <c r="Q4462" s="267">
        <f t="shared" si="933"/>
        <v>240</v>
      </c>
      <c r="R4462" s="23">
        <f t="shared" si="934"/>
        <v>1</v>
      </c>
      <c r="S4462" s="23">
        <f t="shared" si="935"/>
        <v>0</v>
      </c>
      <c r="T4462" s="23" t="str">
        <f t="shared" si="936"/>
        <v/>
      </c>
      <c r="U4462" t="str">
        <f t="shared" si="937"/>
        <v>PA_Alleg_2019p~Dem-member of council at-large ohara (vote for 2)</v>
      </c>
      <c r="W4462" s="40"/>
      <c r="X4462" s="72"/>
      <c r="Y4462" s="40"/>
      <c r="AC4462" s="9"/>
      <c r="AD4462" s="9"/>
      <c r="AE4462" s="9"/>
      <c r="AF4462" s="22"/>
    </row>
    <row r="4463" spans="1:38">
      <c r="A4463" t="str">
        <f t="shared" si="938"/>
        <v>PA_Alleg_2019p~Dem-member of council at-large tarentum (vote for 1)</v>
      </c>
      <c r="B4463" s="55" t="s">
        <v>1291</v>
      </c>
      <c r="C4463">
        <v>677</v>
      </c>
      <c r="D4463" s="55" t="s">
        <v>656</v>
      </c>
      <c r="E4463" s="55" t="s">
        <v>657</v>
      </c>
      <c r="F4463" t="s">
        <v>12</v>
      </c>
      <c r="G4463" s="62">
        <v>133</v>
      </c>
      <c r="H4463" s="25">
        <v>51.95</v>
      </c>
      <c r="I4463">
        <v>2614</v>
      </c>
      <c r="J4463">
        <v>384</v>
      </c>
      <c r="K4463">
        <v>5</v>
      </c>
      <c r="L4463">
        <v>5</v>
      </c>
      <c r="M4463">
        <v>0</v>
      </c>
      <c r="N4463" s="23">
        <v>0</v>
      </c>
      <c r="O4463">
        <f t="shared" si="931"/>
        <v>1</v>
      </c>
      <c r="P4463" s="57">
        <f t="shared" si="932"/>
        <v>1</v>
      </c>
      <c r="Q4463" s="267">
        <f t="shared" si="933"/>
        <v>256</v>
      </c>
      <c r="R4463" s="23">
        <f t="shared" si="934"/>
        <v>133</v>
      </c>
      <c r="S4463" s="23">
        <f t="shared" si="935"/>
        <v>92</v>
      </c>
      <c r="T4463" s="23">
        <f t="shared" si="936"/>
        <v>41</v>
      </c>
      <c r="U4463" t="str">
        <f t="shared" si="937"/>
        <v>PA_Alleg_2019p~Dem-member of council at-large tarentum (vote for 1)</v>
      </c>
      <c r="W4463" s="40"/>
      <c r="X4463" s="72"/>
      <c r="Y4463" s="40"/>
      <c r="AC4463" s="9"/>
      <c r="AD4463" s="9"/>
      <c r="AE4463" s="9"/>
      <c r="AF4463" s="22"/>
    </row>
    <row r="4464" spans="1:38">
      <c r="A4464" t="str">
        <f t="shared" si="938"/>
        <v>PA_Alleg_2019p~Dem-member of council at-large tarentum (vote for 1)</v>
      </c>
      <c r="B4464" s="55" t="s">
        <v>1291</v>
      </c>
      <c r="C4464">
        <v>678</v>
      </c>
      <c r="D4464" s="55" t="s">
        <v>656</v>
      </c>
      <c r="E4464" s="55" t="s">
        <v>658</v>
      </c>
      <c r="F4464" t="s">
        <v>12</v>
      </c>
      <c r="G4464" s="62">
        <v>92</v>
      </c>
      <c r="H4464" s="25">
        <v>35.94</v>
      </c>
      <c r="I4464">
        <v>2614</v>
      </c>
      <c r="J4464">
        <v>384</v>
      </c>
      <c r="K4464">
        <v>5</v>
      </c>
      <c r="L4464">
        <v>5</v>
      </c>
      <c r="M4464">
        <v>0</v>
      </c>
      <c r="N4464" s="23">
        <v>0</v>
      </c>
      <c r="O4464">
        <f t="shared" si="931"/>
        <v>2</v>
      </c>
      <c r="P4464" s="57">
        <f t="shared" si="932"/>
        <v>1</v>
      </c>
      <c r="Q4464" s="267">
        <f t="shared" si="933"/>
        <v>123</v>
      </c>
      <c r="R4464" s="23" t="str">
        <f t="shared" si="934"/>
        <v/>
      </c>
      <c r="S4464" s="23">
        <f t="shared" si="935"/>
        <v>92</v>
      </c>
      <c r="T4464" s="23" t="str">
        <f t="shared" si="936"/>
        <v/>
      </c>
      <c r="U4464" t="str">
        <f t="shared" si="937"/>
        <v/>
      </c>
      <c r="W4464" s="40"/>
      <c r="X4464" s="72"/>
      <c r="Y4464" s="40"/>
      <c r="AC4464" s="9"/>
      <c r="AD4464" s="9"/>
      <c r="AE4464" s="9"/>
      <c r="AF4464" s="22"/>
    </row>
    <row r="4465" spans="1:38">
      <c r="A4465" t="str">
        <f t="shared" si="938"/>
        <v>PA_Alleg_2019p~Dem-member of council at-large tarentum (vote for 1)</v>
      </c>
      <c r="B4465" s="55" t="s">
        <v>1291</v>
      </c>
      <c r="C4465">
        <v>679</v>
      </c>
      <c r="D4465" s="55" t="s">
        <v>656</v>
      </c>
      <c r="E4465" s="55" t="s">
        <v>659</v>
      </c>
      <c r="F4465" t="s">
        <v>12</v>
      </c>
      <c r="G4465" s="62">
        <v>26</v>
      </c>
      <c r="H4465" s="25">
        <v>10.16</v>
      </c>
      <c r="I4465">
        <v>2614</v>
      </c>
      <c r="J4465">
        <v>384</v>
      </c>
      <c r="K4465">
        <v>5</v>
      </c>
      <c r="L4465">
        <v>5</v>
      </c>
      <c r="M4465">
        <v>0</v>
      </c>
      <c r="N4465" s="23">
        <v>0</v>
      </c>
      <c r="O4465">
        <f t="shared" si="931"/>
        <v>3</v>
      </c>
      <c r="P4465" s="57">
        <f t="shared" si="932"/>
        <v>1</v>
      </c>
      <c r="Q4465" s="267">
        <f t="shared" si="933"/>
        <v>31</v>
      </c>
      <c r="R4465" s="23" t="str">
        <f t="shared" si="934"/>
        <v/>
      </c>
      <c r="S4465" s="23">
        <f t="shared" si="935"/>
        <v>26</v>
      </c>
      <c r="T4465" s="23" t="str">
        <f t="shared" si="936"/>
        <v/>
      </c>
      <c r="U4465" t="str">
        <f t="shared" si="937"/>
        <v/>
      </c>
      <c r="W4465" s="40"/>
      <c r="X4465" s="72"/>
      <c r="Y4465" s="40"/>
      <c r="AC4465" s="9"/>
      <c r="AD4465" s="9"/>
      <c r="AE4465" s="9"/>
      <c r="AF4465" s="88"/>
      <c r="AH4465" s="8"/>
      <c r="AL4465" s="23"/>
    </row>
    <row r="4466" spans="1:38">
      <c r="A4466" t="str">
        <f t="shared" si="938"/>
        <v>PA_Alleg_2019p~Dem-member of council at-large tarentum (vote for 1)</v>
      </c>
      <c r="B4466" s="55" t="s">
        <v>1291</v>
      </c>
      <c r="C4466">
        <v>680</v>
      </c>
      <c r="D4466" s="55" t="s">
        <v>656</v>
      </c>
      <c r="E4466" s="55" t="s">
        <v>15</v>
      </c>
      <c r="F4466" t="s">
        <v>12</v>
      </c>
      <c r="G4466" s="62">
        <v>5</v>
      </c>
      <c r="H4466" s="25">
        <v>1.95</v>
      </c>
      <c r="I4466">
        <v>2614</v>
      </c>
      <c r="J4466">
        <v>384</v>
      </c>
      <c r="K4466">
        <v>5</v>
      </c>
      <c r="L4466">
        <v>5</v>
      </c>
      <c r="M4466">
        <v>0</v>
      </c>
      <c r="N4466" s="23">
        <v>0</v>
      </c>
      <c r="O4466">
        <f t="shared" si="931"/>
        <v>-3</v>
      </c>
      <c r="P4466" s="57">
        <f t="shared" si="932"/>
        <v>1</v>
      </c>
      <c r="Q4466" s="267">
        <f t="shared" si="933"/>
        <v>5</v>
      </c>
      <c r="R4466" s="23">
        <f t="shared" si="934"/>
        <v>1</v>
      </c>
      <c r="S4466" s="23">
        <f t="shared" si="935"/>
        <v>0</v>
      </c>
      <c r="T4466" s="23" t="str">
        <f t="shared" si="936"/>
        <v/>
      </c>
      <c r="U4466" t="str">
        <f t="shared" si="937"/>
        <v/>
      </c>
      <c r="W4466" s="40"/>
      <c r="X4466" s="72"/>
      <c r="Y4466" s="40"/>
      <c r="AC4466" s="9"/>
      <c r="AD4466" s="9"/>
      <c r="AE4466" s="9"/>
      <c r="AF4466" s="22"/>
    </row>
    <row r="4467" spans="1:38">
      <c r="A4467" t="str">
        <f t="shared" si="938"/>
        <v>PA_Alleg_2019p~Dem-member of council avalon ward 1 (vote for 2)</v>
      </c>
      <c r="B4467" s="55" t="s">
        <v>1291</v>
      </c>
      <c r="C4467">
        <v>970</v>
      </c>
      <c r="D4467" s="55" t="s">
        <v>945</v>
      </c>
      <c r="E4467" s="55" t="s">
        <v>946</v>
      </c>
      <c r="F4467" t="s">
        <v>12</v>
      </c>
      <c r="G4467" s="62">
        <v>77</v>
      </c>
      <c r="H4467" s="25">
        <v>87.5</v>
      </c>
      <c r="I4467">
        <v>1122</v>
      </c>
      <c r="J4467">
        <v>118</v>
      </c>
      <c r="K4467">
        <v>1</v>
      </c>
      <c r="L4467">
        <v>1</v>
      </c>
      <c r="M4467">
        <v>0</v>
      </c>
      <c r="N4467" s="23">
        <v>0</v>
      </c>
      <c r="O4467">
        <f t="shared" si="931"/>
        <v>1</v>
      </c>
      <c r="P4467" s="57">
        <f t="shared" si="932"/>
        <v>2</v>
      </c>
      <c r="Q4467" s="267">
        <f t="shared" si="933"/>
        <v>77</v>
      </c>
      <c r="R4467" s="23">
        <f t="shared" si="934"/>
        <v>1</v>
      </c>
      <c r="S4467" s="23">
        <f t="shared" si="935"/>
        <v>0</v>
      </c>
      <c r="T4467" s="23" t="str">
        <f t="shared" si="936"/>
        <v/>
      </c>
      <c r="U4467" t="str">
        <f t="shared" si="937"/>
        <v>PA_Alleg_2019p~Dem-member of council avalon ward 1 (vote for 2)</v>
      </c>
      <c r="W4467" s="40"/>
      <c r="X4467" s="72"/>
      <c r="Y4467" s="40"/>
      <c r="AC4467" s="9"/>
      <c r="AD4467" s="9"/>
      <c r="AE4467" s="9"/>
      <c r="AF4467" s="22"/>
    </row>
    <row r="4468" spans="1:38">
      <c r="A4468" t="str">
        <f t="shared" si="938"/>
        <v>PA_Alleg_2019p~Dem-member of council avalon ward 1 (vote for 2)</v>
      </c>
      <c r="B4468" s="55" t="s">
        <v>1291</v>
      </c>
      <c r="C4468">
        <v>971</v>
      </c>
      <c r="D4468" s="55" t="s">
        <v>945</v>
      </c>
      <c r="E4468" s="55" t="s">
        <v>15</v>
      </c>
      <c r="F4468" t="s">
        <v>12</v>
      </c>
      <c r="G4468" s="62">
        <v>11</v>
      </c>
      <c r="H4468" s="25">
        <v>12.5</v>
      </c>
      <c r="I4468">
        <v>1122</v>
      </c>
      <c r="J4468">
        <v>118</v>
      </c>
      <c r="K4468">
        <v>1</v>
      </c>
      <c r="L4468">
        <v>1</v>
      </c>
      <c r="M4468">
        <v>0</v>
      </c>
      <c r="N4468" s="23">
        <v>0</v>
      </c>
      <c r="O4468">
        <f t="shared" si="931"/>
        <v>-1</v>
      </c>
      <c r="P4468" s="57">
        <f t="shared" si="932"/>
        <v>2</v>
      </c>
      <c r="Q4468" s="267">
        <f t="shared" si="933"/>
        <v>11</v>
      </c>
      <c r="R4468" s="23">
        <f t="shared" si="934"/>
        <v>1</v>
      </c>
      <c r="S4468" s="23">
        <f t="shared" si="935"/>
        <v>0</v>
      </c>
      <c r="T4468" s="23" t="str">
        <f t="shared" si="936"/>
        <v/>
      </c>
      <c r="U4468" t="str">
        <f t="shared" si="937"/>
        <v/>
      </c>
      <c r="W4468" s="40"/>
      <c r="X4468" s="72"/>
      <c r="Y4468" s="40"/>
      <c r="AC4468" s="9"/>
      <c r="AD4468" s="9"/>
      <c r="AE4468" s="9"/>
      <c r="AF4468" s="22"/>
    </row>
    <row r="4469" spans="1:38">
      <c r="A4469" t="str">
        <f t="shared" si="938"/>
        <v>PA_Alleg_2019p~Dem-member of council avalon ward 2 (vote for 1)</v>
      </c>
      <c r="B4469" s="55" t="s">
        <v>1291</v>
      </c>
      <c r="C4469">
        <v>999</v>
      </c>
      <c r="D4469" s="55" t="s">
        <v>974</v>
      </c>
      <c r="E4469" s="55" t="s">
        <v>15</v>
      </c>
      <c r="F4469" t="s">
        <v>12</v>
      </c>
      <c r="G4469" s="62">
        <v>29</v>
      </c>
      <c r="H4469" s="25">
        <v>100</v>
      </c>
      <c r="I4469">
        <v>1197</v>
      </c>
      <c r="J4469">
        <v>181</v>
      </c>
      <c r="K4469">
        <v>2</v>
      </c>
      <c r="L4469">
        <v>2</v>
      </c>
      <c r="M4469">
        <v>0</v>
      </c>
      <c r="N4469" s="23">
        <v>0</v>
      </c>
      <c r="O4469">
        <f t="shared" si="931"/>
        <v>0</v>
      </c>
      <c r="P4469" s="57">
        <f t="shared" si="932"/>
        <v>1</v>
      </c>
      <c r="Q4469" s="267">
        <f t="shared" si="933"/>
        <v>29</v>
      </c>
      <c r="R4469" s="23">
        <f t="shared" si="934"/>
        <v>1</v>
      </c>
      <c r="S4469" s="23">
        <f t="shared" si="935"/>
        <v>0</v>
      </c>
      <c r="T4469" s="23" t="str">
        <f t="shared" si="936"/>
        <v/>
      </c>
      <c r="U4469" t="str">
        <f t="shared" si="937"/>
        <v>PA_Alleg_2019p~Dem-member of council avalon ward 2 (vote for 1)</v>
      </c>
      <c r="W4469" s="40"/>
      <c r="X4469" s="72"/>
      <c r="Y4469" s="40"/>
      <c r="AC4469" s="9"/>
      <c r="AD4469" s="9"/>
      <c r="AE4469" s="9"/>
      <c r="AF4469" s="22"/>
    </row>
    <row r="4470" spans="1:38">
      <c r="A4470" t="str">
        <f t="shared" si="938"/>
        <v>PA_Alleg_2019p~Dem-member of council avalon ward 3 (vote for 1)</v>
      </c>
      <c r="B4470" s="55" t="s">
        <v>1291</v>
      </c>
      <c r="C4470">
        <v>1000</v>
      </c>
      <c r="D4470" s="55" t="s">
        <v>975</v>
      </c>
      <c r="E4470" s="55" t="s">
        <v>15</v>
      </c>
      <c r="F4470" t="s">
        <v>12</v>
      </c>
      <c r="G4470" s="62">
        <v>18</v>
      </c>
      <c r="H4470" s="25">
        <v>100</v>
      </c>
      <c r="I4470">
        <v>1338</v>
      </c>
      <c r="J4470">
        <v>175</v>
      </c>
      <c r="K4470">
        <v>3</v>
      </c>
      <c r="L4470">
        <v>3</v>
      </c>
      <c r="M4470">
        <v>0</v>
      </c>
      <c r="N4470" s="23">
        <v>0</v>
      </c>
      <c r="O4470">
        <f t="shared" si="931"/>
        <v>0</v>
      </c>
      <c r="P4470" s="57">
        <f t="shared" si="932"/>
        <v>1</v>
      </c>
      <c r="Q4470" s="267">
        <f t="shared" si="933"/>
        <v>18</v>
      </c>
      <c r="R4470" s="23">
        <f t="shared" si="934"/>
        <v>1</v>
      </c>
      <c r="S4470" s="23">
        <f t="shared" si="935"/>
        <v>0</v>
      </c>
      <c r="T4470" s="23" t="str">
        <f t="shared" si="936"/>
        <v/>
      </c>
      <c r="U4470" t="str">
        <f t="shared" si="937"/>
        <v>PA_Alleg_2019p~Dem-member of council avalon ward 3 (vote for 1)</v>
      </c>
      <c r="W4470" s="40"/>
      <c r="X4470" s="72"/>
      <c r="Y4470" s="40"/>
      <c r="AC4470" s="9"/>
      <c r="AD4470" s="9"/>
      <c r="AE4470" s="9"/>
      <c r="AF4470" s="22"/>
    </row>
    <row r="4471" spans="1:38">
      <c r="A4471" t="str">
        <f t="shared" si="938"/>
        <v>PA_Alleg_2019p~Dem-member of council baldwin borough (vote for 3)</v>
      </c>
      <c r="B4471" s="55" t="s">
        <v>1291</v>
      </c>
      <c r="C4471">
        <v>715</v>
      </c>
      <c r="D4471" s="55" t="s">
        <v>693</v>
      </c>
      <c r="E4471" s="55" t="s">
        <v>695</v>
      </c>
      <c r="F4471" t="s">
        <v>12</v>
      </c>
      <c r="G4471" s="62">
        <v>1232</v>
      </c>
      <c r="H4471" s="25">
        <v>29.08</v>
      </c>
      <c r="I4471">
        <v>14451</v>
      </c>
      <c r="J4471">
        <v>2421</v>
      </c>
      <c r="K4471">
        <v>18</v>
      </c>
      <c r="L4471">
        <v>18</v>
      </c>
      <c r="M4471">
        <v>0</v>
      </c>
      <c r="N4471" s="23">
        <v>0</v>
      </c>
      <c r="O4471">
        <f t="shared" si="931"/>
        <v>1</v>
      </c>
      <c r="P4471" s="57">
        <f t="shared" si="932"/>
        <v>3</v>
      </c>
      <c r="Q4471" s="267">
        <f t="shared" si="933"/>
        <v>1412</v>
      </c>
      <c r="R4471" s="23">
        <f t="shared" si="934"/>
        <v>1112</v>
      </c>
      <c r="S4471" s="23">
        <f t="shared" si="935"/>
        <v>712</v>
      </c>
      <c r="T4471" s="23">
        <f t="shared" si="936"/>
        <v>400</v>
      </c>
      <c r="U4471" t="str">
        <f t="shared" si="937"/>
        <v>PA_Alleg_2019p~Dem-member of council baldwin borough (vote for 3)</v>
      </c>
      <c r="W4471" s="40"/>
      <c r="X4471" s="72"/>
      <c r="Y4471" s="40"/>
      <c r="AC4471" s="9"/>
      <c r="AD4471" s="9"/>
      <c r="AE4471" s="9"/>
      <c r="AF4471" s="22"/>
    </row>
    <row r="4472" spans="1:38">
      <c r="A4472" t="str">
        <f t="shared" si="938"/>
        <v>PA_Alleg_2019p~Dem-member of council baldwin borough (vote for 3)</v>
      </c>
      <c r="B4472" s="55" t="s">
        <v>1291</v>
      </c>
      <c r="C4472">
        <v>717</v>
      </c>
      <c r="D4472" s="55" t="s">
        <v>693</v>
      </c>
      <c r="E4472" s="55" t="s">
        <v>697</v>
      </c>
      <c r="F4472" t="s">
        <v>12</v>
      </c>
      <c r="G4472" s="62">
        <v>1162</v>
      </c>
      <c r="H4472" s="25">
        <v>27.43</v>
      </c>
      <c r="I4472">
        <v>14451</v>
      </c>
      <c r="J4472">
        <v>2421</v>
      </c>
      <c r="K4472">
        <v>18</v>
      </c>
      <c r="L4472">
        <v>18</v>
      </c>
      <c r="M4472">
        <v>0</v>
      </c>
      <c r="N4472" s="23">
        <v>0</v>
      </c>
      <c r="O4472">
        <f t="shared" si="931"/>
        <v>2</v>
      </c>
      <c r="P4472" s="57">
        <f t="shared" si="932"/>
        <v>3</v>
      </c>
      <c r="Q4472" s="267">
        <f t="shared" si="933"/>
        <v>3004</v>
      </c>
      <c r="R4472" s="23">
        <f t="shared" si="934"/>
        <v>1112</v>
      </c>
      <c r="S4472" s="23">
        <f t="shared" si="935"/>
        <v>712</v>
      </c>
      <c r="T4472" s="23" t="str">
        <f t="shared" si="936"/>
        <v/>
      </c>
      <c r="U4472" t="str">
        <f t="shared" si="937"/>
        <v/>
      </c>
      <c r="W4472" s="40"/>
      <c r="X4472" s="72"/>
      <c r="Y4472" s="40"/>
      <c r="AC4472" s="9"/>
      <c r="AD4472" s="9"/>
      <c r="AE4472" s="9"/>
      <c r="AF4472" s="22"/>
      <c r="AL4472" s="344"/>
    </row>
    <row r="4473" spans="1:38">
      <c r="A4473" t="str">
        <f t="shared" si="938"/>
        <v>PA_Alleg_2019p~Dem-member of council baldwin borough (vote for 3)</v>
      </c>
      <c r="B4473" s="55" t="s">
        <v>1291</v>
      </c>
      <c r="C4473">
        <v>714</v>
      </c>
      <c r="D4473" s="55" t="s">
        <v>693</v>
      </c>
      <c r="E4473" s="55" t="s">
        <v>694</v>
      </c>
      <c r="F4473" t="s">
        <v>12</v>
      </c>
      <c r="G4473" s="62">
        <v>1112</v>
      </c>
      <c r="H4473" s="25">
        <v>26.25</v>
      </c>
      <c r="I4473">
        <v>14451</v>
      </c>
      <c r="J4473">
        <v>2421</v>
      </c>
      <c r="K4473">
        <v>18</v>
      </c>
      <c r="L4473">
        <v>18</v>
      </c>
      <c r="M4473">
        <v>0</v>
      </c>
      <c r="N4473" s="23">
        <v>0</v>
      </c>
      <c r="O4473">
        <f t="shared" si="931"/>
        <v>3</v>
      </c>
      <c r="P4473" s="57">
        <f t="shared" si="932"/>
        <v>3</v>
      </c>
      <c r="Q4473" s="267">
        <f t="shared" si="933"/>
        <v>1842</v>
      </c>
      <c r="R4473" s="23">
        <f t="shared" si="934"/>
        <v>1112</v>
      </c>
      <c r="S4473" s="23">
        <f t="shared" si="935"/>
        <v>712</v>
      </c>
      <c r="T4473" s="23" t="str">
        <f t="shared" si="936"/>
        <v/>
      </c>
      <c r="U4473" t="str">
        <f t="shared" si="937"/>
        <v/>
      </c>
      <c r="W4473" s="40"/>
      <c r="X4473" s="72"/>
      <c r="Y4473" s="40"/>
      <c r="AC4473" s="9"/>
      <c r="AD4473" s="9"/>
      <c r="AE4473" s="9"/>
      <c r="AF4473" s="88"/>
    </row>
    <row r="4474" spans="1:38">
      <c r="A4474" t="str">
        <f t="shared" si="938"/>
        <v>PA_Alleg_2019p~Dem-member of council baldwin borough (vote for 3)</v>
      </c>
      <c r="B4474" s="55" t="s">
        <v>1291</v>
      </c>
      <c r="C4474">
        <v>716</v>
      </c>
      <c r="D4474" s="55" t="s">
        <v>693</v>
      </c>
      <c r="E4474" s="55" t="s">
        <v>696</v>
      </c>
      <c r="F4474" t="s">
        <v>12</v>
      </c>
      <c r="G4474" s="62">
        <v>712</v>
      </c>
      <c r="H4474" s="25">
        <v>16.809999999999999</v>
      </c>
      <c r="I4474">
        <v>14451</v>
      </c>
      <c r="J4474">
        <v>2421</v>
      </c>
      <c r="K4474">
        <v>18</v>
      </c>
      <c r="L4474">
        <v>18</v>
      </c>
      <c r="M4474">
        <v>0</v>
      </c>
      <c r="N4474" s="23">
        <v>0</v>
      </c>
      <c r="O4474">
        <f t="shared" si="931"/>
        <v>4</v>
      </c>
      <c r="P4474" s="57">
        <f t="shared" si="932"/>
        <v>3</v>
      </c>
      <c r="Q4474" s="267">
        <f t="shared" si="933"/>
        <v>730</v>
      </c>
      <c r="R4474" s="23" t="str">
        <f t="shared" si="934"/>
        <v/>
      </c>
      <c r="S4474" s="23">
        <f t="shared" si="935"/>
        <v>712</v>
      </c>
      <c r="T4474" s="23" t="str">
        <f t="shared" si="936"/>
        <v/>
      </c>
      <c r="U4474" t="str">
        <f t="shared" si="937"/>
        <v/>
      </c>
      <c r="W4474" s="40"/>
      <c r="X4474" s="72"/>
      <c r="Y4474" s="40"/>
      <c r="AC4474" s="9"/>
      <c r="AD4474" s="9"/>
      <c r="AE4474" s="9"/>
      <c r="AF4474" s="22"/>
    </row>
    <row r="4475" spans="1:38">
      <c r="A4475" t="str">
        <f t="shared" si="938"/>
        <v>PA_Alleg_2019p~Dem-member of council baldwin borough (vote for 3)</v>
      </c>
      <c r="B4475" s="55" t="s">
        <v>1291</v>
      </c>
      <c r="C4475">
        <v>718</v>
      </c>
      <c r="D4475" s="55" t="s">
        <v>693</v>
      </c>
      <c r="E4475" s="55" t="s">
        <v>15</v>
      </c>
      <c r="F4475" t="s">
        <v>12</v>
      </c>
      <c r="G4475" s="62">
        <v>18</v>
      </c>
      <c r="H4475" s="25">
        <v>0.42</v>
      </c>
      <c r="I4475">
        <v>14451</v>
      </c>
      <c r="J4475">
        <v>2421</v>
      </c>
      <c r="K4475">
        <v>18</v>
      </c>
      <c r="L4475">
        <v>18</v>
      </c>
      <c r="M4475">
        <v>0</v>
      </c>
      <c r="N4475" s="23">
        <v>0</v>
      </c>
      <c r="O4475">
        <f t="shared" si="931"/>
        <v>-4</v>
      </c>
      <c r="P4475" s="57">
        <f t="shared" si="932"/>
        <v>3</v>
      </c>
      <c r="Q4475" s="267">
        <f t="shared" si="933"/>
        <v>18</v>
      </c>
      <c r="R4475" s="23">
        <f t="shared" si="934"/>
        <v>1</v>
      </c>
      <c r="S4475" s="23">
        <f t="shared" si="935"/>
        <v>0</v>
      </c>
      <c r="T4475" s="23" t="str">
        <f t="shared" si="936"/>
        <v/>
      </c>
      <c r="U4475" t="str">
        <f t="shared" si="937"/>
        <v/>
      </c>
      <c r="W4475" s="40"/>
      <c r="X4475" s="72"/>
      <c r="Y4475" s="40"/>
      <c r="AC4475" s="9"/>
      <c r="AD4475" s="9"/>
      <c r="AE4475" s="9"/>
      <c r="AF4475" s="22"/>
    </row>
    <row r="4476" spans="1:38">
      <c r="A4476" t="str">
        <f t="shared" si="938"/>
        <v>PA_Alleg_2019p~Dem-member of council bell acres (vote for 3)</v>
      </c>
      <c r="B4476" s="55" t="s">
        <v>1291</v>
      </c>
      <c r="C4476">
        <v>719</v>
      </c>
      <c r="D4476" s="55" t="s">
        <v>698</v>
      </c>
      <c r="E4476" s="55" t="s">
        <v>699</v>
      </c>
      <c r="F4476" t="s">
        <v>12</v>
      </c>
      <c r="G4476" s="62">
        <v>84</v>
      </c>
      <c r="H4476" s="25">
        <v>96.55</v>
      </c>
      <c r="I4476">
        <v>1167</v>
      </c>
      <c r="J4476">
        <v>162</v>
      </c>
      <c r="K4476">
        <v>1</v>
      </c>
      <c r="L4476">
        <v>1</v>
      </c>
      <c r="M4476">
        <v>0</v>
      </c>
      <c r="N4476" s="23">
        <v>0</v>
      </c>
      <c r="O4476">
        <f t="shared" si="931"/>
        <v>1</v>
      </c>
      <c r="P4476" s="57">
        <f t="shared" si="932"/>
        <v>3</v>
      </c>
      <c r="Q4476" s="267">
        <f t="shared" si="933"/>
        <v>84</v>
      </c>
      <c r="R4476" s="23">
        <f t="shared" si="934"/>
        <v>1</v>
      </c>
      <c r="S4476" s="23">
        <f t="shared" si="935"/>
        <v>0</v>
      </c>
      <c r="T4476" s="23" t="str">
        <f t="shared" si="936"/>
        <v/>
      </c>
      <c r="U4476" t="str">
        <f t="shared" si="937"/>
        <v>PA_Alleg_2019p~Dem-member of council bell acres (vote for 3)</v>
      </c>
      <c r="W4476" s="40"/>
      <c r="X4476" s="72"/>
      <c r="Y4476" s="40"/>
      <c r="AC4476" s="9"/>
      <c r="AD4476" s="9"/>
      <c r="AE4476" s="9"/>
      <c r="AF4476" s="22"/>
    </row>
    <row r="4477" spans="1:38">
      <c r="A4477" t="str">
        <f t="shared" si="938"/>
        <v>PA_Alleg_2019p~Dem-member of council bell acres (vote for 3)</v>
      </c>
      <c r="B4477" s="55" t="s">
        <v>1291</v>
      </c>
      <c r="C4477">
        <v>720</v>
      </c>
      <c r="D4477" s="55" t="s">
        <v>698</v>
      </c>
      <c r="E4477" s="55" t="s">
        <v>15</v>
      </c>
      <c r="F4477" t="s">
        <v>12</v>
      </c>
      <c r="G4477" s="62">
        <v>3</v>
      </c>
      <c r="H4477" s="25">
        <v>3.45</v>
      </c>
      <c r="I4477">
        <v>1167</v>
      </c>
      <c r="J4477">
        <v>162</v>
      </c>
      <c r="K4477">
        <v>1</v>
      </c>
      <c r="L4477">
        <v>1</v>
      </c>
      <c r="M4477">
        <v>0</v>
      </c>
      <c r="N4477" s="23">
        <v>0</v>
      </c>
      <c r="O4477">
        <f t="shared" si="931"/>
        <v>-1</v>
      </c>
      <c r="P4477" s="57">
        <f t="shared" si="932"/>
        <v>3</v>
      </c>
      <c r="Q4477" s="267">
        <f t="shared" si="933"/>
        <v>3</v>
      </c>
      <c r="R4477" s="23">
        <f t="shared" si="934"/>
        <v>1</v>
      </c>
      <c r="S4477" s="23">
        <f t="shared" si="935"/>
        <v>0</v>
      </c>
      <c r="T4477" s="23" t="str">
        <f t="shared" si="936"/>
        <v/>
      </c>
      <c r="U4477" t="str">
        <f t="shared" si="937"/>
        <v/>
      </c>
      <c r="W4477" s="40"/>
      <c r="X4477" s="72"/>
      <c r="Y4477" s="40"/>
      <c r="AC4477" s="9"/>
      <c r="AD4477" s="9"/>
      <c r="AE4477" s="9"/>
      <c r="AF4477" s="22"/>
    </row>
    <row r="4478" spans="1:38">
      <c r="A4478" t="str">
        <f t="shared" si="938"/>
        <v>PA_Alleg_2019p~Dem-member of council bellevue ward 1 (vote for 1)</v>
      </c>
      <c r="B4478" s="55" t="s">
        <v>1291</v>
      </c>
      <c r="C4478">
        <v>1002</v>
      </c>
      <c r="D4478" s="55" t="s">
        <v>976</v>
      </c>
      <c r="E4478" s="55" t="s">
        <v>978</v>
      </c>
      <c r="F4478" t="s">
        <v>12</v>
      </c>
      <c r="G4478" s="62">
        <v>139</v>
      </c>
      <c r="H4478" s="25">
        <v>54.94</v>
      </c>
      <c r="I4478">
        <v>2039</v>
      </c>
      <c r="J4478">
        <v>344</v>
      </c>
      <c r="K4478">
        <v>2</v>
      </c>
      <c r="L4478">
        <v>2</v>
      </c>
      <c r="M4478">
        <v>0</v>
      </c>
      <c r="N4478" s="23">
        <v>0</v>
      </c>
      <c r="O4478">
        <f t="shared" si="931"/>
        <v>1</v>
      </c>
      <c r="P4478" s="57">
        <f t="shared" si="932"/>
        <v>1</v>
      </c>
      <c r="Q4478" s="267">
        <f t="shared" si="933"/>
        <v>253</v>
      </c>
      <c r="R4478" s="23">
        <f t="shared" si="934"/>
        <v>139</v>
      </c>
      <c r="S4478" s="23">
        <f t="shared" si="935"/>
        <v>112</v>
      </c>
      <c r="T4478" s="23">
        <f t="shared" si="936"/>
        <v>27</v>
      </c>
      <c r="U4478" t="str">
        <f t="shared" si="937"/>
        <v>PA_Alleg_2019p~Dem-member of council bellevue ward 1 (vote for 1)</v>
      </c>
      <c r="W4478" s="40"/>
      <c r="X4478" s="72"/>
      <c r="Y4478" s="40"/>
      <c r="AC4478" s="9"/>
      <c r="AD4478" s="9"/>
      <c r="AE4478" s="9"/>
      <c r="AF4478" s="22"/>
      <c r="AG4478" s="23"/>
      <c r="AH4478" s="8"/>
      <c r="AL4478" s="344"/>
    </row>
    <row r="4479" spans="1:38">
      <c r="A4479" t="str">
        <f t="shared" si="938"/>
        <v>PA_Alleg_2019p~Dem-member of council bellevue ward 1 (vote for 1)</v>
      </c>
      <c r="B4479" s="55" t="s">
        <v>1291</v>
      </c>
      <c r="C4479">
        <v>1001</v>
      </c>
      <c r="D4479" s="55" t="s">
        <v>976</v>
      </c>
      <c r="E4479" s="55" t="s">
        <v>977</v>
      </c>
      <c r="F4479" t="s">
        <v>12</v>
      </c>
      <c r="G4479" s="62">
        <v>112</v>
      </c>
      <c r="H4479" s="25">
        <v>44.27</v>
      </c>
      <c r="I4479">
        <v>2039</v>
      </c>
      <c r="J4479">
        <v>344</v>
      </c>
      <c r="K4479">
        <v>2</v>
      </c>
      <c r="L4479">
        <v>2</v>
      </c>
      <c r="M4479">
        <v>0</v>
      </c>
      <c r="N4479" s="23">
        <v>0</v>
      </c>
      <c r="O4479">
        <f t="shared" si="931"/>
        <v>2</v>
      </c>
      <c r="P4479" s="57">
        <f t="shared" si="932"/>
        <v>1</v>
      </c>
      <c r="Q4479" s="267">
        <f t="shared" si="933"/>
        <v>114</v>
      </c>
      <c r="R4479" s="23" t="str">
        <f t="shared" si="934"/>
        <v/>
      </c>
      <c r="S4479" s="23">
        <f t="shared" si="935"/>
        <v>112</v>
      </c>
      <c r="T4479" s="23" t="str">
        <f t="shared" si="936"/>
        <v/>
      </c>
      <c r="U4479" t="str">
        <f t="shared" si="937"/>
        <v/>
      </c>
      <c r="W4479" s="40"/>
      <c r="X4479" s="72"/>
      <c r="Y4479" s="40"/>
      <c r="AC4479" s="9"/>
      <c r="AD4479" s="9"/>
      <c r="AE4479" s="9"/>
      <c r="AF4479" s="88"/>
    </row>
    <row r="4480" spans="1:38">
      <c r="A4480" t="str">
        <f t="shared" si="938"/>
        <v>PA_Alleg_2019p~Dem-member of council bellevue ward 1 (vote for 1)</v>
      </c>
      <c r="B4480" s="55" t="s">
        <v>1291</v>
      </c>
      <c r="C4480">
        <v>1003</v>
      </c>
      <c r="D4480" s="55" t="s">
        <v>976</v>
      </c>
      <c r="E4480" s="55" t="s">
        <v>15</v>
      </c>
      <c r="F4480" t="s">
        <v>12</v>
      </c>
      <c r="G4480" s="62">
        <v>2</v>
      </c>
      <c r="H4480" s="25">
        <v>0.79</v>
      </c>
      <c r="I4480">
        <v>2039</v>
      </c>
      <c r="J4480">
        <v>344</v>
      </c>
      <c r="K4480">
        <v>2</v>
      </c>
      <c r="L4480">
        <v>2</v>
      </c>
      <c r="M4480">
        <v>0</v>
      </c>
      <c r="N4480" s="23">
        <v>0</v>
      </c>
      <c r="O4480">
        <f t="shared" si="931"/>
        <v>-2</v>
      </c>
      <c r="P4480" s="57">
        <f t="shared" si="932"/>
        <v>1</v>
      </c>
      <c r="Q4480" s="267">
        <f t="shared" si="933"/>
        <v>2</v>
      </c>
      <c r="R4480" s="23">
        <f t="shared" si="934"/>
        <v>1</v>
      </c>
      <c r="S4480" s="23">
        <f t="shared" si="935"/>
        <v>0</v>
      </c>
      <c r="T4480" s="23" t="str">
        <f t="shared" si="936"/>
        <v/>
      </c>
      <c r="U4480" t="str">
        <f t="shared" si="937"/>
        <v/>
      </c>
      <c r="W4480" s="40"/>
      <c r="X4480" s="72"/>
      <c r="Y4480" s="40"/>
      <c r="AC4480" s="9"/>
      <c r="AD4480" s="9"/>
      <c r="AE4480" s="9"/>
      <c r="AF4480" s="22"/>
      <c r="AG4480" s="302"/>
      <c r="AH4480" s="301"/>
      <c r="AI4480" s="303"/>
      <c r="AJ4480" s="303"/>
      <c r="AK4480" s="342"/>
      <c r="AL4480" s="343"/>
    </row>
    <row r="4481" spans="1:38">
      <c r="A4481" t="str">
        <f t="shared" si="938"/>
        <v>PA_Alleg_2019p~Dem-member of council bellevue ward 2 (vote for 1)</v>
      </c>
      <c r="B4481" s="55" t="s">
        <v>1291</v>
      </c>
      <c r="C4481">
        <v>1004</v>
      </c>
      <c r="D4481" s="55" t="s">
        <v>979</v>
      </c>
      <c r="E4481" s="55" t="s">
        <v>980</v>
      </c>
      <c r="F4481" t="s">
        <v>12</v>
      </c>
      <c r="G4481" s="62">
        <v>159</v>
      </c>
      <c r="H4481" s="25">
        <v>96.36</v>
      </c>
      <c r="I4481">
        <v>2198</v>
      </c>
      <c r="J4481">
        <v>270</v>
      </c>
      <c r="K4481">
        <v>2</v>
      </c>
      <c r="L4481">
        <v>2</v>
      </c>
      <c r="M4481">
        <v>0</v>
      </c>
      <c r="N4481" s="23">
        <v>0</v>
      </c>
      <c r="O4481">
        <f t="shared" si="931"/>
        <v>1</v>
      </c>
      <c r="P4481" s="57">
        <f t="shared" si="932"/>
        <v>1</v>
      </c>
      <c r="Q4481" s="267">
        <f t="shared" si="933"/>
        <v>165</v>
      </c>
      <c r="R4481" s="23">
        <f t="shared" si="934"/>
        <v>159</v>
      </c>
      <c r="S4481" s="23">
        <f t="shared" si="935"/>
        <v>0</v>
      </c>
      <c r="T4481" s="23" t="str">
        <f t="shared" si="936"/>
        <v/>
      </c>
      <c r="U4481" t="str">
        <f t="shared" si="937"/>
        <v>PA_Alleg_2019p~Dem-member of council bellevue ward 2 (vote for 1)</v>
      </c>
      <c r="W4481" s="40"/>
      <c r="X4481" s="72"/>
      <c r="Y4481" s="40"/>
      <c r="AC4481" s="9"/>
      <c r="AD4481" s="9"/>
      <c r="AE4481" s="9"/>
      <c r="AF4481" s="22"/>
    </row>
    <row r="4482" spans="1:38">
      <c r="A4482" t="str">
        <f t="shared" si="938"/>
        <v>PA_Alleg_2019p~Dem-member of council bellevue ward 2 (vote for 1)</v>
      </c>
      <c r="B4482" s="55" t="s">
        <v>1291</v>
      </c>
      <c r="C4482">
        <v>1005</v>
      </c>
      <c r="D4482" s="55" t="s">
        <v>979</v>
      </c>
      <c r="E4482" s="55" t="s">
        <v>15</v>
      </c>
      <c r="F4482" t="s">
        <v>12</v>
      </c>
      <c r="G4482" s="62">
        <v>6</v>
      </c>
      <c r="H4482" s="25">
        <v>3.64</v>
      </c>
      <c r="I4482">
        <v>2198</v>
      </c>
      <c r="J4482">
        <v>270</v>
      </c>
      <c r="K4482">
        <v>2</v>
      </c>
      <c r="L4482">
        <v>2</v>
      </c>
      <c r="M4482">
        <v>0</v>
      </c>
      <c r="N4482" s="23">
        <v>0</v>
      </c>
      <c r="O4482">
        <f t="shared" ref="O4482:O4545" si="939">IF(OR(LOWER(LEFT(E4482,8))="write-in",LOWER(LEFT(E4482,8))="not qual"),IF(A4482=A4481,-ABS(O4481),0),IF(A4482=A4481,ABS(O4481)+1,1))</f>
        <v>-1</v>
      </c>
      <c r="P4482" s="57">
        <f t="shared" ref="P4482:P4545" si="940">1*LEFT(RIGHT(A4482,2),1)</f>
        <v>1</v>
      </c>
      <c r="Q4482" s="267">
        <f t="shared" ref="Q4482:Q4545" si="941">IF(A4482&lt;&gt;A4483,G4482,IF(A4482=A4481,G4482+Q4483,MAX(G4482,(G4482+Q4483)/P4482)))</f>
        <v>6</v>
      </c>
      <c r="R4482" s="23">
        <f t="shared" ref="R4482:R4545" si="942">IF(O4482&gt;P4482,"",IF(O4482=P4482,G4482,IF(A4482=A4483,R4483,IF(O4482&lt;=0,1,G4482))))</f>
        <v>1</v>
      </c>
      <c r="S4482" s="23">
        <f t="shared" ref="S4482:S4545" si="943">IF(AND(O4482&gt;P4482,LOWER(LEFT(E4482,8))&lt;&gt;"write-in",LOWER(LEFT(E4482,8))&lt;&gt;"not qual"),G4482,IF(A4482=A4483,S4483,0))</f>
        <v>0</v>
      </c>
      <c r="T4482" s="23" t="str">
        <f t="shared" ref="T4482:T4545" si="944">IF(OR(A4482=A4481,S4482=0),"",R4482-ABS(S4482))</f>
        <v/>
      </c>
      <c r="U4482" t="str">
        <f t="shared" ref="U4482:U4545" si="945">IF(A4482=A4481,"",A4482)</f>
        <v/>
      </c>
      <c r="W4482" s="40"/>
      <c r="X4482" s="72"/>
      <c r="Y4482" s="40"/>
      <c r="AC4482" s="9"/>
      <c r="AD4482" s="9"/>
      <c r="AE4482" s="9"/>
      <c r="AF4482" s="22"/>
    </row>
    <row r="4483" spans="1:38">
      <c r="A4483" t="str">
        <f t="shared" ref="A4483:A4546" si="946">CONCATENATE(B4483,"~",F4483,"-",LOWER(D4483))</f>
        <v>PA_Alleg_2019p~Dem-member of council bellevue ward 3 (vote for 2)</v>
      </c>
      <c r="B4483" s="55" t="s">
        <v>1291</v>
      </c>
      <c r="C4483">
        <v>973</v>
      </c>
      <c r="D4483" s="55" t="s">
        <v>947</v>
      </c>
      <c r="E4483" s="55" t="s">
        <v>949</v>
      </c>
      <c r="F4483" t="s">
        <v>12</v>
      </c>
      <c r="G4483" s="62">
        <v>150</v>
      </c>
      <c r="H4483" s="25">
        <v>53.57</v>
      </c>
      <c r="I4483">
        <v>2005</v>
      </c>
      <c r="J4483">
        <v>261</v>
      </c>
      <c r="K4483">
        <v>2</v>
      </c>
      <c r="L4483">
        <v>2</v>
      </c>
      <c r="M4483">
        <v>0</v>
      </c>
      <c r="N4483" s="23">
        <v>0</v>
      </c>
      <c r="O4483">
        <f t="shared" si="939"/>
        <v>1</v>
      </c>
      <c r="P4483" s="57">
        <f t="shared" si="940"/>
        <v>2</v>
      </c>
      <c r="Q4483" s="267">
        <f t="shared" si="941"/>
        <v>150</v>
      </c>
      <c r="R4483" s="23">
        <f t="shared" si="942"/>
        <v>127</v>
      </c>
      <c r="S4483" s="23">
        <f t="shared" si="943"/>
        <v>0</v>
      </c>
      <c r="T4483" s="23" t="str">
        <f t="shared" si="944"/>
        <v/>
      </c>
      <c r="U4483" t="str">
        <f t="shared" si="945"/>
        <v>PA_Alleg_2019p~Dem-member of council bellevue ward 3 (vote for 2)</v>
      </c>
      <c r="W4483" s="40"/>
      <c r="X4483" s="72"/>
      <c r="Y4483" s="40"/>
      <c r="AC4483" s="9"/>
      <c r="AD4483" s="9"/>
      <c r="AE4483" s="9"/>
      <c r="AF4483" s="22"/>
      <c r="AG4483" s="314"/>
      <c r="AH4483" s="313"/>
      <c r="AI4483" s="315"/>
      <c r="AJ4483" s="315"/>
      <c r="AK4483" s="345"/>
      <c r="AL4483" s="346"/>
    </row>
    <row r="4484" spans="1:38">
      <c r="A4484" t="str">
        <f t="shared" si="946"/>
        <v>PA_Alleg_2019p~Dem-member of council bellevue ward 3 (vote for 2)</v>
      </c>
      <c r="B4484" s="55" t="s">
        <v>1291</v>
      </c>
      <c r="C4484">
        <v>972</v>
      </c>
      <c r="D4484" s="55" t="s">
        <v>947</v>
      </c>
      <c r="E4484" s="55" t="s">
        <v>948</v>
      </c>
      <c r="F4484" t="s">
        <v>12</v>
      </c>
      <c r="G4484" s="62">
        <v>127</v>
      </c>
      <c r="H4484" s="25">
        <v>45.36</v>
      </c>
      <c r="I4484">
        <v>2005</v>
      </c>
      <c r="J4484">
        <v>261</v>
      </c>
      <c r="K4484">
        <v>2</v>
      </c>
      <c r="L4484">
        <v>2</v>
      </c>
      <c r="M4484">
        <v>0</v>
      </c>
      <c r="N4484" s="23">
        <v>0</v>
      </c>
      <c r="O4484">
        <f t="shared" si="939"/>
        <v>2</v>
      </c>
      <c r="P4484" s="57">
        <f t="shared" si="940"/>
        <v>2</v>
      </c>
      <c r="Q4484" s="267">
        <f t="shared" si="941"/>
        <v>130</v>
      </c>
      <c r="R4484" s="23">
        <f t="shared" si="942"/>
        <v>127</v>
      </c>
      <c r="S4484" s="23">
        <f t="shared" si="943"/>
        <v>0</v>
      </c>
      <c r="T4484" s="23" t="str">
        <f t="shared" si="944"/>
        <v/>
      </c>
      <c r="U4484" t="str">
        <f t="shared" si="945"/>
        <v/>
      </c>
      <c r="W4484" s="40"/>
      <c r="X4484" s="72"/>
      <c r="Y4484" s="40"/>
      <c r="AC4484" s="9"/>
      <c r="AD4484" s="9"/>
      <c r="AE4484" s="9"/>
      <c r="AF4484" s="22"/>
    </row>
    <row r="4485" spans="1:38">
      <c r="A4485" t="str">
        <f t="shared" si="946"/>
        <v>PA_Alleg_2019p~Dem-member of council bellevue ward 3 (vote for 2)</v>
      </c>
      <c r="B4485" s="55" t="s">
        <v>1291</v>
      </c>
      <c r="C4485">
        <v>974</v>
      </c>
      <c r="D4485" s="55" t="s">
        <v>947</v>
      </c>
      <c r="E4485" s="55" t="s">
        <v>15</v>
      </c>
      <c r="F4485" t="s">
        <v>12</v>
      </c>
      <c r="G4485" s="62">
        <v>3</v>
      </c>
      <c r="H4485" s="25">
        <v>1.07</v>
      </c>
      <c r="I4485">
        <v>2005</v>
      </c>
      <c r="J4485">
        <v>261</v>
      </c>
      <c r="K4485">
        <v>2</v>
      </c>
      <c r="L4485">
        <v>2</v>
      </c>
      <c r="M4485">
        <v>0</v>
      </c>
      <c r="N4485" s="23">
        <v>0</v>
      </c>
      <c r="O4485">
        <f t="shared" si="939"/>
        <v>-2</v>
      </c>
      <c r="P4485" s="57">
        <f t="shared" si="940"/>
        <v>2</v>
      </c>
      <c r="Q4485" s="267">
        <f t="shared" si="941"/>
        <v>3</v>
      </c>
      <c r="R4485" s="23">
        <f t="shared" si="942"/>
        <v>1</v>
      </c>
      <c r="S4485" s="23">
        <f t="shared" si="943"/>
        <v>0</v>
      </c>
      <c r="T4485" s="23" t="str">
        <f t="shared" si="944"/>
        <v/>
      </c>
      <c r="U4485" t="str">
        <f t="shared" si="945"/>
        <v/>
      </c>
      <c r="W4485" s="40"/>
      <c r="X4485" s="72"/>
      <c r="Y4485" s="40"/>
      <c r="AC4485" s="9"/>
      <c r="AD4485" s="9"/>
      <c r="AE4485" s="9"/>
      <c r="AF4485" s="22"/>
    </row>
    <row r="4486" spans="1:38">
      <c r="A4486" t="str">
        <f t="shared" si="946"/>
        <v>PA_Alleg_2019p~Dem-member of council ben avon (vote for 3)</v>
      </c>
      <c r="B4486" s="55" t="s">
        <v>1291</v>
      </c>
      <c r="C4486">
        <v>722</v>
      </c>
      <c r="D4486" s="55" t="s">
        <v>700</v>
      </c>
      <c r="E4486" s="55" t="s">
        <v>702</v>
      </c>
      <c r="F4486" t="s">
        <v>12</v>
      </c>
      <c r="G4486" s="62">
        <v>156</v>
      </c>
      <c r="H4486" s="25">
        <v>33.99</v>
      </c>
      <c r="I4486">
        <v>1455</v>
      </c>
      <c r="J4486">
        <v>260</v>
      </c>
      <c r="K4486">
        <v>2</v>
      </c>
      <c r="L4486">
        <v>2</v>
      </c>
      <c r="M4486">
        <v>0</v>
      </c>
      <c r="N4486" s="23">
        <v>0</v>
      </c>
      <c r="O4486">
        <f t="shared" si="939"/>
        <v>1</v>
      </c>
      <c r="P4486" s="57">
        <f t="shared" si="940"/>
        <v>3</v>
      </c>
      <c r="Q4486" s="267">
        <f t="shared" si="941"/>
        <v>156</v>
      </c>
      <c r="R4486" s="23">
        <f t="shared" si="942"/>
        <v>144</v>
      </c>
      <c r="S4486" s="23">
        <f t="shared" si="943"/>
        <v>0</v>
      </c>
      <c r="T4486" s="23" t="str">
        <f t="shared" si="944"/>
        <v/>
      </c>
      <c r="U4486" t="str">
        <f t="shared" si="945"/>
        <v>PA_Alleg_2019p~Dem-member of council ben avon (vote for 3)</v>
      </c>
      <c r="W4486" s="40"/>
      <c r="X4486" s="72"/>
      <c r="Y4486" s="40"/>
      <c r="AC4486" s="9"/>
      <c r="AD4486" s="9"/>
      <c r="AE4486" s="9"/>
      <c r="AF4486" s="22"/>
      <c r="AG4486" s="281"/>
      <c r="AH4486" s="287"/>
      <c r="AI4486" s="288"/>
      <c r="AJ4486" s="288"/>
      <c r="AK4486" s="347"/>
      <c r="AL4486" s="348"/>
    </row>
    <row r="4487" spans="1:38">
      <c r="A4487" t="str">
        <f t="shared" si="946"/>
        <v>PA_Alleg_2019p~Dem-member of council ben avon (vote for 3)</v>
      </c>
      <c r="B4487" s="55" t="s">
        <v>1291</v>
      </c>
      <c r="C4487">
        <v>721</v>
      </c>
      <c r="D4487" s="55" t="s">
        <v>700</v>
      </c>
      <c r="E4487" s="55" t="s">
        <v>701</v>
      </c>
      <c r="F4487" t="s">
        <v>12</v>
      </c>
      <c r="G4487" s="62">
        <v>146</v>
      </c>
      <c r="H4487" s="25">
        <v>31.81</v>
      </c>
      <c r="I4487">
        <v>1455</v>
      </c>
      <c r="J4487">
        <v>260</v>
      </c>
      <c r="K4487">
        <v>2</v>
      </c>
      <c r="L4487">
        <v>2</v>
      </c>
      <c r="M4487">
        <v>0</v>
      </c>
      <c r="N4487" s="23">
        <v>0</v>
      </c>
      <c r="O4487">
        <f t="shared" si="939"/>
        <v>2</v>
      </c>
      <c r="P4487" s="57">
        <f t="shared" si="940"/>
        <v>3</v>
      </c>
      <c r="Q4487" s="267">
        <f t="shared" si="941"/>
        <v>303</v>
      </c>
      <c r="R4487" s="23">
        <f t="shared" si="942"/>
        <v>144</v>
      </c>
      <c r="S4487" s="23">
        <f t="shared" si="943"/>
        <v>0</v>
      </c>
      <c r="T4487" s="23" t="str">
        <f t="shared" si="944"/>
        <v/>
      </c>
      <c r="U4487" t="str">
        <f t="shared" si="945"/>
        <v/>
      </c>
      <c r="W4487" s="40"/>
      <c r="X4487" s="72"/>
      <c r="Y4487" s="40"/>
      <c r="AC4487" s="9"/>
      <c r="AD4487" s="9"/>
      <c r="AE4487" s="9"/>
      <c r="AF4487" s="22"/>
    </row>
    <row r="4488" spans="1:38">
      <c r="A4488" t="str">
        <f t="shared" si="946"/>
        <v>PA_Alleg_2019p~Dem-member of council ben avon (vote for 3)</v>
      </c>
      <c r="B4488" s="55" t="s">
        <v>1291</v>
      </c>
      <c r="C4488">
        <v>723</v>
      </c>
      <c r="D4488" s="55" t="s">
        <v>700</v>
      </c>
      <c r="E4488" s="55" t="s">
        <v>703</v>
      </c>
      <c r="F4488" t="s">
        <v>12</v>
      </c>
      <c r="G4488" s="62">
        <v>144</v>
      </c>
      <c r="H4488" s="25">
        <v>31.37</v>
      </c>
      <c r="I4488">
        <v>1455</v>
      </c>
      <c r="J4488">
        <v>260</v>
      </c>
      <c r="K4488">
        <v>2</v>
      </c>
      <c r="L4488">
        <v>2</v>
      </c>
      <c r="M4488">
        <v>0</v>
      </c>
      <c r="N4488" s="23">
        <v>0</v>
      </c>
      <c r="O4488">
        <f t="shared" si="939"/>
        <v>3</v>
      </c>
      <c r="P4488" s="57">
        <f t="shared" si="940"/>
        <v>3</v>
      </c>
      <c r="Q4488" s="267">
        <f t="shared" si="941"/>
        <v>157</v>
      </c>
      <c r="R4488" s="23">
        <f t="shared" si="942"/>
        <v>144</v>
      </c>
      <c r="S4488" s="23">
        <f t="shared" si="943"/>
        <v>0</v>
      </c>
      <c r="T4488" s="23" t="str">
        <f t="shared" si="944"/>
        <v/>
      </c>
      <c r="U4488" t="str">
        <f t="shared" si="945"/>
        <v/>
      </c>
      <c r="W4488" s="40"/>
      <c r="X4488" s="72"/>
      <c r="Y4488" s="40"/>
      <c r="AC4488" s="9"/>
      <c r="AD4488" s="9"/>
      <c r="AE4488" s="9"/>
      <c r="AF4488" s="22"/>
    </row>
    <row r="4489" spans="1:38">
      <c r="A4489" t="str">
        <f t="shared" si="946"/>
        <v>PA_Alleg_2019p~Dem-member of council ben avon (vote for 3)</v>
      </c>
      <c r="B4489" s="55" t="s">
        <v>1291</v>
      </c>
      <c r="C4489">
        <v>724</v>
      </c>
      <c r="D4489" s="55" t="s">
        <v>700</v>
      </c>
      <c r="E4489" s="55" t="s">
        <v>15</v>
      </c>
      <c r="F4489" t="s">
        <v>12</v>
      </c>
      <c r="G4489" s="62">
        <v>13</v>
      </c>
      <c r="H4489" s="25">
        <v>2.83</v>
      </c>
      <c r="I4489">
        <v>1455</v>
      </c>
      <c r="J4489">
        <v>260</v>
      </c>
      <c r="K4489">
        <v>2</v>
      </c>
      <c r="L4489">
        <v>2</v>
      </c>
      <c r="M4489">
        <v>0</v>
      </c>
      <c r="N4489" s="23">
        <v>0</v>
      </c>
      <c r="O4489">
        <f t="shared" si="939"/>
        <v>-3</v>
      </c>
      <c r="P4489" s="57">
        <f t="shared" si="940"/>
        <v>3</v>
      </c>
      <c r="Q4489" s="267">
        <f t="shared" si="941"/>
        <v>13</v>
      </c>
      <c r="R4489" s="23">
        <f t="shared" si="942"/>
        <v>1</v>
      </c>
      <c r="S4489" s="23">
        <f t="shared" si="943"/>
        <v>0</v>
      </c>
      <c r="T4489" s="23" t="str">
        <f t="shared" si="944"/>
        <v/>
      </c>
      <c r="U4489" t="str">
        <f t="shared" si="945"/>
        <v/>
      </c>
      <c r="W4489" s="40"/>
      <c r="X4489" s="72"/>
      <c r="Y4489" s="40"/>
      <c r="AC4489" s="9"/>
      <c r="AD4489" s="9"/>
      <c r="AE4489" s="9"/>
      <c r="AF4489" s="22"/>
    </row>
    <row r="4490" spans="1:38">
      <c r="A4490" t="str">
        <f t="shared" si="946"/>
        <v>PA_Alleg_2019p~Dem-member of council ben avon heights (vote for 1)</v>
      </c>
      <c r="B4490" s="55" t="s">
        <v>1291</v>
      </c>
      <c r="C4490">
        <v>936</v>
      </c>
      <c r="D4490" s="55" t="s">
        <v>912</v>
      </c>
      <c r="E4490" s="55" t="s">
        <v>15</v>
      </c>
      <c r="F4490" t="s">
        <v>12</v>
      </c>
      <c r="G4490" s="62">
        <v>5</v>
      </c>
      <c r="H4490" s="25">
        <v>100</v>
      </c>
      <c r="I4490">
        <v>324</v>
      </c>
      <c r="J4490">
        <v>74</v>
      </c>
      <c r="K4490">
        <v>1</v>
      </c>
      <c r="L4490">
        <v>1</v>
      </c>
      <c r="M4490">
        <v>0</v>
      </c>
      <c r="N4490" s="23">
        <v>0</v>
      </c>
      <c r="O4490">
        <f t="shared" si="939"/>
        <v>0</v>
      </c>
      <c r="P4490" s="57">
        <f t="shared" si="940"/>
        <v>1</v>
      </c>
      <c r="Q4490" s="267">
        <f t="shared" si="941"/>
        <v>5</v>
      </c>
      <c r="R4490" s="23">
        <f t="shared" si="942"/>
        <v>1</v>
      </c>
      <c r="S4490" s="23">
        <f t="shared" si="943"/>
        <v>0</v>
      </c>
      <c r="T4490" s="23" t="str">
        <f t="shared" si="944"/>
        <v/>
      </c>
      <c r="U4490" t="str">
        <f t="shared" si="945"/>
        <v>PA_Alleg_2019p~Dem-member of council ben avon heights (vote for 1)</v>
      </c>
      <c r="W4490" s="40"/>
      <c r="X4490" s="72"/>
      <c r="Y4490" s="40"/>
      <c r="AC4490" s="9"/>
      <c r="AD4490" s="9"/>
      <c r="AE4490" s="9"/>
      <c r="AF4490" s="22"/>
      <c r="AG4490" s="302"/>
      <c r="AH4490" s="301"/>
      <c r="AI4490" s="303"/>
      <c r="AJ4490" s="303"/>
      <c r="AK4490" s="342"/>
      <c r="AL4490" s="343"/>
    </row>
    <row r="4491" spans="1:38">
      <c r="A4491" t="str">
        <f t="shared" si="946"/>
        <v>PA_Alleg_2019p~Dem-member of council ben avon heights (vote for 4)</v>
      </c>
      <c r="B4491" s="55" t="s">
        <v>1291</v>
      </c>
      <c r="C4491">
        <v>681</v>
      </c>
      <c r="D4491" s="55" t="s">
        <v>660</v>
      </c>
      <c r="E4491" s="55" t="s">
        <v>661</v>
      </c>
      <c r="F4491" t="s">
        <v>12</v>
      </c>
      <c r="G4491" s="62">
        <v>25</v>
      </c>
      <c r="H4491" s="25">
        <v>71.430000000000007</v>
      </c>
      <c r="I4491">
        <v>324</v>
      </c>
      <c r="J4491">
        <v>74</v>
      </c>
      <c r="K4491">
        <v>1</v>
      </c>
      <c r="L4491">
        <v>1</v>
      </c>
      <c r="M4491">
        <v>0</v>
      </c>
      <c r="N4491" s="23">
        <v>0</v>
      </c>
      <c r="O4491">
        <f t="shared" si="939"/>
        <v>1</v>
      </c>
      <c r="P4491" s="57">
        <f t="shared" si="940"/>
        <v>4</v>
      </c>
      <c r="Q4491" s="267">
        <f t="shared" si="941"/>
        <v>25</v>
      </c>
      <c r="R4491" s="23">
        <f t="shared" si="942"/>
        <v>1</v>
      </c>
      <c r="S4491" s="23">
        <f t="shared" si="943"/>
        <v>0</v>
      </c>
      <c r="T4491" s="23" t="str">
        <f t="shared" si="944"/>
        <v/>
      </c>
      <c r="U4491" t="str">
        <f t="shared" si="945"/>
        <v>PA_Alleg_2019p~Dem-member of council ben avon heights (vote for 4)</v>
      </c>
      <c r="W4491" s="40"/>
      <c r="X4491" s="72"/>
      <c r="Y4491" s="40"/>
      <c r="AC4491" s="9"/>
      <c r="AD4491" s="9"/>
      <c r="AE4491" s="9"/>
      <c r="AF4491" s="22"/>
    </row>
    <row r="4492" spans="1:38">
      <c r="A4492" t="str">
        <f t="shared" si="946"/>
        <v>PA_Alleg_2019p~Dem-member of council ben avon heights (vote for 4)</v>
      </c>
      <c r="B4492" s="55" t="s">
        <v>1291</v>
      </c>
      <c r="C4492">
        <v>682</v>
      </c>
      <c r="D4492" s="55" t="s">
        <v>660</v>
      </c>
      <c r="E4492" s="55" t="s">
        <v>15</v>
      </c>
      <c r="F4492" t="s">
        <v>12</v>
      </c>
      <c r="G4492" s="62">
        <v>10</v>
      </c>
      <c r="H4492" s="25">
        <v>28.57</v>
      </c>
      <c r="I4492">
        <v>324</v>
      </c>
      <c r="J4492">
        <v>74</v>
      </c>
      <c r="K4492">
        <v>1</v>
      </c>
      <c r="L4492">
        <v>1</v>
      </c>
      <c r="M4492">
        <v>0</v>
      </c>
      <c r="N4492" s="23">
        <v>0</v>
      </c>
      <c r="O4492">
        <f t="shared" si="939"/>
        <v>-1</v>
      </c>
      <c r="P4492" s="57">
        <f t="shared" si="940"/>
        <v>4</v>
      </c>
      <c r="Q4492" s="267">
        <f t="shared" si="941"/>
        <v>10</v>
      </c>
      <c r="R4492" s="23">
        <f t="shared" si="942"/>
        <v>1</v>
      </c>
      <c r="S4492" s="23">
        <f t="shared" si="943"/>
        <v>0</v>
      </c>
      <c r="T4492" s="23" t="str">
        <f t="shared" si="944"/>
        <v/>
      </c>
      <c r="U4492" t="str">
        <f t="shared" si="945"/>
        <v/>
      </c>
      <c r="W4492" s="40"/>
      <c r="X4492" s="72"/>
      <c r="Y4492" s="40"/>
      <c r="AC4492" s="9"/>
      <c r="AD4492" s="9"/>
      <c r="AE4492" s="9"/>
      <c r="AF4492" s="22"/>
    </row>
    <row r="4493" spans="1:38">
      <c r="A4493" t="str">
        <f t="shared" si="946"/>
        <v>PA_Alleg_2019p~Dem-member of council bethel park ward 2 (vote for 1)</v>
      </c>
      <c r="B4493" s="55" t="s">
        <v>1291</v>
      </c>
      <c r="C4493">
        <v>1006</v>
      </c>
      <c r="D4493" s="55" t="s">
        <v>981</v>
      </c>
      <c r="E4493" s="55" t="s">
        <v>15</v>
      </c>
      <c r="F4493" t="s">
        <v>12</v>
      </c>
      <c r="G4493" s="62">
        <v>36</v>
      </c>
      <c r="H4493" s="25">
        <v>100</v>
      </c>
      <c r="I4493">
        <v>2765</v>
      </c>
      <c r="J4493">
        <v>567</v>
      </c>
      <c r="K4493">
        <v>3</v>
      </c>
      <c r="L4493">
        <v>3</v>
      </c>
      <c r="M4493">
        <v>0</v>
      </c>
      <c r="N4493" s="23">
        <v>0</v>
      </c>
      <c r="O4493">
        <f t="shared" si="939"/>
        <v>0</v>
      </c>
      <c r="P4493" s="57">
        <f t="shared" si="940"/>
        <v>1</v>
      </c>
      <c r="Q4493" s="267">
        <f t="shared" si="941"/>
        <v>36</v>
      </c>
      <c r="R4493" s="23">
        <f t="shared" si="942"/>
        <v>1</v>
      </c>
      <c r="S4493" s="23">
        <f t="shared" si="943"/>
        <v>0</v>
      </c>
      <c r="T4493" s="23" t="str">
        <f t="shared" si="944"/>
        <v/>
      </c>
      <c r="U4493" t="str">
        <f t="shared" si="945"/>
        <v>PA_Alleg_2019p~Dem-member of council bethel park ward 2 (vote for 1)</v>
      </c>
      <c r="W4493" s="40"/>
      <c r="X4493" s="72"/>
      <c r="Y4493" s="40"/>
      <c r="AC4493" s="9"/>
      <c r="AD4493" s="9"/>
      <c r="AE4493" s="9"/>
      <c r="AF4493" s="22"/>
    </row>
    <row r="4494" spans="1:38">
      <c r="A4494" t="str">
        <f t="shared" si="946"/>
        <v>PA_Alleg_2019p~Dem-member of council bethel park ward 4 (vote for 1)</v>
      </c>
      <c r="B4494" s="55" t="s">
        <v>1291</v>
      </c>
      <c r="C4494">
        <v>1007</v>
      </c>
      <c r="D4494" s="55" t="s">
        <v>982</v>
      </c>
      <c r="E4494" s="55" t="s">
        <v>15</v>
      </c>
      <c r="F4494" t="s">
        <v>12</v>
      </c>
      <c r="G4494" s="62">
        <v>68</v>
      </c>
      <c r="H4494" s="25">
        <v>100</v>
      </c>
      <c r="I4494">
        <v>2994</v>
      </c>
      <c r="J4494">
        <v>613</v>
      </c>
      <c r="K4494">
        <v>3</v>
      </c>
      <c r="L4494">
        <v>3</v>
      </c>
      <c r="M4494">
        <v>0</v>
      </c>
      <c r="N4494" s="23">
        <v>0</v>
      </c>
      <c r="O4494">
        <f t="shared" si="939"/>
        <v>0</v>
      </c>
      <c r="P4494" s="57">
        <f t="shared" si="940"/>
        <v>1</v>
      </c>
      <c r="Q4494" s="267">
        <f t="shared" si="941"/>
        <v>68</v>
      </c>
      <c r="R4494" s="23">
        <f t="shared" si="942"/>
        <v>1</v>
      </c>
      <c r="S4494" s="23">
        <f t="shared" si="943"/>
        <v>0</v>
      </c>
      <c r="T4494" s="23" t="str">
        <f t="shared" si="944"/>
        <v/>
      </c>
      <c r="U4494" t="str">
        <f t="shared" si="945"/>
        <v>PA_Alleg_2019p~Dem-member of council bethel park ward 4 (vote for 1)</v>
      </c>
      <c r="W4494" s="40"/>
      <c r="X4494" s="72"/>
      <c r="Y4494" s="40"/>
      <c r="AC4494" s="9"/>
      <c r="AD4494" s="9"/>
      <c r="AE4494" s="9"/>
      <c r="AF4494" s="22"/>
      <c r="AH4494" s="8"/>
    </row>
    <row r="4495" spans="1:38">
      <c r="A4495" t="str">
        <f t="shared" si="946"/>
        <v>PA_Alleg_2019p~Dem-member of council bethel park ward 6 (vote for 1)</v>
      </c>
      <c r="B4495" s="55" t="s">
        <v>1291</v>
      </c>
      <c r="C4495">
        <v>1008</v>
      </c>
      <c r="D4495" s="55" t="s">
        <v>983</v>
      </c>
      <c r="E4495" s="55" t="s">
        <v>984</v>
      </c>
      <c r="F4495" t="s">
        <v>12</v>
      </c>
      <c r="G4495" s="62">
        <v>320</v>
      </c>
      <c r="H4495" s="25">
        <v>98.46</v>
      </c>
      <c r="I4495">
        <v>3122</v>
      </c>
      <c r="J4495">
        <v>754</v>
      </c>
      <c r="K4495">
        <v>3</v>
      </c>
      <c r="L4495">
        <v>3</v>
      </c>
      <c r="M4495">
        <v>0</v>
      </c>
      <c r="N4495" s="23">
        <v>0</v>
      </c>
      <c r="O4495">
        <f t="shared" si="939"/>
        <v>1</v>
      </c>
      <c r="P4495" s="57">
        <f t="shared" si="940"/>
        <v>1</v>
      </c>
      <c r="Q4495" s="267">
        <f t="shared" si="941"/>
        <v>325</v>
      </c>
      <c r="R4495" s="23">
        <f t="shared" si="942"/>
        <v>320</v>
      </c>
      <c r="S4495" s="23">
        <f t="shared" si="943"/>
        <v>0</v>
      </c>
      <c r="T4495" s="23" t="str">
        <f t="shared" si="944"/>
        <v/>
      </c>
      <c r="U4495" t="str">
        <f t="shared" si="945"/>
        <v>PA_Alleg_2019p~Dem-member of council bethel park ward 6 (vote for 1)</v>
      </c>
      <c r="W4495" s="40"/>
      <c r="X4495" s="72"/>
      <c r="Y4495" s="40"/>
      <c r="AC4495" s="9"/>
      <c r="AD4495" s="9"/>
      <c r="AE4495" s="9"/>
      <c r="AF4495" s="22"/>
    </row>
    <row r="4496" spans="1:38">
      <c r="A4496" t="str">
        <f t="shared" si="946"/>
        <v>PA_Alleg_2019p~Dem-member of council bethel park ward 6 (vote for 1)</v>
      </c>
      <c r="B4496" s="55" t="s">
        <v>1291</v>
      </c>
      <c r="C4496">
        <v>1009</v>
      </c>
      <c r="D4496" s="55" t="s">
        <v>983</v>
      </c>
      <c r="E4496" s="55" t="s">
        <v>15</v>
      </c>
      <c r="F4496" t="s">
        <v>12</v>
      </c>
      <c r="G4496" s="62">
        <v>5</v>
      </c>
      <c r="H4496" s="25">
        <v>1.54</v>
      </c>
      <c r="I4496">
        <v>3122</v>
      </c>
      <c r="J4496">
        <v>754</v>
      </c>
      <c r="K4496">
        <v>3</v>
      </c>
      <c r="L4496">
        <v>3</v>
      </c>
      <c r="M4496">
        <v>0</v>
      </c>
      <c r="N4496" s="23">
        <v>0</v>
      </c>
      <c r="O4496">
        <f t="shared" si="939"/>
        <v>-1</v>
      </c>
      <c r="P4496" s="57">
        <f t="shared" si="940"/>
        <v>1</v>
      </c>
      <c r="Q4496" s="267">
        <f t="shared" si="941"/>
        <v>5</v>
      </c>
      <c r="R4496" s="23">
        <f t="shared" si="942"/>
        <v>1</v>
      </c>
      <c r="S4496" s="23">
        <f t="shared" si="943"/>
        <v>0</v>
      </c>
      <c r="T4496" s="23" t="str">
        <f t="shared" si="944"/>
        <v/>
      </c>
      <c r="U4496" t="str">
        <f t="shared" si="945"/>
        <v/>
      </c>
      <c r="W4496" s="40"/>
      <c r="X4496" s="72"/>
      <c r="Y4496" s="40"/>
      <c r="AC4496" s="9"/>
      <c r="AD4496" s="9"/>
      <c r="AE4496" s="9"/>
      <c r="AF4496" s="22"/>
    </row>
    <row r="4497" spans="1:38">
      <c r="A4497" t="str">
        <f t="shared" si="946"/>
        <v>PA_Alleg_2019p~Dem-member of council bethel park ward 8 (vote for 1)</v>
      </c>
      <c r="B4497" s="55" t="s">
        <v>1291</v>
      </c>
      <c r="C4497">
        <v>1010</v>
      </c>
      <c r="D4497" s="55" t="s">
        <v>985</v>
      </c>
      <c r="E4497" s="55" t="s">
        <v>15</v>
      </c>
      <c r="F4497" t="s">
        <v>12</v>
      </c>
      <c r="G4497" s="62">
        <v>29</v>
      </c>
      <c r="H4497" s="25">
        <v>100</v>
      </c>
      <c r="I4497">
        <v>2787</v>
      </c>
      <c r="J4497">
        <v>601</v>
      </c>
      <c r="K4497">
        <v>4</v>
      </c>
      <c r="L4497">
        <v>4</v>
      </c>
      <c r="M4497">
        <v>0</v>
      </c>
      <c r="N4497" s="23">
        <v>0</v>
      </c>
      <c r="O4497">
        <f t="shared" si="939"/>
        <v>0</v>
      </c>
      <c r="P4497" s="57">
        <f t="shared" si="940"/>
        <v>1</v>
      </c>
      <c r="Q4497" s="267">
        <f t="shared" si="941"/>
        <v>29</v>
      </c>
      <c r="R4497" s="23">
        <f t="shared" si="942"/>
        <v>1</v>
      </c>
      <c r="S4497" s="23">
        <f t="shared" si="943"/>
        <v>0</v>
      </c>
      <c r="T4497" s="23" t="str">
        <f t="shared" si="944"/>
        <v/>
      </c>
      <c r="U4497" t="str">
        <f t="shared" si="945"/>
        <v>PA_Alleg_2019p~Dem-member of council bethel park ward 8 (vote for 1)</v>
      </c>
      <c r="W4497" s="40"/>
      <c r="X4497" s="72"/>
      <c r="Y4497" s="40"/>
      <c r="AC4497" s="9"/>
      <c r="AD4497" s="9"/>
      <c r="AE4497" s="9"/>
      <c r="AF4497" s="22"/>
      <c r="AG4497" s="281"/>
      <c r="AH4497" s="287"/>
      <c r="AI4497" s="288"/>
      <c r="AJ4497" s="288"/>
      <c r="AK4497" s="347"/>
      <c r="AL4497" s="348"/>
    </row>
    <row r="4498" spans="1:38">
      <c r="A4498" t="str">
        <f t="shared" si="946"/>
        <v>PA_Alleg_2019p~Dem-member of council blawnox (vote for 3)</v>
      </c>
      <c r="B4498" s="55" t="s">
        <v>1291</v>
      </c>
      <c r="C4498">
        <v>726</v>
      </c>
      <c r="D4498" s="55" t="s">
        <v>704</v>
      </c>
      <c r="E4498" s="55" t="s">
        <v>706</v>
      </c>
      <c r="F4498" t="s">
        <v>12</v>
      </c>
      <c r="G4498" s="62">
        <v>101</v>
      </c>
      <c r="H4498" s="25">
        <v>34.47</v>
      </c>
      <c r="I4498">
        <v>1064</v>
      </c>
      <c r="J4498">
        <v>158</v>
      </c>
      <c r="K4498">
        <v>1</v>
      </c>
      <c r="L4498">
        <v>1</v>
      </c>
      <c r="M4498">
        <v>0</v>
      </c>
      <c r="N4498" s="23">
        <v>0</v>
      </c>
      <c r="O4498">
        <f t="shared" si="939"/>
        <v>1</v>
      </c>
      <c r="P4498" s="57">
        <f t="shared" si="940"/>
        <v>3</v>
      </c>
      <c r="Q4498" s="267">
        <f t="shared" si="941"/>
        <v>101</v>
      </c>
      <c r="R4498" s="23">
        <f t="shared" si="942"/>
        <v>90</v>
      </c>
      <c r="S4498" s="23">
        <f t="shared" si="943"/>
        <v>0</v>
      </c>
      <c r="T4498" s="23" t="str">
        <f t="shared" si="944"/>
        <v/>
      </c>
      <c r="U4498" t="str">
        <f t="shared" si="945"/>
        <v>PA_Alleg_2019p~Dem-member of council blawnox (vote for 3)</v>
      </c>
      <c r="W4498" s="40"/>
      <c r="X4498" s="72"/>
      <c r="Y4498" s="40"/>
      <c r="AC4498" s="9"/>
      <c r="AD4498" s="9"/>
      <c r="AE4498" s="9"/>
      <c r="AF4498" s="22"/>
      <c r="AH4498" s="8"/>
    </row>
    <row r="4499" spans="1:38">
      <c r="A4499" t="str">
        <f t="shared" si="946"/>
        <v>PA_Alleg_2019p~Dem-member of council blawnox (vote for 3)</v>
      </c>
      <c r="B4499" s="55" t="s">
        <v>1291</v>
      </c>
      <c r="C4499">
        <v>727</v>
      </c>
      <c r="D4499" s="55" t="s">
        <v>704</v>
      </c>
      <c r="E4499" s="55" t="s">
        <v>707</v>
      </c>
      <c r="F4499" t="s">
        <v>12</v>
      </c>
      <c r="G4499" s="62">
        <v>93</v>
      </c>
      <c r="H4499" s="25">
        <v>31.74</v>
      </c>
      <c r="I4499">
        <v>1064</v>
      </c>
      <c r="J4499">
        <v>158</v>
      </c>
      <c r="K4499">
        <v>1</v>
      </c>
      <c r="L4499">
        <v>1</v>
      </c>
      <c r="M4499">
        <v>0</v>
      </c>
      <c r="N4499" s="23">
        <v>0</v>
      </c>
      <c r="O4499">
        <f t="shared" si="939"/>
        <v>2</v>
      </c>
      <c r="P4499" s="57">
        <f t="shared" si="940"/>
        <v>3</v>
      </c>
      <c r="Q4499" s="267">
        <f t="shared" si="941"/>
        <v>192</v>
      </c>
      <c r="R4499" s="23">
        <f t="shared" si="942"/>
        <v>90</v>
      </c>
      <c r="S4499" s="23">
        <f t="shared" si="943"/>
        <v>0</v>
      </c>
      <c r="T4499" s="23" t="str">
        <f t="shared" si="944"/>
        <v/>
      </c>
      <c r="U4499" t="str">
        <f t="shared" si="945"/>
        <v/>
      </c>
      <c r="W4499" s="40"/>
      <c r="X4499" s="72"/>
      <c r="Y4499" s="40"/>
      <c r="AC4499" s="9"/>
      <c r="AD4499" s="9"/>
      <c r="AE4499" s="9"/>
      <c r="AF4499" s="22"/>
    </row>
    <row r="4500" spans="1:38">
      <c r="A4500" t="str">
        <f t="shared" si="946"/>
        <v>PA_Alleg_2019p~Dem-member of council blawnox (vote for 3)</v>
      </c>
      <c r="B4500" s="55" t="s">
        <v>1291</v>
      </c>
      <c r="C4500">
        <v>725</v>
      </c>
      <c r="D4500" s="55" t="s">
        <v>704</v>
      </c>
      <c r="E4500" s="55" t="s">
        <v>705</v>
      </c>
      <c r="F4500" t="s">
        <v>12</v>
      </c>
      <c r="G4500" s="62">
        <v>90</v>
      </c>
      <c r="H4500" s="25">
        <v>30.72</v>
      </c>
      <c r="I4500">
        <v>1064</v>
      </c>
      <c r="J4500">
        <v>158</v>
      </c>
      <c r="K4500">
        <v>1</v>
      </c>
      <c r="L4500">
        <v>1</v>
      </c>
      <c r="M4500">
        <v>0</v>
      </c>
      <c r="N4500" s="23">
        <v>0</v>
      </c>
      <c r="O4500">
        <f t="shared" si="939"/>
        <v>3</v>
      </c>
      <c r="P4500" s="57">
        <f t="shared" si="940"/>
        <v>3</v>
      </c>
      <c r="Q4500" s="267">
        <f t="shared" si="941"/>
        <v>99</v>
      </c>
      <c r="R4500" s="23">
        <f t="shared" si="942"/>
        <v>90</v>
      </c>
      <c r="S4500" s="23">
        <f t="shared" si="943"/>
        <v>0</v>
      </c>
      <c r="T4500" s="23" t="str">
        <f t="shared" si="944"/>
        <v/>
      </c>
      <c r="U4500" t="str">
        <f t="shared" si="945"/>
        <v/>
      </c>
      <c r="W4500" s="40"/>
      <c r="X4500" s="72"/>
      <c r="Y4500" s="40"/>
      <c r="AC4500" s="9"/>
      <c r="AD4500" s="9"/>
      <c r="AE4500" s="9"/>
      <c r="AF4500" s="22"/>
      <c r="AG4500" s="23"/>
      <c r="AH4500" s="8"/>
      <c r="AL4500" s="344"/>
    </row>
    <row r="4501" spans="1:38">
      <c r="A4501" t="str">
        <f t="shared" si="946"/>
        <v>PA_Alleg_2019p~Dem-member of council blawnox (vote for 3)</v>
      </c>
      <c r="B4501" s="55" t="s">
        <v>1291</v>
      </c>
      <c r="C4501">
        <v>728</v>
      </c>
      <c r="D4501" s="55" t="s">
        <v>704</v>
      </c>
      <c r="E4501" s="55" t="s">
        <v>15</v>
      </c>
      <c r="F4501" t="s">
        <v>12</v>
      </c>
      <c r="G4501" s="62">
        <v>9</v>
      </c>
      <c r="H4501" s="25">
        <v>3.07</v>
      </c>
      <c r="I4501">
        <v>1064</v>
      </c>
      <c r="J4501">
        <v>158</v>
      </c>
      <c r="K4501">
        <v>1</v>
      </c>
      <c r="L4501">
        <v>1</v>
      </c>
      <c r="M4501">
        <v>0</v>
      </c>
      <c r="N4501" s="23">
        <v>0</v>
      </c>
      <c r="O4501">
        <f t="shared" si="939"/>
        <v>-3</v>
      </c>
      <c r="P4501" s="57">
        <f t="shared" si="940"/>
        <v>3</v>
      </c>
      <c r="Q4501" s="267">
        <f t="shared" si="941"/>
        <v>9</v>
      </c>
      <c r="R4501" s="23">
        <f t="shared" si="942"/>
        <v>1</v>
      </c>
      <c r="S4501" s="23">
        <f t="shared" si="943"/>
        <v>0</v>
      </c>
      <c r="T4501" s="23" t="str">
        <f t="shared" si="944"/>
        <v/>
      </c>
      <c r="U4501" t="str">
        <f t="shared" si="945"/>
        <v/>
      </c>
      <c r="W4501" s="40"/>
      <c r="X4501" s="72"/>
      <c r="Y4501" s="40"/>
      <c r="AC4501" s="9"/>
      <c r="AD4501" s="9"/>
      <c r="AE4501" s="9"/>
      <c r="AF4501" s="22"/>
      <c r="AG4501" s="302"/>
      <c r="AH4501" s="301"/>
      <c r="AI4501" s="303"/>
      <c r="AJ4501" s="303"/>
      <c r="AK4501" s="342"/>
      <c r="AL4501" s="343"/>
    </row>
    <row r="4502" spans="1:38">
      <c r="A4502" t="str">
        <f t="shared" si="946"/>
        <v>PA_Alleg_2019p~Dem-member of council brackenridge ward 1 (vote for 1)</v>
      </c>
      <c r="B4502" s="55" t="s">
        <v>1291</v>
      </c>
      <c r="C4502">
        <v>1011</v>
      </c>
      <c r="D4502" s="55" t="s">
        <v>986</v>
      </c>
      <c r="E4502" s="55" t="s">
        <v>987</v>
      </c>
      <c r="F4502" t="s">
        <v>12</v>
      </c>
      <c r="G4502" s="62">
        <v>47</v>
      </c>
      <c r="H4502" s="25">
        <v>94</v>
      </c>
      <c r="I4502">
        <v>515</v>
      </c>
      <c r="J4502">
        <v>78</v>
      </c>
      <c r="K4502">
        <v>1</v>
      </c>
      <c r="L4502">
        <v>1</v>
      </c>
      <c r="M4502">
        <v>0</v>
      </c>
      <c r="N4502" s="23">
        <v>0</v>
      </c>
      <c r="O4502">
        <f t="shared" si="939"/>
        <v>1</v>
      </c>
      <c r="P4502" s="57">
        <f t="shared" si="940"/>
        <v>1</v>
      </c>
      <c r="Q4502" s="267">
        <f t="shared" si="941"/>
        <v>50</v>
      </c>
      <c r="R4502" s="23">
        <f t="shared" si="942"/>
        <v>47</v>
      </c>
      <c r="S4502" s="23">
        <f t="shared" si="943"/>
        <v>0</v>
      </c>
      <c r="T4502" s="23" t="str">
        <f t="shared" si="944"/>
        <v/>
      </c>
      <c r="U4502" t="str">
        <f t="shared" si="945"/>
        <v>PA_Alleg_2019p~Dem-member of council brackenridge ward 1 (vote for 1)</v>
      </c>
      <c r="W4502" s="40"/>
      <c r="X4502" s="72"/>
      <c r="Y4502" s="40"/>
      <c r="AC4502" s="9"/>
      <c r="AD4502" s="9"/>
      <c r="AE4502" s="9"/>
      <c r="AF4502" s="22"/>
    </row>
    <row r="4503" spans="1:38">
      <c r="A4503" t="str">
        <f t="shared" si="946"/>
        <v>PA_Alleg_2019p~Dem-member of council brackenridge ward 1 (vote for 1)</v>
      </c>
      <c r="B4503" s="55" t="s">
        <v>1291</v>
      </c>
      <c r="C4503">
        <v>1012</v>
      </c>
      <c r="D4503" s="55" t="s">
        <v>986</v>
      </c>
      <c r="E4503" s="55" t="s">
        <v>15</v>
      </c>
      <c r="F4503" t="s">
        <v>12</v>
      </c>
      <c r="G4503" s="62">
        <v>3</v>
      </c>
      <c r="H4503" s="25">
        <v>6</v>
      </c>
      <c r="I4503">
        <v>515</v>
      </c>
      <c r="J4503">
        <v>78</v>
      </c>
      <c r="K4503">
        <v>1</v>
      </c>
      <c r="L4503">
        <v>1</v>
      </c>
      <c r="M4503">
        <v>0</v>
      </c>
      <c r="N4503" s="23">
        <v>0</v>
      </c>
      <c r="O4503">
        <f t="shared" si="939"/>
        <v>-1</v>
      </c>
      <c r="P4503" s="57">
        <f t="shared" si="940"/>
        <v>1</v>
      </c>
      <c r="Q4503" s="267">
        <f t="shared" si="941"/>
        <v>3</v>
      </c>
      <c r="R4503" s="23">
        <f t="shared" si="942"/>
        <v>1</v>
      </c>
      <c r="S4503" s="23">
        <f t="shared" si="943"/>
        <v>0</v>
      </c>
      <c r="T4503" s="23" t="str">
        <f t="shared" si="944"/>
        <v/>
      </c>
      <c r="U4503" t="str">
        <f t="shared" si="945"/>
        <v/>
      </c>
      <c r="W4503" s="40"/>
      <c r="X4503" s="72"/>
      <c r="Y4503" s="40"/>
      <c r="AC4503" s="9"/>
      <c r="AD4503" s="9"/>
      <c r="AE4503" s="9"/>
      <c r="AF4503" s="22"/>
    </row>
    <row r="4504" spans="1:38">
      <c r="A4504" t="str">
        <f t="shared" si="946"/>
        <v>PA_Alleg_2019p~Dem-member of council brackenridge ward 2 (vote for 1)</v>
      </c>
      <c r="B4504" s="55" t="s">
        <v>1291</v>
      </c>
      <c r="C4504">
        <v>1013</v>
      </c>
      <c r="D4504" s="55" t="s">
        <v>988</v>
      </c>
      <c r="E4504" s="55" t="s">
        <v>989</v>
      </c>
      <c r="F4504" t="s">
        <v>12</v>
      </c>
      <c r="G4504" s="62">
        <v>69</v>
      </c>
      <c r="H4504" s="25">
        <v>100</v>
      </c>
      <c r="I4504">
        <v>785</v>
      </c>
      <c r="J4504">
        <v>115</v>
      </c>
      <c r="K4504">
        <v>1</v>
      </c>
      <c r="L4504">
        <v>1</v>
      </c>
      <c r="M4504">
        <v>0</v>
      </c>
      <c r="N4504" s="23">
        <v>0</v>
      </c>
      <c r="O4504">
        <f t="shared" si="939"/>
        <v>1</v>
      </c>
      <c r="P4504" s="57">
        <f t="shared" si="940"/>
        <v>1</v>
      </c>
      <c r="Q4504" s="267">
        <f t="shared" si="941"/>
        <v>69</v>
      </c>
      <c r="R4504" s="23">
        <f t="shared" si="942"/>
        <v>69</v>
      </c>
      <c r="S4504" s="23">
        <f t="shared" si="943"/>
        <v>0</v>
      </c>
      <c r="T4504" s="23" t="str">
        <f t="shared" si="944"/>
        <v/>
      </c>
      <c r="U4504" t="str">
        <f t="shared" si="945"/>
        <v>PA_Alleg_2019p~Dem-member of council brackenridge ward 2 (vote for 1)</v>
      </c>
      <c r="W4504" s="40"/>
      <c r="X4504" s="72"/>
      <c r="Y4504" s="40"/>
      <c r="AC4504" s="9"/>
      <c r="AD4504" s="9"/>
      <c r="AE4504" s="9"/>
      <c r="AF4504" s="22"/>
    </row>
    <row r="4505" spans="1:38">
      <c r="A4505" t="str">
        <f t="shared" si="946"/>
        <v>PA_Alleg_2019p~Dem-member of council brackenridge ward 2 (vote for 1)</v>
      </c>
      <c r="B4505" s="55" t="s">
        <v>1291</v>
      </c>
      <c r="C4505">
        <v>1014</v>
      </c>
      <c r="D4505" s="55" t="s">
        <v>988</v>
      </c>
      <c r="E4505" s="55" t="s">
        <v>15</v>
      </c>
      <c r="F4505" t="s">
        <v>12</v>
      </c>
      <c r="G4505" s="62">
        <v>0</v>
      </c>
      <c r="H4505" s="25">
        <v>0</v>
      </c>
      <c r="I4505">
        <v>785</v>
      </c>
      <c r="J4505">
        <v>115</v>
      </c>
      <c r="K4505">
        <v>1</v>
      </c>
      <c r="L4505">
        <v>1</v>
      </c>
      <c r="M4505">
        <v>0</v>
      </c>
      <c r="N4505" s="23">
        <v>0</v>
      </c>
      <c r="O4505">
        <f t="shared" si="939"/>
        <v>-1</v>
      </c>
      <c r="P4505" s="57">
        <f t="shared" si="940"/>
        <v>1</v>
      </c>
      <c r="Q4505" s="267">
        <f t="shared" si="941"/>
        <v>0</v>
      </c>
      <c r="R4505" s="23">
        <f t="shared" si="942"/>
        <v>1</v>
      </c>
      <c r="S4505" s="23">
        <f t="shared" si="943"/>
        <v>0</v>
      </c>
      <c r="T4505" s="23" t="str">
        <f t="shared" si="944"/>
        <v/>
      </c>
      <c r="U4505" t="str">
        <f t="shared" si="945"/>
        <v/>
      </c>
      <c r="W4505" s="40"/>
      <c r="X4505" s="72"/>
      <c r="Y4505" s="40"/>
      <c r="AC4505" s="9"/>
      <c r="AD4505" s="9"/>
      <c r="AE4505" s="9"/>
      <c r="AF4505" s="22"/>
      <c r="AG4505" s="259"/>
      <c r="AH4505" s="276"/>
      <c r="AI4505" s="277"/>
      <c r="AJ4505" s="278"/>
    </row>
    <row r="4506" spans="1:38">
      <c r="A4506" t="str">
        <f t="shared" si="946"/>
        <v>PA_Alleg_2019p~Dem-member of council brackenridge ward 3 (vote for 1)</v>
      </c>
      <c r="B4506" s="55" t="s">
        <v>1291</v>
      </c>
      <c r="C4506">
        <v>1015</v>
      </c>
      <c r="D4506" s="55" t="s">
        <v>990</v>
      </c>
      <c r="E4506" s="55" t="s">
        <v>991</v>
      </c>
      <c r="F4506" t="s">
        <v>12</v>
      </c>
      <c r="G4506" s="62">
        <v>64</v>
      </c>
      <c r="H4506" s="25">
        <v>100</v>
      </c>
      <c r="I4506">
        <v>655</v>
      </c>
      <c r="J4506">
        <v>97</v>
      </c>
      <c r="K4506">
        <v>1</v>
      </c>
      <c r="L4506">
        <v>1</v>
      </c>
      <c r="M4506">
        <v>0</v>
      </c>
      <c r="N4506" s="23">
        <v>0</v>
      </c>
      <c r="O4506">
        <f t="shared" si="939"/>
        <v>1</v>
      </c>
      <c r="P4506" s="57">
        <f t="shared" si="940"/>
        <v>1</v>
      </c>
      <c r="Q4506" s="267">
        <f t="shared" si="941"/>
        <v>64</v>
      </c>
      <c r="R4506" s="23">
        <f t="shared" si="942"/>
        <v>64</v>
      </c>
      <c r="S4506" s="23">
        <f t="shared" si="943"/>
        <v>0</v>
      </c>
      <c r="T4506" s="23" t="str">
        <f t="shared" si="944"/>
        <v/>
      </c>
      <c r="U4506" t="str">
        <f t="shared" si="945"/>
        <v>PA_Alleg_2019p~Dem-member of council brackenridge ward 3 (vote for 1)</v>
      </c>
      <c r="W4506" s="40"/>
      <c r="X4506" s="72"/>
      <c r="Y4506" s="40"/>
      <c r="AC4506" s="9"/>
      <c r="AD4506" s="9"/>
      <c r="AE4506" s="9"/>
      <c r="AF4506" s="22"/>
    </row>
    <row r="4507" spans="1:38">
      <c r="A4507" t="str">
        <f t="shared" si="946"/>
        <v>PA_Alleg_2019p~Dem-member of council brackenridge ward 3 (vote for 1)</v>
      </c>
      <c r="B4507" s="55" t="s">
        <v>1291</v>
      </c>
      <c r="C4507">
        <v>1016</v>
      </c>
      <c r="D4507" s="55" t="s">
        <v>990</v>
      </c>
      <c r="E4507" s="55" t="s">
        <v>15</v>
      </c>
      <c r="F4507" t="s">
        <v>12</v>
      </c>
      <c r="G4507" s="62">
        <v>0</v>
      </c>
      <c r="H4507" s="25">
        <v>0</v>
      </c>
      <c r="I4507">
        <v>655</v>
      </c>
      <c r="J4507">
        <v>97</v>
      </c>
      <c r="K4507">
        <v>1</v>
      </c>
      <c r="L4507">
        <v>1</v>
      </c>
      <c r="M4507">
        <v>0</v>
      </c>
      <c r="N4507" s="23">
        <v>0</v>
      </c>
      <c r="O4507">
        <f t="shared" si="939"/>
        <v>-1</v>
      </c>
      <c r="P4507" s="57">
        <f t="shared" si="940"/>
        <v>1</v>
      </c>
      <c r="Q4507" s="267">
        <f t="shared" si="941"/>
        <v>0</v>
      </c>
      <c r="R4507" s="23">
        <f t="shared" si="942"/>
        <v>1</v>
      </c>
      <c r="S4507" s="23">
        <f t="shared" si="943"/>
        <v>0</v>
      </c>
      <c r="T4507" s="23" t="str">
        <f t="shared" si="944"/>
        <v/>
      </c>
      <c r="U4507" t="str">
        <f t="shared" si="945"/>
        <v/>
      </c>
      <c r="W4507" s="40"/>
      <c r="X4507" s="72"/>
      <c r="Y4507" s="40"/>
      <c r="AC4507" s="9"/>
      <c r="AD4507" s="9"/>
      <c r="AE4507" s="9"/>
      <c r="AF4507" s="22"/>
    </row>
    <row r="4508" spans="1:38">
      <c r="A4508" t="str">
        <f t="shared" si="946"/>
        <v>PA_Alleg_2019p~Dem-member of council braddock hills (vote for 2)</v>
      </c>
      <c r="B4508" s="55" t="s">
        <v>1291</v>
      </c>
      <c r="C4508">
        <v>930</v>
      </c>
      <c r="D4508" s="55" t="s">
        <v>908</v>
      </c>
      <c r="E4508" s="55" t="s">
        <v>15</v>
      </c>
      <c r="F4508" t="s">
        <v>12</v>
      </c>
      <c r="G4508" s="62">
        <v>80</v>
      </c>
      <c r="H4508" s="25">
        <v>100</v>
      </c>
      <c r="I4508">
        <v>1392</v>
      </c>
      <c r="J4508">
        <v>252</v>
      </c>
      <c r="K4508">
        <v>2</v>
      </c>
      <c r="L4508">
        <v>2</v>
      </c>
      <c r="M4508">
        <v>0</v>
      </c>
      <c r="N4508" s="23">
        <v>0</v>
      </c>
      <c r="O4508">
        <f t="shared" si="939"/>
        <v>0</v>
      </c>
      <c r="P4508" s="57">
        <f t="shared" si="940"/>
        <v>2</v>
      </c>
      <c r="Q4508" s="267">
        <f t="shared" si="941"/>
        <v>80</v>
      </c>
      <c r="R4508" s="23">
        <f t="shared" si="942"/>
        <v>1</v>
      </c>
      <c r="S4508" s="23">
        <f t="shared" si="943"/>
        <v>0</v>
      </c>
      <c r="T4508" s="23" t="str">
        <f t="shared" si="944"/>
        <v/>
      </c>
      <c r="U4508" t="str">
        <f t="shared" si="945"/>
        <v>PA_Alleg_2019p~Dem-member of council braddock hills (vote for 2)</v>
      </c>
      <c r="W4508" s="40"/>
      <c r="X4508" s="72"/>
      <c r="Y4508" s="40"/>
      <c r="AC4508" s="9"/>
      <c r="AD4508" s="9"/>
      <c r="AE4508" s="9"/>
      <c r="AF4508" s="22"/>
    </row>
    <row r="4509" spans="1:38">
      <c r="A4509" t="str">
        <f t="shared" si="946"/>
        <v>PA_Alleg_2019p~Dem-member of council braddock hills (vote for 3)</v>
      </c>
      <c r="B4509" s="55" t="s">
        <v>1291</v>
      </c>
      <c r="C4509">
        <v>730</v>
      </c>
      <c r="D4509" s="55" t="s">
        <v>708</v>
      </c>
      <c r="E4509" s="55" t="s">
        <v>710</v>
      </c>
      <c r="F4509" t="s">
        <v>12</v>
      </c>
      <c r="G4509" s="62">
        <v>137</v>
      </c>
      <c r="H4509" s="25">
        <v>26.76</v>
      </c>
      <c r="I4509">
        <v>1392</v>
      </c>
      <c r="J4509">
        <v>252</v>
      </c>
      <c r="K4509">
        <v>2</v>
      </c>
      <c r="L4509">
        <v>2</v>
      </c>
      <c r="M4509">
        <v>0</v>
      </c>
      <c r="N4509" s="23">
        <v>0</v>
      </c>
      <c r="O4509">
        <f t="shared" si="939"/>
        <v>1</v>
      </c>
      <c r="P4509" s="57">
        <f t="shared" si="940"/>
        <v>3</v>
      </c>
      <c r="Q4509" s="267">
        <f t="shared" si="941"/>
        <v>170.66666666666666</v>
      </c>
      <c r="R4509" s="23">
        <f t="shared" si="942"/>
        <v>123</v>
      </c>
      <c r="S4509" s="23">
        <f t="shared" si="943"/>
        <v>91</v>
      </c>
      <c r="T4509" s="23">
        <f t="shared" si="944"/>
        <v>32</v>
      </c>
      <c r="U4509" t="str">
        <f t="shared" si="945"/>
        <v>PA_Alleg_2019p~Dem-member of council braddock hills (vote for 3)</v>
      </c>
      <c r="W4509" s="40"/>
      <c r="X4509" s="72"/>
      <c r="Y4509" s="40"/>
      <c r="AC4509" s="9"/>
      <c r="AD4509" s="9"/>
      <c r="AE4509" s="9"/>
      <c r="AF4509" s="22"/>
    </row>
    <row r="4510" spans="1:38">
      <c r="A4510" t="str">
        <f t="shared" si="946"/>
        <v>PA_Alleg_2019p~Dem-member of council braddock hills (vote for 3)</v>
      </c>
      <c r="B4510" s="55" t="s">
        <v>1291</v>
      </c>
      <c r="C4510">
        <v>729</v>
      </c>
      <c r="D4510" s="55" t="s">
        <v>708</v>
      </c>
      <c r="E4510" s="55" t="s">
        <v>709</v>
      </c>
      <c r="F4510" t="s">
        <v>12</v>
      </c>
      <c r="G4510" s="62">
        <v>128</v>
      </c>
      <c r="H4510" s="25">
        <v>25</v>
      </c>
      <c r="I4510">
        <v>1392</v>
      </c>
      <c r="J4510">
        <v>252</v>
      </c>
      <c r="K4510">
        <v>2</v>
      </c>
      <c r="L4510">
        <v>2</v>
      </c>
      <c r="M4510">
        <v>0</v>
      </c>
      <c r="N4510" s="23">
        <v>0</v>
      </c>
      <c r="O4510">
        <f t="shared" si="939"/>
        <v>2</v>
      </c>
      <c r="P4510" s="57">
        <f t="shared" si="940"/>
        <v>3</v>
      </c>
      <c r="Q4510" s="267">
        <f t="shared" si="941"/>
        <v>375</v>
      </c>
      <c r="R4510" s="23">
        <f t="shared" si="942"/>
        <v>123</v>
      </c>
      <c r="S4510" s="23">
        <f t="shared" si="943"/>
        <v>91</v>
      </c>
      <c r="T4510" s="23" t="str">
        <f t="shared" si="944"/>
        <v/>
      </c>
      <c r="U4510" t="str">
        <f t="shared" si="945"/>
        <v/>
      </c>
      <c r="W4510" s="40"/>
      <c r="X4510" s="72"/>
      <c r="Y4510" s="40"/>
      <c r="AC4510" s="9"/>
      <c r="AD4510" s="9"/>
      <c r="AE4510" s="9"/>
      <c r="AF4510" s="88"/>
    </row>
    <row r="4511" spans="1:38">
      <c r="A4511" t="str">
        <f t="shared" si="946"/>
        <v>PA_Alleg_2019p~Dem-member of council braddock hills (vote for 3)</v>
      </c>
      <c r="B4511" s="55" t="s">
        <v>1291</v>
      </c>
      <c r="C4511">
        <v>732</v>
      </c>
      <c r="D4511" s="55" t="s">
        <v>708</v>
      </c>
      <c r="E4511" s="55" t="s">
        <v>712</v>
      </c>
      <c r="F4511" t="s">
        <v>12</v>
      </c>
      <c r="G4511" s="62">
        <v>123</v>
      </c>
      <c r="H4511" s="25">
        <v>24.02</v>
      </c>
      <c r="I4511">
        <v>1392</v>
      </c>
      <c r="J4511">
        <v>252</v>
      </c>
      <c r="K4511">
        <v>2</v>
      </c>
      <c r="L4511">
        <v>2</v>
      </c>
      <c r="M4511">
        <v>0</v>
      </c>
      <c r="N4511" s="23">
        <v>0</v>
      </c>
      <c r="O4511">
        <f t="shared" si="939"/>
        <v>3</v>
      </c>
      <c r="P4511" s="57">
        <f t="shared" si="940"/>
        <v>3</v>
      </c>
      <c r="Q4511" s="267">
        <f t="shared" si="941"/>
        <v>247</v>
      </c>
      <c r="R4511" s="23">
        <f t="shared" si="942"/>
        <v>123</v>
      </c>
      <c r="S4511" s="23">
        <f t="shared" si="943"/>
        <v>91</v>
      </c>
      <c r="T4511" s="23" t="str">
        <f t="shared" si="944"/>
        <v/>
      </c>
      <c r="U4511" t="str">
        <f t="shared" si="945"/>
        <v/>
      </c>
      <c r="W4511" s="40"/>
      <c r="X4511" s="72"/>
      <c r="Y4511" s="40"/>
      <c r="AC4511" s="9"/>
      <c r="AD4511" s="9"/>
      <c r="AE4511" s="9"/>
      <c r="AF4511" s="88"/>
    </row>
    <row r="4512" spans="1:38">
      <c r="A4512" t="str">
        <f t="shared" si="946"/>
        <v>PA_Alleg_2019p~Dem-member of council braddock hills (vote for 3)</v>
      </c>
      <c r="B4512" s="55" t="s">
        <v>1291</v>
      </c>
      <c r="C4512">
        <v>731</v>
      </c>
      <c r="D4512" s="55" t="s">
        <v>708</v>
      </c>
      <c r="E4512" s="55" t="s">
        <v>711</v>
      </c>
      <c r="F4512" t="s">
        <v>12</v>
      </c>
      <c r="G4512" s="62">
        <v>91</v>
      </c>
      <c r="H4512" s="25">
        <v>17.77</v>
      </c>
      <c r="I4512">
        <v>1392</v>
      </c>
      <c r="J4512">
        <v>252</v>
      </c>
      <c r="K4512">
        <v>2</v>
      </c>
      <c r="L4512">
        <v>2</v>
      </c>
      <c r="M4512">
        <v>0</v>
      </c>
      <c r="N4512" s="23">
        <v>0</v>
      </c>
      <c r="O4512">
        <f t="shared" si="939"/>
        <v>4</v>
      </c>
      <c r="P4512" s="57">
        <f t="shared" si="940"/>
        <v>3</v>
      </c>
      <c r="Q4512" s="267">
        <f t="shared" si="941"/>
        <v>124</v>
      </c>
      <c r="R4512" s="23" t="str">
        <f t="shared" si="942"/>
        <v/>
      </c>
      <c r="S4512" s="23">
        <f t="shared" si="943"/>
        <v>91</v>
      </c>
      <c r="T4512" s="23" t="str">
        <f t="shared" si="944"/>
        <v/>
      </c>
      <c r="U4512" t="str">
        <f t="shared" si="945"/>
        <v/>
      </c>
      <c r="W4512" s="40"/>
      <c r="X4512" s="72"/>
      <c r="Y4512" s="40"/>
      <c r="AC4512" s="9"/>
      <c r="AD4512" s="9"/>
      <c r="AE4512" s="9"/>
      <c r="AF4512" s="22"/>
    </row>
    <row r="4513" spans="1:38">
      <c r="A4513" t="str">
        <f t="shared" si="946"/>
        <v>PA_Alleg_2019p~Dem-member of council braddock hills (vote for 3)</v>
      </c>
      <c r="B4513" s="55" t="s">
        <v>1291</v>
      </c>
      <c r="C4513">
        <v>733</v>
      </c>
      <c r="D4513" s="55" t="s">
        <v>708</v>
      </c>
      <c r="E4513" s="55" t="s">
        <v>15</v>
      </c>
      <c r="F4513" t="s">
        <v>12</v>
      </c>
      <c r="G4513" s="62">
        <v>33</v>
      </c>
      <c r="H4513" s="25">
        <v>6.45</v>
      </c>
      <c r="I4513">
        <v>1392</v>
      </c>
      <c r="J4513">
        <v>252</v>
      </c>
      <c r="K4513">
        <v>2</v>
      </c>
      <c r="L4513">
        <v>2</v>
      </c>
      <c r="M4513">
        <v>0</v>
      </c>
      <c r="N4513" s="23">
        <v>0</v>
      </c>
      <c r="O4513">
        <f t="shared" si="939"/>
        <v>-4</v>
      </c>
      <c r="P4513" s="57">
        <f t="shared" si="940"/>
        <v>3</v>
      </c>
      <c r="Q4513" s="267">
        <f t="shared" si="941"/>
        <v>33</v>
      </c>
      <c r="R4513" s="23">
        <f t="shared" si="942"/>
        <v>1</v>
      </c>
      <c r="S4513" s="23">
        <f t="shared" si="943"/>
        <v>0</v>
      </c>
      <c r="T4513" s="23" t="str">
        <f t="shared" si="944"/>
        <v/>
      </c>
      <c r="U4513" t="str">
        <f t="shared" si="945"/>
        <v/>
      </c>
      <c r="W4513" s="40"/>
      <c r="X4513" s="72"/>
      <c r="Y4513" s="40"/>
      <c r="AC4513" s="9"/>
      <c r="AD4513" s="9"/>
      <c r="AE4513" s="9"/>
      <c r="AF4513" s="22"/>
    </row>
    <row r="4514" spans="1:38">
      <c r="A4514" t="str">
        <f t="shared" si="946"/>
        <v>PA_Alleg_2019p~Dem-member of council braddock ward 1 (vote for 1)</v>
      </c>
      <c r="B4514" s="55" t="s">
        <v>1291</v>
      </c>
      <c r="C4514">
        <v>1017</v>
      </c>
      <c r="D4514" s="55" t="s">
        <v>992</v>
      </c>
      <c r="E4514" s="55" t="s">
        <v>15</v>
      </c>
      <c r="F4514" t="s">
        <v>12</v>
      </c>
      <c r="G4514" s="62">
        <v>8</v>
      </c>
      <c r="H4514" s="25">
        <v>100</v>
      </c>
      <c r="I4514">
        <v>560</v>
      </c>
      <c r="J4514">
        <v>111</v>
      </c>
      <c r="K4514">
        <v>1</v>
      </c>
      <c r="L4514">
        <v>1</v>
      </c>
      <c r="M4514">
        <v>0</v>
      </c>
      <c r="N4514" s="23">
        <v>0</v>
      </c>
      <c r="O4514">
        <f t="shared" si="939"/>
        <v>0</v>
      </c>
      <c r="P4514" s="57">
        <f t="shared" si="940"/>
        <v>1</v>
      </c>
      <c r="Q4514" s="267">
        <f t="shared" si="941"/>
        <v>8</v>
      </c>
      <c r="R4514" s="23">
        <f t="shared" si="942"/>
        <v>1</v>
      </c>
      <c r="S4514" s="23">
        <f t="shared" si="943"/>
        <v>0</v>
      </c>
      <c r="T4514" s="23" t="str">
        <f t="shared" si="944"/>
        <v/>
      </c>
      <c r="U4514" t="str">
        <f t="shared" si="945"/>
        <v>PA_Alleg_2019p~Dem-member of council braddock ward 1 (vote for 1)</v>
      </c>
      <c r="W4514" s="40"/>
      <c r="X4514" s="72"/>
      <c r="Y4514" s="40"/>
      <c r="AC4514" s="9"/>
      <c r="AD4514" s="9"/>
      <c r="AE4514" s="9"/>
      <c r="AF4514" s="22"/>
    </row>
    <row r="4515" spans="1:38">
      <c r="A4515" t="str">
        <f t="shared" si="946"/>
        <v>PA_Alleg_2019p~Dem-member of council braddock ward 2 (vote for 1)</v>
      </c>
      <c r="B4515" s="55" t="s">
        <v>1291</v>
      </c>
      <c r="C4515">
        <v>1018</v>
      </c>
      <c r="D4515" s="55" t="s">
        <v>993</v>
      </c>
      <c r="E4515" s="55" t="s">
        <v>994</v>
      </c>
      <c r="F4515" t="s">
        <v>12</v>
      </c>
      <c r="G4515" s="62">
        <v>60</v>
      </c>
      <c r="H4515" s="25">
        <v>58.82</v>
      </c>
      <c r="I4515">
        <v>641</v>
      </c>
      <c r="J4515">
        <v>112</v>
      </c>
      <c r="K4515">
        <v>1</v>
      </c>
      <c r="L4515">
        <v>1</v>
      </c>
      <c r="M4515">
        <v>0</v>
      </c>
      <c r="N4515" s="23">
        <v>0</v>
      </c>
      <c r="O4515">
        <f t="shared" si="939"/>
        <v>1</v>
      </c>
      <c r="P4515" s="57">
        <f t="shared" si="940"/>
        <v>1</v>
      </c>
      <c r="Q4515" s="267">
        <f t="shared" si="941"/>
        <v>102</v>
      </c>
      <c r="R4515" s="23">
        <f t="shared" si="942"/>
        <v>60</v>
      </c>
      <c r="S4515" s="23">
        <f t="shared" si="943"/>
        <v>42</v>
      </c>
      <c r="T4515" s="23">
        <f t="shared" si="944"/>
        <v>18</v>
      </c>
      <c r="U4515" t="str">
        <f t="shared" si="945"/>
        <v>PA_Alleg_2019p~Dem-member of council braddock ward 2 (vote for 1)</v>
      </c>
      <c r="W4515" s="40"/>
      <c r="X4515" s="72"/>
      <c r="Y4515" s="40"/>
      <c r="AC4515" s="9"/>
      <c r="AD4515" s="9"/>
      <c r="AE4515" s="9"/>
      <c r="AF4515" s="88"/>
    </row>
    <row r="4516" spans="1:38">
      <c r="A4516" t="str">
        <f t="shared" si="946"/>
        <v>PA_Alleg_2019p~Dem-member of council braddock ward 2 (vote for 1)</v>
      </c>
      <c r="B4516" s="55" t="s">
        <v>1291</v>
      </c>
      <c r="C4516">
        <v>1019</v>
      </c>
      <c r="D4516" s="55" t="s">
        <v>993</v>
      </c>
      <c r="E4516" s="55" t="s">
        <v>995</v>
      </c>
      <c r="F4516" t="s">
        <v>12</v>
      </c>
      <c r="G4516" s="62">
        <v>42</v>
      </c>
      <c r="H4516" s="25">
        <v>41.18</v>
      </c>
      <c r="I4516">
        <v>641</v>
      </c>
      <c r="J4516">
        <v>112</v>
      </c>
      <c r="K4516">
        <v>1</v>
      </c>
      <c r="L4516">
        <v>1</v>
      </c>
      <c r="M4516">
        <v>0</v>
      </c>
      <c r="N4516" s="23">
        <v>0</v>
      </c>
      <c r="O4516">
        <f t="shared" si="939"/>
        <v>2</v>
      </c>
      <c r="P4516" s="57">
        <f t="shared" si="940"/>
        <v>1</v>
      </c>
      <c r="Q4516" s="267">
        <f t="shared" si="941"/>
        <v>42</v>
      </c>
      <c r="R4516" s="23" t="str">
        <f t="shared" si="942"/>
        <v/>
      </c>
      <c r="S4516" s="23">
        <f t="shared" si="943"/>
        <v>42</v>
      </c>
      <c r="T4516" s="23" t="str">
        <f t="shared" si="944"/>
        <v/>
      </c>
      <c r="U4516" t="str">
        <f t="shared" si="945"/>
        <v/>
      </c>
      <c r="W4516" s="40"/>
      <c r="X4516" s="72"/>
      <c r="Y4516" s="40"/>
      <c r="AC4516" s="9"/>
      <c r="AD4516" s="9"/>
      <c r="AE4516" s="9"/>
    </row>
    <row r="4517" spans="1:38">
      <c r="A4517" t="str">
        <f t="shared" si="946"/>
        <v>PA_Alleg_2019p~Dem-member of council braddock ward 2 (vote for 1)</v>
      </c>
      <c r="B4517" s="55" t="s">
        <v>1291</v>
      </c>
      <c r="C4517">
        <v>1020</v>
      </c>
      <c r="D4517" s="55" t="s">
        <v>993</v>
      </c>
      <c r="E4517" s="55" t="s">
        <v>15</v>
      </c>
      <c r="F4517" t="s">
        <v>12</v>
      </c>
      <c r="G4517" s="62">
        <v>0</v>
      </c>
      <c r="H4517" s="25">
        <v>0</v>
      </c>
      <c r="I4517">
        <v>641</v>
      </c>
      <c r="J4517">
        <v>112</v>
      </c>
      <c r="K4517">
        <v>1</v>
      </c>
      <c r="L4517">
        <v>1</v>
      </c>
      <c r="M4517">
        <v>0</v>
      </c>
      <c r="N4517" s="23">
        <v>0</v>
      </c>
      <c r="O4517">
        <f t="shared" si="939"/>
        <v>-2</v>
      </c>
      <c r="P4517" s="57">
        <f t="shared" si="940"/>
        <v>1</v>
      </c>
      <c r="Q4517" s="267">
        <f t="shared" si="941"/>
        <v>0</v>
      </c>
      <c r="R4517" s="23">
        <f t="shared" si="942"/>
        <v>1</v>
      </c>
      <c r="S4517" s="23">
        <f t="shared" si="943"/>
        <v>0</v>
      </c>
      <c r="T4517" s="23" t="str">
        <f t="shared" si="944"/>
        <v/>
      </c>
      <c r="U4517" t="str">
        <f t="shared" si="945"/>
        <v/>
      </c>
      <c r="W4517" s="40"/>
      <c r="X4517" s="72"/>
      <c r="Y4517" s="40"/>
      <c r="AC4517" s="9"/>
      <c r="AD4517" s="9"/>
      <c r="AE4517" s="9"/>
    </row>
    <row r="4518" spans="1:38">
      <c r="A4518" t="str">
        <f t="shared" si="946"/>
        <v>PA_Alleg_2019p~Dem-member of council braddock ward 3 (vote for 1)</v>
      </c>
      <c r="B4518" s="55" t="s">
        <v>1291</v>
      </c>
      <c r="C4518">
        <v>1021</v>
      </c>
      <c r="D4518" s="55" t="s">
        <v>996</v>
      </c>
      <c r="E4518" s="55" t="s">
        <v>997</v>
      </c>
      <c r="F4518" t="s">
        <v>12</v>
      </c>
      <c r="G4518" s="62">
        <v>49</v>
      </c>
      <c r="H4518" s="25">
        <v>72.06</v>
      </c>
      <c r="I4518">
        <v>497</v>
      </c>
      <c r="J4518">
        <v>75</v>
      </c>
      <c r="K4518">
        <v>1</v>
      </c>
      <c r="L4518">
        <v>1</v>
      </c>
      <c r="M4518">
        <v>0</v>
      </c>
      <c r="N4518" s="23">
        <v>0</v>
      </c>
      <c r="O4518">
        <f t="shared" si="939"/>
        <v>1</v>
      </c>
      <c r="P4518" s="57">
        <f t="shared" si="940"/>
        <v>1</v>
      </c>
      <c r="Q4518" s="267">
        <f t="shared" si="941"/>
        <v>68</v>
      </c>
      <c r="R4518" s="23">
        <f t="shared" si="942"/>
        <v>49</v>
      </c>
      <c r="S4518" s="23">
        <f t="shared" si="943"/>
        <v>18</v>
      </c>
      <c r="T4518" s="23">
        <f t="shared" si="944"/>
        <v>31</v>
      </c>
      <c r="U4518" t="str">
        <f t="shared" si="945"/>
        <v>PA_Alleg_2019p~Dem-member of council braddock ward 3 (vote for 1)</v>
      </c>
      <c r="W4518" s="40"/>
      <c r="X4518" s="72"/>
      <c r="Y4518" s="40"/>
      <c r="AC4518" s="9"/>
      <c r="AD4518" s="9"/>
      <c r="AE4518" s="9"/>
    </row>
    <row r="4519" spans="1:38">
      <c r="A4519" t="str">
        <f t="shared" si="946"/>
        <v>PA_Alleg_2019p~Dem-member of council braddock ward 3 (vote for 1)</v>
      </c>
      <c r="B4519" s="55" t="s">
        <v>1291</v>
      </c>
      <c r="C4519">
        <v>1022</v>
      </c>
      <c r="D4519" s="55" t="s">
        <v>996</v>
      </c>
      <c r="E4519" s="55" t="s">
        <v>998</v>
      </c>
      <c r="F4519" t="s">
        <v>12</v>
      </c>
      <c r="G4519" s="62">
        <v>18</v>
      </c>
      <c r="H4519" s="25">
        <v>26.47</v>
      </c>
      <c r="I4519">
        <v>497</v>
      </c>
      <c r="J4519">
        <v>75</v>
      </c>
      <c r="K4519">
        <v>1</v>
      </c>
      <c r="L4519">
        <v>1</v>
      </c>
      <c r="M4519">
        <v>0</v>
      </c>
      <c r="N4519" s="23">
        <v>0</v>
      </c>
      <c r="O4519">
        <f t="shared" si="939"/>
        <v>2</v>
      </c>
      <c r="P4519" s="57">
        <f t="shared" si="940"/>
        <v>1</v>
      </c>
      <c r="Q4519" s="267">
        <f t="shared" si="941"/>
        <v>19</v>
      </c>
      <c r="R4519" s="23" t="str">
        <f t="shared" si="942"/>
        <v/>
      </c>
      <c r="S4519" s="23">
        <f t="shared" si="943"/>
        <v>18</v>
      </c>
      <c r="T4519" s="23" t="str">
        <f t="shared" si="944"/>
        <v/>
      </c>
      <c r="U4519" t="str">
        <f t="shared" si="945"/>
        <v/>
      </c>
      <c r="W4519" s="40"/>
      <c r="X4519" s="72"/>
      <c r="Y4519" s="40"/>
      <c r="AC4519" s="9"/>
      <c r="AD4519" s="9"/>
      <c r="AE4519" s="9"/>
      <c r="AF4519" s="22"/>
    </row>
    <row r="4520" spans="1:38">
      <c r="A4520" t="str">
        <f t="shared" si="946"/>
        <v>PA_Alleg_2019p~Dem-member of council braddock ward 3 (vote for 1)</v>
      </c>
      <c r="B4520" s="55" t="s">
        <v>1291</v>
      </c>
      <c r="C4520">
        <v>1023</v>
      </c>
      <c r="D4520" s="55" t="s">
        <v>996</v>
      </c>
      <c r="E4520" s="55" t="s">
        <v>15</v>
      </c>
      <c r="F4520" t="s">
        <v>12</v>
      </c>
      <c r="G4520" s="62">
        <v>1</v>
      </c>
      <c r="H4520" s="25">
        <v>1.47</v>
      </c>
      <c r="I4520">
        <v>497</v>
      </c>
      <c r="J4520">
        <v>75</v>
      </c>
      <c r="K4520">
        <v>1</v>
      </c>
      <c r="L4520">
        <v>1</v>
      </c>
      <c r="M4520">
        <v>0</v>
      </c>
      <c r="N4520" s="23">
        <v>0</v>
      </c>
      <c r="O4520">
        <f t="shared" si="939"/>
        <v>-2</v>
      </c>
      <c r="P4520" s="57">
        <f t="shared" si="940"/>
        <v>1</v>
      </c>
      <c r="Q4520" s="267">
        <f t="shared" si="941"/>
        <v>1</v>
      </c>
      <c r="R4520" s="23">
        <f t="shared" si="942"/>
        <v>1</v>
      </c>
      <c r="S4520" s="23">
        <f t="shared" si="943"/>
        <v>0</v>
      </c>
      <c r="T4520" s="23" t="str">
        <f t="shared" si="944"/>
        <v/>
      </c>
      <c r="U4520" t="str">
        <f t="shared" si="945"/>
        <v/>
      </c>
      <c r="W4520" s="40"/>
      <c r="X4520" s="72"/>
      <c r="Y4520" s="40"/>
      <c r="AC4520" s="9"/>
      <c r="AD4520" s="9"/>
      <c r="AE4520" s="9"/>
      <c r="AF4520" s="88"/>
    </row>
    <row r="4521" spans="1:38">
      <c r="A4521" t="str">
        <f t="shared" si="946"/>
        <v>PA_Alleg_2019p~Dem-member of council bradford woods (vote for 3)</v>
      </c>
      <c r="B4521" s="55" t="s">
        <v>1291</v>
      </c>
      <c r="C4521">
        <v>734</v>
      </c>
      <c r="D4521" s="55" t="s">
        <v>713</v>
      </c>
      <c r="E4521" s="55" t="s">
        <v>714</v>
      </c>
      <c r="F4521" t="s">
        <v>12</v>
      </c>
      <c r="G4521" s="62">
        <v>76</v>
      </c>
      <c r="H4521" s="25">
        <v>92.68</v>
      </c>
      <c r="I4521">
        <v>1027</v>
      </c>
      <c r="J4521">
        <v>207</v>
      </c>
      <c r="K4521">
        <v>1</v>
      </c>
      <c r="L4521">
        <v>1</v>
      </c>
      <c r="M4521">
        <v>0</v>
      </c>
      <c r="N4521" s="23">
        <v>0</v>
      </c>
      <c r="O4521">
        <f t="shared" si="939"/>
        <v>1</v>
      </c>
      <c r="P4521" s="57">
        <f t="shared" si="940"/>
        <v>3</v>
      </c>
      <c r="Q4521" s="267">
        <f t="shared" si="941"/>
        <v>76</v>
      </c>
      <c r="R4521" s="23">
        <f t="shared" si="942"/>
        <v>1</v>
      </c>
      <c r="S4521" s="23">
        <f t="shared" si="943"/>
        <v>0</v>
      </c>
      <c r="T4521" s="23" t="str">
        <f t="shared" si="944"/>
        <v/>
      </c>
      <c r="U4521" t="str">
        <f t="shared" si="945"/>
        <v>PA_Alleg_2019p~Dem-member of council bradford woods (vote for 3)</v>
      </c>
      <c r="W4521" s="40"/>
      <c r="X4521" s="72"/>
      <c r="Y4521" s="40"/>
      <c r="AC4521" s="9"/>
      <c r="AD4521" s="9"/>
      <c r="AE4521" s="9"/>
      <c r="AF4521" s="22"/>
      <c r="AH4521" s="8"/>
      <c r="AL4521" s="23"/>
    </row>
    <row r="4522" spans="1:38">
      <c r="A4522" t="str">
        <f t="shared" si="946"/>
        <v>PA_Alleg_2019p~Dem-member of council bradford woods (vote for 3)</v>
      </c>
      <c r="B4522" s="55" t="s">
        <v>1291</v>
      </c>
      <c r="C4522">
        <v>735</v>
      </c>
      <c r="D4522" s="55" t="s">
        <v>713</v>
      </c>
      <c r="E4522" s="55" t="s">
        <v>15</v>
      </c>
      <c r="F4522" t="s">
        <v>12</v>
      </c>
      <c r="G4522" s="62">
        <v>6</v>
      </c>
      <c r="H4522" s="25">
        <v>7.32</v>
      </c>
      <c r="I4522">
        <v>1027</v>
      </c>
      <c r="J4522">
        <v>207</v>
      </c>
      <c r="K4522">
        <v>1</v>
      </c>
      <c r="L4522">
        <v>1</v>
      </c>
      <c r="M4522">
        <v>0</v>
      </c>
      <c r="N4522" s="23">
        <v>0</v>
      </c>
      <c r="O4522">
        <f t="shared" si="939"/>
        <v>-1</v>
      </c>
      <c r="P4522" s="57">
        <f t="shared" si="940"/>
        <v>3</v>
      </c>
      <c r="Q4522" s="267">
        <f t="shared" si="941"/>
        <v>6</v>
      </c>
      <c r="R4522" s="23">
        <f t="shared" si="942"/>
        <v>1</v>
      </c>
      <c r="S4522" s="23">
        <f t="shared" si="943"/>
        <v>0</v>
      </c>
      <c r="T4522" s="23" t="str">
        <f t="shared" si="944"/>
        <v/>
      </c>
      <c r="U4522" t="str">
        <f t="shared" si="945"/>
        <v/>
      </c>
      <c r="W4522" s="40"/>
      <c r="X4522" s="72"/>
      <c r="Y4522" s="40"/>
      <c r="AC4522" s="9"/>
      <c r="AD4522" s="9"/>
      <c r="AE4522" s="9"/>
      <c r="AF4522" s="22"/>
    </row>
    <row r="4523" spans="1:38">
      <c r="A4523" t="str">
        <f t="shared" si="946"/>
        <v>PA_Alleg_2019p~Dem-member of council brentwood (vote for 3)</v>
      </c>
      <c r="B4523" s="55" t="s">
        <v>1291</v>
      </c>
      <c r="C4523">
        <v>737</v>
      </c>
      <c r="D4523" s="55" t="s">
        <v>715</v>
      </c>
      <c r="E4523" s="55" t="s">
        <v>717</v>
      </c>
      <c r="F4523" t="s">
        <v>12</v>
      </c>
      <c r="G4523" s="62">
        <v>383</v>
      </c>
      <c r="H4523" s="25">
        <v>27.18</v>
      </c>
      <c r="I4523">
        <v>6753</v>
      </c>
      <c r="J4523">
        <v>824</v>
      </c>
      <c r="K4523">
        <v>10</v>
      </c>
      <c r="L4523">
        <v>10</v>
      </c>
      <c r="M4523">
        <v>0</v>
      </c>
      <c r="N4523" s="23">
        <v>0</v>
      </c>
      <c r="O4523">
        <f t="shared" si="939"/>
        <v>1</v>
      </c>
      <c r="P4523" s="57">
        <f t="shared" si="940"/>
        <v>3</v>
      </c>
      <c r="Q4523" s="267">
        <f t="shared" si="941"/>
        <v>469.66666666666669</v>
      </c>
      <c r="R4523" s="23">
        <f t="shared" si="942"/>
        <v>332</v>
      </c>
      <c r="S4523" s="23">
        <f t="shared" si="943"/>
        <v>318</v>
      </c>
      <c r="T4523" s="23">
        <f t="shared" si="944"/>
        <v>14</v>
      </c>
      <c r="U4523" t="str">
        <f t="shared" si="945"/>
        <v>PA_Alleg_2019p~Dem-member of council brentwood (vote for 3)</v>
      </c>
      <c r="W4523" s="40"/>
      <c r="X4523" s="72"/>
      <c r="Y4523" s="40"/>
      <c r="AC4523" s="9"/>
      <c r="AD4523" s="9"/>
      <c r="AE4523" s="9"/>
      <c r="AF4523" s="22"/>
    </row>
    <row r="4524" spans="1:38">
      <c r="A4524" t="str">
        <f t="shared" si="946"/>
        <v>PA_Alleg_2019p~Dem-member of council brentwood (vote for 3)</v>
      </c>
      <c r="B4524" s="55" t="s">
        <v>1291</v>
      </c>
      <c r="C4524">
        <v>738</v>
      </c>
      <c r="D4524" s="55" t="s">
        <v>715</v>
      </c>
      <c r="E4524" s="55" t="s">
        <v>718</v>
      </c>
      <c r="F4524" t="s">
        <v>12</v>
      </c>
      <c r="G4524" s="62">
        <v>362</v>
      </c>
      <c r="H4524" s="25">
        <v>25.69</v>
      </c>
      <c r="I4524">
        <v>6753</v>
      </c>
      <c r="J4524">
        <v>824</v>
      </c>
      <c r="K4524">
        <v>10</v>
      </c>
      <c r="L4524">
        <v>10</v>
      </c>
      <c r="M4524">
        <v>0</v>
      </c>
      <c r="N4524" s="23">
        <v>0</v>
      </c>
      <c r="O4524">
        <f t="shared" si="939"/>
        <v>2</v>
      </c>
      <c r="P4524" s="57">
        <f t="shared" si="940"/>
        <v>3</v>
      </c>
      <c r="Q4524" s="267">
        <f t="shared" si="941"/>
        <v>1026</v>
      </c>
      <c r="R4524" s="23">
        <f t="shared" si="942"/>
        <v>332</v>
      </c>
      <c r="S4524" s="23">
        <f t="shared" si="943"/>
        <v>318</v>
      </c>
      <c r="T4524" s="23" t="str">
        <f t="shared" si="944"/>
        <v/>
      </c>
      <c r="U4524" t="str">
        <f t="shared" si="945"/>
        <v/>
      </c>
      <c r="W4524" s="40"/>
      <c r="X4524" s="72"/>
      <c r="Y4524" s="40"/>
      <c r="AC4524" s="9"/>
      <c r="AD4524" s="9"/>
      <c r="AE4524" s="9"/>
      <c r="AF4524" s="22"/>
    </row>
    <row r="4525" spans="1:38">
      <c r="A4525" t="str">
        <f t="shared" si="946"/>
        <v>PA_Alleg_2019p~Dem-member of council brentwood (vote for 3)</v>
      </c>
      <c r="B4525" s="55" t="s">
        <v>1291</v>
      </c>
      <c r="C4525">
        <v>739</v>
      </c>
      <c r="D4525" s="55" t="s">
        <v>715</v>
      </c>
      <c r="E4525" s="55" t="s">
        <v>719</v>
      </c>
      <c r="F4525" t="s">
        <v>12</v>
      </c>
      <c r="G4525" s="62">
        <v>332</v>
      </c>
      <c r="H4525" s="25">
        <v>23.56</v>
      </c>
      <c r="I4525">
        <v>6753</v>
      </c>
      <c r="J4525">
        <v>824</v>
      </c>
      <c r="K4525">
        <v>10</v>
      </c>
      <c r="L4525">
        <v>10</v>
      </c>
      <c r="M4525">
        <v>0</v>
      </c>
      <c r="N4525" s="23">
        <v>0</v>
      </c>
      <c r="O4525">
        <f t="shared" si="939"/>
        <v>3</v>
      </c>
      <c r="P4525" s="57">
        <f t="shared" si="940"/>
        <v>3</v>
      </c>
      <c r="Q4525" s="267">
        <f t="shared" si="941"/>
        <v>664</v>
      </c>
      <c r="R4525" s="23">
        <f t="shared" si="942"/>
        <v>332</v>
      </c>
      <c r="S4525" s="23">
        <f t="shared" si="943"/>
        <v>318</v>
      </c>
      <c r="T4525" s="23" t="str">
        <f t="shared" si="944"/>
        <v/>
      </c>
      <c r="U4525" t="str">
        <f t="shared" si="945"/>
        <v/>
      </c>
      <c r="W4525" s="40"/>
      <c r="X4525" s="72"/>
      <c r="Y4525" s="40"/>
      <c r="AC4525" s="9"/>
      <c r="AD4525" s="9"/>
      <c r="AE4525" s="9"/>
      <c r="AF4525" s="22"/>
      <c r="AL4525" s="344"/>
    </row>
    <row r="4526" spans="1:38">
      <c r="A4526" t="str">
        <f t="shared" si="946"/>
        <v>PA_Alleg_2019p~Dem-member of council brentwood (vote for 3)</v>
      </c>
      <c r="B4526" s="55" t="s">
        <v>1291</v>
      </c>
      <c r="C4526">
        <v>736</v>
      </c>
      <c r="D4526" s="55" t="s">
        <v>715</v>
      </c>
      <c r="E4526" s="55" t="s">
        <v>716</v>
      </c>
      <c r="F4526" t="s">
        <v>12</v>
      </c>
      <c r="G4526" s="62">
        <v>318</v>
      </c>
      <c r="H4526" s="25">
        <v>22.57</v>
      </c>
      <c r="I4526">
        <v>6753</v>
      </c>
      <c r="J4526">
        <v>824</v>
      </c>
      <c r="K4526">
        <v>10</v>
      </c>
      <c r="L4526">
        <v>10</v>
      </c>
      <c r="M4526">
        <v>0</v>
      </c>
      <c r="N4526" s="23">
        <v>0</v>
      </c>
      <c r="O4526">
        <f t="shared" si="939"/>
        <v>4</v>
      </c>
      <c r="P4526" s="57">
        <f t="shared" si="940"/>
        <v>3</v>
      </c>
      <c r="Q4526" s="267">
        <f t="shared" si="941"/>
        <v>332</v>
      </c>
      <c r="R4526" s="23" t="str">
        <f t="shared" si="942"/>
        <v/>
      </c>
      <c r="S4526" s="23">
        <f t="shared" si="943"/>
        <v>318</v>
      </c>
      <c r="T4526" s="23" t="str">
        <f t="shared" si="944"/>
        <v/>
      </c>
      <c r="U4526" t="str">
        <f t="shared" si="945"/>
        <v/>
      </c>
      <c r="W4526" s="40"/>
      <c r="X4526" s="72"/>
      <c r="Y4526" s="40"/>
      <c r="AC4526" s="9"/>
      <c r="AD4526" s="9"/>
      <c r="AE4526" s="9"/>
      <c r="AF4526" s="300"/>
    </row>
    <row r="4527" spans="1:38">
      <c r="A4527" t="str">
        <f t="shared" si="946"/>
        <v>PA_Alleg_2019p~Dem-member of council brentwood (vote for 3)</v>
      </c>
      <c r="B4527" s="55" t="s">
        <v>1291</v>
      </c>
      <c r="C4527">
        <v>740</v>
      </c>
      <c r="D4527" s="55" t="s">
        <v>715</v>
      </c>
      <c r="E4527" s="55" t="s">
        <v>15</v>
      </c>
      <c r="F4527" t="s">
        <v>12</v>
      </c>
      <c r="G4527" s="62">
        <v>14</v>
      </c>
      <c r="H4527" s="25">
        <v>0.99</v>
      </c>
      <c r="I4527">
        <v>6753</v>
      </c>
      <c r="J4527">
        <v>824</v>
      </c>
      <c r="K4527">
        <v>10</v>
      </c>
      <c r="L4527">
        <v>10</v>
      </c>
      <c r="M4527">
        <v>0</v>
      </c>
      <c r="N4527" s="23">
        <v>0</v>
      </c>
      <c r="O4527">
        <f t="shared" si="939"/>
        <v>-4</v>
      </c>
      <c r="P4527" s="57">
        <f t="shared" si="940"/>
        <v>3</v>
      </c>
      <c r="Q4527" s="267">
        <f t="shared" si="941"/>
        <v>14</v>
      </c>
      <c r="R4527" s="23">
        <f t="shared" si="942"/>
        <v>1</v>
      </c>
      <c r="S4527" s="23">
        <f t="shared" si="943"/>
        <v>0</v>
      </c>
      <c r="T4527" s="23" t="str">
        <f t="shared" si="944"/>
        <v/>
      </c>
      <c r="U4527" t="str">
        <f t="shared" si="945"/>
        <v/>
      </c>
      <c r="W4527" s="40"/>
      <c r="X4527" s="72"/>
      <c r="Y4527" s="40"/>
      <c r="AC4527" s="9"/>
      <c r="AD4527" s="9"/>
      <c r="AE4527" s="9"/>
      <c r="AF4527" s="22"/>
    </row>
    <row r="4528" spans="1:38">
      <c r="A4528" t="str">
        <f t="shared" si="946"/>
        <v>PA_Alleg_2019p~Dem-member of council bridgeville (vote for 3)</v>
      </c>
      <c r="B4528" s="55" t="s">
        <v>1291</v>
      </c>
      <c r="C4528">
        <v>741</v>
      </c>
      <c r="D4528" s="55" t="s">
        <v>720</v>
      </c>
      <c r="E4528" s="55" t="s">
        <v>721</v>
      </c>
      <c r="F4528" t="s">
        <v>12</v>
      </c>
      <c r="G4528" s="62">
        <v>195</v>
      </c>
      <c r="H4528" s="25">
        <v>33.56</v>
      </c>
      <c r="I4528">
        <v>3576</v>
      </c>
      <c r="J4528">
        <v>400</v>
      </c>
      <c r="K4528">
        <v>4</v>
      </c>
      <c r="L4528">
        <v>4</v>
      </c>
      <c r="M4528">
        <v>0</v>
      </c>
      <c r="N4528" s="23">
        <v>0</v>
      </c>
      <c r="O4528">
        <f t="shared" si="939"/>
        <v>1</v>
      </c>
      <c r="P4528" s="57">
        <f t="shared" si="940"/>
        <v>3</v>
      </c>
      <c r="Q4528" s="267">
        <f t="shared" si="941"/>
        <v>195</v>
      </c>
      <c r="R4528" s="23">
        <f t="shared" si="942"/>
        <v>177</v>
      </c>
      <c r="S4528" s="23">
        <f t="shared" si="943"/>
        <v>0</v>
      </c>
      <c r="T4528" s="23" t="str">
        <f t="shared" si="944"/>
        <v/>
      </c>
      <c r="U4528" t="str">
        <f t="shared" si="945"/>
        <v>PA_Alleg_2019p~Dem-member of council bridgeville (vote for 3)</v>
      </c>
      <c r="W4528" s="40"/>
      <c r="X4528" s="72"/>
      <c r="Y4528" s="40"/>
      <c r="AC4528" s="9"/>
      <c r="AD4528" s="9"/>
      <c r="AE4528" s="9"/>
      <c r="AF4528" s="88"/>
    </row>
    <row r="4529" spans="1:38">
      <c r="A4529" t="str">
        <f t="shared" si="946"/>
        <v>PA_Alleg_2019p~Dem-member of council bridgeville (vote for 3)</v>
      </c>
      <c r="B4529" s="55" t="s">
        <v>1291</v>
      </c>
      <c r="C4529">
        <v>743</v>
      </c>
      <c r="D4529" s="55" t="s">
        <v>720</v>
      </c>
      <c r="E4529" s="55" t="s">
        <v>723</v>
      </c>
      <c r="F4529" t="s">
        <v>12</v>
      </c>
      <c r="G4529" s="62">
        <v>194</v>
      </c>
      <c r="H4529" s="25">
        <v>33.39</v>
      </c>
      <c r="I4529">
        <v>3576</v>
      </c>
      <c r="J4529">
        <v>400</v>
      </c>
      <c r="K4529">
        <v>4</v>
      </c>
      <c r="L4529">
        <v>4</v>
      </c>
      <c r="M4529">
        <v>0</v>
      </c>
      <c r="N4529" s="23">
        <v>0</v>
      </c>
      <c r="O4529">
        <f t="shared" si="939"/>
        <v>2</v>
      </c>
      <c r="P4529" s="57">
        <f t="shared" si="940"/>
        <v>3</v>
      </c>
      <c r="Q4529" s="267">
        <f t="shared" si="941"/>
        <v>386</v>
      </c>
      <c r="R4529" s="23">
        <f t="shared" si="942"/>
        <v>177</v>
      </c>
      <c r="S4529" s="23">
        <f t="shared" si="943"/>
        <v>0</v>
      </c>
      <c r="T4529" s="23" t="str">
        <f t="shared" si="944"/>
        <v/>
      </c>
      <c r="U4529" t="str">
        <f t="shared" si="945"/>
        <v/>
      </c>
      <c r="W4529" s="40"/>
      <c r="X4529" s="72"/>
      <c r="Y4529" s="40"/>
      <c r="AC4529" s="9"/>
      <c r="AD4529" s="9"/>
      <c r="AE4529" s="9"/>
      <c r="AF4529" s="22"/>
    </row>
    <row r="4530" spans="1:38">
      <c r="A4530" t="str">
        <f t="shared" si="946"/>
        <v>PA_Alleg_2019p~Dem-member of council bridgeville (vote for 3)</v>
      </c>
      <c r="B4530" s="55" t="s">
        <v>1291</v>
      </c>
      <c r="C4530">
        <v>742</v>
      </c>
      <c r="D4530" s="55" t="s">
        <v>720</v>
      </c>
      <c r="E4530" s="55" t="s">
        <v>722</v>
      </c>
      <c r="F4530" t="s">
        <v>12</v>
      </c>
      <c r="G4530" s="62">
        <v>177</v>
      </c>
      <c r="H4530" s="25">
        <v>30.46</v>
      </c>
      <c r="I4530">
        <v>3576</v>
      </c>
      <c r="J4530">
        <v>400</v>
      </c>
      <c r="K4530">
        <v>4</v>
      </c>
      <c r="L4530">
        <v>4</v>
      </c>
      <c r="M4530">
        <v>0</v>
      </c>
      <c r="N4530" s="23">
        <v>0</v>
      </c>
      <c r="O4530">
        <f t="shared" si="939"/>
        <v>3</v>
      </c>
      <c r="P4530" s="57">
        <f t="shared" si="940"/>
        <v>3</v>
      </c>
      <c r="Q4530" s="267">
        <f t="shared" si="941"/>
        <v>192</v>
      </c>
      <c r="R4530" s="23">
        <f t="shared" si="942"/>
        <v>177</v>
      </c>
      <c r="S4530" s="23">
        <f t="shared" si="943"/>
        <v>0</v>
      </c>
      <c r="T4530" s="23" t="str">
        <f t="shared" si="944"/>
        <v/>
      </c>
      <c r="U4530" t="str">
        <f t="shared" si="945"/>
        <v/>
      </c>
      <c r="W4530" s="40"/>
      <c r="X4530" s="72"/>
      <c r="Y4530" s="40"/>
      <c r="AC4530" s="9"/>
      <c r="AD4530" s="9"/>
      <c r="AE4530" s="9"/>
      <c r="AF4530" s="88"/>
    </row>
    <row r="4531" spans="1:38">
      <c r="A4531" t="str">
        <f t="shared" si="946"/>
        <v>PA_Alleg_2019p~Dem-member of council bridgeville (vote for 3)</v>
      </c>
      <c r="B4531" s="55" t="s">
        <v>1291</v>
      </c>
      <c r="C4531">
        <v>744</v>
      </c>
      <c r="D4531" s="55" t="s">
        <v>720</v>
      </c>
      <c r="E4531" s="55" t="s">
        <v>15</v>
      </c>
      <c r="F4531" t="s">
        <v>12</v>
      </c>
      <c r="G4531" s="62">
        <v>15</v>
      </c>
      <c r="H4531" s="25">
        <v>2.58</v>
      </c>
      <c r="I4531">
        <v>3576</v>
      </c>
      <c r="J4531">
        <v>400</v>
      </c>
      <c r="K4531">
        <v>4</v>
      </c>
      <c r="L4531">
        <v>4</v>
      </c>
      <c r="M4531">
        <v>0</v>
      </c>
      <c r="N4531" s="23">
        <v>0</v>
      </c>
      <c r="O4531">
        <f t="shared" si="939"/>
        <v>-3</v>
      </c>
      <c r="P4531" s="57">
        <f t="shared" si="940"/>
        <v>3</v>
      </c>
      <c r="Q4531" s="267">
        <f t="shared" si="941"/>
        <v>15</v>
      </c>
      <c r="R4531" s="23">
        <f t="shared" si="942"/>
        <v>1</v>
      </c>
      <c r="S4531" s="23">
        <f t="shared" si="943"/>
        <v>0</v>
      </c>
      <c r="T4531" s="23" t="str">
        <f t="shared" si="944"/>
        <v/>
      </c>
      <c r="U4531" t="str">
        <f t="shared" si="945"/>
        <v/>
      </c>
      <c r="W4531" s="40"/>
      <c r="X4531" s="72"/>
      <c r="Y4531" s="40"/>
      <c r="AC4531" s="9"/>
      <c r="AD4531" s="9"/>
      <c r="AE4531" s="9"/>
      <c r="AF4531" s="22"/>
      <c r="AG4531" s="259"/>
      <c r="AH4531" s="276"/>
      <c r="AI4531" s="277"/>
      <c r="AJ4531" s="278"/>
    </row>
    <row r="4532" spans="1:38">
      <c r="A4532" t="str">
        <f t="shared" si="946"/>
        <v>PA_Alleg_2019p~Dem-member of council carnegie ward 1 (vote for 2)</v>
      </c>
      <c r="B4532" s="55" t="s">
        <v>1291</v>
      </c>
      <c r="C4532">
        <v>975</v>
      </c>
      <c r="D4532" s="55" t="s">
        <v>950</v>
      </c>
      <c r="E4532" s="55" t="s">
        <v>951</v>
      </c>
      <c r="F4532" t="s">
        <v>12</v>
      </c>
      <c r="G4532" s="62">
        <v>173</v>
      </c>
      <c r="H4532" s="25">
        <v>55.45</v>
      </c>
      <c r="I4532">
        <v>3043</v>
      </c>
      <c r="J4532">
        <v>254</v>
      </c>
      <c r="K4532">
        <v>4</v>
      </c>
      <c r="L4532">
        <v>4</v>
      </c>
      <c r="M4532">
        <v>0</v>
      </c>
      <c r="N4532" s="23">
        <v>0</v>
      </c>
      <c r="O4532">
        <f t="shared" si="939"/>
        <v>1</v>
      </c>
      <c r="P4532" s="57">
        <f t="shared" si="940"/>
        <v>2</v>
      </c>
      <c r="Q4532" s="267">
        <f t="shared" si="941"/>
        <v>173</v>
      </c>
      <c r="R4532" s="23">
        <f t="shared" si="942"/>
        <v>133</v>
      </c>
      <c r="S4532" s="23">
        <f t="shared" si="943"/>
        <v>0</v>
      </c>
      <c r="T4532" s="23" t="str">
        <f t="shared" si="944"/>
        <v/>
      </c>
      <c r="U4532" t="str">
        <f t="shared" si="945"/>
        <v>PA_Alleg_2019p~Dem-member of council carnegie ward 1 (vote for 2)</v>
      </c>
      <c r="W4532" s="40"/>
      <c r="X4532" s="72"/>
      <c r="Y4532" s="40"/>
      <c r="AC4532" s="9"/>
      <c r="AD4532" s="9"/>
      <c r="AE4532" s="9"/>
      <c r="AF4532" s="300"/>
    </row>
    <row r="4533" spans="1:38">
      <c r="A4533" t="str">
        <f t="shared" si="946"/>
        <v>PA_Alleg_2019p~Dem-member of council carnegie ward 1 (vote for 2)</v>
      </c>
      <c r="B4533" s="55" t="s">
        <v>1291</v>
      </c>
      <c r="C4533">
        <v>976</v>
      </c>
      <c r="D4533" s="55" t="s">
        <v>950</v>
      </c>
      <c r="E4533" s="55" t="s">
        <v>952</v>
      </c>
      <c r="F4533" t="s">
        <v>12</v>
      </c>
      <c r="G4533" s="62">
        <v>133</v>
      </c>
      <c r="H4533" s="25">
        <v>42.63</v>
      </c>
      <c r="I4533">
        <v>3043</v>
      </c>
      <c r="J4533">
        <v>254</v>
      </c>
      <c r="K4533">
        <v>4</v>
      </c>
      <c r="L4533">
        <v>4</v>
      </c>
      <c r="M4533">
        <v>0</v>
      </c>
      <c r="N4533" s="23">
        <v>0</v>
      </c>
      <c r="O4533">
        <f t="shared" si="939"/>
        <v>2</v>
      </c>
      <c r="P4533" s="57">
        <f t="shared" si="940"/>
        <v>2</v>
      </c>
      <c r="Q4533" s="267">
        <f t="shared" si="941"/>
        <v>139</v>
      </c>
      <c r="R4533" s="23">
        <f t="shared" si="942"/>
        <v>133</v>
      </c>
      <c r="S4533" s="23">
        <f t="shared" si="943"/>
        <v>0</v>
      </c>
      <c r="T4533" s="23" t="str">
        <f t="shared" si="944"/>
        <v/>
      </c>
      <c r="U4533" t="str">
        <f t="shared" si="945"/>
        <v/>
      </c>
      <c r="W4533" s="40"/>
      <c r="X4533" s="72"/>
      <c r="Y4533" s="40"/>
      <c r="AC4533" s="9"/>
      <c r="AD4533" s="9"/>
      <c r="AE4533" s="9"/>
      <c r="AF4533" s="22"/>
    </row>
    <row r="4534" spans="1:38">
      <c r="A4534" t="str">
        <f t="shared" si="946"/>
        <v>PA_Alleg_2019p~Dem-member of council carnegie ward 1 (vote for 2)</v>
      </c>
      <c r="B4534" s="55" t="s">
        <v>1291</v>
      </c>
      <c r="C4534">
        <v>977</v>
      </c>
      <c r="D4534" s="55" t="s">
        <v>950</v>
      </c>
      <c r="E4534" s="55" t="s">
        <v>15</v>
      </c>
      <c r="F4534" t="s">
        <v>12</v>
      </c>
      <c r="G4534" s="62">
        <v>6</v>
      </c>
      <c r="H4534" s="25">
        <v>1.92</v>
      </c>
      <c r="I4534">
        <v>3043</v>
      </c>
      <c r="J4534">
        <v>254</v>
      </c>
      <c r="K4534">
        <v>4</v>
      </c>
      <c r="L4534">
        <v>4</v>
      </c>
      <c r="M4534">
        <v>0</v>
      </c>
      <c r="N4534" s="23">
        <v>0</v>
      </c>
      <c r="O4534">
        <f t="shared" si="939"/>
        <v>-2</v>
      </c>
      <c r="P4534" s="57">
        <f t="shared" si="940"/>
        <v>2</v>
      </c>
      <c r="Q4534" s="267">
        <f t="shared" si="941"/>
        <v>6</v>
      </c>
      <c r="R4534" s="23">
        <f t="shared" si="942"/>
        <v>1</v>
      </c>
      <c r="S4534" s="23">
        <f t="shared" si="943"/>
        <v>0</v>
      </c>
      <c r="T4534" s="23" t="str">
        <f t="shared" si="944"/>
        <v/>
      </c>
      <c r="U4534" t="str">
        <f t="shared" si="945"/>
        <v/>
      </c>
      <c r="W4534" s="40"/>
      <c r="X4534" s="72"/>
      <c r="Y4534" s="40"/>
      <c r="AC4534" s="9"/>
      <c r="AD4534" s="9"/>
      <c r="AE4534" s="9"/>
      <c r="AF4534" s="22"/>
    </row>
    <row r="4535" spans="1:38">
      <c r="A4535" t="str">
        <f t="shared" si="946"/>
        <v>PA_Alleg_2019p~Dem-member of council carnegie ward 2 (vote for 1)</v>
      </c>
      <c r="B4535" s="55" t="s">
        <v>1291</v>
      </c>
      <c r="C4535">
        <v>1024</v>
      </c>
      <c r="D4535" s="55" t="s">
        <v>999</v>
      </c>
      <c r="E4535" s="55" t="s">
        <v>1000</v>
      </c>
      <c r="F4535" t="s">
        <v>12</v>
      </c>
      <c r="G4535" s="62">
        <v>188</v>
      </c>
      <c r="H4535" s="25">
        <v>98.95</v>
      </c>
      <c r="I4535">
        <v>2661</v>
      </c>
      <c r="J4535">
        <v>301</v>
      </c>
      <c r="K4535">
        <v>4</v>
      </c>
      <c r="L4535">
        <v>4</v>
      </c>
      <c r="M4535">
        <v>0</v>
      </c>
      <c r="N4535" s="23">
        <v>0</v>
      </c>
      <c r="O4535">
        <f t="shared" si="939"/>
        <v>1</v>
      </c>
      <c r="P4535" s="57">
        <f t="shared" si="940"/>
        <v>1</v>
      </c>
      <c r="Q4535" s="267">
        <f t="shared" si="941"/>
        <v>190</v>
      </c>
      <c r="R4535" s="23">
        <f t="shared" si="942"/>
        <v>188</v>
      </c>
      <c r="S4535" s="23">
        <f t="shared" si="943"/>
        <v>0</v>
      </c>
      <c r="T4535" s="23" t="str">
        <f t="shared" si="944"/>
        <v/>
      </c>
      <c r="U4535" t="str">
        <f t="shared" si="945"/>
        <v>PA_Alleg_2019p~Dem-member of council carnegie ward 2 (vote for 1)</v>
      </c>
      <c r="W4535" s="40"/>
      <c r="X4535" s="72"/>
      <c r="Y4535" s="40"/>
      <c r="AC4535" s="9"/>
      <c r="AD4535" s="9"/>
      <c r="AE4535" s="9"/>
      <c r="AF4535" s="22"/>
    </row>
    <row r="4536" spans="1:38">
      <c r="A4536" t="str">
        <f t="shared" si="946"/>
        <v>PA_Alleg_2019p~Dem-member of council carnegie ward 2 (vote for 1)</v>
      </c>
      <c r="B4536" s="55" t="s">
        <v>1291</v>
      </c>
      <c r="C4536">
        <v>1025</v>
      </c>
      <c r="D4536" s="55" t="s">
        <v>999</v>
      </c>
      <c r="E4536" s="55" t="s">
        <v>15</v>
      </c>
      <c r="F4536" t="s">
        <v>12</v>
      </c>
      <c r="G4536" s="62">
        <v>2</v>
      </c>
      <c r="H4536" s="25">
        <v>1.05</v>
      </c>
      <c r="I4536">
        <v>2661</v>
      </c>
      <c r="J4536">
        <v>301</v>
      </c>
      <c r="K4536">
        <v>4</v>
      </c>
      <c r="L4536">
        <v>4</v>
      </c>
      <c r="M4536">
        <v>0</v>
      </c>
      <c r="N4536" s="23">
        <v>0</v>
      </c>
      <c r="O4536">
        <f t="shared" si="939"/>
        <v>-1</v>
      </c>
      <c r="P4536" s="57">
        <f t="shared" si="940"/>
        <v>1</v>
      </c>
      <c r="Q4536" s="267">
        <f t="shared" si="941"/>
        <v>2</v>
      </c>
      <c r="R4536" s="23">
        <f t="shared" si="942"/>
        <v>1</v>
      </c>
      <c r="S4536" s="23">
        <f t="shared" si="943"/>
        <v>0</v>
      </c>
      <c r="T4536" s="23" t="str">
        <f t="shared" si="944"/>
        <v/>
      </c>
      <c r="U4536" t="str">
        <f t="shared" si="945"/>
        <v/>
      </c>
      <c r="W4536" s="40"/>
      <c r="X4536" s="72"/>
      <c r="Y4536" s="40"/>
      <c r="AC4536" s="9"/>
      <c r="AD4536" s="9"/>
      <c r="AE4536" s="9"/>
      <c r="AF4536" s="22"/>
      <c r="AL4536" s="344"/>
    </row>
    <row r="4537" spans="1:38">
      <c r="A4537" t="str">
        <f t="shared" si="946"/>
        <v>PA_Alleg_2019p~Dem-member of council castle shannon (vote for 3)</v>
      </c>
      <c r="B4537" s="55" t="s">
        <v>1291</v>
      </c>
      <c r="C4537">
        <v>745</v>
      </c>
      <c r="D4537" s="55" t="s">
        <v>724</v>
      </c>
      <c r="E4537" s="55" t="s">
        <v>725</v>
      </c>
      <c r="F4537" t="s">
        <v>12</v>
      </c>
      <c r="G4537" s="62">
        <v>429</v>
      </c>
      <c r="H4537" s="25">
        <v>35.08</v>
      </c>
      <c r="I4537">
        <v>6107</v>
      </c>
      <c r="J4537">
        <v>771</v>
      </c>
      <c r="K4537">
        <v>8</v>
      </c>
      <c r="L4537">
        <v>8</v>
      </c>
      <c r="M4537">
        <v>0</v>
      </c>
      <c r="N4537" s="23">
        <v>0</v>
      </c>
      <c r="O4537">
        <f t="shared" si="939"/>
        <v>1</v>
      </c>
      <c r="P4537" s="57">
        <f t="shared" si="940"/>
        <v>3</v>
      </c>
      <c r="Q4537" s="267">
        <f t="shared" si="941"/>
        <v>429</v>
      </c>
      <c r="R4537" s="23">
        <f t="shared" si="942"/>
        <v>367</v>
      </c>
      <c r="S4537" s="23">
        <f t="shared" si="943"/>
        <v>0</v>
      </c>
      <c r="T4537" s="23" t="str">
        <f t="shared" si="944"/>
        <v/>
      </c>
      <c r="U4537" t="str">
        <f t="shared" si="945"/>
        <v>PA_Alleg_2019p~Dem-member of council castle shannon (vote for 3)</v>
      </c>
      <c r="W4537" s="40"/>
      <c r="X4537" s="72"/>
      <c r="Y4537" s="40"/>
      <c r="AC4537" s="9"/>
      <c r="AD4537" s="9"/>
      <c r="AE4537" s="9"/>
      <c r="AF4537" s="22"/>
    </row>
    <row r="4538" spans="1:38">
      <c r="A4538" t="str">
        <f t="shared" si="946"/>
        <v>PA_Alleg_2019p~Dem-member of council castle shannon (vote for 3)</v>
      </c>
      <c r="B4538" s="55" t="s">
        <v>1291</v>
      </c>
      <c r="C4538">
        <v>747</v>
      </c>
      <c r="D4538" s="55" t="s">
        <v>724</v>
      </c>
      <c r="E4538" s="55" t="s">
        <v>727</v>
      </c>
      <c r="F4538" t="s">
        <v>12</v>
      </c>
      <c r="G4538" s="62">
        <v>417</v>
      </c>
      <c r="H4538" s="25">
        <v>34.1</v>
      </c>
      <c r="I4538">
        <v>6107</v>
      </c>
      <c r="J4538">
        <v>771</v>
      </c>
      <c r="K4538">
        <v>8</v>
      </c>
      <c r="L4538">
        <v>8</v>
      </c>
      <c r="M4538">
        <v>0</v>
      </c>
      <c r="N4538" s="23">
        <v>0</v>
      </c>
      <c r="O4538">
        <f t="shared" si="939"/>
        <v>2</v>
      </c>
      <c r="P4538" s="57">
        <f t="shared" si="940"/>
        <v>3</v>
      </c>
      <c r="Q4538" s="267">
        <f t="shared" si="941"/>
        <v>794</v>
      </c>
      <c r="R4538" s="23">
        <f t="shared" si="942"/>
        <v>367</v>
      </c>
      <c r="S4538" s="23">
        <f t="shared" si="943"/>
        <v>0</v>
      </c>
      <c r="T4538" s="23" t="str">
        <f t="shared" si="944"/>
        <v/>
      </c>
      <c r="U4538" t="str">
        <f t="shared" si="945"/>
        <v/>
      </c>
      <c r="W4538" s="40"/>
      <c r="X4538" s="72"/>
      <c r="Y4538" s="40"/>
      <c r="AC4538" s="9"/>
      <c r="AD4538" s="9"/>
      <c r="AE4538" s="9"/>
      <c r="AF4538" s="22"/>
    </row>
    <row r="4539" spans="1:38">
      <c r="A4539" t="str">
        <f t="shared" si="946"/>
        <v>PA_Alleg_2019p~Dem-member of council castle shannon (vote for 3)</v>
      </c>
      <c r="B4539" s="55" t="s">
        <v>1291</v>
      </c>
      <c r="C4539">
        <v>746</v>
      </c>
      <c r="D4539" s="55" t="s">
        <v>724</v>
      </c>
      <c r="E4539" s="55" t="s">
        <v>726</v>
      </c>
      <c r="F4539" t="s">
        <v>12</v>
      </c>
      <c r="G4539" s="62">
        <v>367</v>
      </c>
      <c r="H4539" s="25">
        <v>30.01</v>
      </c>
      <c r="I4539">
        <v>6107</v>
      </c>
      <c r="J4539">
        <v>771</v>
      </c>
      <c r="K4539">
        <v>8</v>
      </c>
      <c r="L4539">
        <v>8</v>
      </c>
      <c r="M4539">
        <v>0</v>
      </c>
      <c r="N4539" s="23">
        <v>0</v>
      </c>
      <c r="O4539">
        <f t="shared" si="939"/>
        <v>3</v>
      </c>
      <c r="P4539" s="57">
        <f t="shared" si="940"/>
        <v>3</v>
      </c>
      <c r="Q4539" s="267">
        <f t="shared" si="941"/>
        <v>377</v>
      </c>
      <c r="R4539" s="23">
        <f t="shared" si="942"/>
        <v>367</v>
      </c>
      <c r="S4539" s="23">
        <f t="shared" si="943"/>
        <v>0</v>
      </c>
      <c r="T4539" s="23" t="str">
        <f t="shared" si="944"/>
        <v/>
      </c>
      <c r="U4539" t="str">
        <f t="shared" si="945"/>
        <v/>
      </c>
      <c r="W4539" s="40"/>
      <c r="X4539" s="72"/>
      <c r="Y4539" s="40"/>
      <c r="AC4539" s="9"/>
      <c r="AD4539" s="9"/>
      <c r="AE4539" s="9"/>
      <c r="AF4539" s="22"/>
      <c r="AG4539" s="23"/>
      <c r="AH4539" s="8"/>
    </row>
    <row r="4540" spans="1:38">
      <c r="A4540" t="str">
        <f t="shared" si="946"/>
        <v>PA_Alleg_2019p~Dem-member of council castle shannon (vote for 3)</v>
      </c>
      <c r="B4540" s="55" t="s">
        <v>1291</v>
      </c>
      <c r="C4540">
        <v>748</v>
      </c>
      <c r="D4540" s="55" t="s">
        <v>724</v>
      </c>
      <c r="E4540" s="55" t="s">
        <v>15</v>
      </c>
      <c r="F4540" t="s">
        <v>12</v>
      </c>
      <c r="G4540" s="62">
        <v>10</v>
      </c>
      <c r="H4540" s="25">
        <v>0.82</v>
      </c>
      <c r="I4540">
        <v>6107</v>
      </c>
      <c r="J4540">
        <v>771</v>
      </c>
      <c r="K4540">
        <v>8</v>
      </c>
      <c r="L4540">
        <v>8</v>
      </c>
      <c r="M4540">
        <v>0</v>
      </c>
      <c r="N4540" s="23">
        <v>0</v>
      </c>
      <c r="O4540">
        <f t="shared" si="939"/>
        <v>-3</v>
      </c>
      <c r="P4540" s="57">
        <f t="shared" si="940"/>
        <v>3</v>
      </c>
      <c r="Q4540" s="267">
        <f t="shared" si="941"/>
        <v>10</v>
      </c>
      <c r="R4540" s="23">
        <f t="shared" si="942"/>
        <v>1</v>
      </c>
      <c r="S4540" s="23">
        <f t="shared" si="943"/>
        <v>0</v>
      </c>
      <c r="T4540" s="23" t="str">
        <f t="shared" si="944"/>
        <v/>
      </c>
      <c r="U4540" t="str">
        <f t="shared" si="945"/>
        <v/>
      </c>
      <c r="W4540" s="40"/>
      <c r="X4540" s="72"/>
      <c r="Y4540" s="40"/>
      <c r="AC4540" s="9"/>
      <c r="AD4540" s="9"/>
      <c r="AE4540" s="9"/>
      <c r="AF4540" s="22"/>
      <c r="AG4540" s="89"/>
      <c r="AH4540" s="274"/>
      <c r="AI4540" s="279"/>
      <c r="AJ4540" s="280"/>
      <c r="AK4540" s="92"/>
      <c r="AL4540" s="23"/>
    </row>
    <row r="4541" spans="1:38">
      <c r="A4541" t="str">
        <f t="shared" si="946"/>
        <v>PA_Alleg_2019p~Dem-member of council chalfant (vote for 1)</v>
      </c>
      <c r="B4541" s="55" t="s">
        <v>1291</v>
      </c>
      <c r="C4541">
        <v>937</v>
      </c>
      <c r="D4541" s="55" t="s">
        <v>913</v>
      </c>
      <c r="E4541" s="55" t="s">
        <v>914</v>
      </c>
      <c r="F4541" t="s">
        <v>12</v>
      </c>
      <c r="G4541" s="62">
        <v>61</v>
      </c>
      <c r="H4541" s="25">
        <v>100</v>
      </c>
      <c r="I4541">
        <v>593</v>
      </c>
      <c r="J4541">
        <v>96</v>
      </c>
      <c r="K4541">
        <v>1</v>
      </c>
      <c r="L4541">
        <v>1</v>
      </c>
      <c r="M4541">
        <v>0</v>
      </c>
      <c r="N4541" s="23">
        <v>0</v>
      </c>
      <c r="O4541">
        <f t="shared" si="939"/>
        <v>1</v>
      </c>
      <c r="P4541" s="57">
        <f t="shared" si="940"/>
        <v>1</v>
      </c>
      <c r="Q4541" s="267">
        <f t="shared" si="941"/>
        <v>61</v>
      </c>
      <c r="R4541" s="23">
        <f t="shared" si="942"/>
        <v>61</v>
      </c>
      <c r="S4541" s="23">
        <f t="shared" si="943"/>
        <v>0</v>
      </c>
      <c r="T4541" s="23" t="str">
        <f t="shared" si="944"/>
        <v/>
      </c>
      <c r="U4541" t="str">
        <f t="shared" si="945"/>
        <v>PA_Alleg_2019p~Dem-member of council chalfant (vote for 1)</v>
      </c>
      <c r="W4541" s="40"/>
      <c r="X4541" s="72"/>
      <c r="Y4541" s="40"/>
      <c r="AC4541" s="9"/>
      <c r="AD4541" s="9"/>
      <c r="AE4541" s="9"/>
      <c r="AF4541" s="22"/>
    </row>
    <row r="4542" spans="1:38">
      <c r="A4542" t="str">
        <f t="shared" si="946"/>
        <v>PA_Alleg_2019p~Dem-member of council chalfant (vote for 1)</v>
      </c>
      <c r="B4542" s="55" t="s">
        <v>1291</v>
      </c>
      <c r="C4542">
        <v>938</v>
      </c>
      <c r="D4542" s="55" t="s">
        <v>913</v>
      </c>
      <c r="E4542" s="55" t="s">
        <v>15</v>
      </c>
      <c r="F4542" t="s">
        <v>12</v>
      </c>
      <c r="G4542" s="62">
        <v>0</v>
      </c>
      <c r="H4542" s="25">
        <v>0</v>
      </c>
      <c r="I4542">
        <v>593</v>
      </c>
      <c r="J4542">
        <v>96</v>
      </c>
      <c r="K4542">
        <v>1</v>
      </c>
      <c r="L4542">
        <v>1</v>
      </c>
      <c r="M4542">
        <v>0</v>
      </c>
      <c r="N4542" s="23">
        <v>0</v>
      </c>
      <c r="O4542">
        <f t="shared" si="939"/>
        <v>-1</v>
      </c>
      <c r="P4542" s="57">
        <f t="shared" si="940"/>
        <v>1</v>
      </c>
      <c r="Q4542" s="267">
        <f t="shared" si="941"/>
        <v>0</v>
      </c>
      <c r="R4542" s="23">
        <f t="shared" si="942"/>
        <v>1</v>
      </c>
      <c r="S4542" s="23">
        <f t="shared" si="943"/>
        <v>0</v>
      </c>
      <c r="T4542" s="23" t="str">
        <f t="shared" si="944"/>
        <v/>
      </c>
      <c r="U4542" t="str">
        <f t="shared" si="945"/>
        <v/>
      </c>
      <c r="W4542" s="40"/>
      <c r="X4542" s="72"/>
      <c r="Y4542" s="40"/>
      <c r="AC4542" s="9"/>
      <c r="AD4542" s="9"/>
      <c r="AE4542" s="9"/>
      <c r="AF4542" s="22"/>
      <c r="AG4542" s="302"/>
      <c r="AH4542" s="301"/>
      <c r="AI4542" s="303"/>
      <c r="AJ4542" s="303"/>
      <c r="AK4542" s="342"/>
      <c r="AL4542" s="343"/>
    </row>
    <row r="4543" spans="1:38">
      <c r="A4543" t="str">
        <f t="shared" si="946"/>
        <v>PA_Alleg_2019p~Dem-member of council chalfant (vote for 3)</v>
      </c>
      <c r="B4543" s="55" t="s">
        <v>1291</v>
      </c>
      <c r="C4543">
        <v>749</v>
      </c>
      <c r="D4543" s="55" t="s">
        <v>728</v>
      </c>
      <c r="E4543" s="55" t="s">
        <v>729</v>
      </c>
      <c r="F4543" t="s">
        <v>12</v>
      </c>
      <c r="G4543" s="62">
        <v>55</v>
      </c>
      <c r="H4543" s="25">
        <v>35.479999999999997</v>
      </c>
      <c r="I4543">
        <v>593</v>
      </c>
      <c r="J4543">
        <v>96</v>
      </c>
      <c r="K4543">
        <v>1</v>
      </c>
      <c r="L4543">
        <v>1</v>
      </c>
      <c r="M4543">
        <v>0</v>
      </c>
      <c r="N4543" s="23">
        <v>0</v>
      </c>
      <c r="O4543">
        <f t="shared" si="939"/>
        <v>1</v>
      </c>
      <c r="P4543" s="57">
        <f t="shared" si="940"/>
        <v>3</v>
      </c>
      <c r="Q4543" s="267">
        <f t="shared" si="941"/>
        <v>55</v>
      </c>
      <c r="R4543" s="23">
        <f t="shared" si="942"/>
        <v>47</v>
      </c>
      <c r="S4543" s="23">
        <f t="shared" si="943"/>
        <v>0</v>
      </c>
      <c r="T4543" s="23" t="str">
        <f t="shared" si="944"/>
        <v/>
      </c>
      <c r="U4543" t="str">
        <f t="shared" si="945"/>
        <v>PA_Alleg_2019p~Dem-member of council chalfant (vote for 3)</v>
      </c>
      <c r="W4543" s="40"/>
      <c r="X4543" s="72"/>
      <c r="Y4543" s="40"/>
      <c r="AC4543" s="9"/>
      <c r="AD4543" s="9"/>
      <c r="AE4543" s="9"/>
      <c r="AF4543" s="22"/>
      <c r="AG4543" s="302"/>
      <c r="AH4543" s="301"/>
      <c r="AI4543" s="303"/>
      <c r="AJ4543" s="303"/>
      <c r="AK4543" s="342"/>
      <c r="AL4543" s="343"/>
    </row>
    <row r="4544" spans="1:38">
      <c r="A4544" t="str">
        <f t="shared" si="946"/>
        <v>PA_Alleg_2019p~Dem-member of council chalfant (vote for 3)</v>
      </c>
      <c r="B4544" s="55" t="s">
        <v>1291</v>
      </c>
      <c r="C4544">
        <v>750</v>
      </c>
      <c r="D4544" s="55" t="s">
        <v>728</v>
      </c>
      <c r="E4544" s="55" t="s">
        <v>730</v>
      </c>
      <c r="F4544" t="s">
        <v>12</v>
      </c>
      <c r="G4544" s="62">
        <v>49</v>
      </c>
      <c r="H4544" s="25">
        <v>31.61</v>
      </c>
      <c r="I4544">
        <v>593</v>
      </c>
      <c r="J4544">
        <v>96</v>
      </c>
      <c r="K4544">
        <v>1</v>
      </c>
      <c r="L4544">
        <v>1</v>
      </c>
      <c r="M4544">
        <v>0</v>
      </c>
      <c r="N4544" s="23">
        <v>0</v>
      </c>
      <c r="O4544">
        <f t="shared" si="939"/>
        <v>2</v>
      </c>
      <c r="P4544" s="57">
        <f t="shared" si="940"/>
        <v>3</v>
      </c>
      <c r="Q4544" s="267">
        <f t="shared" si="941"/>
        <v>100</v>
      </c>
      <c r="R4544" s="23">
        <f t="shared" si="942"/>
        <v>47</v>
      </c>
      <c r="S4544" s="23">
        <f t="shared" si="943"/>
        <v>0</v>
      </c>
      <c r="T4544" s="23" t="str">
        <f t="shared" si="944"/>
        <v/>
      </c>
      <c r="U4544" t="str">
        <f t="shared" si="945"/>
        <v/>
      </c>
      <c r="W4544" s="40"/>
      <c r="X4544" s="72"/>
      <c r="Y4544" s="40"/>
      <c r="AC4544" s="9"/>
      <c r="AD4544" s="9"/>
      <c r="AE4544" s="9"/>
      <c r="AF4544" s="22"/>
      <c r="AG4544" s="316"/>
      <c r="AH4544" s="313"/>
      <c r="AI4544" s="315"/>
      <c r="AJ4544" s="315"/>
      <c r="AK4544" s="345"/>
      <c r="AL4544" s="346"/>
    </row>
    <row r="4545" spans="1:38">
      <c r="A4545" t="str">
        <f t="shared" si="946"/>
        <v>PA_Alleg_2019p~Dem-member of council chalfant (vote for 3)</v>
      </c>
      <c r="B4545" s="55" t="s">
        <v>1291</v>
      </c>
      <c r="C4545">
        <v>751</v>
      </c>
      <c r="D4545" s="55" t="s">
        <v>728</v>
      </c>
      <c r="E4545" s="55" t="s">
        <v>731</v>
      </c>
      <c r="F4545" t="s">
        <v>12</v>
      </c>
      <c r="G4545" s="62">
        <v>47</v>
      </c>
      <c r="H4545" s="25">
        <v>30.32</v>
      </c>
      <c r="I4545">
        <v>593</v>
      </c>
      <c r="J4545">
        <v>96</v>
      </c>
      <c r="K4545">
        <v>1</v>
      </c>
      <c r="L4545">
        <v>1</v>
      </c>
      <c r="M4545">
        <v>0</v>
      </c>
      <c r="N4545" s="23">
        <v>0</v>
      </c>
      <c r="O4545">
        <f t="shared" si="939"/>
        <v>3</v>
      </c>
      <c r="P4545" s="57">
        <f t="shared" si="940"/>
        <v>3</v>
      </c>
      <c r="Q4545" s="267">
        <f t="shared" si="941"/>
        <v>51</v>
      </c>
      <c r="R4545" s="23">
        <f t="shared" si="942"/>
        <v>47</v>
      </c>
      <c r="S4545" s="23">
        <f t="shared" si="943"/>
        <v>0</v>
      </c>
      <c r="T4545" s="23" t="str">
        <f t="shared" si="944"/>
        <v/>
      </c>
      <c r="U4545" t="str">
        <f t="shared" si="945"/>
        <v/>
      </c>
      <c r="W4545" s="40"/>
      <c r="X4545" s="72"/>
      <c r="Y4545" s="40"/>
      <c r="AC4545" s="9"/>
      <c r="AD4545" s="9"/>
      <c r="AE4545" s="9"/>
      <c r="AF4545" s="22"/>
    </row>
    <row r="4546" spans="1:38">
      <c r="A4546" t="str">
        <f t="shared" si="946"/>
        <v>PA_Alleg_2019p~Dem-member of council chalfant (vote for 3)</v>
      </c>
      <c r="B4546" s="55" t="s">
        <v>1291</v>
      </c>
      <c r="C4546">
        <v>752</v>
      </c>
      <c r="D4546" s="55" t="s">
        <v>728</v>
      </c>
      <c r="E4546" s="55" t="s">
        <v>15</v>
      </c>
      <c r="F4546" t="s">
        <v>12</v>
      </c>
      <c r="G4546" s="62">
        <v>4</v>
      </c>
      <c r="H4546" s="25">
        <v>2.58</v>
      </c>
      <c r="I4546">
        <v>593</v>
      </c>
      <c r="J4546">
        <v>96</v>
      </c>
      <c r="K4546">
        <v>1</v>
      </c>
      <c r="L4546">
        <v>1</v>
      </c>
      <c r="M4546">
        <v>0</v>
      </c>
      <c r="N4546" s="23">
        <v>0</v>
      </c>
      <c r="O4546">
        <f t="shared" ref="O4546:O4609" si="947">IF(OR(LOWER(LEFT(E4546,8))="write-in",LOWER(LEFT(E4546,8))="not qual"),IF(A4546=A4545,-ABS(O4545),0),IF(A4546=A4545,ABS(O4545)+1,1))</f>
        <v>-3</v>
      </c>
      <c r="P4546" s="57">
        <f t="shared" ref="P4546:P4609" si="948">1*LEFT(RIGHT(A4546,2),1)</f>
        <v>3</v>
      </c>
      <c r="Q4546" s="267">
        <f t="shared" ref="Q4546:Q4609" si="949">IF(A4546&lt;&gt;A4547,G4546,IF(A4546=A4545,G4546+Q4547,MAX(G4546,(G4546+Q4547)/P4546)))</f>
        <v>4</v>
      </c>
      <c r="R4546" s="23">
        <f t="shared" ref="R4546:R4609" si="950">IF(O4546&gt;P4546,"",IF(O4546=P4546,G4546,IF(A4546=A4547,R4547,IF(O4546&lt;=0,1,G4546))))</f>
        <v>1</v>
      </c>
      <c r="S4546" s="23">
        <f t="shared" ref="S4546:S4609" si="951">IF(AND(O4546&gt;P4546,LOWER(LEFT(E4546,8))&lt;&gt;"write-in",LOWER(LEFT(E4546,8))&lt;&gt;"not qual"),G4546,IF(A4546=A4547,S4547,0))</f>
        <v>0</v>
      </c>
      <c r="T4546" s="23" t="str">
        <f t="shared" ref="T4546:T4609" si="952">IF(OR(A4546=A4545,S4546=0),"",R4546-ABS(S4546))</f>
        <v/>
      </c>
      <c r="U4546" t="str">
        <f t="shared" ref="U4546:U4609" si="953">IF(A4546=A4545,"",A4546)</f>
        <v/>
      </c>
      <c r="W4546" s="40"/>
      <c r="X4546" s="72"/>
      <c r="Y4546" s="40"/>
      <c r="AC4546" s="9"/>
      <c r="AD4546" s="9"/>
      <c r="AE4546" s="9"/>
      <c r="AF4546" s="22"/>
    </row>
    <row r="4547" spans="1:38">
      <c r="A4547" t="str">
        <f t="shared" ref="A4547:A4610" si="954">CONCATENATE(B4547,"~",F4547,"-",LOWER(D4547))</f>
        <v>PA_Alleg_2019p~Dem-member of council cheswick (vote for 1)</v>
      </c>
      <c r="B4547" s="55" t="s">
        <v>1291</v>
      </c>
      <c r="C4547">
        <v>939</v>
      </c>
      <c r="D4547" s="55" t="s">
        <v>915</v>
      </c>
      <c r="E4547" s="55" t="s">
        <v>15</v>
      </c>
      <c r="F4547" t="s">
        <v>12</v>
      </c>
      <c r="G4547" s="62">
        <v>23</v>
      </c>
      <c r="H4547" s="25">
        <v>100</v>
      </c>
      <c r="I4547">
        <v>1271</v>
      </c>
      <c r="J4547">
        <v>266</v>
      </c>
      <c r="K4547">
        <v>2</v>
      </c>
      <c r="L4547">
        <v>2</v>
      </c>
      <c r="M4547">
        <v>0</v>
      </c>
      <c r="N4547" s="23">
        <v>0</v>
      </c>
      <c r="O4547">
        <f t="shared" si="947"/>
        <v>0</v>
      </c>
      <c r="P4547" s="57">
        <f t="shared" si="948"/>
        <v>1</v>
      </c>
      <c r="Q4547" s="267">
        <f t="shared" si="949"/>
        <v>23</v>
      </c>
      <c r="R4547" s="23">
        <f t="shared" si="950"/>
        <v>1</v>
      </c>
      <c r="S4547" s="23">
        <f t="shared" si="951"/>
        <v>0</v>
      </c>
      <c r="T4547" s="23" t="str">
        <f t="shared" si="952"/>
        <v/>
      </c>
      <c r="U4547" t="str">
        <f t="shared" si="953"/>
        <v>PA_Alleg_2019p~Dem-member of council cheswick (vote for 1)</v>
      </c>
      <c r="W4547" s="40"/>
      <c r="X4547" s="72"/>
      <c r="Y4547" s="40"/>
      <c r="AC4547" s="9"/>
      <c r="AD4547" s="9"/>
      <c r="AE4547" s="9"/>
      <c r="AF4547" s="22"/>
    </row>
    <row r="4548" spans="1:38">
      <c r="A4548" t="str">
        <f t="shared" si="954"/>
        <v>PA_Alleg_2019p~Dem-member of council cheswick (vote for 3)</v>
      </c>
      <c r="B4548" s="55" t="s">
        <v>1291</v>
      </c>
      <c r="C4548">
        <v>753</v>
      </c>
      <c r="D4548" s="55" t="s">
        <v>732</v>
      </c>
      <c r="E4548" s="55" t="s">
        <v>15</v>
      </c>
      <c r="F4548" t="s">
        <v>12</v>
      </c>
      <c r="G4548" s="62">
        <v>48</v>
      </c>
      <c r="H4548" s="25">
        <v>100</v>
      </c>
      <c r="I4548">
        <v>1271</v>
      </c>
      <c r="J4548">
        <v>266</v>
      </c>
      <c r="K4548">
        <v>2</v>
      </c>
      <c r="L4548">
        <v>2</v>
      </c>
      <c r="M4548">
        <v>0</v>
      </c>
      <c r="N4548" s="23">
        <v>0</v>
      </c>
      <c r="O4548">
        <f t="shared" si="947"/>
        <v>0</v>
      </c>
      <c r="P4548" s="57">
        <f t="shared" si="948"/>
        <v>3</v>
      </c>
      <c r="Q4548" s="267">
        <f t="shared" si="949"/>
        <v>48</v>
      </c>
      <c r="R4548" s="23">
        <f t="shared" si="950"/>
        <v>1</v>
      </c>
      <c r="S4548" s="23">
        <f t="shared" si="951"/>
        <v>0</v>
      </c>
      <c r="T4548" s="23" t="str">
        <f t="shared" si="952"/>
        <v/>
      </c>
      <c r="U4548" t="str">
        <f t="shared" si="953"/>
        <v>PA_Alleg_2019p~Dem-member of council cheswick (vote for 3)</v>
      </c>
      <c r="W4548" s="40"/>
      <c r="X4548" s="72"/>
      <c r="Y4548" s="40"/>
      <c r="AC4548" s="9"/>
      <c r="AD4548" s="9"/>
      <c r="AE4548" s="9"/>
      <c r="AF4548" s="22"/>
    </row>
    <row r="4549" spans="1:38">
      <c r="A4549" t="str">
        <f t="shared" si="954"/>
        <v>PA_Alleg_2019p~Dem-member of council churchill (vote for 3)</v>
      </c>
      <c r="B4549" s="55" t="s">
        <v>1291</v>
      </c>
      <c r="C4549">
        <v>755</v>
      </c>
      <c r="D4549" s="55" t="s">
        <v>733</v>
      </c>
      <c r="E4549" s="55" t="s">
        <v>735</v>
      </c>
      <c r="F4549" t="s">
        <v>12</v>
      </c>
      <c r="G4549" s="62">
        <v>371</v>
      </c>
      <c r="H4549" s="25">
        <v>33.76</v>
      </c>
      <c r="I4549">
        <v>2794</v>
      </c>
      <c r="J4549">
        <v>615</v>
      </c>
      <c r="K4549">
        <v>4</v>
      </c>
      <c r="L4549">
        <v>4</v>
      </c>
      <c r="M4549">
        <v>0</v>
      </c>
      <c r="N4549" s="23">
        <v>0</v>
      </c>
      <c r="O4549">
        <f t="shared" si="947"/>
        <v>1</v>
      </c>
      <c r="P4549" s="57">
        <f t="shared" si="948"/>
        <v>3</v>
      </c>
      <c r="Q4549" s="267">
        <f t="shared" si="949"/>
        <v>371</v>
      </c>
      <c r="R4549" s="23">
        <f t="shared" si="950"/>
        <v>348</v>
      </c>
      <c r="S4549" s="23">
        <f t="shared" si="951"/>
        <v>0</v>
      </c>
      <c r="T4549" s="23" t="str">
        <f t="shared" si="952"/>
        <v/>
      </c>
      <c r="U4549" t="str">
        <f t="shared" si="953"/>
        <v>PA_Alleg_2019p~Dem-member of council churchill (vote for 3)</v>
      </c>
      <c r="W4549" s="40"/>
      <c r="X4549" s="72"/>
      <c r="Y4549" s="40"/>
      <c r="AC4549" s="9"/>
      <c r="AD4549" s="9"/>
      <c r="AE4549" s="9"/>
      <c r="AF4549" s="22"/>
    </row>
    <row r="4550" spans="1:38">
      <c r="A4550" t="str">
        <f t="shared" si="954"/>
        <v>PA_Alleg_2019p~Dem-member of council churchill (vote for 3)</v>
      </c>
      <c r="B4550" s="55" t="s">
        <v>1291</v>
      </c>
      <c r="C4550">
        <v>754</v>
      </c>
      <c r="D4550" s="55" t="s">
        <v>733</v>
      </c>
      <c r="E4550" s="55" t="s">
        <v>734</v>
      </c>
      <c r="F4550" t="s">
        <v>12</v>
      </c>
      <c r="G4550" s="62">
        <v>366</v>
      </c>
      <c r="H4550" s="25">
        <v>33.299999999999997</v>
      </c>
      <c r="I4550">
        <v>2794</v>
      </c>
      <c r="J4550">
        <v>615</v>
      </c>
      <c r="K4550">
        <v>4</v>
      </c>
      <c r="L4550">
        <v>4</v>
      </c>
      <c r="M4550">
        <v>0</v>
      </c>
      <c r="N4550" s="23">
        <v>0</v>
      </c>
      <c r="O4550">
        <f t="shared" si="947"/>
        <v>2</v>
      </c>
      <c r="P4550" s="57">
        <f t="shared" si="948"/>
        <v>3</v>
      </c>
      <c r="Q4550" s="267">
        <f t="shared" si="949"/>
        <v>728</v>
      </c>
      <c r="R4550" s="23">
        <f t="shared" si="950"/>
        <v>348</v>
      </c>
      <c r="S4550" s="23">
        <f t="shared" si="951"/>
        <v>0</v>
      </c>
      <c r="T4550" s="23" t="str">
        <f t="shared" si="952"/>
        <v/>
      </c>
      <c r="U4550" t="str">
        <f t="shared" si="953"/>
        <v/>
      </c>
      <c r="W4550" s="40"/>
      <c r="X4550" s="72"/>
      <c r="Y4550" s="40"/>
      <c r="AC4550" s="9"/>
      <c r="AD4550" s="9"/>
      <c r="AE4550" s="9"/>
      <c r="AF4550" s="22"/>
    </row>
    <row r="4551" spans="1:38">
      <c r="A4551" t="str">
        <f t="shared" si="954"/>
        <v>PA_Alleg_2019p~Dem-member of council churchill (vote for 3)</v>
      </c>
      <c r="B4551" s="55" t="s">
        <v>1291</v>
      </c>
      <c r="C4551">
        <v>756</v>
      </c>
      <c r="D4551" s="55" t="s">
        <v>733</v>
      </c>
      <c r="E4551" s="55" t="s">
        <v>736</v>
      </c>
      <c r="F4551" t="s">
        <v>12</v>
      </c>
      <c r="G4551" s="62">
        <v>348</v>
      </c>
      <c r="H4551" s="25">
        <v>31.67</v>
      </c>
      <c r="I4551">
        <v>2794</v>
      </c>
      <c r="J4551">
        <v>615</v>
      </c>
      <c r="K4551">
        <v>4</v>
      </c>
      <c r="L4551">
        <v>4</v>
      </c>
      <c r="M4551">
        <v>0</v>
      </c>
      <c r="N4551" s="23">
        <v>0</v>
      </c>
      <c r="O4551">
        <f t="shared" si="947"/>
        <v>3</v>
      </c>
      <c r="P4551" s="57">
        <f t="shared" si="948"/>
        <v>3</v>
      </c>
      <c r="Q4551" s="267">
        <f t="shared" si="949"/>
        <v>362</v>
      </c>
      <c r="R4551" s="23">
        <f t="shared" si="950"/>
        <v>348</v>
      </c>
      <c r="S4551" s="23">
        <f t="shared" si="951"/>
        <v>0</v>
      </c>
      <c r="T4551" s="23" t="str">
        <f t="shared" si="952"/>
        <v/>
      </c>
      <c r="U4551" t="str">
        <f t="shared" si="953"/>
        <v/>
      </c>
      <c r="W4551" s="40"/>
      <c r="X4551" s="72"/>
      <c r="Y4551" s="40"/>
      <c r="AC4551" s="9"/>
      <c r="AD4551" s="9"/>
      <c r="AE4551" s="9"/>
    </row>
    <row r="4552" spans="1:38">
      <c r="A4552" t="str">
        <f t="shared" si="954"/>
        <v>PA_Alleg_2019p~Dem-member of council churchill (vote for 3)</v>
      </c>
      <c r="B4552" s="55" t="s">
        <v>1291</v>
      </c>
      <c r="C4552">
        <v>757</v>
      </c>
      <c r="D4552" s="55" t="s">
        <v>733</v>
      </c>
      <c r="E4552" s="55" t="s">
        <v>15</v>
      </c>
      <c r="F4552" t="s">
        <v>12</v>
      </c>
      <c r="G4552" s="62">
        <v>14</v>
      </c>
      <c r="H4552" s="25">
        <v>1.27</v>
      </c>
      <c r="I4552">
        <v>2794</v>
      </c>
      <c r="J4552">
        <v>615</v>
      </c>
      <c r="K4552">
        <v>4</v>
      </c>
      <c r="L4552">
        <v>4</v>
      </c>
      <c r="M4552">
        <v>0</v>
      </c>
      <c r="N4552" s="23">
        <v>0</v>
      </c>
      <c r="O4552">
        <f t="shared" si="947"/>
        <v>-3</v>
      </c>
      <c r="P4552" s="57">
        <f t="shared" si="948"/>
        <v>3</v>
      </c>
      <c r="Q4552" s="267">
        <f t="shared" si="949"/>
        <v>14</v>
      </c>
      <c r="R4552" s="23">
        <f t="shared" si="950"/>
        <v>1</v>
      </c>
      <c r="S4552" s="23">
        <f t="shared" si="951"/>
        <v>0</v>
      </c>
      <c r="T4552" s="23" t="str">
        <f t="shared" si="952"/>
        <v/>
      </c>
      <c r="U4552" t="str">
        <f t="shared" si="953"/>
        <v/>
      </c>
      <c r="AC4552" s="9"/>
      <c r="AD4552" s="9"/>
      <c r="AE4552" s="9"/>
      <c r="AF4552" s="22"/>
    </row>
    <row r="4553" spans="1:38">
      <c r="A4553" t="str">
        <f t="shared" si="954"/>
        <v>PA_Alleg_2019p~Dem-member of council clairton ward 1 (vote for 1)</v>
      </c>
      <c r="B4553" s="55" t="s">
        <v>1291</v>
      </c>
      <c r="C4553">
        <v>1026</v>
      </c>
      <c r="D4553" s="55" t="s">
        <v>1001</v>
      </c>
      <c r="E4553" s="55" t="s">
        <v>1002</v>
      </c>
      <c r="F4553" t="s">
        <v>12</v>
      </c>
      <c r="G4553" s="62">
        <v>138</v>
      </c>
      <c r="H4553" s="25">
        <v>96.5</v>
      </c>
      <c r="I4553">
        <v>1137</v>
      </c>
      <c r="J4553">
        <v>183</v>
      </c>
      <c r="K4553">
        <v>3</v>
      </c>
      <c r="L4553">
        <v>3</v>
      </c>
      <c r="M4553">
        <v>0</v>
      </c>
      <c r="N4553" s="23">
        <v>0</v>
      </c>
      <c r="O4553">
        <f t="shared" si="947"/>
        <v>1</v>
      </c>
      <c r="P4553" s="57">
        <f t="shared" si="948"/>
        <v>1</v>
      </c>
      <c r="Q4553" s="267">
        <f t="shared" si="949"/>
        <v>143</v>
      </c>
      <c r="R4553" s="23">
        <f t="shared" si="950"/>
        <v>138</v>
      </c>
      <c r="S4553" s="23">
        <f t="shared" si="951"/>
        <v>0</v>
      </c>
      <c r="T4553" s="23" t="str">
        <f t="shared" si="952"/>
        <v/>
      </c>
      <c r="U4553" t="str">
        <f t="shared" si="953"/>
        <v>PA_Alleg_2019p~Dem-member of council clairton ward 1 (vote for 1)</v>
      </c>
      <c r="AC4553" s="9"/>
      <c r="AD4553" s="9"/>
      <c r="AE4553" s="9"/>
      <c r="AF4553" s="22"/>
    </row>
    <row r="4554" spans="1:38">
      <c r="A4554" t="str">
        <f t="shared" si="954"/>
        <v>PA_Alleg_2019p~Dem-member of council clairton ward 1 (vote for 1)</v>
      </c>
      <c r="B4554" s="55" t="s">
        <v>1291</v>
      </c>
      <c r="C4554">
        <v>1027</v>
      </c>
      <c r="D4554" s="55" t="s">
        <v>1001</v>
      </c>
      <c r="E4554" s="55" t="s">
        <v>15</v>
      </c>
      <c r="F4554" t="s">
        <v>12</v>
      </c>
      <c r="G4554" s="62">
        <v>5</v>
      </c>
      <c r="H4554" s="25">
        <v>3.5</v>
      </c>
      <c r="I4554">
        <v>1137</v>
      </c>
      <c r="J4554">
        <v>183</v>
      </c>
      <c r="K4554">
        <v>3</v>
      </c>
      <c r="L4554">
        <v>3</v>
      </c>
      <c r="M4554">
        <v>0</v>
      </c>
      <c r="N4554" s="23">
        <v>0</v>
      </c>
      <c r="O4554">
        <f t="shared" si="947"/>
        <v>-1</v>
      </c>
      <c r="P4554" s="57">
        <f t="shared" si="948"/>
        <v>1</v>
      </c>
      <c r="Q4554" s="267">
        <f t="shared" si="949"/>
        <v>5</v>
      </c>
      <c r="R4554" s="23">
        <f t="shared" si="950"/>
        <v>1</v>
      </c>
      <c r="S4554" s="23">
        <f t="shared" si="951"/>
        <v>0</v>
      </c>
      <c r="T4554" s="23" t="str">
        <f t="shared" si="952"/>
        <v/>
      </c>
      <c r="U4554" t="str">
        <f t="shared" si="953"/>
        <v/>
      </c>
      <c r="AC4554" s="9"/>
      <c r="AD4554" s="9"/>
      <c r="AE4554" s="9"/>
      <c r="AF4554" s="22"/>
    </row>
    <row r="4555" spans="1:38">
      <c r="A4555" t="str">
        <f t="shared" si="954"/>
        <v>PA_Alleg_2019p~Dem-member of council clairton ward 4 (vote for 1)</v>
      </c>
      <c r="B4555" s="55" t="s">
        <v>1291</v>
      </c>
      <c r="C4555">
        <v>1028</v>
      </c>
      <c r="D4555" s="55" t="s">
        <v>1003</v>
      </c>
      <c r="E4555" s="55" t="s">
        <v>1004</v>
      </c>
      <c r="F4555" t="s">
        <v>12</v>
      </c>
      <c r="G4555" s="62">
        <v>145</v>
      </c>
      <c r="H4555" s="25">
        <v>62.5</v>
      </c>
      <c r="I4555">
        <v>1227</v>
      </c>
      <c r="J4555">
        <v>263</v>
      </c>
      <c r="K4555">
        <v>3</v>
      </c>
      <c r="L4555">
        <v>3</v>
      </c>
      <c r="M4555">
        <v>0</v>
      </c>
      <c r="N4555" s="23">
        <v>0</v>
      </c>
      <c r="O4555">
        <f t="shared" si="947"/>
        <v>1</v>
      </c>
      <c r="P4555" s="57">
        <f t="shared" si="948"/>
        <v>1</v>
      </c>
      <c r="Q4555" s="267">
        <f t="shared" si="949"/>
        <v>232</v>
      </c>
      <c r="R4555" s="23">
        <f t="shared" si="950"/>
        <v>145</v>
      </c>
      <c r="S4555" s="23">
        <f t="shared" si="951"/>
        <v>87</v>
      </c>
      <c r="T4555" s="23">
        <f t="shared" si="952"/>
        <v>58</v>
      </c>
      <c r="U4555" t="str">
        <f t="shared" si="953"/>
        <v>PA_Alleg_2019p~Dem-member of council clairton ward 4 (vote for 1)</v>
      </c>
    </row>
    <row r="4556" spans="1:38">
      <c r="A4556" t="str">
        <f t="shared" si="954"/>
        <v>PA_Alleg_2019p~Dem-member of council clairton ward 4 (vote for 1)</v>
      </c>
      <c r="B4556" s="55" t="s">
        <v>1291</v>
      </c>
      <c r="C4556">
        <v>1029</v>
      </c>
      <c r="D4556" s="55" t="s">
        <v>1003</v>
      </c>
      <c r="E4556" s="55" t="s">
        <v>1005</v>
      </c>
      <c r="F4556" t="s">
        <v>12</v>
      </c>
      <c r="G4556" s="62">
        <v>87</v>
      </c>
      <c r="H4556" s="25">
        <v>37.5</v>
      </c>
      <c r="I4556">
        <v>1227</v>
      </c>
      <c r="J4556">
        <v>263</v>
      </c>
      <c r="K4556">
        <v>3</v>
      </c>
      <c r="L4556">
        <v>3</v>
      </c>
      <c r="M4556">
        <v>0</v>
      </c>
      <c r="N4556" s="23">
        <v>0</v>
      </c>
      <c r="O4556">
        <f t="shared" si="947"/>
        <v>2</v>
      </c>
      <c r="P4556" s="57">
        <f t="shared" si="948"/>
        <v>1</v>
      </c>
      <c r="Q4556" s="267">
        <f t="shared" si="949"/>
        <v>87</v>
      </c>
      <c r="R4556" s="23" t="str">
        <f t="shared" si="950"/>
        <v/>
      </c>
      <c r="S4556" s="23">
        <f t="shared" si="951"/>
        <v>87</v>
      </c>
      <c r="T4556" s="23" t="str">
        <f t="shared" si="952"/>
        <v/>
      </c>
      <c r="U4556" t="str">
        <f t="shared" si="953"/>
        <v/>
      </c>
      <c r="AF4556" s="22"/>
      <c r="AG4556" s="302"/>
      <c r="AH4556" s="301"/>
      <c r="AI4556" s="303"/>
      <c r="AJ4556" s="303"/>
      <c r="AK4556" s="342"/>
      <c r="AL4556" s="343"/>
    </row>
    <row r="4557" spans="1:38">
      <c r="A4557" t="str">
        <f t="shared" si="954"/>
        <v>PA_Alleg_2019p~Dem-member of council clairton ward 4 (vote for 1)</v>
      </c>
      <c r="B4557" s="55" t="s">
        <v>1291</v>
      </c>
      <c r="C4557">
        <v>1030</v>
      </c>
      <c r="D4557" s="55" t="s">
        <v>1003</v>
      </c>
      <c r="E4557" s="55" t="s">
        <v>15</v>
      </c>
      <c r="F4557" t="s">
        <v>12</v>
      </c>
      <c r="G4557" s="62">
        <v>0</v>
      </c>
      <c r="H4557" s="25">
        <v>0</v>
      </c>
      <c r="I4557">
        <v>1227</v>
      </c>
      <c r="J4557">
        <v>263</v>
      </c>
      <c r="K4557">
        <v>3</v>
      </c>
      <c r="L4557">
        <v>3</v>
      </c>
      <c r="M4557">
        <v>0</v>
      </c>
      <c r="N4557" s="23">
        <v>0</v>
      </c>
      <c r="O4557">
        <f t="shared" si="947"/>
        <v>-2</v>
      </c>
      <c r="P4557" s="57">
        <f t="shared" si="948"/>
        <v>1</v>
      </c>
      <c r="Q4557" s="267">
        <f t="shared" si="949"/>
        <v>0</v>
      </c>
      <c r="R4557" s="23">
        <f t="shared" si="950"/>
        <v>1</v>
      </c>
      <c r="S4557" s="23">
        <f t="shared" si="951"/>
        <v>0</v>
      </c>
      <c r="T4557" s="23" t="str">
        <f t="shared" si="952"/>
        <v/>
      </c>
      <c r="U4557" t="str">
        <f t="shared" si="953"/>
        <v/>
      </c>
      <c r="AF4557" s="22"/>
      <c r="AG4557" s="302"/>
      <c r="AH4557" s="301"/>
      <c r="AI4557" s="303"/>
      <c r="AJ4557" s="303"/>
      <c r="AK4557" s="342"/>
      <c r="AL4557" s="343"/>
    </row>
    <row r="4558" spans="1:38">
      <c r="A4558" t="str">
        <f t="shared" si="954"/>
        <v>PA_Alleg_2019p~Dem-member of council coraopolis ward 1 (vote for 1)</v>
      </c>
      <c r="B4558" s="55" t="s">
        <v>1291</v>
      </c>
      <c r="C4558">
        <v>1031</v>
      </c>
      <c r="D4558" s="55" t="s">
        <v>1006</v>
      </c>
      <c r="E4558" s="55" t="s">
        <v>1007</v>
      </c>
      <c r="F4558" t="s">
        <v>12</v>
      </c>
      <c r="G4558" s="62">
        <v>128</v>
      </c>
      <c r="H4558" s="25">
        <v>95.52</v>
      </c>
      <c r="I4558">
        <v>994</v>
      </c>
      <c r="J4558">
        <v>185</v>
      </c>
      <c r="K4558">
        <v>2</v>
      </c>
      <c r="L4558">
        <v>2</v>
      </c>
      <c r="M4558">
        <v>0</v>
      </c>
      <c r="N4558" s="23">
        <v>0</v>
      </c>
      <c r="O4558">
        <f t="shared" si="947"/>
        <v>1</v>
      </c>
      <c r="P4558" s="57">
        <f t="shared" si="948"/>
        <v>1</v>
      </c>
      <c r="Q4558" s="267">
        <f t="shared" si="949"/>
        <v>134</v>
      </c>
      <c r="R4558" s="23">
        <f t="shared" si="950"/>
        <v>128</v>
      </c>
      <c r="S4558" s="23">
        <f t="shared" si="951"/>
        <v>0</v>
      </c>
      <c r="T4558" s="23" t="str">
        <f t="shared" si="952"/>
        <v/>
      </c>
      <c r="U4558" t="str">
        <f t="shared" si="953"/>
        <v>PA_Alleg_2019p~Dem-member of council coraopolis ward 1 (vote for 1)</v>
      </c>
      <c r="AF4558" s="22"/>
    </row>
    <row r="4559" spans="1:38">
      <c r="A4559" t="str">
        <f t="shared" si="954"/>
        <v>PA_Alleg_2019p~Dem-member of council coraopolis ward 1 (vote for 1)</v>
      </c>
      <c r="B4559" s="55" t="s">
        <v>1291</v>
      </c>
      <c r="C4559">
        <v>1032</v>
      </c>
      <c r="D4559" s="55" t="s">
        <v>1006</v>
      </c>
      <c r="E4559" s="55" t="s">
        <v>15</v>
      </c>
      <c r="F4559" t="s">
        <v>12</v>
      </c>
      <c r="G4559" s="62">
        <v>6</v>
      </c>
      <c r="H4559" s="25">
        <v>4.4800000000000004</v>
      </c>
      <c r="I4559">
        <v>994</v>
      </c>
      <c r="J4559">
        <v>185</v>
      </c>
      <c r="K4559">
        <v>2</v>
      </c>
      <c r="L4559">
        <v>2</v>
      </c>
      <c r="M4559">
        <v>0</v>
      </c>
      <c r="N4559" s="23">
        <v>0</v>
      </c>
      <c r="O4559">
        <f t="shared" si="947"/>
        <v>-1</v>
      </c>
      <c r="P4559" s="57">
        <f t="shared" si="948"/>
        <v>1</v>
      </c>
      <c r="Q4559" s="267">
        <f t="shared" si="949"/>
        <v>6</v>
      </c>
      <c r="R4559" s="23">
        <f t="shared" si="950"/>
        <v>1</v>
      </c>
      <c r="S4559" s="23">
        <f t="shared" si="951"/>
        <v>0</v>
      </c>
      <c r="T4559" s="23" t="str">
        <f t="shared" si="952"/>
        <v/>
      </c>
      <c r="U4559" t="str">
        <f t="shared" si="953"/>
        <v/>
      </c>
      <c r="AF4559" s="22"/>
    </row>
    <row r="4560" spans="1:38">
      <c r="A4560" t="str">
        <f t="shared" si="954"/>
        <v>PA_Alleg_2019p~Dem-member of council coraopolis ward 2 (vote for 1)</v>
      </c>
      <c r="B4560" s="55" t="s">
        <v>1291</v>
      </c>
      <c r="C4560">
        <v>1033</v>
      </c>
      <c r="D4560" s="55" t="s">
        <v>1008</v>
      </c>
      <c r="E4560" s="55" t="s">
        <v>1009</v>
      </c>
      <c r="F4560" t="s">
        <v>12</v>
      </c>
      <c r="G4560" s="62">
        <v>120</v>
      </c>
      <c r="H4560" s="25">
        <v>98.36</v>
      </c>
      <c r="I4560">
        <v>827</v>
      </c>
      <c r="J4560">
        <v>166</v>
      </c>
      <c r="K4560">
        <v>1</v>
      </c>
      <c r="L4560">
        <v>1</v>
      </c>
      <c r="M4560">
        <v>0</v>
      </c>
      <c r="N4560" s="23">
        <v>0</v>
      </c>
      <c r="O4560">
        <f t="shared" si="947"/>
        <v>1</v>
      </c>
      <c r="P4560" s="57">
        <f t="shared" si="948"/>
        <v>1</v>
      </c>
      <c r="Q4560" s="267">
        <f t="shared" si="949"/>
        <v>122</v>
      </c>
      <c r="R4560" s="23">
        <f t="shared" si="950"/>
        <v>120</v>
      </c>
      <c r="S4560" s="23">
        <f t="shared" si="951"/>
        <v>0</v>
      </c>
      <c r="T4560" s="23" t="str">
        <f t="shared" si="952"/>
        <v/>
      </c>
      <c r="U4560" t="str">
        <f t="shared" si="953"/>
        <v>PA_Alleg_2019p~Dem-member of council coraopolis ward 2 (vote for 1)</v>
      </c>
      <c r="AF4560" s="22"/>
    </row>
    <row r="4561" spans="1:38">
      <c r="A4561" t="str">
        <f t="shared" si="954"/>
        <v>PA_Alleg_2019p~Dem-member of council coraopolis ward 2 (vote for 1)</v>
      </c>
      <c r="B4561" s="55" t="s">
        <v>1291</v>
      </c>
      <c r="C4561">
        <v>1034</v>
      </c>
      <c r="D4561" s="55" t="s">
        <v>1008</v>
      </c>
      <c r="E4561" s="55" t="s">
        <v>15</v>
      </c>
      <c r="F4561" t="s">
        <v>12</v>
      </c>
      <c r="G4561" s="62">
        <v>2</v>
      </c>
      <c r="H4561" s="25">
        <v>1.64</v>
      </c>
      <c r="I4561">
        <v>827</v>
      </c>
      <c r="J4561">
        <v>166</v>
      </c>
      <c r="K4561">
        <v>1</v>
      </c>
      <c r="L4561">
        <v>1</v>
      </c>
      <c r="M4561">
        <v>0</v>
      </c>
      <c r="N4561" s="23">
        <v>0</v>
      </c>
      <c r="O4561">
        <f t="shared" si="947"/>
        <v>-1</v>
      </c>
      <c r="P4561" s="57">
        <f t="shared" si="948"/>
        <v>1</v>
      </c>
      <c r="Q4561" s="267">
        <f t="shared" si="949"/>
        <v>2</v>
      </c>
      <c r="R4561" s="23">
        <f t="shared" si="950"/>
        <v>1</v>
      </c>
      <c r="S4561" s="23">
        <f t="shared" si="951"/>
        <v>0</v>
      </c>
      <c r="T4561" s="23" t="str">
        <f t="shared" si="952"/>
        <v/>
      </c>
      <c r="U4561" t="str">
        <f t="shared" si="953"/>
        <v/>
      </c>
      <c r="AF4561" s="22"/>
    </row>
    <row r="4562" spans="1:38">
      <c r="A4562" t="str">
        <f t="shared" si="954"/>
        <v>PA_Alleg_2019p~Dem-member of council coraopolis ward 3 (vote for 1)</v>
      </c>
      <c r="B4562" s="55" t="s">
        <v>1291</v>
      </c>
      <c r="C4562">
        <v>1102</v>
      </c>
      <c r="D4562" s="55" t="s">
        <v>1075</v>
      </c>
      <c r="E4562" s="55" t="s">
        <v>1012</v>
      </c>
      <c r="F4562" t="s">
        <v>12</v>
      </c>
      <c r="G4562" s="62">
        <f>128+47</f>
        <v>175</v>
      </c>
      <c r="H4562" s="25">
        <v>96.97</v>
      </c>
      <c r="I4562">
        <v>1201</v>
      </c>
      <c r="J4562">
        <v>239</v>
      </c>
      <c r="K4562">
        <v>2</v>
      </c>
      <c r="L4562">
        <v>2</v>
      </c>
      <c r="M4562">
        <v>0</v>
      </c>
      <c r="N4562" s="23">
        <v>0</v>
      </c>
      <c r="O4562">
        <f t="shared" si="947"/>
        <v>1</v>
      </c>
      <c r="P4562" s="57">
        <f t="shared" si="948"/>
        <v>1</v>
      </c>
      <c r="Q4562" s="267">
        <f t="shared" si="949"/>
        <v>288</v>
      </c>
      <c r="R4562" s="23">
        <f t="shared" si="950"/>
        <v>175</v>
      </c>
      <c r="S4562" s="23">
        <f t="shared" si="951"/>
        <v>108</v>
      </c>
      <c r="T4562" s="23">
        <f t="shared" si="952"/>
        <v>67</v>
      </c>
      <c r="U4562" t="str">
        <f t="shared" si="953"/>
        <v>PA_Alleg_2019p~Dem-member of council coraopolis ward 3 (vote for 1)</v>
      </c>
      <c r="AF4562" s="293"/>
    </row>
    <row r="4563" spans="1:38">
      <c r="A4563" t="str">
        <f t="shared" si="954"/>
        <v>PA_Alleg_2019p~Dem-member of council coraopolis ward 3 (vote for 1)</v>
      </c>
      <c r="B4563" s="55" t="s">
        <v>1291</v>
      </c>
      <c r="C4563">
        <v>1035</v>
      </c>
      <c r="D4563" s="55" t="s">
        <v>1010</v>
      </c>
      <c r="E4563" s="55" t="s">
        <v>1011</v>
      </c>
      <c r="F4563" t="s">
        <v>12</v>
      </c>
      <c r="G4563" s="62">
        <v>108</v>
      </c>
      <c r="H4563" s="25">
        <v>69.23</v>
      </c>
      <c r="I4563">
        <v>1201</v>
      </c>
      <c r="J4563">
        <v>239</v>
      </c>
      <c r="K4563">
        <v>2</v>
      </c>
      <c r="L4563">
        <v>2</v>
      </c>
      <c r="M4563">
        <v>0</v>
      </c>
      <c r="N4563" s="23">
        <v>0</v>
      </c>
      <c r="O4563">
        <f t="shared" si="947"/>
        <v>2</v>
      </c>
      <c r="P4563" s="57">
        <f t="shared" si="948"/>
        <v>1</v>
      </c>
      <c r="Q4563" s="267">
        <f t="shared" si="949"/>
        <v>113</v>
      </c>
      <c r="R4563" s="23" t="str">
        <f t="shared" si="950"/>
        <v/>
      </c>
      <c r="S4563" s="23">
        <f t="shared" si="951"/>
        <v>108</v>
      </c>
      <c r="T4563" s="23" t="str">
        <f t="shared" si="952"/>
        <v/>
      </c>
      <c r="U4563" t="str">
        <f t="shared" si="953"/>
        <v/>
      </c>
      <c r="AF4563" s="293"/>
    </row>
    <row r="4564" spans="1:38">
      <c r="A4564" t="str">
        <f t="shared" si="954"/>
        <v>PA_Alleg_2019p~Dem-member of council coraopolis ward 3 (vote for 1)</v>
      </c>
      <c r="B4564" s="55" t="s">
        <v>1291</v>
      </c>
      <c r="C4564">
        <v>1103</v>
      </c>
      <c r="D4564" s="55" t="s">
        <v>1075</v>
      </c>
      <c r="E4564" s="55" t="s">
        <v>15</v>
      </c>
      <c r="F4564" t="s">
        <v>12</v>
      </c>
      <c r="G4564" s="62">
        <v>4</v>
      </c>
      <c r="H4564" s="25">
        <v>3.03</v>
      </c>
      <c r="I4564">
        <v>1201</v>
      </c>
      <c r="J4564">
        <v>239</v>
      </c>
      <c r="K4564">
        <v>2</v>
      </c>
      <c r="L4564">
        <v>2</v>
      </c>
      <c r="M4564">
        <v>0</v>
      </c>
      <c r="N4564" s="23">
        <v>0</v>
      </c>
      <c r="O4564">
        <f t="shared" si="947"/>
        <v>-2</v>
      </c>
      <c r="P4564" s="57">
        <f t="shared" si="948"/>
        <v>1</v>
      </c>
      <c r="Q4564" s="267">
        <f t="shared" si="949"/>
        <v>5</v>
      </c>
      <c r="R4564" s="23" t="str">
        <f t="shared" si="950"/>
        <v/>
      </c>
      <c r="S4564" s="23">
        <f t="shared" si="951"/>
        <v>0</v>
      </c>
      <c r="T4564" s="23" t="str">
        <f t="shared" si="952"/>
        <v/>
      </c>
      <c r="U4564" t="str">
        <f t="shared" si="953"/>
        <v/>
      </c>
      <c r="AF4564" s="22"/>
    </row>
    <row r="4565" spans="1:38">
      <c r="A4565" t="str">
        <f t="shared" si="954"/>
        <v>PA_Alleg_2019p~Dem-member of council coraopolis ward 3 (vote for 1)</v>
      </c>
      <c r="B4565" s="55" t="s">
        <v>1291</v>
      </c>
      <c r="C4565">
        <v>1037</v>
      </c>
      <c r="D4565" s="55" t="s">
        <v>1010</v>
      </c>
      <c r="E4565" s="55" t="s">
        <v>15</v>
      </c>
      <c r="F4565" t="s">
        <v>12</v>
      </c>
      <c r="G4565" s="62">
        <v>1</v>
      </c>
      <c r="H4565" s="25">
        <v>0.64</v>
      </c>
      <c r="I4565">
        <v>1201</v>
      </c>
      <c r="J4565">
        <v>239</v>
      </c>
      <c r="K4565">
        <v>2</v>
      </c>
      <c r="L4565">
        <v>2</v>
      </c>
      <c r="M4565">
        <v>0</v>
      </c>
      <c r="N4565" s="23">
        <v>0</v>
      </c>
      <c r="O4565">
        <f t="shared" si="947"/>
        <v>-2</v>
      </c>
      <c r="P4565" s="57">
        <f t="shared" si="948"/>
        <v>1</v>
      </c>
      <c r="Q4565" s="267">
        <f t="shared" si="949"/>
        <v>1</v>
      </c>
      <c r="R4565" s="23" t="str">
        <f t="shared" si="950"/>
        <v/>
      </c>
      <c r="S4565" s="23">
        <f t="shared" si="951"/>
        <v>0</v>
      </c>
      <c r="T4565" s="23" t="str">
        <f t="shared" si="952"/>
        <v/>
      </c>
      <c r="U4565" t="str">
        <f t="shared" si="953"/>
        <v/>
      </c>
      <c r="AF4565" s="22"/>
    </row>
    <row r="4566" spans="1:38">
      <c r="A4566" t="str">
        <f t="shared" si="954"/>
        <v>PA_Alleg_2019p~Dem-member of council coraopolis ward 3 (vote for 1)</v>
      </c>
      <c r="B4566" s="55" t="s">
        <v>1291</v>
      </c>
      <c r="C4566">
        <v>1036</v>
      </c>
      <c r="D4566" s="55" t="s">
        <v>1010</v>
      </c>
      <c r="E4566" s="55" t="s">
        <v>1012</v>
      </c>
      <c r="F4566" t="s">
        <v>12</v>
      </c>
      <c r="G4566" s="62">
        <v>0</v>
      </c>
      <c r="H4566" s="25">
        <v>30.13</v>
      </c>
      <c r="I4566">
        <v>1201</v>
      </c>
      <c r="J4566">
        <v>239</v>
      </c>
      <c r="K4566">
        <v>2</v>
      </c>
      <c r="L4566">
        <v>2</v>
      </c>
      <c r="M4566">
        <v>0</v>
      </c>
      <c r="N4566" s="23">
        <v>0</v>
      </c>
      <c r="O4566">
        <f t="shared" si="947"/>
        <v>3</v>
      </c>
      <c r="P4566" s="57">
        <f t="shared" si="948"/>
        <v>1</v>
      </c>
      <c r="Q4566" s="267">
        <f t="shared" si="949"/>
        <v>0</v>
      </c>
      <c r="R4566" s="23" t="str">
        <f t="shared" si="950"/>
        <v/>
      </c>
      <c r="S4566" s="23">
        <f t="shared" si="951"/>
        <v>0</v>
      </c>
      <c r="T4566" s="23" t="str">
        <f t="shared" si="952"/>
        <v/>
      </c>
      <c r="U4566" t="str">
        <f t="shared" si="953"/>
        <v/>
      </c>
      <c r="AF4566" s="22"/>
    </row>
    <row r="4567" spans="1:38">
      <c r="A4567" t="str">
        <f t="shared" si="954"/>
        <v>PA_Alleg_2019p~Dem-member of council coraopolis ward 4 (vote for 1)</v>
      </c>
      <c r="B4567" s="55" t="s">
        <v>1291</v>
      </c>
      <c r="C4567">
        <v>1038</v>
      </c>
      <c r="D4567" s="55" t="s">
        <v>1013</v>
      </c>
      <c r="E4567" s="55" t="s">
        <v>1014</v>
      </c>
      <c r="F4567" t="s">
        <v>12</v>
      </c>
      <c r="G4567" s="62">
        <v>141</v>
      </c>
      <c r="H4567" s="25">
        <v>98.6</v>
      </c>
      <c r="I4567">
        <v>1001</v>
      </c>
      <c r="J4567">
        <v>232</v>
      </c>
      <c r="K4567">
        <v>2</v>
      </c>
      <c r="L4567">
        <v>2</v>
      </c>
      <c r="M4567">
        <v>0</v>
      </c>
      <c r="N4567" s="23">
        <v>0</v>
      </c>
      <c r="O4567">
        <f t="shared" si="947"/>
        <v>1</v>
      </c>
      <c r="P4567" s="57">
        <f t="shared" si="948"/>
        <v>1</v>
      </c>
      <c r="Q4567" s="267">
        <f t="shared" si="949"/>
        <v>143</v>
      </c>
      <c r="R4567" s="23">
        <f t="shared" si="950"/>
        <v>141</v>
      </c>
      <c r="S4567" s="23">
        <f t="shared" si="951"/>
        <v>0</v>
      </c>
      <c r="T4567" s="23" t="str">
        <f t="shared" si="952"/>
        <v/>
      </c>
      <c r="U4567" t="str">
        <f t="shared" si="953"/>
        <v>PA_Alleg_2019p~Dem-member of council coraopolis ward 4 (vote for 1)</v>
      </c>
      <c r="AF4567" s="22"/>
    </row>
    <row r="4568" spans="1:38">
      <c r="A4568" t="str">
        <f t="shared" si="954"/>
        <v>PA_Alleg_2019p~Dem-member of council coraopolis ward 4 (vote for 1)</v>
      </c>
      <c r="B4568" s="55" t="s">
        <v>1291</v>
      </c>
      <c r="C4568">
        <v>1039</v>
      </c>
      <c r="D4568" s="55" t="s">
        <v>1013</v>
      </c>
      <c r="E4568" s="55" t="s">
        <v>15</v>
      </c>
      <c r="F4568" t="s">
        <v>12</v>
      </c>
      <c r="G4568" s="62">
        <v>2</v>
      </c>
      <c r="H4568" s="25">
        <v>1.4</v>
      </c>
      <c r="I4568">
        <v>1001</v>
      </c>
      <c r="J4568">
        <v>232</v>
      </c>
      <c r="K4568">
        <v>2</v>
      </c>
      <c r="L4568">
        <v>2</v>
      </c>
      <c r="M4568">
        <v>0</v>
      </c>
      <c r="N4568" s="23">
        <v>0</v>
      </c>
      <c r="O4568">
        <f t="shared" si="947"/>
        <v>-1</v>
      </c>
      <c r="P4568" s="57">
        <f t="shared" si="948"/>
        <v>1</v>
      </c>
      <c r="Q4568" s="267">
        <f t="shared" si="949"/>
        <v>2</v>
      </c>
      <c r="R4568" s="23">
        <f t="shared" si="950"/>
        <v>1</v>
      </c>
      <c r="S4568" s="23">
        <f t="shared" si="951"/>
        <v>0</v>
      </c>
      <c r="T4568" s="23" t="str">
        <f t="shared" si="952"/>
        <v/>
      </c>
      <c r="U4568" t="str">
        <f t="shared" si="953"/>
        <v/>
      </c>
      <c r="AF4568" s="88"/>
      <c r="AH4568" s="8"/>
      <c r="AL4568" s="23"/>
    </row>
    <row r="4569" spans="1:38">
      <c r="A4569" t="str">
        <f t="shared" si="954"/>
        <v>PA_Alleg_2019p~Dem-member of council crafton (vote for 3)</v>
      </c>
      <c r="B4569" s="55" t="s">
        <v>1291</v>
      </c>
      <c r="C4569">
        <v>758</v>
      </c>
      <c r="D4569" s="55" t="s">
        <v>737</v>
      </c>
      <c r="E4569" s="55" t="s">
        <v>738</v>
      </c>
      <c r="F4569" t="s">
        <v>12</v>
      </c>
      <c r="G4569" s="62">
        <v>299</v>
      </c>
      <c r="H4569" s="25">
        <v>31.88</v>
      </c>
      <c r="I4569">
        <v>4603</v>
      </c>
      <c r="J4569">
        <v>610</v>
      </c>
      <c r="K4569">
        <v>6</v>
      </c>
      <c r="L4569">
        <v>6</v>
      </c>
      <c r="M4569">
        <v>0</v>
      </c>
      <c r="N4569" s="23">
        <v>0</v>
      </c>
      <c r="O4569">
        <f t="shared" si="947"/>
        <v>1</v>
      </c>
      <c r="P4569" s="57">
        <f t="shared" si="948"/>
        <v>3</v>
      </c>
      <c r="Q4569" s="267">
        <f t="shared" si="949"/>
        <v>312.66666666666669</v>
      </c>
      <c r="R4569" s="23">
        <f t="shared" si="950"/>
        <v>269</v>
      </c>
      <c r="S4569" s="23">
        <f t="shared" si="951"/>
        <v>0</v>
      </c>
      <c r="T4569" s="23" t="str">
        <f t="shared" si="952"/>
        <v/>
      </c>
      <c r="U4569" t="str">
        <f t="shared" si="953"/>
        <v>PA_Alleg_2019p~Dem-member of council crafton (vote for 3)</v>
      </c>
      <c r="AF4569" s="300"/>
    </row>
    <row r="4570" spans="1:38">
      <c r="A4570" t="str">
        <f t="shared" si="954"/>
        <v>PA_Alleg_2019p~Dem-member of council crafton (vote for 3)</v>
      </c>
      <c r="B4570" s="55" t="s">
        <v>1291</v>
      </c>
      <c r="C4570">
        <v>760</v>
      </c>
      <c r="D4570" s="55" t="s">
        <v>737</v>
      </c>
      <c r="E4570" s="55" t="s">
        <v>740</v>
      </c>
      <c r="F4570" t="s">
        <v>12</v>
      </c>
      <c r="G4570" s="62">
        <v>281</v>
      </c>
      <c r="H4570" s="25">
        <v>29.96</v>
      </c>
      <c r="I4570">
        <v>4603</v>
      </c>
      <c r="J4570">
        <v>610</v>
      </c>
      <c r="K4570">
        <v>6</v>
      </c>
      <c r="L4570">
        <v>6</v>
      </c>
      <c r="M4570">
        <v>0</v>
      </c>
      <c r="N4570" s="23">
        <v>0</v>
      </c>
      <c r="O4570">
        <f t="shared" si="947"/>
        <v>2</v>
      </c>
      <c r="P4570" s="57">
        <f t="shared" si="948"/>
        <v>3</v>
      </c>
      <c r="Q4570" s="267">
        <f t="shared" si="949"/>
        <v>639</v>
      </c>
      <c r="R4570" s="23">
        <f t="shared" si="950"/>
        <v>269</v>
      </c>
      <c r="S4570" s="23">
        <f t="shared" si="951"/>
        <v>0</v>
      </c>
      <c r="T4570" s="23" t="str">
        <f t="shared" si="952"/>
        <v/>
      </c>
      <c r="U4570" t="str">
        <f t="shared" si="953"/>
        <v/>
      </c>
      <c r="AF4570" s="22"/>
    </row>
    <row r="4571" spans="1:38">
      <c r="A4571" t="str">
        <f t="shared" si="954"/>
        <v>PA_Alleg_2019p~Dem-member of council crafton (vote for 3)</v>
      </c>
      <c r="B4571" s="55" t="s">
        <v>1291</v>
      </c>
      <c r="C4571">
        <v>759</v>
      </c>
      <c r="D4571" s="55" t="s">
        <v>737</v>
      </c>
      <c r="E4571" s="55" t="s">
        <v>739</v>
      </c>
      <c r="F4571" t="s">
        <v>12</v>
      </c>
      <c r="G4571" s="62">
        <v>269</v>
      </c>
      <c r="H4571" s="25">
        <v>28.68</v>
      </c>
      <c r="I4571">
        <v>4603</v>
      </c>
      <c r="J4571">
        <v>610</v>
      </c>
      <c r="K4571">
        <v>6</v>
      </c>
      <c r="L4571">
        <v>6</v>
      </c>
      <c r="M4571">
        <v>0</v>
      </c>
      <c r="N4571" s="23">
        <v>0</v>
      </c>
      <c r="O4571">
        <f t="shared" si="947"/>
        <v>3</v>
      </c>
      <c r="P4571" s="57">
        <f t="shared" si="948"/>
        <v>3</v>
      </c>
      <c r="Q4571" s="267">
        <f t="shared" si="949"/>
        <v>358</v>
      </c>
      <c r="R4571" s="23">
        <f t="shared" si="950"/>
        <v>269</v>
      </c>
      <c r="S4571" s="23">
        <f t="shared" si="951"/>
        <v>0</v>
      </c>
      <c r="T4571" s="23" t="str">
        <f t="shared" si="952"/>
        <v/>
      </c>
      <c r="U4571" t="str">
        <f t="shared" si="953"/>
        <v/>
      </c>
      <c r="AF4571" s="22"/>
    </row>
    <row r="4572" spans="1:38">
      <c r="A4572" t="str">
        <f t="shared" si="954"/>
        <v>PA_Alleg_2019p~Dem-member of council crafton (vote for 3)</v>
      </c>
      <c r="B4572" s="55" t="s">
        <v>1291</v>
      </c>
      <c r="C4572">
        <v>761</v>
      </c>
      <c r="D4572" s="55" t="s">
        <v>737</v>
      </c>
      <c r="E4572" s="55" t="s">
        <v>15</v>
      </c>
      <c r="F4572" t="s">
        <v>12</v>
      </c>
      <c r="G4572" s="62">
        <v>89</v>
      </c>
      <c r="H4572" s="25">
        <v>9.49</v>
      </c>
      <c r="I4572">
        <v>4603</v>
      </c>
      <c r="J4572">
        <v>610</v>
      </c>
      <c r="K4572">
        <v>6</v>
      </c>
      <c r="L4572">
        <v>6</v>
      </c>
      <c r="M4572">
        <v>0</v>
      </c>
      <c r="N4572" s="23">
        <v>0</v>
      </c>
      <c r="O4572">
        <f t="shared" si="947"/>
        <v>-3</v>
      </c>
      <c r="P4572" s="57">
        <f t="shared" si="948"/>
        <v>3</v>
      </c>
      <c r="Q4572" s="267">
        <f t="shared" si="949"/>
        <v>89</v>
      </c>
      <c r="R4572" s="23">
        <f t="shared" si="950"/>
        <v>1</v>
      </c>
      <c r="S4572" s="23">
        <f t="shared" si="951"/>
        <v>0</v>
      </c>
      <c r="T4572" s="23" t="str">
        <f t="shared" si="952"/>
        <v/>
      </c>
      <c r="U4572" t="str">
        <f t="shared" si="953"/>
        <v/>
      </c>
      <c r="AF4572" s="22"/>
      <c r="AG4572" s="302"/>
      <c r="AH4572" s="301"/>
      <c r="AI4572" s="303"/>
      <c r="AJ4572" s="303"/>
      <c r="AK4572" s="342"/>
      <c r="AL4572" s="343"/>
    </row>
    <row r="4573" spans="1:38">
      <c r="A4573" t="str">
        <f t="shared" si="954"/>
        <v>PA_Alleg_2019p~Dem-member of council district 1 (vote for 1)</v>
      </c>
      <c r="B4573" s="55" t="s">
        <v>1291</v>
      </c>
      <c r="C4573">
        <v>40</v>
      </c>
      <c r="D4573" s="55" t="s">
        <v>51</v>
      </c>
      <c r="E4573" s="55" t="s">
        <v>52</v>
      </c>
      <c r="F4573" t="s">
        <v>12</v>
      </c>
      <c r="G4573" s="62">
        <v>2572</v>
      </c>
      <c r="H4573" s="25">
        <v>56.29</v>
      </c>
      <c r="I4573">
        <v>24216</v>
      </c>
      <c r="J4573">
        <v>4986</v>
      </c>
      <c r="K4573">
        <v>39</v>
      </c>
      <c r="L4573">
        <v>39</v>
      </c>
      <c r="M4573">
        <v>0</v>
      </c>
      <c r="N4573" s="23">
        <v>0</v>
      </c>
      <c r="O4573">
        <f t="shared" si="947"/>
        <v>1</v>
      </c>
      <c r="P4573" s="57">
        <f t="shared" si="948"/>
        <v>1</v>
      </c>
      <c r="Q4573" s="267">
        <f t="shared" si="949"/>
        <v>4569</v>
      </c>
      <c r="R4573" s="23">
        <f t="shared" si="950"/>
        <v>2572</v>
      </c>
      <c r="S4573" s="23">
        <f t="shared" si="951"/>
        <v>1486</v>
      </c>
      <c r="T4573" s="23">
        <f t="shared" si="952"/>
        <v>1086</v>
      </c>
      <c r="U4573" t="str">
        <f t="shared" si="953"/>
        <v>PA_Alleg_2019p~Dem-member of council district 1 (vote for 1)</v>
      </c>
      <c r="AF4573" s="22"/>
    </row>
    <row r="4574" spans="1:38">
      <c r="A4574" t="str">
        <f t="shared" si="954"/>
        <v>PA_Alleg_2019p~Dem-member of council district 1 (vote for 1)</v>
      </c>
      <c r="B4574" s="55" t="s">
        <v>1291</v>
      </c>
      <c r="C4574">
        <v>42</v>
      </c>
      <c r="D4574" s="55" t="s">
        <v>51</v>
      </c>
      <c r="E4574" s="55" t="s">
        <v>54</v>
      </c>
      <c r="F4574" t="s">
        <v>12</v>
      </c>
      <c r="G4574" s="62">
        <v>1486</v>
      </c>
      <c r="H4574" s="25">
        <v>32.520000000000003</v>
      </c>
      <c r="I4574">
        <v>24216</v>
      </c>
      <c r="J4574">
        <v>4986</v>
      </c>
      <c r="K4574">
        <v>39</v>
      </c>
      <c r="L4574">
        <v>39</v>
      </c>
      <c r="M4574">
        <v>0</v>
      </c>
      <c r="N4574" s="23">
        <v>0</v>
      </c>
      <c r="O4574">
        <f t="shared" si="947"/>
        <v>2</v>
      </c>
      <c r="P4574" s="57">
        <f t="shared" si="948"/>
        <v>1</v>
      </c>
      <c r="Q4574" s="267">
        <f t="shared" si="949"/>
        <v>1997</v>
      </c>
      <c r="R4574" s="23" t="str">
        <f t="shared" si="950"/>
        <v/>
      </c>
      <c r="S4574" s="23">
        <f t="shared" si="951"/>
        <v>1486</v>
      </c>
      <c r="T4574" s="23" t="str">
        <f t="shared" si="952"/>
        <v/>
      </c>
      <c r="U4574" t="str">
        <f t="shared" si="953"/>
        <v/>
      </c>
    </row>
    <row r="4575" spans="1:38">
      <c r="A4575" t="str">
        <f t="shared" si="954"/>
        <v>PA_Alleg_2019p~Dem-member of council district 1 (vote for 1)</v>
      </c>
      <c r="B4575" s="55" t="s">
        <v>1291</v>
      </c>
      <c r="C4575">
        <v>41</v>
      </c>
      <c r="D4575" s="55" t="s">
        <v>51</v>
      </c>
      <c r="E4575" s="55" t="s">
        <v>53</v>
      </c>
      <c r="F4575" t="s">
        <v>12</v>
      </c>
      <c r="G4575" s="62">
        <v>495</v>
      </c>
      <c r="H4575" s="25">
        <v>10.83</v>
      </c>
      <c r="I4575">
        <v>24216</v>
      </c>
      <c r="J4575">
        <v>4986</v>
      </c>
      <c r="K4575">
        <v>39</v>
      </c>
      <c r="L4575">
        <v>39</v>
      </c>
      <c r="M4575">
        <v>0</v>
      </c>
      <c r="N4575" s="23">
        <v>0</v>
      </c>
      <c r="O4575">
        <f t="shared" si="947"/>
        <v>3</v>
      </c>
      <c r="P4575" s="57">
        <f t="shared" si="948"/>
        <v>1</v>
      </c>
      <c r="Q4575" s="267">
        <f t="shared" si="949"/>
        <v>511</v>
      </c>
      <c r="R4575" s="23" t="str">
        <f t="shared" si="950"/>
        <v/>
      </c>
      <c r="S4575" s="23">
        <f t="shared" si="951"/>
        <v>495</v>
      </c>
      <c r="T4575" s="23" t="str">
        <f t="shared" si="952"/>
        <v/>
      </c>
      <c r="U4575" t="str">
        <f t="shared" si="953"/>
        <v/>
      </c>
      <c r="AF4575" s="22"/>
      <c r="AG4575" s="302"/>
      <c r="AH4575" s="301"/>
      <c r="AI4575" s="303"/>
      <c r="AJ4575" s="303"/>
      <c r="AK4575" s="342"/>
      <c r="AL4575" s="343"/>
    </row>
    <row r="4576" spans="1:38">
      <c r="A4576" t="str">
        <f t="shared" si="954"/>
        <v>PA_Alleg_2019p~Dem-member of council district 1 (vote for 1)</v>
      </c>
      <c r="B4576" s="55" t="s">
        <v>1291</v>
      </c>
      <c r="C4576">
        <v>43</v>
      </c>
      <c r="D4576" s="55" t="s">
        <v>51</v>
      </c>
      <c r="E4576" s="55" t="s">
        <v>15</v>
      </c>
      <c r="F4576" t="s">
        <v>12</v>
      </c>
      <c r="G4576" s="62">
        <v>16</v>
      </c>
      <c r="H4576" s="25">
        <v>0.35</v>
      </c>
      <c r="I4576">
        <v>24216</v>
      </c>
      <c r="J4576">
        <v>4986</v>
      </c>
      <c r="K4576">
        <v>39</v>
      </c>
      <c r="L4576">
        <v>39</v>
      </c>
      <c r="M4576">
        <v>0</v>
      </c>
      <c r="N4576" s="23">
        <v>0</v>
      </c>
      <c r="O4576">
        <f t="shared" si="947"/>
        <v>-3</v>
      </c>
      <c r="P4576" s="57">
        <f t="shared" si="948"/>
        <v>1</v>
      </c>
      <c r="Q4576" s="267">
        <f t="shared" si="949"/>
        <v>16</v>
      </c>
      <c r="R4576" s="23">
        <f t="shared" si="950"/>
        <v>1</v>
      </c>
      <c r="S4576" s="23">
        <f t="shared" si="951"/>
        <v>0</v>
      </c>
      <c r="T4576" s="23" t="str">
        <f t="shared" si="952"/>
        <v/>
      </c>
      <c r="U4576" t="str">
        <f t="shared" si="953"/>
        <v/>
      </c>
      <c r="AF4576" s="22"/>
      <c r="AG4576" s="89"/>
      <c r="AH4576" s="274"/>
      <c r="AI4576" s="279"/>
      <c r="AJ4576" s="280"/>
      <c r="AK4576" s="92"/>
      <c r="AL4576" s="23"/>
    </row>
    <row r="4577" spans="1:38">
      <c r="A4577" t="str">
        <f t="shared" si="954"/>
        <v>PA_Alleg_2019p~Dem-member of council district 3 (vote for 1)</v>
      </c>
      <c r="B4577" s="55" t="s">
        <v>1291</v>
      </c>
      <c r="C4577">
        <v>46</v>
      </c>
      <c r="D4577" s="55" t="s">
        <v>55</v>
      </c>
      <c r="E4577" s="55" t="s">
        <v>58</v>
      </c>
      <c r="F4577" t="s">
        <v>12</v>
      </c>
      <c r="G4577" s="62">
        <v>1493</v>
      </c>
      <c r="H4577" s="25">
        <v>54.57</v>
      </c>
      <c r="I4577">
        <v>30395</v>
      </c>
      <c r="J4577">
        <v>3001</v>
      </c>
      <c r="K4577">
        <v>41</v>
      </c>
      <c r="L4577">
        <v>41</v>
      </c>
      <c r="M4577">
        <v>0</v>
      </c>
      <c r="N4577" s="23">
        <v>0</v>
      </c>
      <c r="O4577">
        <f t="shared" si="947"/>
        <v>1</v>
      </c>
      <c r="P4577" s="57">
        <f t="shared" si="948"/>
        <v>1</v>
      </c>
      <c r="Q4577" s="267">
        <f t="shared" si="949"/>
        <v>2736</v>
      </c>
      <c r="R4577" s="23">
        <f t="shared" si="950"/>
        <v>1493</v>
      </c>
      <c r="S4577" s="23">
        <f t="shared" si="951"/>
        <v>932</v>
      </c>
      <c r="T4577" s="23">
        <f t="shared" si="952"/>
        <v>561</v>
      </c>
      <c r="U4577" t="str">
        <f t="shared" si="953"/>
        <v>PA_Alleg_2019p~Dem-member of council district 3 (vote for 1)</v>
      </c>
      <c r="AF4577" s="22"/>
    </row>
    <row r="4578" spans="1:38">
      <c r="A4578" t="str">
        <f t="shared" si="954"/>
        <v>PA_Alleg_2019p~Dem-member of council district 3 (vote for 1)</v>
      </c>
      <c r="B4578" s="55" t="s">
        <v>1291</v>
      </c>
      <c r="C4578">
        <v>45</v>
      </c>
      <c r="D4578" s="55" t="s">
        <v>55</v>
      </c>
      <c r="E4578" s="55" t="s">
        <v>57</v>
      </c>
      <c r="F4578" t="s">
        <v>12</v>
      </c>
      <c r="G4578" s="62">
        <v>932</v>
      </c>
      <c r="H4578" s="25">
        <v>34.06</v>
      </c>
      <c r="I4578">
        <v>30395</v>
      </c>
      <c r="J4578">
        <v>3001</v>
      </c>
      <c r="K4578">
        <v>41</v>
      </c>
      <c r="L4578">
        <v>41</v>
      </c>
      <c r="M4578">
        <v>0</v>
      </c>
      <c r="N4578" s="23">
        <v>0</v>
      </c>
      <c r="O4578">
        <f t="shared" si="947"/>
        <v>2</v>
      </c>
      <c r="P4578" s="57">
        <f t="shared" si="948"/>
        <v>1</v>
      </c>
      <c r="Q4578" s="267">
        <f t="shared" si="949"/>
        <v>1243</v>
      </c>
      <c r="R4578" s="23" t="str">
        <f t="shared" si="950"/>
        <v/>
      </c>
      <c r="S4578" s="23">
        <f t="shared" si="951"/>
        <v>932</v>
      </c>
      <c r="T4578" s="23" t="str">
        <f t="shared" si="952"/>
        <v/>
      </c>
      <c r="U4578" t="str">
        <f t="shared" si="953"/>
        <v/>
      </c>
      <c r="AF4578" s="22"/>
    </row>
    <row r="4579" spans="1:38">
      <c r="A4579" t="str">
        <f t="shared" si="954"/>
        <v>PA_Alleg_2019p~Dem-member of council district 3 (vote for 1)</v>
      </c>
      <c r="B4579" s="55" t="s">
        <v>1291</v>
      </c>
      <c r="C4579">
        <v>44</v>
      </c>
      <c r="D4579" s="55" t="s">
        <v>55</v>
      </c>
      <c r="E4579" s="55" t="s">
        <v>56</v>
      </c>
      <c r="F4579" t="s">
        <v>12</v>
      </c>
      <c r="G4579" s="62">
        <v>298</v>
      </c>
      <c r="H4579" s="25">
        <v>10.89</v>
      </c>
      <c r="I4579">
        <v>30395</v>
      </c>
      <c r="J4579">
        <v>3001</v>
      </c>
      <c r="K4579">
        <v>41</v>
      </c>
      <c r="L4579">
        <v>41</v>
      </c>
      <c r="M4579">
        <v>0</v>
      </c>
      <c r="N4579" s="23">
        <v>0</v>
      </c>
      <c r="O4579">
        <f t="shared" si="947"/>
        <v>3</v>
      </c>
      <c r="P4579" s="57">
        <f t="shared" si="948"/>
        <v>1</v>
      </c>
      <c r="Q4579" s="267">
        <f t="shared" si="949"/>
        <v>311</v>
      </c>
      <c r="R4579" s="23" t="str">
        <f t="shared" si="950"/>
        <v/>
      </c>
      <c r="S4579" s="23">
        <f t="shared" si="951"/>
        <v>298</v>
      </c>
      <c r="T4579" s="23" t="str">
        <f t="shared" si="952"/>
        <v/>
      </c>
      <c r="U4579" t="str">
        <f t="shared" si="953"/>
        <v/>
      </c>
      <c r="AF4579" s="22"/>
      <c r="AG4579" s="302"/>
      <c r="AH4579" s="301"/>
      <c r="AI4579" s="303"/>
      <c r="AJ4579" s="303"/>
      <c r="AK4579" s="342"/>
      <c r="AL4579" s="343"/>
    </row>
    <row r="4580" spans="1:38">
      <c r="A4580" t="str">
        <f t="shared" si="954"/>
        <v>PA_Alleg_2019p~Dem-member of council district 3 (vote for 1)</v>
      </c>
      <c r="B4580" s="55" t="s">
        <v>1291</v>
      </c>
      <c r="C4580">
        <v>47</v>
      </c>
      <c r="D4580" s="55" t="s">
        <v>55</v>
      </c>
      <c r="E4580" s="55" t="s">
        <v>15</v>
      </c>
      <c r="F4580" t="s">
        <v>12</v>
      </c>
      <c r="G4580" s="62">
        <v>13</v>
      </c>
      <c r="H4580" s="25">
        <v>0.48</v>
      </c>
      <c r="I4580">
        <v>30395</v>
      </c>
      <c r="J4580">
        <v>3001</v>
      </c>
      <c r="K4580">
        <v>41</v>
      </c>
      <c r="L4580">
        <v>41</v>
      </c>
      <c r="M4580">
        <v>0</v>
      </c>
      <c r="N4580" s="23">
        <v>0</v>
      </c>
      <c r="O4580">
        <f t="shared" si="947"/>
        <v>-3</v>
      </c>
      <c r="P4580" s="57">
        <f t="shared" si="948"/>
        <v>1</v>
      </c>
      <c r="Q4580" s="267">
        <f t="shared" si="949"/>
        <v>13</v>
      </c>
      <c r="R4580" s="23">
        <f t="shared" si="950"/>
        <v>1</v>
      </c>
      <c r="S4580" s="23">
        <f t="shared" si="951"/>
        <v>0</v>
      </c>
      <c r="T4580" s="23" t="str">
        <f t="shared" si="952"/>
        <v/>
      </c>
      <c r="U4580" t="str">
        <f t="shared" si="953"/>
        <v/>
      </c>
      <c r="AF4580" s="300"/>
    </row>
    <row r="4581" spans="1:38">
      <c r="A4581" t="str">
        <f t="shared" si="954"/>
        <v>PA_Alleg_2019p~Dem-member of council district 5 (vote for 1)</v>
      </c>
      <c r="B4581" s="55" t="s">
        <v>1291</v>
      </c>
      <c r="C4581">
        <v>48</v>
      </c>
      <c r="D4581" s="55" t="s">
        <v>59</v>
      </c>
      <c r="E4581" s="55" t="s">
        <v>60</v>
      </c>
      <c r="F4581" t="s">
        <v>12</v>
      </c>
      <c r="G4581" s="62">
        <v>4537</v>
      </c>
      <c r="H4581" s="25">
        <v>98.59</v>
      </c>
      <c r="I4581">
        <v>27899</v>
      </c>
      <c r="J4581">
        <v>5418</v>
      </c>
      <c r="K4581">
        <v>47</v>
      </c>
      <c r="L4581">
        <v>47</v>
      </c>
      <c r="M4581">
        <v>0</v>
      </c>
      <c r="N4581" s="23">
        <v>0</v>
      </c>
      <c r="O4581">
        <f t="shared" si="947"/>
        <v>1</v>
      </c>
      <c r="P4581" s="57">
        <f t="shared" si="948"/>
        <v>1</v>
      </c>
      <c r="Q4581" s="267">
        <f t="shared" si="949"/>
        <v>4602</v>
      </c>
      <c r="R4581" s="23">
        <f t="shared" si="950"/>
        <v>4537</v>
      </c>
      <c r="S4581" s="23">
        <f t="shared" si="951"/>
        <v>0</v>
      </c>
      <c r="T4581" s="23" t="str">
        <f t="shared" si="952"/>
        <v/>
      </c>
      <c r="U4581" t="str">
        <f t="shared" si="953"/>
        <v>PA_Alleg_2019p~Dem-member of council district 5 (vote for 1)</v>
      </c>
      <c r="AF4581" s="22"/>
    </row>
    <row r="4582" spans="1:38">
      <c r="A4582" t="str">
        <f t="shared" si="954"/>
        <v>PA_Alleg_2019p~Dem-member of council district 5 (vote for 1)</v>
      </c>
      <c r="B4582" s="55" t="s">
        <v>1291</v>
      </c>
      <c r="C4582">
        <v>49</v>
      </c>
      <c r="D4582" s="55" t="s">
        <v>59</v>
      </c>
      <c r="E4582" s="55" t="s">
        <v>15</v>
      </c>
      <c r="F4582" t="s">
        <v>12</v>
      </c>
      <c r="G4582" s="62">
        <v>65</v>
      </c>
      <c r="H4582" s="25">
        <v>1.41</v>
      </c>
      <c r="I4582">
        <v>27899</v>
      </c>
      <c r="J4582">
        <v>5418</v>
      </c>
      <c r="K4582">
        <v>47</v>
      </c>
      <c r="L4582">
        <v>47</v>
      </c>
      <c r="M4582">
        <v>0</v>
      </c>
      <c r="N4582" s="23">
        <v>0</v>
      </c>
      <c r="O4582">
        <f t="shared" si="947"/>
        <v>-1</v>
      </c>
      <c r="P4582" s="57">
        <f t="shared" si="948"/>
        <v>1</v>
      </c>
      <c r="Q4582" s="267">
        <f t="shared" si="949"/>
        <v>65</v>
      </c>
      <c r="R4582" s="23">
        <f t="shared" si="950"/>
        <v>1</v>
      </c>
      <c r="S4582" s="23">
        <f t="shared" si="951"/>
        <v>0</v>
      </c>
      <c r="T4582" s="23" t="str">
        <f t="shared" si="952"/>
        <v/>
      </c>
      <c r="U4582" t="str">
        <f t="shared" si="953"/>
        <v/>
      </c>
      <c r="AF4582" s="22"/>
    </row>
    <row r="4583" spans="1:38">
      <c r="A4583" t="str">
        <f t="shared" si="954"/>
        <v>PA_Alleg_2019p~Dem-member of council district 7 (vote for 1)</v>
      </c>
      <c r="B4583" s="55" t="s">
        <v>1291</v>
      </c>
      <c r="C4583">
        <v>50</v>
      </c>
      <c r="D4583" s="55" t="s">
        <v>61</v>
      </c>
      <c r="E4583" s="55" t="s">
        <v>62</v>
      </c>
      <c r="F4583" t="s">
        <v>12</v>
      </c>
      <c r="G4583" s="62">
        <v>3497</v>
      </c>
      <c r="H4583" s="25">
        <v>58.55</v>
      </c>
      <c r="I4583">
        <v>31186</v>
      </c>
      <c r="J4583">
        <v>6432</v>
      </c>
      <c r="K4583">
        <v>46</v>
      </c>
      <c r="L4583">
        <v>46</v>
      </c>
      <c r="M4583">
        <v>0</v>
      </c>
      <c r="N4583" s="23">
        <v>0</v>
      </c>
      <c r="O4583">
        <f t="shared" si="947"/>
        <v>1</v>
      </c>
      <c r="P4583" s="57">
        <f t="shared" si="948"/>
        <v>1</v>
      </c>
      <c r="Q4583" s="267">
        <f t="shared" si="949"/>
        <v>5973</v>
      </c>
      <c r="R4583" s="23">
        <f t="shared" si="950"/>
        <v>3497</v>
      </c>
      <c r="S4583" s="23">
        <f t="shared" si="951"/>
        <v>2465</v>
      </c>
      <c r="T4583" s="23">
        <f t="shared" si="952"/>
        <v>1032</v>
      </c>
      <c r="U4583" t="str">
        <f t="shared" si="953"/>
        <v>PA_Alleg_2019p~Dem-member of council district 7 (vote for 1)</v>
      </c>
      <c r="AF4583" s="22"/>
    </row>
    <row r="4584" spans="1:38">
      <c r="A4584" t="str">
        <f t="shared" si="954"/>
        <v>PA_Alleg_2019p~Dem-member of council district 7 (vote for 1)</v>
      </c>
      <c r="B4584" s="55" t="s">
        <v>1291</v>
      </c>
      <c r="C4584">
        <v>51</v>
      </c>
      <c r="D4584" s="55" t="s">
        <v>61</v>
      </c>
      <c r="E4584" s="55" t="s">
        <v>63</v>
      </c>
      <c r="F4584" t="s">
        <v>12</v>
      </c>
      <c r="G4584" s="62">
        <v>2465</v>
      </c>
      <c r="H4584" s="25">
        <v>41.27</v>
      </c>
      <c r="I4584">
        <v>31186</v>
      </c>
      <c r="J4584">
        <v>6432</v>
      </c>
      <c r="K4584">
        <v>46</v>
      </c>
      <c r="L4584">
        <v>46</v>
      </c>
      <c r="M4584">
        <v>0</v>
      </c>
      <c r="N4584" s="23">
        <v>0</v>
      </c>
      <c r="O4584">
        <f t="shared" si="947"/>
        <v>2</v>
      </c>
      <c r="P4584" s="57">
        <f t="shared" si="948"/>
        <v>1</v>
      </c>
      <c r="Q4584" s="267">
        <f t="shared" si="949"/>
        <v>2476</v>
      </c>
      <c r="R4584" s="23" t="str">
        <f t="shared" si="950"/>
        <v/>
      </c>
      <c r="S4584" s="23">
        <f t="shared" si="951"/>
        <v>2465</v>
      </c>
      <c r="T4584" s="23" t="str">
        <f t="shared" si="952"/>
        <v/>
      </c>
      <c r="U4584" t="str">
        <f t="shared" si="953"/>
        <v/>
      </c>
      <c r="AF4584" s="22"/>
    </row>
    <row r="4585" spans="1:38">
      <c r="A4585" t="str">
        <f t="shared" si="954"/>
        <v>PA_Alleg_2019p~Dem-member of council district 7 (vote for 1)</v>
      </c>
      <c r="B4585" s="55" t="s">
        <v>1291</v>
      </c>
      <c r="C4585">
        <v>52</v>
      </c>
      <c r="D4585" s="55" t="s">
        <v>61</v>
      </c>
      <c r="E4585" s="55" t="s">
        <v>15</v>
      </c>
      <c r="F4585" t="s">
        <v>12</v>
      </c>
      <c r="G4585" s="62">
        <v>11</v>
      </c>
      <c r="H4585" s="25">
        <v>0.18</v>
      </c>
      <c r="I4585">
        <v>31186</v>
      </c>
      <c r="J4585">
        <v>6432</v>
      </c>
      <c r="K4585">
        <v>46</v>
      </c>
      <c r="L4585">
        <v>46</v>
      </c>
      <c r="M4585">
        <v>0</v>
      </c>
      <c r="N4585" s="23">
        <v>0</v>
      </c>
      <c r="O4585">
        <f t="shared" si="947"/>
        <v>-2</v>
      </c>
      <c r="P4585" s="57">
        <f t="shared" si="948"/>
        <v>1</v>
      </c>
      <c r="Q4585" s="267">
        <f t="shared" si="949"/>
        <v>11</v>
      </c>
      <c r="R4585" s="23">
        <f t="shared" si="950"/>
        <v>1</v>
      </c>
      <c r="S4585" s="23">
        <f t="shared" si="951"/>
        <v>0</v>
      </c>
      <c r="T4585" s="23" t="str">
        <f t="shared" si="952"/>
        <v/>
      </c>
      <c r="U4585" t="str">
        <f t="shared" si="953"/>
        <v/>
      </c>
      <c r="AF4585" s="22"/>
      <c r="AG4585" s="302"/>
      <c r="AH4585" s="301"/>
      <c r="AI4585" s="303"/>
      <c r="AJ4585" s="303"/>
      <c r="AK4585" s="342"/>
      <c r="AL4585" s="343"/>
    </row>
    <row r="4586" spans="1:38">
      <c r="A4586" t="str">
        <f t="shared" si="954"/>
        <v>PA_Alleg_2019p~Dem-member of council district 9 (vote for 1)</v>
      </c>
      <c r="B4586" s="55" t="s">
        <v>1291</v>
      </c>
      <c r="C4586">
        <v>53</v>
      </c>
      <c r="D4586" s="55" t="s">
        <v>64</v>
      </c>
      <c r="E4586" s="55" t="s">
        <v>65</v>
      </c>
      <c r="F4586" t="s">
        <v>12</v>
      </c>
      <c r="G4586" s="62">
        <v>2049</v>
      </c>
      <c r="H4586" s="25">
        <v>38.700000000000003</v>
      </c>
      <c r="I4586">
        <v>28287</v>
      </c>
      <c r="J4586">
        <v>5611</v>
      </c>
      <c r="K4586">
        <v>60</v>
      </c>
      <c r="L4586">
        <v>60</v>
      </c>
      <c r="M4586">
        <v>0</v>
      </c>
      <c r="N4586" s="23">
        <v>0</v>
      </c>
      <c r="O4586">
        <f t="shared" si="947"/>
        <v>1</v>
      </c>
      <c r="P4586" s="57">
        <f t="shared" si="948"/>
        <v>1</v>
      </c>
      <c r="Q4586" s="267">
        <f t="shared" si="949"/>
        <v>5294</v>
      </c>
      <c r="R4586" s="23">
        <f t="shared" si="950"/>
        <v>2049</v>
      </c>
      <c r="S4586" s="23">
        <f t="shared" si="951"/>
        <v>1518</v>
      </c>
      <c r="T4586" s="23">
        <f t="shared" si="952"/>
        <v>531</v>
      </c>
      <c r="U4586" t="str">
        <f t="shared" si="953"/>
        <v>PA_Alleg_2019p~Dem-member of council district 9 (vote for 1)</v>
      </c>
      <c r="AF4586" s="22"/>
      <c r="AG4586" s="302"/>
      <c r="AH4586" s="301"/>
      <c r="AI4586" s="303"/>
      <c r="AJ4586" s="303"/>
      <c r="AK4586" s="342"/>
      <c r="AL4586" s="343"/>
    </row>
    <row r="4587" spans="1:38">
      <c r="A4587" t="str">
        <f t="shared" si="954"/>
        <v>PA_Alleg_2019p~Dem-member of council district 9 (vote for 1)</v>
      </c>
      <c r="B4587" s="55" t="s">
        <v>1291</v>
      </c>
      <c r="C4587">
        <v>55</v>
      </c>
      <c r="D4587" s="55" t="s">
        <v>64</v>
      </c>
      <c r="E4587" s="55" t="s">
        <v>67</v>
      </c>
      <c r="F4587" t="s">
        <v>12</v>
      </c>
      <c r="G4587" s="62">
        <v>1518</v>
      </c>
      <c r="H4587" s="25">
        <v>28.67</v>
      </c>
      <c r="I4587">
        <v>28287</v>
      </c>
      <c r="J4587">
        <v>5611</v>
      </c>
      <c r="K4587">
        <v>60</v>
      </c>
      <c r="L4587">
        <v>60</v>
      </c>
      <c r="M4587">
        <v>0</v>
      </c>
      <c r="N4587" s="23">
        <v>0</v>
      </c>
      <c r="O4587">
        <f t="shared" si="947"/>
        <v>2</v>
      </c>
      <c r="P4587" s="57">
        <f t="shared" si="948"/>
        <v>1</v>
      </c>
      <c r="Q4587" s="267">
        <f t="shared" si="949"/>
        <v>3245</v>
      </c>
      <c r="R4587" s="23" t="str">
        <f t="shared" si="950"/>
        <v/>
      </c>
      <c r="S4587" s="23">
        <f t="shared" si="951"/>
        <v>1518</v>
      </c>
      <c r="T4587" s="23" t="str">
        <f t="shared" si="952"/>
        <v/>
      </c>
      <c r="U4587" t="str">
        <f t="shared" si="953"/>
        <v/>
      </c>
      <c r="AF4587" s="88"/>
      <c r="AG4587" s="295"/>
      <c r="AH4587" s="294"/>
      <c r="AI4587" s="279"/>
      <c r="AJ4587" s="279"/>
      <c r="AL4587" s="341"/>
    </row>
    <row r="4588" spans="1:38">
      <c r="A4588" t="str">
        <f t="shared" si="954"/>
        <v>PA_Alleg_2019p~Dem-member of council district 9 (vote for 1)</v>
      </c>
      <c r="B4588" s="55" t="s">
        <v>1291</v>
      </c>
      <c r="C4588">
        <v>57</v>
      </c>
      <c r="D4588" s="55" t="s">
        <v>64</v>
      </c>
      <c r="E4588" s="55" t="s">
        <v>69</v>
      </c>
      <c r="F4588" t="s">
        <v>12</v>
      </c>
      <c r="G4588" s="62">
        <v>822</v>
      </c>
      <c r="H4588" s="25">
        <v>15.53</v>
      </c>
      <c r="I4588">
        <v>28287</v>
      </c>
      <c r="J4588">
        <v>5611</v>
      </c>
      <c r="K4588">
        <v>60</v>
      </c>
      <c r="L4588">
        <v>60</v>
      </c>
      <c r="M4588">
        <v>0</v>
      </c>
      <c r="N4588" s="23">
        <v>0</v>
      </c>
      <c r="O4588">
        <f t="shared" si="947"/>
        <v>3</v>
      </c>
      <c r="P4588" s="57">
        <f t="shared" si="948"/>
        <v>1</v>
      </c>
      <c r="Q4588" s="267">
        <f t="shared" si="949"/>
        <v>1727</v>
      </c>
      <c r="R4588" s="23" t="str">
        <f t="shared" si="950"/>
        <v/>
      </c>
      <c r="S4588" s="23">
        <f t="shared" si="951"/>
        <v>822</v>
      </c>
      <c r="T4588" s="23" t="str">
        <f t="shared" si="952"/>
        <v/>
      </c>
      <c r="U4588" t="str">
        <f t="shared" si="953"/>
        <v/>
      </c>
      <c r="AF4588" s="22"/>
    </row>
    <row r="4589" spans="1:38">
      <c r="A4589" t="str">
        <f t="shared" si="954"/>
        <v>PA_Alleg_2019p~Dem-member of council district 9 (vote for 1)</v>
      </c>
      <c r="B4589" s="55" t="s">
        <v>1291</v>
      </c>
      <c r="C4589">
        <v>54</v>
      </c>
      <c r="D4589" s="55" t="s">
        <v>64</v>
      </c>
      <c r="E4589" s="55" t="s">
        <v>66</v>
      </c>
      <c r="F4589" t="s">
        <v>12</v>
      </c>
      <c r="G4589" s="62">
        <v>702</v>
      </c>
      <c r="H4589" s="25">
        <v>13.26</v>
      </c>
      <c r="I4589">
        <v>28287</v>
      </c>
      <c r="J4589">
        <v>5611</v>
      </c>
      <c r="K4589">
        <v>60</v>
      </c>
      <c r="L4589">
        <v>60</v>
      </c>
      <c r="M4589">
        <v>0</v>
      </c>
      <c r="N4589" s="23">
        <v>0</v>
      </c>
      <c r="O4589">
        <f t="shared" si="947"/>
        <v>4</v>
      </c>
      <c r="P4589" s="57">
        <f t="shared" si="948"/>
        <v>1</v>
      </c>
      <c r="Q4589" s="267">
        <f t="shared" si="949"/>
        <v>905</v>
      </c>
      <c r="R4589" s="23" t="str">
        <f t="shared" si="950"/>
        <v/>
      </c>
      <c r="S4589" s="23">
        <f t="shared" si="951"/>
        <v>702</v>
      </c>
      <c r="T4589" s="23" t="str">
        <f t="shared" si="952"/>
        <v/>
      </c>
      <c r="U4589" t="str">
        <f t="shared" si="953"/>
        <v/>
      </c>
      <c r="AF4589" s="22"/>
    </row>
    <row r="4590" spans="1:38">
      <c r="A4590" t="str">
        <f t="shared" si="954"/>
        <v>PA_Alleg_2019p~Dem-member of council district 9 (vote for 1)</v>
      </c>
      <c r="B4590" s="55" t="s">
        <v>1291</v>
      </c>
      <c r="C4590">
        <v>56</v>
      </c>
      <c r="D4590" s="55" t="s">
        <v>64</v>
      </c>
      <c r="E4590" s="55" t="s">
        <v>68</v>
      </c>
      <c r="F4590" t="s">
        <v>12</v>
      </c>
      <c r="G4590" s="62">
        <v>138</v>
      </c>
      <c r="H4590" s="25">
        <v>2.61</v>
      </c>
      <c r="I4590">
        <v>28287</v>
      </c>
      <c r="J4590">
        <v>5611</v>
      </c>
      <c r="K4590">
        <v>60</v>
      </c>
      <c r="L4590">
        <v>60</v>
      </c>
      <c r="M4590">
        <v>0</v>
      </c>
      <c r="N4590" s="23">
        <v>0</v>
      </c>
      <c r="O4590">
        <f t="shared" si="947"/>
        <v>5</v>
      </c>
      <c r="P4590" s="57">
        <f t="shared" si="948"/>
        <v>1</v>
      </c>
      <c r="Q4590" s="267">
        <f t="shared" si="949"/>
        <v>203</v>
      </c>
      <c r="R4590" s="23" t="str">
        <f t="shared" si="950"/>
        <v/>
      </c>
      <c r="S4590" s="23">
        <f t="shared" si="951"/>
        <v>138</v>
      </c>
      <c r="T4590" s="23" t="str">
        <f t="shared" si="952"/>
        <v/>
      </c>
      <c r="U4590" t="str">
        <f t="shared" si="953"/>
        <v/>
      </c>
      <c r="AF4590" s="22"/>
      <c r="AG4590" s="23"/>
      <c r="AH4590" s="8"/>
    </row>
    <row r="4591" spans="1:38">
      <c r="A4591" t="str">
        <f t="shared" si="954"/>
        <v>PA_Alleg_2019p~Dem-member of council district 9 (vote for 1)</v>
      </c>
      <c r="B4591" s="55" t="s">
        <v>1291</v>
      </c>
      <c r="C4591">
        <v>58</v>
      </c>
      <c r="D4591" s="55" t="s">
        <v>64</v>
      </c>
      <c r="E4591" s="55" t="s">
        <v>15</v>
      </c>
      <c r="F4591" t="s">
        <v>12</v>
      </c>
      <c r="G4591" s="62">
        <v>65</v>
      </c>
      <c r="H4591" s="25">
        <v>1.23</v>
      </c>
      <c r="I4591">
        <v>28287</v>
      </c>
      <c r="J4591">
        <v>5611</v>
      </c>
      <c r="K4591">
        <v>60</v>
      </c>
      <c r="L4591">
        <v>60</v>
      </c>
      <c r="M4591">
        <v>0</v>
      </c>
      <c r="N4591" s="23">
        <v>0</v>
      </c>
      <c r="O4591">
        <f t="shared" si="947"/>
        <v>-5</v>
      </c>
      <c r="P4591" s="57">
        <f t="shared" si="948"/>
        <v>1</v>
      </c>
      <c r="Q4591" s="267">
        <f t="shared" si="949"/>
        <v>65</v>
      </c>
      <c r="R4591" s="23">
        <f t="shared" si="950"/>
        <v>1</v>
      </c>
      <c r="S4591" s="23">
        <f t="shared" si="951"/>
        <v>0</v>
      </c>
      <c r="T4591" s="23" t="str">
        <f t="shared" si="952"/>
        <v/>
      </c>
      <c r="U4591" t="str">
        <f t="shared" si="953"/>
        <v/>
      </c>
      <c r="AF4591" s="22"/>
    </row>
    <row r="4592" spans="1:38">
      <c r="A4592" t="str">
        <f t="shared" si="954"/>
        <v>PA_Alleg_2019p~Dem-member of council dormont (vote for 3)</v>
      </c>
      <c r="B4592" s="55" t="s">
        <v>1291</v>
      </c>
      <c r="C4592">
        <v>763</v>
      </c>
      <c r="D4592" s="55" t="s">
        <v>741</v>
      </c>
      <c r="E4592" s="55" t="s">
        <v>743</v>
      </c>
      <c r="F4592" t="s">
        <v>12</v>
      </c>
      <c r="G4592" s="62">
        <v>542</v>
      </c>
      <c r="H4592" s="25">
        <v>34.74</v>
      </c>
      <c r="I4592">
        <v>6683</v>
      </c>
      <c r="J4592">
        <v>840</v>
      </c>
      <c r="K4592">
        <v>10</v>
      </c>
      <c r="L4592">
        <v>10</v>
      </c>
      <c r="M4592">
        <v>0</v>
      </c>
      <c r="N4592" s="23">
        <v>0</v>
      </c>
      <c r="O4592">
        <f t="shared" si="947"/>
        <v>1</v>
      </c>
      <c r="P4592" s="57">
        <f t="shared" si="948"/>
        <v>3</v>
      </c>
      <c r="Q4592" s="267">
        <f t="shared" si="949"/>
        <v>542</v>
      </c>
      <c r="R4592" s="23">
        <f t="shared" si="950"/>
        <v>470</v>
      </c>
      <c r="S4592" s="23">
        <f t="shared" si="951"/>
        <v>0</v>
      </c>
      <c r="T4592" s="23" t="str">
        <f t="shared" si="952"/>
        <v/>
      </c>
      <c r="U4592" t="str">
        <f t="shared" si="953"/>
        <v>PA_Alleg_2019p~Dem-member of council dormont (vote for 3)</v>
      </c>
      <c r="AF4592" s="22"/>
    </row>
    <row r="4593" spans="1:38">
      <c r="A4593" t="str">
        <f t="shared" si="954"/>
        <v>PA_Alleg_2019p~Dem-member of council dormont (vote for 3)</v>
      </c>
      <c r="B4593" s="55" t="s">
        <v>1291</v>
      </c>
      <c r="C4593">
        <v>764</v>
      </c>
      <c r="D4593" s="55" t="s">
        <v>741</v>
      </c>
      <c r="E4593" s="55" t="s">
        <v>744</v>
      </c>
      <c r="F4593" t="s">
        <v>12</v>
      </c>
      <c r="G4593" s="62">
        <v>512</v>
      </c>
      <c r="H4593" s="25">
        <v>32.82</v>
      </c>
      <c r="I4593">
        <v>6683</v>
      </c>
      <c r="J4593">
        <v>840</v>
      </c>
      <c r="K4593">
        <v>10</v>
      </c>
      <c r="L4593">
        <v>10</v>
      </c>
      <c r="M4593">
        <v>0</v>
      </c>
      <c r="N4593" s="23">
        <v>0</v>
      </c>
      <c r="O4593">
        <f t="shared" si="947"/>
        <v>2</v>
      </c>
      <c r="P4593" s="57">
        <f t="shared" si="948"/>
        <v>3</v>
      </c>
      <c r="Q4593" s="267">
        <f t="shared" si="949"/>
        <v>1018</v>
      </c>
      <c r="R4593" s="23">
        <f t="shared" si="950"/>
        <v>470</v>
      </c>
      <c r="S4593" s="23">
        <f t="shared" si="951"/>
        <v>0</v>
      </c>
      <c r="T4593" s="23" t="str">
        <f t="shared" si="952"/>
        <v/>
      </c>
      <c r="U4593" t="str">
        <f t="shared" si="953"/>
        <v/>
      </c>
      <c r="AF4593" s="22"/>
      <c r="AH4593" s="8"/>
    </row>
    <row r="4594" spans="1:38">
      <c r="A4594" t="str">
        <f t="shared" si="954"/>
        <v>PA_Alleg_2019p~Dem-member of council dormont (vote for 3)</v>
      </c>
      <c r="B4594" s="55" t="s">
        <v>1291</v>
      </c>
      <c r="C4594">
        <v>762</v>
      </c>
      <c r="D4594" s="55" t="s">
        <v>741</v>
      </c>
      <c r="E4594" s="55" t="s">
        <v>742</v>
      </c>
      <c r="F4594" t="s">
        <v>12</v>
      </c>
      <c r="G4594" s="62">
        <v>470</v>
      </c>
      <c r="H4594" s="25">
        <v>30.13</v>
      </c>
      <c r="I4594">
        <v>6683</v>
      </c>
      <c r="J4594">
        <v>840</v>
      </c>
      <c r="K4594">
        <v>10</v>
      </c>
      <c r="L4594">
        <v>10</v>
      </c>
      <c r="M4594">
        <v>0</v>
      </c>
      <c r="N4594" s="23">
        <v>0</v>
      </c>
      <c r="O4594">
        <f t="shared" si="947"/>
        <v>3</v>
      </c>
      <c r="P4594" s="57">
        <f t="shared" si="948"/>
        <v>3</v>
      </c>
      <c r="Q4594" s="267">
        <f t="shared" si="949"/>
        <v>506</v>
      </c>
      <c r="R4594" s="23">
        <f t="shared" si="950"/>
        <v>470</v>
      </c>
      <c r="S4594" s="23">
        <f t="shared" si="951"/>
        <v>0</v>
      </c>
      <c r="T4594" s="23" t="str">
        <f t="shared" si="952"/>
        <v/>
      </c>
      <c r="U4594" t="str">
        <f t="shared" si="953"/>
        <v/>
      </c>
      <c r="AF4594" s="22"/>
    </row>
    <row r="4595" spans="1:38">
      <c r="A4595" t="str">
        <f t="shared" si="954"/>
        <v>PA_Alleg_2019p~Dem-member of council dormont (vote for 3)</v>
      </c>
      <c r="B4595" s="55" t="s">
        <v>1291</v>
      </c>
      <c r="C4595">
        <v>765</v>
      </c>
      <c r="D4595" s="55" t="s">
        <v>741</v>
      </c>
      <c r="E4595" s="55" t="s">
        <v>15</v>
      </c>
      <c r="F4595" t="s">
        <v>12</v>
      </c>
      <c r="G4595" s="62">
        <v>36</v>
      </c>
      <c r="H4595" s="25">
        <v>2.31</v>
      </c>
      <c r="I4595">
        <v>6683</v>
      </c>
      <c r="J4595">
        <v>840</v>
      </c>
      <c r="K4595">
        <v>10</v>
      </c>
      <c r="L4595">
        <v>10</v>
      </c>
      <c r="M4595">
        <v>0</v>
      </c>
      <c r="N4595" s="23">
        <v>0</v>
      </c>
      <c r="O4595">
        <f t="shared" si="947"/>
        <v>-3</v>
      </c>
      <c r="P4595" s="57">
        <f t="shared" si="948"/>
        <v>3</v>
      </c>
      <c r="Q4595" s="267">
        <f t="shared" si="949"/>
        <v>36</v>
      </c>
      <c r="R4595" s="23">
        <f t="shared" si="950"/>
        <v>1</v>
      </c>
      <c r="S4595" s="23">
        <f t="shared" si="951"/>
        <v>0</v>
      </c>
      <c r="T4595" s="23" t="str">
        <f t="shared" si="952"/>
        <v/>
      </c>
      <c r="U4595" t="str">
        <f t="shared" si="953"/>
        <v/>
      </c>
      <c r="AF4595" s="22"/>
    </row>
    <row r="4596" spans="1:38">
      <c r="A4596" t="str">
        <f t="shared" si="954"/>
        <v>PA_Alleg_2019p~Dem-member of council dravosburg (vote for 2)</v>
      </c>
      <c r="B4596" s="55" t="s">
        <v>1291</v>
      </c>
      <c r="C4596">
        <v>908</v>
      </c>
      <c r="D4596" s="55" t="s">
        <v>886</v>
      </c>
      <c r="E4596" s="55" t="s">
        <v>888</v>
      </c>
      <c r="F4596" t="s">
        <v>12</v>
      </c>
      <c r="G4596" s="62">
        <v>122</v>
      </c>
      <c r="H4596" s="25">
        <v>49.19</v>
      </c>
      <c r="I4596">
        <v>1184</v>
      </c>
      <c r="J4596">
        <v>236</v>
      </c>
      <c r="K4596">
        <v>3</v>
      </c>
      <c r="L4596">
        <v>3</v>
      </c>
      <c r="M4596">
        <v>0</v>
      </c>
      <c r="N4596" s="23">
        <v>0</v>
      </c>
      <c r="O4596">
        <f t="shared" si="947"/>
        <v>1</v>
      </c>
      <c r="P4596" s="57">
        <f t="shared" si="948"/>
        <v>2</v>
      </c>
      <c r="Q4596" s="267">
        <f t="shared" si="949"/>
        <v>124</v>
      </c>
      <c r="R4596" s="23">
        <f t="shared" si="950"/>
        <v>111</v>
      </c>
      <c r="S4596" s="23">
        <f t="shared" si="951"/>
        <v>0</v>
      </c>
      <c r="T4596" s="23" t="str">
        <f t="shared" si="952"/>
        <v/>
      </c>
      <c r="U4596" t="str">
        <f t="shared" si="953"/>
        <v>PA_Alleg_2019p~Dem-member of council dravosburg (vote for 2)</v>
      </c>
      <c r="AF4596" s="22"/>
    </row>
    <row r="4597" spans="1:38">
      <c r="A4597" t="str">
        <f t="shared" si="954"/>
        <v>PA_Alleg_2019p~Dem-member of council dravosburg (vote for 2)</v>
      </c>
      <c r="B4597" s="55" t="s">
        <v>1291</v>
      </c>
      <c r="C4597">
        <v>907</v>
      </c>
      <c r="D4597" s="55" t="s">
        <v>886</v>
      </c>
      <c r="E4597" s="55" t="s">
        <v>887</v>
      </c>
      <c r="F4597" t="s">
        <v>12</v>
      </c>
      <c r="G4597" s="62">
        <v>111</v>
      </c>
      <c r="H4597" s="25">
        <v>44.76</v>
      </c>
      <c r="I4597">
        <v>1184</v>
      </c>
      <c r="J4597">
        <v>236</v>
      </c>
      <c r="K4597">
        <v>3</v>
      </c>
      <c r="L4597">
        <v>3</v>
      </c>
      <c r="M4597">
        <v>0</v>
      </c>
      <c r="N4597" s="23">
        <v>0</v>
      </c>
      <c r="O4597">
        <f t="shared" si="947"/>
        <v>2</v>
      </c>
      <c r="P4597" s="57">
        <f t="shared" si="948"/>
        <v>2</v>
      </c>
      <c r="Q4597" s="267">
        <f t="shared" si="949"/>
        <v>126</v>
      </c>
      <c r="R4597" s="23">
        <f t="shared" si="950"/>
        <v>111</v>
      </c>
      <c r="S4597" s="23">
        <f t="shared" si="951"/>
        <v>0</v>
      </c>
      <c r="T4597" s="23" t="str">
        <f t="shared" si="952"/>
        <v/>
      </c>
      <c r="U4597" t="str">
        <f t="shared" si="953"/>
        <v/>
      </c>
      <c r="AF4597" s="22"/>
    </row>
    <row r="4598" spans="1:38">
      <c r="A4598" t="str">
        <f t="shared" si="954"/>
        <v>PA_Alleg_2019p~Dem-member of council dravosburg (vote for 2)</v>
      </c>
      <c r="B4598" s="55" t="s">
        <v>1291</v>
      </c>
      <c r="C4598">
        <v>909</v>
      </c>
      <c r="D4598" s="55" t="s">
        <v>886</v>
      </c>
      <c r="E4598" s="55" t="s">
        <v>15</v>
      </c>
      <c r="F4598" t="s">
        <v>12</v>
      </c>
      <c r="G4598" s="62">
        <v>15</v>
      </c>
      <c r="H4598" s="25">
        <v>6.05</v>
      </c>
      <c r="I4598">
        <v>1184</v>
      </c>
      <c r="J4598">
        <v>236</v>
      </c>
      <c r="K4598">
        <v>3</v>
      </c>
      <c r="L4598">
        <v>3</v>
      </c>
      <c r="M4598">
        <v>0</v>
      </c>
      <c r="N4598" s="23">
        <v>0</v>
      </c>
      <c r="O4598">
        <f t="shared" si="947"/>
        <v>-2</v>
      </c>
      <c r="P4598" s="57">
        <f t="shared" si="948"/>
        <v>2</v>
      </c>
      <c r="Q4598" s="267">
        <f t="shared" si="949"/>
        <v>15</v>
      </c>
      <c r="R4598" s="23">
        <f t="shared" si="950"/>
        <v>1</v>
      </c>
      <c r="S4598" s="23">
        <f t="shared" si="951"/>
        <v>0</v>
      </c>
      <c r="T4598" s="23" t="str">
        <f t="shared" si="952"/>
        <v/>
      </c>
      <c r="U4598" t="str">
        <f t="shared" si="953"/>
        <v/>
      </c>
      <c r="AF4598" s="22"/>
    </row>
    <row r="4599" spans="1:38">
      <c r="A4599" t="str">
        <f t="shared" si="954"/>
        <v>PA_Alleg_2019p~Dem-member of council duquesne (vote for 1)</v>
      </c>
      <c r="B4599" s="55" t="s">
        <v>1291</v>
      </c>
      <c r="C4599">
        <v>940</v>
      </c>
      <c r="D4599" s="55" t="s">
        <v>916</v>
      </c>
      <c r="E4599" s="55" t="s">
        <v>917</v>
      </c>
      <c r="F4599" t="s">
        <v>12</v>
      </c>
      <c r="G4599" s="62">
        <v>394</v>
      </c>
      <c r="H4599" s="25">
        <v>97.28</v>
      </c>
      <c r="I4599">
        <v>3901</v>
      </c>
      <c r="J4599">
        <v>641</v>
      </c>
      <c r="K4599">
        <v>10</v>
      </c>
      <c r="L4599">
        <v>10</v>
      </c>
      <c r="M4599">
        <v>0</v>
      </c>
      <c r="N4599" s="23">
        <v>0</v>
      </c>
      <c r="O4599">
        <f t="shared" si="947"/>
        <v>1</v>
      </c>
      <c r="P4599" s="57">
        <f t="shared" si="948"/>
        <v>1</v>
      </c>
      <c r="Q4599" s="267">
        <f t="shared" si="949"/>
        <v>405</v>
      </c>
      <c r="R4599" s="23">
        <f t="shared" si="950"/>
        <v>394</v>
      </c>
      <c r="S4599" s="23">
        <f t="shared" si="951"/>
        <v>0</v>
      </c>
      <c r="T4599" s="23" t="str">
        <f t="shared" si="952"/>
        <v/>
      </c>
      <c r="U4599" t="str">
        <f t="shared" si="953"/>
        <v>PA_Alleg_2019p~Dem-member of council duquesne (vote for 1)</v>
      </c>
      <c r="AF4599" s="22"/>
    </row>
    <row r="4600" spans="1:38">
      <c r="A4600" t="str">
        <f t="shared" si="954"/>
        <v>PA_Alleg_2019p~Dem-member of council duquesne (vote for 1)</v>
      </c>
      <c r="B4600" s="55" t="s">
        <v>1291</v>
      </c>
      <c r="C4600">
        <v>941</v>
      </c>
      <c r="D4600" s="55" t="s">
        <v>916</v>
      </c>
      <c r="E4600" s="55" t="s">
        <v>15</v>
      </c>
      <c r="F4600" t="s">
        <v>12</v>
      </c>
      <c r="G4600" s="62">
        <v>11</v>
      </c>
      <c r="H4600" s="25">
        <v>2.72</v>
      </c>
      <c r="I4600">
        <v>3901</v>
      </c>
      <c r="J4600">
        <v>641</v>
      </c>
      <c r="K4600">
        <v>10</v>
      </c>
      <c r="L4600">
        <v>10</v>
      </c>
      <c r="M4600">
        <v>0</v>
      </c>
      <c r="N4600" s="23">
        <v>0</v>
      </c>
      <c r="O4600">
        <f t="shared" si="947"/>
        <v>-1</v>
      </c>
      <c r="P4600" s="57">
        <f t="shared" si="948"/>
        <v>1</v>
      </c>
      <c r="Q4600" s="267">
        <f t="shared" si="949"/>
        <v>11</v>
      </c>
      <c r="R4600" s="23">
        <f t="shared" si="950"/>
        <v>1</v>
      </c>
      <c r="S4600" s="23">
        <f t="shared" si="951"/>
        <v>0</v>
      </c>
      <c r="T4600" s="23" t="str">
        <f t="shared" si="952"/>
        <v/>
      </c>
      <c r="U4600" t="str">
        <f t="shared" si="953"/>
        <v/>
      </c>
      <c r="AF4600" s="22"/>
    </row>
    <row r="4601" spans="1:38">
      <c r="A4601" t="str">
        <f t="shared" si="954"/>
        <v>PA_Alleg_2019p~Dem-member of council duquesne (vote for 2)</v>
      </c>
      <c r="B4601" s="55" t="s">
        <v>1291</v>
      </c>
      <c r="C4601">
        <v>912</v>
      </c>
      <c r="D4601" s="55" t="s">
        <v>889</v>
      </c>
      <c r="E4601" s="55" t="s">
        <v>891</v>
      </c>
      <c r="F4601" t="s">
        <v>12</v>
      </c>
      <c r="G4601" s="62">
        <v>316</v>
      </c>
      <c r="H4601" s="25">
        <v>33.159999999999997</v>
      </c>
      <c r="I4601">
        <v>3901</v>
      </c>
      <c r="J4601">
        <v>641</v>
      </c>
      <c r="K4601">
        <v>10</v>
      </c>
      <c r="L4601">
        <v>10</v>
      </c>
      <c r="M4601">
        <v>0</v>
      </c>
      <c r="N4601" s="23">
        <v>0</v>
      </c>
      <c r="O4601">
        <f t="shared" si="947"/>
        <v>1</v>
      </c>
      <c r="P4601" s="57">
        <f t="shared" si="948"/>
        <v>2</v>
      </c>
      <c r="Q4601" s="267">
        <f t="shared" si="949"/>
        <v>476.5</v>
      </c>
      <c r="R4601" s="23">
        <f t="shared" si="950"/>
        <v>299</v>
      </c>
      <c r="S4601" s="23">
        <f t="shared" si="951"/>
        <v>195</v>
      </c>
      <c r="T4601" s="23">
        <f t="shared" si="952"/>
        <v>104</v>
      </c>
      <c r="U4601" t="str">
        <f t="shared" si="953"/>
        <v>PA_Alleg_2019p~Dem-member of council duquesne (vote for 2)</v>
      </c>
      <c r="AF4601" s="22"/>
    </row>
    <row r="4602" spans="1:38">
      <c r="A4602" t="str">
        <f t="shared" si="954"/>
        <v>PA_Alleg_2019p~Dem-member of council duquesne (vote for 2)</v>
      </c>
      <c r="B4602" s="55" t="s">
        <v>1291</v>
      </c>
      <c r="C4602">
        <v>913</v>
      </c>
      <c r="D4602" s="55" t="s">
        <v>889</v>
      </c>
      <c r="E4602" s="55" t="s">
        <v>892</v>
      </c>
      <c r="F4602" t="s">
        <v>12</v>
      </c>
      <c r="G4602" s="62">
        <v>299</v>
      </c>
      <c r="H4602" s="25">
        <v>31.37</v>
      </c>
      <c r="I4602">
        <v>3901</v>
      </c>
      <c r="J4602">
        <v>641</v>
      </c>
      <c r="K4602">
        <v>10</v>
      </c>
      <c r="L4602">
        <v>10</v>
      </c>
      <c r="M4602">
        <v>0</v>
      </c>
      <c r="N4602" s="23">
        <v>0</v>
      </c>
      <c r="O4602">
        <f t="shared" si="947"/>
        <v>2</v>
      </c>
      <c r="P4602" s="57">
        <f t="shared" si="948"/>
        <v>2</v>
      </c>
      <c r="Q4602" s="267">
        <f t="shared" si="949"/>
        <v>637</v>
      </c>
      <c r="R4602" s="23">
        <f t="shared" si="950"/>
        <v>299</v>
      </c>
      <c r="S4602" s="23">
        <f t="shared" si="951"/>
        <v>195</v>
      </c>
      <c r="T4602" s="23" t="str">
        <f t="shared" si="952"/>
        <v/>
      </c>
      <c r="U4602" t="str">
        <f t="shared" si="953"/>
        <v/>
      </c>
      <c r="AF4602" s="22"/>
    </row>
    <row r="4603" spans="1:38">
      <c r="A4603" t="str">
        <f t="shared" si="954"/>
        <v>PA_Alleg_2019p~Dem-member of council duquesne (vote for 2)</v>
      </c>
      <c r="B4603" s="55" t="s">
        <v>1291</v>
      </c>
      <c r="C4603">
        <v>911</v>
      </c>
      <c r="D4603" s="55" t="s">
        <v>889</v>
      </c>
      <c r="E4603" s="55" t="s">
        <v>890</v>
      </c>
      <c r="F4603" t="s">
        <v>12</v>
      </c>
      <c r="G4603" s="62">
        <v>195</v>
      </c>
      <c r="H4603" s="25">
        <v>20.46</v>
      </c>
      <c r="I4603">
        <v>3901</v>
      </c>
      <c r="J4603">
        <v>641</v>
      </c>
      <c r="K4603">
        <v>10</v>
      </c>
      <c r="L4603">
        <v>10</v>
      </c>
      <c r="M4603">
        <v>0</v>
      </c>
      <c r="N4603" s="23">
        <v>0</v>
      </c>
      <c r="O4603">
        <f t="shared" si="947"/>
        <v>3</v>
      </c>
      <c r="P4603" s="57">
        <f t="shared" si="948"/>
        <v>2</v>
      </c>
      <c r="Q4603" s="267">
        <f t="shared" si="949"/>
        <v>338</v>
      </c>
      <c r="R4603" s="23" t="str">
        <f t="shared" si="950"/>
        <v/>
      </c>
      <c r="S4603" s="23">
        <f t="shared" si="951"/>
        <v>195</v>
      </c>
      <c r="T4603" s="23" t="str">
        <f t="shared" si="952"/>
        <v/>
      </c>
      <c r="U4603" t="str">
        <f t="shared" si="953"/>
        <v/>
      </c>
      <c r="AF4603" s="22"/>
      <c r="AG4603" s="302"/>
      <c r="AH4603" s="301"/>
      <c r="AI4603" s="303"/>
      <c r="AJ4603" s="303"/>
      <c r="AK4603" s="342"/>
      <c r="AL4603" s="343"/>
    </row>
    <row r="4604" spans="1:38">
      <c r="A4604" t="str">
        <f t="shared" si="954"/>
        <v>PA_Alleg_2019p~Dem-member of council duquesne (vote for 2)</v>
      </c>
      <c r="B4604" s="55" t="s">
        <v>1291</v>
      </c>
      <c r="C4604">
        <v>910</v>
      </c>
      <c r="D4604" s="55" t="s">
        <v>889</v>
      </c>
      <c r="E4604" s="55" t="s">
        <v>170</v>
      </c>
      <c r="F4604" t="s">
        <v>12</v>
      </c>
      <c r="G4604" s="62">
        <v>140</v>
      </c>
      <c r="H4604" s="25">
        <v>14.69</v>
      </c>
      <c r="I4604">
        <v>3901</v>
      </c>
      <c r="J4604">
        <v>641</v>
      </c>
      <c r="K4604">
        <v>10</v>
      </c>
      <c r="L4604">
        <v>10</v>
      </c>
      <c r="M4604">
        <v>0</v>
      </c>
      <c r="N4604" s="23">
        <v>0</v>
      </c>
      <c r="O4604">
        <f t="shared" si="947"/>
        <v>4</v>
      </c>
      <c r="P4604" s="57">
        <f t="shared" si="948"/>
        <v>2</v>
      </c>
      <c r="Q4604" s="267">
        <f t="shared" si="949"/>
        <v>143</v>
      </c>
      <c r="R4604" s="23" t="str">
        <f t="shared" si="950"/>
        <v/>
      </c>
      <c r="S4604" s="23">
        <f t="shared" si="951"/>
        <v>140</v>
      </c>
      <c r="T4604" s="23" t="str">
        <f t="shared" si="952"/>
        <v/>
      </c>
      <c r="U4604" t="str">
        <f t="shared" si="953"/>
        <v/>
      </c>
      <c r="AF4604" s="22"/>
    </row>
    <row r="4605" spans="1:38">
      <c r="A4605" t="str">
        <f t="shared" si="954"/>
        <v>PA_Alleg_2019p~Dem-member of council duquesne (vote for 2)</v>
      </c>
      <c r="B4605" s="55" t="s">
        <v>1291</v>
      </c>
      <c r="C4605">
        <v>914</v>
      </c>
      <c r="D4605" s="55" t="s">
        <v>889</v>
      </c>
      <c r="E4605" s="55" t="s">
        <v>15</v>
      </c>
      <c r="F4605" t="s">
        <v>12</v>
      </c>
      <c r="G4605" s="62">
        <v>3</v>
      </c>
      <c r="H4605" s="25">
        <v>0.31</v>
      </c>
      <c r="I4605">
        <v>3901</v>
      </c>
      <c r="J4605">
        <v>641</v>
      </c>
      <c r="K4605">
        <v>10</v>
      </c>
      <c r="L4605">
        <v>10</v>
      </c>
      <c r="M4605">
        <v>0</v>
      </c>
      <c r="N4605" s="23">
        <v>0</v>
      </c>
      <c r="O4605">
        <f t="shared" si="947"/>
        <v>-4</v>
      </c>
      <c r="P4605" s="57">
        <f t="shared" si="948"/>
        <v>2</v>
      </c>
      <c r="Q4605" s="267">
        <f t="shared" si="949"/>
        <v>3</v>
      </c>
      <c r="R4605" s="23">
        <f t="shared" si="950"/>
        <v>1</v>
      </c>
      <c r="S4605" s="23">
        <f t="shared" si="951"/>
        <v>0</v>
      </c>
      <c r="T4605" s="23" t="str">
        <f t="shared" si="952"/>
        <v/>
      </c>
      <c r="U4605" t="str">
        <f t="shared" si="953"/>
        <v/>
      </c>
      <c r="AF4605" s="22"/>
      <c r="AG4605" s="281"/>
      <c r="AH4605" s="287"/>
      <c r="AI4605" s="288"/>
      <c r="AJ4605" s="288"/>
      <c r="AK4605" s="347"/>
      <c r="AL4605" s="348"/>
    </row>
    <row r="4606" spans="1:38">
      <c r="A4606" t="str">
        <f t="shared" si="954"/>
        <v>PA_Alleg_2019p~Dem-member of council east mckeesport (vote for 3)</v>
      </c>
      <c r="B4606" s="55" t="s">
        <v>1291</v>
      </c>
      <c r="C4606">
        <v>768</v>
      </c>
      <c r="D4606" s="55" t="s">
        <v>745</v>
      </c>
      <c r="E4606" s="55" t="s">
        <v>748</v>
      </c>
      <c r="F4606" t="s">
        <v>12</v>
      </c>
      <c r="G4606" s="62">
        <v>132</v>
      </c>
      <c r="H4606" s="25">
        <v>34.549999999999997</v>
      </c>
      <c r="I4606">
        <v>1429</v>
      </c>
      <c r="J4606">
        <v>221</v>
      </c>
      <c r="K4606">
        <v>3</v>
      </c>
      <c r="L4606">
        <v>3</v>
      </c>
      <c r="M4606">
        <v>0</v>
      </c>
      <c r="N4606" s="23">
        <v>0</v>
      </c>
      <c r="O4606">
        <f t="shared" si="947"/>
        <v>1</v>
      </c>
      <c r="P4606" s="57">
        <f t="shared" si="948"/>
        <v>3</v>
      </c>
      <c r="Q4606" s="267">
        <f t="shared" si="949"/>
        <v>132</v>
      </c>
      <c r="R4606" s="23">
        <f t="shared" si="950"/>
        <v>120</v>
      </c>
      <c r="S4606" s="23">
        <f t="shared" si="951"/>
        <v>0</v>
      </c>
      <c r="T4606" s="23" t="str">
        <f t="shared" si="952"/>
        <v/>
      </c>
      <c r="U4606" t="str">
        <f t="shared" si="953"/>
        <v>PA_Alleg_2019p~Dem-member of council east mckeesport (vote for 3)</v>
      </c>
      <c r="AF4606" s="300"/>
      <c r="AG4606" s="302"/>
      <c r="AH4606" s="301"/>
      <c r="AI4606" s="303"/>
      <c r="AJ4606" s="303"/>
      <c r="AK4606" s="342"/>
      <c r="AL4606" s="343"/>
    </row>
    <row r="4607" spans="1:38">
      <c r="A4607" t="str">
        <f t="shared" si="954"/>
        <v>PA_Alleg_2019p~Dem-member of council east mckeesport (vote for 3)</v>
      </c>
      <c r="B4607" s="55" t="s">
        <v>1291</v>
      </c>
      <c r="C4607">
        <v>766</v>
      </c>
      <c r="D4607" s="55" t="s">
        <v>745</v>
      </c>
      <c r="E4607" s="55" t="s">
        <v>746</v>
      </c>
      <c r="F4607" t="s">
        <v>12</v>
      </c>
      <c r="G4607" s="62">
        <v>121</v>
      </c>
      <c r="H4607" s="25">
        <v>31.68</v>
      </c>
      <c r="I4607">
        <v>1429</v>
      </c>
      <c r="J4607">
        <v>221</v>
      </c>
      <c r="K4607">
        <v>3</v>
      </c>
      <c r="L4607">
        <v>3</v>
      </c>
      <c r="M4607">
        <v>0</v>
      </c>
      <c r="N4607" s="23">
        <v>0</v>
      </c>
      <c r="O4607">
        <f t="shared" si="947"/>
        <v>2</v>
      </c>
      <c r="P4607" s="57">
        <f t="shared" si="948"/>
        <v>3</v>
      </c>
      <c r="Q4607" s="267">
        <f t="shared" si="949"/>
        <v>250</v>
      </c>
      <c r="R4607" s="23">
        <f t="shared" si="950"/>
        <v>120</v>
      </c>
      <c r="S4607" s="23">
        <f t="shared" si="951"/>
        <v>0</v>
      </c>
      <c r="T4607" s="23" t="str">
        <f t="shared" si="952"/>
        <v/>
      </c>
      <c r="U4607" t="str">
        <f t="shared" si="953"/>
        <v/>
      </c>
      <c r="AF4607" s="22"/>
      <c r="AG4607" s="314"/>
      <c r="AH4607" s="313"/>
      <c r="AI4607" s="315"/>
      <c r="AJ4607" s="315"/>
      <c r="AK4607" s="345"/>
      <c r="AL4607" s="346"/>
    </row>
    <row r="4608" spans="1:38">
      <c r="A4608" t="str">
        <f t="shared" si="954"/>
        <v>PA_Alleg_2019p~Dem-member of council east mckeesport (vote for 3)</v>
      </c>
      <c r="B4608" s="55" t="s">
        <v>1291</v>
      </c>
      <c r="C4608">
        <v>767</v>
      </c>
      <c r="D4608" s="55" t="s">
        <v>745</v>
      </c>
      <c r="E4608" s="55" t="s">
        <v>747</v>
      </c>
      <c r="F4608" t="s">
        <v>12</v>
      </c>
      <c r="G4608" s="62">
        <v>120</v>
      </c>
      <c r="H4608" s="25">
        <v>31.41</v>
      </c>
      <c r="I4608">
        <v>1429</v>
      </c>
      <c r="J4608">
        <v>221</v>
      </c>
      <c r="K4608">
        <v>3</v>
      </c>
      <c r="L4608">
        <v>3</v>
      </c>
      <c r="M4608">
        <v>0</v>
      </c>
      <c r="N4608" s="23">
        <v>0</v>
      </c>
      <c r="O4608">
        <f t="shared" si="947"/>
        <v>3</v>
      </c>
      <c r="P4608" s="57">
        <f t="shared" si="948"/>
        <v>3</v>
      </c>
      <c r="Q4608" s="267">
        <f t="shared" si="949"/>
        <v>129</v>
      </c>
      <c r="R4608" s="23">
        <f t="shared" si="950"/>
        <v>120</v>
      </c>
      <c r="S4608" s="23">
        <f t="shared" si="951"/>
        <v>0</v>
      </c>
      <c r="T4608" s="23" t="str">
        <f t="shared" si="952"/>
        <v/>
      </c>
      <c r="U4608" t="str">
        <f t="shared" si="953"/>
        <v/>
      </c>
      <c r="AF4608" s="22"/>
      <c r="AL4608" s="344"/>
    </row>
    <row r="4609" spans="1:38">
      <c r="A4609" t="str">
        <f t="shared" si="954"/>
        <v>PA_Alleg_2019p~Dem-member of council east mckeesport (vote for 3)</v>
      </c>
      <c r="B4609" s="55" t="s">
        <v>1291</v>
      </c>
      <c r="C4609">
        <v>769</v>
      </c>
      <c r="D4609" s="55" t="s">
        <v>745</v>
      </c>
      <c r="E4609" s="55" t="s">
        <v>15</v>
      </c>
      <c r="F4609" t="s">
        <v>12</v>
      </c>
      <c r="G4609" s="62">
        <v>9</v>
      </c>
      <c r="H4609" s="25">
        <v>2.36</v>
      </c>
      <c r="I4609">
        <v>1429</v>
      </c>
      <c r="J4609">
        <v>221</v>
      </c>
      <c r="K4609">
        <v>3</v>
      </c>
      <c r="L4609">
        <v>3</v>
      </c>
      <c r="M4609">
        <v>0</v>
      </c>
      <c r="N4609" s="23">
        <v>0</v>
      </c>
      <c r="O4609">
        <f t="shared" si="947"/>
        <v>-3</v>
      </c>
      <c r="P4609" s="57">
        <f t="shared" si="948"/>
        <v>3</v>
      </c>
      <c r="Q4609" s="267">
        <f t="shared" si="949"/>
        <v>9</v>
      </c>
      <c r="R4609" s="23">
        <f t="shared" si="950"/>
        <v>1</v>
      </c>
      <c r="S4609" s="23">
        <f t="shared" si="951"/>
        <v>0</v>
      </c>
      <c r="T4609" s="23" t="str">
        <f t="shared" si="952"/>
        <v/>
      </c>
      <c r="U4609" t="str">
        <f t="shared" si="953"/>
        <v/>
      </c>
      <c r="AF4609" s="22"/>
    </row>
    <row r="4610" spans="1:38">
      <c r="A4610" t="str">
        <f t="shared" si="954"/>
        <v>PA_Alleg_2019p~Dem-member of council edgewood (vote for 3)</v>
      </c>
      <c r="B4610" s="55" t="s">
        <v>1291</v>
      </c>
      <c r="C4610">
        <v>771</v>
      </c>
      <c r="D4610" s="55" t="s">
        <v>749</v>
      </c>
      <c r="E4610" s="55" t="s">
        <v>751</v>
      </c>
      <c r="F4610" t="s">
        <v>12</v>
      </c>
      <c r="G4610" s="62">
        <v>408</v>
      </c>
      <c r="H4610" s="25">
        <v>52.65</v>
      </c>
      <c r="I4610">
        <v>2919</v>
      </c>
      <c r="J4610">
        <v>608</v>
      </c>
      <c r="K4610">
        <v>3</v>
      </c>
      <c r="L4610">
        <v>3</v>
      </c>
      <c r="M4610">
        <v>0</v>
      </c>
      <c r="N4610" s="23">
        <v>0</v>
      </c>
      <c r="O4610">
        <f t="shared" ref="O4610:O4673" si="955">IF(OR(LOWER(LEFT(E4610,8))="write-in",LOWER(LEFT(E4610,8))="not qual"),IF(A4610=A4609,-ABS(O4609),0),IF(A4610=A4609,ABS(O4609)+1,1))</f>
        <v>1</v>
      </c>
      <c r="P4610" s="57">
        <f t="shared" ref="P4610:P4673" si="956">1*LEFT(RIGHT(A4610,2),1)</f>
        <v>3</v>
      </c>
      <c r="Q4610" s="267">
        <f t="shared" ref="Q4610:Q4673" si="957">IF(A4610&lt;&gt;A4611,G4610,IF(A4610=A4609,G4610+Q4611,MAX(G4610,(G4610+Q4611)/P4610)))</f>
        <v>408</v>
      </c>
      <c r="R4610" s="23">
        <f t="shared" ref="R4610:R4673" si="958">IF(O4610&gt;P4610,"",IF(O4610=P4610,G4610,IF(A4610=A4611,R4611,IF(O4610&lt;=0,1,G4610))))</f>
        <v>1</v>
      </c>
      <c r="S4610" s="23">
        <f t="shared" ref="S4610:S4673" si="959">IF(AND(O4610&gt;P4610,LOWER(LEFT(E4610,8))&lt;&gt;"write-in",LOWER(LEFT(E4610,8))&lt;&gt;"not qual"),G4610,IF(A4610=A4611,S4611,0))</f>
        <v>0</v>
      </c>
      <c r="T4610" s="23" t="str">
        <f t="shared" ref="T4610:T4673" si="960">IF(OR(A4610=A4609,S4610=0),"",R4610-ABS(S4610))</f>
        <v/>
      </c>
      <c r="U4610" t="str">
        <f t="shared" ref="U4610:U4673" si="961">IF(A4610=A4609,"",A4610)</f>
        <v>PA_Alleg_2019p~Dem-member of council edgewood (vote for 3)</v>
      </c>
      <c r="AF4610" s="22"/>
    </row>
    <row r="4611" spans="1:38">
      <c r="A4611" t="str">
        <f t="shared" ref="A4611:A4674" si="962">CONCATENATE(B4611,"~",F4611,"-",LOWER(D4611))</f>
        <v>PA_Alleg_2019p~Dem-member of council edgewood (vote for 3)</v>
      </c>
      <c r="B4611" s="55" t="s">
        <v>1291</v>
      </c>
      <c r="C4611">
        <v>770</v>
      </c>
      <c r="D4611" s="55" t="s">
        <v>749</v>
      </c>
      <c r="E4611" s="55" t="s">
        <v>750</v>
      </c>
      <c r="F4611" t="s">
        <v>12</v>
      </c>
      <c r="G4611" s="62">
        <v>335</v>
      </c>
      <c r="H4611" s="25">
        <v>43.23</v>
      </c>
      <c r="I4611">
        <v>2919</v>
      </c>
      <c r="J4611">
        <v>608</v>
      </c>
      <c r="K4611">
        <v>3</v>
      </c>
      <c r="L4611">
        <v>3</v>
      </c>
      <c r="M4611">
        <v>0</v>
      </c>
      <c r="N4611" s="23">
        <v>0</v>
      </c>
      <c r="O4611">
        <f t="shared" si="955"/>
        <v>2</v>
      </c>
      <c r="P4611" s="57">
        <f t="shared" si="956"/>
        <v>3</v>
      </c>
      <c r="Q4611" s="267">
        <f t="shared" si="957"/>
        <v>367</v>
      </c>
      <c r="R4611" s="23">
        <f t="shared" si="958"/>
        <v>1</v>
      </c>
      <c r="S4611" s="23">
        <f t="shared" si="959"/>
        <v>0</v>
      </c>
      <c r="T4611" s="23" t="str">
        <f t="shared" si="960"/>
        <v/>
      </c>
      <c r="U4611" t="str">
        <f t="shared" si="961"/>
        <v/>
      </c>
      <c r="AF4611" s="22"/>
    </row>
    <row r="4612" spans="1:38">
      <c r="A4612" t="str">
        <f t="shared" si="962"/>
        <v>PA_Alleg_2019p~Dem-member of council edgewood (vote for 3)</v>
      </c>
      <c r="B4612" s="55" t="s">
        <v>1291</v>
      </c>
      <c r="C4612">
        <v>772</v>
      </c>
      <c r="D4612" s="55" t="s">
        <v>749</v>
      </c>
      <c r="E4612" s="55" t="s">
        <v>15</v>
      </c>
      <c r="F4612" t="s">
        <v>12</v>
      </c>
      <c r="G4612" s="62">
        <v>32</v>
      </c>
      <c r="H4612" s="25">
        <v>4.13</v>
      </c>
      <c r="I4612">
        <v>2919</v>
      </c>
      <c r="J4612">
        <v>608</v>
      </c>
      <c r="K4612">
        <v>3</v>
      </c>
      <c r="L4612">
        <v>3</v>
      </c>
      <c r="M4612">
        <v>0</v>
      </c>
      <c r="N4612" s="23">
        <v>0</v>
      </c>
      <c r="O4612">
        <f t="shared" si="955"/>
        <v>-2</v>
      </c>
      <c r="P4612" s="57">
        <f t="shared" si="956"/>
        <v>3</v>
      </c>
      <c r="Q4612" s="267">
        <f t="shared" si="957"/>
        <v>32</v>
      </c>
      <c r="R4612" s="23">
        <f t="shared" si="958"/>
        <v>1</v>
      </c>
      <c r="S4612" s="23">
        <f t="shared" si="959"/>
        <v>0</v>
      </c>
      <c r="T4612" s="23" t="str">
        <f t="shared" si="960"/>
        <v/>
      </c>
      <c r="U4612" t="str">
        <f t="shared" si="961"/>
        <v/>
      </c>
      <c r="AF4612" s="22"/>
      <c r="AG4612" s="302"/>
      <c r="AH4612" s="301"/>
      <c r="AI4612" s="303"/>
      <c r="AJ4612" s="303"/>
      <c r="AK4612" s="342"/>
      <c r="AL4612" s="343"/>
    </row>
    <row r="4613" spans="1:38">
      <c r="A4613" t="str">
        <f t="shared" si="962"/>
        <v>PA_Alleg_2019p~Dem-member of council edgeworth (vote for 3)</v>
      </c>
      <c r="B4613" s="55" t="s">
        <v>1291</v>
      </c>
      <c r="C4613">
        <v>773</v>
      </c>
      <c r="D4613" s="55" t="s">
        <v>752</v>
      </c>
      <c r="E4613" s="55" t="s">
        <v>15</v>
      </c>
      <c r="F4613" t="s">
        <v>12</v>
      </c>
      <c r="G4613" s="62">
        <v>26</v>
      </c>
      <c r="H4613" s="25">
        <v>100</v>
      </c>
      <c r="I4613">
        <v>1482</v>
      </c>
      <c r="J4613">
        <v>187</v>
      </c>
      <c r="K4613">
        <v>2</v>
      </c>
      <c r="L4613">
        <v>2</v>
      </c>
      <c r="M4613">
        <v>0</v>
      </c>
      <c r="N4613" s="23">
        <v>0</v>
      </c>
      <c r="O4613">
        <f t="shared" si="955"/>
        <v>0</v>
      </c>
      <c r="P4613" s="57">
        <f t="shared" si="956"/>
        <v>3</v>
      </c>
      <c r="Q4613" s="267">
        <f t="shared" si="957"/>
        <v>26</v>
      </c>
      <c r="R4613" s="23">
        <f t="shared" si="958"/>
        <v>1</v>
      </c>
      <c r="S4613" s="23">
        <f t="shared" si="959"/>
        <v>0</v>
      </c>
      <c r="T4613" s="23" t="str">
        <f t="shared" si="960"/>
        <v/>
      </c>
      <c r="U4613" t="str">
        <f t="shared" si="961"/>
        <v>PA_Alleg_2019p~Dem-member of council edgeworth (vote for 3)</v>
      </c>
      <c r="AF4613" s="22"/>
    </row>
    <row r="4614" spans="1:38">
      <c r="A4614" t="str">
        <f t="shared" si="962"/>
        <v>PA_Alleg_2019p~Dem-member of council elizabeth borough (vote for 1)</v>
      </c>
      <c r="B4614" s="55" t="s">
        <v>1291</v>
      </c>
      <c r="C4614">
        <v>942</v>
      </c>
      <c r="D4614" s="55" t="s">
        <v>918</v>
      </c>
      <c r="E4614" s="55" t="s">
        <v>919</v>
      </c>
      <c r="F4614" t="s">
        <v>12</v>
      </c>
      <c r="G4614" s="62">
        <v>70</v>
      </c>
      <c r="H4614" s="25">
        <v>98.59</v>
      </c>
      <c r="I4614">
        <v>923</v>
      </c>
      <c r="J4614">
        <v>122</v>
      </c>
      <c r="K4614">
        <v>1</v>
      </c>
      <c r="L4614">
        <v>1</v>
      </c>
      <c r="M4614">
        <v>0</v>
      </c>
      <c r="N4614" s="23">
        <v>0</v>
      </c>
      <c r="O4614">
        <f t="shared" si="955"/>
        <v>1</v>
      </c>
      <c r="P4614" s="57">
        <f t="shared" si="956"/>
        <v>1</v>
      </c>
      <c r="Q4614" s="267">
        <f t="shared" si="957"/>
        <v>71</v>
      </c>
      <c r="R4614" s="23">
        <f t="shared" si="958"/>
        <v>70</v>
      </c>
      <c r="S4614" s="23">
        <f t="shared" si="959"/>
        <v>0</v>
      </c>
      <c r="T4614" s="23" t="str">
        <f t="shared" si="960"/>
        <v/>
      </c>
      <c r="U4614" t="str">
        <f t="shared" si="961"/>
        <v>PA_Alleg_2019p~Dem-member of council elizabeth borough (vote for 1)</v>
      </c>
      <c r="AF4614" s="22"/>
      <c r="AG4614" s="302"/>
      <c r="AH4614" s="301"/>
      <c r="AI4614" s="303"/>
      <c r="AJ4614" s="303"/>
      <c r="AK4614" s="342"/>
      <c r="AL4614" s="343"/>
    </row>
    <row r="4615" spans="1:38">
      <c r="A4615" t="str">
        <f t="shared" si="962"/>
        <v>PA_Alleg_2019p~Dem-member of council elizabeth borough (vote for 1)</v>
      </c>
      <c r="B4615" s="55" t="s">
        <v>1291</v>
      </c>
      <c r="C4615">
        <v>943</v>
      </c>
      <c r="D4615" s="55" t="s">
        <v>918</v>
      </c>
      <c r="E4615" s="55" t="s">
        <v>15</v>
      </c>
      <c r="F4615" t="s">
        <v>12</v>
      </c>
      <c r="G4615" s="62">
        <v>1</v>
      </c>
      <c r="H4615" s="25">
        <v>1.41</v>
      </c>
      <c r="I4615">
        <v>923</v>
      </c>
      <c r="J4615">
        <v>122</v>
      </c>
      <c r="K4615">
        <v>1</v>
      </c>
      <c r="L4615">
        <v>1</v>
      </c>
      <c r="M4615">
        <v>0</v>
      </c>
      <c r="N4615" s="23">
        <v>0</v>
      </c>
      <c r="O4615">
        <f t="shared" si="955"/>
        <v>-1</v>
      </c>
      <c r="P4615" s="57">
        <f t="shared" si="956"/>
        <v>1</v>
      </c>
      <c r="Q4615" s="267">
        <f t="shared" si="957"/>
        <v>1</v>
      </c>
      <c r="R4615" s="23">
        <f t="shared" si="958"/>
        <v>1</v>
      </c>
      <c r="S4615" s="23">
        <f t="shared" si="959"/>
        <v>0</v>
      </c>
      <c r="T4615" s="23" t="str">
        <f t="shared" si="960"/>
        <v/>
      </c>
      <c r="U4615" t="str">
        <f t="shared" si="961"/>
        <v/>
      </c>
      <c r="AF4615" s="22"/>
    </row>
    <row r="4616" spans="1:38">
      <c r="A4616" t="str">
        <f t="shared" si="962"/>
        <v>PA_Alleg_2019p~Dem-member of council elizabeth borough (vote for 3)</v>
      </c>
      <c r="B4616" s="55" t="s">
        <v>1291</v>
      </c>
      <c r="C4616">
        <v>774</v>
      </c>
      <c r="D4616" s="55" t="s">
        <v>753</v>
      </c>
      <c r="E4616" s="55" t="s">
        <v>754</v>
      </c>
      <c r="F4616" t="s">
        <v>12</v>
      </c>
      <c r="G4616" s="62">
        <v>61</v>
      </c>
      <c r="H4616" s="25">
        <v>89.71</v>
      </c>
      <c r="I4616">
        <v>923</v>
      </c>
      <c r="J4616">
        <v>122</v>
      </c>
      <c r="K4616">
        <v>1</v>
      </c>
      <c r="L4616">
        <v>1</v>
      </c>
      <c r="M4616">
        <v>0</v>
      </c>
      <c r="N4616" s="23">
        <v>0</v>
      </c>
      <c r="O4616">
        <f t="shared" si="955"/>
        <v>1</v>
      </c>
      <c r="P4616" s="57">
        <f t="shared" si="956"/>
        <v>3</v>
      </c>
      <c r="Q4616" s="267">
        <f t="shared" si="957"/>
        <v>61</v>
      </c>
      <c r="R4616" s="23">
        <f t="shared" si="958"/>
        <v>1</v>
      </c>
      <c r="S4616" s="23">
        <f t="shared" si="959"/>
        <v>0</v>
      </c>
      <c r="T4616" s="23" t="str">
        <f t="shared" si="960"/>
        <v/>
      </c>
      <c r="U4616" t="str">
        <f t="shared" si="961"/>
        <v>PA_Alleg_2019p~Dem-member of council elizabeth borough (vote for 3)</v>
      </c>
      <c r="AF4616" s="22"/>
    </row>
    <row r="4617" spans="1:38">
      <c r="A4617" t="str">
        <f t="shared" si="962"/>
        <v>PA_Alleg_2019p~Dem-member of council elizabeth borough (vote for 3)</v>
      </c>
      <c r="B4617" s="55" t="s">
        <v>1291</v>
      </c>
      <c r="C4617">
        <v>775</v>
      </c>
      <c r="D4617" s="55" t="s">
        <v>753</v>
      </c>
      <c r="E4617" s="55" t="s">
        <v>15</v>
      </c>
      <c r="F4617" t="s">
        <v>12</v>
      </c>
      <c r="G4617" s="62">
        <v>7</v>
      </c>
      <c r="H4617" s="25">
        <v>10.29</v>
      </c>
      <c r="I4617">
        <v>923</v>
      </c>
      <c r="J4617">
        <v>122</v>
      </c>
      <c r="K4617">
        <v>1</v>
      </c>
      <c r="L4617">
        <v>1</v>
      </c>
      <c r="M4617">
        <v>0</v>
      </c>
      <c r="N4617" s="23">
        <v>0</v>
      </c>
      <c r="O4617">
        <f t="shared" si="955"/>
        <v>-1</v>
      </c>
      <c r="P4617" s="57">
        <f t="shared" si="956"/>
        <v>3</v>
      </c>
      <c r="Q4617" s="267">
        <f t="shared" si="957"/>
        <v>7</v>
      </c>
      <c r="R4617" s="23">
        <f t="shared" si="958"/>
        <v>1</v>
      </c>
      <c r="S4617" s="23">
        <f t="shared" si="959"/>
        <v>0</v>
      </c>
      <c r="T4617" s="23" t="str">
        <f t="shared" si="960"/>
        <v/>
      </c>
      <c r="U4617" t="str">
        <f t="shared" si="961"/>
        <v/>
      </c>
      <c r="AF4617" s="22"/>
    </row>
    <row r="4618" spans="1:38">
      <c r="A4618" t="str">
        <f t="shared" si="962"/>
        <v>PA_Alleg_2019p~Dem-member of council emsworth (vote for 3)</v>
      </c>
      <c r="B4618" s="55" t="s">
        <v>1291</v>
      </c>
      <c r="C4618">
        <v>776</v>
      </c>
      <c r="D4618" s="55" t="s">
        <v>755</v>
      </c>
      <c r="E4618" s="55" t="s">
        <v>756</v>
      </c>
      <c r="F4618" t="s">
        <v>12</v>
      </c>
      <c r="G4618" s="62">
        <v>134</v>
      </c>
      <c r="H4618" s="25">
        <v>90.54</v>
      </c>
      <c r="I4618">
        <v>1770</v>
      </c>
      <c r="J4618">
        <v>219</v>
      </c>
      <c r="K4618">
        <v>2</v>
      </c>
      <c r="L4618">
        <v>2</v>
      </c>
      <c r="M4618">
        <v>0</v>
      </c>
      <c r="N4618" s="23">
        <v>0</v>
      </c>
      <c r="O4618">
        <f t="shared" si="955"/>
        <v>1</v>
      </c>
      <c r="P4618" s="57">
        <f t="shared" si="956"/>
        <v>3</v>
      </c>
      <c r="Q4618" s="267">
        <f t="shared" si="957"/>
        <v>134</v>
      </c>
      <c r="R4618" s="23">
        <f t="shared" si="958"/>
        <v>1</v>
      </c>
      <c r="S4618" s="23">
        <f t="shared" si="959"/>
        <v>0</v>
      </c>
      <c r="T4618" s="23" t="str">
        <f t="shared" si="960"/>
        <v/>
      </c>
      <c r="U4618" t="str">
        <f t="shared" si="961"/>
        <v>PA_Alleg_2019p~Dem-member of council emsworth (vote for 3)</v>
      </c>
      <c r="AF4618" s="300"/>
    </row>
    <row r="4619" spans="1:38">
      <c r="A4619" t="str">
        <f t="shared" si="962"/>
        <v>PA_Alleg_2019p~Dem-member of council emsworth (vote for 3)</v>
      </c>
      <c r="B4619" s="55" t="s">
        <v>1291</v>
      </c>
      <c r="C4619">
        <v>777</v>
      </c>
      <c r="D4619" s="55" t="s">
        <v>755</v>
      </c>
      <c r="E4619" s="55" t="s">
        <v>15</v>
      </c>
      <c r="F4619" t="s">
        <v>12</v>
      </c>
      <c r="G4619" s="62">
        <v>14</v>
      </c>
      <c r="H4619" s="25">
        <v>9.4600000000000009</v>
      </c>
      <c r="I4619">
        <v>1770</v>
      </c>
      <c r="J4619">
        <v>219</v>
      </c>
      <c r="K4619">
        <v>2</v>
      </c>
      <c r="L4619">
        <v>2</v>
      </c>
      <c r="M4619">
        <v>0</v>
      </c>
      <c r="N4619" s="23">
        <v>0</v>
      </c>
      <c r="O4619">
        <f t="shared" si="955"/>
        <v>-1</v>
      </c>
      <c r="P4619" s="57">
        <f t="shared" si="956"/>
        <v>3</v>
      </c>
      <c r="Q4619" s="267">
        <f t="shared" si="957"/>
        <v>14</v>
      </c>
      <c r="R4619" s="23">
        <f t="shared" si="958"/>
        <v>1</v>
      </c>
      <c r="S4619" s="23">
        <f t="shared" si="959"/>
        <v>0</v>
      </c>
      <c r="T4619" s="23" t="str">
        <f t="shared" si="960"/>
        <v/>
      </c>
      <c r="U4619" t="str">
        <f t="shared" si="961"/>
        <v/>
      </c>
      <c r="AF4619" s="22"/>
    </row>
    <row r="4620" spans="1:38">
      <c r="A4620" t="str">
        <f t="shared" si="962"/>
        <v>PA_Alleg_2019p~Dem-member of council etna ward 1 (vote for 2)</v>
      </c>
      <c r="B4620" s="55" t="s">
        <v>1291</v>
      </c>
      <c r="C4620">
        <v>978</v>
      </c>
      <c r="D4620" s="55" t="s">
        <v>953</v>
      </c>
      <c r="E4620" s="55" t="s">
        <v>954</v>
      </c>
      <c r="F4620" t="s">
        <v>12</v>
      </c>
      <c r="G4620" s="62">
        <v>83</v>
      </c>
      <c r="H4620" s="25">
        <v>53.55</v>
      </c>
      <c r="I4620">
        <v>841</v>
      </c>
      <c r="J4620">
        <v>115</v>
      </c>
      <c r="K4620">
        <v>1</v>
      </c>
      <c r="L4620">
        <v>1</v>
      </c>
      <c r="M4620">
        <v>0</v>
      </c>
      <c r="N4620" s="23">
        <v>0</v>
      </c>
      <c r="O4620">
        <f t="shared" si="955"/>
        <v>1</v>
      </c>
      <c r="P4620" s="57">
        <f t="shared" si="956"/>
        <v>2</v>
      </c>
      <c r="Q4620" s="267">
        <f t="shared" si="957"/>
        <v>83</v>
      </c>
      <c r="R4620" s="23">
        <f t="shared" si="958"/>
        <v>72</v>
      </c>
      <c r="S4620" s="23">
        <f t="shared" si="959"/>
        <v>0</v>
      </c>
      <c r="T4620" s="23" t="str">
        <f t="shared" si="960"/>
        <v/>
      </c>
      <c r="U4620" t="str">
        <f t="shared" si="961"/>
        <v>PA_Alleg_2019p~Dem-member of council etna ward 1 (vote for 2)</v>
      </c>
      <c r="AF4620" s="22"/>
    </row>
    <row r="4621" spans="1:38">
      <c r="A4621" t="str">
        <f t="shared" si="962"/>
        <v>PA_Alleg_2019p~Dem-member of council etna ward 1 (vote for 2)</v>
      </c>
      <c r="B4621" s="55" t="s">
        <v>1291</v>
      </c>
      <c r="C4621">
        <v>979</v>
      </c>
      <c r="D4621" s="55" t="s">
        <v>953</v>
      </c>
      <c r="E4621" s="55" t="s">
        <v>955</v>
      </c>
      <c r="F4621" t="s">
        <v>12</v>
      </c>
      <c r="G4621" s="62">
        <v>72</v>
      </c>
      <c r="H4621" s="25">
        <v>46.45</v>
      </c>
      <c r="I4621">
        <v>841</v>
      </c>
      <c r="J4621">
        <v>115</v>
      </c>
      <c r="K4621">
        <v>1</v>
      </c>
      <c r="L4621">
        <v>1</v>
      </c>
      <c r="M4621">
        <v>0</v>
      </c>
      <c r="N4621" s="23">
        <v>0</v>
      </c>
      <c r="O4621">
        <f t="shared" si="955"/>
        <v>2</v>
      </c>
      <c r="P4621" s="57">
        <f t="shared" si="956"/>
        <v>2</v>
      </c>
      <c r="Q4621" s="267">
        <f t="shared" si="957"/>
        <v>72</v>
      </c>
      <c r="R4621" s="23">
        <f t="shared" si="958"/>
        <v>72</v>
      </c>
      <c r="S4621" s="23">
        <f t="shared" si="959"/>
        <v>0</v>
      </c>
      <c r="T4621" s="23" t="str">
        <f t="shared" si="960"/>
        <v/>
      </c>
      <c r="U4621" t="str">
        <f t="shared" si="961"/>
        <v/>
      </c>
      <c r="AF4621" s="22"/>
    </row>
    <row r="4622" spans="1:38">
      <c r="A4622" t="str">
        <f t="shared" si="962"/>
        <v>PA_Alleg_2019p~Dem-member of council etna ward 1 (vote for 2)</v>
      </c>
      <c r="B4622" s="55" t="s">
        <v>1291</v>
      </c>
      <c r="C4622">
        <v>980</v>
      </c>
      <c r="D4622" s="55" t="s">
        <v>953</v>
      </c>
      <c r="E4622" s="55" t="s">
        <v>15</v>
      </c>
      <c r="F4622" t="s">
        <v>12</v>
      </c>
      <c r="G4622" s="62">
        <v>0</v>
      </c>
      <c r="H4622" s="25">
        <v>0</v>
      </c>
      <c r="I4622">
        <v>841</v>
      </c>
      <c r="J4622">
        <v>115</v>
      </c>
      <c r="K4622">
        <v>1</v>
      </c>
      <c r="L4622">
        <v>1</v>
      </c>
      <c r="M4622">
        <v>0</v>
      </c>
      <c r="N4622" s="23">
        <v>0</v>
      </c>
      <c r="O4622">
        <f t="shared" si="955"/>
        <v>-2</v>
      </c>
      <c r="P4622" s="57">
        <f t="shared" si="956"/>
        <v>2</v>
      </c>
      <c r="Q4622" s="267">
        <f t="shared" si="957"/>
        <v>0</v>
      </c>
      <c r="R4622" s="23">
        <f t="shared" si="958"/>
        <v>1</v>
      </c>
      <c r="S4622" s="23">
        <f t="shared" si="959"/>
        <v>0</v>
      </c>
      <c r="T4622" s="23" t="str">
        <f t="shared" si="960"/>
        <v/>
      </c>
      <c r="U4622" t="str">
        <f t="shared" si="961"/>
        <v/>
      </c>
      <c r="AF4622" s="22"/>
    </row>
    <row r="4623" spans="1:38">
      <c r="A4623" t="str">
        <f t="shared" si="962"/>
        <v>PA_Alleg_2019p~Dem-member of council etna ward 2 (vote for 1)</v>
      </c>
      <c r="B4623" s="55" t="s">
        <v>1291</v>
      </c>
      <c r="C4623">
        <v>1040</v>
      </c>
      <c r="D4623" s="55" t="s">
        <v>1015</v>
      </c>
      <c r="E4623" s="55" t="s">
        <v>1016</v>
      </c>
      <c r="F4623" t="s">
        <v>12</v>
      </c>
      <c r="G4623" s="62">
        <v>51</v>
      </c>
      <c r="H4623" s="25">
        <v>100</v>
      </c>
      <c r="I4623">
        <v>716</v>
      </c>
      <c r="J4623">
        <v>72</v>
      </c>
      <c r="K4623">
        <v>1</v>
      </c>
      <c r="L4623">
        <v>1</v>
      </c>
      <c r="M4623">
        <v>0</v>
      </c>
      <c r="N4623" s="23">
        <v>0</v>
      </c>
      <c r="O4623">
        <f t="shared" si="955"/>
        <v>1</v>
      </c>
      <c r="P4623" s="57">
        <f t="shared" si="956"/>
        <v>1</v>
      </c>
      <c r="Q4623" s="267">
        <f t="shared" si="957"/>
        <v>51</v>
      </c>
      <c r="R4623" s="23">
        <f t="shared" si="958"/>
        <v>51</v>
      </c>
      <c r="S4623" s="23">
        <f t="shared" si="959"/>
        <v>0</v>
      </c>
      <c r="T4623" s="23" t="str">
        <f t="shared" si="960"/>
        <v/>
      </c>
      <c r="U4623" t="str">
        <f t="shared" si="961"/>
        <v>PA_Alleg_2019p~Dem-member of council etna ward 2 (vote for 1)</v>
      </c>
      <c r="AF4623" s="88"/>
    </row>
    <row r="4624" spans="1:38">
      <c r="A4624" t="str">
        <f t="shared" si="962"/>
        <v>PA_Alleg_2019p~Dem-member of council etna ward 2 (vote for 1)</v>
      </c>
      <c r="B4624" s="55" t="s">
        <v>1291</v>
      </c>
      <c r="C4624">
        <v>1041</v>
      </c>
      <c r="D4624" s="55" t="s">
        <v>1015</v>
      </c>
      <c r="E4624" s="55" t="s">
        <v>15</v>
      </c>
      <c r="F4624" t="s">
        <v>12</v>
      </c>
      <c r="G4624" s="62">
        <v>0</v>
      </c>
      <c r="H4624" s="25">
        <v>0</v>
      </c>
      <c r="I4624">
        <v>716</v>
      </c>
      <c r="J4624">
        <v>72</v>
      </c>
      <c r="K4624">
        <v>1</v>
      </c>
      <c r="L4624">
        <v>1</v>
      </c>
      <c r="M4624">
        <v>0</v>
      </c>
      <c r="N4624" s="23">
        <v>0</v>
      </c>
      <c r="O4624">
        <f t="shared" si="955"/>
        <v>-1</v>
      </c>
      <c r="P4624" s="57">
        <f t="shared" si="956"/>
        <v>1</v>
      </c>
      <c r="Q4624" s="267">
        <f t="shared" si="957"/>
        <v>0</v>
      </c>
      <c r="R4624" s="23">
        <f t="shared" si="958"/>
        <v>1</v>
      </c>
      <c r="S4624" s="23">
        <f t="shared" si="959"/>
        <v>0</v>
      </c>
      <c r="T4624" s="23" t="str">
        <f t="shared" si="960"/>
        <v/>
      </c>
      <c r="U4624" t="str">
        <f t="shared" si="961"/>
        <v/>
      </c>
      <c r="AF4624" s="22"/>
    </row>
    <row r="4625" spans="1:38">
      <c r="A4625" t="str">
        <f t="shared" si="962"/>
        <v>PA_Alleg_2019p~Dem-member of council etna ward 3 (vote for 1)</v>
      </c>
      <c r="B4625" s="55" t="s">
        <v>1291</v>
      </c>
      <c r="C4625">
        <v>1042</v>
      </c>
      <c r="D4625" s="55" t="s">
        <v>1017</v>
      </c>
      <c r="E4625" s="55" t="s">
        <v>1018</v>
      </c>
      <c r="F4625" t="s">
        <v>12</v>
      </c>
      <c r="G4625" s="62">
        <v>65</v>
      </c>
      <c r="H4625" s="25">
        <v>100</v>
      </c>
      <c r="I4625">
        <v>725</v>
      </c>
      <c r="J4625">
        <v>99</v>
      </c>
      <c r="K4625">
        <v>1</v>
      </c>
      <c r="L4625">
        <v>1</v>
      </c>
      <c r="M4625">
        <v>0</v>
      </c>
      <c r="N4625" s="23">
        <v>0</v>
      </c>
      <c r="O4625">
        <f t="shared" si="955"/>
        <v>1</v>
      </c>
      <c r="P4625" s="57">
        <f t="shared" si="956"/>
        <v>1</v>
      </c>
      <c r="Q4625" s="267">
        <f t="shared" si="957"/>
        <v>65</v>
      </c>
      <c r="R4625" s="23">
        <f t="shared" si="958"/>
        <v>65</v>
      </c>
      <c r="S4625" s="23">
        <f t="shared" si="959"/>
        <v>0</v>
      </c>
      <c r="T4625" s="23" t="str">
        <f t="shared" si="960"/>
        <v/>
      </c>
      <c r="U4625" t="str">
        <f t="shared" si="961"/>
        <v>PA_Alleg_2019p~Dem-member of council etna ward 3 (vote for 1)</v>
      </c>
      <c r="AF4625" s="22"/>
    </row>
    <row r="4626" spans="1:38">
      <c r="A4626" t="str">
        <f t="shared" si="962"/>
        <v>PA_Alleg_2019p~Dem-member of council etna ward 3 (vote for 1)</v>
      </c>
      <c r="B4626" s="55" t="s">
        <v>1291</v>
      </c>
      <c r="C4626">
        <v>1043</v>
      </c>
      <c r="D4626" s="55" t="s">
        <v>1017</v>
      </c>
      <c r="E4626" s="55" t="s">
        <v>15</v>
      </c>
      <c r="F4626" t="s">
        <v>12</v>
      </c>
      <c r="G4626" s="62">
        <v>0</v>
      </c>
      <c r="H4626" s="25">
        <v>0</v>
      </c>
      <c r="I4626">
        <v>725</v>
      </c>
      <c r="J4626">
        <v>99</v>
      </c>
      <c r="K4626">
        <v>1</v>
      </c>
      <c r="L4626">
        <v>1</v>
      </c>
      <c r="M4626">
        <v>0</v>
      </c>
      <c r="N4626" s="23">
        <v>0</v>
      </c>
      <c r="O4626">
        <f t="shared" si="955"/>
        <v>-1</v>
      </c>
      <c r="P4626" s="57">
        <f t="shared" si="956"/>
        <v>1</v>
      </c>
      <c r="Q4626" s="267">
        <f t="shared" si="957"/>
        <v>0</v>
      </c>
      <c r="R4626" s="23">
        <f t="shared" si="958"/>
        <v>1</v>
      </c>
      <c r="S4626" s="23">
        <f t="shared" si="959"/>
        <v>0</v>
      </c>
      <c r="T4626" s="23" t="str">
        <f t="shared" si="960"/>
        <v/>
      </c>
      <c r="U4626" t="str">
        <f t="shared" si="961"/>
        <v/>
      </c>
      <c r="AF4626" s="22"/>
    </row>
    <row r="4627" spans="1:38">
      <c r="A4627" t="str">
        <f t="shared" si="962"/>
        <v>PA_Alleg_2019p~Dem-member of council forest hills (vote for 3)</v>
      </c>
      <c r="B4627" s="55" t="s">
        <v>1291</v>
      </c>
      <c r="C4627">
        <v>778</v>
      </c>
      <c r="D4627" s="55" t="s">
        <v>757</v>
      </c>
      <c r="E4627" s="55" t="s">
        <v>758</v>
      </c>
      <c r="F4627" t="s">
        <v>12</v>
      </c>
      <c r="G4627" s="62">
        <v>859</v>
      </c>
      <c r="H4627" s="25">
        <v>33.979999999999997</v>
      </c>
      <c r="I4627">
        <v>5448</v>
      </c>
      <c r="J4627">
        <v>1198</v>
      </c>
      <c r="K4627">
        <v>8</v>
      </c>
      <c r="L4627">
        <v>8</v>
      </c>
      <c r="M4627">
        <v>0</v>
      </c>
      <c r="N4627" s="23">
        <v>0</v>
      </c>
      <c r="O4627">
        <f t="shared" si="955"/>
        <v>1</v>
      </c>
      <c r="P4627" s="57">
        <f t="shared" si="956"/>
        <v>3</v>
      </c>
      <c r="Q4627" s="267">
        <f t="shared" si="957"/>
        <v>859</v>
      </c>
      <c r="R4627" s="23">
        <f t="shared" si="958"/>
        <v>708</v>
      </c>
      <c r="S4627" s="23">
        <f t="shared" si="959"/>
        <v>214</v>
      </c>
      <c r="T4627" s="23">
        <f t="shared" si="960"/>
        <v>494</v>
      </c>
      <c r="U4627" t="str">
        <f t="shared" si="961"/>
        <v>PA_Alleg_2019p~Dem-member of council forest hills (vote for 3)</v>
      </c>
      <c r="AF4627" s="300"/>
    </row>
    <row r="4628" spans="1:38">
      <c r="A4628" t="str">
        <f t="shared" si="962"/>
        <v>PA_Alleg_2019p~Dem-member of council forest hills (vote for 3)</v>
      </c>
      <c r="B4628" s="55" t="s">
        <v>1291</v>
      </c>
      <c r="C4628">
        <v>780</v>
      </c>
      <c r="D4628" s="55" t="s">
        <v>757</v>
      </c>
      <c r="E4628" s="55" t="s">
        <v>760</v>
      </c>
      <c r="F4628" t="s">
        <v>12</v>
      </c>
      <c r="G4628" s="62">
        <v>730</v>
      </c>
      <c r="H4628" s="25">
        <v>28.88</v>
      </c>
      <c r="I4628">
        <v>5448</v>
      </c>
      <c r="J4628">
        <v>1198</v>
      </c>
      <c r="K4628">
        <v>8</v>
      </c>
      <c r="L4628">
        <v>8</v>
      </c>
      <c r="M4628">
        <v>0</v>
      </c>
      <c r="N4628" s="23">
        <v>0</v>
      </c>
      <c r="O4628">
        <f t="shared" si="955"/>
        <v>2</v>
      </c>
      <c r="P4628" s="57">
        <f t="shared" si="956"/>
        <v>3</v>
      </c>
      <c r="Q4628" s="267">
        <f t="shared" si="957"/>
        <v>1669</v>
      </c>
      <c r="R4628" s="23">
        <f t="shared" si="958"/>
        <v>708</v>
      </c>
      <c r="S4628" s="23">
        <f t="shared" si="959"/>
        <v>214</v>
      </c>
      <c r="T4628" s="23" t="str">
        <f t="shared" si="960"/>
        <v/>
      </c>
      <c r="U4628" t="str">
        <f t="shared" si="961"/>
        <v/>
      </c>
      <c r="AF4628" s="22"/>
    </row>
    <row r="4629" spans="1:38">
      <c r="A4629" t="str">
        <f t="shared" si="962"/>
        <v>PA_Alleg_2019p~Dem-member of council forest hills (vote for 3)</v>
      </c>
      <c r="B4629" s="55" t="s">
        <v>1291</v>
      </c>
      <c r="C4629">
        <v>781</v>
      </c>
      <c r="D4629" s="55" t="s">
        <v>757</v>
      </c>
      <c r="E4629" s="55" t="s">
        <v>761</v>
      </c>
      <c r="F4629" t="s">
        <v>12</v>
      </c>
      <c r="G4629" s="62">
        <v>708</v>
      </c>
      <c r="H4629" s="25">
        <v>28.01</v>
      </c>
      <c r="I4629">
        <v>5448</v>
      </c>
      <c r="J4629">
        <v>1198</v>
      </c>
      <c r="K4629">
        <v>8</v>
      </c>
      <c r="L4629">
        <v>8</v>
      </c>
      <c r="M4629">
        <v>0</v>
      </c>
      <c r="N4629" s="23">
        <v>0</v>
      </c>
      <c r="O4629">
        <f t="shared" si="955"/>
        <v>3</v>
      </c>
      <c r="P4629" s="57">
        <f t="shared" si="956"/>
        <v>3</v>
      </c>
      <c r="Q4629" s="267">
        <f t="shared" si="957"/>
        <v>939</v>
      </c>
      <c r="R4629" s="23">
        <f t="shared" si="958"/>
        <v>708</v>
      </c>
      <c r="S4629" s="23">
        <f t="shared" si="959"/>
        <v>214</v>
      </c>
      <c r="T4629" s="23" t="str">
        <f t="shared" si="960"/>
        <v/>
      </c>
      <c r="U4629" t="str">
        <f t="shared" si="961"/>
        <v/>
      </c>
      <c r="AF4629" s="22"/>
    </row>
    <row r="4630" spans="1:38">
      <c r="A4630" t="str">
        <f t="shared" si="962"/>
        <v>PA_Alleg_2019p~Dem-member of council forest hills (vote for 3)</v>
      </c>
      <c r="B4630" s="55" t="s">
        <v>1291</v>
      </c>
      <c r="C4630">
        <v>779</v>
      </c>
      <c r="D4630" s="55" t="s">
        <v>757</v>
      </c>
      <c r="E4630" s="55" t="s">
        <v>759</v>
      </c>
      <c r="F4630" t="s">
        <v>12</v>
      </c>
      <c r="G4630" s="62">
        <v>214</v>
      </c>
      <c r="H4630" s="25">
        <v>8.4700000000000006</v>
      </c>
      <c r="I4630">
        <v>5448</v>
      </c>
      <c r="J4630">
        <v>1198</v>
      </c>
      <c r="K4630">
        <v>8</v>
      </c>
      <c r="L4630">
        <v>8</v>
      </c>
      <c r="M4630">
        <v>0</v>
      </c>
      <c r="N4630" s="23">
        <v>0</v>
      </c>
      <c r="O4630">
        <f t="shared" si="955"/>
        <v>4</v>
      </c>
      <c r="P4630" s="57">
        <f t="shared" si="956"/>
        <v>3</v>
      </c>
      <c r="Q4630" s="267">
        <f t="shared" si="957"/>
        <v>231</v>
      </c>
      <c r="R4630" s="23" t="str">
        <f t="shared" si="958"/>
        <v/>
      </c>
      <c r="S4630" s="23">
        <f t="shared" si="959"/>
        <v>214</v>
      </c>
      <c r="T4630" s="23" t="str">
        <f t="shared" si="960"/>
        <v/>
      </c>
      <c r="U4630" t="str">
        <f t="shared" si="961"/>
        <v/>
      </c>
      <c r="AF4630" s="22"/>
    </row>
    <row r="4631" spans="1:38">
      <c r="A4631" t="str">
        <f t="shared" si="962"/>
        <v>PA_Alleg_2019p~Dem-member of council forest hills (vote for 3)</v>
      </c>
      <c r="B4631" s="55" t="s">
        <v>1291</v>
      </c>
      <c r="C4631">
        <v>782</v>
      </c>
      <c r="D4631" s="55" t="s">
        <v>757</v>
      </c>
      <c r="E4631" s="55" t="s">
        <v>15</v>
      </c>
      <c r="F4631" t="s">
        <v>12</v>
      </c>
      <c r="G4631" s="62">
        <v>17</v>
      </c>
      <c r="H4631" s="25">
        <v>0.67</v>
      </c>
      <c r="I4631">
        <v>5448</v>
      </c>
      <c r="J4631">
        <v>1198</v>
      </c>
      <c r="K4631">
        <v>8</v>
      </c>
      <c r="L4631">
        <v>8</v>
      </c>
      <c r="M4631">
        <v>0</v>
      </c>
      <c r="N4631" s="23">
        <v>0</v>
      </c>
      <c r="O4631">
        <f t="shared" si="955"/>
        <v>-4</v>
      </c>
      <c r="P4631" s="57">
        <f t="shared" si="956"/>
        <v>3</v>
      </c>
      <c r="Q4631" s="267">
        <f t="shared" si="957"/>
        <v>17</v>
      </c>
      <c r="R4631" s="23">
        <f t="shared" si="958"/>
        <v>1</v>
      </c>
      <c r="S4631" s="23">
        <f t="shared" si="959"/>
        <v>0</v>
      </c>
      <c r="T4631" s="23" t="str">
        <f t="shared" si="960"/>
        <v/>
      </c>
      <c r="U4631" t="str">
        <f t="shared" si="961"/>
        <v/>
      </c>
      <c r="AF4631" s="22"/>
    </row>
    <row r="4632" spans="1:38">
      <c r="A4632" t="str">
        <f t="shared" si="962"/>
        <v>PA_Alleg_2019p~Dem-member of council fox chapel (vote for 3)</v>
      </c>
      <c r="B4632" s="55" t="s">
        <v>1291</v>
      </c>
      <c r="C4632">
        <v>783</v>
      </c>
      <c r="D4632" s="55" t="s">
        <v>762</v>
      </c>
      <c r="E4632" s="55" t="s">
        <v>15</v>
      </c>
      <c r="F4632" t="s">
        <v>12</v>
      </c>
      <c r="G4632" s="62">
        <v>120</v>
      </c>
      <c r="H4632" s="25">
        <v>100</v>
      </c>
      <c r="I4632">
        <v>4785</v>
      </c>
      <c r="J4632">
        <v>976</v>
      </c>
      <c r="K4632">
        <v>5</v>
      </c>
      <c r="L4632">
        <v>5</v>
      </c>
      <c r="M4632">
        <v>0</v>
      </c>
      <c r="N4632" s="23">
        <v>0</v>
      </c>
      <c r="O4632">
        <f t="shared" si="955"/>
        <v>0</v>
      </c>
      <c r="P4632" s="57">
        <f t="shared" si="956"/>
        <v>3</v>
      </c>
      <c r="Q4632" s="267">
        <f t="shared" si="957"/>
        <v>120</v>
      </c>
      <c r="R4632" s="23">
        <f t="shared" si="958"/>
        <v>1</v>
      </c>
      <c r="S4632" s="23">
        <f t="shared" si="959"/>
        <v>0</v>
      </c>
      <c r="T4632" s="23" t="str">
        <f t="shared" si="960"/>
        <v/>
      </c>
      <c r="U4632" t="str">
        <f t="shared" si="961"/>
        <v>PA_Alleg_2019p~Dem-member of council fox chapel (vote for 3)</v>
      </c>
      <c r="AF4632" s="22"/>
    </row>
    <row r="4633" spans="1:38">
      <c r="A4633" t="str">
        <f t="shared" si="962"/>
        <v>PA_Alleg_2019p~Dem-member of council franklin park ward 1 (vote for 1)</v>
      </c>
      <c r="B4633" s="55" t="s">
        <v>1291</v>
      </c>
      <c r="C4633">
        <v>1044</v>
      </c>
      <c r="D4633" s="55" t="s">
        <v>1019</v>
      </c>
      <c r="E4633" s="55" t="s">
        <v>15</v>
      </c>
      <c r="F4633" t="s">
        <v>12</v>
      </c>
      <c r="G4633" s="62">
        <v>84</v>
      </c>
      <c r="H4633" s="25">
        <v>100</v>
      </c>
      <c r="I4633">
        <v>3929</v>
      </c>
      <c r="J4633">
        <v>411</v>
      </c>
      <c r="K4633">
        <v>3</v>
      </c>
      <c r="L4633">
        <v>3</v>
      </c>
      <c r="M4633">
        <v>0</v>
      </c>
      <c r="N4633" s="23">
        <v>0</v>
      </c>
      <c r="O4633">
        <f t="shared" si="955"/>
        <v>0</v>
      </c>
      <c r="P4633" s="57">
        <f t="shared" si="956"/>
        <v>1</v>
      </c>
      <c r="Q4633" s="267">
        <f t="shared" si="957"/>
        <v>84</v>
      </c>
      <c r="R4633" s="23">
        <f t="shared" si="958"/>
        <v>1</v>
      </c>
      <c r="S4633" s="23">
        <f t="shared" si="959"/>
        <v>0</v>
      </c>
      <c r="T4633" s="23" t="str">
        <f t="shared" si="960"/>
        <v/>
      </c>
      <c r="U4633" t="str">
        <f t="shared" si="961"/>
        <v>PA_Alleg_2019p~Dem-member of council franklin park ward 1 (vote for 1)</v>
      </c>
      <c r="AF4633" s="22"/>
    </row>
    <row r="4634" spans="1:38">
      <c r="A4634" t="str">
        <f t="shared" si="962"/>
        <v>PA_Alleg_2019p~Dem-member of council franklin park ward 2 (vote for 1)</v>
      </c>
      <c r="B4634" s="55" t="s">
        <v>1291</v>
      </c>
      <c r="C4634">
        <v>1104</v>
      </c>
      <c r="D4634" s="55" t="s">
        <v>1076</v>
      </c>
      <c r="E4634" s="55" t="s">
        <v>1077</v>
      </c>
      <c r="F4634" t="s">
        <v>12</v>
      </c>
      <c r="G4634" s="62">
        <v>294</v>
      </c>
      <c r="H4634" s="25">
        <v>99.32</v>
      </c>
      <c r="I4634">
        <v>3820</v>
      </c>
      <c r="J4634">
        <v>588</v>
      </c>
      <c r="K4634">
        <v>3</v>
      </c>
      <c r="L4634">
        <v>3</v>
      </c>
      <c r="M4634">
        <v>0</v>
      </c>
      <c r="N4634" s="23">
        <v>0</v>
      </c>
      <c r="O4634">
        <f t="shared" si="955"/>
        <v>1</v>
      </c>
      <c r="P4634" s="57">
        <f t="shared" si="956"/>
        <v>1</v>
      </c>
      <c r="Q4634" s="267">
        <f t="shared" si="957"/>
        <v>589</v>
      </c>
      <c r="R4634" s="23">
        <f t="shared" si="958"/>
        <v>294</v>
      </c>
      <c r="S4634" s="23">
        <f t="shared" si="959"/>
        <v>290</v>
      </c>
      <c r="T4634" s="23">
        <f t="shared" si="960"/>
        <v>4</v>
      </c>
      <c r="U4634" t="str">
        <f t="shared" si="961"/>
        <v>PA_Alleg_2019p~Dem-member of council franklin park ward 2 (vote for 1)</v>
      </c>
      <c r="AF4634" s="22"/>
    </row>
    <row r="4635" spans="1:38">
      <c r="A4635" t="str">
        <f t="shared" si="962"/>
        <v>PA_Alleg_2019p~Dem-member of council franklin park ward 2 (vote for 1)</v>
      </c>
      <c r="B4635" s="55" t="s">
        <v>1291</v>
      </c>
      <c r="C4635">
        <v>1045</v>
      </c>
      <c r="D4635" s="55" t="s">
        <v>1020</v>
      </c>
      <c r="E4635" s="55" t="s">
        <v>1021</v>
      </c>
      <c r="F4635" t="s">
        <v>12</v>
      </c>
      <c r="G4635" s="62">
        <v>290</v>
      </c>
      <c r="H4635" s="25">
        <v>98.98</v>
      </c>
      <c r="I4635">
        <v>3820</v>
      </c>
      <c r="J4635">
        <v>588</v>
      </c>
      <c r="K4635">
        <v>3</v>
      </c>
      <c r="L4635">
        <v>3</v>
      </c>
      <c r="M4635">
        <v>0</v>
      </c>
      <c r="N4635" s="23">
        <v>0</v>
      </c>
      <c r="O4635">
        <f t="shared" si="955"/>
        <v>2</v>
      </c>
      <c r="P4635" s="57">
        <f t="shared" si="956"/>
        <v>1</v>
      </c>
      <c r="Q4635" s="267">
        <f t="shared" si="957"/>
        <v>295</v>
      </c>
      <c r="R4635" s="23" t="str">
        <f t="shared" si="958"/>
        <v/>
      </c>
      <c r="S4635" s="23">
        <f t="shared" si="959"/>
        <v>290</v>
      </c>
      <c r="T4635" s="23" t="str">
        <f t="shared" si="960"/>
        <v/>
      </c>
      <c r="U4635" t="str">
        <f t="shared" si="961"/>
        <v/>
      </c>
      <c r="AF4635" s="22"/>
    </row>
    <row r="4636" spans="1:38">
      <c r="A4636" t="str">
        <f t="shared" si="962"/>
        <v>PA_Alleg_2019p~Dem-member of council franklin park ward 2 (vote for 1)</v>
      </c>
      <c r="B4636" s="55" t="s">
        <v>1291</v>
      </c>
      <c r="C4636">
        <v>1046</v>
      </c>
      <c r="D4636" s="55" t="s">
        <v>1020</v>
      </c>
      <c r="E4636" s="55" t="s">
        <v>15</v>
      </c>
      <c r="F4636" t="s">
        <v>12</v>
      </c>
      <c r="G4636" s="62">
        <v>3</v>
      </c>
      <c r="H4636" s="25">
        <v>1.02</v>
      </c>
      <c r="I4636">
        <v>3820</v>
      </c>
      <c r="J4636">
        <v>588</v>
      </c>
      <c r="K4636">
        <v>3</v>
      </c>
      <c r="L4636">
        <v>3</v>
      </c>
      <c r="M4636">
        <v>0</v>
      </c>
      <c r="N4636" s="23">
        <v>0</v>
      </c>
      <c r="O4636">
        <f t="shared" si="955"/>
        <v>-2</v>
      </c>
      <c r="P4636" s="57">
        <f t="shared" si="956"/>
        <v>1</v>
      </c>
      <c r="Q4636" s="267">
        <f t="shared" si="957"/>
        <v>5</v>
      </c>
      <c r="R4636" s="23">
        <f t="shared" si="958"/>
        <v>1</v>
      </c>
      <c r="S4636" s="23">
        <f t="shared" si="959"/>
        <v>0</v>
      </c>
      <c r="T4636" s="23" t="str">
        <f t="shared" si="960"/>
        <v/>
      </c>
      <c r="U4636" t="str">
        <f t="shared" si="961"/>
        <v/>
      </c>
      <c r="AF4636" s="22"/>
    </row>
    <row r="4637" spans="1:38">
      <c r="A4637" t="str">
        <f t="shared" si="962"/>
        <v>PA_Alleg_2019p~Dem-member of council franklin park ward 2 (vote for 1)</v>
      </c>
      <c r="B4637" s="55" t="s">
        <v>1291</v>
      </c>
      <c r="C4637">
        <v>1105</v>
      </c>
      <c r="D4637" s="55" t="s">
        <v>1076</v>
      </c>
      <c r="E4637" s="55" t="s">
        <v>15</v>
      </c>
      <c r="F4637" t="s">
        <v>12</v>
      </c>
      <c r="G4637" s="62">
        <v>2</v>
      </c>
      <c r="H4637" s="25">
        <v>0.68</v>
      </c>
      <c r="I4637">
        <v>3820</v>
      </c>
      <c r="J4637">
        <v>588</v>
      </c>
      <c r="K4637">
        <v>3</v>
      </c>
      <c r="L4637">
        <v>3</v>
      </c>
      <c r="M4637">
        <v>0</v>
      </c>
      <c r="N4637" s="23">
        <v>0</v>
      </c>
      <c r="O4637">
        <f t="shared" si="955"/>
        <v>-2</v>
      </c>
      <c r="P4637" s="57">
        <f t="shared" si="956"/>
        <v>1</v>
      </c>
      <c r="Q4637" s="267">
        <f t="shared" si="957"/>
        <v>2</v>
      </c>
      <c r="R4637" s="23">
        <f t="shared" si="958"/>
        <v>1</v>
      </c>
      <c r="S4637" s="23">
        <f t="shared" si="959"/>
        <v>0</v>
      </c>
      <c r="T4637" s="23" t="str">
        <f t="shared" si="960"/>
        <v/>
      </c>
      <c r="U4637" t="str">
        <f t="shared" si="961"/>
        <v/>
      </c>
      <c r="AF4637" s="22"/>
    </row>
    <row r="4638" spans="1:38">
      <c r="A4638" t="str">
        <f t="shared" si="962"/>
        <v>PA_Alleg_2019p~Dem-member of council franklin park ward 3 (vote for 1)</v>
      </c>
      <c r="B4638" s="55" t="s">
        <v>1291</v>
      </c>
      <c r="C4638">
        <v>1047</v>
      </c>
      <c r="D4638" s="55" t="s">
        <v>1022</v>
      </c>
      <c r="E4638" s="55" t="s">
        <v>15</v>
      </c>
      <c r="F4638" t="s">
        <v>12</v>
      </c>
      <c r="G4638" s="62">
        <v>75</v>
      </c>
      <c r="H4638" s="25">
        <v>100</v>
      </c>
      <c r="I4638">
        <v>3329</v>
      </c>
      <c r="J4638">
        <v>553</v>
      </c>
      <c r="K4638">
        <v>3</v>
      </c>
      <c r="L4638">
        <v>3</v>
      </c>
      <c r="M4638">
        <v>0</v>
      </c>
      <c r="N4638" s="23">
        <v>0</v>
      </c>
      <c r="O4638">
        <f t="shared" si="955"/>
        <v>0</v>
      </c>
      <c r="P4638" s="57">
        <f t="shared" si="956"/>
        <v>1</v>
      </c>
      <c r="Q4638" s="267">
        <f t="shared" si="957"/>
        <v>75</v>
      </c>
      <c r="R4638" s="23">
        <f t="shared" si="958"/>
        <v>1</v>
      </c>
      <c r="S4638" s="23">
        <f t="shared" si="959"/>
        <v>0</v>
      </c>
      <c r="T4638" s="23" t="str">
        <f t="shared" si="960"/>
        <v/>
      </c>
      <c r="U4638" t="str">
        <f t="shared" si="961"/>
        <v>PA_Alleg_2019p~Dem-member of council franklin park ward 3 (vote for 1)</v>
      </c>
      <c r="AF4638" s="22"/>
    </row>
    <row r="4639" spans="1:38">
      <c r="A4639" t="str">
        <f t="shared" si="962"/>
        <v>PA_Alleg_2019p~Dem-member of council glassport (vote for 4)</v>
      </c>
      <c r="B4639" s="55" t="s">
        <v>1291</v>
      </c>
      <c r="C4639">
        <v>684</v>
      </c>
      <c r="D4639" s="55" t="s">
        <v>662</v>
      </c>
      <c r="E4639" s="55" t="s">
        <v>664</v>
      </c>
      <c r="F4639" t="s">
        <v>12</v>
      </c>
      <c r="G4639" s="62">
        <v>330</v>
      </c>
      <c r="H4639" s="25">
        <v>27.64</v>
      </c>
      <c r="I4639">
        <v>2693</v>
      </c>
      <c r="J4639">
        <v>582</v>
      </c>
      <c r="K4639">
        <v>6</v>
      </c>
      <c r="L4639">
        <v>6</v>
      </c>
      <c r="M4639">
        <v>0</v>
      </c>
      <c r="N4639" s="23">
        <v>0</v>
      </c>
      <c r="O4639">
        <f t="shared" si="955"/>
        <v>1</v>
      </c>
      <c r="P4639" s="57">
        <f t="shared" si="956"/>
        <v>4</v>
      </c>
      <c r="Q4639" s="267">
        <f t="shared" si="957"/>
        <v>330</v>
      </c>
      <c r="R4639" s="23">
        <f t="shared" si="958"/>
        <v>264</v>
      </c>
      <c r="S4639" s="23">
        <f t="shared" si="959"/>
        <v>0</v>
      </c>
      <c r="T4639" s="23" t="str">
        <f t="shared" si="960"/>
        <v/>
      </c>
      <c r="U4639" t="str">
        <f t="shared" si="961"/>
        <v>PA_Alleg_2019p~Dem-member of council glassport (vote for 4)</v>
      </c>
      <c r="AF4639" s="22"/>
      <c r="AG4639" s="302"/>
      <c r="AH4639" s="301"/>
      <c r="AI4639" s="303"/>
      <c r="AJ4639" s="303"/>
      <c r="AK4639" s="342"/>
      <c r="AL4639" s="343"/>
    </row>
    <row r="4640" spans="1:38">
      <c r="A4640" t="str">
        <f t="shared" si="962"/>
        <v>PA_Alleg_2019p~Dem-member of council glassport (vote for 4)</v>
      </c>
      <c r="B4640" s="55" t="s">
        <v>1291</v>
      </c>
      <c r="C4640">
        <v>683</v>
      </c>
      <c r="D4640" s="55" t="s">
        <v>662</v>
      </c>
      <c r="E4640" s="55" t="s">
        <v>663</v>
      </c>
      <c r="F4640" t="s">
        <v>12</v>
      </c>
      <c r="G4640" s="62">
        <v>305</v>
      </c>
      <c r="H4640" s="25">
        <v>25.54</v>
      </c>
      <c r="I4640">
        <v>2693</v>
      </c>
      <c r="J4640">
        <v>582</v>
      </c>
      <c r="K4640">
        <v>6</v>
      </c>
      <c r="L4640">
        <v>6</v>
      </c>
      <c r="M4640">
        <v>0</v>
      </c>
      <c r="N4640" s="23">
        <v>0</v>
      </c>
      <c r="O4640">
        <f t="shared" si="955"/>
        <v>2</v>
      </c>
      <c r="P4640" s="57">
        <f t="shared" si="956"/>
        <v>4</v>
      </c>
      <c r="Q4640" s="267">
        <f t="shared" si="957"/>
        <v>864</v>
      </c>
      <c r="R4640" s="23">
        <f t="shared" si="958"/>
        <v>264</v>
      </c>
      <c r="S4640" s="23">
        <f t="shared" si="959"/>
        <v>0</v>
      </c>
      <c r="T4640" s="23" t="str">
        <f t="shared" si="960"/>
        <v/>
      </c>
      <c r="U4640" t="str">
        <f t="shared" si="961"/>
        <v/>
      </c>
      <c r="AF4640" s="22"/>
    </row>
    <row r="4641" spans="1:38">
      <c r="A4641" t="str">
        <f t="shared" si="962"/>
        <v>PA_Alleg_2019p~Dem-member of council glassport (vote for 4)</v>
      </c>
      <c r="B4641" s="55" t="s">
        <v>1291</v>
      </c>
      <c r="C4641">
        <v>686</v>
      </c>
      <c r="D4641" s="55" t="s">
        <v>662</v>
      </c>
      <c r="E4641" s="55" t="s">
        <v>666</v>
      </c>
      <c r="F4641" t="s">
        <v>12</v>
      </c>
      <c r="G4641" s="62">
        <v>287</v>
      </c>
      <c r="H4641" s="25">
        <v>24.04</v>
      </c>
      <c r="I4641">
        <v>2693</v>
      </c>
      <c r="J4641">
        <v>582</v>
      </c>
      <c r="K4641">
        <v>6</v>
      </c>
      <c r="L4641">
        <v>6</v>
      </c>
      <c r="M4641">
        <v>0</v>
      </c>
      <c r="N4641" s="23">
        <v>0</v>
      </c>
      <c r="O4641">
        <f t="shared" si="955"/>
        <v>3</v>
      </c>
      <c r="P4641" s="57">
        <f t="shared" si="956"/>
        <v>4</v>
      </c>
      <c r="Q4641" s="267">
        <f t="shared" si="957"/>
        <v>559</v>
      </c>
      <c r="R4641" s="23">
        <f t="shared" si="958"/>
        <v>264</v>
      </c>
      <c r="S4641" s="23">
        <f t="shared" si="959"/>
        <v>0</v>
      </c>
      <c r="T4641" s="23" t="str">
        <f t="shared" si="960"/>
        <v/>
      </c>
      <c r="U4641" t="str">
        <f t="shared" si="961"/>
        <v/>
      </c>
      <c r="AF4641" s="22"/>
    </row>
    <row r="4642" spans="1:38">
      <c r="A4642" t="str">
        <f t="shared" si="962"/>
        <v>PA_Alleg_2019p~Dem-member of council glassport (vote for 4)</v>
      </c>
      <c r="B4642" s="55" t="s">
        <v>1291</v>
      </c>
      <c r="C4642">
        <v>685</v>
      </c>
      <c r="D4642" s="55" t="s">
        <v>662</v>
      </c>
      <c r="E4642" s="55" t="s">
        <v>665</v>
      </c>
      <c r="F4642" t="s">
        <v>12</v>
      </c>
      <c r="G4642" s="62">
        <v>264</v>
      </c>
      <c r="H4642" s="25">
        <v>22.11</v>
      </c>
      <c r="I4642">
        <v>2693</v>
      </c>
      <c r="J4642">
        <v>582</v>
      </c>
      <c r="K4642">
        <v>6</v>
      </c>
      <c r="L4642">
        <v>6</v>
      </c>
      <c r="M4642">
        <v>0</v>
      </c>
      <c r="N4642" s="23">
        <v>0</v>
      </c>
      <c r="O4642">
        <f t="shared" si="955"/>
        <v>4</v>
      </c>
      <c r="P4642" s="57">
        <f t="shared" si="956"/>
        <v>4</v>
      </c>
      <c r="Q4642" s="267">
        <f t="shared" si="957"/>
        <v>272</v>
      </c>
      <c r="R4642" s="23">
        <f t="shared" si="958"/>
        <v>264</v>
      </c>
      <c r="S4642" s="23">
        <f t="shared" si="959"/>
        <v>0</v>
      </c>
      <c r="T4642" s="23" t="str">
        <f t="shared" si="960"/>
        <v/>
      </c>
      <c r="U4642" t="str">
        <f t="shared" si="961"/>
        <v/>
      </c>
      <c r="AF4642" s="22"/>
    </row>
    <row r="4643" spans="1:38">
      <c r="A4643" t="str">
        <f t="shared" si="962"/>
        <v>PA_Alleg_2019p~Dem-member of council glassport (vote for 4)</v>
      </c>
      <c r="B4643" s="55" t="s">
        <v>1291</v>
      </c>
      <c r="C4643">
        <v>687</v>
      </c>
      <c r="D4643" s="55" t="s">
        <v>662</v>
      </c>
      <c r="E4643" s="55" t="s">
        <v>15</v>
      </c>
      <c r="F4643" t="s">
        <v>12</v>
      </c>
      <c r="G4643" s="62">
        <v>8</v>
      </c>
      <c r="H4643" s="25">
        <v>0.67</v>
      </c>
      <c r="I4643">
        <v>2693</v>
      </c>
      <c r="J4643">
        <v>582</v>
      </c>
      <c r="K4643">
        <v>6</v>
      </c>
      <c r="L4643">
        <v>6</v>
      </c>
      <c r="M4643">
        <v>0</v>
      </c>
      <c r="N4643" s="23">
        <v>0</v>
      </c>
      <c r="O4643">
        <f t="shared" si="955"/>
        <v>-4</v>
      </c>
      <c r="P4643" s="57">
        <f t="shared" si="956"/>
        <v>4</v>
      </c>
      <c r="Q4643" s="267">
        <f t="shared" si="957"/>
        <v>8</v>
      </c>
      <c r="R4643" s="23">
        <f t="shared" si="958"/>
        <v>1</v>
      </c>
      <c r="S4643" s="23">
        <f t="shared" si="959"/>
        <v>0</v>
      </c>
      <c r="T4643" s="23" t="str">
        <f t="shared" si="960"/>
        <v/>
      </c>
      <c r="U4643" t="str">
        <f t="shared" si="961"/>
        <v/>
      </c>
      <c r="AF4643" s="22"/>
    </row>
    <row r="4644" spans="1:38">
      <c r="A4644" t="str">
        <f t="shared" si="962"/>
        <v>PA_Alleg_2019p~Dem-member of council glen osborne (vote for 3)</v>
      </c>
      <c r="B4644" s="55" t="s">
        <v>1291</v>
      </c>
      <c r="C4644">
        <v>831</v>
      </c>
      <c r="D4644" s="55" t="s">
        <v>810</v>
      </c>
      <c r="E4644" s="55" t="s">
        <v>811</v>
      </c>
      <c r="F4644" t="s">
        <v>12</v>
      </c>
      <c r="G4644" s="62">
        <v>48</v>
      </c>
      <c r="H4644" s="25">
        <v>87.27</v>
      </c>
      <c r="I4644">
        <v>463</v>
      </c>
      <c r="J4644">
        <v>80</v>
      </c>
      <c r="K4644">
        <v>1</v>
      </c>
      <c r="L4644">
        <v>1</v>
      </c>
      <c r="M4644">
        <v>0</v>
      </c>
      <c r="N4644" s="23">
        <v>0</v>
      </c>
      <c r="O4644">
        <f t="shared" si="955"/>
        <v>1</v>
      </c>
      <c r="P4644" s="57">
        <f t="shared" si="956"/>
        <v>3</v>
      </c>
      <c r="Q4644" s="267">
        <f t="shared" si="957"/>
        <v>48</v>
      </c>
      <c r="R4644" s="23">
        <f t="shared" si="958"/>
        <v>1</v>
      </c>
      <c r="S4644" s="23">
        <f t="shared" si="959"/>
        <v>0</v>
      </c>
      <c r="T4644" s="23" t="str">
        <f t="shared" si="960"/>
        <v/>
      </c>
      <c r="U4644" t="str">
        <f t="shared" si="961"/>
        <v>PA_Alleg_2019p~Dem-member of council glen osborne (vote for 3)</v>
      </c>
      <c r="AF4644" s="22"/>
    </row>
    <row r="4645" spans="1:38">
      <c r="A4645" t="str">
        <f t="shared" si="962"/>
        <v>PA_Alleg_2019p~Dem-member of council glen osborne (vote for 3)</v>
      </c>
      <c r="B4645" s="55" t="s">
        <v>1291</v>
      </c>
      <c r="C4645">
        <v>832</v>
      </c>
      <c r="D4645" s="55" t="s">
        <v>810</v>
      </c>
      <c r="E4645" s="55" t="s">
        <v>15</v>
      </c>
      <c r="F4645" t="s">
        <v>12</v>
      </c>
      <c r="G4645" s="62">
        <v>7</v>
      </c>
      <c r="H4645" s="25">
        <v>12.73</v>
      </c>
      <c r="I4645">
        <v>463</v>
      </c>
      <c r="J4645">
        <v>80</v>
      </c>
      <c r="K4645">
        <v>1</v>
      </c>
      <c r="L4645">
        <v>1</v>
      </c>
      <c r="M4645">
        <v>0</v>
      </c>
      <c r="N4645" s="23">
        <v>0</v>
      </c>
      <c r="O4645">
        <f t="shared" si="955"/>
        <v>-1</v>
      </c>
      <c r="P4645" s="57">
        <f t="shared" si="956"/>
        <v>3</v>
      </c>
      <c r="Q4645" s="267">
        <f t="shared" si="957"/>
        <v>7</v>
      </c>
      <c r="R4645" s="23">
        <f t="shared" si="958"/>
        <v>1</v>
      </c>
      <c r="S4645" s="23">
        <f t="shared" si="959"/>
        <v>0</v>
      </c>
      <c r="T4645" s="23" t="str">
        <f t="shared" si="960"/>
        <v/>
      </c>
      <c r="U4645" t="str">
        <f t="shared" si="961"/>
        <v/>
      </c>
      <c r="AF4645" s="22"/>
    </row>
    <row r="4646" spans="1:38">
      <c r="A4646" t="str">
        <f t="shared" si="962"/>
        <v>PA_Alleg_2019p~Dem-member of council glenfield (vote for 1)</v>
      </c>
      <c r="B4646" s="55" t="s">
        <v>1291</v>
      </c>
      <c r="C4646">
        <v>944</v>
      </c>
      <c r="D4646" s="55" t="s">
        <v>920</v>
      </c>
      <c r="E4646" s="55" t="s">
        <v>15</v>
      </c>
      <c r="F4646" t="s">
        <v>12</v>
      </c>
      <c r="G4646" s="62">
        <v>1</v>
      </c>
      <c r="H4646" s="25">
        <v>100</v>
      </c>
      <c r="I4646">
        <v>153</v>
      </c>
      <c r="J4646">
        <v>26</v>
      </c>
      <c r="K4646">
        <v>1</v>
      </c>
      <c r="L4646">
        <v>1</v>
      </c>
      <c r="M4646">
        <v>0</v>
      </c>
      <c r="N4646" s="23">
        <v>0</v>
      </c>
      <c r="O4646">
        <f t="shared" si="955"/>
        <v>0</v>
      </c>
      <c r="P4646" s="57">
        <f t="shared" si="956"/>
        <v>1</v>
      </c>
      <c r="Q4646" s="267">
        <f t="shared" si="957"/>
        <v>1</v>
      </c>
      <c r="R4646" s="23">
        <f t="shared" si="958"/>
        <v>1</v>
      </c>
      <c r="S4646" s="23">
        <f t="shared" si="959"/>
        <v>0</v>
      </c>
      <c r="T4646" s="23" t="str">
        <f t="shared" si="960"/>
        <v/>
      </c>
      <c r="U4646" t="str">
        <f t="shared" si="961"/>
        <v>PA_Alleg_2019p~Dem-member of council glenfield (vote for 1)</v>
      </c>
      <c r="AF4646" s="22"/>
    </row>
    <row r="4647" spans="1:38">
      <c r="A4647" t="str">
        <f t="shared" si="962"/>
        <v>PA_Alleg_2019p~Dem-member of council glenfield (vote for 3)</v>
      </c>
      <c r="B4647" s="55" t="s">
        <v>1291</v>
      </c>
      <c r="C4647">
        <v>784</v>
      </c>
      <c r="D4647" s="55" t="s">
        <v>763</v>
      </c>
      <c r="E4647" s="55" t="s">
        <v>15</v>
      </c>
      <c r="F4647" t="s">
        <v>12</v>
      </c>
      <c r="G4647" s="62">
        <v>8</v>
      </c>
      <c r="H4647" s="25">
        <v>100</v>
      </c>
      <c r="I4647">
        <v>153</v>
      </c>
      <c r="J4647">
        <v>26</v>
      </c>
      <c r="K4647">
        <v>1</v>
      </c>
      <c r="L4647">
        <v>1</v>
      </c>
      <c r="M4647">
        <v>0</v>
      </c>
      <c r="N4647" s="23">
        <v>0</v>
      </c>
      <c r="O4647">
        <f t="shared" si="955"/>
        <v>0</v>
      </c>
      <c r="P4647" s="57">
        <f t="shared" si="956"/>
        <v>3</v>
      </c>
      <c r="Q4647" s="267">
        <f t="shared" si="957"/>
        <v>8</v>
      </c>
      <c r="R4647" s="23">
        <f t="shared" si="958"/>
        <v>1</v>
      </c>
      <c r="S4647" s="23">
        <f t="shared" si="959"/>
        <v>0</v>
      </c>
      <c r="T4647" s="23" t="str">
        <f t="shared" si="960"/>
        <v/>
      </c>
      <c r="U4647" t="str">
        <f t="shared" si="961"/>
        <v>PA_Alleg_2019p~Dem-member of council glenfield (vote for 3)</v>
      </c>
      <c r="AF4647" s="22"/>
      <c r="AG4647" s="302"/>
      <c r="AH4647" s="301"/>
      <c r="AI4647" s="303"/>
      <c r="AJ4647" s="303"/>
      <c r="AK4647" s="342"/>
      <c r="AL4647" s="343"/>
    </row>
    <row r="4648" spans="1:38">
      <c r="A4648" t="str">
        <f t="shared" si="962"/>
        <v>PA_Alleg_2019p~Dem-member of council green tree (vote for 3)</v>
      </c>
      <c r="B4648" s="55" t="s">
        <v>1291</v>
      </c>
      <c r="C4648">
        <v>785</v>
      </c>
      <c r="D4648" s="55" t="s">
        <v>764</v>
      </c>
      <c r="E4648" s="55" t="s">
        <v>765</v>
      </c>
      <c r="F4648" t="s">
        <v>12</v>
      </c>
      <c r="G4648" s="62">
        <v>307</v>
      </c>
      <c r="H4648" s="25">
        <v>34.89</v>
      </c>
      <c r="I4648">
        <v>3708</v>
      </c>
      <c r="J4648">
        <v>522</v>
      </c>
      <c r="K4648">
        <v>4</v>
      </c>
      <c r="L4648">
        <v>4</v>
      </c>
      <c r="M4648">
        <v>0</v>
      </c>
      <c r="N4648" s="23">
        <v>0</v>
      </c>
      <c r="O4648">
        <f t="shared" si="955"/>
        <v>1</v>
      </c>
      <c r="P4648" s="57">
        <f t="shared" si="956"/>
        <v>3</v>
      </c>
      <c r="Q4648" s="267">
        <f t="shared" si="957"/>
        <v>307</v>
      </c>
      <c r="R4648" s="23">
        <f t="shared" si="958"/>
        <v>267</v>
      </c>
      <c r="S4648" s="23">
        <f t="shared" si="959"/>
        <v>0</v>
      </c>
      <c r="T4648" s="23" t="str">
        <f t="shared" si="960"/>
        <v/>
      </c>
      <c r="U4648" t="str">
        <f t="shared" si="961"/>
        <v>PA_Alleg_2019p~Dem-member of council green tree (vote for 3)</v>
      </c>
      <c r="AF4648" s="300"/>
      <c r="AG4648" s="304"/>
      <c r="AH4648" s="301"/>
      <c r="AI4648" s="303"/>
      <c r="AJ4648" s="303"/>
      <c r="AK4648" s="342"/>
      <c r="AL4648" s="343"/>
    </row>
    <row r="4649" spans="1:38">
      <c r="A4649" t="str">
        <f t="shared" si="962"/>
        <v>PA_Alleg_2019p~Dem-member of council green tree (vote for 3)</v>
      </c>
      <c r="B4649" s="55" t="s">
        <v>1291</v>
      </c>
      <c r="C4649">
        <v>786</v>
      </c>
      <c r="D4649" s="55" t="s">
        <v>764</v>
      </c>
      <c r="E4649" s="55" t="s">
        <v>766</v>
      </c>
      <c r="F4649" t="s">
        <v>12</v>
      </c>
      <c r="G4649" s="62">
        <v>292</v>
      </c>
      <c r="H4649" s="25">
        <v>33.18</v>
      </c>
      <c r="I4649">
        <v>3708</v>
      </c>
      <c r="J4649">
        <v>522</v>
      </c>
      <c r="K4649">
        <v>4</v>
      </c>
      <c r="L4649">
        <v>4</v>
      </c>
      <c r="M4649">
        <v>0</v>
      </c>
      <c r="N4649" s="23">
        <v>0</v>
      </c>
      <c r="O4649">
        <f t="shared" si="955"/>
        <v>2</v>
      </c>
      <c r="P4649" s="57">
        <f t="shared" si="956"/>
        <v>3</v>
      </c>
      <c r="Q4649" s="267">
        <f t="shared" si="957"/>
        <v>573</v>
      </c>
      <c r="R4649" s="23">
        <f t="shared" si="958"/>
        <v>267</v>
      </c>
      <c r="S4649" s="23">
        <f t="shared" si="959"/>
        <v>0</v>
      </c>
      <c r="T4649" s="23" t="str">
        <f t="shared" si="960"/>
        <v/>
      </c>
      <c r="U4649" t="str">
        <f t="shared" si="961"/>
        <v/>
      </c>
    </row>
    <row r="4650" spans="1:38">
      <c r="A4650" t="str">
        <f t="shared" si="962"/>
        <v>PA_Alleg_2019p~Dem-member of council green tree (vote for 3)</v>
      </c>
      <c r="B4650" s="55" t="s">
        <v>1291</v>
      </c>
      <c r="C4650">
        <v>787</v>
      </c>
      <c r="D4650" s="55" t="s">
        <v>764</v>
      </c>
      <c r="E4650" s="55" t="s">
        <v>767</v>
      </c>
      <c r="F4650" t="s">
        <v>12</v>
      </c>
      <c r="G4650" s="62">
        <v>267</v>
      </c>
      <c r="H4650" s="25">
        <v>30.34</v>
      </c>
      <c r="I4650">
        <v>3708</v>
      </c>
      <c r="J4650">
        <v>522</v>
      </c>
      <c r="K4650">
        <v>4</v>
      </c>
      <c r="L4650">
        <v>4</v>
      </c>
      <c r="M4650">
        <v>0</v>
      </c>
      <c r="N4650" s="23">
        <v>0</v>
      </c>
      <c r="O4650">
        <f t="shared" si="955"/>
        <v>3</v>
      </c>
      <c r="P4650" s="57">
        <f t="shared" si="956"/>
        <v>3</v>
      </c>
      <c r="Q4650" s="267">
        <f t="shared" si="957"/>
        <v>281</v>
      </c>
      <c r="R4650" s="23">
        <f t="shared" si="958"/>
        <v>267</v>
      </c>
      <c r="S4650" s="23">
        <f t="shared" si="959"/>
        <v>0</v>
      </c>
      <c r="T4650" s="23" t="str">
        <f t="shared" si="960"/>
        <v/>
      </c>
      <c r="U4650" t="str">
        <f t="shared" si="961"/>
        <v/>
      </c>
      <c r="AF4650" s="22"/>
    </row>
    <row r="4651" spans="1:38">
      <c r="A4651" t="str">
        <f t="shared" si="962"/>
        <v>PA_Alleg_2019p~Dem-member of council green tree (vote for 3)</v>
      </c>
      <c r="B4651" s="55" t="s">
        <v>1291</v>
      </c>
      <c r="C4651">
        <v>788</v>
      </c>
      <c r="D4651" s="55" t="s">
        <v>764</v>
      </c>
      <c r="E4651" s="55" t="s">
        <v>15</v>
      </c>
      <c r="F4651" t="s">
        <v>12</v>
      </c>
      <c r="G4651" s="62">
        <v>14</v>
      </c>
      <c r="H4651" s="25">
        <v>1.59</v>
      </c>
      <c r="I4651">
        <v>3708</v>
      </c>
      <c r="J4651">
        <v>522</v>
      </c>
      <c r="K4651">
        <v>4</v>
      </c>
      <c r="L4651">
        <v>4</v>
      </c>
      <c r="M4651">
        <v>0</v>
      </c>
      <c r="N4651" s="23">
        <v>0</v>
      </c>
      <c r="O4651">
        <f t="shared" si="955"/>
        <v>-3</v>
      </c>
      <c r="P4651" s="57">
        <f t="shared" si="956"/>
        <v>3</v>
      </c>
      <c r="Q4651" s="267">
        <f t="shared" si="957"/>
        <v>14</v>
      </c>
      <c r="R4651" s="23">
        <f t="shared" si="958"/>
        <v>1</v>
      </c>
      <c r="S4651" s="23">
        <f t="shared" si="959"/>
        <v>0</v>
      </c>
      <c r="T4651" s="23" t="str">
        <f t="shared" si="960"/>
        <v/>
      </c>
      <c r="U4651" t="str">
        <f t="shared" si="961"/>
        <v/>
      </c>
      <c r="AF4651" s="22"/>
    </row>
    <row r="4652" spans="1:38">
      <c r="A4652" t="str">
        <f t="shared" si="962"/>
        <v>PA_Alleg_2019p~Dem-member of council hampton (vote for 2)</v>
      </c>
      <c r="B4652" s="55" t="s">
        <v>1291</v>
      </c>
      <c r="C4652">
        <v>915</v>
      </c>
      <c r="D4652" s="55" t="s">
        <v>893</v>
      </c>
      <c r="E4652" s="55" t="s">
        <v>894</v>
      </c>
      <c r="F4652" t="s">
        <v>12</v>
      </c>
      <c r="G4652" s="62">
        <v>892</v>
      </c>
      <c r="H4652" s="25">
        <v>63.9</v>
      </c>
      <c r="I4652">
        <v>14273</v>
      </c>
      <c r="J4652">
        <v>2114</v>
      </c>
      <c r="K4652">
        <v>13</v>
      </c>
      <c r="L4652">
        <v>13</v>
      </c>
      <c r="M4652">
        <v>0</v>
      </c>
      <c r="N4652" s="23">
        <v>0</v>
      </c>
      <c r="O4652">
        <f t="shared" si="955"/>
        <v>1</v>
      </c>
      <c r="P4652" s="57">
        <f t="shared" si="956"/>
        <v>2</v>
      </c>
      <c r="Q4652" s="267">
        <f t="shared" si="957"/>
        <v>892</v>
      </c>
      <c r="R4652" s="23">
        <f t="shared" si="958"/>
        <v>1</v>
      </c>
      <c r="S4652" s="23">
        <f t="shared" si="959"/>
        <v>0</v>
      </c>
      <c r="T4652" s="23" t="str">
        <f t="shared" si="960"/>
        <v/>
      </c>
      <c r="U4652" t="str">
        <f t="shared" si="961"/>
        <v>PA_Alleg_2019p~Dem-member of council hampton (vote for 2)</v>
      </c>
      <c r="AF4652" s="22"/>
    </row>
    <row r="4653" spans="1:38">
      <c r="A4653" t="str">
        <f t="shared" si="962"/>
        <v>PA_Alleg_2019p~Dem-member of council hampton (vote for 2)</v>
      </c>
      <c r="B4653" s="55" t="s">
        <v>1291</v>
      </c>
      <c r="C4653">
        <v>916</v>
      </c>
      <c r="D4653" s="55" t="s">
        <v>893</v>
      </c>
      <c r="E4653" s="55" t="s">
        <v>15</v>
      </c>
      <c r="F4653" t="s">
        <v>12</v>
      </c>
      <c r="G4653" s="62">
        <v>504</v>
      </c>
      <c r="H4653" s="25">
        <v>36.1</v>
      </c>
      <c r="I4653">
        <v>14273</v>
      </c>
      <c r="J4653">
        <v>2114</v>
      </c>
      <c r="K4653">
        <v>13</v>
      </c>
      <c r="L4653">
        <v>13</v>
      </c>
      <c r="M4653">
        <v>0</v>
      </c>
      <c r="N4653" s="23">
        <v>0</v>
      </c>
      <c r="O4653">
        <f t="shared" si="955"/>
        <v>-1</v>
      </c>
      <c r="P4653" s="57">
        <f t="shared" si="956"/>
        <v>2</v>
      </c>
      <c r="Q4653" s="267">
        <f t="shared" si="957"/>
        <v>504</v>
      </c>
      <c r="R4653" s="23">
        <f t="shared" si="958"/>
        <v>1</v>
      </c>
      <c r="S4653" s="23">
        <f t="shared" si="959"/>
        <v>0</v>
      </c>
      <c r="T4653" s="23" t="str">
        <f t="shared" si="960"/>
        <v/>
      </c>
      <c r="U4653" t="str">
        <f t="shared" si="961"/>
        <v/>
      </c>
      <c r="AF4653" s="22"/>
    </row>
    <row r="4654" spans="1:38">
      <c r="A4654" t="str">
        <f t="shared" si="962"/>
        <v>PA_Alleg_2019p~Dem-member of council haysville (vote for 3)</v>
      </c>
      <c r="B4654" s="55" t="s">
        <v>1291</v>
      </c>
      <c r="C4654">
        <v>789</v>
      </c>
      <c r="D4654" s="55" t="s">
        <v>768</v>
      </c>
      <c r="E4654" s="55" t="s">
        <v>15</v>
      </c>
      <c r="F4654" t="s">
        <v>12</v>
      </c>
      <c r="G4654" s="62">
        <v>0</v>
      </c>
      <c r="H4654" s="25">
        <v>0</v>
      </c>
      <c r="I4654">
        <v>61</v>
      </c>
      <c r="J4654">
        <v>12</v>
      </c>
      <c r="K4654">
        <v>1</v>
      </c>
      <c r="L4654">
        <v>1</v>
      </c>
      <c r="M4654">
        <v>0</v>
      </c>
      <c r="N4654" s="23">
        <v>0</v>
      </c>
      <c r="O4654">
        <f t="shared" si="955"/>
        <v>0</v>
      </c>
      <c r="P4654" s="57">
        <f t="shared" si="956"/>
        <v>3</v>
      </c>
      <c r="Q4654" s="267">
        <f t="shared" si="957"/>
        <v>0</v>
      </c>
      <c r="R4654" s="23">
        <f t="shared" si="958"/>
        <v>1</v>
      </c>
      <c r="S4654" s="23">
        <f t="shared" si="959"/>
        <v>0</v>
      </c>
      <c r="T4654" s="23" t="str">
        <f t="shared" si="960"/>
        <v/>
      </c>
      <c r="U4654" t="str">
        <f t="shared" si="961"/>
        <v>PA_Alleg_2019p~Dem-member of council haysville (vote for 3)</v>
      </c>
      <c r="AF4654" s="22"/>
    </row>
    <row r="4655" spans="1:38">
      <c r="A4655" t="str">
        <f t="shared" si="962"/>
        <v>PA_Alleg_2019p~Dem-member of council heidelberg (vote for 2)</v>
      </c>
      <c r="B4655" s="55" t="s">
        <v>1291</v>
      </c>
      <c r="C4655">
        <v>917</v>
      </c>
      <c r="D4655" s="55" t="s">
        <v>895</v>
      </c>
      <c r="E4655" s="55" t="s">
        <v>896</v>
      </c>
      <c r="F4655" t="s">
        <v>12</v>
      </c>
      <c r="G4655" s="62">
        <v>74</v>
      </c>
      <c r="H4655" s="25">
        <v>59.68</v>
      </c>
      <c r="I4655">
        <v>901</v>
      </c>
      <c r="J4655">
        <v>152</v>
      </c>
      <c r="K4655">
        <v>1</v>
      </c>
      <c r="L4655">
        <v>1</v>
      </c>
      <c r="M4655">
        <v>0</v>
      </c>
      <c r="N4655" s="23">
        <v>0</v>
      </c>
      <c r="O4655">
        <f t="shared" si="955"/>
        <v>1</v>
      </c>
      <c r="P4655" s="57">
        <f t="shared" si="956"/>
        <v>2</v>
      </c>
      <c r="Q4655" s="267">
        <f t="shared" si="957"/>
        <v>74</v>
      </c>
      <c r="R4655" s="23">
        <f t="shared" si="958"/>
        <v>1</v>
      </c>
      <c r="S4655" s="23">
        <f t="shared" si="959"/>
        <v>0</v>
      </c>
      <c r="T4655" s="23" t="str">
        <f t="shared" si="960"/>
        <v/>
      </c>
      <c r="U4655" t="str">
        <f t="shared" si="961"/>
        <v>PA_Alleg_2019p~Dem-member of council heidelberg (vote for 2)</v>
      </c>
      <c r="AF4655" s="22"/>
    </row>
    <row r="4656" spans="1:38">
      <c r="A4656" t="str">
        <f t="shared" si="962"/>
        <v>PA_Alleg_2019p~Dem-member of council heidelberg (vote for 2)</v>
      </c>
      <c r="B4656" s="55" t="s">
        <v>1291</v>
      </c>
      <c r="C4656">
        <v>918</v>
      </c>
      <c r="D4656" s="55" t="s">
        <v>895</v>
      </c>
      <c r="E4656" s="55" t="s">
        <v>15</v>
      </c>
      <c r="F4656" t="s">
        <v>12</v>
      </c>
      <c r="G4656" s="62">
        <v>50</v>
      </c>
      <c r="H4656" s="25">
        <v>40.32</v>
      </c>
      <c r="I4656">
        <v>901</v>
      </c>
      <c r="J4656">
        <v>152</v>
      </c>
      <c r="K4656">
        <v>1</v>
      </c>
      <c r="L4656">
        <v>1</v>
      </c>
      <c r="M4656">
        <v>0</v>
      </c>
      <c r="N4656" s="23">
        <v>0</v>
      </c>
      <c r="O4656">
        <f t="shared" si="955"/>
        <v>-1</v>
      </c>
      <c r="P4656" s="57">
        <f t="shared" si="956"/>
        <v>2</v>
      </c>
      <c r="Q4656" s="267">
        <f t="shared" si="957"/>
        <v>50</v>
      </c>
      <c r="R4656" s="23">
        <f t="shared" si="958"/>
        <v>1</v>
      </c>
      <c r="S4656" s="23">
        <f t="shared" si="959"/>
        <v>0</v>
      </c>
      <c r="T4656" s="23" t="str">
        <f t="shared" si="960"/>
        <v/>
      </c>
      <c r="U4656" t="str">
        <f t="shared" si="961"/>
        <v/>
      </c>
      <c r="AF4656" s="22"/>
    </row>
    <row r="4657" spans="1:38">
      <c r="A4657" t="str">
        <f t="shared" si="962"/>
        <v>PA_Alleg_2019p~Dem-member of council homestead ward 1 (vote for 1)</v>
      </c>
      <c r="B4657" s="55" t="s">
        <v>1291</v>
      </c>
      <c r="C4657">
        <v>1049</v>
      </c>
      <c r="D4657" s="55" t="s">
        <v>1023</v>
      </c>
      <c r="E4657" s="55" t="s">
        <v>1025</v>
      </c>
      <c r="F4657" t="s">
        <v>12</v>
      </c>
      <c r="G4657" s="62">
        <v>97</v>
      </c>
      <c r="H4657" s="25">
        <v>64.67</v>
      </c>
      <c r="I4657">
        <v>1002</v>
      </c>
      <c r="J4657">
        <v>176</v>
      </c>
      <c r="K4657">
        <v>2</v>
      </c>
      <c r="L4657">
        <v>2</v>
      </c>
      <c r="M4657">
        <v>0</v>
      </c>
      <c r="N4657" s="23">
        <v>0</v>
      </c>
      <c r="O4657">
        <f t="shared" si="955"/>
        <v>1</v>
      </c>
      <c r="P4657" s="57">
        <f t="shared" si="956"/>
        <v>1</v>
      </c>
      <c r="Q4657" s="267">
        <f t="shared" si="957"/>
        <v>150</v>
      </c>
      <c r="R4657" s="23">
        <f t="shared" si="958"/>
        <v>97</v>
      </c>
      <c r="S4657" s="23">
        <f t="shared" si="959"/>
        <v>52</v>
      </c>
      <c r="T4657" s="23">
        <f t="shared" si="960"/>
        <v>45</v>
      </c>
      <c r="U4657" t="str">
        <f t="shared" si="961"/>
        <v>PA_Alleg_2019p~Dem-member of council homestead ward 1 (vote for 1)</v>
      </c>
      <c r="AF4657" s="22"/>
    </row>
    <row r="4658" spans="1:38">
      <c r="A4658" t="str">
        <f t="shared" si="962"/>
        <v>PA_Alleg_2019p~Dem-member of council homestead ward 1 (vote for 1)</v>
      </c>
      <c r="B4658" s="55" t="s">
        <v>1291</v>
      </c>
      <c r="C4658">
        <v>1048</v>
      </c>
      <c r="D4658" s="55" t="s">
        <v>1023</v>
      </c>
      <c r="E4658" s="55" t="s">
        <v>1024</v>
      </c>
      <c r="F4658" t="s">
        <v>12</v>
      </c>
      <c r="G4658" s="62">
        <v>52</v>
      </c>
      <c r="H4658" s="25">
        <v>34.67</v>
      </c>
      <c r="I4658">
        <v>1002</v>
      </c>
      <c r="J4658">
        <v>176</v>
      </c>
      <c r="K4658">
        <v>2</v>
      </c>
      <c r="L4658">
        <v>2</v>
      </c>
      <c r="M4658">
        <v>0</v>
      </c>
      <c r="N4658" s="23">
        <v>0</v>
      </c>
      <c r="O4658">
        <f t="shared" si="955"/>
        <v>2</v>
      </c>
      <c r="P4658" s="57">
        <f t="shared" si="956"/>
        <v>1</v>
      </c>
      <c r="Q4658" s="267">
        <f t="shared" si="957"/>
        <v>53</v>
      </c>
      <c r="R4658" s="23" t="str">
        <f t="shared" si="958"/>
        <v/>
      </c>
      <c r="S4658" s="23">
        <f t="shared" si="959"/>
        <v>52</v>
      </c>
      <c r="T4658" s="23" t="str">
        <f t="shared" si="960"/>
        <v/>
      </c>
      <c r="U4658" t="str">
        <f t="shared" si="961"/>
        <v/>
      </c>
      <c r="AF4658" s="22"/>
    </row>
    <row r="4659" spans="1:38">
      <c r="A4659" t="str">
        <f t="shared" si="962"/>
        <v>PA_Alleg_2019p~Dem-member of council homestead ward 1 (vote for 1)</v>
      </c>
      <c r="B4659" s="55" t="s">
        <v>1291</v>
      </c>
      <c r="C4659">
        <v>1050</v>
      </c>
      <c r="D4659" s="55" t="s">
        <v>1023</v>
      </c>
      <c r="E4659" s="55" t="s">
        <v>15</v>
      </c>
      <c r="F4659" t="s">
        <v>12</v>
      </c>
      <c r="G4659" s="62">
        <v>1</v>
      </c>
      <c r="H4659" s="25">
        <v>0.67</v>
      </c>
      <c r="I4659">
        <v>1002</v>
      </c>
      <c r="J4659">
        <v>176</v>
      </c>
      <c r="K4659">
        <v>2</v>
      </c>
      <c r="L4659">
        <v>2</v>
      </c>
      <c r="M4659">
        <v>0</v>
      </c>
      <c r="N4659" s="23">
        <v>0</v>
      </c>
      <c r="O4659">
        <f t="shared" si="955"/>
        <v>-2</v>
      </c>
      <c r="P4659" s="57">
        <f t="shared" si="956"/>
        <v>1</v>
      </c>
      <c r="Q4659" s="267">
        <f t="shared" si="957"/>
        <v>1</v>
      </c>
      <c r="R4659" s="23">
        <f t="shared" si="958"/>
        <v>1</v>
      </c>
      <c r="S4659" s="23">
        <f t="shared" si="959"/>
        <v>0</v>
      </c>
      <c r="T4659" s="23" t="str">
        <f t="shared" si="960"/>
        <v/>
      </c>
      <c r="U4659" t="str">
        <f t="shared" si="961"/>
        <v/>
      </c>
      <c r="AF4659" s="300"/>
    </row>
    <row r="4660" spans="1:38">
      <c r="A4660" t="str">
        <f t="shared" si="962"/>
        <v>PA_Alleg_2019p~Dem-member of council homestead ward 2 (vote for 1)</v>
      </c>
      <c r="B4660" s="55" t="s">
        <v>1291</v>
      </c>
      <c r="C4660">
        <v>1051</v>
      </c>
      <c r="D4660" s="55" t="s">
        <v>1026</v>
      </c>
      <c r="E4660" s="55" t="s">
        <v>1027</v>
      </c>
      <c r="F4660" t="s">
        <v>12</v>
      </c>
      <c r="G4660" s="62">
        <v>125</v>
      </c>
      <c r="H4660" s="25">
        <v>100</v>
      </c>
      <c r="I4660">
        <v>771</v>
      </c>
      <c r="J4660">
        <v>144</v>
      </c>
      <c r="K4660">
        <v>2</v>
      </c>
      <c r="L4660">
        <v>2</v>
      </c>
      <c r="M4660">
        <v>0</v>
      </c>
      <c r="N4660" s="23">
        <v>0</v>
      </c>
      <c r="O4660">
        <f t="shared" si="955"/>
        <v>1</v>
      </c>
      <c r="P4660" s="57">
        <f t="shared" si="956"/>
        <v>1</v>
      </c>
      <c r="Q4660" s="267">
        <f t="shared" si="957"/>
        <v>125</v>
      </c>
      <c r="R4660" s="23">
        <f t="shared" si="958"/>
        <v>125</v>
      </c>
      <c r="S4660" s="23">
        <f t="shared" si="959"/>
        <v>0</v>
      </c>
      <c r="T4660" s="23" t="str">
        <f t="shared" si="960"/>
        <v/>
      </c>
      <c r="U4660" t="str">
        <f t="shared" si="961"/>
        <v>PA_Alleg_2019p~Dem-member of council homestead ward 2 (vote for 1)</v>
      </c>
      <c r="AF4660" s="22"/>
    </row>
    <row r="4661" spans="1:38">
      <c r="A4661" t="str">
        <f t="shared" si="962"/>
        <v>PA_Alleg_2019p~Dem-member of council homestead ward 2 (vote for 1)</v>
      </c>
      <c r="B4661" s="55" t="s">
        <v>1291</v>
      </c>
      <c r="C4661">
        <v>1052</v>
      </c>
      <c r="D4661" s="55" t="s">
        <v>1026</v>
      </c>
      <c r="E4661" s="55" t="s">
        <v>15</v>
      </c>
      <c r="F4661" t="s">
        <v>12</v>
      </c>
      <c r="G4661" s="62">
        <v>0</v>
      </c>
      <c r="H4661" s="25">
        <v>0</v>
      </c>
      <c r="I4661">
        <v>771</v>
      </c>
      <c r="J4661">
        <v>144</v>
      </c>
      <c r="K4661">
        <v>2</v>
      </c>
      <c r="L4661">
        <v>2</v>
      </c>
      <c r="M4661">
        <v>0</v>
      </c>
      <c r="N4661" s="23">
        <v>0</v>
      </c>
      <c r="O4661">
        <f t="shared" si="955"/>
        <v>-1</v>
      </c>
      <c r="P4661" s="57">
        <f t="shared" si="956"/>
        <v>1</v>
      </c>
      <c r="Q4661" s="267">
        <f t="shared" si="957"/>
        <v>0</v>
      </c>
      <c r="R4661" s="23">
        <f t="shared" si="958"/>
        <v>1</v>
      </c>
      <c r="S4661" s="23">
        <f t="shared" si="959"/>
        <v>0</v>
      </c>
      <c r="T4661" s="23" t="str">
        <f t="shared" si="960"/>
        <v/>
      </c>
      <c r="U4661" t="str">
        <f t="shared" si="961"/>
        <v/>
      </c>
      <c r="AF4661" s="22"/>
    </row>
    <row r="4662" spans="1:38">
      <c r="A4662" t="str">
        <f t="shared" si="962"/>
        <v>PA_Alleg_2019p~Dem-member of council homestead ward 3 (vote for 1)</v>
      </c>
      <c r="B4662" s="55" t="s">
        <v>1291</v>
      </c>
      <c r="C4662">
        <v>1053</v>
      </c>
      <c r="D4662" s="55" t="s">
        <v>1028</v>
      </c>
      <c r="E4662" s="55" t="s">
        <v>1029</v>
      </c>
      <c r="F4662" t="s">
        <v>12</v>
      </c>
      <c r="G4662" s="62">
        <v>97</v>
      </c>
      <c r="H4662" s="25">
        <v>69.290000000000006</v>
      </c>
      <c r="I4662">
        <v>860</v>
      </c>
      <c r="J4662">
        <v>145</v>
      </c>
      <c r="K4662">
        <v>2</v>
      </c>
      <c r="L4662">
        <v>2</v>
      </c>
      <c r="M4662">
        <v>0</v>
      </c>
      <c r="N4662" s="23">
        <v>0</v>
      </c>
      <c r="O4662">
        <f t="shared" si="955"/>
        <v>1</v>
      </c>
      <c r="P4662" s="57">
        <f t="shared" si="956"/>
        <v>1</v>
      </c>
      <c r="Q4662" s="267">
        <f t="shared" si="957"/>
        <v>140</v>
      </c>
      <c r="R4662" s="23">
        <f t="shared" si="958"/>
        <v>97</v>
      </c>
      <c r="S4662" s="23">
        <f t="shared" si="959"/>
        <v>42</v>
      </c>
      <c r="T4662" s="23">
        <f t="shared" si="960"/>
        <v>55</v>
      </c>
      <c r="U4662" t="str">
        <f t="shared" si="961"/>
        <v>PA_Alleg_2019p~Dem-member of council homestead ward 3 (vote for 1)</v>
      </c>
      <c r="AF4662" s="300"/>
    </row>
    <row r="4663" spans="1:38">
      <c r="A4663" t="str">
        <f t="shared" si="962"/>
        <v>PA_Alleg_2019p~Dem-member of council homestead ward 3 (vote for 1)</v>
      </c>
      <c r="B4663" s="55" t="s">
        <v>1291</v>
      </c>
      <c r="C4663">
        <v>1054</v>
      </c>
      <c r="D4663" s="55" t="s">
        <v>1028</v>
      </c>
      <c r="E4663" s="55" t="s">
        <v>1030</v>
      </c>
      <c r="F4663" t="s">
        <v>12</v>
      </c>
      <c r="G4663" s="62">
        <v>42</v>
      </c>
      <c r="H4663" s="25">
        <v>30</v>
      </c>
      <c r="I4663">
        <v>860</v>
      </c>
      <c r="J4663">
        <v>145</v>
      </c>
      <c r="K4663">
        <v>2</v>
      </c>
      <c r="L4663">
        <v>2</v>
      </c>
      <c r="M4663">
        <v>0</v>
      </c>
      <c r="N4663" s="23">
        <v>0</v>
      </c>
      <c r="O4663">
        <f t="shared" si="955"/>
        <v>2</v>
      </c>
      <c r="P4663" s="57">
        <f t="shared" si="956"/>
        <v>1</v>
      </c>
      <c r="Q4663" s="267">
        <f t="shared" si="957"/>
        <v>43</v>
      </c>
      <c r="R4663" s="23" t="str">
        <f t="shared" si="958"/>
        <v/>
      </c>
      <c r="S4663" s="23">
        <f t="shared" si="959"/>
        <v>42</v>
      </c>
      <c r="T4663" s="23" t="str">
        <f t="shared" si="960"/>
        <v/>
      </c>
      <c r="U4663" t="str">
        <f t="shared" si="961"/>
        <v/>
      </c>
      <c r="AF4663" s="22"/>
      <c r="AG4663" s="302"/>
      <c r="AH4663" s="301"/>
      <c r="AI4663" s="303"/>
      <c r="AJ4663" s="303"/>
      <c r="AK4663" s="342"/>
      <c r="AL4663" s="343"/>
    </row>
    <row r="4664" spans="1:38">
      <c r="A4664" t="str">
        <f t="shared" si="962"/>
        <v>PA_Alleg_2019p~Dem-member of council homestead ward 3 (vote for 1)</v>
      </c>
      <c r="B4664" s="55" t="s">
        <v>1291</v>
      </c>
      <c r="C4664">
        <v>1055</v>
      </c>
      <c r="D4664" s="55" t="s">
        <v>1028</v>
      </c>
      <c r="E4664" s="55" t="s">
        <v>15</v>
      </c>
      <c r="F4664" t="s">
        <v>12</v>
      </c>
      <c r="G4664" s="62">
        <v>1</v>
      </c>
      <c r="H4664" s="25">
        <v>0.71</v>
      </c>
      <c r="I4664">
        <v>860</v>
      </c>
      <c r="J4664">
        <v>145</v>
      </c>
      <c r="K4664">
        <v>2</v>
      </c>
      <c r="L4664">
        <v>2</v>
      </c>
      <c r="M4664">
        <v>0</v>
      </c>
      <c r="N4664" s="23">
        <v>0</v>
      </c>
      <c r="O4664">
        <f t="shared" si="955"/>
        <v>-2</v>
      </c>
      <c r="P4664" s="57">
        <f t="shared" si="956"/>
        <v>1</v>
      </c>
      <c r="Q4664" s="267">
        <f t="shared" si="957"/>
        <v>1</v>
      </c>
      <c r="R4664" s="23">
        <f t="shared" si="958"/>
        <v>1</v>
      </c>
      <c r="S4664" s="23">
        <f t="shared" si="959"/>
        <v>0</v>
      </c>
      <c r="T4664" s="23" t="str">
        <f t="shared" si="960"/>
        <v/>
      </c>
      <c r="U4664" t="str">
        <f t="shared" si="961"/>
        <v/>
      </c>
      <c r="AF4664" s="22"/>
    </row>
    <row r="4665" spans="1:38">
      <c r="A4665" t="str">
        <f t="shared" si="962"/>
        <v>PA_Alleg_2019p~Dem-member of council ingram (vote for 1)</v>
      </c>
      <c r="B4665" s="55" t="s">
        <v>1291</v>
      </c>
      <c r="C4665">
        <v>945</v>
      </c>
      <c r="D4665" s="55" t="s">
        <v>921</v>
      </c>
      <c r="E4665" s="55" t="s">
        <v>922</v>
      </c>
      <c r="F4665" t="s">
        <v>12</v>
      </c>
      <c r="G4665" s="62">
        <v>167</v>
      </c>
      <c r="H4665" s="25">
        <v>91.26</v>
      </c>
      <c r="I4665">
        <v>2397</v>
      </c>
      <c r="J4665">
        <v>288</v>
      </c>
      <c r="K4665">
        <v>3</v>
      </c>
      <c r="L4665">
        <v>3</v>
      </c>
      <c r="M4665">
        <v>0</v>
      </c>
      <c r="N4665" s="23">
        <v>0</v>
      </c>
      <c r="O4665">
        <f t="shared" si="955"/>
        <v>1</v>
      </c>
      <c r="P4665" s="57">
        <f t="shared" si="956"/>
        <v>1</v>
      </c>
      <c r="Q4665" s="267">
        <f t="shared" si="957"/>
        <v>183</v>
      </c>
      <c r="R4665" s="23">
        <f t="shared" si="958"/>
        <v>167</v>
      </c>
      <c r="S4665" s="23">
        <f t="shared" si="959"/>
        <v>0</v>
      </c>
      <c r="T4665" s="23" t="str">
        <f t="shared" si="960"/>
        <v/>
      </c>
      <c r="U4665" t="str">
        <f t="shared" si="961"/>
        <v>PA_Alleg_2019p~Dem-member of council ingram (vote for 1)</v>
      </c>
      <c r="AF4665" s="22"/>
    </row>
    <row r="4666" spans="1:38">
      <c r="A4666" t="str">
        <f t="shared" si="962"/>
        <v>PA_Alleg_2019p~Dem-member of council ingram (vote for 1)</v>
      </c>
      <c r="B4666" s="55" t="s">
        <v>1291</v>
      </c>
      <c r="C4666">
        <v>946</v>
      </c>
      <c r="D4666" s="55" t="s">
        <v>921</v>
      </c>
      <c r="E4666" s="55" t="s">
        <v>15</v>
      </c>
      <c r="F4666" t="s">
        <v>12</v>
      </c>
      <c r="G4666" s="62">
        <v>16</v>
      </c>
      <c r="H4666" s="25">
        <v>8.74</v>
      </c>
      <c r="I4666">
        <v>2397</v>
      </c>
      <c r="J4666">
        <v>288</v>
      </c>
      <c r="K4666">
        <v>3</v>
      </c>
      <c r="L4666">
        <v>3</v>
      </c>
      <c r="M4666">
        <v>0</v>
      </c>
      <c r="N4666" s="23">
        <v>0</v>
      </c>
      <c r="O4666">
        <f t="shared" si="955"/>
        <v>-1</v>
      </c>
      <c r="P4666" s="57">
        <f t="shared" si="956"/>
        <v>1</v>
      </c>
      <c r="Q4666" s="267">
        <f t="shared" si="957"/>
        <v>16</v>
      </c>
      <c r="R4666" s="23">
        <f t="shared" si="958"/>
        <v>1</v>
      </c>
      <c r="S4666" s="23">
        <f t="shared" si="959"/>
        <v>0</v>
      </c>
      <c r="T4666" s="23" t="str">
        <f t="shared" si="960"/>
        <v/>
      </c>
      <c r="U4666" t="str">
        <f t="shared" si="961"/>
        <v/>
      </c>
      <c r="AF4666" s="22"/>
    </row>
    <row r="4667" spans="1:38">
      <c r="A4667" t="str">
        <f t="shared" si="962"/>
        <v>PA_Alleg_2019p~Dem-member of council ingram (vote for 3)</v>
      </c>
      <c r="B4667" s="55" t="s">
        <v>1291</v>
      </c>
      <c r="C4667">
        <v>791</v>
      </c>
      <c r="D4667" s="55" t="s">
        <v>769</v>
      </c>
      <c r="E4667" s="55" t="s">
        <v>15</v>
      </c>
      <c r="F4667" t="s">
        <v>12</v>
      </c>
      <c r="G4667" s="62">
        <v>151</v>
      </c>
      <c r="H4667" s="25">
        <v>51.54</v>
      </c>
      <c r="I4667">
        <v>2397</v>
      </c>
      <c r="J4667">
        <v>288</v>
      </c>
      <c r="K4667">
        <v>3</v>
      </c>
      <c r="L4667">
        <v>3</v>
      </c>
      <c r="M4667">
        <v>0</v>
      </c>
      <c r="N4667" s="23">
        <v>0</v>
      </c>
      <c r="O4667">
        <f t="shared" si="955"/>
        <v>0</v>
      </c>
      <c r="P4667" s="57">
        <f t="shared" si="956"/>
        <v>3</v>
      </c>
      <c r="Q4667" s="267">
        <f t="shared" si="957"/>
        <v>151</v>
      </c>
      <c r="R4667" s="23">
        <f t="shared" si="958"/>
        <v>142</v>
      </c>
      <c r="S4667" s="23">
        <f t="shared" si="959"/>
        <v>0</v>
      </c>
      <c r="T4667" s="23" t="str">
        <f t="shared" si="960"/>
        <v/>
      </c>
      <c r="U4667" t="str">
        <f t="shared" si="961"/>
        <v>PA_Alleg_2019p~Dem-member of council ingram (vote for 3)</v>
      </c>
      <c r="AF4667" s="22"/>
    </row>
    <row r="4668" spans="1:38">
      <c r="A4668" t="str">
        <f t="shared" si="962"/>
        <v>PA_Alleg_2019p~Dem-member of council ingram (vote for 3)</v>
      </c>
      <c r="B4668" s="55" t="s">
        <v>1291</v>
      </c>
      <c r="C4668">
        <v>790</v>
      </c>
      <c r="D4668" s="55" t="s">
        <v>769</v>
      </c>
      <c r="E4668" s="55" t="s">
        <v>770</v>
      </c>
      <c r="F4668" t="s">
        <v>12</v>
      </c>
      <c r="G4668" s="62">
        <v>142</v>
      </c>
      <c r="H4668" s="25">
        <v>48.46</v>
      </c>
      <c r="I4668">
        <v>2397</v>
      </c>
      <c r="J4668">
        <v>288</v>
      </c>
      <c r="K4668">
        <v>3</v>
      </c>
      <c r="L4668">
        <v>3</v>
      </c>
      <c r="M4668">
        <v>0</v>
      </c>
      <c r="N4668" s="23">
        <v>0</v>
      </c>
      <c r="O4668">
        <f t="shared" si="955"/>
        <v>1</v>
      </c>
      <c r="P4668" s="57">
        <f t="shared" si="956"/>
        <v>3</v>
      </c>
      <c r="Q4668" s="267">
        <f t="shared" si="957"/>
        <v>142</v>
      </c>
      <c r="R4668" s="23">
        <f t="shared" si="958"/>
        <v>142</v>
      </c>
      <c r="S4668" s="23">
        <f t="shared" si="959"/>
        <v>0</v>
      </c>
      <c r="T4668" s="23" t="str">
        <f t="shared" si="960"/>
        <v/>
      </c>
      <c r="U4668" t="str">
        <f t="shared" si="961"/>
        <v/>
      </c>
      <c r="AF4668" s="22"/>
    </row>
    <row r="4669" spans="1:38">
      <c r="A4669" t="str">
        <f t="shared" si="962"/>
        <v>PA_Alleg_2019p~Dem-member of council jefferson hills (vote for 3)</v>
      </c>
      <c r="B4669" s="55" t="s">
        <v>1291</v>
      </c>
      <c r="C4669">
        <v>793</v>
      </c>
      <c r="D4669" s="55" t="s">
        <v>771</v>
      </c>
      <c r="E4669" s="55" t="s">
        <v>773</v>
      </c>
      <c r="F4669" t="s">
        <v>12</v>
      </c>
      <c r="G4669" s="62">
        <v>576</v>
      </c>
      <c r="H4669" s="25">
        <v>30.24</v>
      </c>
      <c r="I4669">
        <v>8397</v>
      </c>
      <c r="J4669">
        <v>1418</v>
      </c>
      <c r="K4669">
        <v>8</v>
      </c>
      <c r="L4669">
        <v>8</v>
      </c>
      <c r="M4669">
        <v>0</v>
      </c>
      <c r="N4669" s="23">
        <v>0</v>
      </c>
      <c r="O4669">
        <f t="shared" si="955"/>
        <v>1</v>
      </c>
      <c r="P4669" s="57">
        <f t="shared" si="956"/>
        <v>3</v>
      </c>
      <c r="Q4669" s="267">
        <f t="shared" si="957"/>
        <v>635</v>
      </c>
      <c r="R4669" s="23">
        <f t="shared" si="958"/>
        <v>452</v>
      </c>
      <c r="S4669" s="23">
        <f t="shared" si="959"/>
        <v>299</v>
      </c>
      <c r="T4669" s="23">
        <f t="shared" si="960"/>
        <v>153</v>
      </c>
      <c r="U4669" t="str">
        <f t="shared" si="961"/>
        <v>PA_Alleg_2019p~Dem-member of council jefferson hills (vote for 3)</v>
      </c>
      <c r="AF4669" s="22"/>
    </row>
    <row r="4670" spans="1:38">
      <c r="A4670" t="str">
        <f t="shared" si="962"/>
        <v>PA_Alleg_2019p~Dem-member of council jefferson hills (vote for 3)</v>
      </c>
      <c r="B4670" s="55" t="s">
        <v>1291</v>
      </c>
      <c r="C4670">
        <v>792</v>
      </c>
      <c r="D4670" s="55" t="s">
        <v>771</v>
      </c>
      <c r="E4670" s="55" t="s">
        <v>772</v>
      </c>
      <c r="F4670" t="s">
        <v>12</v>
      </c>
      <c r="G4670" s="62">
        <v>554</v>
      </c>
      <c r="H4670" s="25">
        <v>29.08</v>
      </c>
      <c r="I4670">
        <v>8397</v>
      </c>
      <c r="J4670">
        <v>1418</v>
      </c>
      <c r="K4670">
        <v>8</v>
      </c>
      <c r="L4670">
        <v>8</v>
      </c>
      <c r="M4670">
        <v>0</v>
      </c>
      <c r="N4670" s="23">
        <v>0</v>
      </c>
      <c r="O4670">
        <f t="shared" si="955"/>
        <v>2</v>
      </c>
      <c r="P4670" s="57">
        <f t="shared" si="956"/>
        <v>3</v>
      </c>
      <c r="Q4670" s="267">
        <f t="shared" si="957"/>
        <v>1329</v>
      </c>
      <c r="R4670" s="23">
        <f t="shared" si="958"/>
        <v>452</v>
      </c>
      <c r="S4670" s="23">
        <f t="shared" si="959"/>
        <v>299</v>
      </c>
      <c r="T4670" s="23" t="str">
        <f t="shared" si="960"/>
        <v/>
      </c>
      <c r="U4670" t="str">
        <f t="shared" si="961"/>
        <v/>
      </c>
      <c r="AF4670" s="22"/>
    </row>
    <row r="4671" spans="1:38">
      <c r="A4671" t="str">
        <f t="shared" si="962"/>
        <v>PA_Alleg_2019p~Dem-member of council jefferson hills (vote for 3)</v>
      </c>
      <c r="B4671" s="55" t="s">
        <v>1291</v>
      </c>
      <c r="C4671">
        <v>795</v>
      </c>
      <c r="D4671" s="55" t="s">
        <v>771</v>
      </c>
      <c r="E4671" s="55" t="s">
        <v>775</v>
      </c>
      <c r="F4671" t="s">
        <v>12</v>
      </c>
      <c r="G4671" s="62">
        <v>452</v>
      </c>
      <c r="H4671" s="25">
        <v>23.73</v>
      </c>
      <c r="I4671">
        <v>8397</v>
      </c>
      <c r="J4671">
        <v>1418</v>
      </c>
      <c r="K4671">
        <v>8</v>
      </c>
      <c r="L4671">
        <v>8</v>
      </c>
      <c r="M4671">
        <v>0</v>
      </c>
      <c r="N4671" s="23">
        <v>0</v>
      </c>
      <c r="O4671">
        <f t="shared" si="955"/>
        <v>3</v>
      </c>
      <c r="P4671" s="57">
        <f t="shared" si="956"/>
        <v>3</v>
      </c>
      <c r="Q4671" s="267">
        <f t="shared" si="957"/>
        <v>775</v>
      </c>
      <c r="R4671" s="23">
        <f t="shared" si="958"/>
        <v>452</v>
      </c>
      <c r="S4671" s="23">
        <f t="shared" si="959"/>
        <v>299</v>
      </c>
      <c r="T4671" s="23" t="str">
        <f t="shared" si="960"/>
        <v/>
      </c>
      <c r="U4671" t="str">
        <f t="shared" si="961"/>
        <v/>
      </c>
      <c r="AF4671" s="300"/>
    </row>
    <row r="4672" spans="1:38">
      <c r="A4672" t="str">
        <f t="shared" si="962"/>
        <v>PA_Alleg_2019p~Dem-member of council jefferson hills (vote for 3)</v>
      </c>
      <c r="B4672" s="55" t="s">
        <v>1291</v>
      </c>
      <c r="C4672">
        <v>794</v>
      </c>
      <c r="D4672" s="55" t="s">
        <v>771</v>
      </c>
      <c r="E4672" s="55" t="s">
        <v>774</v>
      </c>
      <c r="F4672" t="s">
        <v>12</v>
      </c>
      <c r="G4672" s="62">
        <v>299</v>
      </c>
      <c r="H4672" s="25">
        <v>15.7</v>
      </c>
      <c r="I4672">
        <v>8397</v>
      </c>
      <c r="J4672">
        <v>1418</v>
      </c>
      <c r="K4672">
        <v>8</v>
      </c>
      <c r="L4672">
        <v>8</v>
      </c>
      <c r="M4672">
        <v>0</v>
      </c>
      <c r="N4672" s="23">
        <v>0</v>
      </c>
      <c r="O4672">
        <f t="shared" si="955"/>
        <v>4</v>
      </c>
      <c r="P4672" s="57">
        <f t="shared" si="956"/>
        <v>3</v>
      </c>
      <c r="Q4672" s="267">
        <f t="shared" si="957"/>
        <v>323</v>
      </c>
      <c r="R4672" s="23" t="str">
        <f t="shared" si="958"/>
        <v/>
      </c>
      <c r="S4672" s="23">
        <f t="shared" si="959"/>
        <v>299</v>
      </c>
      <c r="T4672" s="23" t="str">
        <f t="shared" si="960"/>
        <v/>
      </c>
      <c r="U4672" t="str">
        <f t="shared" si="961"/>
        <v/>
      </c>
      <c r="AF4672" s="22"/>
      <c r="AH4672" s="8"/>
      <c r="AL4672" s="23"/>
    </row>
    <row r="4673" spans="1:36">
      <c r="A4673" t="str">
        <f t="shared" si="962"/>
        <v>PA_Alleg_2019p~Dem-member of council jefferson hills (vote for 3)</v>
      </c>
      <c r="B4673" s="55" t="s">
        <v>1291</v>
      </c>
      <c r="C4673">
        <v>796</v>
      </c>
      <c r="D4673" s="55" t="s">
        <v>771</v>
      </c>
      <c r="E4673" s="55" t="s">
        <v>15</v>
      </c>
      <c r="F4673" t="s">
        <v>12</v>
      </c>
      <c r="G4673" s="62">
        <v>24</v>
      </c>
      <c r="H4673" s="25">
        <v>1.26</v>
      </c>
      <c r="I4673">
        <v>8397</v>
      </c>
      <c r="J4673">
        <v>1418</v>
      </c>
      <c r="K4673">
        <v>8</v>
      </c>
      <c r="L4673">
        <v>8</v>
      </c>
      <c r="M4673">
        <v>0</v>
      </c>
      <c r="N4673" s="23">
        <v>0</v>
      </c>
      <c r="O4673">
        <f t="shared" si="955"/>
        <v>-4</v>
      </c>
      <c r="P4673" s="57">
        <f t="shared" si="956"/>
        <v>3</v>
      </c>
      <c r="Q4673" s="267">
        <f t="shared" si="957"/>
        <v>24</v>
      </c>
      <c r="R4673" s="23">
        <f t="shared" si="958"/>
        <v>1</v>
      </c>
      <c r="S4673" s="23">
        <f t="shared" si="959"/>
        <v>0</v>
      </c>
      <c r="T4673" s="23" t="str">
        <f t="shared" si="960"/>
        <v/>
      </c>
      <c r="U4673" t="str">
        <f t="shared" si="961"/>
        <v/>
      </c>
      <c r="AF4673" s="22"/>
    </row>
    <row r="4674" spans="1:36">
      <c r="A4674" t="str">
        <f t="shared" si="962"/>
        <v>PA_Alleg_2019p~Dem-member of council leetsdale (vote for 3)</v>
      </c>
      <c r="B4674" s="55" t="s">
        <v>1291</v>
      </c>
      <c r="C4674">
        <v>797</v>
      </c>
      <c r="D4674" s="55" t="s">
        <v>776</v>
      </c>
      <c r="E4674" s="55" t="s">
        <v>777</v>
      </c>
      <c r="F4674" t="s">
        <v>12</v>
      </c>
      <c r="G4674" s="62">
        <v>71</v>
      </c>
      <c r="H4674" s="25">
        <v>76.34</v>
      </c>
      <c r="I4674">
        <v>878</v>
      </c>
      <c r="J4674">
        <v>152</v>
      </c>
      <c r="K4674">
        <v>1</v>
      </c>
      <c r="L4674">
        <v>1</v>
      </c>
      <c r="M4674">
        <v>0</v>
      </c>
      <c r="N4674" s="23">
        <v>0</v>
      </c>
      <c r="O4674">
        <f t="shared" ref="O4674:O4737" si="963">IF(OR(LOWER(LEFT(E4674,8))="write-in",LOWER(LEFT(E4674,8))="not qual"),IF(A4674=A4673,-ABS(O4673),0),IF(A4674=A4673,ABS(O4673)+1,1))</f>
        <v>1</v>
      </c>
      <c r="P4674" s="57">
        <f t="shared" ref="P4674:P4737" si="964">1*LEFT(RIGHT(A4674,2),1)</f>
        <v>3</v>
      </c>
      <c r="Q4674" s="267">
        <f t="shared" ref="Q4674:Q4737" si="965">IF(A4674&lt;&gt;A4675,G4674,IF(A4674=A4673,G4674+Q4675,MAX(G4674,(G4674+Q4675)/P4674)))</f>
        <v>71</v>
      </c>
      <c r="R4674" s="23">
        <f t="shared" ref="R4674:R4737" si="966">IF(O4674&gt;P4674,"",IF(O4674=P4674,G4674,IF(A4674=A4675,R4675,IF(O4674&lt;=0,1,G4674))))</f>
        <v>1</v>
      </c>
      <c r="S4674" s="23">
        <f t="shared" ref="S4674:S4737" si="967">IF(AND(O4674&gt;P4674,LOWER(LEFT(E4674,8))&lt;&gt;"write-in",LOWER(LEFT(E4674,8))&lt;&gt;"not qual"),G4674,IF(A4674=A4675,S4675,0))</f>
        <v>0</v>
      </c>
      <c r="T4674" s="23" t="str">
        <f t="shared" ref="T4674:T4737" si="968">IF(OR(A4674=A4673,S4674=0),"",R4674-ABS(S4674))</f>
        <v/>
      </c>
      <c r="U4674" t="str">
        <f t="shared" ref="U4674:U4737" si="969">IF(A4674=A4673,"",A4674)</f>
        <v>PA_Alleg_2019p~Dem-member of council leetsdale (vote for 3)</v>
      </c>
      <c r="AF4674" s="22"/>
    </row>
    <row r="4675" spans="1:36">
      <c r="A4675" t="str">
        <f t="shared" ref="A4675:A4738" si="970">CONCATENATE(B4675,"~",F4675,"-",LOWER(D4675))</f>
        <v>PA_Alleg_2019p~Dem-member of council leetsdale (vote for 3)</v>
      </c>
      <c r="B4675" s="55" t="s">
        <v>1291</v>
      </c>
      <c r="C4675">
        <v>798</v>
      </c>
      <c r="D4675" s="55" t="s">
        <v>776</v>
      </c>
      <c r="E4675" s="55" t="s">
        <v>15</v>
      </c>
      <c r="F4675" t="s">
        <v>12</v>
      </c>
      <c r="G4675" s="62">
        <v>22</v>
      </c>
      <c r="H4675" s="25">
        <v>23.66</v>
      </c>
      <c r="I4675">
        <v>878</v>
      </c>
      <c r="J4675">
        <v>152</v>
      </c>
      <c r="K4675">
        <v>1</v>
      </c>
      <c r="L4675">
        <v>1</v>
      </c>
      <c r="M4675">
        <v>0</v>
      </c>
      <c r="N4675" s="23">
        <v>0</v>
      </c>
      <c r="O4675">
        <f t="shared" si="963"/>
        <v>-1</v>
      </c>
      <c r="P4675" s="57">
        <f t="shared" si="964"/>
        <v>3</v>
      </c>
      <c r="Q4675" s="267">
        <f t="shared" si="965"/>
        <v>22</v>
      </c>
      <c r="R4675" s="23">
        <f t="shared" si="966"/>
        <v>1</v>
      </c>
      <c r="S4675" s="23">
        <f t="shared" si="967"/>
        <v>0</v>
      </c>
      <c r="T4675" s="23" t="str">
        <f t="shared" si="968"/>
        <v/>
      </c>
      <c r="U4675" t="str">
        <f t="shared" si="969"/>
        <v/>
      </c>
      <c r="AF4675" s="22"/>
    </row>
    <row r="4676" spans="1:36">
      <c r="A4676" t="str">
        <f t="shared" si="970"/>
        <v>PA_Alleg_2019p~Dem-member of council liberty (vote for 1)</v>
      </c>
      <c r="B4676" s="55" t="s">
        <v>1291</v>
      </c>
      <c r="C4676">
        <v>948</v>
      </c>
      <c r="D4676" s="55" t="s">
        <v>923</v>
      </c>
      <c r="E4676" s="55" t="s">
        <v>783</v>
      </c>
      <c r="F4676" t="s">
        <v>12</v>
      </c>
      <c r="G4676" s="62">
        <v>131</v>
      </c>
      <c r="H4676" s="25">
        <v>51.37</v>
      </c>
      <c r="I4676">
        <v>1692</v>
      </c>
      <c r="J4676">
        <v>482</v>
      </c>
      <c r="K4676">
        <v>2</v>
      </c>
      <c r="L4676">
        <v>2</v>
      </c>
      <c r="M4676">
        <v>0</v>
      </c>
      <c r="N4676" s="23">
        <v>0</v>
      </c>
      <c r="O4676">
        <f t="shared" si="963"/>
        <v>1</v>
      </c>
      <c r="P4676" s="57">
        <f t="shared" si="964"/>
        <v>1</v>
      </c>
      <c r="Q4676" s="267">
        <f t="shared" si="965"/>
        <v>255</v>
      </c>
      <c r="R4676" s="23">
        <f t="shared" si="966"/>
        <v>131</v>
      </c>
      <c r="S4676" s="23">
        <f t="shared" si="967"/>
        <v>110</v>
      </c>
      <c r="T4676" s="23">
        <f t="shared" si="968"/>
        <v>21</v>
      </c>
      <c r="U4676" t="str">
        <f t="shared" si="969"/>
        <v>PA_Alleg_2019p~Dem-member of council liberty (vote for 1)</v>
      </c>
      <c r="AF4676" s="22"/>
    </row>
    <row r="4677" spans="1:36">
      <c r="A4677" t="str">
        <f t="shared" si="970"/>
        <v>PA_Alleg_2019p~Dem-member of council liberty (vote for 1)</v>
      </c>
      <c r="B4677" s="55" t="s">
        <v>1291</v>
      </c>
      <c r="C4677">
        <v>947</v>
      </c>
      <c r="D4677" s="55" t="s">
        <v>923</v>
      </c>
      <c r="E4677" s="55" t="s">
        <v>924</v>
      </c>
      <c r="F4677" t="s">
        <v>12</v>
      </c>
      <c r="G4677" s="62">
        <v>110</v>
      </c>
      <c r="H4677" s="25">
        <v>43.14</v>
      </c>
      <c r="I4677">
        <v>1692</v>
      </c>
      <c r="J4677">
        <v>482</v>
      </c>
      <c r="K4677">
        <v>2</v>
      </c>
      <c r="L4677">
        <v>2</v>
      </c>
      <c r="M4677">
        <v>0</v>
      </c>
      <c r="N4677" s="23">
        <v>0</v>
      </c>
      <c r="O4677">
        <f t="shared" si="963"/>
        <v>2</v>
      </c>
      <c r="P4677" s="57">
        <f t="shared" si="964"/>
        <v>1</v>
      </c>
      <c r="Q4677" s="267">
        <f t="shared" si="965"/>
        <v>124</v>
      </c>
      <c r="R4677" s="23" t="str">
        <f t="shared" si="966"/>
        <v/>
      </c>
      <c r="S4677" s="23">
        <f t="shared" si="967"/>
        <v>110</v>
      </c>
      <c r="T4677" s="23" t="str">
        <f t="shared" si="968"/>
        <v/>
      </c>
      <c r="U4677" t="str">
        <f t="shared" si="969"/>
        <v/>
      </c>
      <c r="AF4677" s="22"/>
    </row>
    <row r="4678" spans="1:36">
      <c r="A4678" t="str">
        <f t="shared" si="970"/>
        <v>PA_Alleg_2019p~Dem-member of council liberty (vote for 1)</v>
      </c>
      <c r="B4678" s="55" t="s">
        <v>1291</v>
      </c>
      <c r="C4678">
        <v>949</v>
      </c>
      <c r="D4678" s="55" t="s">
        <v>923</v>
      </c>
      <c r="E4678" s="55" t="s">
        <v>15</v>
      </c>
      <c r="F4678" t="s">
        <v>12</v>
      </c>
      <c r="G4678" s="62">
        <v>14</v>
      </c>
      <c r="H4678" s="25">
        <v>5.49</v>
      </c>
      <c r="I4678">
        <v>1692</v>
      </c>
      <c r="J4678">
        <v>482</v>
      </c>
      <c r="K4678">
        <v>2</v>
      </c>
      <c r="L4678">
        <v>2</v>
      </c>
      <c r="M4678">
        <v>0</v>
      </c>
      <c r="N4678" s="23">
        <v>0</v>
      </c>
      <c r="O4678">
        <f t="shared" si="963"/>
        <v>-2</v>
      </c>
      <c r="P4678" s="57">
        <f t="shared" si="964"/>
        <v>1</v>
      </c>
      <c r="Q4678" s="267">
        <f t="shared" si="965"/>
        <v>14</v>
      </c>
      <c r="R4678" s="23">
        <f t="shared" si="966"/>
        <v>1</v>
      </c>
      <c r="S4678" s="23">
        <f t="shared" si="967"/>
        <v>0</v>
      </c>
      <c r="T4678" s="23" t="str">
        <f t="shared" si="968"/>
        <v/>
      </c>
      <c r="U4678" t="str">
        <f t="shared" si="969"/>
        <v/>
      </c>
      <c r="AF4678" s="22"/>
    </row>
    <row r="4679" spans="1:36">
      <c r="A4679" t="str">
        <f t="shared" si="970"/>
        <v>PA_Alleg_2019p~Dem-member of council liberty (vote for 3)</v>
      </c>
      <c r="B4679" s="55" t="s">
        <v>1291</v>
      </c>
      <c r="C4679">
        <v>799</v>
      </c>
      <c r="D4679" s="55" t="s">
        <v>778</v>
      </c>
      <c r="E4679" s="55" t="s">
        <v>779</v>
      </c>
      <c r="F4679" t="s">
        <v>12</v>
      </c>
      <c r="G4679" s="62">
        <v>167</v>
      </c>
      <c r="H4679" s="25">
        <v>22.06</v>
      </c>
      <c r="I4679">
        <v>1692</v>
      </c>
      <c r="J4679">
        <v>482</v>
      </c>
      <c r="K4679">
        <v>2</v>
      </c>
      <c r="L4679">
        <v>2</v>
      </c>
      <c r="M4679">
        <v>0</v>
      </c>
      <c r="N4679" s="23">
        <v>0</v>
      </c>
      <c r="O4679">
        <f t="shared" si="963"/>
        <v>1</v>
      </c>
      <c r="P4679" s="57">
        <f t="shared" si="964"/>
        <v>3</v>
      </c>
      <c r="Q4679" s="267">
        <f t="shared" si="965"/>
        <v>252.33333333333334</v>
      </c>
      <c r="R4679" s="23">
        <f t="shared" si="966"/>
        <v>150</v>
      </c>
      <c r="S4679" s="23">
        <f t="shared" si="967"/>
        <v>145</v>
      </c>
      <c r="T4679" s="23">
        <f t="shared" si="968"/>
        <v>5</v>
      </c>
      <c r="U4679" t="str">
        <f t="shared" si="969"/>
        <v>PA_Alleg_2019p~Dem-member of council liberty (vote for 3)</v>
      </c>
      <c r="AF4679" s="22"/>
      <c r="AG4679" s="259"/>
      <c r="AH4679" s="276"/>
      <c r="AI4679" s="277"/>
      <c r="AJ4679" s="278"/>
    </row>
    <row r="4680" spans="1:36">
      <c r="A4680" t="str">
        <f t="shared" si="970"/>
        <v>PA_Alleg_2019p~Dem-member of council liberty (vote for 3)</v>
      </c>
      <c r="B4680" s="55" t="s">
        <v>1291</v>
      </c>
      <c r="C4680">
        <v>800</v>
      </c>
      <c r="D4680" s="55" t="s">
        <v>778</v>
      </c>
      <c r="E4680" s="55" t="s">
        <v>780</v>
      </c>
      <c r="F4680" t="s">
        <v>12</v>
      </c>
      <c r="G4680" s="62">
        <v>158</v>
      </c>
      <c r="H4680" s="25">
        <v>20.87</v>
      </c>
      <c r="I4680">
        <v>1692</v>
      </c>
      <c r="J4680">
        <v>482</v>
      </c>
      <c r="K4680">
        <v>2</v>
      </c>
      <c r="L4680">
        <v>2</v>
      </c>
      <c r="M4680">
        <v>0</v>
      </c>
      <c r="N4680" s="23">
        <v>0</v>
      </c>
      <c r="O4680">
        <f t="shared" si="963"/>
        <v>2</v>
      </c>
      <c r="P4680" s="57">
        <f t="shared" si="964"/>
        <v>3</v>
      </c>
      <c r="Q4680" s="267">
        <f t="shared" si="965"/>
        <v>590</v>
      </c>
      <c r="R4680" s="23">
        <f t="shared" si="966"/>
        <v>150</v>
      </c>
      <c r="S4680" s="23">
        <f t="shared" si="967"/>
        <v>145</v>
      </c>
      <c r="T4680" s="23" t="str">
        <f t="shared" si="968"/>
        <v/>
      </c>
      <c r="U4680" t="str">
        <f t="shared" si="969"/>
        <v/>
      </c>
      <c r="AF4680" s="22"/>
    </row>
    <row r="4681" spans="1:36">
      <c r="A4681" t="str">
        <f t="shared" si="970"/>
        <v>PA_Alleg_2019p~Dem-member of council liberty (vote for 3)</v>
      </c>
      <c r="B4681" s="55" t="s">
        <v>1291</v>
      </c>
      <c r="C4681">
        <v>803</v>
      </c>
      <c r="D4681" s="55" t="s">
        <v>778</v>
      </c>
      <c r="E4681" s="55" t="s">
        <v>783</v>
      </c>
      <c r="F4681" t="s">
        <v>12</v>
      </c>
      <c r="G4681" s="62">
        <v>150</v>
      </c>
      <c r="H4681" s="25">
        <v>19.82</v>
      </c>
      <c r="I4681">
        <v>1692</v>
      </c>
      <c r="J4681">
        <v>482</v>
      </c>
      <c r="K4681">
        <v>2</v>
      </c>
      <c r="L4681">
        <v>2</v>
      </c>
      <c r="M4681">
        <v>0</v>
      </c>
      <c r="N4681" s="23">
        <v>0</v>
      </c>
      <c r="O4681">
        <f t="shared" si="963"/>
        <v>3</v>
      </c>
      <c r="P4681" s="57">
        <f t="shared" si="964"/>
        <v>3</v>
      </c>
      <c r="Q4681" s="267">
        <f t="shared" si="965"/>
        <v>432</v>
      </c>
      <c r="R4681" s="23">
        <f t="shared" si="966"/>
        <v>150</v>
      </c>
      <c r="S4681" s="23">
        <f t="shared" si="967"/>
        <v>145</v>
      </c>
      <c r="T4681" s="23" t="str">
        <f t="shared" si="968"/>
        <v/>
      </c>
      <c r="U4681" t="str">
        <f t="shared" si="969"/>
        <v/>
      </c>
      <c r="AF4681" s="300"/>
    </row>
    <row r="4682" spans="1:36">
      <c r="A4682" t="str">
        <f t="shared" si="970"/>
        <v>PA_Alleg_2019p~Dem-member of council liberty (vote for 3)</v>
      </c>
      <c r="B4682" s="55" t="s">
        <v>1291</v>
      </c>
      <c r="C4682">
        <v>802</v>
      </c>
      <c r="D4682" s="55" t="s">
        <v>778</v>
      </c>
      <c r="E4682" s="55" t="s">
        <v>782</v>
      </c>
      <c r="F4682" t="s">
        <v>12</v>
      </c>
      <c r="G4682" s="62">
        <v>145</v>
      </c>
      <c r="H4682" s="25">
        <v>19.149999999999999</v>
      </c>
      <c r="I4682">
        <v>1692</v>
      </c>
      <c r="J4682">
        <v>482</v>
      </c>
      <c r="K4682">
        <v>2</v>
      </c>
      <c r="L4682">
        <v>2</v>
      </c>
      <c r="M4682">
        <v>0</v>
      </c>
      <c r="N4682" s="23">
        <v>0</v>
      </c>
      <c r="O4682">
        <f t="shared" si="963"/>
        <v>4</v>
      </c>
      <c r="P4682" s="57">
        <f t="shared" si="964"/>
        <v>3</v>
      </c>
      <c r="Q4682" s="267">
        <f t="shared" si="965"/>
        <v>282</v>
      </c>
      <c r="R4682" s="23" t="str">
        <f t="shared" si="966"/>
        <v/>
      </c>
      <c r="S4682" s="23">
        <f t="shared" si="967"/>
        <v>145</v>
      </c>
      <c r="T4682" s="23" t="str">
        <f t="shared" si="968"/>
        <v/>
      </c>
      <c r="U4682" t="str">
        <f t="shared" si="969"/>
        <v/>
      </c>
      <c r="AF4682" s="22"/>
    </row>
    <row r="4683" spans="1:36">
      <c r="A4683" t="str">
        <f t="shared" si="970"/>
        <v>PA_Alleg_2019p~Dem-member of council liberty (vote for 3)</v>
      </c>
      <c r="B4683" s="55" t="s">
        <v>1291</v>
      </c>
      <c r="C4683">
        <v>801</v>
      </c>
      <c r="D4683" s="55" t="s">
        <v>778</v>
      </c>
      <c r="E4683" s="55" t="s">
        <v>781</v>
      </c>
      <c r="F4683" t="s">
        <v>12</v>
      </c>
      <c r="G4683" s="62">
        <v>123</v>
      </c>
      <c r="H4683" s="25">
        <v>16.25</v>
      </c>
      <c r="I4683">
        <v>1692</v>
      </c>
      <c r="J4683">
        <v>482</v>
      </c>
      <c r="K4683">
        <v>2</v>
      </c>
      <c r="L4683">
        <v>2</v>
      </c>
      <c r="M4683">
        <v>0</v>
      </c>
      <c r="N4683" s="23">
        <v>0</v>
      </c>
      <c r="O4683">
        <f t="shared" si="963"/>
        <v>5</v>
      </c>
      <c r="P4683" s="57">
        <f t="shared" si="964"/>
        <v>3</v>
      </c>
      <c r="Q4683" s="267">
        <f t="shared" si="965"/>
        <v>137</v>
      </c>
      <c r="R4683" s="23" t="str">
        <f t="shared" si="966"/>
        <v/>
      </c>
      <c r="S4683" s="23">
        <f t="shared" si="967"/>
        <v>123</v>
      </c>
      <c r="T4683" s="23" t="str">
        <f t="shared" si="968"/>
        <v/>
      </c>
      <c r="U4683" t="str">
        <f t="shared" si="969"/>
        <v/>
      </c>
      <c r="AF4683" s="22"/>
    </row>
    <row r="4684" spans="1:36">
      <c r="A4684" t="str">
        <f t="shared" si="970"/>
        <v>PA_Alleg_2019p~Dem-member of council liberty (vote for 3)</v>
      </c>
      <c r="B4684" s="55" t="s">
        <v>1291</v>
      </c>
      <c r="C4684">
        <v>804</v>
      </c>
      <c r="D4684" s="55" t="s">
        <v>778</v>
      </c>
      <c r="E4684" s="55" t="s">
        <v>15</v>
      </c>
      <c r="F4684" t="s">
        <v>12</v>
      </c>
      <c r="G4684" s="62">
        <v>14</v>
      </c>
      <c r="H4684" s="25">
        <v>1.85</v>
      </c>
      <c r="I4684">
        <v>1692</v>
      </c>
      <c r="J4684">
        <v>482</v>
      </c>
      <c r="K4684">
        <v>2</v>
      </c>
      <c r="L4684">
        <v>2</v>
      </c>
      <c r="M4684">
        <v>0</v>
      </c>
      <c r="N4684" s="23">
        <v>0</v>
      </c>
      <c r="O4684">
        <f t="shared" si="963"/>
        <v>-5</v>
      </c>
      <c r="P4684" s="57">
        <f t="shared" si="964"/>
        <v>3</v>
      </c>
      <c r="Q4684" s="267">
        <f t="shared" si="965"/>
        <v>14</v>
      </c>
      <c r="R4684" s="23">
        <f t="shared" si="966"/>
        <v>1</v>
      </c>
      <c r="S4684" s="23">
        <f t="shared" si="967"/>
        <v>0</v>
      </c>
      <c r="T4684" s="23" t="str">
        <f t="shared" si="968"/>
        <v/>
      </c>
      <c r="U4684" t="str">
        <f t="shared" si="969"/>
        <v/>
      </c>
      <c r="AF4684" s="22"/>
    </row>
    <row r="4685" spans="1:36">
      <c r="A4685" t="str">
        <f t="shared" si="970"/>
        <v>PA_Alleg_2019p~Dem-member of council lincoln (vote for 3)</v>
      </c>
      <c r="B4685" s="55" t="s">
        <v>1291</v>
      </c>
      <c r="C4685">
        <v>805</v>
      </c>
      <c r="D4685" s="55" t="s">
        <v>784</v>
      </c>
      <c r="E4685" s="55" t="s">
        <v>785</v>
      </c>
      <c r="F4685" t="s">
        <v>12</v>
      </c>
      <c r="G4685" s="62">
        <v>69</v>
      </c>
      <c r="H4685" s="25">
        <v>34.67</v>
      </c>
      <c r="I4685">
        <v>694</v>
      </c>
      <c r="J4685">
        <v>148</v>
      </c>
      <c r="K4685">
        <v>1</v>
      </c>
      <c r="L4685">
        <v>1</v>
      </c>
      <c r="M4685">
        <v>0</v>
      </c>
      <c r="N4685" s="23">
        <v>0</v>
      </c>
      <c r="O4685">
        <f t="shared" si="963"/>
        <v>1</v>
      </c>
      <c r="P4685" s="57">
        <f t="shared" si="964"/>
        <v>3</v>
      </c>
      <c r="Q4685" s="267">
        <f t="shared" si="965"/>
        <v>69</v>
      </c>
      <c r="R4685" s="23">
        <f t="shared" si="966"/>
        <v>64</v>
      </c>
      <c r="S4685" s="23">
        <f t="shared" si="967"/>
        <v>0</v>
      </c>
      <c r="T4685" s="23" t="str">
        <f t="shared" si="968"/>
        <v/>
      </c>
      <c r="U4685" t="str">
        <f t="shared" si="969"/>
        <v>PA_Alleg_2019p~Dem-member of council lincoln (vote for 3)</v>
      </c>
      <c r="AF4685" s="22"/>
    </row>
    <row r="4686" spans="1:36">
      <c r="A4686" t="str">
        <f t="shared" si="970"/>
        <v>PA_Alleg_2019p~Dem-member of council lincoln (vote for 3)</v>
      </c>
      <c r="B4686" s="55" t="s">
        <v>1291</v>
      </c>
      <c r="C4686">
        <v>806</v>
      </c>
      <c r="D4686" s="55" t="s">
        <v>784</v>
      </c>
      <c r="E4686" s="55" t="s">
        <v>786</v>
      </c>
      <c r="F4686" t="s">
        <v>12</v>
      </c>
      <c r="G4686" s="62">
        <v>65</v>
      </c>
      <c r="H4686" s="25">
        <v>32.659999999999997</v>
      </c>
      <c r="I4686">
        <v>694</v>
      </c>
      <c r="J4686">
        <v>148</v>
      </c>
      <c r="K4686">
        <v>1</v>
      </c>
      <c r="L4686">
        <v>1</v>
      </c>
      <c r="M4686">
        <v>0</v>
      </c>
      <c r="N4686" s="23">
        <v>0</v>
      </c>
      <c r="O4686">
        <f t="shared" si="963"/>
        <v>2</v>
      </c>
      <c r="P4686" s="57">
        <f t="shared" si="964"/>
        <v>3</v>
      </c>
      <c r="Q4686" s="267">
        <f t="shared" si="965"/>
        <v>130</v>
      </c>
      <c r="R4686" s="23">
        <f t="shared" si="966"/>
        <v>64</v>
      </c>
      <c r="S4686" s="23">
        <f t="shared" si="967"/>
        <v>0</v>
      </c>
      <c r="T4686" s="23" t="str">
        <f t="shared" si="968"/>
        <v/>
      </c>
      <c r="U4686" t="str">
        <f t="shared" si="969"/>
        <v/>
      </c>
      <c r="AF4686" s="22"/>
    </row>
    <row r="4687" spans="1:36">
      <c r="A4687" t="str">
        <f t="shared" si="970"/>
        <v>PA_Alleg_2019p~Dem-member of council lincoln (vote for 3)</v>
      </c>
      <c r="B4687" s="55" t="s">
        <v>1291</v>
      </c>
      <c r="C4687">
        <v>807</v>
      </c>
      <c r="D4687" s="55" t="s">
        <v>784</v>
      </c>
      <c r="E4687" s="55" t="s">
        <v>787</v>
      </c>
      <c r="F4687" t="s">
        <v>12</v>
      </c>
      <c r="G4687" s="62">
        <v>64</v>
      </c>
      <c r="H4687" s="25">
        <v>32.159999999999997</v>
      </c>
      <c r="I4687">
        <v>694</v>
      </c>
      <c r="J4687">
        <v>148</v>
      </c>
      <c r="K4687">
        <v>1</v>
      </c>
      <c r="L4687">
        <v>1</v>
      </c>
      <c r="M4687">
        <v>0</v>
      </c>
      <c r="N4687" s="23">
        <v>0</v>
      </c>
      <c r="O4687">
        <f t="shared" si="963"/>
        <v>3</v>
      </c>
      <c r="P4687" s="57">
        <f t="shared" si="964"/>
        <v>3</v>
      </c>
      <c r="Q4687" s="267">
        <f t="shared" si="965"/>
        <v>65</v>
      </c>
      <c r="R4687" s="23">
        <f t="shared" si="966"/>
        <v>64</v>
      </c>
      <c r="S4687" s="23">
        <f t="shared" si="967"/>
        <v>0</v>
      </c>
      <c r="T4687" s="23" t="str">
        <f t="shared" si="968"/>
        <v/>
      </c>
      <c r="U4687" t="str">
        <f t="shared" si="969"/>
        <v/>
      </c>
      <c r="AF4687" s="22"/>
    </row>
    <row r="4688" spans="1:36">
      <c r="A4688" t="str">
        <f t="shared" si="970"/>
        <v>PA_Alleg_2019p~Dem-member of council lincoln (vote for 3)</v>
      </c>
      <c r="B4688" s="55" t="s">
        <v>1291</v>
      </c>
      <c r="C4688">
        <v>808</v>
      </c>
      <c r="D4688" s="55" t="s">
        <v>784</v>
      </c>
      <c r="E4688" s="55" t="s">
        <v>15</v>
      </c>
      <c r="F4688" t="s">
        <v>12</v>
      </c>
      <c r="G4688" s="62">
        <v>1</v>
      </c>
      <c r="H4688" s="25">
        <v>0.5</v>
      </c>
      <c r="I4688">
        <v>694</v>
      </c>
      <c r="J4688">
        <v>148</v>
      </c>
      <c r="K4688">
        <v>1</v>
      </c>
      <c r="L4688">
        <v>1</v>
      </c>
      <c r="M4688">
        <v>0</v>
      </c>
      <c r="N4688" s="23">
        <v>0</v>
      </c>
      <c r="O4688">
        <f t="shared" si="963"/>
        <v>-3</v>
      </c>
      <c r="P4688" s="57">
        <f t="shared" si="964"/>
        <v>3</v>
      </c>
      <c r="Q4688" s="267">
        <f t="shared" si="965"/>
        <v>1</v>
      </c>
      <c r="R4688" s="23">
        <f t="shared" si="966"/>
        <v>1</v>
      </c>
      <c r="S4688" s="23">
        <f t="shared" si="967"/>
        <v>0</v>
      </c>
      <c r="T4688" s="23" t="str">
        <f t="shared" si="968"/>
        <v/>
      </c>
      <c r="U4688" t="str">
        <f t="shared" si="969"/>
        <v/>
      </c>
      <c r="AF4688" s="22"/>
    </row>
    <row r="4689" spans="1:38">
      <c r="A4689" t="str">
        <f t="shared" si="970"/>
        <v>PA_Alleg_2019p~Dem-member of council mccandless ward 1 (vote for 1)</v>
      </c>
      <c r="B4689" s="55" t="s">
        <v>1291</v>
      </c>
      <c r="C4689">
        <v>1056</v>
      </c>
      <c r="D4689" s="55" t="s">
        <v>1031</v>
      </c>
      <c r="E4689" s="55" t="s">
        <v>15</v>
      </c>
      <c r="F4689" t="s">
        <v>12</v>
      </c>
      <c r="G4689" s="62">
        <v>158</v>
      </c>
      <c r="H4689" s="25">
        <v>100</v>
      </c>
      <c r="I4689">
        <v>3356</v>
      </c>
      <c r="J4689">
        <v>624</v>
      </c>
      <c r="K4689">
        <v>3</v>
      </c>
      <c r="L4689">
        <v>3</v>
      </c>
      <c r="M4689">
        <v>0</v>
      </c>
      <c r="N4689" s="23">
        <v>0</v>
      </c>
      <c r="O4689">
        <f t="shared" si="963"/>
        <v>0</v>
      </c>
      <c r="P4689" s="57">
        <f t="shared" si="964"/>
        <v>1</v>
      </c>
      <c r="Q4689" s="267">
        <f t="shared" si="965"/>
        <v>158</v>
      </c>
      <c r="R4689" s="23">
        <f t="shared" si="966"/>
        <v>1</v>
      </c>
      <c r="S4689" s="23">
        <f t="shared" si="967"/>
        <v>0</v>
      </c>
      <c r="T4689" s="23" t="str">
        <f t="shared" si="968"/>
        <v/>
      </c>
      <c r="U4689" t="str">
        <f t="shared" si="969"/>
        <v>PA_Alleg_2019p~Dem-member of council mccandless ward 1 (vote for 1)</v>
      </c>
      <c r="AF4689" s="22"/>
    </row>
    <row r="4690" spans="1:38">
      <c r="A4690" t="str">
        <f t="shared" si="970"/>
        <v>PA_Alleg_2019p~Dem-member of council mccandless ward 3 (vote for 1)</v>
      </c>
      <c r="B4690" s="55" t="s">
        <v>1291</v>
      </c>
      <c r="C4690">
        <v>1057</v>
      </c>
      <c r="D4690" s="55" t="s">
        <v>1032</v>
      </c>
      <c r="E4690" s="55" t="s">
        <v>1033</v>
      </c>
      <c r="F4690" t="s">
        <v>12</v>
      </c>
      <c r="G4690" s="62">
        <v>274</v>
      </c>
      <c r="H4690" s="25">
        <v>91.64</v>
      </c>
      <c r="I4690">
        <v>3121</v>
      </c>
      <c r="J4690">
        <v>660</v>
      </c>
      <c r="K4690">
        <v>3</v>
      </c>
      <c r="L4690">
        <v>3</v>
      </c>
      <c r="M4690">
        <v>0</v>
      </c>
      <c r="N4690" s="23">
        <v>0</v>
      </c>
      <c r="O4690">
        <f t="shared" si="963"/>
        <v>1</v>
      </c>
      <c r="P4690" s="57">
        <f t="shared" si="964"/>
        <v>1</v>
      </c>
      <c r="Q4690" s="267">
        <f t="shared" si="965"/>
        <v>299</v>
      </c>
      <c r="R4690" s="23">
        <f t="shared" si="966"/>
        <v>274</v>
      </c>
      <c r="S4690" s="23">
        <f t="shared" si="967"/>
        <v>0</v>
      </c>
      <c r="T4690" s="23" t="str">
        <f t="shared" si="968"/>
        <v/>
      </c>
      <c r="U4690" t="str">
        <f t="shared" si="969"/>
        <v>PA_Alleg_2019p~Dem-member of council mccandless ward 3 (vote for 1)</v>
      </c>
      <c r="AF4690" s="22"/>
    </row>
    <row r="4691" spans="1:38">
      <c r="A4691" t="str">
        <f t="shared" si="970"/>
        <v>PA_Alleg_2019p~Dem-member of council mccandless ward 3 (vote for 1)</v>
      </c>
      <c r="B4691" s="55" t="s">
        <v>1291</v>
      </c>
      <c r="C4691">
        <v>1058</v>
      </c>
      <c r="D4691" s="55" t="s">
        <v>1032</v>
      </c>
      <c r="E4691" s="55" t="s">
        <v>15</v>
      </c>
      <c r="F4691" t="s">
        <v>12</v>
      </c>
      <c r="G4691" s="62">
        <v>25</v>
      </c>
      <c r="H4691" s="25">
        <v>8.36</v>
      </c>
      <c r="I4691">
        <v>3121</v>
      </c>
      <c r="J4691">
        <v>660</v>
      </c>
      <c r="K4691">
        <v>3</v>
      </c>
      <c r="L4691">
        <v>3</v>
      </c>
      <c r="M4691">
        <v>0</v>
      </c>
      <c r="N4691" s="23">
        <v>0</v>
      </c>
      <c r="O4691">
        <f t="shared" si="963"/>
        <v>-1</v>
      </c>
      <c r="P4691" s="57">
        <f t="shared" si="964"/>
        <v>1</v>
      </c>
      <c r="Q4691" s="267">
        <f t="shared" si="965"/>
        <v>25</v>
      </c>
      <c r="R4691" s="23">
        <f t="shared" si="966"/>
        <v>1</v>
      </c>
      <c r="S4691" s="23">
        <f t="shared" si="967"/>
        <v>0</v>
      </c>
      <c r="T4691" s="23" t="str">
        <f t="shared" si="968"/>
        <v/>
      </c>
      <c r="U4691" t="str">
        <f t="shared" si="969"/>
        <v/>
      </c>
      <c r="AF4691" s="22"/>
    </row>
    <row r="4692" spans="1:38">
      <c r="A4692" t="str">
        <f t="shared" si="970"/>
        <v>PA_Alleg_2019p~Dem-member of council mccandless ward 5 (vote for 1)</v>
      </c>
      <c r="B4692" s="55" t="s">
        <v>1291</v>
      </c>
      <c r="C4692">
        <v>1059</v>
      </c>
      <c r="D4692" s="55" t="s">
        <v>1034</v>
      </c>
      <c r="E4692" s="55" t="s">
        <v>15</v>
      </c>
      <c r="F4692" t="s">
        <v>12</v>
      </c>
      <c r="G4692" s="62">
        <v>151</v>
      </c>
      <c r="H4692" s="25">
        <v>100</v>
      </c>
      <c r="I4692">
        <v>3152</v>
      </c>
      <c r="J4692">
        <v>627</v>
      </c>
      <c r="K4692">
        <v>3</v>
      </c>
      <c r="L4692">
        <v>3</v>
      </c>
      <c r="M4692">
        <v>0</v>
      </c>
      <c r="N4692" s="23">
        <v>0</v>
      </c>
      <c r="O4692">
        <f t="shared" si="963"/>
        <v>0</v>
      </c>
      <c r="P4692" s="57">
        <f t="shared" si="964"/>
        <v>1</v>
      </c>
      <c r="Q4692" s="267">
        <f t="shared" si="965"/>
        <v>151</v>
      </c>
      <c r="R4692" s="23">
        <f t="shared" si="966"/>
        <v>1</v>
      </c>
      <c r="S4692" s="23">
        <f t="shared" si="967"/>
        <v>0</v>
      </c>
      <c r="T4692" s="23" t="str">
        <f t="shared" si="968"/>
        <v/>
      </c>
      <c r="U4692" t="str">
        <f t="shared" si="969"/>
        <v>PA_Alleg_2019p~Dem-member of council mccandless ward 5 (vote for 1)</v>
      </c>
      <c r="AF4692" s="22"/>
    </row>
    <row r="4693" spans="1:38">
      <c r="A4693" t="str">
        <f t="shared" si="970"/>
        <v>PA_Alleg_2019p~Dem-member of council mccandless ward 7 (vote for 1)</v>
      </c>
      <c r="B4693" s="55" t="s">
        <v>1291</v>
      </c>
      <c r="C4693">
        <v>1060</v>
      </c>
      <c r="D4693" s="55" t="s">
        <v>1035</v>
      </c>
      <c r="E4693" s="55" t="s">
        <v>1036</v>
      </c>
      <c r="F4693" t="s">
        <v>12</v>
      </c>
      <c r="G4693" s="62">
        <v>215</v>
      </c>
      <c r="H4693" s="25">
        <v>97.73</v>
      </c>
      <c r="I4693">
        <v>3129</v>
      </c>
      <c r="J4693">
        <v>511</v>
      </c>
      <c r="K4693">
        <v>3</v>
      </c>
      <c r="L4693">
        <v>3</v>
      </c>
      <c r="M4693">
        <v>0</v>
      </c>
      <c r="N4693" s="23">
        <v>0</v>
      </c>
      <c r="O4693">
        <f t="shared" si="963"/>
        <v>1</v>
      </c>
      <c r="P4693" s="57">
        <f t="shared" si="964"/>
        <v>1</v>
      </c>
      <c r="Q4693" s="267">
        <f t="shared" si="965"/>
        <v>220</v>
      </c>
      <c r="R4693" s="23">
        <f t="shared" si="966"/>
        <v>215</v>
      </c>
      <c r="S4693" s="23">
        <f t="shared" si="967"/>
        <v>0</v>
      </c>
      <c r="T4693" s="23" t="str">
        <f t="shared" si="968"/>
        <v/>
      </c>
      <c r="U4693" t="str">
        <f t="shared" si="969"/>
        <v>PA_Alleg_2019p~Dem-member of council mccandless ward 7 (vote for 1)</v>
      </c>
      <c r="AF4693" s="22"/>
    </row>
    <row r="4694" spans="1:38">
      <c r="A4694" t="str">
        <f t="shared" si="970"/>
        <v>PA_Alleg_2019p~Dem-member of council mccandless ward 7 (vote for 1)</v>
      </c>
      <c r="B4694" s="55" t="s">
        <v>1291</v>
      </c>
      <c r="C4694">
        <v>1061</v>
      </c>
      <c r="D4694" s="55" t="s">
        <v>1035</v>
      </c>
      <c r="E4694" s="55" t="s">
        <v>15</v>
      </c>
      <c r="F4694" t="s">
        <v>12</v>
      </c>
      <c r="G4694" s="62">
        <v>5</v>
      </c>
      <c r="H4694" s="25">
        <v>2.27</v>
      </c>
      <c r="I4694">
        <v>3129</v>
      </c>
      <c r="J4694">
        <v>511</v>
      </c>
      <c r="K4694">
        <v>3</v>
      </c>
      <c r="L4694">
        <v>3</v>
      </c>
      <c r="M4694">
        <v>0</v>
      </c>
      <c r="N4694" s="23">
        <v>0</v>
      </c>
      <c r="O4694">
        <f t="shared" si="963"/>
        <v>-1</v>
      </c>
      <c r="P4694" s="57">
        <f t="shared" si="964"/>
        <v>1</v>
      </c>
      <c r="Q4694" s="267">
        <f t="shared" si="965"/>
        <v>5</v>
      </c>
      <c r="R4694" s="23">
        <f t="shared" si="966"/>
        <v>1</v>
      </c>
      <c r="S4694" s="23">
        <f t="shared" si="967"/>
        <v>0</v>
      </c>
      <c r="T4694" s="23" t="str">
        <f t="shared" si="968"/>
        <v/>
      </c>
      <c r="U4694" t="str">
        <f t="shared" si="969"/>
        <v/>
      </c>
      <c r="AF4694" s="22"/>
    </row>
    <row r="4695" spans="1:38">
      <c r="A4695" t="str">
        <f t="shared" si="970"/>
        <v>PA_Alleg_2019p~Dem-member of council mcdonald (vote for 4)</v>
      </c>
      <c r="B4695" s="55" t="s">
        <v>1291</v>
      </c>
      <c r="C4695">
        <v>688</v>
      </c>
      <c r="D4695" s="55" t="s">
        <v>667</v>
      </c>
      <c r="E4695" s="55" t="s">
        <v>668</v>
      </c>
      <c r="F4695" t="s">
        <v>12</v>
      </c>
      <c r="G4695" s="62">
        <v>25</v>
      </c>
      <c r="H4695" s="25">
        <v>35.71</v>
      </c>
      <c r="I4695">
        <v>220</v>
      </c>
      <c r="J4695">
        <v>47</v>
      </c>
      <c r="K4695">
        <v>1</v>
      </c>
      <c r="L4695">
        <v>1</v>
      </c>
      <c r="M4695">
        <v>0</v>
      </c>
      <c r="N4695" s="23">
        <v>0</v>
      </c>
      <c r="O4695">
        <f t="shared" si="963"/>
        <v>1</v>
      </c>
      <c r="P4695" s="57">
        <f t="shared" si="964"/>
        <v>4</v>
      </c>
      <c r="Q4695" s="267">
        <f t="shared" si="965"/>
        <v>25</v>
      </c>
      <c r="R4695" s="23">
        <f t="shared" si="966"/>
        <v>1</v>
      </c>
      <c r="S4695" s="23">
        <f t="shared" si="967"/>
        <v>0</v>
      </c>
      <c r="T4695" s="23" t="str">
        <f t="shared" si="968"/>
        <v/>
      </c>
      <c r="U4695" t="str">
        <f t="shared" si="969"/>
        <v>PA_Alleg_2019p~Dem-member of council mcdonald (vote for 4)</v>
      </c>
      <c r="AF4695" s="22"/>
    </row>
    <row r="4696" spans="1:38">
      <c r="A4696" t="str">
        <f t="shared" si="970"/>
        <v>PA_Alleg_2019p~Dem-member of council mcdonald (vote for 4)</v>
      </c>
      <c r="B4696" s="55" t="s">
        <v>1291</v>
      </c>
      <c r="C4696">
        <v>689</v>
      </c>
      <c r="D4696" s="55" t="s">
        <v>667</v>
      </c>
      <c r="E4696" s="55" t="s">
        <v>669</v>
      </c>
      <c r="F4696" t="s">
        <v>12</v>
      </c>
      <c r="G4696" s="62">
        <v>23</v>
      </c>
      <c r="H4696" s="25">
        <v>32.86</v>
      </c>
      <c r="I4696">
        <v>220</v>
      </c>
      <c r="J4696">
        <v>47</v>
      </c>
      <c r="K4696">
        <v>1</v>
      </c>
      <c r="L4696">
        <v>1</v>
      </c>
      <c r="M4696">
        <v>0</v>
      </c>
      <c r="N4696" s="23">
        <v>0</v>
      </c>
      <c r="O4696">
        <f t="shared" si="963"/>
        <v>2</v>
      </c>
      <c r="P4696" s="57">
        <f t="shared" si="964"/>
        <v>4</v>
      </c>
      <c r="Q4696" s="267">
        <f t="shared" si="965"/>
        <v>45</v>
      </c>
      <c r="R4696" s="23">
        <f t="shared" si="966"/>
        <v>1</v>
      </c>
      <c r="S4696" s="23">
        <f t="shared" si="967"/>
        <v>0</v>
      </c>
      <c r="T4696" s="23" t="str">
        <f t="shared" si="968"/>
        <v/>
      </c>
      <c r="U4696" t="str">
        <f t="shared" si="969"/>
        <v/>
      </c>
      <c r="AF4696" s="22"/>
    </row>
    <row r="4697" spans="1:38">
      <c r="A4697" t="str">
        <f t="shared" si="970"/>
        <v>PA_Alleg_2019p~Dem-member of council mcdonald (vote for 4)</v>
      </c>
      <c r="B4697" s="55" t="s">
        <v>1291</v>
      </c>
      <c r="C4697">
        <v>690</v>
      </c>
      <c r="D4697" s="55" t="s">
        <v>667</v>
      </c>
      <c r="E4697" s="55" t="s">
        <v>670</v>
      </c>
      <c r="F4697" t="s">
        <v>12</v>
      </c>
      <c r="G4697" s="62">
        <v>20</v>
      </c>
      <c r="H4697" s="25">
        <v>28.57</v>
      </c>
      <c r="I4697">
        <v>220</v>
      </c>
      <c r="J4697">
        <v>47</v>
      </c>
      <c r="K4697">
        <v>1</v>
      </c>
      <c r="L4697">
        <v>1</v>
      </c>
      <c r="M4697">
        <v>0</v>
      </c>
      <c r="N4697" s="23">
        <v>0</v>
      </c>
      <c r="O4697">
        <f t="shared" si="963"/>
        <v>3</v>
      </c>
      <c r="P4697" s="57">
        <f t="shared" si="964"/>
        <v>4</v>
      </c>
      <c r="Q4697" s="267">
        <f t="shared" si="965"/>
        <v>22</v>
      </c>
      <c r="R4697" s="23">
        <f t="shared" si="966"/>
        <v>1</v>
      </c>
      <c r="S4697" s="23">
        <f t="shared" si="967"/>
        <v>0</v>
      </c>
      <c r="T4697" s="23" t="str">
        <f t="shared" si="968"/>
        <v/>
      </c>
      <c r="U4697" t="str">
        <f t="shared" si="969"/>
        <v/>
      </c>
      <c r="AF4697" s="22"/>
    </row>
    <row r="4698" spans="1:38">
      <c r="A4698" t="str">
        <f t="shared" si="970"/>
        <v>PA_Alleg_2019p~Dem-member of council mcdonald (vote for 4)</v>
      </c>
      <c r="B4698" s="55" t="s">
        <v>1291</v>
      </c>
      <c r="C4698">
        <v>691</v>
      </c>
      <c r="D4698" s="55" t="s">
        <v>667</v>
      </c>
      <c r="E4698" s="55" t="s">
        <v>15</v>
      </c>
      <c r="F4698" t="s">
        <v>12</v>
      </c>
      <c r="G4698" s="62">
        <v>2</v>
      </c>
      <c r="H4698" s="25">
        <v>2.86</v>
      </c>
      <c r="I4698">
        <v>220</v>
      </c>
      <c r="J4698">
        <v>47</v>
      </c>
      <c r="K4698">
        <v>1</v>
      </c>
      <c r="L4698">
        <v>1</v>
      </c>
      <c r="M4698">
        <v>0</v>
      </c>
      <c r="N4698" s="23">
        <v>0</v>
      </c>
      <c r="O4698">
        <f t="shared" si="963"/>
        <v>-3</v>
      </c>
      <c r="P4698" s="57">
        <f t="shared" si="964"/>
        <v>4</v>
      </c>
      <c r="Q4698" s="267">
        <f t="shared" si="965"/>
        <v>2</v>
      </c>
      <c r="R4698" s="23">
        <f t="shared" si="966"/>
        <v>1</v>
      </c>
      <c r="S4698" s="23">
        <f t="shared" si="967"/>
        <v>0</v>
      </c>
      <c r="T4698" s="23" t="str">
        <f t="shared" si="968"/>
        <v/>
      </c>
      <c r="U4698" t="str">
        <f t="shared" si="969"/>
        <v/>
      </c>
      <c r="AF4698" s="22"/>
    </row>
    <row r="4699" spans="1:38">
      <c r="A4699" t="str">
        <f t="shared" si="970"/>
        <v>PA_Alleg_2019p~Dem-member of council mckees rocks ward 1 (vote for 1)</v>
      </c>
      <c r="B4699" s="55" t="s">
        <v>1291</v>
      </c>
      <c r="C4699">
        <v>1062</v>
      </c>
      <c r="D4699" s="55" t="s">
        <v>1037</v>
      </c>
      <c r="E4699" s="55" t="s">
        <v>1038</v>
      </c>
      <c r="F4699" t="s">
        <v>12</v>
      </c>
      <c r="G4699" s="62">
        <v>62</v>
      </c>
      <c r="H4699" s="25">
        <v>81.58</v>
      </c>
      <c r="I4699">
        <v>837</v>
      </c>
      <c r="J4699">
        <v>90</v>
      </c>
      <c r="K4699">
        <v>2</v>
      </c>
      <c r="L4699">
        <v>2</v>
      </c>
      <c r="M4699">
        <v>0</v>
      </c>
      <c r="N4699" s="23">
        <v>0</v>
      </c>
      <c r="O4699">
        <f t="shared" si="963"/>
        <v>1</v>
      </c>
      <c r="P4699" s="57">
        <f t="shared" si="964"/>
        <v>1</v>
      </c>
      <c r="Q4699" s="267">
        <f t="shared" si="965"/>
        <v>76</v>
      </c>
      <c r="R4699" s="23">
        <f t="shared" si="966"/>
        <v>62</v>
      </c>
      <c r="S4699" s="23">
        <f t="shared" si="967"/>
        <v>0</v>
      </c>
      <c r="T4699" s="23" t="str">
        <f t="shared" si="968"/>
        <v/>
      </c>
      <c r="U4699" t="str">
        <f t="shared" si="969"/>
        <v>PA_Alleg_2019p~Dem-member of council mckees rocks ward 1 (vote for 1)</v>
      </c>
      <c r="AF4699" s="22"/>
    </row>
    <row r="4700" spans="1:38">
      <c r="A4700" t="str">
        <f t="shared" si="970"/>
        <v>PA_Alleg_2019p~Dem-member of council mckees rocks ward 1 (vote for 1)</v>
      </c>
      <c r="B4700" s="55" t="s">
        <v>1291</v>
      </c>
      <c r="C4700">
        <v>1063</v>
      </c>
      <c r="D4700" s="55" t="s">
        <v>1037</v>
      </c>
      <c r="E4700" s="55" t="s">
        <v>15</v>
      </c>
      <c r="F4700" t="s">
        <v>12</v>
      </c>
      <c r="G4700" s="62">
        <v>14</v>
      </c>
      <c r="H4700" s="25">
        <v>18.420000000000002</v>
      </c>
      <c r="I4700">
        <v>837</v>
      </c>
      <c r="J4700">
        <v>90</v>
      </c>
      <c r="K4700">
        <v>2</v>
      </c>
      <c r="L4700">
        <v>2</v>
      </c>
      <c r="M4700">
        <v>0</v>
      </c>
      <c r="N4700" s="23">
        <v>0</v>
      </c>
      <c r="O4700">
        <f t="shared" si="963"/>
        <v>-1</v>
      </c>
      <c r="P4700" s="57">
        <f t="shared" si="964"/>
        <v>1</v>
      </c>
      <c r="Q4700" s="267">
        <f t="shared" si="965"/>
        <v>14</v>
      </c>
      <c r="R4700" s="23">
        <f t="shared" si="966"/>
        <v>1</v>
      </c>
      <c r="S4700" s="23">
        <f t="shared" si="967"/>
        <v>0</v>
      </c>
      <c r="T4700" s="23" t="str">
        <f t="shared" si="968"/>
        <v/>
      </c>
      <c r="U4700" t="str">
        <f t="shared" si="969"/>
        <v/>
      </c>
      <c r="AF4700" s="22"/>
      <c r="AG4700" s="314"/>
      <c r="AH4700" s="313"/>
      <c r="AI4700" s="315"/>
      <c r="AJ4700" s="315"/>
      <c r="AK4700" s="345"/>
      <c r="AL4700" s="346"/>
    </row>
    <row r="4701" spans="1:38">
      <c r="A4701" t="str">
        <f t="shared" si="970"/>
        <v>PA_Alleg_2019p~Dem-member of council mckees rocks ward 3 (vote for 3)</v>
      </c>
      <c r="B4701" s="55" t="s">
        <v>1291</v>
      </c>
      <c r="C4701">
        <v>966</v>
      </c>
      <c r="D4701" s="55" t="s">
        <v>939</v>
      </c>
      <c r="E4701" s="55" t="s">
        <v>942</v>
      </c>
      <c r="F4701" t="s">
        <v>12</v>
      </c>
      <c r="G4701" s="62">
        <v>152</v>
      </c>
      <c r="H4701" s="25">
        <v>17.510000000000002</v>
      </c>
      <c r="I4701">
        <v>1898</v>
      </c>
      <c r="J4701">
        <v>369</v>
      </c>
      <c r="K4701">
        <v>3</v>
      </c>
      <c r="L4701">
        <v>3</v>
      </c>
      <c r="M4701">
        <v>0</v>
      </c>
      <c r="N4701" s="23">
        <v>0</v>
      </c>
      <c r="O4701">
        <f t="shared" si="963"/>
        <v>1</v>
      </c>
      <c r="P4701" s="57">
        <f t="shared" si="964"/>
        <v>3</v>
      </c>
      <c r="Q4701" s="267">
        <f t="shared" si="965"/>
        <v>289.33333333333331</v>
      </c>
      <c r="R4701" s="23">
        <f t="shared" si="966"/>
        <v>144</v>
      </c>
      <c r="S4701" s="23">
        <f t="shared" si="967"/>
        <v>142</v>
      </c>
      <c r="T4701" s="23">
        <f t="shared" si="968"/>
        <v>2</v>
      </c>
      <c r="U4701" t="str">
        <f t="shared" si="969"/>
        <v>PA_Alleg_2019p~Dem-member of council mckees rocks ward 3 (vote for 3)</v>
      </c>
      <c r="AF4701" s="22"/>
    </row>
    <row r="4702" spans="1:38">
      <c r="A4702" t="str">
        <f t="shared" si="970"/>
        <v>PA_Alleg_2019p~Dem-member of council mckees rocks ward 3 (vote for 3)</v>
      </c>
      <c r="B4702" s="55" t="s">
        <v>1291</v>
      </c>
      <c r="C4702">
        <v>968</v>
      </c>
      <c r="D4702" s="55" t="s">
        <v>939</v>
      </c>
      <c r="E4702" s="55" t="s">
        <v>944</v>
      </c>
      <c r="F4702" t="s">
        <v>12</v>
      </c>
      <c r="G4702" s="62">
        <v>149</v>
      </c>
      <c r="H4702" s="25">
        <v>17.170000000000002</v>
      </c>
      <c r="I4702">
        <v>1898</v>
      </c>
      <c r="J4702">
        <v>369</v>
      </c>
      <c r="K4702">
        <v>3</v>
      </c>
      <c r="L4702">
        <v>3</v>
      </c>
      <c r="M4702">
        <v>0</v>
      </c>
      <c r="N4702" s="23">
        <v>0</v>
      </c>
      <c r="O4702">
        <f t="shared" si="963"/>
        <v>2</v>
      </c>
      <c r="P4702" s="57">
        <f t="shared" si="964"/>
        <v>3</v>
      </c>
      <c r="Q4702" s="267">
        <f t="shared" si="965"/>
        <v>716</v>
      </c>
      <c r="R4702" s="23">
        <f t="shared" si="966"/>
        <v>144</v>
      </c>
      <c r="S4702" s="23">
        <f t="shared" si="967"/>
        <v>142</v>
      </c>
      <c r="T4702" s="23" t="str">
        <f t="shared" si="968"/>
        <v/>
      </c>
      <c r="U4702" t="str">
        <f t="shared" si="969"/>
        <v/>
      </c>
      <c r="AF4702" s="22"/>
    </row>
    <row r="4703" spans="1:38">
      <c r="A4703" t="str">
        <f t="shared" si="970"/>
        <v>PA_Alleg_2019p~Dem-member of council mckees rocks ward 3 (vote for 3)</v>
      </c>
      <c r="B4703" s="55" t="s">
        <v>1291</v>
      </c>
      <c r="C4703">
        <v>969</v>
      </c>
      <c r="D4703" s="55" t="s">
        <v>939</v>
      </c>
      <c r="E4703" s="55" t="s">
        <v>15</v>
      </c>
      <c r="F4703" t="s">
        <v>12</v>
      </c>
      <c r="G4703" s="62">
        <v>146</v>
      </c>
      <c r="H4703" s="25">
        <v>16.82</v>
      </c>
      <c r="I4703">
        <v>1898</v>
      </c>
      <c r="J4703">
        <v>369</v>
      </c>
      <c r="K4703">
        <v>3</v>
      </c>
      <c r="L4703">
        <v>3</v>
      </c>
      <c r="M4703">
        <v>0</v>
      </c>
      <c r="N4703" s="23">
        <v>0</v>
      </c>
      <c r="O4703">
        <f t="shared" si="963"/>
        <v>-2</v>
      </c>
      <c r="P4703" s="57">
        <f t="shared" si="964"/>
        <v>3</v>
      </c>
      <c r="Q4703" s="267">
        <f t="shared" si="965"/>
        <v>567</v>
      </c>
      <c r="R4703" s="23">
        <f t="shared" si="966"/>
        <v>144</v>
      </c>
      <c r="S4703" s="23">
        <f t="shared" si="967"/>
        <v>142</v>
      </c>
      <c r="T4703" s="23" t="str">
        <f t="shared" si="968"/>
        <v/>
      </c>
      <c r="U4703" t="str">
        <f t="shared" si="969"/>
        <v/>
      </c>
      <c r="AF4703" s="22"/>
    </row>
    <row r="4704" spans="1:38">
      <c r="A4704" t="str">
        <f t="shared" si="970"/>
        <v>PA_Alleg_2019p~Dem-member of council mckees rocks ward 3 (vote for 3)</v>
      </c>
      <c r="B4704" s="55" t="s">
        <v>1291</v>
      </c>
      <c r="C4704">
        <v>964</v>
      </c>
      <c r="D4704" s="55" t="s">
        <v>939</v>
      </c>
      <c r="E4704" s="55" t="s">
        <v>940</v>
      </c>
      <c r="F4704" t="s">
        <v>12</v>
      </c>
      <c r="G4704" s="62">
        <v>144</v>
      </c>
      <c r="H4704" s="25">
        <v>16.59</v>
      </c>
      <c r="I4704">
        <v>1898</v>
      </c>
      <c r="J4704">
        <v>369</v>
      </c>
      <c r="K4704">
        <v>3</v>
      </c>
      <c r="L4704">
        <v>3</v>
      </c>
      <c r="M4704">
        <v>0</v>
      </c>
      <c r="N4704" s="23">
        <v>0</v>
      </c>
      <c r="O4704">
        <f t="shared" si="963"/>
        <v>3</v>
      </c>
      <c r="P4704" s="57">
        <f t="shared" si="964"/>
        <v>3</v>
      </c>
      <c r="Q4704" s="267">
        <f t="shared" si="965"/>
        <v>421</v>
      </c>
      <c r="R4704" s="23">
        <f t="shared" si="966"/>
        <v>144</v>
      </c>
      <c r="S4704" s="23">
        <f t="shared" si="967"/>
        <v>142</v>
      </c>
      <c r="T4704" s="23" t="str">
        <f t="shared" si="968"/>
        <v/>
      </c>
      <c r="U4704" t="str">
        <f t="shared" si="969"/>
        <v/>
      </c>
      <c r="AF4704" s="22"/>
    </row>
    <row r="4705" spans="1:38">
      <c r="A4705" t="str">
        <f t="shared" si="970"/>
        <v>PA_Alleg_2019p~Dem-member of council mckees rocks ward 3 (vote for 3)</v>
      </c>
      <c r="B4705" s="55" t="s">
        <v>1291</v>
      </c>
      <c r="C4705">
        <v>967</v>
      </c>
      <c r="D4705" s="55" t="s">
        <v>939</v>
      </c>
      <c r="E4705" s="55" t="s">
        <v>943</v>
      </c>
      <c r="F4705" t="s">
        <v>12</v>
      </c>
      <c r="G4705" s="62">
        <v>142</v>
      </c>
      <c r="H4705" s="25">
        <v>16.36</v>
      </c>
      <c r="I4705">
        <v>1898</v>
      </c>
      <c r="J4705">
        <v>369</v>
      </c>
      <c r="K4705">
        <v>3</v>
      </c>
      <c r="L4705">
        <v>3</v>
      </c>
      <c r="M4705">
        <v>0</v>
      </c>
      <c r="N4705" s="23">
        <v>0</v>
      </c>
      <c r="O4705">
        <f t="shared" si="963"/>
        <v>4</v>
      </c>
      <c r="P4705" s="57">
        <f t="shared" si="964"/>
        <v>3</v>
      </c>
      <c r="Q4705" s="267">
        <f t="shared" si="965"/>
        <v>277</v>
      </c>
      <c r="R4705" s="23" t="str">
        <f t="shared" si="966"/>
        <v/>
      </c>
      <c r="S4705" s="23">
        <f t="shared" si="967"/>
        <v>142</v>
      </c>
      <c r="T4705" s="23" t="str">
        <f t="shared" si="968"/>
        <v/>
      </c>
      <c r="U4705" t="str">
        <f t="shared" si="969"/>
        <v/>
      </c>
      <c r="AF4705" s="22"/>
      <c r="AG4705" s="302"/>
      <c r="AH4705" s="301"/>
      <c r="AI4705" s="303"/>
      <c r="AJ4705" s="303"/>
      <c r="AK4705" s="342"/>
      <c r="AL4705" s="304"/>
    </row>
    <row r="4706" spans="1:38">
      <c r="A4706" t="str">
        <f t="shared" si="970"/>
        <v>PA_Alleg_2019p~Dem-member of council mckees rocks ward 3 (vote for 3)</v>
      </c>
      <c r="B4706" s="55" t="s">
        <v>1291</v>
      </c>
      <c r="C4706">
        <v>965</v>
      </c>
      <c r="D4706" s="55" t="s">
        <v>939</v>
      </c>
      <c r="E4706" s="55" t="s">
        <v>941</v>
      </c>
      <c r="F4706" t="s">
        <v>12</v>
      </c>
      <c r="G4706" s="62">
        <v>135</v>
      </c>
      <c r="H4706" s="25">
        <v>15.55</v>
      </c>
      <c r="I4706">
        <v>1898</v>
      </c>
      <c r="J4706">
        <v>369</v>
      </c>
      <c r="K4706">
        <v>3</v>
      </c>
      <c r="L4706">
        <v>3</v>
      </c>
      <c r="M4706">
        <v>0</v>
      </c>
      <c r="N4706" s="23">
        <v>0</v>
      </c>
      <c r="O4706">
        <f t="shared" si="963"/>
        <v>5</v>
      </c>
      <c r="P4706" s="57">
        <f t="shared" si="964"/>
        <v>3</v>
      </c>
      <c r="Q4706" s="267">
        <f t="shared" si="965"/>
        <v>135</v>
      </c>
      <c r="R4706" s="23" t="str">
        <f t="shared" si="966"/>
        <v/>
      </c>
      <c r="S4706" s="23">
        <f t="shared" si="967"/>
        <v>135</v>
      </c>
      <c r="T4706" s="23" t="str">
        <f t="shared" si="968"/>
        <v/>
      </c>
      <c r="U4706" t="str">
        <f t="shared" si="969"/>
        <v/>
      </c>
      <c r="AF4706" s="22"/>
    </row>
    <row r="4707" spans="1:38">
      <c r="A4707" t="str">
        <f t="shared" si="970"/>
        <v>PA_Alleg_2019p~Dem-member of council mckeesport (vote for 4)</v>
      </c>
      <c r="B4707" s="55" t="s">
        <v>1291</v>
      </c>
      <c r="C4707">
        <v>696</v>
      </c>
      <c r="D4707" s="55" t="s">
        <v>671</v>
      </c>
      <c r="E4707" s="55" t="s">
        <v>676</v>
      </c>
      <c r="F4707" t="s">
        <v>12</v>
      </c>
      <c r="G4707" s="62">
        <v>1250</v>
      </c>
      <c r="H4707" s="25">
        <v>21.87</v>
      </c>
      <c r="I4707">
        <v>12636</v>
      </c>
      <c r="J4707">
        <v>2295</v>
      </c>
      <c r="K4707">
        <v>32</v>
      </c>
      <c r="L4707">
        <v>32</v>
      </c>
      <c r="M4707">
        <v>0</v>
      </c>
      <c r="N4707" s="23">
        <v>0</v>
      </c>
      <c r="O4707">
        <f t="shared" si="963"/>
        <v>1</v>
      </c>
      <c r="P4707" s="57">
        <f t="shared" si="964"/>
        <v>4</v>
      </c>
      <c r="Q4707" s="267">
        <f t="shared" si="965"/>
        <v>1428.75</v>
      </c>
      <c r="R4707" s="23">
        <f t="shared" si="966"/>
        <v>870</v>
      </c>
      <c r="S4707" s="23">
        <f t="shared" si="967"/>
        <v>781</v>
      </c>
      <c r="T4707" s="23">
        <f t="shared" si="968"/>
        <v>89</v>
      </c>
      <c r="U4707" t="str">
        <f t="shared" si="969"/>
        <v>PA_Alleg_2019p~Dem-member of council mckeesport (vote for 4)</v>
      </c>
      <c r="AF4707" s="22"/>
      <c r="AG4707" s="89"/>
      <c r="AH4707" s="274"/>
      <c r="AI4707" s="279"/>
      <c r="AJ4707" s="280"/>
      <c r="AK4707" s="92"/>
      <c r="AL4707" s="23"/>
    </row>
    <row r="4708" spans="1:38">
      <c r="A4708" t="str">
        <f t="shared" si="970"/>
        <v>PA_Alleg_2019p~Dem-member of council mckeesport (vote for 4)</v>
      </c>
      <c r="B4708" s="55" t="s">
        <v>1291</v>
      </c>
      <c r="C4708">
        <v>693</v>
      </c>
      <c r="D4708" s="55" t="s">
        <v>671</v>
      </c>
      <c r="E4708" s="55" t="s">
        <v>673</v>
      </c>
      <c r="F4708" t="s">
        <v>12</v>
      </c>
      <c r="G4708" s="62">
        <v>1107</v>
      </c>
      <c r="H4708" s="25">
        <v>19.37</v>
      </c>
      <c r="I4708">
        <v>12636</v>
      </c>
      <c r="J4708">
        <v>2295</v>
      </c>
      <c r="K4708">
        <v>32</v>
      </c>
      <c r="L4708">
        <v>32</v>
      </c>
      <c r="M4708">
        <v>0</v>
      </c>
      <c r="N4708" s="23">
        <v>0</v>
      </c>
      <c r="O4708">
        <f t="shared" si="963"/>
        <v>2</v>
      </c>
      <c r="P4708" s="57">
        <f t="shared" si="964"/>
        <v>4</v>
      </c>
      <c r="Q4708" s="267">
        <f t="shared" si="965"/>
        <v>4465</v>
      </c>
      <c r="R4708" s="23">
        <f t="shared" si="966"/>
        <v>870</v>
      </c>
      <c r="S4708" s="23">
        <f t="shared" si="967"/>
        <v>781</v>
      </c>
      <c r="T4708" s="23" t="str">
        <f t="shared" si="968"/>
        <v/>
      </c>
      <c r="U4708" t="str">
        <f t="shared" si="969"/>
        <v/>
      </c>
      <c r="AF4708" s="22"/>
      <c r="AG4708" s="89"/>
      <c r="AH4708" s="274"/>
      <c r="AI4708" s="279"/>
      <c r="AJ4708" s="280"/>
      <c r="AK4708" s="92"/>
      <c r="AL4708" s="23"/>
    </row>
    <row r="4709" spans="1:38">
      <c r="A4709" t="str">
        <f t="shared" si="970"/>
        <v>PA_Alleg_2019p~Dem-member of council mckeesport (vote for 4)</v>
      </c>
      <c r="B4709" s="55" t="s">
        <v>1291</v>
      </c>
      <c r="C4709">
        <v>692</v>
      </c>
      <c r="D4709" s="55" t="s">
        <v>671</v>
      </c>
      <c r="E4709" s="55" t="s">
        <v>672</v>
      </c>
      <c r="F4709" t="s">
        <v>12</v>
      </c>
      <c r="G4709" s="62">
        <v>987</v>
      </c>
      <c r="H4709" s="25">
        <v>17.27</v>
      </c>
      <c r="I4709">
        <v>12636</v>
      </c>
      <c r="J4709">
        <v>2295</v>
      </c>
      <c r="K4709">
        <v>32</v>
      </c>
      <c r="L4709">
        <v>32</v>
      </c>
      <c r="M4709">
        <v>0</v>
      </c>
      <c r="N4709" s="23">
        <v>0</v>
      </c>
      <c r="O4709">
        <f t="shared" si="963"/>
        <v>3</v>
      </c>
      <c r="P4709" s="57">
        <f t="shared" si="964"/>
        <v>4</v>
      </c>
      <c r="Q4709" s="267">
        <f t="shared" si="965"/>
        <v>3358</v>
      </c>
      <c r="R4709" s="23">
        <f t="shared" si="966"/>
        <v>870</v>
      </c>
      <c r="S4709" s="23">
        <f t="shared" si="967"/>
        <v>781</v>
      </c>
      <c r="T4709" s="23" t="str">
        <f t="shared" si="968"/>
        <v/>
      </c>
      <c r="U4709" t="str">
        <f t="shared" si="969"/>
        <v/>
      </c>
      <c r="AF4709" s="22"/>
    </row>
    <row r="4710" spans="1:38">
      <c r="A4710" t="str">
        <f t="shared" si="970"/>
        <v>PA_Alleg_2019p~Dem-member of council mckeesport (vote for 4)</v>
      </c>
      <c r="B4710" s="55" t="s">
        <v>1291</v>
      </c>
      <c r="C4710">
        <v>697</v>
      </c>
      <c r="D4710" s="55" t="s">
        <v>671</v>
      </c>
      <c r="E4710" s="55" t="s">
        <v>677</v>
      </c>
      <c r="F4710" t="s">
        <v>12</v>
      </c>
      <c r="G4710" s="62">
        <v>870</v>
      </c>
      <c r="H4710" s="25">
        <v>15.22</v>
      </c>
      <c r="I4710">
        <v>12636</v>
      </c>
      <c r="J4710">
        <v>2295</v>
      </c>
      <c r="K4710">
        <v>32</v>
      </c>
      <c r="L4710">
        <v>32</v>
      </c>
      <c r="M4710">
        <v>0</v>
      </c>
      <c r="N4710" s="23">
        <v>0</v>
      </c>
      <c r="O4710">
        <f t="shared" si="963"/>
        <v>4</v>
      </c>
      <c r="P4710" s="57">
        <f t="shared" si="964"/>
        <v>4</v>
      </c>
      <c r="Q4710" s="267">
        <f t="shared" si="965"/>
        <v>2371</v>
      </c>
      <c r="R4710" s="23">
        <f t="shared" si="966"/>
        <v>870</v>
      </c>
      <c r="S4710" s="23">
        <f t="shared" si="967"/>
        <v>781</v>
      </c>
      <c r="T4710" s="23" t="str">
        <f t="shared" si="968"/>
        <v/>
      </c>
      <c r="U4710" t="str">
        <f t="shared" si="969"/>
        <v/>
      </c>
      <c r="AF4710" s="22"/>
      <c r="AG4710" s="23"/>
      <c r="AH4710" s="8"/>
      <c r="AL4710" s="344"/>
    </row>
    <row r="4711" spans="1:38">
      <c r="A4711" t="str">
        <f t="shared" si="970"/>
        <v>PA_Alleg_2019p~Dem-member of council mckeesport (vote for 4)</v>
      </c>
      <c r="B4711" s="55" t="s">
        <v>1291</v>
      </c>
      <c r="C4711">
        <v>695</v>
      </c>
      <c r="D4711" s="55" t="s">
        <v>671</v>
      </c>
      <c r="E4711" s="55" t="s">
        <v>675</v>
      </c>
      <c r="F4711" t="s">
        <v>12</v>
      </c>
      <c r="G4711" s="62">
        <v>781</v>
      </c>
      <c r="H4711" s="25">
        <v>13.67</v>
      </c>
      <c r="I4711">
        <v>12636</v>
      </c>
      <c r="J4711">
        <v>2295</v>
      </c>
      <c r="K4711">
        <v>32</v>
      </c>
      <c r="L4711">
        <v>32</v>
      </c>
      <c r="M4711">
        <v>0</v>
      </c>
      <c r="N4711" s="23">
        <v>0</v>
      </c>
      <c r="O4711">
        <f t="shared" si="963"/>
        <v>5</v>
      </c>
      <c r="P4711" s="57">
        <f t="shared" si="964"/>
        <v>4</v>
      </c>
      <c r="Q4711" s="267">
        <f t="shared" si="965"/>
        <v>1501</v>
      </c>
      <c r="R4711" s="23" t="str">
        <f t="shared" si="966"/>
        <v/>
      </c>
      <c r="S4711" s="23">
        <f t="shared" si="967"/>
        <v>781</v>
      </c>
      <c r="T4711" s="23" t="str">
        <f t="shared" si="968"/>
        <v/>
      </c>
      <c r="U4711" t="str">
        <f t="shared" si="969"/>
        <v/>
      </c>
      <c r="AF4711" s="300"/>
    </row>
    <row r="4712" spans="1:38">
      <c r="A4712" t="str">
        <f t="shared" si="970"/>
        <v>PA_Alleg_2019p~Dem-member of council mckeesport (vote for 4)</v>
      </c>
      <c r="B4712" s="55" t="s">
        <v>1291</v>
      </c>
      <c r="C4712">
        <v>694</v>
      </c>
      <c r="D4712" s="55" t="s">
        <v>671</v>
      </c>
      <c r="E4712" s="55" t="s">
        <v>674</v>
      </c>
      <c r="F4712" t="s">
        <v>12</v>
      </c>
      <c r="G4712" s="62">
        <v>702</v>
      </c>
      <c r="H4712" s="25">
        <v>12.28</v>
      </c>
      <c r="I4712">
        <v>12636</v>
      </c>
      <c r="J4712">
        <v>2295</v>
      </c>
      <c r="K4712">
        <v>32</v>
      </c>
      <c r="L4712">
        <v>32</v>
      </c>
      <c r="M4712">
        <v>0</v>
      </c>
      <c r="N4712" s="23">
        <v>0</v>
      </c>
      <c r="O4712">
        <f t="shared" si="963"/>
        <v>6</v>
      </c>
      <c r="P4712" s="57">
        <f t="shared" si="964"/>
        <v>4</v>
      </c>
      <c r="Q4712" s="267">
        <f t="shared" si="965"/>
        <v>720</v>
      </c>
      <c r="R4712" s="23" t="str">
        <f t="shared" si="966"/>
        <v/>
      </c>
      <c r="S4712" s="23">
        <f t="shared" si="967"/>
        <v>702</v>
      </c>
      <c r="T4712" s="23" t="str">
        <f t="shared" si="968"/>
        <v/>
      </c>
      <c r="U4712" t="str">
        <f t="shared" si="969"/>
        <v/>
      </c>
      <c r="AF4712" s="22"/>
    </row>
    <row r="4713" spans="1:38">
      <c r="A4713" t="str">
        <f t="shared" si="970"/>
        <v>PA_Alleg_2019p~Dem-member of council mckeesport (vote for 4)</v>
      </c>
      <c r="B4713" s="55" t="s">
        <v>1291</v>
      </c>
      <c r="C4713">
        <v>698</v>
      </c>
      <c r="D4713" s="55" t="s">
        <v>671</v>
      </c>
      <c r="E4713" s="55" t="s">
        <v>15</v>
      </c>
      <c r="F4713" t="s">
        <v>12</v>
      </c>
      <c r="G4713" s="62">
        <v>18</v>
      </c>
      <c r="H4713" s="25">
        <v>0.31</v>
      </c>
      <c r="I4713">
        <v>12636</v>
      </c>
      <c r="J4713">
        <v>2295</v>
      </c>
      <c r="K4713">
        <v>32</v>
      </c>
      <c r="L4713">
        <v>32</v>
      </c>
      <c r="M4713">
        <v>0</v>
      </c>
      <c r="N4713" s="23">
        <v>0</v>
      </c>
      <c r="O4713">
        <f t="shared" si="963"/>
        <v>-6</v>
      </c>
      <c r="P4713" s="57">
        <f t="shared" si="964"/>
        <v>4</v>
      </c>
      <c r="Q4713" s="267">
        <f t="shared" si="965"/>
        <v>18</v>
      </c>
      <c r="R4713" s="23">
        <f t="shared" si="966"/>
        <v>1</v>
      </c>
      <c r="S4713" s="23">
        <f t="shared" si="967"/>
        <v>0</v>
      </c>
      <c r="T4713" s="23" t="str">
        <f t="shared" si="968"/>
        <v/>
      </c>
      <c r="U4713" t="str">
        <f t="shared" si="969"/>
        <v/>
      </c>
      <c r="AF4713" s="22"/>
      <c r="AG4713" s="89"/>
      <c r="AH4713" s="274"/>
      <c r="AI4713" s="279"/>
      <c r="AJ4713" s="280"/>
      <c r="AK4713" s="92"/>
      <c r="AL4713" s="23"/>
    </row>
    <row r="4714" spans="1:38">
      <c r="A4714" t="str">
        <f t="shared" si="970"/>
        <v>PA_Alleg_2019p~Dem-member of council millvale (vote for 4)</v>
      </c>
      <c r="B4714" s="55" t="s">
        <v>1291</v>
      </c>
      <c r="C4714">
        <v>701</v>
      </c>
      <c r="D4714" s="55" t="s">
        <v>678</v>
      </c>
      <c r="E4714" s="55" t="s">
        <v>681</v>
      </c>
      <c r="F4714" t="s">
        <v>12</v>
      </c>
      <c r="G4714" s="62">
        <v>224</v>
      </c>
      <c r="H4714" s="25">
        <v>28.11</v>
      </c>
      <c r="I4714">
        <v>2475</v>
      </c>
      <c r="J4714">
        <v>322</v>
      </c>
      <c r="K4714">
        <v>5</v>
      </c>
      <c r="L4714">
        <v>5</v>
      </c>
      <c r="M4714">
        <v>0</v>
      </c>
      <c r="N4714" s="23">
        <v>0</v>
      </c>
      <c r="O4714">
        <f t="shared" si="963"/>
        <v>1</v>
      </c>
      <c r="P4714" s="57">
        <f t="shared" si="964"/>
        <v>4</v>
      </c>
      <c r="Q4714" s="267">
        <f t="shared" si="965"/>
        <v>224</v>
      </c>
      <c r="R4714" s="23">
        <f t="shared" si="966"/>
        <v>171</v>
      </c>
      <c r="S4714" s="23">
        <f t="shared" si="967"/>
        <v>0</v>
      </c>
      <c r="T4714" s="23" t="str">
        <f t="shared" si="968"/>
        <v/>
      </c>
      <c r="U4714" t="str">
        <f t="shared" si="969"/>
        <v>PA_Alleg_2019p~Dem-member of council millvale (vote for 4)</v>
      </c>
      <c r="AF4714" s="22"/>
    </row>
    <row r="4715" spans="1:38">
      <c r="A4715" t="str">
        <f t="shared" si="970"/>
        <v>PA_Alleg_2019p~Dem-member of council millvale (vote for 4)</v>
      </c>
      <c r="B4715" s="55" t="s">
        <v>1291</v>
      </c>
      <c r="C4715">
        <v>699</v>
      </c>
      <c r="D4715" s="55" t="s">
        <v>678</v>
      </c>
      <c r="E4715" s="55" t="s">
        <v>679</v>
      </c>
      <c r="F4715" t="s">
        <v>12</v>
      </c>
      <c r="G4715" s="62">
        <v>200</v>
      </c>
      <c r="H4715" s="25">
        <v>25.09</v>
      </c>
      <c r="I4715">
        <v>2475</v>
      </c>
      <c r="J4715">
        <v>322</v>
      </c>
      <c r="K4715">
        <v>5</v>
      </c>
      <c r="L4715">
        <v>5</v>
      </c>
      <c r="M4715">
        <v>0</v>
      </c>
      <c r="N4715" s="23">
        <v>0</v>
      </c>
      <c r="O4715">
        <f t="shared" si="963"/>
        <v>2</v>
      </c>
      <c r="P4715" s="57">
        <f t="shared" si="964"/>
        <v>4</v>
      </c>
      <c r="Q4715" s="267">
        <f t="shared" si="965"/>
        <v>573</v>
      </c>
      <c r="R4715" s="23">
        <f t="shared" si="966"/>
        <v>171</v>
      </c>
      <c r="S4715" s="23">
        <f t="shared" si="967"/>
        <v>0</v>
      </c>
      <c r="T4715" s="23" t="str">
        <f t="shared" si="968"/>
        <v/>
      </c>
      <c r="U4715" t="str">
        <f t="shared" si="969"/>
        <v/>
      </c>
      <c r="AF4715" s="22"/>
    </row>
    <row r="4716" spans="1:38">
      <c r="A4716" t="str">
        <f t="shared" si="970"/>
        <v>PA_Alleg_2019p~Dem-member of council millvale (vote for 4)</v>
      </c>
      <c r="B4716" s="55" t="s">
        <v>1291</v>
      </c>
      <c r="C4716">
        <v>700</v>
      </c>
      <c r="D4716" s="55" t="s">
        <v>678</v>
      </c>
      <c r="E4716" s="55" t="s">
        <v>680</v>
      </c>
      <c r="F4716" t="s">
        <v>12</v>
      </c>
      <c r="G4716" s="62">
        <v>173</v>
      </c>
      <c r="H4716" s="25">
        <v>21.71</v>
      </c>
      <c r="I4716">
        <v>2475</v>
      </c>
      <c r="J4716">
        <v>322</v>
      </c>
      <c r="K4716">
        <v>5</v>
      </c>
      <c r="L4716">
        <v>5</v>
      </c>
      <c r="M4716">
        <v>0</v>
      </c>
      <c r="N4716" s="23">
        <v>0</v>
      </c>
      <c r="O4716">
        <f t="shared" si="963"/>
        <v>3</v>
      </c>
      <c r="P4716" s="57">
        <f t="shared" si="964"/>
        <v>4</v>
      </c>
      <c r="Q4716" s="267">
        <f t="shared" si="965"/>
        <v>373</v>
      </c>
      <c r="R4716" s="23">
        <f t="shared" si="966"/>
        <v>171</v>
      </c>
      <c r="S4716" s="23">
        <f t="shared" si="967"/>
        <v>0</v>
      </c>
      <c r="T4716" s="23" t="str">
        <f t="shared" si="968"/>
        <v/>
      </c>
      <c r="U4716" t="str">
        <f t="shared" si="969"/>
        <v/>
      </c>
      <c r="AF4716" s="22"/>
    </row>
    <row r="4717" spans="1:38">
      <c r="A4717" t="str">
        <f t="shared" si="970"/>
        <v>PA_Alleg_2019p~Dem-member of council millvale (vote for 4)</v>
      </c>
      <c r="B4717" s="55" t="s">
        <v>1291</v>
      </c>
      <c r="C4717">
        <v>702</v>
      </c>
      <c r="D4717" s="55" t="s">
        <v>678</v>
      </c>
      <c r="E4717" s="55" t="s">
        <v>682</v>
      </c>
      <c r="F4717" t="s">
        <v>12</v>
      </c>
      <c r="G4717" s="62">
        <v>171</v>
      </c>
      <c r="H4717" s="25">
        <v>21.46</v>
      </c>
      <c r="I4717">
        <v>2475</v>
      </c>
      <c r="J4717">
        <v>322</v>
      </c>
      <c r="K4717">
        <v>5</v>
      </c>
      <c r="L4717">
        <v>5</v>
      </c>
      <c r="M4717">
        <v>0</v>
      </c>
      <c r="N4717" s="23">
        <v>0</v>
      </c>
      <c r="O4717">
        <f t="shared" si="963"/>
        <v>4</v>
      </c>
      <c r="P4717" s="57">
        <f t="shared" si="964"/>
        <v>4</v>
      </c>
      <c r="Q4717" s="267">
        <f t="shared" si="965"/>
        <v>200</v>
      </c>
      <c r="R4717" s="23">
        <f t="shared" si="966"/>
        <v>171</v>
      </c>
      <c r="S4717" s="23">
        <f t="shared" si="967"/>
        <v>0</v>
      </c>
      <c r="T4717" s="23" t="str">
        <f t="shared" si="968"/>
        <v/>
      </c>
      <c r="U4717" t="str">
        <f t="shared" si="969"/>
        <v/>
      </c>
      <c r="AF4717" s="22"/>
    </row>
    <row r="4718" spans="1:38">
      <c r="A4718" t="str">
        <f t="shared" si="970"/>
        <v>PA_Alleg_2019p~Dem-member of council millvale (vote for 4)</v>
      </c>
      <c r="B4718" s="55" t="s">
        <v>1291</v>
      </c>
      <c r="C4718">
        <v>703</v>
      </c>
      <c r="D4718" s="55" t="s">
        <v>678</v>
      </c>
      <c r="E4718" s="55" t="s">
        <v>15</v>
      </c>
      <c r="F4718" t="s">
        <v>12</v>
      </c>
      <c r="G4718" s="62">
        <v>29</v>
      </c>
      <c r="H4718" s="25">
        <v>3.64</v>
      </c>
      <c r="I4718">
        <v>2475</v>
      </c>
      <c r="J4718">
        <v>322</v>
      </c>
      <c r="K4718">
        <v>5</v>
      </c>
      <c r="L4718">
        <v>5</v>
      </c>
      <c r="M4718">
        <v>0</v>
      </c>
      <c r="N4718" s="23">
        <v>0</v>
      </c>
      <c r="O4718">
        <f t="shared" si="963"/>
        <v>-4</v>
      </c>
      <c r="P4718" s="57">
        <f t="shared" si="964"/>
        <v>4</v>
      </c>
      <c r="Q4718" s="267">
        <f t="shared" si="965"/>
        <v>29</v>
      </c>
      <c r="R4718" s="23">
        <f t="shared" si="966"/>
        <v>1</v>
      </c>
      <c r="S4718" s="23">
        <f t="shared" si="967"/>
        <v>0</v>
      </c>
      <c r="T4718" s="23" t="str">
        <f t="shared" si="968"/>
        <v/>
      </c>
      <c r="U4718" t="str">
        <f t="shared" si="969"/>
        <v/>
      </c>
      <c r="AF4718" s="22"/>
    </row>
    <row r="4719" spans="1:38">
      <c r="A4719" t="str">
        <f t="shared" si="970"/>
        <v>PA_Alleg_2019p~Dem-member of council monroeville ward 2 (vote for 1)</v>
      </c>
      <c r="B4719" s="55" t="s">
        <v>1291</v>
      </c>
      <c r="C4719">
        <v>1064</v>
      </c>
      <c r="D4719" s="55" t="s">
        <v>1039</v>
      </c>
      <c r="E4719" s="55" t="s">
        <v>1040</v>
      </c>
      <c r="F4719" t="s">
        <v>12</v>
      </c>
      <c r="G4719" s="62">
        <v>347</v>
      </c>
      <c r="H4719" s="25">
        <v>98.58</v>
      </c>
      <c r="I4719">
        <v>2984</v>
      </c>
      <c r="J4719">
        <v>645</v>
      </c>
      <c r="K4719">
        <v>3</v>
      </c>
      <c r="L4719">
        <v>3</v>
      </c>
      <c r="M4719">
        <v>0</v>
      </c>
      <c r="N4719" s="23">
        <v>0</v>
      </c>
      <c r="O4719">
        <f t="shared" si="963"/>
        <v>1</v>
      </c>
      <c r="P4719" s="57">
        <f t="shared" si="964"/>
        <v>1</v>
      </c>
      <c r="Q4719" s="267">
        <f t="shared" si="965"/>
        <v>352</v>
      </c>
      <c r="R4719" s="23">
        <f t="shared" si="966"/>
        <v>347</v>
      </c>
      <c r="S4719" s="23">
        <f t="shared" si="967"/>
        <v>0</v>
      </c>
      <c r="T4719" s="23" t="str">
        <f t="shared" si="968"/>
        <v/>
      </c>
      <c r="U4719" t="str">
        <f t="shared" si="969"/>
        <v>PA_Alleg_2019p~Dem-member of council monroeville ward 2 (vote for 1)</v>
      </c>
    </row>
    <row r="4720" spans="1:38">
      <c r="A4720" t="str">
        <f t="shared" si="970"/>
        <v>PA_Alleg_2019p~Dem-member of council monroeville ward 2 (vote for 1)</v>
      </c>
      <c r="B4720" s="55" t="s">
        <v>1291</v>
      </c>
      <c r="C4720">
        <v>1065</v>
      </c>
      <c r="D4720" s="55" t="s">
        <v>1039</v>
      </c>
      <c r="E4720" s="55" t="s">
        <v>15</v>
      </c>
      <c r="F4720" t="s">
        <v>12</v>
      </c>
      <c r="G4720" s="62">
        <v>5</v>
      </c>
      <c r="H4720" s="25">
        <v>1.42</v>
      </c>
      <c r="I4720">
        <v>2984</v>
      </c>
      <c r="J4720">
        <v>645</v>
      </c>
      <c r="K4720">
        <v>3</v>
      </c>
      <c r="L4720">
        <v>3</v>
      </c>
      <c r="M4720">
        <v>0</v>
      </c>
      <c r="N4720" s="23">
        <v>0</v>
      </c>
      <c r="O4720">
        <f t="shared" si="963"/>
        <v>-1</v>
      </c>
      <c r="P4720" s="57">
        <f t="shared" si="964"/>
        <v>1</v>
      </c>
      <c r="Q4720" s="267">
        <f t="shared" si="965"/>
        <v>5</v>
      </c>
      <c r="R4720" s="23">
        <f t="shared" si="966"/>
        <v>1</v>
      </c>
      <c r="S4720" s="23">
        <f t="shared" si="967"/>
        <v>0</v>
      </c>
      <c r="T4720" s="23" t="str">
        <f t="shared" si="968"/>
        <v/>
      </c>
      <c r="U4720" t="str">
        <f t="shared" si="969"/>
        <v/>
      </c>
    </row>
    <row r="4721" spans="1:38">
      <c r="A4721" t="str">
        <f t="shared" si="970"/>
        <v>PA_Alleg_2019p~Dem-member of council monroeville ward 4 (vote for 1)</v>
      </c>
      <c r="B4721" s="55" t="s">
        <v>1291</v>
      </c>
      <c r="C4721">
        <v>1066</v>
      </c>
      <c r="D4721" s="55" t="s">
        <v>1041</v>
      </c>
      <c r="E4721" s="55" t="s">
        <v>1042</v>
      </c>
      <c r="F4721" t="s">
        <v>12</v>
      </c>
      <c r="G4721" s="62">
        <v>273</v>
      </c>
      <c r="H4721" s="25">
        <v>99.27</v>
      </c>
      <c r="I4721">
        <v>2712</v>
      </c>
      <c r="J4721">
        <v>508</v>
      </c>
      <c r="K4721">
        <v>3</v>
      </c>
      <c r="L4721">
        <v>3</v>
      </c>
      <c r="M4721">
        <v>0</v>
      </c>
      <c r="N4721" s="23">
        <v>0</v>
      </c>
      <c r="O4721">
        <f t="shared" si="963"/>
        <v>1</v>
      </c>
      <c r="P4721" s="57">
        <f t="shared" si="964"/>
        <v>1</v>
      </c>
      <c r="Q4721" s="267">
        <f t="shared" si="965"/>
        <v>275</v>
      </c>
      <c r="R4721" s="23">
        <f t="shared" si="966"/>
        <v>273</v>
      </c>
      <c r="S4721" s="23">
        <f t="shared" si="967"/>
        <v>0</v>
      </c>
      <c r="T4721" s="23" t="str">
        <f t="shared" si="968"/>
        <v/>
      </c>
      <c r="U4721" t="str">
        <f t="shared" si="969"/>
        <v>PA_Alleg_2019p~Dem-member of council monroeville ward 4 (vote for 1)</v>
      </c>
      <c r="AF4721" s="300"/>
    </row>
    <row r="4722" spans="1:38">
      <c r="A4722" t="str">
        <f t="shared" si="970"/>
        <v>PA_Alleg_2019p~Dem-member of council monroeville ward 4 (vote for 1)</v>
      </c>
      <c r="B4722" s="55" t="s">
        <v>1291</v>
      </c>
      <c r="C4722">
        <v>1067</v>
      </c>
      <c r="D4722" s="55" t="s">
        <v>1041</v>
      </c>
      <c r="E4722" s="55" t="s">
        <v>15</v>
      </c>
      <c r="F4722" t="s">
        <v>12</v>
      </c>
      <c r="G4722" s="62">
        <v>2</v>
      </c>
      <c r="H4722" s="25">
        <v>0.73</v>
      </c>
      <c r="I4722">
        <v>2712</v>
      </c>
      <c r="J4722">
        <v>508</v>
      </c>
      <c r="K4722">
        <v>3</v>
      </c>
      <c r="L4722">
        <v>3</v>
      </c>
      <c r="M4722">
        <v>0</v>
      </c>
      <c r="N4722" s="23">
        <v>0</v>
      </c>
      <c r="O4722">
        <f t="shared" si="963"/>
        <v>-1</v>
      </c>
      <c r="P4722" s="57">
        <f t="shared" si="964"/>
        <v>1</v>
      </c>
      <c r="Q4722" s="267">
        <f t="shared" si="965"/>
        <v>2</v>
      </c>
      <c r="R4722" s="23">
        <f t="shared" si="966"/>
        <v>1</v>
      </c>
      <c r="S4722" s="23">
        <f t="shared" si="967"/>
        <v>0</v>
      </c>
      <c r="T4722" s="23" t="str">
        <f t="shared" si="968"/>
        <v/>
      </c>
      <c r="U4722" t="str">
        <f t="shared" si="969"/>
        <v/>
      </c>
      <c r="AF4722" s="22"/>
    </row>
    <row r="4723" spans="1:38">
      <c r="A4723" t="str">
        <f t="shared" si="970"/>
        <v>PA_Alleg_2019p~Dem-member of council monroeville ward 6 (vote for 1)</v>
      </c>
      <c r="B4723" s="55" t="s">
        <v>1291</v>
      </c>
      <c r="C4723">
        <v>1068</v>
      </c>
      <c r="D4723" s="55" t="s">
        <v>1043</v>
      </c>
      <c r="E4723" s="55" t="s">
        <v>1044</v>
      </c>
      <c r="F4723" t="s">
        <v>12</v>
      </c>
      <c r="G4723" s="62">
        <v>216</v>
      </c>
      <c r="H4723" s="25">
        <v>55.96</v>
      </c>
      <c r="I4723">
        <v>3152</v>
      </c>
      <c r="J4723">
        <v>522</v>
      </c>
      <c r="K4723">
        <v>4</v>
      </c>
      <c r="L4723">
        <v>4</v>
      </c>
      <c r="M4723">
        <v>0</v>
      </c>
      <c r="N4723" s="23">
        <v>0</v>
      </c>
      <c r="O4723">
        <f t="shared" si="963"/>
        <v>1</v>
      </c>
      <c r="P4723" s="57">
        <f t="shared" si="964"/>
        <v>1</v>
      </c>
      <c r="Q4723" s="267">
        <f t="shared" si="965"/>
        <v>386</v>
      </c>
      <c r="R4723" s="23">
        <f t="shared" si="966"/>
        <v>216</v>
      </c>
      <c r="S4723" s="23">
        <f t="shared" si="967"/>
        <v>169</v>
      </c>
      <c r="T4723" s="23">
        <f t="shared" si="968"/>
        <v>47</v>
      </c>
      <c r="U4723" t="str">
        <f t="shared" si="969"/>
        <v>PA_Alleg_2019p~Dem-member of council monroeville ward 6 (vote for 1)</v>
      </c>
      <c r="AF4723" s="22"/>
      <c r="AG4723" s="23"/>
      <c r="AH4723" s="8"/>
      <c r="AL4723" s="344"/>
    </row>
    <row r="4724" spans="1:38">
      <c r="A4724" t="str">
        <f t="shared" si="970"/>
        <v>PA_Alleg_2019p~Dem-member of council monroeville ward 6 (vote for 1)</v>
      </c>
      <c r="B4724" s="55" t="s">
        <v>1291</v>
      </c>
      <c r="C4724">
        <v>1069</v>
      </c>
      <c r="D4724" s="55" t="s">
        <v>1043</v>
      </c>
      <c r="E4724" s="55" t="s">
        <v>1045</v>
      </c>
      <c r="F4724" t="s">
        <v>12</v>
      </c>
      <c r="G4724" s="62">
        <v>169</v>
      </c>
      <c r="H4724" s="25">
        <v>43.78</v>
      </c>
      <c r="I4724">
        <v>3152</v>
      </c>
      <c r="J4724">
        <v>522</v>
      </c>
      <c r="K4724">
        <v>4</v>
      </c>
      <c r="L4724">
        <v>4</v>
      </c>
      <c r="M4724">
        <v>0</v>
      </c>
      <c r="N4724" s="23">
        <v>0</v>
      </c>
      <c r="O4724">
        <f t="shared" si="963"/>
        <v>2</v>
      </c>
      <c r="P4724" s="57">
        <f t="shared" si="964"/>
        <v>1</v>
      </c>
      <c r="Q4724" s="267">
        <f t="shared" si="965"/>
        <v>170</v>
      </c>
      <c r="R4724" s="23" t="str">
        <f t="shared" si="966"/>
        <v/>
      </c>
      <c r="S4724" s="23">
        <f t="shared" si="967"/>
        <v>169</v>
      </c>
      <c r="T4724" s="23" t="str">
        <f t="shared" si="968"/>
        <v/>
      </c>
      <c r="U4724" t="str">
        <f t="shared" si="969"/>
        <v/>
      </c>
    </row>
    <row r="4725" spans="1:38">
      <c r="A4725" t="str">
        <f t="shared" si="970"/>
        <v>PA_Alleg_2019p~Dem-member of council monroeville ward 6 (vote for 1)</v>
      </c>
      <c r="B4725" s="55" t="s">
        <v>1291</v>
      </c>
      <c r="C4725">
        <v>1070</v>
      </c>
      <c r="D4725" s="55" t="s">
        <v>1043</v>
      </c>
      <c r="E4725" s="55" t="s">
        <v>15</v>
      </c>
      <c r="F4725" t="s">
        <v>12</v>
      </c>
      <c r="G4725" s="62">
        <v>1</v>
      </c>
      <c r="H4725" s="25">
        <v>0.26</v>
      </c>
      <c r="I4725">
        <v>3152</v>
      </c>
      <c r="J4725">
        <v>522</v>
      </c>
      <c r="K4725">
        <v>4</v>
      </c>
      <c r="L4725">
        <v>4</v>
      </c>
      <c r="M4725">
        <v>0</v>
      </c>
      <c r="N4725" s="23">
        <v>0</v>
      </c>
      <c r="O4725">
        <f t="shared" si="963"/>
        <v>-2</v>
      </c>
      <c r="P4725" s="57">
        <f t="shared" si="964"/>
        <v>1</v>
      </c>
      <c r="Q4725" s="267">
        <f t="shared" si="965"/>
        <v>1</v>
      </c>
      <c r="R4725" s="23">
        <f t="shared" si="966"/>
        <v>1</v>
      </c>
      <c r="S4725" s="23">
        <f t="shared" si="967"/>
        <v>0</v>
      </c>
      <c r="T4725" s="23" t="str">
        <f t="shared" si="968"/>
        <v/>
      </c>
      <c r="U4725" t="str">
        <f t="shared" si="969"/>
        <v/>
      </c>
      <c r="AF4725" s="22"/>
      <c r="AG4725" s="89"/>
      <c r="AH4725" s="274"/>
      <c r="AI4725" s="279"/>
      <c r="AJ4725" s="280"/>
      <c r="AK4725" s="92"/>
      <c r="AL4725" s="23"/>
    </row>
    <row r="4726" spans="1:38">
      <c r="A4726" t="str">
        <f t="shared" si="970"/>
        <v>PA_Alleg_2019p~Dem-member of council mt oliver (vote for 1)</v>
      </c>
      <c r="B4726" s="55" t="s">
        <v>1291</v>
      </c>
      <c r="C4726">
        <v>950</v>
      </c>
      <c r="D4726" s="55" t="s">
        <v>925</v>
      </c>
      <c r="E4726" s="55" t="s">
        <v>926</v>
      </c>
      <c r="F4726" t="s">
        <v>12</v>
      </c>
      <c r="G4726" s="62">
        <v>165</v>
      </c>
      <c r="H4726" s="25">
        <v>98.21</v>
      </c>
      <c r="I4726">
        <v>2361</v>
      </c>
      <c r="J4726">
        <v>234</v>
      </c>
      <c r="K4726">
        <v>4</v>
      </c>
      <c r="L4726">
        <v>4</v>
      </c>
      <c r="M4726">
        <v>0</v>
      </c>
      <c r="N4726" s="23">
        <v>0</v>
      </c>
      <c r="O4726">
        <f t="shared" si="963"/>
        <v>1</v>
      </c>
      <c r="P4726" s="57">
        <f t="shared" si="964"/>
        <v>1</v>
      </c>
      <c r="Q4726" s="267">
        <f t="shared" si="965"/>
        <v>168</v>
      </c>
      <c r="R4726" s="23">
        <f t="shared" si="966"/>
        <v>165</v>
      </c>
      <c r="S4726" s="23">
        <f t="shared" si="967"/>
        <v>0</v>
      </c>
      <c r="T4726" s="23" t="str">
        <f t="shared" si="968"/>
        <v/>
      </c>
      <c r="U4726" t="str">
        <f t="shared" si="969"/>
        <v>PA_Alleg_2019p~Dem-member of council mt oliver (vote for 1)</v>
      </c>
      <c r="AF4726" s="22"/>
    </row>
    <row r="4727" spans="1:38">
      <c r="A4727" t="str">
        <f t="shared" si="970"/>
        <v>PA_Alleg_2019p~Dem-member of council mt oliver (vote for 1)</v>
      </c>
      <c r="B4727" s="55" t="s">
        <v>1291</v>
      </c>
      <c r="C4727">
        <v>951</v>
      </c>
      <c r="D4727" s="55" t="s">
        <v>925</v>
      </c>
      <c r="E4727" s="55" t="s">
        <v>15</v>
      </c>
      <c r="F4727" t="s">
        <v>12</v>
      </c>
      <c r="G4727" s="62">
        <v>3</v>
      </c>
      <c r="H4727" s="25">
        <v>1.79</v>
      </c>
      <c r="I4727">
        <v>2361</v>
      </c>
      <c r="J4727">
        <v>234</v>
      </c>
      <c r="K4727">
        <v>4</v>
      </c>
      <c r="L4727">
        <v>4</v>
      </c>
      <c r="M4727">
        <v>0</v>
      </c>
      <c r="N4727" s="23">
        <v>0</v>
      </c>
      <c r="O4727">
        <f t="shared" si="963"/>
        <v>-1</v>
      </c>
      <c r="P4727" s="57">
        <f t="shared" si="964"/>
        <v>1</v>
      </c>
      <c r="Q4727" s="267">
        <f t="shared" si="965"/>
        <v>3</v>
      </c>
      <c r="R4727" s="23">
        <f t="shared" si="966"/>
        <v>1</v>
      </c>
      <c r="S4727" s="23">
        <f t="shared" si="967"/>
        <v>0</v>
      </c>
      <c r="T4727" s="23" t="str">
        <f t="shared" si="968"/>
        <v/>
      </c>
      <c r="U4727" t="str">
        <f t="shared" si="969"/>
        <v/>
      </c>
      <c r="AF4727" s="22"/>
    </row>
    <row r="4728" spans="1:38">
      <c r="A4728" t="str">
        <f t="shared" si="970"/>
        <v>PA_Alleg_2019p~Dem-member of council mt oliver (vote for 3)</v>
      </c>
      <c r="B4728" s="55" t="s">
        <v>1291</v>
      </c>
      <c r="C4728">
        <v>809</v>
      </c>
      <c r="D4728" s="55" t="s">
        <v>788</v>
      </c>
      <c r="E4728" s="55" t="s">
        <v>789</v>
      </c>
      <c r="F4728" t="s">
        <v>12</v>
      </c>
      <c r="G4728" s="62">
        <v>151</v>
      </c>
      <c r="H4728" s="25">
        <v>36.299999999999997</v>
      </c>
      <c r="I4728">
        <v>2361</v>
      </c>
      <c r="J4728">
        <v>234</v>
      </c>
      <c r="K4728">
        <v>4</v>
      </c>
      <c r="L4728">
        <v>4</v>
      </c>
      <c r="M4728">
        <v>0</v>
      </c>
      <c r="N4728" s="23">
        <v>0</v>
      </c>
      <c r="O4728">
        <f t="shared" si="963"/>
        <v>1</v>
      </c>
      <c r="P4728" s="57">
        <f t="shared" si="964"/>
        <v>3</v>
      </c>
      <c r="Q4728" s="267">
        <f t="shared" si="965"/>
        <v>151</v>
      </c>
      <c r="R4728" s="23">
        <f t="shared" si="966"/>
        <v>120</v>
      </c>
      <c r="S4728" s="23">
        <f t="shared" si="967"/>
        <v>0</v>
      </c>
      <c r="T4728" s="23" t="str">
        <f t="shared" si="968"/>
        <v/>
      </c>
      <c r="U4728" t="str">
        <f t="shared" si="969"/>
        <v>PA_Alleg_2019p~Dem-member of council mt oliver (vote for 3)</v>
      </c>
      <c r="AF4728" s="22"/>
    </row>
    <row r="4729" spans="1:38">
      <c r="A4729" t="str">
        <f t="shared" si="970"/>
        <v>PA_Alleg_2019p~Dem-member of council mt oliver (vote for 3)</v>
      </c>
      <c r="B4729" s="55" t="s">
        <v>1291</v>
      </c>
      <c r="C4729">
        <v>810</v>
      </c>
      <c r="D4729" s="55" t="s">
        <v>788</v>
      </c>
      <c r="E4729" s="55" t="s">
        <v>790</v>
      </c>
      <c r="F4729" t="s">
        <v>12</v>
      </c>
      <c r="G4729" s="62">
        <v>141</v>
      </c>
      <c r="H4729" s="25">
        <v>33.89</v>
      </c>
      <c r="I4729">
        <v>2361</v>
      </c>
      <c r="J4729">
        <v>234</v>
      </c>
      <c r="K4729">
        <v>4</v>
      </c>
      <c r="L4729">
        <v>4</v>
      </c>
      <c r="M4729">
        <v>0</v>
      </c>
      <c r="N4729" s="23">
        <v>0</v>
      </c>
      <c r="O4729">
        <f t="shared" si="963"/>
        <v>2</v>
      </c>
      <c r="P4729" s="57">
        <f t="shared" si="964"/>
        <v>3</v>
      </c>
      <c r="Q4729" s="267">
        <f t="shared" si="965"/>
        <v>265</v>
      </c>
      <c r="R4729" s="23">
        <f t="shared" si="966"/>
        <v>120</v>
      </c>
      <c r="S4729" s="23">
        <f t="shared" si="967"/>
        <v>0</v>
      </c>
      <c r="T4729" s="23" t="str">
        <f t="shared" si="968"/>
        <v/>
      </c>
      <c r="U4729" t="str">
        <f t="shared" si="969"/>
        <v/>
      </c>
      <c r="AF4729" s="22"/>
    </row>
    <row r="4730" spans="1:38">
      <c r="A4730" t="str">
        <f t="shared" si="970"/>
        <v>PA_Alleg_2019p~Dem-member of council mt oliver (vote for 3)</v>
      </c>
      <c r="B4730" s="55" t="s">
        <v>1291</v>
      </c>
      <c r="C4730">
        <v>811</v>
      </c>
      <c r="D4730" s="55" t="s">
        <v>788</v>
      </c>
      <c r="E4730" s="55" t="s">
        <v>791</v>
      </c>
      <c r="F4730" t="s">
        <v>12</v>
      </c>
      <c r="G4730" s="62">
        <v>120</v>
      </c>
      <c r="H4730" s="25">
        <v>28.85</v>
      </c>
      <c r="I4730">
        <v>2361</v>
      </c>
      <c r="J4730">
        <v>234</v>
      </c>
      <c r="K4730">
        <v>4</v>
      </c>
      <c r="L4730">
        <v>4</v>
      </c>
      <c r="M4730">
        <v>0</v>
      </c>
      <c r="N4730" s="23">
        <v>0</v>
      </c>
      <c r="O4730">
        <f t="shared" si="963"/>
        <v>3</v>
      </c>
      <c r="P4730" s="57">
        <f t="shared" si="964"/>
        <v>3</v>
      </c>
      <c r="Q4730" s="267">
        <f t="shared" si="965"/>
        <v>124</v>
      </c>
      <c r="R4730" s="23">
        <f t="shared" si="966"/>
        <v>120</v>
      </c>
      <c r="S4730" s="23">
        <f t="shared" si="967"/>
        <v>0</v>
      </c>
      <c r="T4730" s="23" t="str">
        <f t="shared" si="968"/>
        <v/>
      </c>
      <c r="U4730" t="str">
        <f t="shared" si="969"/>
        <v/>
      </c>
    </row>
    <row r="4731" spans="1:38">
      <c r="A4731" t="str">
        <f t="shared" si="970"/>
        <v>PA_Alleg_2019p~Dem-member of council mt oliver (vote for 3)</v>
      </c>
      <c r="B4731" s="55" t="s">
        <v>1291</v>
      </c>
      <c r="C4731">
        <v>812</v>
      </c>
      <c r="D4731" s="55" t="s">
        <v>788</v>
      </c>
      <c r="E4731" s="55" t="s">
        <v>15</v>
      </c>
      <c r="F4731" t="s">
        <v>12</v>
      </c>
      <c r="G4731" s="62">
        <v>4</v>
      </c>
      <c r="H4731" s="25">
        <v>0.96</v>
      </c>
      <c r="I4731">
        <v>2361</v>
      </c>
      <c r="J4731">
        <v>234</v>
      </c>
      <c r="K4731">
        <v>4</v>
      </c>
      <c r="L4731">
        <v>4</v>
      </c>
      <c r="M4731">
        <v>0</v>
      </c>
      <c r="N4731" s="23">
        <v>0</v>
      </c>
      <c r="O4731">
        <f t="shared" si="963"/>
        <v>-3</v>
      </c>
      <c r="P4731" s="57">
        <f t="shared" si="964"/>
        <v>3</v>
      </c>
      <c r="Q4731" s="267">
        <f t="shared" si="965"/>
        <v>4</v>
      </c>
      <c r="R4731" s="23">
        <f t="shared" si="966"/>
        <v>1</v>
      </c>
      <c r="S4731" s="23">
        <f t="shared" si="967"/>
        <v>0</v>
      </c>
      <c r="T4731" s="23" t="str">
        <f t="shared" si="968"/>
        <v/>
      </c>
      <c r="U4731" t="str">
        <f t="shared" si="969"/>
        <v/>
      </c>
      <c r="AF4731" s="22"/>
    </row>
    <row r="4732" spans="1:38">
      <c r="A4732" t="str">
        <f t="shared" si="970"/>
        <v>PA_Alleg_2019p~Dem-member of council munhall (vote for 3)</v>
      </c>
      <c r="B4732" s="55" t="s">
        <v>1291</v>
      </c>
      <c r="C4732">
        <v>813</v>
      </c>
      <c r="D4732" s="55" t="s">
        <v>792</v>
      </c>
      <c r="E4732" s="55" t="s">
        <v>793</v>
      </c>
      <c r="F4732" t="s">
        <v>12</v>
      </c>
      <c r="G4732" s="62">
        <v>844</v>
      </c>
      <c r="H4732" s="25">
        <v>20.77</v>
      </c>
      <c r="I4732">
        <v>7990</v>
      </c>
      <c r="J4732">
        <v>1885</v>
      </c>
      <c r="K4732">
        <v>12</v>
      </c>
      <c r="L4732">
        <v>12</v>
      </c>
      <c r="M4732">
        <v>0</v>
      </c>
      <c r="N4732" s="23">
        <v>0</v>
      </c>
      <c r="O4732">
        <f t="shared" si="963"/>
        <v>1</v>
      </c>
      <c r="P4732" s="57">
        <f t="shared" si="964"/>
        <v>3</v>
      </c>
      <c r="Q4732" s="267">
        <f t="shared" si="965"/>
        <v>1354.6666666666667</v>
      </c>
      <c r="R4732" s="23">
        <f t="shared" si="966"/>
        <v>656</v>
      </c>
      <c r="S4732" s="23">
        <f t="shared" si="967"/>
        <v>626</v>
      </c>
      <c r="T4732" s="23">
        <f t="shared" si="968"/>
        <v>30</v>
      </c>
      <c r="U4732" t="str">
        <f t="shared" si="969"/>
        <v>PA_Alleg_2019p~Dem-member of council munhall (vote for 3)</v>
      </c>
      <c r="AF4732" s="22"/>
      <c r="AG4732" s="314"/>
      <c r="AH4732" s="313"/>
      <c r="AI4732" s="315"/>
      <c r="AJ4732" s="315"/>
      <c r="AK4732" s="345"/>
      <c r="AL4732" s="346"/>
    </row>
    <row r="4733" spans="1:38">
      <c r="A4733" t="str">
        <f t="shared" si="970"/>
        <v>PA_Alleg_2019p~Dem-member of council munhall (vote for 3)</v>
      </c>
      <c r="B4733" s="55" t="s">
        <v>1291</v>
      </c>
      <c r="C4733">
        <v>818</v>
      </c>
      <c r="D4733" s="55" t="s">
        <v>792</v>
      </c>
      <c r="E4733" s="55" t="s">
        <v>798</v>
      </c>
      <c r="F4733" t="s">
        <v>12</v>
      </c>
      <c r="G4733" s="62">
        <v>678</v>
      </c>
      <c r="H4733" s="25">
        <v>16.68</v>
      </c>
      <c r="I4733">
        <v>7990</v>
      </c>
      <c r="J4733">
        <v>1885</v>
      </c>
      <c r="K4733">
        <v>12</v>
      </c>
      <c r="L4733">
        <v>12</v>
      </c>
      <c r="M4733">
        <v>0</v>
      </c>
      <c r="N4733" s="23">
        <v>0</v>
      </c>
      <c r="O4733">
        <f t="shared" si="963"/>
        <v>2</v>
      </c>
      <c r="P4733" s="57">
        <f t="shared" si="964"/>
        <v>3</v>
      </c>
      <c r="Q4733" s="267">
        <f t="shared" si="965"/>
        <v>3220</v>
      </c>
      <c r="R4733" s="23">
        <f t="shared" si="966"/>
        <v>656</v>
      </c>
      <c r="S4733" s="23">
        <f t="shared" si="967"/>
        <v>626</v>
      </c>
      <c r="T4733" s="23" t="str">
        <f t="shared" si="968"/>
        <v/>
      </c>
      <c r="U4733" t="str">
        <f t="shared" si="969"/>
        <v/>
      </c>
      <c r="AF4733" s="22"/>
    </row>
    <row r="4734" spans="1:38">
      <c r="A4734" t="str">
        <f t="shared" si="970"/>
        <v>PA_Alleg_2019p~Dem-member of council munhall (vote for 3)</v>
      </c>
      <c r="B4734" s="55" t="s">
        <v>1291</v>
      </c>
      <c r="C4734">
        <v>815</v>
      </c>
      <c r="D4734" s="55" t="s">
        <v>792</v>
      </c>
      <c r="E4734" s="55" t="s">
        <v>795</v>
      </c>
      <c r="F4734" t="s">
        <v>12</v>
      </c>
      <c r="G4734" s="62">
        <v>656</v>
      </c>
      <c r="H4734" s="25">
        <v>16.14</v>
      </c>
      <c r="I4734">
        <v>7990</v>
      </c>
      <c r="J4734">
        <v>1885</v>
      </c>
      <c r="K4734">
        <v>12</v>
      </c>
      <c r="L4734">
        <v>12</v>
      </c>
      <c r="M4734">
        <v>0</v>
      </c>
      <c r="N4734" s="23">
        <v>0</v>
      </c>
      <c r="O4734">
        <f t="shared" si="963"/>
        <v>3</v>
      </c>
      <c r="P4734" s="57">
        <f t="shared" si="964"/>
        <v>3</v>
      </c>
      <c r="Q4734" s="267">
        <f t="shared" si="965"/>
        <v>2542</v>
      </c>
      <c r="R4734" s="23">
        <f t="shared" si="966"/>
        <v>656</v>
      </c>
      <c r="S4734" s="23">
        <f t="shared" si="967"/>
        <v>626</v>
      </c>
      <c r="T4734" s="23" t="str">
        <f t="shared" si="968"/>
        <v/>
      </c>
      <c r="U4734" t="str">
        <f t="shared" si="969"/>
        <v/>
      </c>
      <c r="AF4734" s="22"/>
      <c r="AG4734" s="302"/>
      <c r="AH4734" s="301"/>
      <c r="AI4734" s="303"/>
      <c r="AJ4734" s="303"/>
      <c r="AK4734" s="342"/>
      <c r="AL4734" s="343"/>
    </row>
    <row r="4735" spans="1:38">
      <c r="A4735" t="str">
        <f t="shared" si="970"/>
        <v>PA_Alleg_2019p~Dem-member of council munhall (vote for 3)</v>
      </c>
      <c r="B4735" s="55" t="s">
        <v>1291</v>
      </c>
      <c r="C4735">
        <v>819</v>
      </c>
      <c r="D4735" s="55" t="s">
        <v>792</v>
      </c>
      <c r="E4735" s="55" t="s">
        <v>799</v>
      </c>
      <c r="F4735" t="s">
        <v>12</v>
      </c>
      <c r="G4735" s="62">
        <v>626</v>
      </c>
      <c r="H4735" s="25">
        <v>15.4</v>
      </c>
      <c r="I4735">
        <v>7990</v>
      </c>
      <c r="J4735">
        <v>1885</v>
      </c>
      <c r="K4735">
        <v>12</v>
      </c>
      <c r="L4735">
        <v>12</v>
      </c>
      <c r="M4735">
        <v>0</v>
      </c>
      <c r="N4735" s="23">
        <v>0</v>
      </c>
      <c r="O4735">
        <f t="shared" si="963"/>
        <v>4</v>
      </c>
      <c r="P4735" s="57">
        <f t="shared" si="964"/>
        <v>3</v>
      </c>
      <c r="Q4735" s="267">
        <f t="shared" si="965"/>
        <v>1886</v>
      </c>
      <c r="R4735" s="23" t="str">
        <f t="shared" si="966"/>
        <v/>
      </c>
      <c r="S4735" s="23">
        <f t="shared" si="967"/>
        <v>626</v>
      </c>
      <c r="T4735" s="23" t="str">
        <f t="shared" si="968"/>
        <v/>
      </c>
      <c r="U4735" t="str">
        <f t="shared" si="969"/>
        <v/>
      </c>
      <c r="AF4735" s="22"/>
    </row>
    <row r="4736" spans="1:38">
      <c r="A4736" t="str">
        <f t="shared" si="970"/>
        <v>PA_Alleg_2019p~Dem-member of council munhall (vote for 3)</v>
      </c>
      <c r="B4736" s="55" t="s">
        <v>1291</v>
      </c>
      <c r="C4736">
        <v>814</v>
      </c>
      <c r="D4736" s="55" t="s">
        <v>792</v>
      </c>
      <c r="E4736" s="55" t="s">
        <v>794</v>
      </c>
      <c r="F4736" t="s">
        <v>12</v>
      </c>
      <c r="G4736" s="62">
        <v>553</v>
      </c>
      <c r="H4736" s="25">
        <v>13.61</v>
      </c>
      <c r="I4736">
        <v>7990</v>
      </c>
      <c r="J4736">
        <v>1885</v>
      </c>
      <c r="K4736">
        <v>12</v>
      </c>
      <c r="L4736">
        <v>12</v>
      </c>
      <c r="M4736">
        <v>0</v>
      </c>
      <c r="N4736" s="23">
        <v>0</v>
      </c>
      <c r="O4736">
        <f t="shared" si="963"/>
        <v>5</v>
      </c>
      <c r="P4736" s="57">
        <f t="shared" si="964"/>
        <v>3</v>
      </c>
      <c r="Q4736" s="267">
        <f t="shared" si="965"/>
        <v>1260</v>
      </c>
      <c r="R4736" s="23" t="str">
        <f t="shared" si="966"/>
        <v/>
      </c>
      <c r="S4736" s="23">
        <f t="shared" si="967"/>
        <v>553</v>
      </c>
      <c r="T4736" s="23" t="str">
        <f t="shared" si="968"/>
        <v/>
      </c>
      <c r="U4736" t="str">
        <f t="shared" si="969"/>
        <v/>
      </c>
      <c r="AF4736" s="22"/>
      <c r="AH4736" s="8"/>
    </row>
    <row r="4737" spans="1:38">
      <c r="A4737" t="str">
        <f t="shared" si="970"/>
        <v>PA_Alleg_2019p~Dem-member of council munhall (vote for 3)</v>
      </c>
      <c r="B4737" s="55" t="s">
        <v>1291</v>
      </c>
      <c r="C4737">
        <v>816</v>
      </c>
      <c r="D4737" s="55" t="s">
        <v>792</v>
      </c>
      <c r="E4737" s="55" t="s">
        <v>796</v>
      </c>
      <c r="F4737" t="s">
        <v>12</v>
      </c>
      <c r="G4737" s="62">
        <v>379</v>
      </c>
      <c r="H4737" s="25">
        <v>9.33</v>
      </c>
      <c r="I4737">
        <v>7990</v>
      </c>
      <c r="J4737">
        <v>1885</v>
      </c>
      <c r="K4737">
        <v>12</v>
      </c>
      <c r="L4737">
        <v>12</v>
      </c>
      <c r="M4737">
        <v>0</v>
      </c>
      <c r="N4737" s="23">
        <v>0</v>
      </c>
      <c r="O4737">
        <f t="shared" si="963"/>
        <v>6</v>
      </c>
      <c r="P4737" s="57">
        <f t="shared" si="964"/>
        <v>3</v>
      </c>
      <c r="Q4737" s="267">
        <f t="shared" si="965"/>
        <v>707</v>
      </c>
      <c r="R4737" s="23" t="str">
        <f t="shared" si="966"/>
        <v/>
      </c>
      <c r="S4737" s="23">
        <f t="shared" si="967"/>
        <v>379</v>
      </c>
      <c r="T4737" s="23" t="str">
        <f t="shared" si="968"/>
        <v/>
      </c>
      <c r="U4737" t="str">
        <f t="shared" si="969"/>
        <v/>
      </c>
      <c r="AF4737" s="22"/>
      <c r="AG4737" s="283"/>
      <c r="AH4737" s="287"/>
      <c r="AI4737" s="288"/>
      <c r="AJ4737" s="288"/>
      <c r="AK4737" s="347"/>
      <c r="AL4737" s="348"/>
    </row>
    <row r="4738" spans="1:38">
      <c r="A4738" t="str">
        <f t="shared" si="970"/>
        <v>PA_Alleg_2019p~Dem-member of council munhall (vote for 3)</v>
      </c>
      <c r="B4738" s="55" t="s">
        <v>1291</v>
      </c>
      <c r="C4738">
        <v>817</v>
      </c>
      <c r="D4738" s="55" t="s">
        <v>792</v>
      </c>
      <c r="E4738" s="55" t="s">
        <v>797</v>
      </c>
      <c r="F4738" t="s">
        <v>12</v>
      </c>
      <c r="G4738" s="62">
        <v>312</v>
      </c>
      <c r="H4738" s="25">
        <v>7.68</v>
      </c>
      <c r="I4738">
        <v>7990</v>
      </c>
      <c r="J4738">
        <v>1885</v>
      </c>
      <c r="K4738">
        <v>12</v>
      </c>
      <c r="L4738">
        <v>12</v>
      </c>
      <c r="M4738">
        <v>0</v>
      </c>
      <c r="N4738" s="23">
        <v>0</v>
      </c>
      <c r="O4738">
        <f t="shared" ref="O4738:O4801" si="971">IF(OR(LOWER(LEFT(E4738,8))="write-in",LOWER(LEFT(E4738,8))="not qual"),IF(A4738=A4737,-ABS(O4737),0),IF(A4738=A4737,ABS(O4737)+1,1))</f>
        <v>7</v>
      </c>
      <c r="P4738" s="57">
        <f t="shared" ref="P4738:P4801" si="972">1*LEFT(RIGHT(A4738,2),1)</f>
        <v>3</v>
      </c>
      <c r="Q4738" s="267">
        <f t="shared" ref="Q4738:Q4801" si="973">IF(A4738&lt;&gt;A4739,G4738,IF(A4738=A4737,G4738+Q4739,MAX(G4738,(G4738+Q4739)/P4738)))</f>
        <v>328</v>
      </c>
      <c r="R4738" s="23" t="str">
        <f t="shared" ref="R4738:R4801" si="974">IF(O4738&gt;P4738,"",IF(O4738=P4738,G4738,IF(A4738=A4739,R4739,IF(O4738&lt;=0,1,G4738))))</f>
        <v/>
      </c>
      <c r="S4738" s="23">
        <f t="shared" ref="S4738:S4801" si="975">IF(AND(O4738&gt;P4738,LOWER(LEFT(E4738,8))&lt;&gt;"write-in",LOWER(LEFT(E4738,8))&lt;&gt;"not qual"),G4738,IF(A4738=A4739,S4739,0))</f>
        <v>312</v>
      </c>
      <c r="T4738" s="23" t="str">
        <f t="shared" ref="T4738:T4801" si="976">IF(OR(A4738=A4737,S4738=0),"",R4738-ABS(S4738))</f>
        <v/>
      </c>
      <c r="U4738" t="str">
        <f t="shared" ref="U4738:U4801" si="977">IF(A4738=A4737,"",A4738)</f>
        <v/>
      </c>
      <c r="AF4738" s="22"/>
    </row>
    <row r="4739" spans="1:38">
      <c r="A4739" t="str">
        <f t="shared" ref="A4739:A4802" si="978">CONCATENATE(B4739,"~",F4739,"-",LOWER(D4739))</f>
        <v>PA_Alleg_2019p~Dem-member of council munhall (vote for 3)</v>
      </c>
      <c r="B4739" s="55" t="s">
        <v>1291</v>
      </c>
      <c r="C4739">
        <v>820</v>
      </c>
      <c r="D4739" s="55" t="s">
        <v>792</v>
      </c>
      <c r="E4739" s="55" t="s">
        <v>15</v>
      </c>
      <c r="F4739" t="s">
        <v>12</v>
      </c>
      <c r="G4739" s="62">
        <v>16</v>
      </c>
      <c r="H4739" s="25">
        <v>0.39</v>
      </c>
      <c r="I4739">
        <v>7990</v>
      </c>
      <c r="J4739">
        <v>1885</v>
      </c>
      <c r="K4739">
        <v>12</v>
      </c>
      <c r="L4739">
        <v>12</v>
      </c>
      <c r="M4739">
        <v>0</v>
      </c>
      <c r="N4739" s="23">
        <v>0</v>
      </c>
      <c r="O4739">
        <f t="shared" si="971"/>
        <v>-7</v>
      </c>
      <c r="P4739" s="57">
        <f t="shared" si="972"/>
        <v>3</v>
      </c>
      <c r="Q4739" s="267">
        <f t="shared" si="973"/>
        <v>16</v>
      </c>
      <c r="R4739" s="23">
        <f t="shared" si="974"/>
        <v>1</v>
      </c>
      <c r="S4739" s="23">
        <f t="shared" si="975"/>
        <v>0</v>
      </c>
      <c r="T4739" s="23" t="str">
        <f t="shared" si="976"/>
        <v/>
      </c>
      <c r="U4739" t="str">
        <f t="shared" si="977"/>
        <v/>
      </c>
      <c r="AF4739" s="22"/>
      <c r="AG4739" s="295"/>
      <c r="AH4739" s="294"/>
      <c r="AI4739" s="279"/>
      <c r="AJ4739" s="279"/>
      <c r="AL4739" s="351"/>
    </row>
    <row r="4740" spans="1:38">
      <c r="A4740" t="str">
        <f t="shared" si="978"/>
        <v>PA_Alleg_2019p~Dem-member of council north braddock ward 1 (vote for 1)</v>
      </c>
      <c r="B4740" s="55" t="s">
        <v>1291</v>
      </c>
      <c r="C4740">
        <v>1071</v>
      </c>
      <c r="D4740" s="55" t="s">
        <v>1046</v>
      </c>
      <c r="E4740" s="55" t="s">
        <v>1047</v>
      </c>
      <c r="F4740" t="s">
        <v>12</v>
      </c>
      <c r="G4740" s="62">
        <v>184</v>
      </c>
      <c r="H4740" s="25">
        <v>97.87</v>
      </c>
      <c r="I4740">
        <v>1329</v>
      </c>
      <c r="J4740">
        <v>221</v>
      </c>
      <c r="K4740">
        <v>3</v>
      </c>
      <c r="L4740">
        <v>3</v>
      </c>
      <c r="M4740">
        <v>0</v>
      </c>
      <c r="N4740" s="23">
        <v>0</v>
      </c>
      <c r="O4740">
        <f t="shared" si="971"/>
        <v>1</v>
      </c>
      <c r="P4740" s="57">
        <f t="shared" si="972"/>
        <v>1</v>
      </c>
      <c r="Q4740" s="267">
        <f t="shared" si="973"/>
        <v>188</v>
      </c>
      <c r="R4740" s="23">
        <f t="shared" si="974"/>
        <v>184</v>
      </c>
      <c r="S4740" s="23">
        <f t="shared" si="975"/>
        <v>0</v>
      </c>
      <c r="T4740" s="23" t="str">
        <f t="shared" si="976"/>
        <v/>
      </c>
      <c r="U4740" t="str">
        <f t="shared" si="977"/>
        <v>PA_Alleg_2019p~Dem-member of council north braddock ward 1 (vote for 1)</v>
      </c>
      <c r="AF4740" s="22"/>
    </row>
    <row r="4741" spans="1:38">
      <c r="A4741" t="str">
        <f t="shared" si="978"/>
        <v>PA_Alleg_2019p~Dem-member of council north braddock ward 1 (vote for 1)</v>
      </c>
      <c r="B4741" s="55" t="s">
        <v>1291</v>
      </c>
      <c r="C4741">
        <v>1072</v>
      </c>
      <c r="D4741" s="55" t="s">
        <v>1046</v>
      </c>
      <c r="E4741" s="55" t="s">
        <v>15</v>
      </c>
      <c r="F4741" t="s">
        <v>12</v>
      </c>
      <c r="G4741" s="62">
        <v>4</v>
      </c>
      <c r="H4741" s="25">
        <v>2.13</v>
      </c>
      <c r="I4741">
        <v>1329</v>
      </c>
      <c r="J4741">
        <v>221</v>
      </c>
      <c r="K4741">
        <v>3</v>
      </c>
      <c r="L4741">
        <v>3</v>
      </c>
      <c r="M4741">
        <v>0</v>
      </c>
      <c r="N4741" s="23">
        <v>0</v>
      </c>
      <c r="O4741">
        <f t="shared" si="971"/>
        <v>-1</v>
      </c>
      <c r="P4741" s="57">
        <f t="shared" si="972"/>
        <v>1</v>
      </c>
      <c r="Q4741" s="267">
        <f t="shared" si="973"/>
        <v>4</v>
      </c>
      <c r="R4741" s="23">
        <f t="shared" si="974"/>
        <v>1</v>
      </c>
      <c r="S4741" s="23">
        <f t="shared" si="975"/>
        <v>0</v>
      </c>
      <c r="T4741" s="23" t="str">
        <f t="shared" si="976"/>
        <v/>
      </c>
      <c r="U4741" t="str">
        <f t="shared" si="977"/>
        <v/>
      </c>
      <c r="AF4741" s="22"/>
    </row>
    <row r="4742" spans="1:38">
      <c r="A4742" t="str">
        <f t="shared" si="978"/>
        <v>PA_Alleg_2019p~Dem-member of council north braddock ward 2 (vote for 1)</v>
      </c>
      <c r="B4742" s="55" t="s">
        <v>1291</v>
      </c>
      <c r="C4742">
        <v>1073</v>
      </c>
      <c r="D4742" s="55" t="s">
        <v>1048</v>
      </c>
      <c r="E4742" s="55" t="s">
        <v>1049</v>
      </c>
      <c r="F4742" t="s">
        <v>12</v>
      </c>
      <c r="G4742" s="62">
        <v>137</v>
      </c>
      <c r="H4742" s="25">
        <v>97.86</v>
      </c>
      <c r="I4742">
        <v>1052</v>
      </c>
      <c r="J4742">
        <v>169</v>
      </c>
      <c r="K4742">
        <v>2</v>
      </c>
      <c r="L4742">
        <v>2</v>
      </c>
      <c r="M4742">
        <v>0</v>
      </c>
      <c r="N4742" s="23">
        <v>0</v>
      </c>
      <c r="O4742">
        <f t="shared" si="971"/>
        <v>1</v>
      </c>
      <c r="P4742" s="57">
        <f t="shared" si="972"/>
        <v>1</v>
      </c>
      <c r="Q4742" s="267">
        <f t="shared" si="973"/>
        <v>140</v>
      </c>
      <c r="R4742" s="23">
        <f t="shared" si="974"/>
        <v>137</v>
      </c>
      <c r="S4742" s="23">
        <f t="shared" si="975"/>
        <v>0</v>
      </c>
      <c r="T4742" s="23" t="str">
        <f t="shared" si="976"/>
        <v/>
      </c>
      <c r="U4742" t="str">
        <f t="shared" si="977"/>
        <v>PA_Alleg_2019p~Dem-member of council north braddock ward 2 (vote for 1)</v>
      </c>
    </row>
    <row r="4743" spans="1:38">
      <c r="A4743" t="str">
        <f t="shared" si="978"/>
        <v>PA_Alleg_2019p~Dem-member of council north braddock ward 2 (vote for 1)</v>
      </c>
      <c r="B4743" s="55" t="s">
        <v>1291</v>
      </c>
      <c r="C4743">
        <v>1074</v>
      </c>
      <c r="D4743" s="55" t="s">
        <v>1048</v>
      </c>
      <c r="E4743" s="55" t="s">
        <v>15</v>
      </c>
      <c r="F4743" t="s">
        <v>12</v>
      </c>
      <c r="G4743" s="62">
        <v>3</v>
      </c>
      <c r="H4743" s="25">
        <v>2.14</v>
      </c>
      <c r="I4743">
        <v>1052</v>
      </c>
      <c r="J4743">
        <v>169</v>
      </c>
      <c r="K4743">
        <v>2</v>
      </c>
      <c r="L4743">
        <v>2</v>
      </c>
      <c r="M4743">
        <v>0</v>
      </c>
      <c r="N4743" s="23">
        <v>0</v>
      </c>
      <c r="O4743">
        <f t="shared" si="971"/>
        <v>-1</v>
      </c>
      <c r="P4743" s="57">
        <f t="shared" si="972"/>
        <v>1</v>
      </c>
      <c r="Q4743" s="267">
        <f t="shared" si="973"/>
        <v>3</v>
      </c>
      <c r="R4743" s="23">
        <f t="shared" si="974"/>
        <v>1</v>
      </c>
      <c r="S4743" s="23">
        <f t="shared" si="975"/>
        <v>0</v>
      </c>
      <c r="T4743" s="23" t="str">
        <f t="shared" si="976"/>
        <v/>
      </c>
      <c r="U4743" t="str">
        <f t="shared" si="977"/>
        <v/>
      </c>
      <c r="AF4743" s="22"/>
    </row>
    <row r="4744" spans="1:38">
      <c r="A4744" t="str">
        <f t="shared" si="978"/>
        <v>PA_Alleg_2019p~Dem-member of council north braddock ward 3 (vote for 2)</v>
      </c>
      <c r="B4744" s="55" t="s">
        <v>1291</v>
      </c>
      <c r="C4744">
        <v>983</v>
      </c>
      <c r="D4744" s="55" t="s">
        <v>956</v>
      </c>
      <c r="E4744" s="55" t="s">
        <v>959</v>
      </c>
      <c r="F4744" t="s">
        <v>12</v>
      </c>
      <c r="G4744" s="62">
        <v>82</v>
      </c>
      <c r="H4744" s="25">
        <v>33.880000000000003</v>
      </c>
      <c r="I4744">
        <v>995</v>
      </c>
      <c r="J4744">
        <v>169</v>
      </c>
      <c r="K4744">
        <v>2</v>
      </c>
      <c r="L4744">
        <v>2</v>
      </c>
      <c r="M4744">
        <v>0</v>
      </c>
      <c r="N4744" s="23">
        <v>0</v>
      </c>
      <c r="O4744">
        <f t="shared" si="971"/>
        <v>1</v>
      </c>
      <c r="P4744" s="57">
        <f t="shared" si="972"/>
        <v>2</v>
      </c>
      <c r="Q4744" s="267">
        <f t="shared" si="973"/>
        <v>121</v>
      </c>
      <c r="R4744" s="23">
        <f t="shared" si="974"/>
        <v>81</v>
      </c>
      <c r="S4744" s="23">
        <f t="shared" si="975"/>
        <v>77</v>
      </c>
      <c r="T4744" s="23">
        <f t="shared" si="976"/>
        <v>4</v>
      </c>
      <c r="U4744" t="str">
        <f t="shared" si="977"/>
        <v>PA_Alleg_2019p~Dem-member of council north braddock ward 3 (vote for 2)</v>
      </c>
      <c r="AF4744" s="22"/>
    </row>
    <row r="4745" spans="1:38">
      <c r="A4745" t="str">
        <f t="shared" si="978"/>
        <v>PA_Alleg_2019p~Dem-member of council north braddock ward 3 (vote for 2)</v>
      </c>
      <c r="B4745" s="55" t="s">
        <v>1291</v>
      </c>
      <c r="C4745">
        <v>982</v>
      </c>
      <c r="D4745" s="55" t="s">
        <v>956</v>
      </c>
      <c r="E4745" s="55" t="s">
        <v>958</v>
      </c>
      <c r="F4745" t="s">
        <v>12</v>
      </c>
      <c r="G4745" s="62">
        <v>81</v>
      </c>
      <c r="H4745" s="25">
        <v>33.47</v>
      </c>
      <c r="I4745">
        <v>995</v>
      </c>
      <c r="J4745">
        <v>169</v>
      </c>
      <c r="K4745">
        <v>2</v>
      </c>
      <c r="L4745">
        <v>2</v>
      </c>
      <c r="M4745">
        <v>0</v>
      </c>
      <c r="N4745" s="23">
        <v>0</v>
      </c>
      <c r="O4745">
        <f t="shared" si="971"/>
        <v>2</v>
      </c>
      <c r="P4745" s="57">
        <f t="shared" si="972"/>
        <v>2</v>
      </c>
      <c r="Q4745" s="267">
        <f t="shared" si="973"/>
        <v>160</v>
      </c>
      <c r="R4745" s="23">
        <f t="shared" si="974"/>
        <v>81</v>
      </c>
      <c r="S4745" s="23">
        <f t="shared" si="975"/>
        <v>77</v>
      </c>
      <c r="T4745" s="23" t="str">
        <f t="shared" si="976"/>
        <v/>
      </c>
      <c r="U4745" t="str">
        <f t="shared" si="977"/>
        <v/>
      </c>
      <c r="AF4745" s="22"/>
    </row>
    <row r="4746" spans="1:38">
      <c r="A4746" t="str">
        <f t="shared" si="978"/>
        <v>PA_Alleg_2019p~Dem-member of council north braddock ward 3 (vote for 2)</v>
      </c>
      <c r="B4746" s="55" t="s">
        <v>1291</v>
      </c>
      <c r="C4746">
        <v>981</v>
      </c>
      <c r="D4746" s="55" t="s">
        <v>956</v>
      </c>
      <c r="E4746" s="55" t="s">
        <v>957</v>
      </c>
      <c r="F4746" t="s">
        <v>12</v>
      </c>
      <c r="G4746" s="62">
        <v>77</v>
      </c>
      <c r="H4746" s="25">
        <v>31.82</v>
      </c>
      <c r="I4746">
        <v>995</v>
      </c>
      <c r="J4746">
        <v>169</v>
      </c>
      <c r="K4746">
        <v>2</v>
      </c>
      <c r="L4746">
        <v>2</v>
      </c>
      <c r="M4746">
        <v>0</v>
      </c>
      <c r="N4746" s="23">
        <v>0</v>
      </c>
      <c r="O4746">
        <f t="shared" si="971"/>
        <v>3</v>
      </c>
      <c r="P4746" s="57">
        <f t="shared" si="972"/>
        <v>2</v>
      </c>
      <c r="Q4746" s="267">
        <f t="shared" si="973"/>
        <v>79</v>
      </c>
      <c r="R4746" s="23" t="str">
        <f t="shared" si="974"/>
        <v/>
      </c>
      <c r="S4746" s="23">
        <f t="shared" si="975"/>
        <v>77</v>
      </c>
      <c r="T4746" s="23" t="str">
        <f t="shared" si="976"/>
        <v/>
      </c>
      <c r="U4746" t="str">
        <f t="shared" si="977"/>
        <v/>
      </c>
      <c r="AF4746" s="22"/>
    </row>
    <row r="4747" spans="1:38">
      <c r="A4747" t="str">
        <f t="shared" si="978"/>
        <v>PA_Alleg_2019p~Dem-member of council north braddock ward 3 (vote for 2)</v>
      </c>
      <c r="B4747" s="55" t="s">
        <v>1291</v>
      </c>
      <c r="C4747">
        <v>984</v>
      </c>
      <c r="D4747" s="55" t="s">
        <v>956</v>
      </c>
      <c r="E4747" s="55" t="s">
        <v>15</v>
      </c>
      <c r="F4747" t="s">
        <v>12</v>
      </c>
      <c r="G4747" s="62">
        <v>2</v>
      </c>
      <c r="H4747" s="25">
        <v>0.83</v>
      </c>
      <c r="I4747">
        <v>995</v>
      </c>
      <c r="J4747">
        <v>169</v>
      </c>
      <c r="K4747">
        <v>2</v>
      </c>
      <c r="L4747">
        <v>2</v>
      </c>
      <c r="M4747">
        <v>0</v>
      </c>
      <c r="N4747" s="23">
        <v>0</v>
      </c>
      <c r="O4747">
        <f t="shared" si="971"/>
        <v>-3</v>
      </c>
      <c r="P4747" s="57">
        <f t="shared" si="972"/>
        <v>2</v>
      </c>
      <c r="Q4747" s="267">
        <f t="shared" si="973"/>
        <v>2</v>
      </c>
      <c r="R4747" s="23">
        <f t="shared" si="974"/>
        <v>1</v>
      </c>
      <c r="S4747" s="23">
        <f t="shared" si="975"/>
        <v>0</v>
      </c>
      <c r="T4747" s="23" t="str">
        <f t="shared" si="976"/>
        <v/>
      </c>
      <c r="U4747" t="str">
        <f t="shared" si="977"/>
        <v/>
      </c>
      <c r="AF4747" s="22"/>
    </row>
    <row r="4748" spans="1:38">
      <c r="A4748" t="str">
        <f t="shared" si="978"/>
        <v>PA_Alleg_2019p~Dem-member of council oakdale (vote for 3)</v>
      </c>
      <c r="B4748" s="55" t="s">
        <v>1291</v>
      </c>
      <c r="C4748">
        <v>821</v>
      </c>
      <c r="D4748" s="55" t="s">
        <v>800</v>
      </c>
      <c r="E4748" s="55" t="s">
        <v>801</v>
      </c>
      <c r="F4748" t="s">
        <v>12</v>
      </c>
      <c r="G4748" s="62">
        <v>97</v>
      </c>
      <c r="H4748" s="25">
        <v>34.4</v>
      </c>
      <c r="I4748">
        <v>1049</v>
      </c>
      <c r="J4748">
        <v>163</v>
      </c>
      <c r="K4748">
        <v>2</v>
      </c>
      <c r="L4748">
        <v>2</v>
      </c>
      <c r="M4748">
        <v>0</v>
      </c>
      <c r="N4748" s="23">
        <v>0</v>
      </c>
      <c r="O4748">
        <f t="shared" si="971"/>
        <v>1</v>
      </c>
      <c r="P4748" s="57">
        <f t="shared" si="972"/>
        <v>3</v>
      </c>
      <c r="Q4748" s="267">
        <f t="shared" si="973"/>
        <v>97</v>
      </c>
      <c r="R4748" s="23">
        <f t="shared" si="974"/>
        <v>89</v>
      </c>
      <c r="S4748" s="23">
        <f t="shared" si="975"/>
        <v>0</v>
      </c>
      <c r="T4748" s="23" t="str">
        <f t="shared" si="976"/>
        <v/>
      </c>
      <c r="U4748" t="str">
        <f t="shared" si="977"/>
        <v>PA_Alleg_2019p~Dem-member of council oakdale (vote for 3)</v>
      </c>
      <c r="AF4748" s="22"/>
    </row>
    <row r="4749" spans="1:38">
      <c r="A4749" t="str">
        <f t="shared" si="978"/>
        <v>PA_Alleg_2019p~Dem-member of council oakdale (vote for 3)</v>
      </c>
      <c r="B4749" s="55" t="s">
        <v>1291</v>
      </c>
      <c r="C4749">
        <v>822</v>
      </c>
      <c r="D4749" s="55" t="s">
        <v>800</v>
      </c>
      <c r="E4749" s="55" t="s">
        <v>802</v>
      </c>
      <c r="F4749" t="s">
        <v>12</v>
      </c>
      <c r="G4749" s="62">
        <v>91</v>
      </c>
      <c r="H4749" s="25">
        <v>32.270000000000003</v>
      </c>
      <c r="I4749">
        <v>1049</v>
      </c>
      <c r="J4749">
        <v>163</v>
      </c>
      <c r="K4749">
        <v>2</v>
      </c>
      <c r="L4749">
        <v>2</v>
      </c>
      <c r="M4749">
        <v>0</v>
      </c>
      <c r="N4749" s="23">
        <v>0</v>
      </c>
      <c r="O4749">
        <f t="shared" si="971"/>
        <v>2</v>
      </c>
      <c r="P4749" s="57">
        <f t="shared" si="972"/>
        <v>3</v>
      </c>
      <c r="Q4749" s="267">
        <f t="shared" si="973"/>
        <v>185</v>
      </c>
      <c r="R4749" s="23">
        <f t="shared" si="974"/>
        <v>89</v>
      </c>
      <c r="S4749" s="23">
        <f t="shared" si="975"/>
        <v>0</v>
      </c>
      <c r="T4749" s="23" t="str">
        <f t="shared" si="976"/>
        <v/>
      </c>
      <c r="U4749" t="str">
        <f t="shared" si="977"/>
        <v/>
      </c>
      <c r="AF4749" s="22"/>
    </row>
    <row r="4750" spans="1:38">
      <c r="A4750" t="str">
        <f t="shared" si="978"/>
        <v>PA_Alleg_2019p~Dem-member of council oakdale (vote for 3)</v>
      </c>
      <c r="B4750" s="55" t="s">
        <v>1291</v>
      </c>
      <c r="C4750">
        <v>823</v>
      </c>
      <c r="D4750" s="55" t="s">
        <v>800</v>
      </c>
      <c r="E4750" s="55" t="s">
        <v>803</v>
      </c>
      <c r="F4750" t="s">
        <v>12</v>
      </c>
      <c r="G4750" s="62">
        <v>89</v>
      </c>
      <c r="H4750" s="25">
        <v>31.56</v>
      </c>
      <c r="I4750">
        <v>1049</v>
      </c>
      <c r="J4750">
        <v>163</v>
      </c>
      <c r="K4750">
        <v>2</v>
      </c>
      <c r="L4750">
        <v>2</v>
      </c>
      <c r="M4750">
        <v>0</v>
      </c>
      <c r="N4750" s="23">
        <v>0</v>
      </c>
      <c r="O4750">
        <f t="shared" si="971"/>
        <v>3</v>
      </c>
      <c r="P4750" s="57">
        <f t="shared" si="972"/>
        <v>3</v>
      </c>
      <c r="Q4750" s="267">
        <f t="shared" si="973"/>
        <v>94</v>
      </c>
      <c r="R4750" s="23">
        <f t="shared" si="974"/>
        <v>89</v>
      </c>
      <c r="S4750" s="23">
        <f t="shared" si="975"/>
        <v>0</v>
      </c>
      <c r="T4750" s="23" t="str">
        <f t="shared" si="976"/>
        <v/>
      </c>
      <c r="U4750" t="str">
        <f t="shared" si="977"/>
        <v/>
      </c>
      <c r="AF4750" s="22"/>
      <c r="AG4750" s="295"/>
      <c r="AH4750" s="294"/>
      <c r="AI4750" s="279"/>
      <c r="AJ4750" s="279"/>
      <c r="AL4750" s="341"/>
    </row>
    <row r="4751" spans="1:38">
      <c r="A4751" t="str">
        <f t="shared" si="978"/>
        <v>PA_Alleg_2019p~Dem-member of council oakdale (vote for 3)</v>
      </c>
      <c r="B4751" s="55" t="s">
        <v>1291</v>
      </c>
      <c r="C4751">
        <v>824</v>
      </c>
      <c r="D4751" s="55" t="s">
        <v>800</v>
      </c>
      <c r="E4751" s="55" t="s">
        <v>15</v>
      </c>
      <c r="F4751" t="s">
        <v>12</v>
      </c>
      <c r="G4751" s="62">
        <v>5</v>
      </c>
      <c r="H4751" s="25">
        <v>1.77</v>
      </c>
      <c r="I4751">
        <v>1049</v>
      </c>
      <c r="J4751">
        <v>163</v>
      </c>
      <c r="K4751">
        <v>2</v>
      </c>
      <c r="L4751">
        <v>2</v>
      </c>
      <c r="M4751">
        <v>0</v>
      </c>
      <c r="N4751" s="23">
        <v>0</v>
      </c>
      <c r="O4751">
        <f t="shared" si="971"/>
        <v>-3</v>
      </c>
      <c r="P4751" s="57">
        <f t="shared" si="972"/>
        <v>3</v>
      </c>
      <c r="Q4751" s="267">
        <f t="shared" si="973"/>
        <v>5</v>
      </c>
      <c r="R4751" s="23">
        <f t="shared" si="974"/>
        <v>1</v>
      </c>
      <c r="S4751" s="23">
        <f t="shared" si="975"/>
        <v>0</v>
      </c>
      <c r="T4751" s="23" t="str">
        <f t="shared" si="976"/>
        <v/>
      </c>
      <c r="U4751" t="str">
        <f t="shared" si="977"/>
        <v/>
      </c>
      <c r="AF4751" s="300"/>
    </row>
    <row r="4752" spans="1:38">
      <c r="A4752" t="str">
        <f t="shared" si="978"/>
        <v>PA_Alleg_2019p~Dem-member of council oakmont (vote for 1)</v>
      </c>
      <c r="B4752" s="55" t="s">
        <v>1291</v>
      </c>
      <c r="C4752">
        <v>952</v>
      </c>
      <c r="D4752" s="55" t="s">
        <v>927</v>
      </c>
      <c r="E4752" s="55" t="s">
        <v>928</v>
      </c>
      <c r="F4752" t="s">
        <v>12</v>
      </c>
      <c r="G4752" s="62">
        <v>520</v>
      </c>
      <c r="H4752" s="25">
        <v>99.24</v>
      </c>
      <c r="I4752">
        <v>5545</v>
      </c>
      <c r="J4752">
        <v>1102</v>
      </c>
      <c r="K4752">
        <v>6</v>
      </c>
      <c r="L4752">
        <v>6</v>
      </c>
      <c r="M4752">
        <v>0</v>
      </c>
      <c r="N4752" s="23">
        <v>0</v>
      </c>
      <c r="O4752">
        <f t="shared" si="971"/>
        <v>1</v>
      </c>
      <c r="P4752" s="57">
        <f t="shared" si="972"/>
        <v>1</v>
      </c>
      <c r="Q4752" s="267">
        <f t="shared" si="973"/>
        <v>524</v>
      </c>
      <c r="R4752" s="23">
        <f t="shared" si="974"/>
        <v>520</v>
      </c>
      <c r="S4752" s="23">
        <f t="shared" si="975"/>
        <v>0</v>
      </c>
      <c r="T4752" s="23" t="str">
        <f t="shared" si="976"/>
        <v/>
      </c>
      <c r="U4752" t="str">
        <f t="shared" si="977"/>
        <v>PA_Alleg_2019p~Dem-member of council oakmont (vote for 1)</v>
      </c>
      <c r="AF4752" s="22"/>
    </row>
    <row r="4753" spans="1:38">
      <c r="A4753" t="str">
        <f t="shared" si="978"/>
        <v>PA_Alleg_2019p~Dem-member of council oakmont (vote for 1)</v>
      </c>
      <c r="B4753" s="55" t="s">
        <v>1291</v>
      </c>
      <c r="C4753">
        <v>953</v>
      </c>
      <c r="D4753" s="55" t="s">
        <v>927</v>
      </c>
      <c r="E4753" s="55" t="s">
        <v>15</v>
      </c>
      <c r="F4753" t="s">
        <v>12</v>
      </c>
      <c r="G4753" s="62">
        <v>4</v>
      </c>
      <c r="H4753" s="25">
        <v>0.76</v>
      </c>
      <c r="I4753">
        <v>5545</v>
      </c>
      <c r="J4753">
        <v>1102</v>
      </c>
      <c r="K4753">
        <v>6</v>
      </c>
      <c r="L4753">
        <v>6</v>
      </c>
      <c r="M4753">
        <v>0</v>
      </c>
      <c r="N4753" s="23">
        <v>0</v>
      </c>
      <c r="O4753">
        <f t="shared" si="971"/>
        <v>-1</v>
      </c>
      <c r="P4753" s="57">
        <f t="shared" si="972"/>
        <v>1</v>
      </c>
      <c r="Q4753" s="267">
        <f t="shared" si="973"/>
        <v>4</v>
      </c>
      <c r="R4753" s="23">
        <f t="shared" si="974"/>
        <v>1</v>
      </c>
      <c r="S4753" s="23">
        <f t="shared" si="975"/>
        <v>0</v>
      </c>
      <c r="T4753" s="23" t="str">
        <f t="shared" si="976"/>
        <v/>
      </c>
      <c r="U4753" t="str">
        <f t="shared" si="977"/>
        <v/>
      </c>
      <c r="AF4753" s="22"/>
    </row>
    <row r="4754" spans="1:38">
      <c r="A4754" t="str">
        <f t="shared" si="978"/>
        <v>PA_Alleg_2019p~Dem-member of council oakmont (vote for 3)</v>
      </c>
      <c r="B4754" s="55" t="s">
        <v>1291</v>
      </c>
      <c r="C4754">
        <v>825</v>
      </c>
      <c r="D4754" s="55" t="s">
        <v>804</v>
      </c>
      <c r="E4754" s="55" t="s">
        <v>805</v>
      </c>
      <c r="F4754" t="s">
        <v>12</v>
      </c>
      <c r="G4754" s="62">
        <v>470</v>
      </c>
      <c r="H4754" s="25">
        <v>27.65</v>
      </c>
      <c r="I4754">
        <v>5545</v>
      </c>
      <c r="J4754">
        <v>1102</v>
      </c>
      <c r="K4754">
        <v>6</v>
      </c>
      <c r="L4754">
        <v>6</v>
      </c>
      <c r="M4754">
        <v>0</v>
      </c>
      <c r="N4754" s="23">
        <v>0</v>
      </c>
      <c r="O4754">
        <f t="shared" si="971"/>
        <v>1</v>
      </c>
      <c r="P4754" s="57">
        <f t="shared" si="972"/>
        <v>3</v>
      </c>
      <c r="Q4754" s="267">
        <f t="shared" si="973"/>
        <v>566.66666666666663</v>
      </c>
      <c r="R4754" s="23">
        <f t="shared" si="974"/>
        <v>362</v>
      </c>
      <c r="S4754" s="23">
        <f t="shared" si="975"/>
        <v>224</v>
      </c>
      <c r="T4754" s="23">
        <f t="shared" si="976"/>
        <v>138</v>
      </c>
      <c r="U4754" t="str">
        <f t="shared" si="977"/>
        <v>PA_Alleg_2019p~Dem-member of council oakmont (vote for 3)</v>
      </c>
      <c r="AF4754" s="312"/>
    </row>
    <row r="4755" spans="1:38">
      <c r="A4755" t="str">
        <f t="shared" si="978"/>
        <v>PA_Alleg_2019p~Dem-member of council oakmont (vote for 3)</v>
      </c>
      <c r="B4755" s="55" t="s">
        <v>1291</v>
      </c>
      <c r="C4755">
        <v>829</v>
      </c>
      <c r="D4755" s="55" t="s">
        <v>804</v>
      </c>
      <c r="E4755" s="55" t="s">
        <v>809</v>
      </c>
      <c r="F4755" t="s">
        <v>12</v>
      </c>
      <c r="G4755" s="62">
        <v>429</v>
      </c>
      <c r="H4755" s="25">
        <v>25.24</v>
      </c>
      <c r="I4755">
        <v>5545</v>
      </c>
      <c r="J4755">
        <v>1102</v>
      </c>
      <c r="K4755">
        <v>6</v>
      </c>
      <c r="L4755">
        <v>6</v>
      </c>
      <c r="M4755">
        <v>0</v>
      </c>
      <c r="N4755" s="23">
        <v>0</v>
      </c>
      <c r="O4755">
        <f t="shared" si="971"/>
        <v>2</v>
      </c>
      <c r="P4755" s="57">
        <f t="shared" si="972"/>
        <v>3</v>
      </c>
      <c r="Q4755" s="267">
        <f t="shared" si="973"/>
        <v>1230</v>
      </c>
      <c r="R4755" s="23">
        <f t="shared" si="974"/>
        <v>362</v>
      </c>
      <c r="S4755" s="23">
        <f t="shared" si="975"/>
        <v>224</v>
      </c>
      <c r="T4755" s="23" t="str">
        <f t="shared" si="976"/>
        <v/>
      </c>
      <c r="U4755" t="str">
        <f t="shared" si="977"/>
        <v/>
      </c>
    </row>
    <row r="4756" spans="1:38">
      <c r="A4756" t="str">
        <f t="shared" si="978"/>
        <v>PA_Alleg_2019p~Dem-member of council oakmont (vote for 3)</v>
      </c>
      <c r="B4756" s="55" t="s">
        <v>1291</v>
      </c>
      <c r="C4756">
        <v>828</v>
      </c>
      <c r="D4756" s="55" t="s">
        <v>804</v>
      </c>
      <c r="E4756" s="55" t="s">
        <v>808</v>
      </c>
      <c r="F4756" t="s">
        <v>12</v>
      </c>
      <c r="G4756" s="62">
        <v>362</v>
      </c>
      <c r="H4756" s="25">
        <v>21.29</v>
      </c>
      <c r="I4756">
        <v>5545</v>
      </c>
      <c r="J4756">
        <v>1102</v>
      </c>
      <c r="K4756">
        <v>6</v>
      </c>
      <c r="L4756">
        <v>6</v>
      </c>
      <c r="M4756">
        <v>0</v>
      </c>
      <c r="N4756" s="23">
        <v>0</v>
      </c>
      <c r="O4756">
        <f t="shared" si="971"/>
        <v>3</v>
      </c>
      <c r="P4756" s="57">
        <f t="shared" si="972"/>
        <v>3</v>
      </c>
      <c r="Q4756" s="267">
        <f t="shared" si="973"/>
        <v>801</v>
      </c>
      <c r="R4756" s="23">
        <f t="shared" si="974"/>
        <v>362</v>
      </c>
      <c r="S4756" s="23">
        <f t="shared" si="975"/>
        <v>224</v>
      </c>
      <c r="T4756" s="23" t="str">
        <f t="shared" si="976"/>
        <v/>
      </c>
      <c r="U4756" t="str">
        <f t="shared" si="977"/>
        <v/>
      </c>
    </row>
    <row r="4757" spans="1:38">
      <c r="A4757" t="str">
        <f t="shared" si="978"/>
        <v>PA_Alleg_2019p~Dem-member of council oakmont (vote for 3)</v>
      </c>
      <c r="B4757" s="55" t="s">
        <v>1291</v>
      </c>
      <c r="C4757">
        <v>827</v>
      </c>
      <c r="D4757" s="55" t="s">
        <v>804</v>
      </c>
      <c r="E4757" s="55" t="s">
        <v>807</v>
      </c>
      <c r="F4757" t="s">
        <v>12</v>
      </c>
      <c r="G4757" s="62">
        <v>224</v>
      </c>
      <c r="H4757" s="25">
        <v>13.18</v>
      </c>
      <c r="I4757">
        <v>5545</v>
      </c>
      <c r="J4757">
        <v>1102</v>
      </c>
      <c r="K4757">
        <v>6</v>
      </c>
      <c r="L4757">
        <v>6</v>
      </c>
      <c r="M4757">
        <v>0</v>
      </c>
      <c r="N4757" s="23">
        <v>0</v>
      </c>
      <c r="O4757">
        <f t="shared" si="971"/>
        <v>4</v>
      </c>
      <c r="P4757" s="57">
        <f t="shared" si="972"/>
        <v>3</v>
      </c>
      <c r="Q4757" s="267">
        <f t="shared" si="973"/>
        <v>439</v>
      </c>
      <c r="R4757" s="23" t="str">
        <f t="shared" si="974"/>
        <v/>
      </c>
      <c r="S4757" s="23">
        <f t="shared" si="975"/>
        <v>224</v>
      </c>
      <c r="T4757" s="23" t="str">
        <f t="shared" si="976"/>
        <v/>
      </c>
      <c r="U4757" t="str">
        <f t="shared" si="977"/>
        <v/>
      </c>
      <c r="AF4757" s="286"/>
    </row>
    <row r="4758" spans="1:38">
      <c r="A4758" t="str">
        <f t="shared" si="978"/>
        <v>PA_Alleg_2019p~Dem-member of council oakmont (vote for 3)</v>
      </c>
      <c r="B4758" s="55" t="s">
        <v>1291</v>
      </c>
      <c r="C4758">
        <v>826</v>
      </c>
      <c r="D4758" s="55" t="s">
        <v>804</v>
      </c>
      <c r="E4758" s="55" t="s">
        <v>806</v>
      </c>
      <c r="F4758" t="s">
        <v>12</v>
      </c>
      <c r="G4758" s="62">
        <v>213</v>
      </c>
      <c r="H4758" s="25">
        <v>12.53</v>
      </c>
      <c r="I4758">
        <v>5545</v>
      </c>
      <c r="J4758">
        <v>1102</v>
      </c>
      <c r="K4758">
        <v>6</v>
      </c>
      <c r="L4758">
        <v>6</v>
      </c>
      <c r="M4758">
        <v>0</v>
      </c>
      <c r="N4758" s="23">
        <v>0</v>
      </c>
      <c r="O4758">
        <f t="shared" si="971"/>
        <v>5</v>
      </c>
      <c r="P4758" s="57">
        <f t="shared" si="972"/>
        <v>3</v>
      </c>
      <c r="Q4758" s="267">
        <f t="shared" si="973"/>
        <v>215</v>
      </c>
      <c r="R4758" s="23" t="str">
        <f t="shared" si="974"/>
        <v/>
      </c>
      <c r="S4758" s="23">
        <f t="shared" si="975"/>
        <v>213</v>
      </c>
      <c r="T4758" s="23" t="str">
        <f t="shared" si="976"/>
        <v/>
      </c>
      <c r="U4758" t="str">
        <f t="shared" si="977"/>
        <v/>
      </c>
      <c r="AF4758" s="22"/>
      <c r="AG4758" s="302"/>
      <c r="AH4758" s="301"/>
      <c r="AI4758" s="303"/>
      <c r="AJ4758" s="303"/>
      <c r="AK4758" s="342"/>
      <c r="AL4758" s="343"/>
    </row>
    <row r="4759" spans="1:38">
      <c r="A4759" t="str">
        <f t="shared" si="978"/>
        <v>PA_Alleg_2019p~Dem-member of council oakmont (vote for 3)</v>
      </c>
      <c r="B4759" s="55" t="s">
        <v>1291</v>
      </c>
      <c r="C4759">
        <v>830</v>
      </c>
      <c r="D4759" s="55" t="s">
        <v>804</v>
      </c>
      <c r="E4759" s="55" t="s">
        <v>15</v>
      </c>
      <c r="F4759" t="s">
        <v>12</v>
      </c>
      <c r="G4759" s="62">
        <v>2</v>
      </c>
      <c r="H4759" s="25">
        <v>0.12</v>
      </c>
      <c r="I4759">
        <v>5545</v>
      </c>
      <c r="J4759">
        <v>1102</v>
      </c>
      <c r="K4759">
        <v>6</v>
      </c>
      <c r="L4759">
        <v>6</v>
      </c>
      <c r="M4759">
        <v>0</v>
      </c>
      <c r="N4759" s="23">
        <v>0</v>
      </c>
      <c r="O4759">
        <f t="shared" si="971"/>
        <v>-5</v>
      </c>
      <c r="P4759" s="57">
        <f t="shared" si="972"/>
        <v>3</v>
      </c>
      <c r="Q4759" s="267">
        <f t="shared" si="973"/>
        <v>2</v>
      </c>
      <c r="R4759" s="23">
        <f t="shared" si="974"/>
        <v>1</v>
      </c>
      <c r="S4759" s="23">
        <f t="shared" si="975"/>
        <v>0</v>
      </c>
      <c r="T4759" s="23" t="str">
        <f t="shared" si="976"/>
        <v/>
      </c>
      <c r="U4759" t="str">
        <f t="shared" si="977"/>
        <v/>
      </c>
      <c r="AF4759" s="22"/>
      <c r="AG4759" s="23"/>
      <c r="AH4759" s="8"/>
    </row>
    <row r="4760" spans="1:38">
      <c r="A4760" t="str">
        <f t="shared" si="978"/>
        <v>PA_Alleg_2019p~Dem-member of council penn hills (vote for 2)</v>
      </c>
      <c r="B4760" s="55" t="s">
        <v>1291</v>
      </c>
      <c r="C4760">
        <v>922</v>
      </c>
      <c r="D4760" s="55" t="s">
        <v>897</v>
      </c>
      <c r="E4760" s="55" t="s">
        <v>901</v>
      </c>
      <c r="F4760" t="s">
        <v>12</v>
      </c>
      <c r="G4760" s="62">
        <v>1497</v>
      </c>
      <c r="H4760" s="25">
        <v>18.75</v>
      </c>
      <c r="I4760">
        <v>32131</v>
      </c>
      <c r="J4760">
        <v>6084</v>
      </c>
      <c r="K4760">
        <v>50</v>
      </c>
      <c r="L4760">
        <v>50</v>
      </c>
      <c r="M4760">
        <v>0</v>
      </c>
      <c r="N4760" s="23">
        <v>0</v>
      </c>
      <c r="O4760">
        <f t="shared" si="971"/>
        <v>1</v>
      </c>
      <c r="P4760" s="57">
        <f t="shared" si="972"/>
        <v>2</v>
      </c>
      <c r="Q4760" s="267">
        <f t="shared" si="973"/>
        <v>3992.5</v>
      </c>
      <c r="R4760" s="23">
        <f t="shared" si="974"/>
        <v>1493</v>
      </c>
      <c r="S4760" s="23">
        <f t="shared" si="975"/>
        <v>1340</v>
      </c>
      <c r="T4760" s="23">
        <f t="shared" si="976"/>
        <v>153</v>
      </c>
      <c r="U4760" t="str">
        <f t="shared" si="977"/>
        <v>PA_Alleg_2019p~Dem-member of council penn hills (vote for 2)</v>
      </c>
      <c r="AF4760" s="22"/>
    </row>
    <row r="4761" spans="1:38">
      <c r="A4761" t="str">
        <f t="shared" si="978"/>
        <v>PA_Alleg_2019p~Dem-member of council penn hills (vote for 2)</v>
      </c>
      <c r="B4761" s="55" t="s">
        <v>1291</v>
      </c>
      <c r="C4761">
        <v>919</v>
      </c>
      <c r="D4761" s="55" t="s">
        <v>897</v>
      </c>
      <c r="E4761" s="55" t="s">
        <v>898</v>
      </c>
      <c r="F4761" t="s">
        <v>12</v>
      </c>
      <c r="G4761" s="62">
        <v>1493</v>
      </c>
      <c r="H4761" s="25">
        <v>18.7</v>
      </c>
      <c r="I4761">
        <v>32131</v>
      </c>
      <c r="J4761">
        <v>6084</v>
      </c>
      <c r="K4761">
        <v>50</v>
      </c>
      <c r="L4761">
        <v>50</v>
      </c>
      <c r="M4761">
        <v>0</v>
      </c>
      <c r="N4761" s="23">
        <v>0</v>
      </c>
      <c r="O4761">
        <f t="shared" si="971"/>
        <v>2</v>
      </c>
      <c r="P4761" s="57">
        <f t="shared" si="972"/>
        <v>2</v>
      </c>
      <c r="Q4761" s="267">
        <f t="shared" si="973"/>
        <v>6488</v>
      </c>
      <c r="R4761" s="23">
        <f t="shared" si="974"/>
        <v>1493</v>
      </c>
      <c r="S4761" s="23">
        <f t="shared" si="975"/>
        <v>1340</v>
      </c>
      <c r="T4761" s="23" t="str">
        <f t="shared" si="976"/>
        <v/>
      </c>
      <c r="U4761" t="str">
        <f t="shared" si="977"/>
        <v/>
      </c>
      <c r="AF4761" s="300"/>
      <c r="AH4761" s="8"/>
      <c r="AL4761" s="23"/>
    </row>
    <row r="4762" spans="1:38">
      <c r="A4762" t="str">
        <f t="shared" si="978"/>
        <v>PA_Alleg_2019p~Dem-member of council penn hills (vote for 2)</v>
      </c>
      <c r="B4762" s="55" t="s">
        <v>1291</v>
      </c>
      <c r="C4762">
        <v>920</v>
      </c>
      <c r="D4762" s="55" t="s">
        <v>897</v>
      </c>
      <c r="E4762" s="55" t="s">
        <v>899</v>
      </c>
      <c r="F4762" t="s">
        <v>12</v>
      </c>
      <c r="G4762" s="62">
        <v>1340</v>
      </c>
      <c r="H4762" s="25">
        <v>16.78</v>
      </c>
      <c r="I4762">
        <v>32131</v>
      </c>
      <c r="J4762">
        <v>6084</v>
      </c>
      <c r="K4762">
        <v>50</v>
      </c>
      <c r="L4762">
        <v>50</v>
      </c>
      <c r="M4762">
        <v>0</v>
      </c>
      <c r="N4762" s="23">
        <v>0</v>
      </c>
      <c r="O4762">
        <f t="shared" si="971"/>
        <v>3</v>
      </c>
      <c r="P4762" s="57">
        <f t="shared" si="972"/>
        <v>2</v>
      </c>
      <c r="Q4762" s="267">
        <f t="shared" si="973"/>
        <v>4995</v>
      </c>
      <c r="R4762" s="23" t="str">
        <f t="shared" si="974"/>
        <v/>
      </c>
      <c r="S4762" s="23">
        <f t="shared" si="975"/>
        <v>1340</v>
      </c>
      <c r="T4762" s="23" t="str">
        <f t="shared" si="976"/>
        <v/>
      </c>
      <c r="U4762" t="str">
        <f t="shared" si="977"/>
        <v/>
      </c>
      <c r="AF4762" s="22"/>
    </row>
    <row r="4763" spans="1:38">
      <c r="A4763" t="str">
        <f t="shared" si="978"/>
        <v>PA_Alleg_2019p~Dem-member of council penn hills (vote for 2)</v>
      </c>
      <c r="B4763" s="55" t="s">
        <v>1291</v>
      </c>
      <c r="C4763">
        <v>925</v>
      </c>
      <c r="D4763" s="55" t="s">
        <v>897</v>
      </c>
      <c r="E4763" s="55" t="s">
        <v>904</v>
      </c>
      <c r="F4763" t="s">
        <v>12</v>
      </c>
      <c r="G4763" s="62">
        <v>1242</v>
      </c>
      <c r="H4763" s="25">
        <v>15.55</v>
      </c>
      <c r="I4763">
        <v>32131</v>
      </c>
      <c r="J4763">
        <v>6084</v>
      </c>
      <c r="K4763">
        <v>50</v>
      </c>
      <c r="L4763">
        <v>50</v>
      </c>
      <c r="M4763">
        <v>0</v>
      </c>
      <c r="N4763" s="23">
        <v>0</v>
      </c>
      <c r="O4763">
        <f t="shared" si="971"/>
        <v>4</v>
      </c>
      <c r="P4763" s="57">
        <f t="shared" si="972"/>
        <v>2</v>
      </c>
      <c r="Q4763" s="267">
        <f t="shared" si="973"/>
        <v>3655</v>
      </c>
      <c r="R4763" s="23" t="str">
        <f t="shared" si="974"/>
        <v/>
      </c>
      <c r="S4763" s="23">
        <f t="shared" si="975"/>
        <v>1242</v>
      </c>
      <c r="T4763" s="23" t="str">
        <f t="shared" si="976"/>
        <v/>
      </c>
      <c r="U4763" t="str">
        <f t="shared" si="977"/>
        <v/>
      </c>
      <c r="AF4763" s="22"/>
      <c r="AG4763" s="302"/>
      <c r="AH4763" s="301"/>
      <c r="AI4763" s="303"/>
      <c r="AJ4763" s="303"/>
      <c r="AK4763" s="342"/>
      <c r="AL4763" s="343"/>
    </row>
    <row r="4764" spans="1:38">
      <c r="A4764" t="str">
        <f t="shared" si="978"/>
        <v>PA_Alleg_2019p~Dem-member of council penn hills (vote for 2)</v>
      </c>
      <c r="B4764" s="55" t="s">
        <v>1291</v>
      </c>
      <c r="C4764">
        <v>924</v>
      </c>
      <c r="D4764" s="55" t="s">
        <v>897</v>
      </c>
      <c r="E4764" s="55" t="s">
        <v>903</v>
      </c>
      <c r="F4764" t="s">
        <v>12</v>
      </c>
      <c r="G4764" s="62">
        <v>993</v>
      </c>
      <c r="H4764" s="25">
        <v>12.44</v>
      </c>
      <c r="I4764">
        <v>32131</v>
      </c>
      <c r="J4764">
        <v>6084</v>
      </c>
      <c r="K4764">
        <v>50</v>
      </c>
      <c r="L4764">
        <v>50</v>
      </c>
      <c r="M4764">
        <v>0</v>
      </c>
      <c r="N4764" s="23">
        <v>0</v>
      </c>
      <c r="O4764">
        <f t="shared" si="971"/>
        <v>5</v>
      </c>
      <c r="P4764" s="57">
        <f t="shared" si="972"/>
        <v>2</v>
      </c>
      <c r="Q4764" s="267">
        <f t="shared" si="973"/>
        <v>2413</v>
      </c>
      <c r="R4764" s="23" t="str">
        <f t="shared" si="974"/>
        <v/>
      </c>
      <c r="S4764" s="23">
        <f t="shared" si="975"/>
        <v>993</v>
      </c>
      <c r="T4764" s="23" t="str">
        <f t="shared" si="976"/>
        <v/>
      </c>
      <c r="U4764" t="str">
        <f t="shared" si="977"/>
        <v/>
      </c>
      <c r="AF4764" s="22"/>
    </row>
    <row r="4765" spans="1:38">
      <c r="A4765" t="str">
        <f t="shared" si="978"/>
        <v>PA_Alleg_2019p~Dem-member of council penn hills (vote for 2)</v>
      </c>
      <c r="B4765" s="55" t="s">
        <v>1291</v>
      </c>
      <c r="C4765">
        <v>921</v>
      </c>
      <c r="D4765" s="55" t="s">
        <v>897</v>
      </c>
      <c r="E4765" s="55" t="s">
        <v>900</v>
      </c>
      <c r="F4765" t="s">
        <v>12</v>
      </c>
      <c r="G4765" s="62">
        <v>749</v>
      </c>
      <c r="H4765" s="25">
        <v>9.3800000000000008</v>
      </c>
      <c r="I4765">
        <v>32131</v>
      </c>
      <c r="J4765">
        <v>6084</v>
      </c>
      <c r="K4765">
        <v>50</v>
      </c>
      <c r="L4765">
        <v>50</v>
      </c>
      <c r="M4765">
        <v>0</v>
      </c>
      <c r="N4765" s="23">
        <v>0</v>
      </c>
      <c r="O4765">
        <f t="shared" si="971"/>
        <v>6</v>
      </c>
      <c r="P4765" s="57">
        <f t="shared" si="972"/>
        <v>2</v>
      </c>
      <c r="Q4765" s="267">
        <f t="shared" si="973"/>
        <v>1420</v>
      </c>
      <c r="R4765" s="23" t="str">
        <f t="shared" si="974"/>
        <v/>
      </c>
      <c r="S4765" s="23">
        <f t="shared" si="975"/>
        <v>749</v>
      </c>
      <c r="T4765" s="23" t="str">
        <f t="shared" si="976"/>
        <v/>
      </c>
      <c r="U4765" t="str">
        <f t="shared" si="977"/>
        <v/>
      </c>
      <c r="AF4765" s="22"/>
    </row>
    <row r="4766" spans="1:38">
      <c r="A4766" t="str">
        <f t="shared" si="978"/>
        <v>PA_Alleg_2019p~Dem-member of council penn hills (vote for 2)</v>
      </c>
      <c r="B4766" s="55" t="s">
        <v>1291</v>
      </c>
      <c r="C4766">
        <v>923</v>
      </c>
      <c r="D4766" s="55" t="s">
        <v>897</v>
      </c>
      <c r="E4766" s="55" t="s">
        <v>902</v>
      </c>
      <c r="F4766" t="s">
        <v>12</v>
      </c>
      <c r="G4766" s="62">
        <v>589</v>
      </c>
      <c r="H4766" s="25">
        <v>7.38</v>
      </c>
      <c r="I4766">
        <v>32131</v>
      </c>
      <c r="J4766">
        <v>6084</v>
      </c>
      <c r="K4766">
        <v>50</v>
      </c>
      <c r="L4766">
        <v>50</v>
      </c>
      <c r="M4766">
        <v>0</v>
      </c>
      <c r="N4766" s="23">
        <v>0</v>
      </c>
      <c r="O4766">
        <f t="shared" si="971"/>
        <v>7</v>
      </c>
      <c r="P4766" s="57">
        <f t="shared" si="972"/>
        <v>2</v>
      </c>
      <c r="Q4766" s="267">
        <f t="shared" si="973"/>
        <v>671</v>
      </c>
      <c r="R4766" s="23" t="str">
        <f t="shared" si="974"/>
        <v/>
      </c>
      <c r="S4766" s="23">
        <f t="shared" si="975"/>
        <v>589</v>
      </c>
      <c r="T4766" s="23" t="str">
        <f t="shared" si="976"/>
        <v/>
      </c>
      <c r="U4766" t="str">
        <f t="shared" si="977"/>
        <v/>
      </c>
      <c r="AF4766" s="22"/>
      <c r="AL4766" s="344"/>
    </row>
    <row r="4767" spans="1:38">
      <c r="A4767" t="str">
        <f t="shared" si="978"/>
        <v>PA_Alleg_2019p~Dem-member of council penn hills (vote for 2)</v>
      </c>
      <c r="B4767" s="55" t="s">
        <v>1291</v>
      </c>
      <c r="C4767">
        <v>926</v>
      </c>
      <c r="D4767" s="55" t="s">
        <v>897</v>
      </c>
      <c r="E4767" s="55" t="s">
        <v>15</v>
      </c>
      <c r="F4767" t="s">
        <v>12</v>
      </c>
      <c r="G4767" s="62">
        <v>82</v>
      </c>
      <c r="H4767" s="25">
        <v>1.03</v>
      </c>
      <c r="I4767">
        <v>32131</v>
      </c>
      <c r="J4767">
        <v>6084</v>
      </c>
      <c r="K4767">
        <v>50</v>
      </c>
      <c r="L4767">
        <v>50</v>
      </c>
      <c r="M4767">
        <v>0</v>
      </c>
      <c r="N4767" s="23">
        <v>0</v>
      </c>
      <c r="O4767">
        <f t="shared" si="971"/>
        <v>-7</v>
      </c>
      <c r="P4767" s="57">
        <f t="shared" si="972"/>
        <v>2</v>
      </c>
      <c r="Q4767" s="267">
        <f t="shared" si="973"/>
        <v>82</v>
      </c>
      <c r="R4767" s="23">
        <f t="shared" si="974"/>
        <v>1</v>
      </c>
      <c r="S4767" s="23">
        <f t="shared" si="975"/>
        <v>0</v>
      </c>
      <c r="T4767" s="23" t="str">
        <f t="shared" si="976"/>
        <v/>
      </c>
      <c r="U4767" t="str">
        <f t="shared" si="977"/>
        <v/>
      </c>
      <c r="AF4767" s="22"/>
    </row>
    <row r="4768" spans="1:38">
      <c r="A4768" t="str">
        <f t="shared" si="978"/>
        <v>PA_Alleg_2019p~Dem-member of council pennsbury village (vote for 3)</v>
      </c>
      <c r="B4768" s="55" t="s">
        <v>1291</v>
      </c>
      <c r="C4768">
        <v>904</v>
      </c>
      <c r="D4768" s="55" t="s">
        <v>883</v>
      </c>
      <c r="E4768" s="55" t="s">
        <v>884</v>
      </c>
      <c r="F4768" t="s">
        <v>12</v>
      </c>
      <c r="G4768" s="62">
        <v>50</v>
      </c>
      <c r="H4768" s="25">
        <v>50.51</v>
      </c>
      <c r="I4768">
        <v>596</v>
      </c>
      <c r="J4768">
        <v>89</v>
      </c>
      <c r="K4768">
        <v>1</v>
      </c>
      <c r="L4768">
        <v>1</v>
      </c>
      <c r="M4768">
        <v>0</v>
      </c>
      <c r="N4768" s="23">
        <v>0</v>
      </c>
      <c r="O4768">
        <f t="shared" si="971"/>
        <v>1</v>
      </c>
      <c r="P4768" s="57">
        <f t="shared" si="972"/>
        <v>3</v>
      </c>
      <c r="Q4768" s="267">
        <f t="shared" si="973"/>
        <v>50</v>
      </c>
      <c r="R4768" s="23">
        <f t="shared" si="974"/>
        <v>1</v>
      </c>
      <c r="S4768" s="23">
        <f t="shared" si="975"/>
        <v>0</v>
      </c>
      <c r="T4768" s="23" t="str">
        <f t="shared" si="976"/>
        <v/>
      </c>
      <c r="U4768" t="str">
        <f t="shared" si="977"/>
        <v>PA_Alleg_2019p~Dem-member of council pennsbury village (vote for 3)</v>
      </c>
      <c r="AF4768" s="286"/>
    </row>
    <row r="4769" spans="1:32">
      <c r="A4769" t="str">
        <f t="shared" si="978"/>
        <v>PA_Alleg_2019p~Dem-member of council pennsbury village (vote for 3)</v>
      </c>
      <c r="B4769" s="55" t="s">
        <v>1291</v>
      </c>
      <c r="C4769">
        <v>905</v>
      </c>
      <c r="D4769" s="55" t="s">
        <v>883</v>
      </c>
      <c r="E4769" s="55" t="s">
        <v>885</v>
      </c>
      <c r="F4769" t="s">
        <v>12</v>
      </c>
      <c r="G4769" s="62">
        <v>37</v>
      </c>
      <c r="H4769" s="25">
        <v>37.369999999999997</v>
      </c>
      <c r="I4769">
        <v>596</v>
      </c>
      <c r="J4769">
        <v>89</v>
      </c>
      <c r="K4769">
        <v>1</v>
      </c>
      <c r="L4769">
        <v>1</v>
      </c>
      <c r="M4769">
        <v>0</v>
      </c>
      <c r="N4769" s="23">
        <v>0</v>
      </c>
      <c r="O4769">
        <f t="shared" si="971"/>
        <v>2</v>
      </c>
      <c r="P4769" s="57">
        <f t="shared" si="972"/>
        <v>3</v>
      </c>
      <c r="Q4769" s="267">
        <f t="shared" si="973"/>
        <v>49</v>
      </c>
      <c r="R4769" s="23">
        <f t="shared" si="974"/>
        <v>1</v>
      </c>
      <c r="S4769" s="23">
        <f t="shared" si="975"/>
        <v>0</v>
      </c>
      <c r="T4769" s="23" t="str">
        <f t="shared" si="976"/>
        <v/>
      </c>
      <c r="U4769" t="str">
        <f t="shared" si="977"/>
        <v/>
      </c>
      <c r="AF4769" s="22"/>
    </row>
    <row r="4770" spans="1:32">
      <c r="A4770" t="str">
        <f t="shared" si="978"/>
        <v>PA_Alleg_2019p~Dem-member of council pennsbury village (vote for 3)</v>
      </c>
      <c r="B4770" s="55" t="s">
        <v>1291</v>
      </c>
      <c r="C4770">
        <v>906</v>
      </c>
      <c r="D4770" s="55" t="s">
        <v>883</v>
      </c>
      <c r="E4770" s="55" t="s">
        <v>15</v>
      </c>
      <c r="F4770" t="s">
        <v>12</v>
      </c>
      <c r="G4770" s="62">
        <v>12</v>
      </c>
      <c r="H4770" s="25">
        <v>12.12</v>
      </c>
      <c r="I4770">
        <v>596</v>
      </c>
      <c r="J4770">
        <v>89</v>
      </c>
      <c r="K4770">
        <v>1</v>
      </c>
      <c r="L4770">
        <v>1</v>
      </c>
      <c r="M4770">
        <v>0</v>
      </c>
      <c r="N4770" s="23">
        <v>0</v>
      </c>
      <c r="O4770">
        <f t="shared" si="971"/>
        <v>-2</v>
      </c>
      <c r="P4770" s="57">
        <f t="shared" si="972"/>
        <v>3</v>
      </c>
      <c r="Q4770" s="267">
        <f t="shared" si="973"/>
        <v>12</v>
      </c>
      <c r="R4770" s="23">
        <f t="shared" si="974"/>
        <v>1</v>
      </c>
      <c r="S4770" s="23">
        <f t="shared" si="975"/>
        <v>0</v>
      </c>
      <c r="T4770" s="23" t="str">
        <f t="shared" si="976"/>
        <v/>
      </c>
      <c r="U4770" t="str">
        <f t="shared" si="977"/>
        <v/>
      </c>
    </row>
    <row r="4771" spans="1:32">
      <c r="A4771" t="str">
        <f t="shared" si="978"/>
        <v>PA_Alleg_2019p~Dem-member of council pitcairn (vote for 1)</v>
      </c>
      <c r="B4771" s="55" t="s">
        <v>1291</v>
      </c>
      <c r="C4771">
        <v>955</v>
      </c>
      <c r="D4771" s="55" t="s">
        <v>929</v>
      </c>
      <c r="E4771" s="55" t="s">
        <v>931</v>
      </c>
      <c r="F4771" t="s">
        <v>12</v>
      </c>
      <c r="G4771" s="62">
        <v>180</v>
      </c>
      <c r="H4771" s="25">
        <v>55.38</v>
      </c>
      <c r="I4771">
        <v>2156</v>
      </c>
      <c r="J4771">
        <v>434</v>
      </c>
      <c r="K4771">
        <v>3</v>
      </c>
      <c r="L4771">
        <v>3</v>
      </c>
      <c r="M4771">
        <v>0</v>
      </c>
      <c r="N4771" s="23">
        <v>0</v>
      </c>
      <c r="O4771">
        <f t="shared" si="971"/>
        <v>1</v>
      </c>
      <c r="P4771" s="57">
        <f t="shared" si="972"/>
        <v>1</v>
      </c>
      <c r="Q4771" s="267">
        <f t="shared" si="973"/>
        <v>325</v>
      </c>
      <c r="R4771" s="23">
        <f t="shared" si="974"/>
        <v>180</v>
      </c>
      <c r="S4771" s="23">
        <f t="shared" si="975"/>
        <v>143</v>
      </c>
      <c r="T4771" s="23">
        <f t="shared" si="976"/>
        <v>37</v>
      </c>
      <c r="U4771" t="str">
        <f t="shared" si="977"/>
        <v>PA_Alleg_2019p~Dem-member of council pitcairn (vote for 1)</v>
      </c>
      <c r="AF4771" s="22"/>
    </row>
    <row r="4772" spans="1:32">
      <c r="A4772" t="str">
        <f t="shared" si="978"/>
        <v>PA_Alleg_2019p~Dem-member of council pitcairn (vote for 1)</v>
      </c>
      <c r="B4772" s="55" t="s">
        <v>1291</v>
      </c>
      <c r="C4772">
        <v>954</v>
      </c>
      <c r="D4772" s="55" t="s">
        <v>929</v>
      </c>
      <c r="E4772" s="55" t="s">
        <v>930</v>
      </c>
      <c r="F4772" t="s">
        <v>12</v>
      </c>
      <c r="G4772" s="62">
        <v>143</v>
      </c>
      <c r="H4772" s="25">
        <v>44</v>
      </c>
      <c r="I4772">
        <v>2156</v>
      </c>
      <c r="J4772">
        <v>434</v>
      </c>
      <c r="K4772">
        <v>3</v>
      </c>
      <c r="L4772">
        <v>3</v>
      </c>
      <c r="M4772">
        <v>0</v>
      </c>
      <c r="N4772" s="23">
        <v>0</v>
      </c>
      <c r="O4772">
        <f t="shared" si="971"/>
        <v>2</v>
      </c>
      <c r="P4772" s="57">
        <f t="shared" si="972"/>
        <v>1</v>
      </c>
      <c r="Q4772" s="267">
        <f t="shared" si="973"/>
        <v>145</v>
      </c>
      <c r="R4772" s="23" t="str">
        <f t="shared" si="974"/>
        <v/>
      </c>
      <c r="S4772" s="23">
        <f t="shared" si="975"/>
        <v>143</v>
      </c>
      <c r="T4772" s="23" t="str">
        <f t="shared" si="976"/>
        <v/>
      </c>
      <c r="U4772" t="str">
        <f t="shared" si="977"/>
        <v/>
      </c>
      <c r="AF4772" s="300"/>
    </row>
    <row r="4773" spans="1:32">
      <c r="A4773" t="str">
        <f t="shared" si="978"/>
        <v>PA_Alleg_2019p~Dem-member of council pitcairn (vote for 1)</v>
      </c>
      <c r="B4773" s="55" t="s">
        <v>1291</v>
      </c>
      <c r="C4773">
        <v>956</v>
      </c>
      <c r="D4773" s="55" t="s">
        <v>929</v>
      </c>
      <c r="E4773" s="55" t="s">
        <v>15</v>
      </c>
      <c r="F4773" t="s">
        <v>12</v>
      </c>
      <c r="G4773" s="62">
        <v>2</v>
      </c>
      <c r="H4773" s="25">
        <v>0.62</v>
      </c>
      <c r="I4773">
        <v>2156</v>
      </c>
      <c r="J4773">
        <v>434</v>
      </c>
      <c r="K4773">
        <v>3</v>
      </c>
      <c r="L4773">
        <v>3</v>
      </c>
      <c r="M4773">
        <v>0</v>
      </c>
      <c r="N4773" s="23">
        <v>0</v>
      </c>
      <c r="O4773">
        <f t="shared" si="971"/>
        <v>-2</v>
      </c>
      <c r="P4773" s="57">
        <f t="shared" si="972"/>
        <v>1</v>
      </c>
      <c r="Q4773" s="267">
        <f t="shared" si="973"/>
        <v>2</v>
      </c>
      <c r="R4773" s="23">
        <f t="shared" si="974"/>
        <v>1</v>
      </c>
      <c r="S4773" s="23">
        <f t="shared" si="975"/>
        <v>0</v>
      </c>
      <c r="T4773" s="23" t="str">
        <f t="shared" si="976"/>
        <v/>
      </c>
      <c r="U4773" t="str">
        <f t="shared" si="977"/>
        <v/>
      </c>
    </row>
    <row r="4774" spans="1:32">
      <c r="A4774" t="str">
        <f t="shared" si="978"/>
        <v>PA_Alleg_2019p~Dem-member of council pitcairn (vote for 3)</v>
      </c>
      <c r="B4774" s="55" t="s">
        <v>1291</v>
      </c>
      <c r="C4774">
        <v>838</v>
      </c>
      <c r="D4774" s="55" t="s">
        <v>812</v>
      </c>
      <c r="E4774" s="55" t="s">
        <v>818</v>
      </c>
      <c r="F4774" t="s">
        <v>12</v>
      </c>
      <c r="G4774" s="62">
        <v>199</v>
      </c>
      <c r="H4774" s="25">
        <v>21.56</v>
      </c>
      <c r="I4774">
        <v>2156</v>
      </c>
      <c r="J4774">
        <v>434</v>
      </c>
      <c r="K4774">
        <v>3</v>
      </c>
      <c r="L4774">
        <v>3</v>
      </c>
      <c r="M4774">
        <v>0</v>
      </c>
      <c r="N4774" s="23">
        <v>0</v>
      </c>
      <c r="O4774">
        <f t="shared" si="971"/>
        <v>1</v>
      </c>
      <c r="P4774" s="57">
        <f t="shared" si="972"/>
        <v>3</v>
      </c>
      <c r="Q4774" s="267">
        <f t="shared" si="973"/>
        <v>307.66666666666669</v>
      </c>
      <c r="R4774" s="23">
        <f t="shared" si="974"/>
        <v>158</v>
      </c>
      <c r="S4774" s="23">
        <f t="shared" si="975"/>
        <v>146</v>
      </c>
      <c r="T4774" s="23">
        <f t="shared" si="976"/>
        <v>12</v>
      </c>
      <c r="U4774" t="str">
        <f t="shared" si="977"/>
        <v>PA_Alleg_2019p~Dem-member of council pitcairn (vote for 3)</v>
      </c>
      <c r="AF4774" s="22"/>
    </row>
    <row r="4775" spans="1:32">
      <c r="A4775" t="str">
        <f t="shared" si="978"/>
        <v>PA_Alleg_2019p~Dem-member of council pitcairn (vote for 3)</v>
      </c>
      <c r="B4775" s="55" t="s">
        <v>1291</v>
      </c>
      <c r="C4775">
        <v>837</v>
      </c>
      <c r="D4775" s="55" t="s">
        <v>812</v>
      </c>
      <c r="E4775" s="55" t="s">
        <v>817</v>
      </c>
      <c r="F4775" t="s">
        <v>12</v>
      </c>
      <c r="G4775" s="62">
        <v>183</v>
      </c>
      <c r="H4775" s="25">
        <v>19.829999999999998</v>
      </c>
      <c r="I4775">
        <v>2156</v>
      </c>
      <c r="J4775">
        <v>434</v>
      </c>
      <c r="K4775">
        <v>3</v>
      </c>
      <c r="L4775">
        <v>3</v>
      </c>
      <c r="M4775">
        <v>0</v>
      </c>
      <c r="N4775" s="23">
        <v>0</v>
      </c>
      <c r="O4775">
        <f t="shared" si="971"/>
        <v>2</v>
      </c>
      <c r="P4775" s="57">
        <f t="shared" si="972"/>
        <v>3</v>
      </c>
      <c r="Q4775" s="267">
        <f t="shared" si="973"/>
        <v>724</v>
      </c>
      <c r="R4775" s="23">
        <f t="shared" si="974"/>
        <v>158</v>
      </c>
      <c r="S4775" s="23">
        <f t="shared" si="975"/>
        <v>146</v>
      </c>
      <c r="T4775" s="23" t="str">
        <f t="shared" si="976"/>
        <v/>
      </c>
      <c r="U4775" t="str">
        <f t="shared" si="977"/>
        <v/>
      </c>
      <c r="AF4775" s="22"/>
    </row>
    <row r="4776" spans="1:32">
      <c r="A4776" t="str">
        <f t="shared" si="978"/>
        <v>PA_Alleg_2019p~Dem-member of council pitcairn (vote for 3)</v>
      </c>
      <c r="B4776" s="55" t="s">
        <v>1291</v>
      </c>
      <c r="C4776">
        <v>834</v>
      </c>
      <c r="D4776" s="55" t="s">
        <v>812</v>
      </c>
      <c r="E4776" s="55" t="s">
        <v>814</v>
      </c>
      <c r="F4776" t="s">
        <v>12</v>
      </c>
      <c r="G4776" s="62">
        <v>158</v>
      </c>
      <c r="H4776" s="25">
        <v>17.12</v>
      </c>
      <c r="I4776">
        <v>2156</v>
      </c>
      <c r="J4776">
        <v>434</v>
      </c>
      <c r="K4776">
        <v>3</v>
      </c>
      <c r="L4776">
        <v>3</v>
      </c>
      <c r="M4776">
        <v>0</v>
      </c>
      <c r="N4776" s="23">
        <v>0</v>
      </c>
      <c r="O4776">
        <f t="shared" si="971"/>
        <v>3</v>
      </c>
      <c r="P4776" s="57">
        <f t="shared" si="972"/>
        <v>3</v>
      </c>
      <c r="Q4776" s="267">
        <f t="shared" si="973"/>
        <v>541</v>
      </c>
      <c r="R4776" s="23">
        <f t="shared" si="974"/>
        <v>158</v>
      </c>
      <c r="S4776" s="23">
        <f t="shared" si="975"/>
        <v>146</v>
      </c>
      <c r="T4776" s="23" t="str">
        <f t="shared" si="976"/>
        <v/>
      </c>
      <c r="U4776" t="str">
        <f t="shared" si="977"/>
        <v/>
      </c>
      <c r="AF4776" s="258"/>
    </row>
    <row r="4777" spans="1:32">
      <c r="A4777" t="str">
        <f t="shared" si="978"/>
        <v>PA_Alleg_2019p~Dem-member of council pitcairn (vote for 3)</v>
      </c>
      <c r="B4777" s="55" t="s">
        <v>1291</v>
      </c>
      <c r="C4777">
        <v>836</v>
      </c>
      <c r="D4777" s="55" t="s">
        <v>812</v>
      </c>
      <c r="E4777" s="55" t="s">
        <v>816</v>
      </c>
      <c r="F4777" t="s">
        <v>12</v>
      </c>
      <c r="G4777" s="62">
        <v>146</v>
      </c>
      <c r="H4777" s="25">
        <v>15.82</v>
      </c>
      <c r="I4777">
        <v>2156</v>
      </c>
      <c r="J4777">
        <v>434</v>
      </c>
      <c r="K4777">
        <v>3</v>
      </c>
      <c r="L4777">
        <v>3</v>
      </c>
      <c r="M4777">
        <v>0</v>
      </c>
      <c r="N4777" s="23">
        <v>0</v>
      </c>
      <c r="O4777">
        <f t="shared" si="971"/>
        <v>4</v>
      </c>
      <c r="P4777" s="57">
        <f t="shared" si="972"/>
        <v>3</v>
      </c>
      <c r="Q4777" s="267">
        <f t="shared" si="973"/>
        <v>383</v>
      </c>
      <c r="R4777" s="23" t="str">
        <f t="shared" si="974"/>
        <v/>
      </c>
      <c r="S4777" s="23">
        <f t="shared" si="975"/>
        <v>146</v>
      </c>
      <c r="T4777" s="23" t="str">
        <f t="shared" si="976"/>
        <v/>
      </c>
      <c r="U4777" t="str">
        <f t="shared" si="977"/>
        <v/>
      </c>
    </row>
    <row r="4778" spans="1:32">
      <c r="A4778" t="str">
        <f t="shared" si="978"/>
        <v>PA_Alleg_2019p~Dem-member of council pitcairn (vote for 3)</v>
      </c>
      <c r="B4778" s="55" t="s">
        <v>1291</v>
      </c>
      <c r="C4778">
        <v>833</v>
      </c>
      <c r="D4778" s="55" t="s">
        <v>812</v>
      </c>
      <c r="E4778" s="55" t="s">
        <v>813</v>
      </c>
      <c r="F4778" t="s">
        <v>12</v>
      </c>
      <c r="G4778" s="62">
        <v>123</v>
      </c>
      <c r="H4778" s="25">
        <v>13.33</v>
      </c>
      <c r="I4778">
        <v>2156</v>
      </c>
      <c r="J4778">
        <v>434</v>
      </c>
      <c r="K4778">
        <v>3</v>
      </c>
      <c r="L4778">
        <v>3</v>
      </c>
      <c r="M4778">
        <v>0</v>
      </c>
      <c r="N4778" s="23">
        <v>0</v>
      </c>
      <c r="O4778">
        <f t="shared" si="971"/>
        <v>5</v>
      </c>
      <c r="P4778" s="57">
        <f t="shared" si="972"/>
        <v>3</v>
      </c>
      <c r="Q4778" s="267">
        <f t="shared" si="973"/>
        <v>237</v>
      </c>
      <c r="R4778" s="23" t="str">
        <f t="shared" si="974"/>
        <v/>
      </c>
      <c r="S4778" s="23">
        <f t="shared" si="975"/>
        <v>123</v>
      </c>
      <c r="T4778" s="23" t="str">
        <f t="shared" si="976"/>
        <v/>
      </c>
      <c r="U4778" t="str">
        <f t="shared" si="977"/>
        <v/>
      </c>
      <c r="AF4778" s="22"/>
    </row>
    <row r="4779" spans="1:32">
      <c r="A4779" t="str">
        <f t="shared" si="978"/>
        <v>PA_Alleg_2019p~Dem-member of council pitcairn (vote for 3)</v>
      </c>
      <c r="B4779" s="55" t="s">
        <v>1291</v>
      </c>
      <c r="C4779">
        <v>835</v>
      </c>
      <c r="D4779" s="55" t="s">
        <v>812</v>
      </c>
      <c r="E4779" s="55" t="s">
        <v>815</v>
      </c>
      <c r="F4779" t="s">
        <v>12</v>
      </c>
      <c r="G4779" s="62">
        <v>111</v>
      </c>
      <c r="H4779" s="25">
        <v>12.03</v>
      </c>
      <c r="I4779">
        <v>2156</v>
      </c>
      <c r="J4779">
        <v>434</v>
      </c>
      <c r="K4779">
        <v>3</v>
      </c>
      <c r="L4779">
        <v>3</v>
      </c>
      <c r="M4779">
        <v>0</v>
      </c>
      <c r="N4779" s="23">
        <v>0</v>
      </c>
      <c r="O4779">
        <f t="shared" si="971"/>
        <v>6</v>
      </c>
      <c r="P4779" s="57">
        <f t="shared" si="972"/>
        <v>3</v>
      </c>
      <c r="Q4779" s="267">
        <f t="shared" si="973"/>
        <v>114</v>
      </c>
      <c r="R4779" s="23" t="str">
        <f t="shared" si="974"/>
        <v/>
      </c>
      <c r="S4779" s="23">
        <f t="shared" si="975"/>
        <v>111</v>
      </c>
      <c r="T4779" s="23" t="str">
        <f t="shared" si="976"/>
        <v/>
      </c>
      <c r="U4779" t="str">
        <f t="shared" si="977"/>
        <v/>
      </c>
      <c r="AF4779" s="22"/>
    </row>
    <row r="4780" spans="1:32">
      <c r="A4780" t="str">
        <f t="shared" si="978"/>
        <v>PA_Alleg_2019p~Dem-member of council pitcairn (vote for 3)</v>
      </c>
      <c r="B4780" s="55" t="s">
        <v>1291</v>
      </c>
      <c r="C4780">
        <v>839</v>
      </c>
      <c r="D4780" s="55" t="s">
        <v>812</v>
      </c>
      <c r="E4780" s="55" t="s">
        <v>15</v>
      </c>
      <c r="F4780" t="s">
        <v>12</v>
      </c>
      <c r="G4780" s="62">
        <v>3</v>
      </c>
      <c r="H4780" s="25">
        <v>0.33</v>
      </c>
      <c r="I4780">
        <v>2156</v>
      </c>
      <c r="J4780">
        <v>434</v>
      </c>
      <c r="K4780">
        <v>3</v>
      </c>
      <c r="L4780">
        <v>3</v>
      </c>
      <c r="M4780">
        <v>0</v>
      </c>
      <c r="N4780" s="23">
        <v>0</v>
      </c>
      <c r="O4780">
        <f t="shared" si="971"/>
        <v>-6</v>
      </c>
      <c r="P4780" s="57">
        <f t="shared" si="972"/>
        <v>3</v>
      </c>
      <c r="Q4780" s="267">
        <f t="shared" si="973"/>
        <v>3</v>
      </c>
      <c r="R4780" s="23">
        <f t="shared" si="974"/>
        <v>1</v>
      </c>
      <c r="S4780" s="23">
        <f t="shared" si="975"/>
        <v>0</v>
      </c>
      <c r="T4780" s="23" t="str">
        <f t="shared" si="976"/>
        <v/>
      </c>
      <c r="U4780" t="str">
        <f t="shared" si="977"/>
        <v/>
      </c>
      <c r="AF4780" s="22"/>
    </row>
    <row r="4781" spans="1:32">
      <c r="A4781" t="str">
        <f t="shared" si="978"/>
        <v>PA_Alleg_2019p~Dem-member of council pleasant hills (vote for 1)</v>
      </c>
      <c r="B4781" s="55" t="s">
        <v>1291</v>
      </c>
      <c r="C4781">
        <v>957</v>
      </c>
      <c r="D4781" s="55" t="s">
        <v>932</v>
      </c>
      <c r="E4781" s="55" t="s">
        <v>933</v>
      </c>
      <c r="F4781" t="s">
        <v>12</v>
      </c>
      <c r="G4781" s="62">
        <v>475</v>
      </c>
      <c r="H4781" s="25">
        <v>98.34</v>
      </c>
      <c r="I4781">
        <v>6326</v>
      </c>
      <c r="J4781">
        <v>926</v>
      </c>
      <c r="K4781">
        <v>10</v>
      </c>
      <c r="L4781">
        <v>10</v>
      </c>
      <c r="M4781">
        <v>0</v>
      </c>
      <c r="N4781" s="23">
        <v>0</v>
      </c>
      <c r="O4781">
        <f t="shared" si="971"/>
        <v>1</v>
      </c>
      <c r="P4781" s="57">
        <f t="shared" si="972"/>
        <v>1</v>
      </c>
      <c r="Q4781" s="267">
        <f t="shared" si="973"/>
        <v>483</v>
      </c>
      <c r="R4781" s="23">
        <f t="shared" si="974"/>
        <v>475</v>
      </c>
      <c r="S4781" s="23">
        <f t="shared" si="975"/>
        <v>0</v>
      </c>
      <c r="T4781" s="23" t="str">
        <f t="shared" si="976"/>
        <v/>
      </c>
      <c r="U4781" t="str">
        <f t="shared" si="977"/>
        <v>PA_Alleg_2019p~Dem-member of council pleasant hills (vote for 1)</v>
      </c>
    </row>
    <row r="4782" spans="1:32">
      <c r="A4782" t="str">
        <f t="shared" si="978"/>
        <v>PA_Alleg_2019p~Dem-member of council pleasant hills (vote for 1)</v>
      </c>
      <c r="B4782" s="55" t="s">
        <v>1291</v>
      </c>
      <c r="C4782">
        <v>958</v>
      </c>
      <c r="D4782" s="55" t="s">
        <v>932</v>
      </c>
      <c r="E4782" s="55" t="s">
        <v>15</v>
      </c>
      <c r="F4782" t="s">
        <v>12</v>
      </c>
      <c r="G4782" s="62">
        <v>8</v>
      </c>
      <c r="H4782" s="25">
        <v>1.66</v>
      </c>
      <c r="I4782">
        <v>6326</v>
      </c>
      <c r="J4782">
        <v>926</v>
      </c>
      <c r="K4782">
        <v>10</v>
      </c>
      <c r="L4782">
        <v>10</v>
      </c>
      <c r="M4782">
        <v>0</v>
      </c>
      <c r="N4782" s="23">
        <v>0</v>
      </c>
      <c r="O4782">
        <f t="shared" si="971"/>
        <v>-1</v>
      </c>
      <c r="P4782" s="57">
        <f t="shared" si="972"/>
        <v>1</v>
      </c>
      <c r="Q4782" s="267">
        <f t="shared" si="973"/>
        <v>8</v>
      </c>
      <c r="R4782" s="23">
        <f t="shared" si="974"/>
        <v>1</v>
      </c>
      <c r="S4782" s="23">
        <f t="shared" si="975"/>
        <v>0</v>
      </c>
      <c r="T4782" s="23" t="str">
        <f t="shared" si="976"/>
        <v/>
      </c>
      <c r="U4782" t="str">
        <f t="shared" si="977"/>
        <v/>
      </c>
      <c r="AF4782" s="22"/>
    </row>
    <row r="4783" spans="1:32">
      <c r="A4783" t="str">
        <f t="shared" si="978"/>
        <v>PA_Alleg_2019p~Dem-member of council pleasant hills (vote for 3)</v>
      </c>
      <c r="B4783" s="55" t="s">
        <v>1291</v>
      </c>
      <c r="C4783">
        <v>841</v>
      </c>
      <c r="D4783" s="55" t="s">
        <v>819</v>
      </c>
      <c r="E4783" s="55" t="s">
        <v>821</v>
      </c>
      <c r="F4783" t="s">
        <v>12</v>
      </c>
      <c r="G4783" s="62">
        <v>418</v>
      </c>
      <c r="H4783" s="25">
        <v>45.83</v>
      </c>
      <c r="I4783">
        <v>6326</v>
      </c>
      <c r="J4783">
        <v>926</v>
      </c>
      <c r="K4783">
        <v>10</v>
      </c>
      <c r="L4783">
        <v>10</v>
      </c>
      <c r="M4783">
        <v>0</v>
      </c>
      <c r="N4783" s="23">
        <v>0</v>
      </c>
      <c r="O4783">
        <f t="shared" si="971"/>
        <v>1</v>
      </c>
      <c r="P4783" s="57">
        <f t="shared" si="972"/>
        <v>3</v>
      </c>
      <c r="Q4783" s="267">
        <f t="shared" si="973"/>
        <v>418</v>
      </c>
      <c r="R4783" s="23">
        <f t="shared" si="974"/>
        <v>1</v>
      </c>
      <c r="S4783" s="23">
        <f t="shared" si="975"/>
        <v>0</v>
      </c>
      <c r="T4783" s="23" t="str">
        <f t="shared" si="976"/>
        <v/>
      </c>
      <c r="U4783" t="str">
        <f t="shared" si="977"/>
        <v>PA_Alleg_2019p~Dem-member of council pleasant hills (vote for 3)</v>
      </c>
    </row>
    <row r="4784" spans="1:32">
      <c r="A4784" t="str">
        <f t="shared" si="978"/>
        <v>PA_Alleg_2019p~Dem-member of council pleasant hills (vote for 3)</v>
      </c>
      <c r="B4784" s="55" t="s">
        <v>1291</v>
      </c>
      <c r="C4784">
        <v>840</v>
      </c>
      <c r="D4784" s="55" t="s">
        <v>819</v>
      </c>
      <c r="E4784" s="55" t="s">
        <v>820</v>
      </c>
      <c r="F4784" t="s">
        <v>12</v>
      </c>
      <c r="G4784" s="62">
        <v>396</v>
      </c>
      <c r="H4784" s="25">
        <v>43.42</v>
      </c>
      <c r="I4784">
        <v>6326</v>
      </c>
      <c r="J4784">
        <v>926</v>
      </c>
      <c r="K4784">
        <v>10</v>
      </c>
      <c r="L4784">
        <v>10</v>
      </c>
      <c r="M4784">
        <v>0</v>
      </c>
      <c r="N4784" s="23">
        <v>0</v>
      </c>
      <c r="O4784">
        <f t="shared" si="971"/>
        <v>2</v>
      </c>
      <c r="P4784" s="57">
        <f t="shared" si="972"/>
        <v>3</v>
      </c>
      <c r="Q4784" s="267">
        <f t="shared" si="973"/>
        <v>494</v>
      </c>
      <c r="R4784" s="23">
        <f t="shared" si="974"/>
        <v>1</v>
      </c>
      <c r="S4784" s="23">
        <f t="shared" si="975"/>
        <v>0</v>
      </c>
      <c r="T4784" s="23" t="str">
        <f t="shared" si="976"/>
        <v/>
      </c>
      <c r="U4784" t="str">
        <f t="shared" si="977"/>
        <v/>
      </c>
    </row>
    <row r="4785" spans="1:38">
      <c r="A4785" t="str">
        <f t="shared" si="978"/>
        <v>PA_Alleg_2019p~Dem-member of council pleasant hills (vote for 3)</v>
      </c>
      <c r="B4785" s="55" t="s">
        <v>1291</v>
      </c>
      <c r="C4785">
        <v>842</v>
      </c>
      <c r="D4785" s="55" t="s">
        <v>819</v>
      </c>
      <c r="E4785" s="55" t="s">
        <v>15</v>
      </c>
      <c r="F4785" t="s">
        <v>12</v>
      </c>
      <c r="G4785" s="62">
        <v>98</v>
      </c>
      <c r="H4785" s="25">
        <v>10.75</v>
      </c>
      <c r="I4785">
        <v>6326</v>
      </c>
      <c r="J4785">
        <v>926</v>
      </c>
      <c r="K4785">
        <v>10</v>
      </c>
      <c r="L4785">
        <v>10</v>
      </c>
      <c r="M4785">
        <v>0</v>
      </c>
      <c r="N4785" s="23">
        <v>0</v>
      </c>
      <c r="O4785">
        <f t="shared" si="971"/>
        <v>-2</v>
      </c>
      <c r="P4785" s="57">
        <f t="shared" si="972"/>
        <v>3</v>
      </c>
      <c r="Q4785" s="267">
        <f t="shared" si="973"/>
        <v>98</v>
      </c>
      <c r="R4785" s="23">
        <f t="shared" si="974"/>
        <v>1</v>
      </c>
      <c r="S4785" s="23">
        <f t="shared" si="975"/>
        <v>0</v>
      </c>
      <c r="T4785" s="23" t="str">
        <f t="shared" si="976"/>
        <v/>
      </c>
      <c r="U4785" t="str">
        <f t="shared" si="977"/>
        <v/>
      </c>
      <c r="AF4785" s="22"/>
    </row>
    <row r="4786" spans="1:38">
      <c r="A4786" t="str">
        <f t="shared" si="978"/>
        <v>PA_Alleg_2019p~Dem-member of council plum (vote for 3)</v>
      </c>
      <c r="B4786" s="55" t="s">
        <v>1291</v>
      </c>
      <c r="C4786">
        <v>843</v>
      </c>
      <c r="D4786" s="55" t="s">
        <v>822</v>
      </c>
      <c r="E4786" s="55" t="s">
        <v>823</v>
      </c>
      <c r="F4786" t="s">
        <v>12</v>
      </c>
      <c r="G4786" s="62">
        <v>1398</v>
      </c>
      <c r="H4786" s="25">
        <v>51.87</v>
      </c>
      <c r="I4786">
        <v>19280</v>
      </c>
      <c r="J4786">
        <v>3503</v>
      </c>
      <c r="K4786">
        <v>21</v>
      </c>
      <c r="L4786">
        <v>21</v>
      </c>
      <c r="M4786">
        <v>0</v>
      </c>
      <c r="N4786" s="23">
        <v>0</v>
      </c>
      <c r="O4786">
        <f t="shared" si="971"/>
        <v>1</v>
      </c>
      <c r="P4786" s="57">
        <f t="shared" si="972"/>
        <v>3</v>
      </c>
      <c r="Q4786" s="267">
        <f t="shared" si="973"/>
        <v>1398</v>
      </c>
      <c r="R4786" s="23">
        <f t="shared" si="974"/>
        <v>1</v>
      </c>
      <c r="S4786" s="23">
        <f t="shared" si="975"/>
        <v>0</v>
      </c>
      <c r="T4786" s="23" t="str">
        <f t="shared" si="976"/>
        <v/>
      </c>
      <c r="U4786" t="str">
        <f t="shared" si="977"/>
        <v>PA_Alleg_2019p~Dem-member of council plum (vote for 3)</v>
      </c>
      <c r="AF4786" s="22"/>
    </row>
    <row r="4787" spans="1:38">
      <c r="A4787" t="str">
        <f t="shared" si="978"/>
        <v>PA_Alleg_2019p~Dem-member of council plum (vote for 3)</v>
      </c>
      <c r="B4787" s="55" t="s">
        <v>1291</v>
      </c>
      <c r="C4787">
        <v>844</v>
      </c>
      <c r="D4787" s="55" t="s">
        <v>822</v>
      </c>
      <c r="E4787" s="55" t="s">
        <v>824</v>
      </c>
      <c r="F4787" t="s">
        <v>12</v>
      </c>
      <c r="G4787" s="62">
        <v>1198</v>
      </c>
      <c r="H4787" s="25">
        <v>44.45</v>
      </c>
      <c r="I4787">
        <v>19280</v>
      </c>
      <c r="J4787">
        <v>3503</v>
      </c>
      <c r="K4787">
        <v>21</v>
      </c>
      <c r="L4787">
        <v>21</v>
      </c>
      <c r="M4787">
        <v>0</v>
      </c>
      <c r="N4787" s="23">
        <v>0</v>
      </c>
      <c r="O4787">
        <f t="shared" si="971"/>
        <v>2</v>
      </c>
      <c r="P4787" s="57">
        <f t="shared" si="972"/>
        <v>3</v>
      </c>
      <c r="Q4787" s="267">
        <f t="shared" si="973"/>
        <v>1297</v>
      </c>
      <c r="R4787" s="23">
        <f t="shared" si="974"/>
        <v>1</v>
      </c>
      <c r="S4787" s="23">
        <f t="shared" si="975"/>
        <v>0</v>
      </c>
      <c r="T4787" s="23" t="str">
        <f t="shared" si="976"/>
        <v/>
      </c>
      <c r="U4787" t="str">
        <f t="shared" si="977"/>
        <v/>
      </c>
      <c r="AF4787" s="22"/>
    </row>
    <row r="4788" spans="1:38">
      <c r="A4788" t="str">
        <f t="shared" si="978"/>
        <v>PA_Alleg_2019p~Dem-member of council plum (vote for 3)</v>
      </c>
      <c r="B4788" s="55" t="s">
        <v>1291</v>
      </c>
      <c r="C4788">
        <v>845</v>
      </c>
      <c r="D4788" s="55" t="s">
        <v>822</v>
      </c>
      <c r="E4788" s="55" t="s">
        <v>15</v>
      </c>
      <c r="F4788" t="s">
        <v>12</v>
      </c>
      <c r="G4788" s="62">
        <v>99</v>
      </c>
      <c r="H4788" s="25">
        <v>3.67</v>
      </c>
      <c r="I4788">
        <v>19280</v>
      </c>
      <c r="J4788">
        <v>3503</v>
      </c>
      <c r="K4788">
        <v>21</v>
      </c>
      <c r="L4788">
        <v>21</v>
      </c>
      <c r="M4788">
        <v>0</v>
      </c>
      <c r="N4788" s="23">
        <v>0</v>
      </c>
      <c r="O4788">
        <f t="shared" si="971"/>
        <v>-2</v>
      </c>
      <c r="P4788" s="57">
        <f t="shared" si="972"/>
        <v>3</v>
      </c>
      <c r="Q4788" s="267">
        <f t="shared" si="973"/>
        <v>99</v>
      </c>
      <c r="R4788" s="23">
        <f t="shared" si="974"/>
        <v>1</v>
      </c>
      <c r="S4788" s="23">
        <f t="shared" si="975"/>
        <v>0</v>
      </c>
      <c r="T4788" s="23" t="str">
        <f t="shared" si="976"/>
        <v/>
      </c>
      <c r="U4788" t="str">
        <f t="shared" si="977"/>
        <v/>
      </c>
      <c r="AF4788" s="22"/>
    </row>
    <row r="4789" spans="1:38">
      <c r="A4789" t="str">
        <f t="shared" si="978"/>
        <v>PA_Alleg_2019p~Dem-member of council port vue (vote for 3)</v>
      </c>
      <c r="B4789" s="55" t="s">
        <v>1291</v>
      </c>
      <c r="C4789">
        <v>848</v>
      </c>
      <c r="D4789" s="55" t="s">
        <v>825</v>
      </c>
      <c r="E4789" s="55" t="s">
        <v>828</v>
      </c>
      <c r="F4789" t="s">
        <v>12</v>
      </c>
      <c r="G4789" s="62">
        <v>283</v>
      </c>
      <c r="H4789" s="25">
        <v>34.979999999999997</v>
      </c>
      <c r="I4789">
        <v>2358</v>
      </c>
      <c r="J4789">
        <v>489</v>
      </c>
      <c r="K4789">
        <v>4</v>
      </c>
      <c r="L4789">
        <v>4</v>
      </c>
      <c r="M4789">
        <v>0</v>
      </c>
      <c r="N4789" s="23">
        <v>0</v>
      </c>
      <c r="O4789">
        <f t="shared" si="971"/>
        <v>1</v>
      </c>
      <c r="P4789" s="57">
        <f t="shared" si="972"/>
        <v>3</v>
      </c>
      <c r="Q4789" s="267">
        <f t="shared" si="973"/>
        <v>283</v>
      </c>
      <c r="R4789" s="23">
        <f t="shared" si="974"/>
        <v>246</v>
      </c>
      <c r="S4789" s="23">
        <f t="shared" si="975"/>
        <v>0</v>
      </c>
      <c r="T4789" s="23" t="str">
        <f t="shared" si="976"/>
        <v/>
      </c>
      <c r="U4789" t="str">
        <f t="shared" si="977"/>
        <v>PA_Alleg_2019p~Dem-member of council port vue (vote for 3)</v>
      </c>
      <c r="AG4789" s="314"/>
      <c r="AH4789" s="313"/>
      <c r="AI4789" s="315"/>
      <c r="AJ4789" s="315"/>
      <c r="AK4789" s="345"/>
      <c r="AL4789" s="346"/>
    </row>
    <row r="4790" spans="1:38">
      <c r="A4790" t="str">
        <f t="shared" si="978"/>
        <v>PA_Alleg_2019p~Dem-member of council port vue (vote for 3)</v>
      </c>
      <c r="B4790" s="55" t="s">
        <v>1291</v>
      </c>
      <c r="C4790">
        <v>847</v>
      </c>
      <c r="D4790" s="55" t="s">
        <v>825</v>
      </c>
      <c r="E4790" s="55" t="s">
        <v>827</v>
      </c>
      <c r="F4790" t="s">
        <v>12</v>
      </c>
      <c r="G4790" s="62">
        <v>276</v>
      </c>
      <c r="H4790" s="25">
        <v>34.119999999999997</v>
      </c>
      <c r="I4790">
        <v>2358</v>
      </c>
      <c r="J4790">
        <v>489</v>
      </c>
      <c r="K4790">
        <v>4</v>
      </c>
      <c r="L4790">
        <v>4</v>
      </c>
      <c r="M4790">
        <v>0</v>
      </c>
      <c r="N4790" s="23">
        <v>0</v>
      </c>
      <c r="O4790">
        <f t="shared" si="971"/>
        <v>2</v>
      </c>
      <c r="P4790" s="57">
        <f t="shared" si="972"/>
        <v>3</v>
      </c>
      <c r="Q4790" s="267">
        <f t="shared" si="973"/>
        <v>526</v>
      </c>
      <c r="R4790" s="23">
        <f t="shared" si="974"/>
        <v>246</v>
      </c>
      <c r="S4790" s="23">
        <f t="shared" si="975"/>
        <v>0</v>
      </c>
      <c r="T4790" s="23" t="str">
        <f t="shared" si="976"/>
        <v/>
      </c>
      <c r="U4790" t="str">
        <f t="shared" si="977"/>
        <v/>
      </c>
    </row>
    <row r="4791" spans="1:38">
      <c r="A4791" t="str">
        <f t="shared" si="978"/>
        <v>PA_Alleg_2019p~Dem-member of council port vue (vote for 3)</v>
      </c>
      <c r="B4791" s="55" t="s">
        <v>1291</v>
      </c>
      <c r="C4791">
        <v>846</v>
      </c>
      <c r="D4791" s="55" t="s">
        <v>825</v>
      </c>
      <c r="E4791" s="55" t="s">
        <v>826</v>
      </c>
      <c r="F4791" t="s">
        <v>12</v>
      </c>
      <c r="G4791" s="62">
        <v>246</v>
      </c>
      <c r="H4791" s="25">
        <v>30.41</v>
      </c>
      <c r="I4791">
        <v>2358</v>
      </c>
      <c r="J4791">
        <v>489</v>
      </c>
      <c r="K4791">
        <v>4</v>
      </c>
      <c r="L4791">
        <v>4</v>
      </c>
      <c r="M4791">
        <v>0</v>
      </c>
      <c r="N4791" s="23">
        <v>0</v>
      </c>
      <c r="O4791">
        <f t="shared" si="971"/>
        <v>3</v>
      </c>
      <c r="P4791" s="57">
        <f t="shared" si="972"/>
        <v>3</v>
      </c>
      <c r="Q4791" s="267">
        <f t="shared" si="973"/>
        <v>250</v>
      </c>
      <c r="R4791" s="23">
        <f t="shared" si="974"/>
        <v>246</v>
      </c>
      <c r="S4791" s="23">
        <f t="shared" si="975"/>
        <v>0</v>
      </c>
      <c r="T4791" s="23" t="str">
        <f t="shared" si="976"/>
        <v/>
      </c>
      <c r="U4791" t="str">
        <f t="shared" si="977"/>
        <v/>
      </c>
    </row>
    <row r="4792" spans="1:38">
      <c r="A4792" t="str">
        <f t="shared" si="978"/>
        <v>PA_Alleg_2019p~Dem-member of council port vue (vote for 3)</v>
      </c>
      <c r="B4792" s="55" t="s">
        <v>1291</v>
      </c>
      <c r="C4792">
        <v>849</v>
      </c>
      <c r="D4792" s="55" t="s">
        <v>825</v>
      </c>
      <c r="E4792" s="55" t="s">
        <v>15</v>
      </c>
      <c r="F4792" t="s">
        <v>12</v>
      </c>
      <c r="G4792" s="62">
        <v>4</v>
      </c>
      <c r="H4792" s="25">
        <v>0.49</v>
      </c>
      <c r="I4792">
        <v>2358</v>
      </c>
      <c r="J4792">
        <v>489</v>
      </c>
      <c r="K4792">
        <v>4</v>
      </c>
      <c r="L4792">
        <v>4</v>
      </c>
      <c r="M4792">
        <v>0</v>
      </c>
      <c r="N4792" s="23">
        <v>0</v>
      </c>
      <c r="O4792">
        <f t="shared" si="971"/>
        <v>-3</v>
      </c>
      <c r="P4792" s="57">
        <f t="shared" si="972"/>
        <v>3</v>
      </c>
      <c r="Q4792" s="267">
        <f t="shared" si="973"/>
        <v>4</v>
      </c>
      <c r="R4792" s="23">
        <f t="shared" si="974"/>
        <v>1</v>
      </c>
      <c r="S4792" s="23">
        <f t="shared" si="975"/>
        <v>0</v>
      </c>
      <c r="T4792" s="23" t="str">
        <f t="shared" si="976"/>
        <v/>
      </c>
      <c r="U4792" t="str">
        <f t="shared" si="977"/>
        <v/>
      </c>
      <c r="AF4792" s="22"/>
    </row>
    <row r="4793" spans="1:38">
      <c r="A4793" t="str">
        <f t="shared" si="978"/>
        <v>PA_Alleg_2019p~Dem-member of council rankin ward 1 (vote for 1)</v>
      </c>
      <c r="B4793" s="55" t="s">
        <v>1291</v>
      </c>
      <c r="C4793">
        <v>1075</v>
      </c>
      <c r="D4793" s="55" t="s">
        <v>1050</v>
      </c>
      <c r="E4793" s="55" t="s">
        <v>1051</v>
      </c>
      <c r="F4793" t="s">
        <v>12</v>
      </c>
      <c r="G4793" s="62">
        <v>68</v>
      </c>
      <c r="H4793" s="25">
        <v>98.55</v>
      </c>
      <c r="I4793">
        <v>373</v>
      </c>
      <c r="J4793">
        <v>84</v>
      </c>
      <c r="K4793">
        <v>1</v>
      </c>
      <c r="L4793">
        <v>1</v>
      </c>
      <c r="M4793">
        <v>0</v>
      </c>
      <c r="N4793" s="23">
        <v>0</v>
      </c>
      <c r="O4793">
        <f t="shared" si="971"/>
        <v>1</v>
      </c>
      <c r="P4793" s="57">
        <f t="shared" si="972"/>
        <v>1</v>
      </c>
      <c r="Q4793" s="267">
        <f t="shared" si="973"/>
        <v>69</v>
      </c>
      <c r="R4793" s="23">
        <f t="shared" si="974"/>
        <v>68</v>
      </c>
      <c r="S4793" s="23">
        <f t="shared" si="975"/>
        <v>0</v>
      </c>
      <c r="T4793" s="23" t="str">
        <f t="shared" si="976"/>
        <v/>
      </c>
      <c r="U4793" t="str">
        <f t="shared" si="977"/>
        <v>PA_Alleg_2019p~Dem-member of council rankin ward 1 (vote for 1)</v>
      </c>
      <c r="AF4793" s="22"/>
    </row>
    <row r="4794" spans="1:38">
      <c r="A4794" t="str">
        <f t="shared" si="978"/>
        <v>PA_Alleg_2019p~Dem-member of council rankin ward 1 (vote for 1)</v>
      </c>
      <c r="B4794" s="55" t="s">
        <v>1291</v>
      </c>
      <c r="C4794">
        <v>1076</v>
      </c>
      <c r="D4794" s="55" t="s">
        <v>1050</v>
      </c>
      <c r="E4794" s="55" t="s">
        <v>15</v>
      </c>
      <c r="F4794" t="s">
        <v>12</v>
      </c>
      <c r="G4794" s="62">
        <v>1</v>
      </c>
      <c r="H4794" s="25">
        <v>1.45</v>
      </c>
      <c r="I4794">
        <v>373</v>
      </c>
      <c r="J4794">
        <v>84</v>
      </c>
      <c r="K4794">
        <v>1</v>
      </c>
      <c r="L4794">
        <v>1</v>
      </c>
      <c r="M4794">
        <v>0</v>
      </c>
      <c r="N4794" s="23">
        <v>0</v>
      </c>
      <c r="O4794">
        <f t="shared" si="971"/>
        <v>-1</v>
      </c>
      <c r="P4794" s="57">
        <f t="shared" si="972"/>
        <v>1</v>
      </c>
      <c r="Q4794" s="267">
        <f t="shared" si="973"/>
        <v>1</v>
      </c>
      <c r="R4794" s="23">
        <f t="shared" si="974"/>
        <v>1</v>
      </c>
      <c r="S4794" s="23">
        <f t="shared" si="975"/>
        <v>0</v>
      </c>
      <c r="T4794" s="23" t="str">
        <f t="shared" si="976"/>
        <v/>
      </c>
      <c r="U4794" t="str">
        <f t="shared" si="977"/>
        <v/>
      </c>
      <c r="AF4794" s="22"/>
    </row>
    <row r="4795" spans="1:38">
      <c r="A4795" t="str">
        <f t="shared" si="978"/>
        <v>PA_Alleg_2019p~Dem-member of council rankin ward 2 (vote for 1)</v>
      </c>
      <c r="B4795" s="55" t="s">
        <v>1291</v>
      </c>
      <c r="C4795">
        <v>1077</v>
      </c>
      <c r="D4795" s="55" t="s">
        <v>1052</v>
      </c>
      <c r="E4795" s="55" t="s">
        <v>1053</v>
      </c>
      <c r="F4795" t="s">
        <v>12</v>
      </c>
      <c r="G4795" s="62">
        <v>81</v>
      </c>
      <c r="H4795" s="25">
        <v>100</v>
      </c>
      <c r="I4795">
        <v>434</v>
      </c>
      <c r="J4795">
        <v>91</v>
      </c>
      <c r="K4795">
        <v>1</v>
      </c>
      <c r="L4795">
        <v>1</v>
      </c>
      <c r="M4795">
        <v>0</v>
      </c>
      <c r="N4795" s="23">
        <v>0</v>
      </c>
      <c r="O4795">
        <f t="shared" si="971"/>
        <v>1</v>
      </c>
      <c r="P4795" s="57">
        <f t="shared" si="972"/>
        <v>1</v>
      </c>
      <c r="Q4795" s="267">
        <f t="shared" si="973"/>
        <v>81</v>
      </c>
      <c r="R4795" s="23">
        <f t="shared" si="974"/>
        <v>81</v>
      </c>
      <c r="S4795" s="23">
        <f t="shared" si="975"/>
        <v>0</v>
      </c>
      <c r="T4795" s="23" t="str">
        <f t="shared" si="976"/>
        <v/>
      </c>
      <c r="U4795" t="str">
        <f t="shared" si="977"/>
        <v>PA_Alleg_2019p~Dem-member of council rankin ward 2 (vote for 1)</v>
      </c>
    </row>
    <row r="4796" spans="1:38">
      <c r="A4796" t="str">
        <f t="shared" si="978"/>
        <v>PA_Alleg_2019p~Dem-member of council rankin ward 2 (vote for 1)</v>
      </c>
      <c r="B4796" s="55" t="s">
        <v>1291</v>
      </c>
      <c r="C4796">
        <v>1078</v>
      </c>
      <c r="D4796" s="55" t="s">
        <v>1052</v>
      </c>
      <c r="E4796" s="55" t="s">
        <v>15</v>
      </c>
      <c r="F4796" t="s">
        <v>12</v>
      </c>
      <c r="G4796" s="62">
        <v>0</v>
      </c>
      <c r="H4796" s="25">
        <v>0</v>
      </c>
      <c r="I4796">
        <v>434</v>
      </c>
      <c r="J4796">
        <v>91</v>
      </c>
      <c r="K4796">
        <v>1</v>
      </c>
      <c r="L4796">
        <v>1</v>
      </c>
      <c r="M4796">
        <v>0</v>
      </c>
      <c r="N4796" s="23">
        <v>0</v>
      </c>
      <c r="O4796">
        <f t="shared" si="971"/>
        <v>-1</v>
      </c>
      <c r="P4796" s="57">
        <f t="shared" si="972"/>
        <v>1</v>
      </c>
      <c r="Q4796" s="267">
        <f t="shared" si="973"/>
        <v>0</v>
      </c>
      <c r="R4796" s="23">
        <f t="shared" si="974"/>
        <v>1</v>
      </c>
      <c r="S4796" s="23">
        <f t="shared" si="975"/>
        <v>0</v>
      </c>
      <c r="T4796" s="23" t="str">
        <f t="shared" si="976"/>
        <v/>
      </c>
      <c r="U4796" t="str">
        <f t="shared" si="977"/>
        <v/>
      </c>
      <c r="AF4796" s="22"/>
    </row>
    <row r="4797" spans="1:38">
      <c r="A4797" t="str">
        <f t="shared" si="978"/>
        <v>PA_Alleg_2019p~Dem-member of council rankin ward 3 (vote for 1)</v>
      </c>
      <c r="B4797" s="55" t="s">
        <v>1291</v>
      </c>
      <c r="C4797">
        <v>1079</v>
      </c>
      <c r="D4797" s="55" t="s">
        <v>1054</v>
      </c>
      <c r="E4797" s="55" t="s">
        <v>1055</v>
      </c>
      <c r="F4797" t="s">
        <v>12</v>
      </c>
      <c r="G4797" s="62">
        <v>77</v>
      </c>
      <c r="H4797" s="25">
        <v>98.72</v>
      </c>
      <c r="I4797">
        <v>664</v>
      </c>
      <c r="J4797">
        <v>87</v>
      </c>
      <c r="K4797">
        <v>1</v>
      </c>
      <c r="L4797">
        <v>1</v>
      </c>
      <c r="M4797">
        <v>0</v>
      </c>
      <c r="N4797" s="23">
        <v>0</v>
      </c>
      <c r="O4797">
        <f t="shared" si="971"/>
        <v>1</v>
      </c>
      <c r="P4797" s="57">
        <f t="shared" si="972"/>
        <v>1</v>
      </c>
      <c r="Q4797" s="267">
        <f t="shared" si="973"/>
        <v>78</v>
      </c>
      <c r="R4797" s="23">
        <f t="shared" si="974"/>
        <v>77</v>
      </c>
      <c r="S4797" s="23">
        <f t="shared" si="975"/>
        <v>0</v>
      </c>
      <c r="T4797" s="23" t="str">
        <f t="shared" si="976"/>
        <v/>
      </c>
      <c r="U4797" t="str">
        <f t="shared" si="977"/>
        <v>PA_Alleg_2019p~Dem-member of council rankin ward 3 (vote for 1)</v>
      </c>
      <c r="AF4797" s="22"/>
    </row>
    <row r="4798" spans="1:38">
      <c r="A4798" t="str">
        <f t="shared" si="978"/>
        <v>PA_Alleg_2019p~Dem-member of council rankin ward 3 (vote for 1)</v>
      </c>
      <c r="B4798" s="55" t="s">
        <v>1291</v>
      </c>
      <c r="C4798">
        <v>1080</v>
      </c>
      <c r="D4798" s="55" t="s">
        <v>1054</v>
      </c>
      <c r="E4798" s="55" t="s">
        <v>15</v>
      </c>
      <c r="F4798" t="s">
        <v>12</v>
      </c>
      <c r="G4798" s="62">
        <v>1</v>
      </c>
      <c r="H4798" s="25">
        <v>1.28</v>
      </c>
      <c r="I4798">
        <v>664</v>
      </c>
      <c r="J4798">
        <v>87</v>
      </c>
      <c r="K4798">
        <v>1</v>
      </c>
      <c r="L4798">
        <v>1</v>
      </c>
      <c r="M4798">
        <v>0</v>
      </c>
      <c r="N4798" s="23">
        <v>0</v>
      </c>
      <c r="O4798">
        <f t="shared" si="971"/>
        <v>-1</v>
      </c>
      <c r="P4798" s="57">
        <f t="shared" si="972"/>
        <v>1</v>
      </c>
      <c r="Q4798" s="267">
        <f t="shared" si="973"/>
        <v>1</v>
      </c>
      <c r="R4798" s="23">
        <f t="shared" si="974"/>
        <v>1</v>
      </c>
      <c r="S4798" s="23">
        <f t="shared" si="975"/>
        <v>0</v>
      </c>
      <c r="T4798" s="23" t="str">
        <f t="shared" si="976"/>
        <v/>
      </c>
      <c r="U4798" t="str">
        <f t="shared" si="977"/>
        <v/>
      </c>
      <c r="AF4798" s="22"/>
    </row>
    <row r="4799" spans="1:38">
      <c r="A4799" t="str">
        <f t="shared" si="978"/>
        <v>PA_Alleg_2019p~Dem-member of council rosslyn farms (vote for 2)</v>
      </c>
      <c r="B4799" s="55" t="s">
        <v>1291</v>
      </c>
      <c r="C4799">
        <v>931</v>
      </c>
      <c r="D4799" s="55" t="s">
        <v>909</v>
      </c>
      <c r="E4799" s="55" t="s">
        <v>910</v>
      </c>
      <c r="F4799" t="s">
        <v>12</v>
      </c>
      <c r="G4799" s="62">
        <v>58</v>
      </c>
      <c r="H4799" s="25">
        <v>95.08</v>
      </c>
      <c r="I4799">
        <v>402</v>
      </c>
      <c r="J4799">
        <v>112</v>
      </c>
      <c r="K4799">
        <v>1</v>
      </c>
      <c r="L4799">
        <v>1</v>
      </c>
      <c r="M4799">
        <v>0</v>
      </c>
      <c r="N4799" s="23">
        <v>0</v>
      </c>
      <c r="O4799">
        <f t="shared" si="971"/>
        <v>1</v>
      </c>
      <c r="P4799" s="57">
        <f t="shared" si="972"/>
        <v>2</v>
      </c>
      <c r="Q4799" s="267">
        <f t="shared" si="973"/>
        <v>58</v>
      </c>
      <c r="R4799" s="23">
        <f t="shared" si="974"/>
        <v>1</v>
      </c>
      <c r="S4799" s="23">
        <f t="shared" si="975"/>
        <v>0</v>
      </c>
      <c r="T4799" s="23" t="str">
        <f t="shared" si="976"/>
        <v/>
      </c>
      <c r="U4799" t="str">
        <f t="shared" si="977"/>
        <v>PA_Alleg_2019p~Dem-member of council rosslyn farms (vote for 2)</v>
      </c>
    </row>
    <row r="4800" spans="1:38">
      <c r="A4800" t="str">
        <f t="shared" si="978"/>
        <v>PA_Alleg_2019p~Dem-member of council rosslyn farms (vote for 2)</v>
      </c>
      <c r="B4800" s="55" t="s">
        <v>1291</v>
      </c>
      <c r="C4800">
        <v>932</v>
      </c>
      <c r="D4800" s="55" t="s">
        <v>909</v>
      </c>
      <c r="E4800" s="55" t="s">
        <v>15</v>
      </c>
      <c r="F4800" t="s">
        <v>12</v>
      </c>
      <c r="G4800" s="62">
        <v>3</v>
      </c>
      <c r="H4800" s="25">
        <v>4.92</v>
      </c>
      <c r="I4800">
        <v>402</v>
      </c>
      <c r="J4800">
        <v>112</v>
      </c>
      <c r="K4800">
        <v>1</v>
      </c>
      <c r="L4800">
        <v>1</v>
      </c>
      <c r="M4800">
        <v>0</v>
      </c>
      <c r="N4800" s="23">
        <v>0</v>
      </c>
      <c r="O4800">
        <f t="shared" si="971"/>
        <v>-1</v>
      </c>
      <c r="P4800" s="57">
        <f t="shared" si="972"/>
        <v>2</v>
      </c>
      <c r="Q4800" s="267">
        <f t="shared" si="973"/>
        <v>3</v>
      </c>
      <c r="R4800" s="23">
        <f t="shared" si="974"/>
        <v>1</v>
      </c>
      <c r="S4800" s="23">
        <f t="shared" si="975"/>
        <v>0</v>
      </c>
      <c r="T4800" s="23" t="str">
        <f t="shared" si="976"/>
        <v/>
      </c>
      <c r="U4800" t="str">
        <f t="shared" si="977"/>
        <v/>
      </c>
      <c r="AF4800" s="22"/>
      <c r="AH4800" s="8"/>
    </row>
    <row r="4801" spans="1:38">
      <c r="A4801" t="str">
        <f t="shared" si="978"/>
        <v>PA_Alleg_2019p~Dem-member of council rosslyn farms (vote for 3)</v>
      </c>
      <c r="B4801" s="55" t="s">
        <v>1291</v>
      </c>
      <c r="C4801">
        <v>850</v>
      </c>
      <c r="D4801" s="55" t="s">
        <v>829</v>
      </c>
      <c r="E4801" s="55" t="s">
        <v>15</v>
      </c>
      <c r="F4801" t="s">
        <v>12</v>
      </c>
      <c r="G4801" s="62">
        <v>30</v>
      </c>
      <c r="H4801" s="25">
        <v>100</v>
      </c>
      <c r="I4801">
        <v>402</v>
      </c>
      <c r="J4801">
        <v>112</v>
      </c>
      <c r="K4801">
        <v>1</v>
      </c>
      <c r="L4801">
        <v>1</v>
      </c>
      <c r="M4801">
        <v>0</v>
      </c>
      <c r="N4801" s="23">
        <v>0</v>
      </c>
      <c r="O4801">
        <f t="shared" si="971"/>
        <v>0</v>
      </c>
      <c r="P4801" s="57">
        <f t="shared" si="972"/>
        <v>3</v>
      </c>
      <c r="Q4801" s="267">
        <f t="shared" si="973"/>
        <v>30</v>
      </c>
      <c r="R4801" s="23">
        <f t="shared" si="974"/>
        <v>1</v>
      </c>
      <c r="S4801" s="23">
        <f t="shared" si="975"/>
        <v>0</v>
      </c>
      <c r="T4801" s="23" t="str">
        <f t="shared" si="976"/>
        <v/>
      </c>
      <c r="U4801" t="str">
        <f t="shared" si="977"/>
        <v>PA_Alleg_2019p~Dem-member of council rosslyn farms (vote for 3)</v>
      </c>
      <c r="AF4801" s="22"/>
    </row>
    <row r="4802" spans="1:38">
      <c r="A4802" t="str">
        <f t="shared" si="978"/>
        <v>PA_Alleg_2019p~Dem-member of council sewickley heights (vote for 1)</v>
      </c>
      <c r="B4802" s="55" t="s">
        <v>1291</v>
      </c>
      <c r="C4802">
        <v>959</v>
      </c>
      <c r="D4802" s="55" t="s">
        <v>934</v>
      </c>
      <c r="E4802" s="55" t="s">
        <v>15</v>
      </c>
      <c r="F4802" t="s">
        <v>12</v>
      </c>
      <c r="G4802" s="62">
        <v>10</v>
      </c>
      <c r="H4802" s="25">
        <v>100</v>
      </c>
      <c r="I4802">
        <v>784</v>
      </c>
      <c r="J4802">
        <v>144</v>
      </c>
      <c r="K4802">
        <v>1</v>
      </c>
      <c r="L4802">
        <v>1</v>
      </c>
      <c r="M4802">
        <v>0</v>
      </c>
      <c r="N4802" s="23">
        <v>0</v>
      </c>
      <c r="O4802">
        <f t="shared" ref="O4802:O4865" si="979">IF(OR(LOWER(LEFT(E4802,8))="write-in",LOWER(LEFT(E4802,8))="not qual"),IF(A4802=A4801,-ABS(O4801),0),IF(A4802=A4801,ABS(O4801)+1,1))</f>
        <v>0</v>
      </c>
      <c r="P4802" s="57">
        <f t="shared" ref="P4802:P4865" si="980">1*LEFT(RIGHT(A4802,2),1)</f>
        <v>1</v>
      </c>
      <c r="Q4802" s="267">
        <f t="shared" ref="Q4802:Q4865" si="981">IF(A4802&lt;&gt;A4803,G4802,IF(A4802=A4801,G4802+Q4803,MAX(G4802,(G4802+Q4803)/P4802)))</f>
        <v>10</v>
      </c>
      <c r="R4802" s="23">
        <f t="shared" ref="R4802:R4865" si="982">IF(O4802&gt;P4802,"",IF(O4802=P4802,G4802,IF(A4802=A4803,R4803,IF(O4802&lt;=0,1,G4802))))</f>
        <v>1</v>
      </c>
      <c r="S4802" s="23">
        <f t="shared" ref="S4802:S4865" si="983">IF(AND(O4802&gt;P4802,LOWER(LEFT(E4802,8))&lt;&gt;"write-in",LOWER(LEFT(E4802,8))&lt;&gt;"not qual"),G4802,IF(A4802=A4803,S4803,0))</f>
        <v>0</v>
      </c>
      <c r="T4802" s="23" t="str">
        <f t="shared" ref="T4802:T4865" si="984">IF(OR(A4802=A4801,S4802=0),"",R4802-ABS(S4802))</f>
        <v/>
      </c>
      <c r="U4802" t="str">
        <f t="shared" ref="U4802:U4865" si="985">IF(A4802=A4801,"",A4802)</f>
        <v>PA_Alleg_2019p~Dem-member of council sewickley heights (vote for 1)</v>
      </c>
      <c r="AF4802" s="22"/>
      <c r="AH4802" s="8"/>
      <c r="AL4802" s="23"/>
    </row>
    <row r="4803" spans="1:38">
      <c r="A4803" t="str">
        <f t="shared" ref="A4803:A4866" si="986">CONCATENATE(B4803,"~",F4803,"-",LOWER(D4803))</f>
        <v>PA_Alleg_2019p~Dem-member of council sewickley heights (vote for 3)</v>
      </c>
      <c r="B4803" s="55" t="s">
        <v>1291</v>
      </c>
      <c r="C4803">
        <v>851</v>
      </c>
      <c r="D4803" s="55" t="s">
        <v>830</v>
      </c>
      <c r="E4803" s="55" t="s">
        <v>15</v>
      </c>
      <c r="F4803" t="s">
        <v>12</v>
      </c>
      <c r="G4803" s="62">
        <v>31</v>
      </c>
      <c r="H4803" s="25">
        <v>100</v>
      </c>
      <c r="I4803">
        <v>784</v>
      </c>
      <c r="J4803">
        <v>144</v>
      </c>
      <c r="K4803">
        <v>1</v>
      </c>
      <c r="L4803">
        <v>1</v>
      </c>
      <c r="M4803">
        <v>0</v>
      </c>
      <c r="N4803" s="23">
        <v>0</v>
      </c>
      <c r="O4803">
        <f t="shared" si="979"/>
        <v>0</v>
      </c>
      <c r="P4803" s="57">
        <f t="shared" si="980"/>
        <v>3</v>
      </c>
      <c r="Q4803" s="267">
        <f t="shared" si="981"/>
        <v>31</v>
      </c>
      <c r="R4803" s="23">
        <f t="shared" si="982"/>
        <v>1</v>
      </c>
      <c r="S4803" s="23">
        <f t="shared" si="983"/>
        <v>0</v>
      </c>
      <c r="T4803" s="23" t="str">
        <f t="shared" si="984"/>
        <v/>
      </c>
      <c r="U4803" t="str">
        <f t="shared" si="985"/>
        <v>PA_Alleg_2019p~Dem-member of council sewickley heights (vote for 3)</v>
      </c>
      <c r="AL4803" s="344"/>
    </row>
    <row r="4804" spans="1:38">
      <c r="A4804" t="str">
        <f t="shared" si="986"/>
        <v>PA_Alleg_2019p~Dem-member of council sewickley hills (vote for 1)</v>
      </c>
      <c r="B4804" s="55" t="s">
        <v>1291</v>
      </c>
      <c r="C4804">
        <v>960</v>
      </c>
      <c r="D4804" s="55" t="s">
        <v>935</v>
      </c>
      <c r="E4804" s="55" t="s">
        <v>15</v>
      </c>
      <c r="F4804" t="s">
        <v>12</v>
      </c>
      <c r="G4804" s="62">
        <v>19</v>
      </c>
      <c r="H4804" s="25">
        <v>100</v>
      </c>
      <c r="I4804">
        <v>552</v>
      </c>
      <c r="J4804">
        <v>98</v>
      </c>
      <c r="K4804">
        <v>1</v>
      </c>
      <c r="L4804">
        <v>1</v>
      </c>
      <c r="M4804">
        <v>0</v>
      </c>
      <c r="N4804" s="23">
        <v>0</v>
      </c>
      <c r="O4804">
        <f t="shared" si="979"/>
        <v>0</v>
      </c>
      <c r="P4804" s="57">
        <f t="shared" si="980"/>
        <v>1</v>
      </c>
      <c r="Q4804" s="267">
        <f t="shared" si="981"/>
        <v>19</v>
      </c>
      <c r="R4804" s="23">
        <f t="shared" si="982"/>
        <v>1</v>
      </c>
      <c r="S4804" s="23">
        <f t="shared" si="983"/>
        <v>0</v>
      </c>
      <c r="T4804" s="23" t="str">
        <f t="shared" si="984"/>
        <v/>
      </c>
      <c r="U4804" t="str">
        <f t="shared" si="985"/>
        <v>PA_Alleg_2019p~Dem-member of council sewickley hills (vote for 1)</v>
      </c>
      <c r="AF4804" s="22"/>
      <c r="AL4804" s="344"/>
    </row>
    <row r="4805" spans="1:38">
      <c r="A4805" t="str">
        <f t="shared" si="986"/>
        <v>PA_Alleg_2019p~Dem-member of council sewickley hills (vote for 2)</v>
      </c>
      <c r="B4805" s="55" t="s">
        <v>1291</v>
      </c>
      <c r="C4805">
        <v>927</v>
      </c>
      <c r="D4805" s="55" t="s">
        <v>905</v>
      </c>
      <c r="E4805" s="55" t="s">
        <v>906</v>
      </c>
      <c r="F4805" t="s">
        <v>12</v>
      </c>
      <c r="G4805" s="62">
        <v>41</v>
      </c>
      <c r="H4805" s="25">
        <v>67.209999999999994</v>
      </c>
      <c r="I4805">
        <v>552</v>
      </c>
      <c r="J4805">
        <v>98</v>
      </c>
      <c r="K4805">
        <v>1</v>
      </c>
      <c r="L4805">
        <v>1</v>
      </c>
      <c r="M4805">
        <v>0</v>
      </c>
      <c r="N4805" s="23">
        <v>0</v>
      </c>
      <c r="O4805">
        <f t="shared" si="979"/>
        <v>1</v>
      </c>
      <c r="P4805" s="57">
        <f t="shared" si="980"/>
        <v>2</v>
      </c>
      <c r="Q4805" s="267">
        <f t="shared" si="981"/>
        <v>41</v>
      </c>
      <c r="R4805" s="23">
        <f t="shared" si="982"/>
        <v>1</v>
      </c>
      <c r="S4805" s="23">
        <f t="shared" si="983"/>
        <v>0</v>
      </c>
      <c r="T4805" s="23" t="str">
        <f t="shared" si="984"/>
        <v/>
      </c>
      <c r="U4805" t="str">
        <f t="shared" si="985"/>
        <v>PA_Alleg_2019p~Dem-member of council sewickley hills (vote for 2)</v>
      </c>
      <c r="AF4805" s="22"/>
      <c r="AG4805" s="23"/>
      <c r="AH4805" s="8"/>
      <c r="AL4805" s="344"/>
    </row>
    <row r="4806" spans="1:38">
      <c r="A4806" t="str">
        <f t="shared" si="986"/>
        <v>PA_Alleg_2019p~Dem-member of council sewickley hills (vote for 2)</v>
      </c>
      <c r="B4806" s="55" t="s">
        <v>1291</v>
      </c>
      <c r="C4806">
        <v>928</v>
      </c>
      <c r="D4806" s="55" t="s">
        <v>905</v>
      </c>
      <c r="E4806" s="55" t="s">
        <v>15</v>
      </c>
      <c r="F4806" t="s">
        <v>12</v>
      </c>
      <c r="G4806" s="62">
        <v>20</v>
      </c>
      <c r="H4806" s="25">
        <v>32.79</v>
      </c>
      <c r="I4806">
        <v>552</v>
      </c>
      <c r="J4806">
        <v>98</v>
      </c>
      <c r="K4806">
        <v>1</v>
      </c>
      <c r="L4806">
        <v>1</v>
      </c>
      <c r="M4806">
        <v>0</v>
      </c>
      <c r="N4806" s="23">
        <v>0</v>
      </c>
      <c r="O4806">
        <f t="shared" si="979"/>
        <v>-1</v>
      </c>
      <c r="P4806" s="57">
        <f t="shared" si="980"/>
        <v>2</v>
      </c>
      <c r="Q4806" s="267">
        <f t="shared" si="981"/>
        <v>20</v>
      </c>
      <c r="R4806" s="23">
        <f t="shared" si="982"/>
        <v>1</v>
      </c>
      <c r="S4806" s="23">
        <f t="shared" si="983"/>
        <v>0</v>
      </c>
      <c r="T4806" s="23" t="str">
        <f t="shared" si="984"/>
        <v/>
      </c>
      <c r="U4806" t="str">
        <f t="shared" si="985"/>
        <v/>
      </c>
      <c r="AF4806" s="22"/>
      <c r="AG4806" s="89"/>
      <c r="AH4806" s="274"/>
      <c r="AI4806" s="279"/>
      <c r="AJ4806" s="280"/>
      <c r="AK4806" s="92"/>
      <c r="AL4806" s="23"/>
    </row>
    <row r="4807" spans="1:38">
      <c r="A4807" t="str">
        <f t="shared" si="986"/>
        <v>PA_Alleg_2019p~Dem-member of council sewickley ward 1 (vote for 1)</v>
      </c>
      <c r="B4807" s="55" t="s">
        <v>1291</v>
      </c>
      <c r="C4807">
        <v>1081</v>
      </c>
      <c r="D4807" s="55" t="s">
        <v>1056</v>
      </c>
      <c r="E4807" s="55" t="s">
        <v>1057</v>
      </c>
      <c r="F4807" t="s">
        <v>12</v>
      </c>
      <c r="G4807" s="62">
        <v>65</v>
      </c>
      <c r="H4807" s="25">
        <v>91.55</v>
      </c>
      <c r="I4807">
        <v>1010</v>
      </c>
      <c r="J4807">
        <v>138</v>
      </c>
      <c r="K4807">
        <v>1</v>
      </c>
      <c r="L4807">
        <v>1</v>
      </c>
      <c r="M4807">
        <v>0</v>
      </c>
      <c r="N4807" s="23">
        <v>0</v>
      </c>
      <c r="O4807">
        <f t="shared" si="979"/>
        <v>1</v>
      </c>
      <c r="P4807" s="57">
        <f t="shared" si="980"/>
        <v>1</v>
      </c>
      <c r="Q4807" s="267">
        <f t="shared" si="981"/>
        <v>71</v>
      </c>
      <c r="R4807" s="23">
        <f t="shared" si="982"/>
        <v>65</v>
      </c>
      <c r="S4807" s="23">
        <f t="shared" si="983"/>
        <v>0</v>
      </c>
      <c r="T4807" s="23" t="str">
        <f t="shared" si="984"/>
        <v/>
      </c>
      <c r="U4807" t="str">
        <f t="shared" si="985"/>
        <v>PA_Alleg_2019p~Dem-member of council sewickley ward 1 (vote for 1)</v>
      </c>
      <c r="AF4807" s="22"/>
      <c r="AG4807" s="302"/>
      <c r="AH4807" s="301"/>
      <c r="AI4807" s="303"/>
      <c r="AJ4807" s="303"/>
      <c r="AK4807" s="342"/>
      <c r="AL4807" s="343"/>
    </row>
    <row r="4808" spans="1:38">
      <c r="A4808" t="str">
        <f t="shared" si="986"/>
        <v>PA_Alleg_2019p~Dem-member of council sewickley ward 1 (vote for 1)</v>
      </c>
      <c r="B4808" s="55" t="s">
        <v>1291</v>
      </c>
      <c r="C4808">
        <v>1082</v>
      </c>
      <c r="D4808" s="55" t="s">
        <v>1056</v>
      </c>
      <c r="E4808" s="55" t="s">
        <v>15</v>
      </c>
      <c r="F4808" t="s">
        <v>12</v>
      </c>
      <c r="G4808" s="62">
        <v>6</v>
      </c>
      <c r="H4808" s="25">
        <v>8.4499999999999993</v>
      </c>
      <c r="I4808">
        <v>1010</v>
      </c>
      <c r="J4808">
        <v>138</v>
      </c>
      <c r="K4808">
        <v>1</v>
      </c>
      <c r="L4808">
        <v>1</v>
      </c>
      <c r="M4808">
        <v>0</v>
      </c>
      <c r="N4808" s="23">
        <v>0</v>
      </c>
      <c r="O4808">
        <f t="shared" si="979"/>
        <v>-1</v>
      </c>
      <c r="P4808" s="57">
        <f t="shared" si="980"/>
        <v>1</v>
      </c>
      <c r="Q4808" s="267">
        <f t="shared" si="981"/>
        <v>6</v>
      </c>
      <c r="R4808" s="23">
        <f t="shared" si="982"/>
        <v>1</v>
      </c>
      <c r="S4808" s="23">
        <f t="shared" si="983"/>
        <v>0</v>
      </c>
      <c r="T4808" s="23" t="str">
        <f t="shared" si="984"/>
        <v/>
      </c>
      <c r="U4808" t="str">
        <f t="shared" si="985"/>
        <v/>
      </c>
      <c r="AF4808" s="22"/>
    </row>
    <row r="4809" spans="1:38">
      <c r="A4809" t="str">
        <f t="shared" si="986"/>
        <v>PA_Alleg_2019p~Dem-member of council sewickley ward 2 (vote for 2)</v>
      </c>
      <c r="B4809" s="55" t="s">
        <v>1291</v>
      </c>
      <c r="C4809">
        <v>985</v>
      </c>
      <c r="D4809" s="55" t="s">
        <v>960</v>
      </c>
      <c r="E4809" s="55" t="s">
        <v>15</v>
      </c>
      <c r="F4809" t="s">
        <v>12</v>
      </c>
      <c r="G4809" s="62">
        <v>59</v>
      </c>
      <c r="H4809" s="25">
        <v>100</v>
      </c>
      <c r="I4809">
        <v>1169</v>
      </c>
      <c r="J4809">
        <v>245</v>
      </c>
      <c r="K4809">
        <v>2</v>
      </c>
      <c r="L4809">
        <v>2</v>
      </c>
      <c r="M4809">
        <v>0</v>
      </c>
      <c r="N4809" s="23">
        <v>0</v>
      </c>
      <c r="O4809">
        <f t="shared" si="979"/>
        <v>0</v>
      </c>
      <c r="P4809" s="57">
        <f t="shared" si="980"/>
        <v>2</v>
      </c>
      <c r="Q4809" s="267">
        <f t="shared" si="981"/>
        <v>59</v>
      </c>
      <c r="R4809" s="23">
        <f t="shared" si="982"/>
        <v>1</v>
      </c>
      <c r="S4809" s="23">
        <f t="shared" si="983"/>
        <v>0</v>
      </c>
      <c r="T4809" s="23" t="str">
        <f t="shared" si="984"/>
        <v/>
      </c>
      <c r="U4809" t="str">
        <f t="shared" si="985"/>
        <v>PA_Alleg_2019p~Dem-member of council sewickley ward 2 (vote for 2)</v>
      </c>
      <c r="AF4809" s="22"/>
    </row>
    <row r="4810" spans="1:38">
      <c r="A4810" t="str">
        <f t="shared" si="986"/>
        <v>PA_Alleg_2019p~Dem-member of council sewickley ward 3 (vote for 1)</v>
      </c>
      <c r="B4810" s="55" t="s">
        <v>1291</v>
      </c>
      <c r="C4810">
        <v>1083</v>
      </c>
      <c r="D4810" s="55" t="s">
        <v>1058</v>
      </c>
      <c r="E4810" s="55" t="s">
        <v>1059</v>
      </c>
      <c r="F4810" t="s">
        <v>12</v>
      </c>
      <c r="G4810" s="62">
        <v>79</v>
      </c>
      <c r="H4810" s="25">
        <v>96.34</v>
      </c>
      <c r="I4810">
        <v>1084</v>
      </c>
      <c r="J4810">
        <v>139</v>
      </c>
      <c r="K4810">
        <v>1</v>
      </c>
      <c r="L4810">
        <v>1</v>
      </c>
      <c r="M4810">
        <v>0</v>
      </c>
      <c r="N4810" s="23">
        <v>0</v>
      </c>
      <c r="O4810">
        <f t="shared" si="979"/>
        <v>1</v>
      </c>
      <c r="P4810" s="57">
        <f t="shared" si="980"/>
        <v>1</v>
      </c>
      <c r="Q4810" s="267">
        <f t="shared" si="981"/>
        <v>82</v>
      </c>
      <c r="R4810" s="23">
        <f t="shared" si="982"/>
        <v>79</v>
      </c>
      <c r="S4810" s="23">
        <f t="shared" si="983"/>
        <v>0</v>
      </c>
      <c r="T4810" s="23" t="str">
        <f t="shared" si="984"/>
        <v/>
      </c>
      <c r="U4810" t="str">
        <f t="shared" si="985"/>
        <v>PA_Alleg_2019p~Dem-member of council sewickley ward 3 (vote for 1)</v>
      </c>
      <c r="AF4810" s="22"/>
      <c r="AL4810" s="23"/>
    </row>
    <row r="4811" spans="1:38">
      <c r="A4811" t="str">
        <f t="shared" si="986"/>
        <v>PA_Alleg_2019p~Dem-member of council sewickley ward 3 (vote for 1)</v>
      </c>
      <c r="B4811" s="55" t="s">
        <v>1291</v>
      </c>
      <c r="C4811">
        <v>1084</v>
      </c>
      <c r="D4811" s="55" t="s">
        <v>1058</v>
      </c>
      <c r="E4811" s="55" t="s">
        <v>15</v>
      </c>
      <c r="F4811" t="s">
        <v>12</v>
      </c>
      <c r="G4811" s="62">
        <v>3</v>
      </c>
      <c r="H4811" s="25">
        <v>3.66</v>
      </c>
      <c r="I4811">
        <v>1084</v>
      </c>
      <c r="J4811">
        <v>139</v>
      </c>
      <c r="K4811">
        <v>1</v>
      </c>
      <c r="L4811">
        <v>1</v>
      </c>
      <c r="M4811">
        <v>0</v>
      </c>
      <c r="N4811" s="23">
        <v>0</v>
      </c>
      <c r="O4811">
        <f t="shared" si="979"/>
        <v>-1</v>
      </c>
      <c r="P4811" s="57">
        <f t="shared" si="980"/>
        <v>1</v>
      </c>
      <c r="Q4811" s="267">
        <f t="shared" si="981"/>
        <v>3</v>
      </c>
      <c r="R4811" s="23">
        <f t="shared" si="982"/>
        <v>1</v>
      </c>
      <c r="S4811" s="23">
        <f t="shared" si="983"/>
        <v>0</v>
      </c>
      <c r="T4811" s="23" t="str">
        <f t="shared" si="984"/>
        <v/>
      </c>
      <c r="U4811" t="str">
        <f t="shared" si="985"/>
        <v/>
      </c>
      <c r="AF4811" s="88"/>
      <c r="AG4811" s="23"/>
      <c r="AH4811" s="8"/>
    </row>
    <row r="4812" spans="1:38">
      <c r="A4812" t="str">
        <f t="shared" si="986"/>
        <v>PA_Alleg_2019p~Dem-member of council sharpsburg (vote for 3)</v>
      </c>
      <c r="B4812" s="55" t="s">
        <v>1291</v>
      </c>
      <c r="C4812">
        <v>853</v>
      </c>
      <c r="D4812" s="55" t="s">
        <v>831</v>
      </c>
      <c r="E4812" s="55" t="s">
        <v>833</v>
      </c>
      <c r="F4812" t="s">
        <v>12</v>
      </c>
      <c r="G4812" s="62">
        <v>248</v>
      </c>
      <c r="H4812" s="25">
        <v>30.73</v>
      </c>
      <c r="I4812">
        <v>2330</v>
      </c>
      <c r="J4812">
        <v>393</v>
      </c>
      <c r="K4812">
        <v>3</v>
      </c>
      <c r="L4812">
        <v>3</v>
      </c>
      <c r="M4812">
        <v>0</v>
      </c>
      <c r="N4812" s="23">
        <v>0</v>
      </c>
      <c r="O4812">
        <f t="shared" si="979"/>
        <v>1</v>
      </c>
      <c r="P4812" s="57">
        <f t="shared" si="980"/>
        <v>3</v>
      </c>
      <c r="Q4812" s="267">
        <f t="shared" si="981"/>
        <v>269</v>
      </c>
      <c r="R4812" s="23">
        <f t="shared" si="982"/>
        <v>191</v>
      </c>
      <c r="S4812" s="23">
        <f t="shared" si="983"/>
        <v>133</v>
      </c>
      <c r="T4812" s="23">
        <f t="shared" si="984"/>
        <v>58</v>
      </c>
      <c r="U4812" t="str">
        <f t="shared" si="985"/>
        <v>PA_Alleg_2019p~Dem-member of council sharpsburg (vote for 3)</v>
      </c>
      <c r="AF4812" s="22"/>
      <c r="AG4812" s="302"/>
      <c r="AH4812" s="301"/>
      <c r="AI4812" s="303"/>
      <c r="AJ4812" s="303"/>
      <c r="AK4812" s="342"/>
      <c r="AL4812" s="343"/>
    </row>
    <row r="4813" spans="1:38">
      <c r="A4813" t="str">
        <f t="shared" si="986"/>
        <v>PA_Alleg_2019p~Dem-member of council sharpsburg (vote for 3)</v>
      </c>
      <c r="B4813" s="55" t="s">
        <v>1291</v>
      </c>
      <c r="C4813">
        <v>852</v>
      </c>
      <c r="D4813" s="55" t="s">
        <v>831</v>
      </c>
      <c r="E4813" s="55" t="s">
        <v>832</v>
      </c>
      <c r="F4813" t="s">
        <v>12</v>
      </c>
      <c r="G4813" s="62">
        <v>229</v>
      </c>
      <c r="H4813" s="25">
        <v>28.38</v>
      </c>
      <c r="I4813">
        <v>2330</v>
      </c>
      <c r="J4813">
        <v>393</v>
      </c>
      <c r="K4813">
        <v>3</v>
      </c>
      <c r="L4813">
        <v>3</v>
      </c>
      <c r="M4813">
        <v>0</v>
      </c>
      <c r="N4813" s="23">
        <v>0</v>
      </c>
      <c r="O4813">
        <f t="shared" si="979"/>
        <v>2</v>
      </c>
      <c r="P4813" s="57">
        <f t="shared" si="980"/>
        <v>3</v>
      </c>
      <c r="Q4813" s="267">
        <f t="shared" si="981"/>
        <v>559</v>
      </c>
      <c r="R4813" s="23">
        <f t="shared" si="982"/>
        <v>191</v>
      </c>
      <c r="S4813" s="23">
        <f t="shared" si="983"/>
        <v>133</v>
      </c>
      <c r="T4813" s="23" t="str">
        <f t="shared" si="984"/>
        <v/>
      </c>
      <c r="U4813" t="str">
        <f t="shared" si="985"/>
        <v/>
      </c>
      <c r="AF4813" s="300"/>
    </row>
    <row r="4814" spans="1:38">
      <c r="A4814" t="str">
        <f t="shared" si="986"/>
        <v>PA_Alleg_2019p~Dem-member of council sharpsburg (vote for 3)</v>
      </c>
      <c r="B4814" s="55" t="s">
        <v>1291</v>
      </c>
      <c r="C4814">
        <v>854</v>
      </c>
      <c r="D4814" s="55" t="s">
        <v>831</v>
      </c>
      <c r="E4814" s="55" t="s">
        <v>834</v>
      </c>
      <c r="F4814" t="s">
        <v>12</v>
      </c>
      <c r="G4814" s="62">
        <v>191</v>
      </c>
      <c r="H4814" s="25">
        <v>23.67</v>
      </c>
      <c r="I4814">
        <v>2330</v>
      </c>
      <c r="J4814">
        <v>393</v>
      </c>
      <c r="K4814">
        <v>3</v>
      </c>
      <c r="L4814">
        <v>3</v>
      </c>
      <c r="M4814">
        <v>0</v>
      </c>
      <c r="N4814" s="23">
        <v>0</v>
      </c>
      <c r="O4814">
        <f t="shared" si="979"/>
        <v>3</v>
      </c>
      <c r="P4814" s="57">
        <f t="shared" si="980"/>
        <v>3</v>
      </c>
      <c r="Q4814" s="267">
        <f t="shared" si="981"/>
        <v>330</v>
      </c>
      <c r="R4814" s="23">
        <f t="shared" si="982"/>
        <v>191</v>
      </c>
      <c r="S4814" s="23">
        <f t="shared" si="983"/>
        <v>133</v>
      </c>
      <c r="T4814" s="23" t="str">
        <f t="shared" si="984"/>
        <v/>
      </c>
      <c r="U4814" t="str">
        <f t="shared" si="985"/>
        <v/>
      </c>
      <c r="AF4814" s="300"/>
    </row>
    <row r="4815" spans="1:38">
      <c r="A4815" t="str">
        <f t="shared" si="986"/>
        <v>PA_Alleg_2019p~Dem-member of council sharpsburg (vote for 3)</v>
      </c>
      <c r="B4815" s="55" t="s">
        <v>1291</v>
      </c>
      <c r="C4815">
        <v>855</v>
      </c>
      <c r="D4815" s="55" t="s">
        <v>831</v>
      </c>
      <c r="E4815" s="55" t="s">
        <v>835</v>
      </c>
      <c r="F4815" t="s">
        <v>12</v>
      </c>
      <c r="G4815" s="62">
        <v>133</v>
      </c>
      <c r="H4815" s="25">
        <v>16.48</v>
      </c>
      <c r="I4815">
        <v>2330</v>
      </c>
      <c r="J4815">
        <v>393</v>
      </c>
      <c r="K4815">
        <v>3</v>
      </c>
      <c r="L4815">
        <v>3</v>
      </c>
      <c r="M4815">
        <v>0</v>
      </c>
      <c r="N4815" s="23">
        <v>0</v>
      </c>
      <c r="O4815">
        <f t="shared" si="979"/>
        <v>4</v>
      </c>
      <c r="P4815" s="57">
        <f t="shared" si="980"/>
        <v>3</v>
      </c>
      <c r="Q4815" s="267">
        <f t="shared" si="981"/>
        <v>139</v>
      </c>
      <c r="R4815" s="23" t="str">
        <f t="shared" si="982"/>
        <v/>
      </c>
      <c r="S4815" s="23">
        <f t="shared" si="983"/>
        <v>133</v>
      </c>
      <c r="T4815" s="23" t="str">
        <f t="shared" si="984"/>
        <v/>
      </c>
      <c r="U4815" t="str">
        <f t="shared" si="985"/>
        <v/>
      </c>
      <c r="AF4815" s="312"/>
    </row>
    <row r="4816" spans="1:38">
      <c r="A4816" t="str">
        <f t="shared" si="986"/>
        <v>PA_Alleg_2019p~Dem-member of council sharpsburg (vote for 3)</v>
      </c>
      <c r="B4816" s="55" t="s">
        <v>1291</v>
      </c>
      <c r="C4816">
        <v>856</v>
      </c>
      <c r="D4816" s="55" t="s">
        <v>831</v>
      </c>
      <c r="E4816" s="55" t="s">
        <v>15</v>
      </c>
      <c r="F4816" t="s">
        <v>12</v>
      </c>
      <c r="G4816" s="62">
        <v>6</v>
      </c>
      <c r="H4816" s="25">
        <v>0.74</v>
      </c>
      <c r="I4816">
        <v>2330</v>
      </c>
      <c r="J4816">
        <v>393</v>
      </c>
      <c r="K4816">
        <v>3</v>
      </c>
      <c r="L4816">
        <v>3</v>
      </c>
      <c r="M4816">
        <v>0</v>
      </c>
      <c r="N4816" s="23">
        <v>0</v>
      </c>
      <c r="O4816">
        <f t="shared" si="979"/>
        <v>-4</v>
      </c>
      <c r="P4816" s="57">
        <f t="shared" si="980"/>
        <v>3</v>
      </c>
      <c r="Q4816" s="267">
        <f t="shared" si="981"/>
        <v>6</v>
      </c>
      <c r="R4816" s="23">
        <f t="shared" si="982"/>
        <v>1</v>
      </c>
      <c r="S4816" s="23">
        <f t="shared" si="983"/>
        <v>0</v>
      </c>
      <c r="T4816" s="23" t="str">
        <f t="shared" si="984"/>
        <v/>
      </c>
      <c r="U4816" t="str">
        <f t="shared" si="985"/>
        <v/>
      </c>
      <c r="AG4816" s="89"/>
      <c r="AH4816" s="274"/>
      <c r="AI4816" s="279"/>
      <c r="AJ4816" s="280"/>
      <c r="AK4816" s="92"/>
      <c r="AL4816" s="23"/>
    </row>
    <row r="4817" spans="1:45">
      <c r="A4817" t="str">
        <f t="shared" si="986"/>
        <v>PA_Alleg_2019p~Dem-member of council springdale borough (vote for 3)</v>
      </c>
      <c r="B4817" s="55" t="s">
        <v>1291</v>
      </c>
      <c r="C4817">
        <v>858</v>
      </c>
      <c r="D4817" s="55" t="s">
        <v>836</v>
      </c>
      <c r="E4817" s="55" t="s">
        <v>838</v>
      </c>
      <c r="F4817" t="s">
        <v>12</v>
      </c>
      <c r="G4817" s="62">
        <v>203</v>
      </c>
      <c r="H4817" s="25">
        <v>34.229999999999997</v>
      </c>
      <c r="I4817">
        <v>2308</v>
      </c>
      <c r="J4817">
        <v>414</v>
      </c>
      <c r="K4817">
        <v>4</v>
      </c>
      <c r="L4817">
        <v>4</v>
      </c>
      <c r="M4817">
        <v>0</v>
      </c>
      <c r="N4817" s="23">
        <v>0</v>
      </c>
      <c r="O4817">
        <f t="shared" si="979"/>
        <v>1</v>
      </c>
      <c r="P4817" s="57">
        <f t="shared" si="980"/>
        <v>3</v>
      </c>
      <c r="Q4817" s="267">
        <f t="shared" si="981"/>
        <v>203</v>
      </c>
      <c r="R4817" s="23">
        <f t="shared" si="982"/>
        <v>164</v>
      </c>
      <c r="S4817" s="23">
        <f t="shared" si="983"/>
        <v>0</v>
      </c>
      <c r="T4817" s="23" t="str">
        <f t="shared" si="984"/>
        <v/>
      </c>
      <c r="U4817" t="str">
        <f t="shared" si="985"/>
        <v>PA_Alleg_2019p~Dem-member of council springdale borough (vote for 3)</v>
      </c>
      <c r="AF4817" s="22"/>
      <c r="AH4817" s="8"/>
      <c r="AL4817" s="23"/>
    </row>
    <row r="4818" spans="1:45">
      <c r="A4818" t="str">
        <f t="shared" si="986"/>
        <v>PA_Alleg_2019p~Dem-member of council springdale borough (vote for 3)</v>
      </c>
      <c r="B4818" s="55" t="s">
        <v>1291</v>
      </c>
      <c r="C4818">
        <v>857</v>
      </c>
      <c r="D4818" s="55" t="s">
        <v>836</v>
      </c>
      <c r="E4818" s="55" t="s">
        <v>837</v>
      </c>
      <c r="F4818" t="s">
        <v>12</v>
      </c>
      <c r="G4818" s="62">
        <v>197</v>
      </c>
      <c r="H4818" s="25">
        <v>33.22</v>
      </c>
      <c r="I4818">
        <v>2308</v>
      </c>
      <c r="J4818">
        <v>414</v>
      </c>
      <c r="K4818">
        <v>4</v>
      </c>
      <c r="L4818">
        <v>4</v>
      </c>
      <c r="M4818">
        <v>0</v>
      </c>
      <c r="N4818" s="23">
        <v>0</v>
      </c>
      <c r="O4818">
        <f t="shared" si="979"/>
        <v>2</v>
      </c>
      <c r="P4818" s="57">
        <f t="shared" si="980"/>
        <v>3</v>
      </c>
      <c r="Q4818" s="267">
        <f t="shared" si="981"/>
        <v>390</v>
      </c>
      <c r="R4818" s="23">
        <f t="shared" si="982"/>
        <v>164</v>
      </c>
      <c r="S4818" s="23">
        <f t="shared" si="983"/>
        <v>0</v>
      </c>
      <c r="T4818" s="23" t="str">
        <f t="shared" si="984"/>
        <v/>
      </c>
      <c r="U4818" t="str">
        <f t="shared" si="985"/>
        <v/>
      </c>
      <c r="AF4818" s="22"/>
    </row>
    <row r="4819" spans="1:45">
      <c r="A4819" t="str">
        <f t="shared" si="986"/>
        <v>PA_Alleg_2019p~Dem-member of council springdale borough (vote for 3)</v>
      </c>
      <c r="B4819" s="55" t="s">
        <v>1291</v>
      </c>
      <c r="C4819">
        <v>859</v>
      </c>
      <c r="D4819" s="55" t="s">
        <v>836</v>
      </c>
      <c r="E4819" s="55" t="s">
        <v>839</v>
      </c>
      <c r="F4819" t="s">
        <v>12</v>
      </c>
      <c r="G4819" s="62">
        <v>164</v>
      </c>
      <c r="H4819" s="25">
        <v>27.66</v>
      </c>
      <c r="I4819">
        <v>2308</v>
      </c>
      <c r="J4819">
        <v>414</v>
      </c>
      <c r="K4819">
        <v>4</v>
      </c>
      <c r="L4819">
        <v>4</v>
      </c>
      <c r="M4819">
        <v>0</v>
      </c>
      <c r="N4819" s="23">
        <v>0</v>
      </c>
      <c r="O4819">
        <f t="shared" si="979"/>
        <v>3</v>
      </c>
      <c r="P4819" s="57">
        <f t="shared" si="980"/>
        <v>3</v>
      </c>
      <c r="Q4819" s="267">
        <f t="shared" si="981"/>
        <v>193</v>
      </c>
      <c r="R4819" s="23">
        <f t="shared" si="982"/>
        <v>164</v>
      </c>
      <c r="S4819" s="23">
        <f t="shared" si="983"/>
        <v>0</v>
      </c>
      <c r="T4819" s="23" t="str">
        <f t="shared" si="984"/>
        <v/>
      </c>
      <c r="U4819" t="str">
        <f t="shared" si="985"/>
        <v/>
      </c>
      <c r="AF4819" s="22"/>
    </row>
    <row r="4820" spans="1:45">
      <c r="A4820" t="str">
        <f t="shared" si="986"/>
        <v>PA_Alleg_2019p~Dem-member of council springdale borough (vote for 3)</v>
      </c>
      <c r="B4820" s="55" t="s">
        <v>1291</v>
      </c>
      <c r="C4820">
        <v>860</v>
      </c>
      <c r="D4820" s="55" t="s">
        <v>836</v>
      </c>
      <c r="E4820" s="55" t="s">
        <v>15</v>
      </c>
      <c r="F4820" t="s">
        <v>12</v>
      </c>
      <c r="G4820" s="62">
        <v>29</v>
      </c>
      <c r="H4820" s="25">
        <v>4.8899999999999997</v>
      </c>
      <c r="I4820">
        <v>2308</v>
      </c>
      <c r="J4820">
        <v>414</v>
      </c>
      <c r="K4820">
        <v>4</v>
      </c>
      <c r="L4820">
        <v>4</v>
      </c>
      <c r="M4820">
        <v>0</v>
      </c>
      <c r="N4820" s="23">
        <v>0</v>
      </c>
      <c r="O4820">
        <f t="shared" si="979"/>
        <v>-3</v>
      </c>
      <c r="P4820" s="57">
        <f t="shared" si="980"/>
        <v>3</v>
      </c>
      <c r="Q4820" s="267">
        <f t="shared" si="981"/>
        <v>29</v>
      </c>
      <c r="R4820" s="23">
        <f t="shared" si="982"/>
        <v>1</v>
      </c>
      <c r="S4820" s="23">
        <f t="shared" si="983"/>
        <v>0</v>
      </c>
      <c r="T4820" s="23" t="str">
        <f t="shared" si="984"/>
        <v/>
      </c>
      <c r="U4820" t="str">
        <f t="shared" si="985"/>
        <v/>
      </c>
      <c r="AF4820" s="22"/>
    </row>
    <row r="4821" spans="1:45">
      <c r="A4821" t="str">
        <f t="shared" si="986"/>
        <v>PA_Alleg_2019p~Dem-member of council swissvale (vote for 3)</v>
      </c>
      <c r="B4821" s="55" t="s">
        <v>1291</v>
      </c>
      <c r="C4821">
        <v>862</v>
      </c>
      <c r="D4821" s="55" t="s">
        <v>840</v>
      </c>
      <c r="E4821" s="55" t="s">
        <v>842</v>
      </c>
      <c r="F4821" t="s">
        <v>12</v>
      </c>
      <c r="G4821" s="62">
        <v>884</v>
      </c>
      <c r="H4821" s="25">
        <v>26.88</v>
      </c>
      <c r="I4821">
        <v>7307</v>
      </c>
      <c r="J4821">
        <v>1470</v>
      </c>
      <c r="K4821">
        <v>11</v>
      </c>
      <c r="L4821">
        <v>11</v>
      </c>
      <c r="M4821">
        <v>0</v>
      </c>
      <c r="N4821" s="23">
        <v>0</v>
      </c>
      <c r="O4821">
        <f t="shared" si="979"/>
        <v>1</v>
      </c>
      <c r="P4821" s="57">
        <f t="shared" si="980"/>
        <v>3</v>
      </c>
      <c r="Q4821" s="267">
        <f t="shared" si="981"/>
        <v>1096.3333333333333</v>
      </c>
      <c r="R4821" s="23">
        <f t="shared" si="982"/>
        <v>692</v>
      </c>
      <c r="S4821" s="23">
        <f t="shared" si="983"/>
        <v>646</v>
      </c>
      <c r="T4821" s="23">
        <f t="shared" si="984"/>
        <v>46</v>
      </c>
      <c r="U4821" t="str">
        <f t="shared" si="985"/>
        <v>PA_Alleg_2019p~Dem-member of council swissvale (vote for 3)</v>
      </c>
      <c r="AF4821" s="22"/>
      <c r="AH4821" s="8"/>
      <c r="AL4821" s="23"/>
    </row>
    <row r="4822" spans="1:45">
      <c r="A4822" t="str">
        <f t="shared" si="986"/>
        <v>PA_Alleg_2019p~Dem-member of council swissvale (vote for 3)</v>
      </c>
      <c r="B4822" s="55" t="s">
        <v>1291</v>
      </c>
      <c r="C4822">
        <v>861</v>
      </c>
      <c r="D4822" s="55" t="s">
        <v>840</v>
      </c>
      <c r="E4822" s="55" t="s">
        <v>841</v>
      </c>
      <c r="F4822" t="s">
        <v>12</v>
      </c>
      <c r="G4822" s="62">
        <v>732</v>
      </c>
      <c r="H4822" s="25">
        <v>22.26</v>
      </c>
      <c r="I4822">
        <v>7307</v>
      </c>
      <c r="J4822">
        <v>1470</v>
      </c>
      <c r="K4822">
        <v>11</v>
      </c>
      <c r="L4822">
        <v>11</v>
      </c>
      <c r="M4822">
        <v>0</v>
      </c>
      <c r="N4822" s="23">
        <v>0</v>
      </c>
      <c r="O4822">
        <f t="shared" si="979"/>
        <v>2</v>
      </c>
      <c r="P4822" s="57">
        <f t="shared" si="980"/>
        <v>3</v>
      </c>
      <c r="Q4822" s="267">
        <f t="shared" si="981"/>
        <v>2405</v>
      </c>
      <c r="R4822" s="23">
        <f t="shared" si="982"/>
        <v>692</v>
      </c>
      <c r="S4822" s="23">
        <f t="shared" si="983"/>
        <v>646</v>
      </c>
      <c r="T4822" s="23" t="str">
        <f t="shared" si="984"/>
        <v/>
      </c>
      <c r="U4822" t="str">
        <f t="shared" si="985"/>
        <v/>
      </c>
      <c r="AF4822" s="22"/>
      <c r="AH4822" s="8"/>
      <c r="AL4822" s="23"/>
    </row>
    <row r="4823" spans="1:45">
      <c r="A4823" t="str">
        <f t="shared" si="986"/>
        <v>PA_Alleg_2019p~Dem-member of council swissvale (vote for 3)</v>
      </c>
      <c r="B4823" s="55" t="s">
        <v>1291</v>
      </c>
      <c r="C4823">
        <v>863</v>
      </c>
      <c r="D4823" s="55" t="s">
        <v>840</v>
      </c>
      <c r="E4823" s="55" t="s">
        <v>843</v>
      </c>
      <c r="F4823" t="s">
        <v>12</v>
      </c>
      <c r="G4823" s="62">
        <v>692</v>
      </c>
      <c r="H4823" s="25">
        <v>21.04</v>
      </c>
      <c r="I4823">
        <v>7307</v>
      </c>
      <c r="J4823">
        <v>1470</v>
      </c>
      <c r="K4823">
        <v>11</v>
      </c>
      <c r="L4823">
        <v>11</v>
      </c>
      <c r="M4823">
        <v>0</v>
      </c>
      <c r="N4823" s="23">
        <v>0</v>
      </c>
      <c r="O4823">
        <f t="shared" si="979"/>
        <v>3</v>
      </c>
      <c r="P4823" s="57">
        <f t="shared" si="980"/>
        <v>3</v>
      </c>
      <c r="Q4823" s="267">
        <f t="shared" si="981"/>
        <v>1673</v>
      </c>
      <c r="R4823" s="23">
        <f t="shared" si="982"/>
        <v>692</v>
      </c>
      <c r="S4823" s="23">
        <f t="shared" si="983"/>
        <v>646</v>
      </c>
      <c r="T4823" s="23" t="str">
        <f t="shared" si="984"/>
        <v/>
      </c>
      <c r="U4823" t="str">
        <f t="shared" si="985"/>
        <v/>
      </c>
      <c r="AF4823" s="22"/>
    </row>
    <row r="4824" spans="1:45">
      <c r="A4824" t="str">
        <f t="shared" si="986"/>
        <v>PA_Alleg_2019p~Dem-member of council swissvale (vote for 3)</v>
      </c>
      <c r="B4824" s="55" t="s">
        <v>1291</v>
      </c>
      <c r="C4824">
        <v>864</v>
      </c>
      <c r="D4824" s="55" t="s">
        <v>840</v>
      </c>
      <c r="E4824" s="55" t="s">
        <v>844</v>
      </c>
      <c r="F4824" t="s">
        <v>12</v>
      </c>
      <c r="G4824" s="62">
        <v>646</v>
      </c>
      <c r="H4824" s="25">
        <v>19.64</v>
      </c>
      <c r="I4824">
        <v>7307</v>
      </c>
      <c r="J4824">
        <v>1470</v>
      </c>
      <c r="K4824">
        <v>11</v>
      </c>
      <c r="L4824">
        <v>11</v>
      </c>
      <c r="M4824">
        <v>0</v>
      </c>
      <c r="N4824" s="23">
        <v>0</v>
      </c>
      <c r="O4824">
        <f t="shared" si="979"/>
        <v>4</v>
      </c>
      <c r="P4824" s="57">
        <f t="shared" si="980"/>
        <v>3</v>
      </c>
      <c r="Q4824" s="267">
        <f t="shared" si="981"/>
        <v>981</v>
      </c>
      <c r="R4824" s="23" t="str">
        <f t="shared" si="982"/>
        <v/>
      </c>
      <c r="S4824" s="23">
        <f t="shared" si="983"/>
        <v>646</v>
      </c>
      <c r="T4824" s="23" t="str">
        <f t="shared" si="984"/>
        <v/>
      </c>
      <c r="U4824" t="str">
        <f t="shared" si="985"/>
        <v/>
      </c>
    </row>
    <row r="4825" spans="1:45">
      <c r="A4825" t="str">
        <f t="shared" si="986"/>
        <v>PA_Alleg_2019p~Dem-member of council swissvale (vote for 3)</v>
      </c>
      <c r="B4825" s="55" t="s">
        <v>1291</v>
      </c>
      <c r="C4825">
        <v>865</v>
      </c>
      <c r="D4825" s="55" t="s">
        <v>840</v>
      </c>
      <c r="E4825" s="55" t="s">
        <v>845</v>
      </c>
      <c r="F4825" t="s">
        <v>12</v>
      </c>
      <c r="G4825" s="62">
        <v>326</v>
      </c>
      <c r="H4825" s="25">
        <v>9.91</v>
      </c>
      <c r="I4825">
        <v>7307</v>
      </c>
      <c r="J4825">
        <v>1470</v>
      </c>
      <c r="K4825">
        <v>11</v>
      </c>
      <c r="L4825">
        <v>11</v>
      </c>
      <c r="M4825">
        <v>0</v>
      </c>
      <c r="N4825" s="23">
        <v>0</v>
      </c>
      <c r="O4825">
        <f t="shared" si="979"/>
        <v>5</v>
      </c>
      <c r="P4825" s="57">
        <f t="shared" si="980"/>
        <v>3</v>
      </c>
      <c r="Q4825" s="267">
        <f t="shared" si="981"/>
        <v>335</v>
      </c>
      <c r="R4825" s="23" t="str">
        <f t="shared" si="982"/>
        <v/>
      </c>
      <c r="S4825" s="23">
        <f t="shared" si="983"/>
        <v>326</v>
      </c>
      <c r="T4825" s="23" t="str">
        <f t="shared" si="984"/>
        <v/>
      </c>
      <c r="U4825" t="str">
        <f t="shared" si="985"/>
        <v/>
      </c>
    </row>
    <row r="4826" spans="1:45">
      <c r="A4826" t="str">
        <f t="shared" si="986"/>
        <v>PA_Alleg_2019p~Dem-member of council swissvale (vote for 3)</v>
      </c>
      <c r="B4826" s="55" t="s">
        <v>1291</v>
      </c>
      <c r="C4826">
        <v>866</v>
      </c>
      <c r="D4826" s="55" t="s">
        <v>840</v>
      </c>
      <c r="E4826" s="55" t="s">
        <v>15</v>
      </c>
      <c r="F4826" t="s">
        <v>12</v>
      </c>
      <c r="G4826" s="62">
        <v>9</v>
      </c>
      <c r="H4826" s="25">
        <v>0.27</v>
      </c>
      <c r="I4826">
        <v>7307</v>
      </c>
      <c r="J4826">
        <v>1470</v>
      </c>
      <c r="K4826">
        <v>11</v>
      </c>
      <c r="L4826">
        <v>11</v>
      </c>
      <c r="M4826">
        <v>0</v>
      </c>
      <c r="N4826" s="23">
        <v>0</v>
      </c>
      <c r="O4826">
        <f t="shared" si="979"/>
        <v>-5</v>
      </c>
      <c r="P4826" s="57">
        <f t="shared" si="980"/>
        <v>3</v>
      </c>
      <c r="Q4826" s="267">
        <f t="shared" si="981"/>
        <v>9</v>
      </c>
      <c r="R4826" s="23">
        <f t="shared" si="982"/>
        <v>1</v>
      </c>
      <c r="S4826" s="23">
        <f t="shared" si="983"/>
        <v>0</v>
      </c>
      <c r="T4826" s="23" t="str">
        <f t="shared" si="984"/>
        <v/>
      </c>
      <c r="U4826" t="str">
        <f t="shared" si="985"/>
        <v/>
      </c>
      <c r="AF4826" s="22"/>
    </row>
    <row r="4827" spans="1:45">
      <c r="A4827" t="str">
        <f t="shared" si="986"/>
        <v>PA_Alleg_2019p~Dem-member of council tarentum ward 1 (vote for 1)</v>
      </c>
      <c r="B4827" s="55" t="s">
        <v>1291</v>
      </c>
      <c r="C4827">
        <v>1085</v>
      </c>
      <c r="D4827" s="55" t="s">
        <v>1060</v>
      </c>
      <c r="E4827" s="55" t="s">
        <v>1061</v>
      </c>
      <c r="F4827" t="s">
        <v>12</v>
      </c>
      <c r="G4827" s="62">
        <v>104</v>
      </c>
      <c r="H4827" s="25">
        <v>89.66</v>
      </c>
      <c r="I4827">
        <v>1181</v>
      </c>
      <c r="J4827">
        <v>192</v>
      </c>
      <c r="K4827">
        <v>2</v>
      </c>
      <c r="L4827">
        <v>2</v>
      </c>
      <c r="M4827">
        <v>0</v>
      </c>
      <c r="N4827" s="23">
        <v>0</v>
      </c>
      <c r="O4827">
        <f t="shared" si="979"/>
        <v>1</v>
      </c>
      <c r="P4827" s="57">
        <f t="shared" si="980"/>
        <v>1</v>
      </c>
      <c r="Q4827" s="267">
        <f t="shared" si="981"/>
        <v>116</v>
      </c>
      <c r="R4827" s="23">
        <f t="shared" si="982"/>
        <v>104</v>
      </c>
      <c r="S4827" s="23">
        <f t="shared" si="983"/>
        <v>0</v>
      </c>
      <c r="T4827" s="23" t="str">
        <f t="shared" si="984"/>
        <v/>
      </c>
      <c r="U4827" t="str">
        <f t="shared" si="985"/>
        <v>PA_Alleg_2019p~Dem-member of council tarentum ward 1 (vote for 1)</v>
      </c>
      <c r="AF4827" s="300"/>
    </row>
    <row r="4828" spans="1:45">
      <c r="A4828" t="str">
        <f t="shared" si="986"/>
        <v>PA_Alleg_2019p~Dem-member of council tarentum ward 1 (vote for 1)</v>
      </c>
      <c r="B4828" s="55" t="s">
        <v>1291</v>
      </c>
      <c r="C4828">
        <v>1086</v>
      </c>
      <c r="D4828" s="55" t="s">
        <v>1060</v>
      </c>
      <c r="E4828" s="55" t="s">
        <v>15</v>
      </c>
      <c r="F4828" t="s">
        <v>12</v>
      </c>
      <c r="G4828" s="62">
        <v>12</v>
      </c>
      <c r="H4828" s="25">
        <v>10.34</v>
      </c>
      <c r="I4828">
        <v>1181</v>
      </c>
      <c r="J4828">
        <v>192</v>
      </c>
      <c r="K4828">
        <v>2</v>
      </c>
      <c r="L4828">
        <v>2</v>
      </c>
      <c r="M4828">
        <v>0</v>
      </c>
      <c r="N4828" s="23">
        <v>0</v>
      </c>
      <c r="O4828">
        <f t="shared" si="979"/>
        <v>-1</v>
      </c>
      <c r="P4828" s="57">
        <f t="shared" si="980"/>
        <v>1</v>
      </c>
      <c r="Q4828" s="267">
        <f t="shared" si="981"/>
        <v>12</v>
      </c>
      <c r="R4828" s="23">
        <f t="shared" si="982"/>
        <v>1</v>
      </c>
      <c r="S4828" s="23">
        <f t="shared" si="983"/>
        <v>0</v>
      </c>
      <c r="T4828" s="23" t="str">
        <f t="shared" si="984"/>
        <v/>
      </c>
      <c r="U4828" t="str">
        <f t="shared" si="985"/>
        <v/>
      </c>
      <c r="AF4828" s="300"/>
    </row>
    <row r="4829" spans="1:45">
      <c r="A4829" t="str">
        <f t="shared" si="986"/>
        <v>PA_Alleg_2019p~Dem-member of council tarentum ward 2 (vote for 1)</v>
      </c>
      <c r="B4829" s="55" t="s">
        <v>1291</v>
      </c>
      <c r="C4829">
        <v>1087</v>
      </c>
      <c r="D4829" s="55" t="s">
        <v>1062</v>
      </c>
      <c r="E4829" s="55" t="s">
        <v>1063</v>
      </c>
      <c r="F4829" t="s">
        <v>12</v>
      </c>
      <c r="G4829" s="62">
        <v>56</v>
      </c>
      <c r="H4829" s="25">
        <v>98.25</v>
      </c>
      <c r="I4829">
        <v>537</v>
      </c>
      <c r="J4829">
        <v>85</v>
      </c>
      <c r="K4829">
        <v>1</v>
      </c>
      <c r="L4829">
        <v>1</v>
      </c>
      <c r="M4829">
        <v>0</v>
      </c>
      <c r="N4829" s="23">
        <v>0</v>
      </c>
      <c r="O4829">
        <f t="shared" si="979"/>
        <v>1</v>
      </c>
      <c r="P4829" s="57">
        <f t="shared" si="980"/>
        <v>1</v>
      </c>
      <c r="Q4829" s="267">
        <f t="shared" si="981"/>
        <v>57</v>
      </c>
      <c r="R4829" s="23">
        <f t="shared" si="982"/>
        <v>56</v>
      </c>
      <c r="S4829" s="23">
        <f t="shared" si="983"/>
        <v>0</v>
      </c>
      <c r="T4829" s="23" t="str">
        <f t="shared" si="984"/>
        <v/>
      </c>
      <c r="U4829" t="str">
        <f t="shared" si="985"/>
        <v>PA_Alleg_2019p~Dem-member of council tarentum ward 2 (vote for 1)</v>
      </c>
      <c r="AF4829" s="22"/>
    </row>
    <row r="4830" spans="1:45">
      <c r="A4830" t="str">
        <f t="shared" si="986"/>
        <v>PA_Alleg_2019p~Dem-member of council tarentum ward 2 (vote for 1)</v>
      </c>
      <c r="B4830" s="55" t="s">
        <v>1291</v>
      </c>
      <c r="C4830">
        <v>1088</v>
      </c>
      <c r="D4830" s="55" t="s">
        <v>1062</v>
      </c>
      <c r="E4830" s="55" t="s">
        <v>15</v>
      </c>
      <c r="F4830" t="s">
        <v>12</v>
      </c>
      <c r="G4830" s="62">
        <v>1</v>
      </c>
      <c r="H4830" s="25">
        <v>1.75</v>
      </c>
      <c r="I4830">
        <v>537</v>
      </c>
      <c r="J4830">
        <v>85</v>
      </c>
      <c r="K4830">
        <v>1</v>
      </c>
      <c r="L4830">
        <v>1</v>
      </c>
      <c r="M4830">
        <v>0</v>
      </c>
      <c r="N4830" s="23">
        <v>0</v>
      </c>
      <c r="O4830">
        <f t="shared" si="979"/>
        <v>-1</v>
      </c>
      <c r="P4830" s="57">
        <f t="shared" si="980"/>
        <v>1</v>
      </c>
      <c r="Q4830" s="267">
        <f t="shared" si="981"/>
        <v>1</v>
      </c>
      <c r="R4830" s="23">
        <f t="shared" si="982"/>
        <v>1</v>
      </c>
      <c r="S4830" s="23">
        <f t="shared" si="983"/>
        <v>0</v>
      </c>
      <c r="T4830" s="23" t="str">
        <f t="shared" si="984"/>
        <v/>
      </c>
      <c r="U4830" t="str">
        <f t="shared" si="985"/>
        <v/>
      </c>
      <c r="AF4830" s="22"/>
    </row>
    <row r="4831" spans="1:45">
      <c r="A4831" t="str">
        <f t="shared" si="986"/>
        <v>PA_Alleg_2019p~Dem-member of council tarentum ward 3 (vote for 1)</v>
      </c>
      <c r="B4831" s="55" t="s">
        <v>1291</v>
      </c>
      <c r="C4831">
        <v>1106</v>
      </c>
      <c r="D4831" s="55" t="s">
        <v>1078</v>
      </c>
      <c r="E4831" s="55" t="s">
        <v>659</v>
      </c>
      <c r="F4831" t="s">
        <v>12</v>
      </c>
      <c r="G4831" s="62">
        <f>23+53</f>
        <v>76</v>
      </c>
      <c r="H4831" s="25">
        <v>81.540000000000006</v>
      </c>
      <c r="I4831">
        <v>896</v>
      </c>
      <c r="J4831">
        <v>107</v>
      </c>
      <c r="K4831">
        <v>2</v>
      </c>
      <c r="L4831">
        <v>2</v>
      </c>
      <c r="M4831">
        <v>0</v>
      </c>
      <c r="N4831" s="23">
        <v>0</v>
      </c>
      <c r="O4831">
        <f t="shared" si="979"/>
        <v>1</v>
      </c>
      <c r="P4831" s="57">
        <f t="shared" si="980"/>
        <v>1</v>
      </c>
      <c r="Q4831" s="267">
        <f t="shared" si="981"/>
        <v>133</v>
      </c>
      <c r="R4831" s="23">
        <f t="shared" si="982"/>
        <v>76</v>
      </c>
      <c r="S4831" s="23">
        <f t="shared" si="983"/>
        <v>44</v>
      </c>
      <c r="T4831" s="23">
        <f t="shared" si="984"/>
        <v>32</v>
      </c>
      <c r="U4831" t="str">
        <f t="shared" si="985"/>
        <v>PA_Alleg_2019p~Dem-member of council tarentum ward 3 (vote for 1)</v>
      </c>
      <c r="AF4831" s="22"/>
    </row>
    <row r="4832" spans="1:45">
      <c r="A4832" t="str">
        <f t="shared" si="986"/>
        <v>PA_Alleg_2019p~Dem-member of council tarentum ward 3 (vote for 1)</v>
      </c>
      <c r="B4832" s="55" t="s">
        <v>1291</v>
      </c>
      <c r="C4832">
        <v>1090</v>
      </c>
      <c r="D4832" s="55" t="s">
        <v>1064</v>
      </c>
      <c r="E4832" s="55" t="s">
        <v>657</v>
      </c>
      <c r="F4832" t="s">
        <v>12</v>
      </c>
      <c r="G4832" s="62">
        <v>44</v>
      </c>
      <c r="H4832" s="25">
        <v>61.97</v>
      </c>
      <c r="I4832">
        <v>896</v>
      </c>
      <c r="J4832">
        <v>107</v>
      </c>
      <c r="K4832">
        <v>2</v>
      </c>
      <c r="L4832">
        <v>2</v>
      </c>
      <c r="M4832">
        <v>0</v>
      </c>
      <c r="N4832" s="23">
        <v>0</v>
      </c>
      <c r="O4832">
        <f t="shared" si="979"/>
        <v>2</v>
      </c>
      <c r="P4832" s="57">
        <f t="shared" si="980"/>
        <v>1</v>
      </c>
      <c r="Q4832" s="267">
        <f t="shared" si="981"/>
        <v>57</v>
      </c>
      <c r="R4832" s="23" t="str">
        <f t="shared" si="982"/>
        <v/>
      </c>
      <c r="S4832" s="23">
        <f t="shared" si="983"/>
        <v>44</v>
      </c>
      <c r="T4832" s="23" t="str">
        <f t="shared" si="984"/>
        <v/>
      </c>
      <c r="U4832" t="str">
        <f t="shared" si="985"/>
        <v/>
      </c>
      <c r="AF4832" s="22"/>
      <c r="AO4832" s="356"/>
      <c r="AP4832" s="356"/>
      <c r="AQ4832" s="394"/>
      <c r="AR4832" s="394"/>
      <c r="AS4832" s="394"/>
    </row>
    <row r="4833" spans="1:45">
      <c r="A4833" t="str">
        <f t="shared" si="986"/>
        <v>PA_Alleg_2019p~Dem-member of council tarentum ward 3 (vote for 1)</v>
      </c>
      <c r="B4833" s="55" t="s">
        <v>1291</v>
      </c>
      <c r="C4833">
        <v>1107</v>
      </c>
      <c r="D4833" s="55" t="s">
        <v>1078</v>
      </c>
      <c r="E4833" s="55" t="s">
        <v>15</v>
      </c>
      <c r="F4833" t="s">
        <v>12</v>
      </c>
      <c r="G4833" s="62">
        <v>12</v>
      </c>
      <c r="H4833" s="25">
        <v>18.46</v>
      </c>
      <c r="I4833">
        <v>896</v>
      </c>
      <c r="J4833">
        <v>107</v>
      </c>
      <c r="K4833">
        <v>2</v>
      </c>
      <c r="L4833">
        <v>2</v>
      </c>
      <c r="M4833">
        <v>0</v>
      </c>
      <c r="N4833" s="23">
        <v>0</v>
      </c>
      <c r="O4833">
        <f t="shared" si="979"/>
        <v>-2</v>
      </c>
      <c r="P4833" s="57">
        <f t="shared" si="980"/>
        <v>1</v>
      </c>
      <c r="Q4833" s="267">
        <f t="shared" si="981"/>
        <v>13</v>
      </c>
      <c r="R4833" s="23" t="str">
        <f t="shared" si="982"/>
        <v/>
      </c>
      <c r="S4833" s="23">
        <f t="shared" si="983"/>
        <v>0</v>
      </c>
      <c r="T4833" s="23" t="str">
        <f t="shared" si="984"/>
        <v/>
      </c>
      <c r="U4833" t="str">
        <f t="shared" si="985"/>
        <v/>
      </c>
      <c r="AF4833" s="22"/>
      <c r="AO4833" s="356"/>
      <c r="AP4833" s="356"/>
      <c r="AQ4833" s="394"/>
      <c r="AR4833" s="394"/>
      <c r="AS4833" s="394"/>
    </row>
    <row r="4834" spans="1:45">
      <c r="A4834" t="str">
        <f t="shared" si="986"/>
        <v>PA_Alleg_2019p~Dem-member of council tarentum ward 3 (vote for 1)</v>
      </c>
      <c r="B4834" s="55" t="s">
        <v>1291</v>
      </c>
      <c r="C4834">
        <v>1091</v>
      </c>
      <c r="D4834" s="55" t="s">
        <v>1064</v>
      </c>
      <c r="E4834" s="55" t="s">
        <v>15</v>
      </c>
      <c r="F4834" t="s">
        <v>12</v>
      </c>
      <c r="G4834" s="62">
        <v>1</v>
      </c>
      <c r="H4834" s="25">
        <v>1.41</v>
      </c>
      <c r="I4834">
        <v>896</v>
      </c>
      <c r="J4834">
        <v>107</v>
      </c>
      <c r="K4834">
        <v>2</v>
      </c>
      <c r="L4834">
        <v>2</v>
      </c>
      <c r="M4834">
        <v>0</v>
      </c>
      <c r="N4834" s="23">
        <v>0</v>
      </c>
      <c r="O4834">
        <f t="shared" si="979"/>
        <v>-2</v>
      </c>
      <c r="P4834" s="57">
        <f t="shared" si="980"/>
        <v>1</v>
      </c>
      <c r="Q4834" s="267">
        <f t="shared" si="981"/>
        <v>1</v>
      </c>
      <c r="R4834" s="23" t="str">
        <f t="shared" si="982"/>
        <v/>
      </c>
      <c r="S4834" s="23">
        <f t="shared" si="983"/>
        <v>0</v>
      </c>
      <c r="T4834" s="23" t="str">
        <f t="shared" si="984"/>
        <v/>
      </c>
      <c r="U4834" t="str">
        <f t="shared" si="985"/>
        <v/>
      </c>
      <c r="AO4834" s="356"/>
      <c r="AP4834" s="356"/>
      <c r="AQ4834" s="394"/>
      <c r="AR4834" s="394"/>
      <c r="AS4834" s="394"/>
    </row>
    <row r="4835" spans="1:45">
      <c r="A4835" t="str">
        <f t="shared" si="986"/>
        <v>PA_Alleg_2019p~Dem-member of council tarentum ward 3 (vote for 1)</v>
      </c>
      <c r="B4835" s="55" t="s">
        <v>1291</v>
      </c>
      <c r="C4835">
        <v>1089</v>
      </c>
      <c r="D4835" s="55" t="s">
        <v>1064</v>
      </c>
      <c r="E4835" s="55" t="s">
        <v>659</v>
      </c>
      <c r="F4835" t="s">
        <v>12</v>
      </c>
      <c r="G4835" s="62">
        <v>0</v>
      </c>
      <c r="H4835" s="25">
        <v>36.619999999999997</v>
      </c>
      <c r="I4835">
        <v>896</v>
      </c>
      <c r="J4835">
        <v>107</v>
      </c>
      <c r="K4835">
        <v>2</v>
      </c>
      <c r="L4835">
        <v>2</v>
      </c>
      <c r="M4835">
        <v>0</v>
      </c>
      <c r="N4835" s="23">
        <v>0</v>
      </c>
      <c r="O4835">
        <f t="shared" si="979"/>
        <v>3</v>
      </c>
      <c r="P4835" s="57">
        <f t="shared" si="980"/>
        <v>1</v>
      </c>
      <c r="Q4835" s="267">
        <f t="shared" si="981"/>
        <v>0</v>
      </c>
      <c r="R4835" s="23" t="str">
        <f t="shared" si="982"/>
        <v/>
      </c>
      <c r="S4835" s="23">
        <f t="shared" si="983"/>
        <v>0</v>
      </c>
      <c r="T4835" s="23" t="str">
        <f t="shared" si="984"/>
        <v/>
      </c>
      <c r="U4835" t="str">
        <f t="shared" si="985"/>
        <v/>
      </c>
      <c r="AO4835" s="356"/>
      <c r="AP4835" s="356"/>
      <c r="AQ4835" s="394"/>
      <c r="AR4835" s="394"/>
      <c r="AS4835" s="394"/>
    </row>
    <row r="4836" spans="1:45">
      <c r="A4836" t="str">
        <f t="shared" si="986"/>
        <v>PA_Alleg_2019p~Dem-member of council thornburg (vote for 3)</v>
      </c>
      <c r="B4836" s="55" t="s">
        <v>1291</v>
      </c>
      <c r="C4836">
        <v>867</v>
      </c>
      <c r="D4836" s="55" t="s">
        <v>846</v>
      </c>
      <c r="E4836" s="55" t="s">
        <v>15</v>
      </c>
      <c r="F4836" t="s">
        <v>12</v>
      </c>
      <c r="G4836" s="62">
        <v>55</v>
      </c>
      <c r="H4836" s="25">
        <v>100</v>
      </c>
      <c r="I4836">
        <v>440</v>
      </c>
      <c r="J4836">
        <v>93</v>
      </c>
      <c r="K4836">
        <v>1</v>
      </c>
      <c r="L4836">
        <v>1</v>
      </c>
      <c r="M4836">
        <v>0</v>
      </c>
      <c r="N4836" s="23">
        <v>0</v>
      </c>
      <c r="O4836">
        <f t="shared" si="979"/>
        <v>0</v>
      </c>
      <c r="P4836" s="57">
        <f t="shared" si="980"/>
        <v>3</v>
      </c>
      <c r="Q4836" s="267">
        <f t="shared" si="981"/>
        <v>55</v>
      </c>
      <c r="R4836" s="23">
        <f t="shared" si="982"/>
        <v>1</v>
      </c>
      <c r="S4836" s="23">
        <f t="shared" si="983"/>
        <v>0</v>
      </c>
      <c r="T4836" s="23" t="str">
        <f t="shared" si="984"/>
        <v/>
      </c>
      <c r="U4836" t="str">
        <f t="shared" si="985"/>
        <v>PA_Alleg_2019p~Dem-member of council thornburg (vote for 3)</v>
      </c>
      <c r="AO4836" s="356"/>
      <c r="AP4836" s="356"/>
      <c r="AQ4836" s="394"/>
      <c r="AR4836" s="394"/>
      <c r="AS4836" s="394"/>
    </row>
    <row r="4837" spans="1:45">
      <c r="A4837" t="str">
        <f t="shared" si="986"/>
        <v>PA_Alleg_2019p~Dem-member of council trafford (vote for 3)</v>
      </c>
      <c r="B4837" s="55" t="s">
        <v>1291</v>
      </c>
      <c r="C4837">
        <v>868</v>
      </c>
      <c r="D4837" s="55" t="s">
        <v>847</v>
      </c>
      <c r="E4837" s="55" t="s">
        <v>848</v>
      </c>
      <c r="F4837" t="s">
        <v>12</v>
      </c>
      <c r="G4837" s="62">
        <v>4</v>
      </c>
      <c r="H4837" s="25">
        <v>80</v>
      </c>
      <c r="I4837">
        <v>55</v>
      </c>
      <c r="J4837">
        <v>6</v>
      </c>
      <c r="K4837">
        <v>1</v>
      </c>
      <c r="L4837">
        <v>1</v>
      </c>
      <c r="M4837">
        <v>0</v>
      </c>
      <c r="N4837" s="23">
        <v>0</v>
      </c>
      <c r="O4837">
        <f t="shared" si="979"/>
        <v>1</v>
      </c>
      <c r="P4837" s="57">
        <f t="shared" si="980"/>
        <v>3</v>
      </c>
      <c r="Q4837" s="267">
        <f t="shared" si="981"/>
        <v>4</v>
      </c>
      <c r="R4837" s="23">
        <f t="shared" si="982"/>
        <v>1</v>
      </c>
      <c r="S4837" s="23">
        <f t="shared" si="983"/>
        <v>0</v>
      </c>
      <c r="T4837" s="23" t="str">
        <f t="shared" si="984"/>
        <v/>
      </c>
      <c r="U4837" t="str">
        <f t="shared" si="985"/>
        <v>PA_Alleg_2019p~Dem-member of council trafford (vote for 3)</v>
      </c>
      <c r="AF4837" s="22"/>
      <c r="AO4837" s="356"/>
      <c r="AP4837" s="356"/>
      <c r="AQ4837" s="394"/>
      <c r="AR4837" s="394"/>
      <c r="AS4837" s="394"/>
    </row>
    <row r="4838" spans="1:45">
      <c r="A4838" t="str">
        <f t="shared" si="986"/>
        <v>PA_Alleg_2019p~Dem-member of council trafford (vote for 3)</v>
      </c>
      <c r="B4838" s="55" t="s">
        <v>1291</v>
      </c>
      <c r="C4838">
        <v>869</v>
      </c>
      <c r="D4838" s="55" t="s">
        <v>847</v>
      </c>
      <c r="E4838" s="55" t="s">
        <v>15</v>
      </c>
      <c r="F4838" t="s">
        <v>12</v>
      </c>
      <c r="G4838" s="62">
        <v>1</v>
      </c>
      <c r="H4838" s="25">
        <v>20</v>
      </c>
      <c r="I4838">
        <v>55</v>
      </c>
      <c r="J4838">
        <v>6</v>
      </c>
      <c r="K4838">
        <v>1</v>
      </c>
      <c r="L4838">
        <v>1</v>
      </c>
      <c r="M4838">
        <v>0</v>
      </c>
      <c r="N4838" s="23">
        <v>0</v>
      </c>
      <c r="O4838">
        <f t="shared" si="979"/>
        <v>-1</v>
      </c>
      <c r="P4838" s="57">
        <f t="shared" si="980"/>
        <v>3</v>
      </c>
      <c r="Q4838" s="267">
        <f t="shared" si="981"/>
        <v>1</v>
      </c>
      <c r="R4838" s="23">
        <f t="shared" si="982"/>
        <v>1</v>
      </c>
      <c r="S4838" s="23">
        <f t="shared" si="983"/>
        <v>0</v>
      </c>
      <c r="T4838" s="23" t="str">
        <f t="shared" si="984"/>
        <v/>
      </c>
      <c r="U4838" t="str">
        <f t="shared" si="985"/>
        <v/>
      </c>
      <c r="AF4838" s="22"/>
      <c r="AO4838" s="356"/>
      <c r="AP4838" s="356"/>
      <c r="AQ4838" s="394"/>
      <c r="AR4838" s="394"/>
      <c r="AS4838" s="394"/>
    </row>
    <row r="4839" spans="1:45">
      <c r="A4839" t="str">
        <f t="shared" si="986"/>
        <v>PA_Alleg_2019p~Dem-member of council turtle creek ward 1 (vote for 2)</v>
      </c>
      <c r="B4839" s="55" t="s">
        <v>1291</v>
      </c>
      <c r="C4839">
        <v>986</v>
      </c>
      <c r="D4839" s="55" t="s">
        <v>961</v>
      </c>
      <c r="E4839" s="55" t="s">
        <v>962</v>
      </c>
      <c r="F4839" t="s">
        <v>12</v>
      </c>
      <c r="G4839" s="62">
        <v>91</v>
      </c>
      <c r="H4839" s="25">
        <v>51.12</v>
      </c>
      <c r="I4839">
        <v>1284</v>
      </c>
      <c r="J4839">
        <v>166</v>
      </c>
      <c r="K4839">
        <v>2</v>
      </c>
      <c r="L4839">
        <v>2</v>
      </c>
      <c r="M4839">
        <v>0</v>
      </c>
      <c r="N4839" s="23">
        <v>0</v>
      </c>
      <c r="O4839">
        <f t="shared" si="979"/>
        <v>1</v>
      </c>
      <c r="P4839" s="57">
        <f t="shared" si="980"/>
        <v>2</v>
      </c>
      <c r="Q4839" s="267">
        <f t="shared" si="981"/>
        <v>91</v>
      </c>
      <c r="R4839" s="23">
        <f t="shared" si="982"/>
        <v>84</v>
      </c>
      <c r="S4839" s="23">
        <f t="shared" si="983"/>
        <v>0</v>
      </c>
      <c r="T4839" s="23" t="str">
        <f t="shared" si="984"/>
        <v/>
      </c>
      <c r="U4839" t="str">
        <f t="shared" si="985"/>
        <v>PA_Alleg_2019p~Dem-member of council turtle creek ward 1 (vote for 2)</v>
      </c>
      <c r="AF4839" s="22"/>
      <c r="AO4839" s="356"/>
      <c r="AP4839" s="356"/>
      <c r="AQ4839" s="394"/>
      <c r="AR4839" s="394"/>
      <c r="AS4839" s="394"/>
    </row>
    <row r="4840" spans="1:45">
      <c r="A4840" t="str">
        <f t="shared" si="986"/>
        <v>PA_Alleg_2019p~Dem-member of council turtle creek ward 1 (vote for 2)</v>
      </c>
      <c r="B4840" s="55" t="s">
        <v>1291</v>
      </c>
      <c r="C4840">
        <v>987</v>
      </c>
      <c r="D4840" s="55" t="s">
        <v>961</v>
      </c>
      <c r="E4840" s="55" t="s">
        <v>963</v>
      </c>
      <c r="F4840" t="s">
        <v>12</v>
      </c>
      <c r="G4840" s="62">
        <v>84</v>
      </c>
      <c r="H4840" s="25">
        <v>47.19</v>
      </c>
      <c r="I4840">
        <v>1284</v>
      </c>
      <c r="J4840">
        <v>166</v>
      </c>
      <c r="K4840">
        <v>2</v>
      </c>
      <c r="L4840">
        <v>2</v>
      </c>
      <c r="M4840">
        <v>0</v>
      </c>
      <c r="N4840" s="23">
        <v>0</v>
      </c>
      <c r="O4840">
        <f t="shared" si="979"/>
        <v>2</v>
      </c>
      <c r="P4840" s="57">
        <f t="shared" si="980"/>
        <v>2</v>
      </c>
      <c r="Q4840" s="267">
        <f t="shared" si="981"/>
        <v>87</v>
      </c>
      <c r="R4840" s="23">
        <f t="shared" si="982"/>
        <v>84</v>
      </c>
      <c r="S4840" s="23">
        <f t="shared" si="983"/>
        <v>0</v>
      </c>
      <c r="T4840" s="23" t="str">
        <f t="shared" si="984"/>
        <v/>
      </c>
      <c r="U4840" t="str">
        <f t="shared" si="985"/>
        <v/>
      </c>
      <c r="AF4840" s="22"/>
      <c r="AO4840" s="356"/>
      <c r="AP4840" s="356"/>
      <c r="AQ4840" s="394"/>
      <c r="AR4840" s="394"/>
      <c r="AS4840" s="394"/>
    </row>
    <row r="4841" spans="1:45">
      <c r="A4841" t="str">
        <f t="shared" si="986"/>
        <v>PA_Alleg_2019p~Dem-member of council turtle creek ward 1 (vote for 2)</v>
      </c>
      <c r="B4841" s="55" t="s">
        <v>1291</v>
      </c>
      <c r="C4841">
        <v>988</v>
      </c>
      <c r="D4841" s="55" t="s">
        <v>961</v>
      </c>
      <c r="E4841" s="55" t="s">
        <v>15</v>
      </c>
      <c r="F4841" t="s">
        <v>12</v>
      </c>
      <c r="G4841" s="62">
        <v>3</v>
      </c>
      <c r="H4841" s="25">
        <v>1.69</v>
      </c>
      <c r="I4841">
        <v>1284</v>
      </c>
      <c r="J4841">
        <v>166</v>
      </c>
      <c r="K4841">
        <v>2</v>
      </c>
      <c r="L4841">
        <v>2</v>
      </c>
      <c r="M4841">
        <v>0</v>
      </c>
      <c r="N4841" s="23">
        <v>0</v>
      </c>
      <c r="O4841">
        <f t="shared" si="979"/>
        <v>-2</v>
      </c>
      <c r="P4841" s="57">
        <f t="shared" si="980"/>
        <v>2</v>
      </c>
      <c r="Q4841" s="267">
        <f t="shared" si="981"/>
        <v>3</v>
      </c>
      <c r="R4841" s="23">
        <f t="shared" si="982"/>
        <v>1</v>
      </c>
      <c r="S4841" s="23">
        <f t="shared" si="983"/>
        <v>0</v>
      </c>
      <c r="T4841" s="23" t="str">
        <f t="shared" si="984"/>
        <v/>
      </c>
      <c r="U4841" t="str">
        <f t="shared" si="985"/>
        <v/>
      </c>
      <c r="AF4841" s="22"/>
      <c r="AO4841" s="356"/>
      <c r="AP4841" s="356"/>
      <c r="AQ4841" s="394"/>
      <c r="AR4841" s="394"/>
      <c r="AS4841" s="394"/>
    </row>
    <row r="4842" spans="1:45">
      <c r="A4842" t="str">
        <f t="shared" si="986"/>
        <v>PA_Alleg_2019p~Dem-member of council turtle creek ward 2 (vote for 2)</v>
      </c>
      <c r="B4842" s="55" t="s">
        <v>1291</v>
      </c>
      <c r="C4842">
        <v>989</v>
      </c>
      <c r="D4842" s="55" t="s">
        <v>964</v>
      </c>
      <c r="E4842" s="55" t="s">
        <v>965</v>
      </c>
      <c r="F4842" t="s">
        <v>12</v>
      </c>
      <c r="G4842" s="62">
        <v>71</v>
      </c>
      <c r="H4842" s="25">
        <v>57.72</v>
      </c>
      <c r="I4842">
        <v>1049</v>
      </c>
      <c r="J4842">
        <v>103</v>
      </c>
      <c r="K4842">
        <v>2</v>
      </c>
      <c r="L4842">
        <v>2</v>
      </c>
      <c r="M4842">
        <v>0</v>
      </c>
      <c r="N4842" s="23">
        <v>0</v>
      </c>
      <c r="O4842">
        <f t="shared" si="979"/>
        <v>1</v>
      </c>
      <c r="P4842" s="57">
        <f t="shared" si="980"/>
        <v>2</v>
      </c>
      <c r="Q4842" s="267">
        <f t="shared" si="981"/>
        <v>71</v>
      </c>
      <c r="R4842" s="23">
        <f t="shared" si="982"/>
        <v>49</v>
      </c>
      <c r="S4842" s="23">
        <f t="shared" si="983"/>
        <v>0</v>
      </c>
      <c r="T4842" s="23" t="str">
        <f t="shared" si="984"/>
        <v/>
      </c>
      <c r="U4842" t="str">
        <f t="shared" si="985"/>
        <v>PA_Alleg_2019p~Dem-member of council turtle creek ward 2 (vote for 2)</v>
      </c>
      <c r="AO4842" s="356"/>
      <c r="AP4842" s="356"/>
      <c r="AQ4842" s="394"/>
      <c r="AR4842" s="394"/>
      <c r="AS4842" s="394"/>
    </row>
    <row r="4843" spans="1:45">
      <c r="A4843" t="str">
        <f t="shared" si="986"/>
        <v>PA_Alleg_2019p~Dem-member of council turtle creek ward 2 (vote for 2)</v>
      </c>
      <c r="B4843" s="55" t="s">
        <v>1291</v>
      </c>
      <c r="C4843">
        <v>990</v>
      </c>
      <c r="D4843" s="55" t="s">
        <v>964</v>
      </c>
      <c r="E4843" s="55" t="s">
        <v>966</v>
      </c>
      <c r="F4843" t="s">
        <v>12</v>
      </c>
      <c r="G4843" s="62">
        <v>49</v>
      </c>
      <c r="H4843" s="25">
        <v>39.840000000000003</v>
      </c>
      <c r="I4843">
        <v>1049</v>
      </c>
      <c r="J4843">
        <v>103</v>
      </c>
      <c r="K4843">
        <v>2</v>
      </c>
      <c r="L4843">
        <v>2</v>
      </c>
      <c r="M4843">
        <v>0</v>
      </c>
      <c r="N4843" s="23">
        <v>0</v>
      </c>
      <c r="O4843">
        <f t="shared" si="979"/>
        <v>2</v>
      </c>
      <c r="P4843" s="57">
        <f t="shared" si="980"/>
        <v>2</v>
      </c>
      <c r="Q4843" s="267">
        <f t="shared" si="981"/>
        <v>52</v>
      </c>
      <c r="R4843" s="23">
        <f t="shared" si="982"/>
        <v>49</v>
      </c>
      <c r="S4843" s="23">
        <f t="shared" si="983"/>
        <v>0</v>
      </c>
      <c r="T4843" s="23" t="str">
        <f t="shared" si="984"/>
        <v/>
      </c>
      <c r="U4843" t="str">
        <f t="shared" si="985"/>
        <v/>
      </c>
      <c r="AF4843" s="300"/>
      <c r="AO4843" s="356"/>
      <c r="AP4843" s="356"/>
      <c r="AQ4843" s="394"/>
      <c r="AR4843" s="394"/>
      <c r="AS4843" s="394"/>
    </row>
    <row r="4844" spans="1:45">
      <c r="A4844" t="str">
        <f t="shared" si="986"/>
        <v>PA_Alleg_2019p~Dem-member of council turtle creek ward 2 (vote for 2)</v>
      </c>
      <c r="B4844" s="55" t="s">
        <v>1291</v>
      </c>
      <c r="C4844">
        <v>991</v>
      </c>
      <c r="D4844" s="55" t="s">
        <v>964</v>
      </c>
      <c r="E4844" s="55" t="s">
        <v>15</v>
      </c>
      <c r="F4844" t="s">
        <v>12</v>
      </c>
      <c r="G4844" s="62">
        <v>3</v>
      </c>
      <c r="H4844" s="25">
        <v>2.44</v>
      </c>
      <c r="I4844">
        <v>1049</v>
      </c>
      <c r="J4844">
        <v>103</v>
      </c>
      <c r="K4844">
        <v>2</v>
      </c>
      <c r="L4844">
        <v>2</v>
      </c>
      <c r="M4844">
        <v>0</v>
      </c>
      <c r="N4844" s="23">
        <v>0</v>
      </c>
      <c r="O4844">
        <f t="shared" si="979"/>
        <v>-2</v>
      </c>
      <c r="P4844" s="57">
        <f t="shared" si="980"/>
        <v>2</v>
      </c>
      <c r="Q4844" s="267">
        <f t="shared" si="981"/>
        <v>3</v>
      </c>
      <c r="R4844" s="23">
        <f t="shared" si="982"/>
        <v>1</v>
      </c>
      <c r="S4844" s="23">
        <f t="shared" si="983"/>
        <v>0</v>
      </c>
      <c r="T4844" s="23" t="str">
        <f t="shared" si="984"/>
        <v/>
      </c>
      <c r="U4844" t="str">
        <f t="shared" si="985"/>
        <v/>
      </c>
      <c r="AF4844" s="22"/>
      <c r="AO4844" s="356"/>
      <c r="AP4844" s="356"/>
      <c r="AQ4844" s="394"/>
      <c r="AR4844" s="394"/>
      <c r="AS4844" s="394"/>
    </row>
    <row r="4845" spans="1:45">
      <c r="A4845" t="str">
        <f t="shared" si="986"/>
        <v>PA_Alleg_2019p~Dem-member of council turtle creek ward 3 (vote for 1)</v>
      </c>
      <c r="B4845" s="55" t="s">
        <v>1291</v>
      </c>
      <c r="C4845">
        <v>1092</v>
      </c>
      <c r="D4845" s="55" t="s">
        <v>1065</v>
      </c>
      <c r="E4845" s="55" t="s">
        <v>1066</v>
      </c>
      <c r="F4845" t="s">
        <v>12</v>
      </c>
      <c r="G4845" s="62">
        <v>111</v>
      </c>
      <c r="H4845" s="25">
        <v>98.23</v>
      </c>
      <c r="I4845">
        <v>1086</v>
      </c>
      <c r="J4845">
        <v>152</v>
      </c>
      <c r="K4845">
        <v>2</v>
      </c>
      <c r="L4845">
        <v>2</v>
      </c>
      <c r="M4845">
        <v>0</v>
      </c>
      <c r="N4845" s="23">
        <v>0</v>
      </c>
      <c r="O4845">
        <f t="shared" si="979"/>
        <v>1</v>
      </c>
      <c r="P4845" s="57">
        <f t="shared" si="980"/>
        <v>1</v>
      </c>
      <c r="Q4845" s="267">
        <f t="shared" si="981"/>
        <v>113</v>
      </c>
      <c r="R4845" s="23">
        <f t="shared" si="982"/>
        <v>111</v>
      </c>
      <c r="S4845" s="23">
        <f t="shared" si="983"/>
        <v>0</v>
      </c>
      <c r="T4845" s="23" t="str">
        <f t="shared" si="984"/>
        <v/>
      </c>
      <c r="U4845" t="str">
        <f t="shared" si="985"/>
        <v>PA_Alleg_2019p~Dem-member of council turtle creek ward 3 (vote for 1)</v>
      </c>
      <c r="AO4845" s="356"/>
      <c r="AP4845" s="356"/>
      <c r="AQ4845" s="394"/>
      <c r="AR4845" s="394"/>
      <c r="AS4845" s="394"/>
    </row>
    <row r="4846" spans="1:45">
      <c r="A4846" t="str">
        <f t="shared" si="986"/>
        <v>PA_Alleg_2019p~Dem-member of council turtle creek ward 3 (vote for 1)</v>
      </c>
      <c r="B4846" s="55" t="s">
        <v>1291</v>
      </c>
      <c r="C4846">
        <v>1093</v>
      </c>
      <c r="D4846" s="55" t="s">
        <v>1065</v>
      </c>
      <c r="E4846" s="55" t="s">
        <v>15</v>
      </c>
      <c r="F4846" t="s">
        <v>12</v>
      </c>
      <c r="G4846" s="62">
        <v>2</v>
      </c>
      <c r="H4846" s="25">
        <v>1.77</v>
      </c>
      <c r="I4846">
        <v>1086</v>
      </c>
      <c r="J4846">
        <v>152</v>
      </c>
      <c r="K4846">
        <v>2</v>
      </c>
      <c r="L4846">
        <v>2</v>
      </c>
      <c r="M4846">
        <v>0</v>
      </c>
      <c r="N4846" s="23">
        <v>0</v>
      </c>
      <c r="O4846">
        <f t="shared" si="979"/>
        <v>-1</v>
      </c>
      <c r="P4846" s="57">
        <f t="shared" si="980"/>
        <v>1</v>
      </c>
      <c r="Q4846" s="267">
        <f t="shared" si="981"/>
        <v>2</v>
      </c>
      <c r="R4846" s="23">
        <f t="shared" si="982"/>
        <v>1</v>
      </c>
      <c r="S4846" s="23">
        <f t="shared" si="983"/>
        <v>0</v>
      </c>
      <c r="T4846" s="23" t="str">
        <f t="shared" si="984"/>
        <v/>
      </c>
      <c r="U4846" t="str">
        <f t="shared" si="985"/>
        <v/>
      </c>
      <c r="AF4846" s="300"/>
      <c r="AO4846" s="356"/>
      <c r="AP4846" s="356"/>
      <c r="AQ4846" s="394"/>
      <c r="AR4846" s="394"/>
      <c r="AS4846" s="394"/>
    </row>
    <row r="4847" spans="1:45">
      <c r="A4847" t="str">
        <f t="shared" si="986"/>
        <v>PA_Alleg_2019p~Dem-member of council verona (vote for 3)</v>
      </c>
      <c r="B4847" s="55" t="s">
        <v>1291</v>
      </c>
      <c r="C4847">
        <v>872</v>
      </c>
      <c r="D4847" s="55" t="s">
        <v>849</v>
      </c>
      <c r="E4847" s="55" t="s">
        <v>852</v>
      </c>
      <c r="F4847" t="s">
        <v>12</v>
      </c>
      <c r="G4847" s="62">
        <v>196</v>
      </c>
      <c r="H4847" s="25">
        <v>22.74</v>
      </c>
      <c r="I4847">
        <v>1708</v>
      </c>
      <c r="J4847">
        <v>424</v>
      </c>
      <c r="K4847">
        <v>3</v>
      </c>
      <c r="L4847">
        <v>3</v>
      </c>
      <c r="M4847">
        <v>0</v>
      </c>
      <c r="N4847" s="23">
        <v>0</v>
      </c>
      <c r="O4847">
        <f t="shared" si="979"/>
        <v>1</v>
      </c>
      <c r="P4847" s="57">
        <f t="shared" si="980"/>
        <v>3</v>
      </c>
      <c r="Q4847" s="267">
        <f t="shared" si="981"/>
        <v>287.33333333333331</v>
      </c>
      <c r="R4847" s="23">
        <f t="shared" si="982"/>
        <v>161</v>
      </c>
      <c r="S4847" s="23">
        <f t="shared" si="983"/>
        <v>157</v>
      </c>
      <c r="T4847" s="23">
        <f t="shared" si="984"/>
        <v>4</v>
      </c>
      <c r="U4847" t="str">
        <f t="shared" si="985"/>
        <v>PA_Alleg_2019p~Dem-member of council verona (vote for 3)</v>
      </c>
      <c r="AF4847" s="88"/>
      <c r="AO4847" s="356"/>
      <c r="AP4847" s="356"/>
      <c r="AQ4847" s="394"/>
      <c r="AR4847" s="394"/>
      <c r="AS4847" s="394"/>
    </row>
    <row r="4848" spans="1:45">
      <c r="A4848" t="str">
        <f t="shared" si="986"/>
        <v>PA_Alleg_2019p~Dem-member of council verona (vote for 3)</v>
      </c>
      <c r="B4848" s="55" t="s">
        <v>1291</v>
      </c>
      <c r="C4848">
        <v>873</v>
      </c>
      <c r="D4848" s="55" t="s">
        <v>849</v>
      </c>
      <c r="E4848" s="55" t="s">
        <v>853</v>
      </c>
      <c r="F4848" t="s">
        <v>12</v>
      </c>
      <c r="G4848" s="62">
        <v>191</v>
      </c>
      <c r="H4848" s="25">
        <v>22.16</v>
      </c>
      <c r="I4848">
        <v>1708</v>
      </c>
      <c r="J4848">
        <v>424</v>
      </c>
      <c r="K4848">
        <v>3</v>
      </c>
      <c r="L4848">
        <v>3</v>
      </c>
      <c r="M4848">
        <v>0</v>
      </c>
      <c r="N4848" s="23">
        <v>0</v>
      </c>
      <c r="O4848">
        <f t="shared" si="979"/>
        <v>2</v>
      </c>
      <c r="P4848" s="57">
        <f t="shared" si="980"/>
        <v>3</v>
      </c>
      <c r="Q4848" s="267">
        <f t="shared" si="981"/>
        <v>666</v>
      </c>
      <c r="R4848" s="23">
        <f t="shared" si="982"/>
        <v>161</v>
      </c>
      <c r="S4848" s="23">
        <f t="shared" si="983"/>
        <v>157</v>
      </c>
      <c r="T4848" s="23" t="str">
        <f t="shared" si="984"/>
        <v/>
      </c>
      <c r="U4848" t="str">
        <f t="shared" si="985"/>
        <v/>
      </c>
      <c r="AF4848" s="22"/>
      <c r="AO4848" s="356"/>
      <c r="AP4848" s="356"/>
      <c r="AQ4848" s="394"/>
      <c r="AR4848" s="394"/>
      <c r="AS4848" s="394"/>
    </row>
    <row r="4849" spans="1:45">
      <c r="A4849" t="str">
        <f t="shared" si="986"/>
        <v>PA_Alleg_2019p~Dem-member of council verona (vote for 3)</v>
      </c>
      <c r="B4849" s="55" t="s">
        <v>1291</v>
      </c>
      <c r="C4849">
        <v>870</v>
      </c>
      <c r="D4849" s="55" t="s">
        <v>849</v>
      </c>
      <c r="E4849" s="55" t="s">
        <v>850</v>
      </c>
      <c r="F4849" t="s">
        <v>12</v>
      </c>
      <c r="G4849" s="62">
        <v>161</v>
      </c>
      <c r="H4849" s="25">
        <v>18.68</v>
      </c>
      <c r="I4849">
        <v>1708</v>
      </c>
      <c r="J4849">
        <v>424</v>
      </c>
      <c r="K4849">
        <v>3</v>
      </c>
      <c r="L4849">
        <v>3</v>
      </c>
      <c r="M4849">
        <v>0</v>
      </c>
      <c r="N4849" s="23">
        <v>0</v>
      </c>
      <c r="O4849">
        <f t="shared" si="979"/>
        <v>3</v>
      </c>
      <c r="P4849" s="57">
        <f t="shared" si="980"/>
        <v>3</v>
      </c>
      <c r="Q4849" s="267">
        <f t="shared" si="981"/>
        <v>475</v>
      </c>
      <c r="R4849" s="23">
        <f t="shared" si="982"/>
        <v>161</v>
      </c>
      <c r="S4849" s="23">
        <f t="shared" si="983"/>
        <v>157</v>
      </c>
      <c r="T4849" s="23" t="str">
        <f t="shared" si="984"/>
        <v/>
      </c>
      <c r="U4849" t="str">
        <f t="shared" si="985"/>
        <v/>
      </c>
      <c r="AF4849" s="22"/>
      <c r="AO4849" s="356"/>
      <c r="AP4849" s="356"/>
      <c r="AQ4849" s="394"/>
      <c r="AR4849" s="394"/>
      <c r="AS4849" s="394"/>
    </row>
    <row r="4850" spans="1:45">
      <c r="A4850" t="str">
        <f t="shared" si="986"/>
        <v>PA_Alleg_2019p~Dem-member of council verona (vote for 3)</v>
      </c>
      <c r="B4850" s="55" t="s">
        <v>1291</v>
      </c>
      <c r="C4850">
        <v>871</v>
      </c>
      <c r="D4850" s="55" t="s">
        <v>849</v>
      </c>
      <c r="E4850" s="55" t="s">
        <v>851</v>
      </c>
      <c r="F4850" t="s">
        <v>12</v>
      </c>
      <c r="G4850" s="62">
        <v>157</v>
      </c>
      <c r="H4850" s="25">
        <v>18.21</v>
      </c>
      <c r="I4850">
        <v>1708</v>
      </c>
      <c r="J4850">
        <v>424</v>
      </c>
      <c r="K4850">
        <v>3</v>
      </c>
      <c r="L4850">
        <v>3</v>
      </c>
      <c r="M4850">
        <v>0</v>
      </c>
      <c r="N4850" s="23">
        <v>0</v>
      </c>
      <c r="O4850">
        <f t="shared" si="979"/>
        <v>4</v>
      </c>
      <c r="P4850" s="57">
        <f t="shared" si="980"/>
        <v>3</v>
      </c>
      <c r="Q4850" s="267">
        <f t="shared" si="981"/>
        <v>314</v>
      </c>
      <c r="R4850" s="23" t="str">
        <f t="shared" si="982"/>
        <v/>
      </c>
      <c r="S4850" s="23">
        <f t="shared" si="983"/>
        <v>157</v>
      </c>
      <c r="T4850" s="23" t="str">
        <f t="shared" si="984"/>
        <v/>
      </c>
      <c r="U4850" t="str">
        <f t="shared" si="985"/>
        <v/>
      </c>
      <c r="AF4850" s="300"/>
      <c r="AO4850" s="356"/>
      <c r="AP4850" s="356"/>
      <c r="AQ4850" s="394"/>
      <c r="AR4850" s="394"/>
      <c r="AS4850" s="394"/>
    </row>
    <row r="4851" spans="1:45">
      <c r="A4851" t="str">
        <f t="shared" si="986"/>
        <v>PA_Alleg_2019p~Dem-member of council verona (vote for 3)</v>
      </c>
      <c r="B4851" s="55" t="s">
        <v>1291</v>
      </c>
      <c r="C4851">
        <v>874</v>
      </c>
      <c r="D4851" s="55" t="s">
        <v>849</v>
      </c>
      <c r="E4851" s="55" t="s">
        <v>854</v>
      </c>
      <c r="F4851" t="s">
        <v>12</v>
      </c>
      <c r="G4851" s="62">
        <v>156</v>
      </c>
      <c r="H4851" s="25">
        <v>18.100000000000001</v>
      </c>
      <c r="I4851">
        <v>1708</v>
      </c>
      <c r="J4851">
        <v>424</v>
      </c>
      <c r="K4851">
        <v>3</v>
      </c>
      <c r="L4851">
        <v>3</v>
      </c>
      <c r="M4851">
        <v>0</v>
      </c>
      <c r="N4851" s="23">
        <v>0</v>
      </c>
      <c r="O4851">
        <f t="shared" si="979"/>
        <v>5</v>
      </c>
      <c r="P4851" s="57">
        <f t="shared" si="980"/>
        <v>3</v>
      </c>
      <c r="Q4851" s="267">
        <f t="shared" si="981"/>
        <v>157</v>
      </c>
      <c r="R4851" s="23" t="str">
        <f t="shared" si="982"/>
        <v/>
      </c>
      <c r="S4851" s="23">
        <f t="shared" si="983"/>
        <v>156</v>
      </c>
      <c r="T4851" s="23" t="str">
        <f t="shared" si="984"/>
        <v/>
      </c>
      <c r="U4851" t="str">
        <f t="shared" si="985"/>
        <v/>
      </c>
      <c r="AF4851" s="22"/>
      <c r="AO4851" s="356"/>
      <c r="AP4851" s="356"/>
      <c r="AQ4851" s="394"/>
      <c r="AR4851" s="394"/>
      <c r="AS4851" s="394"/>
    </row>
    <row r="4852" spans="1:45">
      <c r="A4852" t="str">
        <f t="shared" si="986"/>
        <v>PA_Alleg_2019p~Dem-member of council verona (vote for 3)</v>
      </c>
      <c r="B4852" s="55" t="s">
        <v>1291</v>
      </c>
      <c r="C4852">
        <v>875</v>
      </c>
      <c r="D4852" s="55" t="s">
        <v>849</v>
      </c>
      <c r="E4852" s="55" t="s">
        <v>15</v>
      </c>
      <c r="F4852" t="s">
        <v>12</v>
      </c>
      <c r="G4852" s="62">
        <v>1</v>
      </c>
      <c r="H4852" s="25">
        <v>0.12</v>
      </c>
      <c r="I4852">
        <v>1708</v>
      </c>
      <c r="J4852">
        <v>424</v>
      </c>
      <c r="K4852">
        <v>3</v>
      </c>
      <c r="L4852">
        <v>3</v>
      </c>
      <c r="M4852">
        <v>0</v>
      </c>
      <c r="N4852" s="23">
        <v>0</v>
      </c>
      <c r="O4852">
        <f t="shared" si="979"/>
        <v>-5</v>
      </c>
      <c r="P4852" s="57">
        <f t="shared" si="980"/>
        <v>3</v>
      </c>
      <c r="Q4852" s="267">
        <f t="shared" si="981"/>
        <v>1</v>
      </c>
      <c r="R4852" s="23">
        <f t="shared" si="982"/>
        <v>1</v>
      </c>
      <c r="S4852" s="23">
        <f t="shared" si="983"/>
        <v>0</v>
      </c>
      <c r="T4852" s="23" t="str">
        <f t="shared" si="984"/>
        <v/>
      </c>
      <c r="U4852" t="str">
        <f t="shared" si="985"/>
        <v/>
      </c>
      <c r="AF4852" s="22"/>
      <c r="AG4852" s="302"/>
      <c r="AH4852" s="301"/>
      <c r="AI4852" s="303"/>
      <c r="AJ4852" s="303"/>
      <c r="AK4852" s="342"/>
      <c r="AL4852" s="343"/>
      <c r="AO4852" s="356"/>
      <c r="AP4852" s="356"/>
      <c r="AQ4852" s="394"/>
      <c r="AR4852" s="394"/>
      <c r="AS4852" s="394"/>
    </row>
    <row r="4853" spans="1:45">
      <c r="A4853" t="str">
        <f t="shared" si="986"/>
        <v>PA_Alleg_2019p~Dem-member of council versailles (vote for 3)</v>
      </c>
      <c r="B4853" s="55" t="s">
        <v>1291</v>
      </c>
      <c r="C4853">
        <v>876</v>
      </c>
      <c r="D4853" s="55" t="s">
        <v>855</v>
      </c>
      <c r="E4853" s="55" t="s">
        <v>856</v>
      </c>
      <c r="F4853" t="s">
        <v>12</v>
      </c>
      <c r="G4853" s="62">
        <v>102</v>
      </c>
      <c r="H4853" s="25">
        <v>52.04</v>
      </c>
      <c r="I4853">
        <v>1046</v>
      </c>
      <c r="J4853">
        <v>167</v>
      </c>
      <c r="K4853">
        <v>2</v>
      </c>
      <c r="L4853">
        <v>2</v>
      </c>
      <c r="M4853">
        <v>0</v>
      </c>
      <c r="N4853" s="23">
        <v>0</v>
      </c>
      <c r="O4853">
        <f t="shared" si="979"/>
        <v>1</v>
      </c>
      <c r="P4853" s="57">
        <f t="shared" si="980"/>
        <v>3</v>
      </c>
      <c r="Q4853" s="267">
        <f t="shared" si="981"/>
        <v>102</v>
      </c>
      <c r="R4853" s="23">
        <f t="shared" si="982"/>
        <v>1</v>
      </c>
      <c r="S4853" s="23">
        <f t="shared" si="983"/>
        <v>0</v>
      </c>
      <c r="T4853" s="23" t="str">
        <f t="shared" si="984"/>
        <v/>
      </c>
      <c r="U4853" t="str">
        <f t="shared" si="985"/>
        <v>PA_Alleg_2019p~Dem-member of council versailles (vote for 3)</v>
      </c>
      <c r="AF4853" s="22"/>
      <c r="AO4853" s="356"/>
      <c r="AP4853" s="356"/>
      <c r="AQ4853" s="394"/>
      <c r="AR4853" s="394"/>
      <c r="AS4853" s="394"/>
    </row>
    <row r="4854" spans="1:45">
      <c r="A4854" t="str">
        <f t="shared" si="986"/>
        <v>PA_Alleg_2019p~Dem-member of council versailles (vote for 3)</v>
      </c>
      <c r="B4854" s="55" t="s">
        <v>1291</v>
      </c>
      <c r="C4854">
        <v>877</v>
      </c>
      <c r="D4854" s="55" t="s">
        <v>855</v>
      </c>
      <c r="E4854" s="55" t="s">
        <v>857</v>
      </c>
      <c r="F4854" t="s">
        <v>12</v>
      </c>
      <c r="G4854" s="62">
        <v>77</v>
      </c>
      <c r="H4854" s="25">
        <v>39.29</v>
      </c>
      <c r="I4854">
        <v>1046</v>
      </c>
      <c r="J4854">
        <v>167</v>
      </c>
      <c r="K4854">
        <v>2</v>
      </c>
      <c r="L4854">
        <v>2</v>
      </c>
      <c r="M4854">
        <v>0</v>
      </c>
      <c r="N4854" s="23">
        <v>0</v>
      </c>
      <c r="O4854">
        <f t="shared" si="979"/>
        <v>2</v>
      </c>
      <c r="P4854" s="57">
        <f t="shared" si="980"/>
        <v>3</v>
      </c>
      <c r="Q4854" s="267">
        <f t="shared" si="981"/>
        <v>94</v>
      </c>
      <c r="R4854" s="23">
        <f t="shared" si="982"/>
        <v>1</v>
      </c>
      <c r="S4854" s="23">
        <f t="shared" si="983"/>
        <v>0</v>
      </c>
      <c r="T4854" s="23" t="str">
        <f t="shared" si="984"/>
        <v/>
      </c>
      <c r="U4854" t="str">
        <f t="shared" si="985"/>
        <v/>
      </c>
      <c r="AF4854" s="22"/>
      <c r="AO4854" s="356"/>
      <c r="AP4854" s="356"/>
      <c r="AQ4854" s="394"/>
      <c r="AR4854" s="394"/>
      <c r="AS4854" s="394"/>
    </row>
    <row r="4855" spans="1:45">
      <c r="A4855" t="str">
        <f t="shared" si="986"/>
        <v>PA_Alleg_2019p~Dem-member of council versailles (vote for 3)</v>
      </c>
      <c r="B4855" s="55" t="s">
        <v>1291</v>
      </c>
      <c r="C4855">
        <v>878</v>
      </c>
      <c r="D4855" s="55" t="s">
        <v>855</v>
      </c>
      <c r="E4855" s="55" t="s">
        <v>15</v>
      </c>
      <c r="F4855" t="s">
        <v>12</v>
      </c>
      <c r="G4855" s="62">
        <v>17</v>
      </c>
      <c r="H4855" s="25">
        <v>8.67</v>
      </c>
      <c r="I4855">
        <v>1046</v>
      </c>
      <c r="J4855">
        <v>167</v>
      </c>
      <c r="K4855">
        <v>2</v>
      </c>
      <c r="L4855">
        <v>2</v>
      </c>
      <c r="M4855">
        <v>0</v>
      </c>
      <c r="N4855" s="23">
        <v>0</v>
      </c>
      <c r="O4855">
        <f t="shared" si="979"/>
        <v>-2</v>
      </c>
      <c r="P4855" s="57">
        <f t="shared" si="980"/>
        <v>3</v>
      </c>
      <c r="Q4855" s="267">
        <f t="shared" si="981"/>
        <v>17</v>
      </c>
      <c r="R4855" s="23">
        <f t="shared" si="982"/>
        <v>1</v>
      </c>
      <c r="S4855" s="23">
        <f t="shared" si="983"/>
        <v>0</v>
      </c>
      <c r="T4855" s="23" t="str">
        <f t="shared" si="984"/>
        <v/>
      </c>
      <c r="U4855" t="str">
        <f t="shared" si="985"/>
        <v/>
      </c>
      <c r="AF4855" s="22"/>
      <c r="AO4855" s="356"/>
      <c r="AP4855" s="356"/>
      <c r="AQ4855" s="394"/>
      <c r="AR4855" s="394"/>
      <c r="AS4855" s="394"/>
    </row>
    <row r="4856" spans="1:45">
      <c r="A4856" t="str">
        <f t="shared" si="986"/>
        <v>PA_Alleg_2019p~Dem-member of council wall (vote for 2)</v>
      </c>
      <c r="B4856" s="55" t="s">
        <v>1291</v>
      </c>
      <c r="C4856">
        <v>929</v>
      </c>
      <c r="D4856" s="55" t="s">
        <v>907</v>
      </c>
      <c r="E4856" s="55" t="s">
        <v>15</v>
      </c>
      <c r="F4856" t="s">
        <v>12</v>
      </c>
      <c r="G4856" s="62">
        <v>8</v>
      </c>
      <c r="H4856" s="25">
        <v>100</v>
      </c>
      <c r="I4856">
        <v>330</v>
      </c>
      <c r="J4856">
        <v>33</v>
      </c>
      <c r="K4856">
        <v>1</v>
      </c>
      <c r="L4856">
        <v>1</v>
      </c>
      <c r="M4856">
        <v>0</v>
      </c>
      <c r="N4856" s="23">
        <v>0</v>
      </c>
      <c r="O4856">
        <f t="shared" si="979"/>
        <v>0</v>
      </c>
      <c r="P4856" s="57">
        <f t="shared" si="980"/>
        <v>2</v>
      </c>
      <c r="Q4856" s="267">
        <f t="shared" si="981"/>
        <v>8</v>
      </c>
      <c r="R4856" s="23">
        <f t="shared" si="982"/>
        <v>1</v>
      </c>
      <c r="S4856" s="23">
        <f t="shared" si="983"/>
        <v>0</v>
      </c>
      <c r="T4856" s="23" t="str">
        <f t="shared" si="984"/>
        <v/>
      </c>
      <c r="U4856" t="str">
        <f t="shared" si="985"/>
        <v>PA_Alleg_2019p~Dem-member of council wall (vote for 2)</v>
      </c>
      <c r="AF4856" s="300"/>
      <c r="AO4856" s="356"/>
      <c r="AP4856" s="356"/>
      <c r="AQ4856" s="394"/>
      <c r="AR4856" s="394"/>
      <c r="AS4856" s="394"/>
    </row>
    <row r="4857" spans="1:45">
      <c r="A4857" t="str">
        <f t="shared" si="986"/>
        <v>PA_Alleg_2019p~Dem-member of council west elizabeth (vote for 3)</v>
      </c>
      <c r="B4857" s="55" t="s">
        <v>1291</v>
      </c>
      <c r="C4857">
        <v>879</v>
      </c>
      <c r="D4857" s="55" t="s">
        <v>858</v>
      </c>
      <c r="E4857" s="55" t="s">
        <v>15</v>
      </c>
      <c r="F4857" t="s">
        <v>12</v>
      </c>
      <c r="G4857" s="62">
        <v>39</v>
      </c>
      <c r="H4857" s="25">
        <v>100</v>
      </c>
      <c r="I4857">
        <v>274</v>
      </c>
      <c r="J4857">
        <v>50</v>
      </c>
      <c r="K4857">
        <v>1</v>
      </c>
      <c r="L4857">
        <v>1</v>
      </c>
      <c r="M4857">
        <v>0</v>
      </c>
      <c r="N4857" s="23">
        <v>0</v>
      </c>
      <c r="O4857">
        <f t="shared" si="979"/>
        <v>0</v>
      </c>
      <c r="P4857" s="57">
        <f t="shared" si="980"/>
        <v>3</v>
      </c>
      <c r="Q4857" s="267">
        <f t="shared" si="981"/>
        <v>39</v>
      </c>
      <c r="R4857" s="23">
        <f t="shared" si="982"/>
        <v>1</v>
      </c>
      <c r="S4857" s="23">
        <f t="shared" si="983"/>
        <v>0</v>
      </c>
      <c r="T4857" s="23" t="str">
        <f t="shared" si="984"/>
        <v/>
      </c>
      <c r="U4857" t="str">
        <f t="shared" si="985"/>
        <v>PA_Alleg_2019p~Dem-member of council west elizabeth (vote for 3)</v>
      </c>
      <c r="AF4857" s="300"/>
      <c r="AH4857" s="8"/>
      <c r="AL4857" s="23"/>
      <c r="AO4857" s="356"/>
      <c r="AP4857" s="356"/>
      <c r="AQ4857" s="394"/>
      <c r="AR4857" s="394"/>
      <c r="AS4857" s="394"/>
    </row>
    <row r="4858" spans="1:45">
      <c r="A4858" t="str">
        <f t="shared" si="986"/>
        <v>PA_Alleg_2019p~Dem-member of council west homestead (vote for 3)</v>
      </c>
      <c r="B4858" s="55" t="s">
        <v>1291</v>
      </c>
      <c r="C4858">
        <v>882</v>
      </c>
      <c r="D4858" s="55" t="s">
        <v>859</v>
      </c>
      <c r="E4858" s="55" t="s">
        <v>862</v>
      </c>
      <c r="F4858" t="s">
        <v>12</v>
      </c>
      <c r="G4858" s="62">
        <v>226</v>
      </c>
      <c r="H4858" s="25">
        <v>23.79</v>
      </c>
      <c r="I4858">
        <v>1499</v>
      </c>
      <c r="J4858">
        <v>450</v>
      </c>
      <c r="K4858">
        <v>3</v>
      </c>
      <c r="L4858">
        <v>3</v>
      </c>
      <c r="M4858">
        <v>0</v>
      </c>
      <c r="N4858" s="23">
        <v>0</v>
      </c>
      <c r="O4858">
        <f t="shared" si="979"/>
        <v>1</v>
      </c>
      <c r="P4858" s="57">
        <f t="shared" si="980"/>
        <v>3</v>
      </c>
      <c r="Q4858" s="267">
        <f t="shared" si="981"/>
        <v>316.66666666666669</v>
      </c>
      <c r="R4858" s="23">
        <f t="shared" si="982"/>
        <v>207</v>
      </c>
      <c r="S4858" s="23">
        <f t="shared" si="983"/>
        <v>175</v>
      </c>
      <c r="T4858" s="23">
        <f t="shared" si="984"/>
        <v>32</v>
      </c>
      <c r="U4858" t="str">
        <f t="shared" si="985"/>
        <v>PA_Alleg_2019p~Dem-member of council west homestead (vote for 3)</v>
      </c>
      <c r="AF4858" s="293"/>
      <c r="AO4858" s="356"/>
      <c r="AP4858" s="356"/>
      <c r="AQ4858" s="394"/>
      <c r="AR4858" s="394"/>
      <c r="AS4858" s="394"/>
    </row>
    <row r="4859" spans="1:45">
      <c r="A4859" t="str">
        <f t="shared" si="986"/>
        <v>PA_Alleg_2019p~Dem-member of council west homestead (vote for 3)</v>
      </c>
      <c r="B4859" s="55" t="s">
        <v>1291</v>
      </c>
      <c r="C4859">
        <v>884</v>
      </c>
      <c r="D4859" s="55" t="s">
        <v>859</v>
      </c>
      <c r="E4859" s="55" t="s">
        <v>864</v>
      </c>
      <c r="F4859" t="s">
        <v>12</v>
      </c>
      <c r="G4859" s="62">
        <v>214</v>
      </c>
      <c r="H4859" s="25">
        <v>22.53</v>
      </c>
      <c r="I4859">
        <v>1499</v>
      </c>
      <c r="J4859">
        <v>450</v>
      </c>
      <c r="K4859">
        <v>3</v>
      </c>
      <c r="L4859">
        <v>3</v>
      </c>
      <c r="M4859">
        <v>0</v>
      </c>
      <c r="N4859" s="23">
        <v>0</v>
      </c>
      <c r="O4859">
        <f t="shared" si="979"/>
        <v>2</v>
      </c>
      <c r="P4859" s="57">
        <f t="shared" si="980"/>
        <v>3</v>
      </c>
      <c r="Q4859" s="267">
        <f t="shared" si="981"/>
        <v>724</v>
      </c>
      <c r="R4859" s="23">
        <f t="shared" si="982"/>
        <v>207</v>
      </c>
      <c r="S4859" s="23">
        <f t="shared" si="983"/>
        <v>175</v>
      </c>
      <c r="T4859" s="23" t="str">
        <f t="shared" si="984"/>
        <v/>
      </c>
      <c r="U4859" t="str">
        <f t="shared" si="985"/>
        <v/>
      </c>
      <c r="AF4859" s="22"/>
      <c r="AO4859" s="356"/>
      <c r="AP4859" s="356"/>
      <c r="AQ4859" s="394"/>
      <c r="AR4859" s="394"/>
      <c r="AS4859" s="394"/>
    </row>
    <row r="4860" spans="1:45">
      <c r="A4860" t="str">
        <f t="shared" si="986"/>
        <v>PA_Alleg_2019p~Dem-member of council west homestead (vote for 3)</v>
      </c>
      <c r="B4860" s="55" t="s">
        <v>1291</v>
      </c>
      <c r="C4860">
        <v>880</v>
      </c>
      <c r="D4860" s="55" t="s">
        <v>859</v>
      </c>
      <c r="E4860" s="55" t="s">
        <v>860</v>
      </c>
      <c r="F4860" t="s">
        <v>12</v>
      </c>
      <c r="G4860" s="62">
        <v>207</v>
      </c>
      <c r="H4860" s="25">
        <v>21.79</v>
      </c>
      <c r="I4860">
        <v>1499</v>
      </c>
      <c r="J4860">
        <v>450</v>
      </c>
      <c r="K4860">
        <v>3</v>
      </c>
      <c r="L4860">
        <v>3</v>
      </c>
      <c r="M4860">
        <v>0</v>
      </c>
      <c r="N4860" s="23">
        <v>0</v>
      </c>
      <c r="O4860">
        <f t="shared" si="979"/>
        <v>3</v>
      </c>
      <c r="P4860" s="57">
        <f t="shared" si="980"/>
        <v>3</v>
      </c>
      <c r="Q4860" s="267">
        <f t="shared" si="981"/>
        <v>510</v>
      </c>
      <c r="R4860" s="23">
        <f t="shared" si="982"/>
        <v>207</v>
      </c>
      <c r="S4860" s="23">
        <f t="shared" si="983"/>
        <v>175</v>
      </c>
      <c r="T4860" s="23" t="str">
        <f t="shared" si="984"/>
        <v/>
      </c>
      <c r="U4860" t="str">
        <f t="shared" si="985"/>
        <v/>
      </c>
      <c r="AF4860" s="22"/>
      <c r="AO4860" s="356"/>
      <c r="AP4860" s="356"/>
      <c r="AQ4860" s="394"/>
      <c r="AR4860" s="394"/>
      <c r="AS4860" s="394"/>
    </row>
    <row r="4861" spans="1:45">
      <c r="A4861" t="str">
        <f t="shared" si="986"/>
        <v>PA_Alleg_2019p~Dem-member of council west homestead (vote for 3)</v>
      </c>
      <c r="B4861" s="55" t="s">
        <v>1291</v>
      </c>
      <c r="C4861">
        <v>883</v>
      </c>
      <c r="D4861" s="55" t="s">
        <v>859</v>
      </c>
      <c r="E4861" s="55" t="s">
        <v>863</v>
      </c>
      <c r="F4861" t="s">
        <v>12</v>
      </c>
      <c r="G4861" s="62">
        <v>175</v>
      </c>
      <c r="H4861" s="25">
        <v>18.420000000000002</v>
      </c>
      <c r="I4861">
        <v>1499</v>
      </c>
      <c r="J4861">
        <v>450</v>
      </c>
      <c r="K4861">
        <v>3</v>
      </c>
      <c r="L4861">
        <v>3</v>
      </c>
      <c r="M4861">
        <v>0</v>
      </c>
      <c r="N4861" s="23">
        <v>0</v>
      </c>
      <c r="O4861">
        <f t="shared" si="979"/>
        <v>4</v>
      </c>
      <c r="P4861" s="57">
        <f t="shared" si="980"/>
        <v>3</v>
      </c>
      <c r="Q4861" s="267">
        <f t="shared" si="981"/>
        <v>303</v>
      </c>
      <c r="R4861" s="23" t="str">
        <f t="shared" si="982"/>
        <v/>
      </c>
      <c r="S4861" s="23">
        <f t="shared" si="983"/>
        <v>175</v>
      </c>
      <c r="T4861" s="23" t="str">
        <f t="shared" si="984"/>
        <v/>
      </c>
      <c r="U4861" t="str">
        <f t="shared" si="985"/>
        <v/>
      </c>
      <c r="AF4861" s="22"/>
      <c r="AH4861" s="8"/>
      <c r="AL4861" s="23"/>
      <c r="AO4861" s="356"/>
      <c r="AP4861" s="356"/>
      <c r="AQ4861" s="394"/>
      <c r="AR4861" s="394"/>
      <c r="AS4861" s="394"/>
    </row>
    <row r="4862" spans="1:45">
      <c r="A4862" t="str">
        <f t="shared" si="986"/>
        <v>PA_Alleg_2019p~Dem-member of council west homestead (vote for 3)</v>
      </c>
      <c r="B4862" s="55" t="s">
        <v>1291</v>
      </c>
      <c r="C4862">
        <v>881</v>
      </c>
      <c r="D4862" s="55" t="s">
        <v>859</v>
      </c>
      <c r="E4862" s="55" t="s">
        <v>861</v>
      </c>
      <c r="F4862" t="s">
        <v>12</v>
      </c>
      <c r="G4862" s="62">
        <v>122</v>
      </c>
      <c r="H4862" s="25">
        <v>12.84</v>
      </c>
      <c r="I4862">
        <v>1499</v>
      </c>
      <c r="J4862">
        <v>450</v>
      </c>
      <c r="K4862">
        <v>3</v>
      </c>
      <c r="L4862">
        <v>3</v>
      </c>
      <c r="M4862">
        <v>0</v>
      </c>
      <c r="N4862" s="23">
        <v>0</v>
      </c>
      <c r="O4862">
        <f t="shared" si="979"/>
        <v>5</v>
      </c>
      <c r="P4862" s="57">
        <f t="shared" si="980"/>
        <v>3</v>
      </c>
      <c r="Q4862" s="267">
        <f t="shared" si="981"/>
        <v>128</v>
      </c>
      <c r="R4862" s="23" t="str">
        <f t="shared" si="982"/>
        <v/>
      </c>
      <c r="S4862" s="23">
        <f t="shared" si="983"/>
        <v>122</v>
      </c>
      <c r="T4862" s="23" t="str">
        <f t="shared" si="984"/>
        <v/>
      </c>
      <c r="U4862" t="str">
        <f t="shared" si="985"/>
        <v/>
      </c>
      <c r="AF4862" s="22"/>
      <c r="AH4862" s="8"/>
      <c r="AL4862" s="23"/>
      <c r="AO4862" s="356"/>
      <c r="AP4862" s="356"/>
      <c r="AQ4862" s="394"/>
      <c r="AR4862" s="394"/>
      <c r="AS4862" s="394"/>
    </row>
    <row r="4863" spans="1:45">
      <c r="A4863" t="str">
        <f t="shared" si="986"/>
        <v>PA_Alleg_2019p~Dem-member of council west homestead (vote for 3)</v>
      </c>
      <c r="B4863" s="55" t="s">
        <v>1291</v>
      </c>
      <c r="C4863">
        <v>885</v>
      </c>
      <c r="D4863" s="55" t="s">
        <v>859</v>
      </c>
      <c r="E4863" s="55" t="s">
        <v>15</v>
      </c>
      <c r="F4863" t="s">
        <v>12</v>
      </c>
      <c r="G4863" s="62">
        <v>6</v>
      </c>
      <c r="H4863" s="25">
        <v>0.63</v>
      </c>
      <c r="I4863">
        <v>1499</v>
      </c>
      <c r="J4863">
        <v>450</v>
      </c>
      <c r="K4863">
        <v>3</v>
      </c>
      <c r="L4863">
        <v>3</v>
      </c>
      <c r="M4863">
        <v>0</v>
      </c>
      <c r="N4863" s="23">
        <v>0</v>
      </c>
      <c r="O4863">
        <f t="shared" si="979"/>
        <v>-5</v>
      </c>
      <c r="P4863" s="57">
        <f t="shared" si="980"/>
        <v>3</v>
      </c>
      <c r="Q4863" s="267">
        <f t="shared" si="981"/>
        <v>6</v>
      </c>
      <c r="R4863" s="23">
        <f t="shared" si="982"/>
        <v>1</v>
      </c>
      <c r="S4863" s="23">
        <f t="shared" si="983"/>
        <v>0</v>
      </c>
      <c r="T4863" s="23" t="str">
        <f t="shared" si="984"/>
        <v/>
      </c>
      <c r="U4863" t="str">
        <f t="shared" si="985"/>
        <v/>
      </c>
      <c r="AF4863" s="22"/>
      <c r="AO4863" s="356"/>
      <c r="AP4863" s="356"/>
      <c r="AQ4863" s="394"/>
      <c r="AR4863" s="394"/>
      <c r="AS4863" s="394"/>
    </row>
    <row r="4864" spans="1:45">
      <c r="A4864" t="str">
        <f t="shared" si="986"/>
        <v>PA_Alleg_2019p~Dem-member of council west mifflin (vote for 3)</v>
      </c>
      <c r="B4864" s="55" t="s">
        <v>1291</v>
      </c>
      <c r="C4864">
        <v>886</v>
      </c>
      <c r="D4864" s="55" t="s">
        <v>865</v>
      </c>
      <c r="E4864" s="55" t="s">
        <v>866</v>
      </c>
      <c r="F4864" t="s">
        <v>12</v>
      </c>
      <c r="G4864" s="62">
        <v>1477</v>
      </c>
      <c r="H4864" s="25">
        <v>24.7</v>
      </c>
      <c r="I4864">
        <v>14221</v>
      </c>
      <c r="J4864">
        <v>3101</v>
      </c>
      <c r="K4864">
        <v>21</v>
      </c>
      <c r="L4864">
        <v>21</v>
      </c>
      <c r="M4864">
        <v>0</v>
      </c>
      <c r="N4864" s="23">
        <v>0</v>
      </c>
      <c r="O4864">
        <f t="shared" si="979"/>
        <v>1</v>
      </c>
      <c r="P4864" s="57">
        <f t="shared" si="980"/>
        <v>3</v>
      </c>
      <c r="Q4864" s="267">
        <f t="shared" si="981"/>
        <v>1993.3333333333333</v>
      </c>
      <c r="R4864" s="23">
        <f t="shared" si="982"/>
        <v>1120</v>
      </c>
      <c r="S4864" s="23">
        <f t="shared" si="983"/>
        <v>1069</v>
      </c>
      <c r="T4864" s="23">
        <f t="shared" si="984"/>
        <v>51</v>
      </c>
      <c r="U4864" t="str">
        <f t="shared" si="985"/>
        <v>PA_Alleg_2019p~Dem-member of council west mifflin (vote for 3)</v>
      </c>
      <c r="AF4864" s="22"/>
      <c r="AH4864" s="8"/>
      <c r="AL4864" s="23"/>
      <c r="AO4864" s="356"/>
      <c r="AP4864" s="356"/>
      <c r="AQ4864" s="394"/>
      <c r="AR4864" s="394"/>
      <c r="AS4864" s="394"/>
    </row>
    <row r="4865" spans="1:45">
      <c r="A4865" t="str">
        <f t="shared" si="986"/>
        <v>PA_Alleg_2019p~Dem-member of council west mifflin (vote for 3)</v>
      </c>
      <c r="B4865" s="55" t="s">
        <v>1291</v>
      </c>
      <c r="C4865">
        <v>889</v>
      </c>
      <c r="D4865" s="55" t="s">
        <v>865</v>
      </c>
      <c r="E4865" s="55" t="s">
        <v>869</v>
      </c>
      <c r="F4865" t="s">
        <v>12</v>
      </c>
      <c r="G4865" s="62">
        <v>1411</v>
      </c>
      <c r="H4865" s="25">
        <v>23.6</v>
      </c>
      <c r="I4865">
        <v>14221</v>
      </c>
      <c r="J4865">
        <v>3101</v>
      </c>
      <c r="K4865">
        <v>21</v>
      </c>
      <c r="L4865">
        <v>21</v>
      </c>
      <c r="M4865">
        <v>0</v>
      </c>
      <c r="N4865" s="23">
        <v>0</v>
      </c>
      <c r="O4865">
        <f t="shared" si="979"/>
        <v>2</v>
      </c>
      <c r="P4865" s="57">
        <f t="shared" si="980"/>
        <v>3</v>
      </c>
      <c r="Q4865" s="267">
        <f t="shared" si="981"/>
        <v>4503</v>
      </c>
      <c r="R4865" s="23">
        <f t="shared" si="982"/>
        <v>1120</v>
      </c>
      <c r="S4865" s="23">
        <f t="shared" si="983"/>
        <v>1069</v>
      </c>
      <c r="T4865" s="23" t="str">
        <f t="shared" si="984"/>
        <v/>
      </c>
      <c r="U4865" t="str">
        <f t="shared" si="985"/>
        <v/>
      </c>
      <c r="AF4865" s="22"/>
      <c r="AH4865" s="8"/>
      <c r="AL4865" s="23"/>
      <c r="AO4865" s="356"/>
      <c r="AP4865" s="356"/>
      <c r="AQ4865" s="394"/>
      <c r="AR4865" s="394"/>
      <c r="AS4865" s="394"/>
    </row>
    <row r="4866" spans="1:45">
      <c r="A4866" t="str">
        <f t="shared" si="986"/>
        <v>PA_Alleg_2019p~Dem-member of council west mifflin (vote for 3)</v>
      </c>
      <c r="B4866" s="55" t="s">
        <v>1291</v>
      </c>
      <c r="C4866">
        <v>887</v>
      </c>
      <c r="D4866" s="55" t="s">
        <v>865</v>
      </c>
      <c r="E4866" s="55" t="s">
        <v>867</v>
      </c>
      <c r="F4866" t="s">
        <v>12</v>
      </c>
      <c r="G4866" s="62">
        <v>1120</v>
      </c>
      <c r="H4866" s="25">
        <v>18.73</v>
      </c>
      <c r="I4866">
        <v>14221</v>
      </c>
      <c r="J4866">
        <v>3101</v>
      </c>
      <c r="K4866">
        <v>21</v>
      </c>
      <c r="L4866">
        <v>21</v>
      </c>
      <c r="M4866">
        <v>0</v>
      </c>
      <c r="N4866" s="23">
        <v>0</v>
      </c>
      <c r="O4866">
        <f t="shared" ref="O4866:O4929" si="987">IF(OR(LOWER(LEFT(E4866,8))="write-in",LOWER(LEFT(E4866,8))="not qual"),IF(A4866=A4865,-ABS(O4865),0),IF(A4866=A4865,ABS(O4865)+1,1))</f>
        <v>3</v>
      </c>
      <c r="P4866" s="57">
        <f t="shared" ref="P4866:P4929" si="988">1*LEFT(RIGHT(A4866,2),1)</f>
        <v>3</v>
      </c>
      <c r="Q4866" s="267">
        <f t="shared" ref="Q4866:Q4929" si="989">IF(A4866&lt;&gt;A4867,G4866,IF(A4866=A4865,G4866+Q4867,MAX(G4866,(G4866+Q4867)/P4866)))</f>
        <v>3092</v>
      </c>
      <c r="R4866" s="23">
        <f t="shared" ref="R4866:R4929" si="990">IF(O4866&gt;P4866,"",IF(O4866=P4866,G4866,IF(A4866=A4867,R4867,IF(O4866&lt;=0,1,G4866))))</f>
        <v>1120</v>
      </c>
      <c r="S4866" s="23">
        <f t="shared" ref="S4866:S4929" si="991">IF(AND(O4866&gt;P4866,LOWER(LEFT(E4866,8))&lt;&gt;"write-in",LOWER(LEFT(E4866,8))&lt;&gt;"not qual"),G4866,IF(A4866=A4867,S4867,0))</f>
        <v>1069</v>
      </c>
      <c r="T4866" s="23" t="str">
        <f t="shared" ref="T4866:T4929" si="992">IF(OR(A4866=A4865,S4866=0),"",R4866-ABS(S4866))</f>
        <v/>
      </c>
      <c r="U4866" t="str">
        <f t="shared" ref="U4866:U4929" si="993">IF(A4866=A4865,"",A4866)</f>
        <v/>
      </c>
      <c r="AF4866" s="22"/>
      <c r="AH4866" s="8"/>
      <c r="AL4866" s="23"/>
      <c r="AO4866" s="356"/>
      <c r="AP4866" s="356"/>
      <c r="AQ4866" s="394"/>
      <c r="AR4866" s="394"/>
      <c r="AS4866" s="394"/>
    </row>
    <row r="4867" spans="1:45">
      <c r="A4867" t="str">
        <f t="shared" ref="A4867:A4930" si="994">CONCATENATE(B4867,"~",F4867,"-",LOWER(D4867))</f>
        <v>PA_Alleg_2019p~Dem-member of council west mifflin (vote for 3)</v>
      </c>
      <c r="B4867" s="55" t="s">
        <v>1291</v>
      </c>
      <c r="C4867">
        <v>888</v>
      </c>
      <c r="D4867" s="55" t="s">
        <v>865</v>
      </c>
      <c r="E4867" s="55" t="s">
        <v>868</v>
      </c>
      <c r="F4867" t="s">
        <v>12</v>
      </c>
      <c r="G4867" s="62">
        <v>1069</v>
      </c>
      <c r="H4867" s="25">
        <v>17.88</v>
      </c>
      <c r="I4867">
        <v>14221</v>
      </c>
      <c r="J4867">
        <v>3101</v>
      </c>
      <c r="K4867">
        <v>21</v>
      </c>
      <c r="L4867">
        <v>21</v>
      </c>
      <c r="M4867">
        <v>0</v>
      </c>
      <c r="N4867" s="23">
        <v>0</v>
      </c>
      <c r="O4867">
        <f t="shared" si="987"/>
        <v>4</v>
      </c>
      <c r="P4867" s="57">
        <f t="shared" si="988"/>
        <v>3</v>
      </c>
      <c r="Q4867" s="267">
        <f t="shared" si="989"/>
        <v>1972</v>
      </c>
      <c r="R4867" s="23" t="str">
        <f t="shared" si="990"/>
        <v/>
      </c>
      <c r="S4867" s="23">
        <f t="shared" si="991"/>
        <v>1069</v>
      </c>
      <c r="T4867" s="23" t="str">
        <f t="shared" si="992"/>
        <v/>
      </c>
      <c r="U4867" t="str">
        <f t="shared" si="993"/>
        <v/>
      </c>
      <c r="AF4867" s="22"/>
      <c r="AH4867" s="8"/>
      <c r="AL4867" s="23"/>
      <c r="AO4867" s="356"/>
      <c r="AP4867" s="356"/>
      <c r="AQ4867" s="394"/>
      <c r="AR4867" s="394"/>
      <c r="AS4867" s="394"/>
    </row>
    <row r="4868" spans="1:45">
      <c r="A4868" t="str">
        <f t="shared" si="994"/>
        <v>PA_Alleg_2019p~Dem-member of council west mifflin (vote for 3)</v>
      </c>
      <c r="B4868" s="55" t="s">
        <v>1291</v>
      </c>
      <c r="C4868">
        <v>890</v>
      </c>
      <c r="D4868" s="55" t="s">
        <v>865</v>
      </c>
      <c r="E4868" s="55" t="s">
        <v>870</v>
      </c>
      <c r="F4868" t="s">
        <v>12</v>
      </c>
      <c r="G4868" s="62">
        <v>880</v>
      </c>
      <c r="H4868" s="25">
        <v>14.72</v>
      </c>
      <c r="I4868">
        <v>14221</v>
      </c>
      <c r="J4868">
        <v>3101</v>
      </c>
      <c r="K4868">
        <v>21</v>
      </c>
      <c r="L4868">
        <v>21</v>
      </c>
      <c r="M4868">
        <v>0</v>
      </c>
      <c r="N4868" s="23">
        <v>0</v>
      </c>
      <c r="O4868">
        <f t="shared" si="987"/>
        <v>5</v>
      </c>
      <c r="P4868" s="57">
        <f t="shared" si="988"/>
        <v>3</v>
      </c>
      <c r="Q4868" s="267">
        <f t="shared" si="989"/>
        <v>903</v>
      </c>
      <c r="R4868" s="23" t="str">
        <f t="shared" si="990"/>
        <v/>
      </c>
      <c r="S4868" s="23">
        <f t="shared" si="991"/>
        <v>880</v>
      </c>
      <c r="T4868" s="23" t="str">
        <f t="shared" si="992"/>
        <v/>
      </c>
      <c r="U4868" t="str">
        <f t="shared" si="993"/>
        <v/>
      </c>
      <c r="AF4868" s="22"/>
      <c r="AO4868" s="356"/>
      <c r="AP4868" s="356"/>
      <c r="AQ4868" s="394"/>
      <c r="AR4868" s="394"/>
      <c r="AS4868" s="394"/>
    </row>
    <row r="4869" spans="1:45">
      <c r="A4869" t="str">
        <f t="shared" si="994"/>
        <v>PA_Alleg_2019p~Dem-member of council west mifflin (vote for 3)</v>
      </c>
      <c r="B4869" s="55" t="s">
        <v>1291</v>
      </c>
      <c r="C4869">
        <v>891</v>
      </c>
      <c r="D4869" s="55" t="s">
        <v>865</v>
      </c>
      <c r="E4869" s="55" t="s">
        <v>15</v>
      </c>
      <c r="F4869" t="s">
        <v>12</v>
      </c>
      <c r="G4869" s="62">
        <v>23</v>
      </c>
      <c r="H4869" s="25">
        <v>0.38</v>
      </c>
      <c r="I4869">
        <v>14221</v>
      </c>
      <c r="J4869">
        <v>3101</v>
      </c>
      <c r="K4869">
        <v>21</v>
      </c>
      <c r="L4869">
        <v>21</v>
      </c>
      <c r="M4869">
        <v>0</v>
      </c>
      <c r="N4869" s="23">
        <v>0</v>
      </c>
      <c r="O4869">
        <f t="shared" si="987"/>
        <v>-5</v>
      </c>
      <c r="P4869" s="57">
        <f t="shared" si="988"/>
        <v>3</v>
      </c>
      <c r="Q4869" s="267">
        <f t="shared" si="989"/>
        <v>23</v>
      </c>
      <c r="R4869" s="23">
        <f t="shared" si="990"/>
        <v>1</v>
      </c>
      <c r="S4869" s="23">
        <f t="shared" si="991"/>
        <v>0</v>
      </c>
      <c r="T4869" s="23" t="str">
        <f t="shared" si="992"/>
        <v/>
      </c>
      <c r="U4869" t="str">
        <f t="shared" si="993"/>
        <v/>
      </c>
      <c r="AF4869" s="22"/>
      <c r="AO4869" s="356"/>
      <c r="AP4869" s="356"/>
      <c r="AQ4869" s="394"/>
      <c r="AR4869" s="394"/>
      <c r="AS4869" s="394"/>
    </row>
    <row r="4870" spans="1:45">
      <c r="A4870" t="str">
        <f t="shared" si="994"/>
        <v>PA_Alleg_2019p~Dem-member of council west view (vote for 3)</v>
      </c>
      <c r="B4870" s="55" t="s">
        <v>1291</v>
      </c>
      <c r="C4870">
        <v>892</v>
      </c>
      <c r="D4870" s="55" t="s">
        <v>871</v>
      </c>
      <c r="E4870" s="55" t="s">
        <v>872</v>
      </c>
      <c r="F4870" t="s">
        <v>12</v>
      </c>
      <c r="G4870" s="62">
        <v>446</v>
      </c>
      <c r="H4870" s="25">
        <v>37.799999999999997</v>
      </c>
      <c r="I4870">
        <v>4787</v>
      </c>
      <c r="J4870">
        <v>769</v>
      </c>
      <c r="K4870">
        <v>7</v>
      </c>
      <c r="L4870">
        <v>7</v>
      </c>
      <c r="M4870">
        <v>0</v>
      </c>
      <c r="N4870" s="23">
        <v>0</v>
      </c>
      <c r="O4870">
        <f t="shared" si="987"/>
        <v>1</v>
      </c>
      <c r="P4870" s="57">
        <f t="shared" si="988"/>
        <v>3</v>
      </c>
      <c r="Q4870" s="267">
        <f t="shared" si="989"/>
        <v>446</v>
      </c>
      <c r="R4870" s="23">
        <f t="shared" si="990"/>
        <v>345</v>
      </c>
      <c r="S4870" s="23">
        <f t="shared" si="991"/>
        <v>0</v>
      </c>
      <c r="T4870" s="23" t="str">
        <f t="shared" si="992"/>
        <v/>
      </c>
      <c r="U4870" t="str">
        <f t="shared" si="993"/>
        <v>PA_Alleg_2019p~Dem-member of council west view (vote for 3)</v>
      </c>
      <c r="AF4870" s="22"/>
      <c r="AO4870" s="356"/>
      <c r="AP4870" s="356"/>
      <c r="AQ4870" s="394"/>
      <c r="AR4870" s="394"/>
      <c r="AS4870" s="394"/>
    </row>
    <row r="4871" spans="1:45">
      <c r="A4871" t="str">
        <f t="shared" si="994"/>
        <v>PA_Alleg_2019p~Dem-member of council west view (vote for 3)</v>
      </c>
      <c r="B4871" s="55" t="s">
        <v>1291</v>
      </c>
      <c r="C4871">
        <v>894</v>
      </c>
      <c r="D4871" s="55" t="s">
        <v>871</v>
      </c>
      <c r="E4871" s="55" t="s">
        <v>874</v>
      </c>
      <c r="F4871" t="s">
        <v>12</v>
      </c>
      <c r="G4871" s="62">
        <v>378</v>
      </c>
      <c r="H4871" s="25">
        <v>32.03</v>
      </c>
      <c r="I4871">
        <v>4787</v>
      </c>
      <c r="J4871">
        <v>769</v>
      </c>
      <c r="K4871">
        <v>7</v>
      </c>
      <c r="L4871">
        <v>7</v>
      </c>
      <c r="M4871">
        <v>0</v>
      </c>
      <c r="N4871" s="23">
        <v>0</v>
      </c>
      <c r="O4871">
        <f t="shared" si="987"/>
        <v>2</v>
      </c>
      <c r="P4871" s="57">
        <f t="shared" si="988"/>
        <v>3</v>
      </c>
      <c r="Q4871" s="267">
        <f t="shared" si="989"/>
        <v>734</v>
      </c>
      <c r="R4871" s="23">
        <f t="shared" si="990"/>
        <v>345</v>
      </c>
      <c r="S4871" s="23">
        <f t="shared" si="991"/>
        <v>0</v>
      </c>
      <c r="T4871" s="23" t="str">
        <f t="shared" si="992"/>
        <v/>
      </c>
      <c r="U4871" t="str">
        <f t="shared" si="993"/>
        <v/>
      </c>
      <c r="AF4871" s="22"/>
      <c r="AO4871" s="356"/>
      <c r="AP4871" s="356"/>
      <c r="AQ4871" s="394"/>
      <c r="AR4871" s="394"/>
      <c r="AS4871" s="394"/>
    </row>
    <row r="4872" spans="1:45">
      <c r="A4872" t="str">
        <f t="shared" si="994"/>
        <v>PA_Alleg_2019p~Dem-member of council west view (vote for 3)</v>
      </c>
      <c r="B4872" s="55" t="s">
        <v>1291</v>
      </c>
      <c r="C4872">
        <v>893</v>
      </c>
      <c r="D4872" s="55" t="s">
        <v>871</v>
      </c>
      <c r="E4872" s="55" t="s">
        <v>873</v>
      </c>
      <c r="F4872" t="s">
        <v>12</v>
      </c>
      <c r="G4872" s="62">
        <v>345</v>
      </c>
      <c r="H4872" s="25">
        <v>29.24</v>
      </c>
      <c r="I4872">
        <v>4787</v>
      </c>
      <c r="J4872">
        <v>769</v>
      </c>
      <c r="K4872">
        <v>7</v>
      </c>
      <c r="L4872">
        <v>7</v>
      </c>
      <c r="M4872">
        <v>0</v>
      </c>
      <c r="N4872" s="23">
        <v>0</v>
      </c>
      <c r="O4872">
        <f t="shared" si="987"/>
        <v>3</v>
      </c>
      <c r="P4872" s="57">
        <f t="shared" si="988"/>
        <v>3</v>
      </c>
      <c r="Q4872" s="267">
        <f t="shared" si="989"/>
        <v>356</v>
      </c>
      <c r="R4872" s="23">
        <f t="shared" si="990"/>
        <v>345</v>
      </c>
      <c r="S4872" s="23">
        <f t="shared" si="991"/>
        <v>0</v>
      </c>
      <c r="T4872" s="23" t="str">
        <f t="shared" si="992"/>
        <v/>
      </c>
      <c r="U4872" t="str">
        <f t="shared" si="993"/>
        <v/>
      </c>
      <c r="AO4872" s="356"/>
      <c r="AP4872" s="356"/>
      <c r="AQ4872" s="394"/>
      <c r="AR4872" s="394"/>
      <c r="AS4872" s="394"/>
    </row>
    <row r="4873" spans="1:45">
      <c r="A4873" t="str">
        <f t="shared" si="994"/>
        <v>PA_Alleg_2019p~Dem-member of council west view (vote for 3)</v>
      </c>
      <c r="B4873" s="55" t="s">
        <v>1291</v>
      </c>
      <c r="C4873">
        <v>895</v>
      </c>
      <c r="D4873" s="55" t="s">
        <v>871</v>
      </c>
      <c r="E4873" s="55" t="s">
        <v>15</v>
      </c>
      <c r="F4873" t="s">
        <v>12</v>
      </c>
      <c r="G4873" s="62">
        <v>11</v>
      </c>
      <c r="H4873" s="25">
        <v>0.93</v>
      </c>
      <c r="I4873">
        <v>4787</v>
      </c>
      <c r="J4873">
        <v>769</v>
      </c>
      <c r="K4873">
        <v>7</v>
      </c>
      <c r="L4873">
        <v>7</v>
      </c>
      <c r="M4873">
        <v>0</v>
      </c>
      <c r="N4873" s="23">
        <v>0</v>
      </c>
      <c r="O4873">
        <f t="shared" si="987"/>
        <v>-3</v>
      </c>
      <c r="P4873" s="57">
        <f t="shared" si="988"/>
        <v>3</v>
      </c>
      <c r="Q4873" s="267">
        <f t="shared" si="989"/>
        <v>11</v>
      </c>
      <c r="R4873" s="23">
        <f t="shared" si="990"/>
        <v>1</v>
      </c>
      <c r="S4873" s="23">
        <f t="shared" si="991"/>
        <v>0</v>
      </c>
      <c r="T4873" s="23" t="str">
        <f t="shared" si="992"/>
        <v/>
      </c>
      <c r="U4873" t="str">
        <f t="shared" si="993"/>
        <v/>
      </c>
      <c r="AF4873" s="22"/>
      <c r="AO4873" s="356"/>
      <c r="AP4873" s="356"/>
      <c r="AQ4873" s="394"/>
      <c r="AR4873" s="394"/>
      <c r="AS4873" s="394"/>
    </row>
    <row r="4874" spans="1:45">
      <c r="A4874" t="str">
        <f t="shared" si="994"/>
        <v>PA_Alleg_2019p~Dem-member of council whitaker (vote for 1)</v>
      </c>
      <c r="B4874" s="55" t="s">
        <v>1291</v>
      </c>
      <c r="C4874">
        <v>961</v>
      </c>
      <c r="D4874" s="55" t="s">
        <v>936</v>
      </c>
      <c r="E4874" s="55" t="s">
        <v>15</v>
      </c>
      <c r="F4874" t="s">
        <v>12</v>
      </c>
      <c r="G4874" s="62">
        <v>65</v>
      </c>
      <c r="H4874" s="25">
        <v>100</v>
      </c>
      <c r="I4874">
        <v>827</v>
      </c>
      <c r="J4874">
        <v>162</v>
      </c>
      <c r="K4874">
        <v>2</v>
      </c>
      <c r="L4874">
        <v>2</v>
      </c>
      <c r="M4874">
        <v>0</v>
      </c>
      <c r="N4874" s="23">
        <v>0</v>
      </c>
      <c r="O4874">
        <f t="shared" si="987"/>
        <v>0</v>
      </c>
      <c r="P4874" s="57">
        <f t="shared" si="988"/>
        <v>1</v>
      </c>
      <c r="Q4874" s="267">
        <f t="shared" si="989"/>
        <v>65</v>
      </c>
      <c r="R4874" s="23">
        <f t="shared" si="990"/>
        <v>1</v>
      </c>
      <c r="S4874" s="23">
        <f t="shared" si="991"/>
        <v>0</v>
      </c>
      <c r="T4874" s="23" t="str">
        <f t="shared" si="992"/>
        <v/>
      </c>
      <c r="U4874" t="str">
        <f t="shared" si="993"/>
        <v>PA_Alleg_2019p~Dem-member of council whitaker (vote for 1)</v>
      </c>
      <c r="AF4874" s="300"/>
      <c r="AO4874" s="356"/>
      <c r="AP4874" s="356"/>
      <c r="AQ4874" s="394"/>
      <c r="AR4874" s="394"/>
      <c r="AS4874" s="394"/>
    </row>
    <row r="4875" spans="1:45">
      <c r="A4875" t="str">
        <f t="shared" si="994"/>
        <v>PA_Alleg_2019p~Dem-member of council whitaker (vote for 3)</v>
      </c>
      <c r="B4875" s="55" t="s">
        <v>1291</v>
      </c>
      <c r="C4875">
        <v>896</v>
      </c>
      <c r="D4875" s="55" t="s">
        <v>875</v>
      </c>
      <c r="E4875" s="55" t="s">
        <v>15</v>
      </c>
      <c r="F4875" t="s">
        <v>12</v>
      </c>
      <c r="G4875" s="62">
        <v>215</v>
      </c>
      <c r="H4875" s="25">
        <v>100</v>
      </c>
      <c r="I4875">
        <v>827</v>
      </c>
      <c r="J4875">
        <v>162</v>
      </c>
      <c r="K4875">
        <v>2</v>
      </c>
      <c r="L4875">
        <v>2</v>
      </c>
      <c r="M4875">
        <v>0</v>
      </c>
      <c r="N4875" s="23">
        <v>0</v>
      </c>
      <c r="O4875">
        <f t="shared" si="987"/>
        <v>0</v>
      </c>
      <c r="P4875" s="57">
        <f t="shared" si="988"/>
        <v>3</v>
      </c>
      <c r="Q4875" s="267">
        <f t="shared" si="989"/>
        <v>215</v>
      </c>
      <c r="R4875" s="23">
        <f t="shared" si="990"/>
        <v>1</v>
      </c>
      <c r="S4875" s="23">
        <f t="shared" si="991"/>
        <v>0</v>
      </c>
      <c r="T4875" s="23" t="str">
        <f t="shared" si="992"/>
        <v/>
      </c>
      <c r="U4875" t="str">
        <f t="shared" si="993"/>
        <v>PA_Alleg_2019p~Dem-member of council whitaker (vote for 3)</v>
      </c>
      <c r="AF4875" s="22"/>
      <c r="AH4875" s="8"/>
      <c r="AL4875" s="23"/>
      <c r="AO4875" s="356"/>
      <c r="AP4875" s="356"/>
      <c r="AQ4875" s="394"/>
      <c r="AR4875" s="394"/>
      <c r="AS4875" s="394"/>
    </row>
    <row r="4876" spans="1:45">
      <c r="A4876" t="str">
        <f t="shared" si="994"/>
        <v>PA_Alleg_2019p~Dem-member of council white oak (vote for 1)</v>
      </c>
      <c r="B4876" s="55" t="s">
        <v>1291</v>
      </c>
      <c r="C4876">
        <v>962</v>
      </c>
      <c r="D4876" s="55" t="s">
        <v>937</v>
      </c>
      <c r="E4876" s="55" t="s">
        <v>938</v>
      </c>
      <c r="F4876" t="s">
        <v>12</v>
      </c>
      <c r="G4876" s="62">
        <v>520</v>
      </c>
      <c r="H4876" s="25">
        <v>99.62</v>
      </c>
      <c r="I4876">
        <v>5798</v>
      </c>
      <c r="J4876">
        <v>1043</v>
      </c>
      <c r="K4876">
        <v>7</v>
      </c>
      <c r="L4876">
        <v>7</v>
      </c>
      <c r="M4876">
        <v>0</v>
      </c>
      <c r="N4876" s="23">
        <v>0</v>
      </c>
      <c r="O4876">
        <f t="shared" si="987"/>
        <v>1</v>
      </c>
      <c r="P4876" s="57">
        <f t="shared" si="988"/>
        <v>1</v>
      </c>
      <c r="Q4876" s="267">
        <f t="shared" si="989"/>
        <v>522</v>
      </c>
      <c r="R4876" s="23">
        <f t="shared" si="990"/>
        <v>520</v>
      </c>
      <c r="S4876" s="23">
        <f t="shared" si="991"/>
        <v>0</v>
      </c>
      <c r="T4876" s="23" t="str">
        <f t="shared" si="992"/>
        <v/>
      </c>
      <c r="U4876" t="str">
        <f t="shared" si="993"/>
        <v>PA_Alleg_2019p~Dem-member of council white oak (vote for 1)</v>
      </c>
      <c r="AF4876" s="286"/>
      <c r="AO4876" s="356"/>
      <c r="AP4876" s="356"/>
      <c r="AQ4876" s="394"/>
      <c r="AR4876" s="394"/>
      <c r="AS4876" s="394"/>
    </row>
    <row r="4877" spans="1:45">
      <c r="A4877" t="str">
        <f t="shared" si="994"/>
        <v>PA_Alleg_2019p~Dem-member of council white oak (vote for 1)</v>
      </c>
      <c r="B4877" s="55" t="s">
        <v>1291</v>
      </c>
      <c r="C4877">
        <v>963</v>
      </c>
      <c r="D4877" s="55" t="s">
        <v>937</v>
      </c>
      <c r="E4877" s="55" t="s">
        <v>15</v>
      </c>
      <c r="F4877" t="s">
        <v>12</v>
      </c>
      <c r="G4877" s="62">
        <v>2</v>
      </c>
      <c r="H4877" s="25">
        <v>0.38</v>
      </c>
      <c r="I4877">
        <v>5798</v>
      </c>
      <c r="J4877">
        <v>1043</v>
      </c>
      <c r="K4877">
        <v>7</v>
      </c>
      <c r="L4877">
        <v>7</v>
      </c>
      <c r="M4877">
        <v>0</v>
      </c>
      <c r="N4877" s="23">
        <v>0</v>
      </c>
      <c r="O4877">
        <f t="shared" si="987"/>
        <v>-1</v>
      </c>
      <c r="P4877" s="57">
        <f t="shared" si="988"/>
        <v>1</v>
      </c>
      <c r="Q4877" s="267">
        <f t="shared" si="989"/>
        <v>2</v>
      </c>
      <c r="R4877" s="23">
        <f t="shared" si="990"/>
        <v>1</v>
      </c>
      <c r="S4877" s="23">
        <f t="shared" si="991"/>
        <v>0</v>
      </c>
      <c r="T4877" s="23" t="str">
        <f t="shared" si="992"/>
        <v/>
      </c>
      <c r="U4877" t="str">
        <f t="shared" si="993"/>
        <v/>
      </c>
      <c r="AF4877" s="300"/>
      <c r="AG4877" s="89"/>
      <c r="AH4877" s="274"/>
      <c r="AI4877" s="279"/>
      <c r="AJ4877" s="280"/>
      <c r="AK4877" s="92"/>
      <c r="AL4877" s="23"/>
      <c r="AO4877" s="356"/>
      <c r="AP4877" s="356"/>
      <c r="AQ4877" s="394"/>
      <c r="AR4877" s="394"/>
      <c r="AS4877" s="394"/>
    </row>
    <row r="4878" spans="1:45">
      <c r="A4878" t="str">
        <f t="shared" si="994"/>
        <v>PA_Alleg_2019p~Dem-member of council white oak (vote for 3)</v>
      </c>
      <c r="B4878" s="55" t="s">
        <v>1291</v>
      </c>
      <c r="C4878">
        <v>901</v>
      </c>
      <c r="D4878" s="55" t="s">
        <v>879</v>
      </c>
      <c r="E4878" s="55" t="s">
        <v>881</v>
      </c>
      <c r="F4878" t="s">
        <v>12</v>
      </c>
      <c r="G4878" s="62">
        <v>522</v>
      </c>
      <c r="H4878" s="25">
        <v>34.479999999999997</v>
      </c>
      <c r="I4878">
        <v>5798</v>
      </c>
      <c r="J4878">
        <v>1043</v>
      </c>
      <c r="K4878">
        <v>7</v>
      </c>
      <c r="L4878">
        <v>7</v>
      </c>
      <c r="M4878">
        <v>0</v>
      </c>
      <c r="N4878" s="23">
        <v>0</v>
      </c>
      <c r="O4878">
        <f t="shared" si="987"/>
        <v>1</v>
      </c>
      <c r="P4878" s="57">
        <f t="shared" si="988"/>
        <v>3</v>
      </c>
      <c r="Q4878" s="267">
        <f t="shared" si="989"/>
        <v>522</v>
      </c>
      <c r="R4878" s="23">
        <f t="shared" si="990"/>
        <v>475</v>
      </c>
      <c r="S4878" s="23">
        <f t="shared" si="991"/>
        <v>0</v>
      </c>
      <c r="T4878" s="23" t="str">
        <f t="shared" si="992"/>
        <v/>
      </c>
      <c r="U4878" t="str">
        <f t="shared" si="993"/>
        <v>PA_Alleg_2019p~Dem-member of council white oak (vote for 3)</v>
      </c>
      <c r="AF4878" s="312"/>
      <c r="AO4878" s="356"/>
      <c r="AP4878" s="356"/>
      <c r="AQ4878" s="394"/>
      <c r="AR4878" s="394"/>
      <c r="AS4878" s="394"/>
    </row>
    <row r="4879" spans="1:45">
      <c r="A4879" t="str">
        <f t="shared" si="994"/>
        <v>PA_Alleg_2019p~Dem-member of council white oak (vote for 3)</v>
      </c>
      <c r="B4879" s="55" t="s">
        <v>1291</v>
      </c>
      <c r="C4879">
        <v>900</v>
      </c>
      <c r="D4879" s="55" t="s">
        <v>879</v>
      </c>
      <c r="E4879" s="55" t="s">
        <v>880</v>
      </c>
      <c r="F4879" t="s">
        <v>12</v>
      </c>
      <c r="G4879" s="62">
        <v>506</v>
      </c>
      <c r="H4879" s="25">
        <v>33.42</v>
      </c>
      <c r="I4879">
        <v>5798</v>
      </c>
      <c r="J4879">
        <v>1043</v>
      </c>
      <c r="K4879">
        <v>7</v>
      </c>
      <c r="L4879">
        <v>7</v>
      </c>
      <c r="M4879">
        <v>0</v>
      </c>
      <c r="N4879" s="23">
        <v>0</v>
      </c>
      <c r="O4879">
        <f t="shared" si="987"/>
        <v>2</v>
      </c>
      <c r="P4879" s="57">
        <f t="shared" si="988"/>
        <v>3</v>
      </c>
      <c r="Q4879" s="267">
        <f t="shared" si="989"/>
        <v>992</v>
      </c>
      <c r="R4879" s="23">
        <f t="shared" si="990"/>
        <v>475</v>
      </c>
      <c r="S4879" s="23">
        <f t="shared" si="991"/>
        <v>0</v>
      </c>
      <c r="T4879" s="23" t="str">
        <f t="shared" si="992"/>
        <v/>
      </c>
      <c r="U4879" t="str">
        <f t="shared" si="993"/>
        <v/>
      </c>
      <c r="AF4879" s="22"/>
      <c r="AG4879" s="89"/>
      <c r="AH4879" s="274"/>
      <c r="AI4879" s="279"/>
      <c r="AJ4879" s="280"/>
      <c r="AK4879" s="92"/>
      <c r="AL4879" s="23"/>
      <c r="AO4879" s="356"/>
      <c r="AP4879" s="356"/>
      <c r="AQ4879" s="394"/>
      <c r="AR4879" s="394"/>
      <c r="AS4879" s="394"/>
    </row>
    <row r="4880" spans="1:45">
      <c r="A4880" t="str">
        <f t="shared" si="994"/>
        <v>PA_Alleg_2019p~Dem-member of council white oak (vote for 3)</v>
      </c>
      <c r="B4880" s="55" t="s">
        <v>1291</v>
      </c>
      <c r="C4880">
        <v>902</v>
      </c>
      <c r="D4880" s="55" t="s">
        <v>879</v>
      </c>
      <c r="E4880" s="55" t="s">
        <v>882</v>
      </c>
      <c r="F4880" t="s">
        <v>12</v>
      </c>
      <c r="G4880" s="62">
        <v>475</v>
      </c>
      <c r="H4880" s="25">
        <v>31.37</v>
      </c>
      <c r="I4880">
        <v>5798</v>
      </c>
      <c r="J4880">
        <v>1043</v>
      </c>
      <c r="K4880">
        <v>7</v>
      </c>
      <c r="L4880">
        <v>7</v>
      </c>
      <c r="M4880">
        <v>0</v>
      </c>
      <c r="N4880" s="23">
        <v>0</v>
      </c>
      <c r="O4880">
        <f t="shared" si="987"/>
        <v>3</v>
      </c>
      <c r="P4880" s="57">
        <f t="shared" si="988"/>
        <v>3</v>
      </c>
      <c r="Q4880" s="267">
        <f t="shared" si="989"/>
        <v>486</v>
      </c>
      <c r="R4880" s="23">
        <f t="shared" si="990"/>
        <v>475</v>
      </c>
      <c r="S4880" s="23">
        <f t="shared" si="991"/>
        <v>0</v>
      </c>
      <c r="T4880" s="23" t="str">
        <f t="shared" si="992"/>
        <v/>
      </c>
      <c r="U4880" t="str">
        <f t="shared" si="993"/>
        <v/>
      </c>
      <c r="AF4880" s="22"/>
      <c r="AG4880" s="314"/>
      <c r="AH4880" s="313"/>
      <c r="AI4880" s="315"/>
      <c r="AJ4880" s="315"/>
      <c r="AK4880" s="345"/>
      <c r="AL4880" s="346"/>
      <c r="AO4880" s="356"/>
      <c r="AP4880" s="356"/>
      <c r="AQ4880" s="394"/>
      <c r="AR4880" s="394"/>
      <c r="AS4880" s="394"/>
    </row>
    <row r="4881" spans="1:45">
      <c r="A4881" t="str">
        <f t="shared" si="994"/>
        <v>PA_Alleg_2019p~Dem-member of council white oak (vote for 3)</v>
      </c>
      <c r="B4881" s="55" t="s">
        <v>1291</v>
      </c>
      <c r="C4881">
        <v>903</v>
      </c>
      <c r="D4881" s="55" t="s">
        <v>879</v>
      </c>
      <c r="E4881" s="55" t="s">
        <v>15</v>
      </c>
      <c r="F4881" t="s">
        <v>12</v>
      </c>
      <c r="G4881" s="62">
        <v>11</v>
      </c>
      <c r="H4881" s="25">
        <v>0.73</v>
      </c>
      <c r="I4881">
        <v>5798</v>
      </c>
      <c r="J4881">
        <v>1043</v>
      </c>
      <c r="K4881">
        <v>7</v>
      </c>
      <c r="L4881">
        <v>7</v>
      </c>
      <c r="M4881">
        <v>0</v>
      </c>
      <c r="N4881" s="23">
        <v>0</v>
      </c>
      <c r="O4881">
        <f t="shared" si="987"/>
        <v>-3</v>
      </c>
      <c r="P4881" s="57">
        <f t="shared" si="988"/>
        <v>3</v>
      </c>
      <c r="Q4881" s="267">
        <f t="shared" si="989"/>
        <v>11</v>
      </c>
      <c r="R4881" s="23">
        <f t="shared" si="990"/>
        <v>1</v>
      </c>
      <c r="S4881" s="23">
        <f t="shared" si="991"/>
        <v>0</v>
      </c>
      <c r="T4881" s="23" t="str">
        <f t="shared" si="992"/>
        <v/>
      </c>
      <c r="U4881" t="str">
        <f t="shared" si="993"/>
        <v/>
      </c>
      <c r="AF4881" s="22"/>
      <c r="AO4881" s="356"/>
      <c r="AP4881" s="356"/>
      <c r="AQ4881" s="394"/>
      <c r="AR4881" s="394"/>
      <c r="AS4881" s="394"/>
    </row>
    <row r="4882" spans="1:45">
      <c r="A4882" t="str">
        <f t="shared" si="994"/>
        <v>PA_Alleg_2019p~Dem-member of council whitehall (vote for 3)</v>
      </c>
      <c r="B4882" s="55" t="s">
        <v>1291</v>
      </c>
      <c r="C4882">
        <v>897</v>
      </c>
      <c r="D4882" s="55" t="s">
        <v>876</v>
      </c>
      <c r="E4882" s="55" t="s">
        <v>877</v>
      </c>
      <c r="F4882" t="s">
        <v>12</v>
      </c>
      <c r="G4882" s="62">
        <v>969</v>
      </c>
      <c r="H4882" s="25">
        <v>49.34</v>
      </c>
      <c r="I4882">
        <v>10520</v>
      </c>
      <c r="J4882">
        <v>2003</v>
      </c>
      <c r="K4882">
        <v>16</v>
      </c>
      <c r="L4882">
        <v>16</v>
      </c>
      <c r="M4882">
        <v>0</v>
      </c>
      <c r="N4882" s="23">
        <v>0</v>
      </c>
      <c r="O4882">
        <f t="shared" si="987"/>
        <v>1</v>
      </c>
      <c r="P4882" s="57">
        <f t="shared" si="988"/>
        <v>3</v>
      </c>
      <c r="Q4882" s="267">
        <f t="shared" si="989"/>
        <v>969</v>
      </c>
      <c r="R4882" s="23">
        <f t="shared" si="990"/>
        <v>1</v>
      </c>
      <c r="S4882" s="23">
        <f t="shared" si="991"/>
        <v>0</v>
      </c>
      <c r="T4882" s="23" t="str">
        <f t="shared" si="992"/>
        <v/>
      </c>
      <c r="U4882" t="str">
        <f t="shared" si="993"/>
        <v>PA_Alleg_2019p~Dem-member of council whitehall (vote for 3)</v>
      </c>
      <c r="AH4882" s="8"/>
      <c r="AL4882" s="23"/>
      <c r="AO4882" s="356"/>
      <c r="AP4882" s="356"/>
      <c r="AQ4882" s="394"/>
      <c r="AR4882" s="394"/>
      <c r="AS4882" s="394"/>
    </row>
    <row r="4883" spans="1:45">
      <c r="A4883" t="str">
        <f t="shared" si="994"/>
        <v>PA_Alleg_2019p~Dem-member of council whitehall (vote for 3)</v>
      </c>
      <c r="B4883" s="55" t="s">
        <v>1291</v>
      </c>
      <c r="C4883">
        <v>898</v>
      </c>
      <c r="D4883" s="55" t="s">
        <v>876</v>
      </c>
      <c r="E4883" s="55" t="s">
        <v>878</v>
      </c>
      <c r="F4883" t="s">
        <v>12</v>
      </c>
      <c r="G4883" s="62">
        <v>855</v>
      </c>
      <c r="H4883" s="25">
        <v>43.53</v>
      </c>
      <c r="I4883">
        <v>10520</v>
      </c>
      <c r="J4883">
        <v>2003</v>
      </c>
      <c r="K4883">
        <v>16</v>
      </c>
      <c r="L4883">
        <v>16</v>
      </c>
      <c r="M4883">
        <v>0</v>
      </c>
      <c r="N4883" s="23">
        <v>0</v>
      </c>
      <c r="O4883">
        <f t="shared" si="987"/>
        <v>2</v>
      </c>
      <c r="P4883" s="57">
        <f t="shared" si="988"/>
        <v>3</v>
      </c>
      <c r="Q4883" s="267">
        <f t="shared" si="989"/>
        <v>995</v>
      </c>
      <c r="R4883" s="23">
        <f t="shared" si="990"/>
        <v>1</v>
      </c>
      <c r="S4883" s="23">
        <f t="shared" si="991"/>
        <v>0</v>
      </c>
      <c r="T4883" s="23" t="str">
        <f t="shared" si="992"/>
        <v/>
      </c>
      <c r="U4883" t="str">
        <f t="shared" si="993"/>
        <v/>
      </c>
      <c r="AF4883" s="300"/>
      <c r="AO4883" s="356"/>
      <c r="AP4883" s="356"/>
      <c r="AQ4883" s="394"/>
      <c r="AR4883" s="394"/>
      <c r="AS4883" s="394"/>
    </row>
    <row r="4884" spans="1:45">
      <c r="A4884" t="str">
        <f t="shared" si="994"/>
        <v>PA_Alleg_2019p~Dem-member of council whitehall (vote for 3)</v>
      </c>
      <c r="B4884" s="55" t="s">
        <v>1291</v>
      </c>
      <c r="C4884">
        <v>899</v>
      </c>
      <c r="D4884" s="55" t="s">
        <v>876</v>
      </c>
      <c r="E4884" s="55" t="s">
        <v>15</v>
      </c>
      <c r="F4884" t="s">
        <v>12</v>
      </c>
      <c r="G4884" s="62">
        <v>140</v>
      </c>
      <c r="H4884" s="25">
        <v>7.13</v>
      </c>
      <c r="I4884">
        <v>10520</v>
      </c>
      <c r="J4884">
        <v>2003</v>
      </c>
      <c r="K4884">
        <v>16</v>
      </c>
      <c r="L4884">
        <v>16</v>
      </c>
      <c r="M4884">
        <v>0</v>
      </c>
      <c r="N4884" s="23">
        <v>0</v>
      </c>
      <c r="O4884">
        <f t="shared" si="987"/>
        <v>-2</v>
      </c>
      <c r="P4884" s="57">
        <f t="shared" si="988"/>
        <v>3</v>
      </c>
      <c r="Q4884" s="267">
        <f t="shared" si="989"/>
        <v>140</v>
      </c>
      <c r="R4884" s="23">
        <f t="shared" si="990"/>
        <v>1</v>
      </c>
      <c r="S4884" s="23">
        <f t="shared" si="991"/>
        <v>0</v>
      </c>
      <c r="T4884" s="23" t="str">
        <f t="shared" si="992"/>
        <v/>
      </c>
      <c r="U4884" t="str">
        <f t="shared" si="993"/>
        <v/>
      </c>
      <c r="AF4884" s="22"/>
      <c r="AO4884" s="356"/>
      <c r="AP4884" s="356"/>
      <c r="AQ4884" s="394"/>
      <c r="AR4884" s="394"/>
      <c r="AS4884" s="394"/>
    </row>
    <row r="4885" spans="1:45">
      <c r="A4885" t="str">
        <f t="shared" si="994"/>
        <v>PA_Alleg_2019p~Dem-member of council wilkinsburg ward 1 (vote for 1)</v>
      </c>
      <c r="B4885" s="55" t="s">
        <v>1291</v>
      </c>
      <c r="C4885">
        <v>1108</v>
      </c>
      <c r="D4885" s="55" t="s">
        <v>1079</v>
      </c>
      <c r="E4885" s="55" t="s">
        <v>1080</v>
      </c>
      <c r="F4885" t="s">
        <v>12</v>
      </c>
      <c r="G4885" s="62">
        <v>521</v>
      </c>
      <c r="H4885" s="25">
        <v>98.3</v>
      </c>
      <c r="I4885">
        <v>4597</v>
      </c>
      <c r="J4885">
        <v>757</v>
      </c>
      <c r="K4885">
        <v>6</v>
      </c>
      <c r="L4885">
        <v>6</v>
      </c>
      <c r="M4885">
        <v>0</v>
      </c>
      <c r="N4885" s="23">
        <v>0</v>
      </c>
      <c r="O4885">
        <f t="shared" si="987"/>
        <v>1</v>
      </c>
      <c r="P4885" s="57">
        <f t="shared" si="988"/>
        <v>1</v>
      </c>
      <c r="Q4885" s="267">
        <f t="shared" si="989"/>
        <v>530</v>
      </c>
      <c r="R4885" s="23">
        <f t="shared" si="990"/>
        <v>521</v>
      </c>
      <c r="S4885" s="23">
        <f t="shared" si="991"/>
        <v>0</v>
      </c>
      <c r="T4885" s="23" t="str">
        <f t="shared" si="992"/>
        <v/>
      </c>
      <c r="U4885" t="str">
        <f t="shared" si="993"/>
        <v>PA_Alleg_2019p~Dem-member of council wilkinsburg ward 1 (vote for 1)</v>
      </c>
      <c r="AF4885" s="300"/>
      <c r="AO4885" s="356"/>
      <c r="AP4885" s="356"/>
      <c r="AQ4885" s="394"/>
      <c r="AR4885" s="394"/>
      <c r="AS4885" s="394"/>
    </row>
    <row r="4886" spans="1:45">
      <c r="A4886" t="str">
        <f t="shared" si="994"/>
        <v>PA_Alleg_2019p~Dem-member of council wilkinsburg ward 1 (vote for 1)</v>
      </c>
      <c r="B4886" s="55" t="s">
        <v>1291</v>
      </c>
      <c r="C4886">
        <v>1109</v>
      </c>
      <c r="D4886" s="55" t="s">
        <v>1079</v>
      </c>
      <c r="E4886" s="55" t="s">
        <v>15</v>
      </c>
      <c r="F4886" t="s">
        <v>12</v>
      </c>
      <c r="G4886" s="62">
        <v>9</v>
      </c>
      <c r="H4886" s="25">
        <v>1.7</v>
      </c>
      <c r="I4886">
        <v>4597</v>
      </c>
      <c r="J4886">
        <v>757</v>
      </c>
      <c r="K4886">
        <v>6</v>
      </c>
      <c r="L4886">
        <v>6</v>
      </c>
      <c r="M4886">
        <v>0</v>
      </c>
      <c r="N4886" s="23">
        <v>0</v>
      </c>
      <c r="O4886">
        <f t="shared" si="987"/>
        <v>-1</v>
      </c>
      <c r="P4886" s="57">
        <f t="shared" si="988"/>
        <v>1</v>
      </c>
      <c r="Q4886" s="267">
        <f t="shared" si="989"/>
        <v>9</v>
      </c>
      <c r="R4886" s="23">
        <f t="shared" si="990"/>
        <v>1</v>
      </c>
      <c r="S4886" s="23">
        <f t="shared" si="991"/>
        <v>0</v>
      </c>
      <c r="T4886" s="23" t="str">
        <f t="shared" si="992"/>
        <v/>
      </c>
      <c r="U4886" t="str">
        <f t="shared" si="993"/>
        <v/>
      </c>
      <c r="AF4886" s="22"/>
      <c r="AO4886" s="356"/>
      <c r="AP4886" s="356"/>
      <c r="AQ4886" s="394"/>
      <c r="AR4886" s="394"/>
      <c r="AS4886" s="394"/>
    </row>
    <row r="4887" spans="1:45">
      <c r="A4887" t="str">
        <f t="shared" si="994"/>
        <v>PA_Alleg_2019p~Dem-member of council wilkinsburg ward 1 (vote for 2)</v>
      </c>
      <c r="B4887" s="55" t="s">
        <v>1291</v>
      </c>
      <c r="C4887">
        <v>994</v>
      </c>
      <c r="D4887" s="55" t="s">
        <v>967</v>
      </c>
      <c r="E4887" s="55" t="s">
        <v>970</v>
      </c>
      <c r="F4887" t="s">
        <v>12</v>
      </c>
      <c r="G4887" s="62">
        <v>335</v>
      </c>
      <c r="H4887" s="25">
        <v>26.19</v>
      </c>
      <c r="I4887">
        <v>4597</v>
      </c>
      <c r="J4887">
        <v>757</v>
      </c>
      <c r="K4887">
        <v>6</v>
      </c>
      <c r="L4887">
        <v>6</v>
      </c>
      <c r="M4887">
        <v>0</v>
      </c>
      <c r="N4887" s="23">
        <v>0</v>
      </c>
      <c r="O4887">
        <f t="shared" si="987"/>
        <v>1</v>
      </c>
      <c r="P4887" s="57">
        <f t="shared" si="988"/>
        <v>2</v>
      </c>
      <c r="Q4887" s="267">
        <f t="shared" si="989"/>
        <v>639.5</v>
      </c>
      <c r="R4887" s="23">
        <f t="shared" si="990"/>
        <v>328</v>
      </c>
      <c r="S4887" s="23">
        <f t="shared" si="991"/>
        <v>288</v>
      </c>
      <c r="T4887" s="23">
        <f t="shared" si="992"/>
        <v>40</v>
      </c>
      <c r="U4887" t="str">
        <f t="shared" si="993"/>
        <v>PA_Alleg_2019p~Dem-member of council wilkinsburg ward 1 (vote for 2)</v>
      </c>
      <c r="AF4887" s="22"/>
      <c r="AO4887" s="356"/>
      <c r="AP4887" s="356"/>
      <c r="AQ4887" s="394"/>
      <c r="AR4887" s="394"/>
      <c r="AS4887" s="394"/>
    </row>
    <row r="4888" spans="1:45">
      <c r="A4888" t="str">
        <f t="shared" si="994"/>
        <v>PA_Alleg_2019p~Dem-member of council wilkinsburg ward 1 (vote for 2)</v>
      </c>
      <c r="B4888" s="55" t="s">
        <v>1291</v>
      </c>
      <c r="C4888">
        <v>993</v>
      </c>
      <c r="D4888" s="55" t="s">
        <v>967</v>
      </c>
      <c r="E4888" s="55" t="s">
        <v>969</v>
      </c>
      <c r="F4888" t="s">
        <v>12</v>
      </c>
      <c r="G4888" s="62">
        <v>328</v>
      </c>
      <c r="H4888" s="25">
        <v>25.65</v>
      </c>
      <c r="I4888">
        <v>4597</v>
      </c>
      <c r="J4888">
        <v>757</v>
      </c>
      <c r="K4888">
        <v>6</v>
      </c>
      <c r="L4888">
        <v>6</v>
      </c>
      <c r="M4888">
        <v>0</v>
      </c>
      <c r="N4888" s="23">
        <v>0</v>
      </c>
      <c r="O4888">
        <f t="shared" si="987"/>
        <v>2</v>
      </c>
      <c r="P4888" s="57">
        <f t="shared" si="988"/>
        <v>2</v>
      </c>
      <c r="Q4888" s="267">
        <f t="shared" si="989"/>
        <v>944</v>
      </c>
      <c r="R4888" s="23">
        <f t="shared" si="990"/>
        <v>328</v>
      </c>
      <c r="S4888" s="23">
        <f t="shared" si="991"/>
        <v>288</v>
      </c>
      <c r="T4888" s="23" t="str">
        <f t="shared" si="992"/>
        <v/>
      </c>
      <c r="U4888" t="str">
        <f t="shared" si="993"/>
        <v/>
      </c>
      <c r="AF4888" s="22"/>
      <c r="AO4888" s="356"/>
      <c r="AP4888" s="356"/>
      <c r="AQ4888" s="394"/>
      <c r="AR4888" s="394"/>
      <c r="AS4888" s="394"/>
    </row>
    <row r="4889" spans="1:45">
      <c r="A4889" t="str">
        <f t="shared" si="994"/>
        <v>PA_Alleg_2019p~Dem-member of council wilkinsburg ward 1 (vote for 2)</v>
      </c>
      <c r="B4889" s="55" t="s">
        <v>1291</v>
      </c>
      <c r="C4889">
        <v>997</v>
      </c>
      <c r="D4889" s="55" t="s">
        <v>967</v>
      </c>
      <c r="E4889" s="55" t="s">
        <v>973</v>
      </c>
      <c r="F4889" t="s">
        <v>12</v>
      </c>
      <c r="G4889" s="62">
        <v>288</v>
      </c>
      <c r="H4889" s="25">
        <v>22.52</v>
      </c>
      <c r="I4889">
        <v>4597</v>
      </c>
      <c r="J4889">
        <v>757</v>
      </c>
      <c r="K4889">
        <v>6</v>
      </c>
      <c r="L4889">
        <v>6</v>
      </c>
      <c r="M4889">
        <v>0</v>
      </c>
      <c r="N4889" s="23">
        <v>0</v>
      </c>
      <c r="O4889">
        <f t="shared" si="987"/>
        <v>3</v>
      </c>
      <c r="P4889" s="57">
        <f t="shared" si="988"/>
        <v>2</v>
      </c>
      <c r="Q4889" s="267">
        <f t="shared" si="989"/>
        <v>616</v>
      </c>
      <c r="R4889" s="23" t="str">
        <f t="shared" si="990"/>
        <v/>
      </c>
      <c r="S4889" s="23">
        <f t="shared" si="991"/>
        <v>288</v>
      </c>
      <c r="T4889" s="23" t="str">
        <f t="shared" si="992"/>
        <v/>
      </c>
      <c r="U4889" t="str">
        <f t="shared" si="993"/>
        <v/>
      </c>
      <c r="AO4889" s="356"/>
      <c r="AP4889" s="356"/>
      <c r="AQ4889" s="394"/>
      <c r="AR4889" s="394"/>
      <c r="AS4889" s="394"/>
    </row>
    <row r="4890" spans="1:45">
      <c r="A4890" t="str">
        <f t="shared" si="994"/>
        <v>PA_Alleg_2019p~Dem-member of council wilkinsburg ward 1 (vote for 2)</v>
      </c>
      <c r="B4890" s="55" t="s">
        <v>1291</v>
      </c>
      <c r="C4890">
        <v>996</v>
      </c>
      <c r="D4890" s="55" t="s">
        <v>967</v>
      </c>
      <c r="E4890" s="55" t="s">
        <v>972</v>
      </c>
      <c r="F4890" t="s">
        <v>12</v>
      </c>
      <c r="G4890" s="62">
        <v>188</v>
      </c>
      <c r="H4890" s="25">
        <v>14.7</v>
      </c>
      <c r="I4890">
        <v>4597</v>
      </c>
      <c r="J4890">
        <v>757</v>
      </c>
      <c r="K4890">
        <v>6</v>
      </c>
      <c r="L4890">
        <v>6</v>
      </c>
      <c r="M4890">
        <v>0</v>
      </c>
      <c r="N4890" s="23">
        <v>0</v>
      </c>
      <c r="O4890">
        <f t="shared" si="987"/>
        <v>4</v>
      </c>
      <c r="P4890" s="57">
        <f t="shared" si="988"/>
        <v>2</v>
      </c>
      <c r="Q4890" s="267">
        <f t="shared" si="989"/>
        <v>328</v>
      </c>
      <c r="R4890" s="23" t="str">
        <f t="shared" si="990"/>
        <v/>
      </c>
      <c r="S4890" s="23">
        <f t="shared" si="991"/>
        <v>188</v>
      </c>
      <c r="T4890" s="23" t="str">
        <f t="shared" si="992"/>
        <v/>
      </c>
      <c r="U4890" t="str">
        <f t="shared" si="993"/>
        <v/>
      </c>
      <c r="AF4890" s="22"/>
      <c r="AH4890" s="8"/>
      <c r="AL4890" s="23"/>
      <c r="AO4890" s="356"/>
      <c r="AP4890" s="356"/>
      <c r="AQ4890" s="394"/>
      <c r="AR4890" s="394"/>
      <c r="AS4890" s="394"/>
    </row>
    <row r="4891" spans="1:45">
      <c r="A4891" t="str">
        <f t="shared" si="994"/>
        <v>PA_Alleg_2019p~Dem-member of council wilkinsburg ward 1 (vote for 2)</v>
      </c>
      <c r="B4891" s="55" t="s">
        <v>1291</v>
      </c>
      <c r="C4891">
        <v>992</v>
      </c>
      <c r="D4891" s="55" t="s">
        <v>967</v>
      </c>
      <c r="E4891" s="55" t="s">
        <v>968</v>
      </c>
      <c r="F4891" t="s">
        <v>12</v>
      </c>
      <c r="G4891" s="62">
        <v>126</v>
      </c>
      <c r="H4891" s="25">
        <v>9.85</v>
      </c>
      <c r="I4891">
        <v>4597</v>
      </c>
      <c r="J4891">
        <v>757</v>
      </c>
      <c r="K4891">
        <v>6</v>
      </c>
      <c r="L4891">
        <v>6</v>
      </c>
      <c r="M4891">
        <v>0</v>
      </c>
      <c r="N4891" s="23">
        <v>0</v>
      </c>
      <c r="O4891">
        <f t="shared" si="987"/>
        <v>5</v>
      </c>
      <c r="P4891" s="57">
        <f t="shared" si="988"/>
        <v>2</v>
      </c>
      <c r="Q4891" s="267">
        <f t="shared" si="989"/>
        <v>140</v>
      </c>
      <c r="R4891" s="23" t="str">
        <f t="shared" si="990"/>
        <v/>
      </c>
      <c r="S4891" s="23">
        <f t="shared" si="991"/>
        <v>126</v>
      </c>
      <c r="T4891" s="23" t="str">
        <f t="shared" si="992"/>
        <v/>
      </c>
      <c r="U4891" t="str">
        <f t="shared" si="993"/>
        <v/>
      </c>
      <c r="AF4891" s="22"/>
      <c r="AH4891" s="8"/>
      <c r="AL4891" s="23"/>
    </row>
    <row r="4892" spans="1:45">
      <c r="A4892" t="str">
        <f t="shared" si="994"/>
        <v>PA_Alleg_2019p~Dem-member of council wilkinsburg ward 1 (vote for 2)</v>
      </c>
      <c r="B4892" s="55" t="s">
        <v>1291</v>
      </c>
      <c r="C4892">
        <v>995</v>
      </c>
      <c r="D4892" s="55" t="s">
        <v>967</v>
      </c>
      <c r="E4892" s="55" t="s">
        <v>971</v>
      </c>
      <c r="F4892" t="s">
        <v>12</v>
      </c>
      <c r="G4892" s="62">
        <v>11</v>
      </c>
      <c r="H4892" s="25">
        <v>0.86</v>
      </c>
      <c r="I4892">
        <v>4597</v>
      </c>
      <c r="J4892">
        <v>757</v>
      </c>
      <c r="K4892">
        <v>6</v>
      </c>
      <c r="L4892">
        <v>6</v>
      </c>
      <c r="M4892">
        <v>0</v>
      </c>
      <c r="N4892" s="23">
        <v>0</v>
      </c>
      <c r="O4892">
        <f t="shared" si="987"/>
        <v>6</v>
      </c>
      <c r="P4892" s="57">
        <f t="shared" si="988"/>
        <v>2</v>
      </c>
      <c r="Q4892" s="267">
        <f t="shared" si="989"/>
        <v>14</v>
      </c>
      <c r="R4892" s="23" t="str">
        <f t="shared" si="990"/>
        <v/>
      </c>
      <c r="S4892" s="23">
        <f t="shared" si="991"/>
        <v>11</v>
      </c>
      <c r="T4892" s="23" t="str">
        <f t="shared" si="992"/>
        <v/>
      </c>
      <c r="U4892" t="str">
        <f t="shared" si="993"/>
        <v/>
      </c>
      <c r="AF4892" s="22"/>
    </row>
    <row r="4893" spans="1:45">
      <c r="A4893" t="str">
        <f t="shared" si="994"/>
        <v>PA_Alleg_2019p~Dem-member of council wilkinsburg ward 1 (vote for 2)</v>
      </c>
      <c r="B4893" s="55" t="s">
        <v>1291</v>
      </c>
      <c r="C4893">
        <v>998</v>
      </c>
      <c r="D4893" s="55" t="s">
        <v>967</v>
      </c>
      <c r="E4893" s="55" t="s">
        <v>15</v>
      </c>
      <c r="F4893" t="s">
        <v>12</v>
      </c>
      <c r="G4893" s="62">
        <v>3</v>
      </c>
      <c r="H4893" s="25">
        <v>0.23</v>
      </c>
      <c r="I4893">
        <v>4597</v>
      </c>
      <c r="J4893">
        <v>757</v>
      </c>
      <c r="K4893">
        <v>6</v>
      </c>
      <c r="L4893">
        <v>6</v>
      </c>
      <c r="M4893">
        <v>0</v>
      </c>
      <c r="N4893" s="23">
        <v>0</v>
      </c>
      <c r="O4893">
        <f t="shared" si="987"/>
        <v>-6</v>
      </c>
      <c r="P4893" s="57">
        <f t="shared" si="988"/>
        <v>2</v>
      </c>
      <c r="Q4893" s="267">
        <f t="shared" si="989"/>
        <v>3</v>
      </c>
      <c r="R4893" s="23">
        <f t="shared" si="990"/>
        <v>1</v>
      </c>
      <c r="S4893" s="23">
        <f t="shared" si="991"/>
        <v>0</v>
      </c>
      <c r="T4893" s="23" t="str">
        <f t="shared" si="992"/>
        <v/>
      </c>
      <c r="U4893" t="str">
        <f t="shared" si="993"/>
        <v/>
      </c>
      <c r="AF4893" s="22"/>
    </row>
    <row r="4894" spans="1:45">
      <c r="A4894" t="str">
        <f t="shared" si="994"/>
        <v>PA_Alleg_2019p~Dem-member of council wilkinsburg ward 2 (vote for 1)</v>
      </c>
      <c r="B4894" s="55" t="s">
        <v>1291</v>
      </c>
      <c r="C4894">
        <v>1094</v>
      </c>
      <c r="D4894" s="55" t="s">
        <v>1067</v>
      </c>
      <c r="E4894" s="55" t="s">
        <v>1068</v>
      </c>
      <c r="F4894" t="s">
        <v>12</v>
      </c>
      <c r="G4894" s="62">
        <v>267</v>
      </c>
      <c r="H4894" s="25">
        <v>45.1</v>
      </c>
      <c r="I4894">
        <v>4196</v>
      </c>
      <c r="J4894">
        <v>671</v>
      </c>
      <c r="K4894">
        <v>5</v>
      </c>
      <c r="L4894">
        <v>5</v>
      </c>
      <c r="M4894">
        <v>0</v>
      </c>
      <c r="N4894" s="23">
        <v>0</v>
      </c>
      <c r="O4894">
        <f t="shared" si="987"/>
        <v>1</v>
      </c>
      <c r="P4894" s="57">
        <f t="shared" si="988"/>
        <v>1</v>
      </c>
      <c r="Q4894" s="267">
        <f t="shared" si="989"/>
        <v>843</v>
      </c>
      <c r="R4894" s="23">
        <f t="shared" si="990"/>
        <v>267</v>
      </c>
      <c r="S4894" s="23">
        <f t="shared" si="991"/>
        <v>161</v>
      </c>
      <c r="T4894" s="23">
        <f t="shared" si="992"/>
        <v>106</v>
      </c>
      <c r="U4894" t="str">
        <f t="shared" si="993"/>
        <v>PA_Alleg_2019p~Dem-member of council wilkinsburg ward 2 (vote for 1)</v>
      </c>
      <c r="AF4894" s="22"/>
    </row>
    <row r="4895" spans="1:45">
      <c r="A4895" t="str">
        <f t="shared" si="994"/>
        <v>PA_Alleg_2019p~Dem-member of council wilkinsburg ward 2 (vote for 1)</v>
      </c>
      <c r="B4895" s="55" t="s">
        <v>1291</v>
      </c>
      <c r="C4895">
        <v>1110</v>
      </c>
      <c r="D4895" s="55" t="s">
        <v>1081</v>
      </c>
      <c r="E4895" s="55" t="s">
        <v>15</v>
      </c>
      <c r="F4895" t="s">
        <v>12</v>
      </c>
      <c r="G4895" s="62">
        <v>251</v>
      </c>
      <c r="H4895" s="25">
        <v>100</v>
      </c>
      <c r="I4895">
        <v>4196</v>
      </c>
      <c r="J4895">
        <v>671</v>
      </c>
      <c r="K4895">
        <v>5</v>
      </c>
      <c r="L4895">
        <v>5</v>
      </c>
      <c r="M4895">
        <v>0</v>
      </c>
      <c r="N4895" s="23">
        <v>0</v>
      </c>
      <c r="O4895">
        <f t="shared" si="987"/>
        <v>-1</v>
      </c>
      <c r="P4895" s="57">
        <f t="shared" si="988"/>
        <v>1</v>
      </c>
      <c r="Q4895" s="267">
        <f t="shared" si="989"/>
        <v>576</v>
      </c>
      <c r="R4895" s="23" t="str">
        <f t="shared" si="990"/>
        <v/>
      </c>
      <c r="S4895" s="23">
        <f t="shared" si="991"/>
        <v>161</v>
      </c>
      <c r="T4895" s="23" t="str">
        <f t="shared" si="992"/>
        <v/>
      </c>
      <c r="U4895" t="str">
        <f t="shared" si="993"/>
        <v/>
      </c>
      <c r="AF4895" s="22"/>
    </row>
    <row r="4896" spans="1:45">
      <c r="A4896" t="str">
        <f t="shared" si="994"/>
        <v>PA_Alleg_2019p~Dem-member of council wilkinsburg ward 2 (vote for 1)</v>
      </c>
      <c r="B4896" s="55" t="s">
        <v>1291</v>
      </c>
      <c r="C4896">
        <v>1095</v>
      </c>
      <c r="D4896" s="55" t="s">
        <v>1067</v>
      </c>
      <c r="E4896" s="55" t="s">
        <v>1069</v>
      </c>
      <c r="F4896" t="s">
        <v>12</v>
      </c>
      <c r="G4896" s="62">
        <v>161</v>
      </c>
      <c r="H4896" s="25">
        <v>27.2</v>
      </c>
      <c r="I4896">
        <v>4196</v>
      </c>
      <c r="J4896">
        <v>671</v>
      </c>
      <c r="K4896">
        <v>5</v>
      </c>
      <c r="L4896">
        <v>5</v>
      </c>
      <c r="M4896">
        <v>0</v>
      </c>
      <c r="N4896" s="23">
        <v>0</v>
      </c>
      <c r="O4896">
        <f t="shared" si="987"/>
        <v>2</v>
      </c>
      <c r="P4896" s="57">
        <f t="shared" si="988"/>
        <v>1</v>
      </c>
      <c r="Q4896" s="267">
        <f t="shared" si="989"/>
        <v>325</v>
      </c>
      <c r="R4896" s="23" t="str">
        <f t="shared" si="990"/>
        <v/>
      </c>
      <c r="S4896" s="23">
        <f t="shared" si="991"/>
        <v>161</v>
      </c>
      <c r="T4896" s="23" t="str">
        <f t="shared" si="992"/>
        <v/>
      </c>
      <c r="U4896" t="str">
        <f t="shared" si="993"/>
        <v/>
      </c>
    </row>
    <row r="4897" spans="1:32">
      <c r="A4897" t="str">
        <f t="shared" si="994"/>
        <v>PA_Alleg_2019p~Dem-member of council wilkinsburg ward 2 (vote for 1)</v>
      </c>
      <c r="B4897" s="55" t="s">
        <v>1291</v>
      </c>
      <c r="C4897">
        <v>1096</v>
      </c>
      <c r="D4897" s="55" t="s">
        <v>1067</v>
      </c>
      <c r="E4897" s="55" t="s">
        <v>1070</v>
      </c>
      <c r="F4897" t="s">
        <v>12</v>
      </c>
      <c r="G4897" s="62">
        <v>158</v>
      </c>
      <c r="H4897" s="25">
        <v>26.69</v>
      </c>
      <c r="I4897">
        <v>4196</v>
      </c>
      <c r="J4897">
        <v>671</v>
      </c>
      <c r="K4897">
        <v>5</v>
      </c>
      <c r="L4897">
        <v>5</v>
      </c>
      <c r="M4897">
        <v>0</v>
      </c>
      <c r="N4897" s="23">
        <v>0</v>
      </c>
      <c r="O4897">
        <f t="shared" si="987"/>
        <v>3</v>
      </c>
      <c r="P4897" s="57">
        <f t="shared" si="988"/>
        <v>1</v>
      </c>
      <c r="Q4897" s="267">
        <f t="shared" si="989"/>
        <v>164</v>
      </c>
      <c r="R4897" s="23" t="str">
        <f t="shared" si="990"/>
        <v/>
      </c>
      <c r="S4897" s="23">
        <f t="shared" si="991"/>
        <v>158</v>
      </c>
      <c r="T4897" s="23" t="str">
        <f t="shared" si="992"/>
        <v/>
      </c>
      <c r="U4897" t="str">
        <f t="shared" si="993"/>
        <v/>
      </c>
      <c r="AF4897" s="22"/>
    </row>
    <row r="4898" spans="1:32">
      <c r="A4898" t="str">
        <f t="shared" si="994"/>
        <v>PA_Alleg_2019p~Dem-member of council wilkinsburg ward 2 (vote for 1)</v>
      </c>
      <c r="B4898" s="55" t="s">
        <v>1291</v>
      </c>
      <c r="C4898">
        <v>1097</v>
      </c>
      <c r="D4898" s="55" t="s">
        <v>1067</v>
      </c>
      <c r="E4898" s="55" t="s">
        <v>15</v>
      </c>
      <c r="F4898" t="s">
        <v>12</v>
      </c>
      <c r="G4898" s="62">
        <v>6</v>
      </c>
      <c r="H4898" s="25">
        <v>1.01</v>
      </c>
      <c r="I4898">
        <v>4196</v>
      </c>
      <c r="J4898">
        <v>671</v>
      </c>
      <c r="K4898">
        <v>5</v>
      </c>
      <c r="L4898">
        <v>5</v>
      </c>
      <c r="M4898">
        <v>0</v>
      </c>
      <c r="N4898" s="23">
        <v>0</v>
      </c>
      <c r="O4898">
        <f t="shared" si="987"/>
        <v>-3</v>
      </c>
      <c r="P4898" s="57">
        <f t="shared" si="988"/>
        <v>1</v>
      </c>
      <c r="Q4898" s="267">
        <f t="shared" si="989"/>
        <v>6</v>
      </c>
      <c r="R4898" s="23">
        <f t="shared" si="990"/>
        <v>1</v>
      </c>
      <c r="S4898" s="23">
        <f t="shared" si="991"/>
        <v>0</v>
      </c>
      <c r="T4898" s="23" t="str">
        <f t="shared" si="992"/>
        <v/>
      </c>
      <c r="U4898" t="str">
        <f t="shared" si="993"/>
        <v/>
      </c>
    </row>
    <row r="4899" spans="1:32">
      <c r="A4899" t="str">
        <f t="shared" si="994"/>
        <v>PA_Alleg_2019p~Dem-member of council wilkinsburg ward 3 (vote for 1)</v>
      </c>
      <c r="B4899" s="55" t="s">
        <v>1291</v>
      </c>
      <c r="C4899">
        <v>1100</v>
      </c>
      <c r="D4899" s="55" t="s">
        <v>1071</v>
      </c>
      <c r="E4899" s="55" t="s">
        <v>1074</v>
      </c>
      <c r="F4899" t="s">
        <v>12</v>
      </c>
      <c r="G4899" s="62">
        <v>408</v>
      </c>
      <c r="H4899" s="25">
        <v>46.74</v>
      </c>
      <c r="I4899">
        <v>5159</v>
      </c>
      <c r="J4899">
        <v>963</v>
      </c>
      <c r="K4899">
        <v>6</v>
      </c>
      <c r="L4899">
        <v>6</v>
      </c>
      <c r="M4899">
        <v>0</v>
      </c>
      <c r="N4899" s="23">
        <v>0</v>
      </c>
      <c r="O4899">
        <f t="shared" si="987"/>
        <v>1</v>
      </c>
      <c r="P4899" s="57">
        <f t="shared" si="988"/>
        <v>1</v>
      </c>
      <c r="Q4899" s="267">
        <f t="shared" si="989"/>
        <v>873</v>
      </c>
      <c r="R4899" s="23">
        <f t="shared" si="990"/>
        <v>408</v>
      </c>
      <c r="S4899" s="23">
        <f t="shared" si="991"/>
        <v>348</v>
      </c>
      <c r="T4899" s="23">
        <f t="shared" si="992"/>
        <v>60</v>
      </c>
      <c r="U4899" t="str">
        <f t="shared" si="993"/>
        <v>PA_Alleg_2019p~Dem-member of council wilkinsburg ward 3 (vote for 1)</v>
      </c>
      <c r="AF4899" s="22"/>
    </row>
    <row r="4900" spans="1:32">
      <c r="A4900" t="str">
        <f t="shared" si="994"/>
        <v>PA_Alleg_2019p~Dem-member of council wilkinsburg ward 3 (vote for 1)</v>
      </c>
      <c r="B4900" s="55" t="s">
        <v>1291</v>
      </c>
      <c r="C4900">
        <v>1099</v>
      </c>
      <c r="D4900" s="55" t="s">
        <v>1071</v>
      </c>
      <c r="E4900" s="55" t="s">
        <v>1073</v>
      </c>
      <c r="F4900" t="s">
        <v>12</v>
      </c>
      <c r="G4900" s="62">
        <v>348</v>
      </c>
      <c r="H4900" s="25">
        <v>39.86</v>
      </c>
      <c r="I4900">
        <v>5159</v>
      </c>
      <c r="J4900">
        <v>963</v>
      </c>
      <c r="K4900">
        <v>6</v>
      </c>
      <c r="L4900">
        <v>6</v>
      </c>
      <c r="M4900">
        <v>0</v>
      </c>
      <c r="N4900" s="23">
        <v>0</v>
      </c>
      <c r="O4900">
        <f t="shared" si="987"/>
        <v>2</v>
      </c>
      <c r="P4900" s="57">
        <f t="shared" si="988"/>
        <v>1</v>
      </c>
      <c r="Q4900" s="267">
        <f t="shared" si="989"/>
        <v>465</v>
      </c>
      <c r="R4900" s="23" t="str">
        <f t="shared" si="990"/>
        <v/>
      </c>
      <c r="S4900" s="23">
        <f t="shared" si="991"/>
        <v>348</v>
      </c>
      <c r="T4900" s="23" t="str">
        <f t="shared" si="992"/>
        <v/>
      </c>
      <c r="U4900" t="str">
        <f t="shared" si="993"/>
        <v/>
      </c>
    </row>
    <row r="4901" spans="1:32">
      <c r="A4901" t="str">
        <f t="shared" si="994"/>
        <v>PA_Alleg_2019p~Dem-member of council wilkinsburg ward 3 (vote for 1)</v>
      </c>
      <c r="B4901" s="55" t="s">
        <v>1291</v>
      </c>
      <c r="C4901">
        <v>1098</v>
      </c>
      <c r="D4901" s="55" t="s">
        <v>1071</v>
      </c>
      <c r="E4901" s="55" t="s">
        <v>1072</v>
      </c>
      <c r="F4901" t="s">
        <v>12</v>
      </c>
      <c r="G4901" s="62">
        <v>108</v>
      </c>
      <c r="H4901" s="25">
        <v>12.37</v>
      </c>
      <c r="I4901">
        <v>5159</v>
      </c>
      <c r="J4901">
        <v>963</v>
      </c>
      <c r="K4901">
        <v>6</v>
      </c>
      <c r="L4901">
        <v>6</v>
      </c>
      <c r="M4901">
        <v>0</v>
      </c>
      <c r="N4901" s="23">
        <v>0</v>
      </c>
      <c r="O4901">
        <f t="shared" si="987"/>
        <v>3</v>
      </c>
      <c r="P4901" s="57">
        <f t="shared" si="988"/>
        <v>1</v>
      </c>
      <c r="Q4901" s="267">
        <f t="shared" si="989"/>
        <v>117</v>
      </c>
      <c r="R4901" s="23" t="str">
        <f t="shared" si="990"/>
        <v/>
      </c>
      <c r="S4901" s="23">
        <f t="shared" si="991"/>
        <v>108</v>
      </c>
      <c r="T4901" s="23" t="str">
        <f t="shared" si="992"/>
        <v/>
      </c>
      <c r="U4901" t="str">
        <f t="shared" si="993"/>
        <v/>
      </c>
      <c r="AF4901" s="22"/>
    </row>
    <row r="4902" spans="1:32">
      <c r="A4902" t="str">
        <f t="shared" si="994"/>
        <v>PA_Alleg_2019p~Dem-member of council wilkinsburg ward 3 (vote for 1)</v>
      </c>
      <c r="B4902" s="55" t="s">
        <v>1291</v>
      </c>
      <c r="C4902">
        <v>1101</v>
      </c>
      <c r="D4902" s="55" t="s">
        <v>1071</v>
      </c>
      <c r="E4902" s="55" t="s">
        <v>15</v>
      </c>
      <c r="F4902" t="s">
        <v>12</v>
      </c>
      <c r="G4902" s="62">
        <v>9</v>
      </c>
      <c r="H4902" s="25">
        <v>1.03</v>
      </c>
      <c r="I4902">
        <v>5159</v>
      </c>
      <c r="J4902">
        <v>963</v>
      </c>
      <c r="K4902">
        <v>6</v>
      </c>
      <c r="L4902">
        <v>6</v>
      </c>
      <c r="M4902">
        <v>0</v>
      </c>
      <c r="N4902" s="23">
        <v>0</v>
      </c>
      <c r="O4902">
        <f t="shared" si="987"/>
        <v>-3</v>
      </c>
      <c r="P4902" s="57">
        <f t="shared" si="988"/>
        <v>1</v>
      </c>
      <c r="Q4902" s="267">
        <f t="shared" si="989"/>
        <v>9</v>
      </c>
      <c r="R4902" s="23">
        <f t="shared" si="990"/>
        <v>1</v>
      </c>
      <c r="S4902" s="23">
        <f t="shared" si="991"/>
        <v>0</v>
      </c>
      <c r="T4902" s="23" t="str">
        <f t="shared" si="992"/>
        <v/>
      </c>
      <c r="U4902" t="str">
        <f t="shared" si="993"/>
        <v/>
      </c>
      <c r="AF4902" s="22"/>
    </row>
    <row r="4903" spans="1:32">
      <c r="A4903" t="str">
        <f t="shared" si="994"/>
        <v>PA_Alleg_2019p~Dem-member of council wilmerding (vote for 4)</v>
      </c>
      <c r="B4903" s="55" t="s">
        <v>1291</v>
      </c>
      <c r="C4903">
        <v>709</v>
      </c>
      <c r="D4903" s="55" t="s">
        <v>683</v>
      </c>
      <c r="E4903" s="55" t="s">
        <v>689</v>
      </c>
      <c r="F4903" t="s">
        <v>12</v>
      </c>
      <c r="G4903" s="62">
        <v>81</v>
      </c>
      <c r="H4903" s="25">
        <v>19.71</v>
      </c>
      <c r="I4903">
        <v>1254</v>
      </c>
      <c r="J4903">
        <v>143</v>
      </c>
      <c r="K4903">
        <v>2</v>
      </c>
      <c r="L4903">
        <v>2</v>
      </c>
      <c r="M4903">
        <v>0</v>
      </c>
      <c r="N4903" s="23">
        <v>0</v>
      </c>
      <c r="O4903">
        <f t="shared" si="987"/>
        <v>1</v>
      </c>
      <c r="P4903" s="57">
        <f t="shared" si="988"/>
        <v>4</v>
      </c>
      <c r="Q4903" s="267">
        <f t="shared" si="989"/>
        <v>102.75</v>
      </c>
      <c r="R4903" s="23">
        <f t="shared" si="990"/>
        <v>53</v>
      </c>
      <c r="S4903" s="23">
        <f t="shared" si="991"/>
        <v>51</v>
      </c>
      <c r="T4903" s="23">
        <f t="shared" si="992"/>
        <v>2</v>
      </c>
      <c r="U4903" t="str">
        <f t="shared" si="993"/>
        <v>PA_Alleg_2019p~Dem-member of council wilmerding (vote for 4)</v>
      </c>
      <c r="AF4903" s="22"/>
    </row>
    <row r="4904" spans="1:32">
      <c r="A4904" t="str">
        <f t="shared" si="994"/>
        <v>PA_Alleg_2019p~Dem-member of council wilmerding (vote for 4)</v>
      </c>
      <c r="B4904" s="55" t="s">
        <v>1291</v>
      </c>
      <c r="C4904">
        <v>708</v>
      </c>
      <c r="D4904" s="55" t="s">
        <v>683</v>
      </c>
      <c r="E4904" s="55" t="s">
        <v>688</v>
      </c>
      <c r="F4904" t="s">
        <v>12</v>
      </c>
      <c r="G4904" s="62">
        <v>79</v>
      </c>
      <c r="H4904" s="25">
        <v>19.22</v>
      </c>
      <c r="I4904">
        <v>1254</v>
      </c>
      <c r="J4904">
        <v>143</v>
      </c>
      <c r="K4904">
        <v>2</v>
      </c>
      <c r="L4904">
        <v>2</v>
      </c>
      <c r="M4904">
        <v>0</v>
      </c>
      <c r="N4904" s="23">
        <v>0</v>
      </c>
      <c r="O4904">
        <f t="shared" si="987"/>
        <v>2</v>
      </c>
      <c r="P4904" s="57">
        <f t="shared" si="988"/>
        <v>4</v>
      </c>
      <c r="Q4904" s="267">
        <f t="shared" si="989"/>
        <v>330</v>
      </c>
      <c r="R4904" s="23">
        <f t="shared" si="990"/>
        <v>53</v>
      </c>
      <c r="S4904" s="23">
        <f t="shared" si="991"/>
        <v>51</v>
      </c>
      <c r="T4904" s="23" t="str">
        <f t="shared" si="992"/>
        <v/>
      </c>
      <c r="U4904" t="str">
        <f t="shared" si="993"/>
        <v/>
      </c>
      <c r="AF4904" s="22"/>
    </row>
    <row r="4905" spans="1:32">
      <c r="A4905" t="str">
        <f t="shared" si="994"/>
        <v>PA_Alleg_2019p~Dem-member of council wilmerding (vote for 4)</v>
      </c>
      <c r="B4905" s="55" t="s">
        <v>1291</v>
      </c>
      <c r="C4905">
        <v>707</v>
      </c>
      <c r="D4905" s="55" t="s">
        <v>683</v>
      </c>
      <c r="E4905" s="55" t="s">
        <v>687</v>
      </c>
      <c r="F4905" t="s">
        <v>12</v>
      </c>
      <c r="G4905" s="62">
        <v>58</v>
      </c>
      <c r="H4905" s="25">
        <v>14.11</v>
      </c>
      <c r="I4905">
        <v>1254</v>
      </c>
      <c r="J4905">
        <v>143</v>
      </c>
      <c r="K4905">
        <v>2</v>
      </c>
      <c r="L4905">
        <v>2</v>
      </c>
      <c r="M4905">
        <v>0</v>
      </c>
      <c r="N4905" s="23">
        <v>0</v>
      </c>
      <c r="O4905">
        <f t="shared" si="987"/>
        <v>3</v>
      </c>
      <c r="P4905" s="57">
        <f t="shared" si="988"/>
        <v>4</v>
      </c>
      <c r="Q4905" s="267">
        <f t="shared" si="989"/>
        <v>251</v>
      </c>
      <c r="R4905" s="23">
        <f t="shared" si="990"/>
        <v>53</v>
      </c>
      <c r="S4905" s="23">
        <f t="shared" si="991"/>
        <v>51</v>
      </c>
      <c r="T4905" s="23" t="str">
        <f t="shared" si="992"/>
        <v/>
      </c>
      <c r="U4905" t="str">
        <f t="shared" si="993"/>
        <v/>
      </c>
      <c r="AF4905" s="22"/>
    </row>
    <row r="4906" spans="1:32">
      <c r="A4906" t="str">
        <f t="shared" si="994"/>
        <v>PA_Alleg_2019p~Dem-member of council wilmerding (vote for 4)</v>
      </c>
      <c r="B4906" s="55" t="s">
        <v>1291</v>
      </c>
      <c r="C4906">
        <v>704</v>
      </c>
      <c r="D4906" s="55" t="s">
        <v>683</v>
      </c>
      <c r="E4906" s="55" t="s">
        <v>684</v>
      </c>
      <c r="F4906" t="s">
        <v>12</v>
      </c>
      <c r="G4906" s="62">
        <v>53</v>
      </c>
      <c r="H4906" s="25">
        <v>12.9</v>
      </c>
      <c r="I4906">
        <v>1254</v>
      </c>
      <c r="J4906">
        <v>143</v>
      </c>
      <c r="K4906">
        <v>2</v>
      </c>
      <c r="L4906">
        <v>2</v>
      </c>
      <c r="M4906">
        <v>0</v>
      </c>
      <c r="N4906" s="23">
        <v>0</v>
      </c>
      <c r="O4906">
        <f t="shared" si="987"/>
        <v>4</v>
      </c>
      <c r="P4906" s="57">
        <f t="shared" si="988"/>
        <v>4</v>
      </c>
      <c r="Q4906" s="267">
        <f t="shared" si="989"/>
        <v>193</v>
      </c>
      <c r="R4906" s="23">
        <f t="shared" si="990"/>
        <v>53</v>
      </c>
      <c r="S4906" s="23">
        <f t="shared" si="991"/>
        <v>51</v>
      </c>
      <c r="T4906" s="23" t="str">
        <f t="shared" si="992"/>
        <v/>
      </c>
      <c r="U4906" t="str">
        <f t="shared" si="993"/>
        <v/>
      </c>
      <c r="AF4906" s="22"/>
    </row>
    <row r="4907" spans="1:32">
      <c r="A4907" t="str">
        <f t="shared" si="994"/>
        <v>PA_Alleg_2019p~Dem-member of council wilmerding (vote for 4)</v>
      </c>
      <c r="B4907" s="55" t="s">
        <v>1291</v>
      </c>
      <c r="C4907">
        <v>710</v>
      </c>
      <c r="D4907" s="55" t="s">
        <v>683</v>
      </c>
      <c r="E4907" s="55" t="s">
        <v>15</v>
      </c>
      <c r="F4907" t="s">
        <v>12</v>
      </c>
      <c r="G4907" s="62">
        <v>53</v>
      </c>
      <c r="H4907" s="25">
        <v>12.9</v>
      </c>
      <c r="I4907">
        <v>1254</v>
      </c>
      <c r="J4907">
        <v>143</v>
      </c>
      <c r="K4907">
        <v>2</v>
      </c>
      <c r="L4907">
        <v>2</v>
      </c>
      <c r="M4907">
        <v>0</v>
      </c>
      <c r="N4907" s="23">
        <v>0</v>
      </c>
      <c r="O4907">
        <f t="shared" si="987"/>
        <v>-4</v>
      </c>
      <c r="P4907" s="57">
        <f t="shared" si="988"/>
        <v>4</v>
      </c>
      <c r="Q4907" s="267">
        <f t="shared" si="989"/>
        <v>140</v>
      </c>
      <c r="R4907" s="23" t="str">
        <f t="shared" si="990"/>
        <v/>
      </c>
      <c r="S4907" s="23">
        <f t="shared" si="991"/>
        <v>51</v>
      </c>
      <c r="T4907" s="23" t="str">
        <f t="shared" si="992"/>
        <v/>
      </c>
      <c r="U4907" t="str">
        <f t="shared" si="993"/>
        <v/>
      </c>
      <c r="AF4907" s="22"/>
    </row>
    <row r="4908" spans="1:32">
      <c r="A4908" t="str">
        <f t="shared" si="994"/>
        <v>PA_Alleg_2019p~Dem-member of council wilmerding (vote for 4)</v>
      </c>
      <c r="B4908" s="55" t="s">
        <v>1291</v>
      </c>
      <c r="C4908">
        <v>706</v>
      </c>
      <c r="D4908" s="55" t="s">
        <v>683</v>
      </c>
      <c r="E4908" s="55" t="s">
        <v>686</v>
      </c>
      <c r="F4908" t="s">
        <v>12</v>
      </c>
      <c r="G4908" s="62">
        <v>51</v>
      </c>
      <c r="H4908" s="25">
        <v>12.41</v>
      </c>
      <c r="I4908">
        <v>1254</v>
      </c>
      <c r="J4908">
        <v>143</v>
      </c>
      <c r="K4908">
        <v>2</v>
      </c>
      <c r="L4908">
        <v>2</v>
      </c>
      <c r="M4908">
        <v>0</v>
      </c>
      <c r="N4908" s="23">
        <v>0</v>
      </c>
      <c r="O4908">
        <f t="shared" si="987"/>
        <v>5</v>
      </c>
      <c r="P4908" s="57">
        <f t="shared" si="988"/>
        <v>4</v>
      </c>
      <c r="Q4908" s="267">
        <f t="shared" si="989"/>
        <v>87</v>
      </c>
      <c r="R4908" s="23" t="str">
        <f t="shared" si="990"/>
        <v/>
      </c>
      <c r="S4908" s="23">
        <f t="shared" si="991"/>
        <v>51</v>
      </c>
      <c r="T4908" s="23" t="str">
        <f t="shared" si="992"/>
        <v/>
      </c>
      <c r="U4908" t="str">
        <f t="shared" si="993"/>
        <v/>
      </c>
    </row>
    <row r="4909" spans="1:32">
      <c r="A4909" t="str">
        <f t="shared" si="994"/>
        <v>PA_Alleg_2019p~Dem-member of council wilmerding (vote for 4)</v>
      </c>
      <c r="B4909" s="55" t="s">
        <v>1291</v>
      </c>
      <c r="C4909">
        <v>705</v>
      </c>
      <c r="D4909" s="55" t="s">
        <v>683</v>
      </c>
      <c r="E4909" s="55" t="s">
        <v>685</v>
      </c>
      <c r="F4909" t="s">
        <v>12</v>
      </c>
      <c r="G4909" s="62">
        <v>36</v>
      </c>
      <c r="H4909" s="25">
        <v>8.76</v>
      </c>
      <c r="I4909">
        <v>1254</v>
      </c>
      <c r="J4909">
        <v>143</v>
      </c>
      <c r="K4909">
        <v>2</v>
      </c>
      <c r="L4909">
        <v>2</v>
      </c>
      <c r="M4909">
        <v>0</v>
      </c>
      <c r="N4909" s="23">
        <v>0</v>
      </c>
      <c r="O4909">
        <f t="shared" si="987"/>
        <v>6</v>
      </c>
      <c r="P4909" s="57">
        <f t="shared" si="988"/>
        <v>4</v>
      </c>
      <c r="Q4909" s="267">
        <f t="shared" si="989"/>
        <v>36</v>
      </c>
      <c r="R4909" s="23" t="str">
        <f t="shared" si="990"/>
        <v/>
      </c>
      <c r="S4909" s="23">
        <f t="shared" si="991"/>
        <v>36</v>
      </c>
      <c r="T4909" s="23" t="str">
        <f t="shared" si="992"/>
        <v/>
      </c>
      <c r="U4909" t="str">
        <f t="shared" si="993"/>
        <v/>
      </c>
      <c r="AF4909" s="22"/>
    </row>
    <row r="4910" spans="1:32">
      <c r="A4910" t="str">
        <f t="shared" si="994"/>
        <v>PA_Alleg_2019p~Dem-member of county council at-large (vote for 1)</v>
      </c>
      <c r="B4910" s="55" t="s">
        <v>1291</v>
      </c>
      <c r="C4910">
        <v>19</v>
      </c>
      <c r="D4910" s="55" t="s">
        <v>30</v>
      </c>
      <c r="E4910" s="55" t="s">
        <v>31</v>
      </c>
      <c r="F4910" t="s">
        <v>12</v>
      </c>
      <c r="G4910" s="62">
        <v>55695</v>
      </c>
      <c r="H4910" s="25">
        <v>53.38</v>
      </c>
      <c r="I4910">
        <v>952750</v>
      </c>
      <c r="J4910">
        <v>157264</v>
      </c>
      <c r="K4910">
        <v>1322</v>
      </c>
      <c r="L4910">
        <v>1322</v>
      </c>
      <c r="M4910">
        <v>0</v>
      </c>
      <c r="N4910" s="23">
        <v>0</v>
      </c>
      <c r="O4910">
        <f t="shared" si="987"/>
        <v>1</v>
      </c>
      <c r="P4910" s="57">
        <f t="shared" si="988"/>
        <v>1</v>
      </c>
      <c r="Q4910" s="267">
        <f t="shared" si="989"/>
        <v>104333</v>
      </c>
      <c r="R4910" s="23">
        <f t="shared" si="990"/>
        <v>55695</v>
      </c>
      <c r="S4910" s="23">
        <f t="shared" si="991"/>
        <v>48275</v>
      </c>
      <c r="T4910" s="23">
        <f t="shared" si="992"/>
        <v>7420</v>
      </c>
      <c r="U4910" t="str">
        <f t="shared" si="993"/>
        <v>PA_Alleg_2019p~Dem-member of county council at-large (vote for 1)</v>
      </c>
      <c r="AF4910" s="300"/>
    </row>
    <row r="4911" spans="1:32">
      <c r="A4911" t="str">
        <f t="shared" si="994"/>
        <v>PA_Alleg_2019p~Dem-member of county council at-large (vote for 1)</v>
      </c>
      <c r="B4911" s="55" t="s">
        <v>1291</v>
      </c>
      <c r="C4911">
        <v>20</v>
      </c>
      <c r="D4911" s="55" t="s">
        <v>30</v>
      </c>
      <c r="E4911" s="55" t="s">
        <v>32</v>
      </c>
      <c r="F4911" t="s">
        <v>12</v>
      </c>
      <c r="G4911" s="62">
        <v>48275</v>
      </c>
      <c r="H4911" s="25">
        <v>46.27</v>
      </c>
      <c r="I4911">
        <v>952750</v>
      </c>
      <c r="J4911">
        <v>157264</v>
      </c>
      <c r="K4911">
        <v>1322</v>
      </c>
      <c r="L4911">
        <v>1322</v>
      </c>
      <c r="M4911">
        <v>0</v>
      </c>
      <c r="N4911" s="23">
        <v>0</v>
      </c>
      <c r="O4911">
        <f t="shared" si="987"/>
        <v>2</v>
      </c>
      <c r="P4911" s="57">
        <f t="shared" si="988"/>
        <v>1</v>
      </c>
      <c r="Q4911" s="267">
        <f t="shared" si="989"/>
        <v>48638</v>
      </c>
      <c r="R4911" s="23" t="str">
        <f t="shared" si="990"/>
        <v/>
      </c>
      <c r="S4911" s="23">
        <f t="shared" si="991"/>
        <v>48275</v>
      </c>
      <c r="T4911" s="23" t="str">
        <f t="shared" si="992"/>
        <v/>
      </c>
      <c r="U4911" t="str">
        <f t="shared" si="993"/>
        <v/>
      </c>
      <c r="AF4911" s="22"/>
    </row>
    <row r="4912" spans="1:32">
      <c r="A4912" t="str">
        <f t="shared" si="994"/>
        <v>PA_Alleg_2019p~Dem-member of county council at-large (vote for 1)</v>
      </c>
      <c r="B4912" s="55" t="s">
        <v>1291</v>
      </c>
      <c r="C4912">
        <v>21</v>
      </c>
      <c r="D4912" s="55" t="s">
        <v>30</v>
      </c>
      <c r="E4912" s="55" t="s">
        <v>15</v>
      </c>
      <c r="F4912" t="s">
        <v>12</v>
      </c>
      <c r="G4912" s="62">
        <v>363</v>
      </c>
      <c r="H4912" s="25">
        <v>0.35</v>
      </c>
      <c r="I4912">
        <v>952750</v>
      </c>
      <c r="J4912">
        <v>157264</v>
      </c>
      <c r="K4912">
        <v>1322</v>
      </c>
      <c r="L4912">
        <v>1322</v>
      </c>
      <c r="M4912">
        <v>0</v>
      </c>
      <c r="N4912" s="23">
        <v>0</v>
      </c>
      <c r="O4912">
        <f t="shared" si="987"/>
        <v>-2</v>
      </c>
      <c r="P4912" s="57">
        <f t="shared" si="988"/>
        <v>1</v>
      </c>
      <c r="Q4912" s="267">
        <f t="shared" si="989"/>
        <v>363</v>
      </c>
      <c r="R4912" s="23">
        <f t="shared" si="990"/>
        <v>1</v>
      </c>
      <c r="S4912" s="23">
        <f t="shared" si="991"/>
        <v>0</v>
      </c>
      <c r="T4912" s="23" t="str">
        <f t="shared" si="992"/>
        <v/>
      </c>
      <c r="U4912" t="str">
        <f t="shared" si="993"/>
        <v/>
      </c>
      <c r="AF4912" s="22"/>
    </row>
    <row r="4913" spans="1:34">
      <c r="A4913" t="str">
        <f t="shared" si="994"/>
        <v>PA_Alleg_2019p~Dem-member of county council district 10 (vote for 1)</v>
      </c>
      <c r="B4913" s="55" t="s">
        <v>1291</v>
      </c>
      <c r="C4913">
        <v>31</v>
      </c>
      <c r="D4913" s="55" t="s">
        <v>42</v>
      </c>
      <c r="E4913" s="55" t="s">
        <v>43</v>
      </c>
      <c r="F4913" t="s">
        <v>12</v>
      </c>
      <c r="G4913" s="62">
        <v>9070</v>
      </c>
      <c r="H4913" s="25">
        <v>98.69</v>
      </c>
      <c r="I4913">
        <v>83872</v>
      </c>
      <c r="J4913">
        <v>12819</v>
      </c>
      <c r="K4913">
        <v>133</v>
      </c>
      <c r="L4913">
        <v>133</v>
      </c>
      <c r="M4913">
        <v>0</v>
      </c>
      <c r="N4913" s="23">
        <v>0</v>
      </c>
      <c r="O4913">
        <f t="shared" si="987"/>
        <v>1</v>
      </c>
      <c r="P4913" s="57">
        <f t="shared" si="988"/>
        <v>1</v>
      </c>
      <c r="Q4913" s="267">
        <f t="shared" si="989"/>
        <v>9190</v>
      </c>
      <c r="R4913" s="23">
        <f t="shared" si="990"/>
        <v>9070</v>
      </c>
      <c r="S4913" s="23">
        <f t="shared" si="991"/>
        <v>0</v>
      </c>
      <c r="T4913" s="23" t="str">
        <f t="shared" si="992"/>
        <v/>
      </c>
      <c r="U4913" t="str">
        <f t="shared" si="993"/>
        <v>PA_Alleg_2019p~Dem-member of county council district 10 (vote for 1)</v>
      </c>
      <c r="AF4913" s="22"/>
    </row>
    <row r="4914" spans="1:34">
      <c r="A4914" t="str">
        <f t="shared" si="994"/>
        <v>PA_Alleg_2019p~Dem-member of county council district 10 (vote for 1)</v>
      </c>
      <c r="B4914" s="55" t="s">
        <v>1291</v>
      </c>
      <c r="C4914">
        <v>32</v>
      </c>
      <c r="D4914" s="55" t="s">
        <v>42</v>
      </c>
      <c r="E4914" s="55" t="s">
        <v>15</v>
      </c>
      <c r="F4914" t="s">
        <v>12</v>
      </c>
      <c r="G4914" s="62">
        <v>120</v>
      </c>
      <c r="H4914" s="25">
        <v>1.31</v>
      </c>
      <c r="I4914">
        <v>83872</v>
      </c>
      <c r="J4914">
        <v>12819</v>
      </c>
      <c r="K4914">
        <v>133</v>
      </c>
      <c r="L4914">
        <v>133</v>
      </c>
      <c r="M4914">
        <v>0</v>
      </c>
      <c r="N4914" s="23">
        <v>0</v>
      </c>
      <c r="O4914">
        <f t="shared" si="987"/>
        <v>-1</v>
      </c>
      <c r="P4914" s="57">
        <f t="shared" si="988"/>
        <v>1</v>
      </c>
      <c r="Q4914" s="267">
        <f t="shared" si="989"/>
        <v>120</v>
      </c>
      <c r="R4914" s="23">
        <f t="shared" si="990"/>
        <v>1</v>
      </c>
      <c r="S4914" s="23">
        <f t="shared" si="991"/>
        <v>0</v>
      </c>
      <c r="T4914" s="23" t="str">
        <f t="shared" si="992"/>
        <v/>
      </c>
      <c r="U4914" t="str">
        <f t="shared" si="993"/>
        <v/>
      </c>
      <c r="AF4914" s="22"/>
    </row>
    <row r="4915" spans="1:34">
      <c r="A4915" t="str">
        <f t="shared" si="994"/>
        <v>PA_Alleg_2019p~Dem-member of county council district 11 (vote for 1)</v>
      </c>
      <c r="B4915" s="55" t="s">
        <v>1291</v>
      </c>
      <c r="C4915">
        <v>33</v>
      </c>
      <c r="D4915" s="55" t="s">
        <v>44</v>
      </c>
      <c r="E4915" s="55" t="s">
        <v>45</v>
      </c>
      <c r="F4915" t="s">
        <v>12</v>
      </c>
      <c r="G4915" s="62">
        <v>9979</v>
      </c>
      <c r="H4915" s="25">
        <v>99.27</v>
      </c>
      <c r="I4915">
        <v>78929</v>
      </c>
      <c r="J4915">
        <v>14006</v>
      </c>
      <c r="K4915">
        <v>113</v>
      </c>
      <c r="L4915">
        <v>113</v>
      </c>
      <c r="M4915">
        <v>0</v>
      </c>
      <c r="N4915" s="23">
        <v>0</v>
      </c>
      <c r="O4915">
        <f t="shared" si="987"/>
        <v>1</v>
      </c>
      <c r="P4915" s="57">
        <f t="shared" si="988"/>
        <v>1</v>
      </c>
      <c r="Q4915" s="267">
        <f t="shared" si="989"/>
        <v>10052</v>
      </c>
      <c r="R4915" s="23">
        <f t="shared" si="990"/>
        <v>9979</v>
      </c>
      <c r="S4915" s="23">
        <f t="shared" si="991"/>
        <v>0</v>
      </c>
      <c r="T4915" s="23" t="str">
        <f t="shared" si="992"/>
        <v/>
      </c>
      <c r="U4915" t="str">
        <f t="shared" si="993"/>
        <v>PA_Alleg_2019p~Dem-member of county council district 11 (vote for 1)</v>
      </c>
      <c r="AF4915" s="22"/>
    </row>
    <row r="4916" spans="1:34">
      <c r="A4916" t="str">
        <f t="shared" si="994"/>
        <v>PA_Alleg_2019p~Dem-member of county council district 11 (vote for 1)</v>
      </c>
      <c r="B4916" s="55" t="s">
        <v>1291</v>
      </c>
      <c r="C4916">
        <v>34</v>
      </c>
      <c r="D4916" s="55" t="s">
        <v>44</v>
      </c>
      <c r="E4916" s="55" t="s">
        <v>15</v>
      </c>
      <c r="F4916" t="s">
        <v>12</v>
      </c>
      <c r="G4916" s="62">
        <v>73</v>
      </c>
      <c r="H4916" s="25">
        <v>0.73</v>
      </c>
      <c r="I4916">
        <v>78929</v>
      </c>
      <c r="J4916">
        <v>14006</v>
      </c>
      <c r="K4916">
        <v>113</v>
      </c>
      <c r="L4916">
        <v>113</v>
      </c>
      <c r="M4916">
        <v>0</v>
      </c>
      <c r="N4916" s="23">
        <v>0</v>
      </c>
      <c r="O4916">
        <f t="shared" si="987"/>
        <v>-1</v>
      </c>
      <c r="P4916" s="57">
        <f t="shared" si="988"/>
        <v>1</v>
      </c>
      <c r="Q4916" s="267">
        <f t="shared" si="989"/>
        <v>73</v>
      </c>
      <c r="R4916" s="23">
        <f t="shared" si="990"/>
        <v>1</v>
      </c>
      <c r="S4916" s="23">
        <f t="shared" si="991"/>
        <v>0</v>
      </c>
      <c r="T4916" s="23" t="str">
        <f t="shared" si="992"/>
        <v/>
      </c>
      <c r="U4916" t="str">
        <f t="shared" si="993"/>
        <v/>
      </c>
    </row>
    <row r="4917" spans="1:34">
      <c r="A4917" t="str">
        <f t="shared" si="994"/>
        <v>PA_Alleg_2019p~Dem-member of county council district 13 (vote for 1)</v>
      </c>
      <c r="B4917" s="55" t="s">
        <v>1291</v>
      </c>
      <c r="C4917">
        <v>36</v>
      </c>
      <c r="D4917" s="55" t="s">
        <v>46</v>
      </c>
      <c r="E4917" s="55" t="s">
        <v>48</v>
      </c>
      <c r="F4917" t="s">
        <v>12</v>
      </c>
      <c r="G4917" s="62">
        <v>6298</v>
      </c>
      <c r="H4917" s="25">
        <v>58.15</v>
      </c>
      <c r="I4917">
        <v>75772</v>
      </c>
      <c r="J4917">
        <v>13298</v>
      </c>
      <c r="K4917">
        <v>116</v>
      </c>
      <c r="L4917">
        <v>116</v>
      </c>
      <c r="M4917">
        <v>0</v>
      </c>
      <c r="N4917" s="23">
        <v>0</v>
      </c>
      <c r="O4917">
        <f t="shared" si="987"/>
        <v>1</v>
      </c>
      <c r="P4917" s="57">
        <f t="shared" si="988"/>
        <v>1</v>
      </c>
      <c r="Q4917" s="267">
        <f t="shared" si="989"/>
        <v>10830</v>
      </c>
      <c r="R4917" s="23">
        <f t="shared" si="990"/>
        <v>6298</v>
      </c>
      <c r="S4917" s="23">
        <f t="shared" si="991"/>
        <v>4487</v>
      </c>
      <c r="T4917" s="23">
        <f t="shared" si="992"/>
        <v>1811</v>
      </c>
      <c r="U4917" t="str">
        <f t="shared" si="993"/>
        <v>PA_Alleg_2019p~Dem-member of county council district 13 (vote for 1)</v>
      </c>
    </row>
    <row r="4918" spans="1:34">
      <c r="A4918" t="str">
        <f t="shared" si="994"/>
        <v>PA_Alleg_2019p~Dem-member of county council district 13 (vote for 1)</v>
      </c>
      <c r="B4918" s="55" t="s">
        <v>1291</v>
      </c>
      <c r="C4918">
        <v>35</v>
      </c>
      <c r="D4918" s="55" t="s">
        <v>46</v>
      </c>
      <c r="E4918" s="55" t="s">
        <v>47</v>
      </c>
      <c r="F4918" t="s">
        <v>12</v>
      </c>
      <c r="G4918" s="62">
        <v>4487</v>
      </c>
      <c r="H4918" s="25">
        <v>41.43</v>
      </c>
      <c r="I4918">
        <v>75772</v>
      </c>
      <c r="J4918">
        <v>13298</v>
      </c>
      <c r="K4918">
        <v>116</v>
      </c>
      <c r="L4918">
        <v>116</v>
      </c>
      <c r="M4918">
        <v>0</v>
      </c>
      <c r="N4918" s="23">
        <v>0</v>
      </c>
      <c r="O4918">
        <f t="shared" si="987"/>
        <v>2</v>
      </c>
      <c r="P4918" s="57">
        <f t="shared" si="988"/>
        <v>1</v>
      </c>
      <c r="Q4918" s="267">
        <f t="shared" si="989"/>
        <v>4532</v>
      </c>
      <c r="R4918" s="23" t="str">
        <f t="shared" si="990"/>
        <v/>
      </c>
      <c r="S4918" s="23">
        <f t="shared" si="991"/>
        <v>4487</v>
      </c>
      <c r="T4918" s="23" t="str">
        <f t="shared" si="992"/>
        <v/>
      </c>
      <c r="U4918" t="str">
        <f t="shared" si="993"/>
        <v/>
      </c>
      <c r="AF4918" s="300"/>
    </row>
    <row r="4919" spans="1:34">
      <c r="A4919" t="str">
        <f t="shared" si="994"/>
        <v>PA_Alleg_2019p~Dem-member of county council district 13 (vote for 1)</v>
      </c>
      <c r="B4919" s="55" t="s">
        <v>1291</v>
      </c>
      <c r="C4919">
        <v>37</v>
      </c>
      <c r="D4919" s="55" t="s">
        <v>46</v>
      </c>
      <c r="E4919" s="55" t="s">
        <v>15</v>
      </c>
      <c r="F4919" t="s">
        <v>12</v>
      </c>
      <c r="G4919" s="62">
        <v>45</v>
      </c>
      <c r="H4919" s="25">
        <v>0.42</v>
      </c>
      <c r="I4919">
        <v>75772</v>
      </c>
      <c r="J4919">
        <v>13298</v>
      </c>
      <c r="K4919">
        <v>116</v>
      </c>
      <c r="L4919">
        <v>116</v>
      </c>
      <c r="M4919">
        <v>0</v>
      </c>
      <c r="N4919" s="23">
        <v>0</v>
      </c>
      <c r="O4919">
        <f t="shared" si="987"/>
        <v>-2</v>
      </c>
      <c r="P4919" s="57">
        <f t="shared" si="988"/>
        <v>1</v>
      </c>
      <c r="Q4919" s="267">
        <f t="shared" si="989"/>
        <v>45</v>
      </c>
      <c r="R4919" s="23">
        <f t="shared" si="990"/>
        <v>1</v>
      </c>
      <c r="S4919" s="23">
        <f t="shared" si="991"/>
        <v>0</v>
      </c>
      <c r="T4919" s="23" t="str">
        <f t="shared" si="992"/>
        <v/>
      </c>
      <c r="U4919" t="str">
        <f t="shared" si="993"/>
        <v/>
      </c>
      <c r="AF4919" s="300"/>
    </row>
    <row r="4920" spans="1:34">
      <c r="A4920" t="str">
        <f t="shared" si="994"/>
        <v>PA_Alleg_2019p~Dem-member of county council district 2 (vote for 1)</v>
      </c>
      <c r="B4920" s="55" t="s">
        <v>1291</v>
      </c>
      <c r="C4920">
        <v>22</v>
      </c>
      <c r="D4920" s="55" t="s">
        <v>33</v>
      </c>
      <c r="E4920" s="55" t="s">
        <v>34</v>
      </c>
      <c r="F4920" t="s">
        <v>12</v>
      </c>
      <c r="G4920" s="62">
        <v>4394</v>
      </c>
      <c r="H4920" s="25">
        <v>98.08</v>
      </c>
      <c r="I4920">
        <v>76652</v>
      </c>
      <c r="J4920">
        <v>11204</v>
      </c>
      <c r="K4920">
        <v>70</v>
      </c>
      <c r="L4920">
        <v>70</v>
      </c>
      <c r="M4920">
        <v>0</v>
      </c>
      <c r="N4920" s="23">
        <v>0</v>
      </c>
      <c r="O4920">
        <f t="shared" si="987"/>
        <v>1</v>
      </c>
      <c r="P4920" s="57">
        <f t="shared" si="988"/>
        <v>1</v>
      </c>
      <c r="Q4920" s="267">
        <f t="shared" si="989"/>
        <v>4480</v>
      </c>
      <c r="R4920" s="23">
        <f t="shared" si="990"/>
        <v>4394</v>
      </c>
      <c r="S4920" s="23">
        <f t="shared" si="991"/>
        <v>0</v>
      </c>
      <c r="T4920" s="23" t="str">
        <f t="shared" si="992"/>
        <v/>
      </c>
      <c r="U4920" t="str">
        <f t="shared" si="993"/>
        <v>PA_Alleg_2019p~Dem-member of county council district 2 (vote for 1)</v>
      </c>
      <c r="AF4920" s="22"/>
    </row>
    <row r="4921" spans="1:34">
      <c r="A4921" t="str">
        <f t="shared" si="994"/>
        <v>PA_Alleg_2019p~Dem-member of county council district 2 (vote for 1)</v>
      </c>
      <c r="B4921" s="55" t="s">
        <v>1291</v>
      </c>
      <c r="C4921">
        <v>23</v>
      </c>
      <c r="D4921" s="55" t="s">
        <v>33</v>
      </c>
      <c r="E4921" s="55" t="s">
        <v>15</v>
      </c>
      <c r="F4921" t="s">
        <v>12</v>
      </c>
      <c r="G4921" s="62">
        <v>86</v>
      </c>
      <c r="H4921" s="25">
        <v>1.92</v>
      </c>
      <c r="I4921">
        <v>76652</v>
      </c>
      <c r="J4921">
        <v>11204</v>
      </c>
      <c r="K4921">
        <v>70</v>
      </c>
      <c r="L4921">
        <v>70</v>
      </c>
      <c r="M4921">
        <v>0</v>
      </c>
      <c r="N4921" s="23">
        <v>0</v>
      </c>
      <c r="O4921">
        <f t="shared" si="987"/>
        <v>-1</v>
      </c>
      <c r="P4921" s="57">
        <f t="shared" si="988"/>
        <v>1</v>
      </c>
      <c r="Q4921" s="267">
        <f t="shared" si="989"/>
        <v>86</v>
      </c>
      <c r="R4921" s="23">
        <f t="shared" si="990"/>
        <v>1</v>
      </c>
      <c r="S4921" s="23">
        <f t="shared" si="991"/>
        <v>0</v>
      </c>
      <c r="T4921" s="23" t="str">
        <f t="shared" si="992"/>
        <v/>
      </c>
      <c r="U4921" t="str">
        <f t="shared" si="993"/>
        <v/>
      </c>
    </row>
    <row r="4922" spans="1:34">
      <c r="A4922" t="str">
        <f t="shared" si="994"/>
        <v>PA_Alleg_2019p~Dem-member of county council district 5 (vote for 1)</v>
      </c>
      <c r="B4922" s="55" t="s">
        <v>1291</v>
      </c>
      <c r="C4922">
        <v>24</v>
      </c>
      <c r="D4922" s="55" t="s">
        <v>35</v>
      </c>
      <c r="E4922" s="55" t="s">
        <v>36</v>
      </c>
      <c r="F4922" t="s">
        <v>12</v>
      </c>
      <c r="G4922" s="62">
        <v>6254</v>
      </c>
      <c r="H4922" s="25">
        <v>98.99</v>
      </c>
      <c r="I4922">
        <v>73100</v>
      </c>
      <c r="J4922">
        <v>12923</v>
      </c>
      <c r="K4922">
        <v>88</v>
      </c>
      <c r="L4922">
        <v>88</v>
      </c>
      <c r="M4922">
        <v>0</v>
      </c>
      <c r="N4922" s="23">
        <v>0</v>
      </c>
      <c r="O4922">
        <f t="shared" si="987"/>
        <v>1</v>
      </c>
      <c r="P4922" s="57">
        <f t="shared" si="988"/>
        <v>1</v>
      </c>
      <c r="Q4922" s="267">
        <f t="shared" si="989"/>
        <v>6318</v>
      </c>
      <c r="R4922" s="23">
        <f t="shared" si="990"/>
        <v>6254</v>
      </c>
      <c r="S4922" s="23">
        <f t="shared" si="991"/>
        <v>0</v>
      </c>
      <c r="T4922" s="23" t="str">
        <f t="shared" si="992"/>
        <v/>
      </c>
      <c r="U4922" t="str">
        <f t="shared" si="993"/>
        <v>PA_Alleg_2019p~Dem-member of county council district 5 (vote for 1)</v>
      </c>
      <c r="AF4922" s="22"/>
    </row>
    <row r="4923" spans="1:34">
      <c r="A4923" t="str">
        <f t="shared" si="994"/>
        <v>PA_Alleg_2019p~Dem-member of county council district 5 (vote for 1)</v>
      </c>
      <c r="B4923" s="55" t="s">
        <v>1291</v>
      </c>
      <c r="C4923">
        <v>25</v>
      </c>
      <c r="D4923" s="55" t="s">
        <v>35</v>
      </c>
      <c r="E4923" s="55" t="s">
        <v>15</v>
      </c>
      <c r="F4923" t="s">
        <v>12</v>
      </c>
      <c r="G4923" s="62">
        <v>64</v>
      </c>
      <c r="H4923" s="25">
        <v>1.01</v>
      </c>
      <c r="I4923">
        <v>73100</v>
      </c>
      <c r="J4923">
        <v>12923</v>
      </c>
      <c r="K4923">
        <v>88</v>
      </c>
      <c r="L4923">
        <v>88</v>
      </c>
      <c r="M4923">
        <v>0</v>
      </c>
      <c r="N4923" s="23">
        <v>0</v>
      </c>
      <c r="O4923">
        <f t="shared" si="987"/>
        <v>-1</v>
      </c>
      <c r="P4923" s="57">
        <f t="shared" si="988"/>
        <v>1</v>
      </c>
      <c r="Q4923" s="267">
        <f t="shared" si="989"/>
        <v>64</v>
      </c>
      <c r="R4923" s="23">
        <f t="shared" si="990"/>
        <v>1</v>
      </c>
      <c r="S4923" s="23">
        <f t="shared" si="991"/>
        <v>0</v>
      </c>
      <c r="T4923" s="23" t="str">
        <f t="shared" si="992"/>
        <v/>
      </c>
      <c r="U4923" t="str">
        <f t="shared" si="993"/>
        <v/>
      </c>
      <c r="AF4923" s="22"/>
    </row>
    <row r="4924" spans="1:34">
      <c r="A4924" t="str">
        <f t="shared" si="994"/>
        <v>PA_Alleg_2019p~Dem-member of county council district 6 (vote for 1)</v>
      </c>
      <c r="B4924" s="55" t="s">
        <v>1291</v>
      </c>
      <c r="C4924">
        <v>27</v>
      </c>
      <c r="D4924" s="55" t="s">
        <v>37</v>
      </c>
      <c r="E4924" s="55" t="s">
        <v>39</v>
      </c>
      <c r="F4924" t="s">
        <v>12</v>
      </c>
      <c r="G4924" s="62">
        <v>4402</v>
      </c>
      <c r="H4924" s="25">
        <v>65.37</v>
      </c>
      <c r="I4924">
        <v>69638</v>
      </c>
      <c r="J4924">
        <v>10916</v>
      </c>
      <c r="K4924">
        <v>99</v>
      </c>
      <c r="L4924">
        <v>99</v>
      </c>
      <c r="M4924">
        <v>0</v>
      </c>
      <c r="N4924" s="23">
        <v>0</v>
      </c>
      <c r="O4924">
        <f t="shared" si="987"/>
        <v>1</v>
      </c>
      <c r="P4924" s="57">
        <f t="shared" si="988"/>
        <v>1</v>
      </c>
      <c r="Q4924" s="267">
        <f t="shared" si="989"/>
        <v>6734</v>
      </c>
      <c r="R4924" s="23">
        <f t="shared" si="990"/>
        <v>4402</v>
      </c>
      <c r="S4924" s="23">
        <f t="shared" si="991"/>
        <v>2287</v>
      </c>
      <c r="T4924" s="23">
        <f t="shared" si="992"/>
        <v>2115</v>
      </c>
      <c r="U4924" t="str">
        <f t="shared" si="993"/>
        <v>PA_Alleg_2019p~Dem-member of county council district 6 (vote for 1)</v>
      </c>
      <c r="AF4924" s="22"/>
    </row>
    <row r="4925" spans="1:34">
      <c r="A4925" t="str">
        <f t="shared" si="994"/>
        <v>PA_Alleg_2019p~Dem-member of county council district 6 (vote for 1)</v>
      </c>
      <c r="B4925" s="55" t="s">
        <v>1291</v>
      </c>
      <c r="C4925">
        <v>26</v>
      </c>
      <c r="D4925" s="55" t="s">
        <v>37</v>
      </c>
      <c r="E4925" s="55" t="s">
        <v>38</v>
      </c>
      <c r="F4925" t="s">
        <v>12</v>
      </c>
      <c r="G4925" s="62">
        <v>2287</v>
      </c>
      <c r="H4925" s="25">
        <v>33.96</v>
      </c>
      <c r="I4925">
        <v>69638</v>
      </c>
      <c r="J4925">
        <v>10916</v>
      </c>
      <c r="K4925">
        <v>99</v>
      </c>
      <c r="L4925">
        <v>99</v>
      </c>
      <c r="M4925">
        <v>0</v>
      </c>
      <c r="N4925" s="23">
        <v>0</v>
      </c>
      <c r="O4925">
        <f t="shared" si="987"/>
        <v>2</v>
      </c>
      <c r="P4925" s="57">
        <f t="shared" si="988"/>
        <v>1</v>
      </c>
      <c r="Q4925" s="267">
        <f t="shared" si="989"/>
        <v>2332</v>
      </c>
      <c r="R4925" s="23" t="str">
        <f t="shared" si="990"/>
        <v/>
      </c>
      <c r="S4925" s="23">
        <f t="shared" si="991"/>
        <v>2287</v>
      </c>
      <c r="T4925" s="23" t="str">
        <f t="shared" si="992"/>
        <v/>
      </c>
      <c r="U4925" t="str">
        <f t="shared" si="993"/>
        <v/>
      </c>
      <c r="AF4925" s="22"/>
    </row>
    <row r="4926" spans="1:34">
      <c r="A4926" t="str">
        <f t="shared" si="994"/>
        <v>PA_Alleg_2019p~Dem-member of county council district 6 (vote for 1)</v>
      </c>
      <c r="B4926" s="55" t="s">
        <v>1291</v>
      </c>
      <c r="C4926">
        <v>28</v>
      </c>
      <c r="D4926" s="55" t="s">
        <v>37</v>
      </c>
      <c r="E4926" s="55" t="s">
        <v>15</v>
      </c>
      <c r="F4926" t="s">
        <v>12</v>
      </c>
      <c r="G4926" s="62">
        <v>45</v>
      </c>
      <c r="H4926" s="25">
        <v>0.67</v>
      </c>
      <c r="I4926">
        <v>69638</v>
      </c>
      <c r="J4926">
        <v>10916</v>
      </c>
      <c r="K4926">
        <v>99</v>
      </c>
      <c r="L4926">
        <v>99</v>
      </c>
      <c r="M4926">
        <v>0</v>
      </c>
      <c r="N4926" s="23">
        <v>0</v>
      </c>
      <c r="O4926">
        <f t="shared" si="987"/>
        <v>-2</v>
      </c>
      <c r="P4926" s="57">
        <f t="shared" si="988"/>
        <v>1</v>
      </c>
      <c r="Q4926" s="267">
        <f t="shared" si="989"/>
        <v>45</v>
      </c>
      <c r="R4926" s="23">
        <f t="shared" si="990"/>
        <v>1</v>
      </c>
      <c r="S4926" s="23">
        <f t="shared" si="991"/>
        <v>0</v>
      </c>
      <c r="T4926" s="23" t="str">
        <f t="shared" si="992"/>
        <v/>
      </c>
      <c r="U4926" t="str">
        <f t="shared" si="993"/>
        <v/>
      </c>
      <c r="AF4926" s="22"/>
    </row>
    <row r="4927" spans="1:34">
      <c r="A4927" t="str">
        <f t="shared" si="994"/>
        <v>PA_Alleg_2019p~Dem-member of county council district 7 (vote for 1)</v>
      </c>
      <c r="B4927" s="55" t="s">
        <v>1291</v>
      </c>
      <c r="C4927">
        <v>29</v>
      </c>
      <c r="D4927" s="55" t="s">
        <v>40</v>
      </c>
      <c r="E4927" s="55" t="s">
        <v>41</v>
      </c>
      <c r="F4927" t="s">
        <v>12</v>
      </c>
      <c r="G4927" s="62">
        <v>7937</v>
      </c>
      <c r="H4927" s="25">
        <v>98.85</v>
      </c>
      <c r="I4927">
        <v>69874</v>
      </c>
      <c r="J4927">
        <v>13329</v>
      </c>
      <c r="K4927">
        <v>105</v>
      </c>
      <c r="L4927">
        <v>105</v>
      </c>
      <c r="M4927">
        <v>0</v>
      </c>
      <c r="N4927" s="23">
        <v>0</v>
      </c>
      <c r="O4927">
        <f t="shared" si="987"/>
        <v>1</v>
      </c>
      <c r="P4927" s="57">
        <f t="shared" si="988"/>
        <v>1</v>
      </c>
      <c r="Q4927" s="267">
        <f t="shared" si="989"/>
        <v>8029</v>
      </c>
      <c r="R4927" s="23">
        <f t="shared" si="990"/>
        <v>7937</v>
      </c>
      <c r="S4927" s="23">
        <f t="shared" si="991"/>
        <v>0</v>
      </c>
      <c r="T4927" s="23" t="str">
        <f t="shared" si="992"/>
        <v/>
      </c>
      <c r="U4927" t="str">
        <f t="shared" si="993"/>
        <v>PA_Alleg_2019p~Dem-member of county council district 7 (vote for 1)</v>
      </c>
      <c r="AF4927" s="22"/>
    </row>
    <row r="4928" spans="1:34">
      <c r="A4928" t="str">
        <f t="shared" si="994"/>
        <v>PA_Alleg_2019p~Dem-member of county council district 7 (vote for 1)</v>
      </c>
      <c r="B4928" s="55" t="s">
        <v>1291</v>
      </c>
      <c r="C4928">
        <v>30</v>
      </c>
      <c r="D4928" s="55" t="s">
        <v>40</v>
      </c>
      <c r="E4928" s="55" t="s">
        <v>15</v>
      </c>
      <c r="F4928" t="s">
        <v>12</v>
      </c>
      <c r="G4928" s="62">
        <v>92</v>
      </c>
      <c r="H4928" s="25">
        <v>1.1499999999999999</v>
      </c>
      <c r="I4928">
        <v>69874</v>
      </c>
      <c r="J4928">
        <v>13329</v>
      </c>
      <c r="K4928">
        <v>105</v>
      </c>
      <c r="L4928">
        <v>105</v>
      </c>
      <c r="M4928">
        <v>0</v>
      </c>
      <c r="N4928" s="23">
        <v>0</v>
      </c>
      <c r="O4928">
        <f t="shared" si="987"/>
        <v>-1</v>
      </c>
      <c r="P4928" s="57">
        <f t="shared" si="988"/>
        <v>1</v>
      </c>
      <c r="Q4928" s="267">
        <f t="shared" si="989"/>
        <v>92</v>
      </c>
      <c r="R4928" s="23">
        <f t="shared" si="990"/>
        <v>1</v>
      </c>
      <c r="S4928" s="23">
        <f t="shared" si="991"/>
        <v>0</v>
      </c>
      <c r="T4928" s="23" t="str">
        <f t="shared" si="992"/>
        <v/>
      </c>
      <c r="U4928" t="str">
        <f t="shared" si="993"/>
        <v/>
      </c>
      <c r="AF4928" s="22"/>
      <c r="AH4928" s="8"/>
    </row>
    <row r="4929" spans="1:38">
      <c r="A4929" t="str">
        <f t="shared" si="994"/>
        <v>PA_Alleg_2019p~Dem-school director allegheny valley (vote for 5)</v>
      </c>
      <c r="B4929" s="55" t="s">
        <v>1291</v>
      </c>
      <c r="C4929">
        <v>97</v>
      </c>
      <c r="D4929" s="55" t="s">
        <v>106</v>
      </c>
      <c r="E4929" s="55" t="s">
        <v>109</v>
      </c>
      <c r="F4929" t="s">
        <v>12</v>
      </c>
      <c r="G4929" s="62">
        <v>497</v>
      </c>
      <c r="H4929" s="25">
        <v>16.75</v>
      </c>
      <c r="I4929">
        <v>7212</v>
      </c>
      <c r="J4929">
        <v>1357</v>
      </c>
      <c r="K4929">
        <v>10</v>
      </c>
      <c r="L4929">
        <v>10</v>
      </c>
      <c r="M4929">
        <v>0</v>
      </c>
      <c r="N4929" s="23">
        <v>0</v>
      </c>
      <c r="O4929">
        <f t="shared" si="987"/>
        <v>1</v>
      </c>
      <c r="P4929" s="57">
        <f t="shared" si="988"/>
        <v>5</v>
      </c>
      <c r="Q4929" s="267">
        <f t="shared" si="989"/>
        <v>593.6</v>
      </c>
      <c r="R4929" s="23">
        <f t="shared" si="990"/>
        <v>410</v>
      </c>
      <c r="S4929" s="23">
        <f t="shared" si="991"/>
        <v>377</v>
      </c>
      <c r="T4929" s="23">
        <f t="shared" si="992"/>
        <v>33</v>
      </c>
      <c r="U4929" t="str">
        <f t="shared" si="993"/>
        <v>PA_Alleg_2019p~Dem-school director allegheny valley (vote for 5)</v>
      </c>
      <c r="AF4929" s="22"/>
    </row>
    <row r="4930" spans="1:38">
      <c r="A4930" t="str">
        <f t="shared" si="994"/>
        <v>PA_Alleg_2019p~Dem-school director allegheny valley (vote for 5)</v>
      </c>
      <c r="B4930" s="55" t="s">
        <v>1291</v>
      </c>
      <c r="C4930">
        <v>96</v>
      </c>
      <c r="D4930" s="55" t="s">
        <v>106</v>
      </c>
      <c r="E4930" s="55" t="s">
        <v>108</v>
      </c>
      <c r="F4930" t="s">
        <v>12</v>
      </c>
      <c r="G4930" s="62">
        <v>458</v>
      </c>
      <c r="H4930" s="25">
        <v>15.43</v>
      </c>
      <c r="I4930">
        <v>7212</v>
      </c>
      <c r="J4930">
        <v>1357</v>
      </c>
      <c r="K4930">
        <v>10</v>
      </c>
      <c r="L4930">
        <v>10</v>
      </c>
      <c r="M4930">
        <v>0</v>
      </c>
      <c r="N4930" s="23">
        <v>0</v>
      </c>
      <c r="O4930">
        <f t="shared" ref="O4930:O4993" si="995">IF(OR(LOWER(LEFT(E4930,8))="write-in",LOWER(LEFT(E4930,8))="not qual"),IF(A4930=A4929,-ABS(O4929),0),IF(A4930=A4929,ABS(O4929)+1,1))</f>
        <v>2</v>
      </c>
      <c r="P4930" s="57">
        <f t="shared" ref="P4930:P4993" si="996">1*LEFT(RIGHT(A4930,2),1)</f>
        <v>5</v>
      </c>
      <c r="Q4930" s="267">
        <f t="shared" ref="Q4930:Q4993" si="997">IF(A4930&lt;&gt;A4931,G4930,IF(A4930=A4929,G4930+Q4931,MAX(G4930,(G4930+Q4931)/P4930)))</f>
        <v>2471</v>
      </c>
      <c r="R4930" s="23">
        <f t="shared" ref="R4930:R4993" si="998">IF(O4930&gt;P4930,"",IF(O4930=P4930,G4930,IF(A4930=A4931,R4931,IF(O4930&lt;=0,1,G4930))))</f>
        <v>410</v>
      </c>
      <c r="S4930" s="23">
        <f t="shared" ref="S4930:S4993" si="999">IF(AND(O4930&gt;P4930,LOWER(LEFT(E4930,8))&lt;&gt;"write-in",LOWER(LEFT(E4930,8))&lt;&gt;"not qual"),G4930,IF(A4930=A4931,S4931,0))</f>
        <v>377</v>
      </c>
      <c r="T4930" s="23" t="str">
        <f t="shared" ref="T4930:T4993" si="1000">IF(OR(A4930=A4929,S4930=0),"",R4930-ABS(S4930))</f>
        <v/>
      </c>
      <c r="U4930" t="str">
        <f t="shared" ref="U4930:U4993" si="1001">IF(A4930=A4929,"",A4930)</f>
        <v/>
      </c>
      <c r="AF4930" s="22"/>
    </row>
    <row r="4931" spans="1:38">
      <c r="A4931" t="str">
        <f t="shared" ref="A4931:A4994" si="1002">CONCATENATE(B4931,"~",F4931,"-",LOWER(D4931))</f>
        <v>PA_Alleg_2019p~Dem-school director allegheny valley (vote for 5)</v>
      </c>
      <c r="B4931" s="55" t="s">
        <v>1291</v>
      </c>
      <c r="C4931">
        <v>95</v>
      </c>
      <c r="D4931" s="55" t="s">
        <v>106</v>
      </c>
      <c r="E4931" s="55" t="s">
        <v>107</v>
      </c>
      <c r="F4931" t="s">
        <v>12</v>
      </c>
      <c r="G4931" s="62">
        <v>451</v>
      </c>
      <c r="H4931" s="25">
        <v>15.2</v>
      </c>
      <c r="I4931">
        <v>7212</v>
      </c>
      <c r="J4931">
        <v>1357</v>
      </c>
      <c r="K4931">
        <v>10</v>
      </c>
      <c r="L4931">
        <v>10</v>
      </c>
      <c r="M4931">
        <v>0</v>
      </c>
      <c r="N4931" s="23">
        <v>0</v>
      </c>
      <c r="O4931">
        <f t="shared" si="995"/>
        <v>3</v>
      </c>
      <c r="P4931" s="57">
        <f t="shared" si="996"/>
        <v>5</v>
      </c>
      <c r="Q4931" s="267">
        <f t="shared" si="997"/>
        <v>2013</v>
      </c>
      <c r="R4931" s="23">
        <f t="shared" si="998"/>
        <v>410</v>
      </c>
      <c r="S4931" s="23">
        <f t="shared" si="999"/>
        <v>377</v>
      </c>
      <c r="T4931" s="23" t="str">
        <f t="shared" si="1000"/>
        <v/>
      </c>
      <c r="U4931" t="str">
        <f t="shared" si="1001"/>
        <v/>
      </c>
      <c r="AF4931" s="22"/>
    </row>
    <row r="4932" spans="1:38">
      <c r="A4932" t="str">
        <f t="shared" si="1002"/>
        <v>PA_Alleg_2019p~Dem-school director allegheny valley (vote for 5)</v>
      </c>
      <c r="B4932" s="55" t="s">
        <v>1291</v>
      </c>
      <c r="C4932">
        <v>98</v>
      </c>
      <c r="D4932" s="55" t="s">
        <v>106</v>
      </c>
      <c r="E4932" s="55" t="s">
        <v>110</v>
      </c>
      <c r="F4932" t="s">
        <v>12</v>
      </c>
      <c r="G4932" s="62">
        <v>421</v>
      </c>
      <c r="H4932" s="25">
        <v>14.18</v>
      </c>
      <c r="I4932">
        <v>7212</v>
      </c>
      <c r="J4932">
        <v>1357</v>
      </c>
      <c r="K4932">
        <v>10</v>
      </c>
      <c r="L4932">
        <v>10</v>
      </c>
      <c r="M4932">
        <v>0</v>
      </c>
      <c r="N4932" s="23">
        <v>0</v>
      </c>
      <c r="O4932">
        <f t="shared" si="995"/>
        <v>4</v>
      </c>
      <c r="P4932" s="57">
        <f t="shared" si="996"/>
        <v>5</v>
      </c>
      <c r="Q4932" s="267">
        <f t="shared" si="997"/>
        <v>1562</v>
      </c>
      <c r="R4932" s="23">
        <f t="shared" si="998"/>
        <v>410</v>
      </c>
      <c r="S4932" s="23">
        <f t="shared" si="999"/>
        <v>377</v>
      </c>
      <c r="T4932" s="23" t="str">
        <f t="shared" si="1000"/>
        <v/>
      </c>
      <c r="U4932" t="str">
        <f t="shared" si="1001"/>
        <v/>
      </c>
      <c r="AF4932" s="22"/>
    </row>
    <row r="4933" spans="1:38">
      <c r="A4933" t="str">
        <f t="shared" si="1002"/>
        <v>PA_Alleg_2019p~Dem-school director allegheny valley (vote for 5)</v>
      </c>
      <c r="B4933" s="55" t="s">
        <v>1291</v>
      </c>
      <c r="C4933">
        <v>101</v>
      </c>
      <c r="D4933" s="55" t="s">
        <v>106</v>
      </c>
      <c r="E4933" s="55" t="s">
        <v>113</v>
      </c>
      <c r="F4933" t="s">
        <v>12</v>
      </c>
      <c r="G4933" s="62">
        <v>410</v>
      </c>
      <c r="H4933" s="25">
        <v>13.81</v>
      </c>
      <c r="I4933">
        <v>7212</v>
      </c>
      <c r="J4933">
        <v>1357</v>
      </c>
      <c r="K4933">
        <v>10</v>
      </c>
      <c r="L4933">
        <v>10</v>
      </c>
      <c r="M4933">
        <v>0</v>
      </c>
      <c r="N4933" s="23">
        <v>0</v>
      </c>
      <c r="O4933">
        <f t="shared" si="995"/>
        <v>5</v>
      </c>
      <c r="P4933" s="57">
        <f t="shared" si="996"/>
        <v>5</v>
      </c>
      <c r="Q4933" s="267">
        <f t="shared" si="997"/>
        <v>1141</v>
      </c>
      <c r="R4933" s="23">
        <f t="shared" si="998"/>
        <v>410</v>
      </c>
      <c r="S4933" s="23">
        <f t="shared" si="999"/>
        <v>377</v>
      </c>
      <c r="T4933" s="23" t="str">
        <f t="shared" si="1000"/>
        <v/>
      </c>
      <c r="U4933" t="str">
        <f t="shared" si="1001"/>
        <v/>
      </c>
      <c r="AF4933" s="22"/>
    </row>
    <row r="4934" spans="1:38">
      <c r="A4934" t="str">
        <f t="shared" si="1002"/>
        <v>PA_Alleg_2019p~Dem-school director allegheny valley (vote for 5)</v>
      </c>
      <c r="B4934" s="55" t="s">
        <v>1291</v>
      </c>
      <c r="C4934">
        <v>99</v>
      </c>
      <c r="D4934" s="55" t="s">
        <v>106</v>
      </c>
      <c r="E4934" s="55" t="s">
        <v>111</v>
      </c>
      <c r="F4934" t="s">
        <v>12</v>
      </c>
      <c r="G4934" s="62">
        <v>377</v>
      </c>
      <c r="H4934" s="25">
        <v>12.7</v>
      </c>
      <c r="I4934">
        <v>7212</v>
      </c>
      <c r="J4934">
        <v>1357</v>
      </c>
      <c r="K4934">
        <v>10</v>
      </c>
      <c r="L4934">
        <v>10</v>
      </c>
      <c r="M4934">
        <v>0</v>
      </c>
      <c r="N4934" s="23">
        <v>0</v>
      </c>
      <c r="O4934">
        <f t="shared" si="995"/>
        <v>6</v>
      </c>
      <c r="P4934" s="57">
        <f t="shared" si="996"/>
        <v>5</v>
      </c>
      <c r="Q4934" s="267">
        <f t="shared" si="997"/>
        <v>731</v>
      </c>
      <c r="R4934" s="23" t="str">
        <f t="shared" si="998"/>
        <v/>
      </c>
      <c r="S4934" s="23">
        <f t="shared" si="999"/>
        <v>377</v>
      </c>
      <c r="T4934" s="23" t="str">
        <f t="shared" si="1000"/>
        <v/>
      </c>
      <c r="U4934" t="str">
        <f t="shared" si="1001"/>
        <v/>
      </c>
      <c r="AF4934" s="300"/>
    </row>
    <row r="4935" spans="1:38">
      <c r="A4935" t="str">
        <f t="shared" si="1002"/>
        <v>PA_Alleg_2019p~Dem-school director allegheny valley (vote for 5)</v>
      </c>
      <c r="B4935" s="55" t="s">
        <v>1291</v>
      </c>
      <c r="C4935">
        <v>100</v>
      </c>
      <c r="D4935" s="55" t="s">
        <v>106</v>
      </c>
      <c r="E4935" s="55" t="s">
        <v>112</v>
      </c>
      <c r="F4935" t="s">
        <v>12</v>
      </c>
      <c r="G4935" s="62">
        <v>334</v>
      </c>
      <c r="H4935" s="25">
        <v>11.25</v>
      </c>
      <c r="I4935">
        <v>7212</v>
      </c>
      <c r="J4935">
        <v>1357</v>
      </c>
      <c r="K4935">
        <v>10</v>
      </c>
      <c r="L4935">
        <v>10</v>
      </c>
      <c r="M4935">
        <v>0</v>
      </c>
      <c r="N4935" s="23">
        <v>0</v>
      </c>
      <c r="O4935">
        <f t="shared" si="995"/>
        <v>7</v>
      </c>
      <c r="P4935" s="57">
        <f t="shared" si="996"/>
        <v>5</v>
      </c>
      <c r="Q4935" s="267">
        <f t="shared" si="997"/>
        <v>354</v>
      </c>
      <c r="R4935" s="23" t="str">
        <f t="shared" si="998"/>
        <v/>
      </c>
      <c r="S4935" s="23">
        <f t="shared" si="999"/>
        <v>334</v>
      </c>
      <c r="T4935" s="23" t="str">
        <f t="shared" si="1000"/>
        <v/>
      </c>
      <c r="U4935" t="str">
        <f t="shared" si="1001"/>
        <v/>
      </c>
      <c r="AF4935" s="22"/>
    </row>
    <row r="4936" spans="1:38">
      <c r="A4936" t="str">
        <f t="shared" si="1002"/>
        <v>PA_Alleg_2019p~Dem-school director allegheny valley (vote for 5)</v>
      </c>
      <c r="B4936" s="55" t="s">
        <v>1291</v>
      </c>
      <c r="C4936">
        <v>102</v>
      </c>
      <c r="D4936" s="55" t="s">
        <v>106</v>
      </c>
      <c r="E4936" s="55" t="s">
        <v>15</v>
      </c>
      <c r="F4936" t="s">
        <v>12</v>
      </c>
      <c r="G4936" s="62">
        <v>20</v>
      </c>
      <c r="H4936" s="25">
        <v>0.67</v>
      </c>
      <c r="I4936">
        <v>7212</v>
      </c>
      <c r="J4936">
        <v>1357</v>
      </c>
      <c r="K4936">
        <v>10</v>
      </c>
      <c r="L4936">
        <v>10</v>
      </c>
      <c r="M4936">
        <v>0</v>
      </c>
      <c r="N4936" s="23">
        <v>0</v>
      </c>
      <c r="O4936">
        <f t="shared" si="995"/>
        <v>-7</v>
      </c>
      <c r="P4936" s="57">
        <f t="shared" si="996"/>
        <v>5</v>
      </c>
      <c r="Q4936" s="267">
        <f t="shared" si="997"/>
        <v>20</v>
      </c>
      <c r="R4936" s="23">
        <f t="shared" si="998"/>
        <v>1</v>
      </c>
      <c r="S4936" s="23">
        <f t="shared" si="999"/>
        <v>0</v>
      </c>
      <c r="T4936" s="23" t="str">
        <f t="shared" si="1000"/>
        <v/>
      </c>
      <c r="U4936" t="str">
        <f t="shared" si="1001"/>
        <v/>
      </c>
      <c r="AF4936" s="22"/>
    </row>
    <row r="4937" spans="1:38">
      <c r="A4937" t="str">
        <f t="shared" si="1002"/>
        <v>PA_Alleg_2019p~Dem-school director at large v3 t4 steel valley (vote for 3)</v>
      </c>
      <c r="B4937" s="55" t="s">
        <v>1291</v>
      </c>
      <c r="C4937">
        <v>88</v>
      </c>
      <c r="D4937" s="55" t="s">
        <v>98</v>
      </c>
      <c r="E4937" s="55" t="s">
        <v>100</v>
      </c>
      <c r="F4937" t="s">
        <v>12</v>
      </c>
      <c r="G4937" s="62">
        <v>1232</v>
      </c>
      <c r="H4937" s="25">
        <v>28.3</v>
      </c>
      <c r="I4937">
        <v>12122</v>
      </c>
      <c r="J4937">
        <v>2800</v>
      </c>
      <c r="K4937">
        <v>21</v>
      </c>
      <c r="L4937">
        <v>21</v>
      </c>
      <c r="M4937">
        <v>0</v>
      </c>
      <c r="N4937" s="23">
        <v>0</v>
      </c>
      <c r="O4937">
        <f t="shared" si="995"/>
        <v>1</v>
      </c>
      <c r="P4937" s="57">
        <f t="shared" si="996"/>
        <v>3</v>
      </c>
      <c r="Q4937" s="267">
        <f t="shared" si="997"/>
        <v>1451.3333333333333</v>
      </c>
      <c r="R4937" s="23">
        <f t="shared" si="998"/>
        <v>1222</v>
      </c>
      <c r="S4937" s="23">
        <f t="shared" si="999"/>
        <v>668</v>
      </c>
      <c r="T4937" s="23">
        <f t="shared" si="1000"/>
        <v>554</v>
      </c>
      <c r="U4937" t="str">
        <f t="shared" si="1001"/>
        <v>PA_Alleg_2019p~Dem-school director at large v3 t4 steel valley (vote for 3)</v>
      </c>
    </row>
    <row r="4938" spans="1:38">
      <c r="A4938" t="str">
        <f t="shared" si="1002"/>
        <v>PA_Alleg_2019p~Dem-school director at large v3 t4 steel valley (vote for 3)</v>
      </c>
      <c r="B4938" s="55" t="s">
        <v>1291</v>
      </c>
      <c r="C4938">
        <v>89</v>
      </c>
      <c r="D4938" s="55" t="s">
        <v>98</v>
      </c>
      <c r="E4938" s="55" t="s">
        <v>101</v>
      </c>
      <c r="F4938" t="s">
        <v>12</v>
      </c>
      <c r="G4938" s="62">
        <v>1223</v>
      </c>
      <c r="H4938" s="25">
        <v>28.09</v>
      </c>
      <c r="I4938">
        <v>12122</v>
      </c>
      <c r="J4938">
        <v>2800</v>
      </c>
      <c r="K4938">
        <v>21</v>
      </c>
      <c r="L4938">
        <v>21</v>
      </c>
      <c r="M4938">
        <v>0</v>
      </c>
      <c r="N4938" s="23">
        <v>0</v>
      </c>
      <c r="O4938">
        <f t="shared" si="995"/>
        <v>2</v>
      </c>
      <c r="P4938" s="57">
        <f t="shared" si="996"/>
        <v>3</v>
      </c>
      <c r="Q4938" s="267">
        <f t="shared" si="997"/>
        <v>3122</v>
      </c>
      <c r="R4938" s="23">
        <f t="shared" si="998"/>
        <v>1222</v>
      </c>
      <c r="S4938" s="23">
        <f t="shared" si="999"/>
        <v>668</v>
      </c>
      <c r="T4938" s="23" t="str">
        <f t="shared" si="1000"/>
        <v/>
      </c>
      <c r="U4938" t="str">
        <f t="shared" si="1001"/>
        <v/>
      </c>
      <c r="AF4938" s="22"/>
      <c r="AL4938" s="23"/>
    </row>
    <row r="4939" spans="1:38">
      <c r="A4939" t="str">
        <f t="shared" si="1002"/>
        <v>PA_Alleg_2019p~Dem-school director at large v3 t4 steel valley (vote for 3)</v>
      </c>
      <c r="B4939" s="55" t="s">
        <v>1291</v>
      </c>
      <c r="C4939">
        <v>87</v>
      </c>
      <c r="D4939" s="55" t="s">
        <v>98</v>
      </c>
      <c r="E4939" s="55" t="s">
        <v>99</v>
      </c>
      <c r="F4939" t="s">
        <v>12</v>
      </c>
      <c r="G4939" s="62">
        <v>1222</v>
      </c>
      <c r="H4939" s="25">
        <v>28.07</v>
      </c>
      <c r="I4939">
        <v>12122</v>
      </c>
      <c r="J4939">
        <v>2800</v>
      </c>
      <c r="K4939">
        <v>21</v>
      </c>
      <c r="L4939">
        <v>21</v>
      </c>
      <c r="M4939">
        <v>0</v>
      </c>
      <c r="N4939" s="23">
        <v>0</v>
      </c>
      <c r="O4939">
        <f t="shared" si="995"/>
        <v>3</v>
      </c>
      <c r="P4939" s="57">
        <f t="shared" si="996"/>
        <v>3</v>
      </c>
      <c r="Q4939" s="267">
        <f t="shared" si="997"/>
        <v>1899</v>
      </c>
      <c r="R4939" s="23">
        <f t="shared" si="998"/>
        <v>1222</v>
      </c>
      <c r="S4939" s="23">
        <f t="shared" si="999"/>
        <v>668</v>
      </c>
      <c r="T4939" s="23" t="str">
        <f t="shared" si="1000"/>
        <v/>
      </c>
      <c r="U4939" t="str">
        <f t="shared" si="1001"/>
        <v/>
      </c>
      <c r="AH4939" s="8"/>
      <c r="AL4939" s="23"/>
    </row>
    <row r="4940" spans="1:38">
      <c r="A4940" t="str">
        <f t="shared" si="1002"/>
        <v>PA_Alleg_2019p~Dem-school director at large v3 t4 steel valley (vote for 3)</v>
      </c>
      <c r="B4940" s="55" t="s">
        <v>1291</v>
      </c>
      <c r="C4940">
        <v>90</v>
      </c>
      <c r="D4940" s="55" t="s">
        <v>98</v>
      </c>
      <c r="E4940" s="55" t="s">
        <v>102</v>
      </c>
      <c r="F4940" t="s">
        <v>12</v>
      </c>
      <c r="G4940" s="62">
        <v>668</v>
      </c>
      <c r="H4940" s="25">
        <v>15.34</v>
      </c>
      <c r="I4940">
        <v>12122</v>
      </c>
      <c r="J4940">
        <v>2800</v>
      </c>
      <c r="K4940">
        <v>21</v>
      </c>
      <c r="L4940">
        <v>21</v>
      </c>
      <c r="M4940">
        <v>0</v>
      </c>
      <c r="N4940" s="23">
        <v>0</v>
      </c>
      <c r="O4940">
        <f t="shared" si="995"/>
        <v>4</v>
      </c>
      <c r="P4940" s="57">
        <f t="shared" si="996"/>
        <v>3</v>
      </c>
      <c r="Q4940" s="267">
        <f t="shared" si="997"/>
        <v>677</v>
      </c>
      <c r="R4940" s="23" t="str">
        <f t="shared" si="998"/>
        <v/>
      </c>
      <c r="S4940" s="23">
        <f t="shared" si="999"/>
        <v>668</v>
      </c>
      <c r="T4940" s="23" t="str">
        <f t="shared" si="1000"/>
        <v/>
      </c>
      <c r="U4940" t="str">
        <f t="shared" si="1001"/>
        <v/>
      </c>
      <c r="AF4940" s="22"/>
    </row>
    <row r="4941" spans="1:38">
      <c r="A4941" t="str">
        <f t="shared" si="1002"/>
        <v>PA_Alleg_2019p~Dem-school director at large v3 t4 steel valley (vote for 3)</v>
      </c>
      <c r="B4941" s="55" t="s">
        <v>1291</v>
      </c>
      <c r="C4941">
        <v>91</v>
      </c>
      <c r="D4941" s="55" t="s">
        <v>98</v>
      </c>
      <c r="E4941" s="55" t="s">
        <v>15</v>
      </c>
      <c r="F4941" t="s">
        <v>12</v>
      </c>
      <c r="G4941" s="62">
        <v>9</v>
      </c>
      <c r="H4941" s="25">
        <v>0.21</v>
      </c>
      <c r="I4941">
        <v>12122</v>
      </c>
      <c r="J4941">
        <v>2800</v>
      </c>
      <c r="K4941">
        <v>21</v>
      </c>
      <c r="L4941">
        <v>21</v>
      </c>
      <c r="M4941">
        <v>0</v>
      </c>
      <c r="N4941" s="23">
        <v>0</v>
      </c>
      <c r="O4941">
        <f t="shared" si="995"/>
        <v>-4</v>
      </c>
      <c r="P4941" s="57">
        <f t="shared" si="996"/>
        <v>3</v>
      </c>
      <c r="Q4941" s="267">
        <f t="shared" si="997"/>
        <v>9</v>
      </c>
      <c r="R4941" s="23">
        <f t="shared" si="998"/>
        <v>1</v>
      </c>
      <c r="S4941" s="23">
        <f t="shared" si="999"/>
        <v>0</v>
      </c>
      <c r="T4941" s="23" t="str">
        <f t="shared" si="1000"/>
        <v/>
      </c>
      <c r="U4941" t="str">
        <f t="shared" si="1001"/>
        <v/>
      </c>
      <c r="AF4941" s="22"/>
    </row>
    <row r="4942" spans="1:38">
      <c r="A4942" t="str">
        <f t="shared" si="1002"/>
        <v>PA_Alleg_2019p~Dem-school director at-large clairton (vote for 1)</v>
      </c>
      <c r="B4942" s="55" t="s">
        <v>1291</v>
      </c>
      <c r="C4942">
        <v>92</v>
      </c>
      <c r="D4942" s="55" t="s">
        <v>103</v>
      </c>
      <c r="E4942" s="55" t="s">
        <v>104</v>
      </c>
      <c r="F4942" t="s">
        <v>12</v>
      </c>
      <c r="G4942" s="62">
        <v>546</v>
      </c>
      <c r="H4942" s="25">
        <v>98.2</v>
      </c>
      <c r="I4942">
        <v>4581</v>
      </c>
      <c r="J4942">
        <v>747</v>
      </c>
      <c r="K4942">
        <v>12</v>
      </c>
      <c r="L4942">
        <v>12</v>
      </c>
      <c r="M4942">
        <v>0</v>
      </c>
      <c r="N4942" s="23">
        <v>0</v>
      </c>
      <c r="O4942">
        <f t="shared" si="995"/>
        <v>1</v>
      </c>
      <c r="P4942" s="57">
        <f t="shared" si="996"/>
        <v>1</v>
      </c>
      <c r="Q4942" s="267">
        <f t="shared" si="997"/>
        <v>556</v>
      </c>
      <c r="R4942" s="23">
        <f t="shared" si="998"/>
        <v>546</v>
      </c>
      <c r="S4942" s="23">
        <f t="shared" si="999"/>
        <v>0</v>
      </c>
      <c r="T4942" s="23" t="str">
        <f t="shared" si="1000"/>
        <v/>
      </c>
      <c r="U4942" t="str">
        <f t="shared" si="1001"/>
        <v>PA_Alleg_2019p~Dem-school director at-large clairton (vote for 1)</v>
      </c>
      <c r="AF4942" s="22"/>
    </row>
    <row r="4943" spans="1:38">
      <c r="A4943" t="str">
        <f t="shared" si="1002"/>
        <v>PA_Alleg_2019p~Dem-school director at-large clairton (vote for 1)</v>
      </c>
      <c r="B4943" s="55" t="s">
        <v>1291</v>
      </c>
      <c r="C4943">
        <v>93</v>
      </c>
      <c r="D4943" s="55" t="s">
        <v>103</v>
      </c>
      <c r="E4943" s="55" t="s">
        <v>15</v>
      </c>
      <c r="F4943" t="s">
        <v>12</v>
      </c>
      <c r="G4943" s="62">
        <v>10</v>
      </c>
      <c r="H4943" s="25">
        <v>1.8</v>
      </c>
      <c r="I4943">
        <v>4581</v>
      </c>
      <c r="J4943">
        <v>747</v>
      </c>
      <c r="K4943">
        <v>12</v>
      </c>
      <c r="L4943">
        <v>12</v>
      </c>
      <c r="M4943">
        <v>0</v>
      </c>
      <c r="N4943" s="23">
        <v>0</v>
      </c>
      <c r="O4943">
        <f t="shared" si="995"/>
        <v>-1</v>
      </c>
      <c r="P4943" s="57">
        <f t="shared" si="996"/>
        <v>1</v>
      </c>
      <c r="Q4943" s="267">
        <f t="shared" si="997"/>
        <v>10</v>
      </c>
      <c r="R4943" s="23">
        <f t="shared" si="998"/>
        <v>1</v>
      </c>
      <c r="S4943" s="23">
        <f t="shared" si="999"/>
        <v>0</v>
      </c>
      <c r="T4943" s="23" t="str">
        <f t="shared" si="1000"/>
        <v/>
      </c>
      <c r="U4943" t="str">
        <f t="shared" si="1001"/>
        <v/>
      </c>
      <c r="AF4943" s="22"/>
    </row>
    <row r="4944" spans="1:38">
      <c r="A4944" t="str">
        <f t="shared" si="1002"/>
        <v>PA_Alleg_2019p~Dem-school director at-large sto-rox (vote for 1)</v>
      </c>
      <c r="B4944" s="55" t="s">
        <v>1291</v>
      </c>
      <c r="C4944">
        <v>94</v>
      </c>
      <c r="D4944" s="55" t="s">
        <v>105</v>
      </c>
      <c r="E4944" s="55" t="s">
        <v>15</v>
      </c>
      <c r="F4944" t="s">
        <v>12</v>
      </c>
      <c r="G4944" s="62">
        <v>149</v>
      </c>
      <c r="H4944" s="25">
        <v>100</v>
      </c>
      <c r="I4944">
        <v>8515</v>
      </c>
      <c r="J4944">
        <v>1422</v>
      </c>
      <c r="K4944">
        <v>18</v>
      </c>
      <c r="L4944">
        <v>18</v>
      </c>
      <c r="M4944">
        <v>0</v>
      </c>
      <c r="N4944" s="23">
        <v>0</v>
      </c>
      <c r="O4944">
        <f t="shared" si="995"/>
        <v>0</v>
      </c>
      <c r="P4944" s="57">
        <f t="shared" si="996"/>
        <v>1</v>
      </c>
      <c r="Q4944" s="267">
        <f t="shared" si="997"/>
        <v>149</v>
      </c>
      <c r="R4944" s="23">
        <f t="shared" si="998"/>
        <v>1</v>
      </c>
      <c r="S4944" s="23">
        <f t="shared" si="999"/>
        <v>0</v>
      </c>
      <c r="T4944" s="23" t="str">
        <f t="shared" si="1000"/>
        <v/>
      </c>
      <c r="U4944" t="str">
        <f t="shared" si="1001"/>
        <v>PA_Alleg_2019p~Dem-school director at-large sto-rox (vote for 1)</v>
      </c>
      <c r="AF4944" s="22"/>
    </row>
    <row r="4945" spans="1:38">
      <c r="A4945" t="str">
        <f t="shared" si="1002"/>
        <v>PA_Alleg_2019p~Dem-school director avonworth (vote for 5)</v>
      </c>
      <c r="B4945" s="55" t="s">
        <v>1291</v>
      </c>
      <c r="C4945">
        <v>103</v>
      </c>
      <c r="D4945" s="55" t="s">
        <v>114</v>
      </c>
      <c r="E4945" s="55" t="s">
        <v>115</v>
      </c>
      <c r="F4945" t="s">
        <v>12</v>
      </c>
      <c r="G4945" s="62">
        <v>565</v>
      </c>
      <c r="H4945" s="25">
        <v>20.96</v>
      </c>
      <c r="I4945">
        <v>9306</v>
      </c>
      <c r="J4945">
        <v>1207</v>
      </c>
      <c r="K4945">
        <v>9</v>
      </c>
      <c r="L4945">
        <v>9</v>
      </c>
      <c r="M4945">
        <v>0</v>
      </c>
      <c r="N4945" s="23">
        <v>0</v>
      </c>
      <c r="O4945">
        <f t="shared" si="995"/>
        <v>1</v>
      </c>
      <c r="P4945" s="57">
        <f t="shared" si="996"/>
        <v>5</v>
      </c>
      <c r="Q4945" s="267">
        <f t="shared" si="997"/>
        <v>565</v>
      </c>
      <c r="R4945" s="23">
        <f t="shared" si="998"/>
        <v>508</v>
      </c>
      <c r="S4945" s="23">
        <f t="shared" si="999"/>
        <v>0</v>
      </c>
      <c r="T4945" s="23" t="str">
        <f t="shared" si="1000"/>
        <v/>
      </c>
      <c r="U4945" t="str">
        <f t="shared" si="1001"/>
        <v>PA_Alleg_2019p~Dem-school director avonworth (vote for 5)</v>
      </c>
      <c r="AF4945" s="22"/>
    </row>
    <row r="4946" spans="1:38">
      <c r="A4946" t="str">
        <f t="shared" si="1002"/>
        <v>PA_Alleg_2019p~Dem-school director avonworth (vote for 5)</v>
      </c>
      <c r="B4946" s="55" t="s">
        <v>1291</v>
      </c>
      <c r="C4946">
        <v>105</v>
      </c>
      <c r="D4946" s="55" t="s">
        <v>114</v>
      </c>
      <c r="E4946" s="55" t="s">
        <v>117</v>
      </c>
      <c r="F4946" t="s">
        <v>12</v>
      </c>
      <c r="G4946" s="62">
        <v>557</v>
      </c>
      <c r="H4946" s="25">
        <v>20.66</v>
      </c>
      <c r="I4946">
        <v>9306</v>
      </c>
      <c r="J4946">
        <v>1207</v>
      </c>
      <c r="K4946">
        <v>9</v>
      </c>
      <c r="L4946">
        <v>9</v>
      </c>
      <c r="M4946">
        <v>0</v>
      </c>
      <c r="N4946" s="23">
        <v>0</v>
      </c>
      <c r="O4946">
        <f t="shared" si="995"/>
        <v>2</v>
      </c>
      <c r="P4946" s="57">
        <f t="shared" si="996"/>
        <v>5</v>
      </c>
      <c r="Q4946" s="267">
        <f t="shared" si="997"/>
        <v>2131</v>
      </c>
      <c r="R4946" s="23">
        <f t="shared" si="998"/>
        <v>508</v>
      </c>
      <c r="S4946" s="23">
        <f t="shared" si="999"/>
        <v>0</v>
      </c>
      <c r="T4946" s="23" t="str">
        <f t="shared" si="1000"/>
        <v/>
      </c>
      <c r="U4946" t="str">
        <f t="shared" si="1001"/>
        <v/>
      </c>
    </row>
    <row r="4947" spans="1:38">
      <c r="A4947" t="str">
        <f t="shared" si="1002"/>
        <v>PA_Alleg_2019p~Dem-school director avonworth (vote for 5)</v>
      </c>
      <c r="B4947" s="55" t="s">
        <v>1291</v>
      </c>
      <c r="C4947">
        <v>106</v>
      </c>
      <c r="D4947" s="55" t="s">
        <v>114</v>
      </c>
      <c r="E4947" s="55" t="s">
        <v>118</v>
      </c>
      <c r="F4947" t="s">
        <v>12</v>
      </c>
      <c r="G4947" s="62">
        <v>531</v>
      </c>
      <c r="H4947" s="25">
        <v>19.7</v>
      </c>
      <c r="I4947">
        <v>9306</v>
      </c>
      <c r="J4947">
        <v>1207</v>
      </c>
      <c r="K4947">
        <v>9</v>
      </c>
      <c r="L4947">
        <v>9</v>
      </c>
      <c r="M4947">
        <v>0</v>
      </c>
      <c r="N4947" s="23">
        <v>0</v>
      </c>
      <c r="O4947">
        <f t="shared" si="995"/>
        <v>3</v>
      </c>
      <c r="P4947" s="57">
        <f t="shared" si="996"/>
        <v>5</v>
      </c>
      <c r="Q4947" s="267">
        <f t="shared" si="997"/>
        <v>1574</v>
      </c>
      <c r="R4947" s="23">
        <f t="shared" si="998"/>
        <v>508</v>
      </c>
      <c r="S4947" s="23">
        <f t="shared" si="999"/>
        <v>0</v>
      </c>
      <c r="T4947" s="23" t="str">
        <f t="shared" si="1000"/>
        <v/>
      </c>
      <c r="U4947" t="str">
        <f t="shared" si="1001"/>
        <v/>
      </c>
      <c r="AF4947" s="22"/>
    </row>
    <row r="4948" spans="1:38">
      <c r="A4948" t="str">
        <f t="shared" si="1002"/>
        <v>PA_Alleg_2019p~Dem-school director avonworth (vote for 5)</v>
      </c>
      <c r="B4948" s="55" t="s">
        <v>1291</v>
      </c>
      <c r="C4948">
        <v>107</v>
      </c>
      <c r="D4948" s="55" t="s">
        <v>114</v>
      </c>
      <c r="E4948" s="55" t="s">
        <v>119</v>
      </c>
      <c r="F4948" t="s">
        <v>12</v>
      </c>
      <c r="G4948" s="62">
        <v>522</v>
      </c>
      <c r="H4948" s="25">
        <v>19.36</v>
      </c>
      <c r="I4948">
        <v>9306</v>
      </c>
      <c r="J4948">
        <v>1207</v>
      </c>
      <c r="K4948">
        <v>9</v>
      </c>
      <c r="L4948">
        <v>9</v>
      </c>
      <c r="M4948">
        <v>0</v>
      </c>
      <c r="N4948" s="23">
        <v>0</v>
      </c>
      <c r="O4948">
        <f t="shared" si="995"/>
        <v>4</v>
      </c>
      <c r="P4948" s="57">
        <f t="shared" si="996"/>
        <v>5</v>
      </c>
      <c r="Q4948" s="267">
        <f t="shared" si="997"/>
        <v>1043</v>
      </c>
      <c r="R4948" s="23">
        <f t="shared" si="998"/>
        <v>508</v>
      </c>
      <c r="S4948" s="23">
        <f t="shared" si="999"/>
        <v>0</v>
      </c>
      <c r="T4948" s="23" t="str">
        <f t="shared" si="1000"/>
        <v/>
      </c>
      <c r="U4948" t="str">
        <f t="shared" si="1001"/>
        <v/>
      </c>
      <c r="AF4948" s="22"/>
    </row>
    <row r="4949" spans="1:38">
      <c r="A4949" t="str">
        <f t="shared" si="1002"/>
        <v>PA_Alleg_2019p~Dem-school director avonworth (vote for 5)</v>
      </c>
      <c r="B4949" s="55" t="s">
        <v>1291</v>
      </c>
      <c r="C4949">
        <v>104</v>
      </c>
      <c r="D4949" s="55" t="s">
        <v>114</v>
      </c>
      <c r="E4949" s="55" t="s">
        <v>116</v>
      </c>
      <c r="F4949" t="s">
        <v>12</v>
      </c>
      <c r="G4949" s="62">
        <v>508</v>
      </c>
      <c r="H4949" s="25">
        <v>18.84</v>
      </c>
      <c r="I4949">
        <v>9306</v>
      </c>
      <c r="J4949">
        <v>1207</v>
      </c>
      <c r="K4949">
        <v>9</v>
      </c>
      <c r="L4949">
        <v>9</v>
      </c>
      <c r="M4949">
        <v>0</v>
      </c>
      <c r="N4949" s="23">
        <v>0</v>
      </c>
      <c r="O4949">
        <f t="shared" si="995"/>
        <v>5</v>
      </c>
      <c r="P4949" s="57">
        <f t="shared" si="996"/>
        <v>5</v>
      </c>
      <c r="Q4949" s="267">
        <f t="shared" si="997"/>
        <v>521</v>
      </c>
      <c r="R4949" s="23">
        <f t="shared" si="998"/>
        <v>508</v>
      </c>
      <c r="S4949" s="23">
        <f t="shared" si="999"/>
        <v>0</v>
      </c>
      <c r="T4949" s="23" t="str">
        <f t="shared" si="1000"/>
        <v/>
      </c>
      <c r="U4949" t="str">
        <f t="shared" si="1001"/>
        <v/>
      </c>
      <c r="AF4949" s="22"/>
    </row>
    <row r="4950" spans="1:38">
      <c r="A4950" t="str">
        <f t="shared" si="1002"/>
        <v>PA_Alleg_2019p~Dem-school director avonworth (vote for 5)</v>
      </c>
      <c r="B4950" s="55" t="s">
        <v>1291</v>
      </c>
      <c r="C4950">
        <v>108</v>
      </c>
      <c r="D4950" s="55" t="s">
        <v>114</v>
      </c>
      <c r="E4950" s="55" t="s">
        <v>15</v>
      </c>
      <c r="F4950" t="s">
        <v>12</v>
      </c>
      <c r="G4950" s="62">
        <v>13</v>
      </c>
      <c r="H4950" s="25">
        <v>0.48</v>
      </c>
      <c r="I4950">
        <v>9306</v>
      </c>
      <c r="J4950">
        <v>1207</v>
      </c>
      <c r="K4950">
        <v>9</v>
      </c>
      <c r="L4950">
        <v>9</v>
      </c>
      <c r="M4950">
        <v>0</v>
      </c>
      <c r="N4950" s="23">
        <v>0</v>
      </c>
      <c r="O4950">
        <f t="shared" si="995"/>
        <v>-5</v>
      </c>
      <c r="P4950" s="57">
        <f t="shared" si="996"/>
        <v>5</v>
      </c>
      <c r="Q4950" s="267">
        <f t="shared" si="997"/>
        <v>13</v>
      </c>
      <c r="R4950" s="23">
        <f t="shared" si="998"/>
        <v>1</v>
      </c>
      <c r="S4950" s="23">
        <f t="shared" si="999"/>
        <v>0</v>
      </c>
      <c r="T4950" s="23" t="str">
        <f t="shared" si="1000"/>
        <v/>
      </c>
      <c r="U4950" t="str">
        <f t="shared" si="1001"/>
        <v/>
      </c>
      <c r="AF4950" s="258"/>
      <c r="AG4950" s="302"/>
      <c r="AH4950" s="301"/>
      <c r="AI4950" s="303"/>
      <c r="AJ4950" s="303"/>
      <c r="AK4950" s="342"/>
      <c r="AL4950" s="343"/>
    </row>
    <row r="4951" spans="1:38">
      <c r="A4951" t="str">
        <f t="shared" si="1002"/>
        <v>PA_Alleg_2019p~Dem-school director baldwin whitehall (vote for 5)</v>
      </c>
      <c r="B4951" s="55" t="s">
        <v>1291</v>
      </c>
      <c r="C4951">
        <v>109</v>
      </c>
      <c r="D4951" s="55" t="s">
        <v>120</v>
      </c>
      <c r="E4951" s="55" t="s">
        <v>121</v>
      </c>
      <c r="F4951" t="s">
        <v>12</v>
      </c>
      <c r="G4951" s="62">
        <v>1637</v>
      </c>
      <c r="H4951" s="25">
        <v>11.89</v>
      </c>
      <c r="I4951">
        <v>27887</v>
      </c>
      <c r="J4951">
        <v>4892</v>
      </c>
      <c r="K4951">
        <v>38</v>
      </c>
      <c r="L4951">
        <v>38</v>
      </c>
      <c r="M4951">
        <v>0</v>
      </c>
      <c r="N4951" s="23">
        <v>0</v>
      </c>
      <c r="O4951">
        <f t="shared" si="995"/>
        <v>1</v>
      </c>
      <c r="P4951" s="57">
        <f t="shared" si="996"/>
        <v>5</v>
      </c>
      <c r="Q4951" s="267">
        <f t="shared" si="997"/>
        <v>2754.4</v>
      </c>
      <c r="R4951" s="23">
        <f t="shared" si="998"/>
        <v>1150</v>
      </c>
      <c r="S4951" s="23">
        <f t="shared" si="999"/>
        <v>1128</v>
      </c>
      <c r="T4951" s="23">
        <f t="shared" si="1000"/>
        <v>22</v>
      </c>
      <c r="U4951" t="str">
        <f t="shared" si="1001"/>
        <v>PA_Alleg_2019p~Dem-school director baldwin whitehall (vote for 5)</v>
      </c>
      <c r="AF4951" s="22"/>
    </row>
    <row r="4952" spans="1:38">
      <c r="A4952" t="str">
        <f t="shared" si="1002"/>
        <v>PA_Alleg_2019p~Dem-school director baldwin whitehall (vote for 5)</v>
      </c>
      <c r="B4952" s="55" t="s">
        <v>1291</v>
      </c>
      <c r="C4952">
        <v>111</v>
      </c>
      <c r="D4952" s="55" t="s">
        <v>120</v>
      </c>
      <c r="E4952" s="55" t="s">
        <v>123</v>
      </c>
      <c r="F4952" t="s">
        <v>12</v>
      </c>
      <c r="G4952" s="62">
        <v>1612</v>
      </c>
      <c r="H4952" s="25">
        <v>11.7</v>
      </c>
      <c r="I4952">
        <v>27887</v>
      </c>
      <c r="J4952">
        <v>4892</v>
      </c>
      <c r="K4952">
        <v>38</v>
      </c>
      <c r="L4952">
        <v>38</v>
      </c>
      <c r="M4952">
        <v>0</v>
      </c>
      <c r="N4952" s="23">
        <v>0</v>
      </c>
      <c r="O4952">
        <f t="shared" si="995"/>
        <v>2</v>
      </c>
      <c r="P4952" s="57">
        <f t="shared" si="996"/>
        <v>5</v>
      </c>
      <c r="Q4952" s="267">
        <f t="shared" si="997"/>
        <v>12135</v>
      </c>
      <c r="R4952" s="23">
        <f t="shared" si="998"/>
        <v>1150</v>
      </c>
      <c r="S4952" s="23">
        <f t="shared" si="999"/>
        <v>1128</v>
      </c>
      <c r="T4952" s="23" t="str">
        <f t="shared" si="1000"/>
        <v/>
      </c>
      <c r="U4952" t="str">
        <f t="shared" si="1001"/>
        <v/>
      </c>
      <c r="AF4952" s="22"/>
    </row>
    <row r="4953" spans="1:38">
      <c r="A4953" t="str">
        <f t="shared" si="1002"/>
        <v>PA_Alleg_2019p~Dem-school director baldwin whitehall (vote for 5)</v>
      </c>
      <c r="B4953" s="55" t="s">
        <v>1291</v>
      </c>
      <c r="C4953">
        <v>113</v>
      </c>
      <c r="D4953" s="55" t="s">
        <v>120</v>
      </c>
      <c r="E4953" s="55" t="s">
        <v>125</v>
      </c>
      <c r="F4953" t="s">
        <v>12</v>
      </c>
      <c r="G4953" s="62">
        <v>1593</v>
      </c>
      <c r="H4953" s="25">
        <v>11.57</v>
      </c>
      <c r="I4953">
        <v>27887</v>
      </c>
      <c r="J4953">
        <v>4892</v>
      </c>
      <c r="K4953">
        <v>38</v>
      </c>
      <c r="L4953">
        <v>38</v>
      </c>
      <c r="M4953">
        <v>0</v>
      </c>
      <c r="N4953" s="23">
        <v>0</v>
      </c>
      <c r="O4953">
        <f t="shared" si="995"/>
        <v>3</v>
      </c>
      <c r="P4953" s="57">
        <f t="shared" si="996"/>
        <v>5</v>
      </c>
      <c r="Q4953" s="267">
        <f t="shared" si="997"/>
        <v>10523</v>
      </c>
      <c r="R4953" s="23">
        <f t="shared" si="998"/>
        <v>1150</v>
      </c>
      <c r="S4953" s="23">
        <f t="shared" si="999"/>
        <v>1128</v>
      </c>
      <c r="T4953" s="23" t="str">
        <f t="shared" si="1000"/>
        <v/>
      </c>
      <c r="U4953" t="str">
        <f t="shared" si="1001"/>
        <v/>
      </c>
      <c r="AF4953" s="22"/>
    </row>
    <row r="4954" spans="1:38">
      <c r="A4954" t="str">
        <f t="shared" si="1002"/>
        <v>PA_Alleg_2019p~Dem-school director baldwin whitehall (vote for 5)</v>
      </c>
      <c r="B4954" s="55" t="s">
        <v>1291</v>
      </c>
      <c r="C4954">
        <v>114</v>
      </c>
      <c r="D4954" s="55" t="s">
        <v>120</v>
      </c>
      <c r="E4954" s="55" t="s">
        <v>126</v>
      </c>
      <c r="F4954" t="s">
        <v>12</v>
      </c>
      <c r="G4954" s="62">
        <v>1459</v>
      </c>
      <c r="H4954" s="25">
        <v>10.59</v>
      </c>
      <c r="I4954">
        <v>27887</v>
      </c>
      <c r="J4954">
        <v>4892</v>
      </c>
      <c r="K4954">
        <v>38</v>
      </c>
      <c r="L4954">
        <v>38</v>
      </c>
      <c r="M4954">
        <v>0</v>
      </c>
      <c r="N4954" s="23">
        <v>0</v>
      </c>
      <c r="O4954">
        <f t="shared" si="995"/>
        <v>4</v>
      </c>
      <c r="P4954" s="57">
        <f t="shared" si="996"/>
        <v>5</v>
      </c>
      <c r="Q4954" s="267">
        <f t="shared" si="997"/>
        <v>8930</v>
      </c>
      <c r="R4954" s="23">
        <f t="shared" si="998"/>
        <v>1150</v>
      </c>
      <c r="S4954" s="23">
        <f t="shared" si="999"/>
        <v>1128</v>
      </c>
      <c r="T4954" s="23" t="str">
        <f t="shared" si="1000"/>
        <v/>
      </c>
      <c r="U4954" t="str">
        <f t="shared" si="1001"/>
        <v/>
      </c>
      <c r="AF4954" s="22"/>
      <c r="AH4954" s="8"/>
    </row>
    <row r="4955" spans="1:38">
      <c r="A4955" t="str">
        <f t="shared" si="1002"/>
        <v>PA_Alleg_2019p~Dem-school director baldwin whitehall (vote for 5)</v>
      </c>
      <c r="B4955" s="55" t="s">
        <v>1291</v>
      </c>
      <c r="C4955">
        <v>118</v>
      </c>
      <c r="D4955" s="55" t="s">
        <v>120</v>
      </c>
      <c r="E4955" s="55" t="s">
        <v>130</v>
      </c>
      <c r="F4955" t="s">
        <v>12</v>
      </c>
      <c r="G4955" s="62">
        <v>1150</v>
      </c>
      <c r="H4955" s="25">
        <v>8.35</v>
      </c>
      <c r="I4955">
        <v>27887</v>
      </c>
      <c r="J4955">
        <v>4892</v>
      </c>
      <c r="K4955">
        <v>38</v>
      </c>
      <c r="L4955">
        <v>38</v>
      </c>
      <c r="M4955">
        <v>0</v>
      </c>
      <c r="N4955" s="23">
        <v>0</v>
      </c>
      <c r="O4955">
        <f t="shared" si="995"/>
        <v>5</v>
      </c>
      <c r="P4955" s="57">
        <f t="shared" si="996"/>
        <v>5</v>
      </c>
      <c r="Q4955" s="267">
        <f t="shared" si="997"/>
        <v>7471</v>
      </c>
      <c r="R4955" s="23">
        <f t="shared" si="998"/>
        <v>1150</v>
      </c>
      <c r="S4955" s="23">
        <f t="shared" si="999"/>
        <v>1128</v>
      </c>
      <c r="T4955" s="23" t="str">
        <f t="shared" si="1000"/>
        <v/>
      </c>
      <c r="U4955" t="str">
        <f t="shared" si="1001"/>
        <v/>
      </c>
      <c r="AF4955" s="22"/>
    </row>
    <row r="4956" spans="1:38">
      <c r="A4956" t="str">
        <f t="shared" si="1002"/>
        <v>PA_Alleg_2019p~Dem-school director baldwin whitehall (vote for 5)</v>
      </c>
      <c r="B4956" s="55" t="s">
        <v>1291</v>
      </c>
      <c r="C4956">
        <v>119</v>
      </c>
      <c r="D4956" s="55" t="s">
        <v>120</v>
      </c>
      <c r="E4956" s="55" t="s">
        <v>131</v>
      </c>
      <c r="F4956" t="s">
        <v>12</v>
      </c>
      <c r="G4956" s="62">
        <v>1128</v>
      </c>
      <c r="H4956" s="25">
        <v>8.19</v>
      </c>
      <c r="I4956">
        <v>27887</v>
      </c>
      <c r="J4956">
        <v>4892</v>
      </c>
      <c r="K4956">
        <v>38</v>
      </c>
      <c r="L4956">
        <v>38</v>
      </c>
      <c r="M4956">
        <v>0</v>
      </c>
      <c r="N4956" s="23">
        <v>0</v>
      </c>
      <c r="O4956">
        <f t="shared" si="995"/>
        <v>6</v>
      </c>
      <c r="P4956" s="57">
        <f t="shared" si="996"/>
        <v>5</v>
      </c>
      <c r="Q4956" s="267">
        <f t="shared" si="997"/>
        <v>6321</v>
      </c>
      <c r="R4956" s="23" t="str">
        <f t="shared" si="998"/>
        <v/>
      </c>
      <c r="S4956" s="23">
        <f t="shared" si="999"/>
        <v>1128</v>
      </c>
      <c r="T4956" s="23" t="str">
        <f t="shared" si="1000"/>
        <v/>
      </c>
      <c r="U4956" t="str">
        <f t="shared" si="1001"/>
        <v/>
      </c>
      <c r="AH4956" s="8"/>
      <c r="AL4956" s="23"/>
    </row>
    <row r="4957" spans="1:38">
      <c r="A4957" t="str">
        <f t="shared" si="1002"/>
        <v>PA_Alleg_2019p~Dem-school director baldwin whitehall (vote for 5)</v>
      </c>
      <c r="B4957" s="55" t="s">
        <v>1291</v>
      </c>
      <c r="C4957">
        <v>115</v>
      </c>
      <c r="D4957" s="55" t="s">
        <v>120</v>
      </c>
      <c r="E4957" s="55" t="s">
        <v>127</v>
      </c>
      <c r="F4957" t="s">
        <v>12</v>
      </c>
      <c r="G4957" s="62">
        <v>1087</v>
      </c>
      <c r="H4957" s="25">
        <v>7.89</v>
      </c>
      <c r="I4957">
        <v>27887</v>
      </c>
      <c r="J4957">
        <v>4892</v>
      </c>
      <c r="K4957">
        <v>38</v>
      </c>
      <c r="L4957">
        <v>38</v>
      </c>
      <c r="M4957">
        <v>0</v>
      </c>
      <c r="N4957" s="23">
        <v>0</v>
      </c>
      <c r="O4957">
        <f t="shared" si="995"/>
        <v>7</v>
      </c>
      <c r="P4957" s="57">
        <f t="shared" si="996"/>
        <v>5</v>
      </c>
      <c r="Q4957" s="267">
        <f t="shared" si="997"/>
        <v>5193</v>
      </c>
      <c r="R4957" s="23" t="str">
        <f t="shared" si="998"/>
        <v/>
      </c>
      <c r="S4957" s="23">
        <f t="shared" si="999"/>
        <v>1087</v>
      </c>
      <c r="T4957" s="23" t="str">
        <f t="shared" si="1000"/>
        <v/>
      </c>
      <c r="U4957" t="str">
        <f t="shared" si="1001"/>
        <v/>
      </c>
      <c r="AF4957" s="22"/>
    </row>
    <row r="4958" spans="1:38">
      <c r="A4958" t="str">
        <f t="shared" si="1002"/>
        <v>PA_Alleg_2019p~Dem-school director baldwin whitehall (vote for 5)</v>
      </c>
      <c r="B4958" s="55" t="s">
        <v>1291</v>
      </c>
      <c r="C4958">
        <v>116</v>
      </c>
      <c r="D4958" s="55" t="s">
        <v>120</v>
      </c>
      <c r="E4958" s="55" t="s">
        <v>128</v>
      </c>
      <c r="F4958" t="s">
        <v>12</v>
      </c>
      <c r="G4958" s="62">
        <v>1082</v>
      </c>
      <c r="H4958" s="25">
        <v>7.86</v>
      </c>
      <c r="I4958">
        <v>27887</v>
      </c>
      <c r="J4958">
        <v>4892</v>
      </c>
      <c r="K4958">
        <v>38</v>
      </c>
      <c r="L4958">
        <v>38</v>
      </c>
      <c r="M4958">
        <v>0</v>
      </c>
      <c r="N4958" s="23">
        <v>0</v>
      </c>
      <c r="O4958">
        <f t="shared" si="995"/>
        <v>8</v>
      </c>
      <c r="P4958" s="57">
        <f t="shared" si="996"/>
        <v>5</v>
      </c>
      <c r="Q4958" s="267">
        <f t="shared" si="997"/>
        <v>4106</v>
      </c>
      <c r="R4958" s="23" t="str">
        <f t="shared" si="998"/>
        <v/>
      </c>
      <c r="S4958" s="23">
        <f t="shared" si="999"/>
        <v>1082</v>
      </c>
      <c r="T4958" s="23" t="str">
        <f t="shared" si="1000"/>
        <v/>
      </c>
      <c r="U4958" t="str">
        <f t="shared" si="1001"/>
        <v/>
      </c>
    </row>
    <row r="4959" spans="1:38">
      <c r="A4959" t="str">
        <f t="shared" si="1002"/>
        <v>PA_Alleg_2019p~Dem-school director baldwin whitehall (vote for 5)</v>
      </c>
      <c r="B4959" s="55" t="s">
        <v>1291</v>
      </c>
      <c r="C4959">
        <v>112</v>
      </c>
      <c r="D4959" s="55" t="s">
        <v>120</v>
      </c>
      <c r="E4959" s="55" t="s">
        <v>124</v>
      </c>
      <c r="F4959" t="s">
        <v>12</v>
      </c>
      <c r="G4959" s="62">
        <v>1034</v>
      </c>
      <c r="H4959" s="25">
        <v>7.51</v>
      </c>
      <c r="I4959">
        <v>27887</v>
      </c>
      <c r="J4959">
        <v>4892</v>
      </c>
      <c r="K4959">
        <v>38</v>
      </c>
      <c r="L4959">
        <v>38</v>
      </c>
      <c r="M4959">
        <v>0</v>
      </c>
      <c r="N4959" s="23">
        <v>0</v>
      </c>
      <c r="O4959">
        <f t="shared" si="995"/>
        <v>9</v>
      </c>
      <c r="P4959" s="57">
        <f t="shared" si="996"/>
        <v>5</v>
      </c>
      <c r="Q4959" s="267">
        <f t="shared" si="997"/>
        <v>3024</v>
      </c>
      <c r="R4959" s="23" t="str">
        <f t="shared" si="998"/>
        <v/>
      </c>
      <c r="S4959" s="23">
        <f t="shared" si="999"/>
        <v>1034</v>
      </c>
      <c r="T4959" s="23" t="str">
        <f t="shared" si="1000"/>
        <v/>
      </c>
      <c r="U4959" t="str">
        <f t="shared" si="1001"/>
        <v/>
      </c>
      <c r="AF4959" s="22"/>
      <c r="AH4959" s="8"/>
    </row>
    <row r="4960" spans="1:38">
      <c r="A4960" t="str">
        <f t="shared" si="1002"/>
        <v>PA_Alleg_2019p~Dem-school director baldwin whitehall (vote for 5)</v>
      </c>
      <c r="B4960" s="55" t="s">
        <v>1291</v>
      </c>
      <c r="C4960">
        <v>117</v>
      </c>
      <c r="D4960" s="55" t="s">
        <v>120</v>
      </c>
      <c r="E4960" s="55" t="s">
        <v>129</v>
      </c>
      <c r="F4960" t="s">
        <v>12</v>
      </c>
      <c r="G4960" s="62">
        <v>1004</v>
      </c>
      <c r="H4960" s="25">
        <v>7.29</v>
      </c>
      <c r="I4960">
        <v>27887</v>
      </c>
      <c r="J4960">
        <v>4892</v>
      </c>
      <c r="K4960">
        <v>38</v>
      </c>
      <c r="L4960">
        <v>38</v>
      </c>
      <c r="M4960">
        <v>0</v>
      </c>
      <c r="N4960" s="23">
        <v>0</v>
      </c>
      <c r="O4960">
        <f t="shared" si="995"/>
        <v>10</v>
      </c>
      <c r="P4960" s="57">
        <f t="shared" si="996"/>
        <v>5</v>
      </c>
      <c r="Q4960" s="267">
        <f t="shared" si="997"/>
        <v>1990</v>
      </c>
      <c r="R4960" s="23" t="str">
        <f t="shared" si="998"/>
        <v/>
      </c>
      <c r="S4960" s="23">
        <f t="shared" si="999"/>
        <v>1004</v>
      </c>
      <c r="T4960" s="23" t="str">
        <f t="shared" si="1000"/>
        <v/>
      </c>
      <c r="U4960" t="str">
        <f t="shared" si="1001"/>
        <v/>
      </c>
      <c r="AF4960" s="22"/>
    </row>
    <row r="4961" spans="1:38">
      <c r="A4961" t="str">
        <f t="shared" si="1002"/>
        <v>PA_Alleg_2019p~Dem-school director baldwin whitehall (vote for 5)</v>
      </c>
      <c r="B4961" s="55" t="s">
        <v>1291</v>
      </c>
      <c r="C4961">
        <v>110</v>
      </c>
      <c r="D4961" s="55" t="s">
        <v>120</v>
      </c>
      <c r="E4961" s="55" t="s">
        <v>122</v>
      </c>
      <c r="F4961" t="s">
        <v>12</v>
      </c>
      <c r="G4961" s="62">
        <v>915</v>
      </c>
      <c r="H4961" s="25">
        <v>6.64</v>
      </c>
      <c r="I4961">
        <v>27887</v>
      </c>
      <c r="J4961">
        <v>4892</v>
      </c>
      <c r="K4961">
        <v>38</v>
      </c>
      <c r="L4961">
        <v>38</v>
      </c>
      <c r="M4961">
        <v>0</v>
      </c>
      <c r="N4961" s="23">
        <v>0</v>
      </c>
      <c r="O4961">
        <f t="shared" si="995"/>
        <v>11</v>
      </c>
      <c r="P4961" s="57">
        <f t="shared" si="996"/>
        <v>5</v>
      </c>
      <c r="Q4961" s="267">
        <f t="shared" si="997"/>
        <v>986</v>
      </c>
      <c r="R4961" s="23" t="str">
        <f t="shared" si="998"/>
        <v/>
      </c>
      <c r="S4961" s="23">
        <f t="shared" si="999"/>
        <v>915</v>
      </c>
      <c r="T4961" s="23" t="str">
        <f t="shared" si="1000"/>
        <v/>
      </c>
      <c r="U4961" t="str">
        <f t="shared" si="1001"/>
        <v/>
      </c>
      <c r="AF4961" s="22"/>
      <c r="AG4961" s="23"/>
      <c r="AH4961" s="8"/>
      <c r="AL4961" s="344"/>
    </row>
    <row r="4962" spans="1:38">
      <c r="A4962" t="str">
        <f t="shared" si="1002"/>
        <v>PA_Alleg_2019p~Dem-school director baldwin whitehall (vote for 5)</v>
      </c>
      <c r="B4962" s="55" t="s">
        <v>1291</v>
      </c>
      <c r="C4962">
        <v>120</v>
      </c>
      <c r="D4962" s="55" t="s">
        <v>120</v>
      </c>
      <c r="E4962" s="55" t="s">
        <v>15</v>
      </c>
      <c r="F4962" t="s">
        <v>12</v>
      </c>
      <c r="G4962" s="62">
        <v>71</v>
      </c>
      <c r="H4962" s="25">
        <v>0.52</v>
      </c>
      <c r="I4962">
        <v>27887</v>
      </c>
      <c r="J4962">
        <v>4892</v>
      </c>
      <c r="K4962">
        <v>38</v>
      </c>
      <c r="L4962">
        <v>38</v>
      </c>
      <c r="M4962">
        <v>0</v>
      </c>
      <c r="N4962" s="23">
        <v>0</v>
      </c>
      <c r="O4962">
        <f t="shared" si="995"/>
        <v>-11</v>
      </c>
      <c r="P4962" s="57">
        <f t="shared" si="996"/>
        <v>5</v>
      </c>
      <c r="Q4962" s="267">
        <f t="shared" si="997"/>
        <v>71</v>
      </c>
      <c r="R4962" s="23">
        <f t="shared" si="998"/>
        <v>1</v>
      </c>
      <c r="S4962" s="23">
        <f t="shared" si="999"/>
        <v>0</v>
      </c>
      <c r="T4962" s="23" t="str">
        <f t="shared" si="1000"/>
        <v/>
      </c>
      <c r="U4962" t="str">
        <f t="shared" si="1001"/>
        <v/>
      </c>
      <c r="AF4962" s="22"/>
      <c r="AG4962" s="23"/>
      <c r="AH4962" s="8"/>
      <c r="AL4962" s="344"/>
    </row>
    <row r="4963" spans="1:38">
      <c r="A4963" t="str">
        <f t="shared" si="1002"/>
        <v>PA_Alleg_2019p~Dem-school director bethel park (vote for 5)</v>
      </c>
      <c r="B4963" s="55" t="s">
        <v>1291</v>
      </c>
      <c r="C4963">
        <v>128</v>
      </c>
      <c r="D4963" s="55" t="s">
        <v>132</v>
      </c>
      <c r="E4963" s="55" t="s">
        <v>140</v>
      </c>
      <c r="F4963" t="s">
        <v>12</v>
      </c>
      <c r="G4963" s="62">
        <v>1809</v>
      </c>
      <c r="H4963" s="25">
        <v>14.36</v>
      </c>
      <c r="I4963">
        <v>26257</v>
      </c>
      <c r="J4963">
        <v>5464</v>
      </c>
      <c r="K4963">
        <v>29</v>
      </c>
      <c r="L4963">
        <v>29</v>
      </c>
      <c r="M4963">
        <v>0</v>
      </c>
      <c r="N4963" s="23">
        <v>0</v>
      </c>
      <c r="O4963">
        <f t="shared" si="995"/>
        <v>1</v>
      </c>
      <c r="P4963" s="57">
        <f t="shared" si="996"/>
        <v>5</v>
      </c>
      <c r="Q4963" s="267">
        <f t="shared" si="997"/>
        <v>2519.4</v>
      </c>
      <c r="R4963" s="23">
        <f t="shared" si="998"/>
        <v>1470</v>
      </c>
      <c r="S4963" s="23">
        <f t="shared" si="999"/>
        <v>1340</v>
      </c>
      <c r="T4963" s="23">
        <f t="shared" si="1000"/>
        <v>130</v>
      </c>
      <c r="U4963" t="str">
        <f t="shared" si="1001"/>
        <v>PA_Alleg_2019p~Dem-school director bethel park (vote for 5)</v>
      </c>
      <c r="AF4963" s="22"/>
    </row>
    <row r="4964" spans="1:38">
      <c r="A4964" t="str">
        <f t="shared" si="1002"/>
        <v>PA_Alleg_2019p~Dem-school director bethel park (vote for 5)</v>
      </c>
      <c r="B4964" s="55" t="s">
        <v>1291</v>
      </c>
      <c r="C4964">
        <v>129</v>
      </c>
      <c r="D4964" s="55" t="s">
        <v>132</v>
      </c>
      <c r="E4964" s="55" t="s">
        <v>141</v>
      </c>
      <c r="F4964" t="s">
        <v>12</v>
      </c>
      <c r="G4964" s="62">
        <v>1790</v>
      </c>
      <c r="H4964" s="25">
        <v>14.21</v>
      </c>
      <c r="I4964">
        <v>26257</v>
      </c>
      <c r="J4964">
        <v>5464</v>
      </c>
      <c r="K4964">
        <v>29</v>
      </c>
      <c r="L4964">
        <v>29</v>
      </c>
      <c r="M4964">
        <v>0</v>
      </c>
      <c r="N4964" s="23">
        <v>0</v>
      </c>
      <c r="O4964">
        <f t="shared" si="995"/>
        <v>2</v>
      </c>
      <c r="P4964" s="57">
        <f t="shared" si="996"/>
        <v>5</v>
      </c>
      <c r="Q4964" s="267">
        <f t="shared" si="997"/>
        <v>10788</v>
      </c>
      <c r="R4964" s="23">
        <f t="shared" si="998"/>
        <v>1470</v>
      </c>
      <c r="S4964" s="23">
        <f t="shared" si="999"/>
        <v>1340</v>
      </c>
      <c r="T4964" s="23" t="str">
        <f t="shared" si="1000"/>
        <v/>
      </c>
      <c r="U4964" t="str">
        <f t="shared" si="1001"/>
        <v/>
      </c>
      <c r="AF4964" s="22"/>
    </row>
    <row r="4965" spans="1:38">
      <c r="A4965" t="str">
        <f t="shared" si="1002"/>
        <v>PA_Alleg_2019p~Dem-school director bethel park (vote for 5)</v>
      </c>
      <c r="B4965" s="55" t="s">
        <v>1291</v>
      </c>
      <c r="C4965">
        <v>127</v>
      </c>
      <c r="D4965" s="55" t="s">
        <v>132</v>
      </c>
      <c r="E4965" s="55" t="s">
        <v>139</v>
      </c>
      <c r="F4965" t="s">
        <v>12</v>
      </c>
      <c r="G4965" s="62">
        <v>1661</v>
      </c>
      <c r="H4965" s="25">
        <v>13.19</v>
      </c>
      <c r="I4965">
        <v>26257</v>
      </c>
      <c r="J4965">
        <v>5464</v>
      </c>
      <c r="K4965">
        <v>29</v>
      </c>
      <c r="L4965">
        <v>29</v>
      </c>
      <c r="M4965">
        <v>0</v>
      </c>
      <c r="N4965" s="23">
        <v>0</v>
      </c>
      <c r="O4965">
        <f t="shared" si="995"/>
        <v>3</v>
      </c>
      <c r="P4965" s="57">
        <f t="shared" si="996"/>
        <v>5</v>
      </c>
      <c r="Q4965" s="267">
        <f t="shared" si="997"/>
        <v>8998</v>
      </c>
      <c r="R4965" s="23">
        <f t="shared" si="998"/>
        <v>1470</v>
      </c>
      <c r="S4965" s="23">
        <f t="shared" si="999"/>
        <v>1340</v>
      </c>
      <c r="T4965" s="23" t="str">
        <f t="shared" si="1000"/>
        <v/>
      </c>
      <c r="U4965" t="str">
        <f t="shared" si="1001"/>
        <v/>
      </c>
      <c r="AF4965" s="22"/>
    </row>
    <row r="4966" spans="1:38">
      <c r="A4966" t="str">
        <f t="shared" si="1002"/>
        <v>PA_Alleg_2019p~Dem-school director bethel park (vote for 5)</v>
      </c>
      <c r="B4966" s="55" t="s">
        <v>1291</v>
      </c>
      <c r="C4966">
        <v>124</v>
      </c>
      <c r="D4966" s="55" t="s">
        <v>132</v>
      </c>
      <c r="E4966" s="55" t="s">
        <v>136</v>
      </c>
      <c r="F4966" t="s">
        <v>12</v>
      </c>
      <c r="G4966" s="62">
        <v>1537</v>
      </c>
      <c r="H4966" s="25">
        <v>12.2</v>
      </c>
      <c r="I4966">
        <v>26257</v>
      </c>
      <c r="J4966">
        <v>5464</v>
      </c>
      <c r="K4966">
        <v>29</v>
      </c>
      <c r="L4966">
        <v>29</v>
      </c>
      <c r="M4966">
        <v>0</v>
      </c>
      <c r="N4966" s="23">
        <v>0</v>
      </c>
      <c r="O4966">
        <f t="shared" si="995"/>
        <v>4</v>
      </c>
      <c r="P4966" s="57">
        <f t="shared" si="996"/>
        <v>5</v>
      </c>
      <c r="Q4966" s="267">
        <f t="shared" si="997"/>
        <v>7337</v>
      </c>
      <c r="R4966" s="23">
        <f t="shared" si="998"/>
        <v>1470</v>
      </c>
      <c r="S4966" s="23">
        <f t="shared" si="999"/>
        <v>1340</v>
      </c>
      <c r="T4966" s="23" t="str">
        <f t="shared" si="1000"/>
        <v/>
      </c>
      <c r="U4966" t="str">
        <f t="shared" si="1001"/>
        <v/>
      </c>
      <c r="AF4966" s="22"/>
      <c r="AH4966" s="8"/>
      <c r="AL4966" s="23"/>
    </row>
    <row r="4967" spans="1:38">
      <c r="A4967" t="str">
        <f t="shared" si="1002"/>
        <v>PA_Alleg_2019p~Dem-school director bethel park (vote for 5)</v>
      </c>
      <c r="B4967" s="55" t="s">
        <v>1291</v>
      </c>
      <c r="C4967">
        <v>123</v>
      </c>
      <c r="D4967" s="55" t="s">
        <v>132</v>
      </c>
      <c r="E4967" s="55" t="s">
        <v>135</v>
      </c>
      <c r="F4967" t="s">
        <v>12</v>
      </c>
      <c r="G4967" s="62">
        <v>1470</v>
      </c>
      <c r="H4967" s="25">
        <v>11.67</v>
      </c>
      <c r="I4967">
        <v>26257</v>
      </c>
      <c r="J4967">
        <v>5464</v>
      </c>
      <c r="K4967">
        <v>29</v>
      </c>
      <c r="L4967">
        <v>29</v>
      </c>
      <c r="M4967">
        <v>0</v>
      </c>
      <c r="N4967" s="23">
        <v>0</v>
      </c>
      <c r="O4967">
        <f t="shared" si="995"/>
        <v>5</v>
      </c>
      <c r="P4967" s="57">
        <f t="shared" si="996"/>
        <v>5</v>
      </c>
      <c r="Q4967" s="267">
        <f t="shared" si="997"/>
        <v>5800</v>
      </c>
      <c r="R4967" s="23">
        <f t="shared" si="998"/>
        <v>1470</v>
      </c>
      <c r="S4967" s="23">
        <f t="shared" si="999"/>
        <v>1340</v>
      </c>
      <c r="T4967" s="23" t="str">
        <f t="shared" si="1000"/>
        <v/>
      </c>
      <c r="U4967" t="str">
        <f t="shared" si="1001"/>
        <v/>
      </c>
      <c r="AF4967" s="22"/>
      <c r="AH4967" s="8"/>
      <c r="AL4967" s="23"/>
    </row>
    <row r="4968" spans="1:38">
      <c r="A4968" t="str">
        <f t="shared" si="1002"/>
        <v>PA_Alleg_2019p~Dem-school director bethel park (vote for 5)</v>
      </c>
      <c r="B4968" s="55" t="s">
        <v>1291</v>
      </c>
      <c r="C4968">
        <v>126</v>
      </c>
      <c r="D4968" s="55" t="s">
        <v>132</v>
      </c>
      <c r="E4968" s="55" t="s">
        <v>138</v>
      </c>
      <c r="F4968" t="s">
        <v>12</v>
      </c>
      <c r="G4968" s="62">
        <v>1340</v>
      </c>
      <c r="H4968" s="25">
        <v>10.64</v>
      </c>
      <c r="I4968">
        <v>26257</v>
      </c>
      <c r="J4968">
        <v>5464</v>
      </c>
      <c r="K4968">
        <v>29</v>
      </c>
      <c r="L4968">
        <v>29</v>
      </c>
      <c r="M4968">
        <v>0</v>
      </c>
      <c r="N4968" s="23">
        <v>0</v>
      </c>
      <c r="O4968">
        <f t="shared" si="995"/>
        <v>6</v>
      </c>
      <c r="P4968" s="57">
        <f t="shared" si="996"/>
        <v>5</v>
      </c>
      <c r="Q4968" s="267">
        <f t="shared" si="997"/>
        <v>4330</v>
      </c>
      <c r="R4968" s="23" t="str">
        <f t="shared" si="998"/>
        <v/>
      </c>
      <c r="S4968" s="23">
        <f t="shared" si="999"/>
        <v>1340</v>
      </c>
      <c r="T4968" s="23" t="str">
        <f t="shared" si="1000"/>
        <v/>
      </c>
      <c r="U4968" t="str">
        <f t="shared" si="1001"/>
        <v/>
      </c>
      <c r="AF4968" s="22"/>
      <c r="AH4968" s="8"/>
      <c r="AL4968" s="23"/>
    </row>
    <row r="4969" spans="1:38">
      <c r="A4969" t="str">
        <f t="shared" si="1002"/>
        <v>PA_Alleg_2019p~Dem-school director bethel park (vote for 5)</v>
      </c>
      <c r="B4969" s="55" t="s">
        <v>1291</v>
      </c>
      <c r="C4969">
        <v>121</v>
      </c>
      <c r="D4969" s="55" t="s">
        <v>132</v>
      </c>
      <c r="E4969" s="55" t="s">
        <v>133</v>
      </c>
      <c r="F4969" t="s">
        <v>12</v>
      </c>
      <c r="G4969" s="62">
        <v>977</v>
      </c>
      <c r="H4969" s="25">
        <v>7.76</v>
      </c>
      <c r="I4969">
        <v>26257</v>
      </c>
      <c r="J4969">
        <v>5464</v>
      </c>
      <c r="K4969">
        <v>29</v>
      </c>
      <c r="L4969">
        <v>29</v>
      </c>
      <c r="M4969">
        <v>0</v>
      </c>
      <c r="N4969" s="23">
        <v>0</v>
      </c>
      <c r="O4969">
        <f t="shared" si="995"/>
        <v>7</v>
      </c>
      <c r="P4969" s="57">
        <f t="shared" si="996"/>
        <v>5</v>
      </c>
      <c r="Q4969" s="267">
        <f t="shared" si="997"/>
        <v>2990</v>
      </c>
      <c r="R4969" s="23" t="str">
        <f t="shared" si="998"/>
        <v/>
      </c>
      <c r="S4969" s="23">
        <f t="shared" si="999"/>
        <v>977</v>
      </c>
      <c r="T4969" s="23" t="str">
        <f t="shared" si="1000"/>
        <v/>
      </c>
      <c r="U4969" t="str">
        <f t="shared" si="1001"/>
        <v/>
      </c>
      <c r="AF4969" s="22"/>
      <c r="AH4969" s="8"/>
      <c r="AL4969" s="23"/>
    </row>
    <row r="4970" spans="1:38">
      <c r="A4970" t="str">
        <f t="shared" si="1002"/>
        <v>PA_Alleg_2019p~Dem-school director bethel park (vote for 5)</v>
      </c>
      <c r="B4970" s="55" t="s">
        <v>1291</v>
      </c>
      <c r="C4970">
        <v>122</v>
      </c>
      <c r="D4970" s="55" t="s">
        <v>132</v>
      </c>
      <c r="E4970" s="55" t="s">
        <v>134</v>
      </c>
      <c r="F4970" t="s">
        <v>12</v>
      </c>
      <c r="G4970" s="62">
        <v>683</v>
      </c>
      <c r="H4970" s="25">
        <v>5.42</v>
      </c>
      <c r="I4970">
        <v>26257</v>
      </c>
      <c r="J4970">
        <v>5464</v>
      </c>
      <c r="K4970">
        <v>29</v>
      </c>
      <c r="L4970">
        <v>29</v>
      </c>
      <c r="M4970">
        <v>0</v>
      </c>
      <c r="N4970" s="23">
        <v>0</v>
      </c>
      <c r="O4970">
        <f t="shared" si="995"/>
        <v>8</v>
      </c>
      <c r="P4970" s="57">
        <f t="shared" si="996"/>
        <v>5</v>
      </c>
      <c r="Q4970" s="267">
        <f t="shared" si="997"/>
        <v>2013</v>
      </c>
      <c r="R4970" s="23" t="str">
        <f t="shared" si="998"/>
        <v/>
      </c>
      <c r="S4970" s="23">
        <f t="shared" si="999"/>
        <v>683</v>
      </c>
      <c r="T4970" s="23" t="str">
        <f t="shared" si="1000"/>
        <v/>
      </c>
      <c r="U4970" t="str">
        <f t="shared" si="1001"/>
        <v/>
      </c>
      <c r="AF4970" s="22"/>
    </row>
    <row r="4971" spans="1:38">
      <c r="A4971" t="str">
        <f t="shared" si="1002"/>
        <v>PA_Alleg_2019p~Dem-school director bethel park (vote for 5)</v>
      </c>
      <c r="B4971" s="55" t="s">
        <v>1291</v>
      </c>
      <c r="C4971">
        <v>130</v>
      </c>
      <c r="D4971" s="55" t="s">
        <v>132</v>
      </c>
      <c r="E4971" s="55" t="s">
        <v>142</v>
      </c>
      <c r="F4971" t="s">
        <v>12</v>
      </c>
      <c r="G4971" s="62">
        <v>661</v>
      </c>
      <c r="H4971" s="25">
        <v>5.25</v>
      </c>
      <c r="I4971">
        <v>26257</v>
      </c>
      <c r="J4971">
        <v>5464</v>
      </c>
      <c r="K4971">
        <v>29</v>
      </c>
      <c r="L4971">
        <v>29</v>
      </c>
      <c r="M4971">
        <v>0</v>
      </c>
      <c r="N4971" s="23">
        <v>0</v>
      </c>
      <c r="O4971">
        <f t="shared" si="995"/>
        <v>9</v>
      </c>
      <c r="P4971" s="57">
        <f t="shared" si="996"/>
        <v>5</v>
      </c>
      <c r="Q4971" s="267">
        <f t="shared" si="997"/>
        <v>1330</v>
      </c>
      <c r="R4971" s="23" t="str">
        <f t="shared" si="998"/>
        <v/>
      </c>
      <c r="S4971" s="23">
        <f t="shared" si="999"/>
        <v>661</v>
      </c>
      <c r="T4971" s="23" t="str">
        <f t="shared" si="1000"/>
        <v/>
      </c>
      <c r="U4971" t="str">
        <f t="shared" si="1001"/>
        <v/>
      </c>
      <c r="AF4971" s="312"/>
    </row>
    <row r="4972" spans="1:38">
      <c r="A4972" t="str">
        <f t="shared" si="1002"/>
        <v>PA_Alleg_2019p~Dem-school director bethel park (vote for 5)</v>
      </c>
      <c r="B4972" s="55" t="s">
        <v>1291</v>
      </c>
      <c r="C4972">
        <v>125</v>
      </c>
      <c r="D4972" s="55" t="s">
        <v>132</v>
      </c>
      <c r="E4972" s="55" t="s">
        <v>137</v>
      </c>
      <c r="F4972" t="s">
        <v>12</v>
      </c>
      <c r="G4972" s="62">
        <v>638</v>
      </c>
      <c r="H4972" s="25">
        <v>5.0599999999999996</v>
      </c>
      <c r="I4972">
        <v>26257</v>
      </c>
      <c r="J4972">
        <v>5464</v>
      </c>
      <c r="K4972">
        <v>29</v>
      </c>
      <c r="L4972">
        <v>29</v>
      </c>
      <c r="M4972">
        <v>0</v>
      </c>
      <c r="N4972" s="23">
        <v>0</v>
      </c>
      <c r="O4972">
        <f t="shared" si="995"/>
        <v>10</v>
      </c>
      <c r="P4972" s="57">
        <f t="shared" si="996"/>
        <v>5</v>
      </c>
      <c r="Q4972" s="267">
        <f t="shared" si="997"/>
        <v>669</v>
      </c>
      <c r="R4972" s="23" t="str">
        <f t="shared" si="998"/>
        <v/>
      </c>
      <c r="S4972" s="23">
        <f t="shared" si="999"/>
        <v>638</v>
      </c>
      <c r="T4972" s="23" t="str">
        <f t="shared" si="1000"/>
        <v/>
      </c>
      <c r="U4972" t="str">
        <f t="shared" si="1001"/>
        <v/>
      </c>
      <c r="AF4972" s="22"/>
    </row>
    <row r="4973" spans="1:38">
      <c r="A4973" t="str">
        <f t="shared" si="1002"/>
        <v>PA_Alleg_2019p~Dem-school director bethel park (vote for 5)</v>
      </c>
      <c r="B4973" s="55" t="s">
        <v>1291</v>
      </c>
      <c r="C4973">
        <v>131</v>
      </c>
      <c r="D4973" s="55" t="s">
        <v>132</v>
      </c>
      <c r="E4973" s="55" t="s">
        <v>15</v>
      </c>
      <c r="F4973" t="s">
        <v>12</v>
      </c>
      <c r="G4973" s="62">
        <v>31</v>
      </c>
      <c r="H4973" s="25">
        <v>0.25</v>
      </c>
      <c r="I4973">
        <v>26257</v>
      </c>
      <c r="J4973">
        <v>5464</v>
      </c>
      <c r="K4973">
        <v>29</v>
      </c>
      <c r="L4973">
        <v>29</v>
      </c>
      <c r="M4973">
        <v>0</v>
      </c>
      <c r="N4973" s="23">
        <v>0</v>
      </c>
      <c r="O4973">
        <f t="shared" si="995"/>
        <v>-10</v>
      </c>
      <c r="P4973" s="57">
        <f t="shared" si="996"/>
        <v>5</v>
      </c>
      <c r="Q4973" s="267">
        <f t="shared" si="997"/>
        <v>31</v>
      </c>
      <c r="R4973" s="23">
        <f t="shared" si="998"/>
        <v>1</v>
      </c>
      <c r="S4973" s="23">
        <f t="shared" si="999"/>
        <v>0</v>
      </c>
      <c r="T4973" s="23" t="str">
        <f t="shared" si="1000"/>
        <v/>
      </c>
      <c r="U4973" t="str">
        <f t="shared" si="1001"/>
        <v/>
      </c>
      <c r="AF4973" s="22"/>
    </row>
    <row r="4974" spans="1:38">
      <c r="A4974" t="str">
        <f t="shared" si="1002"/>
        <v>PA_Alleg_2019p~Dem-school director brentwood (vote for 5)</v>
      </c>
      <c r="B4974" s="55" t="s">
        <v>1291</v>
      </c>
      <c r="C4974">
        <v>134</v>
      </c>
      <c r="D4974" s="55" t="s">
        <v>143</v>
      </c>
      <c r="E4974" s="55" t="s">
        <v>146</v>
      </c>
      <c r="F4974" t="s">
        <v>12</v>
      </c>
      <c r="G4974" s="62">
        <v>434</v>
      </c>
      <c r="H4974" s="25">
        <v>21.81</v>
      </c>
      <c r="I4974">
        <v>6753</v>
      </c>
      <c r="J4974">
        <v>824</v>
      </c>
      <c r="K4974">
        <v>10</v>
      </c>
      <c r="L4974">
        <v>10</v>
      </c>
      <c r="M4974">
        <v>0</v>
      </c>
      <c r="N4974" s="23">
        <v>0</v>
      </c>
      <c r="O4974">
        <f t="shared" si="995"/>
        <v>1</v>
      </c>
      <c r="P4974" s="57">
        <f t="shared" si="996"/>
        <v>5</v>
      </c>
      <c r="Q4974" s="267">
        <f t="shared" si="997"/>
        <v>434</v>
      </c>
      <c r="R4974" s="23">
        <f t="shared" si="998"/>
        <v>370</v>
      </c>
      <c r="S4974" s="23">
        <f t="shared" si="999"/>
        <v>0</v>
      </c>
      <c r="T4974" s="23" t="str">
        <f t="shared" si="1000"/>
        <v/>
      </c>
      <c r="U4974" t="str">
        <f t="shared" si="1001"/>
        <v>PA_Alleg_2019p~Dem-school director brentwood (vote for 5)</v>
      </c>
      <c r="AF4974" s="22"/>
    </row>
    <row r="4975" spans="1:38">
      <c r="A4975" t="str">
        <f t="shared" si="1002"/>
        <v>PA_Alleg_2019p~Dem-school director brentwood (vote for 5)</v>
      </c>
      <c r="B4975" s="55" t="s">
        <v>1291</v>
      </c>
      <c r="C4975">
        <v>132</v>
      </c>
      <c r="D4975" s="55" t="s">
        <v>143</v>
      </c>
      <c r="E4975" s="55" t="s">
        <v>144</v>
      </c>
      <c r="F4975" t="s">
        <v>12</v>
      </c>
      <c r="G4975" s="62">
        <v>411</v>
      </c>
      <c r="H4975" s="25">
        <v>20.65</v>
      </c>
      <c r="I4975">
        <v>6753</v>
      </c>
      <c r="J4975">
        <v>824</v>
      </c>
      <c r="K4975">
        <v>10</v>
      </c>
      <c r="L4975">
        <v>10</v>
      </c>
      <c r="M4975">
        <v>0</v>
      </c>
      <c r="N4975" s="23">
        <v>0</v>
      </c>
      <c r="O4975">
        <f t="shared" si="995"/>
        <v>2</v>
      </c>
      <c r="P4975" s="57">
        <f t="shared" si="996"/>
        <v>5</v>
      </c>
      <c r="Q4975" s="267">
        <f t="shared" si="997"/>
        <v>1556</v>
      </c>
      <c r="R4975" s="23">
        <f t="shared" si="998"/>
        <v>370</v>
      </c>
      <c r="S4975" s="23">
        <f t="shared" si="999"/>
        <v>0</v>
      </c>
      <c r="T4975" s="23" t="str">
        <f t="shared" si="1000"/>
        <v/>
      </c>
      <c r="U4975" t="str">
        <f t="shared" si="1001"/>
        <v/>
      </c>
      <c r="AF4975" s="22"/>
    </row>
    <row r="4976" spans="1:38">
      <c r="A4976" t="str">
        <f t="shared" si="1002"/>
        <v>PA_Alleg_2019p~Dem-school director brentwood (vote for 5)</v>
      </c>
      <c r="B4976" s="55" t="s">
        <v>1291</v>
      </c>
      <c r="C4976">
        <v>135</v>
      </c>
      <c r="D4976" s="55" t="s">
        <v>143</v>
      </c>
      <c r="E4976" s="55" t="s">
        <v>147</v>
      </c>
      <c r="F4976" t="s">
        <v>12</v>
      </c>
      <c r="G4976" s="62">
        <v>389</v>
      </c>
      <c r="H4976" s="25">
        <v>19.55</v>
      </c>
      <c r="I4976">
        <v>6753</v>
      </c>
      <c r="J4976">
        <v>824</v>
      </c>
      <c r="K4976">
        <v>10</v>
      </c>
      <c r="L4976">
        <v>10</v>
      </c>
      <c r="M4976">
        <v>0</v>
      </c>
      <c r="N4976" s="23">
        <v>0</v>
      </c>
      <c r="O4976">
        <f t="shared" si="995"/>
        <v>3</v>
      </c>
      <c r="P4976" s="57">
        <f t="shared" si="996"/>
        <v>5</v>
      </c>
      <c r="Q4976" s="267">
        <f t="shared" si="997"/>
        <v>1145</v>
      </c>
      <c r="R4976" s="23">
        <f t="shared" si="998"/>
        <v>370</v>
      </c>
      <c r="S4976" s="23">
        <f t="shared" si="999"/>
        <v>0</v>
      </c>
      <c r="T4976" s="23" t="str">
        <f t="shared" si="1000"/>
        <v/>
      </c>
      <c r="U4976" t="str">
        <f t="shared" si="1001"/>
        <v/>
      </c>
      <c r="AF4976" s="300"/>
    </row>
    <row r="4977" spans="1:38">
      <c r="A4977" t="str">
        <f t="shared" si="1002"/>
        <v>PA_Alleg_2019p~Dem-school director brentwood (vote for 5)</v>
      </c>
      <c r="B4977" s="55" t="s">
        <v>1291</v>
      </c>
      <c r="C4977">
        <v>136</v>
      </c>
      <c r="D4977" s="55" t="s">
        <v>143</v>
      </c>
      <c r="E4977" s="55" t="s">
        <v>148</v>
      </c>
      <c r="F4977" t="s">
        <v>12</v>
      </c>
      <c r="G4977" s="62">
        <v>376</v>
      </c>
      <c r="H4977" s="25">
        <v>18.89</v>
      </c>
      <c r="I4977">
        <v>6753</v>
      </c>
      <c r="J4977">
        <v>824</v>
      </c>
      <c r="K4977">
        <v>10</v>
      </c>
      <c r="L4977">
        <v>10</v>
      </c>
      <c r="M4977">
        <v>0</v>
      </c>
      <c r="N4977" s="23">
        <v>0</v>
      </c>
      <c r="O4977">
        <f t="shared" si="995"/>
        <v>4</v>
      </c>
      <c r="P4977" s="57">
        <f t="shared" si="996"/>
        <v>5</v>
      </c>
      <c r="Q4977" s="267">
        <f t="shared" si="997"/>
        <v>756</v>
      </c>
      <c r="R4977" s="23">
        <f t="shared" si="998"/>
        <v>370</v>
      </c>
      <c r="S4977" s="23">
        <f t="shared" si="999"/>
        <v>0</v>
      </c>
      <c r="T4977" s="23" t="str">
        <f t="shared" si="1000"/>
        <v/>
      </c>
      <c r="U4977" t="str">
        <f t="shared" si="1001"/>
        <v/>
      </c>
      <c r="AF4977" s="22"/>
    </row>
    <row r="4978" spans="1:38">
      <c r="A4978" t="str">
        <f t="shared" si="1002"/>
        <v>PA_Alleg_2019p~Dem-school director brentwood (vote for 5)</v>
      </c>
      <c r="B4978" s="55" t="s">
        <v>1291</v>
      </c>
      <c r="C4978">
        <v>133</v>
      </c>
      <c r="D4978" s="55" t="s">
        <v>143</v>
      </c>
      <c r="E4978" s="55" t="s">
        <v>145</v>
      </c>
      <c r="F4978" t="s">
        <v>12</v>
      </c>
      <c r="G4978" s="62">
        <v>370</v>
      </c>
      <c r="H4978" s="25">
        <v>18.59</v>
      </c>
      <c r="I4978">
        <v>6753</v>
      </c>
      <c r="J4978">
        <v>824</v>
      </c>
      <c r="K4978">
        <v>10</v>
      </c>
      <c r="L4978">
        <v>10</v>
      </c>
      <c r="M4978">
        <v>0</v>
      </c>
      <c r="N4978" s="23">
        <v>0</v>
      </c>
      <c r="O4978">
        <f t="shared" si="995"/>
        <v>5</v>
      </c>
      <c r="P4978" s="57">
        <f t="shared" si="996"/>
        <v>5</v>
      </c>
      <c r="Q4978" s="267">
        <f t="shared" si="997"/>
        <v>380</v>
      </c>
      <c r="R4978" s="23">
        <f t="shared" si="998"/>
        <v>370</v>
      </c>
      <c r="S4978" s="23">
        <f t="shared" si="999"/>
        <v>0</v>
      </c>
      <c r="T4978" s="23" t="str">
        <f t="shared" si="1000"/>
        <v/>
      </c>
      <c r="U4978" t="str">
        <f t="shared" si="1001"/>
        <v/>
      </c>
      <c r="AF4978" s="88"/>
    </row>
    <row r="4979" spans="1:38">
      <c r="A4979" t="str">
        <f t="shared" si="1002"/>
        <v>PA_Alleg_2019p~Dem-school director brentwood (vote for 5)</v>
      </c>
      <c r="B4979" s="55" t="s">
        <v>1291</v>
      </c>
      <c r="C4979">
        <v>137</v>
      </c>
      <c r="D4979" s="55" t="s">
        <v>143</v>
      </c>
      <c r="E4979" s="55" t="s">
        <v>15</v>
      </c>
      <c r="F4979" t="s">
        <v>12</v>
      </c>
      <c r="G4979" s="62">
        <v>10</v>
      </c>
      <c r="H4979" s="25">
        <v>0.5</v>
      </c>
      <c r="I4979">
        <v>6753</v>
      </c>
      <c r="J4979">
        <v>824</v>
      </c>
      <c r="K4979">
        <v>10</v>
      </c>
      <c r="L4979">
        <v>10</v>
      </c>
      <c r="M4979">
        <v>0</v>
      </c>
      <c r="N4979" s="23">
        <v>0</v>
      </c>
      <c r="O4979">
        <f t="shared" si="995"/>
        <v>-5</v>
      </c>
      <c r="P4979" s="57">
        <f t="shared" si="996"/>
        <v>5</v>
      </c>
      <c r="Q4979" s="267">
        <f t="shared" si="997"/>
        <v>10</v>
      </c>
      <c r="R4979" s="23">
        <f t="shared" si="998"/>
        <v>1</v>
      </c>
      <c r="S4979" s="23">
        <f t="shared" si="999"/>
        <v>0</v>
      </c>
      <c r="T4979" s="23" t="str">
        <f t="shared" si="1000"/>
        <v/>
      </c>
      <c r="U4979" t="str">
        <f t="shared" si="1001"/>
        <v/>
      </c>
      <c r="AF4979" s="88"/>
    </row>
    <row r="4980" spans="1:38">
      <c r="A4980" t="str">
        <f t="shared" si="1002"/>
        <v>PA_Alleg_2019p~Dem-school director carlynton (vote for 1)</v>
      </c>
      <c r="B4980" s="55" t="s">
        <v>1291</v>
      </c>
      <c r="C4980">
        <v>333</v>
      </c>
      <c r="D4980" s="55" t="s">
        <v>341</v>
      </c>
      <c r="E4980" s="55" t="s">
        <v>342</v>
      </c>
      <c r="F4980" t="s">
        <v>12</v>
      </c>
      <c r="G4980" s="62">
        <v>735</v>
      </c>
      <c r="H4980" s="25">
        <v>97.87</v>
      </c>
      <c r="I4980">
        <v>10709</v>
      </c>
      <c r="J4980">
        <v>1277</v>
      </c>
      <c r="K4980">
        <v>15</v>
      </c>
      <c r="L4980">
        <v>15</v>
      </c>
      <c r="M4980">
        <v>0</v>
      </c>
      <c r="N4980" s="23">
        <v>0</v>
      </c>
      <c r="O4980">
        <f t="shared" si="995"/>
        <v>1</v>
      </c>
      <c r="P4980" s="57">
        <f t="shared" si="996"/>
        <v>1</v>
      </c>
      <c r="Q4980" s="267">
        <f t="shared" si="997"/>
        <v>751</v>
      </c>
      <c r="R4980" s="23">
        <f t="shared" si="998"/>
        <v>735</v>
      </c>
      <c r="S4980" s="23">
        <f t="shared" si="999"/>
        <v>0</v>
      </c>
      <c r="T4980" s="23" t="str">
        <f t="shared" si="1000"/>
        <v/>
      </c>
      <c r="U4980" t="str">
        <f t="shared" si="1001"/>
        <v>PA_Alleg_2019p~Dem-school director carlynton (vote for 1)</v>
      </c>
      <c r="AF4980" s="22"/>
      <c r="AL4980" s="344"/>
    </row>
    <row r="4981" spans="1:38">
      <c r="A4981" t="str">
        <f t="shared" si="1002"/>
        <v>PA_Alleg_2019p~Dem-school director carlynton (vote for 1)</v>
      </c>
      <c r="B4981" s="55" t="s">
        <v>1291</v>
      </c>
      <c r="C4981">
        <v>334</v>
      </c>
      <c r="D4981" s="55" t="s">
        <v>341</v>
      </c>
      <c r="E4981" s="55" t="s">
        <v>15</v>
      </c>
      <c r="F4981" t="s">
        <v>12</v>
      </c>
      <c r="G4981" s="62">
        <v>16</v>
      </c>
      <c r="H4981" s="25">
        <v>2.13</v>
      </c>
      <c r="I4981">
        <v>10709</v>
      </c>
      <c r="J4981">
        <v>1277</v>
      </c>
      <c r="K4981">
        <v>15</v>
      </c>
      <c r="L4981">
        <v>15</v>
      </c>
      <c r="M4981">
        <v>0</v>
      </c>
      <c r="N4981" s="23">
        <v>0</v>
      </c>
      <c r="O4981">
        <f t="shared" si="995"/>
        <v>-1</v>
      </c>
      <c r="P4981" s="57">
        <f t="shared" si="996"/>
        <v>1</v>
      </c>
      <c r="Q4981" s="267">
        <f t="shared" si="997"/>
        <v>16</v>
      </c>
      <c r="R4981" s="23">
        <f t="shared" si="998"/>
        <v>1</v>
      </c>
      <c r="S4981" s="23">
        <f t="shared" si="999"/>
        <v>0</v>
      </c>
      <c r="T4981" s="23" t="str">
        <f t="shared" si="1000"/>
        <v/>
      </c>
      <c r="U4981" t="str">
        <f t="shared" si="1001"/>
        <v/>
      </c>
      <c r="AF4981" s="22"/>
    </row>
    <row r="4982" spans="1:38">
      <c r="A4982" t="str">
        <f t="shared" si="1002"/>
        <v>PA_Alleg_2019p~Dem-school director carlynton (vote for 5)</v>
      </c>
      <c r="B4982" s="55" t="s">
        <v>1291</v>
      </c>
      <c r="C4982">
        <v>139</v>
      </c>
      <c r="D4982" s="55" t="s">
        <v>149</v>
      </c>
      <c r="E4982" s="55" t="s">
        <v>151</v>
      </c>
      <c r="F4982" t="s">
        <v>12</v>
      </c>
      <c r="G4982" s="62">
        <v>656</v>
      </c>
      <c r="H4982" s="25">
        <v>21.4</v>
      </c>
      <c r="I4982">
        <v>10709</v>
      </c>
      <c r="J4982">
        <v>1277</v>
      </c>
      <c r="K4982">
        <v>15</v>
      </c>
      <c r="L4982">
        <v>15</v>
      </c>
      <c r="M4982">
        <v>0</v>
      </c>
      <c r="N4982" s="23">
        <v>0</v>
      </c>
      <c r="O4982">
        <f t="shared" si="995"/>
        <v>1</v>
      </c>
      <c r="P4982" s="57">
        <f t="shared" si="996"/>
        <v>5</v>
      </c>
      <c r="Q4982" s="267">
        <f t="shared" si="997"/>
        <v>656</v>
      </c>
      <c r="R4982" s="23">
        <f t="shared" si="998"/>
        <v>576</v>
      </c>
      <c r="S4982" s="23">
        <f t="shared" si="999"/>
        <v>0</v>
      </c>
      <c r="T4982" s="23" t="str">
        <f t="shared" si="1000"/>
        <v/>
      </c>
      <c r="U4982" t="str">
        <f t="shared" si="1001"/>
        <v>PA_Alleg_2019p~Dem-school director carlynton (vote for 5)</v>
      </c>
      <c r="AF4982" s="22"/>
    </row>
    <row r="4983" spans="1:38">
      <c r="A4983" t="str">
        <f t="shared" si="1002"/>
        <v>PA_Alleg_2019p~Dem-school director carlynton (vote for 5)</v>
      </c>
      <c r="B4983" s="55" t="s">
        <v>1291</v>
      </c>
      <c r="C4983">
        <v>141</v>
      </c>
      <c r="D4983" s="55" t="s">
        <v>149</v>
      </c>
      <c r="E4983" s="55" t="s">
        <v>153</v>
      </c>
      <c r="F4983" t="s">
        <v>12</v>
      </c>
      <c r="G4983" s="62">
        <v>632</v>
      </c>
      <c r="H4983" s="25">
        <v>20.62</v>
      </c>
      <c r="I4983">
        <v>10709</v>
      </c>
      <c r="J4983">
        <v>1277</v>
      </c>
      <c r="K4983">
        <v>15</v>
      </c>
      <c r="L4983">
        <v>15</v>
      </c>
      <c r="M4983">
        <v>0</v>
      </c>
      <c r="N4983" s="23">
        <v>0</v>
      </c>
      <c r="O4983">
        <f t="shared" si="995"/>
        <v>2</v>
      </c>
      <c r="P4983" s="57">
        <f t="shared" si="996"/>
        <v>5</v>
      </c>
      <c r="Q4983" s="267">
        <f t="shared" si="997"/>
        <v>2409</v>
      </c>
      <c r="R4983" s="23">
        <f t="shared" si="998"/>
        <v>576</v>
      </c>
      <c r="S4983" s="23">
        <f t="shared" si="999"/>
        <v>0</v>
      </c>
      <c r="T4983" s="23" t="str">
        <f t="shared" si="1000"/>
        <v/>
      </c>
      <c r="U4983" t="str">
        <f t="shared" si="1001"/>
        <v/>
      </c>
    </row>
    <row r="4984" spans="1:38">
      <c r="A4984" t="str">
        <f t="shared" si="1002"/>
        <v>PA_Alleg_2019p~Dem-school director carlynton (vote for 5)</v>
      </c>
      <c r="B4984" s="55" t="s">
        <v>1291</v>
      </c>
      <c r="C4984">
        <v>140</v>
      </c>
      <c r="D4984" s="55" t="s">
        <v>149</v>
      </c>
      <c r="E4984" s="55" t="s">
        <v>152</v>
      </c>
      <c r="F4984" t="s">
        <v>12</v>
      </c>
      <c r="G4984" s="62">
        <v>587</v>
      </c>
      <c r="H4984" s="25">
        <v>19.149999999999999</v>
      </c>
      <c r="I4984">
        <v>10709</v>
      </c>
      <c r="J4984">
        <v>1277</v>
      </c>
      <c r="K4984">
        <v>15</v>
      </c>
      <c r="L4984">
        <v>15</v>
      </c>
      <c r="M4984">
        <v>0</v>
      </c>
      <c r="N4984" s="23">
        <v>0</v>
      </c>
      <c r="O4984">
        <f t="shared" si="995"/>
        <v>3</v>
      </c>
      <c r="P4984" s="57">
        <f t="shared" si="996"/>
        <v>5</v>
      </c>
      <c r="Q4984" s="267">
        <f t="shared" si="997"/>
        <v>1777</v>
      </c>
      <c r="R4984" s="23">
        <f t="shared" si="998"/>
        <v>576</v>
      </c>
      <c r="S4984" s="23">
        <f t="shared" si="999"/>
        <v>0</v>
      </c>
      <c r="T4984" s="23" t="str">
        <f t="shared" si="1000"/>
        <v/>
      </c>
      <c r="U4984" t="str">
        <f t="shared" si="1001"/>
        <v/>
      </c>
      <c r="AF4984" s="88"/>
      <c r="AG4984" s="23"/>
      <c r="AH4984" s="8"/>
    </row>
    <row r="4985" spans="1:38">
      <c r="A4985" t="str">
        <f t="shared" si="1002"/>
        <v>PA_Alleg_2019p~Dem-school director carlynton (vote for 5)</v>
      </c>
      <c r="B4985" s="55" t="s">
        <v>1291</v>
      </c>
      <c r="C4985">
        <v>138</v>
      </c>
      <c r="D4985" s="55" t="s">
        <v>149</v>
      </c>
      <c r="E4985" s="55" t="s">
        <v>150</v>
      </c>
      <c r="F4985" t="s">
        <v>12</v>
      </c>
      <c r="G4985" s="62">
        <v>583</v>
      </c>
      <c r="H4985" s="25">
        <v>19.02</v>
      </c>
      <c r="I4985">
        <v>10709</v>
      </c>
      <c r="J4985">
        <v>1277</v>
      </c>
      <c r="K4985">
        <v>15</v>
      </c>
      <c r="L4985">
        <v>15</v>
      </c>
      <c r="M4985">
        <v>0</v>
      </c>
      <c r="N4985" s="23">
        <v>0</v>
      </c>
      <c r="O4985">
        <f t="shared" si="995"/>
        <v>4</v>
      </c>
      <c r="P4985" s="57">
        <f t="shared" si="996"/>
        <v>5</v>
      </c>
      <c r="Q4985" s="267">
        <f t="shared" si="997"/>
        <v>1190</v>
      </c>
      <c r="R4985" s="23">
        <f t="shared" si="998"/>
        <v>576</v>
      </c>
      <c r="S4985" s="23">
        <f t="shared" si="999"/>
        <v>0</v>
      </c>
      <c r="T4985" s="23" t="str">
        <f t="shared" si="1000"/>
        <v/>
      </c>
      <c r="U4985" t="str">
        <f t="shared" si="1001"/>
        <v/>
      </c>
      <c r="AF4985" s="22"/>
      <c r="AG4985" s="302"/>
      <c r="AH4985" s="301"/>
      <c r="AI4985" s="303"/>
      <c r="AJ4985" s="303"/>
      <c r="AK4985" s="342"/>
      <c r="AL4985" s="343"/>
    </row>
    <row r="4986" spans="1:38">
      <c r="A4986" t="str">
        <f t="shared" si="1002"/>
        <v>PA_Alleg_2019p~Dem-school director carlynton (vote for 5)</v>
      </c>
      <c r="B4986" s="55" t="s">
        <v>1291</v>
      </c>
      <c r="C4986">
        <v>142</v>
      </c>
      <c r="D4986" s="55" t="s">
        <v>149</v>
      </c>
      <c r="E4986" s="55" t="s">
        <v>154</v>
      </c>
      <c r="F4986" t="s">
        <v>12</v>
      </c>
      <c r="G4986" s="62">
        <v>576</v>
      </c>
      <c r="H4986" s="25">
        <v>18.79</v>
      </c>
      <c r="I4986">
        <v>10709</v>
      </c>
      <c r="J4986">
        <v>1277</v>
      </c>
      <c r="K4986">
        <v>15</v>
      </c>
      <c r="L4986">
        <v>15</v>
      </c>
      <c r="M4986">
        <v>0</v>
      </c>
      <c r="N4986" s="23">
        <v>0</v>
      </c>
      <c r="O4986">
        <f t="shared" si="995"/>
        <v>5</v>
      </c>
      <c r="P4986" s="57">
        <f t="shared" si="996"/>
        <v>5</v>
      </c>
      <c r="Q4986" s="267">
        <f t="shared" si="997"/>
        <v>607</v>
      </c>
      <c r="R4986" s="23">
        <f t="shared" si="998"/>
        <v>576</v>
      </c>
      <c r="S4986" s="23">
        <f t="shared" si="999"/>
        <v>0</v>
      </c>
      <c r="T4986" s="23" t="str">
        <f t="shared" si="1000"/>
        <v/>
      </c>
      <c r="U4986" t="str">
        <f t="shared" si="1001"/>
        <v/>
      </c>
      <c r="AF4986" s="22"/>
      <c r="AH4986" s="8"/>
      <c r="AL4986" s="23"/>
    </row>
    <row r="4987" spans="1:38">
      <c r="A4987" t="str">
        <f t="shared" si="1002"/>
        <v>PA_Alleg_2019p~Dem-school director carlynton (vote for 5)</v>
      </c>
      <c r="B4987" s="55" t="s">
        <v>1291</v>
      </c>
      <c r="C4987">
        <v>143</v>
      </c>
      <c r="D4987" s="55" t="s">
        <v>149</v>
      </c>
      <c r="E4987" s="55" t="s">
        <v>15</v>
      </c>
      <c r="F4987" t="s">
        <v>12</v>
      </c>
      <c r="G4987" s="62">
        <v>31</v>
      </c>
      <c r="H4987" s="25">
        <v>1.01</v>
      </c>
      <c r="I4987">
        <v>10709</v>
      </c>
      <c r="J4987">
        <v>1277</v>
      </c>
      <c r="K4987">
        <v>15</v>
      </c>
      <c r="L4987">
        <v>15</v>
      </c>
      <c r="M4987">
        <v>0</v>
      </c>
      <c r="N4987" s="23">
        <v>0</v>
      </c>
      <c r="O4987">
        <f t="shared" si="995"/>
        <v>-5</v>
      </c>
      <c r="P4987" s="57">
        <f t="shared" si="996"/>
        <v>5</v>
      </c>
      <c r="Q4987" s="267">
        <f t="shared" si="997"/>
        <v>31</v>
      </c>
      <c r="R4987" s="23">
        <f t="shared" si="998"/>
        <v>1</v>
      </c>
      <c r="S4987" s="23">
        <f t="shared" si="999"/>
        <v>0</v>
      </c>
      <c r="T4987" s="23" t="str">
        <f t="shared" si="1000"/>
        <v/>
      </c>
      <c r="U4987" t="str">
        <f t="shared" si="1001"/>
        <v/>
      </c>
      <c r="AF4987" s="22"/>
      <c r="AH4987" s="8"/>
      <c r="AL4987" s="23"/>
    </row>
    <row r="4988" spans="1:38">
      <c r="A4988" t="str">
        <f t="shared" si="1002"/>
        <v>PA_Alleg_2019p~Dem-school director chartiers valley (vote for 5)</v>
      </c>
      <c r="B4988" s="55" t="s">
        <v>1291</v>
      </c>
      <c r="C4988">
        <v>145</v>
      </c>
      <c r="D4988" s="55" t="s">
        <v>155</v>
      </c>
      <c r="E4988" s="55" t="s">
        <v>157</v>
      </c>
      <c r="F4988" t="s">
        <v>12</v>
      </c>
      <c r="G4988" s="62">
        <v>1678</v>
      </c>
      <c r="H4988" s="25">
        <v>21.77</v>
      </c>
      <c r="I4988">
        <v>22760</v>
      </c>
      <c r="J4988">
        <v>3631</v>
      </c>
      <c r="K4988">
        <v>29</v>
      </c>
      <c r="L4988">
        <v>29</v>
      </c>
      <c r="M4988">
        <v>0</v>
      </c>
      <c r="N4988" s="23">
        <v>0</v>
      </c>
      <c r="O4988">
        <f t="shared" si="995"/>
        <v>1</v>
      </c>
      <c r="P4988" s="57">
        <f t="shared" si="996"/>
        <v>5</v>
      </c>
      <c r="Q4988" s="267">
        <f t="shared" si="997"/>
        <v>1678</v>
      </c>
      <c r="R4988" s="23">
        <f t="shared" si="998"/>
        <v>1389</v>
      </c>
      <c r="S4988" s="23">
        <f t="shared" si="999"/>
        <v>0</v>
      </c>
      <c r="T4988" s="23" t="str">
        <f t="shared" si="1000"/>
        <v/>
      </c>
      <c r="U4988" t="str">
        <f t="shared" si="1001"/>
        <v>PA_Alleg_2019p~Dem-school director chartiers valley (vote for 5)</v>
      </c>
      <c r="AF4988" s="22"/>
    </row>
    <row r="4989" spans="1:38">
      <c r="A4989" t="str">
        <f t="shared" si="1002"/>
        <v>PA_Alleg_2019p~Dem-school director chartiers valley (vote for 5)</v>
      </c>
      <c r="B4989" s="55" t="s">
        <v>1291</v>
      </c>
      <c r="C4989">
        <v>148</v>
      </c>
      <c r="D4989" s="55" t="s">
        <v>155</v>
      </c>
      <c r="E4989" s="55" t="s">
        <v>160</v>
      </c>
      <c r="F4989" t="s">
        <v>12</v>
      </c>
      <c r="G4989" s="62">
        <v>1654</v>
      </c>
      <c r="H4989" s="25">
        <v>21.46</v>
      </c>
      <c r="I4989">
        <v>22760</v>
      </c>
      <c r="J4989">
        <v>3631</v>
      </c>
      <c r="K4989">
        <v>29</v>
      </c>
      <c r="L4989">
        <v>29</v>
      </c>
      <c r="M4989">
        <v>0</v>
      </c>
      <c r="N4989" s="23">
        <v>0</v>
      </c>
      <c r="O4989">
        <f t="shared" si="995"/>
        <v>2</v>
      </c>
      <c r="P4989" s="57">
        <f t="shared" si="996"/>
        <v>5</v>
      </c>
      <c r="Q4989" s="267">
        <f t="shared" si="997"/>
        <v>6030</v>
      </c>
      <c r="R4989" s="23">
        <f t="shared" si="998"/>
        <v>1389</v>
      </c>
      <c r="S4989" s="23">
        <f t="shared" si="999"/>
        <v>0</v>
      </c>
      <c r="T4989" s="23" t="str">
        <f t="shared" si="1000"/>
        <v/>
      </c>
      <c r="U4989" t="str">
        <f t="shared" si="1001"/>
        <v/>
      </c>
      <c r="AF4989" s="22"/>
    </row>
    <row r="4990" spans="1:38">
      <c r="A4990" t="str">
        <f t="shared" si="1002"/>
        <v>PA_Alleg_2019p~Dem-school director chartiers valley (vote for 5)</v>
      </c>
      <c r="B4990" s="55" t="s">
        <v>1291</v>
      </c>
      <c r="C4990">
        <v>146</v>
      </c>
      <c r="D4990" s="55" t="s">
        <v>155</v>
      </c>
      <c r="E4990" s="55" t="s">
        <v>158</v>
      </c>
      <c r="F4990" t="s">
        <v>12</v>
      </c>
      <c r="G4990" s="62">
        <v>1481</v>
      </c>
      <c r="H4990" s="25">
        <v>19.21</v>
      </c>
      <c r="I4990">
        <v>22760</v>
      </c>
      <c r="J4990">
        <v>3631</v>
      </c>
      <c r="K4990">
        <v>29</v>
      </c>
      <c r="L4990">
        <v>29</v>
      </c>
      <c r="M4990">
        <v>0</v>
      </c>
      <c r="N4990" s="23">
        <v>0</v>
      </c>
      <c r="O4990">
        <f t="shared" si="995"/>
        <v>3</v>
      </c>
      <c r="P4990" s="57">
        <f t="shared" si="996"/>
        <v>5</v>
      </c>
      <c r="Q4990" s="267">
        <f t="shared" si="997"/>
        <v>4376</v>
      </c>
      <c r="R4990" s="23">
        <f t="shared" si="998"/>
        <v>1389</v>
      </c>
      <c r="S4990" s="23">
        <f t="shared" si="999"/>
        <v>0</v>
      </c>
      <c r="T4990" s="23" t="str">
        <f t="shared" si="1000"/>
        <v/>
      </c>
      <c r="U4990" t="str">
        <f t="shared" si="1001"/>
        <v/>
      </c>
    </row>
    <row r="4991" spans="1:38">
      <c r="A4991" t="str">
        <f t="shared" si="1002"/>
        <v>PA_Alleg_2019p~Dem-school director chartiers valley (vote for 5)</v>
      </c>
      <c r="B4991" s="55" t="s">
        <v>1291</v>
      </c>
      <c r="C4991">
        <v>144</v>
      </c>
      <c r="D4991" s="55" t="s">
        <v>155</v>
      </c>
      <c r="E4991" s="55" t="s">
        <v>156</v>
      </c>
      <c r="F4991" t="s">
        <v>12</v>
      </c>
      <c r="G4991" s="62">
        <v>1453</v>
      </c>
      <c r="H4991" s="25">
        <v>18.850000000000001</v>
      </c>
      <c r="I4991">
        <v>22760</v>
      </c>
      <c r="J4991">
        <v>3631</v>
      </c>
      <c r="K4991">
        <v>29</v>
      </c>
      <c r="L4991">
        <v>29</v>
      </c>
      <c r="M4991">
        <v>0</v>
      </c>
      <c r="N4991" s="23">
        <v>0</v>
      </c>
      <c r="O4991">
        <f t="shared" si="995"/>
        <v>4</v>
      </c>
      <c r="P4991" s="57">
        <f t="shared" si="996"/>
        <v>5</v>
      </c>
      <c r="Q4991" s="267">
        <f t="shared" si="997"/>
        <v>2895</v>
      </c>
      <c r="R4991" s="23">
        <f t="shared" si="998"/>
        <v>1389</v>
      </c>
      <c r="S4991" s="23">
        <f t="shared" si="999"/>
        <v>0</v>
      </c>
      <c r="T4991" s="23" t="str">
        <f t="shared" si="1000"/>
        <v/>
      </c>
      <c r="U4991" t="str">
        <f t="shared" si="1001"/>
        <v/>
      </c>
      <c r="AF4991" s="22"/>
    </row>
    <row r="4992" spans="1:38">
      <c r="A4992" t="str">
        <f t="shared" si="1002"/>
        <v>PA_Alleg_2019p~Dem-school director chartiers valley (vote for 5)</v>
      </c>
      <c r="B4992" s="55" t="s">
        <v>1291</v>
      </c>
      <c r="C4992">
        <v>147</v>
      </c>
      <c r="D4992" s="55" t="s">
        <v>155</v>
      </c>
      <c r="E4992" s="55" t="s">
        <v>159</v>
      </c>
      <c r="F4992" t="s">
        <v>12</v>
      </c>
      <c r="G4992" s="62">
        <v>1389</v>
      </c>
      <c r="H4992" s="25">
        <v>18.02</v>
      </c>
      <c r="I4992">
        <v>22760</v>
      </c>
      <c r="J4992">
        <v>3631</v>
      </c>
      <c r="K4992">
        <v>29</v>
      </c>
      <c r="L4992">
        <v>29</v>
      </c>
      <c r="M4992">
        <v>0</v>
      </c>
      <c r="N4992" s="23">
        <v>0</v>
      </c>
      <c r="O4992">
        <f t="shared" si="995"/>
        <v>5</v>
      </c>
      <c r="P4992" s="57">
        <f t="shared" si="996"/>
        <v>5</v>
      </c>
      <c r="Q4992" s="267">
        <f t="shared" si="997"/>
        <v>1442</v>
      </c>
      <c r="R4992" s="23">
        <f t="shared" si="998"/>
        <v>1389</v>
      </c>
      <c r="S4992" s="23">
        <f t="shared" si="999"/>
        <v>0</v>
      </c>
      <c r="T4992" s="23" t="str">
        <f t="shared" si="1000"/>
        <v/>
      </c>
      <c r="U4992" t="str">
        <f t="shared" si="1001"/>
        <v/>
      </c>
      <c r="AF4992" s="22"/>
      <c r="AG4992" s="23"/>
      <c r="AH4992" s="8"/>
    </row>
    <row r="4993" spans="1:38">
      <c r="A4993" t="str">
        <f t="shared" si="1002"/>
        <v>PA_Alleg_2019p~Dem-school director chartiers valley (vote for 5)</v>
      </c>
      <c r="B4993" s="55" t="s">
        <v>1291</v>
      </c>
      <c r="C4993">
        <v>149</v>
      </c>
      <c r="D4993" s="55" t="s">
        <v>155</v>
      </c>
      <c r="E4993" s="55" t="s">
        <v>15</v>
      </c>
      <c r="F4993" t="s">
        <v>12</v>
      </c>
      <c r="G4993" s="62">
        <v>53</v>
      </c>
      <c r="H4993" s="25">
        <v>0.69</v>
      </c>
      <c r="I4993">
        <v>22760</v>
      </c>
      <c r="J4993">
        <v>3631</v>
      </c>
      <c r="K4993">
        <v>29</v>
      </c>
      <c r="L4993">
        <v>29</v>
      </c>
      <c r="M4993">
        <v>0</v>
      </c>
      <c r="N4993" s="23">
        <v>0</v>
      </c>
      <c r="O4993">
        <f t="shared" si="995"/>
        <v>-5</v>
      </c>
      <c r="P4993" s="57">
        <f t="shared" si="996"/>
        <v>5</v>
      </c>
      <c r="Q4993" s="267">
        <f t="shared" si="997"/>
        <v>53</v>
      </c>
      <c r="R4993" s="23">
        <f t="shared" si="998"/>
        <v>1</v>
      </c>
      <c r="S4993" s="23">
        <f t="shared" si="999"/>
        <v>0</v>
      </c>
      <c r="T4993" s="23" t="str">
        <f t="shared" si="1000"/>
        <v/>
      </c>
      <c r="U4993" t="str">
        <f t="shared" si="1001"/>
        <v/>
      </c>
      <c r="AF4993" s="22"/>
    </row>
    <row r="4994" spans="1:38">
      <c r="A4994" t="str">
        <f t="shared" si="1002"/>
        <v>PA_Alleg_2019p~Dem-school director clairton region 1 (vote for 1)</v>
      </c>
      <c r="B4994" s="55" t="s">
        <v>1291</v>
      </c>
      <c r="C4994">
        <v>365</v>
      </c>
      <c r="D4994" s="55" t="s">
        <v>373</v>
      </c>
      <c r="E4994" s="55" t="s">
        <v>374</v>
      </c>
      <c r="F4994" t="s">
        <v>12</v>
      </c>
      <c r="G4994" s="62">
        <v>133</v>
      </c>
      <c r="H4994" s="25">
        <v>97.79</v>
      </c>
      <c r="I4994">
        <v>1137</v>
      </c>
      <c r="J4994">
        <v>183</v>
      </c>
      <c r="K4994">
        <v>3</v>
      </c>
      <c r="L4994">
        <v>3</v>
      </c>
      <c r="M4994">
        <v>0</v>
      </c>
      <c r="N4994" s="23">
        <v>0</v>
      </c>
      <c r="O4994">
        <f t="shared" ref="O4994:O5057" si="1003">IF(OR(LOWER(LEFT(E4994,8))="write-in",LOWER(LEFT(E4994,8))="not qual"),IF(A4994=A4993,-ABS(O4993),0),IF(A4994=A4993,ABS(O4993)+1,1))</f>
        <v>1</v>
      </c>
      <c r="P4994" s="57">
        <f t="shared" ref="P4994:P5057" si="1004">1*LEFT(RIGHT(A4994,2),1)</f>
        <v>1</v>
      </c>
      <c r="Q4994" s="267">
        <f t="shared" ref="Q4994:Q5057" si="1005">IF(A4994&lt;&gt;A4995,G4994,IF(A4994=A4993,G4994+Q4995,MAX(G4994,(G4994+Q4995)/P4994)))</f>
        <v>136</v>
      </c>
      <c r="R4994" s="23">
        <f t="shared" ref="R4994:R5057" si="1006">IF(O4994&gt;P4994,"",IF(O4994=P4994,G4994,IF(A4994=A4995,R4995,IF(O4994&lt;=0,1,G4994))))</f>
        <v>133</v>
      </c>
      <c r="S4994" s="23">
        <f t="shared" ref="S4994:S5057" si="1007">IF(AND(O4994&gt;P4994,LOWER(LEFT(E4994,8))&lt;&gt;"write-in",LOWER(LEFT(E4994,8))&lt;&gt;"not qual"),G4994,IF(A4994=A4995,S4995,0))</f>
        <v>0</v>
      </c>
      <c r="T4994" s="23" t="str">
        <f t="shared" ref="T4994:T5057" si="1008">IF(OR(A4994=A4993,S4994=0),"",R4994-ABS(S4994))</f>
        <v/>
      </c>
      <c r="U4994" t="str">
        <f t="shared" ref="U4994:U5057" si="1009">IF(A4994=A4993,"",A4994)</f>
        <v>PA_Alleg_2019p~Dem-school director clairton region 1 (vote for 1)</v>
      </c>
      <c r="AF4994" s="22"/>
    </row>
    <row r="4995" spans="1:38">
      <c r="A4995" t="str">
        <f t="shared" ref="A4995:A5058" si="1010">CONCATENATE(B4995,"~",F4995,"-",LOWER(D4995))</f>
        <v>PA_Alleg_2019p~Dem-school director clairton region 1 (vote for 1)</v>
      </c>
      <c r="B4995" s="55" t="s">
        <v>1291</v>
      </c>
      <c r="C4995">
        <v>366</v>
      </c>
      <c r="D4995" s="55" t="s">
        <v>373</v>
      </c>
      <c r="E4995" s="55" t="s">
        <v>15</v>
      </c>
      <c r="F4995" t="s">
        <v>12</v>
      </c>
      <c r="G4995" s="62">
        <v>3</v>
      </c>
      <c r="H4995" s="25">
        <v>2.21</v>
      </c>
      <c r="I4995">
        <v>1137</v>
      </c>
      <c r="J4995">
        <v>183</v>
      </c>
      <c r="K4995">
        <v>3</v>
      </c>
      <c r="L4995">
        <v>3</v>
      </c>
      <c r="M4995">
        <v>0</v>
      </c>
      <c r="N4995" s="23">
        <v>0</v>
      </c>
      <c r="O4995">
        <f t="shared" si="1003"/>
        <v>-1</v>
      </c>
      <c r="P4995" s="57">
        <f t="shared" si="1004"/>
        <v>1</v>
      </c>
      <c r="Q4995" s="267">
        <f t="shared" si="1005"/>
        <v>3</v>
      </c>
      <c r="R4995" s="23">
        <f t="shared" si="1006"/>
        <v>1</v>
      </c>
      <c r="S4995" s="23">
        <f t="shared" si="1007"/>
        <v>0</v>
      </c>
      <c r="T4995" s="23" t="str">
        <f t="shared" si="1008"/>
        <v/>
      </c>
      <c r="U4995" t="str">
        <f t="shared" si="1009"/>
        <v/>
      </c>
      <c r="AF4995" s="22"/>
    </row>
    <row r="4996" spans="1:38">
      <c r="A4996" t="str">
        <f t="shared" si="1010"/>
        <v>PA_Alleg_2019p~Dem-school director clairton region 2 (vote for 1)</v>
      </c>
      <c r="B4996" s="55" t="s">
        <v>1291</v>
      </c>
      <c r="C4996">
        <v>401</v>
      </c>
      <c r="D4996" s="55" t="s">
        <v>409</v>
      </c>
      <c r="E4996" s="55" t="s">
        <v>410</v>
      </c>
      <c r="F4996" t="s">
        <v>12</v>
      </c>
      <c r="G4996" s="62">
        <v>74</v>
      </c>
      <c r="H4996" s="25">
        <v>54.41</v>
      </c>
      <c r="I4996">
        <v>937</v>
      </c>
      <c r="J4996">
        <v>153</v>
      </c>
      <c r="K4996">
        <v>3</v>
      </c>
      <c r="L4996">
        <v>3</v>
      </c>
      <c r="M4996">
        <v>0</v>
      </c>
      <c r="N4996" s="23">
        <v>0</v>
      </c>
      <c r="O4996">
        <f t="shared" si="1003"/>
        <v>1</v>
      </c>
      <c r="P4996" s="57">
        <f t="shared" si="1004"/>
        <v>1</v>
      </c>
      <c r="Q4996" s="267">
        <f t="shared" si="1005"/>
        <v>162</v>
      </c>
      <c r="R4996" s="23">
        <f t="shared" si="1006"/>
        <v>74</v>
      </c>
      <c r="S4996" s="23">
        <f t="shared" si="1007"/>
        <v>59</v>
      </c>
      <c r="T4996" s="23">
        <f t="shared" si="1008"/>
        <v>15</v>
      </c>
      <c r="U4996" t="str">
        <f t="shared" si="1009"/>
        <v>PA_Alleg_2019p~Dem-school director clairton region 2 (vote for 1)</v>
      </c>
      <c r="AF4996" s="88"/>
    </row>
    <row r="4997" spans="1:38">
      <c r="A4997" t="str">
        <f t="shared" si="1010"/>
        <v>PA_Alleg_2019p~Dem-school director clairton region 2 (vote for 1)</v>
      </c>
      <c r="B4997" s="55" t="s">
        <v>1291</v>
      </c>
      <c r="C4997">
        <v>402</v>
      </c>
      <c r="D4997" s="55" t="s">
        <v>409</v>
      </c>
      <c r="E4997" s="55" t="s">
        <v>411</v>
      </c>
      <c r="F4997" t="s">
        <v>12</v>
      </c>
      <c r="G4997" s="62">
        <v>59</v>
      </c>
      <c r="H4997" s="25">
        <v>43.38</v>
      </c>
      <c r="I4997">
        <v>937</v>
      </c>
      <c r="J4997">
        <v>153</v>
      </c>
      <c r="K4997">
        <v>3</v>
      </c>
      <c r="L4997">
        <v>3</v>
      </c>
      <c r="M4997">
        <v>0</v>
      </c>
      <c r="N4997" s="23">
        <v>0</v>
      </c>
      <c r="O4997">
        <f t="shared" si="1003"/>
        <v>2</v>
      </c>
      <c r="P4997" s="57">
        <f t="shared" si="1004"/>
        <v>1</v>
      </c>
      <c r="Q4997" s="267">
        <f t="shared" si="1005"/>
        <v>88</v>
      </c>
      <c r="R4997" s="23" t="str">
        <f t="shared" si="1006"/>
        <v/>
      </c>
      <c r="S4997" s="23">
        <f t="shared" si="1007"/>
        <v>59</v>
      </c>
      <c r="T4997" s="23" t="str">
        <f t="shared" si="1008"/>
        <v/>
      </c>
      <c r="U4997" t="str">
        <f t="shared" si="1009"/>
        <v/>
      </c>
    </row>
    <row r="4998" spans="1:38">
      <c r="A4998" t="str">
        <f t="shared" si="1010"/>
        <v>PA_Alleg_2019p~Dem-school director clairton region 2 (vote for 1)</v>
      </c>
      <c r="B4998" s="55" t="s">
        <v>1291</v>
      </c>
      <c r="C4998">
        <v>413</v>
      </c>
      <c r="D4998" s="55" t="s">
        <v>409</v>
      </c>
      <c r="E4998" s="55" t="s">
        <v>15</v>
      </c>
      <c r="F4998" t="s">
        <v>12</v>
      </c>
      <c r="G4998" s="62">
        <v>26</v>
      </c>
      <c r="H4998" s="25">
        <v>100</v>
      </c>
      <c r="I4998">
        <v>937</v>
      </c>
      <c r="J4998">
        <v>153</v>
      </c>
      <c r="K4998">
        <v>3</v>
      </c>
      <c r="L4998">
        <v>3</v>
      </c>
      <c r="M4998">
        <v>0</v>
      </c>
      <c r="N4998" s="23">
        <v>0</v>
      </c>
      <c r="O4998">
        <f t="shared" si="1003"/>
        <v>-2</v>
      </c>
      <c r="P4998" s="57">
        <f t="shared" si="1004"/>
        <v>1</v>
      </c>
      <c r="Q4998" s="267">
        <f t="shared" si="1005"/>
        <v>29</v>
      </c>
      <c r="R4998" s="23">
        <f t="shared" si="1006"/>
        <v>1</v>
      </c>
      <c r="S4998" s="23">
        <f t="shared" si="1007"/>
        <v>0</v>
      </c>
      <c r="T4998" s="23" t="str">
        <f t="shared" si="1008"/>
        <v/>
      </c>
      <c r="U4998" t="str">
        <f t="shared" si="1009"/>
        <v/>
      </c>
      <c r="AF4998" s="22"/>
    </row>
    <row r="4999" spans="1:38">
      <c r="A4999" t="str">
        <f t="shared" si="1010"/>
        <v>PA_Alleg_2019p~Dem-school director clairton region 2 (vote for 1)</v>
      </c>
      <c r="B4999" s="55" t="s">
        <v>1291</v>
      </c>
      <c r="C4999">
        <v>403</v>
      </c>
      <c r="D4999" s="55" t="s">
        <v>409</v>
      </c>
      <c r="E4999" s="55" t="s">
        <v>15</v>
      </c>
      <c r="F4999" t="s">
        <v>12</v>
      </c>
      <c r="G4999" s="62">
        <v>3</v>
      </c>
      <c r="H4999" s="25">
        <v>2.21</v>
      </c>
      <c r="I4999">
        <v>937</v>
      </c>
      <c r="J4999">
        <v>153</v>
      </c>
      <c r="K4999">
        <v>3</v>
      </c>
      <c r="L4999">
        <v>3</v>
      </c>
      <c r="M4999">
        <v>0</v>
      </c>
      <c r="N4999" s="23">
        <v>0</v>
      </c>
      <c r="O4999">
        <f t="shared" si="1003"/>
        <v>-2</v>
      </c>
      <c r="P4999" s="57">
        <f t="shared" si="1004"/>
        <v>1</v>
      </c>
      <c r="Q4999" s="267">
        <f t="shared" si="1005"/>
        <v>3</v>
      </c>
      <c r="R4999" s="23">
        <f t="shared" si="1006"/>
        <v>1</v>
      </c>
      <c r="S4999" s="23">
        <f t="shared" si="1007"/>
        <v>0</v>
      </c>
      <c r="T4999" s="23" t="str">
        <f t="shared" si="1008"/>
        <v/>
      </c>
      <c r="U4999" t="str">
        <f t="shared" si="1009"/>
        <v/>
      </c>
      <c r="AF4999" s="22"/>
    </row>
    <row r="5000" spans="1:38">
      <c r="A5000" t="str">
        <f t="shared" si="1010"/>
        <v>PA_Alleg_2019p~Dem-school director clairton region 3 (vote for 1)</v>
      </c>
      <c r="B5000" s="55" t="s">
        <v>1291</v>
      </c>
      <c r="C5000">
        <v>438</v>
      </c>
      <c r="D5000" s="55" t="s">
        <v>442</v>
      </c>
      <c r="E5000" s="55" t="s">
        <v>443</v>
      </c>
      <c r="F5000" t="s">
        <v>12</v>
      </c>
      <c r="G5000" s="62">
        <v>101</v>
      </c>
      <c r="H5000" s="25">
        <v>98.06</v>
      </c>
      <c r="I5000">
        <v>1280</v>
      </c>
      <c r="J5000">
        <v>148</v>
      </c>
      <c r="K5000">
        <v>3</v>
      </c>
      <c r="L5000">
        <v>3</v>
      </c>
      <c r="M5000">
        <v>0</v>
      </c>
      <c r="N5000" s="23">
        <v>0</v>
      </c>
      <c r="O5000">
        <f t="shared" si="1003"/>
        <v>1</v>
      </c>
      <c r="P5000" s="57">
        <f t="shared" si="1004"/>
        <v>1</v>
      </c>
      <c r="Q5000" s="267">
        <f t="shared" si="1005"/>
        <v>103</v>
      </c>
      <c r="R5000" s="23">
        <f t="shared" si="1006"/>
        <v>101</v>
      </c>
      <c r="S5000" s="23">
        <f t="shared" si="1007"/>
        <v>0</v>
      </c>
      <c r="T5000" s="23" t="str">
        <f t="shared" si="1008"/>
        <v/>
      </c>
      <c r="U5000" t="str">
        <f t="shared" si="1009"/>
        <v>PA_Alleg_2019p~Dem-school director clairton region 3 (vote for 1)</v>
      </c>
      <c r="AG5000" s="302"/>
      <c r="AH5000" s="301"/>
      <c r="AI5000" s="303"/>
      <c r="AJ5000" s="303"/>
      <c r="AK5000" s="342"/>
      <c r="AL5000" s="343"/>
    </row>
    <row r="5001" spans="1:38">
      <c r="A5001" t="str">
        <f t="shared" si="1010"/>
        <v>PA_Alleg_2019p~Dem-school director clairton region 3 (vote for 1)</v>
      </c>
      <c r="B5001" s="55" t="s">
        <v>1291</v>
      </c>
      <c r="C5001">
        <v>439</v>
      </c>
      <c r="D5001" s="55" t="s">
        <v>442</v>
      </c>
      <c r="E5001" s="55" t="s">
        <v>15</v>
      </c>
      <c r="F5001" t="s">
        <v>12</v>
      </c>
      <c r="G5001" s="62">
        <v>2</v>
      </c>
      <c r="H5001" s="25">
        <v>1.94</v>
      </c>
      <c r="I5001">
        <v>1280</v>
      </c>
      <c r="J5001">
        <v>148</v>
      </c>
      <c r="K5001">
        <v>3</v>
      </c>
      <c r="L5001">
        <v>3</v>
      </c>
      <c r="M5001">
        <v>0</v>
      </c>
      <c r="N5001" s="23">
        <v>0</v>
      </c>
      <c r="O5001">
        <f t="shared" si="1003"/>
        <v>-1</v>
      </c>
      <c r="P5001" s="57">
        <f t="shared" si="1004"/>
        <v>1</v>
      </c>
      <c r="Q5001" s="267">
        <f t="shared" si="1005"/>
        <v>2</v>
      </c>
      <c r="R5001" s="23">
        <f t="shared" si="1006"/>
        <v>1</v>
      </c>
      <c r="S5001" s="23">
        <f t="shared" si="1007"/>
        <v>0</v>
      </c>
      <c r="T5001" s="23" t="str">
        <f t="shared" si="1008"/>
        <v/>
      </c>
      <c r="U5001" t="str">
        <f t="shared" si="1009"/>
        <v/>
      </c>
      <c r="AF5001" s="22"/>
      <c r="AH5001" s="8"/>
      <c r="AL5001" s="23"/>
    </row>
    <row r="5002" spans="1:38">
      <c r="A5002" t="str">
        <f t="shared" si="1010"/>
        <v>PA_Alleg_2019p~Dem-school director clairton region 4 (vote for 1)</v>
      </c>
      <c r="B5002" s="55" t="s">
        <v>1291</v>
      </c>
      <c r="C5002">
        <v>453</v>
      </c>
      <c r="D5002" s="55" t="s">
        <v>454</v>
      </c>
      <c r="E5002" s="55" t="s">
        <v>104</v>
      </c>
      <c r="F5002" t="s">
        <v>12</v>
      </c>
      <c r="G5002" s="62">
        <v>181</v>
      </c>
      <c r="H5002" s="25">
        <v>98.37</v>
      </c>
      <c r="I5002">
        <v>1227</v>
      </c>
      <c r="J5002">
        <v>263</v>
      </c>
      <c r="K5002">
        <v>3</v>
      </c>
      <c r="L5002">
        <v>3</v>
      </c>
      <c r="M5002">
        <v>0</v>
      </c>
      <c r="N5002" s="23">
        <v>0</v>
      </c>
      <c r="O5002">
        <f t="shared" si="1003"/>
        <v>1</v>
      </c>
      <c r="P5002" s="57">
        <f t="shared" si="1004"/>
        <v>1</v>
      </c>
      <c r="Q5002" s="267">
        <f t="shared" si="1005"/>
        <v>184</v>
      </c>
      <c r="R5002" s="23">
        <f t="shared" si="1006"/>
        <v>181</v>
      </c>
      <c r="S5002" s="23">
        <f t="shared" si="1007"/>
        <v>0</v>
      </c>
      <c r="T5002" s="23" t="str">
        <f t="shared" si="1008"/>
        <v/>
      </c>
      <c r="U5002" t="str">
        <f t="shared" si="1009"/>
        <v>PA_Alleg_2019p~Dem-school director clairton region 4 (vote for 1)</v>
      </c>
      <c r="AF5002" s="22"/>
      <c r="AH5002" s="8"/>
      <c r="AL5002" s="23"/>
    </row>
    <row r="5003" spans="1:38">
      <c r="A5003" t="str">
        <f t="shared" si="1010"/>
        <v>PA_Alleg_2019p~Dem-school director clairton region 4 (vote for 1)</v>
      </c>
      <c r="B5003" s="55" t="s">
        <v>1291</v>
      </c>
      <c r="C5003">
        <v>454</v>
      </c>
      <c r="D5003" s="55" t="s">
        <v>454</v>
      </c>
      <c r="E5003" s="55" t="s">
        <v>15</v>
      </c>
      <c r="F5003" t="s">
        <v>12</v>
      </c>
      <c r="G5003" s="62">
        <v>3</v>
      </c>
      <c r="H5003" s="25">
        <v>1.63</v>
      </c>
      <c r="I5003">
        <v>1227</v>
      </c>
      <c r="J5003">
        <v>263</v>
      </c>
      <c r="K5003">
        <v>3</v>
      </c>
      <c r="L5003">
        <v>3</v>
      </c>
      <c r="M5003">
        <v>0</v>
      </c>
      <c r="N5003" s="23">
        <v>0</v>
      </c>
      <c r="O5003">
        <f t="shared" si="1003"/>
        <v>-1</v>
      </c>
      <c r="P5003" s="57">
        <f t="shared" si="1004"/>
        <v>1</v>
      </c>
      <c r="Q5003" s="267">
        <f t="shared" si="1005"/>
        <v>3</v>
      </c>
      <c r="R5003" s="23">
        <f t="shared" si="1006"/>
        <v>1</v>
      </c>
      <c r="S5003" s="23">
        <f t="shared" si="1007"/>
        <v>0</v>
      </c>
      <c r="T5003" s="23" t="str">
        <f t="shared" si="1008"/>
        <v/>
      </c>
      <c r="U5003" t="str">
        <f t="shared" si="1009"/>
        <v/>
      </c>
      <c r="AF5003" s="312"/>
      <c r="AL5003" s="344"/>
    </row>
    <row r="5004" spans="1:38">
      <c r="A5004" t="str">
        <f t="shared" si="1010"/>
        <v>PA_Alleg_2019p~Dem-school director cornell (vote for 1)</v>
      </c>
      <c r="B5004" s="55" t="s">
        <v>1291</v>
      </c>
      <c r="C5004">
        <v>335</v>
      </c>
      <c r="D5004" s="55" t="s">
        <v>343</v>
      </c>
      <c r="E5004" s="55" t="s">
        <v>15</v>
      </c>
      <c r="F5004" t="s">
        <v>12</v>
      </c>
      <c r="G5004" s="62">
        <v>126</v>
      </c>
      <c r="H5004" s="25">
        <v>100</v>
      </c>
      <c r="I5004">
        <v>4820</v>
      </c>
      <c r="J5004">
        <v>1068</v>
      </c>
      <c r="K5004">
        <v>10</v>
      </c>
      <c r="L5004">
        <v>10</v>
      </c>
      <c r="M5004">
        <v>0</v>
      </c>
      <c r="N5004" s="23">
        <v>0</v>
      </c>
      <c r="O5004">
        <f t="shared" si="1003"/>
        <v>0</v>
      </c>
      <c r="P5004" s="57">
        <f t="shared" si="1004"/>
        <v>1</v>
      </c>
      <c r="Q5004" s="267">
        <f t="shared" si="1005"/>
        <v>126</v>
      </c>
      <c r="R5004" s="23">
        <f t="shared" si="1006"/>
        <v>1</v>
      </c>
      <c r="S5004" s="23">
        <f t="shared" si="1007"/>
        <v>0</v>
      </c>
      <c r="T5004" s="23" t="str">
        <f t="shared" si="1008"/>
        <v/>
      </c>
      <c r="U5004" t="str">
        <f t="shared" si="1009"/>
        <v>PA_Alleg_2019p~Dem-school director cornell (vote for 1)</v>
      </c>
      <c r="AF5004" s="22"/>
    </row>
    <row r="5005" spans="1:38">
      <c r="A5005" t="str">
        <f t="shared" si="1010"/>
        <v>PA_Alleg_2019p~Dem-school director cornell (vote for 5)</v>
      </c>
      <c r="B5005" s="55" t="s">
        <v>1291</v>
      </c>
      <c r="C5005">
        <v>152</v>
      </c>
      <c r="D5005" s="55" t="s">
        <v>161</v>
      </c>
      <c r="E5005" s="55" t="s">
        <v>164</v>
      </c>
      <c r="F5005" t="s">
        <v>12</v>
      </c>
      <c r="G5005" s="62">
        <v>511</v>
      </c>
      <c r="H5005" s="25">
        <v>26.06</v>
      </c>
      <c r="I5005">
        <v>4820</v>
      </c>
      <c r="J5005">
        <v>1068</v>
      </c>
      <c r="K5005">
        <v>10</v>
      </c>
      <c r="L5005">
        <v>10</v>
      </c>
      <c r="M5005">
        <v>0</v>
      </c>
      <c r="N5005" s="23">
        <v>0</v>
      </c>
      <c r="O5005">
        <f t="shared" si="1003"/>
        <v>1</v>
      </c>
      <c r="P5005" s="57">
        <f t="shared" si="1004"/>
        <v>5</v>
      </c>
      <c r="Q5005" s="267">
        <f t="shared" si="1005"/>
        <v>511</v>
      </c>
      <c r="R5005" s="23">
        <f t="shared" si="1006"/>
        <v>1</v>
      </c>
      <c r="S5005" s="23">
        <f t="shared" si="1007"/>
        <v>0</v>
      </c>
      <c r="T5005" s="23" t="str">
        <f t="shared" si="1008"/>
        <v/>
      </c>
      <c r="U5005" t="str">
        <f t="shared" si="1009"/>
        <v>PA_Alleg_2019p~Dem-school director cornell (vote for 5)</v>
      </c>
      <c r="AF5005" s="300"/>
    </row>
    <row r="5006" spans="1:38">
      <c r="A5006" t="str">
        <f t="shared" si="1010"/>
        <v>PA_Alleg_2019p~Dem-school director cornell (vote for 5)</v>
      </c>
      <c r="B5006" s="55" t="s">
        <v>1291</v>
      </c>
      <c r="C5006">
        <v>150</v>
      </c>
      <c r="D5006" s="55" t="s">
        <v>161</v>
      </c>
      <c r="E5006" s="55" t="s">
        <v>162</v>
      </c>
      <c r="F5006" t="s">
        <v>12</v>
      </c>
      <c r="G5006" s="62">
        <v>454</v>
      </c>
      <c r="H5006" s="25">
        <v>23.15</v>
      </c>
      <c r="I5006">
        <v>4820</v>
      </c>
      <c r="J5006">
        <v>1068</v>
      </c>
      <c r="K5006">
        <v>10</v>
      </c>
      <c r="L5006">
        <v>10</v>
      </c>
      <c r="M5006">
        <v>0</v>
      </c>
      <c r="N5006" s="23">
        <v>0</v>
      </c>
      <c r="O5006">
        <f t="shared" si="1003"/>
        <v>2</v>
      </c>
      <c r="P5006" s="57">
        <f t="shared" si="1004"/>
        <v>5</v>
      </c>
      <c r="Q5006" s="267">
        <f t="shared" si="1005"/>
        <v>1450</v>
      </c>
      <c r="R5006" s="23">
        <f t="shared" si="1006"/>
        <v>1</v>
      </c>
      <c r="S5006" s="23">
        <f t="shared" si="1007"/>
        <v>0</v>
      </c>
      <c r="T5006" s="23" t="str">
        <f t="shared" si="1008"/>
        <v/>
      </c>
      <c r="U5006" t="str">
        <f t="shared" si="1009"/>
        <v/>
      </c>
    </row>
    <row r="5007" spans="1:38">
      <c r="A5007" t="str">
        <f t="shared" si="1010"/>
        <v>PA_Alleg_2019p~Dem-school director cornell (vote for 5)</v>
      </c>
      <c r="B5007" s="55" t="s">
        <v>1291</v>
      </c>
      <c r="C5007">
        <v>151</v>
      </c>
      <c r="D5007" s="55" t="s">
        <v>161</v>
      </c>
      <c r="E5007" s="55" t="s">
        <v>163</v>
      </c>
      <c r="F5007" t="s">
        <v>12</v>
      </c>
      <c r="G5007" s="62">
        <v>417</v>
      </c>
      <c r="H5007" s="25">
        <v>21.26</v>
      </c>
      <c r="I5007">
        <v>4820</v>
      </c>
      <c r="J5007">
        <v>1068</v>
      </c>
      <c r="K5007">
        <v>10</v>
      </c>
      <c r="L5007">
        <v>10</v>
      </c>
      <c r="M5007">
        <v>0</v>
      </c>
      <c r="N5007" s="23">
        <v>0</v>
      </c>
      <c r="O5007">
        <f t="shared" si="1003"/>
        <v>3</v>
      </c>
      <c r="P5007" s="57">
        <f t="shared" si="1004"/>
        <v>5</v>
      </c>
      <c r="Q5007" s="267">
        <f t="shared" si="1005"/>
        <v>996</v>
      </c>
      <c r="R5007" s="23">
        <f t="shared" si="1006"/>
        <v>1</v>
      </c>
      <c r="S5007" s="23">
        <f t="shared" si="1007"/>
        <v>0</v>
      </c>
      <c r="T5007" s="23" t="str">
        <f t="shared" si="1008"/>
        <v/>
      </c>
      <c r="U5007" t="str">
        <f t="shared" si="1009"/>
        <v/>
      </c>
      <c r="AF5007" s="22"/>
      <c r="AH5007" s="8"/>
      <c r="AL5007" s="23"/>
    </row>
    <row r="5008" spans="1:38">
      <c r="A5008" t="str">
        <f t="shared" si="1010"/>
        <v>PA_Alleg_2019p~Dem-school director cornell (vote for 5)</v>
      </c>
      <c r="B5008" s="55" t="s">
        <v>1291</v>
      </c>
      <c r="C5008">
        <v>153</v>
      </c>
      <c r="D5008" s="55" t="s">
        <v>161</v>
      </c>
      <c r="E5008" s="55" t="s">
        <v>165</v>
      </c>
      <c r="F5008" t="s">
        <v>12</v>
      </c>
      <c r="G5008" s="62">
        <v>364</v>
      </c>
      <c r="H5008" s="25">
        <v>18.559999999999999</v>
      </c>
      <c r="I5008">
        <v>4820</v>
      </c>
      <c r="J5008">
        <v>1068</v>
      </c>
      <c r="K5008">
        <v>10</v>
      </c>
      <c r="L5008">
        <v>10</v>
      </c>
      <c r="M5008">
        <v>0</v>
      </c>
      <c r="N5008" s="23">
        <v>0</v>
      </c>
      <c r="O5008">
        <f t="shared" si="1003"/>
        <v>4</v>
      </c>
      <c r="P5008" s="57">
        <f t="shared" si="1004"/>
        <v>5</v>
      </c>
      <c r="Q5008" s="267">
        <f t="shared" si="1005"/>
        <v>579</v>
      </c>
      <c r="R5008" s="23">
        <f t="shared" si="1006"/>
        <v>1</v>
      </c>
      <c r="S5008" s="23">
        <f t="shared" si="1007"/>
        <v>0</v>
      </c>
      <c r="T5008" s="23" t="str">
        <f t="shared" si="1008"/>
        <v/>
      </c>
      <c r="U5008" t="str">
        <f t="shared" si="1009"/>
        <v/>
      </c>
      <c r="AF5008" s="286"/>
      <c r="AH5008" s="8"/>
      <c r="AL5008" s="23"/>
    </row>
    <row r="5009" spans="1:38">
      <c r="A5009" t="str">
        <f t="shared" si="1010"/>
        <v>PA_Alleg_2019p~Dem-school director cornell (vote for 5)</v>
      </c>
      <c r="B5009" s="55" t="s">
        <v>1291</v>
      </c>
      <c r="C5009">
        <v>154</v>
      </c>
      <c r="D5009" s="55" t="s">
        <v>161</v>
      </c>
      <c r="E5009" s="55" t="s">
        <v>15</v>
      </c>
      <c r="F5009" t="s">
        <v>12</v>
      </c>
      <c r="G5009" s="62">
        <v>215</v>
      </c>
      <c r="H5009" s="25">
        <v>10.96</v>
      </c>
      <c r="I5009">
        <v>4820</v>
      </c>
      <c r="J5009">
        <v>1068</v>
      </c>
      <c r="K5009">
        <v>10</v>
      </c>
      <c r="L5009">
        <v>10</v>
      </c>
      <c r="M5009">
        <v>0</v>
      </c>
      <c r="N5009" s="23">
        <v>0</v>
      </c>
      <c r="O5009">
        <f t="shared" si="1003"/>
        <v>-4</v>
      </c>
      <c r="P5009" s="57">
        <f t="shared" si="1004"/>
        <v>5</v>
      </c>
      <c r="Q5009" s="267">
        <f t="shared" si="1005"/>
        <v>215</v>
      </c>
      <c r="R5009" s="23">
        <f t="shared" si="1006"/>
        <v>1</v>
      </c>
      <c r="S5009" s="23">
        <f t="shared" si="1007"/>
        <v>0</v>
      </c>
      <c r="T5009" s="23" t="str">
        <f t="shared" si="1008"/>
        <v/>
      </c>
      <c r="U5009" t="str">
        <f t="shared" si="1009"/>
        <v/>
      </c>
      <c r="AF5009" s="22"/>
      <c r="AH5009" s="8"/>
      <c r="AL5009" s="23"/>
    </row>
    <row r="5010" spans="1:38">
      <c r="A5010" t="str">
        <f t="shared" si="1010"/>
        <v>PA_Alleg_2019p~Dem-school director deer lakes (vote for 5)</v>
      </c>
      <c r="B5010" s="55" t="s">
        <v>1291</v>
      </c>
      <c r="C5010">
        <v>156</v>
      </c>
      <c r="D5010" s="55" t="s">
        <v>166</v>
      </c>
      <c r="E5010" s="55" t="s">
        <v>15</v>
      </c>
      <c r="F5010" t="s">
        <v>12</v>
      </c>
      <c r="G5010" s="62">
        <v>486</v>
      </c>
      <c r="H5010" s="25">
        <v>51.1</v>
      </c>
      <c r="I5010">
        <v>10135</v>
      </c>
      <c r="J5010">
        <v>1286</v>
      </c>
      <c r="K5010">
        <v>11</v>
      </c>
      <c r="L5010">
        <v>11</v>
      </c>
      <c r="M5010">
        <v>0</v>
      </c>
      <c r="N5010" s="23">
        <v>0</v>
      </c>
      <c r="O5010">
        <f t="shared" si="1003"/>
        <v>0</v>
      </c>
      <c r="P5010" s="57">
        <f t="shared" si="1004"/>
        <v>5</v>
      </c>
      <c r="Q5010" s="267">
        <f t="shared" si="1005"/>
        <v>486</v>
      </c>
      <c r="R5010" s="23">
        <f t="shared" si="1006"/>
        <v>465</v>
      </c>
      <c r="S5010" s="23">
        <f t="shared" si="1007"/>
        <v>0</v>
      </c>
      <c r="T5010" s="23" t="str">
        <f t="shared" si="1008"/>
        <v/>
      </c>
      <c r="U5010" t="str">
        <f t="shared" si="1009"/>
        <v>PA_Alleg_2019p~Dem-school director deer lakes (vote for 5)</v>
      </c>
      <c r="AF5010" s="293"/>
      <c r="AH5010" s="8"/>
      <c r="AL5010" s="23"/>
    </row>
    <row r="5011" spans="1:38">
      <c r="A5011" t="str">
        <f t="shared" si="1010"/>
        <v>PA_Alleg_2019p~Dem-school director deer lakes (vote for 5)</v>
      </c>
      <c r="B5011" s="55" t="s">
        <v>1291</v>
      </c>
      <c r="C5011">
        <v>155</v>
      </c>
      <c r="D5011" s="55" t="s">
        <v>166</v>
      </c>
      <c r="E5011" s="55" t="s">
        <v>167</v>
      </c>
      <c r="F5011" t="s">
        <v>12</v>
      </c>
      <c r="G5011" s="62">
        <v>465</v>
      </c>
      <c r="H5011" s="25">
        <v>48.9</v>
      </c>
      <c r="I5011">
        <v>10135</v>
      </c>
      <c r="J5011">
        <v>1286</v>
      </c>
      <c r="K5011">
        <v>11</v>
      </c>
      <c r="L5011">
        <v>11</v>
      </c>
      <c r="M5011">
        <v>0</v>
      </c>
      <c r="N5011" s="23">
        <v>0</v>
      </c>
      <c r="O5011">
        <f t="shared" si="1003"/>
        <v>1</v>
      </c>
      <c r="P5011" s="57">
        <f t="shared" si="1004"/>
        <v>5</v>
      </c>
      <c r="Q5011" s="267">
        <f t="shared" si="1005"/>
        <v>465</v>
      </c>
      <c r="R5011" s="23">
        <f t="shared" si="1006"/>
        <v>465</v>
      </c>
      <c r="S5011" s="23">
        <f t="shared" si="1007"/>
        <v>0</v>
      </c>
      <c r="T5011" s="23" t="str">
        <f t="shared" si="1008"/>
        <v/>
      </c>
      <c r="U5011" t="str">
        <f t="shared" si="1009"/>
        <v/>
      </c>
      <c r="AF5011" s="22"/>
      <c r="AG5011" s="89"/>
      <c r="AH5011" s="274"/>
      <c r="AI5011" s="279"/>
      <c r="AJ5011" s="280"/>
      <c r="AK5011" s="92"/>
      <c r="AL5011" s="23"/>
    </row>
    <row r="5012" spans="1:38">
      <c r="A5012" t="str">
        <f t="shared" si="1010"/>
        <v>PA_Alleg_2019p~Dem-school director district 2 (vote for 1)</v>
      </c>
      <c r="B5012" s="55" t="s">
        <v>1291</v>
      </c>
      <c r="C5012">
        <v>60</v>
      </c>
      <c r="D5012" s="55" t="s">
        <v>70</v>
      </c>
      <c r="E5012" s="55" t="s">
        <v>72</v>
      </c>
      <c r="F5012" t="s">
        <v>12</v>
      </c>
      <c r="G5012" s="62">
        <v>1887</v>
      </c>
      <c r="H5012" s="25">
        <v>33.729999999999997</v>
      </c>
      <c r="I5012">
        <v>31961</v>
      </c>
      <c r="J5012">
        <v>6770</v>
      </c>
      <c r="K5012">
        <v>51</v>
      </c>
      <c r="L5012">
        <v>51</v>
      </c>
      <c r="M5012">
        <v>0</v>
      </c>
      <c r="N5012" s="23">
        <v>0</v>
      </c>
      <c r="O5012">
        <f t="shared" si="1003"/>
        <v>1</v>
      </c>
      <c r="P5012" s="57">
        <f t="shared" si="1004"/>
        <v>1</v>
      </c>
      <c r="Q5012" s="267">
        <f t="shared" si="1005"/>
        <v>5595</v>
      </c>
      <c r="R5012" s="23">
        <f t="shared" si="1006"/>
        <v>1887</v>
      </c>
      <c r="S5012" s="23">
        <f t="shared" si="1007"/>
        <v>1488</v>
      </c>
      <c r="T5012" s="23">
        <f t="shared" si="1008"/>
        <v>399</v>
      </c>
      <c r="U5012" t="str">
        <f t="shared" si="1009"/>
        <v>PA_Alleg_2019p~Dem-school director district 2 (vote for 1)</v>
      </c>
      <c r="AF5012" s="22"/>
    </row>
    <row r="5013" spans="1:38">
      <c r="A5013" t="str">
        <f t="shared" si="1010"/>
        <v>PA_Alleg_2019p~Dem-school director district 2 (vote for 1)</v>
      </c>
      <c r="B5013" s="55" t="s">
        <v>1291</v>
      </c>
      <c r="C5013">
        <v>61</v>
      </c>
      <c r="D5013" s="55" t="s">
        <v>70</v>
      </c>
      <c r="E5013" s="55" t="s">
        <v>73</v>
      </c>
      <c r="F5013" t="s">
        <v>12</v>
      </c>
      <c r="G5013" s="62">
        <v>1488</v>
      </c>
      <c r="H5013" s="25">
        <v>26.6</v>
      </c>
      <c r="I5013">
        <v>31961</v>
      </c>
      <c r="J5013">
        <v>6770</v>
      </c>
      <c r="K5013">
        <v>51</v>
      </c>
      <c r="L5013">
        <v>51</v>
      </c>
      <c r="M5013">
        <v>0</v>
      </c>
      <c r="N5013" s="23">
        <v>0</v>
      </c>
      <c r="O5013">
        <f t="shared" si="1003"/>
        <v>2</v>
      </c>
      <c r="P5013" s="57">
        <f t="shared" si="1004"/>
        <v>1</v>
      </c>
      <c r="Q5013" s="267">
        <f t="shared" si="1005"/>
        <v>3708</v>
      </c>
      <c r="R5013" s="23" t="str">
        <f t="shared" si="1006"/>
        <v/>
      </c>
      <c r="S5013" s="23">
        <f t="shared" si="1007"/>
        <v>1488</v>
      </c>
      <c r="T5013" s="23" t="str">
        <f t="shared" si="1008"/>
        <v/>
      </c>
      <c r="U5013" t="str">
        <f t="shared" si="1009"/>
        <v/>
      </c>
    </row>
    <row r="5014" spans="1:38">
      <c r="A5014" t="str">
        <f t="shared" si="1010"/>
        <v>PA_Alleg_2019p~Dem-school director district 2 (vote for 1)</v>
      </c>
      <c r="B5014" s="55" t="s">
        <v>1291</v>
      </c>
      <c r="C5014">
        <v>62</v>
      </c>
      <c r="D5014" s="55" t="s">
        <v>70</v>
      </c>
      <c r="E5014" s="55" t="s">
        <v>74</v>
      </c>
      <c r="F5014" t="s">
        <v>12</v>
      </c>
      <c r="G5014" s="62">
        <v>1221</v>
      </c>
      <c r="H5014" s="25">
        <v>21.82</v>
      </c>
      <c r="I5014">
        <v>31961</v>
      </c>
      <c r="J5014">
        <v>6770</v>
      </c>
      <c r="K5014">
        <v>51</v>
      </c>
      <c r="L5014">
        <v>51</v>
      </c>
      <c r="M5014">
        <v>0</v>
      </c>
      <c r="N5014" s="23">
        <v>0</v>
      </c>
      <c r="O5014">
        <f t="shared" si="1003"/>
        <v>3</v>
      </c>
      <c r="P5014" s="57">
        <f t="shared" si="1004"/>
        <v>1</v>
      </c>
      <c r="Q5014" s="267">
        <f t="shared" si="1005"/>
        <v>2220</v>
      </c>
      <c r="R5014" s="23" t="str">
        <f t="shared" si="1006"/>
        <v/>
      </c>
      <c r="S5014" s="23">
        <f t="shared" si="1007"/>
        <v>1221</v>
      </c>
      <c r="T5014" s="23" t="str">
        <f t="shared" si="1008"/>
        <v/>
      </c>
      <c r="U5014" t="str">
        <f t="shared" si="1009"/>
        <v/>
      </c>
      <c r="AF5014" s="22"/>
    </row>
    <row r="5015" spans="1:38">
      <c r="A5015" t="str">
        <f t="shared" si="1010"/>
        <v>PA_Alleg_2019p~Dem-school director district 2 (vote for 1)</v>
      </c>
      <c r="B5015" s="55" t="s">
        <v>1291</v>
      </c>
      <c r="C5015">
        <v>59</v>
      </c>
      <c r="D5015" s="55" t="s">
        <v>70</v>
      </c>
      <c r="E5015" s="55" t="s">
        <v>71</v>
      </c>
      <c r="F5015" t="s">
        <v>12</v>
      </c>
      <c r="G5015" s="62">
        <v>979</v>
      </c>
      <c r="H5015" s="25">
        <v>17.5</v>
      </c>
      <c r="I5015">
        <v>31961</v>
      </c>
      <c r="J5015">
        <v>6770</v>
      </c>
      <c r="K5015">
        <v>51</v>
      </c>
      <c r="L5015">
        <v>51</v>
      </c>
      <c r="M5015">
        <v>0</v>
      </c>
      <c r="N5015" s="23">
        <v>0</v>
      </c>
      <c r="O5015">
        <f t="shared" si="1003"/>
        <v>4</v>
      </c>
      <c r="P5015" s="57">
        <f t="shared" si="1004"/>
        <v>1</v>
      </c>
      <c r="Q5015" s="267">
        <f t="shared" si="1005"/>
        <v>999</v>
      </c>
      <c r="R5015" s="23" t="str">
        <f t="shared" si="1006"/>
        <v/>
      </c>
      <c r="S5015" s="23">
        <f t="shared" si="1007"/>
        <v>979</v>
      </c>
      <c r="T5015" s="23" t="str">
        <f t="shared" si="1008"/>
        <v/>
      </c>
      <c r="U5015" t="str">
        <f t="shared" si="1009"/>
        <v/>
      </c>
    </row>
    <row r="5016" spans="1:38">
      <c r="A5016" t="str">
        <f t="shared" si="1010"/>
        <v>PA_Alleg_2019p~Dem-school director district 2 (vote for 1)</v>
      </c>
      <c r="B5016" s="55" t="s">
        <v>1291</v>
      </c>
      <c r="C5016">
        <v>63</v>
      </c>
      <c r="D5016" s="55" t="s">
        <v>70</v>
      </c>
      <c r="E5016" s="55" t="s">
        <v>15</v>
      </c>
      <c r="F5016" t="s">
        <v>12</v>
      </c>
      <c r="G5016" s="62">
        <v>20</v>
      </c>
      <c r="H5016" s="25">
        <v>0.36</v>
      </c>
      <c r="I5016">
        <v>31961</v>
      </c>
      <c r="J5016">
        <v>6770</v>
      </c>
      <c r="K5016">
        <v>51</v>
      </c>
      <c r="L5016">
        <v>51</v>
      </c>
      <c r="M5016">
        <v>0</v>
      </c>
      <c r="N5016" s="23">
        <v>0</v>
      </c>
      <c r="O5016">
        <f t="shared" si="1003"/>
        <v>-4</v>
      </c>
      <c r="P5016" s="57">
        <f t="shared" si="1004"/>
        <v>1</v>
      </c>
      <c r="Q5016" s="267">
        <f t="shared" si="1005"/>
        <v>20</v>
      </c>
      <c r="R5016" s="23">
        <f t="shared" si="1006"/>
        <v>1</v>
      </c>
      <c r="S5016" s="23">
        <f t="shared" si="1007"/>
        <v>0</v>
      </c>
      <c r="T5016" s="23" t="str">
        <f t="shared" si="1008"/>
        <v/>
      </c>
      <c r="U5016" t="str">
        <f t="shared" si="1009"/>
        <v/>
      </c>
      <c r="AF5016" s="22"/>
    </row>
    <row r="5017" spans="1:38">
      <c r="A5017" t="str">
        <f t="shared" si="1010"/>
        <v>PA_Alleg_2019p~Dem-school director district 4 (vote for 1)</v>
      </c>
      <c r="B5017" s="55" t="s">
        <v>1291</v>
      </c>
      <c r="C5017">
        <v>64</v>
      </c>
      <c r="D5017" s="55" t="s">
        <v>75</v>
      </c>
      <c r="E5017" s="55" t="s">
        <v>76</v>
      </c>
      <c r="F5017" t="s">
        <v>12</v>
      </c>
      <c r="G5017" s="62">
        <v>2661</v>
      </c>
      <c r="H5017" s="25">
        <v>54.06</v>
      </c>
      <c r="I5017">
        <v>35698</v>
      </c>
      <c r="J5017">
        <v>5325</v>
      </c>
      <c r="K5017">
        <v>37</v>
      </c>
      <c r="L5017">
        <v>37</v>
      </c>
      <c r="M5017">
        <v>0</v>
      </c>
      <c r="N5017" s="23">
        <v>0</v>
      </c>
      <c r="O5017">
        <f t="shared" si="1003"/>
        <v>1</v>
      </c>
      <c r="P5017" s="57">
        <f t="shared" si="1004"/>
        <v>1</v>
      </c>
      <c r="Q5017" s="267">
        <f t="shared" si="1005"/>
        <v>4922</v>
      </c>
      <c r="R5017" s="23">
        <f t="shared" si="1006"/>
        <v>2661</v>
      </c>
      <c r="S5017" s="23">
        <f t="shared" si="1007"/>
        <v>2255</v>
      </c>
      <c r="T5017" s="23">
        <f t="shared" si="1008"/>
        <v>406</v>
      </c>
      <c r="U5017" t="str">
        <f t="shared" si="1009"/>
        <v>PA_Alleg_2019p~Dem-school director district 4 (vote for 1)</v>
      </c>
      <c r="AF5017" s="22"/>
    </row>
    <row r="5018" spans="1:38">
      <c r="A5018" t="str">
        <f t="shared" si="1010"/>
        <v>PA_Alleg_2019p~Dem-school director district 4 (vote for 1)</v>
      </c>
      <c r="B5018" s="55" t="s">
        <v>1291</v>
      </c>
      <c r="C5018">
        <v>65</v>
      </c>
      <c r="D5018" s="55" t="s">
        <v>75</v>
      </c>
      <c r="E5018" s="55" t="s">
        <v>77</v>
      </c>
      <c r="F5018" t="s">
        <v>12</v>
      </c>
      <c r="G5018" s="62">
        <v>2255</v>
      </c>
      <c r="H5018" s="25">
        <v>45.81</v>
      </c>
      <c r="I5018">
        <v>35698</v>
      </c>
      <c r="J5018">
        <v>5325</v>
      </c>
      <c r="K5018">
        <v>37</v>
      </c>
      <c r="L5018">
        <v>37</v>
      </c>
      <c r="M5018">
        <v>0</v>
      </c>
      <c r="N5018" s="23">
        <v>0</v>
      </c>
      <c r="O5018">
        <f t="shared" si="1003"/>
        <v>2</v>
      </c>
      <c r="P5018" s="57">
        <f t="shared" si="1004"/>
        <v>1</v>
      </c>
      <c r="Q5018" s="267">
        <f t="shared" si="1005"/>
        <v>2261</v>
      </c>
      <c r="R5018" s="23" t="str">
        <f t="shared" si="1006"/>
        <v/>
      </c>
      <c r="S5018" s="23">
        <f t="shared" si="1007"/>
        <v>2255</v>
      </c>
      <c r="T5018" s="23" t="str">
        <f t="shared" si="1008"/>
        <v/>
      </c>
      <c r="U5018" t="str">
        <f t="shared" si="1009"/>
        <v/>
      </c>
      <c r="AF5018" s="22"/>
    </row>
    <row r="5019" spans="1:38">
      <c r="A5019" t="str">
        <f t="shared" si="1010"/>
        <v>PA_Alleg_2019p~Dem-school director district 4 (vote for 1)</v>
      </c>
      <c r="B5019" s="55" t="s">
        <v>1291</v>
      </c>
      <c r="C5019">
        <v>66</v>
      </c>
      <c r="D5019" s="55" t="s">
        <v>75</v>
      </c>
      <c r="E5019" s="55" t="s">
        <v>15</v>
      </c>
      <c r="F5019" t="s">
        <v>12</v>
      </c>
      <c r="G5019" s="62">
        <v>6</v>
      </c>
      <c r="H5019" s="25">
        <v>0.12</v>
      </c>
      <c r="I5019">
        <v>35698</v>
      </c>
      <c r="J5019">
        <v>5325</v>
      </c>
      <c r="K5019">
        <v>37</v>
      </c>
      <c r="L5019">
        <v>37</v>
      </c>
      <c r="M5019">
        <v>0</v>
      </c>
      <c r="N5019" s="23">
        <v>0</v>
      </c>
      <c r="O5019">
        <f t="shared" si="1003"/>
        <v>-2</v>
      </c>
      <c r="P5019" s="57">
        <f t="shared" si="1004"/>
        <v>1</v>
      </c>
      <c r="Q5019" s="267">
        <f t="shared" si="1005"/>
        <v>6</v>
      </c>
      <c r="R5019" s="23">
        <f t="shared" si="1006"/>
        <v>1</v>
      </c>
      <c r="S5019" s="23">
        <f t="shared" si="1007"/>
        <v>0</v>
      </c>
      <c r="T5019" s="23" t="str">
        <f t="shared" si="1008"/>
        <v/>
      </c>
      <c r="U5019" t="str">
        <f t="shared" si="1009"/>
        <v/>
      </c>
      <c r="AF5019" s="22"/>
      <c r="AH5019" s="8"/>
      <c r="AL5019" s="23"/>
    </row>
    <row r="5020" spans="1:38">
      <c r="A5020" t="str">
        <f t="shared" si="1010"/>
        <v>PA_Alleg_2019p~Dem-school director district 6 (vote for 1)</v>
      </c>
      <c r="B5020" s="55" t="s">
        <v>1291</v>
      </c>
      <c r="C5020">
        <v>68</v>
      </c>
      <c r="D5020" s="55" t="s">
        <v>78</v>
      </c>
      <c r="E5020" s="55" t="s">
        <v>80</v>
      </c>
      <c r="F5020" t="s">
        <v>12</v>
      </c>
      <c r="G5020" s="62">
        <v>1812</v>
      </c>
      <c r="H5020" s="25">
        <v>54.84</v>
      </c>
      <c r="I5020">
        <v>27122</v>
      </c>
      <c r="J5020">
        <v>3975</v>
      </c>
      <c r="K5020">
        <v>49</v>
      </c>
      <c r="L5020">
        <v>49</v>
      </c>
      <c r="M5020">
        <v>0</v>
      </c>
      <c r="N5020" s="23">
        <v>0</v>
      </c>
      <c r="O5020">
        <f t="shared" si="1003"/>
        <v>1</v>
      </c>
      <c r="P5020" s="57">
        <f t="shared" si="1004"/>
        <v>1</v>
      </c>
      <c r="Q5020" s="267">
        <f t="shared" si="1005"/>
        <v>3304</v>
      </c>
      <c r="R5020" s="23">
        <f t="shared" si="1006"/>
        <v>1812</v>
      </c>
      <c r="S5020" s="23">
        <f t="shared" si="1007"/>
        <v>1481</v>
      </c>
      <c r="T5020" s="23">
        <f t="shared" si="1008"/>
        <v>331</v>
      </c>
      <c r="U5020" t="str">
        <f t="shared" si="1009"/>
        <v>PA_Alleg_2019p~Dem-school director district 6 (vote for 1)</v>
      </c>
      <c r="AF5020" s="22"/>
    </row>
    <row r="5021" spans="1:38">
      <c r="A5021" t="str">
        <f t="shared" si="1010"/>
        <v>PA_Alleg_2019p~Dem-school director district 6 (vote for 1)</v>
      </c>
      <c r="B5021" s="55" t="s">
        <v>1291</v>
      </c>
      <c r="C5021">
        <v>67</v>
      </c>
      <c r="D5021" s="55" t="s">
        <v>78</v>
      </c>
      <c r="E5021" s="55" t="s">
        <v>79</v>
      </c>
      <c r="F5021" t="s">
        <v>12</v>
      </c>
      <c r="G5021" s="62">
        <v>1481</v>
      </c>
      <c r="H5021" s="25">
        <v>44.82</v>
      </c>
      <c r="I5021">
        <v>27122</v>
      </c>
      <c r="J5021">
        <v>3975</v>
      </c>
      <c r="K5021">
        <v>49</v>
      </c>
      <c r="L5021">
        <v>49</v>
      </c>
      <c r="M5021">
        <v>0</v>
      </c>
      <c r="N5021" s="23">
        <v>0</v>
      </c>
      <c r="O5021">
        <f t="shared" si="1003"/>
        <v>2</v>
      </c>
      <c r="P5021" s="57">
        <f t="shared" si="1004"/>
        <v>1</v>
      </c>
      <c r="Q5021" s="267">
        <f t="shared" si="1005"/>
        <v>1492</v>
      </c>
      <c r="R5021" s="23" t="str">
        <f t="shared" si="1006"/>
        <v/>
      </c>
      <c r="S5021" s="23">
        <f t="shared" si="1007"/>
        <v>1481</v>
      </c>
      <c r="T5021" s="23" t="str">
        <f t="shared" si="1008"/>
        <v/>
      </c>
      <c r="U5021" t="str">
        <f t="shared" si="1009"/>
        <v/>
      </c>
      <c r="AF5021" s="293"/>
    </row>
    <row r="5022" spans="1:38">
      <c r="A5022" t="str">
        <f t="shared" si="1010"/>
        <v>PA_Alleg_2019p~Dem-school director district 6 (vote for 1)</v>
      </c>
      <c r="B5022" s="55" t="s">
        <v>1291</v>
      </c>
      <c r="C5022">
        <v>69</v>
      </c>
      <c r="D5022" s="55" t="s">
        <v>78</v>
      </c>
      <c r="E5022" s="55" t="s">
        <v>15</v>
      </c>
      <c r="F5022" t="s">
        <v>12</v>
      </c>
      <c r="G5022" s="62">
        <v>11</v>
      </c>
      <c r="H5022" s="25">
        <v>0.33</v>
      </c>
      <c r="I5022">
        <v>27122</v>
      </c>
      <c r="J5022">
        <v>3975</v>
      </c>
      <c r="K5022">
        <v>49</v>
      </c>
      <c r="L5022">
        <v>49</v>
      </c>
      <c r="M5022">
        <v>0</v>
      </c>
      <c r="N5022" s="23">
        <v>0</v>
      </c>
      <c r="O5022">
        <f t="shared" si="1003"/>
        <v>-2</v>
      </c>
      <c r="P5022" s="57">
        <f t="shared" si="1004"/>
        <v>1</v>
      </c>
      <c r="Q5022" s="267">
        <f t="shared" si="1005"/>
        <v>11</v>
      </c>
      <c r="R5022" s="23">
        <f t="shared" si="1006"/>
        <v>1</v>
      </c>
      <c r="S5022" s="23">
        <f t="shared" si="1007"/>
        <v>0</v>
      </c>
      <c r="T5022" s="23" t="str">
        <f t="shared" si="1008"/>
        <v/>
      </c>
      <c r="U5022" t="str">
        <f t="shared" si="1009"/>
        <v/>
      </c>
    </row>
    <row r="5023" spans="1:38">
      <c r="A5023" t="str">
        <f t="shared" si="1010"/>
        <v>PA_Alleg_2019p~Dem-school director district 8 (vote for 1)</v>
      </c>
      <c r="B5023" s="55" t="s">
        <v>1291</v>
      </c>
      <c r="C5023">
        <v>70</v>
      </c>
      <c r="D5023" s="55" t="s">
        <v>81</v>
      </c>
      <c r="E5023" s="55" t="s">
        <v>82</v>
      </c>
      <c r="F5023" t="s">
        <v>12</v>
      </c>
      <c r="G5023" s="62">
        <v>2721</v>
      </c>
      <c r="H5023" s="25">
        <v>98.52</v>
      </c>
      <c r="I5023">
        <v>26453</v>
      </c>
      <c r="J5023">
        <v>3523</v>
      </c>
      <c r="K5023">
        <v>42</v>
      </c>
      <c r="L5023">
        <v>42</v>
      </c>
      <c r="M5023">
        <v>0</v>
      </c>
      <c r="N5023" s="23">
        <v>0</v>
      </c>
      <c r="O5023">
        <f t="shared" si="1003"/>
        <v>1</v>
      </c>
      <c r="P5023" s="57">
        <f t="shared" si="1004"/>
        <v>1</v>
      </c>
      <c r="Q5023" s="267">
        <f t="shared" si="1005"/>
        <v>2762</v>
      </c>
      <c r="R5023" s="23">
        <f t="shared" si="1006"/>
        <v>2721</v>
      </c>
      <c r="S5023" s="23">
        <f t="shared" si="1007"/>
        <v>0</v>
      </c>
      <c r="T5023" s="23" t="str">
        <f t="shared" si="1008"/>
        <v/>
      </c>
      <c r="U5023" t="str">
        <f t="shared" si="1009"/>
        <v>PA_Alleg_2019p~Dem-school director district 8 (vote for 1)</v>
      </c>
      <c r="AF5023" s="22"/>
    </row>
    <row r="5024" spans="1:38">
      <c r="A5024" t="str">
        <f t="shared" si="1010"/>
        <v>PA_Alleg_2019p~Dem-school director district 8 (vote for 1)</v>
      </c>
      <c r="B5024" s="55" t="s">
        <v>1291</v>
      </c>
      <c r="C5024">
        <v>71</v>
      </c>
      <c r="D5024" s="55" t="s">
        <v>81</v>
      </c>
      <c r="E5024" s="55" t="s">
        <v>15</v>
      </c>
      <c r="F5024" t="s">
        <v>12</v>
      </c>
      <c r="G5024" s="62">
        <v>41</v>
      </c>
      <c r="H5024" s="25">
        <v>1.48</v>
      </c>
      <c r="I5024">
        <v>26453</v>
      </c>
      <c r="J5024">
        <v>3523</v>
      </c>
      <c r="K5024">
        <v>42</v>
      </c>
      <c r="L5024">
        <v>42</v>
      </c>
      <c r="M5024">
        <v>0</v>
      </c>
      <c r="N5024" s="23">
        <v>0</v>
      </c>
      <c r="O5024">
        <f t="shared" si="1003"/>
        <v>-1</v>
      </c>
      <c r="P5024" s="57">
        <f t="shared" si="1004"/>
        <v>1</v>
      </c>
      <c r="Q5024" s="267">
        <f t="shared" si="1005"/>
        <v>41</v>
      </c>
      <c r="R5024" s="23">
        <f t="shared" si="1006"/>
        <v>1</v>
      </c>
      <c r="S5024" s="23">
        <f t="shared" si="1007"/>
        <v>0</v>
      </c>
      <c r="T5024" s="23" t="str">
        <f t="shared" si="1008"/>
        <v/>
      </c>
      <c r="U5024" t="str">
        <f t="shared" si="1009"/>
        <v/>
      </c>
      <c r="AF5024" s="22"/>
    </row>
    <row r="5025" spans="1:38">
      <c r="A5025" t="str">
        <f t="shared" si="1010"/>
        <v>PA_Alleg_2019p~Dem-school director duquesne (vote for 1)</v>
      </c>
      <c r="B5025" s="55" t="s">
        <v>1291</v>
      </c>
      <c r="C5025">
        <v>336</v>
      </c>
      <c r="D5025" s="55" t="s">
        <v>344</v>
      </c>
      <c r="E5025" s="55" t="s">
        <v>15</v>
      </c>
      <c r="F5025" t="s">
        <v>12</v>
      </c>
      <c r="G5025" s="62">
        <v>19</v>
      </c>
      <c r="H5025" s="25">
        <v>100</v>
      </c>
      <c r="I5025">
        <v>3901</v>
      </c>
      <c r="J5025">
        <v>641</v>
      </c>
      <c r="K5025">
        <v>10</v>
      </c>
      <c r="L5025">
        <v>10</v>
      </c>
      <c r="M5025">
        <v>0</v>
      </c>
      <c r="N5025" s="23">
        <v>0</v>
      </c>
      <c r="O5025">
        <f t="shared" si="1003"/>
        <v>0</v>
      </c>
      <c r="P5025" s="57">
        <f t="shared" si="1004"/>
        <v>1</v>
      </c>
      <c r="Q5025" s="267">
        <f t="shared" si="1005"/>
        <v>19</v>
      </c>
      <c r="R5025" s="23">
        <f t="shared" si="1006"/>
        <v>1</v>
      </c>
      <c r="S5025" s="23">
        <f t="shared" si="1007"/>
        <v>0</v>
      </c>
      <c r="T5025" s="23" t="str">
        <f t="shared" si="1008"/>
        <v/>
      </c>
      <c r="U5025" t="str">
        <f t="shared" si="1009"/>
        <v>PA_Alleg_2019p~Dem-school director duquesne (vote for 1)</v>
      </c>
      <c r="AF5025" s="22"/>
    </row>
    <row r="5026" spans="1:38">
      <c r="A5026" t="str">
        <f t="shared" si="1010"/>
        <v>PA_Alleg_2019p~Dem-school director duquesne (vote for 5)</v>
      </c>
      <c r="B5026" s="55" t="s">
        <v>1291</v>
      </c>
      <c r="C5026">
        <v>159</v>
      </c>
      <c r="D5026" s="55" t="s">
        <v>168</v>
      </c>
      <c r="E5026" s="55" t="s">
        <v>171</v>
      </c>
      <c r="F5026" t="s">
        <v>12</v>
      </c>
      <c r="G5026" s="62">
        <v>366</v>
      </c>
      <c r="H5026" s="25">
        <v>22.18</v>
      </c>
      <c r="I5026">
        <v>3901</v>
      </c>
      <c r="J5026">
        <v>641</v>
      </c>
      <c r="K5026">
        <v>10</v>
      </c>
      <c r="L5026">
        <v>10</v>
      </c>
      <c r="M5026">
        <v>0</v>
      </c>
      <c r="N5026" s="23">
        <v>0</v>
      </c>
      <c r="O5026">
        <f t="shared" si="1003"/>
        <v>1</v>
      </c>
      <c r="P5026" s="57">
        <f t="shared" si="1004"/>
        <v>5</v>
      </c>
      <c r="Q5026" s="267">
        <f t="shared" si="1005"/>
        <v>366</v>
      </c>
      <c r="R5026" s="23">
        <f t="shared" si="1006"/>
        <v>288</v>
      </c>
      <c r="S5026" s="23">
        <f t="shared" si="1007"/>
        <v>0</v>
      </c>
      <c r="T5026" s="23" t="str">
        <f t="shared" si="1008"/>
        <v/>
      </c>
      <c r="U5026" t="str">
        <f t="shared" si="1009"/>
        <v>PA_Alleg_2019p~Dem-school director duquesne (vote for 5)</v>
      </c>
      <c r="AF5026" s="22"/>
    </row>
    <row r="5027" spans="1:38">
      <c r="A5027" t="str">
        <f t="shared" si="1010"/>
        <v>PA_Alleg_2019p~Dem-school director duquesne (vote for 5)</v>
      </c>
      <c r="B5027" s="55" t="s">
        <v>1291</v>
      </c>
      <c r="C5027">
        <v>160</v>
      </c>
      <c r="D5027" s="55" t="s">
        <v>168</v>
      </c>
      <c r="E5027" s="55" t="s">
        <v>172</v>
      </c>
      <c r="F5027" t="s">
        <v>12</v>
      </c>
      <c r="G5027" s="62">
        <v>351</v>
      </c>
      <c r="H5027" s="25">
        <v>21.27</v>
      </c>
      <c r="I5027">
        <v>3901</v>
      </c>
      <c r="J5027">
        <v>641</v>
      </c>
      <c r="K5027">
        <v>10</v>
      </c>
      <c r="L5027">
        <v>10</v>
      </c>
      <c r="M5027">
        <v>0</v>
      </c>
      <c r="N5027" s="23">
        <v>0</v>
      </c>
      <c r="O5027">
        <f t="shared" si="1003"/>
        <v>2</v>
      </c>
      <c r="P5027" s="57">
        <f t="shared" si="1004"/>
        <v>5</v>
      </c>
      <c r="Q5027" s="267">
        <f t="shared" si="1005"/>
        <v>1284</v>
      </c>
      <c r="R5027" s="23">
        <f t="shared" si="1006"/>
        <v>288</v>
      </c>
      <c r="S5027" s="23">
        <f t="shared" si="1007"/>
        <v>0</v>
      </c>
      <c r="T5027" s="23" t="str">
        <f t="shared" si="1008"/>
        <v/>
      </c>
      <c r="U5027" t="str">
        <f t="shared" si="1009"/>
        <v/>
      </c>
      <c r="AF5027" s="22"/>
    </row>
    <row r="5028" spans="1:38">
      <c r="A5028" t="str">
        <f t="shared" si="1010"/>
        <v>PA_Alleg_2019p~Dem-school director duquesne (vote for 5)</v>
      </c>
      <c r="B5028" s="55" t="s">
        <v>1291</v>
      </c>
      <c r="C5028">
        <v>157</v>
      </c>
      <c r="D5028" s="55" t="s">
        <v>168</v>
      </c>
      <c r="E5028" s="55" t="s">
        <v>169</v>
      </c>
      <c r="F5028" t="s">
        <v>12</v>
      </c>
      <c r="G5028" s="62">
        <v>328</v>
      </c>
      <c r="H5028" s="25">
        <v>19.88</v>
      </c>
      <c r="I5028">
        <v>3901</v>
      </c>
      <c r="J5028">
        <v>641</v>
      </c>
      <c r="K5028">
        <v>10</v>
      </c>
      <c r="L5028">
        <v>10</v>
      </c>
      <c r="M5028">
        <v>0</v>
      </c>
      <c r="N5028" s="23">
        <v>0</v>
      </c>
      <c r="O5028">
        <f t="shared" si="1003"/>
        <v>3</v>
      </c>
      <c r="P5028" s="57">
        <f t="shared" si="1004"/>
        <v>5</v>
      </c>
      <c r="Q5028" s="267">
        <f t="shared" si="1005"/>
        <v>933</v>
      </c>
      <c r="R5028" s="23">
        <f t="shared" si="1006"/>
        <v>288</v>
      </c>
      <c r="S5028" s="23">
        <f t="shared" si="1007"/>
        <v>0</v>
      </c>
      <c r="T5028" s="23" t="str">
        <f t="shared" si="1008"/>
        <v/>
      </c>
      <c r="U5028" t="str">
        <f t="shared" si="1009"/>
        <v/>
      </c>
      <c r="AF5028" s="22"/>
    </row>
    <row r="5029" spans="1:38">
      <c r="A5029" t="str">
        <f t="shared" si="1010"/>
        <v>PA_Alleg_2019p~Dem-school director duquesne (vote for 5)</v>
      </c>
      <c r="B5029" s="55" t="s">
        <v>1291</v>
      </c>
      <c r="C5029">
        <v>158</v>
      </c>
      <c r="D5029" s="55" t="s">
        <v>168</v>
      </c>
      <c r="E5029" s="55" t="s">
        <v>170</v>
      </c>
      <c r="F5029" t="s">
        <v>12</v>
      </c>
      <c r="G5029" s="62">
        <v>314</v>
      </c>
      <c r="H5029" s="25">
        <v>19.03</v>
      </c>
      <c r="I5029">
        <v>3901</v>
      </c>
      <c r="J5029">
        <v>641</v>
      </c>
      <c r="K5029">
        <v>10</v>
      </c>
      <c r="L5029">
        <v>10</v>
      </c>
      <c r="M5029">
        <v>0</v>
      </c>
      <c r="N5029" s="23">
        <v>0</v>
      </c>
      <c r="O5029">
        <f t="shared" si="1003"/>
        <v>4</v>
      </c>
      <c r="P5029" s="57">
        <f t="shared" si="1004"/>
        <v>5</v>
      </c>
      <c r="Q5029" s="267">
        <f t="shared" si="1005"/>
        <v>605</v>
      </c>
      <c r="R5029" s="23">
        <f t="shared" si="1006"/>
        <v>288</v>
      </c>
      <c r="S5029" s="23">
        <f t="shared" si="1007"/>
        <v>0</v>
      </c>
      <c r="T5029" s="23" t="str">
        <f t="shared" si="1008"/>
        <v/>
      </c>
      <c r="U5029" t="str">
        <f t="shared" si="1009"/>
        <v/>
      </c>
      <c r="AF5029" s="300"/>
    </row>
    <row r="5030" spans="1:38">
      <c r="A5030" t="str">
        <f t="shared" si="1010"/>
        <v>PA_Alleg_2019p~Dem-school director duquesne (vote for 5)</v>
      </c>
      <c r="B5030" s="55" t="s">
        <v>1291</v>
      </c>
      <c r="C5030">
        <v>161</v>
      </c>
      <c r="D5030" s="55" t="s">
        <v>168</v>
      </c>
      <c r="E5030" s="55" t="s">
        <v>173</v>
      </c>
      <c r="F5030" t="s">
        <v>12</v>
      </c>
      <c r="G5030" s="62">
        <v>288</v>
      </c>
      <c r="H5030" s="25">
        <v>17.45</v>
      </c>
      <c r="I5030">
        <v>3901</v>
      </c>
      <c r="J5030">
        <v>641</v>
      </c>
      <c r="K5030">
        <v>10</v>
      </c>
      <c r="L5030">
        <v>10</v>
      </c>
      <c r="M5030">
        <v>0</v>
      </c>
      <c r="N5030" s="23">
        <v>0</v>
      </c>
      <c r="O5030">
        <f t="shared" si="1003"/>
        <v>5</v>
      </c>
      <c r="P5030" s="57">
        <f t="shared" si="1004"/>
        <v>5</v>
      </c>
      <c r="Q5030" s="267">
        <f t="shared" si="1005"/>
        <v>291</v>
      </c>
      <c r="R5030" s="23">
        <f t="shared" si="1006"/>
        <v>288</v>
      </c>
      <c r="S5030" s="23">
        <f t="shared" si="1007"/>
        <v>0</v>
      </c>
      <c r="T5030" s="23" t="str">
        <f t="shared" si="1008"/>
        <v/>
      </c>
      <c r="U5030" t="str">
        <f t="shared" si="1009"/>
        <v/>
      </c>
      <c r="AF5030" s="22"/>
    </row>
    <row r="5031" spans="1:38">
      <c r="A5031" t="str">
        <f t="shared" si="1010"/>
        <v>PA_Alleg_2019p~Dem-school director duquesne (vote for 5)</v>
      </c>
      <c r="B5031" s="55" t="s">
        <v>1291</v>
      </c>
      <c r="C5031">
        <v>162</v>
      </c>
      <c r="D5031" s="55" t="s">
        <v>168</v>
      </c>
      <c r="E5031" s="55" t="s">
        <v>15</v>
      </c>
      <c r="F5031" t="s">
        <v>12</v>
      </c>
      <c r="G5031" s="62">
        <v>3</v>
      </c>
      <c r="H5031" s="25">
        <v>0.18</v>
      </c>
      <c r="I5031">
        <v>3901</v>
      </c>
      <c r="J5031">
        <v>641</v>
      </c>
      <c r="K5031">
        <v>10</v>
      </c>
      <c r="L5031">
        <v>10</v>
      </c>
      <c r="M5031">
        <v>0</v>
      </c>
      <c r="N5031" s="23">
        <v>0</v>
      </c>
      <c r="O5031">
        <f t="shared" si="1003"/>
        <v>-5</v>
      </c>
      <c r="P5031" s="57">
        <f t="shared" si="1004"/>
        <v>5</v>
      </c>
      <c r="Q5031" s="267">
        <f t="shared" si="1005"/>
        <v>3</v>
      </c>
      <c r="R5031" s="23">
        <f t="shared" si="1006"/>
        <v>1</v>
      </c>
      <c r="S5031" s="23">
        <f t="shared" si="1007"/>
        <v>0</v>
      </c>
      <c r="T5031" s="23" t="str">
        <f t="shared" si="1008"/>
        <v/>
      </c>
      <c r="U5031" t="str">
        <f t="shared" si="1009"/>
        <v/>
      </c>
      <c r="AF5031" s="22"/>
    </row>
    <row r="5032" spans="1:38">
      <c r="A5032" t="str">
        <f t="shared" si="1010"/>
        <v>PA_Alleg_2019p~Dem-school director east allegheny region 1 (vote for 1)</v>
      </c>
      <c r="B5032" s="55" t="s">
        <v>1291</v>
      </c>
      <c r="C5032">
        <v>368</v>
      </c>
      <c r="D5032" s="55" t="s">
        <v>375</v>
      </c>
      <c r="E5032" s="55" t="s">
        <v>377</v>
      </c>
      <c r="F5032" t="s">
        <v>12</v>
      </c>
      <c r="G5032" s="62">
        <v>103</v>
      </c>
      <c r="H5032" s="25">
        <v>58.52</v>
      </c>
      <c r="I5032">
        <v>916</v>
      </c>
      <c r="J5032">
        <v>197</v>
      </c>
      <c r="K5032">
        <v>2</v>
      </c>
      <c r="L5032">
        <v>2</v>
      </c>
      <c r="M5032">
        <v>0</v>
      </c>
      <c r="N5032" s="23">
        <v>0</v>
      </c>
      <c r="O5032">
        <f t="shared" si="1003"/>
        <v>1</v>
      </c>
      <c r="P5032" s="57">
        <f t="shared" si="1004"/>
        <v>1</v>
      </c>
      <c r="Q5032" s="267">
        <f t="shared" si="1005"/>
        <v>176</v>
      </c>
      <c r="R5032" s="23">
        <f t="shared" si="1006"/>
        <v>103</v>
      </c>
      <c r="S5032" s="23">
        <f t="shared" si="1007"/>
        <v>73</v>
      </c>
      <c r="T5032" s="23">
        <f t="shared" si="1008"/>
        <v>30</v>
      </c>
      <c r="U5032" t="str">
        <f t="shared" si="1009"/>
        <v>PA_Alleg_2019p~Dem-school director east allegheny region 1 (vote for 1)</v>
      </c>
      <c r="AF5032" s="22"/>
    </row>
    <row r="5033" spans="1:38">
      <c r="A5033" t="str">
        <f t="shared" si="1010"/>
        <v>PA_Alleg_2019p~Dem-school director east allegheny region 1 (vote for 1)</v>
      </c>
      <c r="B5033" s="55" t="s">
        <v>1291</v>
      </c>
      <c r="C5033">
        <v>367</v>
      </c>
      <c r="D5033" s="55" t="s">
        <v>375</v>
      </c>
      <c r="E5033" s="55" t="s">
        <v>376</v>
      </c>
      <c r="F5033" t="s">
        <v>12</v>
      </c>
      <c r="G5033" s="62">
        <v>73</v>
      </c>
      <c r="H5033" s="25">
        <v>41.48</v>
      </c>
      <c r="I5033">
        <v>916</v>
      </c>
      <c r="J5033">
        <v>197</v>
      </c>
      <c r="K5033">
        <v>2</v>
      </c>
      <c r="L5033">
        <v>2</v>
      </c>
      <c r="M5033">
        <v>0</v>
      </c>
      <c r="N5033" s="23">
        <v>0</v>
      </c>
      <c r="O5033">
        <f t="shared" si="1003"/>
        <v>2</v>
      </c>
      <c r="P5033" s="57">
        <f t="shared" si="1004"/>
        <v>1</v>
      </c>
      <c r="Q5033" s="267">
        <f t="shared" si="1005"/>
        <v>73</v>
      </c>
      <c r="R5033" s="23" t="str">
        <f t="shared" si="1006"/>
        <v/>
      </c>
      <c r="S5033" s="23">
        <f t="shared" si="1007"/>
        <v>73</v>
      </c>
      <c r="T5033" s="23" t="str">
        <f t="shared" si="1008"/>
        <v/>
      </c>
      <c r="U5033" t="str">
        <f t="shared" si="1009"/>
        <v/>
      </c>
    </row>
    <row r="5034" spans="1:38">
      <c r="A5034" t="str">
        <f t="shared" si="1010"/>
        <v>PA_Alleg_2019p~Dem-school director east allegheny region 1 (vote for 1)</v>
      </c>
      <c r="B5034" s="55" t="s">
        <v>1291</v>
      </c>
      <c r="C5034">
        <v>369</v>
      </c>
      <c r="D5034" s="55" t="s">
        <v>375</v>
      </c>
      <c r="E5034" s="55" t="s">
        <v>15</v>
      </c>
      <c r="F5034" t="s">
        <v>12</v>
      </c>
      <c r="G5034" s="62">
        <v>0</v>
      </c>
      <c r="H5034" s="25">
        <v>0</v>
      </c>
      <c r="I5034">
        <v>916</v>
      </c>
      <c r="J5034">
        <v>197</v>
      </c>
      <c r="K5034">
        <v>2</v>
      </c>
      <c r="L5034">
        <v>2</v>
      </c>
      <c r="M5034">
        <v>0</v>
      </c>
      <c r="N5034" s="23">
        <v>0</v>
      </c>
      <c r="O5034">
        <f t="shared" si="1003"/>
        <v>-2</v>
      </c>
      <c r="P5034" s="57">
        <f t="shared" si="1004"/>
        <v>1</v>
      </c>
      <c r="Q5034" s="267">
        <f t="shared" si="1005"/>
        <v>0</v>
      </c>
      <c r="R5034" s="23">
        <f t="shared" si="1006"/>
        <v>1</v>
      </c>
      <c r="S5034" s="23">
        <f t="shared" si="1007"/>
        <v>0</v>
      </c>
      <c r="T5034" s="23" t="str">
        <f t="shared" si="1008"/>
        <v/>
      </c>
      <c r="U5034" t="str">
        <f t="shared" si="1009"/>
        <v/>
      </c>
      <c r="AF5034" s="300"/>
      <c r="AG5034" s="23"/>
      <c r="AH5034" s="8"/>
      <c r="AL5034" s="344"/>
    </row>
    <row r="5035" spans="1:38">
      <c r="A5035" t="str">
        <f t="shared" si="1010"/>
        <v>PA_Alleg_2019p~Dem-school director east allegheny region 4 (vote for 1)</v>
      </c>
      <c r="B5035" s="55" t="s">
        <v>1291</v>
      </c>
      <c r="C5035">
        <v>455</v>
      </c>
      <c r="D5035" s="55" t="s">
        <v>455</v>
      </c>
      <c r="E5035" s="55" t="s">
        <v>456</v>
      </c>
      <c r="F5035" t="s">
        <v>12</v>
      </c>
      <c r="G5035" s="62">
        <v>147</v>
      </c>
      <c r="H5035" s="25">
        <v>100</v>
      </c>
      <c r="I5035">
        <v>1320</v>
      </c>
      <c r="J5035">
        <v>202</v>
      </c>
      <c r="K5035">
        <v>2</v>
      </c>
      <c r="L5035">
        <v>2</v>
      </c>
      <c r="M5035">
        <v>0</v>
      </c>
      <c r="N5035" s="23">
        <v>0</v>
      </c>
      <c r="O5035">
        <f t="shared" si="1003"/>
        <v>1</v>
      </c>
      <c r="P5035" s="57">
        <f t="shared" si="1004"/>
        <v>1</v>
      </c>
      <c r="Q5035" s="267">
        <f t="shared" si="1005"/>
        <v>147</v>
      </c>
      <c r="R5035" s="23">
        <f t="shared" si="1006"/>
        <v>147</v>
      </c>
      <c r="S5035" s="23">
        <f t="shared" si="1007"/>
        <v>0</v>
      </c>
      <c r="T5035" s="23" t="str">
        <f t="shared" si="1008"/>
        <v/>
      </c>
      <c r="U5035" t="str">
        <f t="shared" si="1009"/>
        <v>PA_Alleg_2019p~Dem-school director east allegheny region 4 (vote for 1)</v>
      </c>
      <c r="AF5035" s="22"/>
      <c r="AH5035" s="8"/>
      <c r="AL5035" s="23"/>
    </row>
    <row r="5036" spans="1:38">
      <c r="A5036" t="str">
        <f t="shared" si="1010"/>
        <v>PA_Alleg_2019p~Dem-school director east allegheny region 4 (vote for 1)</v>
      </c>
      <c r="B5036" s="55" t="s">
        <v>1291</v>
      </c>
      <c r="C5036">
        <v>456</v>
      </c>
      <c r="D5036" s="55" t="s">
        <v>455</v>
      </c>
      <c r="E5036" s="55" t="s">
        <v>15</v>
      </c>
      <c r="F5036" t="s">
        <v>12</v>
      </c>
      <c r="G5036" s="62">
        <v>0</v>
      </c>
      <c r="H5036" s="25">
        <v>0</v>
      </c>
      <c r="I5036">
        <v>1320</v>
      </c>
      <c r="J5036">
        <v>202</v>
      </c>
      <c r="K5036">
        <v>2</v>
      </c>
      <c r="L5036">
        <v>2</v>
      </c>
      <c r="M5036">
        <v>0</v>
      </c>
      <c r="N5036" s="23">
        <v>0</v>
      </c>
      <c r="O5036">
        <f t="shared" si="1003"/>
        <v>-1</v>
      </c>
      <c r="P5036" s="57">
        <f t="shared" si="1004"/>
        <v>1</v>
      </c>
      <c r="Q5036" s="267">
        <f t="shared" si="1005"/>
        <v>0</v>
      </c>
      <c r="R5036" s="23">
        <f t="shared" si="1006"/>
        <v>1</v>
      </c>
      <c r="S5036" s="23">
        <f t="shared" si="1007"/>
        <v>0</v>
      </c>
      <c r="T5036" s="23" t="str">
        <f t="shared" si="1008"/>
        <v/>
      </c>
      <c r="U5036" t="str">
        <f t="shared" si="1009"/>
        <v/>
      </c>
    </row>
    <row r="5037" spans="1:38">
      <c r="A5037" t="str">
        <f t="shared" si="1010"/>
        <v>PA_Alleg_2019p~Dem-school director east allegheny region 5 (vote for 1)</v>
      </c>
      <c r="B5037" s="55" t="s">
        <v>1291</v>
      </c>
      <c r="C5037">
        <v>457</v>
      </c>
      <c r="D5037" s="55" t="s">
        <v>457</v>
      </c>
      <c r="E5037" s="55" t="s">
        <v>458</v>
      </c>
      <c r="F5037" t="s">
        <v>12</v>
      </c>
      <c r="G5037" s="62">
        <v>156</v>
      </c>
      <c r="H5037" s="25">
        <v>99.36</v>
      </c>
      <c r="I5037">
        <v>1198</v>
      </c>
      <c r="J5037">
        <v>249</v>
      </c>
      <c r="K5037">
        <v>2</v>
      </c>
      <c r="L5037">
        <v>2</v>
      </c>
      <c r="M5037">
        <v>0</v>
      </c>
      <c r="N5037" s="23">
        <v>0</v>
      </c>
      <c r="O5037">
        <f t="shared" si="1003"/>
        <v>1</v>
      </c>
      <c r="P5037" s="57">
        <f t="shared" si="1004"/>
        <v>1</v>
      </c>
      <c r="Q5037" s="267">
        <f t="shared" si="1005"/>
        <v>157</v>
      </c>
      <c r="R5037" s="23">
        <f t="shared" si="1006"/>
        <v>156</v>
      </c>
      <c r="S5037" s="23">
        <f t="shared" si="1007"/>
        <v>0</v>
      </c>
      <c r="T5037" s="23" t="str">
        <f t="shared" si="1008"/>
        <v/>
      </c>
      <c r="U5037" t="str">
        <f t="shared" si="1009"/>
        <v>PA_Alleg_2019p~Dem-school director east allegheny region 5 (vote for 1)</v>
      </c>
      <c r="AF5037" s="22"/>
      <c r="AG5037" s="23"/>
      <c r="AH5037" s="8"/>
    </row>
    <row r="5038" spans="1:38">
      <c r="A5038" t="str">
        <f t="shared" si="1010"/>
        <v>PA_Alleg_2019p~Dem-school director east allegheny region 5 (vote for 1)</v>
      </c>
      <c r="B5038" s="55" t="s">
        <v>1291</v>
      </c>
      <c r="C5038">
        <v>458</v>
      </c>
      <c r="D5038" s="55" t="s">
        <v>457</v>
      </c>
      <c r="E5038" s="55" t="s">
        <v>15</v>
      </c>
      <c r="F5038" t="s">
        <v>12</v>
      </c>
      <c r="G5038" s="62">
        <v>1</v>
      </c>
      <c r="H5038" s="25">
        <v>0.64</v>
      </c>
      <c r="I5038">
        <v>1198</v>
      </c>
      <c r="J5038">
        <v>249</v>
      </c>
      <c r="K5038">
        <v>2</v>
      </c>
      <c r="L5038">
        <v>2</v>
      </c>
      <c r="M5038">
        <v>0</v>
      </c>
      <c r="N5038" s="23">
        <v>0</v>
      </c>
      <c r="O5038">
        <f t="shared" si="1003"/>
        <v>-1</v>
      </c>
      <c r="P5038" s="57">
        <f t="shared" si="1004"/>
        <v>1</v>
      </c>
      <c r="Q5038" s="267">
        <f t="shared" si="1005"/>
        <v>1</v>
      </c>
      <c r="R5038" s="23">
        <f t="shared" si="1006"/>
        <v>1</v>
      </c>
      <c r="S5038" s="23">
        <f t="shared" si="1007"/>
        <v>0</v>
      </c>
      <c r="T5038" s="23" t="str">
        <f t="shared" si="1008"/>
        <v/>
      </c>
      <c r="U5038" t="str">
        <f t="shared" si="1009"/>
        <v/>
      </c>
      <c r="AF5038" s="22"/>
    </row>
    <row r="5039" spans="1:38">
      <c r="A5039" t="str">
        <f t="shared" si="1010"/>
        <v>PA_Alleg_2019p~Dem-school director east allegheny region 6 (vote for 1)</v>
      </c>
      <c r="B5039" s="55" t="s">
        <v>1291</v>
      </c>
      <c r="C5039">
        <v>459</v>
      </c>
      <c r="D5039" s="55" t="s">
        <v>459</v>
      </c>
      <c r="E5039" s="55" t="s">
        <v>460</v>
      </c>
      <c r="F5039" t="s">
        <v>12</v>
      </c>
      <c r="G5039" s="62">
        <v>90</v>
      </c>
      <c r="H5039" s="25">
        <v>96.77</v>
      </c>
      <c r="I5039">
        <v>931</v>
      </c>
      <c r="J5039">
        <v>140</v>
      </c>
      <c r="K5039">
        <v>2</v>
      </c>
      <c r="L5039">
        <v>2</v>
      </c>
      <c r="M5039">
        <v>0</v>
      </c>
      <c r="N5039" s="23">
        <v>0</v>
      </c>
      <c r="O5039">
        <f t="shared" si="1003"/>
        <v>1</v>
      </c>
      <c r="P5039" s="57">
        <f t="shared" si="1004"/>
        <v>1</v>
      </c>
      <c r="Q5039" s="267">
        <f t="shared" si="1005"/>
        <v>93</v>
      </c>
      <c r="R5039" s="23">
        <f t="shared" si="1006"/>
        <v>90</v>
      </c>
      <c r="S5039" s="23">
        <f t="shared" si="1007"/>
        <v>0</v>
      </c>
      <c r="T5039" s="23" t="str">
        <f t="shared" si="1008"/>
        <v/>
      </c>
      <c r="U5039" t="str">
        <f t="shared" si="1009"/>
        <v>PA_Alleg_2019p~Dem-school director east allegheny region 6 (vote for 1)</v>
      </c>
      <c r="AF5039" s="22"/>
    </row>
    <row r="5040" spans="1:38">
      <c r="A5040" t="str">
        <f t="shared" si="1010"/>
        <v>PA_Alleg_2019p~Dem-school director east allegheny region 6 (vote for 1)</v>
      </c>
      <c r="B5040" s="55" t="s">
        <v>1291</v>
      </c>
      <c r="C5040">
        <v>460</v>
      </c>
      <c r="D5040" s="55" t="s">
        <v>459</v>
      </c>
      <c r="E5040" s="55" t="s">
        <v>15</v>
      </c>
      <c r="F5040" t="s">
        <v>12</v>
      </c>
      <c r="G5040" s="62">
        <v>3</v>
      </c>
      <c r="H5040" s="25">
        <v>3.23</v>
      </c>
      <c r="I5040">
        <v>931</v>
      </c>
      <c r="J5040">
        <v>140</v>
      </c>
      <c r="K5040">
        <v>2</v>
      </c>
      <c r="L5040">
        <v>2</v>
      </c>
      <c r="M5040">
        <v>0</v>
      </c>
      <c r="N5040" s="23">
        <v>0</v>
      </c>
      <c r="O5040">
        <f t="shared" si="1003"/>
        <v>-1</v>
      </c>
      <c r="P5040" s="57">
        <f t="shared" si="1004"/>
        <v>1</v>
      </c>
      <c r="Q5040" s="267">
        <f t="shared" si="1005"/>
        <v>3</v>
      </c>
      <c r="R5040" s="23">
        <f t="shared" si="1006"/>
        <v>1</v>
      </c>
      <c r="S5040" s="23">
        <f t="shared" si="1007"/>
        <v>0</v>
      </c>
      <c r="T5040" s="23" t="str">
        <f t="shared" si="1008"/>
        <v/>
      </c>
      <c r="U5040" t="str">
        <f t="shared" si="1009"/>
        <v/>
      </c>
      <c r="AF5040" s="22"/>
    </row>
    <row r="5041" spans="1:38">
      <c r="A5041" t="str">
        <f t="shared" si="1010"/>
        <v>PA_Alleg_2019p~Dem-school director east allegheny region 8 (vote for 1)</v>
      </c>
      <c r="B5041" s="55" t="s">
        <v>1291</v>
      </c>
      <c r="C5041">
        <v>461</v>
      </c>
      <c r="D5041" s="55" t="s">
        <v>461</v>
      </c>
      <c r="E5041" s="55" t="s">
        <v>462</v>
      </c>
      <c r="F5041" t="s">
        <v>12</v>
      </c>
      <c r="G5041" s="62">
        <v>78</v>
      </c>
      <c r="H5041" s="25">
        <v>100</v>
      </c>
      <c r="I5041">
        <v>911</v>
      </c>
      <c r="J5041">
        <v>120</v>
      </c>
      <c r="K5041">
        <v>2</v>
      </c>
      <c r="L5041">
        <v>2</v>
      </c>
      <c r="M5041">
        <v>0</v>
      </c>
      <c r="N5041" s="23">
        <v>0</v>
      </c>
      <c r="O5041">
        <f t="shared" si="1003"/>
        <v>1</v>
      </c>
      <c r="P5041" s="57">
        <f t="shared" si="1004"/>
        <v>1</v>
      </c>
      <c r="Q5041" s="267">
        <f t="shared" si="1005"/>
        <v>78</v>
      </c>
      <c r="R5041" s="23">
        <f t="shared" si="1006"/>
        <v>78</v>
      </c>
      <c r="S5041" s="23">
        <f t="shared" si="1007"/>
        <v>0</v>
      </c>
      <c r="T5041" s="23" t="str">
        <f t="shared" si="1008"/>
        <v/>
      </c>
      <c r="U5041" t="str">
        <f t="shared" si="1009"/>
        <v>PA_Alleg_2019p~Dem-school director east allegheny region 8 (vote for 1)</v>
      </c>
      <c r="AF5041" s="22"/>
    </row>
    <row r="5042" spans="1:38">
      <c r="A5042" t="str">
        <f t="shared" si="1010"/>
        <v>PA_Alleg_2019p~Dem-school director east allegheny region 8 (vote for 1)</v>
      </c>
      <c r="B5042" s="55" t="s">
        <v>1291</v>
      </c>
      <c r="C5042">
        <v>462</v>
      </c>
      <c r="D5042" s="55" t="s">
        <v>461</v>
      </c>
      <c r="E5042" s="55" t="s">
        <v>15</v>
      </c>
      <c r="F5042" t="s">
        <v>12</v>
      </c>
      <c r="G5042" s="62">
        <v>0</v>
      </c>
      <c r="H5042" s="25">
        <v>0</v>
      </c>
      <c r="I5042">
        <v>911</v>
      </c>
      <c r="J5042">
        <v>120</v>
      </c>
      <c r="K5042">
        <v>2</v>
      </c>
      <c r="L5042">
        <v>2</v>
      </c>
      <c r="M5042">
        <v>0</v>
      </c>
      <c r="N5042" s="23">
        <v>0</v>
      </c>
      <c r="O5042">
        <f t="shared" si="1003"/>
        <v>-1</v>
      </c>
      <c r="P5042" s="57">
        <f t="shared" si="1004"/>
        <v>1</v>
      </c>
      <c r="Q5042" s="267">
        <f t="shared" si="1005"/>
        <v>0</v>
      </c>
      <c r="R5042" s="23">
        <f t="shared" si="1006"/>
        <v>1</v>
      </c>
      <c r="S5042" s="23">
        <f t="shared" si="1007"/>
        <v>0</v>
      </c>
      <c r="T5042" s="23" t="str">
        <f t="shared" si="1008"/>
        <v/>
      </c>
      <c r="U5042" t="str">
        <f t="shared" si="1009"/>
        <v/>
      </c>
      <c r="AF5042" s="22"/>
      <c r="AL5042" s="344"/>
    </row>
    <row r="5043" spans="1:38">
      <c r="A5043" t="str">
        <f t="shared" si="1010"/>
        <v>PA_Alleg_2019p~Dem-school director east allegheny region 9 (vote for 1)</v>
      </c>
      <c r="B5043" s="55" t="s">
        <v>1291</v>
      </c>
      <c r="C5043">
        <v>463</v>
      </c>
      <c r="D5043" s="55" t="s">
        <v>463</v>
      </c>
      <c r="E5043" s="55" t="s">
        <v>464</v>
      </c>
      <c r="F5043" t="s">
        <v>12</v>
      </c>
      <c r="G5043" s="62">
        <v>68</v>
      </c>
      <c r="H5043" s="25">
        <v>97.14</v>
      </c>
      <c r="I5043">
        <v>965</v>
      </c>
      <c r="J5043">
        <v>92</v>
      </c>
      <c r="K5043">
        <v>2</v>
      </c>
      <c r="L5043">
        <v>2</v>
      </c>
      <c r="M5043">
        <v>0</v>
      </c>
      <c r="N5043" s="23">
        <v>0</v>
      </c>
      <c r="O5043">
        <f t="shared" si="1003"/>
        <v>1</v>
      </c>
      <c r="P5043" s="57">
        <f t="shared" si="1004"/>
        <v>1</v>
      </c>
      <c r="Q5043" s="267">
        <f t="shared" si="1005"/>
        <v>70</v>
      </c>
      <c r="R5043" s="23">
        <f t="shared" si="1006"/>
        <v>68</v>
      </c>
      <c r="S5043" s="23">
        <f t="shared" si="1007"/>
        <v>0</v>
      </c>
      <c r="T5043" s="23" t="str">
        <f t="shared" si="1008"/>
        <v/>
      </c>
      <c r="U5043" t="str">
        <f t="shared" si="1009"/>
        <v>PA_Alleg_2019p~Dem-school director east allegheny region 9 (vote for 1)</v>
      </c>
      <c r="AF5043" s="22"/>
    </row>
    <row r="5044" spans="1:38">
      <c r="A5044" t="str">
        <f t="shared" si="1010"/>
        <v>PA_Alleg_2019p~Dem-school director east allegheny region 9 (vote for 1)</v>
      </c>
      <c r="B5044" s="55" t="s">
        <v>1291</v>
      </c>
      <c r="C5044">
        <v>464</v>
      </c>
      <c r="D5044" s="55" t="s">
        <v>463</v>
      </c>
      <c r="E5044" s="55" t="s">
        <v>15</v>
      </c>
      <c r="F5044" t="s">
        <v>12</v>
      </c>
      <c r="G5044" s="62">
        <v>2</v>
      </c>
      <c r="H5044" s="25">
        <v>2.86</v>
      </c>
      <c r="I5044">
        <v>965</v>
      </c>
      <c r="J5044">
        <v>92</v>
      </c>
      <c r="K5044">
        <v>2</v>
      </c>
      <c r="L5044">
        <v>2</v>
      </c>
      <c r="M5044">
        <v>0</v>
      </c>
      <c r="N5044" s="23">
        <v>0</v>
      </c>
      <c r="O5044">
        <f t="shared" si="1003"/>
        <v>-1</v>
      </c>
      <c r="P5044" s="57">
        <f t="shared" si="1004"/>
        <v>1</v>
      </c>
      <c r="Q5044" s="267">
        <f t="shared" si="1005"/>
        <v>2</v>
      </c>
      <c r="R5044" s="23">
        <f t="shared" si="1006"/>
        <v>1</v>
      </c>
      <c r="S5044" s="23">
        <f t="shared" si="1007"/>
        <v>0</v>
      </c>
      <c r="T5044" s="23" t="str">
        <f t="shared" si="1008"/>
        <v/>
      </c>
      <c r="U5044" t="str">
        <f t="shared" si="1009"/>
        <v/>
      </c>
      <c r="AF5044" s="22"/>
    </row>
    <row r="5045" spans="1:38">
      <c r="A5045" t="str">
        <f t="shared" si="1010"/>
        <v>PA_Alleg_2019p~Dem-school director elizabeth forward (vote for 5)</v>
      </c>
      <c r="B5045" s="55" t="s">
        <v>1291</v>
      </c>
      <c r="C5045">
        <v>166</v>
      </c>
      <c r="D5045" s="55" t="s">
        <v>174</v>
      </c>
      <c r="E5045" s="55" t="s">
        <v>178</v>
      </c>
      <c r="F5045" t="s">
        <v>12</v>
      </c>
      <c r="G5045" s="62">
        <v>755</v>
      </c>
      <c r="H5045" s="25">
        <v>17.84</v>
      </c>
      <c r="I5045">
        <v>12425</v>
      </c>
      <c r="J5045">
        <v>2259</v>
      </c>
      <c r="K5045">
        <v>16</v>
      </c>
      <c r="L5045">
        <v>16</v>
      </c>
      <c r="M5045">
        <v>0</v>
      </c>
      <c r="N5045" s="23">
        <v>0</v>
      </c>
      <c r="O5045">
        <f t="shared" si="1003"/>
        <v>1</v>
      </c>
      <c r="P5045" s="57">
        <f t="shared" si="1004"/>
        <v>5</v>
      </c>
      <c r="Q5045" s="267">
        <f t="shared" si="1005"/>
        <v>846.6</v>
      </c>
      <c r="R5045" s="23">
        <f t="shared" si="1006"/>
        <v>687</v>
      </c>
      <c r="S5045" s="23">
        <f t="shared" si="1007"/>
        <v>614</v>
      </c>
      <c r="T5045" s="23">
        <f t="shared" si="1008"/>
        <v>73</v>
      </c>
      <c r="U5045" t="str">
        <f t="shared" si="1009"/>
        <v>PA_Alleg_2019p~Dem-school director elizabeth forward (vote for 5)</v>
      </c>
      <c r="AF5045" s="22"/>
      <c r="AH5045" s="8"/>
      <c r="AL5045" s="23"/>
    </row>
    <row r="5046" spans="1:38">
      <c r="A5046" t="str">
        <f t="shared" si="1010"/>
        <v>PA_Alleg_2019p~Dem-school director elizabeth forward (vote for 5)</v>
      </c>
      <c r="B5046" s="55" t="s">
        <v>1291</v>
      </c>
      <c r="C5046">
        <v>167</v>
      </c>
      <c r="D5046" s="55" t="s">
        <v>174</v>
      </c>
      <c r="E5046" s="55" t="s">
        <v>179</v>
      </c>
      <c r="F5046" t="s">
        <v>12</v>
      </c>
      <c r="G5046" s="62">
        <v>729</v>
      </c>
      <c r="H5046" s="25">
        <v>17.22</v>
      </c>
      <c r="I5046">
        <v>12425</v>
      </c>
      <c r="J5046">
        <v>2259</v>
      </c>
      <c r="K5046">
        <v>16</v>
      </c>
      <c r="L5046">
        <v>16</v>
      </c>
      <c r="M5046">
        <v>0</v>
      </c>
      <c r="N5046" s="23">
        <v>0</v>
      </c>
      <c r="O5046">
        <f t="shared" si="1003"/>
        <v>2</v>
      </c>
      <c r="P5046" s="57">
        <f t="shared" si="1004"/>
        <v>5</v>
      </c>
      <c r="Q5046" s="267">
        <f t="shared" si="1005"/>
        <v>3478</v>
      </c>
      <c r="R5046" s="23">
        <f t="shared" si="1006"/>
        <v>687</v>
      </c>
      <c r="S5046" s="23">
        <f t="shared" si="1007"/>
        <v>614</v>
      </c>
      <c r="T5046" s="23" t="str">
        <f t="shared" si="1008"/>
        <v/>
      </c>
      <c r="U5046" t="str">
        <f t="shared" si="1009"/>
        <v/>
      </c>
      <c r="AF5046" s="22"/>
    </row>
    <row r="5047" spans="1:38">
      <c r="A5047" t="str">
        <f t="shared" si="1010"/>
        <v>PA_Alleg_2019p~Dem-school director elizabeth forward (vote for 5)</v>
      </c>
      <c r="B5047" s="55" t="s">
        <v>1291</v>
      </c>
      <c r="C5047">
        <v>163</v>
      </c>
      <c r="D5047" s="55" t="s">
        <v>174</v>
      </c>
      <c r="E5047" s="55" t="s">
        <v>175</v>
      </c>
      <c r="F5047" t="s">
        <v>12</v>
      </c>
      <c r="G5047" s="62">
        <v>714</v>
      </c>
      <c r="H5047" s="25">
        <v>16.87</v>
      </c>
      <c r="I5047">
        <v>12425</v>
      </c>
      <c r="J5047">
        <v>2259</v>
      </c>
      <c r="K5047">
        <v>16</v>
      </c>
      <c r="L5047">
        <v>16</v>
      </c>
      <c r="M5047">
        <v>0</v>
      </c>
      <c r="N5047" s="23">
        <v>0</v>
      </c>
      <c r="O5047">
        <f t="shared" si="1003"/>
        <v>3</v>
      </c>
      <c r="P5047" s="57">
        <f t="shared" si="1004"/>
        <v>5</v>
      </c>
      <c r="Q5047" s="267">
        <f t="shared" si="1005"/>
        <v>2749</v>
      </c>
      <c r="R5047" s="23">
        <f t="shared" si="1006"/>
        <v>687</v>
      </c>
      <c r="S5047" s="23">
        <f t="shared" si="1007"/>
        <v>614</v>
      </c>
      <c r="T5047" s="23" t="str">
        <f t="shared" si="1008"/>
        <v/>
      </c>
      <c r="U5047" t="str">
        <f t="shared" si="1009"/>
        <v/>
      </c>
      <c r="AF5047" s="22"/>
    </row>
    <row r="5048" spans="1:38">
      <c r="A5048" t="str">
        <f t="shared" si="1010"/>
        <v>PA_Alleg_2019p~Dem-school director elizabeth forward (vote for 5)</v>
      </c>
      <c r="B5048" s="55" t="s">
        <v>1291</v>
      </c>
      <c r="C5048">
        <v>165</v>
      </c>
      <c r="D5048" s="55" t="s">
        <v>174</v>
      </c>
      <c r="E5048" s="55" t="s">
        <v>177</v>
      </c>
      <c r="F5048" t="s">
        <v>12</v>
      </c>
      <c r="G5048" s="62">
        <v>696</v>
      </c>
      <c r="H5048" s="25">
        <v>16.440000000000001</v>
      </c>
      <c r="I5048">
        <v>12425</v>
      </c>
      <c r="J5048">
        <v>2259</v>
      </c>
      <c r="K5048">
        <v>16</v>
      </c>
      <c r="L5048">
        <v>16</v>
      </c>
      <c r="M5048">
        <v>0</v>
      </c>
      <c r="N5048" s="23">
        <v>0</v>
      </c>
      <c r="O5048">
        <f t="shared" si="1003"/>
        <v>4</v>
      </c>
      <c r="P5048" s="57">
        <f t="shared" si="1004"/>
        <v>5</v>
      </c>
      <c r="Q5048" s="267">
        <f t="shared" si="1005"/>
        <v>2035</v>
      </c>
      <c r="R5048" s="23">
        <f t="shared" si="1006"/>
        <v>687</v>
      </c>
      <c r="S5048" s="23">
        <f t="shared" si="1007"/>
        <v>614</v>
      </c>
      <c r="T5048" s="23" t="str">
        <f t="shared" si="1008"/>
        <v/>
      </c>
      <c r="U5048" t="str">
        <f t="shared" si="1009"/>
        <v/>
      </c>
      <c r="AF5048" s="22"/>
    </row>
    <row r="5049" spans="1:38">
      <c r="A5049" t="str">
        <f t="shared" si="1010"/>
        <v>PA_Alleg_2019p~Dem-school director elizabeth forward (vote for 5)</v>
      </c>
      <c r="B5049" s="55" t="s">
        <v>1291</v>
      </c>
      <c r="C5049">
        <v>164</v>
      </c>
      <c r="D5049" s="55" t="s">
        <v>174</v>
      </c>
      <c r="E5049" s="55" t="s">
        <v>176</v>
      </c>
      <c r="F5049" t="s">
        <v>12</v>
      </c>
      <c r="G5049" s="62">
        <v>687</v>
      </c>
      <c r="H5049" s="25">
        <v>16.23</v>
      </c>
      <c r="I5049">
        <v>12425</v>
      </c>
      <c r="J5049">
        <v>2259</v>
      </c>
      <c r="K5049">
        <v>16</v>
      </c>
      <c r="L5049">
        <v>16</v>
      </c>
      <c r="M5049">
        <v>0</v>
      </c>
      <c r="N5049" s="23">
        <v>0</v>
      </c>
      <c r="O5049">
        <f t="shared" si="1003"/>
        <v>5</v>
      </c>
      <c r="P5049" s="57">
        <f t="shared" si="1004"/>
        <v>5</v>
      </c>
      <c r="Q5049" s="267">
        <f t="shared" si="1005"/>
        <v>1339</v>
      </c>
      <c r="R5049" s="23">
        <f t="shared" si="1006"/>
        <v>687</v>
      </c>
      <c r="S5049" s="23">
        <f t="shared" si="1007"/>
        <v>614</v>
      </c>
      <c r="T5049" s="23" t="str">
        <f t="shared" si="1008"/>
        <v/>
      </c>
      <c r="U5049" t="str">
        <f t="shared" si="1009"/>
        <v/>
      </c>
      <c r="AF5049" s="22"/>
      <c r="AH5049" s="8"/>
      <c r="AL5049" s="23"/>
    </row>
    <row r="5050" spans="1:38">
      <c r="A5050" t="str">
        <f t="shared" si="1010"/>
        <v>PA_Alleg_2019p~Dem-school director elizabeth forward (vote for 5)</v>
      </c>
      <c r="B5050" s="55" t="s">
        <v>1291</v>
      </c>
      <c r="C5050">
        <v>168</v>
      </c>
      <c r="D5050" s="55" t="s">
        <v>174</v>
      </c>
      <c r="E5050" s="55" t="s">
        <v>180</v>
      </c>
      <c r="F5050" t="s">
        <v>12</v>
      </c>
      <c r="G5050" s="62">
        <v>614</v>
      </c>
      <c r="H5050" s="25">
        <v>14.51</v>
      </c>
      <c r="I5050">
        <v>12425</v>
      </c>
      <c r="J5050">
        <v>2259</v>
      </c>
      <c r="K5050">
        <v>16</v>
      </c>
      <c r="L5050">
        <v>16</v>
      </c>
      <c r="M5050">
        <v>0</v>
      </c>
      <c r="N5050" s="23">
        <v>0</v>
      </c>
      <c r="O5050">
        <f t="shared" si="1003"/>
        <v>6</v>
      </c>
      <c r="P5050" s="57">
        <f t="shared" si="1004"/>
        <v>5</v>
      </c>
      <c r="Q5050" s="267">
        <f t="shared" si="1005"/>
        <v>652</v>
      </c>
      <c r="R5050" s="23" t="str">
        <f t="shared" si="1006"/>
        <v/>
      </c>
      <c r="S5050" s="23">
        <f t="shared" si="1007"/>
        <v>614</v>
      </c>
      <c r="T5050" s="23" t="str">
        <f t="shared" si="1008"/>
        <v/>
      </c>
      <c r="U5050" t="str">
        <f t="shared" si="1009"/>
        <v/>
      </c>
      <c r="AF5050" s="22"/>
      <c r="AH5050" s="8"/>
      <c r="AL5050" s="23"/>
    </row>
    <row r="5051" spans="1:38">
      <c r="A5051" t="str">
        <f t="shared" si="1010"/>
        <v>PA_Alleg_2019p~Dem-school director elizabeth forward (vote for 5)</v>
      </c>
      <c r="B5051" s="55" t="s">
        <v>1291</v>
      </c>
      <c r="C5051">
        <v>169</v>
      </c>
      <c r="D5051" s="55" t="s">
        <v>174</v>
      </c>
      <c r="E5051" s="55" t="s">
        <v>15</v>
      </c>
      <c r="F5051" t="s">
        <v>12</v>
      </c>
      <c r="G5051" s="62">
        <v>38</v>
      </c>
      <c r="H5051" s="25">
        <v>0.9</v>
      </c>
      <c r="I5051">
        <v>12425</v>
      </c>
      <c r="J5051">
        <v>2259</v>
      </c>
      <c r="K5051">
        <v>16</v>
      </c>
      <c r="L5051">
        <v>16</v>
      </c>
      <c r="M5051">
        <v>0</v>
      </c>
      <c r="N5051" s="23">
        <v>0</v>
      </c>
      <c r="O5051">
        <f t="shared" si="1003"/>
        <v>-6</v>
      </c>
      <c r="P5051" s="57">
        <f t="shared" si="1004"/>
        <v>5</v>
      </c>
      <c r="Q5051" s="267">
        <f t="shared" si="1005"/>
        <v>38</v>
      </c>
      <c r="R5051" s="23">
        <f t="shared" si="1006"/>
        <v>1</v>
      </c>
      <c r="S5051" s="23">
        <f t="shared" si="1007"/>
        <v>0</v>
      </c>
      <c r="T5051" s="23" t="str">
        <f t="shared" si="1008"/>
        <v/>
      </c>
      <c r="U5051" t="str">
        <f t="shared" si="1009"/>
        <v/>
      </c>
      <c r="AF5051" s="22"/>
      <c r="AH5051" s="8"/>
      <c r="AL5051" s="23"/>
    </row>
    <row r="5052" spans="1:38">
      <c r="A5052" t="str">
        <f t="shared" si="1010"/>
        <v>PA_Alleg_2019p~Dem-school director fort cherry (vote for 5)</v>
      </c>
      <c r="B5052" s="55" t="s">
        <v>1291</v>
      </c>
      <c r="C5052">
        <v>172</v>
      </c>
      <c r="D5052" s="55" t="s">
        <v>181</v>
      </c>
      <c r="E5052" s="55" t="s">
        <v>184</v>
      </c>
      <c r="F5052" t="s">
        <v>12</v>
      </c>
      <c r="G5052" s="62">
        <v>22</v>
      </c>
      <c r="H5052" s="25">
        <v>22</v>
      </c>
      <c r="I5052">
        <v>220</v>
      </c>
      <c r="J5052">
        <v>47</v>
      </c>
      <c r="K5052">
        <v>1</v>
      </c>
      <c r="L5052">
        <v>1</v>
      </c>
      <c r="M5052">
        <v>0</v>
      </c>
      <c r="N5052" s="23">
        <v>0</v>
      </c>
      <c r="O5052">
        <f t="shared" si="1003"/>
        <v>1</v>
      </c>
      <c r="P5052" s="57">
        <f t="shared" si="1004"/>
        <v>5</v>
      </c>
      <c r="Q5052" s="267">
        <f t="shared" si="1005"/>
        <v>22</v>
      </c>
      <c r="R5052" s="23">
        <f t="shared" si="1006"/>
        <v>17</v>
      </c>
      <c r="S5052" s="23">
        <f t="shared" si="1007"/>
        <v>0</v>
      </c>
      <c r="T5052" s="23" t="str">
        <f t="shared" si="1008"/>
        <v/>
      </c>
      <c r="U5052" t="str">
        <f t="shared" si="1009"/>
        <v>PA_Alleg_2019p~Dem-school director fort cherry (vote for 5)</v>
      </c>
      <c r="AF5052" s="22"/>
    </row>
    <row r="5053" spans="1:38">
      <c r="A5053" t="str">
        <f t="shared" si="1010"/>
        <v>PA_Alleg_2019p~Dem-school director fort cherry (vote for 5)</v>
      </c>
      <c r="B5053" s="55" t="s">
        <v>1291</v>
      </c>
      <c r="C5053">
        <v>174</v>
      </c>
      <c r="D5053" s="55" t="s">
        <v>181</v>
      </c>
      <c r="E5053" s="55" t="s">
        <v>186</v>
      </c>
      <c r="F5053" t="s">
        <v>12</v>
      </c>
      <c r="G5053" s="62">
        <v>21</v>
      </c>
      <c r="H5053" s="25">
        <v>21</v>
      </c>
      <c r="I5053">
        <v>220</v>
      </c>
      <c r="J5053">
        <v>47</v>
      </c>
      <c r="K5053">
        <v>1</v>
      </c>
      <c r="L5053">
        <v>1</v>
      </c>
      <c r="M5053">
        <v>0</v>
      </c>
      <c r="N5053" s="23">
        <v>0</v>
      </c>
      <c r="O5053">
        <f t="shared" si="1003"/>
        <v>2</v>
      </c>
      <c r="P5053" s="57">
        <f t="shared" si="1004"/>
        <v>5</v>
      </c>
      <c r="Q5053" s="267">
        <f t="shared" si="1005"/>
        <v>78</v>
      </c>
      <c r="R5053" s="23">
        <f t="shared" si="1006"/>
        <v>17</v>
      </c>
      <c r="S5053" s="23">
        <f t="shared" si="1007"/>
        <v>0</v>
      </c>
      <c r="T5053" s="23" t="str">
        <f t="shared" si="1008"/>
        <v/>
      </c>
      <c r="U5053" t="str">
        <f t="shared" si="1009"/>
        <v/>
      </c>
      <c r="AF5053" s="22"/>
    </row>
    <row r="5054" spans="1:38">
      <c r="A5054" t="str">
        <f t="shared" si="1010"/>
        <v>PA_Alleg_2019p~Dem-school director fort cherry (vote for 5)</v>
      </c>
      <c r="B5054" s="55" t="s">
        <v>1291</v>
      </c>
      <c r="C5054">
        <v>170</v>
      </c>
      <c r="D5054" s="55" t="s">
        <v>181</v>
      </c>
      <c r="E5054" s="55" t="s">
        <v>182</v>
      </c>
      <c r="F5054" t="s">
        <v>12</v>
      </c>
      <c r="G5054" s="62">
        <v>21</v>
      </c>
      <c r="H5054" s="25">
        <v>21</v>
      </c>
      <c r="I5054">
        <v>220</v>
      </c>
      <c r="J5054">
        <v>47</v>
      </c>
      <c r="K5054">
        <v>1</v>
      </c>
      <c r="L5054">
        <v>1</v>
      </c>
      <c r="M5054">
        <v>0</v>
      </c>
      <c r="N5054" s="23">
        <v>0</v>
      </c>
      <c r="O5054">
        <f t="shared" si="1003"/>
        <v>3</v>
      </c>
      <c r="P5054" s="57">
        <f t="shared" si="1004"/>
        <v>5</v>
      </c>
      <c r="Q5054" s="267">
        <f t="shared" si="1005"/>
        <v>57</v>
      </c>
      <c r="R5054" s="23">
        <f t="shared" si="1006"/>
        <v>17</v>
      </c>
      <c r="S5054" s="23">
        <f t="shared" si="1007"/>
        <v>0</v>
      </c>
      <c r="T5054" s="23" t="str">
        <f t="shared" si="1008"/>
        <v/>
      </c>
      <c r="U5054" t="str">
        <f t="shared" si="1009"/>
        <v/>
      </c>
      <c r="AF5054" s="22"/>
    </row>
    <row r="5055" spans="1:38">
      <c r="A5055" t="str">
        <f t="shared" si="1010"/>
        <v>PA_Alleg_2019p~Dem-school director fort cherry (vote for 5)</v>
      </c>
      <c r="B5055" s="55" t="s">
        <v>1291</v>
      </c>
      <c r="C5055">
        <v>173</v>
      </c>
      <c r="D5055" s="55" t="s">
        <v>181</v>
      </c>
      <c r="E5055" s="55" t="s">
        <v>185</v>
      </c>
      <c r="F5055" t="s">
        <v>12</v>
      </c>
      <c r="G5055" s="62">
        <v>18</v>
      </c>
      <c r="H5055" s="25">
        <v>18</v>
      </c>
      <c r="I5055">
        <v>220</v>
      </c>
      <c r="J5055">
        <v>47</v>
      </c>
      <c r="K5055">
        <v>1</v>
      </c>
      <c r="L5055">
        <v>1</v>
      </c>
      <c r="M5055">
        <v>0</v>
      </c>
      <c r="N5055" s="23">
        <v>0</v>
      </c>
      <c r="O5055">
        <f t="shared" si="1003"/>
        <v>4</v>
      </c>
      <c r="P5055" s="57">
        <f t="shared" si="1004"/>
        <v>5</v>
      </c>
      <c r="Q5055" s="267">
        <f t="shared" si="1005"/>
        <v>36</v>
      </c>
      <c r="R5055" s="23">
        <f t="shared" si="1006"/>
        <v>17</v>
      </c>
      <c r="S5055" s="23">
        <f t="shared" si="1007"/>
        <v>0</v>
      </c>
      <c r="T5055" s="23" t="str">
        <f t="shared" si="1008"/>
        <v/>
      </c>
      <c r="U5055" t="str">
        <f t="shared" si="1009"/>
        <v/>
      </c>
      <c r="AF5055" s="22"/>
    </row>
    <row r="5056" spans="1:38">
      <c r="A5056" t="str">
        <f t="shared" si="1010"/>
        <v>PA_Alleg_2019p~Dem-school director fort cherry (vote for 5)</v>
      </c>
      <c r="B5056" s="55" t="s">
        <v>1291</v>
      </c>
      <c r="C5056">
        <v>171</v>
      </c>
      <c r="D5056" s="55" t="s">
        <v>181</v>
      </c>
      <c r="E5056" s="55" t="s">
        <v>183</v>
      </c>
      <c r="F5056" t="s">
        <v>12</v>
      </c>
      <c r="G5056" s="62">
        <v>17</v>
      </c>
      <c r="H5056" s="25">
        <v>17</v>
      </c>
      <c r="I5056">
        <v>220</v>
      </c>
      <c r="J5056">
        <v>47</v>
      </c>
      <c r="K5056">
        <v>1</v>
      </c>
      <c r="L5056">
        <v>1</v>
      </c>
      <c r="M5056">
        <v>0</v>
      </c>
      <c r="N5056" s="23">
        <v>0</v>
      </c>
      <c r="O5056">
        <f t="shared" si="1003"/>
        <v>5</v>
      </c>
      <c r="P5056" s="57">
        <f t="shared" si="1004"/>
        <v>5</v>
      </c>
      <c r="Q5056" s="267">
        <f t="shared" si="1005"/>
        <v>18</v>
      </c>
      <c r="R5056" s="23">
        <f t="shared" si="1006"/>
        <v>17</v>
      </c>
      <c r="S5056" s="23">
        <f t="shared" si="1007"/>
        <v>0</v>
      </c>
      <c r="T5056" s="23" t="str">
        <f t="shared" si="1008"/>
        <v/>
      </c>
      <c r="U5056" t="str">
        <f t="shared" si="1009"/>
        <v/>
      </c>
      <c r="AF5056" s="22"/>
    </row>
    <row r="5057" spans="1:38">
      <c r="A5057" t="str">
        <f t="shared" si="1010"/>
        <v>PA_Alleg_2019p~Dem-school director fort cherry (vote for 5)</v>
      </c>
      <c r="B5057" s="55" t="s">
        <v>1291</v>
      </c>
      <c r="C5057">
        <v>175</v>
      </c>
      <c r="D5057" s="55" t="s">
        <v>181</v>
      </c>
      <c r="E5057" s="55" t="s">
        <v>15</v>
      </c>
      <c r="F5057" t="s">
        <v>12</v>
      </c>
      <c r="G5057" s="62">
        <v>1</v>
      </c>
      <c r="H5057" s="25">
        <v>1</v>
      </c>
      <c r="I5057">
        <v>220</v>
      </c>
      <c r="J5057">
        <v>47</v>
      </c>
      <c r="K5057">
        <v>1</v>
      </c>
      <c r="L5057">
        <v>1</v>
      </c>
      <c r="M5057">
        <v>0</v>
      </c>
      <c r="N5057" s="23">
        <v>0</v>
      </c>
      <c r="O5057">
        <f t="shared" si="1003"/>
        <v>-5</v>
      </c>
      <c r="P5057" s="57">
        <f t="shared" si="1004"/>
        <v>5</v>
      </c>
      <c r="Q5057" s="267">
        <f t="shared" si="1005"/>
        <v>1</v>
      </c>
      <c r="R5057" s="23">
        <f t="shared" si="1006"/>
        <v>1</v>
      </c>
      <c r="S5057" s="23">
        <f t="shared" si="1007"/>
        <v>0</v>
      </c>
      <c r="T5057" s="23" t="str">
        <f t="shared" si="1008"/>
        <v/>
      </c>
      <c r="U5057" t="str">
        <f t="shared" si="1009"/>
        <v/>
      </c>
      <c r="AF5057" s="22"/>
    </row>
    <row r="5058" spans="1:38">
      <c r="A5058" t="str">
        <f t="shared" si="1010"/>
        <v>PA_Alleg_2019p~Dem-school director fox chapel region 1 (vote for 2)</v>
      </c>
      <c r="B5058" s="55" t="s">
        <v>1291</v>
      </c>
      <c r="C5058">
        <v>342</v>
      </c>
      <c r="D5058" s="55" t="s">
        <v>350</v>
      </c>
      <c r="E5058" s="55" t="s">
        <v>351</v>
      </c>
      <c r="F5058" t="s">
        <v>12</v>
      </c>
      <c r="G5058" s="62">
        <v>586</v>
      </c>
      <c r="H5058" s="25">
        <v>40.92</v>
      </c>
      <c r="I5058">
        <v>6510</v>
      </c>
      <c r="J5058">
        <v>1271</v>
      </c>
      <c r="K5058">
        <v>9</v>
      </c>
      <c r="L5058">
        <v>9</v>
      </c>
      <c r="M5058">
        <v>0</v>
      </c>
      <c r="N5058" s="23">
        <v>0</v>
      </c>
      <c r="O5058">
        <f t="shared" ref="O5058:O5121" si="1011">IF(OR(LOWER(LEFT(E5058,8))="write-in",LOWER(LEFT(E5058,8))="not qual"),IF(A5058=A5057,-ABS(O5057),0),IF(A5058=A5057,ABS(O5057)+1,1))</f>
        <v>1</v>
      </c>
      <c r="P5058" s="57">
        <f t="shared" ref="P5058:P5121" si="1012">1*LEFT(RIGHT(A5058,2),1)</f>
        <v>2</v>
      </c>
      <c r="Q5058" s="267">
        <f t="shared" ref="Q5058:Q5121" si="1013">IF(A5058&lt;&gt;A5059,G5058,IF(A5058=A5057,G5058+Q5059,MAX(G5058,(G5058+Q5059)/P5058)))</f>
        <v>716</v>
      </c>
      <c r="R5058" s="23">
        <f t="shared" ref="R5058:R5121" si="1014">IF(O5058&gt;P5058,"",IF(O5058=P5058,G5058,IF(A5058=A5059,R5059,IF(O5058&lt;=0,1,G5058))))</f>
        <v>442</v>
      </c>
      <c r="S5058" s="23">
        <f t="shared" ref="S5058:S5121" si="1015">IF(AND(O5058&gt;P5058,LOWER(LEFT(E5058,8))&lt;&gt;"write-in",LOWER(LEFT(E5058,8))&lt;&gt;"not qual"),G5058,IF(A5058=A5059,S5059,0))</f>
        <v>385</v>
      </c>
      <c r="T5058" s="23">
        <f t="shared" ref="T5058:T5121" si="1016">IF(OR(A5058=A5057,S5058=0),"",R5058-ABS(S5058))</f>
        <v>57</v>
      </c>
      <c r="U5058" t="str">
        <f t="shared" ref="U5058:U5121" si="1017">IF(A5058=A5057,"",A5058)</f>
        <v>PA_Alleg_2019p~Dem-school director fox chapel region 1 (vote for 2)</v>
      </c>
      <c r="AF5058" s="22"/>
    </row>
    <row r="5059" spans="1:38">
      <c r="A5059" t="str">
        <f t="shared" ref="A5059:A5122" si="1018">CONCATENATE(B5059,"~",F5059,"-",LOWER(D5059))</f>
        <v>PA_Alleg_2019p~Dem-school director fox chapel region 1 (vote for 2)</v>
      </c>
      <c r="B5059" s="55" t="s">
        <v>1291</v>
      </c>
      <c r="C5059">
        <v>343</v>
      </c>
      <c r="D5059" s="55" t="s">
        <v>350</v>
      </c>
      <c r="E5059" s="55" t="s">
        <v>352</v>
      </c>
      <c r="F5059" t="s">
        <v>12</v>
      </c>
      <c r="G5059" s="62">
        <v>442</v>
      </c>
      <c r="H5059" s="25">
        <v>30.87</v>
      </c>
      <c r="I5059">
        <v>6510</v>
      </c>
      <c r="J5059">
        <v>1271</v>
      </c>
      <c r="K5059">
        <v>9</v>
      </c>
      <c r="L5059">
        <v>9</v>
      </c>
      <c r="M5059">
        <v>0</v>
      </c>
      <c r="N5059" s="23">
        <v>0</v>
      </c>
      <c r="O5059">
        <f t="shared" si="1011"/>
        <v>2</v>
      </c>
      <c r="P5059" s="57">
        <f t="shared" si="1012"/>
        <v>2</v>
      </c>
      <c r="Q5059" s="267">
        <f t="shared" si="1013"/>
        <v>846</v>
      </c>
      <c r="R5059" s="23">
        <f t="shared" si="1014"/>
        <v>442</v>
      </c>
      <c r="S5059" s="23">
        <f t="shared" si="1015"/>
        <v>385</v>
      </c>
      <c r="T5059" s="23" t="str">
        <f t="shared" si="1016"/>
        <v/>
      </c>
      <c r="U5059" t="str">
        <f t="shared" si="1017"/>
        <v/>
      </c>
      <c r="AF5059" s="22"/>
    </row>
    <row r="5060" spans="1:38">
      <c r="A5060" t="str">
        <f t="shared" si="1018"/>
        <v>PA_Alleg_2019p~Dem-school director fox chapel region 1 (vote for 2)</v>
      </c>
      <c r="B5060" s="55" t="s">
        <v>1291</v>
      </c>
      <c r="C5060">
        <v>344</v>
      </c>
      <c r="D5060" s="55" t="s">
        <v>350</v>
      </c>
      <c r="E5060" s="55" t="s">
        <v>353</v>
      </c>
      <c r="F5060" t="s">
        <v>12</v>
      </c>
      <c r="G5060" s="62">
        <v>385</v>
      </c>
      <c r="H5060" s="25">
        <v>26.89</v>
      </c>
      <c r="I5060">
        <v>6510</v>
      </c>
      <c r="J5060">
        <v>1271</v>
      </c>
      <c r="K5060">
        <v>9</v>
      </c>
      <c r="L5060">
        <v>9</v>
      </c>
      <c r="M5060">
        <v>0</v>
      </c>
      <c r="N5060" s="23">
        <v>0</v>
      </c>
      <c r="O5060">
        <f t="shared" si="1011"/>
        <v>3</v>
      </c>
      <c r="P5060" s="57">
        <f t="shared" si="1012"/>
        <v>2</v>
      </c>
      <c r="Q5060" s="267">
        <f t="shared" si="1013"/>
        <v>404</v>
      </c>
      <c r="R5060" s="23" t="str">
        <f t="shared" si="1014"/>
        <v/>
      </c>
      <c r="S5060" s="23">
        <f t="shared" si="1015"/>
        <v>385</v>
      </c>
      <c r="T5060" s="23" t="str">
        <f t="shared" si="1016"/>
        <v/>
      </c>
      <c r="U5060" t="str">
        <f t="shared" si="1017"/>
        <v/>
      </c>
      <c r="AF5060" s="312"/>
      <c r="AG5060" s="89"/>
      <c r="AH5060" s="274"/>
      <c r="AI5060" s="279"/>
      <c r="AJ5060" s="280"/>
      <c r="AK5060" s="92"/>
      <c r="AL5060" s="23"/>
    </row>
    <row r="5061" spans="1:38">
      <c r="A5061" t="str">
        <f t="shared" si="1018"/>
        <v>PA_Alleg_2019p~Dem-school director fox chapel region 1 (vote for 2)</v>
      </c>
      <c r="B5061" s="55" t="s">
        <v>1291</v>
      </c>
      <c r="C5061">
        <v>345</v>
      </c>
      <c r="D5061" s="55" t="s">
        <v>350</v>
      </c>
      <c r="E5061" s="55" t="s">
        <v>15</v>
      </c>
      <c r="F5061" t="s">
        <v>12</v>
      </c>
      <c r="G5061" s="62">
        <v>19</v>
      </c>
      <c r="H5061" s="25">
        <v>1.33</v>
      </c>
      <c r="I5061">
        <v>6510</v>
      </c>
      <c r="J5061">
        <v>1271</v>
      </c>
      <c r="K5061">
        <v>9</v>
      </c>
      <c r="L5061">
        <v>9</v>
      </c>
      <c r="M5061">
        <v>0</v>
      </c>
      <c r="N5061" s="23">
        <v>0</v>
      </c>
      <c r="O5061">
        <f t="shared" si="1011"/>
        <v>-3</v>
      </c>
      <c r="P5061" s="57">
        <f t="shared" si="1012"/>
        <v>2</v>
      </c>
      <c r="Q5061" s="267">
        <f t="shared" si="1013"/>
        <v>19</v>
      </c>
      <c r="R5061" s="23">
        <f t="shared" si="1014"/>
        <v>1</v>
      </c>
      <c r="S5061" s="23">
        <f t="shared" si="1015"/>
        <v>0</v>
      </c>
      <c r="T5061" s="23" t="str">
        <f t="shared" si="1016"/>
        <v/>
      </c>
      <c r="U5061" t="str">
        <f t="shared" si="1017"/>
        <v/>
      </c>
    </row>
    <row r="5062" spans="1:38">
      <c r="A5062" t="str">
        <f t="shared" si="1018"/>
        <v>PA_Alleg_2019p~Dem-school director fox chapel region 2 (vote for 2)</v>
      </c>
      <c r="B5062" s="55" t="s">
        <v>1291</v>
      </c>
      <c r="C5062">
        <v>381</v>
      </c>
      <c r="D5062" s="55" t="s">
        <v>389</v>
      </c>
      <c r="E5062" s="55" t="s">
        <v>390</v>
      </c>
      <c r="F5062" t="s">
        <v>12</v>
      </c>
      <c r="G5062" s="62">
        <v>555</v>
      </c>
      <c r="H5062" s="25">
        <v>38.619999999999997</v>
      </c>
      <c r="I5062">
        <v>8346</v>
      </c>
      <c r="J5062">
        <v>1578</v>
      </c>
      <c r="K5062">
        <v>8</v>
      </c>
      <c r="L5062">
        <v>8</v>
      </c>
      <c r="M5062">
        <v>0</v>
      </c>
      <c r="N5062" s="23">
        <v>0</v>
      </c>
      <c r="O5062">
        <f t="shared" si="1011"/>
        <v>1</v>
      </c>
      <c r="P5062" s="57">
        <f t="shared" si="1012"/>
        <v>2</v>
      </c>
      <c r="Q5062" s="267">
        <f t="shared" si="1013"/>
        <v>718.5</v>
      </c>
      <c r="R5062" s="23">
        <f t="shared" si="1014"/>
        <v>516</v>
      </c>
      <c r="S5062" s="23">
        <f t="shared" si="1015"/>
        <v>350</v>
      </c>
      <c r="T5062" s="23">
        <f t="shared" si="1016"/>
        <v>166</v>
      </c>
      <c r="U5062" t="str">
        <f t="shared" si="1017"/>
        <v>PA_Alleg_2019p~Dem-school director fox chapel region 2 (vote for 2)</v>
      </c>
      <c r="AF5062" s="22"/>
    </row>
    <row r="5063" spans="1:38">
      <c r="A5063" t="str">
        <f t="shared" si="1018"/>
        <v>PA_Alleg_2019p~Dem-school director fox chapel region 2 (vote for 2)</v>
      </c>
      <c r="B5063" s="55" t="s">
        <v>1291</v>
      </c>
      <c r="C5063">
        <v>383</v>
      </c>
      <c r="D5063" s="55" t="s">
        <v>389</v>
      </c>
      <c r="E5063" s="55" t="s">
        <v>392</v>
      </c>
      <c r="F5063" t="s">
        <v>12</v>
      </c>
      <c r="G5063" s="62">
        <v>516</v>
      </c>
      <c r="H5063" s="25">
        <v>35.909999999999997</v>
      </c>
      <c r="I5063">
        <v>8346</v>
      </c>
      <c r="J5063">
        <v>1578</v>
      </c>
      <c r="K5063">
        <v>8</v>
      </c>
      <c r="L5063">
        <v>8</v>
      </c>
      <c r="M5063">
        <v>0</v>
      </c>
      <c r="N5063" s="23">
        <v>0</v>
      </c>
      <c r="O5063">
        <f t="shared" si="1011"/>
        <v>2</v>
      </c>
      <c r="P5063" s="57">
        <f t="shared" si="1012"/>
        <v>2</v>
      </c>
      <c r="Q5063" s="267">
        <f t="shared" si="1013"/>
        <v>882</v>
      </c>
      <c r="R5063" s="23">
        <f t="shared" si="1014"/>
        <v>516</v>
      </c>
      <c r="S5063" s="23">
        <f t="shared" si="1015"/>
        <v>350</v>
      </c>
      <c r="T5063" s="23" t="str">
        <f t="shared" si="1016"/>
        <v/>
      </c>
      <c r="U5063" t="str">
        <f t="shared" si="1017"/>
        <v/>
      </c>
      <c r="AF5063" s="22"/>
    </row>
    <row r="5064" spans="1:38">
      <c r="A5064" t="str">
        <f t="shared" si="1018"/>
        <v>PA_Alleg_2019p~Dem-school director fox chapel region 2 (vote for 2)</v>
      </c>
      <c r="B5064" s="55" t="s">
        <v>1291</v>
      </c>
      <c r="C5064">
        <v>382</v>
      </c>
      <c r="D5064" s="55" t="s">
        <v>389</v>
      </c>
      <c r="E5064" s="55" t="s">
        <v>391</v>
      </c>
      <c r="F5064" t="s">
        <v>12</v>
      </c>
      <c r="G5064" s="62">
        <v>350</v>
      </c>
      <c r="H5064" s="25">
        <v>24.36</v>
      </c>
      <c r="I5064">
        <v>8346</v>
      </c>
      <c r="J5064">
        <v>1578</v>
      </c>
      <c r="K5064">
        <v>8</v>
      </c>
      <c r="L5064">
        <v>8</v>
      </c>
      <c r="M5064">
        <v>0</v>
      </c>
      <c r="N5064" s="23">
        <v>0</v>
      </c>
      <c r="O5064">
        <f t="shared" si="1011"/>
        <v>3</v>
      </c>
      <c r="P5064" s="57">
        <f t="shared" si="1012"/>
        <v>2</v>
      </c>
      <c r="Q5064" s="267">
        <f t="shared" si="1013"/>
        <v>366</v>
      </c>
      <c r="R5064" s="23" t="str">
        <f t="shared" si="1014"/>
        <v/>
      </c>
      <c r="S5064" s="23">
        <f t="shared" si="1015"/>
        <v>350</v>
      </c>
      <c r="T5064" s="23" t="str">
        <f t="shared" si="1016"/>
        <v/>
      </c>
      <c r="U5064" t="str">
        <f t="shared" si="1017"/>
        <v/>
      </c>
      <c r="AF5064" s="22"/>
    </row>
    <row r="5065" spans="1:38">
      <c r="A5065" t="str">
        <f t="shared" si="1018"/>
        <v>PA_Alleg_2019p~Dem-school director fox chapel region 2 (vote for 2)</v>
      </c>
      <c r="B5065" s="55" t="s">
        <v>1291</v>
      </c>
      <c r="C5065">
        <v>384</v>
      </c>
      <c r="D5065" s="55" t="s">
        <v>389</v>
      </c>
      <c r="E5065" s="55" t="s">
        <v>15</v>
      </c>
      <c r="F5065" t="s">
        <v>12</v>
      </c>
      <c r="G5065" s="62">
        <v>16</v>
      </c>
      <c r="H5065" s="25">
        <v>1.1100000000000001</v>
      </c>
      <c r="I5065">
        <v>8346</v>
      </c>
      <c r="J5065">
        <v>1578</v>
      </c>
      <c r="K5065">
        <v>8</v>
      </c>
      <c r="L5065">
        <v>8</v>
      </c>
      <c r="M5065">
        <v>0</v>
      </c>
      <c r="N5065" s="23">
        <v>0</v>
      </c>
      <c r="O5065">
        <f t="shared" si="1011"/>
        <v>-3</v>
      </c>
      <c r="P5065" s="57">
        <f t="shared" si="1012"/>
        <v>2</v>
      </c>
      <c r="Q5065" s="267">
        <f t="shared" si="1013"/>
        <v>16</v>
      </c>
      <c r="R5065" s="23">
        <f t="shared" si="1014"/>
        <v>1</v>
      </c>
      <c r="S5065" s="23">
        <f t="shared" si="1015"/>
        <v>0</v>
      </c>
      <c r="T5065" s="23" t="str">
        <f t="shared" si="1016"/>
        <v/>
      </c>
      <c r="U5065" t="str">
        <f t="shared" si="1017"/>
        <v/>
      </c>
      <c r="AF5065" s="22"/>
    </row>
    <row r="5066" spans="1:38">
      <c r="A5066" t="str">
        <f t="shared" si="1018"/>
        <v>PA_Alleg_2019p~Dem-school director fox chapel region 3 (vote for 1)</v>
      </c>
      <c r="B5066" s="55" t="s">
        <v>1291</v>
      </c>
      <c r="C5066">
        <v>440</v>
      </c>
      <c r="D5066" s="55" t="s">
        <v>444</v>
      </c>
      <c r="E5066" s="55" t="s">
        <v>445</v>
      </c>
      <c r="F5066" t="s">
        <v>12</v>
      </c>
      <c r="G5066" s="62">
        <v>783</v>
      </c>
      <c r="H5066" s="25">
        <v>71.12</v>
      </c>
      <c r="I5066">
        <v>8435</v>
      </c>
      <c r="J5066">
        <v>1713</v>
      </c>
      <c r="K5066">
        <v>10</v>
      </c>
      <c r="L5066">
        <v>10</v>
      </c>
      <c r="M5066">
        <v>0</v>
      </c>
      <c r="N5066" s="23">
        <v>0</v>
      </c>
      <c r="O5066">
        <f t="shared" si="1011"/>
        <v>1</v>
      </c>
      <c r="P5066" s="57">
        <f t="shared" si="1012"/>
        <v>1</v>
      </c>
      <c r="Q5066" s="267">
        <f t="shared" si="1013"/>
        <v>1101</v>
      </c>
      <c r="R5066" s="23">
        <f t="shared" si="1014"/>
        <v>783</v>
      </c>
      <c r="S5066" s="23">
        <f t="shared" si="1015"/>
        <v>315</v>
      </c>
      <c r="T5066" s="23">
        <f t="shared" si="1016"/>
        <v>468</v>
      </c>
      <c r="U5066" t="str">
        <f t="shared" si="1017"/>
        <v>PA_Alleg_2019p~Dem-school director fox chapel region 3 (vote for 1)</v>
      </c>
      <c r="AF5066" s="22"/>
    </row>
    <row r="5067" spans="1:38">
      <c r="A5067" t="str">
        <f t="shared" si="1018"/>
        <v>PA_Alleg_2019p~Dem-school director fox chapel region 3 (vote for 1)</v>
      </c>
      <c r="B5067" s="55" t="s">
        <v>1291</v>
      </c>
      <c r="C5067">
        <v>441</v>
      </c>
      <c r="D5067" s="55" t="s">
        <v>444</v>
      </c>
      <c r="E5067" s="55" t="s">
        <v>446</v>
      </c>
      <c r="F5067" t="s">
        <v>12</v>
      </c>
      <c r="G5067" s="62">
        <v>315</v>
      </c>
      <c r="H5067" s="25">
        <v>28.61</v>
      </c>
      <c r="I5067">
        <v>8435</v>
      </c>
      <c r="J5067">
        <v>1713</v>
      </c>
      <c r="K5067">
        <v>10</v>
      </c>
      <c r="L5067">
        <v>10</v>
      </c>
      <c r="M5067">
        <v>0</v>
      </c>
      <c r="N5067" s="23">
        <v>0</v>
      </c>
      <c r="O5067">
        <f t="shared" si="1011"/>
        <v>2</v>
      </c>
      <c r="P5067" s="57">
        <f t="shared" si="1012"/>
        <v>1</v>
      </c>
      <c r="Q5067" s="267">
        <f t="shared" si="1013"/>
        <v>318</v>
      </c>
      <c r="R5067" s="23" t="str">
        <f t="shared" si="1014"/>
        <v/>
      </c>
      <c r="S5067" s="23">
        <f t="shared" si="1015"/>
        <v>315</v>
      </c>
      <c r="T5067" s="23" t="str">
        <f t="shared" si="1016"/>
        <v/>
      </c>
      <c r="U5067" t="str">
        <f t="shared" si="1017"/>
        <v/>
      </c>
      <c r="AF5067" s="22"/>
    </row>
    <row r="5068" spans="1:38">
      <c r="A5068" t="str">
        <f t="shared" si="1018"/>
        <v>PA_Alleg_2019p~Dem-school director fox chapel region 3 (vote for 1)</v>
      </c>
      <c r="B5068" s="55" t="s">
        <v>1291</v>
      </c>
      <c r="C5068">
        <v>442</v>
      </c>
      <c r="D5068" s="55" t="s">
        <v>444</v>
      </c>
      <c r="E5068" s="55" t="s">
        <v>15</v>
      </c>
      <c r="F5068" t="s">
        <v>12</v>
      </c>
      <c r="G5068" s="62">
        <v>3</v>
      </c>
      <c r="H5068" s="25">
        <v>0.27</v>
      </c>
      <c r="I5068">
        <v>8435</v>
      </c>
      <c r="J5068">
        <v>1713</v>
      </c>
      <c r="K5068">
        <v>10</v>
      </c>
      <c r="L5068">
        <v>10</v>
      </c>
      <c r="M5068">
        <v>0</v>
      </c>
      <c r="N5068" s="23">
        <v>0</v>
      </c>
      <c r="O5068">
        <f t="shared" si="1011"/>
        <v>-2</v>
      </c>
      <c r="P5068" s="57">
        <f t="shared" si="1012"/>
        <v>1</v>
      </c>
      <c r="Q5068" s="267">
        <f t="shared" si="1013"/>
        <v>3</v>
      </c>
      <c r="R5068" s="23">
        <f t="shared" si="1014"/>
        <v>1</v>
      </c>
      <c r="S5068" s="23">
        <f t="shared" si="1015"/>
        <v>0</v>
      </c>
      <c r="T5068" s="23" t="str">
        <f t="shared" si="1016"/>
        <v/>
      </c>
      <c r="U5068" t="str">
        <f t="shared" si="1017"/>
        <v/>
      </c>
    </row>
    <row r="5069" spans="1:38">
      <c r="A5069" t="str">
        <f t="shared" si="1018"/>
        <v>PA_Alleg_2019p~Dem-school director gateway (vote for 5)</v>
      </c>
      <c r="B5069" s="55" t="s">
        <v>1291</v>
      </c>
      <c r="C5069">
        <v>181</v>
      </c>
      <c r="D5069" s="55" t="s">
        <v>187</v>
      </c>
      <c r="E5069" s="55" t="s">
        <v>193</v>
      </c>
      <c r="F5069" t="s">
        <v>12</v>
      </c>
      <c r="G5069" s="62">
        <v>1712</v>
      </c>
      <c r="H5069" s="25">
        <v>18.11</v>
      </c>
      <c r="I5069">
        <v>23368</v>
      </c>
      <c r="J5069">
        <v>3963</v>
      </c>
      <c r="K5069">
        <v>28</v>
      </c>
      <c r="L5069">
        <v>28</v>
      </c>
      <c r="M5069">
        <v>0</v>
      </c>
      <c r="N5069" s="23">
        <v>0</v>
      </c>
      <c r="O5069">
        <f t="shared" si="1011"/>
        <v>1</v>
      </c>
      <c r="P5069" s="57">
        <f t="shared" si="1012"/>
        <v>5</v>
      </c>
      <c r="Q5069" s="267">
        <f t="shared" si="1013"/>
        <v>1890.8</v>
      </c>
      <c r="R5069" s="23">
        <f t="shared" si="1014"/>
        <v>1257</v>
      </c>
      <c r="S5069" s="23">
        <f t="shared" si="1015"/>
        <v>1103</v>
      </c>
      <c r="T5069" s="23">
        <f t="shared" si="1016"/>
        <v>154</v>
      </c>
      <c r="U5069" t="str">
        <f t="shared" si="1017"/>
        <v>PA_Alleg_2019p~Dem-school director gateway (vote for 5)</v>
      </c>
      <c r="AF5069" s="22"/>
    </row>
    <row r="5070" spans="1:38">
      <c r="A5070" t="str">
        <f t="shared" si="1018"/>
        <v>PA_Alleg_2019p~Dem-school director gateway (vote for 5)</v>
      </c>
      <c r="B5070" s="55" t="s">
        <v>1291</v>
      </c>
      <c r="C5070">
        <v>178</v>
      </c>
      <c r="D5070" s="55" t="s">
        <v>187</v>
      </c>
      <c r="E5070" s="55" t="s">
        <v>190</v>
      </c>
      <c r="F5070" t="s">
        <v>12</v>
      </c>
      <c r="G5070" s="62">
        <v>1571</v>
      </c>
      <c r="H5070" s="25">
        <v>16.62</v>
      </c>
      <c r="I5070">
        <v>23368</v>
      </c>
      <c r="J5070">
        <v>3963</v>
      </c>
      <c r="K5070">
        <v>28</v>
      </c>
      <c r="L5070">
        <v>28</v>
      </c>
      <c r="M5070">
        <v>0</v>
      </c>
      <c r="N5070" s="23">
        <v>0</v>
      </c>
      <c r="O5070">
        <f t="shared" si="1011"/>
        <v>2</v>
      </c>
      <c r="P5070" s="57">
        <f t="shared" si="1012"/>
        <v>5</v>
      </c>
      <c r="Q5070" s="267">
        <f t="shared" si="1013"/>
        <v>7742</v>
      </c>
      <c r="R5070" s="23">
        <f t="shared" si="1014"/>
        <v>1257</v>
      </c>
      <c r="S5070" s="23">
        <f t="shared" si="1015"/>
        <v>1103</v>
      </c>
      <c r="T5070" s="23" t="str">
        <f t="shared" si="1016"/>
        <v/>
      </c>
      <c r="U5070" t="str">
        <f t="shared" si="1017"/>
        <v/>
      </c>
      <c r="AF5070" s="22"/>
    </row>
    <row r="5071" spans="1:38">
      <c r="A5071" t="str">
        <f t="shared" si="1018"/>
        <v>PA_Alleg_2019p~Dem-school director gateway (vote for 5)</v>
      </c>
      <c r="B5071" s="55" t="s">
        <v>1291</v>
      </c>
      <c r="C5071">
        <v>177</v>
      </c>
      <c r="D5071" s="55" t="s">
        <v>187</v>
      </c>
      <c r="E5071" s="55" t="s">
        <v>189</v>
      </c>
      <c r="F5071" t="s">
        <v>12</v>
      </c>
      <c r="G5071" s="62">
        <v>1425</v>
      </c>
      <c r="H5071" s="25">
        <v>15.07</v>
      </c>
      <c r="I5071">
        <v>23368</v>
      </c>
      <c r="J5071">
        <v>3963</v>
      </c>
      <c r="K5071">
        <v>28</v>
      </c>
      <c r="L5071">
        <v>28</v>
      </c>
      <c r="M5071">
        <v>0</v>
      </c>
      <c r="N5071" s="23">
        <v>0</v>
      </c>
      <c r="O5071">
        <f t="shared" si="1011"/>
        <v>3</v>
      </c>
      <c r="P5071" s="57">
        <f t="shared" si="1012"/>
        <v>5</v>
      </c>
      <c r="Q5071" s="267">
        <f t="shared" si="1013"/>
        <v>6171</v>
      </c>
      <c r="R5071" s="23">
        <f t="shared" si="1014"/>
        <v>1257</v>
      </c>
      <c r="S5071" s="23">
        <f t="shared" si="1015"/>
        <v>1103</v>
      </c>
      <c r="T5071" s="23" t="str">
        <f t="shared" si="1016"/>
        <v/>
      </c>
      <c r="U5071" t="str">
        <f t="shared" si="1017"/>
        <v/>
      </c>
      <c r="AF5071" s="22"/>
    </row>
    <row r="5072" spans="1:38">
      <c r="A5072" t="str">
        <f t="shared" si="1018"/>
        <v>PA_Alleg_2019p~Dem-school director gateway (vote for 5)</v>
      </c>
      <c r="B5072" s="55" t="s">
        <v>1291</v>
      </c>
      <c r="C5072">
        <v>180</v>
      </c>
      <c r="D5072" s="55" t="s">
        <v>187</v>
      </c>
      <c r="E5072" s="55" t="s">
        <v>192</v>
      </c>
      <c r="F5072" t="s">
        <v>12</v>
      </c>
      <c r="G5072" s="62">
        <v>1331</v>
      </c>
      <c r="H5072" s="25">
        <v>14.08</v>
      </c>
      <c r="I5072">
        <v>23368</v>
      </c>
      <c r="J5072">
        <v>3963</v>
      </c>
      <c r="K5072">
        <v>28</v>
      </c>
      <c r="L5072">
        <v>28</v>
      </c>
      <c r="M5072">
        <v>0</v>
      </c>
      <c r="N5072" s="23">
        <v>0</v>
      </c>
      <c r="O5072">
        <f t="shared" si="1011"/>
        <v>4</v>
      </c>
      <c r="P5072" s="57">
        <f t="shared" si="1012"/>
        <v>5</v>
      </c>
      <c r="Q5072" s="267">
        <f t="shared" si="1013"/>
        <v>4746</v>
      </c>
      <c r="R5072" s="23">
        <f t="shared" si="1014"/>
        <v>1257</v>
      </c>
      <c r="S5072" s="23">
        <f t="shared" si="1015"/>
        <v>1103</v>
      </c>
      <c r="T5072" s="23" t="str">
        <f t="shared" si="1016"/>
        <v/>
      </c>
      <c r="U5072" t="str">
        <f t="shared" si="1017"/>
        <v/>
      </c>
      <c r="AF5072" s="22"/>
    </row>
    <row r="5073" spans="1:38">
      <c r="A5073" t="str">
        <f t="shared" si="1018"/>
        <v>PA_Alleg_2019p~Dem-school director gateway (vote for 5)</v>
      </c>
      <c r="B5073" s="55" t="s">
        <v>1291</v>
      </c>
      <c r="C5073">
        <v>176</v>
      </c>
      <c r="D5073" s="55" t="s">
        <v>187</v>
      </c>
      <c r="E5073" s="55" t="s">
        <v>188</v>
      </c>
      <c r="F5073" t="s">
        <v>12</v>
      </c>
      <c r="G5073" s="62">
        <v>1257</v>
      </c>
      <c r="H5073" s="25">
        <v>13.3</v>
      </c>
      <c r="I5073">
        <v>23368</v>
      </c>
      <c r="J5073">
        <v>3963</v>
      </c>
      <c r="K5073">
        <v>28</v>
      </c>
      <c r="L5073">
        <v>28</v>
      </c>
      <c r="M5073">
        <v>0</v>
      </c>
      <c r="N5073" s="23">
        <v>0</v>
      </c>
      <c r="O5073">
        <f t="shared" si="1011"/>
        <v>5</v>
      </c>
      <c r="P5073" s="57">
        <f t="shared" si="1012"/>
        <v>5</v>
      </c>
      <c r="Q5073" s="267">
        <f t="shared" si="1013"/>
        <v>3415</v>
      </c>
      <c r="R5073" s="23">
        <f t="shared" si="1014"/>
        <v>1257</v>
      </c>
      <c r="S5073" s="23">
        <f t="shared" si="1015"/>
        <v>1103</v>
      </c>
      <c r="T5073" s="23" t="str">
        <f t="shared" si="1016"/>
        <v/>
      </c>
      <c r="U5073" t="str">
        <f t="shared" si="1017"/>
        <v/>
      </c>
      <c r="AF5073" s="22"/>
    </row>
    <row r="5074" spans="1:38">
      <c r="A5074" t="str">
        <f t="shared" si="1018"/>
        <v>PA_Alleg_2019p~Dem-school director gateway (vote for 5)</v>
      </c>
      <c r="B5074" s="55" t="s">
        <v>1291</v>
      </c>
      <c r="C5074">
        <v>182</v>
      </c>
      <c r="D5074" s="55" t="s">
        <v>187</v>
      </c>
      <c r="E5074" s="55" t="s">
        <v>194</v>
      </c>
      <c r="F5074" t="s">
        <v>12</v>
      </c>
      <c r="G5074" s="62">
        <v>1103</v>
      </c>
      <c r="H5074" s="25">
        <v>11.67</v>
      </c>
      <c r="I5074">
        <v>23368</v>
      </c>
      <c r="J5074">
        <v>3963</v>
      </c>
      <c r="K5074">
        <v>28</v>
      </c>
      <c r="L5074">
        <v>28</v>
      </c>
      <c r="M5074">
        <v>0</v>
      </c>
      <c r="N5074" s="23">
        <v>0</v>
      </c>
      <c r="O5074">
        <f t="shared" si="1011"/>
        <v>6</v>
      </c>
      <c r="P5074" s="57">
        <f t="shared" si="1012"/>
        <v>5</v>
      </c>
      <c r="Q5074" s="267">
        <f t="shared" si="1013"/>
        <v>2158</v>
      </c>
      <c r="R5074" s="23" t="str">
        <f t="shared" si="1014"/>
        <v/>
      </c>
      <c r="S5074" s="23">
        <f t="shared" si="1015"/>
        <v>1103</v>
      </c>
      <c r="T5074" s="23" t="str">
        <f t="shared" si="1016"/>
        <v/>
      </c>
      <c r="U5074" t="str">
        <f t="shared" si="1017"/>
        <v/>
      </c>
      <c r="AF5074" s="22"/>
    </row>
    <row r="5075" spans="1:38">
      <c r="A5075" t="str">
        <f t="shared" si="1018"/>
        <v>PA_Alleg_2019p~Dem-school director gateway (vote for 5)</v>
      </c>
      <c r="B5075" s="55" t="s">
        <v>1291</v>
      </c>
      <c r="C5075">
        <v>179</v>
      </c>
      <c r="D5075" s="55" t="s">
        <v>187</v>
      </c>
      <c r="E5075" s="55" t="s">
        <v>191</v>
      </c>
      <c r="F5075" t="s">
        <v>12</v>
      </c>
      <c r="G5075" s="62">
        <v>1019</v>
      </c>
      <c r="H5075" s="25">
        <v>10.78</v>
      </c>
      <c r="I5075">
        <v>23368</v>
      </c>
      <c r="J5075">
        <v>3963</v>
      </c>
      <c r="K5075">
        <v>28</v>
      </c>
      <c r="L5075">
        <v>28</v>
      </c>
      <c r="M5075">
        <v>0</v>
      </c>
      <c r="N5075" s="23">
        <v>0</v>
      </c>
      <c r="O5075">
        <f t="shared" si="1011"/>
        <v>7</v>
      </c>
      <c r="P5075" s="57">
        <f t="shared" si="1012"/>
        <v>5</v>
      </c>
      <c r="Q5075" s="267">
        <f t="shared" si="1013"/>
        <v>1055</v>
      </c>
      <c r="R5075" s="23" t="str">
        <f t="shared" si="1014"/>
        <v/>
      </c>
      <c r="S5075" s="23">
        <f t="shared" si="1015"/>
        <v>1019</v>
      </c>
      <c r="T5075" s="23" t="str">
        <f t="shared" si="1016"/>
        <v/>
      </c>
      <c r="U5075" t="str">
        <f t="shared" si="1017"/>
        <v/>
      </c>
      <c r="AF5075" s="22"/>
    </row>
    <row r="5076" spans="1:38">
      <c r="A5076" t="str">
        <f t="shared" si="1018"/>
        <v>PA_Alleg_2019p~Dem-school director gateway (vote for 5)</v>
      </c>
      <c r="B5076" s="55" t="s">
        <v>1291</v>
      </c>
      <c r="C5076">
        <v>183</v>
      </c>
      <c r="D5076" s="55" t="s">
        <v>187</v>
      </c>
      <c r="E5076" s="55" t="s">
        <v>15</v>
      </c>
      <c r="F5076" t="s">
        <v>12</v>
      </c>
      <c r="G5076" s="62">
        <v>36</v>
      </c>
      <c r="H5076" s="25">
        <v>0.38</v>
      </c>
      <c r="I5076">
        <v>23368</v>
      </c>
      <c r="J5076">
        <v>3963</v>
      </c>
      <c r="K5076">
        <v>28</v>
      </c>
      <c r="L5076">
        <v>28</v>
      </c>
      <c r="M5076">
        <v>0</v>
      </c>
      <c r="N5076" s="23">
        <v>0</v>
      </c>
      <c r="O5076">
        <f t="shared" si="1011"/>
        <v>-7</v>
      </c>
      <c r="P5076" s="57">
        <f t="shared" si="1012"/>
        <v>5</v>
      </c>
      <c r="Q5076" s="267">
        <f t="shared" si="1013"/>
        <v>36</v>
      </c>
      <c r="R5076" s="23">
        <f t="shared" si="1014"/>
        <v>1</v>
      </c>
      <c r="S5076" s="23">
        <f t="shared" si="1015"/>
        <v>0</v>
      </c>
      <c r="T5076" s="23" t="str">
        <f t="shared" si="1016"/>
        <v/>
      </c>
      <c r="U5076" t="str">
        <f t="shared" si="1017"/>
        <v/>
      </c>
      <c r="AF5076" s="22"/>
    </row>
    <row r="5077" spans="1:38">
      <c r="A5077" t="str">
        <f t="shared" si="1018"/>
        <v>PA_Alleg_2019p~Dem-school director hampton (vote for 5)</v>
      </c>
      <c r="B5077" s="55" t="s">
        <v>1291</v>
      </c>
      <c r="C5077">
        <v>187</v>
      </c>
      <c r="D5077" s="55" t="s">
        <v>195</v>
      </c>
      <c r="E5077" s="55" t="s">
        <v>199</v>
      </c>
      <c r="F5077" t="s">
        <v>12</v>
      </c>
      <c r="G5077" s="62">
        <v>541</v>
      </c>
      <c r="H5077" s="25">
        <v>17.600000000000001</v>
      </c>
      <c r="I5077">
        <v>14273</v>
      </c>
      <c r="J5077">
        <v>2114</v>
      </c>
      <c r="K5077">
        <v>13</v>
      </c>
      <c r="L5077">
        <v>13</v>
      </c>
      <c r="M5077">
        <v>0</v>
      </c>
      <c r="N5077" s="23">
        <v>0</v>
      </c>
      <c r="O5077">
        <f t="shared" si="1011"/>
        <v>1</v>
      </c>
      <c r="P5077" s="57">
        <f t="shared" si="1012"/>
        <v>5</v>
      </c>
      <c r="Q5077" s="267">
        <f t="shared" si="1013"/>
        <v>614.79999999999995</v>
      </c>
      <c r="R5077" s="23">
        <f t="shared" si="1014"/>
        <v>391</v>
      </c>
      <c r="S5077" s="23">
        <f t="shared" si="1015"/>
        <v>336</v>
      </c>
      <c r="T5077" s="23">
        <f t="shared" si="1016"/>
        <v>55</v>
      </c>
      <c r="U5077" t="str">
        <f t="shared" si="1017"/>
        <v>PA_Alleg_2019p~Dem-school director hampton (vote for 5)</v>
      </c>
      <c r="AF5077" s="88"/>
    </row>
    <row r="5078" spans="1:38">
      <c r="A5078" t="str">
        <f t="shared" si="1018"/>
        <v>PA_Alleg_2019p~Dem-school director hampton (vote for 5)</v>
      </c>
      <c r="B5078" s="55" t="s">
        <v>1291</v>
      </c>
      <c r="C5078">
        <v>190</v>
      </c>
      <c r="D5078" s="55" t="s">
        <v>195</v>
      </c>
      <c r="E5078" s="55" t="s">
        <v>15</v>
      </c>
      <c r="F5078" t="s">
        <v>12</v>
      </c>
      <c r="G5078" s="62">
        <v>528</v>
      </c>
      <c r="H5078" s="25">
        <v>17.18</v>
      </c>
      <c r="I5078">
        <v>14273</v>
      </c>
      <c r="J5078">
        <v>2114</v>
      </c>
      <c r="K5078">
        <v>13</v>
      </c>
      <c r="L5078">
        <v>13</v>
      </c>
      <c r="M5078">
        <v>0</v>
      </c>
      <c r="N5078" s="23">
        <v>0</v>
      </c>
      <c r="O5078">
        <f t="shared" si="1011"/>
        <v>-1</v>
      </c>
      <c r="P5078" s="57">
        <f t="shared" si="1012"/>
        <v>5</v>
      </c>
      <c r="Q5078" s="267">
        <f t="shared" si="1013"/>
        <v>2533</v>
      </c>
      <c r="R5078" s="23">
        <f t="shared" si="1014"/>
        <v>391</v>
      </c>
      <c r="S5078" s="23">
        <f t="shared" si="1015"/>
        <v>336</v>
      </c>
      <c r="T5078" s="23" t="str">
        <f t="shared" si="1016"/>
        <v/>
      </c>
      <c r="U5078" t="str">
        <f t="shared" si="1017"/>
        <v/>
      </c>
      <c r="AF5078" s="300"/>
    </row>
    <row r="5079" spans="1:38">
      <c r="A5079" t="str">
        <f t="shared" si="1018"/>
        <v>PA_Alleg_2019p~Dem-school director hampton (vote for 5)</v>
      </c>
      <c r="B5079" s="55" t="s">
        <v>1291</v>
      </c>
      <c r="C5079">
        <v>184</v>
      </c>
      <c r="D5079" s="55" t="s">
        <v>195</v>
      </c>
      <c r="E5079" s="55" t="s">
        <v>196</v>
      </c>
      <c r="F5079" t="s">
        <v>12</v>
      </c>
      <c r="G5079" s="62">
        <v>450</v>
      </c>
      <c r="H5079" s="25">
        <v>14.64</v>
      </c>
      <c r="I5079">
        <v>14273</v>
      </c>
      <c r="J5079">
        <v>2114</v>
      </c>
      <c r="K5079">
        <v>13</v>
      </c>
      <c r="L5079">
        <v>13</v>
      </c>
      <c r="M5079">
        <v>0</v>
      </c>
      <c r="N5079" s="23">
        <v>0</v>
      </c>
      <c r="O5079">
        <f t="shared" si="1011"/>
        <v>2</v>
      </c>
      <c r="P5079" s="57">
        <f t="shared" si="1012"/>
        <v>5</v>
      </c>
      <c r="Q5079" s="267">
        <f t="shared" si="1013"/>
        <v>2005</v>
      </c>
      <c r="R5079" s="23">
        <f t="shared" si="1014"/>
        <v>391</v>
      </c>
      <c r="S5079" s="23">
        <f t="shared" si="1015"/>
        <v>336</v>
      </c>
      <c r="T5079" s="23" t="str">
        <f t="shared" si="1016"/>
        <v/>
      </c>
      <c r="U5079" t="str">
        <f t="shared" si="1017"/>
        <v/>
      </c>
    </row>
    <row r="5080" spans="1:38">
      <c r="A5080" t="str">
        <f t="shared" si="1018"/>
        <v>PA_Alleg_2019p~Dem-school director hampton (vote for 5)</v>
      </c>
      <c r="B5080" s="55" t="s">
        <v>1291</v>
      </c>
      <c r="C5080">
        <v>185</v>
      </c>
      <c r="D5080" s="55" t="s">
        <v>195</v>
      </c>
      <c r="E5080" s="55" t="s">
        <v>197</v>
      </c>
      <c r="F5080" t="s">
        <v>12</v>
      </c>
      <c r="G5080" s="62">
        <v>415</v>
      </c>
      <c r="H5080" s="25">
        <v>13.5</v>
      </c>
      <c r="I5080">
        <v>14273</v>
      </c>
      <c r="J5080">
        <v>2114</v>
      </c>
      <c r="K5080">
        <v>13</v>
      </c>
      <c r="L5080">
        <v>13</v>
      </c>
      <c r="M5080">
        <v>0</v>
      </c>
      <c r="N5080" s="23">
        <v>0</v>
      </c>
      <c r="O5080">
        <f t="shared" si="1011"/>
        <v>3</v>
      </c>
      <c r="P5080" s="57">
        <f t="shared" si="1012"/>
        <v>5</v>
      </c>
      <c r="Q5080" s="267">
        <f t="shared" si="1013"/>
        <v>1555</v>
      </c>
      <c r="R5080" s="23">
        <f t="shared" si="1014"/>
        <v>391</v>
      </c>
      <c r="S5080" s="23">
        <f t="shared" si="1015"/>
        <v>336</v>
      </c>
      <c r="T5080" s="23" t="str">
        <f t="shared" si="1016"/>
        <v/>
      </c>
      <c r="U5080" t="str">
        <f t="shared" si="1017"/>
        <v/>
      </c>
    </row>
    <row r="5081" spans="1:38">
      <c r="A5081" t="str">
        <f t="shared" si="1018"/>
        <v>PA_Alleg_2019p~Dem-school director hampton (vote for 5)</v>
      </c>
      <c r="B5081" s="55" t="s">
        <v>1291</v>
      </c>
      <c r="C5081">
        <v>188</v>
      </c>
      <c r="D5081" s="55" t="s">
        <v>195</v>
      </c>
      <c r="E5081" s="55" t="s">
        <v>200</v>
      </c>
      <c r="F5081" t="s">
        <v>12</v>
      </c>
      <c r="G5081" s="62">
        <v>413</v>
      </c>
      <c r="H5081" s="25">
        <v>13.44</v>
      </c>
      <c r="I5081">
        <v>14273</v>
      </c>
      <c r="J5081">
        <v>2114</v>
      </c>
      <c r="K5081">
        <v>13</v>
      </c>
      <c r="L5081">
        <v>13</v>
      </c>
      <c r="M5081">
        <v>0</v>
      </c>
      <c r="N5081" s="23">
        <v>0</v>
      </c>
      <c r="O5081">
        <f t="shared" si="1011"/>
        <v>4</v>
      </c>
      <c r="P5081" s="57">
        <f t="shared" si="1012"/>
        <v>5</v>
      </c>
      <c r="Q5081" s="267">
        <f t="shared" si="1013"/>
        <v>1140</v>
      </c>
      <c r="R5081" s="23">
        <f t="shared" si="1014"/>
        <v>391</v>
      </c>
      <c r="S5081" s="23">
        <f t="shared" si="1015"/>
        <v>336</v>
      </c>
      <c r="T5081" s="23" t="str">
        <f t="shared" si="1016"/>
        <v/>
      </c>
      <c r="U5081" t="str">
        <f t="shared" si="1017"/>
        <v/>
      </c>
      <c r="AF5081" s="22"/>
    </row>
    <row r="5082" spans="1:38">
      <c r="A5082" t="str">
        <f t="shared" si="1018"/>
        <v>PA_Alleg_2019p~Dem-school director hampton (vote for 5)</v>
      </c>
      <c r="B5082" s="55" t="s">
        <v>1291</v>
      </c>
      <c r="C5082">
        <v>189</v>
      </c>
      <c r="D5082" s="55" t="s">
        <v>195</v>
      </c>
      <c r="E5082" s="55" t="s">
        <v>201</v>
      </c>
      <c r="F5082" t="s">
        <v>12</v>
      </c>
      <c r="G5082" s="62">
        <v>391</v>
      </c>
      <c r="H5082" s="25">
        <v>12.72</v>
      </c>
      <c r="I5082">
        <v>14273</v>
      </c>
      <c r="J5082">
        <v>2114</v>
      </c>
      <c r="K5082">
        <v>13</v>
      </c>
      <c r="L5082">
        <v>13</v>
      </c>
      <c r="M5082">
        <v>0</v>
      </c>
      <c r="N5082" s="23">
        <v>0</v>
      </c>
      <c r="O5082">
        <f t="shared" si="1011"/>
        <v>5</v>
      </c>
      <c r="P5082" s="57">
        <f t="shared" si="1012"/>
        <v>5</v>
      </c>
      <c r="Q5082" s="267">
        <f t="shared" si="1013"/>
        <v>727</v>
      </c>
      <c r="R5082" s="23">
        <f t="shared" si="1014"/>
        <v>391</v>
      </c>
      <c r="S5082" s="23">
        <f t="shared" si="1015"/>
        <v>336</v>
      </c>
      <c r="T5082" s="23" t="str">
        <f t="shared" si="1016"/>
        <v/>
      </c>
      <c r="U5082" t="str">
        <f t="shared" si="1017"/>
        <v/>
      </c>
      <c r="AF5082" s="22"/>
    </row>
    <row r="5083" spans="1:38">
      <c r="A5083" t="str">
        <f t="shared" si="1018"/>
        <v>PA_Alleg_2019p~Dem-school director hampton (vote for 5)</v>
      </c>
      <c r="B5083" s="55" t="s">
        <v>1291</v>
      </c>
      <c r="C5083">
        <v>186</v>
      </c>
      <c r="D5083" s="55" t="s">
        <v>195</v>
      </c>
      <c r="E5083" s="55" t="s">
        <v>198</v>
      </c>
      <c r="F5083" t="s">
        <v>12</v>
      </c>
      <c r="G5083" s="62">
        <v>336</v>
      </c>
      <c r="H5083" s="25">
        <v>10.93</v>
      </c>
      <c r="I5083">
        <v>14273</v>
      </c>
      <c r="J5083">
        <v>2114</v>
      </c>
      <c r="K5083">
        <v>13</v>
      </c>
      <c r="L5083">
        <v>13</v>
      </c>
      <c r="M5083">
        <v>0</v>
      </c>
      <c r="N5083" s="23">
        <v>0</v>
      </c>
      <c r="O5083">
        <f t="shared" si="1011"/>
        <v>6</v>
      </c>
      <c r="P5083" s="57">
        <f t="shared" si="1012"/>
        <v>5</v>
      </c>
      <c r="Q5083" s="267">
        <f t="shared" si="1013"/>
        <v>336</v>
      </c>
      <c r="R5083" s="23" t="str">
        <f t="shared" si="1014"/>
        <v/>
      </c>
      <c r="S5083" s="23">
        <f t="shared" si="1015"/>
        <v>336</v>
      </c>
      <c r="T5083" s="23" t="str">
        <f t="shared" si="1016"/>
        <v/>
      </c>
      <c r="U5083" t="str">
        <f t="shared" si="1017"/>
        <v/>
      </c>
      <c r="AF5083" s="300"/>
    </row>
    <row r="5084" spans="1:38">
      <c r="A5084" t="str">
        <f t="shared" si="1018"/>
        <v>PA_Alleg_2019p~Dem-school director highlands region 1 (vote for 2)</v>
      </c>
      <c r="B5084" s="55" t="s">
        <v>1291</v>
      </c>
      <c r="C5084">
        <v>347</v>
      </c>
      <c r="D5084" s="55" t="s">
        <v>354</v>
      </c>
      <c r="E5084" s="55" t="s">
        <v>356</v>
      </c>
      <c r="F5084" t="s">
        <v>12</v>
      </c>
      <c r="G5084" s="62">
        <v>273</v>
      </c>
      <c r="H5084" s="25">
        <v>48.66</v>
      </c>
      <c r="I5084">
        <v>4090</v>
      </c>
      <c r="J5084">
        <v>679</v>
      </c>
      <c r="K5084">
        <v>7</v>
      </c>
      <c r="L5084">
        <v>7</v>
      </c>
      <c r="M5084">
        <v>0</v>
      </c>
      <c r="N5084" s="23">
        <v>0</v>
      </c>
      <c r="O5084">
        <f t="shared" si="1011"/>
        <v>1</v>
      </c>
      <c r="P5084" s="57">
        <f t="shared" si="1012"/>
        <v>2</v>
      </c>
      <c r="Q5084" s="267">
        <f t="shared" si="1013"/>
        <v>280.5</v>
      </c>
      <c r="R5084" s="23">
        <f t="shared" si="1014"/>
        <v>208</v>
      </c>
      <c r="S5084" s="23">
        <f t="shared" si="1015"/>
        <v>0</v>
      </c>
      <c r="T5084" s="23" t="str">
        <f t="shared" si="1016"/>
        <v/>
      </c>
      <c r="U5084" t="str">
        <f t="shared" si="1017"/>
        <v>PA_Alleg_2019p~Dem-school director highlands region 1 (vote for 2)</v>
      </c>
    </row>
    <row r="5085" spans="1:38">
      <c r="A5085" t="str">
        <f t="shared" si="1018"/>
        <v>PA_Alleg_2019p~Dem-school director highlands region 1 (vote for 2)</v>
      </c>
      <c r="B5085" s="55" t="s">
        <v>1291</v>
      </c>
      <c r="C5085">
        <v>346</v>
      </c>
      <c r="D5085" s="55" t="s">
        <v>354</v>
      </c>
      <c r="E5085" s="55" t="s">
        <v>355</v>
      </c>
      <c r="F5085" t="s">
        <v>12</v>
      </c>
      <c r="G5085" s="62">
        <v>208</v>
      </c>
      <c r="H5085" s="25">
        <v>37.08</v>
      </c>
      <c r="I5085">
        <v>4090</v>
      </c>
      <c r="J5085">
        <v>679</v>
      </c>
      <c r="K5085">
        <v>7</v>
      </c>
      <c r="L5085">
        <v>7</v>
      </c>
      <c r="M5085">
        <v>0</v>
      </c>
      <c r="N5085" s="23">
        <v>0</v>
      </c>
      <c r="O5085">
        <f t="shared" si="1011"/>
        <v>2</v>
      </c>
      <c r="P5085" s="57">
        <f t="shared" si="1012"/>
        <v>2</v>
      </c>
      <c r="Q5085" s="267">
        <f t="shared" si="1013"/>
        <v>288</v>
      </c>
      <c r="R5085" s="23">
        <f t="shared" si="1014"/>
        <v>208</v>
      </c>
      <c r="S5085" s="23">
        <f t="shared" si="1015"/>
        <v>0</v>
      </c>
      <c r="T5085" s="23" t="str">
        <f t="shared" si="1016"/>
        <v/>
      </c>
      <c r="U5085" t="str">
        <f t="shared" si="1017"/>
        <v/>
      </c>
      <c r="AF5085" s="22"/>
    </row>
    <row r="5086" spans="1:38">
      <c r="A5086" t="str">
        <f t="shared" si="1018"/>
        <v>PA_Alleg_2019p~Dem-school director highlands region 1 (vote for 2)</v>
      </c>
      <c r="B5086" s="55" t="s">
        <v>1291</v>
      </c>
      <c r="C5086">
        <v>348</v>
      </c>
      <c r="D5086" s="55" t="s">
        <v>354</v>
      </c>
      <c r="E5086" s="55" t="s">
        <v>15</v>
      </c>
      <c r="F5086" t="s">
        <v>12</v>
      </c>
      <c r="G5086" s="62">
        <v>80</v>
      </c>
      <c r="H5086" s="25">
        <v>14.26</v>
      </c>
      <c r="I5086">
        <v>4090</v>
      </c>
      <c r="J5086">
        <v>679</v>
      </c>
      <c r="K5086">
        <v>7</v>
      </c>
      <c r="L5086">
        <v>7</v>
      </c>
      <c r="M5086">
        <v>0</v>
      </c>
      <c r="N5086" s="23">
        <v>0</v>
      </c>
      <c r="O5086">
        <f t="shared" si="1011"/>
        <v>-2</v>
      </c>
      <c r="P5086" s="57">
        <f t="shared" si="1012"/>
        <v>2</v>
      </c>
      <c r="Q5086" s="267">
        <f t="shared" si="1013"/>
        <v>80</v>
      </c>
      <c r="R5086" s="23">
        <f t="shared" si="1014"/>
        <v>1</v>
      </c>
      <c r="S5086" s="23">
        <f t="shared" si="1015"/>
        <v>0</v>
      </c>
      <c r="T5086" s="23" t="str">
        <f t="shared" si="1016"/>
        <v/>
      </c>
      <c r="U5086" t="str">
        <f t="shared" si="1017"/>
        <v/>
      </c>
      <c r="AF5086" s="22"/>
    </row>
    <row r="5087" spans="1:38">
      <c r="A5087" t="str">
        <f t="shared" si="1018"/>
        <v>PA_Alleg_2019p~Dem-school director highlands region 2 (vote for 1)</v>
      </c>
      <c r="B5087" s="55" t="s">
        <v>1291</v>
      </c>
      <c r="C5087">
        <v>404</v>
      </c>
      <c r="D5087" s="55" t="s">
        <v>412</v>
      </c>
      <c r="E5087" s="55" t="s">
        <v>413</v>
      </c>
      <c r="F5087" t="s">
        <v>12</v>
      </c>
      <c r="G5087" s="62">
        <v>342</v>
      </c>
      <c r="H5087" s="25">
        <v>98.56</v>
      </c>
      <c r="I5087">
        <v>3694</v>
      </c>
      <c r="J5087">
        <v>593</v>
      </c>
      <c r="K5087">
        <v>7</v>
      </c>
      <c r="L5087">
        <v>7</v>
      </c>
      <c r="M5087">
        <v>0</v>
      </c>
      <c r="N5087" s="23">
        <v>0</v>
      </c>
      <c r="O5087">
        <f t="shared" si="1011"/>
        <v>1</v>
      </c>
      <c r="P5087" s="57">
        <f t="shared" si="1012"/>
        <v>1</v>
      </c>
      <c r="Q5087" s="267">
        <f t="shared" si="1013"/>
        <v>347</v>
      </c>
      <c r="R5087" s="23">
        <f t="shared" si="1014"/>
        <v>342</v>
      </c>
      <c r="S5087" s="23">
        <f t="shared" si="1015"/>
        <v>0</v>
      </c>
      <c r="T5087" s="23" t="str">
        <f t="shared" si="1016"/>
        <v/>
      </c>
      <c r="U5087" t="str">
        <f t="shared" si="1017"/>
        <v>PA_Alleg_2019p~Dem-school director highlands region 2 (vote for 1)</v>
      </c>
      <c r="AF5087" s="88"/>
    </row>
    <row r="5088" spans="1:38">
      <c r="A5088" t="str">
        <f t="shared" si="1018"/>
        <v>PA_Alleg_2019p~Dem-school director highlands region 2 (vote for 1)</v>
      </c>
      <c r="B5088" s="55" t="s">
        <v>1291</v>
      </c>
      <c r="C5088">
        <v>405</v>
      </c>
      <c r="D5088" s="55" t="s">
        <v>412</v>
      </c>
      <c r="E5088" s="55" t="s">
        <v>15</v>
      </c>
      <c r="F5088" t="s">
        <v>12</v>
      </c>
      <c r="G5088" s="62">
        <v>5</v>
      </c>
      <c r="H5088" s="25">
        <v>1.44</v>
      </c>
      <c r="I5088">
        <v>3694</v>
      </c>
      <c r="J5088">
        <v>593</v>
      </c>
      <c r="K5088">
        <v>7</v>
      </c>
      <c r="L5088">
        <v>7</v>
      </c>
      <c r="M5088">
        <v>0</v>
      </c>
      <c r="N5088" s="23">
        <v>0</v>
      </c>
      <c r="O5088">
        <f t="shared" si="1011"/>
        <v>-1</v>
      </c>
      <c r="P5088" s="57">
        <f t="shared" si="1012"/>
        <v>1</v>
      </c>
      <c r="Q5088" s="267">
        <f t="shared" si="1013"/>
        <v>5</v>
      </c>
      <c r="R5088" s="23">
        <f t="shared" si="1014"/>
        <v>1</v>
      </c>
      <c r="S5088" s="23">
        <f t="shared" si="1015"/>
        <v>0</v>
      </c>
      <c r="T5088" s="23" t="str">
        <f t="shared" si="1016"/>
        <v/>
      </c>
      <c r="U5088" t="str">
        <f t="shared" si="1017"/>
        <v/>
      </c>
      <c r="AF5088" s="22"/>
      <c r="AH5088" s="8"/>
      <c r="AL5088" s="23"/>
    </row>
    <row r="5089" spans="1:38">
      <c r="A5089" t="str">
        <f t="shared" si="1018"/>
        <v>PA_Alleg_2019p~Dem-school director highlands region 3 (vote for 2)</v>
      </c>
      <c r="B5089" s="55" t="s">
        <v>1291</v>
      </c>
      <c r="C5089">
        <v>421</v>
      </c>
      <c r="D5089" s="55" t="s">
        <v>423</v>
      </c>
      <c r="E5089" s="55" t="s">
        <v>426</v>
      </c>
      <c r="F5089" t="s">
        <v>12</v>
      </c>
      <c r="G5089" s="62">
        <v>561</v>
      </c>
      <c r="H5089" s="25">
        <v>42.63</v>
      </c>
      <c r="I5089">
        <v>4995</v>
      </c>
      <c r="J5089">
        <v>1258</v>
      </c>
      <c r="K5089">
        <v>7</v>
      </c>
      <c r="L5089">
        <v>7</v>
      </c>
      <c r="M5089">
        <v>0</v>
      </c>
      <c r="N5089" s="23">
        <v>0</v>
      </c>
      <c r="O5089">
        <f t="shared" si="1011"/>
        <v>1</v>
      </c>
      <c r="P5089" s="57">
        <f t="shared" si="1012"/>
        <v>2</v>
      </c>
      <c r="Q5089" s="267">
        <f t="shared" si="1013"/>
        <v>658</v>
      </c>
      <c r="R5089" s="23">
        <f t="shared" si="1014"/>
        <v>453</v>
      </c>
      <c r="S5089" s="23">
        <f t="shared" si="1015"/>
        <v>291</v>
      </c>
      <c r="T5089" s="23">
        <f t="shared" si="1016"/>
        <v>162</v>
      </c>
      <c r="U5089" t="str">
        <f t="shared" si="1017"/>
        <v>PA_Alleg_2019p~Dem-school director highlands region 3 (vote for 2)</v>
      </c>
      <c r="AF5089" s="22"/>
    </row>
    <row r="5090" spans="1:38">
      <c r="A5090" t="str">
        <f t="shared" si="1018"/>
        <v>PA_Alleg_2019p~Dem-school director highlands region 3 (vote for 2)</v>
      </c>
      <c r="B5090" s="55" t="s">
        <v>1291</v>
      </c>
      <c r="C5090">
        <v>420</v>
      </c>
      <c r="D5090" s="55" t="s">
        <v>423</v>
      </c>
      <c r="E5090" s="55" t="s">
        <v>425</v>
      </c>
      <c r="F5090" t="s">
        <v>12</v>
      </c>
      <c r="G5090" s="62">
        <v>453</v>
      </c>
      <c r="H5090" s="25">
        <v>34.42</v>
      </c>
      <c r="I5090">
        <v>4995</v>
      </c>
      <c r="J5090">
        <v>1258</v>
      </c>
      <c r="K5090">
        <v>7</v>
      </c>
      <c r="L5090">
        <v>7</v>
      </c>
      <c r="M5090">
        <v>0</v>
      </c>
      <c r="N5090" s="23">
        <v>0</v>
      </c>
      <c r="O5090">
        <f t="shared" si="1011"/>
        <v>2</v>
      </c>
      <c r="P5090" s="57">
        <f t="shared" si="1012"/>
        <v>2</v>
      </c>
      <c r="Q5090" s="267">
        <f t="shared" si="1013"/>
        <v>755</v>
      </c>
      <c r="R5090" s="23">
        <f t="shared" si="1014"/>
        <v>453</v>
      </c>
      <c r="S5090" s="23">
        <f t="shared" si="1015"/>
        <v>291</v>
      </c>
      <c r="T5090" s="23" t="str">
        <f t="shared" si="1016"/>
        <v/>
      </c>
      <c r="U5090" t="str">
        <f t="shared" si="1017"/>
        <v/>
      </c>
      <c r="AF5090" s="22"/>
    </row>
    <row r="5091" spans="1:38">
      <c r="A5091" t="str">
        <f t="shared" si="1018"/>
        <v>PA_Alleg_2019p~Dem-school director highlands region 3 (vote for 2)</v>
      </c>
      <c r="B5091" s="55" t="s">
        <v>1291</v>
      </c>
      <c r="C5091">
        <v>419</v>
      </c>
      <c r="D5091" s="55" t="s">
        <v>423</v>
      </c>
      <c r="E5091" s="55" t="s">
        <v>424</v>
      </c>
      <c r="F5091" t="s">
        <v>12</v>
      </c>
      <c r="G5091" s="62">
        <v>291</v>
      </c>
      <c r="H5091" s="25">
        <v>22.11</v>
      </c>
      <c r="I5091">
        <v>4995</v>
      </c>
      <c r="J5091">
        <v>1258</v>
      </c>
      <c r="K5091">
        <v>7</v>
      </c>
      <c r="L5091">
        <v>7</v>
      </c>
      <c r="M5091">
        <v>0</v>
      </c>
      <c r="N5091" s="23">
        <v>0</v>
      </c>
      <c r="O5091">
        <f t="shared" si="1011"/>
        <v>3</v>
      </c>
      <c r="P5091" s="57">
        <f t="shared" si="1012"/>
        <v>2</v>
      </c>
      <c r="Q5091" s="267">
        <f t="shared" si="1013"/>
        <v>302</v>
      </c>
      <c r="R5091" s="23" t="str">
        <f t="shared" si="1014"/>
        <v/>
      </c>
      <c r="S5091" s="23">
        <f t="shared" si="1015"/>
        <v>291</v>
      </c>
      <c r="T5091" s="23" t="str">
        <f t="shared" si="1016"/>
        <v/>
      </c>
      <c r="U5091" t="str">
        <f t="shared" si="1017"/>
        <v/>
      </c>
      <c r="AF5091" s="22"/>
    </row>
    <row r="5092" spans="1:38">
      <c r="A5092" t="str">
        <f t="shared" si="1018"/>
        <v>PA_Alleg_2019p~Dem-school director highlands region 3 (vote for 2)</v>
      </c>
      <c r="B5092" s="55" t="s">
        <v>1291</v>
      </c>
      <c r="C5092">
        <v>422</v>
      </c>
      <c r="D5092" s="55" t="s">
        <v>423</v>
      </c>
      <c r="E5092" s="55" t="s">
        <v>15</v>
      </c>
      <c r="F5092" t="s">
        <v>12</v>
      </c>
      <c r="G5092" s="62">
        <v>11</v>
      </c>
      <c r="H5092" s="25">
        <v>0.84</v>
      </c>
      <c r="I5092">
        <v>4995</v>
      </c>
      <c r="J5092">
        <v>1258</v>
      </c>
      <c r="K5092">
        <v>7</v>
      </c>
      <c r="L5092">
        <v>7</v>
      </c>
      <c r="M5092">
        <v>0</v>
      </c>
      <c r="N5092" s="23">
        <v>0</v>
      </c>
      <c r="O5092">
        <f t="shared" si="1011"/>
        <v>-3</v>
      </c>
      <c r="P5092" s="57">
        <f t="shared" si="1012"/>
        <v>2</v>
      </c>
      <c r="Q5092" s="267">
        <f t="shared" si="1013"/>
        <v>11</v>
      </c>
      <c r="R5092" s="23">
        <f t="shared" si="1014"/>
        <v>1</v>
      </c>
      <c r="S5092" s="23">
        <f t="shared" si="1015"/>
        <v>0</v>
      </c>
      <c r="T5092" s="23" t="str">
        <f t="shared" si="1016"/>
        <v/>
      </c>
      <c r="U5092" t="str">
        <f t="shared" si="1017"/>
        <v/>
      </c>
      <c r="AF5092" s="22"/>
    </row>
    <row r="5093" spans="1:38">
      <c r="A5093" t="str">
        <f t="shared" si="1018"/>
        <v>PA_Alleg_2019p~Dem-school director keystone oaks region 1 (vote for 1)</v>
      </c>
      <c r="B5093" s="55" t="s">
        <v>1291</v>
      </c>
      <c r="C5093">
        <v>370</v>
      </c>
      <c r="D5093" s="55" t="s">
        <v>378</v>
      </c>
      <c r="E5093" s="55" t="s">
        <v>379</v>
      </c>
      <c r="F5093" t="s">
        <v>12</v>
      </c>
      <c r="G5093" s="62">
        <v>337</v>
      </c>
      <c r="H5093" s="25">
        <v>67</v>
      </c>
      <c r="I5093">
        <v>6107</v>
      </c>
      <c r="J5093">
        <v>771</v>
      </c>
      <c r="K5093">
        <v>8</v>
      </c>
      <c r="L5093">
        <v>8</v>
      </c>
      <c r="M5093">
        <v>0</v>
      </c>
      <c r="N5093" s="23">
        <v>0</v>
      </c>
      <c r="O5093">
        <f t="shared" si="1011"/>
        <v>1</v>
      </c>
      <c r="P5093" s="57">
        <f t="shared" si="1012"/>
        <v>1</v>
      </c>
      <c r="Q5093" s="267">
        <f t="shared" si="1013"/>
        <v>503</v>
      </c>
      <c r="R5093" s="23">
        <f t="shared" si="1014"/>
        <v>337</v>
      </c>
      <c r="S5093" s="23">
        <f t="shared" si="1015"/>
        <v>164</v>
      </c>
      <c r="T5093" s="23">
        <f t="shared" si="1016"/>
        <v>173</v>
      </c>
      <c r="U5093" t="str">
        <f t="shared" si="1017"/>
        <v>PA_Alleg_2019p~Dem-school director keystone oaks region 1 (vote for 1)</v>
      </c>
      <c r="AF5093" s="22"/>
    </row>
    <row r="5094" spans="1:38">
      <c r="A5094" t="str">
        <f t="shared" si="1018"/>
        <v>PA_Alleg_2019p~Dem-school director keystone oaks region 1 (vote for 1)</v>
      </c>
      <c r="B5094" s="55" t="s">
        <v>1291</v>
      </c>
      <c r="C5094">
        <v>371</v>
      </c>
      <c r="D5094" s="55" t="s">
        <v>378</v>
      </c>
      <c r="E5094" s="55" t="s">
        <v>380</v>
      </c>
      <c r="F5094" t="s">
        <v>12</v>
      </c>
      <c r="G5094" s="62">
        <v>164</v>
      </c>
      <c r="H5094" s="25">
        <v>32.6</v>
      </c>
      <c r="I5094">
        <v>6107</v>
      </c>
      <c r="J5094">
        <v>771</v>
      </c>
      <c r="K5094">
        <v>8</v>
      </c>
      <c r="L5094">
        <v>8</v>
      </c>
      <c r="M5094">
        <v>0</v>
      </c>
      <c r="N5094" s="23">
        <v>0</v>
      </c>
      <c r="O5094">
        <f t="shared" si="1011"/>
        <v>2</v>
      </c>
      <c r="P5094" s="57">
        <f t="shared" si="1012"/>
        <v>1</v>
      </c>
      <c r="Q5094" s="267">
        <f t="shared" si="1013"/>
        <v>166</v>
      </c>
      <c r="R5094" s="23" t="str">
        <f t="shared" si="1014"/>
        <v/>
      </c>
      <c r="S5094" s="23">
        <f t="shared" si="1015"/>
        <v>164</v>
      </c>
      <c r="T5094" s="23" t="str">
        <f t="shared" si="1016"/>
        <v/>
      </c>
      <c r="U5094" t="str">
        <f t="shared" si="1017"/>
        <v/>
      </c>
      <c r="AF5094" s="22"/>
      <c r="AH5094" s="8"/>
      <c r="AL5094" s="23"/>
    </row>
    <row r="5095" spans="1:38">
      <c r="A5095" t="str">
        <f t="shared" si="1018"/>
        <v>PA_Alleg_2019p~Dem-school director keystone oaks region 1 (vote for 1)</v>
      </c>
      <c r="B5095" s="55" t="s">
        <v>1291</v>
      </c>
      <c r="C5095">
        <v>372</v>
      </c>
      <c r="D5095" s="55" t="s">
        <v>378</v>
      </c>
      <c r="E5095" s="55" t="s">
        <v>15</v>
      </c>
      <c r="F5095" t="s">
        <v>12</v>
      </c>
      <c r="G5095" s="62">
        <v>2</v>
      </c>
      <c r="H5095" s="25">
        <v>0.4</v>
      </c>
      <c r="I5095">
        <v>6107</v>
      </c>
      <c r="J5095">
        <v>771</v>
      </c>
      <c r="K5095">
        <v>8</v>
      </c>
      <c r="L5095">
        <v>8</v>
      </c>
      <c r="M5095">
        <v>0</v>
      </c>
      <c r="N5095" s="23">
        <v>0</v>
      </c>
      <c r="O5095">
        <f t="shared" si="1011"/>
        <v>-2</v>
      </c>
      <c r="P5095" s="57">
        <f t="shared" si="1012"/>
        <v>1</v>
      </c>
      <c r="Q5095" s="267">
        <f t="shared" si="1013"/>
        <v>2</v>
      </c>
      <c r="R5095" s="23">
        <f t="shared" si="1014"/>
        <v>1</v>
      </c>
      <c r="S5095" s="23">
        <f t="shared" si="1015"/>
        <v>0</v>
      </c>
      <c r="T5095" s="23" t="str">
        <f t="shared" si="1016"/>
        <v/>
      </c>
      <c r="U5095" t="str">
        <f t="shared" si="1017"/>
        <v/>
      </c>
      <c r="AF5095" s="22"/>
      <c r="AH5095" s="8"/>
      <c r="AL5095" s="23"/>
    </row>
    <row r="5096" spans="1:38">
      <c r="A5096" t="str">
        <f t="shared" si="1018"/>
        <v>PA_Alleg_2019p~Dem-school director keystone oaks region 2 (vote for 2)</v>
      </c>
      <c r="B5096" s="55" t="s">
        <v>1291</v>
      </c>
      <c r="C5096">
        <v>385</v>
      </c>
      <c r="D5096" s="55" t="s">
        <v>393</v>
      </c>
      <c r="E5096" s="55" t="s">
        <v>394</v>
      </c>
      <c r="F5096" t="s">
        <v>12</v>
      </c>
      <c r="G5096" s="62">
        <v>598</v>
      </c>
      <c r="H5096" s="25">
        <v>92.71</v>
      </c>
      <c r="I5096">
        <v>6683</v>
      </c>
      <c r="J5096">
        <v>840</v>
      </c>
      <c r="K5096">
        <v>10</v>
      </c>
      <c r="L5096">
        <v>10</v>
      </c>
      <c r="M5096">
        <v>0</v>
      </c>
      <c r="N5096" s="23">
        <v>0</v>
      </c>
      <c r="O5096">
        <f t="shared" si="1011"/>
        <v>1</v>
      </c>
      <c r="P5096" s="57">
        <f t="shared" si="1012"/>
        <v>2</v>
      </c>
      <c r="Q5096" s="267">
        <f t="shared" si="1013"/>
        <v>598</v>
      </c>
      <c r="R5096" s="23">
        <f t="shared" si="1014"/>
        <v>1</v>
      </c>
      <c r="S5096" s="23">
        <f t="shared" si="1015"/>
        <v>0</v>
      </c>
      <c r="T5096" s="23" t="str">
        <f t="shared" si="1016"/>
        <v/>
      </c>
      <c r="U5096" t="str">
        <f t="shared" si="1017"/>
        <v>PA_Alleg_2019p~Dem-school director keystone oaks region 2 (vote for 2)</v>
      </c>
      <c r="AF5096" s="22"/>
      <c r="AG5096" s="89"/>
      <c r="AH5096" s="274"/>
      <c r="AI5096" s="279"/>
      <c r="AJ5096" s="280"/>
      <c r="AK5096" s="92"/>
      <c r="AL5096" s="23"/>
    </row>
    <row r="5097" spans="1:38">
      <c r="A5097" t="str">
        <f t="shared" si="1018"/>
        <v>PA_Alleg_2019p~Dem-school director keystone oaks region 2 (vote for 2)</v>
      </c>
      <c r="B5097" s="55" t="s">
        <v>1291</v>
      </c>
      <c r="C5097">
        <v>386</v>
      </c>
      <c r="D5097" s="55" t="s">
        <v>393</v>
      </c>
      <c r="E5097" s="55" t="s">
        <v>15</v>
      </c>
      <c r="F5097" t="s">
        <v>12</v>
      </c>
      <c r="G5097" s="62">
        <v>47</v>
      </c>
      <c r="H5097" s="25">
        <v>7.29</v>
      </c>
      <c r="I5097">
        <v>6683</v>
      </c>
      <c r="J5097">
        <v>840</v>
      </c>
      <c r="K5097">
        <v>10</v>
      </c>
      <c r="L5097">
        <v>10</v>
      </c>
      <c r="M5097">
        <v>0</v>
      </c>
      <c r="N5097" s="23">
        <v>0</v>
      </c>
      <c r="O5097">
        <f t="shared" si="1011"/>
        <v>-1</v>
      </c>
      <c r="P5097" s="57">
        <f t="shared" si="1012"/>
        <v>2</v>
      </c>
      <c r="Q5097" s="267">
        <f t="shared" si="1013"/>
        <v>47</v>
      </c>
      <c r="R5097" s="23">
        <f t="shared" si="1014"/>
        <v>1</v>
      </c>
      <c r="S5097" s="23">
        <f t="shared" si="1015"/>
        <v>0</v>
      </c>
      <c r="T5097" s="23" t="str">
        <f t="shared" si="1016"/>
        <v/>
      </c>
      <c r="U5097" t="str">
        <f t="shared" si="1017"/>
        <v/>
      </c>
      <c r="AF5097" s="22"/>
      <c r="AG5097" s="89"/>
      <c r="AH5097" s="274"/>
      <c r="AI5097" s="279"/>
      <c r="AJ5097" s="280"/>
      <c r="AK5097" s="92"/>
      <c r="AL5097" s="23"/>
    </row>
    <row r="5098" spans="1:38">
      <c r="A5098" t="str">
        <f t="shared" si="1018"/>
        <v>PA_Alleg_2019p~Dem-school director keystone oaks region 3 (vote for 2)</v>
      </c>
      <c r="B5098" s="55" t="s">
        <v>1291</v>
      </c>
      <c r="C5098">
        <v>424</v>
      </c>
      <c r="D5098" s="55" t="s">
        <v>427</v>
      </c>
      <c r="E5098" s="55" t="s">
        <v>429</v>
      </c>
      <c r="F5098" t="s">
        <v>12</v>
      </c>
      <c r="G5098" s="62">
        <v>295</v>
      </c>
      <c r="H5098" s="25">
        <v>53.73</v>
      </c>
      <c r="I5098">
        <v>3708</v>
      </c>
      <c r="J5098">
        <v>522</v>
      </c>
      <c r="K5098">
        <v>4</v>
      </c>
      <c r="L5098">
        <v>4</v>
      </c>
      <c r="M5098">
        <v>0</v>
      </c>
      <c r="N5098" s="23">
        <v>0</v>
      </c>
      <c r="O5098">
        <f t="shared" si="1011"/>
        <v>1</v>
      </c>
      <c r="P5098" s="57">
        <f t="shared" si="1012"/>
        <v>2</v>
      </c>
      <c r="Q5098" s="267">
        <f t="shared" si="1013"/>
        <v>295</v>
      </c>
      <c r="R5098" s="23">
        <f t="shared" si="1014"/>
        <v>252</v>
      </c>
      <c r="S5098" s="23">
        <f t="shared" si="1015"/>
        <v>0</v>
      </c>
      <c r="T5098" s="23" t="str">
        <f t="shared" si="1016"/>
        <v/>
      </c>
      <c r="U5098" t="str">
        <f t="shared" si="1017"/>
        <v>PA_Alleg_2019p~Dem-school director keystone oaks region 3 (vote for 2)</v>
      </c>
      <c r="AF5098" s="22"/>
    </row>
    <row r="5099" spans="1:38">
      <c r="A5099" t="str">
        <f t="shared" si="1018"/>
        <v>PA_Alleg_2019p~Dem-school director keystone oaks region 3 (vote for 2)</v>
      </c>
      <c r="B5099" s="55" t="s">
        <v>1291</v>
      </c>
      <c r="C5099">
        <v>423</v>
      </c>
      <c r="D5099" s="55" t="s">
        <v>427</v>
      </c>
      <c r="E5099" s="55" t="s">
        <v>428</v>
      </c>
      <c r="F5099" t="s">
        <v>12</v>
      </c>
      <c r="G5099" s="62">
        <v>252</v>
      </c>
      <c r="H5099" s="25">
        <v>45.9</v>
      </c>
      <c r="I5099">
        <v>3708</v>
      </c>
      <c r="J5099">
        <v>522</v>
      </c>
      <c r="K5099">
        <v>4</v>
      </c>
      <c r="L5099">
        <v>4</v>
      </c>
      <c r="M5099">
        <v>0</v>
      </c>
      <c r="N5099" s="23">
        <v>0</v>
      </c>
      <c r="O5099">
        <f t="shared" si="1011"/>
        <v>2</v>
      </c>
      <c r="P5099" s="57">
        <f t="shared" si="1012"/>
        <v>2</v>
      </c>
      <c r="Q5099" s="267">
        <f t="shared" si="1013"/>
        <v>254</v>
      </c>
      <c r="R5099" s="23">
        <f t="shared" si="1014"/>
        <v>252</v>
      </c>
      <c r="S5099" s="23">
        <f t="shared" si="1015"/>
        <v>0</v>
      </c>
      <c r="T5099" s="23" t="str">
        <f t="shared" si="1016"/>
        <v/>
      </c>
      <c r="U5099" t="str">
        <f t="shared" si="1017"/>
        <v/>
      </c>
      <c r="AF5099" s="22"/>
      <c r="AH5099" s="8"/>
      <c r="AL5099" s="23"/>
    </row>
    <row r="5100" spans="1:38">
      <c r="A5100" t="str">
        <f t="shared" si="1018"/>
        <v>PA_Alleg_2019p~Dem-school director keystone oaks region 3 (vote for 2)</v>
      </c>
      <c r="B5100" s="55" t="s">
        <v>1291</v>
      </c>
      <c r="C5100">
        <v>425</v>
      </c>
      <c r="D5100" s="55" t="s">
        <v>427</v>
      </c>
      <c r="E5100" s="55" t="s">
        <v>15</v>
      </c>
      <c r="F5100" t="s">
        <v>12</v>
      </c>
      <c r="G5100" s="62">
        <v>2</v>
      </c>
      <c r="H5100" s="25">
        <v>0.36</v>
      </c>
      <c r="I5100">
        <v>3708</v>
      </c>
      <c r="J5100">
        <v>522</v>
      </c>
      <c r="K5100">
        <v>4</v>
      </c>
      <c r="L5100">
        <v>4</v>
      </c>
      <c r="M5100">
        <v>0</v>
      </c>
      <c r="N5100" s="23">
        <v>0</v>
      </c>
      <c r="O5100">
        <f t="shared" si="1011"/>
        <v>-2</v>
      </c>
      <c r="P5100" s="57">
        <f t="shared" si="1012"/>
        <v>2</v>
      </c>
      <c r="Q5100" s="267">
        <f t="shared" si="1013"/>
        <v>2</v>
      </c>
      <c r="R5100" s="23">
        <f t="shared" si="1014"/>
        <v>1</v>
      </c>
      <c r="S5100" s="23">
        <f t="shared" si="1015"/>
        <v>0</v>
      </c>
      <c r="T5100" s="23" t="str">
        <f t="shared" si="1016"/>
        <v/>
      </c>
      <c r="U5100" t="str">
        <f t="shared" si="1017"/>
        <v/>
      </c>
      <c r="AF5100" s="22"/>
      <c r="AH5100" s="8"/>
      <c r="AL5100" s="23"/>
    </row>
    <row r="5101" spans="1:38">
      <c r="A5101" t="str">
        <f t="shared" si="1018"/>
        <v>PA_Alleg_2019p~Dem-school director mckeesport area (vote for 5)</v>
      </c>
      <c r="B5101" s="55" t="s">
        <v>1291</v>
      </c>
      <c r="C5101">
        <v>195</v>
      </c>
      <c r="D5101" s="55" t="s">
        <v>202</v>
      </c>
      <c r="E5101" s="55" t="s">
        <v>207</v>
      </c>
      <c r="F5101" t="s">
        <v>12</v>
      </c>
      <c r="G5101" s="62">
        <v>1499</v>
      </c>
      <c r="H5101" s="25">
        <v>14.86</v>
      </c>
      <c r="I5101">
        <v>20880</v>
      </c>
      <c r="J5101">
        <v>3784</v>
      </c>
      <c r="K5101">
        <v>45</v>
      </c>
      <c r="L5101">
        <v>45</v>
      </c>
      <c r="M5101">
        <v>0</v>
      </c>
      <c r="N5101" s="23">
        <v>0</v>
      </c>
      <c r="O5101">
        <f t="shared" si="1011"/>
        <v>1</v>
      </c>
      <c r="P5101" s="57">
        <f t="shared" si="1012"/>
        <v>5</v>
      </c>
      <c r="Q5101" s="267">
        <f t="shared" si="1013"/>
        <v>2018</v>
      </c>
      <c r="R5101" s="23">
        <f t="shared" si="1014"/>
        <v>1302</v>
      </c>
      <c r="S5101" s="23">
        <f t="shared" si="1015"/>
        <v>1204</v>
      </c>
      <c r="T5101" s="23">
        <f t="shared" si="1016"/>
        <v>98</v>
      </c>
      <c r="U5101" t="str">
        <f t="shared" si="1017"/>
        <v>PA_Alleg_2019p~Dem-school director mckeesport area (vote for 5)</v>
      </c>
      <c r="AF5101" s="22"/>
      <c r="AH5101" s="8"/>
      <c r="AL5101" s="23"/>
    </row>
    <row r="5102" spans="1:38">
      <c r="A5102" t="str">
        <f t="shared" si="1018"/>
        <v>PA_Alleg_2019p~Dem-school director mckeesport area (vote for 5)</v>
      </c>
      <c r="B5102" s="55" t="s">
        <v>1291</v>
      </c>
      <c r="C5102">
        <v>194</v>
      </c>
      <c r="D5102" s="55" t="s">
        <v>202</v>
      </c>
      <c r="E5102" s="55" t="s">
        <v>206</v>
      </c>
      <c r="F5102" t="s">
        <v>12</v>
      </c>
      <c r="G5102" s="62">
        <v>1429</v>
      </c>
      <c r="H5102" s="25">
        <v>14.16</v>
      </c>
      <c r="I5102">
        <v>20880</v>
      </c>
      <c r="J5102">
        <v>3784</v>
      </c>
      <c r="K5102">
        <v>45</v>
      </c>
      <c r="L5102">
        <v>45</v>
      </c>
      <c r="M5102">
        <v>0</v>
      </c>
      <c r="N5102" s="23">
        <v>0</v>
      </c>
      <c r="O5102">
        <f t="shared" si="1011"/>
        <v>2</v>
      </c>
      <c r="P5102" s="57">
        <f t="shared" si="1012"/>
        <v>5</v>
      </c>
      <c r="Q5102" s="267">
        <f t="shared" si="1013"/>
        <v>8591</v>
      </c>
      <c r="R5102" s="23">
        <f t="shared" si="1014"/>
        <v>1302</v>
      </c>
      <c r="S5102" s="23">
        <f t="shared" si="1015"/>
        <v>1204</v>
      </c>
      <c r="T5102" s="23" t="str">
        <f t="shared" si="1016"/>
        <v/>
      </c>
      <c r="U5102" t="str">
        <f t="shared" si="1017"/>
        <v/>
      </c>
      <c r="AH5102" s="8"/>
      <c r="AL5102" s="23"/>
    </row>
    <row r="5103" spans="1:38">
      <c r="A5103" t="str">
        <f t="shared" si="1018"/>
        <v>PA_Alleg_2019p~Dem-school director mckeesport area (vote for 5)</v>
      </c>
      <c r="B5103" s="55" t="s">
        <v>1291</v>
      </c>
      <c r="C5103">
        <v>191</v>
      </c>
      <c r="D5103" s="55" t="s">
        <v>202</v>
      </c>
      <c r="E5103" s="55" t="s">
        <v>203</v>
      </c>
      <c r="F5103" t="s">
        <v>12</v>
      </c>
      <c r="G5103" s="62">
        <v>1402</v>
      </c>
      <c r="H5103" s="25">
        <v>13.89</v>
      </c>
      <c r="I5103">
        <v>20880</v>
      </c>
      <c r="J5103">
        <v>3784</v>
      </c>
      <c r="K5103">
        <v>45</v>
      </c>
      <c r="L5103">
        <v>45</v>
      </c>
      <c r="M5103">
        <v>0</v>
      </c>
      <c r="N5103" s="23">
        <v>0</v>
      </c>
      <c r="O5103">
        <f t="shared" si="1011"/>
        <v>3</v>
      </c>
      <c r="P5103" s="57">
        <f t="shared" si="1012"/>
        <v>5</v>
      </c>
      <c r="Q5103" s="267">
        <f t="shared" si="1013"/>
        <v>7162</v>
      </c>
      <c r="R5103" s="23">
        <f t="shared" si="1014"/>
        <v>1302</v>
      </c>
      <c r="S5103" s="23">
        <f t="shared" si="1015"/>
        <v>1204</v>
      </c>
      <c r="T5103" s="23" t="str">
        <f t="shared" si="1016"/>
        <v/>
      </c>
      <c r="U5103" t="str">
        <f t="shared" si="1017"/>
        <v/>
      </c>
    </row>
    <row r="5104" spans="1:38">
      <c r="A5104" t="str">
        <f t="shared" si="1018"/>
        <v>PA_Alleg_2019p~Dem-school director mckeesport area (vote for 5)</v>
      </c>
      <c r="B5104" s="55" t="s">
        <v>1291</v>
      </c>
      <c r="C5104">
        <v>197</v>
      </c>
      <c r="D5104" s="55" t="s">
        <v>202</v>
      </c>
      <c r="E5104" s="55" t="s">
        <v>209</v>
      </c>
      <c r="F5104" t="s">
        <v>12</v>
      </c>
      <c r="G5104" s="62">
        <v>1393</v>
      </c>
      <c r="H5104" s="25">
        <v>13.81</v>
      </c>
      <c r="I5104">
        <v>20880</v>
      </c>
      <c r="J5104">
        <v>3784</v>
      </c>
      <c r="K5104">
        <v>45</v>
      </c>
      <c r="L5104">
        <v>45</v>
      </c>
      <c r="M5104">
        <v>0</v>
      </c>
      <c r="N5104" s="23">
        <v>0</v>
      </c>
      <c r="O5104">
        <f t="shared" si="1011"/>
        <v>4</v>
      </c>
      <c r="P5104" s="57">
        <f t="shared" si="1012"/>
        <v>5</v>
      </c>
      <c r="Q5104" s="267">
        <f t="shared" si="1013"/>
        <v>5760</v>
      </c>
      <c r="R5104" s="23">
        <f t="shared" si="1014"/>
        <v>1302</v>
      </c>
      <c r="S5104" s="23">
        <f t="shared" si="1015"/>
        <v>1204</v>
      </c>
      <c r="T5104" s="23" t="str">
        <f t="shared" si="1016"/>
        <v/>
      </c>
      <c r="U5104" t="str">
        <f t="shared" si="1017"/>
        <v/>
      </c>
      <c r="AF5104" s="22"/>
    </row>
    <row r="5105" spans="1:38">
      <c r="A5105" t="str">
        <f t="shared" si="1018"/>
        <v>PA_Alleg_2019p~Dem-school director mckeesport area (vote for 5)</v>
      </c>
      <c r="B5105" s="55" t="s">
        <v>1291</v>
      </c>
      <c r="C5105">
        <v>192</v>
      </c>
      <c r="D5105" s="55" t="s">
        <v>202</v>
      </c>
      <c r="E5105" s="55" t="s">
        <v>204</v>
      </c>
      <c r="F5105" t="s">
        <v>12</v>
      </c>
      <c r="G5105" s="62">
        <v>1302</v>
      </c>
      <c r="H5105" s="25">
        <v>12.9</v>
      </c>
      <c r="I5105">
        <v>20880</v>
      </c>
      <c r="J5105">
        <v>3784</v>
      </c>
      <c r="K5105">
        <v>45</v>
      </c>
      <c r="L5105">
        <v>45</v>
      </c>
      <c r="M5105">
        <v>0</v>
      </c>
      <c r="N5105" s="23">
        <v>0</v>
      </c>
      <c r="O5105">
        <f t="shared" si="1011"/>
        <v>5</v>
      </c>
      <c r="P5105" s="57">
        <f t="shared" si="1012"/>
        <v>5</v>
      </c>
      <c r="Q5105" s="267">
        <f t="shared" si="1013"/>
        <v>4367</v>
      </c>
      <c r="R5105" s="23">
        <f t="shared" si="1014"/>
        <v>1302</v>
      </c>
      <c r="S5105" s="23">
        <f t="shared" si="1015"/>
        <v>1204</v>
      </c>
      <c r="T5105" s="23" t="str">
        <f t="shared" si="1016"/>
        <v/>
      </c>
      <c r="U5105" t="str">
        <f t="shared" si="1017"/>
        <v/>
      </c>
      <c r="AF5105" s="22"/>
    </row>
    <row r="5106" spans="1:38">
      <c r="A5106" t="str">
        <f t="shared" si="1018"/>
        <v>PA_Alleg_2019p~Dem-school director mckeesport area (vote for 5)</v>
      </c>
      <c r="B5106" s="55" t="s">
        <v>1291</v>
      </c>
      <c r="C5106">
        <v>193</v>
      </c>
      <c r="D5106" s="55" t="s">
        <v>202</v>
      </c>
      <c r="E5106" s="55" t="s">
        <v>205</v>
      </c>
      <c r="F5106" t="s">
        <v>12</v>
      </c>
      <c r="G5106" s="62">
        <v>1204</v>
      </c>
      <c r="H5106" s="25">
        <v>11.93</v>
      </c>
      <c r="I5106">
        <v>20880</v>
      </c>
      <c r="J5106">
        <v>3784</v>
      </c>
      <c r="K5106">
        <v>45</v>
      </c>
      <c r="L5106">
        <v>45</v>
      </c>
      <c r="M5106">
        <v>0</v>
      </c>
      <c r="N5106" s="23">
        <v>0</v>
      </c>
      <c r="O5106">
        <f t="shared" si="1011"/>
        <v>6</v>
      </c>
      <c r="P5106" s="57">
        <f t="shared" si="1012"/>
        <v>5</v>
      </c>
      <c r="Q5106" s="267">
        <f t="shared" si="1013"/>
        <v>3065</v>
      </c>
      <c r="R5106" s="23" t="str">
        <f t="shared" si="1014"/>
        <v/>
      </c>
      <c r="S5106" s="23">
        <f t="shared" si="1015"/>
        <v>1204</v>
      </c>
      <c r="T5106" s="23" t="str">
        <f t="shared" si="1016"/>
        <v/>
      </c>
      <c r="U5106" t="str">
        <f t="shared" si="1017"/>
        <v/>
      </c>
    </row>
    <row r="5107" spans="1:38">
      <c r="A5107" t="str">
        <f t="shared" si="1018"/>
        <v>PA_Alleg_2019p~Dem-school director mckeesport area (vote for 5)</v>
      </c>
      <c r="B5107" s="55" t="s">
        <v>1291</v>
      </c>
      <c r="C5107">
        <v>196</v>
      </c>
      <c r="D5107" s="55" t="s">
        <v>202</v>
      </c>
      <c r="E5107" s="55" t="s">
        <v>208</v>
      </c>
      <c r="F5107" t="s">
        <v>12</v>
      </c>
      <c r="G5107" s="62">
        <v>1147</v>
      </c>
      <c r="H5107" s="25">
        <v>11.37</v>
      </c>
      <c r="I5107">
        <v>20880</v>
      </c>
      <c r="J5107">
        <v>3784</v>
      </c>
      <c r="K5107">
        <v>45</v>
      </c>
      <c r="L5107">
        <v>45</v>
      </c>
      <c r="M5107">
        <v>0</v>
      </c>
      <c r="N5107" s="23">
        <v>0</v>
      </c>
      <c r="O5107">
        <f t="shared" si="1011"/>
        <v>7</v>
      </c>
      <c r="P5107" s="57">
        <f t="shared" si="1012"/>
        <v>5</v>
      </c>
      <c r="Q5107" s="267">
        <f t="shared" si="1013"/>
        <v>1861</v>
      </c>
      <c r="R5107" s="23" t="str">
        <f t="shared" si="1014"/>
        <v/>
      </c>
      <c r="S5107" s="23">
        <f t="shared" si="1015"/>
        <v>1147</v>
      </c>
      <c r="T5107" s="23" t="str">
        <f t="shared" si="1016"/>
        <v/>
      </c>
      <c r="U5107" t="str">
        <f t="shared" si="1017"/>
        <v/>
      </c>
      <c r="AF5107" s="22"/>
    </row>
    <row r="5108" spans="1:38">
      <c r="A5108" t="str">
        <f t="shared" si="1018"/>
        <v>PA_Alleg_2019p~Dem-school director mckeesport area (vote for 5)</v>
      </c>
      <c r="B5108" s="55" t="s">
        <v>1291</v>
      </c>
      <c r="C5108">
        <v>198</v>
      </c>
      <c r="D5108" s="55" t="s">
        <v>202</v>
      </c>
      <c r="E5108" s="55" t="s">
        <v>210</v>
      </c>
      <c r="F5108" t="s">
        <v>12</v>
      </c>
      <c r="G5108" s="62">
        <v>658</v>
      </c>
      <c r="H5108" s="25">
        <v>6.52</v>
      </c>
      <c r="I5108">
        <v>20880</v>
      </c>
      <c r="J5108">
        <v>3784</v>
      </c>
      <c r="K5108">
        <v>45</v>
      </c>
      <c r="L5108">
        <v>45</v>
      </c>
      <c r="M5108">
        <v>0</v>
      </c>
      <c r="N5108" s="23">
        <v>0</v>
      </c>
      <c r="O5108">
        <f t="shared" si="1011"/>
        <v>8</v>
      </c>
      <c r="P5108" s="57">
        <f t="shared" si="1012"/>
        <v>5</v>
      </c>
      <c r="Q5108" s="267">
        <f t="shared" si="1013"/>
        <v>714</v>
      </c>
      <c r="R5108" s="23" t="str">
        <f t="shared" si="1014"/>
        <v/>
      </c>
      <c r="S5108" s="23">
        <f t="shared" si="1015"/>
        <v>658</v>
      </c>
      <c r="T5108" s="23" t="str">
        <f t="shared" si="1016"/>
        <v/>
      </c>
      <c r="U5108" t="str">
        <f t="shared" si="1017"/>
        <v/>
      </c>
    </row>
    <row r="5109" spans="1:38">
      <c r="A5109" t="str">
        <f t="shared" si="1018"/>
        <v>PA_Alleg_2019p~Dem-school director mckeesport area (vote for 5)</v>
      </c>
      <c r="B5109" s="55" t="s">
        <v>1291</v>
      </c>
      <c r="C5109">
        <v>199</v>
      </c>
      <c r="D5109" s="55" t="s">
        <v>202</v>
      </c>
      <c r="E5109" s="55" t="s">
        <v>15</v>
      </c>
      <c r="F5109" t="s">
        <v>12</v>
      </c>
      <c r="G5109" s="62">
        <v>56</v>
      </c>
      <c r="H5109" s="25">
        <v>0.56000000000000005</v>
      </c>
      <c r="I5109">
        <v>20880</v>
      </c>
      <c r="J5109">
        <v>3784</v>
      </c>
      <c r="K5109">
        <v>45</v>
      </c>
      <c r="L5109">
        <v>45</v>
      </c>
      <c r="M5109">
        <v>0</v>
      </c>
      <c r="N5109" s="23">
        <v>0</v>
      </c>
      <c r="O5109">
        <f t="shared" si="1011"/>
        <v>-8</v>
      </c>
      <c r="P5109" s="57">
        <f t="shared" si="1012"/>
        <v>5</v>
      </c>
      <c r="Q5109" s="267">
        <f t="shared" si="1013"/>
        <v>56</v>
      </c>
      <c r="R5109" s="23">
        <f t="shared" si="1014"/>
        <v>1</v>
      </c>
      <c r="S5109" s="23">
        <f t="shared" si="1015"/>
        <v>0</v>
      </c>
      <c r="T5109" s="23" t="str">
        <f t="shared" si="1016"/>
        <v/>
      </c>
      <c r="U5109" t="str">
        <f t="shared" si="1017"/>
        <v/>
      </c>
      <c r="AF5109" s="22"/>
      <c r="AL5109" s="344"/>
    </row>
    <row r="5110" spans="1:38">
      <c r="A5110" t="str">
        <f t="shared" si="1018"/>
        <v>PA_Alleg_2019p~Dem-school director montour region 1 (vote for 2)</v>
      </c>
      <c r="B5110" s="55" t="s">
        <v>1291</v>
      </c>
      <c r="C5110">
        <v>350</v>
      </c>
      <c r="D5110" s="55" t="s">
        <v>357</v>
      </c>
      <c r="E5110" s="55" t="s">
        <v>359</v>
      </c>
      <c r="F5110" t="s">
        <v>12</v>
      </c>
      <c r="G5110" s="62">
        <v>421</v>
      </c>
      <c r="H5110" s="25">
        <v>49.65</v>
      </c>
      <c r="I5110">
        <v>6764</v>
      </c>
      <c r="J5110">
        <v>828</v>
      </c>
      <c r="K5110">
        <v>7</v>
      </c>
      <c r="L5110">
        <v>7</v>
      </c>
      <c r="M5110">
        <v>0</v>
      </c>
      <c r="N5110" s="23">
        <v>0</v>
      </c>
      <c r="O5110">
        <f t="shared" si="1011"/>
        <v>1</v>
      </c>
      <c r="P5110" s="57">
        <f t="shared" si="1012"/>
        <v>2</v>
      </c>
      <c r="Q5110" s="267">
        <f t="shared" si="1013"/>
        <v>424</v>
      </c>
      <c r="R5110" s="23">
        <f t="shared" si="1014"/>
        <v>421</v>
      </c>
      <c r="S5110" s="23">
        <f t="shared" si="1015"/>
        <v>0</v>
      </c>
      <c r="T5110" s="23" t="str">
        <f t="shared" si="1016"/>
        <v/>
      </c>
      <c r="U5110" t="str">
        <f t="shared" si="1017"/>
        <v>PA_Alleg_2019p~Dem-school director montour region 1 (vote for 2)</v>
      </c>
      <c r="AF5110" s="22"/>
    </row>
    <row r="5111" spans="1:38">
      <c r="A5111" t="str">
        <f t="shared" si="1018"/>
        <v>PA_Alleg_2019p~Dem-school director montour region 1 (vote for 2)</v>
      </c>
      <c r="B5111" s="55" t="s">
        <v>1291</v>
      </c>
      <c r="C5111">
        <v>349</v>
      </c>
      <c r="D5111" s="55" t="s">
        <v>357</v>
      </c>
      <c r="E5111" s="55" t="s">
        <v>358</v>
      </c>
      <c r="F5111" t="s">
        <v>12</v>
      </c>
      <c r="G5111" s="62">
        <v>421</v>
      </c>
      <c r="H5111" s="25">
        <v>49.65</v>
      </c>
      <c r="I5111">
        <v>6764</v>
      </c>
      <c r="J5111">
        <v>828</v>
      </c>
      <c r="K5111">
        <v>7</v>
      </c>
      <c r="L5111">
        <v>7</v>
      </c>
      <c r="M5111">
        <v>0</v>
      </c>
      <c r="N5111" s="23">
        <v>0</v>
      </c>
      <c r="O5111">
        <f t="shared" si="1011"/>
        <v>2</v>
      </c>
      <c r="P5111" s="57">
        <f t="shared" si="1012"/>
        <v>2</v>
      </c>
      <c r="Q5111" s="267">
        <f t="shared" si="1013"/>
        <v>427</v>
      </c>
      <c r="R5111" s="23">
        <f t="shared" si="1014"/>
        <v>421</v>
      </c>
      <c r="S5111" s="23">
        <f t="shared" si="1015"/>
        <v>0</v>
      </c>
      <c r="T5111" s="23" t="str">
        <f t="shared" si="1016"/>
        <v/>
      </c>
      <c r="U5111" t="str">
        <f t="shared" si="1017"/>
        <v/>
      </c>
      <c r="AF5111" s="22"/>
    </row>
    <row r="5112" spans="1:38">
      <c r="A5112" t="str">
        <f t="shared" si="1018"/>
        <v>PA_Alleg_2019p~Dem-school director montour region 1 (vote for 2)</v>
      </c>
      <c r="B5112" s="55" t="s">
        <v>1291</v>
      </c>
      <c r="C5112">
        <v>351</v>
      </c>
      <c r="D5112" s="55" t="s">
        <v>357</v>
      </c>
      <c r="E5112" s="55" t="s">
        <v>15</v>
      </c>
      <c r="F5112" t="s">
        <v>12</v>
      </c>
      <c r="G5112" s="62">
        <v>6</v>
      </c>
      <c r="H5112" s="25">
        <v>0.71</v>
      </c>
      <c r="I5112">
        <v>6764</v>
      </c>
      <c r="J5112">
        <v>828</v>
      </c>
      <c r="K5112">
        <v>7</v>
      </c>
      <c r="L5112">
        <v>7</v>
      </c>
      <c r="M5112">
        <v>0</v>
      </c>
      <c r="N5112" s="23">
        <v>0</v>
      </c>
      <c r="O5112">
        <f t="shared" si="1011"/>
        <v>-2</v>
      </c>
      <c r="P5112" s="57">
        <f t="shared" si="1012"/>
        <v>2</v>
      </c>
      <c r="Q5112" s="267">
        <f t="shared" si="1013"/>
        <v>6</v>
      </c>
      <c r="R5112" s="23">
        <f t="shared" si="1014"/>
        <v>1</v>
      </c>
      <c r="S5112" s="23">
        <f t="shared" si="1015"/>
        <v>0</v>
      </c>
      <c r="T5112" s="23" t="str">
        <f t="shared" si="1016"/>
        <v/>
      </c>
      <c r="U5112" t="str">
        <f t="shared" si="1017"/>
        <v/>
      </c>
      <c r="AF5112" s="22"/>
    </row>
    <row r="5113" spans="1:38">
      <c r="A5113" t="str">
        <f t="shared" si="1018"/>
        <v>PA_Alleg_2019p~Dem-school director montour region 2 (vote for 3)</v>
      </c>
      <c r="B5113" s="55" t="s">
        <v>1291</v>
      </c>
      <c r="C5113">
        <v>377</v>
      </c>
      <c r="D5113" s="55" t="s">
        <v>385</v>
      </c>
      <c r="E5113" s="55" t="s">
        <v>386</v>
      </c>
      <c r="F5113" t="s">
        <v>12</v>
      </c>
      <c r="G5113" s="62">
        <v>728</v>
      </c>
      <c r="H5113" s="25">
        <v>33.909999999999997</v>
      </c>
      <c r="I5113">
        <v>7913</v>
      </c>
      <c r="J5113">
        <v>1237</v>
      </c>
      <c r="K5113">
        <v>7</v>
      </c>
      <c r="L5113">
        <v>7</v>
      </c>
      <c r="M5113">
        <v>0</v>
      </c>
      <c r="N5113" s="23">
        <v>0</v>
      </c>
      <c r="O5113">
        <f t="shared" si="1011"/>
        <v>1</v>
      </c>
      <c r="P5113" s="57">
        <f t="shared" si="1012"/>
        <v>3</v>
      </c>
      <c r="Q5113" s="267">
        <f t="shared" si="1013"/>
        <v>728</v>
      </c>
      <c r="R5113" s="23">
        <f t="shared" si="1014"/>
        <v>704</v>
      </c>
      <c r="S5113" s="23">
        <f t="shared" si="1015"/>
        <v>0</v>
      </c>
      <c r="T5113" s="23" t="str">
        <f t="shared" si="1016"/>
        <v/>
      </c>
      <c r="U5113" t="str">
        <f t="shared" si="1017"/>
        <v>PA_Alleg_2019p~Dem-school director montour region 2 (vote for 3)</v>
      </c>
      <c r="AF5113" s="22"/>
    </row>
    <row r="5114" spans="1:38">
      <c r="A5114" t="str">
        <f t="shared" si="1018"/>
        <v>PA_Alleg_2019p~Dem-school director montour region 2 (vote for 3)</v>
      </c>
      <c r="B5114" s="55" t="s">
        <v>1291</v>
      </c>
      <c r="C5114">
        <v>378</v>
      </c>
      <c r="D5114" s="55" t="s">
        <v>385</v>
      </c>
      <c r="E5114" s="55" t="s">
        <v>387</v>
      </c>
      <c r="F5114" t="s">
        <v>12</v>
      </c>
      <c r="G5114" s="62">
        <v>705</v>
      </c>
      <c r="H5114" s="25">
        <v>32.840000000000003</v>
      </c>
      <c r="I5114">
        <v>7913</v>
      </c>
      <c r="J5114">
        <v>1237</v>
      </c>
      <c r="K5114">
        <v>7</v>
      </c>
      <c r="L5114">
        <v>7</v>
      </c>
      <c r="M5114">
        <v>0</v>
      </c>
      <c r="N5114" s="23">
        <v>0</v>
      </c>
      <c r="O5114">
        <f t="shared" si="1011"/>
        <v>2</v>
      </c>
      <c r="P5114" s="57">
        <f t="shared" si="1012"/>
        <v>3</v>
      </c>
      <c r="Q5114" s="267">
        <f t="shared" si="1013"/>
        <v>1419</v>
      </c>
      <c r="R5114" s="23">
        <f t="shared" si="1014"/>
        <v>704</v>
      </c>
      <c r="S5114" s="23">
        <f t="shared" si="1015"/>
        <v>0</v>
      </c>
      <c r="T5114" s="23" t="str">
        <f t="shared" si="1016"/>
        <v/>
      </c>
      <c r="U5114" t="str">
        <f t="shared" si="1017"/>
        <v/>
      </c>
    </row>
    <row r="5115" spans="1:38">
      <c r="A5115" t="str">
        <f t="shared" si="1018"/>
        <v>PA_Alleg_2019p~Dem-school director montour region 2 (vote for 3)</v>
      </c>
      <c r="B5115" s="55" t="s">
        <v>1291</v>
      </c>
      <c r="C5115">
        <v>379</v>
      </c>
      <c r="D5115" s="55" t="s">
        <v>385</v>
      </c>
      <c r="E5115" s="55" t="s">
        <v>388</v>
      </c>
      <c r="F5115" t="s">
        <v>12</v>
      </c>
      <c r="G5115" s="62">
        <v>704</v>
      </c>
      <c r="H5115" s="25">
        <v>32.79</v>
      </c>
      <c r="I5115">
        <v>7913</v>
      </c>
      <c r="J5115">
        <v>1237</v>
      </c>
      <c r="K5115">
        <v>7</v>
      </c>
      <c r="L5115">
        <v>7</v>
      </c>
      <c r="M5115">
        <v>0</v>
      </c>
      <c r="N5115" s="23">
        <v>0</v>
      </c>
      <c r="O5115">
        <f t="shared" si="1011"/>
        <v>3</v>
      </c>
      <c r="P5115" s="57">
        <f t="shared" si="1012"/>
        <v>3</v>
      </c>
      <c r="Q5115" s="267">
        <f t="shared" si="1013"/>
        <v>714</v>
      </c>
      <c r="R5115" s="23">
        <f t="shared" si="1014"/>
        <v>704</v>
      </c>
      <c r="S5115" s="23">
        <f t="shared" si="1015"/>
        <v>0</v>
      </c>
      <c r="T5115" s="23" t="str">
        <f t="shared" si="1016"/>
        <v/>
      </c>
      <c r="U5115" t="str">
        <f t="shared" si="1017"/>
        <v/>
      </c>
      <c r="AF5115" s="22"/>
    </row>
    <row r="5116" spans="1:38">
      <c r="A5116" t="str">
        <f t="shared" si="1018"/>
        <v>PA_Alleg_2019p~Dem-school director montour region 2 (vote for 3)</v>
      </c>
      <c r="B5116" s="55" t="s">
        <v>1291</v>
      </c>
      <c r="C5116">
        <v>380</v>
      </c>
      <c r="D5116" s="55" t="s">
        <v>385</v>
      </c>
      <c r="E5116" s="55" t="s">
        <v>15</v>
      </c>
      <c r="F5116" t="s">
        <v>12</v>
      </c>
      <c r="G5116" s="62">
        <v>10</v>
      </c>
      <c r="H5116" s="25">
        <v>0.47</v>
      </c>
      <c r="I5116">
        <v>7913</v>
      </c>
      <c r="J5116">
        <v>1237</v>
      </c>
      <c r="K5116">
        <v>7</v>
      </c>
      <c r="L5116">
        <v>7</v>
      </c>
      <c r="M5116">
        <v>0</v>
      </c>
      <c r="N5116" s="23">
        <v>0</v>
      </c>
      <c r="O5116">
        <f t="shared" si="1011"/>
        <v>-3</v>
      </c>
      <c r="P5116" s="57">
        <f t="shared" si="1012"/>
        <v>3</v>
      </c>
      <c r="Q5116" s="267">
        <f t="shared" si="1013"/>
        <v>10</v>
      </c>
      <c r="R5116" s="23">
        <f t="shared" si="1014"/>
        <v>1</v>
      </c>
      <c r="S5116" s="23">
        <f t="shared" si="1015"/>
        <v>0</v>
      </c>
      <c r="T5116" s="23" t="str">
        <f t="shared" si="1016"/>
        <v/>
      </c>
      <c r="U5116" t="str">
        <f t="shared" si="1017"/>
        <v/>
      </c>
      <c r="AF5116" s="22"/>
    </row>
    <row r="5117" spans="1:38">
      <c r="A5117" t="str">
        <f t="shared" si="1018"/>
        <v>PA_Alleg_2019p~Dem-school director moon area (vote for 5)</v>
      </c>
      <c r="B5117" s="55" t="s">
        <v>1291</v>
      </c>
      <c r="C5117">
        <v>204</v>
      </c>
      <c r="D5117" s="55" t="s">
        <v>211</v>
      </c>
      <c r="E5117" s="55" t="s">
        <v>216</v>
      </c>
      <c r="F5117" t="s">
        <v>12</v>
      </c>
      <c r="G5117" s="62">
        <v>1190</v>
      </c>
      <c r="H5117" s="25">
        <v>20.34</v>
      </c>
      <c r="I5117">
        <v>20909</v>
      </c>
      <c r="J5117">
        <v>3295</v>
      </c>
      <c r="K5117">
        <v>15</v>
      </c>
      <c r="L5117">
        <v>15</v>
      </c>
      <c r="M5117">
        <v>0</v>
      </c>
      <c r="N5117" s="23">
        <v>0</v>
      </c>
      <c r="O5117">
        <f t="shared" si="1011"/>
        <v>1</v>
      </c>
      <c r="P5117" s="57">
        <f t="shared" si="1012"/>
        <v>5</v>
      </c>
      <c r="Q5117" s="267">
        <f t="shared" si="1013"/>
        <v>1190</v>
      </c>
      <c r="R5117" s="23">
        <f t="shared" si="1014"/>
        <v>1135</v>
      </c>
      <c r="S5117" s="23">
        <f t="shared" si="1015"/>
        <v>0</v>
      </c>
      <c r="T5117" s="23" t="str">
        <f t="shared" si="1016"/>
        <v/>
      </c>
      <c r="U5117" t="str">
        <f t="shared" si="1017"/>
        <v>PA_Alleg_2019p~Dem-school director moon area (vote for 5)</v>
      </c>
      <c r="AF5117" s="22"/>
    </row>
    <row r="5118" spans="1:38">
      <c r="A5118" t="str">
        <f t="shared" si="1018"/>
        <v>PA_Alleg_2019p~Dem-school director moon area (vote for 5)</v>
      </c>
      <c r="B5118" s="55" t="s">
        <v>1291</v>
      </c>
      <c r="C5118">
        <v>203</v>
      </c>
      <c r="D5118" s="55" t="s">
        <v>211</v>
      </c>
      <c r="E5118" s="55" t="s">
        <v>215</v>
      </c>
      <c r="F5118" t="s">
        <v>12</v>
      </c>
      <c r="G5118" s="62">
        <v>1169</v>
      </c>
      <c r="H5118" s="25">
        <v>19.98</v>
      </c>
      <c r="I5118">
        <v>20909</v>
      </c>
      <c r="J5118">
        <v>3295</v>
      </c>
      <c r="K5118">
        <v>15</v>
      </c>
      <c r="L5118">
        <v>15</v>
      </c>
      <c r="M5118">
        <v>0</v>
      </c>
      <c r="N5118" s="23">
        <v>0</v>
      </c>
      <c r="O5118">
        <f t="shared" si="1011"/>
        <v>2</v>
      </c>
      <c r="P5118" s="57">
        <f t="shared" si="1012"/>
        <v>5</v>
      </c>
      <c r="Q5118" s="267">
        <f t="shared" si="1013"/>
        <v>4661</v>
      </c>
      <c r="R5118" s="23">
        <f t="shared" si="1014"/>
        <v>1135</v>
      </c>
      <c r="S5118" s="23">
        <f t="shared" si="1015"/>
        <v>0</v>
      </c>
      <c r="T5118" s="23" t="str">
        <f t="shared" si="1016"/>
        <v/>
      </c>
      <c r="U5118" t="str">
        <f t="shared" si="1017"/>
        <v/>
      </c>
      <c r="AF5118" s="22"/>
      <c r="AL5118" s="23"/>
    </row>
    <row r="5119" spans="1:38">
      <c r="A5119" t="str">
        <f t="shared" si="1018"/>
        <v>PA_Alleg_2019p~Dem-school director moon area (vote for 5)</v>
      </c>
      <c r="B5119" s="55" t="s">
        <v>1291</v>
      </c>
      <c r="C5119">
        <v>200</v>
      </c>
      <c r="D5119" s="55" t="s">
        <v>211</v>
      </c>
      <c r="E5119" s="55" t="s">
        <v>212</v>
      </c>
      <c r="F5119" t="s">
        <v>12</v>
      </c>
      <c r="G5119" s="62">
        <v>1166</v>
      </c>
      <c r="H5119" s="25">
        <v>19.93</v>
      </c>
      <c r="I5119">
        <v>20909</v>
      </c>
      <c r="J5119">
        <v>3295</v>
      </c>
      <c r="K5119">
        <v>15</v>
      </c>
      <c r="L5119">
        <v>15</v>
      </c>
      <c r="M5119">
        <v>0</v>
      </c>
      <c r="N5119" s="23">
        <v>0</v>
      </c>
      <c r="O5119">
        <f t="shared" si="1011"/>
        <v>3</v>
      </c>
      <c r="P5119" s="57">
        <f t="shared" si="1012"/>
        <v>5</v>
      </c>
      <c r="Q5119" s="267">
        <f t="shared" si="1013"/>
        <v>3492</v>
      </c>
      <c r="R5119" s="23">
        <f t="shared" si="1014"/>
        <v>1135</v>
      </c>
      <c r="S5119" s="23">
        <f t="shared" si="1015"/>
        <v>0</v>
      </c>
      <c r="T5119" s="23" t="str">
        <f t="shared" si="1016"/>
        <v/>
      </c>
      <c r="U5119" t="str">
        <f t="shared" si="1017"/>
        <v/>
      </c>
      <c r="AF5119" s="22"/>
    </row>
    <row r="5120" spans="1:38">
      <c r="A5120" t="str">
        <f t="shared" si="1018"/>
        <v>PA_Alleg_2019p~Dem-school director moon area (vote for 5)</v>
      </c>
      <c r="B5120" s="55" t="s">
        <v>1291</v>
      </c>
      <c r="C5120">
        <v>202</v>
      </c>
      <c r="D5120" s="55" t="s">
        <v>211</v>
      </c>
      <c r="E5120" s="55" t="s">
        <v>214</v>
      </c>
      <c r="F5120" t="s">
        <v>12</v>
      </c>
      <c r="G5120" s="62">
        <v>1137</v>
      </c>
      <c r="H5120" s="25">
        <v>19.43</v>
      </c>
      <c r="I5120">
        <v>20909</v>
      </c>
      <c r="J5120">
        <v>3295</v>
      </c>
      <c r="K5120">
        <v>15</v>
      </c>
      <c r="L5120">
        <v>15</v>
      </c>
      <c r="M5120">
        <v>0</v>
      </c>
      <c r="N5120" s="23">
        <v>0</v>
      </c>
      <c r="O5120">
        <f t="shared" si="1011"/>
        <v>4</v>
      </c>
      <c r="P5120" s="57">
        <f t="shared" si="1012"/>
        <v>5</v>
      </c>
      <c r="Q5120" s="267">
        <f t="shared" si="1013"/>
        <v>2326</v>
      </c>
      <c r="R5120" s="23">
        <f t="shared" si="1014"/>
        <v>1135</v>
      </c>
      <c r="S5120" s="23">
        <f t="shared" si="1015"/>
        <v>0</v>
      </c>
      <c r="T5120" s="23" t="str">
        <f t="shared" si="1016"/>
        <v/>
      </c>
      <c r="U5120" t="str">
        <f t="shared" si="1017"/>
        <v/>
      </c>
      <c r="AF5120" s="22"/>
    </row>
    <row r="5121" spans="1:38">
      <c r="A5121" t="str">
        <f t="shared" si="1018"/>
        <v>PA_Alleg_2019p~Dem-school director moon area (vote for 5)</v>
      </c>
      <c r="B5121" s="55" t="s">
        <v>1291</v>
      </c>
      <c r="C5121">
        <v>201</v>
      </c>
      <c r="D5121" s="55" t="s">
        <v>211</v>
      </c>
      <c r="E5121" s="55" t="s">
        <v>213</v>
      </c>
      <c r="F5121" t="s">
        <v>12</v>
      </c>
      <c r="G5121" s="62">
        <v>1135</v>
      </c>
      <c r="H5121" s="25">
        <v>19.399999999999999</v>
      </c>
      <c r="I5121">
        <v>20909</v>
      </c>
      <c r="J5121">
        <v>3295</v>
      </c>
      <c r="K5121">
        <v>15</v>
      </c>
      <c r="L5121">
        <v>15</v>
      </c>
      <c r="M5121">
        <v>0</v>
      </c>
      <c r="N5121" s="23">
        <v>0</v>
      </c>
      <c r="O5121">
        <f t="shared" si="1011"/>
        <v>5</v>
      </c>
      <c r="P5121" s="57">
        <f t="shared" si="1012"/>
        <v>5</v>
      </c>
      <c r="Q5121" s="267">
        <f t="shared" si="1013"/>
        <v>1189</v>
      </c>
      <c r="R5121" s="23">
        <f t="shared" si="1014"/>
        <v>1135</v>
      </c>
      <c r="S5121" s="23">
        <f t="shared" si="1015"/>
        <v>0</v>
      </c>
      <c r="T5121" s="23" t="str">
        <f t="shared" si="1016"/>
        <v/>
      </c>
      <c r="U5121" t="str">
        <f t="shared" si="1017"/>
        <v/>
      </c>
      <c r="AF5121" s="22"/>
    </row>
    <row r="5122" spans="1:38">
      <c r="A5122" t="str">
        <f t="shared" si="1018"/>
        <v>PA_Alleg_2019p~Dem-school director moon area (vote for 5)</v>
      </c>
      <c r="B5122" s="55" t="s">
        <v>1291</v>
      </c>
      <c r="C5122">
        <v>205</v>
      </c>
      <c r="D5122" s="55" t="s">
        <v>211</v>
      </c>
      <c r="E5122" s="55" t="s">
        <v>15</v>
      </c>
      <c r="F5122" t="s">
        <v>12</v>
      </c>
      <c r="G5122" s="62">
        <v>54</v>
      </c>
      <c r="H5122" s="25">
        <v>0.92</v>
      </c>
      <c r="I5122">
        <v>20909</v>
      </c>
      <c r="J5122">
        <v>3295</v>
      </c>
      <c r="K5122">
        <v>15</v>
      </c>
      <c r="L5122">
        <v>15</v>
      </c>
      <c r="M5122">
        <v>0</v>
      </c>
      <c r="N5122" s="23">
        <v>0</v>
      </c>
      <c r="O5122">
        <f t="shared" ref="O5122:O5185" si="1019">IF(OR(LOWER(LEFT(E5122,8))="write-in",LOWER(LEFT(E5122,8))="not qual"),IF(A5122=A5121,-ABS(O5121),0),IF(A5122=A5121,ABS(O5121)+1,1))</f>
        <v>-5</v>
      </c>
      <c r="P5122" s="57">
        <f t="shared" ref="P5122:P5185" si="1020">1*LEFT(RIGHT(A5122,2),1)</f>
        <v>5</v>
      </c>
      <c r="Q5122" s="267">
        <f t="shared" ref="Q5122:Q5185" si="1021">IF(A5122&lt;&gt;A5123,G5122,IF(A5122=A5121,G5122+Q5123,MAX(G5122,(G5122+Q5123)/P5122)))</f>
        <v>54</v>
      </c>
      <c r="R5122" s="23">
        <f t="shared" ref="R5122:R5185" si="1022">IF(O5122&gt;P5122,"",IF(O5122=P5122,G5122,IF(A5122=A5123,R5123,IF(O5122&lt;=0,1,G5122))))</f>
        <v>1</v>
      </c>
      <c r="S5122" s="23">
        <f t="shared" ref="S5122:S5185" si="1023">IF(AND(O5122&gt;P5122,LOWER(LEFT(E5122,8))&lt;&gt;"write-in",LOWER(LEFT(E5122,8))&lt;&gt;"not qual"),G5122,IF(A5122=A5123,S5123,0))</f>
        <v>0</v>
      </c>
      <c r="T5122" s="23" t="str">
        <f t="shared" ref="T5122:T5185" si="1024">IF(OR(A5122=A5121,S5122=0),"",R5122-ABS(S5122))</f>
        <v/>
      </c>
      <c r="U5122" t="str">
        <f t="shared" ref="U5122:U5185" si="1025">IF(A5122=A5121,"",A5122)</f>
        <v/>
      </c>
      <c r="AF5122" s="22"/>
    </row>
    <row r="5123" spans="1:38">
      <c r="A5123" t="str">
        <f t="shared" ref="A5123:A5186" si="1026">CONCATENATE(B5123,"~",F5123,"-",LOWER(D5123))</f>
        <v>PA_Alleg_2019p~Dem-school director mt lebanon (vote for 5)</v>
      </c>
      <c r="B5123" s="55" t="s">
        <v>1291</v>
      </c>
      <c r="C5123">
        <v>206</v>
      </c>
      <c r="D5123" s="55" t="s">
        <v>217</v>
      </c>
      <c r="E5123" s="55" t="s">
        <v>218</v>
      </c>
      <c r="F5123" t="s">
        <v>12</v>
      </c>
      <c r="G5123" s="62">
        <v>2473</v>
      </c>
      <c r="H5123" s="25">
        <v>21.28</v>
      </c>
      <c r="I5123">
        <v>27449</v>
      </c>
      <c r="J5123">
        <v>4261</v>
      </c>
      <c r="K5123">
        <v>38</v>
      </c>
      <c r="L5123">
        <v>38</v>
      </c>
      <c r="M5123">
        <v>0</v>
      </c>
      <c r="N5123" s="23">
        <v>0</v>
      </c>
      <c r="O5123">
        <f t="shared" si="1019"/>
        <v>1</v>
      </c>
      <c r="P5123" s="57">
        <f t="shared" si="1020"/>
        <v>5</v>
      </c>
      <c r="Q5123" s="267">
        <f t="shared" si="1021"/>
        <v>2473</v>
      </c>
      <c r="R5123" s="23">
        <f t="shared" si="1022"/>
        <v>2207</v>
      </c>
      <c r="S5123" s="23">
        <f t="shared" si="1023"/>
        <v>0</v>
      </c>
      <c r="T5123" s="23" t="str">
        <f t="shared" si="1024"/>
        <v/>
      </c>
      <c r="U5123" t="str">
        <f t="shared" si="1025"/>
        <v>PA_Alleg_2019p~Dem-school director mt lebanon (vote for 5)</v>
      </c>
      <c r="AF5123" s="300"/>
    </row>
    <row r="5124" spans="1:38">
      <c r="A5124" t="str">
        <f t="shared" si="1026"/>
        <v>PA_Alleg_2019p~Dem-school director mt lebanon (vote for 5)</v>
      </c>
      <c r="B5124" s="55" t="s">
        <v>1291</v>
      </c>
      <c r="C5124">
        <v>207</v>
      </c>
      <c r="D5124" s="55" t="s">
        <v>217</v>
      </c>
      <c r="E5124" s="55" t="s">
        <v>219</v>
      </c>
      <c r="F5124" t="s">
        <v>12</v>
      </c>
      <c r="G5124" s="62">
        <v>2438</v>
      </c>
      <c r="H5124" s="25">
        <v>20.98</v>
      </c>
      <c r="I5124">
        <v>27449</v>
      </c>
      <c r="J5124">
        <v>4261</v>
      </c>
      <c r="K5124">
        <v>38</v>
      </c>
      <c r="L5124">
        <v>38</v>
      </c>
      <c r="M5124">
        <v>0</v>
      </c>
      <c r="N5124" s="23">
        <v>0</v>
      </c>
      <c r="O5124">
        <f t="shared" si="1019"/>
        <v>2</v>
      </c>
      <c r="P5124" s="57">
        <f t="shared" si="1020"/>
        <v>5</v>
      </c>
      <c r="Q5124" s="267">
        <f t="shared" si="1021"/>
        <v>9147</v>
      </c>
      <c r="R5124" s="23">
        <f t="shared" si="1022"/>
        <v>2207</v>
      </c>
      <c r="S5124" s="23">
        <f t="shared" si="1023"/>
        <v>0</v>
      </c>
      <c r="T5124" s="23" t="str">
        <f t="shared" si="1024"/>
        <v/>
      </c>
      <c r="U5124" t="str">
        <f t="shared" si="1025"/>
        <v/>
      </c>
      <c r="AF5124" s="22"/>
      <c r="AH5124" s="8"/>
      <c r="AL5124" s="23"/>
    </row>
    <row r="5125" spans="1:38">
      <c r="A5125" t="str">
        <f t="shared" si="1026"/>
        <v>PA_Alleg_2019p~Dem-school director mt lebanon (vote for 5)</v>
      </c>
      <c r="B5125" s="55" t="s">
        <v>1291</v>
      </c>
      <c r="C5125">
        <v>208</v>
      </c>
      <c r="D5125" s="55" t="s">
        <v>217</v>
      </c>
      <c r="E5125" s="55" t="s">
        <v>220</v>
      </c>
      <c r="F5125" t="s">
        <v>12</v>
      </c>
      <c r="G5125" s="62">
        <v>2239</v>
      </c>
      <c r="H5125" s="25">
        <v>19.27</v>
      </c>
      <c r="I5125">
        <v>27449</v>
      </c>
      <c r="J5125">
        <v>4261</v>
      </c>
      <c r="K5125">
        <v>38</v>
      </c>
      <c r="L5125">
        <v>38</v>
      </c>
      <c r="M5125">
        <v>0</v>
      </c>
      <c r="N5125" s="23">
        <v>0</v>
      </c>
      <c r="O5125">
        <f t="shared" si="1019"/>
        <v>3</v>
      </c>
      <c r="P5125" s="57">
        <f t="shared" si="1020"/>
        <v>5</v>
      </c>
      <c r="Q5125" s="267">
        <f t="shared" si="1021"/>
        <v>6709</v>
      </c>
      <c r="R5125" s="23">
        <f t="shared" si="1022"/>
        <v>2207</v>
      </c>
      <c r="S5125" s="23">
        <f t="shared" si="1023"/>
        <v>0</v>
      </c>
      <c r="T5125" s="23" t="str">
        <f t="shared" si="1024"/>
        <v/>
      </c>
      <c r="U5125" t="str">
        <f t="shared" si="1025"/>
        <v/>
      </c>
      <c r="AF5125" s="22"/>
      <c r="AH5125" s="8"/>
      <c r="AL5125" s="23"/>
    </row>
    <row r="5126" spans="1:38">
      <c r="A5126" t="str">
        <f t="shared" si="1026"/>
        <v>PA_Alleg_2019p~Dem-school director mt lebanon (vote for 5)</v>
      </c>
      <c r="B5126" s="55" t="s">
        <v>1291</v>
      </c>
      <c r="C5126">
        <v>210</v>
      </c>
      <c r="D5126" s="55" t="s">
        <v>217</v>
      </c>
      <c r="E5126" s="55" t="s">
        <v>222</v>
      </c>
      <c r="F5126" t="s">
        <v>12</v>
      </c>
      <c r="G5126" s="62">
        <v>2213</v>
      </c>
      <c r="H5126" s="25">
        <v>19.04</v>
      </c>
      <c r="I5126">
        <v>27449</v>
      </c>
      <c r="J5126">
        <v>4261</v>
      </c>
      <c r="K5126">
        <v>38</v>
      </c>
      <c r="L5126">
        <v>38</v>
      </c>
      <c r="M5126">
        <v>0</v>
      </c>
      <c r="N5126" s="23">
        <v>0</v>
      </c>
      <c r="O5126">
        <f t="shared" si="1019"/>
        <v>4</v>
      </c>
      <c r="P5126" s="57">
        <f t="shared" si="1020"/>
        <v>5</v>
      </c>
      <c r="Q5126" s="267">
        <f t="shared" si="1021"/>
        <v>4470</v>
      </c>
      <c r="R5126" s="23">
        <f t="shared" si="1022"/>
        <v>2207</v>
      </c>
      <c r="S5126" s="23">
        <f t="shared" si="1023"/>
        <v>0</v>
      </c>
      <c r="T5126" s="23" t="str">
        <f t="shared" si="1024"/>
        <v/>
      </c>
      <c r="U5126" t="str">
        <f t="shared" si="1025"/>
        <v/>
      </c>
      <c r="AF5126" s="22"/>
      <c r="AH5126" s="8"/>
      <c r="AL5126" s="23"/>
    </row>
    <row r="5127" spans="1:38">
      <c r="A5127" t="str">
        <f t="shared" si="1026"/>
        <v>PA_Alleg_2019p~Dem-school director mt lebanon (vote for 5)</v>
      </c>
      <c r="B5127" s="55" t="s">
        <v>1291</v>
      </c>
      <c r="C5127">
        <v>209</v>
      </c>
      <c r="D5127" s="55" t="s">
        <v>217</v>
      </c>
      <c r="E5127" s="55" t="s">
        <v>221</v>
      </c>
      <c r="F5127" t="s">
        <v>12</v>
      </c>
      <c r="G5127" s="62">
        <v>2207</v>
      </c>
      <c r="H5127" s="25">
        <v>18.989999999999998</v>
      </c>
      <c r="I5127">
        <v>27449</v>
      </c>
      <c r="J5127">
        <v>4261</v>
      </c>
      <c r="K5127">
        <v>38</v>
      </c>
      <c r="L5127">
        <v>38</v>
      </c>
      <c r="M5127">
        <v>0</v>
      </c>
      <c r="N5127" s="23">
        <v>0</v>
      </c>
      <c r="O5127">
        <f t="shared" si="1019"/>
        <v>5</v>
      </c>
      <c r="P5127" s="57">
        <f t="shared" si="1020"/>
        <v>5</v>
      </c>
      <c r="Q5127" s="267">
        <f t="shared" si="1021"/>
        <v>2257</v>
      </c>
      <c r="R5127" s="23">
        <f t="shared" si="1022"/>
        <v>2207</v>
      </c>
      <c r="S5127" s="23">
        <f t="shared" si="1023"/>
        <v>0</v>
      </c>
      <c r="T5127" s="23" t="str">
        <f t="shared" si="1024"/>
        <v/>
      </c>
      <c r="U5127" t="str">
        <f t="shared" si="1025"/>
        <v/>
      </c>
      <c r="AF5127" s="22"/>
    </row>
    <row r="5128" spans="1:38">
      <c r="A5128" t="str">
        <f t="shared" si="1026"/>
        <v>PA_Alleg_2019p~Dem-school director mt lebanon (vote for 5)</v>
      </c>
      <c r="B5128" s="55" t="s">
        <v>1291</v>
      </c>
      <c r="C5128">
        <v>211</v>
      </c>
      <c r="D5128" s="55" t="s">
        <v>217</v>
      </c>
      <c r="E5128" s="55" t="s">
        <v>15</v>
      </c>
      <c r="F5128" t="s">
        <v>12</v>
      </c>
      <c r="G5128" s="62">
        <v>50</v>
      </c>
      <c r="H5128" s="25">
        <v>0.43</v>
      </c>
      <c r="I5128">
        <v>27449</v>
      </c>
      <c r="J5128">
        <v>4261</v>
      </c>
      <c r="K5128">
        <v>38</v>
      </c>
      <c r="L5128">
        <v>38</v>
      </c>
      <c r="M5128">
        <v>0</v>
      </c>
      <c r="N5128" s="23">
        <v>0</v>
      </c>
      <c r="O5128">
        <f t="shared" si="1019"/>
        <v>-5</v>
      </c>
      <c r="P5128" s="57">
        <f t="shared" si="1020"/>
        <v>5</v>
      </c>
      <c r="Q5128" s="267">
        <f t="shared" si="1021"/>
        <v>50</v>
      </c>
      <c r="R5128" s="23">
        <f t="shared" si="1022"/>
        <v>1</v>
      </c>
      <c r="S5128" s="23">
        <f t="shared" si="1023"/>
        <v>0</v>
      </c>
      <c r="T5128" s="23" t="str">
        <f t="shared" si="1024"/>
        <v/>
      </c>
      <c r="U5128" t="str">
        <f t="shared" si="1025"/>
        <v/>
      </c>
      <c r="AF5128" s="22"/>
    </row>
    <row r="5129" spans="1:38">
      <c r="A5129" t="str">
        <f t="shared" si="1026"/>
        <v>PA_Alleg_2019p~Dem-school director north allegheny (vote for 5)</v>
      </c>
      <c r="B5129" s="55" t="s">
        <v>1291</v>
      </c>
      <c r="C5129">
        <v>215</v>
      </c>
      <c r="D5129" s="55" t="s">
        <v>223</v>
      </c>
      <c r="E5129" s="55" t="s">
        <v>227</v>
      </c>
      <c r="F5129" t="s">
        <v>12</v>
      </c>
      <c r="G5129" s="62">
        <v>2493</v>
      </c>
      <c r="H5129" s="25">
        <v>22.39</v>
      </c>
      <c r="I5129">
        <v>41514</v>
      </c>
      <c r="J5129">
        <v>6539</v>
      </c>
      <c r="K5129">
        <v>37</v>
      </c>
      <c r="L5129">
        <v>37</v>
      </c>
      <c r="M5129">
        <v>0</v>
      </c>
      <c r="N5129" s="23">
        <v>0</v>
      </c>
      <c r="O5129">
        <f t="shared" si="1019"/>
        <v>1</v>
      </c>
      <c r="P5129" s="57">
        <f t="shared" si="1020"/>
        <v>5</v>
      </c>
      <c r="Q5129" s="267">
        <f t="shared" si="1021"/>
        <v>2493</v>
      </c>
      <c r="R5129" s="23">
        <f t="shared" si="1022"/>
        <v>979</v>
      </c>
      <c r="S5129" s="23">
        <f t="shared" si="1023"/>
        <v>919</v>
      </c>
      <c r="T5129" s="23">
        <f t="shared" si="1024"/>
        <v>60</v>
      </c>
      <c r="U5129" t="str">
        <f t="shared" si="1025"/>
        <v>PA_Alleg_2019p~Dem-school director north allegheny (vote for 5)</v>
      </c>
      <c r="AF5129" s="22"/>
    </row>
    <row r="5130" spans="1:38">
      <c r="A5130" t="str">
        <f t="shared" si="1026"/>
        <v>PA_Alleg_2019p~Dem-school director north allegheny (vote for 5)</v>
      </c>
      <c r="B5130" s="55" t="s">
        <v>1291</v>
      </c>
      <c r="C5130">
        <v>217</v>
      </c>
      <c r="D5130" s="55" t="s">
        <v>223</v>
      </c>
      <c r="E5130" s="55" t="s">
        <v>229</v>
      </c>
      <c r="F5130" t="s">
        <v>12</v>
      </c>
      <c r="G5130" s="62">
        <v>2160</v>
      </c>
      <c r="H5130" s="25">
        <v>19.399999999999999</v>
      </c>
      <c r="I5130">
        <v>41514</v>
      </c>
      <c r="J5130">
        <v>6539</v>
      </c>
      <c r="K5130">
        <v>37</v>
      </c>
      <c r="L5130">
        <v>37</v>
      </c>
      <c r="M5130">
        <v>0</v>
      </c>
      <c r="N5130" s="23">
        <v>0</v>
      </c>
      <c r="O5130">
        <f t="shared" si="1019"/>
        <v>2</v>
      </c>
      <c r="P5130" s="57">
        <f t="shared" si="1020"/>
        <v>5</v>
      </c>
      <c r="Q5130" s="267">
        <f t="shared" si="1021"/>
        <v>8639</v>
      </c>
      <c r="R5130" s="23">
        <f t="shared" si="1022"/>
        <v>979</v>
      </c>
      <c r="S5130" s="23">
        <f t="shared" si="1023"/>
        <v>919</v>
      </c>
      <c r="T5130" s="23" t="str">
        <f t="shared" si="1024"/>
        <v/>
      </c>
      <c r="U5130" t="str">
        <f t="shared" si="1025"/>
        <v/>
      </c>
      <c r="AF5130" s="22"/>
    </row>
    <row r="5131" spans="1:38">
      <c r="A5131" t="str">
        <f t="shared" si="1026"/>
        <v>PA_Alleg_2019p~Dem-school director north allegheny (vote for 5)</v>
      </c>
      <c r="B5131" s="55" t="s">
        <v>1291</v>
      </c>
      <c r="C5131">
        <v>216</v>
      </c>
      <c r="D5131" s="55" t="s">
        <v>223</v>
      </c>
      <c r="E5131" s="55" t="s">
        <v>228</v>
      </c>
      <c r="F5131" t="s">
        <v>12</v>
      </c>
      <c r="G5131" s="62">
        <v>2013</v>
      </c>
      <c r="H5131" s="25">
        <v>18.079999999999998</v>
      </c>
      <c r="I5131">
        <v>41514</v>
      </c>
      <c r="J5131">
        <v>6539</v>
      </c>
      <c r="K5131">
        <v>37</v>
      </c>
      <c r="L5131">
        <v>37</v>
      </c>
      <c r="M5131">
        <v>0</v>
      </c>
      <c r="N5131" s="23">
        <v>0</v>
      </c>
      <c r="O5131">
        <f t="shared" si="1019"/>
        <v>3</v>
      </c>
      <c r="P5131" s="57">
        <f t="shared" si="1020"/>
        <v>5</v>
      </c>
      <c r="Q5131" s="267">
        <f t="shared" si="1021"/>
        <v>6479</v>
      </c>
      <c r="R5131" s="23">
        <f t="shared" si="1022"/>
        <v>979</v>
      </c>
      <c r="S5131" s="23">
        <f t="shared" si="1023"/>
        <v>919</v>
      </c>
      <c r="T5131" s="23" t="str">
        <f t="shared" si="1024"/>
        <v/>
      </c>
      <c r="U5131" t="str">
        <f t="shared" si="1025"/>
        <v/>
      </c>
      <c r="AF5131" s="22"/>
    </row>
    <row r="5132" spans="1:38">
      <c r="A5132" t="str">
        <f t="shared" si="1026"/>
        <v>PA_Alleg_2019p~Dem-school director north allegheny (vote for 5)</v>
      </c>
      <c r="B5132" s="55" t="s">
        <v>1291</v>
      </c>
      <c r="C5132">
        <v>218</v>
      </c>
      <c r="D5132" s="55" t="s">
        <v>223</v>
      </c>
      <c r="E5132" s="55" t="s">
        <v>230</v>
      </c>
      <c r="F5132" t="s">
        <v>12</v>
      </c>
      <c r="G5132" s="62">
        <v>1014</v>
      </c>
      <c r="H5132" s="25">
        <v>9.11</v>
      </c>
      <c r="I5132">
        <v>41514</v>
      </c>
      <c r="J5132">
        <v>6539</v>
      </c>
      <c r="K5132">
        <v>37</v>
      </c>
      <c r="L5132">
        <v>37</v>
      </c>
      <c r="M5132">
        <v>0</v>
      </c>
      <c r="N5132" s="23">
        <v>0</v>
      </c>
      <c r="O5132">
        <f t="shared" si="1019"/>
        <v>4</v>
      </c>
      <c r="P5132" s="57">
        <f t="shared" si="1020"/>
        <v>5</v>
      </c>
      <c r="Q5132" s="267">
        <f t="shared" si="1021"/>
        <v>4466</v>
      </c>
      <c r="R5132" s="23">
        <f t="shared" si="1022"/>
        <v>979</v>
      </c>
      <c r="S5132" s="23">
        <f t="shared" si="1023"/>
        <v>919</v>
      </c>
      <c r="T5132" s="23" t="str">
        <f t="shared" si="1024"/>
        <v/>
      </c>
      <c r="U5132" t="str">
        <f t="shared" si="1025"/>
        <v/>
      </c>
      <c r="AF5132" s="22"/>
    </row>
    <row r="5133" spans="1:38">
      <c r="A5133" t="str">
        <f t="shared" si="1026"/>
        <v>PA_Alleg_2019p~Dem-school director north allegheny (vote for 5)</v>
      </c>
      <c r="B5133" s="55" t="s">
        <v>1291</v>
      </c>
      <c r="C5133">
        <v>212</v>
      </c>
      <c r="D5133" s="55" t="s">
        <v>223</v>
      </c>
      <c r="E5133" s="55" t="s">
        <v>224</v>
      </c>
      <c r="F5133" t="s">
        <v>12</v>
      </c>
      <c r="G5133" s="62">
        <v>979</v>
      </c>
      <c r="H5133" s="25">
        <v>8.7899999999999991</v>
      </c>
      <c r="I5133">
        <v>41514</v>
      </c>
      <c r="J5133">
        <v>6539</v>
      </c>
      <c r="K5133">
        <v>37</v>
      </c>
      <c r="L5133">
        <v>37</v>
      </c>
      <c r="M5133">
        <v>0</v>
      </c>
      <c r="N5133" s="23">
        <v>0</v>
      </c>
      <c r="O5133">
        <f t="shared" si="1019"/>
        <v>5</v>
      </c>
      <c r="P5133" s="57">
        <f t="shared" si="1020"/>
        <v>5</v>
      </c>
      <c r="Q5133" s="267">
        <f t="shared" si="1021"/>
        <v>3452</v>
      </c>
      <c r="R5133" s="23">
        <f t="shared" si="1022"/>
        <v>979</v>
      </c>
      <c r="S5133" s="23">
        <f t="shared" si="1023"/>
        <v>919</v>
      </c>
      <c r="T5133" s="23" t="str">
        <f t="shared" si="1024"/>
        <v/>
      </c>
      <c r="U5133" t="str">
        <f t="shared" si="1025"/>
        <v/>
      </c>
      <c r="AF5133" s="22"/>
    </row>
    <row r="5134" spans="1:38">
      <c r="A5134" t="str">
        <f t="shared" si="1026"/>
        <v>PA_Alleg_2019p~Dem-school director north allegheny (vote for 5)</v>
      </c>
      <c r="B5134" s="55" t="s">
        <v>1291</v>
      </c>
      <c r="C5134">
        <v>213</v>
      </c>
      <c r="D5134" s="55" t="s">
        <v>223</v>
      </c>
      <c r="E5134" s="55" t="s">
        <v>225</v>
      </c>
      <c r="F5134" t="s">
        <v>12</v>
      </c>
      <c r="G5134" s="62">
        <v>919</v>
      </c>
      <c r="H5134" s="25">
        <v>8.26</v>
      </c>
      <c r="I5134">
        <v>41514</v>
      </c>
      <c r="J5134">
        <v>6539</v>
      </c>
      <c r="K5134">
        <v>37</v>
      </c>
      <c r="L5134">
        <v>37</v>
      </c>
      <c r="M5134">
        <v>0</v>
      </c>
      <c r="N5134" s="23">
        <v>0</v>
      </c>
      <c r="O5134">
        <f t="shared" si="1019"/>
        <v>6</v>
      </c>
      <c r="P5134" s="57">
        <f t="shared" si="1020"/>
        <v>5</v>
      </c>
      <c r="Q5134" s="267">
        <f t="shared" si="1021"/>
        <v>2473</v>
      </c>
      <c r="R5134" s="23" t="str">
        <f t="shared" si="1022"/>
        <v/>
      </c>
      <c r="S5134" s="23">
        <f t="shared" si="1023"/>
        <v>919</v>
      </c>
      <c r="T5134" s="23" t="str">
        <f t="shared" si="1024"/>
        <v/>
      </c>
      <c r="U5134" t="str">
        <f t="shared" si="1025"/>
        <v/>
      </c>
    </row>
    <row r="5135" spans="1:38">
      <c r="A5135" t="str">
        <f t="shared" si="1026"/>
        <v>PA_Alleg_2019p~Dem-school director north allegheny (vote for 5)</v>
      </c>
      <c r="B5135" s="55" t="s">
        <v>1291</v>
      </c>
      <c r="C5135">
        <v>219</v>
      </c>
      <c r="D5135" s="55" t="s">
        <v>223</v>
      </c>
      <c r="E5135" s="55" t="s">
        <v>231</v>
      </c>
      <c r="F5135" t="s">
        <v>12</v>
      </c>
      <c r="G5135" s="62">
        <v>876</v>
      </c>
      <c r="H5135" s="25">
        <v>7.87</v>
      </c>
      <c r="I5135">
        <v>41514</v>
      </c>
      <c r="J5135">
        <v>6539</v>
      </c>
      <c r="K5135">
        <v>37</v>
      </c>
      <c r="L5135">
        <v>37</v>
      </c>
      <c r="M5135">
        <v>0</v>
      </c>
      <c r="N5135" s="23">
        <v>0</v>
      </c>
      <c r="O5135">
        <f t="shared" si="1019"/>
        <v>7</v>
      </c>
      <c r="P5135" s="57">
        <f t="shared" si="1020"/>
        <v>5</v>
      </c>
      <c r="Q5135" s="267">
        <f t="shared" si="1021"/>
        <v>1554</v>
      </c>
      <c r="R5135" s="23" t="str">
        <f t="shared" si="1022"/>
        <v/>
      </c>
      <c r="S5135" s="23">
        <f t="shared" si="1023"/>
        <v>876</v>
      </c>
      <c r="T5135" s="23" t="str">
        <f t="shared" si="1024"/>
        <v/>
      </c>
      <c r="U5135" t="str">
        <f t="shared" si="1025"/>
        <v/>
      </c>
      <c r="AF5135" s="22"/>
    </row>
    <row r="5136" spans="1:38">
      <c r="A5136" t="str">
        <f t="shared" si="1026"/>
        <v>PA_Alleg_2019p~Dem-school director north allegheny (vote for 5)</v>
      </c>
      <c r="B5136" s="55" t="s">
        <v>1291</v>
      </c>
      <c r="C5136">
        <v>214</v>
      </c>
      <c r="D5136" s="55" t="s">
        <v>223</v>
      </c>
      <c r="E5136" s="55" t="s">
        <v>226</v>
      </c>
      <c r="F5136" t="s">
        <v>12</v>
      </c>
      <c r="G5136" s="62">
        <v>628</v>
      </c>
      <c r="H5136" s="25">
        <v>5.64</v>
      </c>
      <c r="I5136">
        <v>41514</v>
      </c>
      <c r="J5136">
        <v>6539</v>
      </c>
      <c r="K5136">
        <v>37</v>
      </c>
      <c r="L5136">
        <v>37</v>
      </c>
      <c r="M5136">
        <v>0</v>
      </c>
      <c r="N5136" s="23">
        <v>0</v>
      </c>
      <c r="O5136">
        <f t="shared" si="1019"/>
        <v>8</v>
      </c>
      <c r="P5136" s="57">
        <f t="shared" si="1020"/>
        <v>5</v>
      </c>
      <c r="Q5136" s="267">
        <f t="shared" si="1021"/>
        <v>678</v>
      </c>
      <c r="R5136" s="23" t="str">
        <f t="shared" si="1022"/>
        <v/>
      </c>
      <c r="S5136" s="23">
        <f t="shared" si="1023"/>
        <v>628</v>
      </c>
      <c r="T5136" s="23" t="str">
        <f t="shared" si="1024"/>
        <v/>
      </c>
      <c r="U5136" t="str">
        <f t="shared" si="1025"/>
        <v/>
      </c>
      <c r="AF5136" s="22"/>
      <c r="AH5136" s="8"/>
      <c r="AL5136" s="23"/>
    </row>
    <row r="5137" spans="1:38">
      <c r="A5137" t="str">
        <f t="shared" si="1026"/>
        <v>PA_Alleg_2019p~Dem-school director north allegheny (vote for 5)</v>
      </c>
      <c r="B5137" s="55" t="s">
        <v>1291</v>
      </c>
      <c r="C5137">
        <v>220</v>
      </c>
      <c r="D5137" s="55" t="s">
        <v>223</v>
      </c>
      <c r="E5137" s="55" t="s">
        <v>15</v>
      </c>
      <c r="F5137" t="s">
        <v>12</v>
      </c>
      <c r="G5137" s="62">
        <v>50</v>
      </c>
      <c r="H5137" s="25">
        <v>0.45</v>
      </c>
      <c r="I5137">
        <v>41514</v>
      </c>
      <c r="J5137">
        <v>6539</v>
      </c>
      <c r="K5137">
        <v>37</v>
      </c>
      <c r="L5137">
        <v>37</v>
      </c>
      <c r="M5137">
        <v>0</v>
      </c>
      <c r="N5137" s="23">
        <v>0</v>
      </c>
      <c r="O5137">
        <f t="shared" si="1019"/>
        <v>-8</v>
      </c>
      <c r="P5137" s="57">
        <f t="shared" si="1020"/>
        <v>5</v>
      </c>
      <c r="Q5137" s="267">
        <f t="shared" si="1021"/>
        <v>50</v>
      </c>
      <c r="R5137" s="23">
        <f t="shared" si="1022"/>
        <v>1</v>
      </c>
      <c r="S5137" s="23">
        <f t="shared" si="1023"/>
        <v>0</v>
      </c>
      <c r="T5137" s="23" t="str">
        <f t="shared" si="1024"/>
        <v/>
      </c>
      <c r="U5137" t="str">
        <f t="shared" si="1025"/>
        <v/>
      </c>
      <c r="X5137" s="43"/>
      <c r="Y5137" s="53"/>
      <c r="Z5137" s="53"/>
      <c r="AA5137"/>
      <c r="AF5137" s="22"/>
      <c r="AH5137" s="8"/>
      <c r="AL5137" s="23"/>
    </row>
    <row r="5138" spans="1:38">
      <c r="A5138" t="str">
        <f t="shared" si="1026"/>
        <v>PA_Alleg_2019p~Dem-school director north hills (vote for 5)</v>
      </c>
      <c r="B5138" s="55" t="s">
        <v>1291</v>
      </c>
      <c r="C5138">
        <v>225</v>
      </c>
      <c r="D5138" s="55" t="s">
        <v>232</v>
      </c>
      <c r="E5138" s="55" t="s">
        <v>237</v>
      </c>
      <c r="F5138" t="s">
        <v>12</v>
      </c>
      <c r="G5138" s="62">
        <v>2184</v>
      </c>
      <c r="H5138" s="25">
        <v>17.440000000000001</v>
      </c>
      <c r="I5138">
        <v>29475</v>
      </c>
      <c r="J5138">
        <v>5219</v>
      </c>
      <c r="K5138">
        <v>40</v>
      </c>
      <c r="L5138">
        <v>40</v>
      </c>
      <c r="M5138">
        <v>0</v>
      </c>
      <c r="N5138" s="23">
        <v>0</v>
      </c>
      <c r="O5138">
        <f t="shared" si="1019"/>
        <v>1</v>
      </c>
      <c r="P5138" s="57">
        <f t="shared" si="1020"/>
        <v>5</v>
      </c>
      <c r="Q5138" s="267">
        <f t="shared" si="1021"/>
        <v>2504.8000000000002</v>
      </c>
      <c r="R5138" s="23">
        <f t="shared" si="1022"/>
        <v>1444</v>
      </c>
      <c r="S5138" s="23">
        <f t="shared" si="1023"/>
        <v>1142</v>
      </c>
      <c r="T5138" s="23">
        <f t="shared" si="1024"/>
        <v>302</v>
      </c>
      <c r="U5138" t="str">
        <f t="shared" si="1025"/>
        <v>PA_Alleg_2019p~Dem-school director north hills (vote for 5)</v>
      </c>
      <c r="X5138" s="43"/>
      <c r="Y5138" s="53"/>
      <c r="Z5138" s="53"/>
      <c r="AA5138"/>
      <c r="AF5138" s="22"/>
      <c r="AH5138" s="8"/>
      <c r="AL5138" s="23"/>
    </row>
    <row r="5139" spans="1:38">
      <c r="A5139" t="str">
        <f t="shared" si="1026"/>
        <v>PA_Alleg_2019p~Dem-school director north hills (vote for 5)</v>
      </c>
      <c r="B5139" s="55" t="s">
        <v>1291</v>
      </c>
      <c r="C5139">
        <v>227</v>
      </c>
      <c r="D5139" s="55" t="s">
        <v>232</v>
      </c>
      <c r="E5139" s="55" t="s">
        <v>239</v>
      </c>
      <c r="F5139" t="s">
        <v>12</v>
      </c>
      <c r="G5139" s="62">
        <v>1768</v>
      </c>
      <c r="H5139" s="25">
        <v>14.12</v>
      </c>
      <c r="I5139">
        <v>29475</v>
      </c>
      <c r="J5139">
        <v>5219</v>
      </c>
      <c r="K5139">
        <v>40</v>
      </c>
      <c r="L5139">
        <v>40</v>
      </c>
      <c r="M5139">
        <v>0</v>
      </c>
      <c r="N5139" s="23">
        <v>0</v>
      </c>
      <c r="O5139">
        <f t="shared" si="1019"/>
        <v>2</v>
      </c>
      <c r="P5139" s="57">
        <f t="shared" si="1020"/>
        <v>5</v>
      </c>
      <c r="Q5139" s="267">
        <f t="shared" si="1021"/>
        <v>10340</v>
      </c>
      <c r="R5139" s="23">
        <f t="shared" si="1022"/>
        <v>1444</v>
      </c>
      <c r="S5139" s="23">
        <f t="shared" si="1023"/>
        <v>1142</v>
      </c>
      <c r="T5139" s="23" t="str">
        <f t="shared" si="1024"/>
        <v/>
      </c>
      <c r="U5139" t="str">
        <f t="shared" si="1025"/>
        <v/>
      </c>
      <c r="X5139" s="43"/>
      <c r="Y5139" s="53"/>
      <c r="Z5139" s="53"/>
      <c r="AA5139"/>
      <c r="AF5139" s="22"/>
      <c r="AH5139" s="8"/>
      <c r="AL5139" s="23"/>
    </row>
    <row r="5140" spans="1:38">
      <c r="A5140" t="str">
        <f t="shared" si="1026"/>
        <v>PA_Alleg_2019p~Dem-school director north hills (vote for 5)</v>
      </c>
      <c r="B5140" s="55" t="s">
        <v>1291</v>
      </c>
      <c r="C5140">
        <v>224</v>
      </c>
      <c r="D5140" s="55" t="s">
        <v>232</v>
      </c>
      <c r="E5140" s="55" t="s">
        <v>236</v>
      </c>
      <c r="F5140" t="s">
        <v>12</v>
      </c>
      <c r="G5140" s="62">
        <v>1739</v>
      </c>
      <c r="H5140" s="25">
        <v>13.89</v>
      </c>
      <c r="I5140">
        <v>29475</v>
      </c>
      <c r="J5140">
        <v>5219</v>
      </c>
      <c r="K5140">
        <v>40</v>
      </c>
      <c r="L5140">
        <v>40</v>
      </c>
      <c r="M5140">
        <v>0</v>
      </c>
      <c r="N5140" s="23">
        <v>0</v>
      </c>
      <c r="O5140">
        <f t="shared" si="1019"/>
        <v>3</v>
      </c>
      <c r="P5140" s="57">
        <f t="shared" si="1020"/>
        <v>5</v>
      </c>
      <c r="Q5140" s="267">
        <f t="shared" si="1021"/>
        <v>8572</v>
      </c>
      <c r="R5140" s="23">
        <f t="shared" si="1022"/>
        <v>1444</v>
      </c>
      <c r="S5140" s="23">
        <f t="shared" si="1023"/>
        <v>1142</v>
      </c>
      <c r="T5140" s="23" t="str">
        <f t="shared" si="1024"/>
        <v/>
      </c>
      <c r="U5140" t="str">
        <f t="shared" si="1025"/>
        <v/>
      </c>
      <c r="X5140" s="43"/>
      <c r="Y5140" s="53"/>
      <c r="Z5140" s="53"/>
      <c r="AA5140"/>
      <c r="AB5140" s="23"/>
      <c r="AF5140" s="22"/>
      <c r="AH5140" s="8"/>
      <c r="AL5140" s="23"/>
    </row>
    <row r="5141" spans="1:38">
      <c r="A5141" t="str">
        <f t="shared" si="1026"/>
        <v>PA_Alleg_2019p~Dem-school director north hills (vote for 5)</v>
      </c>
      <c r="B5141" s="55" t="s">
        <v>1291</v>
      </c>
      <c r="C5141">
        <v>222</v>
      </c>
      <c r="D5141" s="55" t="s">
        <v>232</v>
      </c>
      <c r="E5141" s="55" t="s">
        <v>234</v>
      </c>
      <c r="F5141" t="s">
        <v>12</v>
      </c>
      <c r="G5141" s="62">
        <v>1481</v>
      </c>
      <c r="H5141" s="25">
        <v>11.83</v>
      </c>
      <c r="I5141">
        <v>29475</v>
      </c>
      <c r="J5141">
        <v>5219</v>
      </c>
      <c r="K5141">
        <v>40</v>
      </c>
      <c r="L5141">
        <v>40</v>
      </c>
      <c r="M5141">
        <v>0</v>
      </c>
      <c r="N5141" s="23">
        <v>0</v>
      </c>
      <c r="O5141">
        <f t="shared" si="1019"/>
        <v>4</v>
      </c>
      <c r="P5141" s="57">
        <f t="shared" si="1020"/>
        <v>5</v>
      </c>
      <c r="Q5141" s="267">
        <f t="shared" si="1021"/>
        <v>6833</v>
      </c>
      <c r="R5141" s="23">
        <f t="shared" si="1022"/>
        <v>1444</v>
      </c>
      <c r="S5141" s="23">
        <f t="shared" si="1023"/>
        <v>1142</v>
      </c>
      <c r="T5141" s="23" t="str">
        <f t="shared" si="1024"/>
        <v/>
      </c>
      <c r="U5141" t="str">
        <f t="shared" si="1025"/>
        <v/>
      </c>
      <c r="X5141" s="43"/>
      <c r="Y5141" s="53"/>
      <c r="Z5141" s="53"/>
      <c r="AA5141"/>
      <c r="AB5141" s="23"/>
      <c r="AF5141" s="22"/>
    </row>
    <row r="5142" spans="1:38">
      <c r="A5142" t="str">
        <f t="shared" si="1026"/>
        <v>PA_Alleg_2019p~Dem-school director north hills (vote for 5)</v>
      </c>
      <c r="B5142" s="55" t="s">
        <v>1291</v>
      </c>
      <c r="C5142">
        <v>221</v>
      </c>
      <c r="D5142" s="55" t="s">
        <v>232</v>
      </c>
      <c r="E5142" s="55" t="s">
        <v>233</v>
      </c>
      <c r="F5142" t="s">
        <v>12</v>
      </c>
      <c r="G5142" s="62">
        <v>1444</v>
      </c>
      <c r="H5142" s="25">
        <v>11.53</v>
      </c>
      <c r="I5142">
        <v>29475</v>
      </c>
      <c r="J5142">
        <v>5219</v>
      </c>
      <c r="K5142">
        <v>40</v>
      </c>
      <c r="L5142">
        <v>40</v>
      </c>
      <c r="M5142">
        <v>0</v>
      </c>
      <c r="N5142" s="23">
        <v>0</v>
      </c>
      <c r="O5142">
        <f t="shared" si="1019"/>
        <v>5</v>
      </c>
      <c r="P5142" s="57">
        <f t="shared" si="1020"/>
        <v>5</v>
      </c>
      <c r="Q5142" s="267">
        <f t="shared" si="1021"/>
        <v>5352</v>
      </c>
      <c r="R5142" s="23">
        <f t="shared" si="1022"/>
        <v>1444</v>
      </c>
      <c r="S5142" s="23">
        <f t="shared" si="1023"/>
        <v>1142</v>
      </c>
      <c r="T5142" s="23" t="str">
        <f t="shared" si="1024"/>
        <v/>
      </c>
      <c r="U5142" t="str">
        <f t="shared" si="1025"/>
        <v/>
      </c>
      <c r="X5142" s="43"/>
      <c r="Y5142" s="53"/>
      <c r="Z5142" s="53"/>
      <c r="AA5142"/>
      <c r="AB5142" s="23"/>
      <c r="AF5142" s="22"/>
    </row>
    <row r="5143" spans="1:38">
      <c r="A5143" t="str">
        <f t="shared" si="1026"/>
        <v>PA_Alleg_2019p~Dem-school director north hills (vote for 5)</v>
      </c>
      <c r="B5143" s="55" t="s">
        <v>1291</v>
      </c>
      <c r="C5143">
        <v>228</v>
      </c>
      <c r="D5143" s="55" t="s">
        <v>232</v>
      </c>
      <c r="E5143" s="55" t="s">
        <v>240</v>
      </c>
      <c r="F5143" t="s">
        <v>12</v>
      </c>
      <c r="G5143" s="62">
        <v>1142</v>
      </c>
      <c r="H5143" s="25">
        <v>9.1199999999999992</v>
      </c>
      <c r="I5143">
        <v>29475</v>
      </c>
      <c r="J5143">
        <v>5219</v>
      </c>
      <c r="K5143">
        <v>40</v>
      </c>
      <c r="L5143">
        <v>40</v>
      </c>
      <c r="M5143">
        <v>0</v>
      </c>
      <c r="N5143" s="23">
        <v>0</v>
      </c>
      <c r="O5143">
        <f t="shared" si="1019"/>
        <v>6</v>
      </c>
      <c r="P5143" s="57">
        <f t="shared" si="1020"/>
        <v>5</v>
      </c>
      <c r="Q5143" s="267">
        <f t="shared" si="1021"/>
        <v>3908</v>
      </c>
      <c r="R5143" s="23" t="str">
        <f t="shared" si="1022"/>
        <v/>
      </c>
      <c r="S5143" s="23">
        <f t="shared" si="1023"/>
        <v>1142</v>
      </c>
      <c r="T5143" s="23" t="str">
        <f t="shared" si="1024"/>
        <v/>
      </c>
      <c r="U5143" t="str">
        <f t="shared" si="1025"/>
        <v/>
      </c>
      <c r="X5143" s="43"/>
      <c r="Y5143" s="53"/>
      <c r="Z5143" s="53"/>
      <c r="AA5143"/>
      <c r="AB5143" s="23"/>
      <c r="AF5143" s="22"/>
    </row>
    <row r="5144" spans="1:38">
      <c r="A5144" t="str">
        <f t="shared" si="1026"/>
        <v>PA_Alleg_2019p~Dem-school director north hills (vote for 5)</v>
      </c>
      <c r="B5144" s="55" t="s">
        <v>1291</v>
      </c>
      <c r="C5144">
        <v>223</v>
      </c>
      <c r="D5144" s="55" t="s">
        <v>232</v>
      </c>
      <c r="E5144" s="55" t="s">
        <v>235</v>
      </c>
      <c r="F5144" t="s">
        <v>12</v>
      </c>
      <c r="G5144" s="62">
        <v>1043</v>
      </c>
      <c r="H5144" s="25">
        <v>8.33</v>
      </c>
      <c r="I5144">
        <v>29475</v>
      </c>
      <c r="J5144">
        <v>5219</v>
      </c>
      <c r="K5144">
        <v>40</v>
      </c>
      <c r="L5144">
        <v>40</v>
      </c>
      <c r="M5144">
        <v>0</v>
      </c>
      <c r="N5144" s="23">
        <v>0</v>
      </c>
      <c r="O5144">
        <f t="shared" si="1019"/>
        <v>7</v>
      </c>
      <c r="P5144" s="57">
        <f t="shared" si="1020"/>
        <v>5</v>
      </c>
      <c r="Q5144" s="267">
        <f t="shared" si="1021"/>
        <v>2766</v>
      </c>
      <c r="R5144" s="23" t="str">
        <f t="shared" si="1022"/>
        <v/>
      </c>
      <c r="S5144" s="23">
        <f t="shared" si="1023"/>
        <v>1043</v>
      </c>
      <c r="T5144" s="23" t="str">
        <f t="shared" si="1024"/>
        <v/>
      </c>
      <c r="U5144" t="str">
        <f t="shared" si="1025"/>
        <v/>
      </c>
      <c r="X5144" s="43"/>
      <c r="Y5144" s="53"/>
      <c r="Z5144" s="53"/>
      <c r="AA5144"/>
      <c r="AB5144" s="23"/>
      <c r="AF5144" s="22"/>
    </row>
    <row r="5145" spans="1:38">
      <c r="A5145" t="str">
        <f t="shared" si="1026"/>
        <v>PA_Alleg_2019p~Dem-school director north hills (vote for 5)</v>
      </c>
      <c r="B5145" s="55" t="s">
        <v>1291</v>
      </c>
      <c r="C5145">
        <v>226</v>
      </c>
      <c r="D5145" s="55" t="s">
        <v>232</v>
      </c>
      <c r="E5145" s="55" t="s">
        <v>238</v>
      </c>
      <c r="F5145" t="s">
        <v>12</v>
      </c>
      <c r="G5145" s="62">
        <v>873</v>
      </c>
      <c r="H5145" s="25">
        <v>6.97</v>
      </c>
      <c r="I5145">
        <v>29475</v>
      </c>
      <c r="J5145">
        <v>5219</v>
      </c>
      <c r="K5145">
        <v>40</v>
      </c>
      <c r="L5145">
        <v>40</v>
      </c>
      <c r="M5145">
        <v>0</v>
      </c>
      <c r="N5145" s="23">
        <v>0</v>
      </c>
      <c r="O5145">
        <f t="shared" si="1019"/>
        <v>8</v>
      </c>
      <c r="P5145" s="57">
        <f t="shared" si="1020"/>
        <v>5</v>
      </c>
      <c r="Q5145" s="267">
        <f t="shared" si="1021"/>
        <v>1723</v>
      </c>
      <c r="R5145" s="23" t="str">
        <f t="shared" si="1022"/>
        <v/>
      </c>
      <c r="S5145" s="23">
        <f t="shared" si="1023"/>
        <v>873</v>
      </c>
      <c r="T5145" s="23" t="str">
        <f t="shared" si="1024"/>
        <v/>
      </c>
      <c r="U5145" t="str">
        <f t="shared" si="1025"/>
        <v/>
      </c>
      <c r="X5145" s="43"/>
      <c r="Y5145" s="53"/>
      <c r="Z5145" s="53"/>
      <c r="AA5145"/>
      <c r="AB5145" s="23"/>
      <c r="AF5145" s="22"/>
      <c r="AH5145" s="8"/>
      <c r="AL5145" s="23"/>
    </row>
    <row r="5146" spans="1:38">
      <c r="A5146" t="str">
        <f t="shared" si="1026"/>
        <v>PA_Alleg_2019p~Dem-school director north hills (vote for 5)</v>
      </c>
      <c r="B5146" s="55" t="s">
        <v>1291</v>
      </c>
      <c r="C5146">
        <v>229</v>
      </c>
      <c r="D5146" s="55" t="s">
        <v>232</v>
      </c>
      <c r="E5146" s="55" t="s">
        <v>241</v>
      </c>
      <c r="F5146" t="s">
        <v>12</v>
      </c>
      <c r="G5146" s="62">
        <v>798</v>
      </c>
      <c r="H5146" s="25">
        <v>6.37</v>
      </c>
      <c r="I5146">
        <v>29475</v>
      </c>
      <c r="J5146">
        <v>5219</v>
      </c>
      <c r="K5146">
        <v>40</v>
      </c>
      <c r="L5146">
        <v>40</v>
      </c>
      <c r="M5146">
        <v>0</v>
      </c>
      <c r="N5146" s="23">
        <v>0</v>
      </c>
      <c r="O5146">
        <f t="shared" si="1019"/>
        <v>9</v>
      </c>
      <c r="P5146" s="57">
        <f t="shared" si="1020"/>
        <v>5</v>
      </c>
      <c r="Q5146" s="267">
        <f t="shared" si="1021"/>
        <v>850</v>
      </c>
      <c r="R5146" s="23" t="str">
        <f t="shared" si="1022"/>
        <v/>
      </c>
      <c r="S5146" s="23">
        <f t="shared" si="1023"/>
        <v>798</v>
      </c>
      <c r="T5146" s="23" t="str">
        <f t="shared" si="1024"/>
        <v/>
      </c>
      <c r="U5146" t="str">
        <f t="shared" si="1025"/>
        <v/>
      </c>
      <c r="X5146" s="43"/>
      <c r="Y5146" s="53"/>
      <c r="Z5146" s="53"/>
      <c r="AA5146"/>
      <c r="AB5146" s="23"/>
      <c r="AF5146" s="22"/>
      <c r="AH5146" s="8"/>
      <c r="AL5146" s="23"/>
    </row>
    <row r="5147" spans="1:38">
      <c r="A5147" t="str">
        <f t="shared" si="1026"/>
        <v>PA_Alleg_2019p~Dem-school director north hills (vote for 5)</v>
      </c>
      <c r="B5147" s="55" t="s">
        <v>1291</v>
      </c>
      <c r="C5147">
        <v>230</v>
      </c>
      <c r="D5147" s="55" t="s">
        <v>232</v>
      </c>
      <c r="E5147" s="55" t="s">
        <v>15</v>
      </c>
      <c r="F5147" t="s">
        <v>12</v>
      </c>
      <c r="G5147" s="62">
        <v>52</v>
      </c>
      <c r="H5147" s="25">
        <v>0.42</v>
      </c>
      <c r="I5147">
        <v>29475</v>
      </c>
      <c r="J5147">
        <v>5219</v>
      </c>
      <c r="K5147">
        <v>40</v>
      </c>
      <c r="L5147">
        <v>40</v>
      </c>
      <c r="M5147">
        <v>0</v>
      </c>
      <c r="N5147" s="23">
        <v>0</v>
      </c>
      <c r="O5147">
        <f t="shared" si="1019"/>
        <v>-9</v>
      </c>
      <c r="P5147" s="57">
        <f t="shared" si="1020"/>
        <v>5</v>
      </c>
      <c r="Q5147" s="267">
        <f t="shared" si="1021"/>
        <v>52</v>
      </c>
      <c r="R5147" s="23">
        <f t="shared" si="1022"/>
        <v>1</v>
      </c>
      <c r="S5147" s="23">
        <f t="shared" si="1023"/>
        <v>0</v>
      </c>
      <c r="T5147" s="23" t="str">
        <f t="shared" si="1024"/>
        <v/>
      </c>
      <c r="U5147" t="str">
        <f t="shared" si="1025"/>
        <v/>
      </c>
      <c r="X5147" s="43"/>
      <c r="Y5147" s="53"/>
      <c r="Z5147" s="53"/>
      <c r="AA5147"/>
      <c r="AB5147" s="23"/>
      <c r="AF5147" s="22"/>
      <c r="AH5147" s="8"/>
      <c r="AL5147" s="23"/>
    </row>
    <row r="5148" spans="1:38">
      <c r="A5148" t="str">
        <f t="shared" si="1026"/>
        <v>PA_Alleg_2019p~Dem-school director northgate (vote for 5)</v>
      </c>
      <c r="B5148" s="55" t="s">
        <v>1291</v>
      </c>
      <c r="C5148">
        <v>235</v>
      </c>
      <c r="D5148" s="55" t="s">
        <v>242</v>
      </c>
      <c r="E5148" s="55" t="s">
        <v>247</v>
      </c>
      <c r="F5148" t="s">
        <v>12</v>
      </c>
      <c r="G5148" s="62">
        <v>642</v>
      </c>
      <c r="H5148" s="25">
        <v>18.88</v>
      </c>
      <c r="I5148">
        <v>9899</v>
      </c>
      <c r="J5148">
        <v>1349</v>
      </c>
      <c r="K5148">
        <v>12</v>
      </c>
      <c r="L5148">
        <v>12</v>
      </c>
      <c r="M5148">
        <v>0</v>
      </c>
      <c r="N5148" s="23">
        <v>0</v>
      </c>
      <c r="O5148">
        <f t="shared" si="1019"/>
        <v>1</v>
      </c>
      <c r="P5148" s="57">
        <f t="shared" si="1020"/>
        <v>5</v>
      </c>
      <c r="Q5148" s="267">
        <f t="shared" si="1021"/>
        <v>680</v>
      </c>
      <c r="R5148" s="23">
        <f t="shared" si="1022"/>
        <v>510</v>
      </c>
      <c r="S5148" s="23">
        <f t="shared" si="1023"/>
        <v>506</v>
      </c>
      <c r="T5148" s="23">
        <f t="shared" si="1024"/>
        <v>4</v>
      </c>
      <c r="U5148" t="str">
        <f t="shared" si="1025"/>
        <v>PA_Alleg_2019p~Dem-school director northgate (vote for 5)</v>
      </c>
      <c r="X5148" s="43"/>
      <c r="Y5148" s="53"/>
      <c r="Z5148" s="53"/>
      <c r="AA5148"/>
      <c r="AB5148" s="23"/>
      <c r="AF5148" s="88"/>
      <c r="AH5148" s="8"/>
      <c r="AL5148" s="23"/>
    </row>
    <row r="5149" spans="1:38">
      <c r="A5149" t="str">
        <f t="shared" si="1026"/>
        <v>PA_Alleg_2019p~Dem-school director northgate (vote for 5)</v>
      </c>
      <c r="B5149" s="55" t="s">
        <v>1291</v>
      </c>
      <c r="C5149">
        <v>233</v>
      </c>
      <c r="D5149" s="55" t="s">
        <v>242</v>
      </c>
      <c r="E5149" s="55" t="s">
        <v>245</v>
      </c>
      <c r="F5149" t="s">
        <v>12</v>
      </c>
      <c r="G5149" s="62">
        <v>627</v>
      </c>
      <c r="H5149" s="25">
        <v>18.440000000000001</v>
      </c>
      <c r="I5149">
        <v>9899</v>
      </c>
      <c r="J5149">
        <v>1349</v>
      </c>
      <c r="K5149">
        <v>12</v>
      </c>
      <c r="L5149">
        <v>12</v>
      </c>
      <c r="M5149">
        <v>0</v>
      </c>
      <c r="N5149" s="23">
        <v>0</v>
      </c>
      <c r="O5149">
        <f t="shared" si="1019"/>
        <v>2</v>
      </c>
      <c r="P5149" s="57">
        <f t="shared" si="1020"/>
        <v>5</v>
      </c>
      <c r="Q5149" s="267">
        <f t="shared" si="1021"/>
        <v>2758</v>
      </c>
      <c r="R5149" s="23">
        <f t="shared" si="1022"/>
        <v>510</v>
      </c>
      <c r="S5149" s="23">
        <f t="shared" si="1023"/>
        <v>506</v>
      </c>
      <c r="T5149" s="23" t="str">
        <f t="shared" si="1024"/>
        <v/>
      </c>
      <c r="U5149" t="str">
        <f t="shared" si="1025"/>
        <v/>
      </c>
      <c r="X5149" s="43"/>
      <c r="Y5149" s="53"/>
      <c r="Z5149" s="53"/>
      <c r="AA5149"/>
      <c r="AB5149" s="23"/>
      <c r="AF5149" s="22"/>
      <c r="AH5149" s="8"/>
      <c r="AL5149" s="23"/>
    </row>
    <row r="5150" spans="1:38">
      <c r="A5150" t="str">
        <f t="shared" si="1026"/>
        <v>PA_Alleg_2019p~Dem-school director northgate (vote for 5)</v>
      </c>
      <c r="B5150" s="55" t="s">
        <v>1291</v>
      </c>
      <c r="C5150">
        <v>236</v>
      </c>
      <c r="D5150" s="55" t="s">
        <v>242</v>
      </c>
      <c r="E5150" s="55" t="s">
        <v>248</v>
      </c>
      <c r="F5150" t="s">
        <v>12</v>
      </c>
      <c r="G5150" s="62">
        <v>547</v>
      </c>
      <c r="H5150" s="25">
        <v>16.09</v>
      </c>
      <c r="I5150">
        <v>9899</v>
      </c>
      <c r="J5150">
        <v>1349</v>
      </c>
      <c r="K5150">
        <v>12</v>
      </c>
      <c r="L5150">
        <v>12</v>
      </c>
      <c r="M5150">
        <v>0</v>
      </c>
      <c r="N5150" s="23">
        <v>0</v>
      </c>
      <c r="O5150">
        <f t="shared" si="1019"/>
        <v>3</v>
      </c>
      <c r="P5150" s="57">
        <f t="shared" si="1020"/>
        <v>5</v>
      </c>
      <c r="Q5150" s="267">
        <f t="shared" si="1021"/>
        <v>2131</v>
      </c>
      <c r="R5150" s="23">
        <f t="shared" si="1022"/>
        <v>510</v>
      </c>
      <c r="S5150" s="23">
        <f t="shared" si="1023"/>
        <v>506</v>
      </c>
      <c r="T5150" s="23" t="str">
        <f t="shared" si="1024"/>
        <v/>
      </c>
      <c r="U5150" t="str">
        <f t="shared" si="1025"/>
        <v/>
      </c>
      <c r="X5150" s="43"/>
      <c r="Y5150" s="53"/>
      <c r="Z5150" s="53"/>
      <c r="AA5150"/>
      <c r="AB5150" s="23"/>
      <c r="AF5150" s="88"/>
    </row>
    <row r="5151" spans="1:38">
      <c r="A5151" t="str">
        <f t="shared" si="1026"/>
        <v>PA_Alleg_2019p~Dem-school director northgate (vote for 5)</v>
      </c>
      <c r="B5151" s="55" t="s">
        <v>1291</v>
      </c>
      <c r="C5151">
        <v>234</v>
      </c>
      <c r="D5151" s="55" t="s">
        <v>242</v>
      </c>
      <c r="E5151" s="55" t="s">
        <v>246</v>
      </c>
      <c r="F5151" t="s">
        <v>12</v>
      </c>
      <c r="G5151" s="62">
        <v>517</v>
      </c>
      <c r="H5151" s="25">
        <v>15.21</v>
      </c>
      <c r="I5151">
        <v>9899</v>
      </c>
      <c r="J5151">
        <v>1349</v>
      </c>
      <c r="K5151">
        <v>12</v>
      </c>
      <c r="L5151">
        <v>12</v>
      </c>
      <c r="M5151">
        <v>0</v>
      </c>
      <c r="N5151" s="23">
        <v>0</v>
      </c>
      <c r="O5151">
        <f t="shared" si="1019"/>
        <v>4</v>
      </c>
      <c r="P5151" s="57">
        <f t="shared" si="1020"/>
        <v>5</v>
      </c>
      <c r="Q5151" s="267">
        <f t="shared" si="1021"/>
        <v>1584</v>
      </c>
      <c r="R5151" s="23">
        <f t="shared" si="1022"/>
        <v>510</v>
      </c>
      <c r="S5151" s="23">
        <f t="shared" si="1023"/>
        <v>506</v>
      </c>
      <c r="T5151" s="23" t="str">
        <f t="shared" si="1024"/>
        <v/>
      </c>
      <c r="U5151" t="str">
        <f t="shared" si="1025"/>
        <v/>
      </c>
      <c r="X5151" s="43"/>
      <c r="Y5151" s="53"/>
      <c r="Z5151" s="53"/>
      <c r="AA5151"/>
      <c r="AB5151" s="23"/>
      <c r="AF5151" s="312"/>
    </row>
    <row r="5152" spans="1:38">
      <c r="A5152" t="str">
        <f t="shared" si="1026"/>
        <v>PA_Alleg_2019p~Dem-school director northgate (vote for 5)</v>
      </c>
      <c r="B5152" s="55" t="s">
        <v>1291</v>
      </c>
      <c r="C5152">
        <v>232</v>
      </c>
      <c r="D5152" s="55" t="s">
        <v>242</v>
      </c>
      <c r="E5152" s="55" t="s">
        <v>244</v>
      </c>
      <c r="F5152" t="s">
        <v>12</v>
      </c>
      <c r="G5152" s="62">
        <v>510</v>
      </c>
      <c r="H5152" s="25">
        <v>15</v>
      </c>
      <c r="I5152">
        <v>9899</v>
      </c>
      <c r="J5152">
        <v>1349</v>
      </c>
      <c r="K5152">
        <v>12</v>
      </c>
      <c r="L5152">
        <v>12</v>
      </c>
      <c r="M5152">
        <v>0</v>
      </c>
      <c r="N5152" s="23">
        <v>0</v>
      </c>
      <c r="O5152">
        <f t="shared" si="1019"/>
        <v>5</v>
      </c>
      <c r="P5152" s="57">
        <f t="shared" si="1020"/>
        <v>5</v>
      </c>
      <c r="Q5152" s="267">
        <f t="shared" si="1021"/>
        <v>1067</v>
      </c>
      <c r="R5152" s="23">
        <f t="shared" si="1022"/>
        <v>510</v>
      </c>
      <c r="S5152" s="23">
        <f t="shared" si="1023"/>
        <v>506</v>
      </c>
      <c r="T5152" s="23" t="str">
        <f t="shared" si="1024"/>
        <v/>
      </c>
      <c r="U5152" t="str">
        <f t="shared" si="1025"/>
        <v/>
      </c>
      <c r="X5152" s="43"/>
      <c r="Y5152" s="53"/>
      <c r="Z5152" s="53"/>
      <c r="AA5152"/>
      <c r="AB5152" s="23"/>
      <c r="AF5152" s="22"/>
    </row>
    <row r="5153" spans="1:38">
      <c r="A5153" t="str">
        <f t="shared" si="1026"/>
        <v>PA_Alleg_2019p~Dem-school director northgate (vote for 5)</v>
      </c>
      <c r="B5153" s="55" t="s">
        <v>1291</v>
      </c>
      <c r="C5153">
        <v>231</v>
      </c>
      <c r="D5153" s="55" t="s">
        <v>242</v>
      </c>
      <c r="E5153" s="55" t="s">
        <v>243</v>
      </c>
      <c r="F5153" t="s">
        <v>12</v>
      </c>
      <c r="G5153" s="62">
        <v>506</v>
      </c>
      <c r="H5153" s="25">
        <v>14.88</v>
      </c>
      <c r="I5153">
        <v>9899</v>
      </c>
      <c r="J5153">
        <v>1349</v>
      </c>
      <c r="K5153">
        <v>12</v>
      </c>
      <c r="L5153">
        <v>12</v>
      </c>
      <c r="M5153">
        <v>0</v>
      </c>
      <c r="N5153" s="23">
        <v>0</v>
      </c>
      <c r="O5153">
        <f t="shared" si="1019"/>
        <v>6</v>
      </c>
      <c r="P5153" s="57">
        <f t="shared" si="1020"/>
        <v>5</v>
      </c>
      <c r="Q5153" s="267">
        <f t="shared" si="1021"/>
        <v>557</v>
      </c>
      <c r="R5153" s="23" t="str">
        <f t="shared" si="1022"/>
        <v/>
      </c>
      <c r="S5153" s="23">
        <f t="shared" si="1023"/>
        <v>506</v>
      </c>
      <c r="T5153" s="23" t="str">
        <f t="shared" si="1024"/>
        <v/>
      </c>
      <c r="U5153" t="str">
        <f t="shared" si="1025"/>
        <v/>
      </c>
      <c r="X5153" s="43"/>
      <c r="Y5153" s="53"/>
      <c r="Z5153" s="53"/>
      <c r="AA5153"/>
      <c r="AB5153" s="23"/>
      <c r="AF5153" s="22"/>
    </row>
    <row r="5154" spans="1:38">
      <c r="A5154" t="str">
        <f t="shared" si="1026"/>
        <v>PA_Alleg_2019p~Dem-school director northgate (vote for 5)</v>
      </c>
      <c r="B5154" s="55" t="s">
        <v>1291</v>
      </c>
      <c r="C5154">
        <v>237</v>
      </c>
      <c r="D5154" s="55" t="s">
        <v>242</v>
      </c>
      <c r="E5154" s="55" t="s">
        <v>15</v>
      </c>
      <c r="F5154" t="s">
        <v>12</v>
      </c>
      <c r="G5154" s="62">
        <v>51</v>
      </c>
      <c r="H5154" s="25">
        <v>1.5</v>
      </c>
      <c r="I5154">
        <v>9899</v>
      </c>
      <c r="J5154">
        <v>1349</v>
      </c>
      <c r="K5154">
        <v>12</v>
      </c>
      <c r="L5154">
        <v>12</v>
      </c>
      <c r="M5154">
        <v>0</v>
      </c>
      <c r="N5154" s="23">
        <v>0</v>
      </c>
      <c r="O5154">
        <f t="shared" si="1019"/>
        <v>-6</v>
      </c>
      <c r="P5154" s="57">
        <f t="shared" si="1020"/>
        <v>5</v>
      </c>
      <c r="Q5154" s="267">
        <f t="shared" si="1021"/>
        <v>51</v>
      </c>
      <c r="R5154" s="23">
        <f t="shared" si="1022"/>
        <v>1</v>
      </c>
      <c r="S5154" s="23">
        <f t="shared" si="1023"/>
        <v>0</v>
      </c>
      <c r="T5154" s="23" t="str">
        <f t="shared" si="1024"/>
        <v/>
      </c>
      <c r="U5154" t="str">
        <f t="shared" si="1025"/>
        <v/>
      </c>
      <c r="X5154" s="43"/>
      <c r="Y5154" s="53"/>
      <c r="Z5154" s="53"/>
      <c r="AA5154"/>
      <c r="AB5154" s="23"/>
      <c r="AF5154" s="22"/>
    </row>
    <row r="5155" spans="1:38">
      <c r="A5155" t="str">
        <f t="shared" si="1026"/>
        <v>PA_Alleg_2019p~Dem-school director norwin (vote for 5)</v>
      </c>
      <c r="B5155" s="55" t="s">
        <v>1291</v>
      </c>
      <c r="C5155">
        <v>305</v>
      </c>
      <c r="D5155" s="55" t="s">
        <v>315</v>
      </c>
      <c r="E5155" s="55" t="s">
        <v>317</v>
      </c>
      <c r="F5155" t="s">
        <v>12</v>
      </c>
      <c r="G5155" s="62">
        <v>0</v>
      </c>
      <c r="H5155" s="25">
        <v>0</v>
      </c>
      <c r="I5155">
        <v>1273</v>
      </c>
      <c r="J5155">
        <v>229</v>
      </c>
      <c r="K5155">
        <v>2</v>
      </c>
      <c r="L5155">
        <v>2</v>
      </c>
      <c r="M5155">
        <v>0</v>
      </c>
      <c r="N5155" s="23">
        <v>0</v>
      </c>
      <c r="O5155">
        <f t="shared" si="1019"/>
        <v>1</v>
      </c>
      <c r="P5155" s="57">
        <f t="shared" si="1020"/>
        <v>5</v>
      </c>
      <c r="Q5155" s="267">
        <f t="shared" si="1021"/>
        <v>0</v>
      </c>
      <c r="R5155" s="23">
        <f t="shared" si="1022"/>
        <v>0</v>
      </c>
      <c r="S5155" s="23">
        <f t="shared" si="1023"/>
        <v>0</v>
      </c>
      <c r="T5155" s="23" t="str">
        <f t="shared" si="1024"/>
        <v/>
      </c>
      <c r="U5155" t="str">
        <f t="shared" si="1025"/>
        <v>PA_Alleg_2019p~Dem-school director norwin (vote for 5)</v>
      </c>
      <c r="X5155" s="43"/>
      <c r="Y5155" s="53"/>
      <c r="Z5155" s="53"/>
      <c r="AA5155"/>
      <c r="AB5155" s="23"/>
      <c r="AF5155" s="22"/>
    </row>
    <row r="5156" spans="1:38">
      <c r="A5156" t="str">
        <f t="shared" si="1026"/>
        <v>PA_Alleg_2019p~Dem-school director norwin (vote for 5)</v>
      </c>
      <c r="B5156" s="55" t="s">
        <v>1291</v>
      </c>
      <c r="C5156">
        <v>308</v>
      </c>
      <c r="D5156" s="55" t="s">
        <v>315</v>
      </c>
      <c r="E5156" s="55" t="s">
        <v>320</v>
      </c>
      <c r="F5156" t="s">
        <v>12</v>
      </c>
      <c r="G5156" s="62">
        <v>0</v>
      </c>
      <c r="H5156" s="25">
        <v>0</v>
      </c>
      <c r="I5156">
        <v>1273</v>
      </c>
      <c r="J5156">
        <v>229</v>
      </c>
      <c r="K5156">
        <v>2</v>
      </c>
      <c r="L5156">
        <v>2</v>
      </c>
      <c r="M5156">
        <v>0</v>
      </c>
      <c r="N5156" s="23">
        <v>0</v>
      </c>
      <c r="O5156">
        <f t="shared" si="1019"/>
        <v>2</v>
      </c>
      <c r="P5156" s="57">
        <f t="shared" si="1020"/>
        <v>5</v>
      </c>
      <c r="Q5156" s="267">
        <f t="shared" si="1021"/>
        <v>0</v>
      </c>
      <c r="R5156" s="23">
        <f t="shared" si="1022"/>
        <v>0</v>
      </c>
      <c r="S5156" s="23">
        <f t="shared" si="1023"/>
        <v>0</v>
      </c>
      <c r="T5156" s="23" t="str">
        <f t="shared" si="1024"/>
        <v/>
      </c>
      <c r="U5156" t="str">
        <f t="shared" si="1025"/>
        <v/>
      </c>
      <c r="X5156" s="43"/>
      <c r="Y5156" s="53"/>
      <c r="Z5156" s="53"/>
      <c r="AA5156"/>
      <c r="AB5156" s="23"/>
      <c r="AF5156" s="22"/>
      <c r="AG5156" s="89"/>
      <c r="AH5156" s="274"/>
      <c r="AI5156" s="279"/>
      <c r="AJ5156" s="280"/>
      <c r="AK5156" s="92"/>
      <c r="AL5156" s="23"/>
    </row>
    <row r="5157" spans="1:38">
      <c r="A5157" t="str">
        <f t="shared" si="1026"/>
        <v>PA_Alleg_2019p~Dem-school director norwin (vote for 5)</v>
      </c>
      <c r="B5157" s="55" t="s">
        <v>1291</v>
      </c>
      <c r="C5157">
        <v>312</v>
      </c>
      <c r="D5157" s="55" t="s">
        <v>315</v>
      </c>
      <c r="E5157" s="55" t="s">
        <v>324</v>
      </c>
      <c r="F5157" t="s">
        <v>12</v>
      </c>
      <c r="G5157" s="62">
        <v>0</v>
      </c>
      <c r="H5157" s="25">
        <v>0</v>
      </c>
      <c r="I5157">
        <v>1273</v>
      </c>
      <c r="J5157">
        <v>229</v>
      </c>
      <c r="K5157">
        <v>2</v>
      </c>
      <c r="L5157">
        <v>2</v>
      </c>
      <c r="M5157">
        <v>0</v>
      </c>
      <c r="N5157" s="23">
        <v>0</v>
      </c>
      <c r="O5157">
        <f t="shared" si="1019"/>
        <v>3</v>
      </c>
      <c r="P5157" s="57">
        <f t="shared" si="1020"/>
        <v>5</v>
      </c>
      <c r="Q5157" s="267">
        <f t="shared" si="1021"/>
        <v>0</v>
      </c>
      <c r="R5157" s="23">
        <f t="shared" si="1022"/>
        <v>0</v>
      </c>
      <c r="S5157" s="23">
        <f t="shared" si="1023"/>
        <v>0</v>
      </c>
      <c r="T5157" s="23" t="str">
        <f t="shared" si="1024"/>
        <v/>
      </c>
      <c r="U5157" t="str">
        <f t="shared" si="1025"/>
        <v/>
      </c>
      <c r="X5157" s="43"/>
      <c r="Y5157" s="53"/>
      <c r="Z5157" s="53"/>
      <c r="AA5157"/>
      <c r="AB5157" s="23"/>
      <c r="AF5157" s="22"/>
      <c r="AG5157" s="89"/>
      <c r="AH5157" s="274"/>
      <c r="AI5157" s="279"/>
      <c r="AJ5157" s="280"/>
      <c r="AK5157" s="92"/>
      <c r="AL5157" s="23"/>
    </row>
    <row r="5158" spans="1:38">
      <c r="A5158" t="str">
        <f t="shared" si="1026"/>
        <v>PA_Alleg_2019p~Dem-school director norwin (vote for 5)</v>
      </c>
      <c r="B5158" s="55" t="s">
        <v>1291</v>
      </c>
      <c r="C5158">
        <v>306</v>
      </c>
      <c r="D5158" s="55" t="s">
        <v>315</v>
      </c>
      <c r="E5158" s="55" t="s">
        <v>318</v>
      </c>
      <c r="F5158" t="s">
        <v>12</v>
      </c>
      <c r="G5158" s="62">
        <v>0</v>
      </c>
      <c r="H5158" s="25">
        <v>0</v>
      </c>
      <c r="I5158">
        <v>1273</v>
      </c>
      <c r="J5158">
        <v>229</v>
      </c>
      <c r="K5158">
        <v>2</v>
      </c>
      <c r="L5158">
        <v>2</v>
      </c>
      <c r="M5158">
        <v>0</v>
      </c>
      <c r="N5158" s="23">
        <v>0</v>
      </c>
      <c r="O5158">
        <f t="shared" si="1019"/>
        <v>4</v>
      </c>
      <c r="P5158" s="57">
        <f t="shared" si="1020"/>
        <v>5</v>
      </c>
      <c r="Q5158" s="267">
        <f t="shared" si="1021"/>
        <v>0</v>
      </c>
      <c r="R5158" s="23">
        <f t="shared" si="1022"/>
        <v>0</v>
      </c>
      <c r="S5158" s="23">
        <f t="shared" si="1023"/>
        <v>0</v>
      </c>
      <c r="T5158" s="23" t="str">
        <f t="shared" si="1024"/>
        <v/>
      </c>
      <c r="U5158" t="str">
        <f t="shared" si="1025"/>
        <v/>
      </c>
      <c r="X5158" s="43"/>
      <c r="Y5158" s="53"/>
      <c r="Z5158" s="53"/>
      <c r="AA5158"/>
      <c r="AB5158" s="23"/>
      <c r="AF5158" s="22"/>
      <c r="AH5158" s="8"/>
      <c r="AL5158" s="23"/>
    </row>
    <row r="5159" spans="1:38">
      <c r="A5159" t="str">
        <f t="shared" si="1026"/>
        <v>PA_Alleg_2019p~Dem-school director norwin (vote for 5)</v>
      </c>
      <c r="B5159" s="55" t="s">
        <v>1291</v>
      </c>
      <c r="C5159">
        <v>310</v>
      </c>
      <c r="D5159" s="55" t="s">
        <v>315</v>
      </c>
      <c r="E5159" s="55" t="s">
        <v>322</v>
      </c>
      <c r="F5159" t="s">
        <v>12</v>
      </c>
      <c r="G5159" s="62">
        <v>0</v>
      </c>
      <c r="H5159" s="25">
        <v>0</v>
      </c>
      <c r="I5159">
        <v>1273</v>
      </c>
      <c r="J5159">
        <v>229</v>
      </c>
      <c r="K5159">
        <v>2</v>
      </c>
      <c r="L5159">
        <v>2</v>
      </c>
      <c r="M5159">
        <v>0</v>
      </c>
      <c r="N5159" s="23">
        <v>0</v>
      </c>
      <c r="O5159">
        <f t="shared" si="1019"/>
        <v>5</v>
      </c>
      <c r="P5159" s="57">
        <f t="shared" si="1020"/>
        <v>5</v>
      </c>
      <c r="Q5159" s="267">
        <f t="shared" si="1021"/>
        <v>0</v>
      </c>
      <c r="R5159" s="23">
        <f t="shared" si="1022"/>
        <v>0</v>
      </c>
      <c r="S5159" s="23">
        <f t="shared" si="1023"/>
        <v>0</v>
      </c>
      <c r="T5159" s="23" t="str">
        <f t="shared" si="1024"/>
        <v/>
      </c>
      <c r="U5159" t="str">
        <f t="shared" si="1025"/>
        <v/>
      </c>
      <c r="X5159" s="43"/>
      <c r="Y5159" s="53"/>
      <c r="Z5159" s="53"/>
      <c r="AA5159"/>
      <c r="AB5159" s="23"/>
      <c r="AF5159" s="22"/>
    </row>
    <row r="5160" spans="1:38">
      <c r="A5160" t="str">
        <f t="shared" si="1026"/>
        <v>PA_Alleg_2019p~Dem-school director norwin (vote for 5)</v>
      </c>
      <c r="B5160" s="55" t="s">
        <v>1291</v>
      </c>
      <c r="C5160">
        <v>307</v>
      </c>
      <c r="D5160" s="55" t="s">
        <v>315</v>
      </c>
      <c r="E5160" s="55" t="s">
        <v>319</v>
      </c>
      <c r="F5160" t="s">
        <v>12</v>
      </c>
      <c r="G5160" s="62">
        <v>0</v>
      </c>
      <c r="H5160" s="25">
        <v>0</v>
      </c>
      <c r="I5160">
        <v>1273</v>
      </c>
      <c r="J5160">
        <v>229</v>
      </c>
      <c r="K5160">
        <v>2</v>
      </c>
      <c r="L5160">
        <v>2</v>
      </c>
      <c r="M5160">
        <v>0</v>
      </c>
      <c r="N5160" s="23">
        <v>0</v>
      </c>
      <c r="O5160">
        <f t="shared" si="1019"/>
        <v>6</v>
      </c>
      <c r="P5160" s="57">
        <f t="shared" si="1020"/>
        <v>5</v>
      </c>
      <c r="Q5160" s="267">
        <f t="shared" si="1021"/>
        <v>0</v>
      </c>
      <c r="R5160" s="23" t="str">
        <f t="shared" si="1022"/>
        <v/>
      </c>
      <c r="S5160" s="23">
        <f t="shared" si="1023"/>
        <v>0</v>
      </c>
      <c r="T5160" s="23" t="str">
        <f t="shared" si="1024"/>
        <v/>
      </c>
      <c r="U5160" t="str">
        <f t="shared" si="1025"/>
        <v/>
      </c>
      <c r="X5160" s="43"/>
      <c r="Y5160" s="53"/>
      <c r="Z5160" s="53"/>
      <c r="AA5160"/>
      <c r="AB5160" s="23"/>
      <c r="AF5160" s="22"/>
    </row>
    <row r="5161" spans="1:38">
      <c r="A5161" t="str">
        <f t="shared" si="1026"/>
        <v>PA_Alleg_2019p~Dem-school director norwin (vote for 5)</v>
      </c>
      <c r="B5161" s="55" t="s">
        <v>1291</v>
      </c>
      <c r="C5161">
        <v>304</v>
      </c>
      <c r="D5161" s="55" t="s">
        <v>315</v>
      </c>
      <c r="E5161" s="55" t="s">
        <v>316</v>
      </c>
      <c r="F5161" t="s">
        <v>12</v>
      </c>
      <c r="G5161" s="62">
        <v>0</v>
      </c>
      <c r="H5161" s="25">
        <v>0</v>
      </c>
      <c r="I5161">
        <v>1273</v>
      </c>
      <c r="J5161">
        <v>229</v>
      </c>
      <c r="K5161">
        <v>2</v>
      </c>
      <c r="L5161">
        <v>2</v>
      </c>
      <c r="M5161">
        <v>0</v>
      </c>
      <c r="N5161" s="23">
        <v>0</v>
      </c>
      <c r="O5161">
        <f t="shared" si="1019"/>
        <v>7</v>
      </c>
      <c r="P5161" s="57">
        <f t="shared" si="1020"/>
        <v>5</v>
      </c>
      <c r="Q5161" s="267">
        <f t="shared" si="1021"/>
        <v>0</v>
      </c>
      <c r="R5161" s="23" t="str">
        <f t="shared" si="1022"/>
        <v/>
      </c>
      <c r="S5161" s="23">
        <f t="shared" si="1023"/>
        <v>0</v>
      </c>
      <c r="T5161" s="23" t="str">
        <f t="shared" si="1024"/>
        <v/>
      </c>
      <c r="U5161" t="str">
        <f t="shared" si="1025"/>
        <v/>
      </c>
      <c r="X5161" s="43"/>
      <c r="Y5161" s="53"/>
      <c r="Z5161" s="53"/>
      <c r="AA5161"/>
      <c r="AB5161" s="23"/>
      <c r="AF5161" s="22"/>
      <c r="AL5161" s="344"/>
    </row>
    <row r="5162" spans="1:38">
      <c r="A5162" t="str">
        <f t="shared" si="1026"/>
        <v>PA_Alleg_2019p~Dem-school director norwin (vote for 5)</v>
      </c>
      <c r="B5162" s="55" t="s">
        <v>1291</v>
      </c>
      <c r="C5162">
        <v>309</v>
      </c>
      <c r="D5162" s="55" t="s">
        <v>315</v>
      </c>
      <c r="E5162" s="55" t="s">
        <v>321</v>
      </c>
      <c r="F5162" t="s">
        <v>12</v>
      </c>
      <c r="G5162" s="62">
        <v>0</v>
      </c>
      <c r="H5162" s="25">
        <v>0</v>
      </c>
      <c r="I5162">
        <v>1273</v>
      </c>
      <c r="J5162">
        <v>229</v>
      </c>
      <c r="K5162">
        <v>2</v>
      </c>
      <c r="L5162">
        <v>2</v>
      </c>
      <c r="M5162">
        <v>0</v>
      </c>
      <c r="N5162" s="23">
        <v>0</v>
      </c>
      <c r="O5162">
        <f t="shared" si="1019"/>
        <v>8</v>
      </c>
      <c r="P5162" s="57">
        <f t="shared" si="1020"/>
        <v>5</v>
      </c>
      <c r="Q5162" s="267">
        <f t="shared" si="1021"/>
        <v>0</v>
      </c>
      <c r="R5162" s="23" t="str">
        <f t="shared" si="1022"/>
        <v/>
      </c>
      <c r="S5162" s="23">
        <f t="shared" si="1023"/>
        <v>0</v>
      </c>
      <c r="T5162" s="23" t="str">
        <f t="shared" si="1024"/>
        <v/>
      </c>
      <c r="U5162" t="str">
        <f t="shared" si="1025"/>
        <v/>
      </c>
      <c r="X5162" s="43"/>
      <c r="Y5162" s="53"/>
      <c r="Z5162" s="53"/>
      <c r="AA5162"/>
      <c r="AB5162" s="23"/>
      <c r="AF5162" s="22"/>
      <c r="AH5162" s="8"/>
      <c r="AL5162" s="23"/>
    </row>
    <row r="5163" spans="1:38">
      <c r="A5163" t="str">
        <f t="shared" si="1026"/>
        <v>PA_Alleg_2019p~Dem-school director norwin (vote for 5)</v>
      </c>
      <c r="B5163" s="55" t="s">
        <v>1291</v>
      </c>
      <c r="C5163">
        <v>311</v>
      </c>
      <c r="D5163" s="55" t="s">
        <v>315</v>
      </c>
      <c r="E5163" s="55" t="s">
        <v>323</v>
      </c>
      <c r="F5163" t="s">
        <v>12</v>
      </c>
      <c r="G5163" s="62">
        <v>0</v>
      </c>
      <c r="H5163" s="25">
        <v>0</v>
      </c>
      <c r="I5163">
        <v>1273</v>
      </c>
      <c r="J5163">
        <v>229</v>
      </c>
      <c r="K5163">
        <v>2</v>
      </c>
      <c r="L5163">
        <v>2</v>
      </c>
      <c r="M5163">
        <v>0</v>
      </c>
      <c r="N5163" s="23">
        <v>0</v>
      </c>
      <c r="O5163">
        <f t="shared" si="1019"/>
        <v>9</v>
      </c>
      <c r="P5163" s="57">
        <f t="shared" si="1020"/>
        <v>5</v>
      </c>
      <c r="Q5163" s="267">
        <f t="shared" si="1021"/>
        <v>0</v>
      </c>
      <c r="R5163" s="23" t="str">
        <f t="shared" si="1022"/>
        <v/>
      </c>
      <c r="S5163" s="23">
        <f t="shared" si="1023"/>
        <v>0</v>
      </c>
      <c r="T5163" s="23" t="str">
        <f t="shared" si="1024"/>
        <v/>
      </c>
      <c r="U5163" t="str">
        <f t="shared" si="1025"/>
        <v/>
      </c>
      <c r="X5163" s="43"/>
      <c r="Y5163" s="53"/>
      <c r="Z5163" s="53"/>
      <c r="AA5163"/>
      <c r="AB5163" s="23"/>
      <c r="AF5163" s="22"/>
    </row>
    <row r="5164" spans="1:38">
      <c r="A5164" t="str">
        <f t="shared" si="1026"/>
        <v>PA_Alleg_2019p~Dem-school director norwin (vote for 5)</v>
      </c>
      <c r="B5164" s="55" t="s">
        <v>1291</v>
      </c>
      <c r="C5164">
        <v>313</v>
      </c>
      <c r="D5164" s="55" t="s">
        <v>315</v>
      </c>
      <c r="E5164" s="55" t="s">
        <v>15</v>
      </c>
      <c r="F5164" t="s">
        <v>12</v>
      </c>
      <c r="G5164" s="62">
        <v>0</v>
      </c>
      <c r="H5164" s="25">
        <v>0</v>
      </c>
      <c r="I5164">
        <v>1273</v>
      </c>
      <c r="J5164">
        <v>229</v>
      </c>
      <c r="K5164">
        <v>2</v>
      </c>
      <c r="L5164">
        <v>2</v>
      </c>
      <c r="M5164">
        <v>0</v>
      </c>
      <c r="N5164" s="23">
        <v>0</v>
      </c>
      <c r="O5164">
        <f t="shared" si="1019"/>
        <v>-9</v>
      </c>
      <c r="P5164" s="57">
        <f t="shared" si="1020"/>
        <v>5</v>
      </c>
      <c r="Q5164" s="267">
        <f t="shared" si="1021"/>
        <v>0</v>
      </c>
      <c r="R5164" s="23">
        <f t="shared" si="1022"/>
        <v>1</v>
      </c>
      <c r="S5164" s="23">
        <f t="shared" si="1023"/>
        <v>0</v>
      </c>
      <c r="T5164" s="23" t="str">
        <f t="shared" si="1024"/>
        <v/>
      </c>
      <c r="U5164" t="str">
        <f t="shared" si="1025"/>
        <v/>
      </c>
      <c r="X5164" s="43"/>
      <c r="Y5164" s="53"/>
      <c r="Z5164" s="53"/>
      <c r="AA5164"/>
      <c r="AB5164" s="23"/>
      <c r="AF5164" s="22"/>
    </row>
    <row r="5165" spans="1:38">
      <c r="A5165" t="str">
        <f t="shared" si="1026"/>
        <v>PA_Alleg_2019p~Dem-school director penn hills (vote for 5)</v>
      </c>
      <c r="B5165" s="55" t="s">
        <v>1291</v>
      </c>
      <c r="C5165">
        <v>238</v>
      </c>
      <c r="D5165" s="55" t="s">
        <v>249</v>
      </c>
      <c r="E5165" s="55" t="s">
        <v>250</v>
      </c>
      <c r="F5165" t="s">
        <v>12</v>
      </c>
      <c r="G5165" s="62">
        <v>2655</v>
      </c>
      <c r="H5165" s="25">
        <v>36.119999999999997</v>
      </c>
      <c r="I5165">
        <v>32131</v>
      </c>
      <c r="J5165">
        <v>6084</v>
      </c>
      <c r="K5165">
        <v>50</v>
      </c>
      <c r="L5165">
        <v>50</v>
      </c>
      <c r="M5165">
        <v>0</v>
      </c>
      <c r="N5165" s="23">
        <v>0</v>
      </c>
      <c r="O5165">
        <f t="shared" si="1019"/>
        <v>1</v>
      </c>
      <c r="P5165" s="57">
        <f t="shared" si="1020"/>
        <v>5</v>
      </c>
      <c r="Q5165" s="267">
        <f t="shared" si="1021"/>
        <v>2655</v>
      </c>
      <c r="R5165" s="23">
        <f t="shared" si="1022"/>
        <v>1</v>
      </c>
      <c r="S5165" s="23">
        <f t="shared" si="1023"/>
        <v>0</v>
      </c>
      <c r="T5165" s="23" t="str">
        <f t="shared" si="1024"/>
        <v/>
      </c>
      <c r="U5165" t="str">
        <f t="shared" si="1025"/>
        <v>PA_Alleg_2019p~Dem-school director penn hills (vote for 5)</v>
      </c>
      <c r="X5165" s="43"/>
      <c r="Y5165" s="53"/>
      <c r="Z5165" s="53"/>
      <c r="AA5165"/>
      <c r="AB5165" s="23"/>
      <c r="AF5165" s="22"/>
    </row>
    <row r="5166" spans="1:38">
      <c r="A5166" t="str">
        <f t="shared" si="1026"/>
        <v>PA_Alleg_2019p~Dem-school director penn hills (vote for 5)</v>
      </c>
      <c r="B5166" s="55" t="s">
        <v>1291</v>
      </c>
      <c r="C5166">
        <v>239</v>
      </c>
      <c r="D5166" s="55" t="s">
        <v>249</v>
      </c>
      <c r="E5166" s="55" t="s">
        <v>251</v>
      </c>
      <c r="F5166" t="s">
        <v>12</v>
      </c>
      <c r="G5166" s="62">
        <v>2514</v>
      </c>
      <c r="H5166" s="25">
        <v>34.200000000000003</v>
      </c>
      <c r="I5166">
        <v>32131</v>
      </c>
      <c r="J5166">
        <v>6084</v>
      </c>
      <c r="K5166">
        <v>50</v>
      </c>
      <c r="L5166">
        <v>50</v>
      </c>
      <c r="M5166">
        <v>0</v>
      </c>
      <c r="N5166" s="23">
        <v>0</v>
      </c>
      <c r="O5166">
        <f t="shared" si="1019"/>
        <v>2</v>
      </c>
      <c r="P5166" s="57">
        <f t="shared" si="1020"/>
        <v>5</v>
      </c>
      <c r="Q5166" s="267">
        <f t="shared" si="1021"/>
        <v>4695</v>
      </c>
      <c r="R5166" s="23">
        <f t="shared" si="1022"/>
        <v>1</v>
      </c>
      <c r="S5166" s="23">
        <f t="shared" si="1023"/>
        <v>0</v>
      </c>
      <c r="T5166" s="23" t="str">
        <f t="shared" si="1024"/>
        <v/>
      </c>
      <c r="U5166" t="str">
        <f t="shared" si="1025"/>
        <v/>
      </c>
      <c r="X5166" s="43"/>
      <c r="Y5166" s="53"/>
      <c r="Z5166" s="53"/>
      <c r="AA5166"/>
      <c r="AB5166" s="23"/>
      <c r="AF5166" s="22"/>
    </row>
    <row r="5167" spans="1:38">
      <c r="A5167" t="str">
        <f t="shared" si="1026"/>
        <v>PA_Alleg_2019p~Dem-school director penn hills (vote for 5)</v>
      </c>
      <c r="B5167" s="55" t="s">
        <v>1291</v>
      </c>
      <c r="C5167">
        <v>240</v>
      </c>
      <c r="D5167" s="55" t="s">
        <v>249</v>
      </c>
      <c r="E5167" s="55" t="s">
        <v>15</v>
      </c>
      <c r="F5167" t="s">
        <v>12</v>
      </c>
      <c r="G5167" s="62">
        <v>2181</v>
      </c>
      <c r="H5167" s="25">
        <v>29.67</v>
      </c>
      <c r="I5167">
        <v>32131</v>
      </c>
      <c r="J5167">
        <v>6084</v>
      </c>
      <c r="K5167">
        <v>50</v>
      </c>
      <c r="L5167">
        <v>50</v>
      </c>
      <c r="M5167">
        <v>0</v>
      </c>
      <c r="N5167" s="23">
        <v>0</v>
      </c>
      <c r="O5167">
        <f t="shared" si="1019"/>
        <v>-2</v>
      </c>
      <c r="P5167" s="57">
        <f t="shared" si="1020"/>
        <v>5</v>
      </c>
      <c r="Q5167" s="267">
        <f t="shared" si="1021"/>
        <v>2181</v>
      </c>
      <c r="R5167" s="23">
        <f t="shared" si="1022"/>
        <v>1</v>
      </c>
      <c r="S5167" s="23">
        <f t="shared" si="1023"/>
        <v>0</v>
      </c>
      <c r="T5167" s="23" t="str">
        <f t="shared" si="1024"/>
        <v/>
      </c>
      <c r="U5167" t="str">
        <f t="shared" si="1025"/>
        <v/>
      </c>
      <c r="X5167" s="43"/>
      <c r="Y5167" s="53"/>
      <c r="Z5167" s="53"/>
      <c r="AA5167"/>
      <c r="AB5167" s="23"/>
      <c r="AF5167" s="22"/>
    </row>
    <row r="5168" spans="1:38">
      <c r="A5168" t="str">
        <f t="shared" si="1026"/>
        <v>PA_Alleg_2019p~Dem-school director penn -trafford (vote for 2)</v>
      </c>
      <c r="B5168" s="55" t="s">
        <v>1291</v>
      </c>
      <c r="C5168">
        <v>354</v>
      </c>
      <c r="D5168" s="55" t="s">
        <v>362</v>
      </c>
      <c r="E5168" s="55" t="s">
        <v>363</v>
      </c>
      <c r="F5168" t="s">
        <v>12</v>
      </c>
      <c r="G5168" s="62">
        <v>4</v>
      </c>
      <c r="H5168" s="25">
        <v>80</v>
      </c>
      <c r="I5168">
        <v>55</v>
      </c>
      <c r="J5168">
        <v>6</v>
      </c>
      <c r="K5168">
        <v>1</v>
      </c>
      <c r="L5168">
        <v>1</v>
      </c>
      <c r="M5168">
        <v>0</v>
      </c>
      <c r="N5168" s="23">
        <v>0</v>
      </c>
      <c r="O5168">
        <f t="shared" si="1019"/>
        <v>1</v>
      </c>
      <c r="P5168" s="57">
        <f t="shared" si="1020"/>
        <v>2</v>
      </c>
      <c r="Q5168" s="267">
        <f t="shared" si="1021"/>
        <v>4</v>
      </c>
      <c r="R5168" s="23">
        <f t="shared" si="1022"/>
        <v>1</v>
      </c>
      <c r="S5168" s="23">
        <f t="shared" si="1023"/>
        <v>0</v>
      </c>
      <c r="T5168" s="23" t="str">
        <f t="shared" si="1024"/>
        <v/>
      </c>
      <c r="U5168" t="str">
        <f t="shared" si="1025"/>
        <v>PA_Alleg_2019p~Dem-school director penn -trafford (vote for 2)</v>
      </c>
      <c r="X5168" s="43"/>
      <c r="Y5168" s="53"/>
      <c r="Z5168" s="53"/>
      <c r="AA5168"/>
      <c r="AB5168" s="23"/>
      <c r="AF5168" s="22"/>
    </row>
    <row r="5169" spans="1:38">
      <c r="A5169" t="str">
        <f t="shared" si="1026"/>
        <v>PA_Alleg_2019p~Dem-school director penn -trafford (vote for 2)</v>
      </c>
      <c r="B5169" s="55" t="s">
        <v>1291</v>
      </c>
      <c r="C5169">
        <v>355</v>
      </c>
      <c r="D5169" s="55" t="s">
        <v>362</v>
      </c>
      <c r="E5169" s="55" t="s">
        <v>364</v>
      </c>
      <c r="F5169" t="s">
        <v>12</v>
      </c>
      <c r="G5169" s="62">
        <v>1</v>
      </c>
      <c r="H5169" s="25">
        <v>20</v>
      </c>
      <c r="I5169">
        <v>55</v>
      </c>
      <c r="J5169">
        <v>6</v>
      </c>
      <c r="K5169">
        <v>1</v>
      </c>
      <c r="L5169">
        <v>1</v>
      </c>
      <c r="M5169">
        <v>0</v>
      </c>
      <c r="N5169" s="23">
        <v>0</v>
      </c>
      <c r="O5169">
        <f t="shared" si="1019"/>
        <v>2</v>
      </c>
      <c r="P5169" s="57">
        <f t="shared" si="1020"/>
        <v>2</v>
      </c>
      <c r="Q5169" s="267">
        <f t="shared" si="1021"/>
        <v>1</v>
      </c>
      <c r="R5169" s="23">
        <f t="shared" si="1022"/>
        <v>1</v>
      </c>
      <c r="S5169" s="23">
        <f t="shared" si="1023"/>
        <v>0</v>
      </c>
      <c r="T5169" s="23" t="str">
        <f t="shared" si="1024"/>
        <v/>
      </c>
      <c r="U5169" t="str">
        <f t="shared" si="1025"/>
        <v/>
      </c>
      <c r="X5169" s="43"/>
      <c r="Y5169" s="53"/>
      <c r="Z5169" s="53"/>
      <c r="AA5169"/>
      <c r="AB5169" s="23"/>
      <c r="AF5169" s="22"/>
    </row>
    <row r="5170" spans="1:38">
      <c r="A5170" t="str">
        <f t="shared" si="1026"/>
        <v>PA_Alleg_2019p~Dem-school director penn -trafford (vote for 2)</v>
      </c>
      <c r="B5170" s="55" t="s">
        <v>1291</v>
      </c>
      <c r="C5170">
        <v>356</v>
      </c>
      <c r="D5170" s="55" t="s">
        <v>362</v>
      </c>
      <c r="E5170" s="55" t="s">
        <v>15</v>
      </c>
      <c r="F5170" t="s">
        <v>12</v>
      </c>
      <c r="G5170" s="62">
        <v>0</v>
      </c>
      <c r="H5170" s="25">
        <v>0</v>
      </c>
      <c r="I5170">
        <v>55</v>
      </c>
      <c r="J5170">
        <v>6</v>
      </c>
      <c r="K5170">
        <v>1</v>
      </c>
      <c r="L5170">
        <v>1</v>
      </c>
      <c r="M5170">
        <v>0</v>
      </c>
      <c r="N5170" s="23">
        <v>0</v>
      </c>
      <c r="O5170">
        <f t="shared" si="1019"/>
        <v>-2</v>
      </c>
      <c r="P5170" s="57">
        <f t="shared" si="1020"/>
        <v>2</v>
      </c>
      <c r="Q5170" s="267">
        <f t="shared" si="1021"/>
        <v>0</v>
      </c>
      <c r="R5170" s="23">
        <f t="shared" si="1022"/>
        <v>1</v>
      </c>
      <c r="S5170" s="23">
        <f t="shared" si="1023"/>
        <v>0</v>
      </c>
      <c r="T5170" s="23" t="str">
        <f t="shared" si="1024"/>
        <v/>
      </c>
      <c r="U5170" t="str">
        <f t="shared" si="1025"/>
        <v/>
      </c>
      <c r="X5170" s="43"/>
      <c r="Y5170" s="53"/>
      <c r="Z5170" s="53"/>
      <c r="AA5170"/>
      <c r="AB5170" s="23"/>
      <c r="AF5170" s="22"/>
    </row>
    <row r="5171" spans="1:38">
      <c r="A5171" t="str">
        <f t="shared" si="1026"/>
        <v>PA_Alleg_2019p~Dem-school director pine richland region 1 (vote for 2)</v>
      </c>
      <c r="B5171" s="55" t="s">
        <v>1291</v>
      </c>
      <c r="C5171">
        <v>352</v>
      </c>
      <c r="D5171" s="55" t="s">
        <v>360</v>
      </c>
      <c r="E5171" s="55" t="s">
        <v>361</v>
      </c>
      <c r="F5171" t="s">
        <v>12</v>
      </c>
      <c r="G5171" s="62">
        <v>275</v>
      </c>
      <c r="H5171" s="25">
        <v>94.83</v>
      </c>
      <c r="I5171">
        <v>7073</v>
      </c>
      <c r="J5171">
        <v>874</v>
      </c>
      <c r="K5171">
        <v>5</v>
      </c>
      <c r="L5171">
        <v>5</v>
      </c>
      <c r="M5171">
        <v>0</v>
      </c>
      <c r="N5171" s="23">
        <v>0</v>
      </c>
      <c r="O5171">
        <f t="shared" si="1019"/>
        <v>1</v>
      </c>
      <c r="P5171" s="57">
        <f t="shared" si="1020"/>
        <v>2</v>
      </c>
      <c r="Q5171" s="267">
        <f t="shared" si="1021"/>
        <v>275</v>
      </c>
      <c r="R5171" s="23">
        <f t="shared" si="1022"/>
        <v>1</v>
      </c>
      <c r="S5171" s="23">
        <f t="shared" si="1023"/>
        <v>0</v>
      </c>
      <c r="T5171" s="23" t="str">
        <f t="shared" si="1024"/>
        <v/>
      </c>
      <c r="U5171" t="str">
        <f t="shared" si="1025"/>
        <v>PA_Alleg_2019p~Dem-school director pine richland region 1 (vote for 2)</v>
      </c>
      <c r="X5171" s="43"/>
      <c r="Y5171" s="53"/>
      <c r="Z5171" s="53"/>
      <c r="AA5171"/>
      <c r="AB5171" s="23"/>
      <c r="AF5171" s="22"/>
    </row>
    <row r="5172" spans="1:38">
      <c r="A5172" t="str">
        <f t="shared" si="1026"/>
        <v>PA_Alleg_2019p~Dem-school director pine richland region 1 (vote for 2)</v>
      </c>
      <c r="B5172" s="55" t="s">
        <v>1291</v>
      </c>
      <c r="C5172">
        <v>353</v>
      </c>
      <c r="D5172" s="55" t="s">
        <v>360</v>
      </c>
      <c r="E5172" s="55" t="s">
        <v>15</v>
      </c>
      <c r="F5172" t="s">
        <v>12</v>
      </c>
      <c r="G5172" s="62">
        <v>15</v>
      </c>
      <c r="H5172" s="25">
        <v>5.17</v>
      </c>
      <c r="I5172">
        <v>7073</v>
      </c>
      <c r="J5172">
        <v>874</v>
      </c>
      <c r="K5172">
        <v>5</v>
      </c>
      <c r="L5172">
        <v>5</v>
      </c>
      <c r="M5172">
        <v>0</v>
      </c>
      <c r="N5172" s="23">
        <v>0</v>
      </c>
      <c r="O5172">
        <f t="shared" si="1019"/>
        <v>-1</v>
      </c>
      <c r="P5172" s="57">
        <f t="shared" si="1020"/>
        <v>2</v>
      </c>
      <c r="Q5172" s="267">
        <f t="shared" si="1021"/>
        <v>15</v>
      </c>
      <c r="R5172" s="23">
        <f t="shared" si="1022"/>
        <v>1</v>
      </c>
      <c r="S5172" s="23">
        <f t="shared" si="1023"/>
        <v>0</v>
      </c>
      <c r="T5172" s="23" t="str">
        <f t="shared" si="1024"/>
        <v/>
      </c>
      <c r="U5172" t="str">
        <f t="shared" si="1025"/>
        <v/>
      </c>
      <c r="X5172" s="43"/>
      <c r="Y5172" s="53"/>
      <c r="Z5172" s="53"/>
      <c r="AA5172"/>
      <c r="AB5172" s="23"/>
    </row>
    <row r="5173" spans="1:38">
      <c r="A5173" t="str">
        <f t="shared" si="1026"/>
        <v>PA_Alleg_2019p~Dem-school director pine richland region 2 (vote for 1)</v>
      </c>
      <c r="B5173" s="55" t="s">
        <v>1291</v>
      </c>
      <c r="C5173">
        <v>406</v>
      </c>
      <c r="D5173" s="55" t="s">
        <v>414</v>
      </c>
      <c r="E5173" s="55" t="s">
        <v>415</v>
      </c>
      <c r="F5173" t="s">
        <v>12</v>
      </c>
      <c r="G5173" s="62">
        <v>286</v>
      </c>
      <c r="H5173" s="25">
        <v>99.65</v>
      </c>
      <c r="I5173">
        <v>6171</v>
      </c>
      <c r="J5173">
        <v>845</v>
      </c>
      <c r="K5173">
        <v>6</v>
      </c>
      <c r="L5173">
        <v>6</v>
      </c>
      <c r="M5173">
        <v>0</v>
      </c>
      <c r="N5173" s="23">
        <v>0</v>
      </c>
      <c r="O5173">
        <f t="shared" si="1019"/>
        <v>1</v>
      </c>
      <c r="P5173" s="57">
        <f t="shared" si="1020"/>
        <v>1</v>
      </c>
      <c r="Q5173" s="267">
        <f t="shared" si="1021"/>
        <v>287</v>
      </c>
      <c r="R5173" s="23">
        <f t="shared" si="1022"/>
        <v>286</v>
      </c>
      <c r="S5173" s="23">
        <f t="shared" si="1023"/>
        <v>0</v>
      </c>
      <c r="T5173" s="23" t="str">
        <f t="shared" si="1024"/>
        <v/>
      </c>
      <c r="U5173" t="str">
        <f t="shared" si="1025"/>
        <v>PA_Alleg_2019p~Dem-school director pine richland region 2 (vote for 1)</v>
      </c>
      <c r="X5173" s="43"/>
      <c r="Y5173" s="53"/>
      <c r="Z5173" s="53"/>
      <c r="AA5173"/>
      <c r="AB5173" s="23"/>
      <c r="AF5173" s="22"/>
    </row>
    <row r="5174" spans="1:38">
      <c r="A5174" t="str">
        <f t="shared" si="1026"/>
        <v>PA_Alleg_2019p~Dem-school director pine richland region 2 (vote for 1)</v>
      </c>
      <c r="B5174" s="55" t="s">
        <v>1291</v>
      </c>
      <c r="C5174">
        <v>407</v>
      </c>
      <c r="D5174" s="55" t="s">
        <v>414</v>
      </c>
      <c r="E5174" s="55" t="s">
        <v>15</v>
      </c>
      <c r="F5174" t="s">
        <v>12</v>
      </c>
      <c r="G5174" s="62">
        <v>1</v>
      </c>
      <c r="H5174" s="25">
        <v>0.35</v>
      </c>
      <c r="I5174">
        <v>6171</v>
      </c>
      <c r="J5174">
        <v>845</v>
      </c>
      <c r="K5174">
        <v>6</v>
      </c>
      <c r="L5174">
        <v>6</v>
      </c>
      <c r="M5174">
        <v>0</v>
      </c>
      <c r="N5174" s="23">
        <v>0</v>
      </c>
      <c r="O5174">
        <f t="shared" si="1019"/>
        <v>-1</v>
      </c>
      <c r="P5174" s="57">
        <f t="shared" si="1020"/>
        <v>1</v>
      </c>
      <c r="Q5174" s="267">
        <f t="shared" si="1021"/>
        <v>1</v>
      </c>
      <c r="R5174" s="23">
        <f t="shared" si="1022"/>
        <v>1</v>
      </c>
      <c r="S5174" s="23">
        <f t="shared" si="1023"/>
        <v>0</v>
      </c>
      <c r="T5174" s="23" t="str">
        <f t="shared" si="1024"/>
        <v/>
      </c>
      <c r="U5174" t="str">
        <f t="shared" si="1025"/>
        <v/>
      </c>
      <c r="X5174" s="43"/>
      <c r="Y5174" s="53"/>
      <c r="Z5174" s="53"/>
      <c r="AA5174"/>
      <c r="AB5174" s="23"/>
      <c r="AG5174" s="89"/>
      <c r="AH5174" s="274"/>
      <c r="AI5174" s="279"/>
      <c r="AJ5174" s="280"/>
      <c r="AK5174" s="92"/>
      <c r="AL5174" s="23"/>
    </row>
    <row r="5175" spans="1:38">
      <c r="A5175" t="str">
        <f t="shared" si="1026"/>
        <v>PA_Alleg_2019p~Dem-school director pine richland region 3 (vote for 1)</v>
      </c>
      <c r="B5175" s="55" t="s">
        <v>1291</v>
      </c>
      <c r="C5175">
        <v>448</v>
      </c>
      <c r="D5175" s="55" t="s">
        <v>451</v>
      </c>
      <c r="E5175" s="55" t="s">
        <v>431</v>
      </c>
      <c r="F5175" t="s">
        <v>12</v>
      </c>
      <c r="G5175" s="62">
        <v>110</v>
      </c>
      <c r="H5175" s="25">
        <v>41.04</v>
      </c>
      <c r="I5175">
        <v>5588</v>
      </c>
      <c r="J5175">
        <v>547</v>
      </c>
      <c r="K5175">
        <v>5</v>
      </c>
      <c r="L5175">
        <v>5</v>
      </c>
      <c r="M5175">
        <v>0</v>
      </c>
      <c r="N5175" s="23">
        <v>0</v>
      </c>
      <c r="O5175">
        <f t="shared" si="1019"/>
        <v>1</v>
      </c>
      <c r="P5175" s="57">
        <f t="shared" si="1020"/>
        <v>1</v>
      </c>
      <c r="Q5175" s="267">
        <f t="shared" si="1021"/>
        <v>268</v>
      </c>
      <c r="R5175" s="23">
        <f t="shared" si="1022"/>
        <v>110</v>
      </c>
      <c r="S5175" s="23">
        <f t="shared" si="1023"/>
        <v>85</v>
      </c>
      <c r="T5175" s="23">
        <f t="shared" si="1024"/>
        <v>25</v>
      </c>
      <c r="U5175" t="str">
        <f t="shared" si="1025"/>
        <v>PA_Alleg_2019p~Dem-school director pine richland region 3 (vote for 1)</v>
      </c>
      <c r="X5175" s="43"/>
      <c r="Y5175" s="53"/>
      <c r="Z5175" s="53"/>
      <c r="AA5175"/>
      <c r="AB5175" s="23"/>
      <c r="AF5175" s="22"/>
    </row>
    <row r="5176" spans="1:38">
      <c r="A5176" t="str">
        <f t="shared" si="1026"/>
        <v>PA_Alleg_2019p~Dem-school director pine richland region 3 (vote for 1)</v>
      </c>
      <c r="B5176" s="55" t="s">
        <v>1291</v>
      </c>
      <c r="C5176">
        <v>449</v>
      </c>
      <c r="D5176" s="55" t="s">
        <v>451</v>
      </c>
      <c r="E5176" s="55" t="s">
        <v>452</v>
      </c>
      <c r="F5176" t="s">
        <v>12</v>
      </c>
      <c r="G5176" s="62">
        <v>85</v>
      </c>
      <c r="H5176" s="25">
        <v>31.72</v>
      </c>
      <c r="I5176">
        <v>5588</v>
      </c>
      <c r="J5176">
        <v>547</v>
      </c>
      <c r="K5176">
        <v>5</v>
      </c>
      <c r="L5176">
        <v>5</v>
      </c>
      <c r="M5176">
        <v>0</v>
      </c>
      <c r="N5176" s="23">
        <v>0</v>
      </c>
      <c r="O5176">
        <f t="shared" si="1019"/>
        <v>2</v>
      </c>
      <c r="P5176" s="57">
        <f t="shared" si="1020"/>
        <v>1</v>
      </c>
      <c r="Q5176" s="267">
        <f t="shared" si="1021"/>
        <v>158</v>
      </c>
      <c r="R5176" s="23" t="str">
        <f t="shared" si="1022"/>
        <v/>
      </c>
      <c r="S5176" s="23">
        <f t="shared" si="1023"/>
        <v>85</v>
      </c>
      <c r="T5176" s="23" t="str">
        <f t="shared" si="1024"/>
        <v/>
      </c>
      <c r="U5176" t="str">
        <f t="shared" si="1025"/>
        <v/>
      </c>
      <c r="X5176" s="43"/>
      <c r="Y5176" s="53"/>
      <c r="Z5176" s="53"/>
      <c r="AA5176"/>
      <c r="AB5176" s="23"/>
      <c r="AF5176" s="22"/>
    </row>
    <row r="5177" spans="1:38">
      <c r="A5177" t="str">
        <f t="shared" si="1026"/>
        <v>PA_Alleg_2019p~Dem-school director pine richland region 3 (vote for 1)</v>
      </c>
      <c r="B5177" s="55" t="s">
        <v>1291</v>
      </c>
      <c r="C5177">
        <v>447</v>
      </c>
      <c r="D5177" s="55" t="s">
        <v>451</v>
      </c>
      <c r="E5177" s="55" t="s">
        <v>432</v>
      </c>
      <c r="F5177" t="s">
        <v>12</v>
      </c>
      <c r="G5177" s="62">
        <v>73</v>
      </c>
      <c r="H5177" s="25">
        <v>27.24</v>
      </c>
      <c r="I5177">
        <v>5588</v>
      </c>
      <c r="J5177">
        <v>547</v>
      </c>
      <c r="K5177">
        <v>5</v>
      </c>
      <c r="L5177">
        <v>5</v>
      </c>
      <c r="M5177">
        <v>0</v>
      </c>
      <c r="N5177" s="23">
        <v>0</v>
      </c>
      <c r="O5177">
        <f t="shared" si="1019"/>
        <v>3</v>
      </c>
      <c r="P5177" s="57">
        <f t="shared" si="1020"/>
        <v>1</v>
      </c>
      <c r="Q5177" s="267">
        <f t="shared" si="1021"/>
        <v>73</v>
      </c>
      <c r="R5177" s="23" t="str">
        <f t="shared" si="1022"/>
        <v/>
      </c>
      <c r="S5177" s="23">
        <f t="shared" si="1023"/>
        <v>73</v>
      </c>
      <c r="T5177" s="23" t="str">
        <f t="shared" si="1024"/>
        <v/>
      </c>
      <c r="U5177" t="str">
        <f t="shared" si="1025"/>
        <v/>
      </c>
      <c r="X5177" s="43"/>
      <c r="Y5177" s="53"/>
      <c r="Z5177" s="53"/>
      <c r="AA5177"/>
      <c r="AB5177" s="23"/>
      <c r="AF5177" s="22"/>
      <c r="AH5177" s="8"/>
      <c r="AL5177" s="23"/>
    </row>
    <row r="5178" spans="1:38">
      <c r="A5178" t="str">
        <f t="shared" si="1026"/>
        <v>PA_Alleg_2019p~Dem-school director pine richland region 3 (vote for 1)</v>
      </c>
      <c r="B5178" s="55" t="s">
        <v>1291</v>
      </c>
      <c r="C5178">
        <v>450</v>
      </c>
      <c r="D5178" s="55" t="s">
        <v>451</v>
      </c>
      <c r="E5178" s="55" t="s">
        <v>15</v>
      </c>
      <c r="F5178" t="s">
        <v>12</v>
      </c>
      <c r="G5178" s="62">
        <v>0</v>
      </c>
      <c r="H5178" s="25">
        <v>0</v>
      </c>
      <c r="I5178">
        <v>5588</v>
      </c>
      <c r="J5178">
        <v>547</v>
      </c>
      <c r="K5178">
        <v>5</v>
      </c>
      <c r="L5178">
        <v>5</v>
      </c>
      <c r="M5178">
        <v>0</v>
      </c>
      <c r="N5178" s="23">
        <v>0</v>
      </c>
      <c r="O5178">
        <f t="shared" si="1019"/>
        <v>-3</v>
      </c>
      <c r="P5178" s="57">
        <f t="shared" si="1020"/>
        <v>1</v>
      </c>
      <c r="Q5178" s="267">
        <f t="shared" si="1021"/>
        <v>0</v>
      </c>
      <c r="R5178" s="23">
        <f t="shared" si="1022"/>
        <v>1</v>
      </c>
      <c r="S5178" s="23">
        <f t="shared" si="1023"/>
        <v>0</v>
      </c>
      <c r="T5178" s="23" t="str">
        <f t="shared" si="1024"/>
        <v/>
      </c>
      <c r="U5178" t="str">
        <f t="shared" si="1025"/>
        <v/>
      </c>
      <c r="X5178" s="43"/>
      <c r="Y5178" s="53"/>
      <c r="Z5178" s="53"/>
      <c r="AA5178"/>
      <c r="AB5178" s="23"/>
      <c r="AF5178" s="22"/>
      <c r="AH5178" s="8"/>
      <c r="AL5178" s="23"/>
    </row>
    <row r="5179" spans="1:38">
      <c r="A5179" t="str">
        <f t="shared" si="1026"/>
        <v>PA_Alleg_2019p~Dem-school director pine richland region 3 (vote for 2)</v>
      </c>
      <c r="B5179" s="55" t="s">
        <v>1291</v>
      </c>
      <c r="C5179">
        <v>426</v>
      </c>
      <c r="D5179" s="55" t="s">
        <v>430</v>
      </c>
      <c r="E5179" s="55" t="s">
        <v>431</v>
      </c>
      <c r="F5179" t="s">
        <v>12</v>
      </c>
      <c r="G5179" s="62">
        <v>233</v>
      </c>
      <c r="H5179" s="25">
        <v>53.2</v>
      </c>
      <c r="I5179">
        <v>5588</v>
      </c>
      <c r="J5179">
        <v>547</v>
      </c>
      <c r="K5179">
        <v>5</v>
      </c>
      <c r="L5179">
        <v>5</v>
      </c>
      <c r="M5179">
        <v>0</v>
      </c>
      <c r="N5179" s="23">
        <v>0</v>
      </c>
      <c r="O5179">
        <f t="shared" si="1019"/>
        <v>1</v>
      </c>
      <c r="P5179" s="57">
        <f t="shared" si="1020"/>
        <v>2</v>
      </c>
      <c r="Q5179" s="267">
        <f t="shared" si="1021"/>
        <v>233</v>
      </c>
      <c r="R5179" s="23">
        <f t="shared" si="1022"/>
        <v>202</v>
      </c>
      <c r="S5179" s="23">
        <f t="shared" si="1023"/>
        <v>0</v>
      </c>
      <c r="T5179" s="23" t="str">
        <f t="shared" si="1024"/>
        <v/>
      </c>
      <c r="U5179" t="str">
        <f t="shared" si="1025"/>
        <v>PA_Alleg_2019p~Dem-school director pine richland region 3 (vote for 2)</v>
      </c>
      <c r="X5179" s="43"/>
      <c r="Y5179" s="53"/>
      <c r="Z5179" s="53"/>
      <c r="AA5179"/>
      <c r="AB5179" s="23"/>
      <c r="AF5179" s="22"/>
      <c r="AH5179" s="8"/>
      <c r="AL5179" s="23"/>
    </row>
    <row r="5180" spans="1:38">
      <c r="A5180" t="str">
        <f t="shared" si="1026"/>
        <v>PA_Alleg_2019p~Dem-school director pine richland region 3 (vote for 2)</v>
      </c>
      <c r="B5180" s="55" t="s">
        <v>1291</v>
      </c>
      <c r="C5180">
        <v>427</v>
      </c>
      <c r="D5180" s="55" t="s">
        <v>430</v>
      </c>
      <c r="E5180" s="55" t="s">
        <v>432</v>
      </c>
      <c r="F5180" t="s">
        <v>12</v>
      </c>
      <c r="G5180" s="62">
        <v>202</v>
      </c>
      <c r="H5180" s="25">
        <v>46.12</v>
      </c>
      <c r="I5180">
        <v>5588</v>
      </c>
      <c r="J5180">
        <v>547</v>
      </c>
      <c r="K5180">
        <v>5</v>
      </c>
      <c r="L5180">
        <v>5</v>
      </c>
      <c r="M5180">
        <v>0</v>
      </c>
      <c r="N5180" s="23">
        <v>0</v>
      </c>
      <c r="O5180">
        <f t="shared" si="1019"/>
        <v>2</v>
      </c>
      <c r="P5180" s="57">
        <f t="shared" si="1020"/>
        <v>2</v>
      </c>
      <c r="Q5180" s="267">
        <f t="shared" si="1021"/>
        <v>205</v>
      </c>
      <c r="R5180" s="23">
        <f t="shared" si="1022"/>
        <v>202</v>
      </c>
      <c r="S5180" s="23">
        <f t="shared" si="1023"/>
        <v>0</v>
      </c>
      <c r="T5180" s="23" t="str">
        <f t="shared" si="1024"/>
        <v/>
      </c>
      <c r="U5180" t="str">
        <f t="shared" si="1025"/>
        <v/>
      </c>
      <c r="X5180" s="43"/>
      <c r="Y5180" s="53"/>
      <c r="Z5180" s="53"/>
      <c r="AA5180"/>
      <c r="AB5180" s="23"/>
      <c r="AF5180" s="22"/>
      <c r="AH5180" s="8"/>
      <c r="AL5180" s="23"/>
    </row>
    <row r="5181" spans="1:38">
      <c r="A5181" t="str">
        <f t="shared" si="1026"/>
        <v>PA_Alleg_2019p~Dem-school director pine richland region 3 (vote for 2)</v>
      </c>
      <c r="B5181" s="55" t="s">
        <v>1291</v>
      </c>
      <c r="C5181">
        <v>428</v>
      </c>
      <c r="D5181" s="55" t="s">
        <v>430</v>
      </c>
      <c r="E5181" s="55" t="s">
        <v>15</v>
      </c>
      <c r="F5181" t="s">
        <v>12</v>
      </c>
      <c r="G5181" s="62">
        <v>3</v>
      </c>
      <c r="H5181" s="25">
        <v>0.68</v>
      </c>
      <c r="I5181">
        <v>5588</v>
      </c>
      <c r="J5181">
        <v>547</v>
      </c>
      <c r="K5181">
        <v>5</v>
      </c>
      <c r="L5181">
        <v>5</v>
      </c>
      <c r="M5181">
        <v>0</v>
      </c>
      <c r="N5181" s="23">
        <v>0</v>
      </c>
      <c r="O5181">
        <f t="shared" si="1019"/>
        <v>-2</v>
      </c>
      <c r="P5181" s="57">
        <f t="shared" si="1020"/>
        <v>2</v>
      </c>
      <c r="Q5181" s="267">
        <f t="shared" si="1021"/>
        <v>3</v>
      </c>
      <c r="R5181" s="23">
        <f t="shared" si="1022"/>
        <v>1</v>
      </c>
      <c r="S5181" s="23">
        <f t="shared" si="1023"/>
        <v>0</v>
      </c>
      <c r="T5181" s="23" t="str">
        <f t="shared" si="1024"/>
        <v/>
      </c>
      <c r="U5181" t="str">
        <f t="shared" si="1025"/>
        <v/>
      </c>
      <c r="X5181" s="43"/>
      <c r="Y5181" s="53"/>
      <c r="Z5181" s="53"/>
      <c r="AA5181"/>
      <c r="AB5181" s="23"/>
      <c r="AF5181" s="22"/>
      <c r="AH5181" s="8"/>
      <c r="AL5181" s="23"/>
    </row>
    <row r="5182" spans="1:38">
      <c r="A5182" t="str">
        <f t="shared" si="1026"/>
        <v>PA_Alleg_2019p~Dem-school director plum (vote for 1)</v>
      </c>
      <c r="B5182" s="55" t="s">
        <v>1291</v>
      </c>
      <c r="C5182">
        <v>337</v>
      </c>
      <c r="D5182" s="55" t="s">
        <v>345</v>
      </c>
      <c r="E5182" s="55" t="s">
        <v>346</v>
      </c>
      <c r="F5182" t="s">
        <v>12</v>
      </c>
      <c r="G5182" s="62">
        <v>1030</v>
      </c>
      <c r="H5182" s="25">
        <v>57.51</v>
      </c>
      <c r="I5182">
        <v>19280</v>
      </c>
      <c r="J5182">
        <v>3503</v>
      </c>
      <c r="K5182">
        <v>21</v>
      </c>
      <c r="L5182">
        <v>21</v>
      </c>
      <c r="M5182">
        <v>0</v>
      </c>
      <c r="N5182" s="23">
        <v>0</v>
      </c>
      <c r="O5182">
        <f t="shared" si="1019"/>
        <v>1</v>
      </c>
      <c r="P5182" s="57">
        <f t="shared" si="1020"/>
        <v>1</v>
      </c>
      <c r="Q5182" s="267">
        <f t="shared" si="1021"/>
        <v>1791</v>
      </c>
      <c r="R5182" s="23">
        <f t="shared" si="1022"/>
        <v>1030</v>
      </c>
      <c r="S5182" s="23">
        <f t="shared" si="1023"/>
        <v>755</v>
      </c>
      <c r="T5182" s="23">
        <f t="shared" si="1024"/>
        <v>275</v>
      </c>
      <c r="U5182" t="str">
        <f t="shared" si="1025"/>
        <v>PA_Alleg_2019p~Dem-school director plum (vote for 1)</v>
      </c>
      <c r="X5182" s="43"/>
      <c r="Y5182" s="53"/>
      <c r="Z5182" s="53"/>
      <c r="AA5182"/>
      <c r="AB5182" s="23"/>
      <c r="AL5182" s="23"/>
    </row>
    <row r="5183" spans="1:38">
      <c r="A5183" t="str">
        <f t="shared" si="1026"/>
        <v>PA_Alleg_2019p~Dem-school director plum (vote for 1)</v>
      </c>
      <c r="B5183" s="55" t="s">
        <v>1291</v>
      </c>
      <c r="C5183">
        <v>338</v>
      </c>
      <c r="D5183" s="55" t="s">
        <v>345</v>
      </c>
      <c r="E5183" s="55" t="s">
        <v>347</v>
      </c>
      <c r="F5183" t="s">
        <v>12</v>
      </c>
      <c r="G5183" s="62">
        <v>755</v>
      </c>
      <c r="H5183" s="25">
        <v>42.16</v>
      </c>
      <c r="I5183">
        <v>19280</v>
      </c>
      <c r="J5183">
        <v>3503</v>
      </c>
      <c r="K5183">
        <v>21</v>
      </c>
      <c r="L5183">
        <v>21</v>
      </c>
      <c r="M5183">
        <v>0</v>
      </c>
      <c r="N5183" s="23">
        <v>0</v>
      </c>
      <c r="O5183">
        <f t="shared" si="1019"/>
        <v>2</v>
      </c>
      <c r="P5183" s="57">
        <f t="shared" si="1020"/>
        <v>1</v>
      </c>
      <c r="Q5183" s="267">
        <f t="shared" si="1021"/>
        <v>761</v>
      </c>
      <c r="R5183" s="23" t="str">
        <f t="shared" si="1022"/>
        <v/>
      </c>
      <c r="S5183" s="23">
        <f t="shared" si="1023"/>
        <v>755</v>
      </c>
      <c r="T5183" s="23" t="str">
        <f t="shared" si="1024"/>
        <v/>
      </c>
      <c r="U5183" t="str">
        <f t="shared" si="1025"/>
        <v/>
      </c>
      <c r="X5183" s="43"/>
      <c r="Y5183" s="53"/>
      <c r="Z5183" s="53"/>
      <c r="AA5183"/>
      <c r="AB5183" s="23"/>
      <c r="AF5183" s="22"/>
      <c r="AH5183" s="8"/>
      <c r="AL5183" s="23"/>
    </row>
    <row r="5184" spans="1:38">
      <c r="A5184" t="str">
        <f t="shared" si="1026"/>
        <v>PA_Alleg_2019p~Dem-school director plum (vote for 1)</v>
      </c>
      <c r="B5184" s="55" t="s">
        <v>1291</v>
      </c>
      <c r="C5184">
        <v>339</v>
      </c>
      <c r="D5184" s="55" t="s">
        <v>345</v>
      </c>
      <c r="E5184" s="55" t="s">
        <v>15</v>
      </c>
      <c r="F5184" t="s">
        <v>12</v>
      </c>
      <c r="G5184" s="62">
        <v>6</v>
      </c>
      <c r="H5184" s="25">
        <v>0.34</v>
      </c>
      <c r="I5184">
        <v>19280</v>
      </c>
      <c r="J5184">
        <v>3503</v>
      </c>
      <c r="K5184">
        <v>21</v>
      </c>
      <c r="L5184">
        <v>21</v>
      </c>
      <c r="M5184">
        <v>0</v>
      </c>
      <c r="N5184" s="23">
        <v>0</v>
      </c>
      <c r="O5184">
        <f t="shared" si="1019"/>
        <v>-2</v>
      </c>
      <c r="P5184" s="57">
        <f t="shared" si="1020"/>
        <v>1</v>
      </c>
      <c r="Q5184" s="267">
        <f t="shared" si="1021"/>
        <v>6</v>
      </c>
      <c r="R5184" s="23">
        <f t="shared" si="1022"/>
        <v>1</v>
      </c>
      <c r="S5184" s="23">
        <f t="shared" si="1023"/>
        <v>0</v>
      </c>
      <c r="T5184" s="23" t="str">
        <f t="shared" si="1024"/>
        <v/>
      </c>
      <c r="U5184" t="str">
        <f t="shared" si="1025"/>
        <v/>
      </c>
      <c r="X5184" s="43"/>
      <c r="Y5184" s="53"/>
      <c r="Z5184" s="53"/>
      <c r="AA5184"/>
      <c r="AB5184" s="23"/>
      <c r="AF5184" s="22"/>
    </row>
    <row r="5185" spans="1:38">
      <c r="A5185" t="str">
        <f t="shared" si="1026"/>
        <v>PA_Alleg_2019p~Dem-school director plum (vote for 5)</v>
      </c>
      <c r="B5185" s="55" t="s">
        <v>1291</v>
      </c>
      <c r="C5185">
        <v>318</v>
      </c>
      <c r="D5185" s="55" t="s">
        <v>325</v>
      </c>
      <c r="E5185" s="55" t="s">
        <v>330</v>
      </c>
      <c r="F5185" t="s">
        <v>12</v>
      </c>
      <c r="G5185" s="62">
        <v>1008</v>
      </c>
      <c r="H5185" s="25">
        <v>12.14</v>
      </c>
      <c r="I5185">
        <v>19280</v>
      </c>
      <c r="J5185">
        <v>3503</v>
      </c>
      <c r="K5185">
        <v>21</v>
      </c>
      <c r="L5185">
        <v>21</v>
      </c>
      <c r="M5185">
        <v>0</v>
      </c>
      <c r="N5185" s="23">
        <v>0</v>
      </c>
      <c r="O5185">
        <f t="shared" si="1019"/>
        <v>1</v>
      </c>
      <c r="P5185" s="57">
        <f t="shared" si="1020"/>
        <v>5</v>
      </c>
      <c r="Q5185" s="267">
        <f t="shared" si="1021"/>
        <v>1661</v>
      </c>
      <c r="R5185" s="23">
        <f t="shared" si="1022"/>
        <v>715</v>
      </c>
      <c r="S5185" s="23">
        <f t="shared" si="1023"/>
        <v>615</v>
      </c>
      <c r="T5185" s="23">
        <f t="shared" si="1024"/>
        <v>100</v>
      </c>
      <c r="U5185" t="str">
        <f t="shared" si="1025"/>
        <v>PA_Alleg_2019p~Dem-school director plum (vote for 5)</v>
      </c>
      <c r="X5185" s="43"/>
      <c r="Y5185" s="53"/>
      <c r="Z5185" s="53"/>
      <c r="AA5185"/>
      <c r="AB5185" s="23"/>
      <c r="AF5185" s="22"/>
    </row>
    <row r="5186" spans="1:38">
      <c r="A5186" t="str">
        <f t="shared" si="1026"/>
        <v>PA_Alleg_2019p~Dem-school director plum (vote for 5)</v>
      </c>
      <c r="B5186" s="55" t="s">
        <v>1291</v>
      </c>
      <c r="C5186">
        <v>316</v>
      </c>
      <c r="D5186" s="55" t="s">
        <v>325</v>
      </c>
      <c r="E5186" s="55" t="s">
        <v>328</v>
      </c>
      <c r="F5186" t="s">
        <v>12</v>
      </c>
      <c r="G5186" s="62">
        <v>920</v>
      </c>
      <c r="H5186" s="25">
        <v>11.08</v>
      </c>
      <c r="I5186">
        <v>19280</v>
      </c>
      <c r="J5186">
        <v>3503</v>
      </c>
      <c r="K5186">
        <v>21</v>
      </c>
      <c r="L5186">
        <v>21</v>
      </c>
      <c r="M5186">
        <v>0</v>
      </c>
      <c r="N5186" s="23">
        <v>0</v>
      </c>
      <c r="O5186">
        <f t="shared" ref="O5186:O5249" si="1027">IF(OR(LOWER(LEFT(E5186,8))="write-in",LOWER(LEFT(E5186,8))="not qual"),IF(A5186=A5185,-ABS(O5185),0),IF(A5186=A5185,ABS(O5185)+1,1))</f>
        <v>2</v>
      </c>
      <c r="P5186" s="57">
        <f t="shared" ref="P5186:P5249" si="1028">1*LEFT(RIGHT(A5186,2),1)</f>
        <v>5</v>
      </c>
      <c r="Q5186" s="267">
        <f t="shared" ref="Q5186:Q5249" si="1029">IF(A5186&lt;&gt;A5187,G5186,IF(A5186=A5185,G5186+Q5187,MAX(G5186,(G5186+Q5187)/P5186)))</f>
        <v>7297</v>
      </c>
      <c r="R5186" s="23">
        <f t="shared" ref="R5186:R5249" si="1030">IF(O5186&gt;P5186,"",IF(O5186=P5186,G5186,IF(A5186=A5187,R5187,IF(O5186&lt;=0,1,G5186))))</f>
        <v>715</v>
      </c>
      <c r="S5186" s="23">
        <f t="shared" ref="S5186:S5249" si="1031">IF(AND(O5186&gt;P5186,LOWER(LEFT(E5186,8))&lt;&gt;"write-in",LOWER(LEFT(E5186,8))&lt;&gt;"not qual"),G5186,IF(A5186=A5187,S5187,0))</f>
        <v>615</v>
      </c>
      <c r="T5186" s="23" t="str">
        <f t="shared" ref="T5186:T5249" si="1032">IF(OR(A5186=A5185,S5186=0),"",R5186-ABS(S5186))</f>
        <v/>
      </c>
      <c r="U5186" t="str">
        <f t="shared" ref="U5186:U5249" si="1033">IF(A5186=A5185,"",A5186)</f>
        <v/>
      </c>
      <c r="X5186" s="43"/>
      <c r="Y5186" s="53"/>
      <c r="Z5186" s="53"/>
      <c r="AA5186"/>
      <c r="AB5186" s="23"/>
      <c r="AF5186" s="22"/>
      <c r="AH5186" s="8"/>
      <c r="AL5186" s="23"/>
    </row>
    <row r="5187" spans="1:38">
      <c r="A5187" t="str">
        <f t="shared" ref="A5187:A5250" si="1034">CONCATENATE(B5187,"~",F5187,"-",LOWER(D5187))</f>
        <v>PA_Alleg_2019p~Dem-school director plum (vote for 5)</v>
      </c>
      <c r="B5187" s="55" t="s">
        <v>1291</v>
      </c>
      <c r="C5187">
        <v>319</v>
      </c>
      <c r="D5187" s="55" t="s">
        <v>325</v>
      </c>
      <c r="E5187" s="55" t="s">
        <v>331</v>
      </c>
      <c r="F5187" t="s">
        <v>12</v>
      </c>
      <c r="G5187" s="62">
        <v>908</v>
      </c>
      <c r="H5187" s="25">
        <v>10.93</v>
      </c>
      <c r="I5187">
        <v>19280</v>
      </c>
      <c r="J5187">
        <v>3503</v>
      </c>
      <c r="K5187">
        <v>21</v>
      </c>
      <c r="L5187">
        <v>21</v>
      </c>
      <c r="M5187">
        <v>0</v>
      </c>
      <c r="N5187" s="23">
        <v>0</v>
      </c>
      <c r="O5187">
        <f t="shared" si="1027"/>
        <v>3</v>
      </c>
      <c r="P5187" s="57">
        <f t="shared" si="1028"/>
        <v>5</v>
      </c>
      <c r="Q5187" s="267">
        <f t="shared" si="1029"/>
        <v>6377</v>
      </c>
      <c r="R5187" s="23">
        <f t="shared" si="1030"/>
        <v>715</v>
      </c>
      <c r="S5187" s="23">
        <f t="shared" si="1031"/>
        <v>615</v>
      </c>
      <c r="T5187" s="23" t="str">
        <f t="shared" si="1032"/>
        <v/>
      </c>
      <c r="U5187" t="str">
        <f t="shared" si="1033"/>
        <v/>
      </c>
      <c r="X5187" s="43"/>
      <c r="Y5187" s="53"/>
      <c r="Z5187" s="53"/>
      <c r="AA5187"/>
      <c r="AB5187" s="23"/>
      <c r="AF5187" s="22"/>
    </row>
    <row r="5188" spans="1:38">
      <c r="A5188" t="str">
        <f t="shared" si="1034"/>
        <v>PA_Alleg_2019p~Dem-school director plum (vote for 5)</v>
      </c>
      <c r="B5188" s="55" t="s">
        <v>1291</v>
      </c>
      <c r="C5188">
        <v>322</v>
      </c>
      <c r="D5188" s="55" t="s">
        <v>325</v>
      </c>
      <c r="E5188" s="55" t="s">
        <v>334</v>
      </c>
      <c r="F5188" t="s">
        <v>12</v>
      </c>
      <c r="G5188" s="62">
        <v>823</v>
      </c>
      <c r="H5188" s="25">
        <v>9.91</v>
      </c>
      <c r="I5188">
        <v>19280</v>
      </c>
      <c r="J5188">
        <v>3503</v>
      </c>
      <c r="K5188">
        <v>21</v>
      </c>
      <c r="L5188">
        <v>21</v>
      </c>
      <c r="M5188">
        <v>0</v>
      </c>
      <c r="N5188" s="23">
        <v>0</v>
      </c>
      <c r="O5188">
        <f t="shared" si="1027"/>
        <v>4</v>
      </c>
      <c r="P5188" s="57">
        <f t="shared" si="1028"/>
        <v>5</v>
      </c>
      <c r="Q5188" s="267">
        <f t="shared" si="1029"/>
        <v>5469</v>
      </c>
      <c r="R5188" s="23">
        <f t="shared" si="1030"/>
        <v>715</v>
      </c>
      <c r="S5188" s="23">
        <f t="shared" si="1031"/>
        <v>615</v>
      </c>
      <c r="T5188" s="23" t="str">
        <f t="shared" si="1032"/>
        <v/>
      </c>
      <c r="U5188" t="str">
        <f t="shared" si="1033"/>
        <v/>
      </c>
      <c r="X5188" s="43"/>
      <c r="Y5188" s="53"/>
      <c r="Z5188" s="53"/>
      <c r="AA5188"/>
      <c r="AB5188" s="23"/>
    </row>
    <row r="5189" spans="1:38">
      <c r="A5189" t="str">
        <f t="shared" si="1034"/>
        <v>PA_Alleg_2019p~Dem-school director plum (vote for 5)</v>
      </c>
      <c r="B5189" s="55" t="s">
        <v>1291</v>
      </c>
      <c r="C5189">
        <v>323</v>
      </c>
      <c r="D5189" s="55" t="s">
        <v>325</v>
      </c>
      <c r="E5189" s="55" t="s">
        <v>335</v>
      </c>
      <c r="F5189" t="s">
        <v>12</v>
      </c>
      <c r="G5189" s="62">
        <v>715</v>
      </c>
      <c r="H5189" s="25">
        <v>8.61</v>
      </c>
      <c r="I5189">
        <v>19280</v>
      </c>
      <c r="J5189">
        <v>3503</v>
      </c>
      <c r="K5189">
        <v>21</v>
      </c>
      <c r="L5189">
        <v>21</v>
      </c>
      <c r="M5189">
        <v>0</v>
      </c>
      <c r="N5189" s="23">
        <v>0</v>
      </c>
      <c r="O5189">
        <f t="shared" si="1027"/>
        <v>5</v>
      </c>
      <c r="P5189" s="57">
        <f t="shared" si="1028"/>
        <v>5</v>
      </c>
      <c r="Q5189" s="267">
        <f t="shared" si="1029"/>
        <v>4646</v>
      </c>
      <c r="R5189" s="23">
        <f t="shared" si="1030"/>
        <v>715</v>
      </c>
      <c r="S5189" s="23">
        <f t="shared" si="1031"/>
        <v>615</v>
      </c>
      <c r="T5189" s="23" t="str">
        <f t="shared" si="1032"/>
        <v/>
      </c>
      <c r="U5189" t="str">
        <f t="shared" si="1033"/>
        <v/>
      </c>
      <c r="X5189" s="43"/>
      <c r="Y5189" s="53"/>
      <c r="Z5189" s="53"/>
      <c r="AA5189"/>
      <c r="AB5189" s="23"/>
      <c r="AF5189" s="22"/>
    </row>
    <row r="5190" spans="1:38">
      <c r="A5190" t="str">
        <f t="shared" si="1034"/>
        <v>PA_Alleg_2019p~Dem-school director plum (vote for 5)</v>
      </c>
      <c r="B5190" s="55" t="s">
        <v>1291</v>
      </c>
      <c r="C5190">
        <v>328</v>
      </c>
      <c r="D5190" s="55" t="s">
        <v>325</v>
      </c>
      <c r="E5190" s="55" t="s">
        <v>337</v>
      </c>
      <c r="F5190" t="s">
        <v>12</v>
      </c>
      <c r="G5190" s="62">
        <v>615</v>
      </c>
      <c r="H5190" s="25">
        <v>7.41</v>
      </c>
      <c r="I5190">
        <v>19280</v>
      </c>
      <c r="J5190">
        <v>3503</v>
      </c>
      <c r="K5190">
        <v>21</v>
      </c>
      <c r="L5190">
        <v>21</v>
      </c>
      <c r="M5190">
        <v>0</v>
      </c>
      <c r="N5190" s="23">
        <v>0</v>
      </c>
      <c r="O5190">
        <f t="shared" si="1027"/>
        <v>6</v>
      </c>
      <c r="P5190" s="57">
        <f t="shared" si="1028"/>
        <v>5</v>
      </c>
      <c r="Q5190" s="267">
        <f t="shared" si="1029"/>
        <v>3931</v>
      </c>
      <c r="R5190" s="23" t="str">
        <f t="shared" si="1030"/>
        <v/>
      </c>
      <c r="S5190" s="23">
        <f t="shared" si="1031"/>
        <v>615</v>
      </c>
      <c r="T5190" s="23" t="str">
        <f t="shared" si="1032"/>
        <v/>
      </c>
      <c r="U5190" t="str">
        <f t="shared" si="1033"/>
        <v/>
      </c>
      <c r="X5190" s="43"/>
      <c r="Y5190" s="53"/>
      <c r="Z5190" s="53"/>
      <c r="AA5190"/>
      <c r="AB5190" s="23"/>
      <c r="AF5190" s="22"/>
    </row>
    <row r="5191" spans="1:38">
      <c r="A5191" t="str">
        <f t="shared" si="1034"/>
        <v>PA_Alleg_2019p~Dem-school director plum (vote for 5)</v>
      </c>
      <c r="B5191" s="55" t="s">
        <v>1291</v>
      </c>
      <c r="C5191">
        <v>314</v>
      </c>
      <c r="D5191" s="55" t="s">
        <v>325</v>
      </c>
      <c r="E5191" s="55" t="s">
        <v>326</v>
      </c>
      <c r="F5191" t="s">
        <v>12</v>
      </c>
      <c r="G5191" s="62">
        <v>613</v>
      </c>
      <c r="H5191" s="25">
        <v>7.38</v>
      </c>
      <c r="I5191">
        <v>19280</v>
      </c>
      <c r="J5191">
        <v>3503</v>
      </c>
      <c r="K5191">
        <v>21</v>
      </c>
      <c r="L5191">
        <v>21</v>
      </c>
      <c r="M5191">
        <v>0</v>
      </c>
      <c r="N5191" s="23">
        <v>0</v>
      </c>
      <c r="O5191">
        <f t="shared" si="1027"/>
        <v>7</v>
      </c>
      <c r="P5191" s="57">
        <f t="shared" si="1028"/>
        <v>5</v>
      </c>
      <c r="Q5191" s="267">
        <f t="shared" si="1029"/>
        <v>3316</v>
      </c>
      <c r="R5191" s="23" t="str">
        <f t="shared" si="1030"/>
        <v/>
      </c>
      <c r="S5191" s="23">
        <f t="shared" si="1031"/>
        <v>613</v>
      </c>
      <c r="T5191" s="23" t="str">
        <f t="shared" si="1032"/>
        <v/>
      </c>
      <c r="U5191" t="str">
        <f t="shared" si="1033"/>
        <v/>
      </c>
      <c r="X5191" s="43"/>
      <c r="Y5191" s="53"/>
      <c r="Z5191" s="53"/>
      <c r="AA5191"/>
      <c r="AB5191" s="23"/>
      <c r="AF5191" s="22"/>
    </row>
    <row r="5192" spans="1:38">
      <c r="A5192" t="str">
        <f t="shared" si="1034"/>
        <v>PA_Alleg_2019p~Dem-school director plum (vote for 5)</v>
      </c>
      <c r="B5192" s="55" t="s">
        <v>1291</v>
      </c>
      <c r="C5192">
        <v>315</v>
      </c>
      <c r="D5192" s="55" t="s">
        <v>325</v>
      </c>
      <c r="E5192" s="55" t="s">
        <v>327</v>
      </c>
      <c r="F5192" t="s">
        <v>12</v>
      </c>
      <c r="G5192" s="62">
        <v>489</v>
      </c>
      <c r="H5192" s="25">
        <v>5.89</v>
      </c>
      <c r="I5192">
        <v>19280</v>
      </c>
      <c r="J5192">
        <v>3503</v>
      </c>
      <c r="K5192">
        <v>21</v>
      </c>
      <c r="L5192">
        <v>21</v>
      </c>
      <c r="M5192">
        <v>0</v>
      </c>
      <c r="N5192" s="23">
        <v>0</v>
      </c>
      <c r="O5192">
        <f t="shared" si="1027"/>
        <v>8</v>
      </c>
      <c r="P5192" s="57">
        <f t="shared" si="1028"/>
        <v>5</v>
      </c>
      <c r="Q5192" s="267">
        <f t="shared" si="1029"/>
        <v>2703</v>
      </c>
      <c r="R5192" s="23" t="str">
        <f t="shared" si="1030"/>
        <v/>
      </c>
      <c r="S5192" s="23">
        <f t="shared" si="1031"/>
        <v>489</v>
      </c>
      <c r="T5192" s="23" t="str">
        <f t="shared" si="1032"/>
        <v/>
      </c>
      <c r="U5192" t="str">
        <f t="shared" si="1033"/>
        <v/>
      </c>
      <c r="X5192" s="43"/>
      <c r="Y5192" s="53"/>
      <c r="Z5192" s="53"/>
      <c r="AA5192"/>
      <c r="AB5192" s="23"/>
      <c r="AF5192" s="22"/>
      <c r="AH5192" s="8"/>
      <c r="AL5192" s="23"/>
    </row>
    <row r="5193" spans="1:38">
      <c r="A5193" t="str">
        <f t="shared" si="1034"/>
        <v>PA_Alleg_2019p~Dem-school director plum (vote for 5)</v>
      </c>
      <c r="B5193" s="55" t="s">
        <v>1291</v>
      </c>
      <c r="C5193">
        <v>331</v>
      </c>
      <c r="D5193" s="55" t="s">
        <v>325</v>
      </c>
      <c r="E5193" s="55" t="s">
        <v>340</v>
      </c>
      <c r="F5193" t="s">
        <v>12</v>
      </c>
      <c r="G5193" s="62">
        <v>467</v>
      </c>
      <c r="H5193" s="25">
        <v>5.62</v>
      </c>
      <c r="I5193">
        <v>19280</v>
      </c>
      <c r="J5193">
        <v>3503</v>
      </c>
      <c r="K5193">
        <v>21</v>
      </c>
      <c r="L5193">
        <v>21</v>
      </c>
      <c r="M5193">
        <v>0</v>
      </c>
      <c r="N5193" s="23">
        <v>0</v>
      </c>
      <c r="O5193">
        <f t="shared" si="1027"/>
        <v>9</v>
      </c>
      <c r="P5193" s="57">
        <f t="shared" si="1028"/>
        <v>5</v>
      </c>
      <c r="Q5193" s="267">
        <f t="shared" si="1029"/>
        <v>2214</v>
      </c>
      <c r="R5193" s="23" t="str">
        <f t="shared" si="1030"/>
        <v/>
      </c>
      <c r="S5193" s="23">
        <f t="shared" si="1031"/>
        <v>467</v>
      </c>
      <c r="T5193" s="23" t="str">
        <f t="shared" si="1032"/>
        <v/>
      </c>
      <c r="U5193" t="str">
        <f t="shared" si="1033"/>
        <v/>
      </c>
      <c r="X5193" s="43"/>
      <c r="Y5193" s="53"/>
      <c r="Z5193" s="53"/>
      <c r="AA5193"/>
      <c r="AB5193" s="23"/>
      <c r="AF5193" s="22"/>
      <c r="AH5193" s="8"/>
      <c r="AL5193" s="23"/>
    </row>
    <row r="5194" spans="1:38">
      <c r="A5194" t="str">
        <f t="shared" si="1034"/>
        <v>PA_Alleg_2019p~Dem-school director plum (vote for 5)</v>
      </c>
      <c r="B5194" s="55" t="s">
        <v>1291</v>
      </c>
      <c r="C5194">
        <v>321</v>
      </c>
      <c r="D5194" s="55" t="s">
        <v>325</v>
      </c>
      <c r="E5194" s="55" t="s">
        <v>333</v>
      </c>
      <c r="F5194" t="s">
        <v>12</v>
      </c>
      <c r="G5194" s="62">
        <v>467</v>
      </c>
      <c r="H5194" s="25">
        <v>5.62</v>
      </c>
      <c r="I5194">
        <v>19280</v>
      </c>
      <c r="J5194">
        <v>3503</v>
      </c>
      <c r="K5194">
        <v>21</v>
      </c>
      <c r="L5194">
        <v>21</v>
      </c>
      <c r="M5194">
        <v>0</v>
      </c>
      <c r="N5194" s="23">
        <v>0</v>
      </c>
      <c r="O5194">
        <f t="shared" si="1027"/>
        <v>10</v>
      </c>
      <c r="P5194" s="57">
        <f t="shared" si="1028"/>
        <v>5</v>
      </c>
      <c r="Q5194" s="267">
        <f t="shared" si="1029"/>
        <v>1747</v>
      </c>
      <c r="R5194" s="23" t="str">
        <f t="shared" si="1030"/>
        <v/>
      </c>
      <c r="S5194" s="23">
        <f t="shared" si="1031"/>
        <v>467</v>
      </c>
      <c r="T5194" s="23" t="str">
        <f t="shared" si="1032"/>
        <v/>
      </c>
      <c r="U5194" t="str">
        <f t="shared" si="1033"/>
        <v/>
      </c>
      <c r="X5194" s="43"/>
      <c r="Y5194" s="53"/>
      <c r="Z5194" s="53"/>
      <c r="AA5194"/>
      <c r="AB5194" s="23"/>
      <c r="AF5194" s="22"/>
    </row>
    <row r="5195" spans="1:38">
      <c r="A5195" t="str">
        <f t="shared" si="1034"/>
        <v>PA_Alleg_2019p~Dem-school director plum (vote for 5)</v>
      </c>
      <c r="B5195" s="55" t="s">
        <v>1291</v>
      </c>
      <c r="C5195">
        <v>320</v>
      </c>
      <c r="D5195" s="55" t="s">
        <v>325</v>
      </c>
      <c r="E5195" s="55" t="s">
        <v>332</v>
      </c>
      <c r="F5195" t="s">
        <v>12</v>
      </c>
      <c r="G5195" s="62">
        <v>464</v>
      </c>
      <c r="H5195" s="25">
        <v>5.59</v>
      </c>
      <c r="I5195">
        <v>19280</v>
      </c>
      <c r="J5195">
        <v>3503</v>
      </c>
      <c r="K5195">
        <v>21</v>
      </c>
      <c r="L5195">
        <v>21</v>
      </c>
      <c r="M5195">
        <v>0</v>
      </c>
      <c r="N5195" s="23">
        <v>0</v>
      </c>
      <c r="O5195">
        <f t="shared" si="1027"/>
        <v>11</v>
      </c>
      <c r="P5195" s="57">
        <f t="shared" si="1028"/>
        <v>5</v>
      </c>
      <c r="Q5195" s="267">
        <f t="shared" si="1029"/>
        <v>1280</v>
      </c>
      <c r="R5195" s="23" t="str">
        <f t="shared" si="1030"/>
        <v/>
      </c>
      <c r="S5195" s="23">
        <f t="shared" si="1031"/>
        <v>464</v>
      </c>
      <c r="T5195" s="23" t="str">
        <f t="shared" si="1032"/>
        <v/>
      </c>
      <c r="U5195" t="str">
        <f t="shared" si="1033"/>
        <v/>
      </c>
      <c r="X5195" s="43"/>
      <c r="Y5195" s="53"/>
      <c r="Z5195" s="53"/>
      <c r="AA5195"/>
      <c r="AB5195" s="23"/>
      <c r="AF5195" s="22"/>
    </row>
    <row r="5196" spans="1:38">
      <c r="A5196" t="str">
        <f t="shared" si="1034"/>
        <v>PA_Alleg_2019p~Dem-school director plum (vote for 5)</v>
      </c>
      <c r="B5196" s="55" t="s">
        <v>1291</v>
      </c>
      <c r="C5196">
        <v>317</v>
      </c>
      <c r="D5196" s="55" t="s">
        <v>325</v>
      </c>
      <c r="E5196" s="55" t="s">
        <v>329</v>
      </c>
      <c r="F5196" t="s">
        <v>12</v>
      </c>
      <c r="G5196" s="62">
        <v>436</v>
      </c>
      <c r="H5196" s="25">
        <v>5.25</v>
      </c>
      <c r="I5196">
        <v>19280</v>
      </c>
      <c r="J5196">
        <v>3503</v>
      </c>
      <c r="K5196">
        <v>21</v>
      </c>
      <c r="L5196">
        <v>21</v>
      </c>
      <c r="M5196">
        <v>0</v>
      </c>
      <c r="N5196" s="23">
        <v>0</v>
      </c>
      <c r="O5196">
        <f t="shared" si="1027"/>
        <v>12</v>
      </c>
      <c r="P5196" s="57">
        <f t="shared" si="1028"/>
        <v>5</v>
      </c>
      <c r="Q5196" s="267">
        <f t="shared" si="1029"/>
        <v>816</v>
      </c>
      <c r="R5196" s="23" t="str">
        <f t="shared" si="1030"/>
        <v/>
      </c>
      <c r="S5196" s="23">
        <f t="shared" si="1031"/>
        <v>436</v>
      </c>
      <c r="T5196" s="23" t="str">
        <f t="shared" si="1032"/>
        <v/>
      </c>
      <c r="U5196" t="str">
        <f t="shared" si="1033"/>
        <v/>
      </c>
      <c r="X5196" s="43"/>
      <c r="Y5196" s="53"/>
      <c r="Z5196" s="53"/>
      <c r="AA5196"/>
      <c r="AB5196" s="23"/>
    </row>
    <row r="5197" spans="1:38">
      <c r="A5197" t="str">
        <f t="shared" si="1034"/>
        <v>PA_Alleg_2019p~Dem-school director plum (vote for 5)</v>
      </c>
      <c r="B5197" s="55" t="s">
        <v>1291</v>
      </c>
      <c r="C5197">
        <v>329</v>
      </c>
      <c r="D5197" s="55" t="s">
        <v>325</v>
      </c>
      <c r="E5197" s="55" t="s">
        <v>338</v>
      </c>
      <c r="F5197" t="s">
        <v>12</v>
      </c>
      <c r="G5197" s="62">
        <v>227</v>
      </c>
      <c r="H5197" s="25">
        <v>2.73</v>
      </c>
      <c r="I5197">
        <v>19280</v>
      </c>
      <c r="J5197">
        <v>3503</v>
      </c>
      <c r="K5197">
        <v>21</v>
      </c>
      <c r="L5197">
        <v>21</v>
      </c>
      <c r="M5197">
        <v>0</v>
      </c>
      <c r="N5197" s="23">
        <v>0</v>
      </c>
      <c r="O5197">
        <f t="shared" si="1027"/>
        <v>13</v>
      </c>
      <c r="P5197" s="57">
        <f t="shared" si="1028"/>
        <v>5</v>
      </c>
      <c r="Q5197" s="267">
        <f t="shared" si="1029"/>
        <v>380</v>
      </c>
      <c r="R5197" s="23" t="str">
        <f t="shared" si="1030"/>
        <v/>
      </c>
      <c r="S5197" s="23">
        <f t="shared" si="1031"/>
        <v>227</v>
      </c>
      <c r="T5197" s="23" t="str">
        <f t="shared" si="1032"/>
        <v/>
      </c>
      <c r="U5197" t="str">
        <f t="shared" si="1033"/>
        <v/>
      </c>
      <c r="X5197" s="43"/>
      <c r="Y5197" s="53"/>
      <c r="Z5197" s="53"/>
      <c r="AA5197"/>
      <c r="AB5197" s="23"/>
      <c r="AF5197" s="22"/>
    </row>
    <row r="5198" spans="1:38">
      <c r="A5198" t="str">
        <f t="shared" si="1034"/>
        <v>PA_Alleg_2019p~Dem-school director plum (vote for 5)</v>
      </c>
      <c r="B5198" s="55" t="s">
        <v>1291</v>
      </c>
      <c r="C5198">
        <v>330</v>
      </c>
      <c r="D5198" s="55" t="s">
        <v>325</v>
      </c>
      <c r="E5198" s="55" t="s">
        <v>339</v>
      </c>
      <c r="F5198" t="s">
        <v>12</v>
      </c>
      <c r="G5198" s="62">
        <v>120</v>
      </c>
      <c r="H5198" s="25">
        <v>1.44</v>
      </c>
      <c r="I5198">
        <v>19280</v>
      </c>
      <c r="J5198">
        <v>3503</v>
      </c>
      <c r="K5198">
        <v>21</v>
      </c>
      <c r="L5198">
        <v>21</v>
      </c>
      <c r="M5198">
        <v>0</v>
      </c>
      <c r="N5198" s="23">
        <v>0</v>
      </c>
      <c r="O5198">
        <f t="shared" si="1027"/>
        <v>14</v>
      </c>
      <c r="P5198" s="57">
        <f t="shared" si="1028"/>
        <v>5</v>
      </c>
      <c r="Q5198" s="267">
        <f t="shared" si="1029"/>
        <v>153</v>
      </c>
      <c r="R5198" s="23" t="str">
        <f t="shared" si="1030"/>
        <v/>
      </c>
      <c r="S5198" s="23">
        <f t="shared" si="1031"/>
        <v>120</v>
      </c>
      <c r="T5198" s="23" t="str">
        <f t="shared" si="1032"/>
        <v/>
      </c>
      <c r="U5198" t="str">
        <f t="shared" si="1033"/>
        <v/>
      </c>
      <c r="X5198" s="43"/>
      <c r="Y5198" s="53"/>
      <c r="Z5198" s="53"/>
      <c r="AA5198"/>
      <c r="AB5198" s="23"/>
      <c r="AF5198" s="22"/>
    </row>
    <row r="5199" spans="1:38">
      <c r="A5199" t="str">
        <f t="shared" si="1034"/>
        <v>PA_Alleg_2019p~Dem-school director plum (vote for 5)</v>
      </c>
      <c r="B5199" s="55" t="s">
        <v>1291</v>
      </c>
      <c r="C5199">
        <v>332</v>
      </c>
      <c r="D5199" s="55" t="s">
        <v>325</v>
      </c>
      <c r="E5199" s="55" t="s">
        <v>15</v>
      </c>
      <c r="F5199" t="s">
        <v>12</v>
      </c>
      <c r="G5199" s="62">
        <v>33</v>
      </c>
      <c r="H5199" s="25">
        <v>0.4</v>
      </c>
      <c r="I5199">
        <v>19280</v>
      </c>
      <c r="J5199">
        <v>3503</v>
      </c>
      <c r="K5199">
        <v>21</v>
      </c>
      <c r="L5199">
        <v>21</v>
      </c>
      <c r="M5199">
        <v>0</v>
      </c>
      <c r="N5199" s="23">
        <v>0</v>
      </c>
      <c r="O5199">
        <f t="shared" si="1027"/>
        <v>-14</v>
      </c>
      <c r="P5199" s="57">
        <f t="shared" si="1028"/>
        <v>5</v>
      </c>
      <c r="Q5199" s="267">
        <f t="shared" si="1029"/>
        <v>33</v>
      </c>
      <c r="R5199" s="23" t="str">
        <f t="shared" si="1030"/>
        <v/>
      </c>
      <c r="S5199" s="23">
        <f t="shared" si="1031"/>
        <v>0</v>
      </c>
      <c r="T5199" s="23" t="str">
        <f t="shared" si="1032"/>
        <v/>
      </c>
      <c r="U5199" t="str">
        <f t="shared" si="1033"/>
        <v/>
      </c>
      <c r="X5199" s="43"/>
      <c r="Y5199" s="53"/>
      <c r="Z5199" s="53"/>
      <c r="AA5199"/>
      <c r="AB5199" s="23"/>
      <c r="AF5199" s="22"/>
    </row>
    <row r="5200" spans="1:38">
      <c r="A5200" t="str">
        <f t="shared" si="1034"/>
        <v>PA_Alleg_2019p~Dem-school director plum (vote for 5)</v>
      </c>
      <c r="B5200" s="55" t="s">
        <v>1291</v>
      </c>
      <c r="C5200">
        <v>324</v>
      </c>
      <c r="D5200" s="55" t="s">
        <v>325</v>
      </c>
      <c r="E5200" s="55" t="s">
        <v>336</v>
      </c>
      <c r="F5200" t="s">
        <v>12</v>
      </c>
      <c r="G5200" s="62">
        <v>0</v>
      </c>
      <c r="H5200" s="25">
        <v>0</v>
      </c>
      <c r="I5200">
        <v>19280</v>
      </c>
      <c r="J5200">
        <v>3503</v>
      </c>
      <c r="K5200">
        <v>21</v>
      </c>
      <c r="L5200">
        <v>21</v>
      </c>
      <c r="M5200">
        <v>0</v>
      </c>
      <c r="N5200" s="23">
        <v>0</v>
      </c>
      <c r="O5200">
        <f t="shared" si="1027"/>
        <v>15</v>
      </c>
      <c r="P5200" s="57">
        <f t="shared" si="1028"/>
        <v>5</v>
      </c>
      <c r="Q5200" s="267">
        <f t="shared" si="1029"/>
        <v>0</v>
      </c>
      <c r="R5200" s="23" t="str">
        <f t="shared" si="1030"/>
        <v/>
      </c>
      <c r="S5200" s="23">
        <f t="shared" si="1031"/>
        <v>0</v>
      </c>
      <c r="T5200" s="23" t="str">
        <f t="shared" si="1032"/>
        <v/>
      </c>
      <c r="U5200" t="str">
        <f t="shared" si="1033"/>
        <v/>
      </c>
      <c r="X5200" s="43"/>
      <c r="Y5200" s="53"/>
      <c r="Z5200" s="53"/>
      <c r="AA5200"/>
      <c r="AB5200" s="23"/>
      <c r="AF5200" s="22"/>
    </row>
    <row r="5201" spans="1:38">
      <c r="A5201" t="str">
        <f t="shared" si="1034"/>
        <v>PA_Alleg_2019p~Dem-school director plum (vote for 5)</v>
      </c>
      <c r="B5201" s="55" t="s">
        <v>1291</v>
      </c>
      <c r="C5201">
        <v>325</v>
      </c>
      <c r="D5201" s="55" t="s">
        <v>325</v>
      </c>
      <c r="E5201" s="55" t="s">
        <v>336</v>
      </c>
      <c r="F5201" t="s">
        <v>12</v>
      </c>
      <c r="G5201" s="62">
        <v>0</v>
      </c>
      <c r="H5201" s="25">
        <v>0</v>
      </c>
      <c r="I5201">
        <v>19280</v>
      </c>
      <c r="J5201">
        <v>3503</v>
      </c>
      <c r="K5201">
        <v>21</v>
      </c>
      <c r="L5201">
        <v>21</v>
      </c>
      <c r="M5201">
        <v>0</v>
      </c>
      <c r="N5201" s="23">
        <v>0</v>
      </c>
      <c r="O5201">
        <f t="shared" si="1027"/>
        <v>16</v>
      </c>
      <c r="P5201" s="57">
        <f t="shared" si="1028"/>
        <v>5</v>
      </c>
      <c r="Q5201" s="267">
        <f t="shared" si="1029"/>
        <v>0</v>
      </c>
      <c r="R5201" s="23" t="str">
        <f t="shared" si="1030"/>
        <v/>
      </c>
      <c r="S5201" s="23">
        <f t="shared" si="1031"/>
        <v>0</v>
      </c>
      <c r="T5201" s="23" t="str">
        <f t="shared" si="1032"/>
        <v/>
      </c>
      <c r="U5201" t="str">
        <f t="shared" si="1033"/>
        <v/>
      </c>
      <c r="X5201" s="43"/>
      <c r="Y5201" s="53"/>
      <c r="Z5201" s="53"/>
      <c r="AA5201"/>
      <c r="AB5201" s="23"/>
      <c r="AF5201" s="22"/>
      <c r="AG5201" s="23"/>
      <c r="AH5201" s="8"/>
    </row>
    <row r="5202" spans="1:38">
      <c r="A5202" t="str">
        <f t="shared" si="1034"/>
        <v>PA_Alleg_2019p~Dem-school director plum (vote for 5)</v>
      </c>
      <c r="B5202" s="55" t="s">
        <v>1291</v>
      </c>
      <c r="C5202">
        <v>326</v>
      </c>
      <c r="D5202" s="55" t="s">
        <v>325</v>
      </c>
      <c r="E5202" s="55" t="s">
        <v>336</v>
      </c>
      <c r="F5202" t="s">
        <v>12</v>
      </c>
      <c r="G5202" s="62">
        <v>0</v>
      </c>
      <c r="H5202" s="25">
        <v>0</v>
      </c>
      <c r="I5202">
        <v>19280</v>
      </c>
      <c r="J5202">
        <v>3503</v>
      </c>
      <c r="K5202">
        <v>21</v>
      </c>
      <c r="L5202">
        <v>21</v>
      </c>
      <c r="M5202">
        <v>0</v>
      </c>
      <c r="N5202" s="23">
        <v>0</v>
      </c>
      <c r="O5202">
        <f t="shared" si="1027"/>
        <v>17</v>
      </c>
      <c r="P5202" s="57">
        <f t="shared" si="1028"/>
        <v>5</v>
      </c>
      <c r="Q5202" s="267">
        <f t="shared" si="1029"/>
        <v>0</v>
      </c>
      <c r="R5202" s="23" t="str">
        <f t="shared" si="1030"/>
        <v/>
      </c>
      <c r="S5202" s="23">
        <f t="shared" si="1031"/>
        <v>0</v>
      </c>
      <c r="T5202" s="23" t="str">
        <f t="shared" si="1032"/>
        <v/>
      </c>
      <c r="U5202" t="str">
        <f t="shared" si="1033"/>
        <v/>
      </c>
      <c r="X5202" s="43"/>
      <c r="Y5202" s="53"/>
      <c r="Z5202" s="53"/>
      <c r="AA5202"/>
      <c r="AB5202" s="23"/>
      <c r="AF5202" s="22"/>
      <c r="AG5202" s="89"/>
      <c r="AH5202" s="274"/>
      <c r="AI5202" s="279"/>
      <c r="AJ5202" s="280"/>
      <c r="AK5202" s="92"/>
      <c r="AL5202" s="23"/>
    </row>
    <row r="5203" spans="1:38">
      <c r="A5203" t="str">
        <f t="shared" si="1034"/>
        <v>PA_Alleg_2019p~Dem-school director plum (vote for 5)</v>
      </c>
      <c r="B5203" s="55" t="s">
        <v>1291</v>
      </c>
      <c r="C5203">
        <v>327</v>
      </c>
      <c r="D5203" s="55" t="s">
        <v>325</v>
      </c>
      <c r="E5203" s="55" t="s">
        <v>336</v>
      </c>
      <c r="F5203" t="s">
        <v>12</v>
      </c>
      <c r="G5203" s="62">
        <v>0</v>
      </c>
      <c r="H5203" s="25">
        <v>0</v>
      </c>
      <c r="I5203">
        <v>19280</v>
      </c>
      <c r="J5203">
        <v>3503</v>
      </c>
      <c r="K5203">
        <v>21</v>
      </c>
      <c r="L5203">
        <v>21</v>
      </c>
      <c r="M5203">
        <v>0</v>
      </c>
      <c r="N5203" s="23">
        <v>0</v>
      </c>
      <c r="O5203">
        <f t="shared" si="1027"/>
        <v>18</v>
      </c>
      <c r="P5203" s="57">
        <f t="shared" si="1028"/>
        <v>5</v>
      </c>
      <c r="Q5203" s="267">
        <f t="shared" si="1029"/>
        <v>0</v>
      </c>
      <c r="R5203" s="23" t="str">
        <f t="shared" si="1030"/>
        <v/>
      </c>
      <c r="S5203" s="23">
        <f t="shared" si="1031"/>
        <v>0</v>
      </c>
      <c r="T5203" s="23" t="str">
        <f t="shared" si="1032"/>
        <v/>
      </c>
      <c r="U5203" t="str">
        <f t="shared" si="1033"/>
        <v/>
      </c>
      <c r="X5203" s="43"/>
      <c r="Y5203" s="53"/>
      <c r="Z5203" s="53"/>
      <c r="AA5203"/>
      <c r="AB5203" s="23"/>
      <c r="AF5203" s="22"/>
    </row>
    <row r="5204" spans="1:38">
      <c r="A5204" t="str">
        <f t="shared" si="1034"/>
        <v>PA_Alleg_2019p~Dem-school director quaker valley region 1 (vote for 1)</v>
      </c>
      <c r="B5204" s="55" t="s">
        <v>1291</v>
      </c>
      <c r="C5204">
        <v>373</v>
      </c>
      <c r="D5204" s="55" t="s">
        <v>381</v>
      </c>
      <c r="E5204" s="55" t="s">
        <v>382</v>
      </c>
      <c r="F5204" t="s">
        <v>12</v>
      </c>
      <c r="G5204" s="62">
        <v>264</v>
      </c>
      <c r="H5204" s="25">
        <v>97.42</v>
      </c>
      <c r="I5204">
        <v>3244</v>
      </c>
      <c r="J5204">
        <v>581</v>
      </c>
      <c r="K5204">
        <v>4</v>
      </c>
      <c r="L5204">
        <v>4</v>
      </c>
      <c r="M5204">
        <v>0</v>
      </c>
      <c r="N5204" s="23">
        <v>0</v>
      </c>
      <c r="O5204">
        <f t="shared" si="1027"/>
        <v>1</v>
      </c>
      <c r="P5204" s="57">
        <f t="shared" si="1028"/>
        <v>1</v>
      </c>
      <c r="Q5204" s="267">
        <f t="shared" si="1029"/>
        <v>271</v>
      </c>
      <c r="R5204" s="23">
        <f t="shared" si="1030"/>
        <v>264</v>
      </c>
      <c r="S5204" s="23">
        <f t="shared" si="1031"/>
        <v>0</v>
      </c>
      <c r="T5204" s="23" t="str">
        <f t="shared" si="1032"/>
        <v/>
      </c>
      <c r="U5204" t="str">
        <f t="shared" si="1033"/>
        <v>PA_Alleg_2019p~Dem-school director quaker valley region 1 (vote for 1)</v>
      </c>
      <c r="X5204" s="43"/>
      <c r="Y5204" s="53"/>
      <c r="Z5204" s="53"/>
      <c r="AA5204"/>
      <c r="AB5204" s="23"/>
      <c r="AF5204" s="22"/>
    </row>
    <row r="5205" spans="1:38">
      <c r="A5205" t="str">
        <f t="shared" si="1034"/>
        <v>PA_Alleg_2019p~Dem-school director quaker valley region 1 (vote for 1)</v>
      </c>
      <c r="B5205" s="55" t="s">
        <v>1291</v>
      </c>
      <c r="C5205">
        <v>374</v>
      </c>
      <c r="D5205" s="55" t="s">
        <v>381</v>
      </c>
      <c r="E5205" s="55" t="s">
        <v>15</v>
      </c>
      <c r="F5205" t="s">
        <v>12</v>
      </c>
      <c r="G5205" s="62">
        <v>7</v>
      </c>
      <c r="H5205" s="25">
        <v>2.58</v>
      </c>
      <c r="I5205">
        <v>3244</v>
      </c>
      <c r="J5205">
        <v>581</v>
      </c>
      <c r="K5205">
        <v>4</v>
      </c>
      <c r="L5205">
        <v>4</v>
      </c>
      <c r="M5205">
        <v>0</v>
      </c>
      <c r="N5205" s="23">
        <v>0</v>
      </c>
      <c r="O5205">
        <f t="shared" si="1027"/>
        <v>-1</v>
      </c>
      <c r="P5205" s="57">
        <f t="shared" si="1028"/>
        <v>1</v>
      </c>
      <c r="Q5205" s="267">
        <f t="shared" si="1029"/>
        <v>7</v>
      </c>
      <c r="R5205" s="23">
        <f t="shared" si="1030"/>
        <v>1</v>
      </c>
      <c r="S5205" s="23">
        <f t="shared" si="1031"/>
        <v>0</v>
      </c>
      <c r="T5205" s="23" t="str">
        <f t="shared" si="1032"/>
        <v/>
      </c>
      <c r="U5205" t="str">
        <f t="shared" si="1033"/>
        <v/>
      </c>
      <c r="X5205" s="43"/>
      <c r="Y5205" s="53"/>
      <c r="Z5205" s="53"/>
      <c r="AA5205"/>
      <c r="AB5205" s="23"/>
      <c r="AF5205" s="22"/>
    </row>
    <row r="5206" spans="1:38">
      <c r="A5206" t="str">
        <f t="shared" si="1034"/>
        <v>PA_Alleg_2019p~Dem-school director quaker valley region 2 (vote for 2)</v>
      </c>
      <c r="B5206" s="55" t="s">
        <v>1291</v>
      </c>
      <c r="C5206">
        <v>389</v>
      </c>
      <c r="D5206" s="55" t="s">
        <v>395</v>
      </c>
      <c r="E5206" s="55" t="s">
        <v>398</v>
      </c>
      <c r="F5206" t="s">
        <v>12</v>
      </c>
      <c r="G5206" s="62">
        <v>205</v>
      </c>
      <c r="H5206" s="25">
        <v>42.36</v>
      </c>
      <c r="I5206">
        <v>3263</v>
      </c>
      <c r="J5206">
        <v>522</v>
      </c>
      <c r="K5206">
        <v>4</v>
      </c>
      <c r="L5206">
        <v>4</v>
      </c>
      <c r="M5206">
        <v>0</v>
      </c>
      <c r="N5206" s="23">
        <v>0</v>
      </c>
      <c r="O5206">
        <f t="shared" si="1027"/>
        <v>1</v>
      </c>
      <c r="P5206" s="57">
        <f t="shared" si="1028"/>
        <v>2</v>
      </c>
      <c r="Q5206" s="267">
        <f t="shared" si="1029"/>
        <v>242</v>
      </c>
      <c r="R5206" s="23">
        <f t="shared" si="1030"/>
        <v>147</v>
      </c>
      <c r="S5206" s="23">
        <f t="shared" si="1031"/>
        <v>130</v>
      </c>
      <c r="T5206" s="23">
        <f t="shared" si="1032"/>
        <v>17</v>
      </c>
      <c r="U5206" t="str">
        <f t="shared" si="1033"/>
        <v>PA_Alleg_2019p~Dem-school director quaker valley region 2 (vote for 2)</v>
      </c>
      <c r="X5206" s="43"/>
      <c r="Y5206" s="53"/>
      <c r="Z5206" s="53"/>
      <c r="AA5206"/>
      <c r="AB5206" s="23"/>
      <c r="AF5206" s="22"/>
      <c r="AH5206" s="8"/>
      <c r="AL5206" s="23"/>
    </row>
    <row r="5207" spans="1:38">
      <c r="A5207" t="str">
        <f t="shared" si="1034"/>
        <v>PA_Alleg_2019p~Dem-school director quaker valley region 2 (vote for 2)</v>
      </c>
      <c r="B5207" s="55" t="s">
        <v>1291</v>
      </c>
      <c r="C5207">
        <v>388</v>
      </c>
      <c r="D5207" s="55" t="s">
        <v>395</v>
      </c>
      <c r="E5207" s="55" t="s">
        <v>397</v>
      </c>
      <c r="F5207" t="s">
        <v>12</v>
      </c>
      <c r="G5207" s="62">
        <v>147</v>
      </c>
      <c r="H5207" s="25">
        <v>30.37</v>
      </c>
      <c r="I5207">
        <v>3263</v>
      </c>
      <c r="J5207">
        <v>522</v>
      </c>
      <c r="K5207">
        <v>4</v>
      </c>
      <c r="L5207">
        <v>4</v>
      </c>
      <c r="M5207">
        <v>0</v>
      </c>
      <c r="N5207" s="23">
        <v>0</v>
      </c>
      <c r="O5207">
        <f t="shared" si="1027"/>
        <v>2</v>
      </c>
      <c r="P5207" s="57">
        <f t="shared" si="1028"/>
        <v>2</v>
      </c>
      <c r="Q5207" s="267">
        <f t="shared" si="1029"/>
        <v>279</v>
      </c>
      <c r="R5207" s="23">
        <f t="shared" si="1030"/>
        <v>147</v>
      </c>
      <c r="S5207" s="23">
        <f t="shared" si="1031"/>
        <v>130</v>
      </c>
      <c r="T5207" s="23" t="str">
        <f t="shared" si="1032"/>
        <v/>
      </c>
      <c r="U5207" t="str">
        <f t="shared" si="1033"/>
        <v/>
      </c>
      <c r="X5207" s="43"/>
      <c r="Y5207" s="53"/>
      <c r="Z5207" s="53"/>
      <c r="AA5207"/>
      <c r="AB5207" s="23"/>
      <c r="AH5207" s="8"/>
      <c r="AL5207" s="23"/>
    </row>
    <row r="5208" spans="1:38">
      <c r="A5208" t="str">
        <f t="shared" si="1034"/>
        <v>PA_Alleg_2019p~Dem-school director quaker valley region 2 (vote for 2)</v>
      </c>
      <c r="B5208" s="55" t="s">
        <v>1291</v>
      </c>
      <c r="C5208">
        <v>387</v>
      </c>
      <c r="D5208" s="55" t="s">
        <v>395</v>
      </c>
      <c r="E5208" s="55" t="s">
        <v>396</v>
      </c>
      <c r="F5208" t="s">
        <v>12</v>
      </c>
      <c r="G5208" s="62">
        <v>130</v>
      </c>
      <c r="H5208" s="25">
        <v>26.86</v>
      </c>
      <c r="I5208">
        <v>3263</v>
      </c>
      <c r="J5208">
        <v>522</v>
      </c>
      <c r="K5208">
        <v>4</v>
      </c>
      <c r="L5208">
        <v>4</v>
      </c>
      <c r="M5208">
        <v>0</v>
      </c>
      <c r="N5208" s="23">
        <v>0</v>
      </c>
      <c r="O5208">
        <f t="shared" si="1027"/>
        <v>3</v>
      </c>
      <c r="P5208" s="57">
        <f t="shared" si="1028"/>
        <v>2</v>
      </c>
      <c r="Q5208" s="267">
        <f t="shared" si="1029"/>
        <v>132</v>
      </c>
      <c r="R5208" s="23" t="str">
        <f t="shared" si="1030"/>
        <v/>
      </c>
      <c r="S5208" s="23">
        <f t="shared" si="1031"/>
        <v>130</v>
      </c>
      <c r="T5208" s="23" t="str">
        <f t="shared" si="1032"/>
        <v/>
      </c>
      <c r="U5208" t="str">
        <f t="shared" si="1033"/>
        <v/>
      </c>
      <c r="X5208" s="43"/>
      <c r="Y5208" s="53"/>
      <c r="Z5208" s="53"/>
      <c r="AA5208"/>
      <c r="AB5208" s="23"/>
      <c r="AG5208" s="89"/>
      <c r="AH5208" s="274"/>
      <c r="AI5208" s="279"/>
      <c r="AJ5208" s="280"/>
      <c r="AK5208" s="92"/>
      <c r="AL5208" s="23"/>
    </row>
    <row r="5209" spans="1:38">
      <c r="A5209" t="str">
        <f t="shared" si="1034"/>
        <v>PA_Alleg_2019p~Dem-school director quaker valley region 2 (vote for 2)</v>
      </c>
      <c r="B5209" s="55" t="s">
        <v>1291</v>
      </c>
      <c r="C5209">
        <v>390</v>
      </c>
      <c r="D5209" s="55" t="s">
        <v>395</v>
      </c>
      <c r="E5209" s="55" t="s">
        <v>15</v>
      </c>
      <c r="F5209" t="s">
        <v>12</v>
      </c>
      <c r="G5209" s="62">
        <v>2</v>
      </c>
      <c r="H5209" s="25">
        <v>0.41</v>
      </c>
      <c r="I5209">
        <v>3263</v>
      </c>
      <c r="J5209">
        <v>522</v>
      </c>
      <c r="K5209">
        <v>4</v>
      </c>
      <c r="L5209">
        <v>4</v>
      </c>
      <c r="M5209">
        <v>0</v>
      </c>
      <c r="N5209" s="23">
        <v>0</v>
      </c>
      <c r="O5209">
        <f t="shared" si="1027"/>
        <v>-3</v>
      </c>
      <c r="P5209" s="57">
        <f t="shared" si="1028"/>
        <v>2</v>
      </c>
      <c r="Q5209" s="267">
        <f t="shared" si="1029"/>
        <v>2</v>
      </c>
      <c r="R5209" s="23">
        <f t="shared" si="1030"/>
        <v>1</v>
      </c>
      <c r="S5209" s="23">
        <f t="shared" si="1031"/>
        <v>0</v>
      </c>
      <c r="T5209" s="23" t="str">
        <f t="shared" si="1032"/>
        <v/>
      </c>
      <c r="U5209" t="str">
        <f t="shared" si="1033"/>
        <v/>
      </c>
      <c r="X5209" s="43"/>
      <c r="Y5209" s="53"/>
      <c r="Z5209" s="53"/>
      <c r="AA5209"/>
      <c r="AB5209" s="23"/>
      <c r="AF5209" s="22"/>
    </row>
    <row r="5210" spans="1:38">
      <c r="A5210" t="str">
        <f t="shared" si="1034"/>
        <v>PA_Alleg_2019p~Dem-school director quaker valley region 3 (vote for 2)</v>
      </c>
      <c r="B5210" s="55" t="s">
        <v>1291</v>
      </c>
      <c r="C5210">
        <v>429</v>
      </c>
      <c r="D5210" s="55" t="s">
        <v>433</v>
      </c>
      <c r="E5210" s="55" t="s">
        <v>434</v>
      </c>
      <c r="F5210" t="s">
        <v>12</v>
      </c>
      <c r="G5210" s="62">
        <v>266</v>
      </c>
      <c r="H5210" s="25">
        <v>52.57</v>
      </c>
      <c r="I5210">
        <v>4864</v>
      </c>
      <c r="J5210">
        <v>776</v>
      </c>
      <c r="K5210">
        <v>8</v>
      </c>
      <c r="L5210">
        <v>8</v>
      </c>
      <c r="M5210">
        <v>0</v>
      </c>
      <c r="N5210" s="23">
        <v>0</v>
      </c>
      <c r="O5210">
        <f t="shared" si="1027"/>
        <v>1</v>
      </c>
      <c r="P5210" s="57">
        <f t="shared" si="1028"/>
        <v>2</v>
      </c>
      <c r="Q5210" s="267">
        <f t="shared" si="1029"/>
        <v>266</v>
      </c>
      <c r="R5210" s="23">
        <f t="shared" si="1030"/>
        <v>235</v>
      </c>
      <c r="S5210" s="23">
        <f t="shared" si="1031"/>
        <v>0</v>
      </c>
      <c r="T5210" s="23" t="str">
        <f t="shared" si="1032"/>
        <v/>
      </c>
      <c r="U5210" t="str">
        <f t="shared" si="1033"/>
        <v>PA_Alleg_2019p~Dem-school director quaker valley region 3 (vote for 2)</v>
      </c>
      <c r="X5210" s="43"/>
      <c r="Y5210" s="53"/>
      <c r="Z5210" s="53"/>
      <c r="AA5210"/>
      <c r="AB5210" s="23"/>
      <c r="AF5210" s="22"/>
    </row>
    <row r="5211" spans="1:38">
      <c r="A5211" t="str">
        <f t="shared" si="1034"/>
        <v>PA_Alleg_2019p~Dem-school director quaker valley region 3 (vote for 2)</v>
      </c>
      <c r="B5211" s="55" t="s">
        <v>1291</v>
      </c>
      <c r="C5211">
        <v>430</v>
      </c>
      <c r="D5211" s="55" t="s">
        <v>433</v>
      </c>
      <c r="E5211" s="55" t="s">
        <v>435</v>
      </c>
      <c r="F5211" t="s">
        <v>12</v>
      </c>
      <c r="G5211" s="62">
        <v>235</v>
      </c>
      <c r="H5211" s="25">
        <v>46.44</v>
      </c>
      <c r="I5211">
        <v>4864</v>
      </c>
      <c r="J5211">
        <v>776</v>
      </c>
      <c r="K5211">
        <v>8</v>
      </c>
      <c r="L5211">
        <v>8</v>
      </c>
      <c r="M5211">
        <v>0</v>
      </c>
      <c r="N5211" s="23">
        <v>0</v>
      </c>
      <c r="O5211">
        <f t="shared" si="1027"/>
        <v>2</v>
      </c>
      <c r="P5211" s="57">
        <f t="shared" si="1028"/>
        <v>2</v>
      </c>
      <c r="Q5211" s="267">
        <f t="shared" si="1029"/>
        <v>240</v>
      </c>
      <c r="R5211" s="23">
        <f t="shared" si="1030"/>
        <v>235</v>
      </c>
      <c r="S5211" s="23">
        <f t="shared" si="1031"/>
        <v>0</v>
      </c>
      <c r="T5211" s="23" t="str">
        <f t="shared" si="1032"/>
        <v/>
      </c>
      <c r="U5211" t="str">
        <f t="shared" si="1033"/>
        <v/>
      </c>
      <c r="X5211" s="43"/>
      <c r="Y5211" s="53"/>
      <c r="Z5211" s="53"/>
      <c r="AA5211"/>
      <c r="AB5211" s="23"/>
      <c r="AF5211" s="22"/>
    </row>
    <row r="5212" spans="1:38">
      <c r="A5212" t="str">
        <f t="shared" si="1034"/>
        <v>PA_Alleg_2019p~Dem-school director quaker valley region 3 (vote for 2)</v>
      </c>
      <c r="B5212" s="55" t="s">
        <v>1291</v>
      </c>
      <c r="C5212">
        <v>431</v>
      </c>
      <c r="D5212" s="55" t="s">
        <v>433</v>
      </c>
      <c r="E5212" s="55" t="s">
        <v>15</v>
      </c>
      <c r="F5212" t="s">
        <v>12</v>
      </c>
      <c r="G5212" s="62">
        <v>5</v>
      </c>
      <c r="H5212" s="25">
        <v>0.99</v>
      </c>
      <c r="I5212">
        <v>4864</v>
      </c>
      <c r="J5212">
        <v>776</v>
      </c>
      <c r="K5212">
        <v>8</v>
      </c>
      <c r="L5212">
        <v>8</v>
      </c>
      <c r="M5212">
        <v>0</v>
      </c>
      <c r="N5212" s="23">
        <v>0</v>
      </c>
      <c r="O5212">
        <f t="shared" si="1027"/>
        <v>-2</v>
      </c>
      <c r="P5212" s="57">
        <f t="shared" si="1028"/>
        <v>2</v>
      </c>
      <c r="Q5212" s="267">
        <f t="shared" si="1029"/>
        <v>5</v>
      </c>
      <c r="R5212" s="23">
        <f t="shared" si="1030"/>
        <v>1</v>
      </c>
      <c r="S5212" s="23">
        <f t="shared" si="1031"/>
        <v>0</v>
      </c>
      <c r="T5212" s="23" t="str">
        <f t="shared" si="1032"/>
        <v/>
      </c>
      <c r="U5212" t="str">
        <f t="shared" si="1033"/>
        <v/>
      </c>
      <c r="X5212" s="43"/>
      <c r="Y5212" s="53"/>
      <c r="Z5212" s="53"/>
      <c r="AA5212"/>
      <c r="AB5212" s="23"/>
      <c r="AF5212" s="22"/>
    </row>
    <row r="5213" spans="1:38">
      <c r="A5213" t="str">
        <f t="shared" si="1034"/>
        <v>PA_Alleg_2019p~Dem-school director riverview (vote for 5)</v>
      </c>
      <c r="B5213" s="55" t="s">
        <v>1291</v>
      </c>
      <c r="C5213">
        <v>246</v>
      </c>
      <c r="D5213" s="55" t="s">
        <v>252</v>
      </c>
      <c r="E5213" s="55" t="s">
        <v>258</v>
      </c>
      <c r="F5213" t="s">
        <v>12</v>
      </c>
      <c r="G5213" s="62">
        <v>635</v>
      </c>
      <c r="H5213" s="25">
        <v>17.68</v>
      </c>
      <c r="I5213">
        <v>7253</v>
      </c>
      <c r="J5213">
        <v>1526</v>
      </c>
      <c r="K5213">
        <v>9</v>
      </c>
      <c r="L5213">
        <v>9</v>
      </c>
      <c r="M5213">
        <v>0</v>
      </c>
      <c r="N5213" s="23">
        <v>0</v>
      </c>
      <c r="O5213">
        <f t="shared" si="1027"/>
        <v>1</v>
      </c>
      <c r="P5213" s="57">
        <f t="shared" si="1028"/>
        <v>5</v>
      </c>
      <c r="Q5213" s="267">
        <f t="shared" si="1029"/>
        <v>718.4</v>
      </c>
      <c r="R5213" s="23">
        <f t="shared" si="1030"/>
        <v>512</v>
      </c>
      <c r="S5213" s="23">
        <f t="shared" si="1031"/>
        <v>361</v>
      </c>
      <c r="T5213" s="23">
        <f t="shared" si="1032"/>
        <v>151</v>
      </c>
      <c r="U5213" t="str">
        <f t="shared" si="1033"/>
        <v>PA_Alleg_2019p~Dem-school director riverview (vote for 5)</v>
      </c>
      <c r="X5213" s="43"/>
      <c r="Y5213" s="53"/>
      <c r="Z5213" s="53"/>
      <c r="AA5213"/>
      <c r="AB5213" s="23"/>
      <c r="AF5213" s="22"/>
    </row>
    <row r="5214" spans="1:38">
      <c r="A5214" t="str">
        <f t="shared" si="1034"/>
        <v>PA_Alleg_2019p~Dem-school director riverview (vote for 5)</v>
      </c>
      <c r="B5214" s="55" t="s">
        <v>1291</v>
      </c>
      <c r="C5214">
        <v>245</v>
      </c>
      <c r="D5214" s="55" t="s">
        <v>252</v>
      </c>
      <c r="E5214" s="55" t="s">
        <v>257</v>
      </c>
      <c r="F5214" t="s">
        <v>12</v>
      </c>
      <c r="G5214" s="62">
        <v>610</v>
      </c>
      <c r="H5214" s="25">
        <v>16.98</v>
      </c>
      <c r="I5214">
        <v>7253</v>
      </c>
      <c r="J5214">
        <v>1526</v>
      </c>
      <c r="K5214">
        <v>9</v>
      </c>
      <c r="L5214">
        <v>9</v>
      </c>
      <c r="M5214">
        <v>0</v>
      </c>
      <c r="N5214" s="23">
        <v>0</v>
      </c>
      <c r="O5214">
        <f t="shared" si="1027"/>
        <v>2</v>
      </c>
      <c r="P5214" s="57">
        <f t="shared" si="1028"/>
        <v>5</v>
      </c>
      <c r="Q5214" s="267">
        <f t="shared" si="1029"/>
        <v>2957</v>
      </c>
      <c r="R5214" s="23">
        <f t="shared" si="1030"/>
        <v>512</v>
      </c>
      <c r="S5214" s="23">
        <f t="shared" si="1031"/>
        <v>361</v>
      </c>
      <c r="T5214" s="23" t="str">
        <f t="shared" si="1032"/>
        <v/>
      </c>
      <c r="U5214" t="str">
        <f t="shared" si="1033"/>
        <v/>
      </c>
      <c r="X5214" s="43"/>
      <c r="Y5214" s="53"/>
      <c r="Z5214" s="53"/>
      <c r="AA5214"/>
      <c r="AB5214" s="23"/>
      <c r="AF5214" s="22"/>
    </row>
    <row r="5215" spans="1:38">
      <c r="A5215" t="str">
        <f t="shared" si="1034"/>
        <v>PA_Alleg_2019p~Dem-school director riverview (vote for 5)</v>
      </c>
      <c r="B5215" s="55" t="s">
        <v>1291</v>
      </c>
      <c r="C5215">
        <v>243</v>
      </c>
      <c r="D5215" s="55" t="s">
        <v>252</v>
      </c>
      <c r="E5215" s="55" t="s">
        <v>255</v>
      </c>
      <c r="F5215" t="s">
        <v>12</v>
      </c>
      <c r="G5215" s="62">
        <v>610</v>
      </c>
      <c r="H5215" s="25">
        <v>16.98</v>
      </c>
      <c r="I5215">
        <v>7253</v>
      </c>
      <c r="J5215">
        <v>1526</v>
      </c>
      <c r="K5215">
        <v>9</v>
      </c>
      <c r="L5215">
        <v>9</v>
      </c>
      <c r="M5215">
        <v>0</v>
      </c>
      <c r="N5215" s="23">
        <v>0</v>
      </c>
      <c r="O5215">
        <f t="shared" si="1027"/>
        <v>3</v>
      </c>
      <c r="P5215" s="57">
        <f t="shared" si="1028"/>
        <v>5</v>
      </c>
      <c r="Q5215" s="267">
        <f t="shared" si="1029"/>
        <v>2347</v>
      </c>
      <c r="R5215" s="23">
        <f t="shared" si="1030"/>
        <v>512</v>
      </c>
      <c r="S5215" s="23">
        <f t="shared" si="1031"/>
        <v>361</v>
      </c>
      <c r="T5215" s="23" t="str">
        <f t="shared" si="1032"/>
        <v/>
      </c>
      <c r="U5215" t="str">
        <f t="shared" si="1033"/>
        <v/>
      </c>
      <c r="X5215" s="43"/>
      <c r="Y5215" s="53"/>
      <c r="Z5215" s="53"/>
      <c r="AA5215"/>
      <c r="AB5215" s="23"/>
      <c r="AF5215" s="22"/>
      <c r="AG5215" s="89"/>
      <c r="AH5215" s="274"/>
      <c r="AI5215" s="279"/>
      <c r="AJ5215" s="280"/>
      <c r="AK5215" s="92"/>
      <c r="AL5215" s="23"/>
    </row>
    <row r="5216" spans="1:38">
      <c r="A5216" t="str">
        <f t="shared" si="1034"/>
        <v>PA_Alleg_2019p~Dem-school director riverview (vote for 5)</v>
      </c>
      <c r="B5216" s="55" t="s">
        <v>1291</v>
      </c>
      <c r="C5216">
        <v>244</v>
      </c>
      <c r="D5216" s="55" t="s">
        <v>252</v>
      </c>
      <c r="E5216" s="55" t="s">
        <v>256</v>
      </c>
      <c r="F5216" t="s">
        <v>12</v>
      </c>
      <c r="G5216" s="62">
        <v>524</v>
      </c>
      <c r="H5216" s="25">
        <v>14.59</v>
      </c>
      <c r="I5216">
        <v>7253</v>
      </c>
      <c r="J5216">
        <v>1526</v>
      </c>
      <c r="K5216">
        <v>9</v>
      </c>
      <c r="L5216">
        <v>9</v>
      </c>
      <c r="M5216">
        <v>0</v>
      </c>
      <c r="N5216" s="23">
        <v>0</v>
      </c>
      <c r="O5216">
        <f t="shared" si="1027"/>
        <v>4</v>
      </c>
      <c r="P5216" s="57">
        <f t="shared" si="1028"/>
        <v>5</v>
      </c>
      <c r="Q5216" s="267">
        <f t="shared" si="1029"/>
        <v>1737</v>
      </c>
      <c r="R5216" s="23">
        <f t="shared" si="1030"/>
        <v>512</v>
      </c>
      <c r="S5216" s="23">
        <f t="shared" si="1031"/>
        <v>361</v>
      </c>
      <c r="T5216" s="23" t="str">
        <f t="shared" si="1032"/>
        <v/>
      </c>
      <c r="U5216" t="str">
        <f t="shared" si="1033"/>
        <v/>
      </c>
      <c r="X5216" s="43"/>
      <c r="Y5216" s="53"/>
      <c r="Z5216" s="53"/>
      <c r="AA5216"/>
      <c r="AB5216" s="23"/>
      <c r="AF5216" s="22"/>
    </row>
    <row r="5217" spans="1:38">
      <c r="A5217" t="str">
        <f t="shared" si="1034"/>
        <v>PA_Alleg_2019p~Dem-school director riverview (vote for 5)</v>
      </c>
      <c r="B5217" s="55" t="s">
        <v>1291</v>
      </c>
      <c r="C5217">
        <v>242</v>
      </c>
      <c r="D5217" s="55" t="s">
        <v>252</v>
      </c>
      <c r="E5217" s="55" t="s">
        <v>254</v>
      </c>
      <c r="F5217" t="s">
        <v>12</v>
      </c>
      <c r="G5217" s="62">
        <v>512</v>
      </c>
      <c r="H5217" s="25">
        <v>14.25</v>
      </c>
      <c r="I5217">
        <v>7253</v>
      </c>
      <c r="J5217">
        <v>1526</v>
      </c>
      <c r="K5217">
        <v>9</v>
      </c>
      <c r="L5217">
        <v>9</v>
      </c>
      <c r="M5217">
        <v>0</v>
      </c>
      <c r="N5217" s="23">
        <v>0</v>
      </c>
      <c r="O5217">
        <f t="shared" si="1027"/>
        <v>5</v>
      </c>
      <c r="P5217" s="57">
        <f t="shared" si="1028"/>
        <v>5</v>
      </c>
      <c r="Q5217" s="267">
        <f t="shared" si="1029"/>
        <v>1213</v>
      </c>
      <c r="R5217" s="23">
        <f t="shared" si="1030"/>
        <v>512</v>
      </c>
      <c r="S5217" s="23">
        <f t="shared" si="1031"/>
        <v>361</v>
      </c>
      <c r="T5217" s="23" t="str">
        <f t="shared" si="1032"/>
        <v/>
      </c>
      <c r="U5217" t="str">
        <f t="shared" si="1033"/>
        <v/>
      </c>
      <c r="X5217" s="43"/>
      <c r="Y5217" s="53"/>
      <c r="Z5217" s="53"/>
      <c r="AA5217"/>
      <c r="AB5217" s="23"/>
      <c r="AF5217" s="22"/>
    </row>
    <row r="5218" spans="1:38">
      <c r="A5218" t="str">
        <f t="shared" si="1034"/>
        <v>PA_Alleg_2019p~Dem-school director riverview (vote for 5)</v>
      </c>
      <c r="B5218" s="55" t="s">
        <v>1291</v>
      </c>
      <c r="C5218">
        <v>247</v>
      </c>
      <c r="D5218" s="55" t="s">
        <v>252</v>
      </c>
      <c r="E5218" s="55" t="s">
        <v>259</v>
      </c>
      <c r="F5218" t="s">
        <v>12</v>
      </c>
      <c r="G5218" s="62">
        <v>361</v>
      </c>
      <c r="H5218" s="25">
        <v>10.050000000000001</v>
      </c>
      <c r="I5218">
        <v>7253</v>
      </c>
      <c r="J5218">
        <v>1526</v>
      </c>
      <c r="K5218">
        <v>9</v>
      </c>
      <c r="L5218">
        <v>9</v>
      </c>
      <c r="M5218">
        <v>0</v>
      </c>
      <c r="N5218" s="23">
        <v>0</v>
      </c>
      <c r="O5218">
        <f t="shared" si="1027"/>
        <v>6</v>
      </c>
      <c r="P5218" s="57">
        <f t="shared" si="1028"/>
        <v>5</v>
      </c>
      <c r="Q5218" s="267">
        <f t="shared" si="1029"/>
        <v>701</v>
      </c>
      <c r="R5218" s="23" t="str">
        <f t="shared" si="1030"/>
        <v/>
      </c>
      <c r="S5218" s="23">
        <f t="shared" si="1031"/>
        <v>361</v>
      </c>
      <c r="T5218" s="23" t="str">
        <f t="shared" si="1032"/>
        <v/>
      </c>
      <c r="U5218" t="str">
        <f t="shared" si="1033"/>
        <v/>
      </c>
      <c r="X5218" s="43"/>
      <c r="Y5218" s="53"/>
      <c r="Z5218" s="53"/>
      <c r="AA5218"/>
      <c r="AB5218" s="23"/>
      <c r="AF5218" s="22"/>
    </row>
    <row r="5219" spans="1:38">
      <c r="A5219" t="str">
        <f t="shared" si="1034"/>
        <v>PA_Alleg_2019p~Dem-school director riverview (vote for 5)</v>
      </c>
      <c r="B5219" s="55" t="s">
        <v>1291</v>
      </c>
      <c r="C5219">
        <v>241</v>
      </c>
      <c r="D5219" s="55" t="s">
        <v>252</v>
      </c>
      <c r="E5219" s="55" t="s">
        <v>253</v>
      </c>
      <c r="F5219" t="s">
        <v>12</v>
      </c>
      <c r="G5219" s="62">
        <v>331</v>
      </c>
      <c r="H5219" s="25">
        <v>9.2100000000000009</v>
      </c>
      <c r="I5219">
        <v>7253</v>
      </c>
      <c r="J5219">
        <v>1526</v>
      </c>
      <c r="K5219">
        <v>9</v>
      </c>
      <c r="L5219">
        <v>9</v>
      </c>
      <c r="M5219">
        <v>0</v>
      </c>
      <c r="N5219" s="23">
        <v>0</v>
      </c>
      <c r="O5219">
        <f t="shared" si="1027"/>
        <v>7</v>
      </c>
      <c r="P5219" s="57">
        <f t="shared" si="1028"/>
        <v>5</v>
      </c>
      <c r="Q5219" s="267">
        <f t="shared" si="1029"/>
        <v>340</v>
      </c>
      <c r="R5219" s="23" t="str">
        <f t="shared" si="1030"/>
        <v/>
      </c>
      <c r="S5219" s="23">
        <f t="shared" si="1031"/>
        <v>331</v>
      </c>
      <c r="T5219" s="23" t="str">
        <f t="shared" si="1032"/>
        <v/>
      </c>
      <c r="U5219" t="str">
        <f t="shared" si="1033"/>
        <v/>
      </c>
      <c r="X5219" s="43"/>
      <c r="Y5219" s="53"/>
      <c r="Z5219" s="53"/>
      <c r="AA5219"/>
      <c r="AB5219" s="23"/>
      <c r="AF5219" s="22"/>
    </row>
    <row r="5220" spans="1:38">
      <c r="A5220" t="str">
        <f t="shared" si="1034"/>
        <v>PA_Alleg_2019p~Dem-school director riverview (vote for 5)</v>
      </c>
      <c r="B5220" s="55" t="s">
        <v>1291</v>
      </c>
      <c r="C5220">
        <v>248</v>
      </c>
      <c r="D5220" s="55" t="s">
        <v>252</v>
      </c>
      <c r="E5220" s="55" t="s">
        <v>15</v>
      </c>
      <c r="F5220" t="s">
        <v>12</v>
      </c>
      <c r="G5220" s="62">
        <v>9</v>
      </c>
      <c r="H5220" s="25">
        <v>0.25</v>
      </c>
      <c r="I5220">
        <v>7253</v>
      </c>
      <c r="J5220">
        <v>1526</v>
      </c>
      <c r="K5220">
        <v>9</v>
      </c>
      <c r="L5220">
        <v>9</v>
      </c>
      <c r="M5220">
        <v>0</v>
      </c>
      <c r="N5220" s="23">
        <v>0</v>
      </c>
      <c r="O5220">
        <f t="shared" si="1027"/>
        <v>-7</v>
      </c>
      <c r="P5220" s="57">
        <f t="shared" si="1028"/>
        <v>5</v>
      </c>
      <c r="Q5220" s="267">
        <f t="shared" si="1029"/>
        <v>9</v>
      </c>
      <c r="R5220" s="23">
        <f t="shared" si="1030"/>
        <v>1</v>
      </c>
      <c r="S5220" s="23">
        <f t="shared" si="1031"/>
        <v>0</v>
      </c>
      <c r="T5220" s="23" t="str">
        <f t="shared" si="1032"/>
        <v/>
      </c>
      <c r="U5220" t="str">
        <f t="shared" si="1033"/>
        <v/>
      </c>
      <c r="X5220" s="43"/>
      <c r="Y5220" s="53"/>
      <c r="Z5220" s="53"/>
      <c r="AA5220"/>
      <c r="AB5220" s="23"/>
      <c r="AF5220" s="22"/>
    </row>
    <row r="5221" spans="1:38">
      <c r="A5221" t="str">
        <f t="shared" si="1034"/>
        <v>PA_Alleg_2019p~Dem-school director shaler area region 1 (vote for 1)</v>
      </c>
      <c r="B5221" s="55" t="s">
        <v>1291</v>
      </c>
      <c r="C5221">
        <v>375</v>
      </c>
      <c r="D5221" s="55" t="s">
        <v>383</v>
      </c>
      <c r="E5221" s="55" t="s">
        <v>384</v>
      </c>
      <c r="F5221" t="s">
        <v>12</v>
      </c>
      <c r="G5221" s="62">
        <v>928</v>
      </c>
      <c r="H5221" s="25">
        <v>98.62</v>
      </c>
      <c r="I5221">
        <v>9152</v>
      </c>
      <c r="J5221">
        <v>1517</v>
      </c>
      <c r="K5221">
        <v>15</v>
      </c>
      <c r="L5221">
        <v>15</v>
      </c>
      <c r="M5221">
        <v>0</v>
      </c>
      <c r="N5221" s="23">
        <v>0</v>
      </c>
      <c r="O5221">
        <f t="shared" si="1027"/>
        <v>1</v>
      </c>
      <c r="P5221" s="57">
        <f t="shared" si="1028"/>
        <v>1</v>
      </c>
      <c r="Q5221" s="267">
        <f t="shared" si="1029"/>
        <v>941</v>
      </c>
      <c r="R5221" s="23">
        <f t="shared" si="1030"/>
        <v>928</v>
      </c>
      <c r="S5221" s="23">
        <f t="shared" si="1031"/>
        <v>0</v>
      </c>
      <c r="T5221" s="23" t="str">
        <f t="shared" si="1032"/>
        <v/>
      </c>
      <c r="U5221" t="str">
        <f t="shared" si="1033"/>
        <v>PA_Alleg_2019p~Dem-school director shaler area region 1 (vote for 1)</v>
      </c>
      <c r="X5221" s="43"/>
      <c r="Y5221" s="53"/>
      <c r="Z5221" s="53"/>
      <c r="AA5221"/>
      <c r="AB5221" s="23"/>
      <c r="AF5221" s="300"/>
    </row>
    <row r="5222" spans="1:38">
      <c r="A5222" t="str">
        <f t="shared" si="1034"/>
        <v>PA_Alleg_2019p~Dem-school director shaler area region 1 (vote for 1)</v>
      </c>
      <c r="B5222" s="55" t="s">
        <v>1291</v>
      </c>
      <c r="C5222">
        <v>376</v>
      </c>
      <c r="D5222" s="55" t="s">
        <v>383</v>
      </c>
      <c r="E5222" s="55" t="s">
        <v>15</v>
      </c>
      <c r="F5222" t="s">
        <v>12</v>
      </c>
      <c r="G5222" s="62">
        <v>13</v>
      </c>
      <c r="H5222" s="25">
        <v>1.38</v>
      </c>
      <c r="I5222">
        <v>9152</v>
      </c>
      <c r="J5222">
        <v>1517</v>
      </c>
      <c r="K5222">
        <v>15</v>
      </c>
      <c r="L5222">
        <v>15</v>
      </c>
      <c r="M5222">
        <v>0</v>
      </c>
      <c r="N5222" s="23">
        <v>0</v>
      </c>
      <c r="O5222">
        <f t="shared" si="1027"/>
        <v>-1</v>
      </c>
      <c r="P5222" s="57">
        <f t="shared" si="1028"/>
        <v>1</v>
      </c>
      <c r="Q5222" s="267">
        <f t="shared" si="1029"/>
        <v>13</v>
      </c>
      <c r="R5222" s="23">
        <f t="shared" si="1030"/>
        <v>1</v>
      </c>
      <c r="S5222" s="23">
        <f t="shared" si="1031"/>
        <v>0</v>
      </c>
      <c r="T5222" s="23" t="str">
        <f t="shared" si="1032"/>
        <v/>
      </c>
      <c r="U5222" t="str">
        <f t="shared" si="1033"/>
        <v/>
      </c>
      <c r="X5222" s="43"/>
      <c r="Y5222" s="53"/>
      <c r="Z5222" s="53"/>
      <c r="AA5222"/>
      <c r="AB5222" s="23"/>
      <c r="AF5222" s="22"/>
    </row>
    <row r="5223" spans="1:38">
      <c r="A5223" t="str">
        <f t="shared" si="1034"/>
        <v>PA_Alleg_2019p~Dem-school director shaler area region 2 (vote for 2)</v>
      </c>
      <c r="B5223" s="55" t="s">
        <v>1291</v>
      </c>
      <c r="C5223">
        <v>392</v>
      </c>
      <c r="D5223" s="55" t="s">
        <v>399</v>
      </c>
      <c r="E5223" s="55" t="s">
        <v>401</v>
      </c>
      <c r="F5223" t="s">
        <v>12</v>
      </c>
      <c r="G5223" s="62">
        <v>790</v>
      </c>
      <c r="H5223" s="25">
        <v>50.71</v>
      </c>
      <c r="I5223">
        <v>10336</v>
      </c>
      <c r="J5223">
        <v>1618</v>
      </c>
      <c r="K5223">
        <v>16</v>
      </c>
      <c r="L5223">
        <v>16</v>
      </c>
      <c r="M5223">
        <v>0</v>
      </c>
      <c r="N5223" s="23">
        <v>0</v>
      </c>
      <c r="O5223">
        <f t="shared" si="1027"/>
        <v>1</v>
      </c>
      <c r="P5223" s="57">
        <f t="shared" si="1028"/>
        <v>2</v>
      </c>
      <c r="Q5223" s="267">
        <f t="shared" si="1029"/>
        <v>790</v>
      </c>
      <c r="R5223" s="23">
        <f t="shared" si="1030"/>
        <v>757</v>
      </c>
      <c r="S5223" s="23">
        <f t="shared" si="1031"/>
        <v>0</v>
      </c>
      <c r="T5223" s="23" t="str">
        <f t="shared" si="1032"/>
        <v/>
      </c>
      <c r="U5223" t="str">
        <f t="shared" si="1033"/>
        <v>PA_Alleg_2019p~Dem-school director shaler area region 2 (vote for 2)</v>
      </c>
      <c r="X5223" s="43"/>
      <c r="Y5223" s="53"/>
      <c r="Z5223" s="53"/>
      <c r="AA5223"/>
      <c r="AB5223" s="23"/>
      <c r="AG5223" s="89"/>
      <c r="AH5223" s="274"/>
      <c r="AI5223" s="279"/>
      <c r="AJ5223" s="280"/>
      <c r="AK5223" s="92"/>
      <c r="AL5223" s="23"/>
    </row>
    <row r="5224" spans="1:38">
      <c r="A5224" t="str">
        <f t="shared" si="1034"/>
        <v>PA_Alleg_2019p~Dem-school director shaler area region 2 (vote for 2)</v>
      </c>
      <c r="B5224" s="55" t="s">
        <v>1291</v>
      </c>
      <c r="C5224">
        <v>391</v>
      </c>
      <c r="D5224" s="55" t="s">
        <v>399</v>
      </c>
      <c r="E5224" s="55" t="s">
        <v>400</v>
      </c>
      <c r="F5224" t="s">
        <v>12</v>
      </c>
      <c r="G5224" s="62">
        <v>757</v>
      </c>
      <c r="H5224" s="25">
        <v>48.59</v>
      </c>
      <c r="I5224">
        <v>10336</v>
      </c>
      <c r="J5224">
        <v>1618</v>
      </c>
      <c r="K5224">
        <v>16</v>
      </c>
      <c r="L5224">
        <v>16</v>
      </c>
      <c r="M5224">
        <v>0</v>
      </c>
      <c r="N5224" s="23">
        <v>0</v>
      </c>
      <c r="O5224">
        <f t="shared" si="1027"/>
        <v>2</v>
      </c>
      <c r="P5224" s="57">
        <f t="shared" si="1028"/>
        <v>2</v>
      </c>
      <c r="Q5224" s="267">
        <f t="shared" si="1029"/>
        <v>768</v>
      </c>
      <c r="R5224" s="23">
        <f t="shared" si="1030"/>
        <v>757</v>
      </c>
      <c r="S5224" s="23">
        <f t="shared" si="1031"/>
        <v>0</v>
      </c>
      <c r="T5224" s="23" t="str">
        <f t="shared" si="1032"/>
        <v/>
      </c>
      <c r="U5224" t="str">
        <f t="shared" si="1033"/>
        <v/>
      </c>
      <c r="X5224" s="43"/>
      <c r="Y5224" s="53"/>
      <c r="Z5224" s="53"/>
      <c r="AA5224"/>
      <c r="AB5224" s="23"/>
      <c r="AF5224" s="22"/>
      <c r="AG5224" s="89"/>
      <c r="AH5224" s="274"/>
      <c r="AI5224" s="279"/>
      <c r="AJ5224" s="280"/>
      <c r="AK5224" s="92"/>
      <c r="AL5224" s="23"/>
    </row>
    <row r="5225" spans="1:38">
      <c r="A5225" t="str">
        <f t="shared" si="1034"/>
        <v>PA_Alleg_2019p~Dem-school director shaler area region 2 (vote for 2)</v>
      </c>
      <c r="B5225" s="55" t="s">
        <v>1291</v>
      </c>
      <c r="C5225">
        <v>393</v>
      </c>
      <c r="D5225" s="55" t="s">
        <v>399</v>
      </c>
      <c r="E5225" s="55" t="s">
        <v>15</v>
      </c>
      <c r="F5225" t="s">
        <v>12</v>
      </c>
      <c r="G5225" s="62">
        <v>11</v>
      </c>
      <c r="H5225" s="25">
        <v>0.71</v>
      </c>
      <c r="I5225">
        <v>10336</v>
      </c>
      <c r="J5225">
        <v>1618</v>
      </c>
      <c r="K5225">
        <v>16</v>
      </c>
      <c r="L5225">
        <v>16</v>
      </c>
      <c r="M5225">
        <v>0</v>
      </c>
      <c r="N5225" s="23">
        <v>0</v>
      </c>
      <c r="O5225">
        <f t="shared" si="1027"/>
        <v>-2</v>
      </c>
      <c r="P5225" s="57">
        <f t="shared" si="1028"/>
        <v>2</v>
      </c>
      <c r="Q5225" s="267">
        <f t="shared" si="1029"/>
        <v>11</v>
      </c>
      <c r="R5225" s="23">
        <f t="shared" si="1030"/>
        <v>1</v>
      </c>
      <c r="S5225" s="23">
        <f t="shared" si="1031"/>
        <v>0</v>
      </c>
      <c r="T5225" s="23" t="str">
        <f t="shared" si="1032"/>
        <v/>
      </c>
      <c r="U5225" t="str">
        <f t="shared" si="1033"/>
        <v/>
      </c>
      <c r="X5225" s="43"/>
      <c r="Y5225" s="53"/>
      <c r="Z5225" s="53"/>
      <c r="AA5225"/>
      <c r="AB5225" s="23"/>
      <c r="AF5225" s="22"/>
      <c r="AG5225" s="89"/>
      <c r="AH5225" s="274"/>
      <c r="AI5225" s="279"/>
      <c r="AJ5225" s="280"/>
      <c r="AK5225" s="92"/>
      <c r="AL5225" s="23"/>
    </row>
    <row r="5226" spans="1:38">
      <c r="A5226" t="str">
        <f t="shared" si="1034"/>
        <v>PA_Alleg_2019p~Dem-school director shaler area region 3 (vote for 2)</v>
      </c>
      <c r="B5226" s="55" t="s">
        <v>1291</v>
      </c>
      <c r="C5226">
        <v>433</v>
      </c>
      <c r="D5226" s="55" t="s">
        <v>436</v>
      </c>
      <c r="E5226" s="55" t="s">
        <v>438</v>
      </c>
      <c r="F5226" t="s">
        <v>12</v>
      </c>
      <c r="G5226" s="62">
        <v>689</v>
      </c>
      <c r="H5226" s="25">
        <v>55.34</v>
      </c>
      <c r="I5226">
        <v>9491</v>
      </c>
      <c r="J5226">
        <v>1460</v>
      </c>
      <c r="K5226">
        <v>15</v>
      </c>
      <c r="L5226">
        <v>15</v>
      </c>
      <c r="M5226">
        <v>0</v>
      </c>
      <c r="N5226" s="23">
        <v>0</v>
      </c>
      <c r="O5226">
        <f t="shared" si="1027"/>
        <v>1</v>
      </c>
      <c r="P5226" s="57">
        <f t="shared" si="1028"/>
        <v>2</v>
      </c>
      <c r="Q5226" s="267">
        <f t="shared" si="1029"/>
        <v>689</v>
      </c>
      <c r="R5226" s="23">
        <f t="shared" si="1030"/>
        <v>540</v>
      </c>
      <c r="S5226" s="23">
        <f t="shared" si="1031"/>
        <v>0</v>
      </c>
      <c r="T5226" s="23" t="str">
        <f t="shared" si="1032"/>
        <v/>
      </c>
      <c r="U5226" t="str">
        <f t="shared" si="1033"/>
        <v>PA_Alleg_2019p~Dem-school director shaler area region 3 (vote for 2)</v>
      </c>
      <c r="X5226" s="43"/>
      <c r="Y5226" s="53"/>
      <c r="Z5226" s="53"/>
      <c r="AA5226"/>
      <c r="AB5226" s="23"/>
      <c r="AF5226" s="22"/>
      <c r="AG5226" s="89"/>
      <c r="AH5226" s="274"/>
      <c r="AI5226" s="279"/>
      <c r="AJ5226" s="280"/>
      <c r="AK5226" s="92"/>
      <c r="AL5226" s="23"/>
    </row>
    <row r="5227" spans="1:38">
      <c r="A5227" t="str">
        <f t="shared" si="1034"/>
        <v>PA_Alleg_2019p~Dem-school director shaler area region 3 (vote for 2)</v>
      </c>
      <c r="B5227" s="55" t="s">
        <v>1291</v>
      </c>
      <c r="C5227">
        <v>432</v>
      </c>
      <c r="D5227" s="55" t="s">
        <v>436</v>
      </c>
      <c r="E5227" s="55" t="s">
        <v>437</v>
      </c>
      <c r="F5227" t="s">
        <v>12</v>
      </c>
      <c r="G5227" s="62">
        <v>540</v>
      </c>
      <c r="H5227" s="25">
        <v>43.37</v>
      </c>
      <c r="I5227">
        <v>9491</v>
      </c>
      <c r="J5227">
        <v>1460</v>
      </c>
      <c r="K5227">
        <v>15</v>
      </c>
      <c r="L5227">
        <v>15</v>
      </c>
      <c r="M5227">
        <v>0</v>
      </c>
      <c r="N5227" s="23">
        <v>0</v>
      </c>
      <c r="O5227">
        <f t="shared" si="1027"/>
        <v>2</v>
      </c>
      <c r="P5227" s="57">
        <f t="shared" si="1028"/>
        <v>2</v>
      </c>
      <c r="Q5227" s="267">
        <f t="shared" si="1029"/>
        <v>556</v>
      </c>
      <c r="R5227" s="23">
        <f t="shared" si="1030"/>
        <v>540</v>
      </c>
      <c r="S5227" s="23">
        <f t="shared" si="1031"/>
        <v>0</v>
      </c>
      <c r="T5227" s="23" t="str">
        <f t="shared" si="1032"/>
        <v/>
      </c>
      <c r="U5227" t="str">
        <f t="shared" si="1033"/>
        <v/>
      </c>
      <c r="X5227" s="43"/>
      <c r="Y5227" s="53"/>
      <c r="Z5227" s="53"/>
      <c r="AA5227"/>
      <c r="AB5227" s="23"/>
      <c r="AF5227" s="22"/>
    </row>
    <row r="5228" spans="1:38">
      <c r="A5228" t="str">
        <f t="shared" si="1034"/>
        <v>PA_Alleg_2019p~Dem-school director shaler area region 3 (vote for 2)</v>
      </c>
      <c r="B5228" s="55" t="s">
        <v>1291</v>
      </c>
      <c r="C5228">
        <v>434</v>
      </c>
      <c r="D5228" s="55" t="s">
        <v>436</v>
      </c>
      <c r="E5228" s="55" t="s">
        <v>15</v>
      </c>
      <c r="F5228" t="s">
        <v>12</v>
      </c>
      <c r="G5228" s="62">
        <v>16</v>
      </c>
      <c r="H5228" s="25">
        <v>1.29</v>
      </c>
      <c r="I5228">
        <v>9491</v>
      </c>
      <c r="J5228">
        <v>1460</v>
      </c>
      <c r="K5228">
        <v>15</v>
      </c>
      <c r="L5228">
        <v>15</v>
      </c>
      <c r="M5228">
        <v>0</v>
      </c>
      <c r="N5228" s="23">
        <v>0</v>
      </c>
      <c r="O5228">
        <f t="shared" si="1027"/>
        <v>-2</v>
      </c>
      <c r="P5228" s="57">
        <f t="shared" si="1028"/>
        <v>2</v>
      </c>
      <c r="Q5228" s="267">
        <f t="shared" si="1029"/>
        <v>16</v>
      </c>
      <c r="R5228" s="23">
        <f t="shared" si="1030"/>
        <v>1</v>
      </c>
      <c r="S5228" s="23">
        <f t="shared" si="1031"/>
        <v>0</v>
      </c>
      <c r="T5228" s="23" t="str">
        <f t="shared" si="1032"/>
        <v/>
      </c>
      <c r="U5228" t="str">
        <f t="shared" si="1033"/>
        <v/>
      </c>
      <c r="X5228" s="43"/>
      <c r="Y5228" s="53"/>
      <c r="Z5228" s="53"/>
      <c r="AA5228"/>
      <c r="AB5228" s="23"/>
      <c r="AF5228" s="22"/>
    </row>
    <row r="5229" spans="1:38">
      <c r="A5229" t="str">
        <f t="shared" si="1034"/>
        <v>PA_Alleg_2019p~Dem-school director south allegheny (vote for 5)</v>
      </c>
      <c r="B5229" s="55" t="s">
        <v>1291</v>
      </c>
      <c r="C5229">
        <v>258</v>
      </c>
      <c r="D5229" s="55" t="s">
        <v>260</v>
      </c>
      <c r="E5229" s="55" t="s">
        <v>270</v>
      </c>
      <c r="F5229" t="s">
        <v>12</v>
      </c>
      <c r="G5229" s="62">
        <v>696</v>
      </c>
      <c r="H5229" s="25">
        <v>13.86</v>
      </c>
      <c r="I5229">
        <v>7437</v>
      </c>
      <c r="J5229">
        <v>1701</v>
      </c>
      <c r="K5229">
        <v>13</v>
      </c>
      <c r="L5229">
        <v>13</v>
      </c>
      <c r="M5229">
        <v>0</v>
      </c>
      <c r="N5229" s="23">
        <v>0</v>
      </c>
      <c r="O5229">
        <f t="shared" si="1027"/>
        <v>1</v>
      </c>
      <c r="P5229" s="57">
        <f t="shared" si="1028"/>
        <v>5</v>
      </c>
      <c r="Q5229" s="267">
        <f t="shared" si="1029"/>
        <v>1004</v>
      </c>
      <c r="R5229" s="23">
        <f t="shared" si="1030"/>
        <v>472</v>
      </c>
      <c r="S5229" s="23">
        <f t="shared" si="1031"/>
        <v>463</v>
      </c>
      <c r="T5229" s="23">
        <f t="shared" si="1032"/>
        <v>9</v>
      </c>
      <c r="U5229" t="str">
        <f t="shared" si="1033"/>
        <v>PA_Alleg_2019p~Dem-school director south allegheny (vote for 5)</v>
      </c>
      <c r="X5229" s="43"/>
      <c r="Y5229" s="53"/>
      <c r="Z5229" s="53"/>
      <c r="AA5229"/>
      <c r="AB5229" s="23"/>
    </row>
    <row r="5230" spans="1:38">
      <c r="A5230" t="str">
        <f t="shared" si="1034"/>
        <v>PA_Alleg_2019p~Dem-school director south allegheny (vote for 5)</v>
      </c>
      <c r="B5230" s="55" t="s">
        <v>1291</v>
      </c>
      <c r="C5230">
        <v>253</v>
      </c>
      <c r="D5230" s="55" t="s">
        <v>260</v>
      </c>
      <c r="E5230" s="55" t="s">
        <v>265</v>
      </c>
      <c r="F5230" t="s">
        <v>12</v>
      </c>
      <c r="G5230" s="62">
        <v>677</v>
      </c>
      <c r="H5230" s="25">
        <v>13.49</v>
      </c>
      <c r="I5230">
        <v>7437</v>
      </c>
      <c r="J5230">
        <v>1701</v>
      </c>
      <c r="K5230">
        <v>13</v>
      </c>
      <c r="L5230">
        <v>13</v>
      </c>
      <c r="M5230">
        <v>0</v>
      </c>
      <c r="N5230" s="23">
        <v>0</v>
      </c>
      <c r="O5230">
        <f t="shared" si="1027"/>
        <v>2</v>
      </c>
      <c r="P5230" s="57">
        <f t="shared" si="1028"/>
        <v>5</v>
      </c>
      <c r="Q5230" s="267">
        <f t="shared" si="1029"/>
        <v>4324</v>
      </c>
      <c r="R5230" s="23">
        <f t="shared" si="1030"/>
        <v>472</v>
      </c>
      <c r="S5230" s="23">
        <f t="shared" si="1031"/>
        <v>463</v>
      </c>
      <c r="T5230" s="23" t="str">
        <f t="shared" si="1032"/>
        <v/>
      </c>
      <c r="U5230" t="str">
        <f t="shared" si="1033"/>
        <v/>
      </c>
      <c r="X5230" s="43"/>
      <c r="Y5230" s="53"/>
      <c r="Z5230" s="53"/>
      <c r="AA5230"/>
      <c r="AB5230" s="23"/>
      <c r="AF5230" s="22"/>
    </row>
    <row r="5231" spans="1:38">
      <c r="A5231" t="str">
        <f t="shared" si="1034"/>
        <v>PA_Alleg_2019p~Dem-school director south allegheny (vote for 5)</v>
      </c>
      <c r="B5231" s="55" t="s">
        <v>1291</v>
      </c>
      <c r="C5231">
        <v>251</v>
      </c>
      <c r="D5231" s="55" t="s">
        <v>260</v>
      </c>
      <c r="E5231" s="55" t="s">
        <v>263</v>
      </c>
      <c r="F5231" t="s">
        <v>12</v>
      </c>
      <c r="G5231" s="62">
        <v>571</v>
      </c>
      <c r="H5231" s="25">
        <v>11.37</v>
      </c>
      <c r="I5231">
        <v>7437</v>
      </c>
      <c r="J5231">
        <v>1701</v>
      </c>
      <c r="K5231">
        <v>13</v>
      </c>
      <c r="L5231">
        <v>13</v>
      </c>
      <c r="M5231">
        <v>0</v>
      </c>
      <c r="N5231" s="23">
        <v>0</v>
      </c>
      <c r="O5231">
        <f t="shared" si="1027"/>
        <v>3</v>
      </c>
      <c r="P5231" s="57">
        <f t="shared" si="1028"/>
        <v>5</v>
      </c>
      <c r="Q5231" s="267">
        <f t="shared" si="1029"/>
        <v>3647</v>
      </c>
      <c r="R5231" s="23">
        <f t="shared" si="1030"/>
        <v>472</v>
      </c>
      <c r="S5231" s="23">
        <f t="shared" si="1031"/>
        <v>463</v>
      </c>
      <c r="T5231" s="23" t="str">
        <f t="shared" si="1032"/>
        <v/>
      </c>
      <c r="U5231" t="str">
        <f t="shared" si="1033"/>
        <v/>
      </c>
      <c r="X5231" s="43"/>
      <c r="Y5231" s="53"/>
      <c r="Z5231" s="53"/>
      <c r="AA5231"/>
      <c r="AB5231" s="23"/>
      <c r="AF5231" s="22"/>
    </row>
    <row r="5232" spans="1:38">
      <c r="A5232" t="str">
        <f t="shared" si="1034"/>
        <v>PA_Alleg_2019p~Dem-school director south allegheny (vote for 5)</v>
      </c>
      <c r="B5232" s="55" t="s">
        <v>1291</v>
      </c>
      <c r="C5232">
        <v>252</v>
      </c>
      <c r="D5232" s="55" t="s">
        <v>260</v>
      </c>
      <c r="E5232" s="55" t="s">
        <v>264</v>
      </c>
      <c r="F5232" t="s">
        <v>12</v>
      </c>
      <c r="G5232" s="62">
        <v>523</v>
      </c>
      <c r="H5232" s="25">
        <v>10.42</v>
      </c>
      <c r="I5232">
        <v>7437</v>
      </c>
      <c r="J5232">
        <v>1701</v>
      </c>
      <c r="K5232">
        <v>13</v>
      </c>
      <c r="L5232">
        <v>13</v>
      </c>
      <c r="M5232">
        <v>0</v>
      </c>
      <c r="N5232" s="23">
        <v>0</v>
      </c>
      <c r="O5232">
        <f t="shared" si="1027"/>
        <v>4</v>
      </c>
      <c r="P5232" s="57">
        <f t="shared" si="1028"/>
        <v>5</v>
      </c>
      <c r="Q5232" s="267">
        <f t="shared" si="1029"/>
        <v>3076</v>
      </c>
      <c r="R5232" s="23">
        <f t="shared" si="1030"/>
        <v>472</v>
      </c>
      <c r="S5232" s="23">
        <f t="shared" si="1031"/>
        <v>463</v>
      </c>
      <c r="T5232" s="23" t="str">
        <f t="shared" si="1032"/>
        <v/>
      </c>
      <c r="U5232" t="str">
        <f t="shared" si="1033"/>
        <v/>
      </c>
      <c r="X5232" s="43"/>
      <c r="Y5232" s="53"/>
      <c r="Z5232" s="53"/>
      <c r="AA5232"/>
      <c r="AB5232" s="23"/>
      <c r="AF5232" s="22"/>
      <c r="AH5232" s="8"/>
      <c r="AL5232" s="23"/>
    </row>
    <row r="5233" spans="1:38">
      <c r="A5233" t="str">
        <f t="shared" si="1034"/>
        <v>PA_Alleg_2019p~Dem-school director south allegheny (vote for 5)</v>
      </c>
      <c r="B5233" s="55" t="s">
        <v>1291</v>
      </c>
      <c r="C5233">
        <v>256</v>
      </c>
      <c r="D5233" s="55" t="s">
        <v>260</v>
      </c>
      <c r="E5233" s="55" t="s">
        <v>268</v>
      </c>
      <c r="F5233" t="s">
        <v>12</v>
      </c>
      <c r="G5233" s="62">
        <v>472</v>
      </c>
      <c r="H5233" s="25">
        <v>9.4</v>
      </c>
      <c r="I5233">
        <v>7437</v>
      </c>
      <c r="J5233">
        <v>1701</v>
      </c>
      <c r="K5233">
        <v>13</v>
      </c>
      <c r="L5233">
        <v>13</v>
      </c>
      <c r="M5233">
        <v>0</v>
      </c>
      <c r="N5233" s="23">
        <v>0</v>
      </c>
      <c r="O5233">
        <f t="shared" si="1027"/>
        <v>5</v>
      </c>
      <c r="P5233" s="57">
        <f t="shared" si="1028"/>
        <v>5</v>
      </c>
      <c r="Q5233" s="267">
        <f t="shared" si="1029"/>
        <v>2553</v>
      </c>
      <c r="R5233" s="23">
        <f t="shared" si="1030"/>
        <v>472</v>
      </c>
      <c r="S5233" s="23">
        <f t="shared" si="1031"/>
        <v>463</v>
      </c>
      <c r="T5233" s="23" t="str">
        <f t="shared" si="1032"/>
        <v/>
      </c>
      <c r="U5233" t="str">
        <f t="shared" si="1033"/>
        <v/>
      </c>
      <c r="X5233" s="43"/>
      <c r="Y5233" s="53"/>
      <c r="Z5233" s="53"/>
      <c r="AA5233"/>
      <c r="AB5233" s="23"/>
      <c r="AF5233" s="22"/>
    </row>
    <row r="5234" spans="1:38">
      <c r="A5234" t="str">
        <f t="shared" si="1034"/>
        <v>PA_Alleg_2019p~Dem-school director south allegheny (vote for 5)</v>
      </c>
      <c r="B5234" s="55" t="s">
        <v>1291</v>
      </c>
      <c r="C5234">
        <v>249</v>
      </c>
      <c r="D5234" s="55" t="s">
        <v>260</v>
      </c>
      <c r="E5234" s="55" t="s">
        <v>261</v>
      </c>
      <c r="F5234" t="s">
        <v>12</v>
      </c>
      <c r="G5234" s="62">
        <v>463</v>
      </c>
      <c r="H5234" s="25">
        <v>9.2200000000000006</v>
      </c>
      <c r="I5234">
        <v>7437</v>
      </c>
      <c r="J5234">
        <v>1701</v>
      </c>
      <c r="K5234">
        <v>13</v>
      </c>
      <c r="L5234">
        <v>13</v>
      </c>
      <c r="M5234">
        <v>0</v>
      </c>
      <c r="N5234" s="23">
        <v>0</v>
      </c>
      <c r="O5234">
        <f t="shared" si="1027"/>
        <v>6</v>
      </c>
      <c r="P5234" s="57">
        <f t="shared" si="1028"/>
        <v>5</v>
      </c>
      <c r="Q5234" s="267">
        <f t="shared" si="1029"/>
        <v>2081</v>
      </c>
      <c r="R5234" s="23" t="str">
        <f t="shared" si="1030"/>
        <v/>
      </c>
      <c r="S5234" s="23">
        <f t="shared" si="1031"/>
        <v>463</v>
      </c>
      <c r="T5234" s="23" t="str">
        <f t="shared" si="1032"/>
        <v/>
      </c>
      <c r="U5234" t="str">
        <f t="shared" si="1033"/>
        <v/>
      </c>
      <c r="X5234" s="43"/>
      <c r="Y5234" s="53"/>
      <c r="Z5234" s="53"/>
      <c r="AA5234"/>
      <c r="AB5234" s="23"/>
      <c r="AF5234" s="22"/>
    </row>
    <row r="5235" spans="1:38">
      <c r="A5235" t="str">
        <f t="shared" si="1034"/>
        <v>PA_Alleg_2019p~Dem-school director south allegheny (vote for 5)</v>
      </c>
      <c r="B5235" s="55" t="s">
        <v>1291</v>
      </c>
      <c r="C5235">
        <v>257</v>
      </c>
      <c r="D5235" s="55" t="s">
        <v>260</v>
      </c>
      <c r="E5235" s="55" t="s">
        <v>269</v>
      </c>
      <c r="F5235" t="s">
        <v>12</v>
      </c>
      <c r="G5235" s="62">
        <v>460</v>
      </c>
      <c r="H5235" s="25">
        <v>9.16</v>
      </c>
      <c r="I5235">
        <v>7437</v>
      </c>
      <c r="J5235">
        <v>1701</v>
      </c>
      <c r="K5235">
        <v>13</v>
      </c>
      <c r="L5235">
        <v>13</v>
      </c>
      <c r="M5235">
        <v>0</v>
      </c>
      <c r="N5235" s="23">
        <v>0</v>
      </c>
      <c r="O5235">
        <f t="shared" si="1027"/>
        <v>7</v>
      </c>
      <c r="P5235" s="57">
        <f t="shared" si="1028"/>
        <v>5</v>
      </c>
      <c r="Q5235" s="267">
        <f t="shared" si="1029"/>
        <v>1618</v>
      </c>
      <c r="R5235" s="23" t="str">
        <f t="shared" si="1030"/>
        <v/>
      </c>
      <c r="S5235" s="23">
        <f t="shared" si="1031"/>
        <v>460</v>
      </c>
      <c r="T5235" s="23" t="str">
        <f t="shared" si="1032"/>
        <v/>
      </c>
      <c r="U5235" t="str">
        <f t="shared" si="1033"/>
        <v/>
      </c>
      <c r="X5235" s="43"/>
      <c r="Y5235" s="53"/>
      <c r="Z5235" s="53"/>
      <c r="AA5235"/>
      <c r="AB5235" s="23"/>
      <c r="AF5235" s="22"/>
    </row>
    <row r="5236" spans="1:38">
      <c r="A5236" t="str">
        <f t="shared" si="1034"/>
        <v>PA_Alleg_2019p~Dem-school director south allegheny (vote for 5)</v>
      </c>
      <c r="B5236" s="55" t="s">
        <v>1291</v>
      </c>
      <c r="C5236">
        <v>254</v>
      </c>
      <c r="D5236" s="55" t="s">
        <v>260</v>
      </c>
      <c r="E5236" s="55" t="s">
        <v>266</v>
      </c>
      <c r="F5236" t="s">
        <v>12</v>
      </c>
      <c r="G5236" s="62">
        <v>421</v>
      </c>
      <c r="H5236" s="25">
        <v>8.39</v>
      </c>
      <c r="I5236">
        <v>7437</v>
      </c>
      <c r="J5236">
        <v>1701</v>
      </c>
      <c r="K5236">
        <v>13</v>
      </c>
      <c r="L5236">
        <v>13</v>
      </c>
      <c r="M5236">
        <v>0</v>
      </c>
      <c r="N5236" s="23">
        <v>0</v>
      </c>
      <c r="O5236">
        <f t="shared" si="1027"/>
        <v>8</v>
      </c>
      <c r="P5236" s="57">
        <f t="shared" si="1028"/>
        <v>5</v>
      </c>
      <c r="Q5236" s="267">
        <f t="shared" si="1029"/>
        <v>1158</v>
      </c>
      <c r="R5236" s="23" t="str">
        <f t="shared" si="1030"/>
        <v/>
      </c>
      <c r="S5236" s="23">
        <f t="shared" si="1031"/>
        <v>421</v>
      </c>
      <c r="T5236" s="23" t="str">
        <f t="shared" si="1032"/>
        <v/>
      </c>
      <c r="U5236" t="str">
        <f t="shared" si="1033"/>
        <v/>
      </c>
      <c r="X5236" s="43"/>
      <c r="Y5236" s="53"/>
      <c r="Z5236" s="53"/>
      <c r="AA5236"/>
      <c r="AB5236" s="23"/>
      <c r="AF5236" s="22"/>
    </row>
    <row r="5237" spans="1:38">
      <c r="A5237" t="str">
        <f t="shared" si="1034"/>
        <v>PA_Alleg_2019p~Dem-school director south allegheny (vote for 5)</v>
      </c>
      <c r="B5237" s="55" t="s">
        <v>1291</v>
      </c>
      <c r="C5237">
        <v>255</v>
      </c>
      <c r="D5237" s="55" t="s">
        <v>260</v>
      </c>
      <c r="E5237" s="55" t="s">
        <v>267</v>
      </c>
      <c r="F5237" t="s">
        <v>12</v>
      </c>
      <c r="G5237" s="62">
        <v>410</v>
      </c>
      <c r="H5237" s="25">
        <v>8.17</v>
      </c>
      <c r="I5237">
        <v>7437</v>
      </c>
      <c r="J5237">
        <v>1701</v>
      </c>
      <c r="K5237">
        <v>13</v>
      </c>
      <c r="L5237">
        <v>13</v>
      </c>
      <c r="M5237">
        <v>0</v>
      </c>
      <c r="N5237" s="23">
        <v>0</v>
      </c>
      <c r="O5237">
        <f t="shared" si="1027"/>
        <v>9</v>
      </c>
      <c r="P5237" s="57">
        <f t="shared" si="1028"/>
        <v>5</v>
      </c>
      <c r="Q5237" s="267">
        <f t="shared" si="1029"/>
        <v>737</v>
      </c>
      <c r="R5237" s="23" t="str">
        <f t="shared" si="1030"/>
        <v/>
      </c>
      <c r="S5237" s="23">
        <f t="shared" si="1031"/>
        <v>410</v>
      </c>
      <c r="T5237" s="23" t="str">
        <f t="shared" si="1032"/>
        <v/>
      </c>
      <c r="U5237" t="str">
        <f t="shared" si="1033"/>
        <v/>
      </c>
      <c r="X5237" s="43"/>
      <c r="Y5237" s="53"/>
      <c r="Z5237" s="53"/>
      <c r="AA5237"/>
      <c r="AB5237" s="23"/>
      <c r="AF5237" s="22"/>
    </row>
    <row r="5238" spans="1:38">
      <c r="A5238" t="str">
        <f t="shared" si="1034"/>
        <v>PA_Alleg_2019p~Dem-school director south allegheny (vote for 5)</v>
      </c>
      <c r="B5238" s="55" t="s">
        <v>1291</v>
      </c>
      <c r="C5238">
        <v>250</v>
      </c>
      <c r="D5238" s="55" t="s">
        <v>260</v>
      </c>
      <c r="E5238" s="55" t="s">
        <v>262</v>
      </c>
      <c r="F5238" t="s">
        <v>12</v>
      </c>
      <c r="G5238" s="62">
        <v>306</v>
      </c>
      <c r="H5238" s="25">
        <v>6.1</v>
      </c>
      <c r="I5238">
        <v>7437</v>
      </c>
      <c r="J5238">
        <v>1701</v>
      </c>
      <c r="K5238">
        <v>13</v>
      </c>
      <c r="L5238">
        <v>13</v>
      </c>
      <c r="M5238">
        <v>0</v>
      </c>
      <c r="N5238" s="23">
        <v>0</v>
      </c>
      <c r="O5238">
        <f t="shared" si="1027"/>
        <v>10</v>
      </c>
      <c r="P5238" s="57">
        <f t="shared" si="1028"/>
        <v>5</v>
      </c>
      <c r="Q5238" s="267">
        <f t="shared" si="1029"/>
        <v>327</v>
      </c>
      <c r="R5238" s="23" t="str">
        <f t="shared" si="1030"/>
        <v/>
      </c>
      <c r="S5238" s="23">
        <f t="shared" si="1031"/>
        <v>306</v>
      </c>
      <c r="T5238" s="23" t="str">
        <f t="shared" si="1032"/>
        <v/>
      </c>
      <c r="U5238" t="str">
        <f t="shared" si="1033"/>
        <v/>
      </c>
      <c r="X5238" s="43"/>
      <c r="Y5238" s="53"/>
      <c r="Z5238" s="53"/>
      <c r="AA5238"/>
      <c r="AB5238" s="23"/>
      <c r="AF5238" s="22"/>
    </row>
    <row r="5239" spans="1:38">
      <c r="A5239" t="str">
        <f t="shared" si="1034"/>
        <v>PA_Alleg_2019p~Dem-school director south allegheny (vote for 5)</v>
      </c>
      <c r="B5239" s="55" t="s">
        <v>1291</v>
      </c>
      <c r="C5239">
        <v>259</v>
      </c>
      <c r="D5239" s="55" t="s">
        <v>260</v>
      </c>
      <c r="E5239" s="55" t="s">
        <v>15</v>
      </c>
      <c r="F5239" t="s">
        <v>12</v>
      </c>
      <c r="G5239" s="62">
        <v>21</v>
      </c>
      <c r="H5239" s="25">
        <v>0.42</v>
      </c>
      <c r="I5239">
        <v>7437</v>
      </c>
      <c r="J5239">
        <v>1701</v>
      </c>
      <c r="K5239">
        <v>13</v>
      </c>
      <c r="L5239">
        <v>13</v>
      </c>
      <c r="M5239">
        <v>0</v>
      </c>
      <c r="N5239" s="23">
        <v>0</v>
      </c>
      <c r="O5239">
        <f t="shared" si="1027"/>
        <v>-10</v>
      </c>
      <c r="P5239" s="57">
        <f t="shared" si="1028"/>
        <v>5</v>
      </c>
      <c r="Q5239" s="267">
        <f t="shared" si="1029"/>
        <v>21</v>
      </c>
      <c r="R5239" s="23">
        <f t="shared" si="1030"/>
        <v>1</v>
      </c>
      <c r="S5239" s="23">
        <f t="shared" si="1031"/>
        <v>0</v>
      </c>
      <c r="T5239" s="23" t="str">
        <f t="shared" si="1032"/>
        <v/>
      </c>
      <c r="U5239" t="str">
        <f t="shared" si="1033"/>
        <v/>
      </c>
      <c r="X5239" s="43"/>
      <c r="Y5239" s="53"/>
      <c r="Z5239" s="53"/>
      <c r="AA5239"/>
      <c r="AB5239" s="23"/>
      <c r="AF5239" s="22"/>
    </row>
    <row r="5240" spans="1:38">
      <c r="A5240" t="str">
        <f t="shared" si="1034"/>
        <v>PA_Alleg_2019p~Dem-school director south fayette (vote for 1)</v>
      </c>
      <c r="B5240" s="55" t="s">
        <v>1291</v>
      </c>
      <c r="C5240">
        <v>340</v>
      </c>
      <c r="D5240" s="55" t="s">
        <v>348</v>
      </c>
      <c r="E5240" s="55" t="s">
        <v>349</v>
      </c>
      <c r="F5240" t="s">
        <v>12</v>
      </c>
      <c r="G5240" s="62">
        <v>661</v>
      </c>
      <c r="H5240" s="25">
        <v>98.36</v>
      </c>
      <c r="I5240">
        <v>11553</v>
      </c>
      <c r="J5240">
        <v>1482</v>
      </c>
      <c r="K5240">
        <v>12</v>
      </c>
      <c r="L5240">
        <v>12</v>
      </c>
      <c r="M5240">
        <v>0</v>
      </c>
      <c r="N5240" s="23">
        <v>0</v>
      </c>
      <c r="O5240">
        <f t="shared" si="1027"/>
        <v>1</v>
      </c>
      <c r="P5240" s="57">
        <f t="shared" si="1028"/>
        <v>1</v>
      </c>
      <c r="Q5240" s="267">
        <f t="shared" si="1029"/>
        <v>672</v>
      </c>
      <c r="R5240" s="23">
        <f t="shared" si="1030"/>
        <v>661</v>
      </c>
      <c r="S5240" s="23">
        <f t="shared" si="1031"/>
        <v>0</v>
      </c>
      <c r="T5240" s="23" t="str">
        <f t="shared" si="1032"/>
        <v/>
      </c>
      <c r="U5240" t="str">
        <f t="shared" si="1033"/>
        <v>PA_Alleg_2019p~Dem-school director south fayette (vote for 1)</v>
      </c>
      <c r="X5240" s="43"/>
      <c r="Y5240" s="53"/>
      <c r="Z5240" s="53"/>
      <c r="AA5240"/>
      <c r="AB5240" s="23"/>
      <c r="AF5240" s="22"/>
    </row>
    <row r="5241" spans="1:38">
      <c r="A5241" t="str">
        <f t="shared" si="1034"/>
        <v>PA_Alleg_2019p~Dem-school director south fayette (vote for 1)</v>
      </c>
      <c r="B5241" s="55" t="s">
        <v>1291</v>
      </c>
      <c r="C5241">
        <v>341</v>
      </c>
      <c r="D5241" s="55" t="s">
        <v>348</v>
      </c>
      <c r="E5241" s="55" t="s">
        <v>15</v>
      </c>
      <c r="F5241" t="s">
        <v>12</v>
      </c>
      <c r="G5241" s="62">
        <v>11</v>
      </c>
      <c r="H5241" s="25">
        <v>1.64</v>
      </c>
      <c r="I5241">
        <v>11553</v>
      </c>
      <c r="J5241">
        <v>1482</v>
      </c>
      <c r="K5241">
        <v>12</v>
      </c>
      <c r="L5241">
        <v>12</v>
      </c>
      <c r="M5241">
        <v>0</v>
      </c>
      <c r="N5241" s="23">
        <v>0</v>
      </c>
      <c r="O5241">
        <f t="shared" si="1027"/>
        <v>-1</v>
      </c>
      <c r="P5241" s="57">
        <f t="shared" si="1028"/>
        <v>1</v>
      </c>
      <c r="Q5241" s="267">
        <f t="shared" si="1029"/>
        <v>11</v>
      </c>
      <c r="R5241" s="23">
        <f t="shared" si="1030"/>
        <v>1</v>
      </c>
      <c r="S5241" s="23">
        <f t="shared" si="1031"/>
        <v>0</v>
      </c>
      <c r="T5241" s="23" t="str">
        <f t="shared" si="1032"/>
        <v/>
      </c>
      <c r="U5241" t="str">
        <f t="shared" si="1033"/>
        <v/>
      </c>
      <c r="X5241" s="43"/>
      <c r="Y5241" s="53"/>
      <c r="Z5241" s="53"/>
      <c r="AA5241"/>
      <c r="AB5241" s="23"/>
      <c r="AF5241" s="22"/>
      <c r="AH5241" s="8"/>
      <c r="AL5241" s="23"/>
    </row>
    <row r="5242" spans="1:38">
      <c r="A5242" t="str">
        <f t="shared" si="1034"/>
        <v>PA_Alleg_2019p~Dem-school director south fayette (vote for 5)</v>
      </c>
      <c r="B5242" s="55" t="s">
        <v>1291</v>
      </c>
      <c r="C5242">
        <v>266</v>
      </c>
      <c r="D5242" s="55" t="s">
        <v>271</v>
      </c>
      <c r="E5242" s="55" t="s">
        <v>278</v>
      </c>
      <c r="F5242" t="s">
        <v>12</v>
      </c>
      <c r="G5242" s="62">
        <v>605</v>
      </c>
      <c r="H5242" s="25">
        <v>19.78</v>
      </c>
      <c r="I5242">
        <v>11553</v>
      </c>
      <c r="J5242">
        <v>1482</v>
      </c>
      <c r="K5242">
        <v>12</v>
      </c>
      <c r="L5242">
        <v>12</v>
      </c>
      <c r="M5242">
        <v>0</v>
      </c>
      <c r="N5242" s="23">
        <v>0</v>
      </c>
      <c r="O5242">
        <f t="shared" si="1027"/>
        <v>1</v>
      </c>
      <c r="P5242" s="57">
        <f t="shared" si="1028"/>
        <v>5</v>
      </c>
      <c r="Q5242" s="267">
        <f t="shared" si="1029"/>
        <v>611.79999999999995</v>
      </c>
      <c r="R5242" s="23">
        <f t="shared" si="1030"/>
        <v>411</v>
      </c>
      <c r="S5242" s="23">
        <f t="shared" si="1031"/>
        <v>324</v>
      </c>
      <c r="T5242" s="23">
        <f t="shared" si="1032"/>
        <v>87</v>
      </c>
      <c r="U5242" t="str">
        <f t="shared" si="1033"/>
        <v>PA_Alleg_2019p~Dem-school director south fayette (vote for 5)</v>
      </c>
      <c r="X5242" s="43"/>
      <c r="Y5242" s="53"/>
      <c r="Z5242" s="53"/>
      <c r="AA5242"/>
      <c r="AB5242" s="23"/>
      <c r="AF5242" s="22"/>
      <c r="AG5242" s="89"/>
      <c r="AH5242" s="274"/>
      <c r="AI5242" s="279"/>
      <c r="AJ5242" s="280"/>
      <c r="AK5242" s="92"/>
      <c r="AL5242" s="23"/>
    </row>
    <row r="5243" spans="1:38">
      <c r="A5243" t="str">
        <f t="shared" si="1034"/>
        <v>PA_Alleg_2019p~Dem-school director south fayette (vote for 5)</v>
      </c>
      <c r="B5243" s="55" t="s">
        <v>1291</v>
      </c>
      <c r="C5243">
        <v>265</v>
      </c>
      <c r="D5243" s="55" t="s">
        <v>271</v>
      </c>
      <c r="E5243" s="55" t="s">
        <v>277</v>
      </c>
      <c r="F5243" t="s">
        <v>12</v>
      </c>
      <c r="G5243" s="62">
        <v>490</v>
      </c>
      <c r="H5243" s="25">
        <v>16.02</v>
      </c>
      <c r="I5243">
        <v>11553</v>
      </c>
      <c r="J5243">
        <v>1482</v>
      </c>
      <c r="K5243">
        <v>12</v>
      </c>
      <c r="L5243">
        <v>12</v>
      </c>
      <c r="M5243">
        <v>0</v>
      </c>
      <c r="N5243" s="23">
        <v>0</v>
      </c>
      <c r="O5243">
        <f t="shared" si="1027"/>
        <v>2</v>
      </c>
      <c r="P5243" s="57">
        <f t="shared" si="1028"/>
        <v>5</v>
      </c>
      <c r="Q5243" s="267">
        <f t="shared" si="1029"/>
        <v>2454</v>
      </c>
      <c r="R5243" s="23">
        <f t="shared" si="1030"/>
        <v>411</v>
      </c>
      <c r="S5243" s="23">
        <f t="shared" si="1031"/>
        <v>324</v>
      </c>
      <c r="T5243" s="23" t="str">
        <f t="shared" si="1032"/>
        <v/>
      </c>
      <c r="U5243" t="str">
        <f t="shared" si="1033"/>
        <v/>
      </c>
      <c r="X5243" s="43"/>
      <c r="Y5243" s="53"/>
      <c r="Z5243" s="53"/>
      <c r="AA5243"/>
      <c r="AB5243" s="23"/>
      <c r="AF5243" s="22"/>
    </row>
    <row r="5244" spans="1:38">
      <c r="A5244" t="str">
        <f t="shared" si="1034"/>
        <v>PA_Alleg_2019p~Dem-school director south fayette (vote for 5)</v>
      </c>
      <c r="B5244" s="55" t="s">
        <v>1291</v>
      </c>
      <c r="C5244">
        <v>260</v>
      </c>
      <c r="D5244" s="55" t="s">
        <v>271</v>
      </c>
      <c r="E5244" s="55" t="s">
        <v>272</v>
      </c>
      <c r="F5244" t="s">
        <v>12</v>
      </c>
      <c r="G5244" s="62">
        <v>478</v>
      </c>
      <c r="H5244" s="25">
        <v>15.63</v>
      </c>
      <c r="I5244">
        <v>11553</v>
      </c>
      <c r="J5244">
        <v>1482</v>
      </c>
      <c r="K5244">
        <v>12</v>
      </c>
      <c r="L5244">
        <v>12</v>
      </c>
      <c r="M5244">
        <v>0</v>
      </c>
      <c r="N5244" s="23">
        <v>0</v>
      </c>
      <c r="O5244">
        <f t="shared" si="1027"/>
        <v>3</v>
      </c>
      <c r="P5244" s="57">
        <f t="shared" si="1028"/>
        <v>5</v>
      </c>
      <c r="Q5244" s="267">
        <f t="shared" si="1029"/>
        <v>1964</v>
      </c>
      <c r="R5244" s="23">
        <f t="shared" si="1030"/>
        <v>411</v>
      </c>
      <c r="S5244" s="23">
        <f t="shared" si="1031"/>
        <v>324</v>
      </c>
      <c r="T5244" s="23" t="str">
        <f t="shared" si="1032"/>
        <v/>
      </c>
      <c r="U5244" t="str">
        <f t="shared" si="1033"/>
        <v/>
      </c>
      <c r="X5244" s="43"/>
      <c r="Y5244" s="53"/>
      <c r="Z5244" s="53"/>
      <c r="AA5244"/>
      <c r="AB5244" s="23"/>
      <c r="AF5244" s="22"/>
    </row>
    <row r="5245" spans="1:38">
      <c r="A5245" t="str">
        <f t="shared" si="1034"/>
        <v>PA_Alleg_2019p~Dem-school director south fayette (vote for 5)</v>
      </c>
      <c r="B5245" s="55" t="s">
        <v>1291</v>
      </c>
      <c r="C5245">
        <v>262</v>
      </c>
      <c r="D5245" s="55" t="s">
        <v>271</v>
      </c>
      <c r="E5245" s="55" t="s">
        <v>274</v>
      </c>
      <c r="F5245" t="s">
        <v>12</v>
      </c>
      <c r="G5245" s="62">
        <v>460</v>
      </c>
      <c r="H5245" s="25">
        <v>15.04</v>
      </c>
      <c r="I5245">
        <v>11553</v>
      </c>
      <c r="J5245">
        <v>1482</v>
      </c>
      <c r="K5245">
        <v>12</v>
      </c>
      <c r="L5245">
        <v>12</v>
      </c>
      <c r="M5245">
        <v>0</v>
      </c>
      <c r="N5245" s="23">
        <v>0</v>
      </c>
      <c r="O5245">
        <f t="shared" si="1027"/>
        <v>4</v>
      </c>
      <c r="P5245" s="57">
        <f t="shared" si="1028"/>
        <v>5</v>
      </c>
      <c r="Q5245" s="267">
        <f t="shared" si="1029"/>
        <v>1486</v>
      </c>
      <c r="R5245" s="23">
        <f t="shared" si="1030"/>
        <v>411</v>
      </c>
      <c r="S5245" s="23">
        <f t="shared" si="1031"/>
        <v>324</v>
      </c>
      <c r="T5245" s="23" t="str">
        <f t="shared" si="1032"/>
        <v/>
      </c>
      <c r="U5245" t="str">
        <f t="shared" si="1033"/>
        <v/>
      </c>
      <c r="X5245" s="43"/>
      <c r="Y5245" s="53"/>
      <c r="Z5245" s="53"/>
      <c r="AA5245"/>
      <c r="AB5245" s="23"/>
      <c r="AF5245" s="22"/>
    </row>
    <row r="5246" spans="1:38">
      <c r="A5246" t="str">
        <f t="shared" si="1034"/>
        <v>PA_Alleg_2019p~Dem-school director south fayette (vote for 5)</v>
      </c>
      <c r="B5246" s="55" t="s">
        <v>1291</v>
      </c>
      <c r="C5246">
        <v>261</v>
      </c>
      <c r="D5246" s="55" t="s">
        <v>271</v>
      </c>
      <c r="E5246" s="55" t="s">
        <v>273</v>
      </c>
      <c r="F5246" t="s">
        <v>12</v>
      </c>
      <c r="G5246" s="62">
        <v>411</v>
      </c>
      <c r="H5246" s="25">
        <v>13.44</v>
      </c>
      <c r="I5246">
        <v>11553</v>
      </c>
      <c r="J5246">
        <v>1482</v>
      </c>
      <c r="K5246">
        <v>12</v>
      </c>
      <c r="L5246">
        <v>12</v>
      </c>
      <c r="M5246">
        <v>0</v>
      </c>
      <c r="N5246" s="23">
        <v>0</v>
      </c>
      <c r="O5246">
        <f t="shared" si="1027"/>
        <v>5</v>
      </c>
      <c r="P5246" s="57">
        <f t="shared" si="1028"/>
        <v>5</v>
      </c>
      <c r="Q5246" s="267">
        <f t="shared" si="1029"/>
        <v>1026</v>
      </c>
      <c r="R5246" s="23">
        <f t="shared" si="1030"/>
        <v>411</v>
      </c>
      <c r="S5246" s="23">
        <f t="shared" si="1031"/>
        <v>324</v>
      </c>
      <c r="T5246" s="23" t="str">
        <f t="shared" si="1032"/>
        <v/>
      </c>
      <c r="U5246" t="str">
        <f t="shared" si="1033"/>
        <v/>
      </c>
      <c r="X5246" s="43"/>
      <c r="Y5246" s="53"/>
      <c r="Z5246" s="53"/>
      <c r="AA5246"/>
      <c r="AB5246" s="23"/>
    </row>
    <row r="5247" spans="1:38">
      <c r="A5247" t="str">
        <f t="shared" si="1034"/>
        <v>PA_Alleg_2019p~Dem-school director south fayette (vote for 5)</v>
      </c>
      <c r="B5247" s="55" t="s">
        <v>1291</v>
      </c>
      <c r="C5247">
        <v>263</v>
      </c>
      <c r="D5247" s="55" t="s">
        <v>271</v>
      </c>
      <c r="E5247" s="55" t="s">
        <v>275</v>
      </c>
      <c r="F5247" t="s">
        <v>12</v>
      </c>
      <c r="G5247" s="62">
        <v>324</v>
      </c>
      <c r="H5247" s="25">
        <v>10.59</v>
      </c>
      <c r="I5247">
        <v>11553</v>
      </c>
      <c r="J5247">
        <v>1482</v>
      </c>
      <c r="K5247">
        <v>12</v>
      </c>
      <c r="L5247">
        <v>12</v>
      </c>
      <c r="M5247">
        <v>0</v>
      </c>
      <c r="N5247" s="23">
        <v>0</v>
      </c>
      <c r="O5247">
        <f t="shared" si="1027"/>
        <v>6</v>
      </c>
      <c r="P5247" s="57">
        <f t="shared" si="1028"/>
        <v>5</v>
      </c>
      <c r="Q5247" s="267">
        <f t="shared" si="1029"/>
        <v>615</v>
      </c>
      <c r="R5247" s="23" t="str">
        <f t="shared" si="1030"/>
        <v/>
      </c>
      <c r="S5247" s="23">
        <f t="shared" si="1031"/>
        <v>324</v>
      </c>
      <c r="T5247" s="23" t="str">
        <f t="shared" si="1032"/>
        <v/>
      </c>
      <c r="U5247" t="str">
        <f t="shared" si="1033"/>
        <v/>
      </c>
      <c r="X5247" s="43"/>
      <c r="Y5247" s="53"/>
      <c r="Z5247" s="53"/>
      <c r="AA5247"/>
      <c r="AB5247" s="23"/>
      <c r="AF5247" s="22"/>
    </row>
    <row r="5248" spans="1:38">
      <c r="A5248" t="str">
        <f t="shared" si="1034"/>
        <v>PA_Alleg_2019p~Dem-school director south fayette (vote for 5)</v>
      </c>
      <c r="B5248" s="55" t="s">
        <v>1291</v>
      </c>
      <c r="C5248">
        <v>264</v>
      </c>
      <c r="D5248" s="55" t="s">
        <v>271</v>
      </c>
      <c r="E5248" s="55" t="s">
        <v>276</v>
      </c>
      <c r="F5248" t="s">
        <v>12</v>
      </c>
      <c r="G5248" s="62">
        <v>280</v>
      </c>
      <c r="H5248" s="25">
        <v>9.15</v>
      </c>
      <c r="I5248">
        <v>11553</v>
      </c>
      <c r="J5248">
        <v>1482</v>
      </c>
      <c r="K5248">
        <v>12</v>
      </c>
      <c r="L5248">
        <v>12</v>
      </c>
      <c r="M5248">
        <v>0</v>
      </c>
      <c r="N5248" s="23">
        <v>0</v>
      </c>
      <c r="O5248">
        <f t="shared" si="1027"/>
        <v>7</v>
      </c>
      <c r="P5248" s="57">
        <f t="shared" si="1028"/>
        <v>5</v>
      </c>
      <c r="Q5248" s="267">
        <f t="shared" si="1029"/>
        <v>291</v>
      </c>
      <c r="R5248" s="23" t="str">
        <f t="shared" si="1030"/>
        <v/>
      </c>
      <c r="S5248" s="23">
        <f t="shared" si="1031"/>
        <v>280</v>
      </c>
      <c r="T5248" s="23" t="str">
        <f t="shared" si="1032"/>
        <v/>
      </c>
      <c r="U5248" t="str">
        <f t="shared" si="1033"/>
        <v/>
      </c>
      <c r="X5248" s="43"/>
      <c r="Y5248" s="53"/>
      <c r="Z5248" s="53"/>
      <c r="AA5248"/>
      <c r="AB5248" s="23"/>
      <c r="AF5248" s="22"/>
    </row>
    <row r="5249" spans="1:38">
      <c r="A5249" t="str">
        <f t="shared" si="1034"/>
        <v>PA_Alleg_2019p~Dem-school director south fayette (vote for 5)</v>
      </c>
      <c r="B5249" s="55" t="s">
        <v>1291</v>
      </c>
      <c r="C5249">
        <v>267</v>
      </c>
      <c r="D5249" s="55" t="s">
        <v>271</v>
      </c>
      <c r="E5249" s="55" t="s">
        <v>15</v>
      </c>
      <c r="F5249" t="s">
        <v>12</v>
      </c>
      <c r="G5249" s="62">
        <v>11</v>
      </c>
      <c r="H5249" s="25">
        <v>0.36</v>
      </c>
      <c r="I5249">
        <v>11553</v>
      </c>
      <c r="J5249">
        <v>1482</v>
      </c>
      <c r="K5249">
        <v>12</v>
      </c>
      <c r="L5249">
        <v>12</v>
      </c>
      <c r="M5249">
        <v>0</v>
      </c>
      <c r="N5249" s="23">
        <v>0</v>
      </c>
      <c r="O5249">
        <f t="shared" si="1027"/>
        <v>-7</v>
      </c>
      <c r="P5249" s="57">
        <f t="shared" si="1028"/>
        <v>5</v>
      </c>
      <c r="Q5249" s="267">
        <f t="shared" si="1029"/>
        <v>11</v>
      </c>
      <c r="R5249" s="23">
        <f t="shared" si="1030"/>
        <v>1</v>
      </c>
      <c r="S5249" s="23">
        <f t="shared" si="1031"/>
        <v>0</v>
      </c>
      <c r="T5249" s="23" t="str">
        <f t="shared" si="1032"/>
        <v/>
      </c>
      <c r="U5249" t="str">
        <f t="shared" si="1033"/>
        <v/>
      </c>
      <c r="X5249" s="43"/>
      <c r="Y5249" s="53"/>
      <c r="Z5249" s="53"/>
      <c r="AA5249"/>
      <c r="AB5249" s="23"/>
      <c r="AF5249" s="22"/>
    </row>
    <row r="5250" spans="1:38">
      <c r="A5250" t="str">
        <f t="shared" si="1034"/>
        <v>PA_Alleg_2019p~Dem-school director south park (vote for 5)</v>
      </c>
      <c r="B5250" s="55" t="s">
        <v>1291</v>
      </c>
      <c r="C5250">
        <v>271</v>
      </c>
      <c r="D5250" s="55" t="s">
        <v>279</v>
      </c>
      <c r="E5250" s="55" t="s">
        <v>283</v>
      </c>
      <c r="F5250" t="s">
        <v>12</v>
      </c>
      <c r="G5250" s="62">
        <v>664</v>
      </c>
      <c r="H5250" s="25">
        <v>20.95</v>
      </c>
      <c r="I5250">
        <v>9810</v>
      </c>
      <c r="J5250">
        <v>1387</v>
      </c>
      <c r="K5250">
        <v>13</v>
      </c>
      <c r="L5250">
        <v>13</v>
      </c>
      <c r="M5250">
        <v>0</v>
      </c>
      <c r="N5250" s="23">
        <v>0</v>
      </c>
      <c r="O5250">
        <f t="shared" ref="O5250:O5313" si="1035">IF(OR(LOWER(LEFT(E5250,8))="write-in",LOWER(LEFT(E5250,8))="not qual"),IF(A5250=A5249,-ABS(O5249),0),IF(A5250=A5249,ABS(O5249)+1,1))</f>
        <v>1</v>
      </c>
      <c r="P5250" s="57">
        <f t="shared" ref="P5250:P5313" si="1036">1*LEFT(RIGHT(A5250,2),1)</f>
        <v>5</v>
      </c>
      <c r="Q5250" s="267">
        <f t="shared" ref="Q5250:Q5313" si="1037">IF(A5250&lt;&gt;A5251,G5250,IF(A5250=A5249,G5250+Q5251,MAX(G5250,(G5250+Q5251)/P5250)))</f>
        <v>664</v>
      </c>
      <c r="R5250" s="23">
        <f t="shared" ref="R5250:R5313" si="1038">IF(O5250&gt;P5250,"",IF(O5250=P5250,G5250,IF(A5250=A5251,R5251,IF(O5250&lt;=0,1,G5250))))</f>
        <v>600</v>
      </c>
      <c r="S5250" s="23">
        <f t="shared" ref="S5250:S5313" si="1039">IF(AND(O5250&gt;P5250,LOWER(LEFT(E5250,8))&lt;&gt;"write-in",LOWER(LEFT(E5250,8))&lt;&gt;"not qual"),G5250,IF(A5250=A5251,S5251,0))</f>
        <v>0</v>
      </c>
      <c r="T5250" s="23" t="str">
        <f t="shared" ref="T5250:T5313" si="1040">IF(OR(A5250=A5249,S5250=0),"",R5250-ABS(S5250))</f>
        <v/>
      </c>
      <c r="U5250" t="str">
        <f t="shared" ref="U5250:U5313" si="1041">IF(A5250=A5249,"",A5250)</f>
        <v>PA_Alleg_2019p~Dem-school director south park (vote for 5)</v>
      </c>
      <c r="X5250" s="43"/>
      <c r="Y5250" s="53"/>
      <c r="Z5250" s="53"/>
      <c r="AA5250"/>
      <c r="AB5250" s="23"/>
      <c r="AF5250" s="22"/>
      <c r="AG5250" s="89"/>
      <c r="AH5250" s="274"/>
      <c r="AI5250" s="279"/>
      <c r="AJ5250" s="280"/>
      <c r="AK5250" s="92"/>
      <c r="AL5250" s="23"/>
    </row>
    <row r="5251" spans="1:38">
      <c r="A5251" t="str">
        <f t="shared" ref="A5251:A5314" si="1042">CONCATENATE(B5251,"~",F5251,"-",LOWER(D5251))</f>
        <v>PA_Alleg_2019p~Dem-school director south park (vote for 5)</v>
      </c>
      <c r="B5251" s="55" t="s">
        <v>1291</v>
      </c>
      <c r="C5251">
        <v>269</v>
      </c>
      <c r="D5251" s="55" t="s">
        <v>279</v>
      </c>
      <c r="E5251" s="55" t="s">
        <v>281</v>
      </c>
      <c r="F5251" t="s">
        <v>12</v>
      </c>
      <c r="G5251" s="62">
        <v>641</v>
      </c>
      <c r="H5251" s="25">
        <v>20.23</v>
      </c>
      <c r="I5251">
        <v>9810</v>
      </c>
      <c r="J5251">
        <v>1387</v>
      </c>
      <c r="K5251">
        <v>13</v>
      </c>
      <c r="L5251">
        <v>13</v>
      </c>
      <c r="M5251">
        <v>0</v>
      </c>
      <c r="N5251" s="23">
        <v>0</v>
      </c>
      <c r="O5251">
        <f t="shared" si="1035"/>
        <v>2</v>
      </c>
      <c r="P5251" s="57">
        <f t="shared" si="1036"/>
        <v>5</v>
      </c>
      <c r="Q5251" s="267">
        <f t="shared" si="1037"/>
        <v>2505</v>
      </c>
      <c r="R5251" s="23">
        <f t="shared" si="1038"/>
        <v>600</v>
      </c>
      <c r="S5251" s="23">
        <f t="shared" si="1039"/>
        <v>0</v>
      </c>
      <c r="T5251" s="23" t="str">
        <f t="shared" si="1040"/>
        <v/>
      </c>
      <c r="U5251" t="str">
        <f t="shared" si="1041"/>
        <v/>
      </c>
      <c r="X5251" s="43"/>
      <c r="Y5251" s="53"/>
      <c r="Z5251" s="53"/>
      <c r="AA5251"/>
      <c r="AB5251" s="23"/>
      <c r="AF5251" s="22"/>
      <c r="AH5251" s="8"/>
      <c r="AL5251" s="23"/>
    </row>
    <row r="5252" spans="1:38">
      <c r="A5252" t="str">
        <f t="shared" si="1042"/>
        <v>PA_Alleg_2019p~Dem-school director south park (vote for 5)</v>
      </c>
      <c r="B5252" s="55" t="s">
        <v>1291</v>
      </c>
      <c r="C5252">
        <v>268</v>
      </c>
      <c r="D5252" s="55" t="s">
        <v>279</v>
      </c>
      <c r="E5252" s="55" t="s">
        <v>280</v>
      </c>
      <c r="F5252" t="s">
        <v>12</v>
      </c>
      <c r="G5252" s="62">
        <v>636</v>
      </c>
      <c r="H5252" s="25">
        <v>20.07</v>
      </c>
      <c r="I5252">
        <v>9810</v>
      </c>
      <c r="J5252">
        <v>1387</v>
      </c>
      <c r="K5252">
        <v>13</v>
      </c>
      <c r="L5252">
        <v>13</v>
      </c>
      <c r="M5252">
        <v>0</v>
      </c>
      <c r="N5252" s="23">
        <v>0</v>
      </c>
      <c r="O5252">
        <f t="shared" si="1035"/>
        <v>3</v>
      </c>
      <c r="P5252" s="57">
        <f t="shared" si="1036"/>
        <v>5</v>
      </c>
      <c r="Q5252" s="267">
        <f t="shared" si="1037"/>
        <v>1864</v>
      </c>
      <c r="R5252" s="23">
        <f t="shared" si="1038"/>
        <v>600</v>
      </c>
      <c r="S5252" s="23">
        <f t="shared" si="1039"/>
        <v>0</v>
      </c>
      <c r="T5252" s="23" t="str">
        <f t="shared" si="1040"/>
        <v/>
      </c>
      <c r="U5252" t="str">
        <f t="shared" si="1041"/>
        <v/>
      </c>
      <c r="X5252" s="43"/>
      <c r="Y5252" s="53"/>
      <c r="Z5252" s="53"/>
      <c r="AA5252"/>
      <c r="AB5252" s="23"/>
      <c r="AF5252" s="22"/>
      <c r="AH5252" s="8"/>
      <c r="AL5252" s="23"/>
    </row>
    <row r="5253" spans="1:38">
      <c r="A5253" t="str">
        <f t="shared" si="1042"/>
        <v>PA_Alleg_2019p~Dem-school director south park (vote for 5)</v>
      </c>
      <c r="B5253" s="55" t="s">
        <v>1291</v>
      </c>
      <c r="C5253">
        <v>270</v>
      </c>
      <c r="D5253" s="55" t="s">
        <v>279</v>
      </c>
      <c r="E5253" s="55" t="s">
        <v>282</v>
      </c>
      <c r="F5253" t="s">
        <v>12</v>
      </c>
      <c r="G5253" s="62">
        <v>609</v>
      </c>
      <c r="H5253" s="25">
        <v>19.22</v>
      </c>
      <c r="I5253">
        <v>9810</v>
      </c>
      <c r="J5253">
        <v>1387</v>
      </c>
      <c r="K5253">
        <v>13</v>
      </c>
      <c r="L5253">
        <v>13</v>
      </c>
      <c r="M5253">
        <v>0</v>
      </c>
      <c r="N5253" s="23">
        <v>0</v>
      </c>
      <c r="O5253">
        <f t="shared" si="1035"/>
        <v>4</v>
      </c>
      <c r="P5253" s="57">
        <f t="shared" si="1036"/>
        <v>5</v>
      </c>
      <c r="Q5253" s="267">
        <f t="shared" si="1037"/>
        <v>1228</v>
      </c>
      <c r="R5253" s="23">
        <f t="shared" si="1038"/>
        <v>600</v>
      </c>
      <c r="S5253" s="23">
        <f t="shared" si="1039"/>
        <v>0</v>
      </c>
      <c r="T5253" s="23" t="str">
        <f t="shared" si="1040"/>
        <v/>
      </c>
      <c r="U5253" t="str">
        <f t="shared" si="1041"/>
        <v/>
      </c>
      <c r="X5253" s="43"/>
      <c r="Y5253" s="53"/>
      <c r="Z5253" s="53"/>
      <c r="AA5253"/>
      <c r="AB5253" s="23"/>
      <c r="AF5253" s="22"/>
      <c r="AH5253" s="8"/>
      <c r="AL5253" s="23"/>
    </row>
    <row r="5254" spans="1:38">
      <c r="A5254" t="str">
        <f t="shared" si="1042"/>
        <v>PA_Alleg_2019p~Dem-school director south park (vote for 5)</v>
      </c>
      <c r="B5254" s="55" t="s">
        <v>1291</v>
      </c>
      <c r="C5254">
        <v>272</v>
      </c>
      <c r="D5254" s="55" t="s">
        <v>279</v>
      </c>
      <c r="E5254" s="55" t="s">
        <v>284</v>
      </c>
      <c r="F5254" t="s">
        <v>12</v>
      </c>
      <c r="G5254" s="62">
        <v>600</v>
      </c>
      <c r="H5254" s="25">
        <v>18.93</v>
      </c>
      <c r="I5254">
        <v>9810</v>
      </c>
      <c r="J5254">
        <v>1387</v>
      </c>
      <c r="K5254">
        <v>13</v>
      </c>
      <c r="L5254">
        <v>13</v>
      </c>
      <c r="M5254">
        <v>0</v>
      </c>
      <c r="N5254" s="23">
        <v>0</v>
      </c>
      <c r="O5254">
        <f t="shared" si="1035"/>
        <v>5</v>
      </c>
      <c r="P5254" s="57">
        <f t="shared" si="1036"/>
        <v>5</v>
      </c>
      <c r="Q5254" s="267">
        <f t="shared" si="1037"/>
        <v>619</v>
      </c>
      <c r="R5254" s="23">
        <f t="shared" si="1038"/>
        <v>600</v>
      </c>
      <c r="S5254" s="23">
        <f t="shared" si="1039"/>
        <v>0</v>
      </c>
      <c r="T5254" s="23" t="str">
        <f t="shared" si="1040"/>
        <v/>
      </c>
      <c r="U5254" t="str">
        <f t="shared" si="1041"/>
        <v/>
      </c>
      <c r="X5254" s="43"/>
      <c r="Y5254" s="53"/>
      <c r="Z5254" s="53"/>
      <c r="AA5254"/>
      <c r="AB5254" s="23"/>
      <c r="AF5254" s="22"/>
    </row>
    <row r="5255" spans="1:38">
      <c r="A5255" t="str">
        <f t="shared" si="1042"/>
        <v>PA_Alleg_2019p~Dem-school director south park (vote for 5)</v>
      </c>
      <c r="B5255" s="55" t="s">
        <v>1291</v>
      </c>
      <c r="C5255">
        <v>273</v>
      </c>
      <c r="D5255" s="55" t="s">
        <v>279</v>
      </c>
      <c r="E5255" s="55" t="s">
        <v>15</v>
      </c>
      <c r="F5255" t="s">
        <v>12</v>
      </c>
      <c r="G5255" s="62">
        <v>19</v>
      </c>
      <c r="H5255" s="25">
        <v>0.6</v>
      </c>
      <c r="I5255">
        <v>9810</v>
      </c>
      <c r="J5255">
        <v>1387</v>
      </c>
      <c r="K5255">
        <v>13</v>
      </c>
      <c r="L5255">
        <v>13</v>
      </c>
      <c r="M5255">
        <v>0</v>
      </c>
      <c r="N5255" s="23">
        <v>0</v>
      </c>
      <c r="O5255">
        <f t="shared" si="1035"/>
        <v>-5</v>
      </c>
      <c r="P5255" s="57">
        <f t="shared" si="1036"/>
        <v>5</v>
      </c>
      <c r="Q5255" s="267">
        <f t="shared" si="1037"/>
        <v>19</v>
      </c>
      <c r="R5255" s="23">
        <f t="shared" si="1038"/>
        <v>1</v>
      </c>
      <c r="S5255" s="23">
        <f t="shared" si="1039"/>
        <v>0</v>
      </c>
      <c r="T5255" s="23" t="str">
        <f t="shared" si="1040"/>
        <v/>
      </c>
      <c r="U5255" t="str">
        <f t="shared" si="1041"/>
        <v/>
      </c>
      <c r="X5255" s="43"/>
      <c r="Y5255" s="53"/>
      <c r="Z5255" s="53"/>
      <c r="AA5255"/>
      <c r="AB5255" s="23"/>
      <c r="AF5255" s="22"/>
    </row>
    <row r="5256" spans="1:38">
      <c r="A5256" t="str">
        <f t="shared" si="1042"/>
        <v>PA_Alleg_2019p~Dem-school director steel valley region 2 (vote for 1)</v>
      </c>
      <c r="B5256" s="55" t="s">
        <v>1291</v>
      </c>
      <c r="C5256">
        <v>411</v>
      </c>
      <c r="D5256" s="55" t="s">
        <v>419</v>
      </c>
      <c r="E5256" s="55" t="s">
        <v>420</v>
      </c>
      <c r="F5256" t="s">
        <v>12</v>
      </c>
      <c r="G5256" s="62">
        <v>502</v>
      </c>
      <c r="H5256" s="25">
        <v>99.8</v>
      </c>
      <c r="I5256">
        <v>3200</v>
      </c>
      <c r="J5256">
        <v>799</v>
      </c>
      <c r="K5256">
        <v>6</v>
      </c>
      <c r="L5256">
        <v>6</v>
      </c>
      <c r="M5256">
        <v>0</v>
      </c>
      <c r="N5256" s="23">
        <v>0</v>
      </c>
      <c r="O5256">
        <f t="shared" si="1035"/>
        <v>1</v>
      </c>
      <c r="P5256" s="57">
        <f t="shared" si="1036"/>
        <v>1</v>
      </c>
      <c r="Q5256" s="267">
        <f t="shared" si="1037"/>
        <v>503</v>
      </c>
      <c r="R5256" s="23">
        <f t="shared" si="1038"/>
        <v>502</v>
      </c>
      <c r="S5256" s="23">
        <f t="shared" si="1039"/>
        <v>0</v>
      </c>
      <c r="T5256" s="23" t="str">
        <f t="shared" si="1040"/>
        <v/>
      </c>
      <c r="U5256" t="str">
        <f t="shared" si="1041"/>
        <v>PA_Alleg_2019p~Dem-school director steel valley region 2 (vote for 1)</v>
      </c>
      <c r="X5256" s="43"/>
      <c r="Y5256" s="53"/>
      <c r="Z5256" s="53"/>
      <c r="AA5256"/>
      <c r="AB5256" s="23"/>
      <c r="AF5256" s="300"/>
      <c r="AH5256" s="8"/>
      <c r="AL5256" s="23"/>
    </row>
    <row r="5257" spans="1:38">
      <c r="A5257" t="str">
        <f t="shared" si="1042"/>
        <v>PA_Alleg_2019p~Dem-school director steel valley region 2 (vote for 1)</v>
      </c>
      <c r="B5257" s="55" t="s">
        <v>1291</v>
      </c>
      <c r="C5257">
        <v>412</v>
      </c>
      <c r="D5257" s="55" t="s">
        <v>419</v>
      </c>
      <c r="E5257" s="55" t="s">
        <v>15</v>
      </c>
      <c r="F5257" t="s">
        <v>12</v>
      </c>
      <c r="G5257" s="62">
        <v>1</v>
      </c>
      <c r="H5257" s="25">
        <v>0.2</v>
      </c>
      <c r="I5257">
        <v>3200</v>
      </c>
      <c r="J5257">
        <v>799</v>
      </c>
      <c r="K5257">
        <v>6</v>
      </c>
      <c r="L5257">
        <v>6</v>
      </c>
      <c r="M5257">
        <v>0</v>
      </c>
      <c r="N5257" s="23">
        <v>0</v>
      </c>
      <c r="O5257">
        <f t="shared" si="1035"/>
        <v>-1</v>
      </c>
      <c r="P5257" s="57">
        <f t="shared" si="1036"/>
        <v>1</v>
      </c>
      <c r="Q5257" s="267">
        <f t="shared" si="1037"/>
        <v>1</v>
      </c>
      <c r="R5257" s="23">
        <f t="shared" si="1038"/>
        <v>1</v>
      </c>
      <c r="S5257" s="23">
        <f t="shared" si="1039"/>
        <v>0</v>
      </c>
      <c r="T5257" s="23" t="str">
        <f t="shared" si="1040"/>
        <v/>
      </c>
      <c r="U5257" t="str">
        <f t="shared" si="1041"/>
        <v/>
      </c>
      <c r="X5257" s="43"/>
      <c r="Y5257" s="53"/>
      <c r="Z5257" s="53"/>
      <c r="AA5257"/>
      <c r="AB5257" s="23"/>
      <c r="AF5257" s="22"/>
      <c r="AH5257" s="8"/>
      <c r="AL5257" s="23"/>
    </row>
    <row r="5258" spans="1:38">
      <c r="A5258" t="str">
        <f t="shared" si="1042"/>
        <v>PA_Alleg_2019p~Dem-school director steel valley region 3 (vote for 1)</v>
      </c>
      <c r="B5258" s="55" t="s">
        <v>1291</v>
      </c>
      <c r="C5258">
        <v>445</v>
      </c>
      <c r="D5258" s="55" t="s">
        <v>449</v>
      </c>
      <c r="E5258" s="55" t="s">
        <v>450</v>
      </c>
      <c r="F5258" t="s">
        <v>12</v>
      </c>
      <c r="G5258" s="62">
        <v>720</v>
      </c>
      <c r="H5258" s="25">
        <v>99.59</v>
      </c>
      <c r="I5258">
        <v>4023</v>
      </c>
      <c r="J5258">
        <v>1182</v>
      </c>
      <c r="K5258">
        <v>5</v>
      </c>
      <c r="L5258">
        <v>5</v>
      </c>
      <c r="M5258">
        <v>0</v>
      </c>
      <c r="N5258" s="23">
        <v>0</v>
      </c>
      <c r="O5258">
        <f t="shared" si="1035"/>
        <v>1</v>
      </c>
      <c r="P5258" s="57">
        <f t="shared" si="1036"/>
        <v>1</v>
      </c>
      <c r="Q5258" s="267">
        <f t="shared" si="1037"/>
        <v>723</v>
      </c>
      <c r="R5258" s="23">
        <f t="shared" si="1038"/>
        <v>720</v>
      </c>
      <c r="S5258" s="23">
        <f t="shared" si="1039"/>
        <v>0</v>
      </c>
      <c r="T5258" s="23" t="str">
        <f t="shared" si="1040"/>
        <v/>
      </c>
      <c r="U5258" t="str">
        <f t="shared" si="1041"/>
        <v>PA_Alleg_2019p~Dem-school director steel valley region 3 (vote for 1)</v>
      </c>
      <c r="X5258" s="43"/>
      <c r="Y5258" s="53"/>
      <c r="Z5258" s="53"/>
      <c r="AA5258"/>
      <c r="AB5258" s="23"/>
      <c r="AF5258" s="22"/>
      <c r="AH5258" s="8"/>
      <c r="AL5258" s="23"/>
    </row>
    <row r="5259" spans="1:38">
      <c r="A5259" t="str">
        <f t="shared" si="1042"/>
        <v>PA_Alleg_2019p~Dem-school director steel valley region 3 (vote for 1)</v>
      </c>
      <c r="B5259" s="55" t="s">
        <v>1291</v>
      </c>
      <c r="C5259">
        <v>446</v>
      </c>
      <c r="D5259" s="55" t="s">
        <v>449</v>
      </c>
      <c r="E5259" s="55" t="s">
        <v>15</v>
      </c>
      <c r="F5259" t="s">
        <v>12</v>
      </c>
      <c r="G5259" s="62">
        <v>3</v>
      </c>
      <c r="H5259" s="25">
        <v>0.41</v>
      </c>
      <c r="I5259">
        <v>4023</v>
      </c>
      <c r="J5259">
        <v>1182</v>
      </c>
      <c r="K5259">
        <v>5</v>
      </c>
      <c r="L5259">
        <v>5</v>
      </c>
      <c r="M5259">
        <v>0</v>
      </c>
      <c r="N5259" s="23">
        <v>0</v>
      </c>
      <c r="O5259">
        <f t="shared" si="1035"/>
        <v>-1</v>
      </c>
      <c r="P5259" s="57">
        <f t="shared" si="1036"/>
        <v>1</v>
      </c>
      <c r="Q5259" s="267">
        <f t="shared" si="1037"/>
        <v>3</v>
      </c>
      <c r="R5259" s="23">
        <f t="shared" si="1038"/>
        <v>1</v>
      </c>
      <c r="S5259" s="23">
        <f t="shared" si="1039"/>
        <v>0</v>
      </c>
      <c r="T5259" s="23" t="str">
        <f t="shared" si="1040"/>
        <v/>
      </c>
      <c r="U5259" t="str">
        <f t="shared" si="1041"/>
        <v/>
      </c>
      <c r="X5259" s="43"/>
      <c r="Y5259" s="53"/>
      <c r="Z5259" s="53"/>
      <c r="AA5259"/>
      <c r="AB5259" s="23"/>
      <c r="AF5259" s="22"/>
      <c r="AH5259" s="8"/>
      <c r="AL5259" s="23"/>
    </row>
    <row r="5260" spans="1:38">
      <c r="A5260" t="str">
        <f t="shared" si="1042"/>
        <v>PA_Alleg_2019p~Dem-school director sto-rox region 1 (vote for 2)</v>
      </c>
      <c r="B5260" s="55" t="s">
        <v>1291</v>
      </c>
      <c r="C5260">
        <v>357</v>
      </c>
      <c r="D5260" s="55" t="s">
        <v>365</v>
      </c>
      <c r="E5260" s="55" t="s">
        <v>366</v>
      </c>
      <c r="F5260" t="s">
        <v>12</v>
      </c>
      <c r="G5260" s="62">
        <v>313</v>
      </c>
      <c r="H5260" s="25">
        <v>50.24</v>
      </c>
      <c r="I5260">
        <v>4104</v>
      </c>
      <c r="J5260">
        <v>593</v>
      </c>
      <c r="K5260">
        <v>7</v>
      </c>
      <c r="L5260">
        <v>7</v>
      </c>
      <c r="M5260">
        <v>0</v>
      </c>
      <c r="N5260" s="23">
        <v>0</v>
      </c>
      <c r="O5260">
        <f t="shared" si="1035"/>
        <v>1</v>
      </c>
      <c r="P5260" s="57">
        <f t="shared" si="1036"/>
        <v>2</v>
      </c>
      <c r="Q5260" s="267">
        <f t="shared" si="1037"/>
        <v>313</v>
      </c>
      <c r="R5260" s="23">
        <f t="shared" si="1038"/>
        <v>281</v>
      </c>
      <c r="S5260" s="23">
        <f t="shared" si="1039"/>
        <v>0</v>
      </c>
      <c r="T5260" s="23" t="str">
        <f t="shared" si="1040"/>
        <v/>
      </c>
      <c r="U5260" t="str">
        <f t="shared" si="1041"/>
        <v>PA_Alleg_2019p~Dem-school director sto-rox region 1 (vote for 2)</v>
      </c>
      <c r="X5260" s="43"/>
      <c r="Y5260" s="53"/>
      <c r="Z5260" s="53"/>
      <c r="AA5260"/>
      <c r="AB5260" s="23"/>
      <c r="AF5260" s="22"/>
      <c r="AH5260" s="8"/>
      <c r="AL5260" s="23"/>
    </row>
    <row r="5261" spans="1:38">
      <c r="A5261" t="str">
        <f t="shared" si="1042"/>
        <v>PA_Alleg_2019p~Dem-school director sto-rox region 1 (vote for 2)</v>
      </c>
      <c r="B5261" s="55" t="s">
        <v>1291</v>
      </c>
      <c r="C5261">
        <v>358</v>
      </c>
      <c r="D5261" s="55" t="s">
        <v>365</v>
      </c>
      <c r="E5261" s="55" t="s">
        <v>367</v>
      </c>
      <c r="F5261" t="s">
        <v>12</v>
      </c>
      <c r="G5261" s="62">
        <v>281</v>
      </c>
      <c r="H5261" s="25">
        <v>45.1</v>
      </c>
      <c r="I5261">
        <v>4104</v>
      </c>
      <c r="J5261">
        <v>593</v>
      </c>
      <c r="K5261">
        <v>7</v>
      </c>
      <c r="L5261">
        <v>7</v>
      </c>
      <c r="M5261">
        <v>0</v>
      </c>
      <c r="N5261" s="23">
        <v>0</v>
      </c>
      <c r="O5261">
        <f t="shared" si="1035"/>
        <v>2</v>
      </c>
      <c r="P5261" s="57">
        <f t="shared" si="1036"/>
        <v>2</v>
      </c>
      <c r="Q5261" s="267">
        <f t="shared" si="1037"/>
        <v>310</v>
      </c>
      <c r="R5261" s="23">
        <f t="shared" si="1038"/>
        <v>281</v>
      </c>
      <c r="S5261" s="23">
        <f t="shared" si="1039"/>
        <v>0</v>
      </c>
      <c r="T5261" s="23" t="str">
        <f t="shared" si="1040"/>
        <v/>
      </c>
      <c r="U5261" t="str">
        <f t="shared" si="1041"/>
        <v/>
      </c>
      <c r="X5261" s="43"/>
      <c r="Y5261" s="53"/>
      <c r="Z5261" s="53"/>
      <c r="AA5261"/>
      <c r="AB5261" s="23"/>
      <c r="AF5261" s="22"/>
    </row>
    <row r="5262" spans="1:38">
      <c r="A5262" t="str">
        <f t="shared" si="1042"/>
        <v>PA_Alleg_2019p~Dem-school director sto-rox region 1 (vote for 2)</v>
      </c>
      <c r="B5262" s="55" t="s">
        <v>1291</v>
      </c>
      <c r="C5262">
        <v>359</v>
      </c>
      <c r="D5262" s="55" t="s">
        <v>365</v>
      </c>
      <c r="E5262" s="55" t="s">
        <v>15</v>
      </c>
      <c r="F5262" t="s">
        <v>12</v>
      </c>
      <c r="G5262" s="62">
        <v>29</v>
      </c>
      <c r="H5262" s="25">
        <v>4.6500000000000004</v>
      </c>
      <c r="I5262">
        <v>4104</v>
      </c>
      <c r="J5262">
        <v>593</v>
      </c>
      <c r="K5262">
        <v>7</v>
      </c>
      <c r="L5262">
        <v>7</v>
      </c>
      <c r="M5262">
        <v>0</v>
      </c>
      <c r="N5262" s="23">
        <v>0</v>
      </c>
      <c r="O5262">
        <f t="shared" si="1035"/>
        <v>-2</v>
      </c>
      <c r="P5262" s="57">
        <f t="shared" si="1036"/>
        <v>2</v>
      </c>
      <c r="Q5262" s="267">
        <f t="shared" si="1037"/>
        <v>29</v>
      </c>
      <c r="R5262" s="23">
        <f t="shared" si="1038"/>
        <v>1</v>
      </c>
      <c r="S5262" s="23">
        <f t="shared" si="1039"/>
        <v>0</v>
      </c>
      <c r="T5262" s="23" t="str">
        <f t="shared" si="1040"/>
        <v/>
      </c>
      <c r="U5262" t="str">
        <f t="shared" si="1041"/>
        <v/>
      </c>
      <c r="X5262" s="43"/>
      <c r="Y5262" s="53"/>
      <c r="Z5262" s="53"/>
      <c r="AA5262"/>
      <c r="AB5262" s="23"/>
      <c r="AF5262" s="22"/>
    </row>
    <row r="5263" spans="1:38">
      <c r="A5263" t="str">
        <f t="shared" si="1042"/>
        <v>PA_Alleg_2019p~Dem-school director sto-rox region 2 (vote for 1)</v>
      </c>
      <c r="B5263" s="55" t="s">
        <v>1291</v>
      </c>
      <c r="C5263">
        <v>414</v>
      </c>
      <c r="D5263" s="55" t="s">
        <v>421</v>
      </c>
      <c r="E5263" s="55" t="s">
        <v>403</v>
      </c>
      <c r="F5263" t="s">
        <v>12</v>
      </c>
      <c r="G5263" s="62">
        <v>381</v>
      </c>
      <c r="H5263" s="25">
        <v>62.56</v>
      </c>
      <c r="I5263">
        <v>4411</v>
      </c>
      <c r="J5263">
        <v>829</v>
      </c>
      <c r="K5263">
        <v>11</v>
      </c>
      <c r="L5263">
        <v>11</v>
      </c>
      <c r="M5263">
        <v>0</v>
      </c>
      <c r="N5263" s="23">
        <v>0</v>
      </c>
      <c r="O5263">
        <f t="shared" si="1035"/>
        <v>1</v>
      </c>
      <c r="P5263" s="57">
        <f t="shared" si="1036"/>
        <v>1</v>
      </c>
      <c r="Q5263" s="267">
        <f t="shared" si="1037"/>
        <v>609</v>
      </c>
      <c r="R5263" s="23">
        <f t="shared" si="1038"/>
        <v>381</v>
      </c>
      <c r="S5263" s="23">
        <f t="shared" si="1039"/>
        <v>215</v>
      </c>
      <c r="T5263" s="23">
        <f t="shared" si="1040"/>
        <v>166</v>
      </c>
      <c r="U5263" t="str">
        <f t="shared" si="1041"/>
        <v>PA_Alleg_2019p~Dem-school director sto-rox region 2 (vote for 1)</v>
      </c>
      <c r="X5263" s="43"/>
      <c r="Y5263" s="53"/>
      <c r="Z5263" s="53"/>
      <c r="AA5263"/>
      <c r="AB5263" s="23"/>
      <c r="AF5263" s="22"/>
    </row>
    <row r="5264" spans="1:38">
      <c r="A5264" t="str">
        <f t="shared" si="1042"/>
        <v>PA_Alleg_2019p~Dem-school director sto-rox region 2 (vote for 1)</v>
      </c>
      <c r="B5264" s="55" t="s">
        <v>1291</v>
      </c>
      <c r="C5264">
        <v>415</v>
      </c>
      <c r="D5264" s="55" t="s">
        <v>421</v>
      </c>
      <c r="E5264" s="55" t="s">
        <v>404</v>
      </c>
      <c r="F5264" t="s">
        <v>12</v>
      </c>
      <c r="G5264" s="62">
        <v>215</v>
      </c>
      <c r="H5264" s="25">
        <v>35.299999999999997</v>
      </c>
      <c r="I5264">
        <v>4411</v>
      </c>
      <c r="J5264">
        <v>829</v>
      </c>
      <c r="K5264">
        <v>11</v>
      </c>
      <c r="L5264">
        <v>11</v>
      </c>
      <c r="M5264">
        <v>0</v>
      </c>
      <c r="N5264" s="23">
        <v>0</v>
      </c>
      <c r="O5264">
        <f t="shared" si="1035"/>
        <v>2</v>
      </c>
      <c r="P5264" s="57">
        <f t="shared" si="1036"/>
        <v>1</v>
      </c>
      <c r="Q5264" s="267">
        <f t="shared" si="1037"/>
        <v>228</v>
      </c>
      <c r="R5264" s="23" t="str">
        <f t="shared" si="1038"/>
        <v/>
      </c>
      <c r="S5264" s="23">
        <f t="shared" si="1039"/>
        <v>215</v>
      </c>
      <c r="T5264" s="23" t="str">
        <f t="shared" si="1040"/>
        <v/>
      </c>
      <c r="U5264" t="str">
        <f t="shared" si="1041"/>
        <v/>
      </c>
      <c r="X5264" s="43"/>
      <c r="Y5264" s="53"/>
      <c r="Z5264" s="53"/>
      <c r="AA5264"/>
      <c r="AB5264" s="23"/>
      <c r="AF5264" s="22"/>
      <c r="AG5264" s="295"/>
      <c r="AH5264" s="294"/>
      <c r="AI5264" s="279"/>
      <c r="AJ5264" s="279"/>
      <c r="AL5264" s="341"/>
    </row>
    <row r="5265" spans="1:38">
      <c r="A5265" t="str">
        <f t="shared" si="1042"/>
        <v>PA_Alleg_2019p~Dem-school director sto-rox region 2 (vote for 1)</v>
      </c>
      <c r="B5265" s="55" t="s">
        <v>1291</v>
      </c>
      <c r="C5265">
        <v>416</v>
      </c>
      <c r="D5265" s="55" t="s">
        <v>421</v>
      </c>
      <c r="E5265" s="55" t="s">
        <v>15</v>
      </c>
      <c r="F5265" t="s">
        <v>12</v>
      </c>
      <c r="G5265" s="62">
        <v>13</v>
      </c>
      <c r="H5265" s="25">
        <v>2.13</v>
      </c>
      <c r="I5265">
        <v>4411</v>
      </c>
      <c r="J5265">
        <v>829</v>
      </c>
      <c r="K5265">
        <v>11</v>
      </c>
      <c r="L5265">
        <v>11</v>
      </c>
      <c r="M5265">
        <v>0</v>
      </c>
      <c r="N5265" s="23">
        <v>0</v>
      </c>
      <c r="O5265">
        <f t="shared" si="1035"/>
        <v>-2</v>
      </c>
      <c r="P5265" s="57">
        <f t="shared" si="1036"/>
        <v>1</v>
      </c>
      <c r="Q5265" s="267">
        <f t="shared" si="1037"/>
        <v>13</v>
      </c>
      <c r="R5265" s="23">
        <f t="shared" si="1038"/>
        <v>1</v>
      </c>
      <c r="S5265" s="23">
        <f t="shared" si="1039"/>
        <v>0</v>
      </c>
      <c r="T5265" s="23" t="str">
        <f t="shared" si="1040"/>
        <v/>
      </c>
      <c r="U5265" t="str">
        <f t="shared" si="1041"/>
        <v/>
      </c>
      <c r="X5265" s="43"/>
      <c r="Y5265" s="53"/>
      <c r="Z5265" s="53"/>
      <c r="AA5265"/>
      <c r="AB5265" s="23"/>
      <c r="AF5265" s="22"/>
    </row>
    <row r="5266" spans="1:38">
      <c r="A5266" t="str">
        <f t="shared" si="1042"/>
        <v>PA_Alleg_2019p~Dem-school director sto-rox region 2 (vote for 2)</v>
      </c>
      <c r="B5266" s="55" t="s">
        <v>1291</v>
      </c>
      <c r="C5266">
        <v>394</v>
      </c>
      <c r="D5266" s="55" t="s">
        <v>402</v>
      </c>
      <c r="E5266" s="55" t="s">
        <v>403</v>
      </c>
      <c r="F5266" t="s">
        <v>12</v>
      </c>
      <c r="G5266" s="62">
        <v>485</v>
      </c>
      <c r="H5266" s="25">
        <v>52.89</v>
      </c>
      <c r="I5266">
        <v>4411</v>
      </c>
      <c r="J5266">
        <v>829</v>
      </c>
      <c r="K5266">
        <v>11</v>
      </c>
      <c r="L5266">
        <v>11</v>
      </c>
      <c r="M5266">
        <v>0</v>
      </c>
      <c r="N5266" s="23">
        <v>0</v>
      </c>
      <c r="O5266">
        <f t="shared" si="1035"/>
        <v>1</v>
      </c>
      <c r="P5266" s="57">
        <f t="shared" si="1036"/>
        <v>2</v>
      </c>
      <c r="Q5266" s="267">
        <f t="shared" si="1037"/>
        <v>485</v>
      </c>
      <c r="R5266" s="23">
        <f t="shared" si="1038"/>
        <v>381</v>
      </c>
      <c r="S5266" s="23">
        <f t="shared" si="1039"/>
        <v>0</v>
      </c>
      <c r="T5266" s="23" t="str">
        <f t="shared" si="1040"/>
        <v/>
      </c>
      <c r="U5266" t="str">
        <f t="shared" si="1041"/>
        <v>PA_Alleg_2019p~Dem-school director sto-rox region 2 (vote for 2)</v>
      </c>
      <c r="X5266" s="43"/>
      <c r="Y5266" s="53"/>
      <c r="Z5266" s="53"/>
      <c r="AA5266"/>
      <c r="AB5266" s="23"/>
      <c r="AF5266" s="22"/>
    </row>
    <row r="5267" spans="1:38">
      <c r="A5267" t="str">
        <f t="shared" si="1042"/>
        <v>PA_Alleg_2019p~Dem-school director sto-rox region 2 (vote for 2)</v>
      </c>
      <c r="B5267" s="55" t="s">
        <v>1291</v>
      </c>
      <c r="C5267">
        <v>395</v>
      </c>
      <c r="D5267" s="55" t="s">
        <v>402</v>
      </c>
      <c r="E5267" s="55" t="s">
        <v>404</v>
      </c>
      <c r="F5267" t="s">
        <v>12</v>
      </c>
      <c r="G5267" s="62">
        <v>381</v>
      </c>
      <c r="H5267" s="25">
        <v>41.55</v>
      </c>
      <c r="I5267">
        <v>4411</v>
      </c>
      <c r="J5267">
        <v>829</v>
      </c>
      <c r="K5267">
        <v>11</v>
      </c>
      <c r="L5267">
        <v>11</v>
      </c>
      <c r="M5267">
        <v>0</v>
      </c>
      <c r="N5267" s="23">
        <v>0</v>
      </c>
      <c r="O5267">
        <f t="shared" si="1035"/>
        <v>2</v>
      </c>
      <c r="P5267" s="57">
        <f t="shared" si="1036"/>
        <v>2</v>
      </c>
      <c r="Q5267" s="267">
        <f t="shared" si="1037"/>
        <v>432</v>
      </c>
      <c r="R5267" s="23">
        <f t="shared" si="1038"/>
        <v>381</v>
      </c>
      <c r="S5267" s="23">
        <f t="shared" si="1039"/>
        <v>0</v>
      </c>
      <c r="T5267" s="23" t="str">
        <f t="shared" si="1040"/>
        <v/>
      </c>
      <c r="U5267" t="str">
        <f t="shared" si="1041"/>
        <v/>
      </c>
      <c r="X5267" s="43"/>
      <c r="Y5267" s="53"/>
      <c r="Z5267" s="53"/>
      <c r="AA5267"/>
      <c r="AB5267" s="23"/>
      <c r="AF5267" s="22"/>
    </row>
    <row r="5268" spans="1:38">
      <c r="A5268" t="str">
        <f t="shared" si="1042"/>
        <v>PA_Alleg_2019p~Dem-school director sto-rox region 2 (vote for 2)</v>
      </c>
      <c r="B5268" s="55" t="s">
        <v>1291</v>
      </c>
      <c r="C5268">
        <v>396</v>
      </c>
      <c r="D5268" s="55" t="s">
        <v>402</v>
      </c>
      <c r="E5268" s="55" t="s">
        <v>15</v>
      </c>
      <c r="F5268" t="s">
        <v>12</v>
      </c>
      <c r="G5268" s="62">
        <v>51</v>
      </c>
      <c r="H5268" s="25">
        <v>5.56</v>
      </c>
      <c r="I5268">
        <v>4411</v>
      </c>
      <c r="J5268">
        <v>829</v>
      </c>
      <c r="K5268">
        <v>11</v>
      </c>
      <c r="L5268">
        <v>11</v>
      </c>
      <c r="M5268">
        <v>0</v>
      </c>
      <c r="N5268" s="23">
        <v>0</v>
      </c>
      <c r="O5268">
        <f t="shared" si="1035"/>
        <v>-2</v>
      </c>
      <c r="P5268" s="57">
        <f t="shared" si="1036"/>
        <v>2</v>
      </c>
      <c r="Q5268" s="267">
        <f t="shared" si="1037"/>
        <v>51</v>
      </c>
      <c r="R5268" s="23">
        <f t="shared" si="1038"/>
        <v>1</v>
      </c>
      <c r="S5268" s="23">
        <f t="shared" si="1039"/>
        <v>0</v>
      </c>
      <c r="T5268" s="23" t="str">
        <f t="shared" si="1040"/>
        <v/>
      </c>
      <c r="U5268" t="str">
        <f t="shared" si="1041"/>
        <v/>
      </c>
      <c r="X5268" s="43"/>
      <c r="Y5268" s="53"/>
      <c r="Z5268" s="53"/>
      <c r="AA5268"/>
      <c r="AB5268" s="23"/>
      <c r="AF5268" s="22"/>
    </row>
    <row r="5269" spans="1:38">
      <c r="A5269" t="str">
        <f t="shared" si="1042"/>
        <v>PA_Alleg_2019p~Dem-school director upper saint clair (vote for 5)</v>
      </c>
      <c r="B5269" s="55" t="s">
        <v>1291</v>
      </c>
      <c r="C5269">
        <v>278</v>
      </c>
      <c r="D5269" s="55" t="s">
        <v>285</v>
      </c>
      <c r="E5269" s="55" t="s">
        <v>290</v>
      </c>
      <c r="F5269" t="s">
        <v>12</v>
      </c>
      <c r="G5269" s="62">
        <v>909</v>
      </c>
      <c r="H5269" s="25">
        <v>16.690000000000001</v>
      </c>
      <c r="I5269">
        <v>16476</v>
      </c>
      <c r="J5269">
        <v>2893</v>
      </c>
      <c r="K5269">
        <v>18</v>
      </c>
      <c r="L5269">
        <v>18</v>
      </c>
      <c r="M5269">
        <v>0</v>
      </c>
      <c r="N5269" s="23">
        <v>0</v>
      </c>
      <c r="O5269">
        <f t="shared" si="1035"/>
        <v>1</v>
      </c>
      <c r="P5269" s="57">
        <f t="shared" si="1036"/>
        <v>5</v>
      </c>
      <c r="Q5269" s="267">
        <f t="shared" si="1037"/>
        <v>1089.5999999999999</v>
      </c>
      <c r="R5269" s="23">
        <f t="shared" si="1038"/>
        <v>730</v>
      </c>
      <c r="S5269" s="23">
        <f t="shared" si="1039"/>
        <v>693</v>
      </c>
      <c r="T5269" s="23">
        <f t="shared" si="1040"/>
        <v>37</v>
      </c>
      <c r="U5269" t="str">
        <f t="shared" si="1041"/>
        <v>PA_Alleg_2019p~Dem-school director upper saint clair (vote for 5)</v>
      </c>
      <c r="X5269" s="43"/>
      <c r="Y5269" s="53"/>
      <c r="Z5269" s="53"/>
      <c r="AA5269"/>
      <c r="AB5269" s="23"/>
      <c r="AG5269" s="89"/>
      <c r="AH5269" s="274"/>
      <c r="AI5269" s="279"/>
      <c r="AJ5269" s="280"/>
      <c r="AK5269" s="92"/>
      <c r="AL5269" s="23"/>
    </row>
    <row r="5270" spans="1:38">
      <c r="A5270" t="str">
        <f t="shared" si="1042"/>
        <v>PA_Alleg_2019p~Dem-school director upper saint clair (vote for 5)</v>
      </c>
      <c r="B5270" s="55" t="s">
        <v>1291</v>
      </c>
      <c r="C5270">
        <v>275</v>
      </c>
      <c r="D5270" s="55" t="s">
        <v>285</v>
      </c>
      <c r="E5270" s="55" t="s">
        <v>287</v>
      </c>
      <c r="F5270" t="s">
        <v>12</v>
      </c>
      <c r="G5270" s="62">
        <v>850</v>
      </c>
      <c r="H5270" s="25">
        <v>15.6</v>
      </c>
      <c r="I5270">
        <v>16476</v>
      </c>
      <c r="J5270">
        <v>2893</v>
      </c>
      <c r="K5270">
        <v>18</v>
      </c>
      <c r="L5270">
        <v>18</v>
      </c>
      <c r="M5270">
        <v>0</v>
      </c>
      <c r="N5270" s="23">
        <v>0</v>
      </c>
      <c r="O5270">
        <f t="shared" si="1035"/>
        <v>2</v>
      </c>
      <c r="P5270" s="57">
        <f t="shared" si="1036"/>
        <v>5</v>
      </c>
      <c r="Q5270" s="267">
        <f t="shared" si="1037"/>
        <v>4539</v>
      </c>
      <c r="R5270" s="23">
        <f t="shared" si="1038"/>
        <v>730</v>
      </c>
      <c r="S5270" s="23">
        <f t="shared" si="1039"/>
        <v>693</v>
      </c>
      <c r="T5270" s="23" t="str">
        <f t="shared" si="1040"/>
        <v/>
      </c>
      <c r="U5270" t="str">
        <f t="shared" si="1041"/>
        <v/>
      </c>
      <c r="X5270" s="43"/>
      <c r="Y5270" s="53"/>
      <c r="Z5270" s="53"/>
      <c r="AA5270"/>
      <c r="AB5270" s="23"/>
      <c r="AF5270" s="22"/>
      <c r="AG5270" s="295"/>
      <c r="AH5270" s="294"/>
      <c r="AI5270" s="279"/>
      <c r="AJ5270" s="279"/>
      <c r="AL5270" s="341"/>
    </row>
    <row r="5271" spans="1:38">
      <c r="A5271" t="str">
        <f t="shared" si="1042"/>
        <v>PA_Alleg_2019p~Dem-school director upper saint clair (vote for 5)</v>
      </c>
      <c r="B5271" s="55" t="s">
        <v>1291</v>
      </c>
      <c r="C5271">
        <v>279</v>
      </c>
      <c r="D5271" s="55" t="s">
        <v>285</v>
      </c>
      <c r="E5271" s="55" t="s">
        <v>291</v>
      </c>
      <c r="F5271" t="s">
        <v>12</v>
      </c>
      <c r="G5271" s="62">
        <v>815</v>
      </c>
      <c r="H5271" s="25">
        <v>14.96</v>
      </c>
      <c r="I5271">
        <v>16476</v>
      </c>
      <c r="J5271">
        <v>2893</v>
      </c>
      <c r="K5271">
        <v>18</v>
      </c>
      <c r="L5271">
        <v>18</v>
      </c>
      <c r="M5271">
        <v>0</v>
      </c>
      <c r="N5271" s="23">
        <v>0</v>
      </c>
      <c r="O5271">
        <f t="shared" si="1035"/>
        <v>3</v>
      </c>
      <c r="P5271" s="57">
        <f t="shared" si="1036"/>
        <v>5</v>
      </c>
      <c r="Q5271" s="267">
        <f t="shared" si="1037"/>
        <v>3689</v>
      </c>
      <c r="R5271" s="23">
        <f t="shared" si="1038"/>
        <v>730</v>
      </c>
      <c r="S5271" s="23">
        <f t="shared" si="1039"/>
        <v>693</v>
      </c>
      <c r="T5271" s="23" t="str">
        <f t="shared" si="1040"/>
        <v/>
      </c>
      <c r="U5271" t="str">
        <f t="shared" si="1041"/>
        <v/>
      </c>
      <c r="X5271" s="43"/>
      <c r="Y5271" s="53"/>
      <c r="Z5271" s="53"/>
      <c r="AA5271"/>
      <c r="AB5271" s="23"/>
      <c r="AF5271" s="300"/>
    </row>
    <row r="5272" spans="1:38">
      <c r="A5272" t="str">
        <f t="shared" si="1042"/>
        <v>PA_Alleg_2019p~Dem-school director upper saint clair (vote for 5)</v>
      </c>
      <c r="B5272" s="55" t="s">
        <v>1291</v>
      </c>
      <c r="C5272">
        <v>280</v>
      </c>
      <c r="D5272" s="55" t="s">
        <v>285</v>
      </c>
      <c r="E5272" s="55" t="s">
        <v>292</v>
      </c>
      <c r="F5272" t="s">
        <v>12</v>
      </c>
      <c r="G5272" s="62">
        <v>771</v>
      </c>
      <c r="H5272" s="25">
        <v>14.15</v>
      </c>
      <c r="I5272">
        <v>16476</v>
      </c>
      <c r="J5272">
        <v>2893</v>
      </c>
      <c r="K5272">
        <v>18</v>
      </c>
      <c r="L5272">
        <v>18</v>
      </c>
      <c r="M5272">
        <v>0</v>
      </c>
      <c r="N5272" s="23">
        <v>0</v>
      </c>
      <c r="O5272">
        <f t="shared" si="1035"/>
        <v>4</v>
      </c>
      <c r="P5272" s="57">
        <f t="shared" si="1036"/>
        <v>5</v>
      </c>
      <c r="Q5272" s="267">
        <f t="shared" si="1037"/>
        <v>2874</v>
      </c>
      <c r="R5272" s="23">
        <f t="shared" si="1038"/>
        <v>730</v>
      </c>
      <c r="S5272" s="23">
        <f t="shared" si="1039"/>
        <v>693</v>
      </c>
      <c r="T5272" s="23" t="str">
        <f t="shared" si="1040"/>
        <v/>
      </c>
      <c r="U5272" t="str">
        <f t="shared" si="1041"/>
        <v/>
      </c>
      <c r="X5272" s="43"/>
      <c r="Y5272" s="53"/>
      <c r="Z5272" s="53"/>
      <c r="AA5272"/>
      <c r="AB5272" s="23"/>
      <c r="AF5272" s="22"/>
    </row>
    <row r="5273" spans="1:38">
      <c r="A5273" t="str">
        <f t="shared" si="1042"/>
        <v>PA_Alleg_2019p~Dem-school director upper saint clair (vote for 5)</v>
      </c>
      <c r="B5273" s="55" t="s">
        <v>1291</v>
      </c>
      <c r="C5273">
        <v>276</v>
      </c>
      <c r="D5273" s="55" t="s">
        <v>285</v>
      </c>
      <c r="E5273" s="55" t="s">
        <v>288</v>
      </c>
      <c r="F5273" t="s">
        <v>12</v>
      </c>
      <c r="G5273" s="62">
        <v>730</v>
      </c>
      <c r="H5273" s="25">
        <v>13.4</v>
      </c>
      <c r="I5273">
        <v>16476</v>
      </c>
      <c r="J5273">
        <v>2893</v>
      </c>
      <c r="K5273">
        <v>18</v>
      </c>
      <c r="L5273">
        <v>18</v>
      </c>
      <c r="M5273">
        <v>0</v>
      </c>
      <c r="N5273" s="23">
        <v>0</v>
      </c>
      <c r="O5273">
        <f t="shared" si="1035"/>
        <v>5</v>
      </c>
      <c r="P5273" s="57">
        <f t="shared" si="1036"/>
        <v>5</v>
      </c>
      <c r="Q5273" s="267">
        <f t="shared" si="1037"/>
        <v>2103</v>
      </c>
      <c r="R5273" s="23">
        <f t="shared" si="1038"/>
        <v>730</v>
      </c>
      <c r="S5273" s="23">
        <f t="shared" si="1039"/>
        <v>693</v>
      </c>
      <c r="T5273" s="23" t="str">
        <f t="shared" si="1040"/>
        <v/>
      </c>
      <c r="U5273" t="str">
        <f t="shared" si="1041"/>
        <v/>
      </c>
      <c r="X5273" s="43"/>
      <c r="Y5273" s="53"/>
      <c r="Z5273" s="53"/>
      <c r="AA5273"/>
      <c r="AB5273" s="23"/>
      <c r="AF5273" s="22"/>
    </row>
    <row r="5274" spans="1:38">
      <c r="A5274" t="str">
        <f t="shared" si="1042"/>
        <v>PA_Alleg_2019p~Dem-school director upper saint clair (vote for 5)</v>
      </c>
      <c r="B5274" s="55" t="s">
        <v>1291</v>
      </c>
      <c r="C5274">
        <v>281</v>
      </c>
      <c r="D5274" s="55" t="s">
        <v>285</v>
      </c>
      <c r="E5274" s="55" t="s">
        <v>293</v>
      </c>
      <c r="F5274" t="s">
        <v>12</v>
      </c>
      <c r="G5274" s="62">
        <v>693</v>
      </c>
      <c r="H5274" s="25">
        <v>12.72</v>
      </c>
      <c r="I5274">
        <v>16476</v>
      </c>
      <c r="J5274">
        <v>2893</v>
      </c>
      <c r="K5274">
        <v>18</v>
      </c>
      <c r="L5274">
        <v>18</v>
      </c>
      <c r="M5274">
        <v>0</v>
      </c>
      <c r="N5274" s="23">
        <v>0</v>
      </c>
      <c r="O5274">
        <f t="shared" si="1035"/>
        <v>6</v>
      </c>
      <c r="P5274" s="57">
        <f t="shared" si="1036"/>
        <v>5</v>
      </c>
      <c r="Q5274" s="267">
        <f t="shared" si="1037"/>
        <v>1373</v>
      </c>
      <c r="R5274" s="23" t="str">
        <f t="shared" si="1038"/>
        <v/>
      </c>
      <c r="S5274" s="23">
        <f t="shared" si="1039"/>
        <v>693</v>
      </c>
      <c r="T5274" s="23" t="str">
        <f t="shared" si="1040"/>
        <v/>
      </c>
      <c r="U5274" t="str">
        <f t="shared" si="1041"/>
        <v/>
      </c>
      <c r="X5274" s="43"/>
      <c r="Y5274" s="53"/>
      <c r="Z5274" s="53"/>
      <c r="AA5274"/>
      <c r="AB5274" s="23"/>
      <c r="AF5274" s="22"/>
    </row>
    <row r="5275" spans="1:38">
      <c r="A5275" t="str">
        <f t="shared" si="1042"/>
        <v>PA_Alleg_2019p~Dem-school director upper saint clair (vote for 5)</v>
      </c>
      <c r="B5275" s="55" t="s">
        <v>1291</v>
      </c>
      <c r="C5275">
        <v>277</v>
      </c>
      <c r="D5275" s="55" t="s">
        <v>285</v>
      </c>
      <c r="E5275" s="55" t="s">
        <v>289</v>
      </c>
      <c r="F5275" t="s">
        <v>12</v>
      </c>
      <c r="G5275" s="62">
        <v>383</v>
      </c>
      <c r="H5275" s="25">
        <v>7.03</v>
      </c>
      <c r="I5275">
        <v>16476</v>
      </c>
      <c r="J5275">
        <v>2893</v>
      </c>
      <c r="K5275">
        <v>18</v>
      </c>
      <c r="L5275">
        <v>18</v>
      </c>
      <c r="M5275">
        <v>0</v>
      </c>
      <c r="N5275" s="23">
        <v>0</v>
      </c>
      <c r="O5275">
        <f t="shared" si="1035"/>
        <v>7</v>
      </c>
      <c r="P5275" s="57">
        <f t="shared" si="1036"/>
        <v>5</v>
      </c>
      <c r="Q5275" s="267">
        <f t="shared" si="1037"/>
        <v>680</v>
      </c>
      <c r="R5275" s="23" t="str">
        <f t="shared" si="1038"/>
        <v/>
      </c>
      <c r="S5275" s="23">
        <f t="shared" si="1039"/>
        <v>383</v>
      </c>
      <c r="T5275" s="23" t="str">
        <f t="shared" si="1040"/>
        <v/>
      </c>
      <c r="U5275" t="str">
        <f t="shared" si="1041"/>
        <v/>
      </c>
      <c r="X5275" s="43"/>
      <c r="Y5275" s="53"/>
      <c r="Z5275" s="53"/>
      <c r="AA5275"/>
      <c r="AB5275" s="23"/>
    </row>
    <row r="5276" spans="1:38">
      <c r="A5276" t="str">
        <f t="shared" si="1042"/>
        <v>PA_Alleg_2019p~Dem-school director upper saint clair (vote for 5)</v>
      </c>
      <c r="B5276" s="55" t="s">
        <v>1291</v>
      </c>
      <c r="C5276">
        <v>274</v>
      </c>
      <c r="D5276" s="55" t="s">
        <v>285</v>
      </c>
      <c r="E5276" s="55" t="s">
        <v>286</v>
      </c>
      <c r="F5276" t="s">
        <v>12</v>
      </c>
      <c r="G5276" s="62">
        <v>287</v>
      </c>
      <c r="H5276" s="25">
        <v>5.27</v>
      </c>
      <c r="I5276">
        <v>16476</v>
      </c>
      <c r="J5276">
        <v>2893</v>
      </c>
      <c r="K5276">
        <v>18</v>
      </c>
      <c r="L5276">
        <v>18</v>
      </c>
      <c r="M5276">
        <v>0</v>
      </c>
      <c r="N5276" s="23">
        <v>0</v>
      </c>
      <c r="O5276">
        <f t="shared" si="1035"/>
        <v>8</v>
      </c>
      <c r="P5276" s="57">
        <f t="shared" si="1036"/>
        <v>5</v>
      </c>
      <c r="Q5276" s="267">
        <f t="shared" si="1037"/>
        <v>297</v>
      </c>
      <c r="R5276" s="23" t="str">
        <f t="shared" si="1038"/>
        <v/>
      </c>
      <c r="S5276" s="23">
        <f t="shared" si="1039"/>
        <v>287</v>
      </c>
      <c r="T5276" s="23" t="str">
        <f t="shared" si="1040"/>
        <v/>
      </c>
      <c r="U5276" t="str">
        <f t="shared" si="1041"/>
        <v/>
      </c>
      <c r="X5276" s="43"/>
      <c r="Y5276" s="53"/>
      <c r="Z5276" s="53"/>
      <c r="AA5276"/>
      <c r="AB5276" s="23"/>
      <c r="AF5276" s="22"/>
    </row>
    <row r="5277" spans="1:38">
      <c r="A5277" t="str">
        <f t="shared" si="1042"/>
        <v>PA_Alleg_2019p~Dem-school director upper saint clair (vote for 5)</v>
      </c>
      <c r="B5277" s="55" t="s">
        <v>1291</v>
      </c>
      <c r="C5277">
        <v>282</v>
      </c>
      <c r="D5277" s="55" t="s">
        <v>285</v>
      </c>
      <c r="E5277" s="55" t="s">
        <v>15</v>
      </c>
      <c r="F5277" t="s">
        <v>12</v>
      </c>
      <c r="G5277" s="62">
        <v>10</v>
      </c>
      <c r="H5277" s="25">
        <v>0.18</v>
      </c>
      <c r="I5277">
        <v>16476</v>
      </c>
      <c r="J5277">
        <v>2893</v>
      </c>
      <c r="K5277">
        <v>18</v>
      </c>
      <c r="L5277">
        <v>18</v>
      </c>
      <c r="M5277">
        <v>0</v>
      </c>
      <c r="N5277" s="23">
        <v>0</v>
      </c>
      <c r="O5277">
        <f t="shared" si="1035"/>
        <v>-8</v>
      </c>
      <c r="P5277" s="57">
        <f t="shared" si="1036"/>
        <v>5</v>
      </c>
      <c r="Q5277" s="267">
        <f t="shared" si="1037"/>
        <v>10</v>
      </c>
      <c r="R5277" s="23">
        <f t="shared" si="1038"/>
        <v>1</v>
      </c>
      <c r="S5277" s="23">
        <f t="shared" si="1039"/>
        <v>0</v>
      </c>
      <c r="T5277" s="23" t="str">
        <f t="shared" si="1040"/>
        <v/>
      </c>
      <c r="U5277" t="str">
        <f t="shared" si="1041"/>
        <v/>
      </c>
      <c r="X5277" s="43"/>
      <c r="Y5277" s="53"/>
      <c r="Z5277" s="53"/>
      <c r="AA5277"/>
      <c r="AB5277" s="23"/>
    </row>
    <row r="5278" spans="1:38">
      <c r="A5278" t="str">
        <f t="shared" si="1042"/>
        <v>PA_Alleg_2019p~Dem-school director west allegheny region 1 (vote for 2)</v>
      </c>
      <c r="B5278" s="55" t="s">
        <v>1291</v>
      </c>
      <c r="C5278">
        <v>361</v>
      </c>
      <c r="D5278" s="55" t="s">
        <v>368</v>
      </c>
      <c r="E5278" s="55" t="s">
        <v>370</v>
      </c>
      <c r="F5278" t="s">
        <v>12</v>
      </c>
      <c r="G5278" s="62">
        <v>153</v>
      </c>
      <c r="H5278" s="25">
        <v>52.58</v>
      </c>
      <c r="I5278">
        <v>3141</v>
      </c>
      <c r="J5278">
        <v>351</v>
      </c>
      <c r="K5278">
        <v>3</v>
      </c>
      <c r="L5278">
        <v>3</v>
      </c>
      <c r="M5278">
        <v>0</v>
      </c>
      <c r="N5278" s="23">
        <v>0</v>
      </c>
      <c r="O5278">
        <f t="shared" si="1035"/>
        <v>1</v>
      </c>
      <c r="P5278" s="57">
        <f t="shared" si="1036"/>
        <v>2</v>
      </c>
      <c r="Q5278" s="267">
        <f t="shared" si="1037"/>
        <v>153</v>
      </c>
      <c r="R5278" s="23">
        <f t="shared" si="1038"/>
        <v>134</v>
      </c>
      <c r="S5278" s="23">
        <f t="shared" si="1039"/>
        <v>0</v>
      </c>
      <c r="T5278" s="23" t="str">
        <f t="shared" si="1040"/>
        <v/>
      </c>
      <c r="U5278" t="str">
        <f t="shared" si="1041"/>
        <v>PA_Alleg_2019p~Dem-school director west allegheny region 1 (vote for 2)</v>
      </c>
      <c r="X5278" s="43"/>
      <c r="Y5278" s="53"/>
      <c r="Z5278" s="53"/>
      <c r="AA5278"/>
      <c r="AB5278" s="23"/>
      <c r="AF5278" s="22"/>
    </row>
    <row r="5279" spans="1:38">
      <c r="A5279" t="str">
        <f t="shared" si="1042"/>
        <v>PA_Alleg_2019p~Dem-school director west allegheny region 1 (vote for 2)</v>
      </c>
      <c r="B5279" s="55" t="s">
        <v>1291</v>
      </c>
      <c r="C5279">
        <v>360</v>
      </c>
      <c r="D5279" s="55" t="s">
        <v>368</v>
      </c>
      <c r="E5279" s="55" t="s">
        <v>369</v>
      </c>
      <c r="F5279" t="s">
        <v>12</v>
      </c>
      <c r="G5279" s="62">
        <v>134</v>
      </c>
      <c r="H5279" s="25">
        <v>46.05</v>
      </c>
      <c r="I5279">
        <v>3141</v>
      </c>
      <c r="J5279">
        <v>351</v>
      </c>
      <c r="K5279">
        <v>3</v>
      </c>
      <c r="L5279">
        <v>3</v>
      </c>
      <c r="M5279">
        <v>0</v>
      </c>
      <c r="N5279" s="23">
        <v>0</v>
      </c>
      <c r="O5279">
        <f t="shared" si="1035"/>
        <v>2</v>
      </c>
      <c r="P5279" s="57">
        <f t="shared" si="1036"/>
        <v>2</v>
      </c>
      <c r="Q5279" s="267">
        <f t="shared" si="1037"/>
        <v>138</v>
      </c>
      <c r="R5279" s="23">
        <f t="shared" si="1038"/>
        <v>134</v>
      </c>
      <c r="S5279" s="23">
        <f t="shared" si="1039"/>
        <v>0</v>
      </c>
      <c r="T5279" s="23" t="str">
        <f t="shared" si="1040"/>
        <v/>
      </c>
      <c r="U5279" t="str">
        <f t="shared" si="1041"/>
        <v/>
      </c>
      <c r="X5279" s="43"/>
      <c r="Y5279" s="53"/>
      <c r="Z5279" s="53"/>
      <c r="AA5279"/>
      <c r="AB5279" s="23"/>
      <c r="AF5279" s="22"/>
    </row>
    <row r="5280" spans="1:38">
      <c r="A5280" t="str">
        <f t="shared" si="1042"/>
        <v>PA_Alleg_2019p~Dem-school director west allegheny region 1 (vote for 2)</v>
      </c>
      <c r="B5280" s="55" t="s">
        <v>1291</v>
      </c>
      <c r="C5280">
        <v>362</v>
      </c>
      <c r="D5280" s="55" t="s">
        <v>368</v>
      </c>
      <c r="E5280" s="55" t="s">
        <v>15</v>
      </c>
      <c r="F5280" t="s">
        <v>12</v>
      </c>
      <c r="G5280" s="62">
        <v>4</v>
      </c>
      <c r="H5280" s="25">
        <v>1.37</v>
      </c>
      <c r="I5280">
        <v>3141</v>
      </c>
      <c r="J5280">
        <v>351</v>
      </c>
      <c r="K5280">
        <v>3</v>
      </c>
      <c r="L5280">
        <v>3</v>
      </c>
      <c r="M5280">
        <v>0</v>
      </c>
      <c r="N5280" s="23">
        <v>0</v>
      </c>
      <c r="O5280">
        <f t="shared" si="1035"/>
        <v>-2</v>
      </c>
      <c r="P5280" s="57">
        <f t="shared" si="1036"/>
        <v>2</v>
      </c>
      <c r="Q5280" s="267">
        <f t="shared" si="1037"/>
        <v>4</v>
      </c>
      <c r="R5280" s="23">
        <f t="shared" si="1038"/>
        <v>1</v>
      </c>
      <c r="S5280" s="23">
        <f t="shared" si="1039"/>
        <v>0</v>
      </c>
      <c r="T5280" s="23" t="str">
        <f t="shared" si="1040"/>
        <v/>
      </c>
      <c r="U5280" t="str">
        <f t="shared" si="1041"/>
        <v/>
      </c>
      <c r="X5280" s="43"/>
      <c r="Y5280" s="53"/>
      <c r="Z5280" s="53"/>
      <c r="AA5280"/>
      <c r="AB5280" s="23"/>
      <c r="AF5280" s="22"/>
    </row>
    <row r="5281" spans="1:38">
      <c r="A5281" t="str">
        <f t="shared" si="1042"/>
        <v>PA_Alleg_2019p~Dem-school director west allegheny region 2 (vote for 1)</v>
      </c>
      <c r="B5281" s="55" t="s">
        <v>1291</v>
      </c>
      <c r="C5281">
        <v>417</v>
      </c>
      <c r="D5281" s="55" t="s">
        <v>416</v>
      </c>
      <c r="E5281" s="55" t="s">
        <v>422</v>
      </c>
      <c r="F5281" t="s">
        <v>12</v>
      </c>
      <c r="G5281" s="62">
        <v>426</v>
      </c>
      <c r="H5281" s="25">
        <v>99.77</v>
      </c>
      <c r="I5281">
        <v>8765</v>
      </c>
      <c r="J5281">
        <v>864</v>
      </c>
      <c r="K5281">
        <v>4</v>
      </c>
      <c r="L5281">
        <v>4</v>
      </c>
      <c r="M5281">
        <v>0</v>
      </c>
      <c r="N5281" s="23">
        <v>0</v>
      </c>
      <c r="O5281">
        <f t="shared" si="1035"/>
        <v>1</v>
      </c>
      <c r="P5281" s="57">
        <f t="shared" si="1036"/>
        <v>1</v>
      </c>
      <c r="Q5281" s="267">
        <f t="shared" si="1037"/>
        <v>921</v>
      </c>
      <c r="R5281" s="23">
        <f t="shared" si="1038"/>
        <v>426</v>
      </c>
      <c r="S5281" s="23">
        <f t="shared" si="1039"/>
        <v>350</v>
      </c>
      <c r="T5281" s="23">
        <f t="shared" si="1040"/>
        <v>76</v>
      </c>
      <c r="U5281" t="str">
        <f t="shared" si="1041"/>
        <v>PA_Alleg_2019p~Dem-school director west allegheny region 2 (vote for 1)</v>
      </c>
      <c r="X5281" s="43"/>
      <c r="Y5281" s="53"/>
      <c r="Z5281" s="53"/>
      <c r="AA5281"/>
      <c r="AB5281" s="23"/>
      <c r="AF5281" s="22"/>
    </row>
    <row r="5282" spans="1:38">
      <c r="A5282" t="str">
        <f t="shared" si="1042"/>
        <v>PA_Alleg_2019p~Dem-school director west allegheny region 2 (vote for 1)</v>
      </c>
      <c r="B5282" s="55" t="s">
        <v>1291</v>
      </c>
      <c r="C5282">
        <v>409</v>
      </c>
      <c r="D5282" s="55" t="s">
        <v>416</v>
      </c>
      <c r="E5282" s="55" t="s">
        <v>418</v>
      </c>
      <c r="F5282" t="s">
        <v>12</v>
      </c>
      <c r="G5282" s="62">
        <v>350</v>
      </c>
      <c r="H5282" s="25">
        <v>70.849999999999994</v>
      </c>
      <c r="I5282">
        <v>8765</v>
      </c>
      <c r="J5282">
        <v>864</v>
      </c>
      <c r="K5282">
        <v>4</v>
      </c>
      <c r="L5282">
        <v>4</v>
      </c>
      <c r="M5282">
        <v>0</v>
      </c>
      <c r="N5282" s="23">
        <v>0</v>
      </c>
      <c r="O5282">
        <f t="shared" si="1035"/>
        <v>2</v>
      </c>
      <c r="P5282" s="57">
        <f t="shared" si="1036"/>
        <v>1</v>
      </c>
      <c r="Q5282" s="267">
        <f t="shared" si="1037"/>
        <v>495</v>
      </c>
      <c r="R5282" s="23" t="str">
        <f t="shared" si="1038"/>
        <v/>
      </c>
      <c r="S5282" s="23">
        <f t="shared" si="1039"/>
        <v>350</v>
      </c>
      <c r="T5282" s="23" t="str">
        <f t="shared" si="1040"/>
        <v/>
      </c>
      <c r="U5282" t="str">
        <f t="shared" si="1041"/>
        <v/>
      </c>
      <c r="X5282" s="43"/>
      <c r="Y5282" s="53"/>
      <c r="Z5282" s="53"/>
      <c r="AA5282"/>
      <c r="AB5282" s="23"/>
      <c r="AF5282" s="88"/>
    </row>
    <row r="5283" spans="1:38">
      <c r="A5283" t="str">
        <f t="shared" si="1042"/>
        <v>PA_Alleg_2019p~Dem-school director west allegheny region 2 (vote for 1)</v>
      </c>
      <c r="B5283" s="55" t="s">
        <v>1291</v>
      </c>
      <c r="C5283">
        <v>408</v>
      </c>
      <c r="D5283" s="55" t="s">
        <v>416</v>
      </c>
      <c r="E5283" s="55" t="s">
        <v>417</v>
      </c>
      <c r="F5283" t="s">
        <v>12</v>
      </c>
      <c r="G5283" s="62">
        <v>143</v>
      </c>
      <c r="H5283" s="25">
        <v>28.95</v>
      </c>
      <c r="I5283">
        <v>8765</v>
      </c>
      <c r="J5283">
        <v>864</v>
      </c>
      <c r="K5283">
        <v>4</v>
      </c>
      <c r="L5283">
        <v>4</v>
      </c>
      <c r="M5283">
        <v>0</v>
      </c>
      <c r="N5283" s="23">
        <v>0</v>
      </c>
      <c r="O5283">
        <f t="shared" si="1035"/>
        <v>3</v>
      </c>
      <c r="P5283" s="57">
        <f t="shared" si="1036"/>
        <v>1</v>
      </c>
      <c r="Q5283" s="267">
        <f t="shared" si="1037"/>
        <v>145</v>
      </c>
      <c r="R5283" s="23" t="str">
        <f t="shared" si="1038"/>
        <v/>
      </c>
      <c r="S5283" s="23">
        <f t="shared" si="1039"/>
        <v>143</v>
      </c>
      <c r="T5283" s="23" t="str">
        <f t="shared" si="1040"/>
        <v/>
      </c>
      <c r="U5283" t="str">
        <f t="shared" si="1041"/>
        <v/>
      </c>
      <c r="X5283" s="43"/>
      <c r="Y5283" s="53"/>
      <c r="Z5283" s="53"/>
      <c r="AA5283"/>
      <c r="AB5283" s="23"/>
      <c r="AF5283" s="22"/>
    </row>
    <row r="5284" spans="1:38">
      <c r="A5284" t="str">
        <f t="shared" si="1042"/>
        <v>PA_Alleg_2019p~Dem-school director west allegheny region 2 (vote for 1)</v>
      </c>
      <c r="B5284" s="55" t="s">
        <v>1291</v>
      </c>
      <c r="C5284">
        <v>410</v>
      </c>
      <c r="D5284" s="55" t="s">
        <v>416</v>
      </c>
      <c r="E5284" s="55" t="s">
        <v>15</v>
      </c>
      <c r="F5284" t="s">
        <v>12</v>
      </c>
      <c r="G5284" s="62">
        <v>1</v>
      </c>
      <c r="H5284" s="25">
        <v>0.2</v>
      </c>
      <c r="I5284">
        <v>8765</v>
      </c>
      <c r="J5284">
        <v>864</v>
      </c>
      <c r="K5284">
        <v>4</v>
      </c>
      <c r="L5284">
        <v>4</v>
      </c>
      <c r="M5284">
        <v>0</v>
      </c>
      <c r="N5284" s="23">
        <v>0</v>
      </c>
      <c r="O5284">
        <f t="shared" si="1035"/>
        <v>-3</v>
      </c>
      <c r="P5284" s="57">
        <f t="shared" si="1036"/>
        <v>1</v>
      </c>
      <c r="Q5284" s="267">
        <f t="shared" si="1037"/>
        <v>2</v>
      </c>
      <c r="R5284" s="23">
        <f t="shared" si="1038"/>
        <v>1</v>
      </c>
      <c r="S5284" s="23">
        <f t="shared" si="1039"/>
        <v>0</v>
      </c>
      <c r="T5284" s="23" t="str">
        <f t="shared" si="1040"/>
        <v/>
      </c>
      <c r="U5284" t="str">
        <f t="shared" si="1041"/>
        <v/>
      </c>
      <c r="X5284" s="43"/>
      <c r="Y5284" s="53"/>
      <c r="Z5284" s="53"/>
      <c r="AA5284"/>
      <c r="AB5284" s="23"/>
      <c r="AF5284" s="22"/>
      <c r="AH5284" s="8"/>
      <c r="AL5284" s="23"/>
    </row>
    <row r="5285" spans="1:38">
      <c r="A5285" t="str">
        <f t="shared" si="1042"/>
        <v>PA_Alleg_2019p~Dem-school director west allegheny region 2 (vote for 1)</v>
      </c>
      <c r="B5285" s="55" t="s">
        <v>1291</v>
      </c>
      <c r="C5285">
        <v>418</v>
      </c>
      <c r="D5285" s="55" t="s">
        <v>416</v>
      </c>
      <c r="E5285" s="55" t="s">
        <v>15</v>
      </c>
      <c r="F5285" t="s">
        <v>12</v>
      </c>
      <c r="G5285" s="62">
        <v>1</v>
      </c>
      <c r="H5285" s="25">
        <v>0.23</v>
      </c>
      <c r="I5285">
        <v>8765</v>
      </c>
      <c r="J5285">
        <v>864</v>
      </c>
      <c r="K5285">
        <v>4</v>
      </c>
      <c r="L5285">
        <v>4</v>
      </c>
      <c r="M5285">
        <v>0</v>
      </c>
      <c r="N5285" s="23">
        <v>0</v>
      </c>
      <c r="O5285">
        <f t="shared" si="1035"/>
        <v>-3</v>
      </c>
      <c r="P5285" s="57">
        <f t="shared" si="1036"/>
        <v>1</v>
      </c>
      <c r="Q5285" s="267">
        <f t="shared" si="1037"/>
        <v>1</v>
      </c>
      <c r="R5285" s="23">
        <f t="shared" si="1038"/>
        <v>1</v>
      </c>
      <c r="S5285" s="23">
        <f t="shared" si="1039"/>
        <v>0</v>
      </c>
      <c r="T5285" s="23" t="str">
        <f t="shared" si="1040"/>
        <v/>
      </c>
      <c r="U5285" t="str">
        <f t="shared" si="1041"/>
        <v/>
      </c>
      <c r="X5285" s="43"/>
      <c r="Y5285" s="53"/>
      <c r="Z5285" s="53"/>
      <c r="AA5285"/>
      <c r="AB5285" s="23"/>
      <c r="AF5285" s="22"/>
    </row>
    <row r="5286" spans="1:38">
      <c r="A5286" t="str">
        <f t="shared" si="1042"/>
        <v>PA_Alleg_2019p~Dem-school director west allegheny region 3 (vote for 2)</v>
      </c>
      <c r="B5286" s="55" t="s">
        <v>1291</v>
      </c>
      <c r="C5286">
        <v>435</v>
      </c>
      <c r="D5286" s="55" t="s">
        <v>439</v>
      </c>
      <c r="E5286" s="55" t="s">
        <v>440</v>
      </c>
      <c r="F5286" t="s">
        <v>12</v>
      </c>
      <c r="G5286" s="62">
        <v>208</v>
      </c>
      <c r="H5286" s="25">
        <v>49.06</v>
      </c>
      <c r="I5286">
        <v>4351</v>
      </c>
      <c r="J5286">
        <v>539</v>
      </c>
      <c r="K5286">
        <v>3</v>
      </c>
      <c r="L5286">
        <v>3</v>
      </c>
      <c r="M5286">
        <v>0</v>
      </c>
      <c r="N5286" s="23">
        <v>0</v>
      </c>
      <c r="O5286">
        <f t="shared" si="1035"/>
        <v>1</v>
      </c>
      <c r="P5286" s="57">
        <f t="shared" si="1036"/>
        <v>2</v>
      </c>
      <c r="Q5286" s="267">
        <f t="shared" si="1037"/>
        <v>212</v>
      </c>
      <c r="R5286" s="23">
        <f t="shared" si="1038"/>
        <v>208</v>
      </c>
      <c r="S5286" s="23">
        <f t="shared" si="1039"/>
        <v>0</v>
      </c>
      <c r="T5286" s="23" t="str">
        <f t="shared" si="1040"/>
        <v/>
      </c>
      <c r="U5286" t="str">
        <f t="shared" si="1041"/>
        <v>PA_Alleg_2019p~Dem-school director west allegheny region 3 (vote for 2)</v>
      </c>
      <c r="X5286" s="43"/>
      <c r="Y5286" s="53"/>
      <c r="Z5286" s="53"/>
      <c r="AA5286"/>
      <c r="AB5286" s="23"/>
      <c r="AF5286" s="22"/>
    </row>
    <row r="5287" spans="1:38">
      <c r="A5287" t="str">
        <f t="shared" si="1042"/>
        <v>PA_Alleg_2019p~Dem-school director west allegheny region 3 (vote for 2)</v>
      </c>
      <c r="B5287" s="55" t="s">
        <v>1291</v>
      </c>
      <c r="C5287">
        <v>436</v>
      </c>
      <c r="D5287" s="55" t="s">
        <v>439</v>
      </c>
      <c r="E5287" s="55" t="s">
        <v>441</v>
      </c>
      <c r="F5287" t="s">
        <v>12</v>
      </c>
      <c r="G5287" s="62">
        <v>208</v>
      </c>
      <c r="H5287" s="25">
        <v>49.06</v>
      </c>
      <c r="I5287">
        <v>4351</v>
      </c>
      <c r="J5287">
        <v>539</v>
      </c>
      <c r="K5287">
        <v>3</v>
      </c>
      <c r="L5287">
        <v>3</v>
      </c>
      <c r="M5287">
        <v>0</v>
      </c>
      <c r="N5287" s="23">
        <v>0</v>
      </c>
      <c r="O5287">
        <f t="shared" si="1035"/>
        <v>2</v>
      </c>
      <c r="P5287" s="57">
        <f t="shared" si="1036"/>
        <v>2</v>
      </c>
      <c r="Q5287" s="267">
        <f t="shared" si="1037"/>
        <v>216</v>
      </c>
      <c r="R5287" s="23">
        <f t="shared" si="1038"/>
        <v>208</v>
      </c>
      <c r="S5287" s="23">
        <f t="shared" si="1039"/>
        <v>0</v>
      </c>
      <c r="T5287" s="23" t="str">
        <f t="shared" si="1040"/>
        <v/>
      </c>
      <c r="U5287" t="str">
        <f t="shared" si="1041"/>
        <v/>
      </c>
      <c r="X5287" s="43"/>
      <c r="Y5287" s="53"/>
      <c r="Z5287" s="53"/>
      <c r="AA5287"/>
      <c r="AB5287" s="23"/>
      <c r="AF5287" s="22"/>
    </row>
    <row r="5288" spans="1:38">
      <c r="A5288" t="str">
        <f t="shared" si="1042"/>
        <v>PA_Alleg_2019p~Dem-school director west allegheny region 3 (vote for 2)</v>
      </c>
      <c r="B5288" s="55" t="s">
        <v>1291</v>
      </c>
      <c r="C5288">
        <v>437</v>
      </c>
      <c r="D5288" s="55" t="s">
        <v>439</v>
      </c>
      <c r="E5288" s="55" t="s">
        <v>15</v>
      </c>
      <c r="F5288" t="s">
        <v>12</v>
      </c>
      <c r="G5288" s="62">
        <v>8</v>
      </c>
      <c r="H5288" s="25">
        <v>1.89</v>
      </c>
      <c r="I5288">
        <v>4351</v>
      </c>
      <c r="J5288">
        <v>539</v>
      </c>
      <c r="K5288">
        <v>3</v>
      </c>
      <c r="L5288">
        <v>3</v>
      </c>
      <c r="M5288">
        <v>0</v>
      </c>
      <c r="N5288" s="23">
        <v>0</v>
      </c>
      <c r="O5288">
        <f t="shared" si="1035"/>
        <v>-2</v>
      </c>
      <c r="P5288" s="57">
        <f t="shared" si="1036"/>
        <v>2</v>
      </c>
      <c r="Q5288" s="267">
        <f t="shared" si="1037"/>
        <v>8</v>
      </c>
      <c r="R5288" s="23">
        <f t="shared" si="1038"/>
        <v>1</v>
      </c>
      <c r="S5288" s="23">
        <f t="shared" si="1039"/>
        <v>0</v>
      </c>
      <c r="T5288" s="23" t="str">
        <f t="shared" si="1040"/>
        <v/>
      </c>
      <c r="U5288" t="str">
        <f t="shared" si="1041"/>
        <v/>
      </c>
      <c r="X5288" s="43"/>
      <c r="Y5288" s="53"/>
      <c r="Z5288" s="53"/>
      <c r="AA5288"/>
      <c r="AB5288" s="23"/>
      <c r="AG5288" s="89"/>
      <c r="AH5288" s="274"/>
      <c r="AI5288" s="279"/>
      <c r="AJ5288" s="280"/>
      <c r="AK5288" s="92"/>
      <c r="AL5288" s="23"/>
    </row>
    <row r="5289" spans="1:38">
      <c r="A5289" t="str">
        <f t="shared" si="1042"/>
        <v>PA_Alleg_2019p~Dem-school director west jefferson hills (vote for 5)</v>
      </c>
      <c r="B5289" s="55" t="s">
        <v>1291</v>
      </c>
      <c r="C5289">
        <v>287</v>
      </c>
      <c r="D5289" s="55" t="s">
        <v>294</v>
      </c>
      <c r="E5289" s="55" t="s">
        <v>299</v>
      </c>
      <c r="F5289" t="s">
        <v>12</v>
      </c>
      <c r="G5289" s="62">
        <v>974</v>
      </c>
      <c r="H5289" s="25">
        <v>21.1</v>
      </c>
      <c r="I5289">
        <v>14997</v>
      </c>
      <c r="J5289">
        <v>2394</v>
      </c>
      <c r="K5289">
        <v>19</v>
      </c>
      <c r="L5289">
        <v>19</v>
      </c>
      <c r="M5289">
        <v>0</v>
      </c>
      <c r="N5289" s="23">
        <v>0</v>
      </c>
      <c r="O5289">
        <f t="shared" si="1035"/>
        <v>1</v>
      </c>
      <c r="P5289" s="57">
        <f t="shared" si="1036"/>
        <v>5</v>
      </c>
      <c r="Q5289" s="267">
        <f t="shared" si="1037"/>
        <v>974</v>
      </c>
      <c r="R5289" s="23">
        <f t="shared" si="1038"/>
        <v>854</v>
      </c>
      <c r="S5289" s="23">
        <f t="shared" si="1039"/>
        <v>0</v>
      </c>
      <c r="T5289" s="23" t="str">
        <f t="shared" si="1040"/>
        <v/>
      </c>
      <c r="U5289" t="str">
        <f t="shared" si="1041"/>
        <v>PA_Alleg_2019p~Dem-school director west jefferson hills (vote for 5)</v>
      </c>
      <c r="X5289" s="43"/>
      <c r="Y5289" s="53"/>
      <c r="Z5289" s="53"/>
      <c r="AA5289"/>
      <c r="AB5289" s="23"/>
      <c r="AF5289" s="22"/>
    </row>
    <row r="5290" spans="1:38">
      <c r="A5290" t="str">
        <f t="shared" si="1042"/>
        <v>PA_Alleg_2019p~Dem-school director west jefferson hills (vote for 5)</v>
      </c>
      <c r="B5290" s="55" t="s">
        <v>1291</v>
      </c>
      <c r="C5290">
        <v>286</v>
      </c>
      <c r="D5290" s="55" t="s">
        <v>294</v>
      </c>
      <c r="E5290" s="55" t="s">
        <v>298</v>
      </c>
      <c r="F5290" t="s">
        <v>12</v>
      </c>
      <c r="G5290" s="62">
        <v>962</v>
      </c>
      <c r="H5290" s="25">
        <v>20.84</v>
      </c>
      <c r="I5290">
        <v>14997</v>
      </c>
      <c r="J5290">
        <v>2394</v>
      </c>
      <c r="K5290">
        <v>19</v>
      </c>
      <c r="L5290">
        <v>19</v>
      </c>
      <c r="M5290">
        <v>0</v>
      </c>
      <c r="N5290" s="23">
        <v>0</v>
      </c>
      <c r="O5290">
        <f t="shared" si="1035"/>
        <v>2</v>
      </c>
      <c r="P5290" s="57">
        <f t="shared" si="1036"/>
        <v>5</v>
      </c>
      <c r="Q5290" s="267">
        <f t="shared" si="1037"/>
        <v>3643</v>
      </c>
      <c r="R5290" s="23">
        <f t="shared" si="1038"/>
        <v>854</v>
      </c>
      <c r="S5290" s="23">
        <f t="shared" si="1039"/>
        <v>0</v>
      </c>
      <c r="T5290" s="23" t="str">
        <f t="shared" si="1040"/>
        <v/>
      </c>
      <c r="U5290" t="str">
        <f t="shared" si="1041"/>
        <v/>
      </c>
      <c r="X5290" s="43"/>
      <c r="Y5290" s="53"/>
      <c r="Z5290" s="53"/>
      <c r="AA5290"/>
      <c r="AB5290" s="23"/>
      <c r="AF5290" s="22"/>
    </row>
    <row r="5291" spans="1:38">
      <c r="A5291" t="str">
        <f t="shared" si="1042"/>
        <v>PA_Alleg_2019p~Dem-school director west jefferson hills (vote for 5)</v>
      </c>
      <c r="B5291" s="55" t="s">
        <v>1291</v>
      </c>
      <c r="C5291">
        <v>285</v>
      </c>
      <c r="D5291" s="55" t="s">
        <v>294</v>
      </c>
      <c r="E5291" s="55" t="s">
        <v>297</v>
      </c>
      <c r="F5291" t="s">
        <v>12</v>
      </c>
      <c r="G5291" s="62">
        <v>916</v>
      </c>
      <c r="H5291" s="25">
        <v>19.84</v>
      </c>
      <c r="I5291">
        <v>14997</v>
      </c>
      <c r="J5291">
        <v>2394</v>
      </c>
      <c r="K5291">
        <v>19</v>
      </c>
      <c r="L5291">
        <v>19</v>
      </c>
      <c r="M5291">
        <v>0</v>
      </c>
      <c r="N5291" s="23">
        <v>0</v>
      </c>
      <c r="O5291">
        <f t="shared" si="1035"/>
        <v>3</v>
      </c>
      <c r="P5291" s="57">
        <f t="shared" si="1036"/>
        <v>5</v>
      </c>
      <c r="Q5291" s="267">
        <f t="shared" si="1037"/>
        <v>2681</v>
      </c>
      <c r="R5291" s="23">
        <f t="shared" si="1038"/>
        <v>854</v>
      </c>
      <c r="S5291" s="23">
        <f t="shared" si="1039"/>
        <v>0</v>
      </c>
      <c r="T5291" s="23" t="str">
        <f t="shared" si="1040"/>
        <v/>
      </c>
      <c r="U5291" t="str">
        <f t="shared" si="1041"/>
        <v/>
      </c>
      <c r="X5291" s="43"/>
      <c r="Y5291" s="53"/>
      <c r="Z5291" s="53"/>
      <c r="AA5291"/>
      <c r="AB5291" s="23"/>
      <c r="AF5291" s="22"/>
    </row>
    <row r="5292" spans="1:38">
      <c r="A5292" t="str">
        <f t="shared" si="1042"/>
        <v>PA_Alleg_2019p~Dem-school director west jefferson hills (vote for 5)</v>
      </c>
      <c r="B5292" s="55" t="s">
        <v>1291</v>
      </c>
      <c r="C5292">
        <v>284</v>
      </c>
      <c r="D5292" s="55" t="s">
        <v>294</v>
      </c>
      <c r="E5292" s="55" t="s">
        <v>296</v>
      </c>
      <c r="F5292" t="s">
        <v>12</v>
      </c>
      <c r="G5292" s="62">
        <v>895</v>
      </c>
      <c r="H5292" s="25">
        <v>19.38</v>
      </c>
      <c r="I5292">
        <v>14997</v>
      </c>
      <c r="J5292">
        <v>2394</v>
      </c>
      <c r="K5292">
        <v>19</v>
      </c>
      <c r="L5292">
        <v>19</v>
      </c>
      <c r="M5292">
        <v>0</v>
      </c>
      <c r="N5292" s="23">
        <v>0</v>
      </c>
      <c r="O5292">
        <f t="shared" si="1035"/>
        <v>4</v>
      </c>
      <c r="P5292" s="57">
        <f t="shared" si="1036"/>
        <v>5</v>
      </c>
      <c r="Q5292" s="267">
        <f t="shared" si="1037"/>
        <v>1765</v>
      </c>
      <c r="R5292" s="23">
        <f t="shared" si="1038"/>
        <v>854</v>
      </c>
      <c r="S5292" s="23">
        <f t="shared" si="1039"/>
        <v>0</v>
      </c>
      <c r="T5292" s="23" t="str">
        <f t="shared" si="1040"/>
        <v/>
      </c>
      <c r="U5292" t="str">
        <f t="shared" si="1041"/>
        <v/>
      </c>
      <c r="X5292" s="43"/>
      <c r="Y5292" s="53"/>
      <c r="Z5292" s="53"/>
      <c r="AA5292"/>
      <c r="AB5292" s="23"/>
      <c r="AF5292" s="22"/>
    </row>
    <row r="5293" spans="1:38">
      <c r="A5293" t="str">
        <f t="shared" si="1042"/>
        <v>PA_Alleg_2019p~Dem-school director west jefferson hills (vote for 5)</v>
      </c>
      <c r="B5293" s="55" t="s">
        <v>1291</v>
      </c>
      <c r="C5293">
        <v>283</v>
      </c>
      <c r="D5293" s="55" t="s">
        <v>294</v>
      </c>
      <c r="E5293" s="55" t="s">
        <v>295</v>
      </c>
      <c r="F5293" t="s">
        <v>12</v>
      </c>
      <c r="G5293" s="62">
        <v>854</v>
      </c>
      <c r="H5293" s="25">
        <v>18.5</v>
      </c>
      <c r="I5293">
        <v>14997</v>
      </c>
      <c r="J5293">
        <v>2394</v>
      </c>
      <c r="K5293">
        <v>19</v>
      </c>
      <c r="L5293">
        <v>19</v>
      </c>
      <c r="M5293">
        <v>0</v>
      </c>
      <c r="N5293" s="23">
        <v>0</v>
      </c>
      <c r="O5293">
        <f t="shared" si="1035"/>
        <v>5</v>
      </c>
      <c r="P5293" s="57">
        <f t="shared" si="1036"/>
        <v>5</v>
      </c>
      <c r="Q5293" s="267">
        <f t="shared" si="1037"/>
        <v>870</v>
      </c>
      <c r="R5293" s="23">
        <f t="shared" si="1038"/>
        <v>854</v>
      </c>
      <c r="S5293" s="23">
        <f t="shared" si="1039"/>
        <v>0</v>
      </c>
      <c r="T5293" s="23" t="str">
        <f t="shared" si="1040"/>
        <v/>
      </c>
      <c r="U5293" t="str">
        <f t="shared" si="1041"/>
        <v/>
      </c>
      <c r="X5293" s="43"/>
      <c r="Y5293" s="53"/>
      <c r="Z5293" s="53"/>
      <c r="AA5293"/>
      <c r="AB5293" s="23"/>
      <c r="AF5293" s="22"/>
    </row>
    <row r="5294" spans="1:38">
      <c r="A5294" t="str">
        <f t="shared" si="1042"/>
        <v>PA_Alleg_2019p~Dem-school director west jefferson hills (vote for 5)</v>
      </c>
      <c r="B5294" s="55" t="s">
        <v>1291</v>
      </c>
      <c r="C5294">
        <v>288</v>
      </c>
      <c r="D5294" s="55" t="s">
        <v>294</v>
      </c>
      <c r="E5294" s="55" t="s">
        <v>15</v>
      </c>
      <c r="F5294" t="s">
        <v>12</v>
      </c>
      <c r="G5294" s="62">
        <v>16</v>
      </c>
      <c r="H5294" s="25">
        <v>0.35</v>
      </c>
      <c r="I5294">
        <v>14997</v>
      </c>
      <c r="J5294">
        <v>2394</v>
      </c>
      <c r="K5294">
        <v>19</v>
      </c>
      <c r="L5294">
        <v>19</v>
      </c>
      <c r="M5294">
        <v>0</v>
      </c>
      <c r="N5294" s="23">
        <v>0</v>
      </c>
      <c r="O5294">
        <f t="shared" si="1035"/>
        <v>-5</v>
      </c>
      <c r="P5294" s="57">
        <f t="shared" si="1036"/>
        <v>5</v>
      </c>
      <c r="Q5294" s="267">
        <f t="shared" si="1037"/>
        <v>16</v>
      </c>
      <c r="R5294" s="23">
        <f t="shared" si="1038"/>
        <v>1</v>
      </c>
      <c r="S5294" s="23">
        <f t="shared" si="1039"/>
        <v>0</v>
      </c>
      <c r="T5294" s="23" t="str">
        <f t="shared" si="1040"/>
        <v/>
      </c>
      <c r="U5294" t="str">
        <f t="shared" si="1041"/>
        <v/>
      </c>
      <c r="X5294" s="43"/>
      <c r="Y5294" s="53"/>
      <c r="Z5294" s="53"/>
      <c r="AA5294"/>
      <c r="AB5294" s="23"/>
      <c r="AF5294" s="22"/>
    </row>
    <row r="5295" spans="1:38">
      <c r="A5295" t="str">
        <f t="shared" si="1042"/>
        <v>PA_Alleg_2019p~Dem-school director west mifflin area (vote for 5)</v>
      </c>
      <c r="B5295" s="55" t="s">
        <v>1291</v>
      </c>
      <c r="C5295">
        <v>294</v>
      </c>
      <c r="D5295" s="55" t="s">
        <v>300</v>
      </c>
      <c r="E5295" s="55" t="s">
        <v>306</v>
      </c>
      <c r="F5295" t="s">
        <v>12</v>
      </c>
      <c r="G5295" s="62">
        <v>1557</v>
      </c>
      <c r="H5295" s="25">
        <v>16.600000000000001</v>
      </c>
      <c r="I5295">
        <v>15048</v>
      </c>
      <c r="J5295">
        <v>3263</v>
      </c>
      <c r="K5295">
        <v>23</v>
      </c>
      <c r="L5295">
        <v>23</v>
      </c>
      <c r="M5295">
        <v>0</v>
      </c>
      <c r="N5295" s="23">
        <v>0</v>
      </c>
      <c r="O5295">
        <f t="shared" si="1035"/>
        <v>1</v>
      </c>
      <c r="P5295" s="57">
        <f t="shared" si="1036"/>
        <v>5</v>
      </c>
      <c r="Q5295" s="267">
        <f t="shared" si="1037"/>
        <v>1875.8</v>
      </c>
      <c r="R5295" s="23">
        <f t="shared" si="1038"/>
        <v>1224</v>
      </c>
      <c r="S5295" s="23">
        <f t="shared" si="1039"/>
        <v>1119</v>
      </c>
      <c r="T5295" s="23">
        <f t="shared" si="1040"/>
        <v>105</v>
      </c>
      <c r="U5295" t="str">
        <f t="shared" si="1041"/>
        <v>PA_Alleg_2019p~Dem-school director west mifflin area (vote for 5)</v>
      </c>
      <c r="X5295" s="43"/>
      <c r="Y5295" s="53"/>
      <c r="Z5295" s="53"/>
      <c r="AA5295"/>
      <c r="AB5295" s="23"/>
      <c r="AF5295" s="22"/>
    </row>
    <row r="5296" spans="1:38">
      <c r="A5296" t="str">
        <f t="shared" si="1042"/>
        <v>PA_Alleg_2019p~Dem-school director west mifflin area (vote for 5)</v>
      </c>
      <c r="B5296" s="55" t="s">
        <v>1291</v>
      </c>
      <c r="C5296">
        <v>296</v>
      </c>
      <c r="D5296" s="55" t="s">
        <v>300</v>
      </c>
      <c r="E5296" s="55" t="s">
        <v>308</v>
      </c>
      <c r="F5296" t="s">
        <v>12</v>
      </c>
      <c r="G5296" s="62">
        <v>1373</v>
      </c>
      <c r="H5296" s="25">
        <v>14.64</v>
      </c>
      <c r="I5296">
        <v>15048</v>
      </c>
      <c r="J5296">
        <v>3263</v>
      </c>
      <c r="K5296">
        <v>23</v>
      </c>
      <c r="L5296">
        <v>23</v>
      </c>
      <c r="M5296">
        <v>0</v>
      </c>
      <c r="N5296" s="23">
        <v>0</v>
      </c>
      <c r="O5296">
        <f t="shared" si="1035"/>
        <v>2</v>
      </c>
      <c r="P5296" s="57">
        <f t="shared" si="1036"/>
        <v>5</v>
      </c>
      <c r="Q5296" s="267">
        <f t="shared" si="1037"/>
        <v>7822</v>
      </c>
      <c r="R5296" s="23">
        <f t="shared" si="1038"/>
        <v>1224</v>
      </c>
      <c r="S5296" s="23">
        <f t="shared" si="1039"/>
        <v>1119</v>
      </c>
      <c r="T5296" s="23" t="str">
        <f t="shared" si="1040"/>
        <v/>
      </c>
      <c r="U5296" t="str">
        <f t="shared" si="1041"/>
        <v/>
      </c>
      <c r="X5296" s="43"/>
      <c r="Y5296" s="53"/>
      <c r="Z5296" s="53"/>
      <c r="AA5296"/>
      <c r="AB5296" s="23"/>
      <c r="AF5296" s="22"/>
    </row>
    <row r="5297" spans="1:38">
      <c r="A5297" t="str">
        <f t="shared" si="1042"/>
        <v>PA_Alleg_2019p~Dem-school director west mifflin area (vote for 5)</v>
      </c>
      <c r="B5297" s="55" t="s">
        <v>1291</v>
      </c>
      <c r="C5297">
        <v>290</v>
      </c>
      <c r="D5297" s="55" t="s">
        <v>300</v>
      </c>
      <c r="E5297" s="55" t="s">
        <v>302</v>
      </c>
      <c r="F5297" t="s">
        <v>12</v>
      </c>
      <c r="G5297" s="62">
        <v>1257</v>
      </c>
      <c r="H5297" s="25">
        <v>13.4</v>
      </c>
      <c r="I5297">
        <v>15048</v>
      </c>
      <c r="J5297">
        <v>3263</v>
      </c>
      <c r="K5297">
        <v>23</v>
      </c>
      <c r="L5297">
        <v>23</v>
      </c>
      <c r="M5297">
        <v>0</v>
      </c>
      <c r="N5297" s="23">
        <v>0</v>
      </c>
      <c r="O5297">
        <f t="shared" si="1035"/>
        <v>3</v>
      </c>
      <c r="P5297" s="57">
        <f t="shared" si="1036"/>
        <v>5</v>
      </c>
      <c r="Q5297" s="267">
        <f t="shared" si="1037"/>
        <v>6449</v>
      </c>
      <c r="R5297" s="23">
        <f t="shared" si="1038"/>
        <v>1224</v>
      </c>
      <c r="S5297" s="23">
        <f t="shared" si="1039"/>
        <v>1119</v>
      </c>
      <c r="T5297" s="23" t="str">
        <f t="shared" si="1040"/>
        <v/>
      </c>
      <c r="U5297" t="str">
        <f t="shared" si="1041"/>
        <v/>
      </c>
      <c r="X5297" s="43"/>
      <c r="Y5297" s="53"/>
      <c r="Z5297" s="53"/>
      <c r="AA5297"/>
      <c r="AB5297" s="23"/>
      <c r="AF5297" s="22"/>
    </row>
    <row r="5298" spans="1:38">
      <c r="A5298" t="str">
        <f t="shared" si="1042"/>
        <v>PA_Alleg_2019p~Dem-school director west mifflin area (vote for 5)</v>
      </c>
      <c r="B5298" s="55" t="s">
        <v>1291</v>
      </c>
      <c r="C5298">
        <v>291</v>
      </c>
      <c r="D5298" s="55" t="s">
        <v>300</v>
      </c>
      <c r="E5298" s="55" t="s">
        <v>303</v>
      </c>
      <c r="F5298" t="s">
        <v>12</v>
      </c>
      <c r="G5298" s="62">
        <v>1257</v>
      </c>
      <c r="H5298" s="25">
        <v>13.4</v>
      </c>
      <c r="I5298">
        <v>15048</v>
      </c>
      <c r="J5298">
        <v>3263</v>
      </c>
      <c r="K5298">
        <v>23</v>
      </c>
      <c r="L5298">
        <v>23</v>
      </c>
      <c r="M5298">
        <v>0</v>
      </c>
      <c r="N5298" s="23">
        <v>0</v>
      </c>
      <c r="O5298">
        <f t="shared" si="1035"/>
        <v>4</v>
      </c>
      <c r="P5298" s="57">
        <f t="shared" si="1036"/>
        <v>5</v>
      </c>
      <c r="Q5298" s="267">
        <f t="shared" si="1037"/>
        <v>5192</v>
      </c>
      <c r="R5298" s="23">
        <f t="shared" si="1038"/>
        <v>1224</v>
      </c>
      <c r="S5298" s="23">
        <f t="shared" si="1039"/>
        <v>1119</v>
      </c>
      <c r="T5298" s="23" t="str">
        <f t="shared" si="1040"/>
        <v/>
      </c>
      <c r="U5298" t="str">
        <f t="shared" si="1041"/>
        <v/>
      </c>
      <c r="X5298" s="43"/>
      <c r="Y5298" s="53"/>
      <c r="Z5298" s="53"/>
      <c r="AA5298"/>
      <c r="AB5298" s="23"/>
      <c r="AF5298" s="22"/>
      <c r="AG5298" s="259"/>
      <c r="AH5298" s="276"/>
      <c r="AI5298" s="277"/>
      <c r="AJ5298" s="278"/>
    </row>
    <row r="5299" spans="1:38">
      <c r="A5299" t="str">
        <f t="shared" si="1042"/>
        <v>PA_Alleg_2019p~Dem-school director west mifflin area (vote for 5)</v>
      </c>
      <c r="B5299" s="55" t="s">
        <v>1291</v>
      </c>
      <c r="C5299">
        <v>292</v>
      </c>
      <c r="D5299" s="55" t="s">
        <v>300</v>
      </c>
      <c r="E5299" s="55" t="s">
        <v>304</v>
      </c>
      <c r="F5299" t="s">
        <v>12</v>
      </c>
      <c r="G5299" s="62">
        <v>1224</v>
      </c>
      <c r="H5299" s="25">
        <v>13.05</v>
      </c>
      <c r="I5299">
        <v>15048</v>
      </c>
      <c r="J5299">
        <v>3263</v>
      </c>
      <c r="K5299">
        <v>23</v>
      </c>
      <c r="L5299">
        <v>23</v>
      </c>
      <c r="M5299">
        <v>0</v>
      </c>
      <c r="N5299" s="23">
        <v>0</v>
      </c>
      <c r="O5299">
        <f t="shared" si="1035"/>
        <v>5</v>
      </c>
      <c r="P5299" s="57">
        <f t="shared" si="1036"/>
        <v>5</v>
      </c>
      <c r="Q5299" s="267">
        <f t="shared" si="1037"/>
        <v>3935</v>
      </c>
      <c r="R5299" s="23">
        <f t="shared" si="1038"/>
        <v>1224</v>
      </c>
      <c r="S5299" s="23">
        <f t="shared" si="1039"/>
        <v>1119</v>
      </c>
      <c r="T5299" s="23" t="str">
        <f t="shared" si="1040"/>
        <v/>
      </c>
      <c r="U5299" t="str">
        <f t="shared" si="1041"/>
        <v/>
      </c>
      <c r="X5299" s="43"/>
      <c r="Y5299" s="53"/>
      <c r="Z5299" s="53"/>
      <c r="AA5299"/>
      <c r="AB5299" s="23"/>
      <c r="AF5299" s="22"/>
      <c r="AG5299" s="23"/>
      <c r="AH5299" s="8"/>
      <c r="AL5299" s="344"/>
    </row>
    <row r="5300" spans="1:38">
      <c r="A5300" t="str">
        <f t="shared" si="1042"/>
        <v>PA_Alleg_2019p~Dem-school director west mifflin area (vote for 5)</v>
      </c>
      <c r="B5300" s="55" t="s">
        <v>1291</v>
      </c>
      <c r="C5300">
        <v>295</v>
      </c>
      <c r="D5300" s="55" t="s">
        <v>300</v>
      </c>
      <c r="E5300" s="55" t="s">
        <v>307</v>
      </c>
      <c r="F5300" t="s">
        <v>12</v>
      </c>
      <c r="G5300" s="62">
        <v>1119</v>
      </c>
      <c r="H5300" s="25">
        <v>11.93</v>
      </c>
      <c r="I5300">
        <v>15048</v>
      </c>
      <c r="J5300">
        <v>3263</v>
      </c>
      <c r="K5300">
        <v>23</v>
      </c>
      <c r="L5300">
        <v>23</v>
      </c>
      <c r="M5300">
        <v>0</v>
      </c>
      <c r="N5300" s="23">
        <v>0</v>
      </c>
      <c r="O5300">
        <f t="shared" si="1035"/>
        <v>6</v>
      </c>
      <c r="P5300" s="57">
        <f t="shared" si="1036"/>
        <v>5</v>
      </c>
      <c r="Q5300" s="267">
        <f t="shared" si="1037"/>
        <v>2711</v>
      </c>
      <c r="R5300" s="23" t="str">
        <f t="shared" si="1038"/>
        <v/>
      </c>
      <c r="S5300" s="23">
        <f t="shared" si="1039"/>
        <v>1119</v>
      </c>
      <c r="T5300" s="23" t="str">
        <f t="shared" si="1040"/>
        <v/>
      </c>
      <c r="U5300" t="str">
        <f t="shared" si="1041"/>
        <v/>
      </c>
      <c r="X5300" s="43"/>
      <c r="Y5300" s="53"/>
      <c r="Z5300" s="53"/>
      <c r="AA5300"/>
      <c r="AB5300" s="23"/>
      <c r="AF5300" s="22"/>
    </row>
    <row r="5301" spans="1:38">
      <c r="A5301" t="str">
        <f t="shared" si="1042"/>
        <v>PA_Alleg_2019p~Dem-school director west mifflin area (vote for 5)</v>
      </c>
      <c r="B5301" s="55" t="s">
        <v>1291</v>
      </c>
      <c r="C5301">
        <v>289</v>
      </c>
      <c r="D5301" s="55" t="s">
        <v>300</v>
      </c>
      <c r="E5301" s="55" t="s">
        <v>301</v>
      </c>
      <c r="F5301" t="s">
        <v>12</v>
      </c>
      <c r="G5301" s="62">
        <v>1019</v>
      </c>
      <c r="H5301" s="25">
        <v>10.86</v>
      </c>
      <c r="I5301">
        <v>15048</v>
      </c>
      <c r="J5301">
        <v>3263</v>
      </c>
      <c r="K5301">
        <v>23</v>
      </c>
      <c r="L5301">
        <v>23</v>
      </c>
      <c r="M5301">
        <v>0</v>
      </c>
      <c r="N5301" s="23">
        <v>0</v>
      </c>
      <c r="O5301">
        <f t="shared" si="1035"/>
        <v>7</v>
      </c>
      <c r="P5301" s="57">
        <f t="shared" si="1036"/>
        <v>5</v>
      </c>
      <c r="Q5301" s="267">
        <f t="shared" si="1037"/>
        <v>1592</v>
      </c>
      <c r="R5301" s="23" t="str">
        <f t="shared" si="1038"/>
        <v/>
      </c>
      <c r="S5301" s="23">
        <f t="shared" si="1039"/>
        <v>1019</v>
      </c>
      <c r="T5301" s="23" t="str">
        <f t="shared" si="1040"/>
        <v/>
      </c>
      <c r="U5301" t="str">
        <f t="shared" si="1041"/>
        <v/>
      </c>
      <c r="X5301" s="43"/>
      <c r="Y5301" s="53"/>
      <c r="Z5301" s="53"/>
      <c r="AA5301"/>
      <c r="AB5301" s="23"/>
      <c r="AF5301" s="22"/>
      <c r="AL5301" s="344"/>
    </row>
    <row r="5302" spans="1:38">
      <c r="A5302" t="str">
        <f t="shared" si="1042"/>
        <v>PA_Alleg_2019p~Dem-school director west mifflin area (vote for 5)</v>
      </c>
      <c r="B5302" s="55" t="s">
        <v>1291</v>
      </c>
      <c r="C5302">
        <v>293</v>
      </c>
      <c r="D5302" s="55" t="s">
        <v>300</v>
      </c>
      <c r="E5302" s="55" t="s">
        <v>305</v>
      </c>
      <c r="F5302" t="s">
        <v>12</v>
      </c>
      <c r="G5302" s="62">
        <v>526</v>
      </c>
      <c r="H5302" s="25">
        <v>5.61</v>
      </c>
      <c r="I5302">
        <v>15048</v>
      </c>
      <c r="J5302">
        <v>3263</v>
      </c>
      <c r="K5302">
        <v>23</v>
      </c>
      <c r="L5302">
        <v>23</v>
      </c>
      <c r="M5302">
        <v>0</v>
      </c>
      <c r="N5302" s="23">
        <v>0</v>
      </c>
      <c r="O5302">
        <f t="shared" si="1035"/>
        <v>8</v>
      </c>
      <c r="P5302" s="57">
        <f t="shared" si="1036"/>
        <v>5</v>
      </c>
      <c r="Q5302" s="267">
        <f t="shared" si="1037"/>
        <v>573</v>
      </c>
      <c r="R5302" s="23" t="str">
        <f t="shared" si="1038"/>
        <v/>
      </c>
      <c r="S5302" s="23">
        <f t="shared" si="1039"/>
        <v>526</v>
      </c>
      <c r="T5302" s="23" t="str">
        <f t="shared" si="1040"/>
        <v/>
      </c>
      <c r="U5302" t="str">
        <f t="shared" si="1041"/>
        <v/>
      </c>
      <c r="X5302" s="43"/>
      <c r="Y5302" s="53"/>
      <c r="Z5302" s="53"/>
      <c r="AA5302"/>
      <c r="AB5302" s="23"/>
      <c r="AF5302" s="22"/>
    </row>
    <row r="5303" spans="1:38">
      <c r="A5303" t="str">
        <f t="shared" si="1042"/>
        <v>PA_Alleg_2019p~Dem-school director west mifflin area (vote for 5)</v>
      </c>
      <c r="B5303" s="55" t="s">
        <v>1291</v>
      </c>
      <c r="C5303">
        <v>297</v>
      </c>
      <c r="D5303" s="55" t="s">
        <v>300</v>
      </c>
      <c r="E5303" s="55" t="s">
        <v>15</v>
      </c>
      <c r="F5303" t="s">
        <v>12</v>
      </c>
      <c r="G5303" s="62">
        <v>47</v>
      </c>
      <c r="H5303" s="25">
        <v>0.5</v>
      </c>
      <c r="I5303">
        <v>15048</v>
      </c>
      <c r="J5303">
        <v>3263</v>
      </c>
      <c r="K5303">
        <v>23</v>
      </c>
      <c r="L5303">
        <v>23</v>
      </c>
      <c r="M5303">
        <v>0</v>
      </c>
      <c r="N5303" s="23">
        <v>0</v>
      </c>
      <c r="O5303">
        <f t="shared" si="1035"/>
        <v>-8</v>
      </c>
      <c r="P5303" s="57">
        <f t="shared" si="1036"/>
        <v>5</v>
      </c>
      <c r="Q5303" s="267">
        <f t="shared" si="1037"/>
        <v>47</v>
      </c>
      <c r="R5303" s="23">
        <f t="shared" si="1038"/>
        <v>1</v>
      </c>
      <c r="S5303" s="23">
        <f t="shared" si="1039"/>
        <v>0</v>
      </c>
      <c r="T5303" s="23" t="str">
        <f t="shared" si="1040"/>
        <v/>
      </c>
      <c r="U5303" t="str">
        <f t="shared" si="1041"/>
        <v/>
      </c>
      <c r="X5303" s="43"/>
      <c r="Y5303" s="53"/>
      <c r="Z5303" s="53"/>
      <c r="AA5303"/>
      <c r="AB5303" s="23"/>
      <c r="AF5303" s="22"/>
    </row>
    <row r="5304" spans="1:38">
      <c r="A5304" t="str">
        <f t="shared" si="1042"/>
        <v>PA_Alleg_2019p~Dem-school director wilkinsburg (vote for 5)</v>
      </c>
      <c r="B5304" s="55" t="s">
        <v>1291</v>
      </c>
      <c r="C5304">
        <v>301</v>
      </c>
      <c r="D5304" s="55" t="s">
        <v>309</v>
      </c>
      <c r="E5304" s="55" t="s">
        <v>313</v>
      </c>
      <c r="F5304" t="s">
        <v>12</v>
      </c>
      <c r="G5304" s="62">
        <v>1519</v>
      </c>
      <c r="H5304" s="25">
        <v>22.38</v>
      </c>
      <c r="I5304">
        <v>13952</v>
      </c>
      <c r="J5304">
        <v>2391</v>
      </c>
      <c r="K5304">
        <v>17</v>
      </c>
      <c r="L5304">
        <v>17</v>
      </c>
      <c r="M5304">
        <v>0</v>
      </c>
      <c r="N5304" s="23">
        <v>0</v>
      </c>
      <c r="O5304">
        <f t="shared" si="1035"/>
        <v>1</v>
      </c>
      <c r="P5304" s="57">
        <f t="shared" si="1036"/>
        <v>5</v>
      </c>
      <c r="Q5304" s="267">
        <f t="shared" si="1037"/>
        <v>1519</v>
      </c>
      <c r="R5304" s="23">
        <f t="shared" si="1038"/>
        <v>1070</v>
      </c>
      <c r="S5304" s="23">
        <f t="shared" si="1039"/>
        <v>0</v>
      </c>
      <c r="T5304" s="23" t="str">
        <f t="shared" si="1040"/>
        <v/>
      </c>
      <c r="U5304" t="str">
        <f t="shared" si="1041"/>
        <v>PA_Alleg_2019p~Dem-school director wilkinsburg (vote for 5)</v>
      </c>
      <c r="X5304" s="43"/>
      <c r="Y5304" s="53"/>
      <c r="Z5304" s="53"/>
      <c r="AA5304"/>
      <c r="AB5304" s="23"/>
      <c r="AF5304" s="22"/>
      <c r="AH5304" s="8"/>
      <c r="AL5304" s="23"/>
    </row>
    <row r="5305" spans="1:38">
      <c r="A5305" t="str">
        <f t="shared" si="1042"/>
        <v>PA_Alleg_2019p~Dem-school director wilkinsburg (vote for 5)</v>
      </c>
      <c r="B5305" s="55" t="s">
        <v>1291</v>
      </c>
      <c r="C5305">
        <v>299</v>
      </c>
      <c r="D5305" s="55" t="s">
        <v>309</v>
      </c>
      <c r="E5305" s="55" t="s">
        <v>311</v>
      </c>
      <c r="F5305" t="s">
        <v>12</v>
      </c>
      <c r="G5305" s="62">
        <v>1420</v>
      </c>
      <c r="H5305" s="25">
        <v>20.92</v>
      </c>
      <c r="I5305">
        <v>13952</v>
      </c>
      <c r="J5305">
        <v>2391</v>
      </c>
      <c r="K5305">
        <v>17</v>
      </c>
      <c r="L5305">
        <v>17</v>
      </c>
      <c r="M5305">
        <v>0</v>
      </c>
      <c r="N5305" s="23">
        <v>0</v>
      </c>
      <c r="O5305">
        <f t="shared" si="1035"/>
        <v>2</v>
      </c>
      <c r="P5305" s="57">
        <f t="shared" si="1036"/>
        <v>5</v>
      </c>
      <c r="Q5305" s="267">
        <f t="shared" si="1037"/>
        <v>5268</v>
      </c>
      <c r="R5305" s="23">
        <f t="shared" si="1038"/>
        <v>1070</v>
      </c>
      <c r="S5305" s="23">
        <f t="shared" si="1039"/>
        <v>0</v>
      </c>
      <c r="T5305" s="23" t="str">
        <f t="shared" si="1040"/>
        <v/>
      </c>
      <c r="U5305" t="str">
        <f t="shared" si="1041"/>
        <v/>
      </c>
      <c r="X5305" s="43"/>
      <c r="Y5305" s="53"/>
      <c r="Z5305" s="53"/>
      <c r="AA5305"/>
      <c r="AB5305" s="23"/>
      <c r="AF5305" s="22"/>
      <c r="AH5305" s="8"/>
      <c r="AL5305" s="23"/>
    </row>
    <row r="5306" spans="1:38">
      <c r="A5306" t="str">
        <f t="shared" si="1042"/>
        <v>PA_Alleg_2019p~Dem-school director wilkinsburg (vote for 5)</v>
      </c>
      <c r="B5306" s="55" t="s">
        <v>1291</v>
      </c>
      <c r="C5306">
        <v>298</v>
      </c>
      <c r="D5306" s="55" t="s">
        <v>309</v>
      </c>
      <c r="E5306" s="55" t="s">
        <v>310</v>
      </c>
      <c r="F5306" t="s">
        <v>12</v>
      </c>
      <c r="G5306" s="62">
        <v>1281</v>
      </c>
      <c r="H5306" s="25">
        <v>18.87</v>
      </c>
      <c r="I5306">
        <v>13952</v>
      </c>
      <c r="J5306">
        <v>2391</v>
      </c>
      <c r="K5306">
        <v>17</v>
      </c>
      <c r="L5306">
        <v>17</v>
      </c>
      <c r="M5306">
        <v>0</v>
      </c>
      <c r="N5306" s="23">
        <v>0</v>
      </c>
      <c r="O5306">
        <f t="shared" si="1035"/>
        <v>3</v>
      </c>
      <c r="P5306" s="57">
        <f t="shared" si="1036"/>
        <v>5</v>
      </c>
      <c r="Q5306" s="267">
        <f t="shared" si="1037"/>
        <v>3848</v>
      </c>
      <c r="R5306" s="23">
        <f t="shared" si="1038"/>
        <v>1070</v>
      </c>
      <c r="S5306" s="23">
        <f t="shared" si="1039"/>
        <v>0</v>
      </c>
      <c r="T5306" s="23" t="str">
        <f t="shared" si="1040"/>
        <v/>
      </c>
      <c r="U5306" t="str">
        <f t="shared" si="1041"/>
        <v/>
      </c>
      <c r="X5306" s="43"/>
      <c r="Y5306" s="53"/>
      <c r="Z5306" s="53"/>
      <c r="AA5306"/>
      <c r="AB5306" s="23"/>
      <c r="AF5306" s="22"/>
      <c r="AH5306" s="8"/>
      <c r="AL5306" s="23"/>
    </row>
    <row r="5307" spans="1:38">
      <c r="A5307" t="str">
        <f t="shared" si="1042"/>
        <v>PA_Alleg_2019p~Dem-school director wilkinsburg (vote for 5)</v>
      </c>
      <c r="B5307" s="55" t="s">
        <v>1291</v>
      </c>
      <c r="C5307">
        <v>302</v>
      </c>
      <c r="D5307" s="55" t="s">
        <v>309</v>
      </c>
      <c r="E5307" s="55" t="s">
        <v>314</v>
      </c>
      <c r="F5307" t="s">
        <v>12</v>
      </c>
      <c r="G5307" s="62">
        <v>1250</v>
      </c>
      <c r="H5307" s="25">
        <v>18.420000000000002</v>
      </c>
      <c r="I5307">
        <v>13952</v>
      </c>
      <c r="J5307">
        <v>2391</v>
      </c>
      <c r="K5307">
        <v>17</v>
      </c>
      <c r="L5307">
        <v>17</v>
      </c>
      <c r="M5307">
        <v>0</v>
      </c>
      <c r="N5307" s="23">
        <v>0</v>
      </c>
      <c r="O5307">
        <f t="shared" si="1035"/>
        <v>4</v>
      </c>
      <c r="P5307" s="57">
        <f t="shared" si="1036"/>
        <v>5</v>
      </c>
      <c r="Q5307" s="267">
        <f t="shared" si="1037"/>
        <v>2567</v>
      </c>
      <c r="R5307" s="23">
        <f t="shared" si="1038"/>
        <v>1070</v>
      </c>
      <c r="S5307" s="23">
        <f t="shared" si="1039"/>
        <v>0</v>
      </c>
      <c r="T5307" s="23" t="str">
        <f t="shared" si="1040"/>
        <v/>
      </c>
      <c r="U5307" t="str">
        <f t="shared" si="1041"/>
        <v/>
      </c>
      <c r="X5307" s="43"/>
      <c r="Y5307" s="53"/>
      <c r="Z5307" s="53"/>
      <c r="AA5307"/>
      <c r="AB5307" s="23"/>
      <c r="AF5307" s="22"/>
      <c r="AH5307" s="8"/>
      <c r="AL5307" s="23"/>
    </row>
    <row r="5308" spans="1:38">
      <c r="A5308" t="str">
        <f t="shared" si="1042"/>
        <v>PA_Alleg_2019p~Dem-school director wilkinsburg (vote for 5)</v>
      </c>
      <c r="B5308" s="55" t="s">
        <v>1291</v>
      </c>
      <c r="C5308">
        <v>300</v>
      </c>
      <c r="D5308" s="55" t="s">
        <v>309</v>
      </c>
      <c r="E5308" s="55" t="s">
        <v>312</v>
      </c>
      <c r="F5308" t="s">
        <v>12</v>
      </c>
      <c r="G5308" s="62">
        <v>1070</v>
      </c>
      <c r="H5308" s="25">
        <v>15.77</v>
      </c>
      <c r="I5308">
        <v>13952</v>
      </c>
      <c r="J5308">
        <v>2391</v>
      </c>
      <c r="K5308">
        <v>17</v>
      </c>
      <c r="L5308">
        <v>17</v>
      </c>
      <c r="M5308">
        <v>0</v>
      </c>
      <c r="N5308" s="23">
        <v>0</v>
      </c>
      <c r="O5308">
        <f t="shared" si="1035"/>
        <v>5</v>
      </c>
      <c r="P5308" s="57">
        <f t="shared" si="1036"/>
        <v>5</v>
      </c>
      <c r="Q5308" s="267">
        <f t="shared" si="1037"/>
        <v>1317</v>
      </c>
      <c r="R5308" s="23">
        <f t="shared" si="1038"/>
        <v>1070</v>
      </c>
      <c r="S5308" s="23">
        <f t="shared" si="1039"/>
        <v>0</v>
      </c>
      <c r="T5308" s="23" t="str">
        <f t="shared" si="1040"/>
        <v/>
      </c>
      <c r="U5308" t="str">
        <f t="shared" si="1041"/>
        <v/>
      </c>
      <c r="X5308" s="43"/>
      <c r="Y5308" s="53"/>
      <c r="Z5308" s="53"/>
      <c r="AA5308"/>
      <c r="AB5308" s="23"/>
      <c r="AF5308" s="22"/>
      <c r="AH5308" s="8"/>
      <c r="AL5308" s="23"/>
    </row>
    <row r="5309" spans="1:38">
      <c r="A5309" t="str">
        <f t="shared" si="1042"/>
        <v>PA_Alleg_2019p~Dem-school director wilkinsburg (vote for 5)</v>
      </c>
      <c r="B5309" s="55" t="s">
        <v>1291</v>
      </c>
      <c r="C5309">
        <v>303</v>
      </c>
      <c r="D5309" s="55" t="s">
        <v>309</v>
      </c>
      <c r="E5309" s="55" t="s">
        <v>15</v>
      </c>
      <c r="F5309" t="s">
        <v>12</v>
      </c>
      <c r="G5309" s="62">
        <v>247</v>
      </c>
      <c r="H5309" s="25">
        <v>3.64</v>
      </c>
      <c r="I5309">
        <v>13952</v>
      </c>
      <c r="J5309">
        <v>2391</v>
      </c>
      <c r="K5309">
        <v>17</v>
      </c>
      <c r="L5309">
        <v>17</v>
      </c>
      <c r="M5309">
        <v>0</v>
      </c>
      <c r="N5309" s="23">
        <v>0</v>
      </c>
      <c r="O5309">
        <f t="shared" si="1035"/>
        <v>-5</v>
      </c>
      <c r="P5309" s="57">
        <f t="shared" si="1036"/>
        <v>5</v>
      </c>
      <c r="Q5309" s="267">
        <f t="shared" si="1037"/>
        <v>247</v>
      </c>
      <c r="R5309" s="23">
        <f t="shared" si="1038"/>
        <v>1</v>
      </c>
      <c r="S5309" s="23">
        <f t="shared" si="1039"/>
        <v>0</v>
      </c>
      <c r="T5309" s="23" t="str">
        <f t="shared" si="1040"/>
        <v/>
      </c>
      <c r="U5309" t="str">
        <f t="shared" si="1041"/>
        <v/>
      </c>
      <c r="X5309" s="43"/>
      <c r="Y5309" s="53"/>
      <c r="Z5309" s="53"/>
      <c r="AA5309"/>
      <c r="AB5309" s="23"/>
      <c r="AF5309" s="22"/>
    </row>
    <row r="5310" spans="1:38">
      <c r="A5310" t="str">
        <f t="shared" si="1042"/>
        <v>PA_Alleg_2019p~Dem-school director woodland hills region 1 (vote for 2)</v>
      </c>
      <c r="B5310" s="55" t="s">
        <v>1291</v>
      </c>
      <c r="C5310">
        <v>363</v>
      </c>
      <c r="D5310" s="55" t="s">
        <v>371</v>
      </c>
      <c r="E5310" s="55" t="s">
        <v>372</v>
      </c>
      <c r="F5310" t="s">
        <v>12</v>
      </c>
      <c r="G5310" s="62">
        <v>1209</v>
      </c>
      <c r="H5310" s="25">
        <v>80.23</v>
      </c>
      <c r="I5310">
        <v>11791</v>
      </c>
      <c r="J5310">
        <v>1987</v>
      </c>
      <c r="K5310">
        <v>18</v>
      </c>
      <c r="L5310">
        <v>18</v>
      </c>
      <c r="M5310">
        <v>0</v>
      </c>
      <c r="N5310" s="23">
        <v>0</v>
      </c>
      <c r="O5310">
        <f t="shared" si="1035"/>
        <v>1</v>
      </c>
      <c r="P5310" s="57">
        <f t="shared" si="1036"/>
        <v>2</v>
      </c>
      <c r="Q5310" s="267">
        <f t="shared" si="1037"/>
        <v>1209</v>
      </c>
      <c r="R5310" s="23">
        <f t="shared" si="1038"/>
        <v>1</v>
      </c>
      <c r="S5310" s="23">
        <f t="shared" si="1039"/>
        <v>0</v>
      </c>
      <c r="T5310" s="23" t="str">
        <f t="shared" si="1040"/>
        <v/>
      </c>
      <c r="U5310" t="str">
        <f t="shared" si="1041"/>
        <v>PA_Alleg_2019p~Dem-school director woodland hills region 1 (vote for 2)</v>
      </c>
      <c r="X5310" s="43"/>
      <c r="Y5310" s="53"/>
      <c r="Z5310" s="53"/>
      <c r="AA5310"/>
      <c r="AB5310" s="23"/>
      <c r="AF5310" s="22"/>
    </row>
    <row r="5311" spans="1:38">
      <c r="A5311" t="str">
        <f t="shared" si="1042"/>
        <v>PA_Alleg_2019p~Dem-school director woodland hills region 1 (vote for 2)</v>
      </c>
      <c r="B5311" s="55" t="s">
        <v>1291</v>
      </c>
      <c r="C5311">
        <v>364</v>
      </c>
      <c r="D5311" s="55" t="s">
        <v>371</v>
      </c>
      <c r="E5311" s="55" t="s">
        <v>15</v>
      </c>
      <c r="F5311" t="s">
        <v>12</v>
      </c>
      <c r="G5311" s="62">
        <v>298</v>
      </c>
      <c r="H5311" s="25">
        <v>19.77</v>
      </c>
      <c r="I5311">
        <v>11791</v>
      </c>
      <c r="J5311">
        <v>1987</v>
      </c>
      <c r="K5311">
        <v>18</v>
      </c>
      <c r="L5311">
        <v>18</v>
      </c>
      <c r="M5311">
        <v>0</v>
      </c>
      <c r="N5311" s="23">
        <v>0</v>
      </c>
      <c r="O5311">
        <f t="shared" si="1035"/>
        <v>-1</v>
      </c>
      <c r="P5311" s="57">
        <f t="shared" si="1036"/>
        <v>2</v>
      </c>
      <c r="Q5311" s="267">
        <f t="shared" si="1037"/>
        <v>298</v>
      </c>
      <c r="R5311" s="23">
        <f t="shared" si="1038"/>
        <v>1</v>
      </c>
      <c r="S5311" s="23">
        <f t="shared" si="1039"/>
        <v>0</v>
      </c>
      <c r="T5311" s="23" t="str">
        <f t="shared" si="1040"/>
        <v/>
      </c>
      <c r="U5311" t="str">
        <f t="shared" si="1041"/>
        <v/>
      </c>
      <c r="X5311" s="43"/>
      <c r="Y5311" s="53"/>
      <c r="Z5311" s="53"/>
      <c r="AA5311"/>
      <c r="AB5311" s="23"/>
      <c r="AF5311" s="22"/>
    </row>
    <row r="5312" spans="1:38">
      <c r="A5312" t="str">
        <f t="shared" si="1042"/>
        <v>PA_Alleg_2019p~Dem-school director woodland hills region 2 (vote for 2)</v>
      </c>
      <c r="B5312" s="55" t="s">
        <v>1291</v>
      </c>
      <c r="C5312">
        <v>398</v>
      </c>
      <c r="D5312" s="55" t="s">
        <v>405</v>
      </c>
      <c r="E5312" s="55" t="s">
        <v>407</v>
      </c>
      <c r="F5312" t="s">
        <v>12</v>
      </c>
      <c r="G5312" s="62">
        <v>1398</v>
      </c>
      <c r="H5312" s="25">
        <v>41.23</v>
      </c>
      <c r="I5312">
        <v>13395</v>
      </c>
      <c r="J5312">
        <v>2638</v>
      </c>
      <c r="K5312">
        <v>20</v>
      </c>
      <c r="L5312">
        <v>20</v>
      </c>
      <c r="M5312">
        <v>0</v>
      </c>
      <c r="N5312" s="23">
        <v>0</v>
      </c>
      <c r="O5312">
        <f t="shared" si="1035"/>
        <v>1</v>
      </c>
      <c r="P5312" s="57">
        <f t="shared" si="1036"/>
        <v>2</v>
      </c>
      <c r="Q5312" s="267">
        <f t="shared" si="1037"/>
        <v>1695.5</v>
      </c>
      <c r="R5312" s="23">
        <f t="shared" si="1038"/>
        <v>1315</v>
      </c>
      <c r="S5312" s="23">
        <f t="shared" si="1039"/>
        <v>668</v>
      </c>
      <c r="T5312" s="23">
        <f t="shared" si="1040"/>
        <v>647</v>
      </c>
      <c r="U5312" t="str">
        <f t="shared" si="1041"/>
        <v>PA_Alleg_2019p~Dem-school director woodland hills region 2 (vote for 2)</v>
      </c>
      <c r="X5312" s="43"/>
      <c r="Y5312" s="53"/>
      <c r="Z5312" s="53"/>
      <c r="AA5312"/>
      <c r="AB5312" s="23"/>
      <c r="AF5312" s="22"/>
    </row>
    <row r="5313" spans="1:38">
      <c r="A5313" t="str">
        <f t="shared" si="1042"/>
        <v>PA_Alleg_2019p~Dem-school director woodland hills region 2 (vote for 2)</v>
      </c>
      <c r="B5313" s="55" t="s">
        <v>1291</v>
      </c>
      <c r="C5313">
        <v>399</v>
      </c>
      <c r="D5313" s="55" t="s">
        <v>405</v>
      </c>
      <c r="E5313" s="55" t="s">
        <v>408</v>
      </c>
      <c r="F5313" t="s">
        <v>12</v>
      </c>
      <c r="G5313" s="62">
        <v>1315</v>
      </c>
      <c r="H5313" s="25">
        <v>38.78</v>
      </c>
      <c r="I5313">
        <v>13395</v>
      </c>
      <c r="J5313">
        <v>2638</v>
      </c>
      <c r="K5313">
        <v>20</v>
      </c>
      <c r="L5313">
        <v>20</v>
      </c>
      <c r="M5313">
        <v>0</v>
      </c>
      <c r="N5313" s="23">
        <v>0</v>
      </c>
      <c r="O5313">
        <f t="shared" si="1035"/>
        <v>2</v>
      </c>
      <c r="P5313" s="57">
        <f t="shared" si="1036"/>
        <v>2</v>
      </c>
      <c r="Q5313" s="267">
        <f t="shared" si="1037"/>
        <v>1993</v>
      </c>
      <c r="R5313" s="23">
        <f t="shared" si="1038"/>
        <v>1315</v>
      </c>
      <c r="S5313" s="23">
        <f t="shared" si="1039"/>
        <v>668</v>
      </c>
      <c r="T5313" s="23" t="str">
        <f t="shared" si="1040"/>
        <v/>
      </c>
      <c r="U5313" t="str">
        <f t="shared" si="1041"/>
        <v/>
      </c>
      <c r="X5313" s="43"/>
      <c r="Y5313" s="53"/>
      <c r="Z5313" s="53"/>
      <c r="AA5313"/>
      <c r="AB5313" s="23"/>
      <c r="AF5313" s="22"/>
    </row>
    <row r="5314" spans="1:38">
      <c r="A5314" t="str">
        <f t="shared" si="1042"/>
        <v>PA_Alleg_2019p~Dem-school director woodland hills region 2 (vote for 2)</v>
      </c>
      <c r="B5314" s="55" t="s">
        <v>1291</v>
      </c>
      <c r="C5314">
        <v>397</v>
      </c>
      <c r="D5314" s="55" t="s">
        <v>405</v>
      </c>
      <c r="E5314" s="55" t="s">
        <v>406</v>
      </c>
      <c r="F5314" t="s">
        <v>12</v>
      </c>
      <c r="G5314" s="62">
        <v>668</v>
      </c>
      <c r="H5314" s="25">
        <v>19.7</v>
      </c>
      <c r="I5314">
        <v>13395</v>
      </c>
      <c r="J5314">
        <v>2638</v>
      </c>
      <c r="K5314">
        <v>20</v>
      </c>
      <c r="L5314">
        <v>20</v>
      </c>
      <c r="M5314">
        <v>0</v>
      </c>
      <c r="N5314" s="23">
        <v>0</v>
      </c>
      <c r="O5314">
        <f t="shared" ref="O5314:O5377" si="1043">IF(OR(LOWER(LEFT(E5314,8))="write-in",LOWER(LEFT(E5314,8))="not qual"),IF(A5314=A5313,-ABS(O5313),0),IF(A5314=A5313,ABS(O5313)+1,1))</f>
        <v>3</v>
      </c>
      <c r="P5314" s="57">
        <f t="shared" ref="P5314:P5377" si="1044">1*LEFT(RIGHT(A5314,2),1)</f>
        <v>2</v>
      </c>
      <c r="Q5314" s="267">
        <f t="shared" ref="Q5314:Q5377" si="1045">IF(A5314&lt;&gt;A5315,G5314,IF(A5314=A5313,G5314+Q5315,MAX(G5314,(G5314+Q5315)/P5314)))</f>
        <v>678</v>
      </c>
      <c r="R5314" s="23" t="str">
        <f t="shared" ref="R5314:R5377" si="1046">IF(O5314&gt;P5314,"",IF(O5314=P5314,G5314,IF(A5314=A5315,R5315,IF(O5314&lt;=0,1,G5314))))</f>
        <v/>
      </c>
      <c r="S5314" s="23">
        <f t="shared" ref="S5314:S5377" si="1047">IF(AND(O5314&gt;P5314,LOWER(LEFT(E5314,8))&lt;&gt;"write-in",LOWER(LEFT(E5314,8))&lt;&gt;"not qual"),G5314,IF(A5314=A5315,S5315,0))</f>
        <v>668</v>
      </c>
      <c r="T5314" s="23" t="str">
        <f t="shared" ref="T5314:T5377" si="1048">IF(OR(A5314=A5313,S5314=0),"",R5314-ABS(S5314))</f>
        <v/>
      </c>
      <c r="U5314" t="str">
        <f t="shared" ref="U5314:U5377" si="1049">IF(A5314=A5313,"",A5314)</f>
        <v/>
      </c>
      <c r="X5314" s="43"/>
      <c r="Y5314" s="53"/>
      <c r="Z5314" s="53"/>
      <c r="AA5314"/>
      <c r="AB5314" s="23"/>
      <c r="AF5314" s="22"/>
      <c r="AH5314" s="8"/>
      <c r="AL5314" s="23"/>
    </row>
    <row r="5315" spans="1:38">
      <c r="A5315" t="str">
        <f t="shared" ref="A5315:A5378" si="1050">CONCATENATE(B5315,"~",F5315,"-",LOWER(D5315))</f>
        <v>PA_Alleg_2019p~Dem-school director woodland hills region 2 (vote for 2)</v>
      </c>
      <c r="B5315" s="55" t="s">
        <v>1291</v>
      </c>
      <c r="C5315">
        <v>400</v>
      </c>
      <c r="D5315" s="55" t="s">
        <v>405</v>
      </c>
      <c r="E5315" s="55" t="s">
        <v>15</v>
      </c>
      <c r="F5315" t="s">
        <v>12</v>
      </c>
      <c r="G5315" s="62">
        <v>10</v>
      </c>
      <c r="H5315" s="25">
        <v>0.28999999999999998</v>
      </c>
      <c r="I5315">
        <v>13395</v>
      </c>
      <c r="J5315">
        <v>2638</v>
      </c>
      <c r="K5315">
        <v>20</v>
      </c>
      <c r="L5315">
        <v>20</v>
      </c>
      <c r="M5315">
        <v>0</v>
      </c>
      <c r="N5315" s="23">
        <v>0</v>
      </c>
      <c r="O5315">
        <f t="shared" si="1043"/>
        <v>-3</v>
      </c>
      <c r="P5315" s="57">
        <f t="shared" si="1044"/>
        <v>2</v>
      </c>
      <c r="Q5315" s="267">
        <f t="shared" si="1045"/>
        <v>10</v>
      </c>
      <c r="R5315" s="23">
        <f t="shared" si="1046"/>
        <v>1</v>
      </c>
      <c r="S5315" s="23">
        <f t="shared" si="1047"/>
        <v>0</v>
      </c>
      <c r="T5315" s="23" t="str">
        <f t="shared" si="1048"/>
        <v/>
      </c>
      <c r="U5315" t="str">
        <f t="shared" si="1049"/>
        <v/>
      </c>
      <c r="X5315" s="43"/>
      <c r="Y5315" s="53"/>
      <c r="Z5315" s="53"/>
      <c r="AA5315"/>
      <c r="AB5315" s="23"/>
      <c r="AH5315" s="8"/>
      <c r="AL5315" s="23"/>
    </row>
    <row r="5316" spans="1:38">
      <c r="A5316" t="str">
        <f t="shared" si="1050"/>
        <v>PA_Alleg_2019p~Dem-school director woodland hills region 3 (vote for 1)</v>
      </c>
      <c r="B5316" s="55" t="s">
        <v>1291</v>
      </c>
      <c r="C5316">
        <v>451</v>
      </c>
      <c r="D5316" s="55" t="s">
        <v>447</v>
      </c>
      <c r="E5316" s="55" t="s">
        <v>453</v>
      </c>
      <c r="F5316" t="s">
        <v>12</v>
      </c>
      <c r="G5316" s="62">
        <v>1588</v>
      </c>
      <c r="H5316" s="25">
        <v>99.25</v>
      </c>
      <c r="I5316">
        <v>11523</v>
      </c>
      <c r="J5316">
        <v>2239</v>
      </c>
      <c r="K5316">
        <v>20</v>
      </c>
      <c r="L5316">
        <v>20</v>
      </c>
      <c r="M5316">
        <v>0</v>
      </c>
      <c r="N5316" s="23">
        <v>0</v>
      </c>
      <c r="O5316">
        <f t="shared" si="1043"/>
        <v>1</v>
      </c>
      <c r="P5316" s="57">
        <f t="shared" si="1044"/>
        <v>1</v>
      </c>
      <c r="Q5316" s="267">
        <f t="shared" si="1045"/>
        <v>3111</v>
      </c>
      <c r="R5316" s="23">
        <f t="shared" si="1046"/>
        <v>1588</v>
      </c>
      <c r="S5316" s="23">
        <f t="shared" si="1047"/>
        <v>1489</v>
      </c>
      <c r="T5316" s="23">
        <f t="shared" si="1048"/>
        <v>99</v>
      </c>
      <c r="U5316" t="str">
        <f t="shared" si="1049"/>
        <v>PA_Alleg_2019p~Dem-school director woodland hills region 3 (vote for 1)</v>
      </c>
      <c r="X5316" s="43"/>
      <c r="Y5316" s="53"/>
      <c r="Z5316" s="53"/>
      <c r="AA5316"/>
      <c r="AB5316" s="23"/>
      <c r="AF5316" s="22"/>
      <c r="AH5316" s="8"/>
      <c r="AL5316" s="23"/>
    </row>
    <row r="5317" spans="1:38">
      <c r="A5317" t="str">
        <f t="shared" si="1050"/>
        <v>PA_Alleg_2019p~Dem-school director woodland hills region 3 (vote for 1)</v>
      </c>
      <c r="B5317" s="55" t="s">
        <v>1291</v>
      </c>
      <c r="C5317">
        <v>443</v>
      </c>
      <c r="D5317" s="55" t="s">
        <v>447</v>
      </c>
      <c r="E5317" s="55" t="s">
        <v>448</v>
      </c>
      <c r="F5317" t="s">
        <v>12</v>
      </c>
      <c r="G5317" s="62">
        <v>1489</v>
      </c>
      <c r="H5317" s="25">
        <v>98.54</v>
      </c>
      <c r="I5317">
        <v>11523</v>
      </c>
      <c r="J5317">
        <v>2239</v>
      </c>
      <c r="K5317">
        <v>20</v>
      </c>
      <c r="L5317">
        <v>20</v>
      </c>
      <c r="M5317">
        <v>0</v>
      </c>
      <c r="N5317" s="23">
        <v>0</v>
      </c>
      <c r="O5317">
        <f t="shared" si="1043"/>
        <v>2</v>
      </c>
      <c r="P5317" s="57">
        <f t="shared" si="1044"/>
        <v>1</v>
      </c>
      <c r="Q5317" s="267">
        <f t="shared" si="1045"/>
        <v>1523</v>
      </c>
      <c r="R5317" s="23" t="str">
        <f t="shared" si="1046"/>
        <v/>
      </c>
      <c r="S5317" s="23">
        <f t="shared" si="1047"/>
        <v>1489</v>
      </c>
      <c r="T5317" s="23" t="str">
        <f t="shared" si="1048"/>
        <v/>
      </c>
      <c r="U5317" t="str">
        <f t="shared" si="1049"/>
        <v/>
      </c>
      <c r="X5317" s="43"/>
      <c r="Y5317" s="53"/>
      <c r="Z5317" s="53"/>
      <c r="AA5317"/>
      <c r="AB5317" s="23"/>
      <c r="AF5317" s="22"/>
      <c r="AG5317" s="89"/>
      <c r="AH5317" s="274"/>
      <c r="AI5317" s="279"/>
      <c r="AJ5317" s="280"/>
      <c r="AK5317" s="92"/>
      <c r="AL5317" s="23"/>
    </row>
    <row r="5318" spans="1:38">
      <c r="A5318" t="str">
        <f t="shared" si="1050"/>
        <v>PA_Alleg_2019p~Dem-school director woodland hills region 3 (vote for 1)</v>
      </c>
      <c r="B5318" s="55" t="s">
        <v>1291</v>
      </c>
      <c r="C5318">
        <v>444</v>
      </c>
      <c r="D5318" s="55" t="s">
        <v>447</v>
      </c>
      <c r="E5318" s="55" t="s">
        <v>15</v>
      </c>
      <c r="F5318" t="s">
        <v>12</v>
      </c>
      <c r="G5318" s="62">
        <v>22</v>
      </c>
      <c r="H5318" s="25">
        <v>1.46</v>
      </c>
      <c r="I5318">
        <v>11523</v>
      </c>
      <c r="J5318">
        <v>2239</v>
      </c>
      <c r="K5318">
        <v>20</v>
      </c>
      <c r="L5318">
        <v>20</v>
      </c>
      <c r="M5318">
        <v>0</v>
      </c>
      <c r="N5318" s="23">
        <v>0</v>
      </c>
      <c r="O5318">
        <f t="shared" si="1043"/>
        <v>-2</v>
      </c>
      <c r="P5318" s="57">
        <f t="shared" si="1044"/>
        <v>1</v>
      </c>
      <c r="Q5318" s="267">
        <f t="shared" si="1045"/>
        <v>34</v>
      </c>
      <c r="R5318" s="23">
        <f t="shared" si="1046"/>
        <v>1</v>
      </c>
      <c r="S5318" s="23">
        <f t="shared" si="1047"/>
        <v>0</v>
      </c>
      <c r="T5318" s="23" t="str">
        <f t="shared" si="1048"/>
        <v/>
      </c>
      <c r="U5318" t="str">
        <f t="shared" si="1049"/>
        <v/>
      </c>
      <c r="X5318" s="43"/>
      <c r="Y5318" s="53"/>
      <c r="Z5318" s="53"/>
      <c r="AA5318"/>
      <c r="AB5318" s="23"/>
      <c r="AF5318" s="22"/>
      <c r="AH5318" s="8"/>
      <c r="AL5318" s="23"/>
    </row>
    <row r="5319" spans="1:38">
      <c r="A5319" t="str">
        <f t="shared" si="1050"/>
        <v>PA_Alleg_2019p~Dem-school director woodland hills region 3 (vote for 1)</v>
      </c>
      <c r="B5319" s="55" t="s">
        <v>1291</v>
      </c>
      <c r="C5319">
        <v>452</v>
      </c>
      <c r="D5319" s="55" t="s">
        <v>447</v>
      </c>
      <c r="E5319" s="55" t="s">
        <v>15</v>
      </c>
      <c r="F5319" t="s">
        <v>12</v>
      </c>
      <c r="G5319" s="62">
        <v>12</v>
      </c>
      <c r="H5319" s="25">
        <v>0.75</v>
      </c>
      <c r="I5319">
        <v>11523</v>
      </c>
      <c r="J5319">
        <v>2239</v>
      </c>
      <c r="K5319">
        <v>20</v>
      </c>
      <c r="L5319">
        <v>20</v>
      </c>
      <c r="M5319">
        <v>0</v>
      </c>
      <c r="N5319" s="23">
        <v>0</v>
      </c>
      <c r="O5319">
        <f t="shared" si="1043"/>
        <v>-2</v>
      </c>
      <c r="P5319" s="57">
        <f t="shared" si="1044"/>
        <v>1</v>
      </c>
      <c r="Q5319" s="267">
        <f t="shared" si="1045"/>
        <v>12</v>
      </c>
      <c r="R5319" s="23">
        <f t="shared" si="1046"/>
        <v>1</v>
      </c>
      <c r="S5319" s="23">
        <f t="shared" si="1047"/>
        <v>0</v>
      </c>
      <c r="T5319" s="23" t="str">
        <f t="shared" si="1048"/>
        <v/>
      </c>
      <c r="U5319" t="str">
        <f t="shared" si="1049"/>
        <v/>
      </c>
      <c r="X5319" s="43"/>
      <c r="Y5319" s="53"/>
      <c r="Z5319" s="53"/>
      <c r="AA5319"/>
      <c r="AB5319" s="23"/>
      <c r="AF5319" s="22"/>
    </row>
    <row r="5320" spans="1:38">
      <c r="A5320" t="str">
        <f t="shared" si="1050"/>
        <v>PA_Alleg_2019p~Dem-supervisor at-large richland (vote for 1)</v>
      </c>
      <c r="B5320" s="55" t="s">
        <v>1291</v>
      </c>
      <c r="C5320">
        <v>1111</v>
      </c>
      <c r="D5320" s="55" t="s">
        <v>1082</v>
      </c>
      <c r="E5320" s="55" t="s">
        <v>15</v>
      </c>
      <c r="F5320" t="s">
        <v>12</v>
      </c>
      <c r="G5320" s="62">
        <v>36</v>
      </c>
      <c r="H5320" s="25">
        <v>100</v>
      </c>
      <c r="I5320">
        <v>8714</v>
      </c>
      <c r="J5320">
        <v>940</v>
      </c>
      <c r="K5320">
        <v>8</v>
      </c>
      <c r="L5320">
        <v>8</v>
      </c>
      <c r="M5320">
        <v>0</v>
      </c>
      <c r="N5320" s="23">
        <v>0</v>
      </c>
      <c r="O5320">
        <f t="shared" si="1043"/>
        <v>0</v>
      </c>
      <c r="P5320" s="57">
        <f t="shared" si="1044"/>
        <v>1</v>
      </c>
      <c r="Q5320" s="267">
        <f t="shared" si="1045"/>
        <v>36</v>
      </c>
      <c r="R5320" s="23">
        <f t="shared" si="1046"/>
        <v>1</v>
      </c>
      <c r="S5320" s="23">
        <f t="shared" si="1047"/>
        <v>0</v>
      </c>
      <c r="T5320" s="23" t="str">
        <f t="shared" si="1048"/>
        <v/>
      </c>
      <c r="U5320" t="str">
        <f t="shared" si="1049"/>
        <v>PA_Alleg_2019p~Dem-supervisor at-large richland (vote for 1)</v>
      </c>
      <c r="X5320" s="43"/>
      <c r="Y5320" s="53"/>
      <c r="Z5320" s="53"/>
      <c r="AA5320"/>
      <c r="AB5320" s="23"/>
      <c r="AF5320" s="22"/>
    </row>
    <row r="5321" spans="1:38">
      <c r="A5321" t="str">
        <f t="shared" si="1050"/>
        <v>PA_Alleg_2019p~Dem-supervisor fawn (vote for 1)</v>
      </c>
      <c r="B5321" s="55" t="s">
        <v>1291</v>
      </c>
      <c r="C5321">
        <v>1134</v>
      </c>
      <c r="D5321" s="55" t="s">
        <v>1087</v>
      </c>
      <c r="E5321" s="55" t="s">
        <v>1105</v>
      </c>
      <c r="F5321" t="s">
        <v>12</v>
      </c>
      <c r="G5321" s="62">
        <v>121</v>
      </c>
      <c r="H5321" s="25">
        <v>83.45</v>
      </c>
      <c r="I5321">
        <v>1476</v>
      </c>
      <c r="J5321">
        <v>295</v>
      </c>
      <c r="K5321">
        <v>2</v>
      </c>
      <c r="L5321">
        <v>2</v>
      </c>
      <c r="M5321">
        <v>0</v>
      </c>
      <c r="N5321" s="23">
        <v>0</v>
      </c>
      <c r="O5321">
        <f t="shared" si="1043"/>
        <v>1</v>
      </c>
      <c r="P5321" s="57">
        <f t="shared" si="1044"/>
        <v>1</v>
      </c>
      <c r="Q5321" s="267">
        <f t="shared" si="1045"/>
        <v>301</v>
      </c>
      <c r="R5321" s="23">
        <f t="shared" si="1046"/>
        <v>121</v>
      </c>
      <c r="S5321" s="23">
        <f t="shared" si="1047"/>
        <v>81</v>
      </c>
      <c r="T5321" s="23">
        <f t="shared" si="1048"/>
        <v>40</v>
      </c>
      <c r="U5321" t="str">
        <f t="shared" si="1049"/>
        <v>PA_Alleg_2019p~Dem-supervisor fawn (vote for 1)</v>
      </c>
      <c r="X5321" s="43"/>
      <c r="Y5321" s="53"/>
      <c r="Z5321" s="53"/>
      <c r="AA5321"/>
      <c r="AB5321" s="23"/>
      <c r="AF5321" s="22"/>
    </row>
    <row r="5322" spans="1:38">
      <c r="A5322" t="str">
        <f t="shared" si="1050"/>
        <v>PA_Alleg_2019p~Dem-supervisor fawn (vote for 1)</v>
      </c>
      <c r="B5322" s="55" t="s">
        <v>1291</v>
      </c>
      <c r="C5322">
        <v>1117</v>
      </c>
      <c r="D5322" s="55" t="s">
        <v>1087</v>
      </c>
      <c r="E5322" s="55" t="s">
        <v>1089</v>
      </c>
      <c r="F5322" t="s">
        <v>12</v>
      </c>
      <c r="G5322" s="62">
        <v>81</v>
      </c>
      <c r="H5322" s="25">
        <v>51.92</v>
      </c>
      <c r="I5322">
        <v>1476</v>
      </c>
      <c r="J5322">
        <v>295</v>
      </c>
      <c r="K5322">
        <v>2</v>
      </c>
      <c r="L5322">
        <v>2</v>
      </c>
      <c r="M5322">
        <v>0</v>
      </c>
      <c r="N5322" s="23">
        <v>0</v>
      </c>
      <c r="O5322">
        <f t="shared" si="1043"/>
        <v>2</v>
      </c>
      <c r="P5322" s="57">
        <f t="shared" si="1044"/>
        <v>1</v>
      </c>
      <c r="Q5322" s="267">
        <f t="shared" si="1045"/>
        <v>180</v>
      </c>
      <c r="R5322" s="23" t="str">
        <f t="shared" si="1046"/>
        <v/>
      </c>
      <c r="S5322" s="23">
        <f t="shared" si="1047"/>
        <v>81</v>
      </c>
      <c r="T5322" s="23" t="str">
        <f t="shared" si="1048"/>
        <v/>
      </c>
      <c r="U5322" t="str">
        <f t="shared" si="1049"/>
        <v/>
      </c>
      <c r="X5322" s="43"/>
      <c r="Y5322" s="53"/>
      <c r="Z5322" s="53"/>
      <c r="AA5322"/>
      <c r="AB5322" s="23"/>
      <c r="AF5322" s="22"/>
      <c r="AH5322" s="8"/>
      <c r="AL5322" s="23"/>
    </row>
    <row r="5323" spans="1:38">
      <c r="A5323" t="str">
        <f t="shared" si="1050"/>
        <v>PA_Alleg_2019p~Dem-supervisor fawn (vote for 1)</v>
      </c>
      <c r="B5323" s="55" t="s">
        <v>1291</v>
      </c>
      <c r="C5323">
        <v>1116</v>
      </c>
      <c r="D5323" s="55" t="s">
        <v>1087</v>
      </c>
      <c r="E5323" s="55" t="s">
        <v>1088</v>
      </c>
      <c r="F5323" t="s">
        <v>12</v>
      </c>
      <c r="G5323" s="62">
        <v>70</v>
      </c>
      <c r="H5323" s="25">
        <v>44.87</v>
      </c>
      <c r="I5323">
        <v>1476</v>
      </c>
      <c r="J5323">
        <v>295</v>
      </c>
      <c r="K5323">
        <v>2</v>
      </c>
      <c r="L5323">
        <v>2</v>
      </c>
      <c r="M5323">
        <v>0</v>
      </c>
      <c r="N5323" s="23">
        <v>0</v>
      </c>
      <c r="O5323">
        <f t="shared" si="1043"/>
        <v>3</v>
      </c>
      <c r="P5323" s="57">
        <f t="shared" si="1044"/>
        <v>1</v>
      </c>
      <c r="Q5323" s="267">
        <f t="shared" si="1045"/>
        <v>99</v>
      </c>
      <c r="R5323" s="23" t="str">
        <f t="shared" si="1046"/>
        <v/>
      </c>
      <c r="S5323" s="23">
        <f t="shared" si="1047"/>
        <v>70</v>
      </c>
      <c r="T5323" s="23" t="str">
        <f t="shared" si="1048"/>
        <v/>
      </c>
      <c r="U5323" t="str">
        <f t="shared" si="1049"/>
        <v/>
      </c>
      <c r="X5323" s="43"/>
      <c r="Y5323" s="53"/>
      <c r="Z5323" s="53"/>
      <c r="AA5323"/>
      <c r="AB5323" s="23"/>
    </row>
    <row r="5324" spans="1:38">
      <c r="A5324" t="str">
        <f t="shared" si="1050"/>
        <v>PA_Alleg_2019p~Dem-supervisor fawn (vote for 1)</v>
      </c>
      <c r="B5324" s="55" t="s">
        <v>1291</v>
      </c>
      <c r="C5324">
        <v>1135</v>
      </c>
      <c r="D5324" s="55" t="s">
        <v>1087</v>
      </c>
      <c r="E5324" s="55" t="s">
        <v>15</v>
      </c>
      <c r="F5324" t="s">
        <v>12</v>
      </c>
      <c r="G5324" s="62">
        <v>24</v>
      </c>
      <c r="H5324" s="25">
        <v>16.55</v>
      </c>
      <c r="I5324">
        <v>1476</v>
      </c>
      <c r="J5324">
        <v>295</v>
      </c>
      <c r="K5324">
        <v>2</v>
      </c>
      <c r="L5324">
        <v>2</v>
      </c>
      <c r="M5324">
        <v>0</v>
      </c>
      <c r="N5324" s="23">
        <v>0</v>
      </c>
      <c r="O5324">
        <f t="shared" si="1043"/>
        <v>-3</v>
      </c>
      <c r="P5324" s="57">
        <f t="shared" si="1044"/>
        <v>1</v>
      </c>
      <c r="Q5324" s="267">
        <f t="shared" si="1045"/>
        <v>29</v>
      </c>
      <c r="R5324" s="23">
        <f t="shared" si="1046"/>
        <v>1</v>
      </c>
      <c r="S5324" s="23">
        <f t="shared" si="1047"/>
        <v>0</v>
      </c>
      <c r="T5324" s="23" t="str">
        <f t="shared" si="1048"/>
        <v/>
      </c>
      <c r="U5324" t="str">
        <f t="shared" si="1049"/>
        <v/>
      </c>
      <c r="X5324" s="43"/>
      <c r="Y5324" s="53"/>
      <c r="Z5324" s="53"/>
      <c r="AA5324"/>
      <c r="AB5324" s="23"/>
      <c r="AF5324" s="22"/>
    </row>
    <row r="5325" spans="1:38">
      <c r="A5325" t="str">
        <f t="shared" si="1050"/>
        <v>PA_Alleg_2019p~Dem-supervisor fawn (vote for 1)</v>
      </c>
      <c r="B5325" s="55" t="s">
        <v>1291</v>
      </c>
      <c r="C5325">
        <v>1118</v>
      </c>
      <c r="D5325" s="55" t="s">
        <v>1087</v>
      </c>
      <c r="E5325" s="55" t="s">
        <v>15</v>
      </c>
      <c r="F5325" t="s">
        <v>12</v>
      </c>
      <c r="G5325" s="62">
        <v>5</v>
      </c>
      <c r="H5325" s="25">
        <v>3.21</v>
      </c>
      <c r="I5325">
        <v>1476</v>
      </c>
      <c r="J5325">
        <v>295</v>
      </c>
      <c r="K5325">
        <v>2</v>
      </c>
      <c r="L5325">
        <v>2</v>
      </c>
      <c r="M5325">
        <v>0</v>
      </c>
      <c r="N5325" s="23">
        <v>0</v>
      </c>
      <c r="O5325">
        <f t="shared" si="1043"/>
        <v>-3</v>
      </c>
      <c r="P5325" s="57">
        <f t="shared" si="1044"/>
        <v>1</v>
      </c>
      <c r="Q5325" s="267">
        <f t="shared" si="1045"/>
        <v>5</v>
      </c>
      <c r="R5325" s="23">
        <f t="shared" si="1046"/>
        <v>1</v>
      </c>
      <c r="S5325" s="23">
        <f t="shared" si="1047"/>
        <v>0</v>
      </c>
      <c r="T5325" s="23" t="str">
        <f t="shared" si="1048"/>
        <v/>
      </c>
      <c r="U5325" t="str">
        <f t="shared" si="1049"/>
        <v/>
      </c>
      <c r="X5325" s="43"/>
      <c r="Y5325" s="53"/>
      <c r="Z5325" s="53"/>
      <c r="AA5325"/>
      <c r="AB5325" s="23"/>
      <c r="AF5325" s="22"/>
    </row>
    <row r="5326" spans="1:38">
      <c r="A5326" t="str">
        <f t="shared" si="1050"/>
        <v>PA_Alleg_2019p~Dem-supervisor findlay (vote for 1)</v>
      </c>
      <c r="B5326" s="55" t="s">
        <v>1291</v>
      </c>
      <c r="C5326">
        <v>1119</v>
      </c>
      <c r="D5326" s="55" t="s">
        <v>1090</v>
      </c>
      <c r="E5326" s="55" t="s">
        <v>1091</v>
      </c>
      <c r="F5326" t="s">
        <v>12</v>
      </c>
      <c r="G5326" s="62">
        <v>265</v>
      </c>
      <c r="H5326" s="25">
        <v>98.88</v>
      </c>
      <c r="I5326">
        <v>4351</v>
      </c>
      <c r="J5326">
        <v>539</v>
      </c>
      <c r="K5326">
        <v>3</v>
      </c>
      <c r="L5326">
        <v>3</v>
      </c>
      <c r="M5326">
        <v>0</v>
      </c>
      <c r="N5326" s="23">
        <v>0</v>
      </c>
      <c r="O5326">
        <f t="shared" si="1043"/>
        <v>1</v>
      </c>
      <c r="P5326" s="57">
        <f t="shared" si="1044"/>
        <v>1</v>
      </c>
      <c r="Q5326" s="267">
        <f t="shared" si="1045"/>
        <v>268</v>
      </c>
      <c r="R5326" s="23">
        <f t="shared" si="1046"/>
        <v>265</v>
      </c>
      <c r="S5326" s="23">
        <f t="shared" si="1047"/>
        <v>0</v>
      </c>
      <c r="T5326" s="23" t="str">
        <f t="shared" si="1048"/>
        <v/>
      </c>
      <c r="U5326" t="str">
        <f t="shared" si="1049"/>
        <v>PA_Alleg_2019p~Dem-supervisor findlay (vote for 1)</v>
      </c>
      <c r="X5326" s="43"/>
      <c r="Y5326" s="53"/>
      <c r="Z5326" s="53"/>
      <c r="AA5326"/>
      <c r="AB5326" s="23"/>
      <c r="AF5326" s="22"/>
      <c r="AH5326" s="8"/>
      <c r="AL5326" s="23"/>
    </row>
    <row r="5327" spans="1:38">
      <c r="A5327" t="str">
        <f t="shared" si="1050"/>
        <v>PA_Alleg_2019p~Dem-supervisor findlay (vote for 1)</v>
      </c>
      <c r="B5327" s="55" t="s">
        <v>1291</v>
      </c>
      <c r="C5327">
        <v>1120</v>
      </c>
      <c r="D5327" s="55" t="s">
        <v>1090</v>
      </c>
      <c r="E5327" s="55" t="s">
        <v>15</v>
      </c>
      <c r="F5327" t="s">
        <v>12</v>
      </c>
      <c r="G5327" s="62">
        <v>3</v>
      </c>
      <c r="H5327" s="25">
        <v>1.1200000000000001</v>
      </c>
      <c r="I5327">
        <v>4351</v>
      </c>
      <c r="J5327">
        <v>539</v>
      </c>
      <c r="K5327">
        <v>3</v>
      </c>
      <c r="L5327">
        <v>3</v>
      </c>
      <c r="M5327">
        <v>0</v>
      </c>
      <c r="N5327" s="23">
        <v>0</v>
      </c>
      <c r="O5327">
        <f t="shared" si="1043"/>
        <v>-1</v>
      </c>
      <c r="P5327" s="57">
        <f t="shared" si="1044"/>
        <v>1</v>
      </c>
      <c r="Q5327" s="267">
        <f t="shared" si="1045"/>
        <v>3</v>
      </c>
      <c r="R5327" s="23">
        <f t="shared" si="1046"/>
        <v>1</v>
      </c>
      <c r="S5327" s="23">
        <f t="shared" si="1047"/>
        <v>0</v>
      </c>
      <c r="T5327" s="23" t="str">
        <f t="shared" si="1048"/>
        <v/>
      </c>
      <c r="U5327" t="str">
        <f t="shared" si="1049"/>
        <v/>
      </c>
      <c r="X5327" s="43"/>
      <c r="Y5327" s="53"/>
      <c r="Z5327" s="53"/>
      <c r="AA5327"/>
      <c r="AB5327" s="23"/>
      <c r="AF5327" s="22"/>
      <c r="AH5327" s="8"/>
      <c r="AL5327" s="23"/>
    </row>
    <row r="5328" spans="1:38">
      <c r="A5328" t="str">
        <f t="shared" si="1050"/>
        <v>PA_Alleg_2019p~Dem-supervisor forward (vote for 1)</v>
      </c>
      <c r="B5328" s="55" t="s">
        <v>1291</v>
      </c>
      <c r="C5328">
        <v>1121</v>
      </c>
      <c r="D5328" s="55" t="s">
        <v>1092</v>
      </c>
      <c r="E5328" s="55" t="s">
        <v>1093</v>
      </c>
      <c r="F5328" t="s">
        <v>12</v>
      </c>
      <c r="G5328" s="62">
        <v>168</v>
      </c>
      <c r="H5328" s="25">
        <v>98.25</v>
      </c>
      <c r="I5328">
        <v>2091</v>
      </c>
      <c r="J5328">
        <v>333</v>
      </c>
      <c r="K5328">
        <v>4</v>
      </c>
      <c r="L5328">
        <v>4</v>
      </c>
      <c r="M5328">
        <v>0</v>
      </c>
      <c r="N5328" s="23">
        <v>0</v>
      </c>
      <c r="O5328">
        <f t="shared" si="1043"/>
        <v>1</v>
      </c>
      <c r="P5328" s="57">
        <f t="shared" si="1044"/>
        <v>1</v>
      </c>
      <c r="Q5328" s="267">
        <f t="shared" si="1045"/>
        <v>171</v>
      </c>
      <c r="R5328" s="23">
        <f t="shared" si="1046"/>
        <v>168</v>
      </c>
      <c r="S5328" s="23">
        <f t="shared" si="1047"/>
        <v>0</v>
      </c>
      <c r="T5328" s="23" t="str">
        <f t="shared" si="1048"/>
        <v/>
      </c>
      <c r="U5328" t="str">
        <f t="shared" si="1049"/>
        <v>PA_Alleg_2019p~Dem-supervisor forward (vote for 1)</v>
      </c>
      <c r="X5328" s="43"/>
      <c r="Y5328" s="53"/>
      <c r="Z5328" s="53"/>
      <c r="AA5328"/>
      <c r="AB5328" s="23"/>
      <c r="AF5328" s="22"/>
      <c r="AH5328" s="8"/>
      <c r="AL5328" s="23"/>
    </row>
    <row r="5329" spans="1:38">
      <c r="A5329" t="str">
        <f t="shared" si="1050"/>
        <v>PA_Alleg_2019p~Dem-supervisor forward (vote for 1)</v>
      </c>
      <c r="B5329" s="55" t="s">
        <v>1291</v>
      </c>
      <c r="C5329">
        <v>1122</v>
      </c>
      <c r="D5329" s="55" t="s">
        <v>1092</v>
      </c>
      <c r="E5329" s="55" t="s">
        <v>15</v>
      </c>
      <c r="F5329" t="s">
        <v>12</v>
      </c>
      <c r="G5329" s="62">
        <v>3</v>
      </c>
      <c r="H5329" s="25">
        <v>1.75</v>
      </c>
      <c r="I5329">
        <v>2091</v>
      </c>
      <c r="J5329">
        <v>333</v>
      </c>
      <c r="K5329">
        <v>4</v>
      </c>
      <c r="L5329">
        <v>4</v>
      </c>
      <c r="M5329">
        <v>0</v>
      </c>
      <c r="N5329" s="23">
        <v>0</v>
      </c>
      <c r="O5329">
        <f t="shared" si="1043"/>
        <v>-1</v>
      </c>
      <c r="P5329" s="57">
        <f t="shared" si="1044"/>
        <v>1</v>
      </c>
      <c r="Q5329" s="267">
        <f t="shared" si="1045"/>
        <v>3</v>
      </c>
      <c r="R5329" s="23">
        <f t="shared" si="1046"/>
        <v>1</v>
      </c>
      <c r="S5329" s="23">
        <f t="shared" si="1047"/>
        <v>0</v>
      </c>
      <c r="T5329" s="23" t="str">
        <f t="shared" si="1048"/>
        <v/>
      </c>
      <c r="U5329" t="str">
        <f t="shared" si="1049"/>
        <v/>
      </c>
      <c r="X5329" s="43"/>
      <c r="Y5329" s="53"/>
      <c r="Z5329" s="53"/>
      <c r="AA5329"/>
      <c r="AB5329" s="23"/>
      <c r="AH5329" s="8"/>
      <c r="AL5329" s="23"/>
    </row>
    <row r="5330" spans="1:38">
      <c r="A5330" t="str">
        <f t="shared" si="1050"/>
        <v>PA_Alleg_2019p~Dem-supervisor frazer (vote for 1)</v>
      </c>
      <c r="B5330" s="55" t="s">
        <v>1291</v>
      </c>
      <c r="C5330">
        <v>1123</v>
      </c>
      <c r="D5330" s="55" t="s">
        <v>1094</v>
      </c>
      <c r="E5330" s="55" t="s">
        <v>1095</v>
      </c>
      <c r="F5330" t="s">
        <v>12</v>
      </c>
      <c r="G5330" s="62">
        <v>42</v>
      </c>
      <c r="H5330" s="25">
        <v>95.45</v>
      </c>
      <c r="I5330">
        <v>766</v>
      </c>
      <c r="J5330">
        <v>91</v>
      </c>
      <c r="K5330">
        <v>1</v>
      </c>
      <c r="L5330">
        <v>1</v>
      </c>
      <c r="M5330">
        <v>0</v>
      </c>
      <c r="N5330" s="23">
        <v>0</v>
      </c>
      <c r="O5330">
        <f t="shared" si="1043"/>
        <v>1</v>
      </c>
      <c r="P5330" s="57">
        <f t="shared" si="1044"/>
        <v>1</v>
      </c>
      <c r="Q5330" s="267">
        <f t="shared" si="1045"/>
        <v>44</v>
      </c>
      <c r="R5330" s="23">
        <f t="shared" si="1046"/>
        <v>42</v>
      </c>
      <c r="S5330" s="23">
        <f t="shared" si="1047"/>
        <v>0</v>
      </c>
      <c r="T5330" s="23" t="str">
        <f t="shared" si="1048"/>
        <v/>
      </c>
      <c r="U5330" t="str">
        <f t="shared" si="1049"/>
        <v>PA_Alleg_2019p~Dem-supervisor frazer (vote for 1)</v>
      </c>
      <c r="X5330" s="43"/>
      <c r="Y5330" s="53"/>
      <c r="Z5330" s="53"/>
      <c r="AA5330"/>
      <c r="AB5330" s="23"/>
      <c r="AF5330" s="22"/>
      <c r="AH5330" s="8"/>
      <c r="AL5330" s="23"/>
    </row>
    <row r="5331" spans="1:38">
      <c r="A5331" t="str">
        <f t="shared" si="1050"/>
        <v>PA_Alleg_2019p~Dem-supervisor frazer (vote for 1)</v>
      </c>
      <c r="B5331" s="55" t="s">
        <v>1291</v>
      </c>
      <c r="C5331">
        <v>1124</v>
      </c>
      <c r="D5331" s="55" t="s">
        <v>1094</v>
      </c>
      <c r="E5331" s="55" t="s">
        <v>15</v>
      </c>
      <c r="F5331" t="s">
        <v>12</v>
      </c>
      <c r="G5331" s="62">
        <v>2</v>
      </c>
      <c r="H5331" s="25">
        <v>4.55</v>
      </c>
      <c r="I5331">
        <v>766</v>
      </c>
      <c r="J5331">
        <v>91</v>
      </c>
      <c r="K5331">
        <v>1</v>
      </c>
      <c r="L5331">
        <v>1</v>
      </c>
      <c r="M5331">
        <v>0</v>
      </c>
      <c r="N5331" s="23">
        <v>0</v>
      </c>
      <c r="O5331">
        <f t="shared" si="1043"/>
        <v>-1</v>
      </c>
      <c r="P5331" s="57">
        <f t="shared" si="1044"/>
        <v>1</v>
      </c>
      <c r="Q5331" s="267">
        <f t="shared" si="1045"/>
        <v>2</v>
      </c>
      <c r="R5331" s="23">
        <f t="shared" si="1046"/>
        <v>1</v>
      </c>
      <c r="S5331" s="23">
        <f t="shared" si="1047"/>
        <v>0</v>
      </c>
      <c r="T5331" s="23" t="str">
        <f t="shared" si="1048"/>
        <v/>
      </c>
      <c r="U5331" t="str">
        <f t="shared" si="1049"/>
        <v/>
      </c>
      <c r="X5331" s="43"/>
      <c r="Y5331" s="53"/>
      <c r="Z5331" s="53"/>
      <c r="AA5331"/>
      <c r="AB5331" s="23"/>
      <c r="AF5331" s="88"/>
      <c r="AH5331" s="8"/>
      <c r="AL5331" s="23"/>
    </row>
    <row r="5332" spans="1:38">
      <c r="A5332" t="str">
        <f t="shared" si="1050"/>
        <v>PA_Alleg_2019p~Dem-supervisor harmar (vote for 1)</v>
      </c>
      <c r="B5332" s="55" t="s">
        <v>1291</v>
      </c>
      <c r="C5332">
        <v>1125</v>
      </c>
      <c r="D5332" s="55" t="s">
        <v>1096</v>
      </c>
      <c r="E5332" s="55" t="s">
        <v>1097</v>
      </c>
      <c r="F5332" t="s">
        <v>12</v>
      </c>
      <c r="G5332" s="62">
        <v>186</v>
      </c>
      <c r="H5332" s="25">
        <v>98.94</v>
      </c>
      <c r="I5332">
        <v>2438</v>
      </c>
      <c r="J5332">
        <v>373</v>
      </c>
      <c r="K5332">
        <v>3</v>
      </c>
      <c r="L5332">
        <v>3</v>
      </c>
      <c r="M5332">
        <v>0</v>
      </c>
      <c r="N5332" s="23">
        <v>0</v>
      </c>
      <c r="O5332">
        <f t="shared" si="1043"/>
        <v>1</v>
      </c>
      <c r="P5332" s="57">
        <f t="shared" si="1044"/>
        <v>1</v>
      </c>
      <c r="Q5332" s="267">
        <f t="shared" si="1045"/>
        <v>188</v>
      </c>
      <c r="R5332" s="23">
        <f t="shared" si="1046"/>
        <v>186</v>
      </c>
      <c r="S5332" s="23">
        <f t="shared" si="1047"/>
        <v>0</v>
      </c>
      <c r="T5332" s="23" t="str">
        <f t="shared" si="1048"/>
        <v/>
      </c>
      <c r="U5332" t="str">
        <f t="shared" si="1049"/>
        <v>PA_Alleg_2019p~Dem-supervisor harmar (vote for 1)</v>
      </c>
      <c r="X5332" s="43"/>
      <c r="Y5332" s="53"/>
      <c r="Z5332" s="53"/>
      <c r="AA5332"/>
      <c r="AB5332" s="23"/>
      <c r="AF5332" s="22"/>
      <c r="AH5332" s="8"/>
      <c r="AL5332" s="23"/>
    </row>
    <row r="5333" spans="1:38">
      <c r="A5333" t="str">
        <f t="shared" si="1050"/>
        <v>PA_Alleg_2019p~Dem-supervisor harmar (vote for 1)</v>
      </c>
      <c r="B5333" s="55" t="s">
        <v>1291</v>
      </c>
      <c r="C5333">
        <v>1126</v>
      </c>
      <c r="D5333" s="55" t="s">
        <v>1096</v>
      </c>
      <c r="E5333" s="55" t="s">
        <v>15</v>
      </c>
      <c r="F5333" t="s">
        <v>12</v>
      </c>
      <c r="G5333" s="62">
        <v>2</v>
      </c>
      <c r="H5333" s="25">
        <v>1.06</v>
      </c>
      <c r="I5333">
        <v>2438</v>
      </c>
      <c r="J5333">
        <v>373</v>
      </c>
      <c r="K5333">
        <v>3</v>
      </c>
      <c r="L5333">
        <v>3</v>
      </c>
      <c r="M5333">
        <v>0</v>
      </c>
      <c r="N5333" s="23">
        <v>0</v>
      </c>
      <c r="O5333">
        <f t="shared" si="1043"/>
        <v>-1</v>
      </c>
      <c r="P5333" s="57">
        <f t="shared" si="1044"/>
        <v>1</v>
      </c>
      <c r="Q5333" s="267">
        <f t="shared" si="1045"/>
        <v>2</v>
      </c>
      <c r="R5333" s="23">
        <f t="shared" si="1046"/>
        <v>1</v>
      </c>
      <c r="S5333" s="23">
        <f t="shared" si="1047"/>
        <v>0</v>
      </c>
      <c r="T5333" s="23" t="str">
        <f t="shared" si="1048"/>
        <v/>
      </c>
      <c r="U5333" t="str">
        <f t="shared" si="1049"/>
        <v/>
      </c>
      <c r="X5333" s="43"/>
      <c r="Y5333" s="53"/>
      <c r="Z5333" s="53"/>
      <c r="AA5333"/>
      <c r="AB5333" s="23"/>
      <c r="AF5333" s="22"/>
    </row>
    <row r="5334" spans="1:38">
      <c r="A5334" t="str">
        <f t="shared" si="1050"/>
        <v>PA_Alleg_2019p~Dem-supervisor indiana district 1 (vote for 1)</v>
      </c>
      <c r="B5334" s="55" t="s">
        <v>1291</v>
      </c>
      <c r="C5334">
        <v>1136</v>
      </c>
      <c r="D5334" s="55" t="s">
        <v>1106</v>
      </c>
      <c r="E5334" s="55" t="s">
        <v>1107</v>
      </c>
      <c r="F5334" t="s">
        <v>12</v>
      </c>
      <c r="G5334" s="62">
        <v>68</v>
      </c>
      <c r="H5334" s="25">
        <v>100</v>
      </c>
      <c r="I5334">
        <v>996</v>
      </c>
      <c r="J5334">
        <v>189</v>
      </c>
      <c r="K5334">
        <v>1</v>
      </c>
      <c r="L5334">
        <v>1</v>
      </c>
      <c r="M5334">
        <v>0</v>
      </c>
      <c r="N5334" s="23">
        <v>0</v>
      </c>
      <c r="O5334">
        <f t="shared" si="1043"/>
        <v>1</v>
      </c>
      <c r="P5334" s="57">
        <f t="shared" si="1044"/>
        <v>1</v>
      </c>
      <c r="Q5334" s="267">
        <f t="shared" si="1045"/>
        <v>68</v>
      </c>
      <c r="R5334" s="23">
        <f t="shared" si="1046"/>
        <v>68</v>
      </c>
      <c r="S5334" s="23">
        <f t="shared" si="1047"/>
        <v>0</v>
      </c>
      <c r="T5334" s="23" t="str">
        <f t="shared" si="1048"/>
        <v/>
      </c>
      <c r="U5334" t="str">
        <f t="shared" si="1049"/>
        <v>PA_Alleg_2019p~Dem-supervisor indiana district 1 (vote for 1)</v>
      </c>
      <c r="X5334" s="43"/>
      <c r="Y5334" s="53"/>
      <c r="Z5334" s="53"/>
      <c r="AA5334"/>
      <c r="AB5334" s="23"/>
      <c r="AF5334" s="22"/>
      <c r="AH5334" s="8"/>
      <c r="AL5334" s="23"/>
    </row>
    <row r="5335" spans="1:38">
      <c r="A5335" t="str">
        <f t="shared" si="1050"/>
        <v>PA_Alleg_2019p~Dem-supervisor indiana district 1 (vote for 1)</v>
      </c>
      <c r="B5335" s="55" t="s">
        <v>1291</v>
      </c>
      <c r="C5335">
        <v>1137</v>
      </c>
      <c r="D5335" s="55" t="s">
        <v>1106</v>
      </c>
      <c r="E5335" s="55" t="s">
        <v>15</v>
      </c>
      <c r="F5335" t="s">
        <v>12</v>
      </c>
      <c r="G5335" s="62">
        <v>0</v>
      </c>
      <c r="H5335" s="25">
        <v>0</v>
      </c>
      <c r="I5335">
        <v>996</v>
      </c>
      <c r="J5335">
        <v>189</v>
      </c>
      <c r="K5335">
        <v>1</v>
      </c>
      <c r="L5335">
        <v>1</v>
      </c>
      <c r="M5335">
        <v>0</v>
      </c>
      <c r="N5335" s="23">
        <v>0</v>
      </c>
      <c r="O5335">
        <f t="shared" si="1043"/>
        <v>-1</v>
      </c>
      <c r="P5335" s="57">
        <f t="shared" si="1044"/>
        <v>1</v>
      </c>
      <c r="Q5335" s="267">
        <f t="shared" si="1045"/>
        <v>0</v>
      </c>
      <c r="R5335" s="23">
        <f t="shared" si="1046"/>
        <v>1</v>
      </c>
      <c r="S5335" s="23">
        <f t="shared" si="1047"/>
        <v>0</v>
      </c>
      <c r="T5335" s="23" t="str">
        <f t="shared" si="1048"/>
        <v/>
      </c>
      <c r="U5335" t="str">
        <f t="shared" si="1049"/>
        <v/>
      </c>
      <c r="X5335" s="43"/>
      <c r="Y5335" s="53"/>
      <c r="Z5335" s="53"/>
      <c r="AA5335"/>
      <c r="AB5335" s="23"/>
      <c r="AF5335" s="22"/>
    </row>
    <row r="5336" spans="1:38">
      <c r="A5336" t="str">
        <f t="shared" si="1050"/>
        <v>PA_Alleg_2019p~Dem-supervisor indiana district 2 (vote for 1)</v>
      </c>
      <c r="B5336" s="55" t="s">
        <v>1291</v>
      </c>
      <c r="C5336">
        <v>1138</v>
      </c>
      <c r="D5336" s="55" t="s">
        <v>1108</v>
      </c>
      <c r="E5336" s="55" t="s">
        <v>15</v>
      </c>
      <c r="F5336" t="s">
        <v>12</v>
      </c>
      <c r="G5336" s="62">
        <v>8</v>
      </c>
      <c r="H5336" s="25">
        <v>100</v>
      </c>
      <c r="I5336">
        <v>871</v>
      </c>
      <c r="J5336">
        <v>188</v>
      </c>
      <c r="K5336">
        <v>1</v>
      </c>
      <c r="L5336">
        <v>1</v>
      </c>
      <c r="M5336">
        <v>0</v>
      </c>
      <c r="N5336" s="23">
        <v>0</v>
      </c>
      <c r="O5336">
        <f t="shared" si="1043"/>
        <v>0</v>
      </c>
      <c r="P5336" s="57">
        <f t="shared" si="1044"/>
        <v>1</v>
      </c>
      <c r="Q5336" s="267">
        <f t="shared" si="1045"/>
        <v>8</v>
      </c>
      <c r="R5336" s="23">
        <f t="shared" si="1046"/>
        <v>1</v>
      </c>
      <c r="S5336" s="23">
        <f t="shared" si="1047"/>
        <v>0</v>
      </c>
      <c r="T5336" s="23" t="str">
        <f t="shared" si="1048"/>
        <v/>
      </c>
      <c r="U5336" t="str">
        <f t="shared" si="1049"/>
        <v>PA_Alleg_2019p~Dem-supervisor indiana district 2 (vote for 1)</v>
      </c>
      <c r="X5336" s="43"/>
      <c r="Y5336" s="53"/>
      <c r="Z5336" s="53"/>
      <c r="AA5336"/>
      <c r="AB5336" s="23"/>
      <c r="AF5336" s="22"/>
    </row>
    <row r="5337" spans="1:38">
      <c r="A5337" t="str">
        <f t="shared" si="1050"/>
        <v>PA_Alleg_2019p~Dem-supervisor indiana district 3 (vote for 1)</v>
      </c>
      <c r="B5337" s="55" t="s">
        <v>1291</v>
      </c>
      <c r="C5337">
        <v>1139</v>
      </c>
      <c r="D5337" s="55" t="s">
        <v>1109</v>
      </c>
      <c r="E5337" s="55" t="s">
        <v>15</v>
      </c>
      <c r="F5337" t="s">
        <v>12</v>
      </c>
      <c r="G5337" s="62">
        <v>9</v>
      </c>
      <c r="H5337" s="25">
        <v>100</v>
      </c>
      <c r="I5337">
        <v>1236</v>
      </c>
      <c r="J5337">
        <v>134</v>
      </c>
      <c r="K5337">
        <v>1</v>
      </c>
      <c r="L5337">
        <v>1</v>
      </c>
      <c r="M5337">
        <v>0</v>
      </c>
      <c r="N5337" s="23">
        <v>0</v>
      </c>
      <c r="O5337">
        <f t="shared" si="1043"/>
        <v>0</v>
      </c>
      <c r="P5337" s="57">
        <f t="shared" si="1044"/>
        <v>1</v>
      </c>
      <c r="Q5337" s="267">
        <f t="shared" si="1045"/>
        <v>9</v>
      </c>
      <c r="R5337" s="23">
        <f t="shared" si="1046"/>
        <v>1</v>
      </c>
      <c r="S5337" s="23">
        <f t="shared" si="1047"/>
        <v>0</v>
      </c>
      <c r="T5337" s="23" t="str">
        <f t="shared" si="1048"/>
        <v/>
      </c>
      <c r="U5337" t="str">
        <f t="shared" si="1049"/>
        <v>PA_Alleg_2019p~Dem-supervisor indiana district 3 (vote for 1)</v>
      </c>
      <c r="X5337" s="43"/>
      <c r="Y5337" s="53"/>
      <c r="Z5337" s="53"/>
      <c r="AA5337"/>
      <c r="AB5337" s="23"/>
      <c r="AF5337" s="22"/>
    </row>
    <row r="5338" spans="1:38">
      <c r="A5338" t="str">
        <f t="shared" si="1050"/>
        <v>PA_Alleg_2019p~Dem-supervisor indiana district 4 (vote for 1)</v>
      </c>
      <c r="B5338" s="55" t="s">
        <v>1291</v>
      </c>
      <c r="C5338">
        <v>1140</v>
      </c>
      <c r="D5338" s="55" t="s">
        <v>1110</v>
      </c>
      <c r="E5338" s="55" t="s">
        <v>15</v>
      </c>
      <c r="F5338" t="s">
        <v>12</v>
      </c>
      <c r="G5338" s="62">
        <v>39</v>
      </c>
      <c r="H5338" s="25">
        <v>100</v>
      </c>
      <c r="I5338">
        <v>1139</v>
      </c>
      <c r="J5338">
        <v>228</v>
      </c>
      <c r="K5338">
        <v>1</v>
      </c>
      <c r="L5338">
        <v>1</v>
      </c>
      <c r="M5338">
        <v>0</v>
      </c>
      <c r="N5338" s="23">
        <v>0</v>
      </c>
      <c r="O5338">
        <f t="shared" si="1043"/>
        <v>0</v>
      </c>
      <c r="P5338" s="57">
        <f t="shared" si="1044"/>
        <v>1</v>
      </c>
      <c r="Q5338" s="267">
        <f t="shared" si="1045"/>
        <v>39</v>
      </c>
      <c r="R5338" s="23">
        <f t="shared" si="1046"/>
        <v>1</v>
      </c>
      <c r="S5338" s="23">
        <f t="shared" si="1047"/>
        <v>0</v>
      </c>
      <c r="T5338" s="23" t="str">
        <f t="shared" si="1048"/>
        <v/>
      </c>
      <c r="U5338" t="str">
        <f t="shared" si="1049"/>
        <v>PA_Alleg_2019p~Dem-supervisor indiana district 4 (vote for 1)</v>
      </c>
      <c r="X5338" s="43"/>
      <c r="Y5338" s="53"/>
      <c r="Z5338" s="53"/>
      <c r="AA5338"/>
      <c r="AB5338" s="23"/>
    </row>
    <row r="5339" spans="1:38">
      <c r="A5339" t="str">
        <f t="shared" si="1050"/>
        <v>PA_Alleg_2019p~Dem-supervisor kilbuck (vote for 1)</v>
      </c>
      <c r="B5339" s="55" t="s">
        <v>1291</v>
      </c>
      <c r="C5339">
        <v>1127</v>
      </c>
      <c r="D5339" s="55" t="s">
        <v>1098</v>
      </c>
      <c r="E5339" s="55" t="s">
        <v>15</v>
      </c>
      <c r="F5339" t="s">
        <v>12</v>
      </c>
      <c r="G5339" s="62">
        <v>19</v>
      </c>
      <c r="H5339" s="25">
        <v>100</v>
      </c>
      <c r="I5339">
        <v>608</v>
      </c>
      <c r="J5339">
        <v>116</v>
      </c>
      <c r="K5339">
        <v>1</v>
      </c>
      <c r="L5339">
        <v>1</v>
      </c>
      <c r="M5339">
        <v>0</v>
      </c>
      <c r="N5339" s="23">
        <v>0</v>
      </c>
      <c r="O5339">
        <f t="shared" si="1043"/>
        <v>0</v>
      </c>
      <c r="P5339" s="57">
        <f t="shared" si="1044"/>
        <v>1</v>
      </c>
      <c r="Q5339" s="267">
        <f t="shared" si="1045"/>
        <v>19</v>
      </c>
      <c r="R5339" s="23">
        <f t="shared" si="1046"/>
        <v>1</v>
      </c>
      <c r="S5339" s="23">
        <f t="shared" si="1047"/>
        <v>0</v>
      </c>
      <c r="T5339" s="23" t="str">
        <f t="shared" si="1048"/>
        <v/>
      </c>
      <c r="U5339" t="str">
        <f t="shared" si="1049"/>
        <v>PA_Alleg_2019p~Dem-supervisor kilbuck (vote for 1)</v>
      </c>
      <c r="X5339" s="43"/>
      <c r="Y5339" s="53"/>
      <c r="Z5339" s="53"/>
      <c r="AA5339"/>
      <c r="AB5339" s="23"/>
      <c r="AF5339" s="22"/>
      <c r="AH5339" s="8"/>
      <c r="AL5339" s="23"/>
    </row>
    <row r="5340" spans="1:38">
      <c r="A5340" t="str">
        <f t="shared" si="1050"/>
        <v>PA_Alleg_2019p~Dem-supervisor marshall (vote for 2)</v>
      </c>
      <c r="B5340" s="55" t="s">
        <v>1291</v>
      </c>
      <c r="C5340">
        <v>1112</v>
      </c>
      <c r="D5340" s="55" t="s">
        <v>1083</v>
      </c>
      <c r="E5340" s="55" t="s">
        <v>15</v>
      </c>
      <c r="F5340" t="s">
        <v>12</v>
      </c>
      <c r="G5340" s="62">
        <v>48</v>
      </c>
      <c r="H5340" s="25">
        <v>100</v>
      </c>
      <c r="I5340">
        <v>6810</v>
      </c>
      <c r="J5340">
        <v>683</v>
      </c>
      <c r="K5340">
        <v>6</v>
      </c>
      <c r="L5340">
        <v>6</v>
      </c>
      <c r="M5340">
        <v>0</v>
      </c>
      <c r="N5340" s="23">
        <v>0</v>
      </c>
      <c r="O5340">
        <f t="shared" si="1043"/>
        <v>0</v>
      </c>
      <c r="P5340" s="57">
        <f t="shared" si="1044"/>
        <v>2</v>
      </c>
      <c r="Q5340" s="267">
        <f t="shared" si="1045"/>
        <v>48</v>
      </c>
      <c r="R5340" s="23">
        <f t="shared" si="1046"/>
        <v>1</v>
      </c>
      <c r="S5340" s="23">
        <f t="shared" si="1047"/>
        <v>0</v>
      </c>
      <c r="T5340" s="23" t="str">
        <f t="shared" si="1048"/>
        <v/>
      </c>
      <c r="U5340" t="str">
        <f t="shared" si="1049"/>
        <v>PA_Alleg_2019p~Dem-supervisor marshall (vote for 2)</v>
      </c>
      <c r="X5340" s="43"/>
      <c r="Y5340" s="53"/>
      <c r="Z5340" s="53"/>
      <c r="AA5340"/>
      <c r="AB5340" s="23"/>
      <c r="AH5340" s="8"/>
      <c r="AL5340" s="23"/>
    </row>
    <row r="5341" spans="1:38">
      <c r="A5341" t="str">
        <f t="shared" si="1050"/>
        <v>PA_Alleg_2019p~Dem-supervisor moon (vote for 2)</v>
      </c>
      <c r="B5341" s="55" t="s">
        <v>1291</v>
      </c>
      <c r="C5341">
        <v>1113</v>
      </c>
      <c r="D5341" s="55" t="s">
        <v>1084</v>
      </c>
      <c r="E5341" s="55" t="s">
        <v>1085</v>
      </c>
      <c r="F5341" t="s">
        <v>12</v>
      </c>
      <c r="G5341" s="62">
        <v>1218</v>
      </c>
      <c r="H5341" s="25">
        <v>55.77</v>
      </c>
      <c r="I5341">
        <v>19077</v>
      </c>
      <c r="J5341">
        <v>2966</v>
      </c>
      <c r="K5341">
        <v>13</v>
      </c>
      <c r="L5341">
        <v>13</v>
      </c>
      <c r="M5341">
        <v>0</v>
      </c>
      <c r="N5341" s="23">
        <v>0</v>
      </c>
      <c r="O5341">
        <f t="shared" si="1043"/>
        <v>1</v>
      </c>
      <c r="P5341" s="57">
        <f t="shared" si="1044"/>
        <v>2</v>
      </c>
      <c r="Q5341" s="267">
        <f t="shared" si="1045"/>
        <v>1218</v>
      </c>
      <c r="R5341" s="23">
        <f t="shared" si="1046"/>
        <v>946</v>
      </c>
      <c r="S5341" s="23">
        <f t="shared" si="1047"/>
        <v>0</v>
      </c>
      <c r="T5341" s="23" t="str">
        <f t="shared" si="1048"/>
        <v/>
      </c>
      <c r="U5341" t="str">
        <f t="shared" si="1049"/>
        <v>PA_Alleg_2019p~Dem-supervisor moon (vote for 2)</v>
      </c>
      <c r="X5341" s="43"/>
      <c r="Y5341" s="53"/>
      <c r="Z5341" s="53"/>
      <c r="AA5341"/>
      <c r="AB5341" s="23"/>
      <c r="AF5341" s="22"/>
      <c r="AH5341" s="8"/>
      <c r="AL5341" s="23"/>
    </row>
    <row r="5342" spans="1:38">
      <c r="A5342" t="str">
        <f t="shared" si="1050"/>
        <v>PA_Alleg_2019p~Dem-supervisor moon (vote for 2)</v>
      </c>
      <c r="B5342" s="55" t="s">
        <v>1291</v>
      </c>
      <c r="C5342">
        <v>1114</v>
      </c>
      <c r="D5342" s="55" t="s">
        <v>1084</v>
      </c>
      <c r="E5342" s="55" t="s">
        <v>1086</v>
      </c>
      <c r="F5342" t="s">
        <v>12</v>
      </c>
      <c r="G5342" s="62">
        <v>946</v>
      </c>
      <c r="H5342" s="25">
        <v>43.32</v>
      </c>
      <c r="I5342">
        <v>19077</v>
      </c>
      <c r="J5342">
        <v>2966</v>
      </c>
      <c r="K5342">
        <v>13</v>
      </c>
      <c r="L5342">
        <v>13</v>
      </c>
      <c r="M5342">
        <v>0</v>
      </c>
      <c r="N5342" s="23">
        <v>0</v>
      </c>
      <c r="O5342">
        <f t="shared" si="1043"/>
        <v>2</v>
      </c>
      <c r="P5342" s="57">
        <f t="shared" si="1044"/>
        <v>2</v>
      </c>
      <c r="Q5342" s="267">
        <f t="shared" si="1045"/>
        <v>966</v>
      </c>
      <c r="R5342" s="23">
        <f t="shared" si="1046"/>
        <v>946</v>
      </c>
      <c r="S5342" s="23">
        <f t="shared" si="1047"/>
        <v>0</v>
      </c>
      <c r="T5342" s="23" t="str">
        <f t="shared" si="1048"/>
        <v/>
      </c>
      <c r="U5342" t="str">
        <f t="shared" si="1049"/>
        <v/>
      </c>
      <c r="X5342" s="43"/>
      <c r="Y5342" s="53"/>
      <c r="Z5342" s="53"/>
      <c r="AA5342"/>
      <c r="AB5342" s="23"/>
      <c r="AF5342" s="22"/>
    </row>
    <row r="5343" spans="1:38">
      <c r="A5343" t="str">
        <f t="shared" si="1050"/>
        <v>PA_Alleg_2019p~Dem-supervisor moon (vote for 2)</v>
      </c>
      <c r="B5343" s="55" t="s">
        <v>1291</v>
      </c>
      <c r="C5343">
        <v>1115</v>
      </c>
      <c r="D5343" s="55" t="s">
        <v>1084</v>
      </c>
      <c r="E5343" s="55" t="s">
        <v>15</v>
      </c>
      <c r="F5343" t="s">
        <v>12</v>
      </c>
      <c r="G5343" s="62">
        <v>20</v>
      </c>
      <c r="H5343" s="25">
        <v>0.92</v>
      </c>
      <c r="I5343">
        <v>19077</v>
      </c>
      <c r="J5343">
        <v>2966</v>
      </c>
      <c r="K5343">
        <v>13</v>
      </c>
      <c r="L5343">
        <v>13</v>
      </c>
      <c r="M5343">
        <v>0</v>
      </c>
      <c r="N5343" s="23">
        <v>0</v>
      </c>
      <c r="O5343">
        <f t="shared" si="1043"/>
        <v>-2</v>
      </c>
      <c r="P5343" s="57">
        <f t="shared" si="1044"/>
        <v>2</v>
      </c>
      <c r="Q5343" s="267">
        <f t="shared" si="1045"/>
        <v>20</v>
      </c>
      <c r="R5343" s="23">
        <f t="shared" si="1046"/>
        <v>1</v>
      </c>
      <c r="S5343" s="23">
        <f t="shared" si="1047"/>
        <v>0</v>
      </c>
      <c r="T5343" s="23" t="str">
        <f t="shared" si="1048"/>
        <v/>
      </c>
      <c r="U5343" t="str">
        <f t="shared" si="1049"/>
        <v/>
      </c>
      <c r="X5343" s="43"/>
      <c r="Y5343" s="53"/>
      <c r="Z5343" s="53"/>
      <c r="AA5343"/>
      <c r="AB5343" s="23"/>
      <c r="AF5343" s="22"/>
    </row>
    <row r="5344" spans="1:38">
      <c r="A5344" t="str">
        <f t="shared" si="1050"/>
        <v>PA_Alleg_2019p~Dem-supervisor north fayette (vote for 1)</v>
      </c>
      <c r="B5344" s="55" t="s">
        <v>1291</v>
      </c>
      <c r="C5344">
        <v>1128</v>
      </c>
      <c r="D5344" s="55" t="s">
        <v>1099</v>
      </c>
      <c r="E5344" s="55" t="s">
        <v>15</v>
      </c>
      <c r="F5344" t="s">
        <v>12</v>
      </c>
      <c r="G5344" s="62">
        <v>60</v>
      </c>
      <c r="H5344" s="25">
        <v>100</v>
      </c>
      <c r="I5344">
        <v>10857</v>
      </c>
      <c r="J5344">
        <v>1052</v>
      </c>
      <c r="K5344">
        <v>5</v>
      </c>
      <c r="L5344">
        <v>5</v>
      </c>
      <c r="M5344">
        <v>0</v>
      </c>
      <c r="N5344" s="23">
        <v>0</v>
      </c>
      <c r="O5344">
        <f t="shared" si="1043"/>
        <v>0</v>
      </c>
      <c r="P5344" s="57">
        <f t="shared" si="1044"/>
        <v>1</v>
      </c>
      <c r="Q5344" s="267">
        <f t="shared" si="1045"/>
        <v>60</v>
      </c>
      <c r="R5344" s="23">
        <f t="shared" si="1046"/>
        <v>1</v>
      </c>
      <c r="S5344" s="23">
        <f t="shared" si="1047"/>
        <v>0</v>
      </c>
      <c r="T5344" s="23" t="str">
        <f t="shared" si="1048"/>
        <v/>
      </c>
      <c r="U5344" t="str">
        <f t="shared" si="1049"/>
        <v>PA_Alleg_2019p~Dem-supervisor north fayette (vote for 1)</v>
      </c>
      <c r="X5344" s="43"/>
      <c r="Y5344" s="53"/>
      <c r="Z5344" s="53"/>
      <c r="AA5344"/>
      <c r="AB5344" s="23"/>
      <c r="AF5344" s="22"/>
    </row>
    <row r="5345" spans="1:38">
      <c r="A5345" t="str">
        <f t="shared" si="1050"/>
        <v>PA_Alleg_2019p~Dem-supervisor ohio (vote for 1)</v>
      </c>
      <c r="B5345" s="55" t="s">
        <v>1291</v>
      </c>
      <c r="C5345">
        <v>1129</v>
      </c>
      <c r="D5345" s="55" t="s">
        <v>1100</v>
      </c>
      <c r="E5345" s="55" t="s">
        <v>15</v>
      </c>
      <c r="F5345" t="s">
        <v>12</v>
      </c>
      <c r="G5345" s="62">
        <v>44</v>
      </c>
      <c r="H5345" s="25">
        <v>100</v>
      </c>
      <c r="I5345">
        <v>5149</v>
      </c>
      <c r="J5345">
        <v>538</v>
      </c>
      <c r="K5345">
        <v>3</v>
      </c>
      <c r="L5345">
        <v>3</v>
      </c>
      <c r="M5345">
        <v>0</v>
      </c>
      <c r="N5345" s="23">
        <v>0</v>
      </c>
      <c r="O5345">
        <f t="shared" si="1043"/>
        <v>0</v>
      </c>
      <c r="P5345" s="57">
        <f t="shared" si="1044"/>
        <v>1</v>
      </c>
      <c r="Q5345" s="267">
        <f t="shared" si="1045"/>
        <v>44</v>
      </c>
      <c r="R5345" s="23">
        <f t="shared" si="1046"/>
        <v>1</v>
      </c>
      <c r="S5345" s="23">
        <f t="shared" si="1047"/>
        <v>0</v>
      </c>
      <c r="T5345" s="23" t="str">
        <f t="shared" si="1048"/>
        <v/>
      </c>
      <c r="U5345" t="str">
        <f t="shared" si="1049"/>
        <v>PA_Alleg_2019p~Dem-supervisor ohio (vote for 1)</v>
      </c>
      <c r="X5345" s="43"/>
      <c r="Y5345" s="53"/>
      <c r="Z5345" s="53"/>
      <c r="AA5345"/>
      <c r="AB5345" s="23"/>
      <c r="AF5345" s="22"/>
    </row>
    <row r="5346" spans="1:38">
      <c r="A5346" t="str">
        <f t="shared" si="1050"/>
        <v>PA_Alleg_2019p~Dem-supervisor pine (vote for 3)</v>
      </c>
      <c r="B5346" s="55" t="s">
        <v>1291</v>
      </c>
      <c r="C5346">
        <v>1132</v>
      </c>
      <c r="D5346" s="55" t="s">
        <v>1103</v>
      </c>
      <c r="E5346" s="55" t="s">
        <v>1104</v>
      </c>
      <c r="F5346" t="s">
        <v>12</v>
      </c>
      <c r="G5346" s="62">
        <v>390</v>
      </c>
      <c r="H5346" s="25">
        <v>58.04</v>
      </c>
      <c r="I5346">
        <v>10118</v>
      </c>
      <c r="J5346">
        <v>1326</v>
      </c>
      <c r="K5346">
        <v>8</v>
      </c>
      <c r="L5346">
        <v>8</v>
      </c>
      <c r="M5346">
        <v>0</v>
      </c>
      <c r="N5346" s="23">
        <v>0</v>
      </c>
      <c r="O5346">
        <f t="shared" si="1043"/>
        <v>1</v>
      </c>
      <c r="P5346" s="57">
        <f t="shared" si="1044"/>
        <v>3</v>
      </c>
      <c r="Q5346" s="267">
        <f t="shared" si="1045"/>
        <v>390</v>
      </c>
      <c r="R5346" s="23">
        <f t="shared" si="1046"/>
        <v>1</v>
      </c>
      <c r="S5346" s="23">
        <f t="shared" si="1047"/>
        <v>0</v>
      </c>
      <c r="T5346" s="23" t="str">
        <f t="shared" si="1048"/>
        <v/>
      </c>
      <c r="U5346" t="str">
        <f t="shared" si="1049"/>
        <v>PA_Alleg_2019p~Dem-supervisor pine (vote for 3)</v>
      </c>
      <c r="X5346" s="43"/>
      <c r="Y5346" s="53"/>
      <c r="Z5346" s="53"/>
      <c r="AA5346"/>
      <c r="AB5346" s="23"/>
      <c r="AF5346" s="22"/>
    </row>
    <row r="5347" spans="1:38">
      <c r="A5347" t="str">
        <f t="shared" si="1050"/>
        <v>PA_Alleg_2019p~Dem-supervisor pine (vote for 3)</v>
      </c>
      <c r="B5347" s="55" t="s">
        <v>1291</v>
      </c>
      <c r="C5347">
        <v>1133</v>
      </c>
      <c r="D5347" s="55" t="s">
        <v>1103</v>
      </c>
      <c r="E5347" s="55" t="s">
        <v>15</v>
      </c>
      <c r="F5347" t="s">
        <v>12</v>
      </c>
      <c r="G5347" s="62">
        <v>282</v>
      </c>
      <c r="H5347" s="25">
        <v>41.96</v>
      </c>
      <c r="I5347">
        <v>10118</v>
      </c>
      <c r="J5347">
        <v>1326</v>
      </c>
      <c r="K5347">
        <v>8</v>
      </c>
      <c r="L5347">
        <v>8</v>
      </c>
      <c r="M5347">
        <v>0</v>
      </c>
      <c r="N5347" s="23">
        <v>0</v>
      </c>
      <c r="O5347">
        <f t="shared" si="1043"/>
        <v>-1</v>
      </c>
      <c r="P5347" s="57">
        <f t="shared" si="1044"/>
        <v>3</v>
      </c>
      <c r="Q5347" s="267">
        <f t="shared" si="1045"/>
        <v>282</v>
      </c>
      <c r="R5347" s="23">
        <f t="shared" si="1046"/>
        <v>1</v>
      </c>
      <c r="S5347" s="23">
        <f t="shared" si="1047"/>
        <v>0</v>
      </c>
      <c r="T5347" s="23" t="str">
        <f t="shared" si="1048"/>
        <v/>
      </c>
      <c r="U5347" t="str">
        <f t="shared" si="1049"/>
        <v/>
      </c>
      <c r="X5347" s="43"/>
      <c r="Y5347" s="53"/>
      <c r="Z5347" s="53"/>
      <c r="AA5347"/>
      <c r="AB5347" s="23"/>
      <c r="AH5347" s="8"/>
      <c r="AL5347" s="23"/>
    </row>
    <row r="5348" spans="1:38">
      <c r="A5348" t="str">
        <f t="shared" si="1050"/>
        <v>PA_Alleg_2019p~Dem-supervisor richland supervisor 3 (vote for 1)</v>
      </c>
      <c r="B5348" s="55" t="s">
        <v>1291</v>
      </c>
      <c r="C5348">
        <v>1141</v>
      </c>
      <c r="D5348" s="55" t="s">
        <v>1111</v>
      </c>
      <c r="E5348" s="55" t="s">
        <v>15</v>
      </c>
      <c r="F5348" t="s">
        <v>12</v>
      </c>
      <c r="G5348" s="62">
        <v>3</v>
      </c>
      <c r="H5348" s="25">
        <v>100</v>
      </c>
      <c r="I5348">
        <v>2110</v>
      </c>
      <c r="J5348">
        <v>232</v>
      </c>
      <c r="K5348">
        <v>2</v>
      </c>
      <c r="L5348">
        <v>2</v>
      </c>
      <c r="M5348">
        <v>0</v>
      </c>
      <c r="N5348" s="23">
        <v>0</v>
      </c>
      <c r="O5348">
        <f t="shared" si="1043"/>
        <v>0</v>
      </c>
      <c r="P5348" s="57">
        <f t="shared" si="1044"/>
        <v>1</v>
      </c>
      <c r="Q5348" s="267">
        <f t="shared" si="1045"/>
        <v>3</v>
      </c>
      <c r="R5348" s="23">
        <f t="shared" si="1046"/>
        <v>1</v>
      </c>
      <c r="S5348" s="23">
        <f t="shared" si="1047"/>
        <v>0</v>
      </c>
      <c r="T5348" s="23" t="str">
        <f t="shared" si="1048"/>
        <v/>
      </c>
      <c r="U5348" t="str">
        <f t="shared" si="1049"/>
        <v>PA_Alleg_2019p~Dem-supervisor richland supervisor 3 (vote for 1)</v>
      </c>
      <c r="X5348" s="43"/>
      <c r="Y5348" s="53"/>
      <c r="Z5348" s="53"/>
      <c r="AA5348"/>
      <c r="AB5348" s="23"/>
      <c r="AF5348" s="22"/>
      <c r="AH5348" s="8"/>
      <c r="AL5348" s="23"/>
    </row>
    <row r="5349" spans="1:38">
      <c r="A5349" t="str">
        <f t="shared" si="1050"/>
        <v>PA_Alleg_2019p~Dem-supervisor richland supervisor 4 (vote for 1)</v>
      </c>
      <c r="B5349" s="55" t="s">
        <v>1291</v>
      </c>
      <c r="C5349">
        <v>1142</v>
      </c>
      <c r="D5349" s="55" t="s">
        <v>1112</v>
      </c>
      <c r="E5349" s="55" t="s">
        <v>15</v>
      </c>
      <c r="F5349" t="s">
        <v>12</v>
      </c>
      <c r="G5349" s="62">
        <v>5</v>
      </c>
      <c r="H5349" s="25">
        <v>100</v>
      </c>
      <c r="I5349">
        <v>2036</v>
      </c>
      <c r="J5349">
        <v>282</v>
      </c>
      <c r="K5349">
        <v>2</v>
      </c>
      <c r="L5349">
        <v>2</v>
      </c>
      <c r="M5349">
        <v>0</v>
      </c>
      <c r="N5349" s="23">
        <v>0</v>
      </c>
      <c r="O5349">
        <f t="shared" si="1043"/>
        <v>0</v>
      </c>
      <c r="P5349" s="57">
        <f t="shared" si="1044"/>
        <v>1</v>
      </c>
      <c r="Q5349" s="267">
        <f t="shared" si="1045"/>
        <v>5</v>
      </c>
      <c r="R5349" s="23">
        <f t="shared" si="1046"/>
        <v>1</v>
      </c>
      <c r="S5349" s="23">
        <f t="shared" si="1047"/>
        <v>0</v>
      </c>
      <c r="T5349" s="23" t="str">
        <f t="shared" si="1048"/>
        <v/>
      </c>
      <c r="U5349" t="str">
        <f t="shared" si="1049"/>
        <v>PA_Alleg_2019p~Dem-supervisor richland supervisor 4 (vote for 1)</v>
      </c>
      <c r="X5349" s="43"/>
      <c r="Y5349" s="53"/>
      <c r="Z5349" s="53"/>
      <c r="AA5349"/>
      <c r="AB5349" s="23"/>
      <c r="AH5349" s="8"/>
      <c r="AL5349" s="23"/>
    </row>
    <row r="5350" spans="1:38">
      <c r="A5350" t="str">
        <f t="shared" si="1050"/>
        <v>PA_Alleg_2019p~Dem-supervisor south park (vote for 1)</v>
      </c>
      <c r="B5350" s="55" t="s">
        <v>1291</v>
      </c>
      <c r="C5350">
        <v>1130</v>
      </c>
      <c r="D5350" s="55" t="s">
        <v>1101</v>
      </c>
      <c r="E5350" s="55" t="s">
        <v>1102</v>
      </c>
      <c r="F5350" t="s">
        <v>12</v>
      </c>
      <c r="G5350" s="62">
        <v>743</v>
      </c>
      <c r="H5350" s="25">
        <v>92.07</v>
      </c>
      <c r="I5350">
        <v>9810</v>
      </c>
      <c r="J5350">
        <v>1387</v>
      </c>
      <c r="K5350">
        <v>13</v>
      </c>
      <c r="L5350">
        <v>13</v>
      </c>
      <c r="M5350">
        <v>0</v>
      </c>
      <c r="N5350" s="23">
        <v>0</v>
      </c>
      <c r="O5350">
        <f t="shared" si="1043"/>
        <v>1</v>
      </c>
      <c r="P5350" s="57">
        <f t="shared" si="1044"/>
        <v>1</v>
      </c>
      <c r="Q5350" s="267">
        <f t="shared" si="1045"/>
        <v>807</v>
      </c>
      <c r="R5350" s="23">
        <f t="shared" si="1046"/>
        <v>743</v>
      </c>
      <c r="S5350" s="23">
        <f t="shared" si="1047"/>
        <v>0</v>
      </c>
      <c r="T5350" s="23" t="str">
        <f t="shared" si="1048"/>
        <v/>
      </c>
      <c r="U5350" t="str">
        <f t="shared" si="1049"/>
        <v>PA_Alleg_2019p~Dem-supervisor south park (vote for 1)</v>
      </c>
      <c r="X5350" s="43"/>
      <c r="Y5350" s="53"/>
      <c r="Z5350" s="53"/>
      <c r="AA5350"/>
      <c r="AB5350" s="23"/>
      <c r="AF5350" s="22"/>
      <c r="AH5350" s="8"/>
      <c r="AL5350" s="23"/>
    </row>
    <row r="5351" spans="1:38">
      <c r="A5351" t="str">
        <f t="shared" si="1050"/>
        <v>PA_Alleg_2019p~Dem-supervisor south park (vote for 1)</v>
      </c>
      <c r="B5351" s="55" t="s">
        <v>1291</v>
      </c>
      <c r="C5351">
        <v>1131</v>
      </c>
      <c r="D5351" s="55" t="s">
        <v>1101</v>
      </c>
      <c r="E5351" s="55" t="s">
        <v>15</v>
      </c>
      <c r="F5351" t="s">
        <v>12</v>
      </c>
      <c r="G5351" s="62">
        <v>64</v>
      </c>
      <c r="H5351" s="25">
        <v>7.93</v>
      </c>
      <c r="I5351">
        <v>9810</v>
      </c>
      <c r="J5351">
        <v>1387</v>
      </c>
      <c r="K5351">
        <v>13</v>
      </c>
      <c r="L5351">
        <v>13</v>
      </c>
      <c r="M5351">
        <v>0</v>
      </c>
      <c r="N5351" s="23">
        <v>0</v>
      </c>
      <c r="O5351">
        <f t="shared" si="1043"/>
        <v>-1</v>
      </c>
      <c r="P5351" s="57">
        <f t="shared" si="1044"/>
        <v>1</v>
      </c>
      <c r="Q5351" s="267">
        <f t="shared" si="1045"/>
        <v>64</v>
      </c>
      <c r="R5351" s="23">
        <f t="shared" si="1046"/>
        <v>1</v>
      </c>
      <c r="S5351" s="23">
        <f t="shared" si="1047"/>
        <v>0</v>
      </c>
      <c r="T5351" s="23" t="str">
        <f t="shared" si="1048"/>
        <v/>
      </c>
      <c r="U5351" t="str">
        <f t="shared" si="1049"/>
        <v/>
      </c>
      <c r="X5351" s="43"/>
      <c r="Y5351" s="53"/>
      <c r="Z5351" s="53"/>
      <c r="AA5351"/>
      <c r="AB5351" s="23"/>
      <c r="AF5351" s="22"/>
      <c r="AH5351" s="8"/>
      <c r="AL5351" s="23"/>
    </row>
    <row r="5352" spans="1:38">
      <c r="A5352" t="str">
        <f t="shared" si="1050"/>
        <v>PA_Alleg_2019p~Dem-supervisor supervisor district 1 (vote for 1)</v>
      </c>
      <c r="B5352" s="55" t="s">
        <v>1291</v>
      </c>
      <c r="C5352">
        <v>1143</v>
      </c>
      <c r="D5352" s="55" t="s">
        <v>1113</v>
      </c>
      <c r="E5352" s="55" t="s">
        <v>1114</v>
      </c>
      <c r="F5352" t="s">
        <v>12</v>
      </c>
      <c r="G5352" s="62">
        <v>89</v>
      </c>
      <c r="H5352" s="25">
        <v>95.7</v>
      </c>
      <c r="I5352">
        <v>2001</v>
      </c>
      <c r="J5352">
        <v>234</v>
      </c>
      <c r="K5352">
        <v>2</v>
      </c>
      <c r="L5352">
        <v>2</v>
      </c>
      <c r="M5352">
        <v>0</v>
      </c>
      <c r="N5352" s="23">
        <v>0</v>
      </c>
      <c r="O5352">
        <f t="shared" si="1043"/>
        <v>1</v>
      </c>
      <c r="P5352" s="57">
        <f t="shared" si="1044"/>
        <v>1</v>
      </c>
      <c r="Q5352" s="267">
        <f t="shared" si="1045"/>
        <v>93</v>
      </c>
      <c r="R5352" s="23">
        <f t="shared" si="1046"/>
        <v>89</v>
      </c>
      <c r="S5352" s="23">
        <f t="shared" si="1047"/>
        <v>0</v>
      </c>
      <c r="T5352" s="23" t="str">
        <f t="shared" si="1048"/>
        <v/>
      </c>
      <c r="U5352" t="str">
        <f t="shared" si="1049"/>
        <v>PA_Alleg_2019p~Dem-supervisor supervisor district 1 (vote for 1)</v>
      </c>
      <c r="X5352" s="43"/>
      <c r="Y5352" s="53"/>
      <c r="Z5352" s="53"/>
      <c r="AA5352"/>
      <c r="AB5352" s="23"/>
      <c r="AF5352" s="22"/>
    </row>
    <row r="5353" spans="1:38">
      <c r="A5353" t="str">
        <f t="shared" si="1050"/>
        <v>PA_Alleg_2019p~Dem-supervisor supervisor district 1 (vote for 1)</v>
      </c>
      <c r="B5353" s="55" t="s">
        <v>1291</v>
      </c>
      <c r="C5353">
        <v>1144</v>
      </c>
      <c r="D5353" s="55" t="s">
        <v>1113</v>
      </c>
      <c r="E5353" s="55" t="s">
        <v>15</v>
      </c>
      <c r="F5353" t="s">
        <v>12</v>
      </c>
      <c r="G5353" s="62">
        <v>4</v>
      </c>
      <c r="H5353" s="25">
        <v>4.3</v>
      </c>
      <c r="I5353">
        <v>2001</v>
      </c>
      <c r="J5353">
        <v>234</v>
      </c>
      <c r="K5353">
        <v>2</v>
      </c>
      <c r="L5353">
        <v>2</v>
      </c>
      <c r="M5353">
        <v>0</v>
      </c>
      <c r="N5353" s="23">
        <v>0</v>
      </c>
      <c r="O5353">
        <f t="shared" si="1043"/>
        <v>-1</v>
      </c>
      <c r="P5353" s="57">
        <f t="shared" si="1044"/>
        <v>1</v>
      </c>
      <c r="Q5353" s="267">
        <f t="shared" si="1045"/>
        <v>4</v>
      </c>
      <c r="R5353" s="23">
        <f t="shared" si="1046"/>
        <v>1</v>
      </c>
      <c r="S5353" s="23">
        <f t="shared" si="1047"/>
        <v>0</v>
      </c>
      <c r="T5353" s="23" t="str">
        <f t="shared" si="1048"/>
        <v/>
      </c>
      <c r="U5353" t="str">
        <f t="shared" si="1049"/>
        <v/>
      </c>
      <c r="X5353" s="43"/>
      <c r="Y5353" s="53"/>
      <c r="Z5353" s="53"/>
      <c r="AA5353"/>
      <c r="AB5353" s="23"/>
      <c r="AF5353" s="22"/>
      <c r="AH5353" s="8"/>
      <c r="AL5353" s="23"/>
    </row>
    <row r="5354" spans="1:38">
      <c r="A5354" t="str">
        <f t="shared" si="1050"/>
        <v>PA_Alleg_2019p~Dem-supervisor supervisor district 3 (vote for 1)</v>
      </c>
      <c r="B5354" s="55" t="s">
        <v>1291</v>
      </c>
      <c r="C5354">
        <v>1145</v>
      </c>
      <c r="D5354" s="55" t="s">
        <v>1115</v>
      </c>
      <c r="E5354" s="55" t="s">
        <v>15</v>
      </c>
      <c r="F5354" t="s">
        <v>12</v>
      </c>
      <c r="G5354" s="62">
        <v>18</v>
      </c>
      <c r="H5354" s="25">
        <v>100</v>
      </c>
      <c r="I5354">
        <v>2531</v>
      </c>
      <c r="J5354">
        <v>349</v>
      </c>
      <c r="K5354">
        <v>2</v>
      </c>
      <c r="L5354">
        <v>2</v>
      </c>
      <c r="M5354">
        <v>0</v>
      </c>
      <c r="N5354" s="23">
        <v>0</v>
      </c>
      <c r="O5354">
        <f t="shared" si="1043"/>
        <v>0</v>
      </c>
      <c r="P5354" s="57">
        <f t="shared" si="1044"/>
        <v>1</v>
      </c>
      <c r="Q5354" s="267">
        <f t="shared" si="1045"/>
        <v>18</v>
      </c>
      <c r="R5354" s="23">
        <f t="shared" si="1046"/>
        <v>1</v>
      </c>
      <c r="S5354" s="23">
        <f t="shared" si="1047"/>
        <v>0</v>
      </c>
      <c r="T5354" s="23" t="str">
        <f t="shared" si="1048"/>
        <v/>
      </c>
      <c r="U5354" t="str">
        <f t="shared" si="1049"/>
        <v>PA_Alleg_2019p~Dem-supervisor supervisor district 3 (vote for 1)</v>
      </c>
      <c r="X5354" s="43"/>
      <c r="Y5354" s="53"/>
      <c r="Z5354" s="53"/>
      <c r="AA5354"/>
      <c r="AB5354" s="23"/>
      <c r="AF5354" s="22"/>
      <c r="AH5354" s="8"/>
      <c r="AL5354" s="23"/>
    </row>
    <row r="5355" spans="1:38">
      <c r="A5355" t="str">
        <f t="shared" si="1050"/>
        <v>PA_Alleg_2019p~Dem-tax collector avalon (vote for 1)</v>
      </c>
      <c r="B5355" s="55" t="s">
        <v>1291</v>
      </c>
      <c r="C5355">
        <v>485</v>
      </c>
      <c r="D5355" s="55" t="s">
        <v>485</v>
      </c>
      <c r="E5355" s="55" t="s">
        <v>15</v>
      </c>
      <c r="F5355" t="s">
        <v>12</v>
      </c>
      <c r="G5355" s="62">
        <v>26</v>
      </c>
      <c r="H5355" s="25">
        <v>100</v>
      </c>
      <c r="I5355">
        <v>3657</v>
      </c>
      <c r="J5355">
        <v>474</v>
      </c>
      <c r="K5355">
        <v>6</v>
      </c>
      <c r="L5355">
        <v>6</v>
      </c>
      <c r="M5355">
        <v>0</v>
      </c>
      <c r="N5355" s="23">
        <v>0</v>
      </c>
      <c r="O5355">
        <f t="shared" si="1043"/>
        <v>0</v>
      </c>
      <c r="P5355" s="57">
        <f t="shared" si="1044"/>
        <v>1</v>
      </c>
      <c r="Q5355" s="267">
        <f t="shared" si="1045"/>
        <v>26</v>
      </c>
      <c r="R5355" s="23">
        <f t="shared" si="1046"/>
        <v>1</v>
      </c>
      <c r="S5355" s="23">
        <f t="shared" si="1047"/>
        <v>0</v>
      </c>
      <c r="T5355" s="23" t="str">
        <f t="shared" si="1048"/>
        <v/>
      </c>
      <c r="U5355" t="str">
        <f t="shared" si="1049"/>
        <v>PA_Alleg_2019p~Dem-tax collector avalon (vote for 1)</v>
      </c>
      <c r="X5355" s="43"/>
      <c r="Y5355" s="53"/>
      <c r="Z5355" s="53"/>
      <c r="AA5355"/>
      <c r="AB5355" s="23"/>
      <c r="AF5355" s="22"/>
      <c r="AH5355" s="8"/>
      <c r="AL5355" s="23"/>
    </row>
    <row r="5356" spans="1:38">
      <c r="A5356" t="str">
        <f t="shared" si="1050"/>
        <v>PA_Alleg_2019p~Dem-tax collector ben avon heights (vote for 1)</v>
      </c>
      <c r="B5356" s="55" t="s">
        <v>1291</v>
      </c>
      <c r="C5356">
        <v>486</v>
      </c>
      <c r="D5356" s="55" t="s">
        <v>486</v>
      </c>
      <c r="E5356" s="55" t="s">
        <v>15</v>
      </c>
      <c r="F5356" t="s">
        <v>12</v>
      </c>
      <c r="G5356" s="62">
        <v>3</v>
      </c>
      <c r="H5356" s="25">
        <v>100</v>
      </c>
      <c r="I5356">
        <v>324</v>
      </c>
      <c r="J5356">
        <v>74</v>
      </c>
      <c r="K5356">
        <v>1</v>
      </c>
      <c r="L5356">
        <v>1</v>
      </c>
      <c r="M5356">
        <v>0</v>
      </c>
      <c r="N5356" s="23">
        <v>0</v>
      </c>
      <c r="O5356">
        <f t="shared" si="1043"/>
        <v>0</v>
      </c>
      <c r="P5356" s="57">
        <f t="shared" si="1044"/>
        <v>1</v>
      </c>
      <c r="Q5356" s="267">
        <f t="shared" si="1045"/>
        <v>3</v>
      </c>
      <c r="R5356" s="23">
        <f t="shared" si="1046"/>
        <v>1</v>
      </c>
      <c r="S5356" s="23">
        <f t="shared" si="1047"/>
        <v>0</v>
      </c>
      <c r="T5356" s="23" t="str">
        <f t="shared" si="1048"/>
        <v/>
      </c>
      <c r="U5356" t="str">
        <f t="shared" si="1049"/>
        <v>PA_Alleg_2019p~Dem-tax collector ben avon heights (vote for 1)</v>
      </c>
      <c r="X5356" s="43"/>
      <c r="Y5356" s="53"/>
      <c r="Z5356" s="53"/>
      <c r="AA5356"/>
      <c r="AB5356" s="23"/>
      <c r="AF5356" s="22"/>
    </row>
    <row r="5357" spans="1:38">
      <c r="A5357" t="str">
        <f t="shared" si="1050"/>
        <v>PA_Alleg_2019p~Dem-tax collector carnegie (vote for 1)</v>
      </c>
      <c r="B5357" s="55" t="s">
        <v>1291</v>
      </c>
      <c r="C5357">
        <v>487</v>
      </c>
      <c r="D5357" s="55" t="s">
        <v>487</v>
      </c>
      <c r="E5357" s="55" t="s">
        <v>15</v>
      </c>
      <c r="F5357" t="s">
        <v>12</v>
      </c>
      <c r="G5357" s="62">
        <v>33</v>
      </c>
      <c r="H5357" s="25">
        <v>100</v>
      </c>
      <c r="I5357">
        <v>5704</v>
      </c>
      <c r="J5357">
        <v>555</v>
      </c>
      <c r="K5357">
        <v>8</v>
      </c>
      <c r="L5357">
        <v>8</v>
      </c>
      <c r="M5357">
        <v>0</v>
      </c>
      <c r="N5357" s="23">
        <v>0</v>
      </c>
      <c r="O5357">
        <f t="shared" si="1043"/>
        <v>0</v>
      </c>
      <c r="P5357" s="57">
        <f t="shared" si="1044"/>
        <v>1</v>
      </c>
      <c r="Q5357" s="267">
        <f t="shared" si="1045"/>
        <v>33</v>
      </c>
      <c r="R5357" s="23">
        <f t="shared" si="1046"/>
        <v>1</v>
      </c>
      <c r="S5357" s="23">
        <f t="shared" si="1047"/>
        <v>0</v>
      </c>
      <c r="T5357" s="23" t="str">
        <f t="shared" si="1048"/>
        <v/>
      </c>
      <c r="U5357" t="str">
        <f t="shared" si="1049"/>
        <v>PA_Alleg_2019p~Dem-tax collector carnegie (vote for 1)</v>
      </c>
      <c r="X5357" s="43"/>
      <c r="Y5357" s="53"/>
      <c r="Z5357" s="53"/>
      <c r="AA5357"/>
      <c r="AB5357" s="23"/>
    </row>
    <row r="5358" spans="1:38">
      <c r="A5358" t="str">
        <f t="shared" si="1050"/>
        <v>PA_Alleg_2019p~Dem-tax collector chalfant (vote for 1)</v>
      </c>
      <c r="B5358" s="55" t="s">
        <v>1291</v>
      </c>
      <c r="C5358">
        <v>488</v>
      </c>
      <c r="D5358" s="55" t="s">
        <v>488</v>
      </c>
      <c r="E5358" s="55" t="s">
        <v>15</v>
      </c>
      <c r="F5358" t="s">
        <v>12</v>
      </c>
      <c r="G5358" s="62">
        <v>5</v>
      </c>
      <c r="H5358" s="25">
        <v>100</v>
      </c>
      <c r="I5358">
        <v>593</v>
      </c>
      <c r="J5358">
        <v>96</v>
      </c>
      <c r="K5358">
        <v>1</v>
      </c>
      <c r="L5358">
        <v>1</v>
      </c>
      <c r="M5358">
        <v>0</v>
      </c>
      <c r="N5358" s="23">
        <v>0</v>
      </c>
      <c r="O5358">
        <f t="shared" si="1043"/>
        <v>0</v>
      </c>
      <c r="P5358" s="57">
        <f t="shared" si="1044"/>
        <v>1</v>
      </c>
      <c r="Q5358" s="267">
        <f t="shared" si="1045"/>
        <v>5</v>
      </c>
      <c r="R5358" s="23">
        <f t="shared" si="1046"/>
        <v>1</v>
      </c>
      <c r="S5358" s="23">
        <f t="shared" si="1047"/>
        <v>0</v>
      </c>
      <c r="T5358" s="23" t="str">
        <f t="shared" si="1048"/>
        <v/>
      </c>
      <c r="U5358" t="str">
        <f t="shared" si="1049"/>
        <v>PA_Alleg_2019p~Dem-tax collector chalfant (vote for 1)</v>
      </c>
      <c r="X5358" s="43"/>
      <c r="Y5358" s="53"/>
      <c r="Z5358" s="53"/>
      <c r="AA5358"/>
      <c r="AB5358" s="23"/>
      <c r="AF5358" s="22"/>
    </row>
    <row r="5359" spans="1:38">
      <c r="A5359" t="str">
        <f t="shared" si="1050"/>
        <v>PA_Alleg_2019p~Dem-tax collector glenfield (vote for 1)</v>
      </c>
      <c r="B5359" s="55" t="s">
        <v>1291</v>
      </c>
      <c r="C5359">
        <v>489</v>
      </c>
      <c r="D5359" s="55" t="s">
        <v>489</v>
      </c>
      <c r="E5359" s="55" t="s">
        <v>15</v>
      </c>
      <c r="F5359" t="s">
        <v>12</v>
      </c>
      <c r="G5359" s="62">
        <v>3</v>
      </c>
      <c r="H5359" s="25">
        <v>100</v>
      </c>
      <c r="I5359">
        <v>153</v>
      </c>
      <c r="J5359">
        <v>26</v>
      </c>
      <c r="K5359">
        <v>1</v>
      </c>
      <c r="L5359">
        <v>1</v>
      </c>
      <c r="M5359">
        <v>0</v>
      </c>
      <c r="N5359" s="23">
        <v>0</v>
      </c>
      <c r="O5359">
        <f t="shared" si="1043"/>
        <v>0</v>
      </c>
      <c r="P5359" s="57">
        <f t="shared" si="1044"/>
        <v>1</v>
      </c>
      <c r="Q5359" s="267">
        <f t="shared" si="1045"/>
        <v>3</v>
      </c>
      <c r="R5359" s="23">
        <f t="shared" si="1046"/>
        <v>1</v>
      </c>
      <c r="S5359" s="23">
        <f t="shared" si="1047"/>
        <v>0</v>
      </c>
      <c r="T5359" s="23" t="str">
        <f t="shared" si="1048"/>
        <v/>
      </c>
      <c r="U5359" t="str">
        <f t="shared" si="1049"/>
        <v>PA_Alleg_2019p~Dem-tax collector glenfield (vote for 1)</v>
      </c>
      <c r="X5359" s="43"/>
      <c r="Y5359" s="53"/>
      <c r="Z5359" s="53"/>
      <c r="AA5359"/>
      <c r="AB5359" s="23"/>
      <c r="AF5359" s="22"/>
    </row>
    <row r="5360" spans="1:38">
      <c r="A5360" t="str">
        <f t="shared" si="1050"/>
        <v>PA_Alleg_2019p~Dem-tax collector haysville (vote for 1)</v>
      </c>
      <c r="B5360" s="55" t="s">
        <v>1291</v>
      </c>
      <c r="C5360">
        <v>490</v>
      </c>
      <c r="D5360" s="55" t="s">
        <v>490</v>
      </c>
      <c r="E5360" s="55" t="s">
        <v>15</v>
      </c>
      <c r="F5360" t="s">
        <v>12</v>
      </c>
      <c r="G5360" s="62">
        <v>0</v>
      </c>
      <c r="H5360" s="25">
        <v>0</v>
      </c>
      <c r="I5360">
        <v>61</v>
      </c>
      <c r="J5360">
        <v>12</v>
      </c>
      <c r="K5360">
        <v>1</v>
      </c>
      <c r="L5360">
        <v>1</v>
      </c>
      <c r="M5360">
        <v>0</v>
      </c>
      <c r="N5360" s="23">
        <v>0</v>
      </c>
      <c r="O5360">
        <f t="shared" si="1043"/>
        <v>0</v>
      </c>
      <c r="P5360" s="57">
        <f t="shared" si="1044"/>
        <v>1</v>
      </c>
      <c r="Q5360" s="267">
        <f t="shared" si="1045"/>
        <v>0</v>
      </c>
      <c r="R5360" s="23">
        <f t="shared" si="1046"/>
        <v>1</v>
      </c>
      <c r="S5360" s="23">
        <f t="shared" si="1047"/>
        <v>0</v>
      </c>
      <c r="T5360" s="23" t="str">
        <f t="shared" si="1048"/>
        <v/>
      </c>
      <c r="U5360" t="str">
        <f t="shared" si="1049"/>
        <v>PA_Alleg_2019p~Dem-tax collector haysville (vote for 1)</v>
      </c>
      <c r="X5360" s="43"/>
      <c r="Y5360" s="53"/>
      <c r="Z5360" s="53"/>
      <c r="AA5360"/>
      <c r="AB5360" s="23"/>
      <c r="AF5360" s="22"/>
      <c r="AH5360" s="8"/>
      <c r="AL5360" s="23"/>
    </row>
    <row r="5361" spans="1:38">
      <c r="A5361" t="str">
        <f t="shared" si="1050"/>
        <v>PA_Alleg_2019p~Dem-tax collector homestead (vote for 1)</v>
      </c>
      <c r="B5361" s="55" t="s">
        <v>1291</v>
      </c>
      <c r="C5361">
        <v>491</v>
      </c>
      <c r="D5361" s="55" t="s">
        <v>491</v>
      </c>
      <c r="E5361" s="55" t="s">
        <v>492</v>
      </c>
      <c r="F5361" t="s">
        <v>12</v>
      </c>
      <c r="G5361" s="62">
        <v>327</v>
      </c>
      <c r="H5361" s="25">
        <v>99.39</v>
      </c>
      <c r="I5361">
        <v>2633</v>
      </c>
      <c r="J5361">
        <v>465</v>
      </c>
      <c r="K5361">
        <v>6</v>
      </c>
      <c r="L5361">
        <v>6</v>
      </c>
      <c r="M5361">
        <v>0</v>
      </c>
      <c r="N5361" s="23">
        <v>0</v>
      </c>
      <c r="O5361">
        <f t="shared" si="1043"/>
        <v>1</v>
      </c>
      <c r="P5361" s="57">
        <f t="shared" si="1044"/>
        <v>1</v>
      </c>
      <c r="Q5361" s="267">
        <f t="shared" si="1045"/>
        <v>329</v>
      </c>
      <c r="R5361" s="23">
        <f t="shared" si="1046"/>
        <v>327</v>
      </c>
      <c r="S5361" s="23">
        <f t="shared" si="1047"/>
        <v>0</v>
      </c>
      <c r="T5361" s="23" t="str">
        <f t="shared" si="1048"/>
        <v/>
      </c>
      <c r="U5361" t="str">
        <f t="shared" si="1049"/>
        <v>PA_Alleg_2019p~Dem-tax collector homestead (vote for 1)</v>
      </c>
      <c r="X5361" s="43"/>
      <c r="Y5361" s="53"/>
      <c r="Z5361" s="53"/>
      <c r="AA5361"/>
      <c r="AB5361" s="23"/>
      <c r="AF5361" s="22"/>
    </row>
    <row r="5362" spans="1:38">
      <c r="A5362" t="str">
        <f t="shared" si="1050"/>
        <v>PA_Alleg_2019p~Dem-tax collector homestead (vote for 1)</v>
      </c>
      <c r="B5362" s="55" t="s">
        <v>1291</v>
      </c>
      <c r="C5362">
        <v>492</v>
      </c>
      <c r="D5362" s="55" t="s">
        <v>491</v>
      </c>
      <c r="E5362" s="55" t="s">
        <v>15</v>
      </c>
      <c r="F5362" t="s">
        <v>12</v>
      </c>
      <c r="G5362" s="62">
        <v>2</v>
      </c>
      <c r="H5362" s="25">
        <v>0.61</v>
      </c>
      <c r="I5362">
        <v>2633</v>
      </c>
      <c r="J5362">
        <v>465</v>
      </c>
      <c r="K5362">
        <v>6</v>
      </c>
      <c r="L5362">
        <v>6</v>
      </c>
      <c r="M5362">
        <v>0</v>
      </c>
      <c r="N5362" s="23">
        <v>0</v>
      </c>
      <c r="O5362">
        <f t="shared" si="1043"/>
        <v>-1</v>
      </c>
      <c r="P5362" s="57">
        <f t="shared" si="1044"/>
        <v>1</v>
      </c>
      <c r="Q5362" s="267">
        <f t="shared" si="1045"/>
        <v>2</v>
      </c>
      <c r="R5362" s="23">
        <f t="shared" si="1046"/>
        <v>1</v>
      </c>
      <c r="S5362" s="23">
        <f t="shared" si="1047"/>
        <v>0</v>
      </c>
      <c r="T5362" s="23" t="str">
        <f t="shared" si="1048"/>
        <v/>
      </c>
      <c r="U5362" t="str">
        <f t="shared" si="1049"/>
        <v/>
      </c>
      <c r="X5362" s="43"/>
      <c r="Y5362" s="53"/>
      <c r="Z5362" s="53"/>
      <c r="AA5362"/>
      <c r="AB5362" s="23"/>
      <c r="AF5362" s="22"/>
    </row>
    <row r="5363" spans="1:38">
      <c r="A5363" t="str">
        <f t="shared" si="1050"/>
        <v>PA_Alleg_2019p~Dem-tax collector ingram (vote for 1)</v>
      </c>
      <c r="B5363" s="55" t="s">
        <v>1291</v>
      </c>
      <c r="C5363">
        <v>493</v>
      </c>
      <c r="D5363" s="55" t="s">
        <v>493</v>
      </c>
      <c r="E5363" s="55" t="s">
        <v>15</v>
      </c>
      <c r="F5363" t="s">
        <v>12</v>
      </c>
      <c r="G5363" s="62">
        <v>14</v>
      </c>
      <c r="H5363" s="25">
        <v>100</v>
      </c>
      <c r="I5363">
        <v>2397</v>
      </c>
      <c r="J5363">
        <v>288</v>
      </c>
      <c r="K5363">
        <v>3</v>
      </c>
      <c r="L5363">
        <v>3</v>
      </c>
      <c r="M5363">
        <v>0</v>
      </c>
      <c r="N5363" s="23">
        <v>0</v>
      </c>
      <c r="O5363">
        <f t="shared" si="1043"/>
        <v>0</v>
      </c>
      <c r="P5363" s="57">
        <f t="shared" si="1044"/>
        <v>1</v>
      </c>
      <c r="Q5363" s="267">
        <f t="shared" si="1045"/>
        <v>14</v>
      </c>
      <c r="R5363" s="23">
        <f t="shared" si="1046"/>
        <v>1</v>
      </c>
      <c r="S5363" s="23">
        <f t="shared" si="1047"/>
        <v>0</v>
      </c>
      <c r="T5363" s="23" t="str">
        <f t="shared" si="1048"/>
        <v/>
      </c>
      <c r="U5363" t="str">
        <f t="shared" si="1049"/>
        <v>PA_Alleg_2019p~Dem-tax collector ingram (vote for 1)</v>
      </c>
      <c r="X5363" s="43"/>
      <c r="Y5363" s="53"/>
      <c r="Z5363" s="53"/>
      <c r="AA5363"/>
      <c r="AB5363" s="23"/>
      <c r="AF5363" s="22"/>
    </row>
    <row r="5364" spans="1:38">
      <c r="A5364" t="str">
        <f t="shared" si="1050"/>
        <v>PA_Alleg_2019p~Dem-tax collector oakmont (vote for 1)</v>
      </c>
      <c r="B5364" s="55" t="s">
        <v>1291</v>
      </c>
      <c r="C5364">
        <v>494</v>
      </c>
      <c r="D5364" s="55" t="s">
        <v>494</v>
      </c>
      <c r="E5364" s="55" t="s">
        <v>15</v>
      </c>
      <c r="F5364" t="s">
        <v>12</v>
      </c>
      <c r="G5364" s="62">
        <v>27</v>
      </c>
      <c r="H5364" s="25">
        <v>100</v>
      </c>
      <c r="I5364">
        <v>5545</v>
      </c>
      <c r="J5364">
        <v>1102</v>
      </c>
      <c r="K5364">
        <v>6</v>
      </c>
      <c r="L5364">
        <v>6</v>
      </c>
      <c r="M5364">
        <v>0</v>
      </c>
      <c r="N5364" s="23">
        <v>0</v>
      </c>
      <c r="O5364">
        <f t="shared" si="1043"/>
        <v>0</v>
      </c>
      <c r="P5364" s="57">
        <f t="shared" si="1044"/>
        <v>1</v>
      </c>
      <c r="Q5364" s="267">
        <f t="shared" si="1045"/>
        <v>27</v>
      </c>
      <c r="R5364" s="23">
        <f t="shared" si="1046"/>
        <v>1</v>
      </c>
      <c r="S5364" s="23">
        <f t="shared" si="1047"/>
        <v>0</v>
      </c>
      <c r="T5364" s="23" t="str">
        <f t="shared" si="1048"/>
        <v/>
      </c>
      <c r="U5364" t="str">
        <f t="shared" si="1049"/>
        <v>PA_Alleg_2019p~Dem-tax collector oakmont (vote for 1)</v>
      </c>
      <c r="X5364" s="43"/>
      <c r="Y5364" s="53"/>
      <c r="Z5364" s="53"/>
      <c r="AA5364"/>
      <c r="AB5364" s="23"/>
      <c r="AF5364" s="22"/>
    </row>
    <row r="5365" spans="1:38">
      <c r="A5365" t="str">
        <f t="shared" si="1050"/>
        <v>PA_Alleg_2019p~Dem-tax collector ross (vote for 1)</v>
      </c>
      <c r="B5365" s="55" t="s">
        <v>1291</v>
      </c>
      <c r="C5365">
        <v>495</v>
      </c>
      <c r="D5365" s="55" t="s">
        <v>495</v>
      </c>
      <c r="E5365" s="55" t="s">
        <v>496</v>
      </c>
      <c r="F5365" t="s">
        <v>12</v>
      </c>
      <c r="G5365" s="62">
        <v>2418</v>
      </c>
      <c r="H5365" s="25">
        <v>98.45</v>
      </c>
      <c r="I5365">
        <v>24688</v>
      </c>
      <c r="J5365">
        <v>4450</v>
      </c>
      <c r="K5365">
        <v>33</v>
      </c>
      <c r="L5365">
        <v>33</v>
      </c>
      <c r="M5365">
        <v>0</v>
      </c>
      <c r="N5365" s="23">
        <v>0</v>
      </c>
      <c r="O5365">
        <f t="shared" si="1043"/>
        <v>1</v>
      </c>
      <c r="P5365" s="57">
        <f t="shared" si="1044"/>
        <v>1</v>
      </c>
      <c r="Q5365" s="267">
        <f t="shared" si="1045"/>
        <v>2456</v>
      </c>
      <c r="R5365" s="23">
        <f t="shared" si="1046"/>
        <v>2418</v>
      </c>
      <c r="S5365" s="23">
        <f t="shared" si="1047"/>
        <v>0</v>
      </c>
      <c r="T5365" s="23" t="str">
        <f t="shared" si="1048"/>
        <v/>
      </c>
      <c r="U5365" t="str">
        <f t="shared" si="1049"/>
        <v>PA_Alleg_2019p~Dem-tax collector ross (vote for 1)</v>
      </c>
      <c r="X5365" s="43"/>
      <c r="Y5365" s="53"/>
      <c r="Z5365" s="53"/>
      <c r="AA5365"/>
      <c r="AB5365" s="23"/>
      <c r="AF5365" s="22"/>
    </row>
    <row r="5366" spans="1:38">
      <c r="A5366" t="str">
        <f t="shared" si="1050"/>
        <v>PA_Alleg_2019p~Dem-tax collector ross (vote for 1)</v>
      </c>
      <c r="B5366" s="55" t="s">
        <v>1291</v>
      </c>
      <c r="C5366">
        <v>496</v>
      </c>
      <c r="D5366" s="55" t="s">
        <v>495</v>
      </c>
      <c r="E5366" s="55" t="s">
        <v>15</v>
      </c>
      <c r="F5366" t="s">
        <v>12</v>
      </c>
      <c r="G5366" s="62">
        <v>38</v>
      </c>
      <c r="H5366" s="25">
        <v>1.55</v>
      </c>
      <c r="I5366">
        <v>24688</v>
      </c>
      <c r="J5366">
        <v>4450</v>
      </c>
      <c r="K5366">
        <v>33</v>
      </c>
      <c r="L5366">
        <v>33</v>
      </c>
      <c r="M5366">
        <v>0</v>
      </c>
      <c r="N5366" s="23">
        <v>0</v>
      </c>
      <c r="O5366">
        <f t="shared" si="1043"/>
        <v>-1</v>
      </c>
      <c r="P5366" s="57">
        <f t="shared" si="1044"/>
        <v>1</v>
      </c>
      <c r="Q5366" s="267">
        <f t="shared" si="1045"/>
        <v>38</v>
      </c>
      <c r="R5366" s="23">
        <f t="shared" si="1046"/>
        <v>1</v>
      </c>
      <c r="S5366" s="23">
        <f t="shared" si="1047"/>
        <v>0</v>
      </c>
      <c r="T5366" s="23" t="str">
        <f t="shared" si="1048"/>
        <v/>
      </c>
      <c r="U5366" t="str">
        <f t="shared" si="1049"/>
        <v/>
      </c>
      <c r="X5366" s="43"/>
      <c r="Y5366" s="53"/>
      <c r="Z5366" s="53"/>
      <c r="AA5366"/>
      <c r="AB5366" s="23"/>
      <c r="AF5366" s="22"/>
      <c r="AG5366" s="89"/>
      <c r="AH5366" s="274"/>
      <c r="AI5366" s="279"/>
      <c r="AJ5366" s="280"/>
      <c r="AK5366" s="92"/>
      <c r="AL5366" s="23"/>
    </row>
    <row r="5367" spans="1:38">
      <c r="A5367" t="str">
        <f t="shared" si="1050"/>
        <v>PA_Alleg_2019p~Dem-tax collector rosslyn farms (vote for 1)</v>
      </c>
      <c r="B5367" s="55" t="s">
        <v>1291</v>
      </c>
      <c r="C5367">
        <v>497</v>
      </c>
      <c r="D5367" s="55" t="s">
        <v>497</v>
      </c>
      <c r="E5367" s="55" t="s">
        <v>15</v>
      </c>
      <c r="F5367" t="s">
        <v>12</v>
      </c>
      <c r="G5367" s="62">
        <v>2</v>
      </c>
      <c r="H5367" s="25">
        <v>100</v>
      </c>
      <c r="I5367">
        <v>402</v>
      </c>
      <c r="J5367">
        <v>112</v>
      </c>
      <c r="K5367">
        <v>1</v>
      </c>
      <c r="L5367">
        <v>1</v>
      </c>
      <c r="M5367">
        <v>0</v>
      </c>
      <c r="N5367" s="23">
        <v>0</v>
      </c>
      <c r="O5367">
        <f t="shared" si="1043"/>
        <v>0</v>
      </c>
      <c r="P5367" s="57">
        <f t="shared" si="1044"/>
        <v>1</v>
      </c>
      <c r="Q5367" s="267">
        <f t="shared" si="1045"/>
        <v>2</v>
      </c>
      <c r="R5367" s="23">
        <f t="shared" si="1046"/>
        <v>1</v>
      </c>
      <c r="S5367" s="23">
        <f t="shared" si="1047"/>
        <v>0</v>
      </c>
      <c r="T5367" s="23" t="str">
        <f t="shared" si="1048"/>
        <v/>
      </c>
      <c r="U5367" t="str">
        <f t="shared" si="1049"/>
        <v>PA_Alleg_2019p~Dem-tax collector rosslyn farms (vote for 1)</v>
      </c>
      <c r="X5367" s="43"/>
      <c r="Y5367" s="53"/>
      <c r="Z5367" s="53"/>
      <c r="AA5367"/>
      <c r="AB5367" s="23"/>
      <c r="AF5367" s="88"/>
      <c r="AG5367" s="23"/>
      <c r="AH5367" s="8"/>
    </row>
    <row r="5368" spans="1:38">
      <c r="A5368" t="str">
        <f t="shared" si="1050"/>
        <v>PA_Alleg_2019p~Dem-tax collector sewickley heights (vote for 1)</v>
      </c>
      <c r="B5368" s="55" t="s">
        <v>1291</v>
      </c>
      <c r="C5368">
        <v>498</v>
      </c>
      <c r="D5368" s="55" t="s">
        <v>498</v>
      </c>
      <c r="E5368" s="55" t="s">
        <v>15</v>
      </c>
      <c r="F5368" t="s">
        <v>12</v>
      </c>
      <c r="G5368" s="62">
        <v>2</v>
      </c>
      <c r="H5368" s="25">
        <v>100</v>
      </c>
      <c r="I5368">
        <v>784</v>
      </c>
      <c r="J5368">
        <v>144</v>
      </c>
      <c r="K5368">
        <v>1</v>
      </c>
      <c r="L5368">
        <v>1</v>
      </c>
      <c r="M5368">
        <v>0</v>
      </c>
      <c r="N5368" s="23">
        <v>0</v>
      </c>
      <c r="O5368">
        <f t="shared" si="1043"/>
        <v>0</v>
      </c>
      <c r="P5368" s="57">
        <f t="shared" si="1044"/>
        <v>1</v>
      </c>
      <c r="Q5368" s="267">
        <f t="shared" si="1045"/>
        <v>2</v>
      </c>
      <c r="R5368" s="23">
        <f t="shared" si="1046"/>
        <v>1</v>
      </c>
      <c r="S5368" s="23">
        <f t="shared" si="1047"/>
        <v>0</v>
      </c>
      <c r="T5368" s="23" t="str">
        <f t="shared" si="1048"/>
        <v/>
      </c>
      <c r="U5368" t="str">
        <f t="shared" si="1049"/>
        <v>PA_Alleg_2019p~Dem-tax collector sewickley heights (vote for 1)</v>
      </c>
      <c r="X5368" s="43"/>
      <c r="Y5368" s="53"/>
      <c r="Z5368" s="53"/>
      <c r="AA5368"/>
      <c r="AB5368" s="23"/>
      <c r="AF5368" s="88"/>
    </row>
    <row r="5369" spans="1:38">
      <c r="A5369" t="str">
        <f t="shared" si="1050"/>
        <v>PA_Alleg_2019p~Dem-tax collector stowe (vote for 1)</v>
      </c>
      <c r="B5369" s="55" t="s">
        <v>1291</v>
      </c>
      <c r="C5369">
        <v>499</v>
      </c>
      <c r="D5369" s="55" t="s">
        <v>499</v>
      </c>
      <c r="E5369" s="55" t="s">
        <v>15</v>
      </c>
      <c r="F5369" t="s">
        <v>12</v>
      </c>
      <c r="G5369" s="62">
        <v>46</v>
      </c>
      <c r="H5369" s="25">
        <v>100</v>
      </c>
      <c r="I5369">
        <v>4411</v>
      </c>
      <c r="J5369">
        <v>829</v>
      </c>
      <c r="K5369">
        <v>11</v>
      </c>
      <c r="L5369">
        <v>11</v>
      </c>
      <c r="M5369">
        <v>0</v>
      </c>
      <c r="N5369" s="23">
        <v>0</v>
      </c>
      <c r="O5369">
        <f t="shared" si="1043"/>
        <v>0</v>
      </c>
      <c r="P5369" s="57">
        <f t="shared" si="1044"/>
        <v>1</v>
      </c>
      <c r="Q5369" s="267">
        <f t="shared" si="1045"/>
        <v>46</v>
      </c>
      <c r="R5369" s="23">
        <f t="shared" si="1046"/>
        <v>1</v>
      </c>
      <c r="S5369" s="23">
        <f t="shared" si="1047"/>
        <v>0</v>
      </c>
      <c r="T5369" s="23" t="str">
        <f t="shared" si="1048"/>
        <v/>
      </c>
      <c r="U5369" t="str">
        <f t="shared" si="1049"/>
        <v>PA_Alleg_2019p~Dem-tax collector stowe (vote for 1)</v>
      </c>
      <c r="X5369" s="43"/>
      <c r="Y5369" s="53"/>
      <c r="Z5369" s="53"/>
      <c r="AA5369"/>
      <c r="AB5369" s="23"/>
      <c r="AF5369" s="22"/>
      <c r="AH5369" s="8"/>
      <c r="AL5369" s="23"/>
    </row>
    <row r="5370" spans="1:38">
      <c r="A5370" t="str">
        <f t="shared" si="1050"/>
        <v>PA_Alleg_2019p~Dem-tax collector verona (vote for 1)</v>
      </c>
      <c r="B5370" s="55" t="s">
        <v>1291</v>
      </c>
      <c r="C5370">
        <v>500</v>
      </c>
      <c r="D5370" s="55" t="s">
        <v>500</v>
      </c>
      <c r="E5370" s="55" t="s">
        <v>15</v>
      </c>
      <c r="F5370" t="s">
        <v>12</v>
      </c>
      <c r="G5370" s="62">
        <v>14</v>
      </c>
      <c r="H5370" s="25">
        <v>100</v>
      </c>
      <c r="I5370">
        <v>1708</v>
      </c>
      <c r="J5370">
        <v>424</v>
      </c>
      <c r="K5370">
        <v>3</v>
      </c>
      <c r="L5370">
        <v>3</v>
      </c>
      <c r="M5370">
        <v>0</v>
      </c>
      <c r="N5370" s="23">
        <v>0</v>
      </c>
      <c r="O5370">
        <f t="shared" si="1043"/>
        <v>0</v>
      </c>
      <c r="P5370" s="57">
        <f t="shared" si="1044"/>
        <v>1</v>
      </c>
      <c r="Q5370" s="267">
        <f t="shared" si="1045"/>
        <v>14</v>
      </c>
      <c r="R5370" s="23">
        <f t="shared" si="1046"/>
        <v>1</v>
      </c>
      <c r="S5370" s="23">
        <f t="shared" si="1047"/>
        <v>0</v>
      </c>
      <c r="T5370" s="23" t="str">
        <f t="shared" si="1048"/>
        <v/>
      </c>
      <c r="U5370" t="str">
        <f t="shared" si="1049"/>
        <v>PA_Alleg_2019p~Dem-tax collector verona (vote for 1)</v>
      </c>
      <c r="X5370" s="43"/>
      <c r="Y5370" s="53"/>
      <c r="Z5370" s="53"/>
      <c r="AA5370"/>
      <c r="AB5370" s="23"/>
      <c r="AF5370" s="22"/>
      <c r="AH5370" s="8"/>
      <c r="AL5370" s="23"/>
    </row>
    <row r="5371" spans="1:38">
      <c r="A5371" t="str">
        <f t="shared" si="1050"/>
        <v>PA_Alleg_2019p~Dem-treasurer duquesne (vote for 1)</v>
      </c>
      <c r="B5371" s="55" t="s">
        <v>1291</v>
      </c>
      <c r="C5371">
        <v>501</v>
      </c>
      <c r="D5371" s="55" t="s">
        <v>501</v>
      </c>
      <c r="E5371" s="55" t="s">
        <v>15</v>
      </c>
      <c r="F5371" t="s">
        <v>12</v>
      </c>
      <c r="G5371" s="62">
        <v>19</v>
      </c>
      <c r="H5371" s="25">
        <v>100</v>
      </c>
      <c r="I5371">
        <v>3901</v>
      </c>
      <c r="J5371">
        <v>641</v>
      </c>
      <c r="K5371">
        <v>10</v>
      </c>
      <c r="L5371">
        <v>10</v>
      </c>
      <c r="M5371">
        <v>0</v>
      </c>
      <c r="N5371" s="23">
        <v>0</v>
      </c>
      <c r="O5371">
        <f t="shared" si="1043"/>
        <v>0</v>
      </c>
      <c r="P5371" s="57">
        <f t="shared" si="1044"/>
        <v>1</v>
      </c>
      <c r="Q5371" s="267">
        <f t="shared" si="1045"/>
        <v>19</v>
      </c>
      <c r="R5371" s="23">
        <f t="shared" si="1046"/>
        <v>1</v>
      </c>
      <c r="S5371" s="23">
        <f t="shared" si="1047"/>
        <v>0</v>
      </c>
      <c r="T5371" s="23" t="str">
        <f t="shared" si="1048"/>
        <v/>
      </c>
      <c r="U5371" t="str">
        <f t="shared" si="1049"/>
        <v>PA_Alleg_2019p~Dem-treasurer duquesne (vote for 1)</v>
      </c>
      <c r="X5371" s="43"/>
      <c r="Y5371" s="53"/>
      <c r="Z5371" s="53"/>
      <c r="AA5371"/>
      <c r="AB5371" s="23"/>
      <c r="AF5371" s="22"/>
    </row>
    <row r="5372" spans="1:38">
      <c r="A5372" t="str">
        <f t="shared" si="1050"/>
        <v>PA_Alleg_2019p~Rep-auditor bellevue (vote for 1)</v>
      </c>
      <c r="B5372" s="55" t="s">
        <v>1291</v>
      </c>
      <c r="C5372">
        <v>1588</v>
      </c>
      <c r="D5372" s="55" t="s">
        <v>502</v>
      </c>
      <c r="E5372" s="55" t="s">
        <v>1134</v>
      </c>
      <c r="F5372" t="s">
        <v>1117</v>
      </c>
      <c r="G5372" s="62">
        <v>160</v>
      </c>
      <c r="H5372" s="25">
        <v>96.39</v>
      </c>
      <c r="I5372">
        <v>6242</v>
      </c>
      <c r="J5372">
        <v>875</v>
      </c>
      <c r="K5372">
        <v>6</v>
      </c>
      <c r="L5372">
        <v>6</v>
      </c>
      <c r="M5372">
        <v>0</v>
      </c>
      <c r="N5372" s="23">
        <v>0</v>
      </c>
      <c r="O5372">
        <f t="shared" si="1043"/>
        <v>1</v>
      </c>
      <c r="P5372" s="57">
        <f t="shared" si="1044"/>
        <v>1</v>
      </c>
      <c r="Q5372" s="267">
        <f t="shared" si="1045"/>
        <v>341</v>
      </c>
      <c r="R5372" s="23">
        <f t="shared" si="1046"/>
        <v>160</v>
      </c>
      <c r="S5372" s="23">
        <f t="shared" si="1047"/>
        <v>159</v>
      </c>
      <c r="T5372" s="23">
        <f t="shared" si="1048"/>
        <v>1</v>
      </c>
      <c r="U5372" t="str">
        <f t="shared" si="1049"/>
        <v>PA_Alleg_2019p~Rep-auditor bellevue (vote for 1)</v>
      </c>
      <c r="X5372" s="43"/>
      <c r="Y5372" s="53"/>
      <c r="Z5372" s="53"/>
      <c r="AA5372"/>
      <c r="AB5372" s="23"/>
      <c r="AF5372" s="22"/>
    </row>
    <row r="5373" spans="1:38">
      <c r="A5373" t="str">
        <f t="shared" si="1050"/>
        <v>PA_Alleg_2019p~Rep-auditor bellevue (vote for 1)</v>
      </c>
      <c r="B5373" s="55" t="s">
        <v>1291</v>
      </c>
      <c r="C5373">
        <v>1561</v>
      </c>
      <c r="D5373" s="55" t="s">
        <v>502</v>
      </c>
      <c r="E5373" s="55" t="s">
        <v>1132</v>
      </c>
      <c r="F5373" t="s">
        <v>1117</v>
      </c>
      <c r="G5373" s="62">
        <v>159</v>
      </c>
      <c r="H5373" s="25">
        <v>98.15</v>
      </c>
      <c r="I5373">
        <v>6242</v>
      </c>
      <c r="J5373">
        <v>875</v>
      </c>
      <c r="K5373">
        <v>6</v>
      </c>
      <c r="L5373">
        <v>6</v>
      </c>
      <c r="M5373">
        <v>0</v>
      </c>
      <c r="N5373" s="23">
        <v>0</v>
      </c>
      <c r="O5373">
        <f t="shared" si="1043"/>
        <v>2</v>
      </c>
      <c r="P5373" s="57">
        <f t="shared" si="1044"/>
        <v>1</v>
      </c>
      <c r="Q5373" s="267">
        <f t="shared" si="1045"/>
        <v>181</v>
      </c>
      <c r="R5373" s="23" t="str">
        <f t="shared" si="1046"/>
        <v/>
      </c>
      <c r="S5373" s="23">
        <f t="shared" si="1047"/>
        <v>159</v>
      </c>
      <c r="T5373" s="23" t="str">
        <f t="shared" si="1048"/>
        <v/>
      </c>
      <c r="U5373" t="str">
        <f t="shared" si="1049"/>
        <v/>
      </c>
      <c r="X5373" s="43"/>
      <c r="Y5373" s="53"/>
      <c r="Z5373" s="53"/>
      <c r="AA5373"/>
      <c r="AB5373" s="23"/>
      <c r="AF5373" s="22"/>
    </row>
    <row r="5374" spans="1:38">
      <c r="A5374" t="str">
        <f t="shared" si="1050"/>
        <v>PA_Alleg_2019p~Rep-auditor bellevue (vote for 1)</v>
      </c>
      <c r="B5374" s="55" t="s">
        <v>1291</v>
      </c>
      <c r="C5374">
        <v>1580</v>
      </c>
      <c r="D5374" s="55" t="s">
        <v>502</v>
      </c>
      <c r="E5374" s="55" t="s">
        <v>15</v>
      </c>
      <c r="F5374" t="s">
        <v>1117</v>
      </c>
      <c r="G5374" s="62">
        <v>13</v>
      </c>
      <c r="H5374" s="25">
        <v>100</v>
      </c>
      <c r="I5374">
        <v>6242</v>
      </c>
      <c r="J5374">
        <v>875</v>
      </c>
      <c r="K5374">
        <v>6</v>
      </c>
      <c r="L5374">
        <v>6</v>
      </c>
      <c r="M5374">
        <v>0</v>
      </c>
      <c r="N5374" s="23">
        <v>0</v>
      </c>
      <c r="O5374">
        <f t="shared" si="1043"/>
        <v>-2</v>
      </c>
      <c r="P5374" s="57">
        <f t="shared" si="1044"/>
        <v>1</v>
      </c>
      <c r="Q5374" s="267">
        <f t="shared" si="1045"/>
        <v>22</v>
      </c>
      <c r="R5374" s="23">
        <f t="shared" si="1046"/>
        <v>1</v>
      </c>
      <c r="S5374" s="23">
        <f t="shared" si="1047"/>
        <v>0</v>
      </c>
      <c r="T5374" s="23" t="str">
        <f t="shared" si="1048"/>
        <v/>
      </c>
      <c r="U5374" t="str">
        <f t="shared" si="1049"/>
        <v/>
      </c>
      <c r="X5374" s="43"/>
      <c r="Y5374" s="53"/>
      <c r="Z5374" s="53"/>
      <c r="AA5374"/>
      <c r="AB5374" s="23"/>
      <c r="AF5374" s="22"/>
    </row>
    <row r="5375" spans="1:38">
      <c r="A5375" t="str">
        <f t="shared" si="1050"/>
        <v>PA_Alleg_2019p~Rep-auditor bellevue (vote for 1)</v>
      </c>
      <c r="B5375" s="55" t="s">
        <v>1291</v>
      </c>
      <c r="C5375">
        <v>1589</v>
      </c>
      <c r="D5375" s="55" t="s">
        <v>502</v>
      </c>
      <c r="E5375" s="55" t="s">
        <v>15</v>
      </c>
      <c r="F5375" t="s">
        <v>1117</v>
      </c>
      <c r="G5375" s="62">
        <v>6</v>
      </c>
      <c r="H5375" s="25">
        <v>3.61</v>
      </c>
      <c r="I5375">
        <v>6242</v>
      </c>
      <c r="J5375">
        <v>875</v>
      </c>
      <c r="K5375">
        <v>6</v>
      </c>
      <c r="L5375">
        <v>6</v>
      </c>
      <c r="M5375">
        <v>0</v>
      </c>
      <c r="N5375" s="23">
        <v>0</v>
      </c>
      <c r="O5375">
        <f t="shared" si="1043"/>
        <v>-2</v>
      </c>
      <c r="P5375" s="57">
        <f t="shared" si="1044"/>
        <v>1</v>
      </c>
      <c r="Q5375" s="267">
        <f t="shared" si="1045"/>
        <v>9</v>
      </c>
      <c r="R5375" s="23">
        <f t="shared" si="1046"/>
        <v>1</v>
      </c>
      <c r="S5375" s="23">
        <f t="shared" si="1047"/>
        <v>0</v>
      </c>
      <c r="T5375" s="23" t="str">
        <f t="shared" si="1048"/>
        <v/>
      </c>
      <c r="U5375" t="str">
        <f t="shared" si="1049"/>
        <v/>
      </c>
      <c r="X5375" s="43"/>
      <c r="Y5375" s="53"/>
      <c r="Z5375" s="53"/>
      <c r="AA5375"/>
      <c r="AB5375" s="23"/>
      <c r="AF5375" s="22"/>
    </row>
    <row r="5376" spans="1:38">
      <c r="A5376" t="str">
        <f t="shared" si="1050"/>
        <v>PA_Alleg_2019p~Rep-auditor bellevue (vote for 1)</v>
      </c>
      <c r="B5376" s="55" t="s">
        <v>1291</v>
      </c>
      <c r="C5376">
        <v>1562</v>
      </c>
      <c r="D5376" s="55" t="s">
        <v>502</v>
      </c>
      <c r="E5376" s="55" t="s">
        <v>15</v>
      </c>
      <c r="F5376" t="s">
        <v>1117</v>
      </c>
      <c r="G5376" s="62">
        <v>3</v>
      </c>
      <c r="H5376" s="25">
        <v>1.85</v>
      </c>
      <c r="I5376">
        <v>6242</v>
      </c>
      <c r="J5376">
        <v>875</v>
      </c>
      <c r="K5376">
        <v>6</v>
      </c>
      <c r="L5376">
        <v>6</v>
      </c>
      <c r="M5376">
        <v>0</v>
      </c>
      <c r="N5376" s="23">
        <v>0</v>
      </c>
      <c r="O5376">
        <f t="shared" si="1043"/>
        <v>-2</v>
      </c>
      <c r="P5376" s="57">
        <f t="shared" si="1044"/>
        <v>1</v>
      </c>
      <c r="Q5376" s="267">
        <f t="shared" si="1045"/>
        <v>3</v>
      </c>
      <c r="R5376" s="23">
        <f t="shared" si="1046"/>
        <v>1</v>
      </c>
      <c r="S5376" s="23">
        <f t="shared" si="1047"/>
        <v>0</v>
      </c>
      <c r="T5376" s="23" t="str">
        <f t="shared" si="1048"/>
        <v/>
      </c>
      <c r="U5376" t="str">
        <f t="shared" si="1049"/>
        <v/>
      </c>
      <c r="X5376" s="43"/>
      <c r="Y5376" s="53"/>
      <c r="Z5376" s="53"/>
      <c r="AA5376"/>
      <c r="AB5376" s="23"/>
      <c r="AF5376" s="22"/>
    </row>
    <row r="5377" spans="1:45">
      <c r="A5377" t="str">
        <f t="shared" si="1050"/>
        <v>PA_Alleg_2019p~Rep-auditor east deer (vote for 1)</v>
      </c>
      <c r="B5377" s="55" t="s">
        <v>1291</v>
      </c>
      <c r="C5377">
        <v>1563</v>
      </c>
      <c r="D5377" s="55" t="s">
        <v>504</v>
      </c>
      <c r="E5377" s="55" t="s">
        <v>15</v>
      </c>
      <c r="F5377" t="s">
        <v>1117</v>
      </c>
      <c r="G5377" s="62">
        <v>5</v>
      </c>
      <c r="H5377" s="25">
        <v>100</v>
      </c>
      <c r="I5377">
        <v>890</v>
      </c>
      <c r="J5377">
        <v>113</v>
      </c>
      <c r="K5377">
        <v>2</v>
      </c>
      <c r="L5377">
        <v>2</v>
      </c>
      <c r="M5377">
        <v>0</v>
      </c>
      <c r="N5377" s="23">
        <v>0</v>
      </c>
      <c r="O5377">
        <f t="shared" si="1043"/>
        <v>0</v>
      </c>
      <c r="P5377" s="57">
        <f t="shared" si="1044"/>
        <v>1</v>
      </c>
      <c r="Q5377" s="267">
        <f t="shared" si="1045"/>
        <v>5</v>
      </c>
      <c r="R5377" s="23">
        <f t="shared" si="1046"/>
        <v>1</v>
      </c>
      <c r="S5377" s="23">
        <f t="shared" si="1047"/>
        <v>0</v>
      </c>
      <c r="T5377" s="23" t="str">
        <f t="shared" si="1048"/>
        <v/>
      </c>
      <c r="U5377" t="str">
        <f t="shared" si="1049"/>
        <v>PA_Alleg_2019p~Rep-auditor east deer (vote for 1)</v>
      </c>
      <c r="X5377" s="43"/>
      <c r="Y5377" s="53"/>
      <c r="Z5377" s="53"/>
      <c r="AA5377"/>
      <c r="AB5377" s="23"/>
      <c r="AF5377" s="22"/>
      <c r="AH5377" s="8"/>
      <c r="AL5377" s="23"/>
    </row>
    <row r="5378" spans="1:45">
      <c r="A5378" t="str">
        <f t="shared" si="1050"/>
        <v>PA_Alleg_2019p~Rep-auditor fawn (vote for 1)</v>
      </c>
      <c r="B5378" s="55" t="s">
        <v>1291</v>
      </c>
      <c r="C5378">
        <v>1581</v>
      </c>
      <c r="D5378" s="55" t="s">
        <v>506</v>
      </c>
      <c r="E5378" s="55" t="s">
        <v>15</v>
      </c>
      <c r="F5378" t="s">
        <v>1117</v>
      </c>
      <c r="G5378" s="62">
        <v>2</v>
      </c>
      <c r="H5378" s="25">
        <v>100</v>
      </c>
      <c r="I5378">
        <v>1476</v>
      </c>
      <c r="J5378">
        <v>295</v>
      </c>
      <c r="K5378">
        <v>2</v>
      </c>
      <c r="L5378">
        <v>2</v>
      </c>
      <c r="M5378">
        <v>0</v>
      </c>
      <c r="N5378" s="23">
        <v>0</v>
      </c>
      <c r="O5378">
        <f t="shared" ref="O5378:O5441" si="1051">IF(OR(LOWER(LEFT(E5378,8))="write-in",LOWER(LEFT(E5378,8))="not qual"),IF(A5378=A5377,-ABS(O5377),0),IF(A5378=A5377,ABS(O5377)+1,1))</f>
        <v>0</v>
      </c>
      <c r="P5378" s="57">
        <f t="shared" ref="P5378:P5441" si="1052">1*LEFT(RIGHT(A5378,2),1)</f>
        <v>1</v>
      </c>
      <c r="Q5378" s="267">
        <f t="shared" ref="Q5378:Q5441" si="1053">IF(A5378&lt;&gt;A5379,G5378,IF(A5378=A5377,G5378+Q5379,MAX(G5378,(G5378+Q5379)/P5378)))</f>
        <v>4</v>
      </c>
      <c r="R5378" s="23">
        <f t="shared" ref="R5378:R5441" si="1054">IF(O5378&gt;P5378,"",IF(O5378=P5378,G5378,IF(A5378=A5379,R5379,IF(O5378&lt;=0,1,G5378))))</f>
        <v>1</v>
      </c>
      <c r="S5378" s="23">
        <f t="shared" ref="S5378:S5441" si="1055">IF(AND(O5378&gt;P5378,LOWER(LEFT(E5378,8))&lt;&gt;"write-in",LOWER(LEFT(E5378,8))&lt;&gt;"not qual"),G5378,IF(A5378=A5379,S5379,0))</f>
        <v>0</v>
      </c>
      <c r="T5378" s="23" t="str">
        <f t="shared" ref="T5378:T5441" si="1056">IF(OR(A5378=A5377,S5378=0),"",R5378-ABS(S5378))</f>
        <v/>
      </c>
      <c r="U5378" t="str">
        <f t="shared" ref="U5378:U5441" si="1057">IF(A5378=A5377,"",A5378)</f>
        <v>PA_Alleg_2019p~Rep-auditor fawn (vote for 1)</v>
      </c>
      <c r="X5378" s="43"/>
      <c r="Y5378" s="53"/>
      <c r="Z5378" s="53"/>
      <c r="AA5378"/>
      <c r="AB5378" s="23"/>
      <c r="AF5378" s="22"/>
      <c r="AH5378" s="8"/>
      <c r="AL5378" s="23"/>
    </row>
    <row r="5379" spans="1:45">
      <c r="A5379" t="str">
        <f t="shared" ref="A5379:A5442" si="1058">CONCATENATE(B5379,"~",F5379,"-",LOWER(D5379))</f>
        <v>PA_Alleg_2019p~Rep-auditor fawn (vote for 1)</v>
      </c>
      <c r="B5379" s="55" t="s">
        <v>1291</v>
      </c>
      <c r="C5379">
        <v>1564</v>
      </c>
      <c r="D5379" s="55" t="s">
        <v>506</v>
      </c>
      <c r="E5379" s="55" t="s">
        <v>15</v>
      </c>
      <c r="F5379" t="s">
        <v>1117</v>
      </c>
      <c r="G5379" s="62">
        <v>1</v>
      </c>
      <c r="H5379" s="25">
        <v>100</v>
      </c>
      <c r="I5379">
        <v>1476</v>
      </c>
      <c r="J5379">
        <v>295</v>
      </c>
      <c r="K5379">
        <v>2</v>
      </c>
      <c r="L5379">
        <v>2</v>
      </c>
      <c r="M5379">
        <v>0</v>
      </c>
      <c r="N5379" s="23">
        <v>0</v>
      </c>
      <c r="O5379">
        <f t="shared" si="1051"/>
        <v>0</v>
      </c>
      <c r="P5379" s="57">
        <f t="shared" si="1052"/>
        <v>1</v>
      </c>
      <c r="Q5379" s="267">
        <f t="shared" si="1053"/>
        <v>2</v>
      </c>
      <c r="R5379" s="23">
        <f t="shared" si="1054"/>
        <v>1</v>
      </c>
      <c r="S5379" s="23">
        <f t="shared" si="1055"/>
        <v>0</v>
      </c>
      <c r="T5379" s="23" t="str">
        <f t="shared" si="1056"/>
        <v/>
      </c>
      <c r="U5379" t="str">
        <f t="shared" si="1057"/>
        <v/>
      </c>
      <c r="X5379" s="43"/>
      <c r="Y5379" s="53"/>
      <c r="Z5379" s="53"/>
      <c r="AA5379"/>
      <c r="AB5379" s="23"/>
      <c r="AF5379" s="22"/>
    </row>
    <row r="5380" spans="1:45">
      <c r="A5380" t="str">
        <f t="shared" si="1058"/>
        <v>PA_Alleg_2019p~Rep-auditor fawn (vote for 1)</v>
      </c>
      <c r="B5380" s="55" t="s">
        <v>1291</v>
      </c>
      <c r="C5380">
        <v>1590</v>
      </c>
      <c r="D5380" s="55" t="s">
        <v>506</v>
      </c>
      <c r="E5380" s="55" t="s">
        <v>15</v>
      </c>
      <c r="F5380" t="s">
        <v>1117</v>
      </c>
      <c r="G5380" s="62">
        <v>1</v>
      </c>
      <c r="H5380" s="25">
        <v>100</v>
      </c>
      <c r="I5380">
        <v>1476</v>
      </c>
      <c r="J5380">
        <v>295</v>
      </c>
      <c r="K5380">
        <v>2</v>
      </c>
      <c r="L5380">
        <v>2</v>
      </c>
      <c r="M5380">
        <v>0</v>
      </c>
      <c r="N5380" s="23">
        <v>0</v>
      </c>
      <c r="O5380">
        <f t="shared" si="1051"/>
        <v>0</v>
      </c>
      <c r="P5380" s="57">
        <f t="shared" si="1052"/>
        <v>1</v>
      </c>
      <c r="Q5380" s="267">
        <f t="shared" si="1053"/>
        <v>1</v>
      </c>
      <c r="R5380" s="23">
        <f t="shared" si="1054"/>
        <v>1</v>
      </c>
      <c r="S5380" s="23">
        <f t="shared" si="1055"/>
        <v>0</v>
      </c>
      <c r="T5380" s="23" t="str">
        <f t="shared" si="1056"/>
        <v/>
      </c>
      <c r="U5380" t="str">
        <f t="shared" si="1057"/>
        <v/>
      </c>
      <c r="X5380" s="43"/>
      <c r="Y5380" s="53"/>
      <c r="Z5380" s="53"/>
      <c r="AA5380"/>
      <c r="AB5380" s="23"/>
      <c r="AF5380" s="22"/>
    </row>
    <row r="5381" spans="1:45">
      <c r="A5381" t="str">
        <f t="shared" si="1058"/>
        <v>PA_Alleg_2019p~Rep-auditor findlay (vote for 1)</v>
      </c>
      <c r="B5381" s="55" t="s">
        <v>1291</v>
      </c>
      <c r="C5381">
        <v>1565</v>
      </c>
      <c r="D5381" s="55" t="s">
        <v>507</v>
      </c>
      <c r="E5381" s="55" t="s">
        <v>15</v>
      </c>
      <c r="F5381" t="s">
        <v>1117</v>
      </c>
      <c r="G5381" s="62">
        <v>8</v>
      </c>
      <c r="H5381" s="25">
        <v>100</v>
      </c>
      <c r="I5381">
        <v>4351</v>
      </c>
      <c r="J5381">
        <v>539</v>
      </c>
      <c r="K5381">
        <v>3</v>
      </c>
      <c r="L5381">
        <v>3</v>
      </c>
      <c r="M5381">
        <v>0</v>
      </c>
      <c r="N5381" s="23">
        <v>0</v>
      </c>
      <c r="O5381">
        <f t="shared" si="1051"/>
        <v>0</v>
      </c>
      <c r="P5381" s="57">
        <f t="shared" si="1052"/>
        <v>1</v>
      </c>
      <c r="Q5381" s="267">
        <f t="shared" si="1053"/>
        <v>16</v>
      </c>
      <c r="R5381" s="23">
        <f t="shared" si="1054"/>
        <v>1</v>
      </c>
      <c r="S5381" s="23">
        <f t="shared" si="1055"/>
        <v>0</v>
      </c>
      <c r="T5381" s="23" t="str">
        <f t="shared" si="1056"/>
        <v/>
      </c>
      <c r="U5381" t="str">
        <f t="shared" si="1057"/>
        <v>PA_Alleg_2019p~Rep-auditor findlay (vote for 1)</v>
      </c>
      <c r="X5381" s="43"/>
      <c r="Y5381" s="53"/>
      <c r="Z5381" s="53"/>
      <c r="AA5381"/>
      <c r="AB5381" s="23"/>
    </row>
    <row r="5382" spans="1:45">
      <c r="A5382" t="str">
        <f t="shared" si="1058"/>
        <v>PA_Alleg_2019p~Rep-auditor findlay (vote for 1)</v>
      </c>
      <c r="B5382" s="55" t="s">
        <v>1291</v>
      </c>
      <c r="C5382">
        <v>1591</v>
      </c>
      <c r="D5382" s="55" t="s">
        <v>507</v>
      </c>
      <c r="E5382" s="55" t="s">
        <v>15</v>
      </c>
      <c r="F5382" t="s">
        <v>1117</v>
      </c>
      <c r="G5382" s="62">
        <v>8</v>
      </c>
      <c r="H5382" s="25">
        <v>100</v>
      </c>
      <c r="I5382">
        <v>4351</v>
      </c>
      <c r="J5382">
        <v>539</v>
      </c>
      <c r="K5382">
        <v>3</v>
      </c>
      <c r="L5382">
        <v>3</v>
      </c>
      <c r="M5382">
        <v>0</v>
      </c>
      <c r="N5382" s="23">
        <v>0</v>
      </c>
      <c r="O5382">
        <f t="shared" si="1051"/>
        <v>0</v>
      </c>
      <c r="P5382" s="57">
        <f t="shared" si="1052"/>
        <v>1</v>
      </c>
      <c r="Q5382" s="267">
        <f t="shared" si="1053"/>
        <v>8</v>
      </c>
      <c r="R5382" s="23">
        <f t="shared" si="1054"/>
        <v>1</v>
      </c>
      <c r="S5382" s="23">
        <f t="shared" si="1055"/>
        <v>0</v>
      </c>
      <c r="T5382" s="23" t="str">
        <f t="shared" si="1056"/>
        <v/>
      </c>
      <c r="U5382" t="str">
        <f t="shared" si="1057"/>
        <v/>
      </c>
      <c r="X5382" s="43"/>
      <c r="Y5382" s="53"/>
      <c r="Z5382" s="53"/>
      <c r="AA5382"/>
      <c r="AB5382" s="23"/>
      <c r="AF5382" s="22"/>
    </row>
    <row r="5383" spans="1:45">
      <c r="A5383" t="str">
        <f t="shared" si="1058"/>
        <v>PA_Alleg_2019p~Rep-auditor forward (vote for 1)</v>
      </c>
      <c r="B5383" s="55" t="s">
        <v>1291</v>
      </c>
      <c r="C5383">
        <v>1582</v>
      </c>
      <c r="D5383" s="55" t="s">
        <v>508</v>
      </c>
      <c r="E5383" s="55" t="s">
        <v>15</v>
      </c>
      <c r="F5383" t="s">
        <v>1117</v>
      </c>
      <c r="G5383" s="62">
        <v>2</v>
      </c>
      <c r="H5383" s="25">
        <v>100</v>
      </c>
      <c r="I5383">
        <v>2091</v>
      </c>
      <c r="J5383">
        <v>333</v>
      </c>
      <c r="K5383">
        <v>4</v>
      </c>
      <c r="L5383">
        <v>4</v>
      </c>
      <c r="M5383">
        <v>0</v>
      </c>
      <c r="N5383" s="23">
        <v>0</v>
      </c>
      <c r="O5383">
        <f t="shared" si="1051"/>
        <v>0</v>
      </c>
      <c r="P5383" s="57">
        <f t="shared" si="1052"/>
        <v>1</v>
      </c>
      <c r="Q5383" s="267">
        <f t="shared" si="1053"/>
        <v>5</v>
      </c>
      <c r="R5383" s="23">
        <f t="shared" si="1054"/>
        <v>1</v>
      </c>
      <c r="S5383" s="23">
        <f t="shared" si="1055"/>
        <v>0</v>
      </c>
      <c r="T5383" s="23" t="str">
        <f t="shared" si="1056"/>
        <v/>
      </c>
      <c r="U5383" t="str">
        <f t="shared" si="1057"/>
        <v>PA_Alleg_2019p~Rep-auditor forward (vote for 1)</v>
      </c>
      <c r="X5383" s="43"/>
      <c r="Y5383" s="53"/>
      <c r="Z5383" s="53"/>
      <c r="AA5383"/>
      <c r="AB5383" s="23"/>
      <c r="AF5383" s="22"/>
    </row>
    <row r="5384" spans="1:45">
      <c r="A5384" t="str">
        <f t="shared" si="1058"/>
        <v>PA_Alleg_2019p~Rep-auditor forward (vote for 1)</v>
      </c>
      <c r="B5384" s="55" t="s">
        <v>1291</v>
      </c>
      <c r="C5384">
        <v>1592</v>
      </c>
      <c r="D5384" s="55" t="s">
        <v>508</v>
      </c>
      <c r="E5384" s="55" t="s">
        <v>15</v>
      </c>
      <c r="F5384" t="s">
        <v>1117</v>
      </c>
      <c r="G5384" s="62">
        <v>2</v>
      </c>
      <c r="H5384" s="25">
        <v>100</v>
      </c>
      <c r="I5384">
        <v>2091</v>
      </c>
      <c r="J5384">
        <v>333</v>
      </c>
      <c r="K5384">
        <v>4</v>
      </c>
      <c r="L5384">
        <v>4</v>
      </c>
      <c r="M5384">
        <v>0</v>
      </c>
      <c r="N5384" s="23">
        <v>0</v>
      </c>
      <c r="O5384">
        <f t="shared" si="1051"/>
        <v>0</v>
      </c>
      <c r="P5384" s="57">
        <f t="shared" si="1052"/>
        <v>1</v>
      </c>
      <c r="Q5384" s="267">
        <f t="shared" si="1053"/>
        <v>3</v>
      </c>
      <c r="R5384" s="23">
        <f t="shared" si="1054"/>
        <v>1</v>
      </c>
      <c r="S5384" s="23">
        <f t="shared" si="1055"/>
        <v>0</v>
      </c>
      <c r="T5384" s="23" t="str">
        <f t="shared" si="1056"/>
        <v/>
      </c>
      <c r="U5384" t="str">
        <f t="shared" si="1057"/>
        <v/>
      </c>
      <c r="X5384" s="43"/>
      <c r="Y5384" s="53"/>
      <c r="Z5384" s="53"/>
      <c r="AA5384"/>
      <c r="AB5384" s="23"/>
      <c r="AF5384" s="22"/>
    </row>
    <row r="5385" spans="1:45">
      <c r="A5385" t="str">
        <f t="shared" si="1058"/>
        <v>PA_Alleg_2019p~Rep-auditor forward (vote for 1)</v>
      </c>
      <c r="B5385" s="55" t="s">
        <v>1291</v>
      </c>
      <c r="C5385">
        <v>1566</v>
      </c>
      <c r="D5385" s="55" t="s">
        <v>508</v>
      </c>
      <c r="E5385" s="55" t="s">
        <v>15</v>
      </c>
      <c r="F5385" t="s">
        <v>1117</v>
      </c>
      <c r="G5385" s="62">
        <v>1</v>
      </c>
      <c r="H5385" s="25">
        <v>100</v>
      </c>
      <c r="I5385">
        <v>2091</v>
      </c>
      <c r="J5385">
        <v>333</v>
      </c>
      <c r="K5385">
        <v>4</v>
      </c>
      <c r="L5385">
        <v>4</v>
      </c>
      <c r="M5385">
        <v>0</v>
      </c>
      <c r="N5385" s="23">
        <v>0</v>
      </c>
      <c r="O5385">
        <f t="shared" si="1051"/>
        <v>0</v>
      </c>
      <c r="P5385" s="57">
        <f t="shared" si="1052"/>
        <v>1</v>
      </c>
      <c r="Q5385" s="267">
        <f t="shared" si="1053"/>
        <v>1</v>
      </c>
      <c r="R5385" s="23">
        <f t="shared" si="1054"/>
        <v>1</v>
      </c>
      <c r="S5385" s="23">
        <f t="shared" si="1055"/>
        <v>0</v>
      </c>
      <c r="T5385" s="23" t="str">
        <f t="shared" si="1056"/>
        <v/>
      </c>
      <c r="U5385" t="str">
        <f t="shared" si="1057"/>
        <v/>
      </c>
      <c r="X5385" s="43"/>
      <c r="Y5385" s="53"/>
      <c r="Z5385" s="53"/>
      <c r="AA5385"/>
      <c r="AB5385" s="23"/>
      <c r="AF5385" s="22"/>
    </row>
    <row r="5386" spans="1:45">
      <c r="A5386" t="str">
        <f t="shared" si="1058"/>
        <v>PA_Alleg_2019p~Rep-auditor frazer (vote for 1)</v>
      </c>
      <c r="B5386" s="55" t="s">
        <v>1291</v>
      </c>
      <c r="C5386">
        <v>1593</v>
      </c>
      <c r="D5386" s="55" t="s">
        <v>509</v>
      </c>
      <c r="E5386" s="55" t="s">
        <v>15</v>
      </c>
      <c r="F5386" t="s">
        <v>1117</v>
      </c>
      <c r="G5386" s="62">
        <v>4</v>
      </c>
      <c r="H5386" s="25">
        <v>100</v>
      </c>
      <c r="I5386">
        <v>766</v>
      </c>
      <c r="J5386">
        <v>91</v>
      </c>
      <c r="K5386">
        <v>1</v>
      </c>
      <c r="L5386">
        <v>1</v>
      </c>
      <c r="M5386">
        <v>0</v>
      </c>
      <c r="N5386" s="23">
        <v>0</v>
      </c>
      <c r="O5386">
        <f t="shared" si="1051"/>
        <v>0</v>
      </c>
      <c r="P5386" s="57">
        <f t="shared" si="1052"/>
        <v>1</v>
      </c>
      <c r="Q5386" s="267">
        <f t="shared" si="1053"/>
        <v>7</v>
      </c>
      <c r="R5386" s="23">
        <f t="shared" si="1054"/>
        <v>1</v>
      </c>
      <c r="S5386" s="23">
        <f t="shared" si="1055"/>
        <v>0</v>
      </c>
      <c r="T5386" s="23" t="str">
        <f t="shared" si="1056"/>
        <v/>
      </c>
      <c r="U5386" t="str">
        <f t="shared" si="1057"/>
        <v>PA_Alleg_2019p~Rep-auditor frazer (vote for 1)</v>
      </c>
      <c r="X5386" s="43"/>
      <c r="Y5386" s="53"/>
      <c r="Z5386" s="53"/>
      <c r="AA5386"/>
      <c r="AB5386" s="23"/>
      <c r="AF5386" s="22"/>
    </row>
    <row r="5387" spans="1:45">
      <c r="A5387" t="str">
        <f t="shared" si="1058"/>
        <v>PA_Alleg_2019p~Rep-auditor frazer (vote for 1)</v>
      </c>
      <c r="B5387" s="55" t="s">
        <v>1291</v>
      </c>
      <c r="C5387">
        <v>1567</v>
      </c>
      <c r="D5387" s="55" t="s">
        <v>509</v>
      </c>
      <c r="E5387" s="55" t="s">
        <v>15</v>
      </c>
      <c r="F5387" t="s">
        <v>1117</v>
      </c>
      <c r="G5387" s="62">
        <v>3</v>
      </c>
      <c r="H5387" s="25">
        <v>100</v>
      </c>
      <c r="I5387">
        <v>766</v>
      </c>
      <c r="J5387">
        <v>91</v>
      </c>
      <c r="K5387">
        <v>1</v>
      </c>
      <c r="L5387">
        <v>1</v>
      </c>
      <c r="M5387">
        <v>0</v>
      </c>
      <c r="N5387" s="23">
        <v>0</v>
      </c>
      <c r="O5387">
        <f t="shared" si="1051"/>
        <v>0</v>
      </c>
      <c r="P5387" s="57">
        <f t="shared" si="1052"/>
        <v>1</v>
      </c>
      <c r="Q5387" s="267">
        <f t="shared" si="1053"/>
        <v>3</v>
      </c>
      <c r="R5387" s="23">
        <f t="shared" si="1054"/>
        <v>1</v>
      </c>
      <c r="S5387" s="23">
        <f t="shared" si="1055"/>
        <v>0</v>
      </c>
      <c r="T5387" s="23" t="str">
        <f t="shared" si="1056"/>
        <v/>
      </c>
      <c r="U5387" t="str">
        <f t="shared" si="1057"/>
        <v/>
      </c>
      <c r="X5387" s="43"/>
      <c r="Y5387" s="53"/>
      <c r="Z5387" s="53"/>
      <c r="AA5387"/>
      <c r="AB5387" s="23"/>
      <c r="AF5387" s="22"/>
    </row>
    <row r="5388" spans="1:45">
      <c r="A5388" t="str">
        <f t="shared" si="1058"/>
        <v>PA_Alleg_2019p~Rep-auditor glenfield (vote for 1)</v>
      </c>
      <c r="B5388" s="55" t="s">
        <v>1291</v>
      </c>
      <c r="C5388">
        <v>1568</v>
      </c>
      <c r="D5388" s="55" t="s">
        <v>511</v>
      </c>
      <c r="E5388" s="55" t="s">
        <v>15</v>
      </c>
      <c r="F5388" t="s">
        <v>1117</v>
      </c>
      <c r="G5388" s="62">
        <v>2</v>
      </c>
      <c r="H5388" s="25">
        <v>100</v>
      </c>
      <c r="I5388">
        <v>153</v>
      </c>
      <c r="J5388">
        <v>26</v>
      </c>
      <c r="K5388">
        <v>1</v>
      </c>
      <c r="L5388">
        <v>1</v>
      </c>
      <c r="M5388">
        <v>0</v>
      </c>
      <c r="N5388" s="23">
        <v>0</v>
      </c>
      <c r="O5388">
        <f t="shared" si="1051"/>
        <v>0</v>
      </c>
      <c r="P5388" s="57">
        <f t="shared" si="1052"/>
        <v>1</v>
      </c>
      <c r="Q5388" s="267">
        <f t="shared" si="1053"/>
        <v>3</v>
      </c>
      <c r="R5388" s="23">
        <f t="shared" si="1054"/>
        <v>1</v>
      </c>
      <c r="S5388" s="23">
        <f t="shared" si="1055"/>
        <v>0</v>
      </c>
      <c r="T5388" s="23" t="str">
        <f t="shared" si="1056"/>
        <v/>
      </c>
      <c r="U5388" t="str">
        <f t="shared" si="1057"/>
        <v>PA_Alleg_2019p~Rep-auditor glenfield (vote for 1)</v>
      </c>
      <c r="X5388" s="43"/>
      <c r="Y5388" s="53"/>
      <c r="Z5388" s="53"/>
      <c r="AA5388"/>
      <c r="AB5388" s="23"/>
      <c r="AF5388" s="22"/>
    </row>
    <row r="5389" spans="1:45">
      <c r="A5389" t="str">
        <f t="shared" si="1058"/>
        <v>PA_Alleg_2019p~Rep-auditor glenfield (vote for 1)</v>
      </c>
      <c r="B5389" s="55" t="s">
        <v>1291</v>
      </c>
      <c r="C5389">
        <v>1583</v>
      </c>
      <c r="D5389" s="55" t="s">
        <v>511</v>
      </c>
      <c r="E5389" s="55" t="s">
        <v>15</v>
      </c>
      <c r="F5389" t="s">
        <v>1117</v>
      </c>
      <c r="G5389" s="62">
        <v>1</v>
      </c>
      <c r="H5389" s="25">
        <v>100</v>
      </c>
      <c r="I5389">
        <v>153</v>
      </c>
      <c r="J5389">
        <v>26</v>
      </c>
      <c r="K5389">
        <v>1</v>
      </c>
      <c r="L5389">
        <v>1</v>
      </c>
      <c r="M5389">
        <v>0</v>
      </c>
      <c r="N5389" s="23">
        <v>0</v>
      </c>
      <c r="O5389">
        <f t="shared" si="1051"/>
        <v>0</v>
      </c>
      <c r="P5389" s="57">
        <f t="shared" si="1052"/>
        <v>1</v>
      </c>
      <c r="Q5389" s="267">
        <f t="shared" si="1053"/>
        <v>1</v>
      </c>
      <c r="R5389" s="23">
        <f t="shared" si="1054"/>
        <v>1</v>
      </c>
      <c r="S5389" s="23">
        <f t="shared" si="1055"/>
        <v>0</v>
      </c>
      <c r="T5389" s="23" t="str">
        <f t="shared" si="1056"/>
        <v/>
      </c>
      <c r="U5389" t="str">
        <f t="shared" si="1057"/>
        <v/>
      </c>
      <c r="X5389" s="43"/>
      <c r="Y5389" s="53"/>
      <c r="Z5389" s="53"/>
      <c r="AA5389"/>
      <c r="AB5389" s="23"/>
      <c r="AF5389" s="22"/>
      <c r="AH5389" s="8"/>
      <c r="AL5389" s="23"/>
      <c r="AQ5389" s="395"/>
      <c r="AR5389" s="395"/>
      <c r="AS5389" s="395"/>
    </row>
    <row r="5390" spans="1:45">
      <c r="A5390" t="str">
        <f t="shared" si="1058"/>
        <v>PA_Alleg_2019p~Rep-auditor glenfield (vote for 1)</v>
      </c>
      <c r="B5390" s="55" t="s">
        <v>1291</v>
      </c>
      <c r="C5390">
        <v>1594</v>
      </c>
      <c r="D5390" s="55" t="s">
        <v>511</v>
      </c>
      <c r="E5390" s="55" t="s">
        <v>15</v>
      </c>
      <c r="F5390" t="s">
        <v>1117</v>
      </c>
      <c r="G5390" s="62">
        <v>0</v>
      </c>
      <c r="H5390" s="25">
        <v>0</v>
      </c>
      <c r="I5390">
        <v>153</v>
      </c>
      <c r="J5390">
        <v>26</v>
      </c>
      <c r="K5390">
        <v>1</v>
      </c>
      <c r="L5390">
        <v>1</v>
      </c>
      <c r="M5390">
        <v>0</v>
      </c>
      <c r="N5390" s="23">
        <v>0</v>
      </c>
      <c r="O5390">
        <f t="shared" si="1051"/>
        <v>0</v>
      </c>
      <c r="P5390" s="57">
        <f t="shared" si="1052"/>
        <v>1</v>
      </c>
      <c r="Q5390" s="267">
        <f t="shared" si="1053"/>
        <v>0</v>
      </c>
      <c r="R5390" s="23">
        <f t="shared" si="1054"/>
        <v>1</v>
      </c>
      <c r="S5390" s="23">
        <f t="shared" si="1055"/>
        <v>0</v>
      </c>
      <c r="T5390" s="23" t="str">
        <f t="shared" si="1056"/>
        <v/>
      </c>
      <c r="U5390" t="str">
        <f t="shared" si="1057"/>
        <v/>
      </c>
      <c r="X5390" s="43"/>
      <c r="Y5390" s="53"/>
      <c r="Z5390" s="53"/>
      <c r="AA5390"/>
      <c r="AB5390" s="23"/>
      <c r="AF5390" s="22"/>
      <c r="AH5390" s="8"/>
      <c r="AL5390" s="23"/>
    </row>
    <row r="5391" spans="1:45">
      <c r="A5391" t="str">
        <f t="shared" si="1058"/>
        <v>PA_Alleg_2019p~Rep-auditor harmar (vote for 1)</v>
      </c>
      <c r="B5391" s="55" t="s">
        <v>1291</v>
      </c>
      <c r="C5391">
        <v>1569</v>
      </c>
      <c r="D5391" s="55" t="s">
        <v>512</v>
      </c>
      <c r="E5391" s="55" t="s">
        <v>15</v>
      </c>
      <c r="F5391" t="s">
        <v>1117</v>
      </c>
      <c r="G5391" s="62">
        <v>1</v>
      </c>
      <c r="H5391" s="25">
        <v>100</v>
      </c>
      <c r="I5391">
        <v>2438</v>
      </c>
      <c r="J5391">
        <v>373</v>
      </c>
      <c r="K5391">
        <v>3</v>
      </c>
      <c r="L5391">
        <v>3</v>
      </c>
      <c r="M5391">
        <v>0</v>
      </c>
      <c r="N5391" s="23">
        <v>0</v>
      </c>
      <c r="O5391">
        <f t="shared" si="1051"/>
        <v>0</v>
      </c>
      <c r="P5391" s="57">
        <f t="shared" si="1052"/>
        <v>1</v>
      </c>
      <c r="Q5391" s="267">
        <f t="shared" si="1053"/>
        <v>2</v>
      </c>
      <c r="R5391" s="23">
        <f t="shared" si="1054"/>
        <v>1</v>
      </c>
      <c r="S5391" s="23">
        <f t="shared" si="1055"/>
        <v>0</v>
      </c>
      <c r="T5391" s="23" t="str">
        <f t="shared" si="1056"/>
        <v/>
      </c>
      <c r="U5391" t="str">
        <f t="shared" si="1057"/>
        <v>PA_Alleg_2019p~Rep-auditor harmar (vote for 1)</v>
      </c>
      <c r="X5391" s="43"/>
      <c r="Y5391" s="53"/>
      <c r="Z5391" s="53"/>
      <c r="AA5391"/>
      <c r="AB5391" s="23"/>
      <c r="AF5391" s="22"/>
    </row>
    <row r="5392" spans="1:45">
      <c r="A5392" t="str">
        <f t="shared" si="1058"/>
        <v>PA_Alleg_2019p~Rep-auditor harmar (vote for 1)</v>
      </c>
      <c r="B5392" s="55" t="s">
        <v>1291</v>
      </c>
      <c r="C5392">
        <v>1584</v>
      </c>
      <c r="D5392" s="55" t="s">
        <v>512</v>
      </c>
      <c r="E5392" s="55" t="s">
        <v>15</v>
      </c>
      <c r="F5392" t="s">
        <v>1117</v>
      </c>
      <c r="G5392" s="62">
        <v>1</v>
      </c>
      <c r="H5392" s="25">
        <v>100</v>
      </c>
      <c r="I5392">
        <v>2438</v>
      </c>
      <c r="J5392">
        <v>373</v>
      </c>
      <c r="K5392">
        <v>3</v>
      </c>
      <c r="L5392">
        <v>3</v>
      </c>
      <c r="M5392">
        <v>0</v>
      </c>
      <c r="N5392" s="23">
        <v>0</v>
      </c>
      <c r="O5392">
        <f t="shared" si="1051"/>
        <v>0</v>
      </c>
      <c r="P5392" s="57">
        <f t="shared" si="1052"/>
        <v>1</v>
      </c>
      <c r="Q5392" s="267">
        <f t="shared" si="1053"/>
        <v>1</v>
      </c>
      <c r="R5392" s="23">
        <f t="shared" si="1054"/>
        <v>1</v>
      </c>
      <c r="S5392" s="23">
        <f t="shared" si="1055"/>
        <v>0</v>
      </c>
      <c r="T5392" s="23" t="str">
        <f t="shared" si="1056"/>
        <v/>
      </c>
      <c r="U5392" t="str">
        <f t="shared" si="1057"/>
        <v/>
      </c>
      <c r="X5392" s="43"/>
      <c r="Y5392" s="53"/>
      <c r="Z5392" s="53"/>
      <c r="AA5392"/>
      <c r="AB5392" s="23"/>
      <c r="AF5392" s="22"/>
      <c r="AH5392" s="8"/>
      <c r="AL5392" s="23"/>
    </row>
    <row r="5393" spans="1:45">
      <c r="A5393" t="str">
        <f t="shared" si="1058"/>
        <v>PA_Alleg_2019p~Rep-auditor indiana (vote for 1)</v>
      </c>
      <c r="B5393" s="55" t="s">
        <v>1291</v>
      </c>
      <c r="C5393">
        <v>1595</v>
      </c>
      <c r="D5393" s="55" t="s">
        <v>513</v>
      </c>
      <c r="E5393" s="55" t="s">
        <v>15</v>
      </c>
      <c r="F5393" t="s">
        <v>1117</v>
      </c>
      <c r="G5393" s="62">
        <v>15</v>
      </c>
      <c r="H5393" s="25">
        <v>100</v>
      </c>
      <c r="I5393">
        <v>5167</v>
      </c>
      <c r="J5393">
        <v>947</v>
      </c>
      <c r="K5393">
        <v>5</v>
      </c>
      <c r="L5393">
        <v>5</v>
      </c>
      <c r="M5393">
        <v>0</v>
      </c>
      <c r="N5393" s="23">
        <v>0</v>
      </c>
      <c r="O5393">
        <f t="shared" si="1051"/>
        <v>0</v>
      </c>
      <c r="P5393" s="57">
        <f t="shared" si="1052"/>
        <v>1</v>
      </c>
      <c r="Q5393" s="267">
        <f t="shared" si="1053"/>
        <v>23</v>
      </c>
      <c r="R5393" s="23">
        <f t="shared" si="1054"/>
        <v>1</v>
      </c>
      <c r="S5393" s="23">
        <f t="shared" si="1055"/>
        <v>0</v>
      </c>
      <c r="T5393" s="23" t="str">
        <f t="shared" si="1056"/>
        <v/>
      </c>
      <c r="U5393" t="str">
        <f t="shared" si="1057"/>
        <v>PA_Alleg_2019p~Rep-auditor indiana (vote for 1)</v>
      </c>
      <c r="X5393" s="43"/>
      <c r="Y5393" s="53"/>
      <c r="Z5393" s="53"/>
      <c r="AA5393"/>
      <c r="AB5393" s="23"/>
      <c r="AF5393" s="22"/>
    </row>
    <row r="5394" spans="1:45">
      <c r="A5394" t="str">
        <f t="shared" si="1058"/>
        <v>PA_Alleg_2019p~Rep-auditor indiana (vote for 1)</v>
      </c>
      <c r="B5394" s="55" t="s">
        <v>1291</v>
      </c>
      <c r="C5394">
        <v>1570</v>
      </c>
      <c r="D5394" s="55" t="s">
        <v>513</v>
      </c>
      <c r="E5394" s="55" t="s">
        <v>15</v>
      </c>
      <c r="F5394" t="s">
        <v>1117</v>
      </c>
      <c r="G5394" s="62">
        <v>4</v>
      </c>
      <c r="H5394" s="25">
        <v>100</v>
      </c>
      <c r="I5394">
        <v>5167</v>
      </c>
      <c r="J5394">
        <v>947</v>
      </c>
      <c r="K5394">
        <v>5</v>
      </c>
      <c r="L5394">
        <v>5</v>
      </c>
      <c r="M5394">
        <v>0</v>
      </c>
      <c r="N5394" s="23">
        <v>0</v>
      </c>
      <c r="O5394">
        <f t="shared" si="1051"/>
        <v>0</v>
      </c>
      <c r="P5394" s="57">
        <f t="shared" si="1052"/>
        <v>1</v>
      </c>
      <c r="Q5394" s="267">
        <f t="shared" si="1053"/>
        <v>8</v>
      </c>
      <c r="R5394" s="23">
        <f t="shared" si="1054"/>
        <v>1</v>
      </c>
      <c r="S5394" s="23">
        <f t="shared" si="1055"/>
        <v>0</v>
      </c>
      <c r="T5394" s="23" t="str">
        <f t="shared" si="1056"/>
        <v/>
      </c>
      <c r="U5394" t="str">
        <f t="shared" si="1057"/>
        <v/>
      </c>
      <c r="X5394" s="43"/>
      <c r="Y5394" s="53"/>
      <c r="Z5394" s="53"/>
      <c r="AA5394"/>
      <c r="AB5394" s="23"/>
      <c r="AF5394" s="22"/>
      <c r="AH5394" s="8"/>
      <c r="AL5394" s="23"/>
    </row>
    <row r="5395" spans="1:45">
      <c r="A5395" t="str">
        <f t="shared" si="1058"/>
        <v>PA_Alleg_2019p~Rep-auditor indiana (vote for 1)</v>
      </c>
      <c r="B5395" s="55" t="s">
        <v>1291</v>
      </c>
      <c r="C5395">
        <v>1585</v>
      </c>
      <c r="D5395" s="55" t="s">
        <v>513</v>
      </c>
      <c r="E5395" s="55" t="s">
        <v>15</v>
      </c>
      <c r="F5395" t="s">
        <v>1117</v>
      </c>
      <c r="G5395" s="62">
        <v>4</v>
      </c>
      <c r="H5395" s="25">
        <v>100</v>
      </c>
      <c r="I5395">
        <v>5167</v>
      </c>
      <c r="J5395">
        <v>947</v>
      </c>
      <c r="K5395">
        <v>5</v>
      </c>
      <c r="L5395">
        <v>5</v>
      </c>
      <c r="M5395">
        <v>0</v>
      </c>
      <c r="N5395" s="23">
        <v>0</v>
      </c>
      <c r="O5395">
        <f t="shared" si="1051"/>
        <v>0</v>
      </c>
      <c r="P5395" s="57">
        <f t="shared" si="1052"/>
        <v>1</v>
      </c>
      <c r="Q5395" s="267">
        <f t="shared" si="1053"/>
        <v>4</v>
      </c>
      <c r="R5395" s="23">
        <f t="shared" si="1054"/>
        <v>1</v>
      </c>
      <c r="S5395" s="23">
        <f t="shared" si="1055"/>
        <v>0</v>
      </c>
      <c r="T5395" s="23" t="str">
        <f t="shared" si="1056"/>
        <v/>
      </c>
      <c r="U5395" t="str">
        <f t="shared" si="1057"/>
        <v/>
      </c>
      <c r="X5395" s="43"/>
      <c r="Y5395" s="53"/>
      <c r="Z5395" s="53"/>
      <c r="AA5395"/>
      <c r="AB5395" s="23"/>
      <c r="AF5395" s="22"/>
      <c r="AH5395" s="8"/>
      <c r="AL5395" s="23"/>
    </row>
    <row r="5396" spans="1:45">
      <c r="A5396" t="str">
        <f t="shared" si="1058"/>
        <v>PA_Alleg_2019p~Rep-auditor kilbuck (vote for 1)</v>
      </c>
      <c r="B5396" s="55" t="s">
        <v>1291</v>
      </c>
      <c r="C5396">
        <v>1571</v>
      </c>
      <c r="D5396" s="55" t="s">
        <v>514</v>
      </c>
      <c r="E5396" s="55" t="s">
        <v>15</v>
      </c>
      <c r="F5396" t="s">
        <v>1117</v>
      </c>
      <c r="G5396" s="62">
        <v>2</v>
      </c>
      <c r="H5396" s="25">
        <v>100</v>
      </c>
      <c r="I5396">
        <v>608</v>
      </c>
      <c r="J5396">
        <v>116</v>
      </c>
      <c r="K5396">
        <v>1</v>
      </c>
      <c r="L5396">
        <v>1</v>
      </c>
      <c r="M5396">
        <v>0</v>
      </c>
      <c r="N5396" s="23">
        <v>0</v>
      </c>
      <c r="O5396">
        <f t="shared" si="1051"/>
        <v>0</v>
      </c>
      <c r="P5396" s="57">
        <f t="shared" si="1052"/>
        <v>1</v>
      </c>
      <c r="Q5396" s="267">
        <f t="shared" si="1053"/>
        <v>4</v>
      </c>
      <c r="R5396" s="23">
        <f t="shared" si="1054"/>
        <v>1</v>
      </c>
      <c r="S5396" s="23">
        <f t="shared" si="1055"/>
        <v>0</v>
      </c>
      <c r="T5396" s="23" t="str">
        <f t="shared" si="1056"/>
        <v/>
      </c>
      <c r="U5396" t="str">
        <f t="shared" si="1057"/>
        <v>PA_Alleg_2019p~Rep-auditor kilbuck (vote for 1)</v>
      </c>
      <c r="X5396" s="43"/>
      <c r="Y5396" s="53"/>
      <c r="Z5396" s="53"/>
      <c r="AA5396"/>
      <c r="AB5396" s="23"/>
      <c r="AF5396" s="22"/>
      <c r="AH5396" s="8"/>
      <c r="AL5396" s="23"/>
    </row>
    <row r="5397" spans="1:45">
      <c r="A5397" t="str">
        <f t="shared" si="1058"/>
        <v>PA_Alleg_2019p~Rep-auditor kilbuck (vote for 1)</v>
      </c>
      <c r="B5397" s="55" t="s">
        <v>1291</v>
      </c>
      <c r="C5397">
        <v>1586</v>
      </c>
      <c r="D5397" s="55" t="s">
        <v>514</v>
      </c>
      <c r="E5397" s="55" t="s">
        <v>15</v>
      </c>
      <c r="F5397" t="s">
        <v>1117</v>
      </c>
      <c r="G5397" s="62">
        <v>1</v>
      </c>
      <c r="H5397" s="25">
        <v>100</v>
      </c>
      <c r="I5397">
        <v>608</v>
      </c>
      <c r="J5397">
        <v>116</v>
      </c>
      <c r="K5397">
        <v>1</v>
      </c>
      <c r="L5397">
        <v>1</v>
      </c>
      <c r="M5397">
        <v>0</v>
      </c>
      <c r="N5397" s="23">
        <v>0</v>
      </c>
      <c r="O5397">
        <f t="shared" si="1051"/>
        <v>0</v>
      </c>
      <c r="P5397" s="57">
        <f t="shared" si="1052"/>
        <v>1</v>
      </c>
      <c r="Q5397" s="267">
        <f t="shared" si="1053"/>
        <v>2</v>
      </c>
      <c r="R5397" s="23">
        <f t="shared" si="1054"/>
        <v>1</v>
      </c>
      <c r="S5397" s="23">
        <f t="shared" si="1055"/>
        <v>0</v>
      </c>
      <c r="T5397" s="23" t="str">
        <f t="shared" si="1056"/>
        <v/>
      </c>
      <c r="U5397" t="str">
        <f t="shared" si="1057"/>
        <v/>
      </c>
      <c r="X5397" s="43"/>
      <c r="Y5397" s="53"/>
      <c r="Z5397" s="53"/>
      <c r="AA5397"/>
      <c r="AB5397" s="23"/>
      <c r="AF5397" s="22"/>
    </row>
    <row r="5398" spans="1:45">
      <c r="A5398" t="str">
        <f t="shared" si="1058"/>
        <v>PA_Alleg_2019p~Rep-auditor kilbuck (vote for 1)</v>
      </c>
      <c r="B5398" s="55" t="s">
        <v>1291</v>
      </c>
      <c r="C5398">
        <v>1596</v>
      </c>
      <c r="D5398" s="55" t="s">
        <v>514</v>
      </c>
      <c r="E5398" s="55" t="s">
        <v>15</v>
      </c>
      <c r="F5398" t="s">
        <v>1117</v>
      </c>
      <c r="G5398" s="62">
        <v>1</v>
      </c>
      <c r="H5398" s="25">
        <v>100</v>
      </c>
      <c r="I5398">
        <v>608</v>
      </c>
      <c r="J5398">
        <v>116</v>
      </c>
      <c r="K5398">
        <v>1</v>
      </c>
      <c r="L5398">
        <v>1</v>
      </c>
      <c r="M5398">
        <v>0</v>
      </c>
      <c r="N5398" s="23">
        <v>0</v>
      </c>
      <c r="O5398">
        <f t="shared" si="1051"/>
        <v>0</v>
      </c>
      <c r="P5398" s="57">
        <f t="shared" si="1052"/>
        <v>1</v>
      </c>
      <c r="Q5398" s="267">
        <f t="shared" si="1053"/>
        <v>1</v>
      </c>
      <c r="R5398" s="23">
        <f t="shared" si="1054"/>
        <v>1</v>
      </c>
      <c r="S5398" s="23">
        <f t="shared" si="1055"/>
        <v>0</v>
      </c>
      <c r="T5398" s="23" t="str">
        <f t="shared" si="1056"/>
        <v/>
      </c>
      <c r="U5398" t="str">
        <f t="shared" si="1057"/>
        <v/>
      </c>
      <c r="X5398" s="43"/>
      <c r="Y5398" s="53"/>
      <c r="Z5398" s="53"/>
      <c r="AA5398"/>
      <c r="AB5398" s="23"/>
      <c r="AF5398" s="22"/>
    </row>
    <row r="5399" spans="1:45">
      <c r="A5399" t="str">
        <f t="shared" si="1058"/>
        <v>PA_Alleg_2019p~Rep-auditor marshall (vote for 1)</v>
      </c>
      <c r="B5399" s="55" t="s">
        <v>1291</v>
      </c>
      <c r="C5399">
        <v>1572</v>
      </c>
      <c r="D5399" s="55" t="s">
        <v>515</v>
      </c>
      <c r="E5399" s="55" t="s">
        <v>15</v>
      </c>
      <c r="F5399" t="s">
        <v>1117</v>
      </c>
      <c r="G5399" s="62">
        <v>11</v>
      </c>
      <c r="H5399" s="25">
        <v>100</v>
      </c>
      <c r="I5399">
        <v>6810</v>
      </c>
      <c r="J5399">
        <v>683</v>
      </c>
      <c r="K5399">
        <v>6</v>
      </c>
      <c r="L5399">
        <v>6</v>
      </c>
      <c r="M5399">
        <v>0</v>
      </c>
      <c r="N5399" s="23">
        <v>0</v>
      </c>
      <c r="O5399">
        <f t="shared" si="1051"/>
        <v>0</v>
      </c>
      <c r="P5399" s="57">
        <f t="shared" si="1052"/>
        <v>1</v>
      </c>
      <c r="Q5399" s="267">
        <f t="shared" si="1053"/>
        <v>11</v>
      </c>
      <c r="R5399" s="23">
        <f t="shared" si="1054"/>
        <v>1</v>
      </c>
      <c r="S5399" s="23">
        <f t="shared" si="1055"/>
        <v>0</v>
      </c>
      <c r="T5399" s="23" t="str">
        <f t="shared" si="1056"/>
        <v/>
      </c>
      <c r="U5399" t="str">
        <f t="shared" si="1057"/>
        <v>PA_Alleg_2019p~Rep-auditor marshall (vote for 1)</v>
      </c>
      <c r="X5399" s="43"/>
      <c r="Y5399" s="53"/>
      <c r="Z5399" s="53"/>
      <c r="AA5399"/>
      <c r="AB5399" s="23"/>
      <c r="AF5399" s="22"/>
    </row>
    <row r="5400" spans="1:45">
      <c r="A5400" t="str">
        <f t="shared" si="1058"/>
        <v>PA_Alleg_2019p~Rep-auditor moon (vote for 1)</v>
      </c>
      <c r="B5400" s="55" t="s">
        <v>1291</v>
      </c>
      <c r="C5400">
        <v>1573</v>
      </c>
      <c r="D5400" s="55" t="s">
        <v>516</v>
      </c>
      <c r="E5400" s="55" t="s">
        <v>1133</v>
      </c>
      <c r="F5400" t="s">
        <v>1117</v>
      </c>
      <c r="G5400" s="62">
        <v>930</v>
      </c>
      <c r="H5400" s="25">
        <v>99.36</v>
      </c>
      <c r="I5400">
        <v>19077</v>
      </c>
      <c r="J5400">
        <v>2966</v>
      </c>
      <c r="K5400">
        <v>13</v>
      </c>
      <c r="L5400">
        <v>13</v>
      </c>
      <c r="M5400">
        <v>0</v>
      </c>
      <c r="N5400" s="23">
        <v>0</v>
      </c>
      <c r="O5400">
        <f t="shared" si="1051"/>
        <v>1</v>
      </c>
      <c r="P5400" s="57">
        <f t="shared" si="1052"/>
        <v>1</v>
      </c>
      <c r="Q5400" s="267">
        <f t="shared" si="1053"/>
        <v>964</v>
      </c>
      <c r="R5400" s="23">
        <f t="shared" si="1054"/>
        <v>930</v>
      </c>
      <c r="S5400" s="23">
        <f t="shared" si="1055"/>
        <v>0</v>
      </c>
      <c r="T5400" s="23" t="str">
        <f t="shared" si="1056"/>
        <v/>
      </c>
      <c r="U5400" t="str">
        <f t="shared" si="1057"/>
        <v>PA_Alleg_2019p~Rep-auditor moon (vote for 1)</v>
      </c>
      <c r="X5400" s="43"/>
      <c r="Y5400" s="53"/>
      <c r="Z5400" s="53"/>
      <c r="AA5400"/>
      <c r="AB5400" s="23"/>
      <c r="AF5400" s="22"/>
    </row>
    <row r="5401" spans="1:45">
      <c r="A5401" t="str">
        <f t="shared" si="1058"/>
        <v>PA_Alleg_2019p~Rep-auditor moon (vote for 1)</v>
      </c>
      <c r="B5401" s="55" t="s">
        <v>1291</v>
      </c>
      <c r="C5401">
        <v>1597</v>
      </c>
      <c r="D5401" s="55" t="s">
        <v>516</v>
      </c>
      <c r="E5401" s="55" t="s">
        <v>15</v>
      </c>
      <c r="F5401" t="s">
        <v>1117</v>
      </c>
      <c r="G5401" s="62">
        <v>28</v>
      </c>
      <c r="H5401" s="25">
        <v>100</v>
      </c>
      <c r="I5401">
        <v>19077</v>
      </c>
      <c r="J5401">
        <v>2966</v>
      </c>
      <c r="K5401">
        <v>13</v>
      </c>
      <c r="L5401">
        <v>13</v>
      </c>
      <c r="M5401">
        <v>0</v>
      </c>
      <c r="N5401" s="23">
        <v>0</v>
      </c>
      <c r="O5401">
        <f t="shared" si="1051"/>
        <v>-1</v>
      </c>
      <c r="P5401" s="57">
        <f t="shared" si="1052"/>
        <v>1</v>
      </c>
      <c r="Q5401" s="267">
        <f t="shared" si="1053"/>
        <v>34</v>
      </c>
      <c r="R5401" s="23">
        <f t="shared" si="1054"/>
        <v>1</v>
      </c>
      <c r="S5401" s="23">
        <f t="shared" si="1055"/>
        <v>0</v>
      </c>
      <c r="T5401" s="23" t="str">
        <f t="shared" si="1056"/>
        <v/>
      </c>
      <c r="U5401" t="str">
        <f t="shared" si="1057"/>
        <v/>
      </c>
      <c r="X5401" s="43"/>
      <c r="Y5401" s="53"/>
      <c r="Z5401" s="53"/>
      <c r="AA5401"/>
      <c r="AB5401" s="23"/>
      <c r="AO5401" s="356"/>
      <c r="AP5401" s="356"/>
      <c r="AQ5401" s="394"/>
      <c r="AR5401" s="394"/>
      <c r="AS5401" s="394"/>
    </row>
    <row r="5402" spans="1:45">
      <c r="A5402" t="str">
        <f t="shared" si="1058"/>
        <v>PA_Alleg_2019p~Rep-auditor moon (vote for 1)</v>
      </c>
      <c r="B5402" s="55" t="s">
        <v>1291</v>
      </c>
      <c r="C5402">
        <v>1574</v>
      </c>
      <c r="D5402" s="55" t="s">
        <v>516</v>
      </c>
      <c r="E5402" s="55" t="s">
        <v>15</v>
      </c>
      <c r="F5402" t="s">
        <v>1117</v>
      </c>
      <c r="G5402" s="62">
        <v>6</v>
      </c>
      <c r="H5402" s="25">
        <v>0.64</v>
      </c>
      <c r="I5402">
        <v>19077</v>
      </c>
      <c r="J5402">
        <v>2966</v>
      </c>
      <c r="K5402">
        <v>13</v>
      </c>
      <c r="L5402">
        <v>13</v>
      </c>
      <c r="M5402">
        <v>0</v>
      </c>
      <c r="N5402" s="23">
        <v>0</v>
      </c>
      <c r="O5402">
        <f t="shared" si="1051"/>
        <v>-1</v>
      </c>
      <c r="P5402" s="57">
        <f t="shared" si="1052"/>
        <v>1</v>
      </c>
      <c r="Q5402" s="267">
        <f t="shared" si="1053"/>
        <v>6</v>
      </c>
      <c r="R5402" s="23">
        <f t="shared" si="1054"/>
        <v>1</v>
      </c>
      <c r="S5402" s="23">
        <f t="shared" si="1055"/>
        <v>0</v>
      </c>
      <c r="T5402" s="23" t="str">
        <f t="shared" si="1056"/>
        <v/>
      </c>
      <c r="U5402" t="str">
        <f t="shared" si="1057"/>
        <v/>
      </c>
      <c r="X5402" s="43"/>
      <c r="Y5402" s="53"/>
      <c r="Z5402" s="53"/>
      <c r="AA5402"/>
      <c r="AB5402" s="23"/>
      <c r="AF5402" s="22"/>
      <c r="AO5402" s="356"/>
      <c r="AP5402" s="356"/>
      <c r="AQ5402" s="394"/>
      <c r="AR5402" s="394"/>
      <c r="AS5402" s="394"/>
    </row>
    <row r="5403" spans="1:45">
      <c r="A5403" t="str">
        <f t="shared" si="1058"/>
        <v>PA_Alleg_2019p~Rep-auditor north fayette (vote for 1)</v>
      </c>
      <c r="B5403" s="55" t="s">
        <v>1291</v>
      </c>
      <c r="C5403">
        <v>1575</v>
      </c>
      <c r="D5403" s="55" t="s">
        <v>518</v>
      </c>
      <c r="E5403" s="55" t="s">
        <v>15</v>
      </c>
      <c r="F5403" t="s">
        <v>1117</v>
      </c>
      <c r="G5403" s="62">
        <v>9</v>
      </c>
      <c r="H5403" s="25">
        <v>100</v>
      </c>
      <c r="I5403">
        <v>10857</v>
      </c>
      <c r="J5403">
        <v>1052</v>
      </c>
      <c r="K5403">
        <v>5</v>
      </c>
      <c r="L5403">
        <v>5</v>
      </c>
      <c r="M5403">
        <v>0</v>
      </c>
      <c r="N5403" s="23">
        <v>0</v>
      </c>
      <c r="O5403">
        <f t="shared" si="1051"/>
        <v>0</v>
      </c>
      <c r="P5403" s="57">
        <f t="shared" si="1052"/>
        <v>1</v>
      </c>
      <c r="Q5403" s="267">
        <f t="shared" si="1053"/>
        <v>9</v>
      </c>
      <c r="R5403" s="23">
        <f t="shared" si="1054"/>
        <v>1</v>
      </c>
      <c r="S5403" s="23">
        <f t="shared" si="1055"/>
        <v>0</v>
      </c>
      <c r="T5403" s="23" t="str">
        <f t="shared" si="1056"/>
        <v/>
      </c>
      <c r="U5403" t="str">
        <f t="shared" si="1057"/>
        <v>PA_Alleg_2019p~Rep-auditor north fayette (vote for 1)</v>
      </c>
      <c r="X5403" s="43"/>
      <c r="Y5403" s="53"/>
      <c r="Z5403" s="53"/>
      <c r="AA5403"/>
      <c r="AB5403" s="23"/>
      <c r="AF5403" s="22"/>
      <c r="AO5403" s="356"/>
      <c r="AP5403" s="356"/>
      <c r="AQ5403" s="394"/>
      <c r="AR5403" s="394"/>
      <c r="AS5403" s="394"/>
    </row>
    <row r="5404" spans="1:45">
      <c r="A5404" t="str">
        <f t="shared" si="1058"/>
        <v>PA_Alleg_2019p~Rep-auditor ohara (vote for 1)</v>
      </c>
      <c r="B5404" s="55" t="s">
        <v>1291</v>
      </c>
      <c r="C5404">
        <v>1576</v>
      </c>
      <c r="D5404" s="55" t="s">
        <v>519</v>
      </c>
      <c r="E5404" s="55" t="s">
        <v>15</v>
      </c>
      <c r="F5404" t="s">
        <v>1117</v>
      </c>
      <c r="G5404" s="62">
        <v>4</v>
      </c>
      <c r="H5404" s="25">
        <v>100</v>
      </c>
      <c r="I5404">
        <v>7581</v>
      </c>
      <c r="J5404">
        <v>1591</v>
      </c>
      <c r="K5404">
        <v>10</v>
      </c>
      <c r="L5404">
        <v>10</v>
      </c>
      <c r="M5404">
        <v>0</v>
      </c>
      <c r="N5404" s="23">
        <v>0</v>
      </c>
      <c r="O5404">
        <f t="shared" si="1051"/>
        <v>0</v>
      </c>
      <c r="P5404" s="57">
        <f t="shared" si="1052"/>
        <v>1</v>
      </c>
      <c r="Q5404" s="267">
        <f t="shared" si="1053"/>
        <v>4</v>
      </c>
      <c r="R5404" s="23">
        <f t="shared" si="1054"/>
        <v>1</v>
      </c>
      <c r="S5404" s="23">
        <f t="shared" si="1055"/>
        <v>0</v>
      </c>
      <c r="T5404" s="23" t="str">
        <f t="shared" si="1056"/>
        <v/>
      </c>
      <c r="U5404" t="str">
        <f t="shared" si="1057"/>
        <v>PA_Alleg_2019p~Rep-auditor ohara (vote for 1)</v>
      </c>
      <c r="X5404" s="43"/>
      <c r="Y5404" s="53"/>
      <c r="Z5404" s="53"/>
      <c r="AA5404"/>
      <c r="AB5404" s="23"/>
      <c r="AF5404" s="22"/>
      <c r="AO5404" s="356"/>
      <c r="AP5404" s="356"/>
      <c r="AQ5404" s="394"/>
      <c r="AR5404" s="394"/>
      <c r="AS5404" s="394"/>
    </row>
    <row r="5405" spans="1:45">
      <c r="A5405" t="str">
        <f t="shared" si="1058"/>
        <v>PA_Alleg_2019p~Rep-auditor south park (vote for 1)</v>
      </c>
      <c r="B5405" s="55" t="s">
        <v>1291</v>
      </c>
      <c r="C5405">
        <v>1577</v>
      </c>
      <c r="D5405" s="55" t="s">
        <v>520</v>
      </c>
      <c r="E5405" s="55" t="s">
        <v>15</v>
      </c>
      <c r="F5405" t="s">
        <v>1117</v>
      </c>
      <c r="G5405" s="62">
        <v>19</v>
      </c>
      <c r="H5405" s="25">
        <v>100</v>
      </c>
      <c r="I5405">
        <v>9810</v>
      </c>
      <c r="J5405">
        <v>1387</v>
      </c>
      <c r="K5405">
        <v>13</v>
      </c>
      <c r="L5405">
        <v>13</v>
      </c>
      <c r="M5405">
        <v>0</v>
      </c>
      <c r="N5405" s="23">
        <v>0</v>
      </c>
      <c r="O5405">
        <f t="shared" si="1051"/>
        <v>0</v>
      </c>
      <c r="P5405" s="57">
        <f t="shared" si="1052"/>
        <v>1</v>
      </c>
      <c r="Q5405" s="267">
        <f t="shared" si="1053"/>
        <v>19</v>
      </c>
      <c r="R5405" s="23">
        <f t="shared" si="1054"/>
        <v>1</v>
      </c>
      <c r="S5405" s="23">
        <f t="shared" si="1055"/>
        <v>0</v>
      </c>
      <c r="T5405" s="23" t="str">
        <f t="shared" si="1056"/>
        <v/>
      </c>
      <c r="U5405" t="str">
        <f t="shared" si="1057"/>
        <v>PA_Alleg_2019p~Rep-auditor south park (vote for 1)</v>
      </c>
      <c r="X5405" s="43"/>
      <c r="Y5405" s="53"/>
      <c r="Z5405" s="53"/>
      <c r="AA5405"/>
      <c r="AB5405" s="23"/>
      <c r="AF5405" s="22"/>
      <c r="AG5405" s="23"/>
      <c r="AH5405" s="8"/>
      <c r="AL5405" s="344"/>
      <c r="AO5405" s="356"/>
      <c r="AP5405" s="356"/>
      <c r="AQ5405" s="394"/>
      <c r="AR5405" s="394"/>
      <c r="AS5405" s="394"/>
    </row>
    <row r="5406" spans="1:45">
      <c r="A5406" t="str">
        <f t="shared" si="1058"/>
        <v>PA_Alleg_2019p~Rep-auditor west deer (vote for 1)</v>
      </c>
      <c r="B5406" s="55" t="s">
        <v>1291</v>
      </c>
      <c r="C5406">
        <v>1598</v>
      </c>
      <c r="D5406" s="55" t="s">
        <v>522</v>
      </c>
      <c r="E5406" s="55" t="s">
        <v>15</v>
      </c>
      <c r="F5406" t="s">
        <v>1117</v>
      </c>
      <c r="G5406" s="62">
        <v>13</v>
      </c>
      <c r="H5406" s="25">
        <v>100</v>
      </c>
      <c r="I5406">
        <v>8479</v>
      </c>
      <c r="J5406">
        <v>1082</v>
      </c>
      <c r="K5406">
        <v>8</v>
      </c>
      <c r="L5406">
        <v>8</v>
      </c>
      <c r="M5406">
        <v>0</v>
      </c>
      <c r="N5406" s="23">
        <v>0</v>
      </c>
      <c r="O5406">
        <f t="shared" si="1051"/>
        <v>0</v>
      </c>
      <c r="P5406" s="57">
        <f t="shared" si="1052"/>
        <v>1</v>
      </c>
      <c r="Q5406" s="267">
        <f t="shared" si="1053"/>
        <v>33</v>
      </c>
      <c r="R5406" s="23">
        <f t="shared" si="1054"/>
        <v>1</v>
      </c>
      <c r="S5406" s="23">
        <f t="shared" si="1055"/>
        <v>0</v>
      </c>
      <c r="T5406" s="23" t="str">
        <f t="shared" si="1056"/>
        <v/>
      </c>
      <c r="U5406" t="str">
        <f t="shared" si="1057"/>
        <v>PA_Alleg_2019p~Rep-auditor west deer (vote for 1)</v>
      </c>
      <c r="X5406" s="43"/>
      <c r="Y5406" s="53"/>
      <c r="Z5406" s="53"/>
      <c r="AA5406"/>
      <c r="AB5406" s="23"/>
      <c r="AF5406" s="22"/>
    </row>
    <row r="5407" spans="1:45">
      <c r="A5407" t="str">
        <f t="shared" si="1058"/>
        <v>PA_Alleg_2019p~Rep-auditor west deer (vote for 1)</v>
      </c>
      <c r="B5407" s="55" t="s">
        <v>1291</v>
      </c>
      <c r="C5407">
        <v>1587</v>
      </c>
      <c r="D5407" s="55" t="s">
        <v>522</v>
      </c>
      <c r="E5407" s="55" t="s">
        <v>15</v>
      </c>
      <c r="F5407" t="s">
        <v>1117</v>
      </c>
      <c r="G5407" s="62">
        <v>12</v>
      </c>
      <c r="H5407" s="25">
        <v>100</v>
      </c>
      <c r="I5407">
        <v>8479</v>
      </c>
      <c r="J5407">
        <v>1082</v>
      </c>
      <c r="K5407">
        <v>8</v>
      </c>
      <c r="L5407">
        <v>8</v>
      </c>
      <c r="M5407">
        <v>0</v>
      </c>
      <c r="N5407" s="23">
        <v>0</v>
      </c>
      <c r="O5407">
        <f t="shared" si="1051"/>
        <v>0</v>
      </c>
      <c r="P5407" s="57">
        <f t="shared" si="1052"/>
        <v>1</v>
      </c>
      <c r="Q5407" s="267">
        <f t="shared" si="1053"/>
        <v>20</v>
      </c>
      <c r="R5407" s="23">
        <f t="shared" si="1054"/>
        <v>1</v>
      </c>
      <c r="S5407" s="23">
        <f t="shared" si="1055"/>
        <v>0</v>
      </c>
      <c r="T5407" s="23" t="str">
        <f t="shared" si="1056"/>
        <v/>
      </c>
      <c r="U5407" t="str">
        <f t="shared" si="1057"/>
        <v/>
      </c>
      <c r="X5407" s="43"/>
      <c r="Y5407" s="53"/>
      <c r="Z5407" s="53"/>
      <c r="AA5407"/>
      <c r="AB5407" s="23"/>
      <c r="AF5407" s="22"/>
    </row>
    <row r="5408" spans="1:45">
      <c r="A5408" t="str">
        <f t="shared" si="1058"/>
        <v>PA_Alleg_2019p~Rep-auditor west deer (vote for 1)</v>
      </c>
      <c r="B5408" s="55" t="s">
        <v>1291</v>
      </c>
      <c r="C5408">
        <v>1578</v>
      </c>
      <c r="D5408" s="55" t="s">
        <v>522</v>
      </c>
      <c r="E5408" s="55" t="s">
        <v>15</v>
      </c>
      <c r="F5408" t="s">
        <v>1117</v>
      </c>
      <c r="G5408" s="62">
        <v>8</v>
      </c>
      <c r="H5408" s="25">
        <v>100</v>
      </c>
      <c r="I5408">
        <v>8479</v>
      </c>
      <c r="J5408">
        <v>1082</v>
      </c>
      <c r="K5408">
        <v>8</v>
      </c>
      <c r="L5408">
        <v>8</v>
      </c>
      <c r="M5408">
        <v>0</v>
      </c>
      <c r="N5408" s="23">
        <v>0</v>
      </c>
      <c r="O5408">
        <f t="shared" si="1051"/>
        <v>0</v>
      </c>
      <c r="P5408" s="57">
        <f t="shared" si="1052"/>
        <v>1</v>
      </c>
      <c r="Q5408" s="267">
        <f t="shared" si="1053"/>
        <v>8</v>
      </c>
      <c r="R5408" s="23">
        <f t="shared" si="1054"/>
        <v>1</v>
      </c>
      <c r="S5408" s="23">
        <f t="shared" si="1055"/>
        <v>0</v>
      </c>
      <c r="T5408" s="23" t="str">
        <f t="shared" si="1056"/>
        <v/>
      </c>
      <c r="U5408" t="str">
        <f t="shared" si="1057"/>
        <v/>
      </c>
      <c r="X5408" s="43"/>
      <c r="Y5408" s="53"/>
      <c r="Z5408" s="53"/>
      <c r="AA5408"/>
      <c r="AB5408" s="23"/>
      <c r="AF5408" s="22"/>
    </row>
    <row r="5409" spans="1:38">
      <c r="A5409" t="str">
        <f t="shared" si="1058"/>
        <v>PA_Alleg_2019p~Rep-auditor west elizabeth (vote for 1)</v>
      </c>
      <c r="B5409" s="55" t="s">
        <v>1291</v>
      </c>
      <c r="C5409">
        <v>1579</v>
      </c>
      <c r="D5409" s="55" t="s">
        <v>523</v>
      </c>
      <c r="E5409" s="55" t="s">
        <v>15</v>
      </c>
      <c r="F5409" t="s">
        <v>1117</v>
      </c>
      <c r="G5409" s="62">
        <v>3</v>
      </c>
      <c r="H5409" s="25">
        <v>100</v>
      </c>
      <c r="I5409">
        <v>274</v>
      </c>
      <c r="J5409">
        <v>50</v>
      </c>
      <c r="K5409">
        <v>1</v>
      </c>
      <c r="L5409">
        <v>1</v>
      </c>
      <c r="M5409">
        <v>0</v>
      </c>
      <c r="N5409" s="23">
        <v>0</v>
      </c>
      <c r="O5409">
        <f t="shared" si="1051"/>
        <v>0</v>
      </c>
      <c r="P5409" s="57">
        <f t="shared" si="1052"/>
        <v>1</v>
      </c>
      <c r="Q5409" s="267">
        <f t="shared" si="1053"/>
        <v>4</v>
      </c>
      <c r="R5409" s="23">
        <f t="shared" si="1054"/>
        <v>1</v>
      </c>
      <c r="S5409" s="23">
        <f t="shared" si="1055"/>
        <v>0</v>
      </c>
      <c r="T5409" s="23" t="str">
        <f t="shared" si="1056"/>
        <v/>
      </c>
      <c r="U5409" t="str">
        <f t="shared" si="1057"/>
        <v>PA_Alleg_2019p~Rep-auditor west elizabeth (vote for 1)</v>
      </c>
      <c r="X5409" s="43"/>
      <c r="Y5409" s="53"/>
      <c r="Z5409" s="53"/>
      <c r="AA5409"/>
      <c r="AB5409" s="23"/>
      <c r="AF5409" s="22"/>
      <c r="AH5409" s="8"/>
      <c r="AL5409" s="23"/>
    </row>
    <row r="5410" spans="1:38">
      <c r="A5410" t="str">
        <f t="shared" si="1058"/>
        <v>PA_Alleg_2019p~Rep-auditor west elizabeth (vote for 1)</v>
      </c>
      <c r="B5410" s="55" t="s">
        <v>1291</v>
      </c>
      <c r="C5410">
        <v>1599</v>
      </c>
      <c r="D5410" s="55" t="s">
        <v>523</v>
      </c>
      <c r="E5410" s="55" t="s">
        <v>15</v>
      </c>
      <c r="F5410" t="s">
        <v>1117</v>
      </c>
      <c r="G5410" s="62">
        <v>1</v>
      </c>
      <c r="H5410" s="25">
        <v>100</v>
      </c>
      <c r="I5410">
        <v>274</v>
      </c>
      <c r="J5410">
        <v>50</v>
      </c>
      <c r="K5410">
        <v>1</v>
      </c>
      <c r="L5410">
        <v>1</v>
      </c>
      <c r="M5410">
        <v>0</v>
      </c>
      <c r="N5410" s="23">
        <v>0</v>
      </c>
      <c r="O5410">
        <f t="shared" si="1051"/>
        <v>0</v>
      </c>
      <c r="P5410" s="57">
        <f t="shared" si="1052"/>
        <v>1</v>
      </c>
      <c r="Q5410" s="267">
        <f t="shared" si="1053"/>
        <v>1</v>
      </c>
      <c r="R5410" s="23">
        <f t="shared" si="1054"/>
        <v>1</v>
      </c>
      <c r="S5410" s="23">
        <f t="shared" si="1055"/>
        <v>0</v>
      </c>
      <c r="T5410" s="23" t="str">
        <f t="shared" si="1056"/>
        <v/>
      </c>
      <c r="U5410" t="str">
        <f t="shared" si="1057"/>
        <v/>
      </c>
      <c r="X5410" s="43"/>
      <c r="Y5410" s="53"/>
      <c r="Z5410" s="53"/>
      <c r="AA5410"/>
      <c r="AB5410" s="23"/>
      <c r="AF5410" s="22"/>
    </row>
    <row r="5411" spans="1:38">
      <c r="A5411" t="str">
        <f t="shared" si="1058"/>
        <v>PA_Alleg_2019p~Rep-commissioner aleppo (vote for 2)</v>
      </c>
      <c r="B5411" s="55" t="s">
        <v>1291</v>
      </c>
      <c r="C5411">
        <v>1623</v>
      </c>
      <c r="D5411" s="55" t="s">
        <v>558</v>
      </c>
      <c r="E5411" s="55" t="s">
        <v>15</v>
      </c>
      <c r="F5411" t="s">
        <v>1117</v>
      </c>
      <c r="G5411" s="62">
        <v>75</v>
      </c>
      <c r="H5411" s="25">
        <v>100</v>
      </c>
      <c r="I5411">
        <v>1369</v>
      </c>
      <c r="J5411">
        <v>229</v>
      </c>
      <c r="K5411">
        <v>1</v>
      </c>
      <c r="L5411">
        <v>1</v>
      </c>
      <c r="M5411">
        <v>0</v>
      </c>
      <c r="N5411" s="23">
        <v>0</v>
      </c>
      <c r="O5411">
        <f t="shared" si="1051"/>
        <v>0</v>
      </c>
      <c r="P5411" s="57">
        <f t="shared" si="1052"/>
        <v>2</v>
      </c>
      <c r="Q5411" s="267">
        <f t="shared" si="1053"/>
        <v>75</v>
      </c>
      <c r="R5411" s="23">
        <f t="shared" si="1054"/>
        <v>1</v>
      </c>
      <c r="S5411" s="23">
        <f t="shared" si="1055"/>
        <v>0</v>
      </c>
      <c r="T5411" s="23" t="str">
        <f t="shared" si="1056"/>
        <v/>
      </c>
      <c r="U5411" t="str">
        <f t="shared" si="1057"/>
        <v>PA_Alleg_2019p~Rep-commissioner aleppo (vote for 2)</v>
      </c>
      <c r="X5411" s="43"/>
      <c r="Y5411" s="53"/>
      <c r="Z5411" s="53"/>
      <c r="AA5411"/>
      <c r="AB5411" s="23"/>
      <c r="AF5411" s="22"/>
      <c r="AL5411" s="344"/>
    </row>
    <row r="5412" spans="1:38">
      <c r="A5412" t="str">
        <f t="shared" si="1058"/>
        <v>PA_Alleg_2019p~Rep-commissioner at-large crescent (vote for 2)</v>
      </c>
      <c r="B5412" s="55" t="s">
        <v>1291</v>
      </c>
      <c r="C5412">
        <v>1601</v>
      </c>
      <c r="D5412" s="55" t="s">
        <v>530</v>
      </c>
      <c r="E5412" s="55" t="s">
        <v>1135</v>
      </c>
      <c r="F5412" t="s">
        <v>1117</v>
      </c>
      <c r="G5412" s="62">
        <v>81</v>
      </c>
      <c r="H5412" s="25">
        <v>35.840000000000003</v>
      </c>
      <c r="I5412">
        <v>1832</v>
      </c>
      <c r="J5412">
        <v>329</v>
      </c>
      <c r="K5412">
        <v>2</v>
      </c>
      <c r="L5412">
        <v>2</v>
      </c>
      <c r="M5412">
        <v>0</v>
      </c>
      <c r="N5412" s="23">
        <v>0</v>
      </c>
      <c r="O5412">
        <f t="shared" si="1051"/>
        <v>1</v>
      </c>
      <c r="P5412" s="57">
        <f t="shared" si="1052"/>
        <v>2</v>
      </c>
      <c r="Q5412" s="267">
        <f t="shared" si="1053"/>
        <v>113</v>
      </c>
      <c r="R5412" s="23">
        <f t="shared" si="1054"/>
        <v>73</v>
      </c>
      <c r="S5412" s="23">
        <f t="shared" si="1055"/>
        <v>68</v>
      </c>
      <c r="T5412" s="23">
        <f t="shared" si="1056"/>
        <v>5</v>
      </c>
      <c r="U5412" t="str">
        <f t="shared" si="1057"/>
        <v>PA_Alleg_2019p~Rep-commissioner at-large crescent (vote for 2)</v>
      </c>
      <c r="X5412" s="43"/>
      <c r="Y5412" s="53"/>
      <c r="Z5412" s="53"/>
      <c r="AA5412"/>
      <c r="AB5412" s="23"/>
      <c r="AF5412" s="22"/>
      <c r="AG5412" s="295"/>
      <c r="AH5412" s="294"/>
      <c r="AI5412" s="279"/>
      <c r="AJ5412" s="279"/>
      <c r="AL5412" s="341"/>
    </row>
    <row r="5413" spans="1:38">
      <c r="A5413" t="str">
        <f t="shared" si="1058"/>
        <v>PA_Alleg_2019p~Rep-commissioner at-large crescent (vote for 2)</v>
      </c>
      <c r="B5413" s="55" t="s">
        <v>1291</v>
      </c>
      <c r="C5413">
        <v>1602</v>
      </c>
      <c r="D5413" s="55" t="s">
        <v>530</v>
      </c>
      <c r="E5413" s="55" t="s">
        <v>1136</v>
      </c>
      <c r="F5413" t="s">
        <v>1117</v>
      </c>
      <c r="G5413" s="62">
        <v>73</v>
      </c>
      <c r="H5413" s="25">
        <v>32.299999999999997</v>
      </c>
      <c r="I5413">
        <v>1832</v>
      </c>
      <c r="J5413">
        <v>329</v>
      </c>
      <c r="K5413">
        <v>2</v>
      </c>
      <c r="L5413">
        <v>2</v>
      </c>
      <c r="M5413">
        <v>0</v>
      </c>
      <c r="N5413" s="23">
        <v>0</v>
      </c>
      <c r="O5413">
        <f t="shared" si="1051"/>
        <v>2</v>
      </c>
      <c r="P5413" s="57">
        <f t="shared" si="1052"/>
        <v>2</v>
      </c>
      <c r="Q5413" s="267">
        <f t="shared" si="1053"/>
        <v>145</v>
      </c>
      <c r="R5413" s="23">
        <f t="shared" si="1054"/>
        <v>73</v>
      </c>
      <c r="S5413" s="23">
        <f t="shared" si="1055"/>
        <v>68</v>
      </c>
      <c r="T5413" s="23" t="str">
        <f t="shared" si="1056"/>
        <v/>
      </c>
      <c r="U5413" t="str">
        <f t="shared" si="1057"/>
        <v/>
      </c>
      <c r="X5413" s="43"/>
      <c r="Y5413" s="53"/>
      <c r="Z5413" s="53"/>
      <c r="AA5413"/>
      <c r="AB5413" s="23"/>
      <c r="AF5413" s="22"/>
    </row>
    <row r="5414" spans="1:38">
      <c r="A5414" t="str">
        <f t="shared" si="1058"/>
        <v>PA_Alleg_2019p~Rep-commissioner at-large crescent (vote for 2)</v>
      </c>
      <c r="B5414" s="55" t="s">
        <v>1291</v>
      </c>
      <c r="C5414">
        <v>1603</v>
      </c>
      <c r="D5414" s="55" t="s">
        <v>530</v>
      </c>
      <c r="E5414" s="55" t="s">
        <v>1137</v>
      </c>
      <c r="F5414" t="s">
        <v>1117</v>
      </c>
      <c r="G5414" s="62">
        <v>68</v>
      </c>
      <c r="H5414" s="25">
        <v>30.09</v>
      </c>
      <c r="I5414">
        <v>1832</v>
      </c>
      <c r="J5414">
        <v>329</v>
      </c>
      <c r="K5414">
        <v>2</v>
      </c>
      <c r="L5414">
        <v>2</v>
      </c>
      <c r="M5414">
        <v>0</v>
      </c>
      <c r="N5414" s="23">
        <v>0</v>
      </c>
      <c r="O5414">
        <f t="shared" si="1051"/>
        <v>3</v>
      </c>
      <c r="P5414" s="57">
        <f t="shared" si="1052"/>
        <v>2</v>
      </c>
      <c r="Q5414" s="267">
        <f t="shared" si="1053"/>
        <v>72</v>
      </c>
      <c r="R5414" s="23" t="str">
        <f t="shared" si="1054"/>
        <v/>
      </c>
      <c r="S5414" s="23">
        <f t="shared" si="1055"/>
        <v>68</v>
      </c>
      <c r="T5414" s="23" t="str">
        <f t="shared" si="1056"/>
        <v/>
      </c>
      <c r="U5414" t="str">
        <f t="shared" si="1057"/>
        <v/>
      </c>
      <c r="X5414" s="43"/>
      <c r="Y5414" s="53"/>
      <c r="Z5414" s="53"/>
      <c r="AA5414"/>
      <c r="AB5414" s="23"/>
      <c r="AF5414" s="22"/>
    </row>
    <row r="5415" spans="1:38">
      <c r="A5415" t="str">
        <f t="shared" si="1058"/>
        <v>PA_Alleg_2019p~Rep-commissioner at-large crescent (vote for 2)</v>
      </c>
      <c r="B5415" s="55" t="s">
        <v>1291</v>
      </c>
      <c r="C5415">
        <v>1604</v>
      </c>
      <c r="D5415" s="55" t="s">
        <v>530</v>
      </c>
      <c r="E5415" s="55" t="s">
        <v>15</v>
      </c>
      <c r="F5415" t="s">
        <v>1117</v>
      </c>
      <c r="G5415" s="62">
        <v>4</v>
      </c>
      <c r="H5415" s="25">
        <v>1.77</v>
      </c>
      <c r="I5415">
        <v>1832</v>
      </c>
      <c r="J5415">
        <v>329</v>
      </c>
      <c r="K5415">
        <v>2</v>
      </c>
      <c r="L5415">
        <v>2</v>
      </c>
      <c r="M5415">
        <v>0</v>
      </c>
      <c r="N5415" s="23">
        <v>0</v>
      </c>
      <c r="O5415">
        <f t="shared" si="1051"/>
        <v>-3</v>
      </c>
      <c r="P5415" s="57">
        <f t="shared" si="1052"/>
        <v>2</v>
      </c>
      <c r="Q5415" s="267">
        <f t="shared" si="1053"/>
        <v>4</v>
      </c>
      <c r="R5415" s="23">
        <f t="shared" si="1054"/>
        <v>1</v>
      </c>
      <c r="S5415" s="23">
        <f t="shared" si="1055"/>
        <v>0</v>
      </c>
      <c r="T5415" s="23" t="str">
        <f t="shared" si="1056"/>
        <v/>
      </c>
      <c r="U5415" t="str">
        <f t="shared" si="1057"/>
        <v/>
      </c>
      <c r="X5415" s="43"/>
      <c r="Y5415" s="53"/>
      <c r="Z5415" s="53"/>
      <c r="AA5415"/>
      <c r="AB5415" s="23"/>
      <c r="AF5415" s="22"/>
      <c r="AH5415" s="8"/>
      <c r="AL5415" s="23"/>
    </row>
    <row r="5416" spans="1:38">
      <c r="A5416" t="str">
        <f t="shared" si="1058"/>
        <v>PA_Alleg_2019p~Rep-commissioner at-large east deer (vote for 3)</v>
      </c>
      <c r="B5416" s="55" t="s">
        <v>1291</v>
      </c>
      <c r="C5416">
        <v>1600</v>
      </c>
      <c r="D5416" s="55" t="s">
        <v>526</v>
      </c>
      <c r="E5416" s="55" t="s">
        <v>15</v>
      </c>
      <c r="F5416" t="s">
        <v>1117</v>
      </c>
      <c r="G5416" s="62">
        <v>22</v>
      </c>
      <c r="H5416" s="25">
        <v>100</v>
      </c>
      <c r="I5416">
        <v>890</v>
      </c>
      <c r="J5416">
        <v>113</v>
      </c>
      <c r="K5416">
        <v>2</v>
      </c>
      <c r="L5416">
        <v>2</v>
      </c>
      <c r="M5416">
        <v>0</v>
      </c>
      <c r="N5416" s="23">
        <v>0</v>
      </c>
      <c r="O5416">
        <f t="shared" si="1051"/>
        <v>0</v>
      </c>
      <c r="P5416" s="57">
        <f t="shared" si="1052"/>
        <v>3</v>
      </c>
      <c r="Q5416" s="267">
        <f t="shared" si="1053"/>
        <v>22</v>
      </c>
      <c r="R5416" s="23">
        <f t="shared" si="1054"/>
        <v>1</v>
      </c>
      <c r="S5416" s="23">
        <f t="shared" si="1055"/>
        <v>0</v>
      </c>
      <c r="T5416" s="23" t="str">
        <f t="shared" si="1056"/>
        <v/>
      </c>
      <c r="U5416" t="str">
        <f t="shared" si="1057"/>
        <v>PA_Alleg_2019p~Rep-commissioner at-large east deer (vote for 3)</v>
      </c>
      <c r="X5416" s="43"/>
      <c r="Y5416" s="53"/>
      <c r="Z5416" s="53"/>
      <c r="AA5416"/>
      <c r="AB5416" s="23"/>
      <c r="AF5416" s="22"/>
    </row>
    <row r="5417" spans="1:38">
      <c r="A5417" t="str">
        <f t="shared" si="1058"/>
        <v>PA_Alleg_2019p~Rep-commissioner at-large neville (vote for 1)</v>
      </c>
      <c r="B5417" s="55" t="s">
        <v>1291</v>
      </c>
      <c r="C5417">
        <v>1606</v>
      </c>
      <c r="D5417" s="55" t="s">
        <v>534</v>
      </c>
      <c r="E5417" s="55" t="s">
        <v>1138</v>
      </c>
      <c r="F5417" t="s">
        <v>1117</v>
      </c>
      <c r="G5417" s="62">
        <v>47</v>
      </c>
      <c r="H5417" s="25">
        <v>75.81</v>
      </c>
      <c r="I5417">
        <v>797</v>
      </c>
      <c r="J5417">
        <v>246</v>
      </c>
      <c r="K5417">
        <v>3</v>
      </c>
      <c r="L5417">
        <v>3</v>
      </c>
      <c r="M5417">
        <v>0</v>
      </c>
      <c r="N5417" s="23">
        <v>0</v>
      </c>
      <c r="O5417">
        <f t="shared" si="1051"/>
        <v>1</v>
      </c>
      <c r="P5417" s="57">
        <f t="shared" si="1052"/>
        <v>1</v>
      </c>
      <c r="Q5417" s="267">
        <f t="shared" si="1053"/>
        <v>62</v>
      </c>
      <c r="R5417" s="23">
        <f t="shared" si="1054"/>
        <v>47</v>
      </c>
      <c r="S5417" s="23">
        <f t="shared" si="1055"/>
        <v>0</v>
      </c>
      <c r="T5417" s="23" t="str">
        <f t="shared" si="1056"/>
        <v/>
      </c>
      <c r="U5417" t="str">
        <f t="shared" si="1057"/>
        <v>PA_Alleg_2019p~Rep-commissioner at-large neville (vote for 1)</v>
      </c>
      <c r="X5417" s="43"/>
      <c r="Y5417" s="53"/>
      <c r="Z5417" s="53"/>
      <c r="AA5417"/>
      <c r="AB5417" s="23"/>
      <c r="AF5417" s="22"/>
    </row>
    <row r="5418" spans="1:38">
      <c r="A5418" t="str">
        <f t="shared" si="1058"/>
        <v>PA_Alleg_2019p~Rep-commissioner at-large neville (vote for 1)</v>
      </c>
      <c r="B5418" s="55" t="s">
        <v>1291</v>
      </c>
      <c r="C5418">
        <v>1607</v>
      </c>
      <c r="D5418" s="55" t="s">
        <v>534</v>
      </c>
      <c r="E5418" s="55" t="s">
        <v>15</v>
      </c>
      <c r="F5418" t="s">
        <v>1117</v>
      </c>
      <c r="G5418" s="62">
        <v>15</v>
      </c>
      <c r="H5418" s="25">
        <v>24.19</v>
      </c>
      <c r="I5418">
        <v>797</v>
      </c>
      <c r="J5418">
        <v>246</v>
      </c>
      <c r="K5418">
        <v>3</v>
      </c>
      <c r="L5418">
        <v>3</v>
      </c>
      <c r="M5418">
        <v>0</v>
      </c>
      <c r="N5418" s="23">
        <v>0</v>
      </c>
      <c r="O5418">
        <f t="shared" si="1051"/>
        <v>-1</v>
      </c>
      <c r="P5418" s="57">
        <f t="shared" si="1052"/>
        <v>1</v>
      </c>
      <c r="Q5418" s="267">
        <f t="shared" si="1053"/>
        <v>15</v>
      </c>
      <c r="R5418" s="23">
        <f t="shared" si="1054"/>
        <v>1</v>
      </c>
      <c r="S5418" s="23">
        <f t="shared" si="1055"/>
        <v>0</v>
      </c>
      <c r="T5418" s="23" t="str">
        <f t="shared" si="1056"/>
        <v/>
      </c>
      <c r="U5418" t="str">
        <f t="shared" si="1057"/>
        <v/>
      </c>
      <c r="X5418" s="43"/>
      <c r="Y5418" s="53"/>
      <c r="Z5418" s="53"/>
      <c r="AA5418"/>
      <c r="AB5418" s="23"/>
      <c r="AF5418" s="22"/>
    </row>
    <row r="5419" spans="1:38">
      <c r="A5419" t="str">
        <f t="shared" si="1058"/>
        <v>PA_Alleg_2019p~Rep-commissioner at-large reserve (vote for 1)</v>
      </c>
      <c r="B5419" s="55" t="s">
        <v>1291</v>
      </c>
      <c r="C5419">
        <v>1608</v>
      </c>
      <c r="D5419" s="55" t="s">
        <v>536</v>
      </c>
      <c r="E5419" s="55" t="s">
        <v>15</v>
      </c>
      <c r="F5419" t="s">
        <v>1117</v>
      </c>
      <c r="G5419" s="62">
        <v>15</v>
      </c>
      <c r="H5419" s="25">
        <v>100</v>
      </c>
      <c r="I5419">
        <v>2501</v>
      </c>
      <c r="J5419">
        <v>433</v>
      </c>
      <c r="K5419">
        <v>4</v>
      </c>
      <c r="L5419">
        <v>4</v>
      </c>
      <c r="M5419">
        <v>0</v>
      </c>
      <c r="N5419" s="23">
        <v>0</v>
      </c>
      <c r="O5419">
        <f t="shared" si="1051"/>
        <v>0</v>
      </c>
      <c r="P5419" s="57">
        <f t="shared" si="1052"/>
        <v>1</v>
      </c>
      <c r="Q5419" s="267">
        <f t="shared" si="1053"/>
        <v>15</v>
      </c>
      <c r="R5419" s="23">
        <f t="shared" si="1054"/>
        <v>1</v>
      </c>
      <c r="S5419" s="23">
        <f t="shared" si="1055"/>
        <v>0</v>
      </c>
      <c r="T5419" s="23" t="str">
        <f t="shared" si="1056"/>
        <v/>
      </c>
      <c r="U5419" t="str">
        <f t="shared" si="1057"/>
        <v>PA_Alleg_2019p~Rep-commissioner at-large reserve (vote for 1)</v>
      </c>
      <c r="X5419" s="43"/>
      <c r="Y5419" s="53"/>
      <c r="Z5419" s="53"/>
      <c r="AA5419"/>
      <c r="AB5419" s="23"/>
      <c r="AF5419" s="22"/>
    </row>
    <row r="5420" spans="1:38">
      <c r="A5420" t="str">
        <f t="shared" si="1058"/>
        <v>PA_Alleg_2019p~Rep-commissioner at-large upper st clair (vote for 1)</v>
      </c>
      <c r="B5420" s="55" t="s">
        <v>1291</v>
      </c>
      <c r="C5420">
        <v>1609</v>
      </c>
      <c r="D5420" s="55" t="s">
        <v>538</v>
      </c>
      <c r="E5420" s="55" t="s">
        <v>1139</v>
      </c>
      <c r="F5420" t="s">
        <v>1117</v>
      </c>
      <c r="G5420" s="62">
        <v>1139</v>
      </c>
      <c r="H5420" s="25">
        <v>98.53</v>
      </c>
      <c r="I5420">
        <v>16476</v>
      </c>
      <c r="J5420">
        <v>2893</v>
      </c>
      <c r="K5420">
        <v>18</v>
      </c>
      <c r="L5420">
        <v>18</v>
      </c>
      <c r="M5420">
        <v>0</v>
      </c>
      <c r="N5420" s="23">
        <v>0</v>
      </c>
      <c r="O5420">
        <f t="shared" si="1051"/>
        <v>1</v>
      </c>
      <c r="P5420" s="57">
        <f t="shared" si="1052"/>
        <v>1</v>
      </c>
      <c r="Q5420" s="267">
        <f t="shared" si="1053"/>
        <v>1156</v>
      </c>
      <c r="R5420" s="23">
        <f t="shared" si="1054"/>
        <v>1139</v>
      </c>
      <c r="S5420" s="23">
        <f t="shared" si="1055"/>
        <v>0</v>
      </c>
      <c r="T5420" s="23" t="str">
        <f t="shared" si="1056"/>
        <v/>
      </c>
      <c r="U5420" t="str">
        <f t="shared" si="1057"/>
        <v>PA_Alleg_2019p~Rep-commissioner at-large upper st clair (vote for 1)</v>
      </c>
      <c r="X5420" s="43"/>
      <c r="Y5420" s="53"/>
      <c r="Z5420" s="53"/>
      <c r="AA5420"/>
      <c r="AB5420" s="23"/>
      <c r="AF5420" s="22"/>
    </row>
    <row r="5421" spans="1:38">
      <c r="A5421" t="str">
        <f t="shared" si="1058"/>
        <v>PA_Alleg_2019p~Rep-commissioner at-large upper st clair (vote for 1)</v>
      </c>
      <c r="B5421" s="55" t="s">
        <v>1291</v>
      </c>
      <c r="C5421">
        <v>1610</v>
      </c>
      <c r="D5421" s="55" t="s">
        <v>538</v>
      </c>
      <c r="E5421" s="55" t="s">
        <v>15</v>
      </c>
      <c r="F5421" t="s">
        <v>1117</v>
      </c>
      <c r="G5421" s="62">
        <v>17</v>
      </c>
      <c r="H5421" s="25">
        <v>1.47</v>
      </c>
      <c r="I5421">
        <v>16476</v>
      </c>
      <c r="J5421">
        <v>2893</v>
      </c>
      <c r="K5421">
        <v>18</v>
      </c>
      <c r="L5421">
        <v>18</v>
      </c>
      <c r="M5421">
        <v>0</v>
      </c>
      <c r="N5421" s="23">
        <v>0</v>
      </c>
      <c r="O5421">
        <f t="shared" si="1051"/>
        <v>-1</v>
      </c>
      <c r="P5421" s="57">
        <f t="shared" si="1052"/>
        <v>1</v>
      </c>
      <c r="Q5421" s="267">
        <f t="shared" si="1053"/>
        <v>17</v>
      </c>
      <c r="R5421" s="23">
        <f t="shared" si="1054"/>
        <v>1</v>
      </c>
      <c r="S5421" s="23">
        <f t="shared" si="1055"/>
        <v>0</v>
      </c>
      <c r="T5421" s="23" t="str">
        <f t="shared" si="1056"/>
        <v/>
      </c>
      <c r="U5421" t="str">
        <f t="shared" si="1057"/>
        <v/>
      </c>
      <c r="X5421" s="43"/>
      <c r="Y5421" s="53"/>
      <c r="Z5421" s="53"/>
      <c r="AA5421"/>
      <c r="AB5421" s="23"/>
    </row>
    <row r="5422" spans="1:38">
      <c r="A5422" t="str">
        <f t="shared" si="1058"/>
        <v>PA_Alleg_2019p~Rep-commissioner at-large wilkins (vote for 2)</v>
      </c>
      <c r="B5422" s="55" t="s">
        <v>1291</v>
      </c>
      <c r="C5422">
        <v>1605</v>
      </c>
      <c r="D5422" s="55" t="s">
        <v>531</v>
      </c>
      <c r="E5422" s="55" t="s">
        <v>15</v>
      </c>
      <c r="F5422" t="s">
        <v>1117</v>
      </c>
      <c r="G5422" s="62">
        <v>13</v>
      </c>
      <c r="H5422" s="25">
        <v>100</v>
      </c>
      <c r="I5422">
        <v>4985</v>
      </c>
      <c r="J5422">
        <v>855</v>
      </c>
      <c r="K5422">
        <v>7</v>
      </c>
      <c r="L5422">
        <v>7</v>
      </c>
      <c r="M5422">
        <v>0</v>
      </c>
      <c r="N5422" s="23">
        <v>0</v>
      </c>
      <c r="O5422">
        <f t="shared" si="1051"/>
        <v>0</v>
      </c>
      <c r="P5422" s="57">
        <f t="shared" si="1052"/>
        <v>2</v>
      </c>
      <c r="Q5422" s="267">
        <f t="shared" si="1053"/>
        <v>13</v>
      </c>
      <c r="R5422" s="23">
        <f t="shared" si="1054"/>
        <v>1</v>
      </c>
      <c r="S5422" s="23">
        <f t="shared" si="1055"/>
        <v>0</v>
      </c>
      <c r="T5422" s="23" t="str">
        <f t="shared" si="1056"/>
        <v/>
      </c>
      <c r="U5422" t="str">
        <f t="shared" si="1057"/>
        <v>PA_Alleg_2019p~Rep-commissioner at-large wilkins (vote for 2)</v>
      </c>
      <c r="X5422" s="43"/>
      <c r="Y5422" s="53"/>
      <c r="Z5422" s="53"/>
      <c r="AA5422"/>
      <c r="AB5422" s="23"/>
      <c r="AF5422" s="22"/>
      <c r="AH5422" s="8"/>
      <c r="AL5422" s="23"/>
    </row>
    <row r="5423" spans="1:38">
      <c r="A5423" t="str">
        <f t="shared" si="1058"/>
        <v>PA_Alleg_2019p~Rep-commissioner baldwin township (vote for 3)</v>
      </c>
      <c r="B5423" s="55" t="s">
        <v>1291</v>
      </c>
      <c r="C5423">
        <v>1614</v>
      </c>
      <c r="D5423" s="55" t="s">
        <v>544</v>
      </c>
      <c r="E5423" s="55" t="s">
        <v>1142</v>
      </c>
      <c r="F5423" t="s">
        <v>1117</v>
      </c>
      <c r="G5423" s="62">
        <v>35</v>
      </c>
      <c r="H5423" s="25">
        <v>72.92</v>
      </c>
      <c r="I5423">
        <v>1496</v>
      </c>
      <c r="J5423">
        <v>247</v>
      </c>
      <c r="K5423">
        <v>2</v>
      </c>
      <c r="L5423">
        <v>2</v>
      </c>
      <c r="M5423">
        <v>0</v>
      </c>
      <c r="N5423" s="23">
        <v>0</v>
      </c>
      <c r="O5423">
        <f t="shared" si="1051"/>
        <v>1</v>
      </c>
      <c r="P5423" s="57">
        <f t="shared" si="1052"/>
        <v>3</v>
      </c>
      <c r="Q5423" s="267">
        <f t="shared" si="1053"/>
        <v>35</v>
      </c>
      <c r="R5423" s="23">
        <f t="shared" si="1054"/>
        <v>1</v>
      </c>
      <c r="S5423" s="23">
        <f t="shared" si="1055"/>
        <v>0</v>
      </c>
      <c r="T5423" s="23" t="str">
        <f t="shared" si="1056"/>
        <v/>
      </c>
      <c r="U5423" t="str">
        <f t="shared" si="1057"/>
        <v>PA_Alleg_2019p~Rep-commissioner baldwin township (vote for 3)</v>
      </c>
      <c r="X5423" s="43"/>
      <c r="Y5423" s="53"/>
      <c r="Z5423" s="53"/>
      <c r="AA5423"/>
      <c r="AB5423" s="23"/>
      <c r="AF5423" s="22"/>
      <c r="AH5423" s="8"/>
      <c r="AL5423" s="23"/>
    </row>
    <row r="5424" spans="1:38">
      <c r="A5424" t="str">
        <f t="shared" si="1058"/>
        <v>PA_Alleg_2019p~Rep-commissioner baldwin township (vote for 3)</v>
      </c>
      <c r="B5424" s="55" t="s">
        <v>1291</v>
      </c>
      <c r="C5424">
        <v>1615</v>
      </c>
      <c r="D5424" s="55" t="s">
        <v>544</v>
      </c>
      <c r="E5424" s="55" t="s">
        <v>15</v>
      </c>
      <c r="F5424" t="s">
        <v>1117</v>
      </c>
      <c r="G5424" s="62">
        <v>13</v>
      </c>
      <c r="H5424" s="25">
        <v>27.08</v>
      </c>
      <c r="I5424">
        <v>1496</v>
      </c>
      <c r="J5424">
        <v>247</v>
      </c>
      <c r="K5424">
        <v>2</v>
      </c>
      <c r="L5424">
        <v>2</v>
      </c>
      <c r="M5424">
        <v>0</v>
      </c>
      <c r="N5424" s="23">
        <v>0</v>
      </c>
      <c r="O5424">
        <f t="shared" si="1051"/>
        <v>-1</v>
      </c>
      <c r="P5424" s="57">
        <f t="shared" si="1052"/>
        <v>3</v>
      </c>
      <c r="Q5424" s="267">
        <f t="shared" si="1053"/>
        <v>13</v>
      </c>
      <c r="R5424" s="23">
        <f t="shared" si="1054"/>
        <v>1</v>
      </c>
      <c r="S5424" s="23">
        <f t="shared" si="1055"/>
        <v>0</v>
      </c>
      <c r="T5424" s="23" t="str">
        <f t="shared" si="1056"/>
        <v/>
      </c>
      <c r="U5424" t="str">
        <f t="shared" si="1057"/>
        <v/>
      </c>
      <c r="X5424" s="43"/>
      <c r="Y5424" s="53"/>
      <c r="Z5424" s="53"/>
      <c r="AA5424"/>
      <c r="AB5424" s="23"/>
      <c r="AF5424" s="22"/>
      <c r="AH5424" s="8"/>
      <c r="AL5424" s="23"/>
    </row>
    <row r="5425" spans="1:38">
      <c r="A5425" t="str">
        <f t="shared" si="1058"/>
        <v>PA_Alleg_2019p~Rep-commissioner collier (vote for 2)</v>
      </c>
      <c r="B5425" s="55" t="s">
        <v>1291</v>
      </c>
      <c r="C5425">
        <v>1626</v>
      </c>
      <c r="D5425" s="55" t="s">
        <v>560</v>
      </c>
      <c r="E5425" s="55" t="s">
        <v>15</v>
      </c>
      <c r="F5425" t="s">
        <v>1117</v>
      </c>
      <c r="G5425" s="62">
        <v>204</v>
      </c>
      <c r="H5425" s="25">
        <v>34.869999999999997</v>
      </c>
      <c r="I5425">
        <v>6694</v>
      </c>
      <c r="J5425">
        <v>1089</v>
      </c>
      <c r="K5425">
        <v>6</v>
      </c>
      <c r="L5425">
        <v>6</v>
      </c>
      <c r="M5425">
        <v>0</v>
      </c>
      <c r="N5425" s="23">
        <v>0</v>
      </c>
      <c r="O5425">
        <f t="shared" si="1051"/>
        <v>0</v>
      </c>
      <c r="P5425" s="57">
        <f t="shared" si="1052"/>
        <v>2</v>
      </c>
      <c r="Q5425" s="267">
        <f t="shared" si="1053"/>
        <v>292.5</v>
      </c>
      <c r="R5425" s="23">
        <f t="shared" si="1054"/>
        <v>187</v>
      </c>
      <c r="S5425" s="23">
        <f t="shared" si="1055"/>
        <v>0</v>
      </c>
      <c r="T5425" s="23" t="str">
        <f t="shared" si="1056"/>
        <v/>
      </c>
      <c r="U5425" t="str">
        <f t="shared" si="1057"/>
        <v>PA_Alleg_2019p~Rep-commissioner collier (vote for 2)</v>
      </c>
      <c r="X5425" s="43"/>
      <c r="Y5425" s="53"/>
      <c r="Z5425" s="53"/>
      <c r="AA5425"/>
      <c r="AB5425" s="23"/>
      <c r="AF5425" s="22"/>
      <c r="AH5425" s="8"/>
      <c r="AL5425" s="23"/>
    </row>
    <row r="5426" spans="1:38">
      <c r="A5426" t="str">
        <f t="shared" si="1058"/>
        <v>PA_Alleg_2019p~Rep-commissioner collier (vote for 2)</v>
      </c>
      <c r="B5426" s="55" t="s">
        <v>1291</v>
      </c>
      <c r="C5426">
        <v>1624</v>
      </c>
      <c r="D5426" s="55" t="s">
        <v>560</v>
      </c>
      <c r="E5426" s="55" t="s">
        <v>1147</v>
      </c>
      <c r="F5426" t="s">
        <v>1117</v>
      </c>
      <c r="G5426" s="62">
        <v>194</v>
      </c>
      <c r="H5426" s="25">
        <v>33.159999999999997</v>
      </c>
      <c r="I5426">
        <v>6694</v>
      </c>
      <c r="J5426">
        <v>1089</v>
      </c>
      <c r="K5426">
        <v>6</v>
      </c>
      <c r="L5426">
        <v>6</v>
      </c>
      <c r="M5426">
        <v>0</v>
      </c>
      <c r="N5426" s="23">
        <v>0</v>
      </c>
      <c r="O5426">
        <f t="shared" si="1051"/>
        <v>1</v>
      </c>
      <c r="P5426" s="57">
        <f t="shared" si="1052"/>
        <v>2</v>
      </c>
      <c r="Q5426" s="267">
        <f t="shared" si="1053"/>
        <v>381</v>
      </c>
      <c r="R5426" s="23">
        <f t="shared" si="1054"/>
        <v>187</v>
      </c>
      <c r="S5426" s="23">
        <f t="shared" si="1055"/>
        <v>0</v>
      </c>
      <c r="T5426" s="23" t="str">
        <f t="shared" si="1056"/>
        <v/>
      </c>
      <c r="U5426" t="str">
        <f t="shared" si="1057"/>
        <v/>
      </c>
      <c r="X5426" s="43"/>
      <c r="Y5426" s="53"/>
      <c r="Z5426" s="53"/>
      <c r="AA5426"/>
      <c r="AB5426" s="23"/>
      <c r="AF5426" s="22"/>
      <c r="AH5426" s="8"/>
      <c r="AL5426" s="23"/>
    </row>
    <row r="5427" spans="1:38">
      <c r="A5427" t="str">
        <f t="shared" si="1058"/>
        <v>PA_Alleg_2019p~Rep-commissioner collier (vote for 2)</v>
      </c>
      <c r="B5427" s="55" t="s">
        <v>1291</v>
      </c>
      <c r="C5427">
        <v>1625</v>
      </c>
      <c r="D5427" s="55" t="s">
        <v>560</v>
      </c>
      <c r="E5427" s="55" t="s">
        <v>1148</v>
      </c>
      <c r="F5427" t="s">
        <v>1117</v>
      </c>
      <c r="G5427" s="62">
        <v>187</v>
      </c>
      <c r="H5427" s="25">
        <v>31.97</v>
      </c>
      <c r="I5427">
        <v>6694</v>
      </c>
      <c r="J5427">
        <v>1089</v>
      </c>
      <c r="K5427">
        <v>6</v>
      </c>
      <c r="L5427">
        <v>6</v>
      </c>
      <c r="M5427">
        <v>0</v>
      </c>
      <c r="N5427" s="23">
        <v>0</v>
      </c>
      <c r="O5427">
        <f t="shared" si="1051"/>
        <v>2</v>
      </c>
      <c r="P5427" s="57">
        <f t="shared" si="1052"/>
        <v>2</v>
      </c>
      <c r="Q5427" s="267">
        <f t="shared" si="1053"/>
        <v>187</v>
      </c>
      <c r="R5427" s="23">
        <f t="shared" si="1054"/>
        <v>187</v>
      </c>
      <c r="S5427" s="23">
        <f t="shared" si="1055"/>
        <v>0</v>
      </c>
      <c r="T5427" s="23" t="str">
        <f t="shared" si="1056"/>
        <v/>
      </c>
      <c r="U5427" t="str">
        <f t="shared" si="1057"/>
        <v/>
      </c>
      <c r="X5427" s="43"/>
      <c r="Y5427" s="53"/>
      <c r="Z5427" s="53"/>
      <c r="AA5427"/>
      <c r="AB5427" s="23"/>
      <c r="AF5427" s="88"/>
      <c r="AL5427" s="344"/>
    </row>
    <row r="5428" spans="1:38">
      <c r="A5428" t="str">
        <f t="shared" si="1058"/>
        <v>PA_Alleg_2019p~Rep-commissioner crescent ward 1 (vote for 1)</v>
      </c>
      <c r="B5428" s="55" t="s">
        <v>1291</v>
      </c>
      <c r="C5428">
        <v>1631</v>
      </c>
      <c r="D5428" s="55" t="s">
        <v>572</v>
      </c>
      <c r="E5428" s="55" t="s">
        <v>1149</v>
      </c>
      <c r="F5428" t="s">
        <v>1117</v>
      </c>
      <c r="G5428" s="62">
        <v>68</v>
      </c>
      <c r="H5428" s="25">
        <v>97.14</v>
      </c>
      <c r="I5428">
        <v>1149</v>
      </c>
      <c r="J5428">
        <v>208</v>
      </c>
      <c r="K5428">
        <v>1</v>
      </c>
      <c r="L5428">
        <v>1</v>
      </c>
      <c r="M5428">
        <v>0</v>
      </c>
      <c r="N5428" s="23">
        <v>0</v>
      </c>
      <c r="O5428">
        <f t="shared" si="1051"/>
        <v>1</v>
      </c>
      <c r="P5428" s="57">
        <f t="shared" si="1052"/>
        <v>1</v>
      </c>
      <c r="Q5428" s="267">
        <f t="shared" si="1053"/>
        <v>70</v>
      </c>
      <c r="R5428" s="23">
        <f t="shared" si="1054"/>
        <v>68</v>
      </c>
      <c r="S5428" s="23">
        <f t="shared" si="1055"/>
        <v>0</v>
      </c>
      <c r="T5428" s="23" t="str">
        <f t="shared" si="1056"/>
        <v/>
      </c>
      <c r="U5428" t="str">
        <f t="shared" si="1057"/>
        <v>PA_Alleg_2019p~Rep-commissioner crescent ward 1 (vote for 1)</v>
      </c>
      <c r="X5428" s="43"/>
      <c r="Y5428" s="53"/>
      <c r="Z5428" s="53"/>
      <c r="AA5428"/>
      <c r="AB5428" s="23"/>
      <c r="AF5428" s="88"/>
    </row>
    <row r="5429" spans="1:38">
      <c r="A5429" t="str">
        <f t="shared" si="1058"/>
        <v>PA_Alleg_2019p~Rep-commissioner crescent ward 1 (vote for 1)</v>
      </c>
      <c r="B5429" s="55" t="s">
        <v>1291</v>
      </c>
      <c r="C5429">
        <v>1632</v>
      </c>
      <c r="D5429" s="55" t="s">
        <v>572</v>
      </c>
      <c r="E5429" s="55" t="s">
        <v>15</v>
      </c>
      <c r="F5429" t="s">
        <v>1117</v>
      </c>
      <c r="G5429" s="62">
        <v>2</v>
      </c>
      <c r="H5429" s="25">
        <v>2.86</v>
      </c>
      <c r="I5429">
        <v>1149</v>
      </c>
      <c r="J5429">
        <v>208</v>
      </c>
      <c r="K5429">
        <v>1</v>
      </c>
      <c r="L5429">
        <v>1</v>
      </c>
      <c r="M5429">
        <v>0</v>
      </c>
      <c r="N5429" s="23">
        <v>0</v>
      </c>
      <c r="O5429">
        <f t="shared" si="1051"/>
        <v>-1</v>
      </c>
      <c r="P5429" s="57">
        <f t="shared" si="1052"/>
        <v>1</v>
      </c>
      <c r="Q5429" s="267">
        <f t="shared" si="1053"/>
        <v>2</v>
      </c>
      <c r="R5429" s="23">
        <f t="shared" si="1054"/>
        <v>1</v>
      </c>
      <c r="S5429" s="23">
        <f t="shared" si="1055"/>
        <v>0</v>
      </c>
      <c r="T5429" s="23" t="str">
        <f t="shared" si="1056"/>
        <v/>
      </c>
      <c r="U5429" t="str">
        <f t="shared" si="1057"/>
        <v/>
      </c>
      <c r="X5429" s="43"/>
      <c r="Y5429" s="53"/>
      <c r="Z5429" s="53"/>
      <c r="AA5429"/>
      <c r="AB5429" s="23"/>
      <c r="AF5429" s="22"/>
    </row>
    <row r="5430" spans="1:38">
      <c r="A5430" t="str">
        <f t="shared" si="1058"/>
        <v>PA_Alleg_2019p~Rep-commissioner east deer ward 1 (vote for 1)</v>
      </c>
      <c r="B5430" s="55" t="s">
        <v>1291</v>
      </c>
      <c r="C5430">
        <v>1633</v>
      </c>
      <c r="D5430" s="55" t="s">
        <v>573</v>
      </c>
      <c r="E5430" s="55" t="s">
        <v>15</v>
      </c>
      <c r="F5430" t="s">
        <v>1117</v>
      </c>
      <c r="G5430" s="62">
        <v>3</v>
      </c>
      <c r="H5430" s="25">
        <v>100</v>
      </c>
      <c r="I5430">
        <v>314</v>
      </c>
      <c r="J5430">
        <v>45</v>
      </c>
      <c r="K5430">
        <v>1</v>
      </c>
      <c r="L5430">
        <v>1</v>
      </c>
      <c r="M5430">
        <v>0</v>
      </c>
      <c r="N5430" s="23">
        <v>0</v>
      </c>
      <c r="O5430">
        <f t="shared" si="1051"/>
        <v>0</v>
      </c>
      <c r="P5430" s="57">
        <f t="shared" si="1052"/>
        <v>1</v>
      </c>
      <c r="Q5430" s="267">
        <f t="shared" si="1053"/>
        <v>3</v>
      </c>
      <c r="R5430" s="23">
        <f t="shared" si="1054"/>
        <v>1</v>
      </c>
      <c r="S5430" s="23">
        <f t="shared" si="1055"/>
        <v>0</v>
      </c>
      <c r="T5430" s="23" t="str">
        <f t="shared" si="1056"/>
        <v/>
      </c>
      <c r="U5430" t="str">
        <f t="shared" si="1057"/>
        <v>PA_Alleg_2019p~Rep-commissioner east deer ward 1 (vote for 1)</v>
      </c>
      <c r="X5430" s="43"/>
      <c r="Y5430" s="53"/>
      <c r="Z5430" s="53"/>
      <c r="AA5430"/>
      <c r="AB5430" s="23"/>
      <c r="AF5430" s="22"/>
      <c r="AG5430" s="23"/>
      <c r="AH5430" s="8"/>
      <c r="AL5430" s="344"/>
    </row>
    <row r="5431" spans="1:38">
      <c r="A5431" t="str">
        <f t="shared" si="1058"/>
        <v>PA_Alleg_2019p~Rep-commissioner elizabeth township ward 1 (vote for 1)</v>
      </c>
      <c r="B5431" s="55" t="s">
        <v>1291</v>
      </c>
      <c r="C5431">
        <v>1634</v>
      </c>
      <c r="D5431" s="55" t="s">
        <v>575</v>
      </c>
      <c r="E5431" s="55" t="s">
        <v>1150</v>
      </c>
      <c r="F5431" t="s">
        <v>1117</v>
      </c>
      <c r="G5431" s="62">
        <v>54</v>
      </c>
      <c r="H5431" s="25">
        <v>58.7</v>
      </c>
      <c r="I5431">
        <v>1501</v>
      </c>
      <c r="J5431">
        <v>287</v>
      </c>
      <c r="K5431">
        <v>2</v>
      </c>
      <c r="L5431">
        <v>2</v>
      </c>
      <c r="M5431">
        <v>0</v>
      </c>
      <c r="N5431" s="23">
        <v>0</v>
      </c>
      <c r="O5431">
        <f t="shared" si="1051"/>
        <v>1</v>
      </c>
      <c r="P5431" s="57">
        <f t="shared" si="1052"/>
        <v>1</v>
      </c>
      <c r="Q5431" s="267">
        <f t="shared" si="1053"/>
        <v>92</v>
      </c>
      <c r="R5431" s="23">
        <f t="shared" si="1054"/>
        <v>54</v>
      </c>
      <c r="S5431" s="23">
        <f t="shared" si="1055"/>
        <v>0</v>
      </c>
      <c r="T5431" s="23" t="str">
        <f t="shared" si="1056"/>
        <v/>
      </c>
      <c r="U5431" t="str">
        <f t="shared" si="1057"/>
        <v>PA_Alleg_2019p~Rep-commissioner elizabeth township ward 1 (vote for 1)</v>
      </c>
      <c r="X5431" s="43"/>
      <c r="Y5431" s="53"/>
      <c r="Z5431" s="53"/>
      <c r="AA5431"/>
      <c r="AB5431" s="23"/>
      <c r="AH5431" s="8"/>
      <c r="AL5431" s="23"/>
    </row>
    <row r="5432" spans="1:38">
      <c r="A5432" t="str">
        <f t="shared" si="1058"/>
        <v>PA_Alleg_2019p~Rep-commissioner elizabeth township ward 1 (vote for 1)</v>
      </c>
      <c r="B5432" s="55" t="s">
        <v>1291</v>
      </c>
      <c r="C5432">
        <v>1635</v>
      </c>
      <c r="D5432" s="55" t="s">
        <v>575</v>
      </c>
      <c r="E5432" s="55" t="s">
        <v>15</v>
      </c>
      <c r="F5432" t="s">
        <v>1117</v>
      </c>
      <c r="G5432" s="62">
        <v>38</v>
      </c>
      <c r="H5432" s="25">
        <v>41.3</v>
      </c>
      <c r="I5432">
        <v>1501</v>
      </c>
      <c r="J5432">
        <v>287</v>
      </c>
      <c r="K5432">
        <v>2</v>
      </c>
      <c r="L5432">
        <v>2</v>
      </c>
      <c r="M5432">
        <v>0</v>
      </c>
      <c r="N5432" s="23">
        <v>0</v>
      </c>
      <c r="O5432">
        <f t="shared" si="1051"/>
        <v>-1</v>
      </c>
      <c r="P5432" s="57">
        <f t="shared" si="1052"/>
        <v>1</v>
      </c>
      <c r="Q5432" s="267">
        <f t="shared" si="1053"/>
        <v>38</v>
      </c>
      <c r="R5432" s="23">
        <f t="shared" si="1054"/>
        <v>1</v>
      </c>
      <c r="S5432" s="23">
        <f t="shared" si="1055"/>
        <v>0</v>
      </c>
      <c r="T5432" s="23" t="str">
        <f t="shared" si="1056"/>
        <v/>
      </c>
      <c r="U5432" t="str">
        <f t="shared" si="1057"/>
        <v/>
      </c>
      <c r="X5432" s="43"/>
      <c r="Y5432" s="53"/>
      <c r="Z5432" s="53"/>
      <c r="AA5432"/>
      <c r="AB5432" s="23"/>
      <c r="AF5432" s="22"/>
    </row>
    <row r="5433" spans="1:38">
      <c r="A5433" t="str">
        <f t="shared" si="1058"/>
        <v>PA_Alleg_2019p~Rep-commissioner elizabeth township ward 3 (vote for 1)</v>
      </c>
      <c r="B5433" s="55" t="s">
        <v>1291</v>
      </c>
      <c r="C5433">
        <v>1636</v>
      </c>
      <c r="D5433" s="55" t="s">
        <v>577</v>
      </c>
      <c r="E5433" s="55" t="s">
        <v>1151</v>
      </c>
      <c r="F5433" t="s">
        <v>1117</v>
      </c>
      <c r="G5433" s="62">
        <v>113</v>
      </c>
      <c r="H5433" s="25">
        <v>86.92</v>
      </c>
      <c r="I5433">
        <v>1347</v>
      </c>
      <c r="J5433">
        <v>381</v>
      </c>
      <c r="K5433">
        <v>1</v>
      </c>
      <c r="L5433">
        <v>1</v>
      </c>
      <c r="M5433">
        <v>0</v>
      </c>
      <c r="N5433" s="23">
        <v>0</v>
      </c>
      <c r="O5433">
        <f t="shared" si="1051"/>
        <v>1</v>
      </c>
      <c r="P5433" s="57">
        <f t="shared" si="1052"/>
        <v>1</v>
      </c>
      <c r="Q5433" s="267">
        <f t="shared" si="1053"/>
        <v>130</v>
      </c>
      <c r="R5433" s="23">
        <f t="shared" si="1054"/>
        <v>113</v>
      </c>
      <c r="S5433" s="23">
        <f t="shared" si="1055"/>
        <v>0</v>
      </c>
      <c r="T5433" s="23" t="str">
        <f t="shared" si="1056"/>
        <v/>
      </c>
      <c r="U5433" t="str">
        <f t="shared" si="1057"/>
        <v>PA_Alleg_2019p~Rep-commissioner elizabeth township ward 3 (vote for 1)</v>
      </c>
      <c r="X5433" s="43"/>
      <c r="Y5433" s="53"/>
      <c r="Z5433" s="53"/>
      <c r="AA5433"/>
      <c r="AB5433" s="23"/>
      <c r="AF5433" s="22"/>
    </row>
    <row r="5434" spans="1:38">
      <c r="A5434" t="str">
        <f t="shared" si="1058"/>
        <v>PA_Alleg_2019p~Rep-commissioner elizabeth township ward 3 (vote for 1)</v>
      </c>
      <c r="B5434" s="55" t="s">
        <v>1291</v>
      </c>
      <c r="C5434">
        <v>1637</v>
      </c>
      <c r="D5434" s="55" t="s">
        <v>577</v>
      </c>
      <c r="E5434" s="55" t="s">
        <v>15</v>
      </c>
      <c r="F5434" t="s">
        <v>1117</v>
      </c>
      <c r="G5434" s="62">
        <v>17</v>
      </c>
      <c r="H5434" s="25">
        <v>13.08</v>
      </c>
      <c r="I5434">
        <v>1347</v>
      </c>
      <c r="J5434">
        <v>381</v>
      </c>
      <c r="K5434">
        <v>1</v>
      </c>
      <c r="L5434">
        <v>1</v>
      </c>
      <c r="M5434">
        <v>0</v>
      </c>
      <c r="N5434" s="23">
        <v>0</v>
      </c>
      <c r="O5434">
        <f t="shared" si="1051"/>
        <v>-1</v>
      </c>
      <c r="P5434" s="57">
        <f t="shared" si="1052"/>
        <v>1</v>
      </c>
      <c r="Q5434" s="267">
        <f t="shared" si="1053"/>
        <v>17</v>
      </c>
      <c r="R5434" s="23">
        <f t="shared" si="1054"/>
        <v>1</v>
      </c>
      <c r="S5434" s="23">
        <f t="shared" si="1055"/>
        <v>0</v>
      </c>
      <c r="T5434" s="23" t="str">
        <f t="shared" si="1056"/>
        <v/>
      </c>
      <c r="U5434" t="str">
        <f t="shared" si="1057"/>
        <v/>
      </c>
      <c r="X5434" s="43"/>
      <c r="Y5434" s="53"/>
      <c r="Z5434" s="53"/>
      <c r="AA5434"/>
      <c r="AB5434" s="23"/>
      <c r="AF5434" s="22"/>
    </row>
    <row r="5435" spans="1:38">
      <c r="A5435" t="str">
        <f t="shared" si="1058"/>
        <v>PA_Alleg_2019p~Rep-commissioner elizabeth township ward 5 (vote for 1)</v>
      </c>
      <c r="B5435" s="55" t="s">
        <v>1291</v>
      </c>
      <c r="C5435">
        <v>1638</v>
      </c>
      <c r="D5435" s="55" t="s">
        <v>579</v>
      </c>
      <c r="E5435" s="55" t="s">
        <v>1152</v>
      </c>
      <c r="F5435" t="s">
        <v>1117</v>
      </c>
      <c r="G5435" s="62">
        <v>69</v>
      </c>
      <c r="H5435" s="25">
        <v>98.57</v>
      </c>
      <c r="I5435">
        <v>1296</v>
      </c>
      <c r="J5435">
        <v>215</v>
      </c>
      <c r="K5435">
        <v>2</v>
      </c>
      <c r="L5435">
        <v>2</v>
      </c>
      <c r="M5435">
        <v>0</v>
      </c>
      <c r="N5435" s="23">
        <v>0</v>
      </c>
      <c r="O5435">
        <f t="shared" si="1051"/>
        <v>1</v>
      </c>
      <c r="P5435" s="57">
        <f t="shared" si="1052"/>
        <v>1</v>
      </c>
      <c r="Q5435" s="267">
        <f t="shared" si="1053"/>
        <v>70</v>
      </c>
      <c r="R5435" s="23">
        <f t="shared" si="1054"/>
        <v>69</v>
      </c>
      <c r="S5435" s="23">
        <f t="shared" si="1055"/>
        <v>0</v>
      </c>
      <c r="T5435" s="23" t="str">
        <f t="shared" si="1056"/>
        <v/>
      </c>
      <c r="U5435" t="str">
        <f t="shared" si="1057"/>
        <v>PA_Alleg_2019p~Rep-commissioner elizabeth township ward 5 (vote for 1)</v>
      </c>
      <c r="X5435" s="43"/>
      <c r="Y5435" s="53"/>
      <c r="Z5435" s="53"/>
      <c r="AA5435"/>
      <c r="AB5435" s="23"/>
      <c r="AF5435" s="22"/>
    </row>
    <row r="5436" spans="1:38">
      <c r="A5436" t="str">
        <f t="shared" si="1058"/>
        <v>PA_Alleg_2019p~Rep-commissioner elizabeth township ward 5 (vote for 1)</v>
      </c>
      <c r="B5436" s="55" t="s">
        <v>1291</v>
      </c>
      <c r="C5436">
        <v>1639</v>
      </c>
      <c r="D5436" s="55" t="s">
        <v>579</v>
      </c>
      <c r="E5436" s="55" t="s">
        <v>15</v>
      </c>
      <c r="F5436" t="s">
        <v>1117</v>
      </c>
      <c r="G5436" s="62">
        <v>1</v>
      </c>
      <c r="H5436" s="25">
        <v>1.43</v>
      </c>
      <c r="I5436">
        <v>1296</v>
      </c>
      <c r="J5436">
        <v>215</v>
      </c>
      <c r="K5436">
        <v>2</v>
      </c>
      <c r="L5436">
        <v>2</v>
      </c>
      <c r="M5436">
        <v>0</v>
      </c>
      <c r="N5436" s="23">
        <v>0</v>
      </c>
      <c r="O5436">
        <f t="shared" si="1051"/>
        <v>-1</v>
      </c>
      <c r="P5436" s="57">
        <f t="shared" si="1052"/>
        <v>1</v>
      </c>
      <c r="Q5436" s="267">
        <f t="shared" si="1053"/>
        <v>1</v>
      </c>
      <c r="R5436" s="23">
        <f t="shared" si="1054"/>
        <v>1</v>
      </c>
      <c r="S5436" s="23">
        <f t="shared" si="1055"/>
        <v>0</v>
      </c>
      <c r="T5436" s="23" t="str">
        <f t="shared" si="1056"/>
        <v/>
      </c>
      <c r="U5436" t="str">
        <f t="shared" si="1057"/>
        <v/>
      </c>
      <c r="X5436" s="43"/>
      <c r="Y5436" s="53"/>
      <c r="Z5436" s="53"/>
      <c r="AA5436"/>
      <c r="AB5436" s="23"/>
      <c r="AF5436" s="22"/>
    </row>
    <row r="5437" spans="1:38">
      <c r="A5437" t="str">
        <f t="shared" si="1058"/>
        <v>PA_Alleg_2019p~Rep-commissioner elizabeth township ward 7 (vote for 1)</v>
      </c>
      <c r="B5437" s="55" t="s">
        <v>1291</v>
      </c>
      <c r="C5437">
        <v>1640</v>
      </c>
      <c r="D5437" s="55" t="s">
        <v>580</v>
      </c>
      <c r="E5437" s="55" t="s">
        <v>1153</v>
      </c>
      <c r="F5437" t="s">
        <v>1117</v>
      </c>
      <c r="G5437" s="62">
        <v>74</v>
      </c>
      <c r="H5437" s="25">
        <v>97.37</v>
      </c>
      <c r="I5437">
        <v>1276</v>
      </c>
      <c r="J5437">
        <v>243</v>
      </c>
      <c r="K5437">
        <v>1</v>
      </c>
      <c r="L5437">
        <v>1</v>
      </c>
      <c r="M5437">
        <v>0</v>
      </c>
      <c r="N5437" s="23">
        <v>0</v>
      </c>
      <c r="O5437">
        <f t="shared" si="1051"/>
        <v>1</v>
      </c>
      <c r="P5437" s="57">
        <f t="shared" si="1052"/>
        <v>1</v>
      </c>
      <c r="Q5437" s="267">
        <f t="shared" si="1053"/>
        <v>76</v>
      </c>
      <c r="R5437" s="23">
        <f t="shared" si="1054"/>
        <v>74</v>
      </c>
      <c r="S5437" s="23">
        <f t="shared" si="1055"/>
        <v>0</v>
      </c>
      <c r="T5437" s="23" t="str">
        <f t="shared" si="1056"/>
        <v/>
      </c>
      <c r="U5437" t="str">
        <f t="shared" si="1057"/>
        <v>PA_Alleg_2019p~Rep-commissioner elizabeth township ward 7 (vote for 1)</v>
      </c>
      <c r="X5437" s="43"/>
      <c r="Y5437" s="53"/>
      <c r="Z5437" s="53"/>
      <c r="AA5437"/>
      <c r="AB5437" s="23"/>
      <c r="AF5437" s="22"/>
      <c r="AG5437" s="23"/>
      <c r="AH5437" s="8"/>
      <c r="AL5437" s="344"/>
    </row>
    <row r="5438" spans="1:38">
      <c r="A5438" t="str">
        <f t="shared" si="1058"/>
        <v>PA_Alleg_2019p~Rep-commissioner elizabeth township ward 7 (vote for 1)</v>
      </c>
      <c r="B5438" s="55" t="s">
        <v>1291</v>
      </c>
      <c r="C5438">
        <v>1641</v>
      </c>
      <c r="D5438" s="55" t="s">
        <v>580</v>
      </c>
      <c r="E5438" s="55" t="s">
        <v>15</v>
      </c>
      <c r="F5438" t="s">
        <v>1117</v>
      </c>
      <c r="G5438" s="62">
        <v>2</v>
      </c>
      <c r="H5438" s="25">
        <v>2.63</v>
      </c>
      <c r="I5438">
        <v>1276</v>
      </c>
      <c r="J5438">
        <v>243</v>
      </c>
      <c r="K5438">
        <v>1</v>
      </c>
      <c r="L5438">
        <v>1</v>
      </c>
      <c r="M5438">
        <v>0</v>
      </c>
      <c r="N5438" s="23">
        <v>0</v>
      </c>
      <c r="O5438">
        <f t="shared" si="1051"/>
        <v>-1</v>
      </c>
      <c r="P5438" s="57">
        <f t="shared" si="1052"/>
        <v>1</v>
      </c>
      <c r="Q5438" s="267">
        <f t="shared" si="1053"/>
        <v>2</v>
      </c>
      <c r="R5438" s="23">
        <f t="shared" si="1054"/>
        <v>1</v>
      </c>
      <c r="S5438" s="23">
        <f t="shared" si="1055"/>
        <v>0</v>
      </c>
      <c r="T5438" s="23" t="str">
        <f t="shared" si="1056"/>
        <v/>
      </c>
      <c r="U5438" t="str">
        <f t="shared" si="1057"/>
        <v/>
      </c>
      <c r="X5438" s="43"/>
      <c r="Y5438" s="53"/>
      <c r="Z5438" s="53"/>
      <c r="AA5438"/>
      <c r="AB5438" s="23"/>
      <c r="AF5438" s="22"/>
    </row>
    <row r="5439" spans="1:38">
      <c r="A5439" t="str">
        <f t="shared" si="1058"/>
        <v>PA_Alleg_2019p~Rep-commissioner harrison ward 1 (vote for 1)</v>
      </c>
      <c r="B5439" s="55" t="s">
        <v>1291</v>
      </c>
      <c r="C5439">
        <v>1642</v>
      </c>
      <c r="D5439" s="55" t="s">
        <v>582</v>
      </c>
      <c r="E5439" s="55" t="s">
        <v>15</v>
      </c>
      <c r="F5439" t="s">
        <v>1117</v>
      </c>
      <c r="G5439" s="62">
        <v>111</v>
      </c>
      <c r="H5439" s="25">
        <v>100</v>
      </c>
      <c r="I5439">
        <v>1541</v>
      </c>
      <c r="J5439">
        <v>433</v>
      </c>
      <c r="K5439">
        <v>3</v>
      </c>
      <c r="L5439">
        <v>3</v>
      </c>
      <c r="M5439">
        <v>0</v>
      </c>
      <c r="N5439" s="23">
        <v>0</v>
      </c>
      <c r="O5439">
        <f t="shared" si="1051"/>
        <v>0</v>
      </c>
      <c r="P5439" s="57">
        <f t="shared" si="1052"/>
        <v>1</v>
      </c>
      <c r="Q5439" s="267">
        <f t="shared" si="1053"/>
        <v>111</v>
      </c>
      <c r="R5439" s="23">
        <f t="shared" si="1054"/>
        <v>1</v>
      </c>
      <c r="S5439" s="23">
        <f t="shared" si="1055"/>
        <v>0</v>
      </c>
      <c r="T5439" s="23" t="str">
        <f t="shared" si="1056"/>
        <v/>
      </c>
      <c r="U5439" t="str">
        <f t="shared" si="1057"/>
        <v>PA_Alleg_2019p~Rep-commissioner harrison ward 1 (vote for 1)</v>
      </c>
      <c r="X5439" s="43"/>
      <c r="Y5439" s="53"/>
      <c r="Z5439" s="53"/>
      <c r="AA5439"/>
      <c r="AB5439" s="23"/>
      <c r="AF5439" s="22"/>
      <c r="AH5439" s="8"/>
      <c r="AL5439" s="23"/>
    </row>
    <row r="5440" spans="1:38">
      <c r="A5440" t="str">
        <f t="shared" si="1058"/>
        <v>PA_Alleg_2019p~Rep-commissioner harrison ward 3 (vote for 1)</v>
      </c>
      <c r="B5440" s="55" t="s">
        <v>1291</v>
      </c>
      <c r="C5440">
        <v>1643</v>
      </c>
      <c r="D5440" s="55" t="s">
        <v>585</v>
      </c>
      <c r="E5440" s="55" t="s">
        <v>15</v>
      </c>
      <c r="F5440" t="s">
        <v>1117</v>
      </c>
      <c r="G5440" s="62">
        <v>92</v>
      </c>
      <c r="H5440" s="25">
        <v>100</v>
      </c>
      <c r="I5440">
        <v>1665</v>
      </c>
      <c r="J5440">
        <v>533</v>
      </c>
      <c r="K5440">
        <v>2</v>
      </c>
      <c r="L5440">
        <v>2</v>
      </c>
      <c r="M5440">
        <v>0</v>
      </c>
      <c r="N5440" s="23">
        <v>0</v>
      </c>
      <c r="O5440">
        <f t="shared" si="1051"/>
        <v>0</v>
      </c>
      <c r="P5440" s="57">
        <f t="shared" si="1052"/>
        <v>1</v>
      </c>
      <c r="Q5440" s="267">
        <f t="shared" si="1053"/>
        <v>92</v>
      </c>
      <c r="R5440" s="23">
        <f t="shared" si="1054"/>
        <v>1</v>
      </c>
      <c r="S5440" s="23">
        <f t="shared" si="1055"/>
        <v>0</v>
      </c>
      <c r="T5440" s="23" t="str">
        <f t="shared" si="1056"/>
        <v/>
      </c>
      <c r="U5440" t="str">
        <f t="shared" si="1057"/>
        <v>PA_Alleg_2019p~Rep-commissioner harrison ward 3 (vote for 1)</v>
      </c>
      <c r="X5440" s="43"/>
      <c r="Y5440" s="53"/>
      <c r="Z5440" s="53"/>
      <c r="AA5440"/>
      <c r="AB5440" s="23"/>
      <c r="AF5440" s="22"/>
    </row>
    <row r="5441" spans="1:38">
      <c r="A5441" t="str">
        <f t="shared" si="1058"/>
        <v>PA_Alleg_2019p~Rep-commissioner harrison ward 5 (vote for 1)</v>
      </c>
      <c r="B5441" s="55" t="s">
        <v>1291</v>
      </c>
      <c r="C5441">
        <v>1644</v>
      </c>
      <c r="D5441" s="55" t="s">
        <v>588</v>
      </c>
      <c r="E5441" s="55" t="s">
        <v>15</v>
      </c>
      <c r="F5441" t="s">
        <v>1117</v>
      </c>
      <c r="G5441" s="62">
        <v>33</v>
      </c>
      <c r="H5441" s="25">
        <v>100</v>
      </c>
      <c r="I5441">
        <v>1347</v>
      </c>
      <c r="J5441">
        <v>202</v>
      </c>
      <c r="K5441">
        <v>2</v>
      </c>
      <c r="L5441">
        <v>2</v>
      </c>
      <c r="M5441">
        <v>0</v>
      </c>
      <c r="N5441" s="23">
        <v>0</v>
      </c>
      <c r="O5441">
        <f t="shared" si="1051"/>
        <v>0</v>
      </c>
      <c r="P5441" s="57">
        <f t="shared" si="1052"/>
        <v>1</v>
      </c>
      <c r="Q5441" s="267">
        <f t="shared" si="1053"/>
        <v>33</v>
      </c>
      <c r="R5441" s="23">
        <f t="shared" si="1054"/>
        <v>1</v>
      </c>
      <c r="S5441" s="23">
        <f t="shared" si="1055"/>
        <v>0</v>
      </c>
      <c r="T5441" s="23" t="str">
        <f t="shared" si="1056"/>
        <v/>
      </c>
      <c r="U5441" t="str">
        <f t="shared" si="1057"/>
        <v>PA_Alleg_2019p~Rep-commissioner harrison ward 5 (vote for 1)</v>
      </c>
      <c r="X5441" s="43"/>
      <c r="Y5441" s="53"/>
      <c r="Z5441" s="53"/>
      <c r="AA5441"/>
      <c r="AB5441" s="23"/>
      <c r="AF5441" s="22"/>
    </row>
    <row r="5442" spans="1:38">
      <c r="A5442" t="str">
        <f t="shared" si="1058"/>
        <v>PA_Alleg_2019p~Rep-commissioner kennedy (vote for 1)</v>
      </c>
      <c r="B5442" s="55" t="s">
        <v>1291</v>
      </c>
      <c r="C5442">
        <v>1630</v>
      </c>
      <c r="D5442" s="55" t="s">
        <v>570</v>
      </c>
      <c r="E5442" s="55" t="s">
        <v>15</v>
      </c>
      <c r="F5442" t="s">
        <v>1117</v>
      </c>
      <c r="G5442" s="62">
        <v>42</v>
      </c>
      <c r="H5442" s="25">
        <v>100</v>
      </c>
      <c r="I5442">
        <v>6687</v>
      </c>
      <c r="J5442">
        <v>1153</v>
      </c>
      <c r="K5442">
        <v>7</v>
      </c>
      <c r="L5442">
        <v>7</v>
      </c>
      <c r="M5442">
        <v>0</v>
      </c>
      <c r="N5442" s="23">
        <v>0</v>
      </c>
      <c r="O5442">
        <f t="shared" ref="O5442:O5505" si="1059">IF(OR(LOWER(LEFT(E5442,8))="write-in",LOWER(LEFT(E5442,8))="not qual"),IF(A5442=A5441,-ABS(O5441),0),IF(A5442=A5441,ABS(O5441)+1,1))</f>
        <v>0</v>
      </c>
      <c r="P5442" s="57">
        <f t="shared" ref="P5442:P5505" si="1060">1*LEFT(RIGHT(A5442,2),1)</f>
        <v>1</v>
      </c>
      <c r="Q5442" s="267">
        <f t="shared" ref="Q5442:Q5505" si="1061">IF(A5442&lt;&gt;A5443,G5442,IF(A5442=A5441,G5442+Q5443,MAX(G5442,(G5442+Q5443)/P5442)))</f>
        <v>42</v>
      </c>
      <c r="R5442" s="23">
        <f t="shared" ref="R5442:R5505" si="1062">IF(O5442&gt;P5442,"",IF(O5442=P5442,G5442,IF(A5442=A5443,R5443,IF(O5442&lt;=0,1,G5442))))</f>
        <v>1</v>
      </c>
      <c r="S5442" s="23">
        <f t="shared" ref="S5442:S5505" si="1063">IF(AND(O5442&gt;P5442,LOWER(LEFT(E5442,8))&lt;&gt;"write-in",LOWER(LEFT(E5442,8))&lt;&gt;"not qual"),G5442,IF(A5442=A5443,S5443,0))</f>
        <v>0</v>
      </c>
      <c r="T5442" s="23" t="str">
        <f t="shared" ref="T5442:T5505" si="1064">IF(OR(A5442=A5441,S5442=0),"",R5442-ABS(S5442))</f>
        <v/>
      </c>
      <c r="U5442" t="str">
        <f t="shared" ref="U5442:U5505" si="1065">IF(A5442=A5441,"",A5442)</f>
        <v>PA_Alleg_2019p~Rep-commissioner kennedy (vote for 1)</v>
      </c>
      <c r="X5442" s="43"/>
      <c r="Y5442" s="53"/>
      <c r="Z5442" s="53"/>
      <c r="AA5442"/>
      <c r="AB5442" s="23"/>
      <c r="AF5442" s="22"/>
      <c r="AH5442" s="8"/>
      <c r="AL5442" s="23"/>
    </row>
    <row r="5443" spans="1:38">
      <c r="A5443" t="str">
        <f t="shared" ref="A5443:A5506" si="1066">CONCATENATE(B5443,"~",F5443,"-",LOWER(D5443))</f>
        <v>PA_Alleg_2019p~Rep-commissioner kennedy (vote for 2)</v>
      </c>
      <c r="B5443" s="55" t="s">
        <v>1291</v>
      </c>
      <c r="C5443">
        <v>1627</v>
      </c>
      <c r="D5443" s="55" t="s">
        <v>563</v>
      </c>
      <c r="E5443" s="55" t="s">
        <v>15</v>
      </c>
      <c r="F5443" t="s">
        <v>1117</v>
      </c>
      <c r="G5443" s="62">
        <v>94</v>
      </c>
      <c r="H5443" s="25">
        <v>100</v>
      </c>
      <c r="I5443">
        <v>6687</v>
      </c>
      <c r="J5443">
        <v>1153</v>
      </c>
      <c r="K5443">
        <v>7</v>
      </c>
      <c r="L5443">
        <v>7</v>
      </c>
      <c r="M5443">
        <v>0</v>
      </c>
      <c r="N5443" s="23">
        <v>0</v>
      </c>
      <c r="O5443">
        <f t="shared" si="1059"/>
        <v>0</v>
      </c>
      <c r="P5443" s="57">
        <f t="shared" si="1060"/>
        <v>2</v>
      </c>
      <c r="Q5443" s="267">
        <f t="shared" si="1061"/>
        <v>94</v>
      </c>
      <c r="R5443" s="23">
        <f t="shared" si="1062"/>
        <v>1</v>
      </c>
      <c r="S5443" s="23">
        <f t="shared" si="1063"/>
        <v>0</v>
      </c>
      <c r="T5443" s="23" t="str">
        <f t="shared" si="1064"/>
        <v/>
      </c>
      <c r="U5443" t="str">
        <f t="shared" si="1065"/>
        <v>PA_Alleg_2019p~Rep-commissioner kennedy (vote for 2)</v>
      </c>
      <c r="X5443" s="43"/>
      <c r="Y5443" s="53"/>
      <c r="Z5443" s="53"/>
      <c r="AA5443"/>
      <c r="AB5443" s="23"/>
      <c r="AF5443" s="22"/>
    </row>
    <row r="5444" spans="1:38">
      <c r="A5444" t="str">
        <f t="shared" si="1066"/>
        <v>PA_Alleg_2019p~Rep-commissioner leet (vote for 3)</v>
      </c>
      <c r="B5444" s="55" t="s">
        <v>1291</v>
      </c>
      <c r="C5444">
        <v>1617</v>
      </c>
      <c r="D5444" s="55" t="s">
        <v>545</v>
      </c>
      <c r="E5444" s="55" t="s">
        <v>1144</v>
      </c>
      <c r="F5444" t="s">
        <v>1117</v>
      </c>
      <c r="G5444" s="62">
        <v>74</v>
      </c>
      <c r="H5444" s="25">
        <v>24.92</v>
      </c>
      <c r="I5444">
        <v>1199</v>
      </c>
      <c r="J5444">
        <v>267</v>
      </c>
      <c r="K5444">
        <v>2</v>
      </c>
      <c r="L5444">
        <v>2</v>
      </c>
      <c r="M5444">
        <v>0</v>
      </c>
      <c r="N5444" s="23">
        <v>0</v>
      </c>
      <c r="O5444">
        <f t="shared" si="1059"/>
        <v>1</v>
      </c>
      <c r="P5444" s="57">
        <f t="shared" si="1060"/>
        <v>3</v>
      </c>
      <c r="Q5444" s="267">
        <f t="shared" si="1061"/>
        <v>99</v>
      </c>
      <c r="R5444" s="23">
        <f t="shared" si="1062"/>
        <v>64</v>
      </c>
      <c r="S5444" s="23">
        <f t="shared" si="1063"/>
        <v>51</v>
      </c>
      <c r="T5444" s="23">
        <f t="shared" si="1064"/>
        <v>13</v>
      </c>
      <c r="U5444" t="str">
        <f t="shared" si="1065"/>
        <v>PA_Alleg_2019p~Rep-commissioner leet (vote for 3)</v>
      </c>
      <c r="X5444" s="43"/>
      <c r="Y5444" s="53"/>
      <c r="Z5444" s="53"/>
      <c r="AA5444"/>
      <c r="AB5444" s="23"/>
      <c r="AF5444" s="22"/>
    </row>
    <row r="5445" spans="1:38">
      <c r="A5445" t="str">
        <f t="shared" si="1066"/>
        <v>PA_Alleg_2019p~Rep-commissioner leet (vote for 3)</v>
      </c>
      <c r="B5445" s="55" t="s">
        <v>1291</v>
      </c>
      <c r="C5445">
        <v>1618</v>
      </c>
      <c r="D5445" s="55" t="s">
        <v>545</v>
      </c>
      <c r="E5445" s="55" t="s">
        <v>1145</v>
      </c>
      <c r="F5445" t="s">
        <v>1117</v>
      </c>
      <c r="G5445" s="62">
        <v>69</v>
      </c>
      <c r="H5445" s="25">
        <v>23.23</v>
      </c>
      <c r="I5445">
        <v>1199</v>
      </c>
      <c r="J5445">
        <v>267</v>
      </c>
      <c r="K5445">
        <v>2</v>
      </c>
      <c r="L5445">
        <v>2</v>
      </c>
      <c r="M5445">
        <v>0</v>
      </c>
      <c r="N5445" s="23">
        <v>0</v>
      </c>
      <c r="O5445">
        <f t="shared" si="1059"/>
        <v>2</v>
      </c>
      <c r="P5445" s="57">
        <f t="shared" si="1060"/>
        <v>3</v>
      </c>
      <c r="Q5445" s="267">
        <f t="shared" si="1061"/>
        <v>223</v>
      </c>
      <c r="R5445" s="23">
        <f t="shared" si="1062"/>
        <v>64</v>
      </c>
      <c r="S5445" s="23">
        <f t="shared" si="1063"/>
        <v>51</v>
      </c>
      <c r="T5445" s="23" t="str">
        <f t="shared" si="1064"/>
        <v/>
      </c>
      <c r="U5445" t="str">
        <f t="shared" si="1065"/>
        <v/>
      </c>
      <c r="X5445" s="43"/>
      <c r="Y5445" s="53"/>
      <c r="Z5445" s="53"/>
      <c r="AA5445"/>
      <c r="AB5445" s="23"/>
      <c r="AF5445" s="88"/>
      <c r="AH5445" s="8"/>
      <c r="AL5445" s="23"/>
    </row>
    <row r="5446" spans="1:38">
      <c r="A5446" t="str">
        <f t="shared" si="1066"/>
        <v>PA_Alleg_2019p~Rep-commissioner leet (vote for 3)</v>
      </c>
      <c r="B5446" s="55" t="s">
        <v>1291</v>
      </c>
      <c r="C5446">
        <v>1616</v>
      </c>
      <c r="D5446" s="55" t="s">
        <v>545</v>
      </c>
      <c r="E5446" s="55" t="s">
        <v>1143</v>
      </c>
      <c r="F5446" t="s">
        <v>1117</v>
      </c>
      <c r="G5446" s="62">
        <v>64</v>
      </c>
      <c r="H5446" s="25">
        <v>21.55</v>
      </c>
      <c r="I5446">
        <v>1199</v>
      </c>
      <c r="J5446">
        <v>267</v>
      </c>
      <c r="K5446">
        <v>2</v>
      </c>
      <c r="L5446">
        <v>2</v>
      </c>
      <c r="M5446">
        <v>0</v>
      </c>
      <c r="N5446" s="23">
        <v>0</v>
      </c>
      <c r="O5446">
        <f t="shared" si="1059"/>
        <v>3</v>
      </c>
      <c r="P5446" s="57">
        <f t="shared" si="1060"/>
        <v>3</v>
      </c>
      <c r="Q5446" s="267">
        <f t="shared" si="1061"/>
        <v>154</v>
      </c>
      <c r="R5446" s="23">
        <f t="shared" si="1062"/>
        <v>64</v>
      </c>
      <c r="S5446" s="23">
        <f t="shared" si="1063"/>
        <v>51</v>
      </c>
      <c r="T5446" s="23" t="str">
        <f t="shared" si="1064"/>
        <v/>
      </c>
      <c r="U5446" t="str">
        <f t="shared" si="1065"/>
        <v/>
      </c>
      <c r="X5446" s="43"/>
      <c r="Y5446" s="53"/>
      <c r="Z5446" s="53"/>
      <c r="AA5446"/>
      <c r="AB5446" s="23"/>
      <c r="AF5446" s="22"/>
      <c r="AG5446" s="23"/>
      <c r="AH5446" s="8"/>
    </row>
    <row r="5447" spans="1:38">
      <c r="A5447" t="str">
        <f t="shared" si="1066"/>
        <v>PA_Alleg_2019p~Rep-commissioner leet (vote for 3)</v>
      </c>
      <c r="B5447" s="55" t="s">
        <v>1291</v>
      </c>
      <c r="C5447">
        <v>1619</v>
      </c>
      <c r="D5447" s="55" t="s">
        <v>545</v>
      </c>
      <c r="E5447" s="55" t="s">
        <v>1146</v>
      </c>
      <c r="F5447" t="s">
        <v>1117</v>
      </c>
      <c r="G5447" s="62">
        <v>51</v>
      </c>
      <c r="H5447" s="25">
        <v>17.170000000000002</v>
      </c>
      <c r="I5447">
        <v>1199</v>
      </c>
      <c r="J5447">
        <v>267</v>
      </c>
      <c r="K5447">
        <v>2</v>
      </c>
      <c r="L5447">
        <v>2</v>
      </c>
      <c r="M5447">
        <v>0</v>
      </c>
      <c r="N5447" s="23">
        <v>0</v>
      </c>
      <c r="O5447">
        <f t="shared" si="1059"/>
        <v>4</v>
      </c>
      <c r="P5447" s="57">
        <f t="shared" si="1060"/>
        <v>3</v>
      </c>
      <c r="Q5447" s="267">
        <f t="shared" si="1061"/>
        <v>90</v>
      </c>
      <c r="R5447" s="23" t="str">
        <f t="shared" si="1062"/>
        <v/>
      </c>
      <c r="S5447" s="23">
        <f t="shared" si="1063"/>
        <v>51</v>
      </c>
      <c r="T5447" s="23" t="str">
        <f t="shared" si="1064"/>
        <v/>
      </c>
      <c r="U5447" t="str">
        <f t="shared" si="1065"/>
        <v/>
      </c>
      <c r="X5447" s="43"/>
      <c r="Y5447" s="53"/>
      <c r="Z5447" s="53"/>
      <c r="AA5447"/>
      <c r="AB5447" s="23"/>
      <c r="AF5447" s="22"/>
    </row>
    <row r="5448" spans="1:38">
      <c r="A5448" t="str">
        <f t="shared" si="1066"/>
        <v>PA_Alleg_2019p~Rep-commissioner leet (vote for 3)</v>
      </c>
      <c r="B5448" s="55" t="s">
        <v>1291</v>
      </c>
      <c r="C5448">
        <v>1620</v>
      </c>
      <c r="D5448" s="55" t="s">
        <v>545</v>
      </c>
      <c r="E5448" s="55" t="s">
        <v>15</v>
      </c>
      <c r="F5448" t="s">
        <v>1117</v>
      </c>
      <c r="G5448" s="62">
        <v>39</v>
      </c>
      <c r="H5448" s="25">
        <v>13.13</v>
      </c>
      <c r="I5448">
        <v>1199</v>
      </c>
      <c r="J5448">
        <v>267</v>
      </c>
      <c r="K5448">
        <v>2</v>
      </c>
      <c r="L5448">
        <v>2</v>
      </c>
      <c r="M5448">
        <v>0</v>
      </c>
      <c r="N5448" s="23">
        <v>0</v>
      </c>
      <c r="O5448">
        <f t="shared" si="1059"/>
        <v>-4</v>
      </c>
      <c r="P5448" s="57">
        <f t="shared" si="1060"/>
        <v>3</v>
      </c>
      <c r="Q5448" s="267">
        <f t="shared" si="1061"/>
        <v>39</v>
      </c>
      <c r="R5448" s="23">
        <f t="shared" si="1062"/>
        <v>1</v>
      </c>
      <c r="S5448" s="23">
        <f t="shared" si="1063"/>
        <v>0</v>
      </c>
      <c r="T5448" s="23" t="str">
        <f t="shared" si="1064"/>
        <v/>
      </c>
      <c r="U5448" t="str">
        <f t="shared" si="1065"/>
        <v/>
      </c>
      <c r="X5448" s="43"/>
      <c r="Y5448" s="53"/>
      <c r="Z5448" s="53"/>
      <c r="AA5448"/>
      <c r="AB5448" s="23"/>
      <c r="AF5448" s="22"/>
    </row>
    <row r="5449" spans="1:38">
      <c r="A5449" t="str">
        <f t="shared" si="1066"/>
        <v>PA_Alleg_2019p~Rep-commissioner mt lebanon ward 1 (vote for 1)</v>
      </c>
      <c r="B5449" s="55" t="s">
        <v>1291</v>
      </c>
      <c r="C5449">
        <v>1645</v>
      </c>
      <c r="D5449" s="55" t="s">
        <v>590</v>
      </c>
      <c r="E5449" s="55" t="s">
        <v>15</v>
      </c>
      <c r="F5449" t="s">
        <v>1117</v>
      </c>
      <c r="G5449" s="62">
        <v>22</v>
      </c>
      <c r="H5449" s="25">
        <v>100</v>
      </c>
      <c r="I5449">
        <v>5600</v>
      </c>
      <c r="J5449">
        <v>857</v>
      </c>
      <c r="K5449">
        <v>7</v>
      </c>
      <c r="L5449">
        <v>7</v>
      </c>
      <c r="M5449">
        <v>0</v>
      </c>
      <c r="N5449" s="23">
        <v>0</v>
      </c>
      <c r="O5449">
        <f t="shared" si="1059"/>
        <v>0</v>
      </c>
      <c r="P5449" s="57">
        <f t="shared" si="1060"/>
        <v>1</v>
      </c>
      <c r="Q5449" s="267">
        <f t="shared" si="1061"/>
        <v>22</v>
      </c>
      <c r="R5449" s="23">
        <f t="shared" si="1062"/>
        <v>1</v>
      </c>
      <c r="S5449" s="23">
        <f t="shared" si="1063"/>
        <v>0</v>
      </c>
      <c r="T5449" s="23" t="str">
        <f t="shared" si="1064"/>
        <v/>
      </c>
      <c r="U5449" t="str">
        <f t="shared" si="1065"/>
        <v>PA_Alleg_2019p~Rep-commissioner mt lebanon ward 1 (vote for 1)</v>
      </c>
      <c r="X5449" s="43"/>
      <c r="Y5449" s="53"/>
      <c r="Z5449" s="53"/>
      <c r="AA5449"/>
      <c r="AB5449" s="23"/>
      <c r="AF5449" s="22"/>
    </row>
    <row r="5450" spans="1:38">
      <c r="A5450" t="str">
        <f t="shared" si="1066"/>
        <v>PA_Alleg_2019p~Rep-commissioner mt lebanon ward 3 (vote for 1)</v>
      </c>
      <c r="B5450" s="55" t="s">
        <v>1291</v>
      </c>
      <c r="C5450">
        <v>1646</v>
      </c>
      <c r="D5450" s="55" t="s">
        <v>592</v>
      </c>
      <c r="E5450" s="55" t="s">
        <v>15</v>
      </c>
      <c r="F5450" t="s">
        <v>1117</v>
      </c>
      <c r="G5450" s="62">
        <v>26</v>
      </c>
      <c r="H5450" s="25">
        <v>100</v>
      </c>
      <c r="I5450">
        <v>5468</v>
      </c>
      <c r="J5450">
        <v>839</v>
      </c>
      <c r="K5450">
        <v>8</v>
      </c>
      <c r="L5450">
        <v>8</v>
      </c>
      <c r="M5450">
        <v>0</v>
      </c>
      <c r="N5450" s="23">
        <v>0</v>
      </c>
      <c r="O5450">
        <f t="shared" si="1059"/>
        <v>0</v>
      </c>
      <c r="P5450" s="57">
        <f t="shared" si="1060"/>
        <v>1</v>
      </c>
      <c r="Q5450" s="267">
        <f t="shared" si="1061"/>
        <v>26</v>
      </c>
      <c r="R5450" s="23">
        <f t="shared" si="1062"/>
        <v>1</v>
      </c>
      <c r="S5450" s="23">
        <f t="shared" si="1063"/>
        <v>0</v>
      </c>
      <c r="T5450" s="23" t="str">
        <f t="shared" si="1064"/>
        <v/>
      </c>
      <c r="U5450" t="str">
        <f t="shared" si="1065"/>
        <v>PA_Alleg_2019p~Rep-commissioner mt lebanon ward 3 (vote for 1)</v>
      </c>
      <c r="X5450" s="43"/>
      <c r="Y5450" s="53"/>
      <c r="Z5450" s="53"/>
      <c r="AA5450"/>
      <c r="AB5450" s="23"/>
      <c r="AF5450" s="22"/>
    </row>
    <row r="5451" spans="1:38">
      <c r="A5451" t="str">
        <f t="shared" si="1066"/>
        <v>PA_Alleg_2019p~Rep-commissioner mt lebanon ward 5 (vote for 1)</v>
      </c>
      <c r="B5451" s="55" t="s">
        <v>1291</v>
      </c>
      <c r="C5451">
        <v>1647</v>
      </c>
      <c r="D5451" s="55" t="s">
        <v>594</v>
      </c>
      <c r="E5451" s="55" t="s">
        <v>1154</v>
      </c>
      <c r="F5451" t="s">
        <v>1117</v>
      </c>
      <c r="G5451" s="62">
        <v>140</v>
      </c>
      <c r="H5451" s="25">
        <v>94.59</v>
      </c>
      <c r="I5451">
        <v>5320</v>
      </c>
      <c r="J5451">
        <v>826</v>
      </c>
      <c r="K5451">
        <v>8</v>
      </c>
      <c r="L5451">
        <v>8</v>
      </c>
      <c r="M5451">
        <v>0</v>
      </c>
      <c r="N5451" s="23">
        <v>0</v>
      </c>
      <c r="O5451">
        <f t="shared" si="1059"/>
        <v>1</v>
      </c>
      <c r="P5451" s="57">
        <f t="shared" si="1060"/>
        <v>1</v>
      </c>
      <c r="Q5451" s="267">
        <f t="shared" si="1061"/>
        <v>148</v>
      </c>
      <c r="R5451" s="23">
        <f t="shared" si="1062"/>
        <v>140</v>
      </c>
      <c r="S5451" s="23">
        <f t="shared" si="1063"/>
        <v>0</v>
      </c>
      <c r="T5451" s="23" t="str">
        <f t="shared" si="1064"/>
        <v/>
      </c>
      <c r="U5451" t="str">
        <f t="shared" si="1065"/>
        <v>PA_Alleg_2019p~Rep-commissioner mt lebanon ward 5 (vote for 1)</v>
      </c>
      <c r="X5451" s="43"/>
      <c r="Y5451" s="53"/>
      <c r="Z5451" s="53"/>
      <c r="AA5451"/>
      <c r="AB5451" s="23"/>
      <c r="AF5451" s="22"/>
    </row>
    <row r="5452" spans="1:38">
      <c r="A5452" t="str">
        <f t="shared" si="1066"/>
        <v>PA_Alleg_2019p~Rep-commissioner mt lebanon ward 5 (vote for 1)</v>
      </c>
      <c r="B5452" s="55" t="s">
        <v>1291</v>
      </c>
      <c r="C5452">
        <v>1648</v>
      </c>
      <c r="D5452" s="55" t="s">
        <v>594</v>
      </c>
      <c r="E5452" s="55" t="s">
        <v>15</v>
      </c>
      <c r="F5452" t="s">
        <v>1117</v>
      </c>
      <c r="G5452" s="62">
        <v>8</v>
      </c>
      <c r="H5452" s="25">
        <v>5.41</v>
      </c>
      <c r="I5452">
        <v>5320</v>
      </c>
      <c r="J5452">
        <v>826</v>
      </c>
      <c r="K5452">
        <v>8</v>
      </c>
      <c r="L5452">
        <v>8</v>
      </c>
      <c r="M5452">
        <v>0</v>
      </c>
      <c r="N5452" s="23">
        <v>0</v>
      </c>
      <c r="O5452">
        <f t="shared" si="1059"/>
        <v>-1</v>
      </c>
      <c r="P5452" s="57">
        <f t="shared" si="1060"/>
        <v>1</v>
      </c>
      <c r="Q5452" s="267">
        <f t="shared" si="1061"/>
        <v>8</v>
      </c>
      <c r="R5452" s="23">
        <f t="shared" si="1062"/>
        <v>1</v>
      </c>
      <c r="S5452" s="23">
        <f t="shared" si="1063"/>
        <v>0</v>
      </c>
      <c r="T5452" s="23" t="str">
        <f t="shared" si="1064"/>
        <v/>
      </c>
      <c r="U5452" t="str">
        <f t="shared" si="1065"/>
        <v/>
      </c>
      <c r="X5452" s="43"/>
      <c r="Y5452" s="53"/>
      <c r="Z5452" s="53"/>
      <c r="AA5452"/>
      <c r="AB5452" s="23"/>
      <c r="AF5452" s="22"/>
      <c r="AG5452" s="89"/>
      <c r="AH5452" s="274"/>
      <c r="AI5452" s="279"/>
      <c r="AJ5452" s="280"/>
      <c r="AK5452" s="92"/>
      <c r="AL5452" s="23"/>
    </row>
    <row r="5453" spans="1:38">
      <c r="A5453" t="str">
        <f t="shared" si="1066"/>
        <v>PA_Alleg_2019p~Rep-commissioner neville ward 1 (vote for 1)</v>
      </c>
      <c r="B5453" s="55" t="s">
        <v>1291</v>
      </c>
      <c r="C5453">
        <v>1649</v>
      </c>
      <c r="D5453" s="55" t="s">
        <v>596</v>
      </c>
      <c r="E5453" s="55" t="s">
        <v>15</v>
      </c>
      <c r="F5453" t="s">
        <v>1117</v>
      </c>
      <c r="G5453" s="62">
        <v>8</v>
      </c>
      <c r="H5453" s="25">
        <v>100</v>
      </c>
      <c r="I5453">
        <v>282</v>
      </c>
      <c r="J5453">
        <v>74</v>
      </c>
      <c r="K5453">
        <v>1</v>
      </c>
      <c r="L5453">
        <v>1</v>
      </c>
      <c r="M5453">
        <v>0</v>
      </c>
      <c r="N5453" s="23">
        <v>0</v>
      </c>
      <c r="O5453">
        <f t="shared" si="1059"/>
        <v>0</v>
      </c>
      <c r="P5453" s="57">
        <f t="shared" si="1060"/>
        <v>1</v>
      </c>
      <c r="Q5453" s="267">
        <f t="shared" si="1061"/>
        <v>8</v>
      </c>
      <c r="R5453" s="23">
        <f t="shared" si="1062"/>
        <v>1</v>
      </c>
      <c r="S5453" s="23">
        <f t="shared" si="1063"/>
        <v>0</v>
      </c>
      <c r="T5453" s="23" t="str">
        <f t="shared" si="1064"/>
        <v/>
      </c>
      <c r="U5453" t="str">
        <f t="shared" si="1065"/>
        <v>PA_Alleg_2019p~Rep-commissioner neville ward 1 (vote for 1)</v>
      </c>
      <c r="X5453" s="43"/>
      <c r="Y5453" s="53"/>
      <c r="Z5453" s="53"/>
      <c r="AA5453"/>
      <c r="AB5453" s="23"/>
      <c r="AF5453" s="22"/>
    </row>
    <row r="5454" spans="1:38">
      <c r="A5454" t="str">
        <f t="shared" si="1066"/>
        <v>PA_Alleg_2019p~Rep-commissioner neville ward 3 (vote for 1)</v>
      </c>
      <c r="B5454" s="55" t="s">
        <v>1291</v>
      </c>
      <c r="C5454">
        <v>1650</v>
      </c>
      <c r="D5454" s="55" t="s">
        <v>597</v>
      </c>
      <c r="E5454" s="55" t="s">
        <v>15</v>
      </c>
      <c r="F5454" t="s">
        <v>1117</v>
      </c>
      <c r="G5454" s="62">
        <v>5</v>
      </c>
      <c r="H5454" s="25">
        <v>100</v>
      </c>
      <c r="I5454">
        <v>268</v>
      </c>
      <c r="J5454">
        <v>113</v>
      </c>
      <c r="K5454">
        <v>1</v>
      </c>
      <c r="L5454">
        <v>1</v>
      </c>
      <c r="M5454">
        <v>0</v>
      </c>
      <c r="N5454" s="23">
        <v>0</v>
      </c>
      <c r="O5454">
        <f t="shared" si="1059"/>
        <v>0</v>
      </c>
      <c r="P5454" s="57">
        <f t="shared" si="1060"/>
        <v>1</v>
      </c>
      <c r="Q5454" s="267">
        <f t="shared" si="1061"/>
        <v>5</v>
      </c>
      <c r="R5454" s="23">
        <f t="shared" si="1062"/>
        <v>1</v>
      </c>
      <c r="S5454" s="23">
        <f t="shared" si="1063"/>
        <v>0</v>
      </c>
      <c r="T5454" s="23" t="str">
        <f t="shared" si="1064"/>
        <v/>
      </c>
      <c r="U5454" t="str">
        <f t="shared" si="1065"/>
        <v>PA_Alleg_2019p~Rep-commissioner neville ward 3 (vote for 1)</v>
      </c>
      <c r="X5454" s="43"/>
      <c r="Y5454" s="53"/>
      <c r="Z5454" s="53"/>
      <c r="AA5454"/>
      <c r="AB5454" s="23"/>
      <c r="AF5454" s="22"/>
    </row>
    <row r="5455" spans="1:38">
      <c r="A5455" t="str">
        <f t="shared" si="1066"/>
        <v>PA_Alleg_2019p~Rep-commissioner north versailles ward 1 (vote for 1)</v>
      </c>
      <c r="B5455" s="55" t="s">
        <v>1291</v>
      </c>
      <c r="C5455">
        <v>1651</v>
      </c>
      <c r="D5455" s="55" t="s">
        <v>599</v>
      </c>
      <c r="E5455" s="55" t="s">
        <v>15</v>
      </c>
      <c r="F5455" t="s">
        <v>1117</v>
      </c>
      <c r="G5455" s="62">
        <v>4</v>
      </c>
      <c r="H5455" s="25">
        <v>100</v>
      </c>
      <c r="I5455">
        <v>1320</v>
      </c>
      <c r="J5455">
        <v>202</v>
      </c>
      <c r="K5455">
        <v>2</v>
      </c>
      <c r="L5455">
        <v>2</v>
      </c>
      <c r="M5455">
        <v>0</v>
      </c>
      <c r="N5455" s="23">
        <v>0</v>
      </c>
      <c r="O5455">
        <f t="shared" si="1059"/>
        <v>0</v>
      </c>
      <c r="P5455" s="57">
        <f t="shared" si="1060"/>
        <v>1</v>
      </c>
      <c r="Q5455" s="267">
        <f t="shared" si="1061"/>
        <v>4</v>
      </c>
      <c r="R5455" s="23">
        <f t="shared" si="1062"/>
        <v>1</v>
      </c>
      <c r="S5455" s="23">
        <f t="shared" si="1063"/>
        <v>0</v>
      </c>
      <c r="T5455" s="23" t="str">
        <f t="shared" si="1064"/>
        <v/>
      </c>
      <c r="U5455" t="str">
        <f t="shared" si="1065"/>
        <v>PA_Alleg_2019p~Rep-commissioner north versailles ward 1 (vote for 1)</v>
      </c>
      <c r="X5455" s="43"/>
      <c r="Y5455" s="53"/>
      <c r="Z5455" s="53"/>
      <c r="AA5455"/>
      <c r="AB5455" s="23"/>
    </row>
    <row r="5456" spans="1:38">
      <c r="A5456" t="str">
        <f t="shared" si="1066"/>
        <v>PA_Alleg_2019p~Rep-commissioner north versailles ward 3 (vote for 1)</v>
      </c>
      <c r="B5456" s="55" t="s">
        <v>1291</v>
      </c>
      <c r="C5456">
        <v>1652</v>
      </c>
      <c r="D5456" s="55" t="s">
        <v>601</v>
      </c>
      <c r="E5456" s="55" t="s">
        <v>15</v>
      </c>
      <c r="F5456" t="s">
        <v>1117</v>
      </c>
      <c r="G5456" s="62">
        <v>37</v>
      </c>
      <c r="H5456" s="25">
        <v>100</v>
      </c>
      <c r="I5456">
        <v>1128</v>
      </c>
      <c r="J5456">
        <v>223</v>
      </c>
      <c r="K5456">
        <v>2</v>
      </c>
      <c r="L5456">
        <v>2</v>
      </c>
      <c r="M5456">
        <v>0</v>
      </c>
      <c r="N5456" s="23">
        <v>0</v>
      </c>
      <c r="O5456">
        <f t="shared" si="1059"/>
        <v>0</v>
      </c>
      <c r="P5456" s="57">
        <f t="shared" si="1060"/>
        <v>1</v>
      </c>
      <c r="Q5456" s="267">
        <f t="shared" si="1061"/>
        <v>37</v>
      </c>
      <c r="R5456" s="23">
        <f t="shared" si="1062"/>
        <v>1</v>
      </c>
      <c r="S5456" s="23">
        <f t="shared" si="1063"/>
        <v>0</v>
      </c>
      <c r="T5456" s="23" t="str">
        <f t="shared" si="1064"/>
        <v/>
      </c>
      <c r="U5456" t="str">
        <f t="shared" si="1065"/>
        <v>PA_Alleg_2019p~Rep-commissioner north versailles ward 3 (vote for 1)</v>
      </c>
      <c r="X5456" s="43"/>
      <c r="Y5456" s="53"/>
      <c r="Z5456" s="53"/>
      <c r="AA5456"/>
      <c r="AB5456" s="23"/>
      <c r="AF5456" s="22"/>
    </row>
    <row r="5457" spans="1:38">
      <c r="A5457" t="str">
        <f t="shared" si="1066"/>
        <v>PA_Alleg_2019p~Rep-commissioner north versailles ward 5 (vote for 1)</v>
      </c>
      <c r="B5457" s="55" t="s">
        <v>1291</v>
      </c>
      <c r="C5457">
        <v>1653</v>
      </c>
      <c r="D5457" s="55" t="s">
        <v>604</v>
      </c>
      <c r="E5457" s="55" t="s">
        <v>15</v>
      </c>
      <c r="F5457" t="s">
        <v>1117</v>
      </c>
      <c r="G5457" s="62">
        <v>9</v>
      </c>
      <c r="H5457" s="25">
        <v>100</v>
      </c>
      <c r="I5457">
        <v>965</v>
      </c>
      <c r="J5457">
        <v>92</v>
      </c>
      <c r="K5457">
        <v>2</v>
      </c>
      <c r="L5457">
        <v>2</v>
      </c>
      <c r="M5457">
        <v>0</v>
      </c>
      <c r="N5457" s="23">
        <v>0</v>
      </c>
      <c r="O5457">
        <f t="shared" si="1059"/>
        <v>0</v>
      </c>
      <c r="P5457" s="57">
        <f t="shared" si="1060"/>
        <v>1</v>
      </c>
      <c r="Q5457" s="267">
        <f t="shared" si="1061"/>
        <v>9</v>
      </c>
      <c r="R5457" s="23">
        <f t="shared" si="1062"/>
        <v>1</v>
      </c>
      <c r="S5457" s="23">
        <f t="shared" si="1063"/>
        <v>0</v>
      </c>
      <c r="T5457" s="23" t="str">
        <f t="shared" si="1064"/>
        <v/>
      </c>
      <c r="U5457" t="str">
        <f t="shared" si="1065"/>
        <v>PA_Alleg_2019p~Rep-commissioner north versailles ward 5 (vote for 1)</v>
      </c>
      <c r="X5457" s="43"/>
      <c r="Y5457" s="53"/>
      <c r="Z5457" s="53"/>
      <c r="AA5457"/>
      <c r="AB5457" s="23"/>
      <c r="AF5457" s="22"/>
    </row>
    <row r="5458" spans="1:38">
      <c r="A5458" t="str">
        <f t="shared" si="1066"/>
        <v>PA_Alleg_2019p~Rep-commissioner north versailles ward 6 (vote for 1)</v>
      </c>
      <c r="B5458" s="55" t="s">
        <v>1291</v>
      </c>
      <c r="C5458">
        <v>1689</v>
      </c>
      <c r="D5458" s="55" t="s">
        <v>647</v>
      </c>
      <c r="E5458" s="55" t="s">
        <v>15</v>
      </c>
      <c r="F5458" t="s">
        <v>1117</v>
      </c>
      <c r="G5458" s="62">
        <v>17</v>
      </c>
      <c r="H5458" s="25">
        <v>100</v>
      </c>
      <c r="I5458">
        <v>1198</v>
      </c>
      <c r="J5458">
        <v>249</v>
      </c>
      <c r="K5458">
        <v>2</v>
      </c>
      <c r="L5458">
        <v>2</v>
      </c>
      <c r="M5458">
        <v>0</v>
      </c>
      <c r="N5458" s="23">
        <v>0</v>
      </c>
      <c r="O5458">
        <f t="shared" si="1059"/>
        <v>0</v>
      </c>
      <c r="P5458" s="57">
        <f t="shared" si="1060"/>
        <v>1</v>
      </c>
      <c r="Q5458" s="267">
        <f t="shared" si="1061"/>
        <v>17</v>
      </c>
      <c r="R5458" s="23">
        <f t="shared" si="1062"/>
        <v>1</v>
      </c>
      <c r="S5458" s="23">
        <f t="shared" si="1063"/>
        <v>0</v>
      </c>
      <c r="T5458" s="23" t="str">
        <f t="shared" si="1064"/>
        <v/>
      </c>
      <c r="U5458" t="str">
        <f t="shared" si="1065"/>
        <v>PA_Alleg_2019p~Rep-commissioner north versailles ward 6 (vote for 1)</v>
      </c>
      <c r="X5458" s="43"/>
      <c r="Y5458" s="53"/>
      <c r="Z5458" s="53"/>
      <c r="AA5458"/>
      <c r="AB5458" s="23"/>
      <c r="AF5458" s="22"/>
    </row>
    <row r="5459" spans="1:38">
      <c r="A5459" t="str">
        <f t="shared" si="1066"/>
        <v>PA_Alleg_2019p~Rep-commissioner north versailles ward 7 (vote for 1)</v>
      </c>
      <c r="B5459" s="55" t="s">
        <v>1291</v>
      </c>
      <c r="C5459">
        <v>1654</v>
      </c>
      <c r="D5459" s="55" t="s">
        <v>606</v>
      </c>
      <c r="E5459" s="55" t="s">
        <v>15</v>
      </c>
      <c r="F5459" t="s">
        <v>1117</v>
      </c>
      <c r="G5459" s="62">
        <v>3</v>
      </c>
      <c r="H5459" s="25">
        <v>100</v>
      </c>
      <c r="I5459">
        <v>715</v>
      </c>
      <c r="J5459">
        <v>168</v>
      </c>
      <c r="K5459">
        <v>1</v>
      </c>
      <c r="L5459">
        <v>1</v>
      </c>
      <c r="M5459">
        <v>0</v>
      </c>
      <c r="N5459" s="23">
        <v>0</v>
      </c>
      <c r="O5459">
        <f t="shared" si="1059"/>
        <v>0</v>
      </c>
      <c r="P5459" s="57">
        <f t="shared" si="1060"/>
        <v>1</v>
      </c>
      <c r="Q5459" s="267">
        <f t="shared" si="1061"/>
        <v>3</v>
      </c>
      <c r="R5459" s="23">
        <f t="shared" si="1062"/>
        <v>1</v>
      </c>
      <c r="S5459" s="23">
        <f t="shared" si="1063"/>
        <v>0</v>
      </c>
      <c r="T5459" s="23" t="str">
        <f t="shared" si="1064"/>
        <v/>
      </c>
      <c r="U5459" t="str">
        <f t="shared" si="1065"/>
        <v>PA_Alleg_2019p~Rep-commissioner north versailles ward 7 (vote for 1)</v>
      </c>
      <c r="X5459" s="43"/>
      <c r="Y5459" s="53"/>
      <c r="Z5459" s="53"/>
      <c r="AA5459"/>
      <c r="AB5459" s="23"/>
      <c r="AF5459" s="22"/>
      <c r="AL5459" s="23"/>
    </row>
    <row r="5460" spans="1:38">
      <c r="A5460" t="str">
        <f t="shared" si="1066"/>
        <v>PA_Alleg_2019p~Rep-commissioner reserve ward 1 (vote for 1)</v>
      </c>
      <c r="B5460" s="55" t="s">
        <v>1291</v>
      </c>
      <c r="C5460">
        <v>1655</v>
      </c>
      <c r="D5460" s="55" t="s">
        <v>608</v>
      </c>
      <c r="E5460" s="55" t="s">
        <v>15</v>
      </c>
      <c r="F5460" t="s">
        <v>1117</v>
      </c>
      <c r="G5460" s="62">
        <v>3</v>
      </c>
      <c r="H5460" s="25">
        <v>100</v>
      </c>
      <c r="I5460">
        <v>540</v>
      </c>
      <c r="J5460">
        <v>121</v>
      </c>
      <c r="K5460">
        <v>1</v>
      </c>
      <c r="L5460">
        <v>1</v>
      </c>
      <c r="M5460">
        <v>0</v>
      </c>
      <c r="N5460" s="23">
        <v>0</v>
      </c>
      <c r="O5460">
        <f t="shared" si="1059"/>
        <v>0</v>
      </c>
      <c r="P5460" s="57">
        <f t="shared" si="1060"/>
        <v>1</v>
      </c>
      <c r="Q5460" s="267">
        <f t="shared" si="1061"/>
        <v>3</v>
      </c>
      <c r="R5460" s="23">
        <f t="shared" si="1062"/>
        <v>1</v>
      </c>
      <c r="S5460" s="23">
        <f t="shared" si="1063"/>
        <v>0</v>
      </c>
      <c r="T5460" s="23" t="str">
        <f t="shared" si="1064"/>
        <v/>
      </c>
      <c r="U5460" t="str">
        <f t="shared" si="1065"/>
        <v>PA_Alleg_2019p~Rep-commissioner reserve ward 1 (vote for 1)</v>
      </c>
      <c r="X5460" s="43"/>
      <c r="Y5460" s="53"/>
      <c r="Z5460" s="53"/>
      <c r="AA5460"/>
      <c r="AB5460" s="23"/>
      <c r="AF5460" s="22"/>
      <c r="AH5460" s="8"/>
      <c r="AL5460" s="23"/>
    </row>
    <row r="5461" spans="1:38">
      <c r="A5461" t="str">
        <f t="shared" si="1066"/>
        <v>PA_Alleg_2019p~Rep-commissioner reserve ward 3 (vote for 1)</v>
      </c>
      <c r="B5461" s="55" t="s">
        <v>1291</v>
      </c>
      <c r="C5461">
        <v>1656</v>
      </c>
      <c r="D5461" s="55" t="s">
        <v>610</v>
      </c>
      <c r="E5461" s="55" t="s">
        <v>15</v>
      </c>
      <c r="F5461" t="s">
        <v>1117</v>
      </c>
      <c r="G5461" s="62">
        <v>1</v>
      </c>
      <c r="H5461" s="25">
        <v>100</v>
      </c>
      <c r="I5461">
        <v>530</v>
      </c>
      <c r="J5461">
        <v>72</v>
      </c>
      <c r="K5461">
        <v>1</v>
      </c>
      <c r="L5461">
        <v>1</v>
      </c>
      <c r="M5461">
        <v>0</v>
      </c>
      <c r="N5461" s="23">
        <v>0</v>
      </c>
      <c r="O5461">
        <f t="shared" si="1059"/>
        <v>0</v>
      </c>
      <c r="P5461" s="57">
        <f t="shared" si="1060"/>
        <v>1</v>
      </c>
      <c r="Q5461" s="267">
        <f t="shared" si="1061"/>
        <v>1</v>
      </c>
      <c r="R5461" s="23">
        <f t="shared" si="1062"/>
        <v>1</v>
      </c>
      <c r="S5461" s="23">
        <f t="shared" si="1063"/>
        <v>0</v>
      </c>
      <c r="T5461" s="23" t="str">
        <f t="shared" si="1064"/>
        <v/>
      </c>
      <c r="U5461" t="str">
        <f t="shared" si="1065"/>
        <v>PA_Alleg_2019p~Rep-commissioner reserve ward 3 (vote for 1)</v>
      </c>
      <c r="X5461" s="43"/>
      <c r="Y5461" s="53"/>
      <c r="Z5461" s="53"/>
      <c r="AA5461"/>
      <c r="AB5461" s="23"/>
      <c r="AF5461" s="22"/>
    </row>
    <row r="5462" spans="1:38">
      <c r="A5462" t="str">
        <f t="shared" si="1066"/>
        <v>PA_Alleg_2019p~Rep-commissioner robinson (vote for 2)</v>
      </c>
      <c r="B5462" s="55" t="s">
        <v>1291</v>
      </c>
      <c r="C5462">
        <v>1628</v>
      </c>
      <c r="D5462" s="55" t="s">
        <v>566</v>
      </c>
      <c r="E5462" s="55" t="s">
        <v>15</v>
      </c>
      <c r="F5462" t="s">
        <v>1117</v>
      </c>
      <c r="G5462" s="62">
        <v>135</v>
      </c>
      <c r="H5462" s="25">
        <v>100</v>
      </c>
      <c r="I5462">
        <v>11244</v>
      </c>
      <c r="J5462">
        <v>1595</v>
      </c>
      <c r="K5462">
        <v>9</v>
      </c>
      <c r="L5462">
        <v>9</v>
      </c>
      <c r="M5462">
        <v>0</v>
      </c>
      <c r="N5462" s="23">
        <v>0</v>
      </c>
      <c r="O5462">
        <f t="shared" si="1059"/>
        <v>0</v>
      </c>
      <c r="P5462" s="57">
        <f t="shared" si="1060"/>
        <v>2</v>
      </c>
      <c r="Q5462" s="267">
        <f t="shared" si="1061"/>
        <v>135</v>
      </c>
      <c r="R5462" s="23">
        <f t="shared" si="1062"/>
        <v>1</v>
      </c>
      <c r="S5462" s="23">
        <f t="shared" si="1063"/>
        <v>0</v>
      </c>
      <c r="T5462" s="23" t="str">
        <f t="shared" si="1064"/>
        <v/>
      </c>
      <c r="U5462" t="str">
        <f t="shared" si="1065"/>
        <v>PA_Alleg_2019p~Rep-commissioner robinson (vote for 2)</v>
      </c>
      <c r="X5462" s="43"/>
      <c r="Y5462" s="53"/>
      <c r="Z5462" s="53"/>
      <c r="AA5462"/>
      <c r="AB5462" s="23"/>
      <c r="AF5462" s="22"/>
    </row>
    <row r="5463" spans="1:38">
      <c r="A5463" t="str">
        <f t="shared" si="1066"/>
        <v>PA_Alleg_2019p~Rep-commissioner ross ward 1 (vote for 1)</v>
      </c>
      <c r="B5463" s="55" t="s">
        <v>1291</v>
      </c>
      <c r="C5463">
        <v>1657</v>
      </c>
      <c r="D5463" s="55" t="s">
        <v>612</v>
      </c>
      <c r="E5463" s="55" t="s">
        <v>1155</v>
      </c>
      <c r="F5463" t="s">
        <v>1117</v>
      </c>
      <c r="G5463" s="62">
        <v>112</v>
      </c>
      <c r="H5463" s="25">
        <v>66.67</v>
      </c>
      <c r="I5463">
        <v>2779</v>
      </c>
      <c r="J5463">
        <v>560</v>
      </c>
      <c r="K5463">
        <v>4</v>
      </c>
      <c r="L5463">
        <v>4</v>
      </c>
      <c r="M5463">
        <v>0</v>
      </c>
      <c r="N5463" s="23">
        <v>0</v>
      </c>
      <c r="O5463">
        <f t="shared" si="1059"/>
        <v>1</v>
      </c>
      <c r="P5463" s="57">
        <f t="shared" si="1060"/>
        <v>1</v>
      </c>
      <c r="Q5463" s="267">
        <f t="shared" si="1061"/>
        <v>168</v>
      </c>
      <c r="R5463" s="23">
        <f t="shared" si="1062"/>
        <v>112</v>
      </c>
      <c r="S5463" s="23">
        <f t="shared" si="1063"/>
        <v>0</v>
      </c>
      <c r="T5463" s="23" t="str">
        <f t="shared" si="1064"/>
        <v/>
      </c>
      <c r="U5463" t="str">
        <f t="shared" si="1065"/>
        <v>PA_Alleg_2019p~Rep-commissioner ross ward 1 (vote for 1)</v>
      </c>
      <c r="X5463" s="43"/>
      <c r="Y5463" s="53"/>
      <c r="Z5463" s="53"/>
      <c r="AA5463"/>
      <c r="AB5463" s="23"/>
      <c r="AF5463" s="22"/>
    </row>
    <row r="5464" spans="1:38">
      <c r="A5464" t="str">
        <f t="shared" si="1066"/>
        <v>PA_Alleg_2019p~Rep-commissioner ross ward 1 (vote for 1)</v>
      </c>
      <c r="B5464" s="55" t="s">
        <v>1291</v>
      </c>
      <c r="C5464">
        <v>1658</v>
      </c>
      <c r="D5464" s="55" t="s">
        <v>612</v>
      </c>
      <c r="E5464" s="55" t="s">
        <v>15</v>
      </c>
      <c r="F5464" t="s">
        <v>1117</v>
      </c>
      <c r="G5464" s="62">
        <v>56</v>
      </c>
      <c r="H5464" s="25">
        <v>33.33</v>
      </c>
      <c r="I5464">
        <v>2779</v>
      </c>
      <c r="J5464">
        <v>560</v>
      </c>
      <c r="K5464">
        <v>4</v>
      </c>
      <c r="L5464">
        <v>4</v>
      </c>
      <c r="M5464">
        <v>0</v>
      </c>
      <c r="N5464" s="23">
        <v>0</v>
      </c>
      <c r="O5464">
        <f t="shared" si="1059"/>
        <v>-1</v>
      </c>
      <c r="P5464" s="57">
        <f t="shared" si="1060"/>
        <v>1</v>
      </c>
      <c r="Q5464" s="267">
        <f t="shared" si="1061"/>
        <v>56</v>
      </c>
      <c r="R5464" s="23">
        <f t="shared" si="1062"/>
        <v>1</v>
      </c>
      <c r="S5464" s="23">
        <f t="shared" si="1063"/>
        <v>0</v>
      </c>
      <c r="T5464" s="23" t="str">
        <f t="shared" si="1064"/>
        <v/>
      </c>
      <c r="U5464" t="str">
        <f t="shared" si="1065"/>
        <v/>
      </c>
      <c r="X5464" s="43"/>
      <c r="Y5464" s="53"/>
      <c r="Z5464" s="53"/>
      <c r="AA5464"/>
      <c r="AB5464" s="23"/>
      <c r="AF5464" s="22"/>
      <c r="AH5464" s="8"/>
      <c r="AL5464" s="23"/>
    </row>
    <row r="5465" spans="1:38">
      <c r="A5465" t="str">
        <f t="shared" si="1066"/>
        <v>PA_Alleg_2019p~Rep-commissioner ross ward 3 (vote for 1)</v>
      </c>
      <c r="B5465" s="55" t="s">
        <v>1291</v>
      </c>
      <c r="C5465">
        <v>1659</v>
      </c>
      <c r="D5465" s="55" t="s">
        <v>615</v>
      </c>
      <c r="E5465" s="55" t="s">
        <v>1156</v>
      </c>
      <c r="F5465" t="s">
        <v>1117</v>
      </c>
      <c r="G5465" s="62">
        <v>109</v>
      </c>
      <c r="H5465" s="25">
        <v>73.650000000000006</v>
      </c>
      <c r="I5465">
        <v>2647</v>
      </c>
      <c r="J5465">
        <v>513</v>
      </c>
      <c r="K5465">
        <v>4</v>
      </c>
      <c r="L5465">
        <v>4</v>
      </c>
      <c r="M5465">
        <v>0</v>
      </c>
      <c r="N5465" s="23">
        <v>0</v>
      </c>
      <c r="O5465">
        <f t="shared" si="1059"/>
        <v>1</v>
      </c>
      <c r="P5465" s="57">
        <f t="shared" si="1060"/>
        <v>1</v>
      </c>
      <c r="Q5465" s="267">
        <f t="shared" si="1061"/>
        <v>148</v>
      </c>
      <c r="R5465" s="23">
        <f t="shared" si="1062"/>
        <v>109</v>
      </c>
      <c r="S5465" s="23">
        <f t="shared" si="1063"/>
        <v>0</v>
      </c>
      <c r="T5465" s="23" t="str">
        <f t="shared" si="1064"/>
        <v/>
      </c>
      <c r="U5465" t="str">
        <f t="shared" si="1065"/>
        <v>PA_Alleg_2019p~Rep-commissioner ross ward 3 (vote for 1)</v>
      </c>
      <c r="X5465" s="43"/>
      <c r="Y5465" s="53"/>
      <c r="Z5465" s="53"/>
      <c r="AA5465"/>
      <c r="AB5465" s="23"/>
      <c r="AF5465" s="22"/>
    </row>
    <row r="5466" spans="1:38">
      <c r="A5466" t="str">
        <f t="shared" si="1066"/>
        <v>PA_Alleg_2019p~Rep-commissioner ross ward 3 (vote for 1)</v>
      </c>
      <c r="B5466" s="55" t="s">
        <v>1291</v>
      </c>
      <c r="C5466">
        <v>1660</v>
      </c>
      <c r="D5466" s="55" t="s">
        <v>615</v>
      </c>
      <c r="E5466" s="55" t="s">
        <v>15</v>
      </c>
      <c r="F5466" t="s">
        <v>1117</v>
      </c>
      <c r="G5466" s="62">
        <v>39</v>
      </c>
      <c r="H5466" s="25">
        <v>26.35</v>
      </c>
      <c r="I5466">
        <v>2647</v>
      </c>
      <c r="J5466">
        <v>513</v>
      </c>
      <c r="K5466">
        <v>4</v>
      </c>
      <c r="L5466">
        <v>4</v>
      </c>
      <c r="M5466">
        <v>0</v>
      </c>
      <c r="N5466" s="23">
        <v>0</v>
      </c>
      <c r="O5466">
        <f t="shared" si="1059"/>
        <v>-1</v>
      </c>
      <c r="P5466" s="57">
        <f t="shared" si="1060"/>
        <v>1</v>
      </c>
      <c r="Q5466" s="267">
        <f t="shared" si="1061"/>
        <v>39</v>
      </c>
      <c r="R5466" s="23">
        <f t="shared" si="1062"/>
        <v>1</v>
      </c>
      <c r="S5466" s="23">
        <f t="shared" si="1063"/>
        <v>0</v>
      </c>
      <c r="T5466" s="23" t="str">
        <f t="shared" si="1064"/>
        <v/>
      </c>
      <c r="U5466" t="str">
        <f t="shared" si="1065"/>
        <v/>
      </c>
      <c r="X5466" s="43"/>
      <c r="Y5466" s="53"/>
      <c r="Z5466" s="53"/>
      <c r="AA5466"/>
      <c r="AB5466" s="23"/>
      <c r="AF5466" s="22"/>
      <c r="AG5466" s="23"/>
      <c r="AH5466" s="8"/>
      <c r="AL5466" s="344"/>
    </row>
    <row r="5467" spans="1:38">
      <c r="A5467" t="str">
        <f t="shared" si="1066"/>
        <v>PA_Alleg_2019p~Rep-commissioner ross ward 5 (vote for 1)</v>
      </c>
      <c r="B5467" s="55" t="s">
        <v>1291</v>
      </c>
      <c r="C5467">
        <v>1661</v>
      </c>
      <c r="D5467" s="55" t="s">
        <v>617</v>
      </c>
      <c r="E5467" s="55" t="s">
        <v>1157</v>
      </c>
      <c r="F5467" t="s">
        <v>1117</v>
      </c>
      <c r="G5467" s="62">
        <v>164</v>
      </c>
      <c r="H5467" s="25">
        <v>90.11</v>
      </c>
      <c r="I5467">
        <v>2587</v>
      </c>
      <c r="J5467">
        <v>501</v>
      </c>
      <c r="K5467">
        <v>4</v>
      </c>
      <c r="L5467">
        <v>4</v>
      </c>
      <c r="M5467">
        <v>0</v>
      </c>
      <c r="N5467" s="23">
        <v>0</v>
      </c>
      <c r="O5467">
        <f t="shared" si="1059"/>
        <v>1</v>
      </c>
      <c r="P5467" s="57">
        <f t="shared" si="1060"/>
        <v>1</v>
      </c>
      <c r="Q5467" s="267">
        <f t="shared" si="1061"/>
        <v>182</v>
      </c>
      <c r="R5467" s="23">
        <f t="shared" si="1062"/>
        <v>164</v>
      </c>
      <c r="S5467" s="23">
        <f t="shared" si="1063"/>
        <v>0</v>
      </c>
      <c r="T5467" s="23" t="str">
        <f t="shared" si="1064"/>
        <v/>
      </c>
      <c r="U5467" t="str">
        <f t="shared" si="1065"/>
        <v>PA_Alleg_2019p~Rep-commissioner ross ward 5 (vote for 1)</v>
      </c>
      <c r="X5467" s="43"/>
      <c r="Y5467" s="53"/>
      <c r="Z5467" s="53"/>
      <c r="AA5467"/>
      <c r="AB5467" s="23"/>
      <c r="AF5467" s="22"/>
    </row>
    <row r="5468" spans="1:38">
      <c r="A5468" t="str">
        <f t="shared" si="1066"/>
        <v>PA_Alleg_2019p~Rep-commissioner ross ward 5 (vote for 1)</v>
      </c>
      <c r="B5468" s="55" t="s">
        <v>1291</v>
      </c>
      <c r="C5468">
        <v>1662</v>
      </c>
      <c r="D5468" s="55" t="s">
        <v>617</v>
      </c>
      <c r="E5468" s="55" t="s">
        <v>15</v>
      </c>
      <c r="F5468" t="s">
        <v>1117</v>
      </c>
      <c r="G5468" s="62">
        <v>18</v>
      </c>
      <c r="H5468" s="25">
        <v>9.89</v>
      </c>
      <c r="I5468">
        <v>2587</v>
      </c>
      <c r="J5468">
        <v>501</v>
      </c>
      <c r="K5468">
        <v>4</v>
      </c>
      <c r="L5468">
        <v>4</v>
      </c>
      <c r="M5468">
        <v>0</v>
      </c>
      <c r="N5468" s="23">
        <v>0</v>
      </c>
      <c r="O5468">
        <f t="shared" si="1059"/>
        <v>-1</v>
      </c>
      <c r="P5468" s="57">
        <f t="shared" si="1060"/>
        <v>1</v>
      </c>
      <c r="Q5468" s="267">
        <f t="shared" si="1061"/>
        <v>18</v>
      </c>
      <c r="R5468" s="23">
        <f t="shared" si="1062"/>
        <v>1</v>
      </c>
      <c r="S5468" s="23">
        <f t="shared" si="1063"/>
        <v>0</v>
      </c>
      <c r="T5468" s="23" t="str">
        <f t="shared" si="1064"/>
        <v/>
      </c>
      <c r="U5468" t="str">
        <f t="shared" si="1065"/>
        <v/>
      </c>
      <c r="X5468" s="43"/>
      <c r="Y5468" s="53"/>
      <c r="Z5468" s="53"/>
      <c r="AA5468"/>
      <c r="AB5468" s="23"/>
      <c r="AF5468" s="22"/>
    </row>
    <row r="5469" spans="1:38">
      <c r="A5469" t="str">
        <f t="shared" si="1066"/>
        <v>PA_Alleg_2019p~Rep-commissioner ross ward 7 (vote for 1)</v>
      </c>
      <c r="B5469" s="55" t="s">
        <v>1291</v>
      </c>
      <c r="C5469">
        <v>1663</v>
      </c>
      <c r="D5469" s="55" t="s">
        <v>619</v>
      </c>
      <c r="E5469" s="55" t="s">
        <v>1158</v>
      </c>
      <c r="F5469" t="s">
        <v>1117</v>
      </c>
      <c r="G5469" s="62">
        <v>116</v>
      </c>
      <c r="H5469" s="25">
        <v>78.91</v>
      </c>
      <c r="I5469">
        <v>2510</v>
      </c>
      <c r="J5469">
        <v>521</v>
      </c>
      <c r="K5469">
        <v>4</v>
      </c>
      <c r="L5469">
        <v>4</v>
      </c>
      <c r="M5469">
        <v>0</v>
      </c>
      <c r="N5469" s="23">
        <v>0</v>
      </c>
      <c r="O5469">
        <f t="shared" si="1059"/>
        <v>1</v>
      </c>
      <c r="P5469" s="57">
        <f t="shared" si="1060"/>
        <v>1</v>
      </c>
      <c r="Q5469" s="267">
        <f t="shared" si="1061"/>
        <v>147</v>
      </c>
      <c r="R5469" s="23">
        <f t="shared" si="1062"/>
        <v>116</v>
      </c>
      <c r="S5469" s="23">
        <f t="shared" si="1063"/>
        <v>0</v>
      </c>
      <c r="T5469" s="23" t="str">
        <f t="shared" si="1064"/>
        <v/>
      </c>
      <c r="U5469" t="str">
        <f t="shared" si="1065"/>
        <v>PA_Alleg_2019p~Rep-commissioner ross ward 7 (vote for 1)</v>
      </c>
      <c r="X5469" s="43"/>
      <c r="Y5469" s="53"/>
      <c r="Z5469" s="53"/>
      <c r="AA5469"/>
      <c r="AB5469" s="23"/>
      <c r="AF5469" s="22"/>
    </row>
    <row r="5470" spans="1:38">
      <c r="A5470" t="str">
        <f t="shared" si="1066"/>
        <v>PA_Alleg_2019p~Rep-commissioner ross ward 7 (vote for 1)</v>
      </c>
      <c r="B5470" s="55" t="s">
        <v>1291</v>
      </c>
      <c r="C5470">
        <v>1664</v>
      </c>
      <c r="D5470" s="55" t="s">
        <v>619</v>
      </c>
      <c r="E5470" s="55" t="s">
        <v>15</v>
      </c>
      <c r="F5470" t="s">
        <v>1117</v>
      </c>
      <c r="G5470" s="62">
        <v>31</v>
      </c>
      <c r="H5470" s="25">
        <v>21.09</v>
      </c>
      <c r="I5470">
        <v>2510</v>
      </c>
      <c r="J5470">
        <v>521</v>
      </c>
      <c r="K5470">
        <v>4</v>
      </c>
      <c r="L5470">
        <v>4</v>
      </c>
      <c r="M5470">
        <v>0</v>
      </c>
      <c r="N5470" s="23">
        <v>0</v>
      </c>
      <c r="O5470">
        <f t="shared" si="1059"/>
        <v>-1</v>
      </c>
      <c r="P5470" s="57">
        <f t="shared" si="1060"/>
        <v>1</v>
      </c>
      <c r="Q5470" s="267">
        <f t="shared" si="1061"/>
        <v>31</v>
      </c>
      <c r="R5470" s="23">
        <f t="shared" si="1062"/>
        <v>1</v>
      </c>
      <c r="S5470" s="23">
        <f t="shared" si="1063"/>
        <v>0</v>
      </c>
      <c r="T5470" s="23" t="str">
        <f t="shared" si="1064"/>
        <v/>
      </c>
      <c r="U5470" t="str">
        <f t="shared" si="1065"/>
        <v/>
      </c>
      <c r="X5470" s="43"/>
      <c r="Y5470" s="53"/>
      <c r="Z5470" s="53"/>
      <c r="AA5470"/>
      <c r="AB5470" s="23"/>
      <c r="AF5470" s="22"/>
      <c r="AH5470" s="8"/>
      <c r="AL5470" s="23"/>
    </row>
    <row r="5471" spans="1:38">
      <c r="A5471" t="str">
        <f t="shared" si="1066"/>
        <v>PA_Alleg_2019p~Rep-commissioner ross ward 9 (vote for 1)</v>
      </c>
      <c r="B5471" s="55" t="s">
        <v>1291</v>
      </c>
      <c r="C5471">
        <v>1665</v>
      </c>
      <c r="D5471" s="55" t="s">
        <v>621</v>
      </c>
      <c r="E5471" s="55" t="s">
        <v>1159</v>
      </c>
      <c r="F5471" t="s">
        <v>1117</v>
      </c>
      <c r="G5471" s="62">
        <v>180</v>
      </c>
      <c r="H5471" s="25">
        <v>96.26</v>
      </c>
      <c r="I5471">
        <v>2593</v>
      </c>
      <c r="J5471">
        <v>494</v>
      </c>
      <c r="K5471">
        <v>3</v>
      </c>
      <c r="L5471">
        <v>3</v>
      </c>
      <c r="M5471">
        <v>0</v>
      </c>
      <c r="N5471" s="23">
        <v>0</v>
      </c>
      <c r="O5471">
        <f t="shared" si="1059"/>
        <v>1</v>
      </c>
      <c r="P5471" s="57">
        <f t="shared" si="1060"/>
        <v>1</v>
      </c>
      <c r="Q5471" s="267">
        <f t="shared" si="1061"/>
        <v>187</v>
      </c>
      <c r="R5471" s="23">
        <f t="shared" si="1062"/>
        <v>180</v>
      </c>
      <c r="S5471" s="23">
        <f t="shared" si="1063"/>
        <v>0</v>
      </c>
      <c r="T5471" s="23" t="str">
        <f t="shared" si="1064"/>
        <v/>
      </c>
      <c r="U5471" t="str">
        <f t="shared" si="1065"/>
        <v>PA_Alleg_2019p~Rep-commissioner ross ward 9 (vote for 1)</v>
      </c>
      <c r="X5471" s="43"/>
      <c r="Y5471" s="53"/>
      <c r="Z5471" s="53"/>
      <c r="AA5471"/>
      <c r="AB5471" s="23"/>
      <c r="AF5471" s="22"/>
      <c r="AG5471" s="89"/>
      <c r="AH5471" s="274"/>
      <c r="AI5471" s="279"/>
      <c r="AJ5471" s="280"/>
      <c r="AK5471" s="92"/>
      <c r="AL5471" s="23"/>
    </row>
    <row r="5472" spans="1:38">
      <c r="A5472" t="str">
        <f t="shared" si="1066"/>
        <v>PA_Alleg_2019p~Rep-commissioner ross ward 9 (vote for 1)</v>
      </c>
      <c r="B5472" s="55" t="s">
        <v>1291</v>
      </c>
      <c r="C5472">
        <v>1666</v>
      </c>
      <c r="D5472" s="55" t="s">
        <v>621</v>
      </c>
      <c r="E5472" s="55" t="s">
        <v>15</v>
      </c>
      <c r="F5472" t="s">
        <v>1117</v>
      </c>
      <c r="G5472" s="62">
        <v>7</v>
      </c>
      <c r="H5472" s="25">
        <v>3.74</v>
      </c>
      <c r="I5472">
        <v>2593</v>
      </c>
      <c r="J5472">
        <v>494</v>
      </c>
      <c r="K5472">
        <v>3</v>
      </c>
      <c r="L5472">
        <v>3</v>
      </c>
      <c r="M5472">
        <v>0</v>
      </c>
      <c r="N5472" s="23">
        <v>0</v>
      </c>
      <c r="O5472">
        <f t="shared" si="1059"/>
        <v>-1</v>
      </c>
      <c r="P5472" s="57">
        <f t="shared" si="1060"/>
        <v>1</v>
      </c>
      <c r="Q5472" s="267">
        <f t="shared" si="1061"/>
        <v>7</v>
      </c>
      <c r="R5472" s="23">
        <f t="shared" si="1062"/>
        <v>1</v>
      </c>
      <c r="S5472" s="23">
        <f t="shared" si="1063"/>
        <v>0</v>
      </c>
      <c r="T5472" s="23" t="str">
        <f t="shared" si="1064"/>
        <v/>
      </c>
      <c r="U5472" t="str">
        <f t="shared" si="1065"/>
        <v/>
      </c>
      <c r="X5472" s="43"/>
      <c r="Y5472" s="53"/>
      <c r="Z5472" s="53"/>
      <c r="AA5472"/>
      <c r="AB5472" s="23"/>
      <c r="AF5472" s="22"/>
    </row>
    <row r="5473" spans="1:38">
      <c r="A5473" t="str">
        <f t="shared" si="1066"/>
        <v>PA_Alleg_2019p~Rep-commissioner scott ward 1 (vote for 1)</v>
      </c>
      <c r="B5473" s="55" t="s">
        <v>1291</v>
      </c>
      <c r="C5473">
        <v>1667</v>
      </c>
      <c r="D5473" s="55" t="s">
        <v>623</v>
      </c>
      <c r="E5473" s="55" t="s">
        <v>15</v>
      </c>
      <c r="F5473" t="s">
        <v>1117</v>
      </c>
      <c r="G5473" s="62">
        <v>36</v>
      </c>
      <c r="H5473" s="25">
        <v>100</v>
      </c>
      <c r="I5473">
        <v>1262</v>
      </c>
      <c r="J5473">
        <v>216</v>
      </c>
      <c r="K5473">
        <v>2</v>
      </c>
      <c r="L5473">
        <v>2</v>
      </c>
      <c r="M5473">
        <v>0</v>
      </c>
      <c r="N5473" s="23">
        <v>0</v>
      </c>
      <c r="O5473">
        <f t="shared" si="1059"/>
        <v>0</v>
      </c>
      <c r="P5473" s="57">
        <f t="shared" si="1060"/>
        <v>1</v>
      </c>
      <c r="Q5473" s="267">
        <f t="shared" si="1061"/>
        <v>36</v>
      </c>
      <c r="R5473" s="23">
        <f t="shared" si="1062"/>
        <v>1</v>
      </c>
      <c r="S5473" s="23">
        <f t="shared" si="1063"/>
        <v>0</v>
      </c>
      <c r="T5473" s="23" t="str">
        <f t="shared" si="1064"/>
        <v/>
      </c>
      <c r="U5473" t="str">
        <f t="shared" si="1065"/>
        <v>PA_Alleg_2019p~Rep-commissioner scott ward 1 (vote for 1)</v>
      </c>
      <c r="X5473" s="43"/>
      <c r="Y5473" s="53"/>
      <c r="Z5473" s="53"/>
      <c r="AA5473"/>
      <c r="AB5473" s="23"/>
      <c r="AF5473" s="88"/>
    </row>
    <row r="5474" spans="1:38">
      <c r="A5474" t="str">
        <f t="shared" si="1066"/>
        <v>PA_Alleg_2019p~Rep-commissioner scott ward 3 (vote for 1)</v>
      </c>
      <c r="B5474" s="55" t="s">
        <v>1291</v>
      </c>
      <c r="C5474">
        <v>1668</v>
      </c>
      <c r="D5474" s="55" t="s">
        <v>626</v>
      </c>
      <c r="E5474" s="55" t="s">
        <v>1160</v>
      </c>
      <c r="F5474" t="s">
        <v>1117</v>
      </c>
      <c r="G5474" s="62">
        <v>77</v>
      </c>
      <c r="H5474" s="25">
        <v>98.72</v>
      </c>
      <c r="I5474">
        <v>1260</v>
      </c>
      <c r="J5474">
        <v>249</v>
      </c>
      <c r="K5474">
        <v>2</v>
      </c>
      <c r="L5474">
        <v>2</v>
      </c>
      <c r="M5474">
        <v>0</v>
      </c>
      <c r="N5474" s="23">
        <v>0</v>
      </c>
      <c r="O5474">
        <f t="shared" si="1059"/>
        <v>1</v>
      </c>
      <c r="P5474" s="57">
        <f t="shared" si="1060"/>
        <v>1</v>
      </c>
      <c r="Q5474" s="267">
        <f t="shared" si="1061"/>
        <v>78</v>
      </c>
      <c r="R5474" s="23">
        <f t="shared" si="1062"/>
        <v>77</v>
      </c>
      <c r="S5474" s="23">
        <f t="shared" si="1063"/>
        <v>0</v>
      </c>
      <c r="T5474" s="23" t="str">
        <f t="shared" si="1064"/>
        <v/>
      </c>
      <c r="U5474" t="str">
        <f t="shared" si="1065"/>
        <v>PA_Alleg_2019p~Rep-commissioner scott ward 3 (vote for 1)</v>
      </c>
      <c r="X5474" s="43"/>
      <c r="Y5474" s="53"/>
      <c r="Z5474" s="53"/>
      <c r="AA5474"/>
      <c r="AB5474" s="23"/>
      <c r="AF5474" s="22"/>
      <c r="AG5474" s="89"/>
      <c r="AH5474" s="274"/>
      <c r="AI5474" s="279"/>
      <c r="AJ5474" s="280"/>
      <c r="AK5474" s="92"/>
      <c r="AL5474" s="23"/>
    </row>
    <row r="5475" spans="1:38">
      <c r="A5475" t="str">
        <f t="shared" si="1066"/>
        <v>PA_Alleg_2019p~Rep-commissioner scott ward 3 (vote for 1)</v>
      </c>
      <c r="B5475" s="55" t="s">
        <v>1291</v>
      </c>
      <c r="C5475">
        <v>1669</v>
      </c>
      <c r="D5475" s="55" t="s">
        <v>626</v>
      </c>
      <c r="E5475" s="55" t="s">
        <v>15</v>
      </c>
      <c r="F5475" t="s">
        <v>1117</v>
      </c>
      <c r="G5475" s="62">
        <v>1</v>
      </c>
      <c r="H5475" s="25">
        <v>1.28</v>
      </c>
      <c r="I5475">
        <v>1260</v>
      </c>
      <c r="J5475">
        <v>249</v>
      </c>
      <c r="K5475">
        <v>2</v>
      </c>
      <c r="L5475">
        <v>2</v>
      </c>
      <c r="M5475">
        <v>0</v>
      </c>
      <c r="N5475" s="23">
        <v>0</v>
      </c>
      <c r="O5475">
        <f t="shared" si="1059"/>
        <v>-1</v>
      </c>
      <c r="P5475" s="57">
        <f t="shared" si="1060"/>
        <v>1</v>
      </c>
      <c r="Q5475" s="267">
        <f t="shared" si="1061"/>
        <v>1</v>
      </c>
      <c r="R5475" s="23">
        <f t="shared" si="1062"/>
        <v>1</v>
      </c>
      <c r="S5475" s="23">
        <f t="shared" si="1063"/>
        <v>0</v>
      </c>
      <c r="T5475" s="23" t="str">
        <f t="shared" si="1064"/>
        <v/>
      </c>
      <c r="U5475" t="str">
        <f t="shared" si="1065"/>
        <v/>
      </c>
      <c r="X5475" s="43"/>
      <c r="Y5475" s="53"/>
      <c r="Z5475" s="53"/>
      <c r="AA5475"/>
      <c r="AB5475" s="23"/>
      <c r="AF5475" s="22"/>
    </row>
    <row r="5476" spans="1:38">
      <c r="A5476" t="str">
        <f t="shared" si="1066"/>
        <v>PA_Alleg_2019p~Rep-commissioner scott ward 5 (vote for 1)</v>
      </c>
      <c r="B5476" s="55" t="s">
        <v>1291</v>
      </c>
      <c r="C5476">
        <v>1670</v>
      </c>
      <c r="D5476" s="55" t="s">
        <v>628</v>
      </c>
      <c r="E5476" s="55" t="s">
        <v>15</v>
      </c>
      <c r="F5476" t="s">
        <v>1117</v>
      </c>
      <c r="G5476" s="62">
        <v>22</v>
      </c>
      <c r="H5476" s="25">
        <v>100</v>
      </c>
      <c r="I5476">
        <v>1339</v>
      </c>
      <c r="J5476">
        <v>214</v>
      </c>
      <c r="K5476">
        <v>2</v>
      </c>
      <c r="L5476">
        <v>2</v>
      </c>
      <c r="M5476">
        <v>0</v>
      </c>
      <c r="N5476" s="23">
        <v>0</v>
      </c>
      <c r="O5476">
        <f t="shared" si="1059"/>
        <v>0</v>
      </c>
      <c r="P5476" s="57">
        <f t="shared" si="1060"/>
        <v>1</v>
      </c>
      <c r="Q5476" s="267">
        <f t="shared" si="1061"/>
        <v>22</v>
      </c>
      <c r="R5476" s="23">
        <f t="shared" si="1062"/>
        <v>1</v>
      </c>
      <c r="S5476" s="23">
        <f t="shared" si="1063"/>
        <v>0</v>
      </c>
      <c r="T5476" s="23" t="str">
        <f t="shared" si="1064"/>
        <v/>
      </c>
      <c r="U5476" t="str">
        <f t="shared" si="1065"/>
        <v>PA_Alleg_2019p~Rep-commissioner scott ward 5 (vote for 1)</v>
      </c>
      <c r="X5476" s="43"/>
      <c r="Y5476" s="53"/>
      <c r="Z5476" s="53"/>
      <c r="AA5476"/>
      <c r="AB5476" s="23"/>
      <c r="AF5476" s="22"/>
    </row>
    <row r="5477" spans="1:38">
      <c r="A5477" t="str">
        <f t="shared" si="1066"/>
        <v>PA_Alleg_2019p~Rep-commissioner scott ward 7 (vote for 1)</v>
      </c>
      <c r="B5477" s="55" t="s">
        <v>1291</v>
      </c>
      <c r="C5477">
        <v>1672</v>
      </c>
      <c r="D5477" s="55" t="s">
        <v>630</v>
      </c>
      <c r="E5477" s="55" t="s">
        <v>15</v>
      </c>
      <c r="F5477" t="s">
        <v>1117</v>
      </c>
      <c r="G5477" s="62">
        <v>68</v>
      </c>
      <c r="H5477" s="25">
        <v>53.97</v>
      </c>
      <c r="I5477">
        <v>1542</v>
      </c>
      <c r="J5477">
        <v>411</v>
      </c>
      <c r="K5477">
        <v>2</v>
      </c>
      <c r="L5477">
        <v>2</v>
      </c>
      <c r="M5477">
        <v>0</v>
      </c>
      <c r="N5477" s="23">
        <v>0</v>
      </c>
      <c r="O5477">
        <f t="shared" si="1059"/>
        <v>0</v>
      </c>
      <c r="P5477" s="57">
        <f t="shared" si="1060"/>
        <v>1</v>
      </c>
      <c r="Q5477" s="267">
        <f t="shared" si="1061"/>
        <v>126</v>
      </c>
      <c r="R5477" s="23">
        <f t="shared" si="1062"/>
        <v>58</v>
      </c>
      <c r="S5477" s="23">
        <f t="shared" si="1063"/>
        <v>0</v>
      </c>
      <c r="T5477" s="23" t="str">
        <f t="shared" si="1064"/>
        <v/>
      </c>
      <c r="U5477" t="str">
        <f t="shared" si="1065"/>
        <v>PA_Alleg_2019p~Rep-commissioner scott ward 7 (vote for 1)</v>
      </c>
      <c r="X5477" s="43"/>
      <c r="Y5477" s="53"/>
      <c r="Z5477" s="53"/>
      <c r="AA5477"/>
      <c r="AB5477" s="23"/>
      <c r="AF5477" s="22"/>
    </row>
    <row r="5478" spans="1:38">
      <c r="A5478" t="str">
        <f t="shared" si="1066"/>
        <v>PA_Alleg_2019p~Rep-commissioner scott ward 7 (vote for 1)</v>
      </c>
      <c r="B5478" s="55" t="s">
        <v>1291</v>
      </c>
      <c r="C5478">
        <v>1671</v>
      </c>
      <c r="D5478" s="55" t="s">
        <v>630</v>
      </c>
      <c r="E5478" s="55" t="s">
        <v>1161</v>
      </c>
      <c r="F5478" t="s">
        <v>1117</v>
      </c>
      <c r="G5478" s="62">
        <v>58</v>
      </c>
      <c r="H5478" s="25">
        <v>46.03</v>
      </c>
      <c r="I5478">
        <v>1542</v>
      </c>
      <c r="J5478">
        <v>411</v>
      </c>
      <c r="K5478">
        <v>2</v>
      </c>
      <c r="L5478">
        <v>2</v>
      </c>
      <c r="M5478">
        <v>0</v>
      </c>
      <c r="N5478" s="23">
        <v>0</v>
      </c>
      <c r="O5478">
        <f t="shared" si="1059"/>
        <v>1</v>
      </c>
      <c r="P5478" s="57">
        <f t="shared" si="1060"/>
        <v>1</v>
      </c>
      <c r="Q5478" s="267">
        <f t="shared" si="1061"/>
        <v>58</v>
      </c>
      <c r="R5478" s="23">
        <f t="shared" si="1062"/>
        <v>58</v>
      </c>
      <c r="S5478" s="23">
        <f t="shared" si="1063"/>
        <v>0</v>
      </c>
      <c r="T5478" s="23" t="str">
        <f t="shared" si="1064"/>
        <v/>
      </c>
      <c r="U5478" t="str">
        <f t="shared" si="1065"/>
        <v/>
      </c>
      <c r="X5478" s="43"/>
      <c r="Y5478" s="53"/>
      <c r="Z5478" s="53"/>
      <c r="AA5478"/>
      <c r="AB5478" s="23"/>
      <c r="AF5478" s="22"/>
      <c r="AH5478" s="8"/>
      <c r="AL5478" s="23"/>
    </row>
    <row r="5479" spans="1:38">
      <c r="A5479" t="str">
        <f t="shared" si="1066"/>
        <v>PA_Alleg_2019p~Rep-commissioner scott ward 9 (vote for 1)</v>
      </c>
      <c r="B5479" s="55" t="s">
        <v>1291</v>
      </c>
      <c r="C5479">
        <v>1673</v>
      </c>
      <c r="D5479" s="55" t="s">
        <v>632</v>
      </c>
      <c r="E5479" s="55" t="s">
        <v>15</v>
      </c>
      <c r="F5479" t="s">
        <v>1117</v>
      </c>
      <c r="G5479" s="62">
        <v>13</v>
      </c>
      <c r="H5479" s="25">
        <v>100</v>
      </c>
      <c r="I5479">
        <v>628</v>
      </c>
      <c r="J5479">
        <v>120</v>
      </c>
      <c r="K5479">
        <v>2</v>
      </c>
      <c r="L5479">
        <v>2</v>
      </c>
      <c r="M5479">
        <v>0</v>
      </c>
      <c r="N5479" s="23">
        <v>0</v>
      </c>
      <c r="O5479">
        <f t="shared" si="1059"/>
        <v>0</v>
      </c>
      <c r="P5479" s="57">
        <f t="shared" si="1060"/>
        <v>1</v>
      </c>
      <c r="Q5479" s="267">
        <f t="shared" si="1061"/>
        <v>13</v>
      </c>
      <c r="R5479" s="23">
        <f t="shared" si="1062"/>
        <v>1</v>
      </c>
      <c r="S5479" s="23">
        <f t="shared" si="1063"/>
        <v>0</v>
      </c>
      <c r="T5479" s="23" t="str">
        <f t="shared" si="1064"/>
        <v/>
      </c>
      <c r="U5479" t="str">
        <f t="shared" si="1065"/>
        <v>PA_Alleg_2019p~Rep-commissioner scott ward 9 (vote for 1)</v>
      </c>
      <c r="X5479" s="43"/>
      <c r="Y5479" s="53"/>
      <c r="Z5479" s="53"/>
      <c r="AA5479"/>
      <c r="AB5479" s="23"/>
      <c r="AF5479" s="88"/>
    </row>
    <row r="5480" spans="1:38">
      <c r="A5480" t="str">
        <f t="shared" si="1066"/>
        <v>PA_Alleg_2019p~Rep-commissioner shaler ward 1 (vote for 1)</v>
      </c>
      <c r="B5480" s="55" t="s">
        <v>1291</v>
      </c>
      <c r="C5480">
        <v>1674</v>
      </c>
      <c r="D5480" s="55" t="s">
        <v>635</v>
      </c>
      <c r="E5480" s="55" t="s">
        <v>15</v>
      </c>
      <c r="F5480" t="s">
        <v>1117</v>
      </c>
      <c r="G5480" s="62">
        <v>96</v>
      </c>
      <c r="H5480" s="25">
        <v>100</v>
      </c>
      <c r="I5480">
        <v>2857</v>
      </c>
      <c r="J5480">
        <v>568</v>
      </c>
      <c r="K5480">
        <v>5</v>
      </c>
      <c r="L5480">
        <v>5</v>
      </c>
      <c r="M5480">
        <v>0</v>
      </c>
      <c r="N5480" s="23">
        <v>0</v>
      </c>
      <c r="O5480">
        <f t="shared" si="1059"/>
        <v>0</v>
      </c>
      <c r="P5480" s="57">
        <f t="shared" si="1060"/>
        <v>1</v>
      </c>
      <c r="Q5480" s="267">
        <f t="shared" si="1061"/>
        <v>96</v>
      </c>
      <c r="R5480" s="23">
        <f t="shared" si="1062"/>
        <v>1</v>
      </c>
      <c r="S5480" s="23">
        <f t="shared" si="1063"/>
        <v>0</v>
      </c>
      <c r="T5480" s="23" t="str">
        <f t="shared" si="1064"/>
        <v/>
      </c>
      <c r="U5480" t="str">
        <f t="shared" si="1065"/>
        <v>PA_Alleg_2019p~Rep-commissioner shaler ward 1 (vote for 1)</v>
      </c>
      <c r="X5480" s="43"/>
      <c r="Y5480" s="53"/>
      <c r="Z5480" s="53"/>
      <c r="AA5480"/>
      <c r="AB5480" s="23"/>
      <c r="AF5480" s="22"/>
    </row>
    <row r="5481" spans="1:38">
      <c r="A5481" t="str">
        <f t="shared" si="1066"/>
        <v>PA_Alleg_2019p~Rep-commissioner shaler ward 2 (vote for 1)</v>
      </c>
      <c r="B5481" s="55" t="s">
        <v>1291</v>
      </c>
      <c r="C5481">
        <v>1690</v>
      </c>
      <c r="D5481" s="55" t="s">
        <v>649</v>
      </c>
      <c r="E5481" s="55" t="s">
        <v>1169</v>
      </c>
      <c r="F5481" t="s">
        <v>1117</v>
      </c>
      <c r="G5481" s="62">
        <v>180</v>
      </c>
      <c r="H5481" s="25">
        <v>96.26</v>
      </c>
      <c r="I5481">
        <v>3536</v>
      </c>
      <c r="J5481">
        <v>534</v>
      </c>
      <c r="K5481">
        <v>5</v>
      </c>
      <c r="L5481">
        <v>5</v>
      </c>
      <c r="M5481">
        <v>0</v>
      </c>
      <c r="N5481" s="23">
        <v>0</v>
      </c>
      <c r="O5481">
        <f t="shared" si="1059"/>
        <v>1</v>
      </c>
      <c r="P5481" s="57">
        <f t="shared" si="1060"/>
        <v>1</v>
      </c>
      <c r="Q5481" s="267">
        <f t="shared" si="1061"/>
        <v>187</v>
      </c>
      <c r="R5481" s="23">
        <f t="shared" si="1062"/>
        <v>180</v>
      </c>
      <c r="S5481" s="23">
        <f t="shared" si="1063"/>
        <v>0</v>
      </c>
      <c r="T5481" s="23" t="str">
        <f t="shared" si="1064"/>
        <v/>
      </c>
      <c r="U5481" t="str">
        <f t="shared" si="1065"/>
        <v>PA_Alleg_2019p~Rep-commissioner shaler ward 2 (vote for 1)</v>
      </c>
      <c r="X5481" s="43"/>
      <c r="Y5481" s="53"/>
      <c r="Z5481" s="53"/>
      <c r="AA5481"/>
      <c r="AB5481" s="23"/>
      <c r="AH5481" s="8"/>
      <c r="AL5481" s="23"/>
    </row>
    <row r="5482" spans="1:38">
      <c r="A5482" t="str">
        <f t="shared" si="1066"/>
        <v>PA_Alleg_2019p~Rep-commissioner shaler ward 2 (vote for 1)</v>
      </c>
      <c r="B5482" s="55" t="s">
        <v>1291</v>
      </c>
      <c r="C5482">
        <v>1691</v>
      </c>
      <c r="D5482" s="55" t="s">
        <v>649</v>
      </c>
      <c r="E5482" s="55" t="s">
        <v>15</v>
      </c>
      <c r="F5482" t="s">
        <v>1117</v>
      </c>
      <c r="G5482" s="62">
        <v>7</v>
      </c>
      <c r="H5482" s="25">
        <v>3.74</v>
      </c>
      <c r="I5482">
        <v>3536</v>
      </c>
      <c r="J5482">
        <v>534</v>
      </c>
      <c r="K5482">
        <v>5</v>
      </c>
      <c r="L5482">
        <v>5</v>
      </c>
      <c r="M5482">
        <v>0</v>
      </c>
      <c r="N5482" s="23">
        <v>0</v>
      </c>
      <c r="O5482">
        <f t="shared" si="1059"/>
        <v>-1</v>
      </c>
      <c r="P5482" s="57">
        <f t="shared" si="1060"/>
        <v>1</v>
      </c>
      <c r="Q5482" s="267">
        <f t="shared" si="1061"/>
        <v>7</v>
      </c>
      <c r="R5482" s="23">
        <f t="shared" si="1062"/>
        <v>1</v>
      </c>
      <c r="S5482" s="23">
        <f t="shared" si="1063"/>
        <v>0</v>
      </c>
      <c r="T5482" s="23" t="str">
        <f t="shared" si="1064"/>
        <v/>
      </c>
      <c r="U5482" t="str">
        <f t="shared" si="1065"/>
        <v/>
      </c>
      <c r="X5482" s="43"/>
      <c r="Y5482" s="53"/>
      <c r="Z5482" s="53"/>
      <c r="AA5482"/>
      <c r="AB5482" s="23"/>
      <c r="AF5482" s="22"/>
    </row>
    <row r="5483" spans="1:38">
      <c r="A5483" t="str">
        <f t="shared" si="1066"/>
        <v>PA_Alleg_2019p~Rep-commissioner shaler ward 3 (vote for 1)</v>
      </c>
      <c r="B5483" s="55" t="s">
        <v>1291</v>
      </c>
      <c r="C5483">
        <v>1675</v>
      </c>
      <c r="D5483" s="55" t="s">
        <v>638</v>
      </c>
      <c r="E5483" s="55" t="s">
        <v>1162</v>
      </c>
      <c r="F5483" t="s">
        <v>1117</v>
      </c>
      <c r="G5483" s="62">
        <v>167</v>
      </c>
      <c r="H5483" s="25">
        <v>98.24</v>
      </c>
      <c r="I5483">
        <v>3198</v>
      </c>
      <c r="J5483">
        <v>495</v>
      </c>
      <c r="K5483">
        <v>5</v>
      </c>
      <c r="L5483">
        <v>5</v>
      </c>
      <c r="M5483">
        <v>0</v>
      </c>
      <c r="N5483" s="23">
        <v>0</v>
      </c>
      <c r="O5483">
        <f t="shared" si="1059"/>
        <v>1</v>
      </c>
      <c r="P5483" s="57">
        <f t="shared" si="1060"/>
        <v>1</v>
      </c>
      <c r="Q5483" s="267">
        <f t="shared" si="1061"/>
        <v>170</v>
      </c>
      <c r="R5483" s="23">
        <f t="shared" si="1062"/>
        <v>167</v>
      </c>
      <c r="S5483" s="23">
        <f t="shared" si="1063"/>
        <v>0</v>
      </c>
      <c r="T5483" s="23" t="str">
        <f t="shared" si="1064"/>
        <v/>
      </c>
      <c r="U5483" t="str">
        <f t="shared" si="1065"/>
        <v>PA_Alleg_2019p~Rep-commissioner shaler ward 3 (vote for 1)</v>
      </c>
      <c r="X5483" s="43"/>
      <c r="Y5483" s="53"/>
      <c r="Z5483" s="53"/>
      <c r="AA5483"/>
      <c r="AB5483" s="23"/>
      <c r="AF5483" s="22"/>
    </row>
    <row r="5484" spans="1:38">
      <c r="A5484" t="str">
        <f t="shared" si="1066"/>
        <v>PA_Alleg_2019p~Rep-commissioner shaler ward 3 (vote for 1)</v>
      </c>
      <c r="B5484" s="55" t="s">
        <v>1291</v>
      </c>
      <c r="C5484">
        <v>1676</v>
      </c>
      <c r="D5484" s="55" t="s">
        <v>638</v>
      </c>
      <c r="E5484" s="55" t="s">
        <v>15</v>
      </c>
      <c r="F5484" t="s">
        <v>1117</v>
      </c>
      <c r="G5484" s="62">
        <v>3</v>
      </c>
      <c r="H5484" s="25">
        <v>1.76</v>
      </c>
      <c r="I5484">
        <v>3198</v>
      </c>
      <c r="J5484">
        <v>495</v>
      </c>
      <c r="K5484">
        <v>5</v>
      </c>
      <c r="L5484">
        <v>5</v>
      </c>
      <c r="M5484">
        <v>0</v>
      </c>
      <c r="N5484" s="23">
        <v>0</v>
      </c>
      <c r="O5484">
        <f t="shared" si="1059"/>
        <v>-1</v>
      </c>
      <c r="P5484" s="57">
        <f t="shared" si="1060"/>
        <v>1</v>
      </c>
      <c r="Q5484" s="267">
        <f t="shared" si="1061"/>
        <v>3</v>
      </c>
      <c r="R5484" s="23">
        <f t="shared" si="1062"/>
        <v>1</v>
      </c>
      <c r="S5484" s="23">
        <f t="shared" si="1063"/>
        <v>0</v>
      </c>
      <c r="T5484" s="23" t="str">
        <f t="shared" si="1064"/>
        <v/>
      </c>
      <c r="U5484" t="str">
        <f t="shared" si="1065"/>
        <v/>
      </c>
      <c r="X5484" s="43"/>
      <c r="Y5484" s="53"/>
      <c r="Z5484" s="53"/>
      <c r="AA5484"/>
      <c r="AB5484" s="23"/>
      <c r="AF5484" s="22"/>
      <c r="AG5484" s="23"/>
      <c r="AH5484" s="8"/>
      <c r="AL5484" s="344"/>
    </row>
    <row r="5485" spans="1:38">
      <c r="A5485" t="str">
        <f t="shared" si="1066"/>
        <v>PA_Alleg_2019p~Rep-commissioner shaler ward 5 (vote for 1)</v>
      </c>
      <c r="B5485" s="55" t="s">
        <v>1291</v>
      </c>
      <c r="C5485">
        <v>1677</v>
      </c>
      <c r="D5485" s="55" t="s">
        <v>639</v>
      </c>
      <c r="E5485" s="55" t="s">
        <v>1163</v>
      </c>
      <c r="F5485" t="s">
        <v>1117</v>
      </c>
      <c r="G5485" s="62">
        <v>171</v>
      </c>
      <c r="H5485" s="25">
        <v>98.84</v>
      </c>
      <c r="I5485">
        <v>3093</v>
      </c>
      <c r="J5485">
        <v>526</v>
      </c>
      <c r="K5485">
        <v>5</v>
      </c>
      <c r="L5485">
        <v>5</v>
      </c>
      <c r="M5485">
        <v>0</v>
      </c>
      <c r="N5485" s="23">
        <v>0</v>
      </c>
      <c r="O5485">
        <f t="shared" si="1059"/>
        <v>1</v>
      </c>
      <c r="P5485" s="57">
        <f t="shared" si="1060"/>
        <v>1</v>
      </c>
      <c r="Q5485" s="267">
        <f t="shared" si="1061"/>
        <v>173</v>
      </c>
      <c r="R5485" s="23">
        <f t="shared" si="1062"/>
        <v>171</v>
      </c>
      <c r="S5485" s="23">
        <f t="shared" si="1063"/>
        <v>0</v>
      </c>
      <c r="T5485" s="23" t="str">
        <f t="shared" si="1064"/>
        <v/>
      </c>
      <c r="U5485" t="str">
        <f t="shared" si="1065"/>
        <v>PA_Alleg_2019p~Rep-commissioner shaler ward 5 (vote for 1)</v>
      </c>
      <c r="X5485" s="43"/>
      <c r="Y5485" s="53"/>
      <c r="Z5485" s="53"/>
      <c r="AA5485"/>
      <c r="AB5485" s="23"/>
      <c r="AF5485" s="22"/>
      <c r="AG5485" s="302"/>
      <c r="AH5485" s="301"/>
      <c r="AI5485" s="303"/>
      <c r="AJ5485" s="303"/>
      <c r="AK5485" s="342"/>
      <c r="AL5485" s="343"/>
    </row>
    <row r="5486" spans="1:38">
      <c r="A5486" t="str">
        <f t="shared" si="1066"/>
        <v>PA_Alleg_2019p~Rep-commissioner shaler ward 5 (vote for 1)</v>
      </c>
      <c r="B5486" s="55" t="s">
        <v>1291</v>
      </c>
      <c r="C5486">
        <v>1678</v>
      </c>
      <c r="D5486" s="55" t="s">
        <v>639</v>
      </c>
      <c r="E5486" s="55" t="s">
        <v>15</v>
      </c>
      <c r="F5486" t="s">
        <v>1117</v>
      </c>
      <c r="G5486" s="62">
        <v>2</v>
      </c>
      <c r="H5486" s="25">
        <v>1.1599999999999999</v>
      </c>
      <c r="I5486">
        <v>3093</v>
      </c>
      <c r="J5486">
        <v>526</v>
      </c>
      <c r="K5486">
        <v>5</v>
      </c>
      <c r="L5486">
        <v>5</v>
      </c>
      <c r="M5486">
        <v>0</v>
      </c>
      <c r="N5486" s="23">
        <v>0</v>
      </c>
      <c r="O5486">
        <f t="shared" si="1059"/>
        <v>-1</v>
      </c>
      <c r="P5486" s="57">
        <f t="shared" si="1060"/>
        <v>1</v>
      </c>
      <c r="Q5486" s="267">
        <f t="shared" si="1061"/>
        <v>2</v>
      </c>
      <c r="R5486" s="23">
        <f t="shared" si="1062"/>
        <v>1</v>
      </c>
      <c r="S5486" s="23">
        <f t="shared" si="1063"/>
        <v>0</v>
      </c>
      <c r="T5486" s="23" t="str">
        <f t="shared" si="1064"/>
        <v/>
      </c>
      <c r="U5486" t="str">
        <f t="shared" si="1065"/>
        <v/>
      </c>
      <c r="X5486" s="43"/>
      <c r="Y5486" s="53"/>
      <c r="Z5486" s="53"/>
      <c r="AA5486"/>
      <c r="AB5486" s="23"/>
      <c r="AF5486" s="88"/>
    </row>
    <row r="5487" spans="1:38">
      <c r="A5487" t="str">
        <f t="shared" si="1066"/>
        <v>PA_Alleg_2019p~Rep-commissioner shaler ward 7 (vote for 1)</v>
      </c>
      <c r="B5487" s="55" t="s">
        <v>1291</v>
      </c>
      <c r="C5487">
        <v>1680</v>
      </c>
      <c r="D5487" s="55" t="s">
        <v>640</v>
      </c>
      <c r="E5487" s="55" t="s">
        <v>1165</v>
      </c>
      <c r="F5487" t="s">
        <v>1117</v>
      </c>
      <c r="G5487" s="62">
        <v>160</v>
      </c>
      <c r="H5487" s="25">
        <v>66.95</v>
      </c>
      <c r="I5487">
        <v>3116</v>
      </c>
      <c r="J5487">
        <v>598</v>
      </c>
      <c r="K5487">
        <v>4</v>
      </c>
      <c r="L5487">
        <v>4</v>
      </c>
      <c r="M5487">
        <v>0</v>
      </c>
      <c r="N5487" s="23">
        <v>0</v>
      </c>
      <c r="O5487">
        <f t="shared" si="1059"/>
        <v>1</v>
      </c>
      <c r="P5487" s="57">
        <f t="shared" si="1060"/>
        <v>1</v>
      </c>
      <c r="Q5487" s="267">
        <f t="shared" si="1061"/>
        <v>239</v>
      </c>
      <c r="R5487" s="23">
        <f t="shared" si="1062"/>
        <v>160</v>
      </c>
      <c r="S5487" s="23">
        <f t="shared" si="1063"/>
        <v>79</v>
      </c>
      <c r="T5487" s="23">
        <f t="shared" si="1064"/>
        <v>81</v>
      </c>
      <c r="U5487" t="str">
        <f t="shared" si="1065"/>
        <v>PA_Alleg_2019p~Rep-commissioner shaler ward 7 (vote for 1)</v>
      </c>
      <c r="X5487" s="43"/>
      <c r="Y5487" s="53"/>
      <c r="Z5487" s="53"/>
      <c r="AA5487"/>
      <c r="AB5487" s="23"/>
      <c r="AF5487" s="22"/>
      <c r="AG5487" s="295"/>
      <c r="AH5487" s="294"/>
      <c r="AI5487" s="279"/>
      <c r="AJ5487" s="279"/>
      <c r="AL5487" s="341"/>
    </row>
    <row r="5488" spans="1:38">
      <c r="A5488" t="str">
        <f t="shared" si="1066"/>
        <v>PA_Alleg_2019p~Rep-commissioner shaler ward 7 (vote for 1)</v>
      </c>
      <c r="B5488" s="55" t="s">
        <v>1291</v>
      </c>
      <c r="C5488">
        <v>1679</v>
      </c>
      <c r="D5488" s="55" t="s">
        <v>640</v>
      </c>
      <c r="E5488" s="55" t="s">
        <v>1164</v>
      </c>
      <c r="F5488" t="s">
        <v>1117</v>
      </c>
      <c r="G5488" s="62">
        <v>79</v>
      </c>
      <c r="H5488" s="25">
        <v>33.049999999999997</v>
      </c>
      <c r="I5488">
        <v>3116</v>
      </c>
      <c r="J5488">
        <v>598</v>
      </c>
      <c r="K5488">
        <v>4</v>
      </c>
      <c r="L5488">
        <v>4</v>
      </c>
      <c r="M5488">
        <v>0</v>
      </c>
      <c r="N5488" s="23">
        <v>0</v>
      </c>
      <c r="O5488">
        <f t="shared" si="1059"/>
        <v>2</v>
      </c>
      <c r="P5488" s="57">
        <f t="shared" si="1060"/>
        <v>1</v>
      </c>
      <c r="Q5488" s="267">
        <f t="shared" si="1061"/>
        <v>79</v>
      </c>
      <c r="R5488" s="23" t="str">
        <f t="shared" si="1062"/>
        <v/>
      </c>
      <c r="S5488" s="23">
        <f t="shared" si="1063"/>
        <v>79</v>
      </c>
      <c r="T5488" s="23" t="str">
        <f t="shared" si="1064"/>
        <v/>
      </c>
      <c r="U5488" t="str">
        <f t="shared" si="1065"/>
        <v/>
      </c>
      <c r="X5488" s="43"/>
      <c r="Y5488" s="53"/>
      <c r="Z5488" s="53"/>
      <c r="AA5488"/>
      <c r="AB5488" s="23"/>
      <c r="AF5488" s="22"/>
    </row>
    <row r="5489" spans="1:38">
      <c r="A5489" t="str">
        <f t="shared" si="1066"/>
        <v>PA_Alleg_2019p~Rep-commissioner shaler ward 7 (vote for 1)</v>
      </c>
      <c r="B5489" s="55" t="s">
        <v>1291</v>
      </c>
      <c r="C5489">
        <v>1681</v>
      </c>
      <c r="D5489" s="55" t="s">
        <v>640</v>
      </c>
      <c r="E5489" s="55" t="s">
        <v>15</v>
      </c>
      <c r="F5489" t="s">
        <v>1117</v>
      </c>
      <c r="G5489" s="62">
        <v>0</v>
      </c>
      <c r="H5489" s="25">
        <v>0</v>
      </c>
      <c r="I5489">
        <v>3116</v>
      </c>
      <c r="J5489">
        <v>598</v>
      </c>
      <c r="K5489">
        <v>4</v>
      </c>
      <c r="L5489">
        <v>4</v>
      </c>
      <c r="M5489">
        <v>0</v>
      </c>
      <c r="N5489" s="23">
        <v>0</v>
      </c>
      <c r="O5489">
        <f t="shared" si="1059"/>
        <v>-2</v>
      </c>
      <c r="P5489" s="57">
        <f t="shared" si="1060"/>
        <v>1</v>
      </c>
      <c r="Q5489" s="267">
        <f t="shared" si="1061"/>
        <v>0</v>
      </c>
      <c r="R5489" s="23">
        <f t="shared" si="1062"/>
        <v>1</v>
      </c>
      <c r="S5489" s="23">
        <f t="shared" si="1063"/>
        <v>0</v>
      </c>
      <c r="T5489" s="23" t="str">
        <f t="shared" si="1064"/>
        <v/>
      </c>
      <c r="U5489" t="str">
        <f t="shared" si="1065"/>
        <v/>
      </c>
      <c r="X5489" s="43"/>
      <c r="Y5489" s="53"/>
      <c r="Z5489" s="53"/>
      <c r="AA5489"/>
      <c r="AB5489" s="23"/>
      <c r="AF5489" s="22"/>
      <c r="AG5489" s="23"/>
      <c r="AH5489" s="8"/>
      <c r="AL5489" s="344"/>
    </row>
    <row r="5490" spans="1:38">
      <c r="A5490" t="str">
        <f t="shared" si="1066"/>
        <v>PA_Alleg_2019p~Rep-commissioner south fayette (vote for 4)</v>
      </c>
      <c r="B5490" s="55" t="s">
        <v>1291</v>
      </c>
      <c r="C5490">
        <v>1612</v>
      </c>
      <c r="D5490" s="55" t="s">
        <v>539</v>
      </c>
      <c r="E5490" s="55" t="s">
        <v>1141</v>
      </c>
      <c r="F5490" t="s">
        <v>1117</v>
      </c>
      <c r="G5490" s="62">
        <v>323</v>
      </c>
      <c r="H5490" s="25">
        <v>38.729999999999997</v>
      </c>
      <c r="I5490">
        <v>11553</v>
      </c>
      <c r="J5490">
        <v>1482</v>
      </c>
      <c r="K5490">
        <v>12</v>
      </c>
      <c r="L5490">
        <v>12</v>
      </c>
      <c r="M5490">
        <v>0</v>
      </c>
      <c r="N5490" s="23">
        <v>0</v>
      </c>
      <c r="O5490">
        <f t="shared" si="1059"/>
        <v>1</v>
      </c>
      <c r="P5490" s="57">
        <f t="shared" si="1060"/>
        <v>4</v>
      </c>
      <c r="Q5490" s="267">
        <f t="shared" si="1061"/>
        <v>323</v>
      </c>
      <c r="R5490" s="23">
        <f t="shared" si="1062"/>
        <v>1</v>
      </c>
      <c r="S5490" s="23">
        <f t="shared" si="1063"/>
        <v>0</v>
      </c>
      <c r="T5490" s="23" t="str">
        <f t="shared" si="1064"/>
        <v/>
      </c>
      <c r="U5490" t="str">
        <f t="shared" si="1065"/>
        <v>PA_Alleg_2019p~Rep-commissioner south fayette (vote for 4)</v>
      </c>
      <c r="X5490" s="43"/>
      <c r="Y5490" s="53"/>
      <c r="Z5490" s="53"/>
      <c r="AA5490"/>
      <c r="AB5490" s="23"/>
      <c r="AF5490" s="22"/>
    </row>
    <row r="5491" spans="1:38">
      <c r="A5491" t="str">
        <f t="shared" si="1066"/>
        <v>PA_Alleg_2019p~Rep-commissioner south fayette (vote for 4)</v>
      </c>
      <c r="B5491" s="55" t="s">
        <v>1291</v>
      </c>
      <c r="C5491">
        <v>1611</v>
      </c>
      <c r="D5491" s="55" t="s">
        <v>539</v>
      </c>
      <c r="E5491" s="55" t="s">
        <v>1140</v>
      </c>
      <c r="F5491" t="s">
        <v>1117</v>
      </c>
      <c r="G5491" s="62">
        <v>293</v>
      </c>
      <c r="H5491" s="25">
        <v>35.130000000000003</v>
      </c>
      <c r="I5491">
        <v>11553</v>
      </c>
      <c r="J5491">
        <v>1482</v>
      </c>
      <c r="K5491">
        <v>12</v>
      </c>
      <c r="L5491">
        <v>12</v>
      </c>
      <c r="M5491">
        <v>0</v>
      </c>
      <c r="N5491" s="23">
        <v>0</v>
      </c>
      <c r="O5491">
        <f t="shared" si="1059"/>
        <v>2</v>
      </c>
      <c r="P5491" s="57">
        <f t="shared" si="1060"/>
        <v>4</v>
      </c>
      <c r="Q5491" s="267">
        <f t="shared" si="1061"/>
        <v>511</v>
      </c>
      <c r="R5491" s="23">
        <f t="shared" si="1062"/>
        <v>1</v>
      </c>
      <c r="S5491" s="23">
        <f t="shared" si="1063"/>
        <v>0</v>
      </c>
      <c r="T5491" s="23" t="str">
        <f t="shared" si="1064"/>
        <v/>
      </c>
      <c r="U5491" t="str">
        <f t="shared" si="1065"/>
        <v/>
      </c>
      <c r="X5491" s="43"/>
      <c r="Y5491" s="53"/>
      <c r="Z5491" s="53"/>
      <c r="AA5491"/>
      <c r="AB5491" s="23"/>
    </row>
    <row r="5492" spans="1:38">
      <c r="A5492" t="str">
        <f t="shared" si="1066"/>
        <v>PA_Alleg_2019p~Rep-commissioner south fayette (vote for 4)</v>
      </c>
      <c r="B5492" s="55" t="s">
        <v>1291</v>
      </c>
      <c r="C5492">
        <v>1613</v>
      </c>
      <c r="D5492" s="55" t="s">
        <v>539</v>
      </c>
      <c r="E5492" s="55" t="s">
        <v>15</v>
      </c>
      <c r="F5492" t="s">
        <v>1117</v>
      </c>
      <c r="G5492" s="62">
        <v>218</v>
      </c>
      <c r="H5492" s="25">
        <v>26.14</v>
      </c>
      <c r="I5492">
        <v>11553</v>
      </c>
      <c r="J5492">
        <v>1482</v>
      </c>
      <c r="K5492">
        <v>12</v>
      </c>
      <c r="L5492">
        <v>12</v>
      </c>
      <c r="M5492">
        <v>0</v>
      </c>
      <c r="N5492" s="23">
        <v>0</v>
      </c>
      <c r="O5492">
        <f t="shared" si="1059"/>
        <v>-2</v>
      </c>
      <c r="P5492" s="57">
        <f t="shared" si="1060"/>
        <v>4</v>
      </c>
      <c r="Q5492" s="267">
        <f t="shared" si="1061"/>
        <v>218</v>
      </c>
      <c r="R5492" s="23">
        <f t="shared" si="1062"/>
        <v>1</v>
      </c>
      <c r="S5492" s="23">
        <f t="shared" si="1063"/>
        <v>0</v>
      </c>
      <c r="T5492" s="23" t="str">
        <f t="shared" si="1064"/>
        <v/>
      </c>
      <c r="U5492" t="str">
        <f t="shared" si="1065"/>
        <v/>
      </c>
      <c r="X5492" s="43"/>
      <c r="Y5492" s="53"/>
      <c r="Z5492" s="53"/>
      <c r="AA5492"/>
      <c r="AB5492" s="23"/>
      <c r="AF5492" s="22"/>
    </row>
    <row r="5493" spans="1:38">
      <c r="A5493" t="str">
        <f t="shared" si="1066"/>
        <v>PA_Alleg_2019p~Rep-commissioner south versailles (vote for 2)</v>
      </c>
      <c r="B5493" s="55" t="s">
        <v>1291</v>
      </c>
      <c r="C5493">
        <v>1629</v>
      </c>
      <c r="D5493" s="55" t="s">
        <v>569</v>
      </c>
      <c r="E5493" s="55" t="s">
        <v>15</v>
      </c>
      <c r="F5493" t="s">
        <v>1117</v>
      </c>
      <c r="G5493" s="62">
        <v>14</v>
      </c>
      <c r="H5493" s="25">
        <v>100</v>
      </c>
      <c r="I5493">
        <v>216</v>
      </c>
      <c r="J5493">
        <v>43</v>
      </c>
      <c r="K5493">
        <v>1</v>
      </c>
      <c r="L5493">
        <v>1</v>
      </c>
      <c r="M5493">
        <v>0</v>
      </c>
      <c r="N5493" s="23">
        <v>0</v>
      </c>
      <c r="O5493">
        <f t="shared" si="1059"/>
        <v>0</v>
      </c>
      <c r="P5493" s="57">
        <f t="shared" si="1060"/>
        <v>2</v>
      </c>
      <c r="Q5493" s="267">
        <f t="shared" si="1061"/>
        <v>14</v>
      </c>
      <c r="R5493" s="23">
        <f t="shared" si="1062"/>
        <v>1</v>
      </c>
      <c r="S5493" s="23">
        <f t="shared" si="1063"/>
        <v>0</v>
      </c>
      <c r="T5493" s="23" t="str">
        <f t="shared" si="1064"/>
        <v/>
      </c>
      <c r="U5493" t="str">
        <f t="shared" si="1065"/>
        <v>PA_Alleg_2019p~Rep-commissioner south versailles (vote for 2)</v>
      </c>
      <c r="X5493" s="43"/>
      <c r="Y5493" s="53"/>
      <c r="Z5493" s="53"/>
      <c r="AA5493"/>
      <c r="AB5493" s="23"/>
      <c r="AF5493" s="22"/>
    </row>
    <row r="5494" spans="1:38">
      <c r="A5494" t="str">
        <f t="shared" si="1066"/>
        <v>PA_Alleg_2019p~Rep-commissioner springdale township (vote for 3)</v>
      </c>
      <c r="B5494" s="55" t="s">
        <v>1291</v>
      </c>
      <c r="C5494">
        <v>1621</v>
      </c>
      <c r="D5494" s="55" t="s">
        <v>547</v>
      </c>
      <c r="E5494" s="55" t="s">
        <v>15</v>
      </c>
      <c r="F5494" t="s">
        <v>1117</v>
      </c>
      <c r="G5494" s="62">
        <v>97</v>
      </c>
      <c r="H5494" s="25">
        <v>100</v>
      </c>
      <c r="I5494">
        <v>1195</v>
      </c>
      <c r="J5494">
        <v>304</v>
      </c>
      <c r="K5494">
        <v>1</v>
      </c>
      <c r="L5494">
        <v>1</v>
      </c>
      <c r="M5494">
        <v>0</v>
      </c>
      <c r="N5494" s="23">
        <v>0</v>
      </c>
      <c r="O5494">
        <f t="shared" si="1059"/>
        <v>0</v>
      </c>
      <c r="P5494" s="57">
        <f t="shared" si="1060"/>
        <v>3</v>
      </c>
      <c r="Q5494" s="267">
        <f t="shared" si="1061"/>
        <v>97</v>
      </c>
      <c r="R5494" s="23">
        <f t="shared" si="1062"/>
        <v>1</v>
      </c>
      <c r="S5494" s="23">
        <f t="shared" si="1063"/>
        <v>0</v>
      </c>
      <c r="T5494" s="23" t="str">
        <f t="shared" si="1064"/>
        <v/>
      </c>
      <c r="U5494" t="str">
        <f t="shared" si="1065"/>
        <v>PA_Alleg_2019p~Rep-commissioner springdale township (vote for 3)</v>
      </c>
      <c r="X5494" s="43"/>
      <c r="Y5494" s="53"/>
      <c r="Z5494" s="53"/>
      <c r="AA5494"/>
      <c r="AB5494" s="23"/>
      <c r="AF5494" s="88"/>
    </row>
    <row r="5495" spans="1:38">
      <c r="A5495" t="str">
        <f t="shared" si="1066"/>
        <v>PA_Alleg_2019p~Rep-commissioner stowe (vote for 3)</v>
      </c>
      <c r="B5495" s="55" t="s">
        <v>1291</v>
      </c>
      <c r="C5495">
        <v>1622</v>
      </c>
      <c r="D5495" s="55" t="s">
        <v>552</v>
      </c>
      <c r="E5495" s="55" t="s">
        <v>15</v>
      </c>
      <c r="F5495" t="s">
        <v>1117</v>
      </c>
      <c r="G5495" s="62">
        <v>109</v>
      </c>
      <c r="H5495" s="25">
        <v>100</v>
      </c>
      <c r="I5495">
        <v>4411</v>
      </c>
      <c r="J5495">
        <v>829</v>
      </c>
      <c r="K5495">
        <v>11</v>
      </c>
      <c r="L5495">
        <v>11</v>
      </c>
      <c r="M5495">
        <v>0</v>
      </c>
      <c r="N5495" s="23">
        <v>0</v>
      </c>
      <c r="O5495">
        <f t="shared" si="1059"/>
        <v>0</v>
      </c>
      <c r="P5495" s="57">
        <f t="shared" si="1060"/>
        <v>3</v>
      </c>
      <c r="Q5495" s="267">
        <f t="shared" si="1061"/>
        <v>109</v>
      </c>
      <c r="R5495" s="23">
        <f t="shared" si="1062"/>
        <v>1</v>
      </c>
      <c r="S5495" s="23">
        <f t="shared" si="1063"/>
        <v>0</v>
      </c>
      <c r="T5495" s="23" t="str">
        <f t="shared" si="1064"/>
        <v/>
      </c>
      <c r="U5495" t="str">
        <f t="shared" si="1065"/>
        <v>PA_Alleg_2019p~Rep-commissioner stowe (vote for 3)</v>
      </c>
      <c r="X5495" s="43"/>
      <c r="Y5495" s="53"/>
      <c r="Z5495" s="53"/>
      <c r="AA5495"/>
      <c r="AB5495" s="23"/>
      <c r="AF5495" s="88"/>
    </row>
    <row r="5496" spans="1:38">
      <c r="A5496" t="str">
        <f t="shared" si="1066"/>
        <v>PA_Alleg_2019p~Rep-commissioner upper st clair ward 1 (vote for 1)</v>
      </c>
      <c r="B5496" s="55" t="s">
        <v>1291</v>
      </c>
      <c r="C5496">
        <v>1682</v>
      </c>
      <c r="D5496" s="55" t="s">
        <v>641</v>
      </c>
      <c r="E5496" s="55" t="s">
        <v>1166</v>
      </c>
      <c r="F5496" t="s">
        <v>1117</v>
      </c>
      <c r="G5496" s="62">
        <v>249</v>
      </c>
      <c r="H5496" s="25">
        <v>98.81</v>
      </c>
      <c r="I5496">
        <v>3483</v>
      </c>
      <c r="J5496">
        <v>684</v>
      </c>
      <c r="K5496">
        <v>4</v>
      </c>
      <c r="L5496">
        <v>4</v>
      </c>
      <c r="M5496">
        <v>0</v>
      </c>
      <c r="N5496" s="23">
        <v>0</v>
      </c>
      <c r="O5496">
        <f t="shared" si="1059"/>
        <v>1</v>
      </c>
      <c r="P5496" s="57">
        <f t="shared" si="1060"/>
        <v>1</v>
      </c>
      <c r="Q5496" s="267">
        <f t="shared" si="1061"/>
        <v>252</v>
      </c>
      <c r="R5496" s="23">
        <f t="shared" si="1062"/>
        <v>249</v>
      </c>
      <c r="S5496" s="23">
        <f t="shared" si="1063"/>
        <v>0</v>
      </c>
      <c r="T5496" s="23" t="str">
        <f t="shared" si="1064"/>
        <v/>
      </c>
      <c r="U5496" t="str">
        <f t="shared" si="1065"/>
        <v>PA_Alleg_2019p~Rep-commissioner upper st clair ward 1 (vote for 1)</v>
      </c>
      <c r="X5496" s="43"/>
      <c r="Y5496" s="53"/>
      <c r="Z5496" s="53"/>
      <c r="AA5496"/>
      <c r="AB5496" s="23"/>
      <c r="AF5496" s="88"/>
    </row>
    <row r="5497" spans="1:38">
      <c r="A5497" t="str">
        <f t="shared" si="1066"/>
        <v>PA_Alleg_2019p~Rep-commissioner upper st clair ward 1 (vote for 1)</v>
      </c>
      <c r="B5497" s="55" t="s">
        <v>1291</v>
      </c>
      <c r="C5497">
        <v>1683</v>
      </c>
      <c r="D5497" s="55" t="s">
        <v>641</v>
      </c>
      <c r="E5497" s="55" t="s">
        <v>15</v>
      </c>
      <c r="F5497" t="s">
        <v>1117</v>
      </c>
      <c r="G5497" s="62">
        <v>3</v>
      </c>
      <c r="H5497" s="25">
        <v>1.19</v>
      </c>
      <c r="I5497">
        <v>3483</v>
      </c>
      <c r="J5497">
        <v>684</v>
      </c>
      <c r="K5497">
        <v>4</v>
      </c>
      <c r="L5497">
        <v>4</v>
      </c>
      <c r="M5497">
        <v>0</v>
      </c>
      <c r="N5497" s="23">
        <v>0</v>
      </c>
      <c r="O5497">
        <f t="shared" si="1059"/>
        <v>-1</v>
      </c>
      <c r="P5497" s="57">
        <f t="shared" si="1060"/>
        <v>1</v>
      </c>
      <c r="Q5497" s="267">
        <f t="shared" si="1061"/>
        <v>3</v>
      </c>
      <c r="R5497" s="23">
        <f t="shared" si="1062"/>
        <v>1</v>
      </c>
      <c r="S5497" s="23">
        <f t="shared" si="1063"/>
        <v>0</v>
      </c>
      <c r="T5497" s="23" t="str">
        <f t="shared" si="1064"/>
        <v/>
      </c>
      <c r="U5497" t="str">
        <f t="shared" si="1065"/>
        <v/>
      </c>
      <c r="X5497" s="43"/>
      <c r="Y5497" s="53"/>
      <c r="Z5497" s="53"/>
      <c r="AA5497"/>
      <c r="AB5497" s="23"/>
      <c r="AF5497" s="88"/>
      <c r="AG5497" s="295"/>
      <c r="AH5497" s="294"/>
      <c r="AI5497" s="279"/>
      <c r="AJ5497" s="279"/>
      <c r="AL5497" s="341"/>
    </row>
    <row r="5498" spans="1:38">
      <c r="A5498" t="str">
        <f t="shared" si="1066"/>
        <v>PA_Alleg_2019p~Rep-commissioner upper st clair ward 3 (vote for 1)</v>
      </c>
      <c r="B5498" s="55" t="s">
        <v>1291</v>
      </c>
      <c r="C5498">
        <v>1684</v>
      </c>
      <c r="D5498" s="55" t="s">
        <v>642</v>
      </c>
      <c r="E5498" s="55" t="s">
        <v>1167</v>
      </c>
      <c r="F5498" t="s">
        <v>1117</v>
      </c>
      <c r="G5498" s="62">
        <v>255</v>
      </c>
      <c r="H5498" s="25">
        <v>97.7</v>
      </c>
      <c r="I5498">
        <v>3110</v>
      </c>
      <c r="J5498">
        <v>593</v>
      </c>
      <c r="K5498">
        <v>3</v>
      </c>
      <c r="L5498">
        <v>3</v>
      </c>
      <c r="M5498">
        <v>0</v>
      </c>
      <c r="N5498" s="23">
        <v>0</v>
      </c>
      <c r="O5498">
        <f t="shared" si="1059"/>
        <v>1</v>
      </c>
      <c r="P5498" s="57">
        <f t="shared" si="1060"/>
        <v>1</v>
      </c>
      <c r="Q5498" s="267">
        <f t="shared" si="1061"/>
        <v>261</v>
      </c>
      <c r="R5498" s="23">
        <f t="shared" si="1062"/>
        <v>255</v>
      </c>
      <c r="S5498" s="23">
        <f t="shared" si="1063"/>
        <v>0</v>
      </c>
      <c r="T5498" s="23" t="str">
        <f t="shared" si="1064"/>
        <v/>
      </c>
      <c r="U5498" t="str">
        <f t="shared" si="1065"/>
        <v>PA_Alleg_2019p~Rep-commissioner upper st clair ward 3 (vote for 1)</v>
      </c>
      <c r="X5498" s="43"/>
      <c r="Y5498" s="53"/>
      <c r="Z5498" s="53"/>
      <c r="AA5498"/>
      <c r="AB5498" s="23"/>
      <c r="AF5498" s="22"/>
    </row>
    <row r="5499" spans="1:38">
      <c r="A5499" t="str">
        <f t="shared" si="1066"/>
        <v>PA_Alleg_2019p~Rep-commissioner upper st clair ward 3 (vote for 1)</v>
      </c>
      <c r="B5499" s="55" t="s">
        <v>1291</v>
      </c>
      <c r="C5499">
        <v>1685</v>
      </c>
      <c r="D5499" s="55" t="s">
        <v>642</v>
      </c>
      <c r="E5499" s="55" t="s">
        <v>15</v>
      </c>
      <c r="F5499" t="s">
        <v>1117</v>
      </c>
      <c r="G5499" s="62">
        <v>6</v>
      </c>
      <c r="H5499" s="25">
        <v>2.2999999999999998</v>
      </c>
      <c r="I5499">
        <v>3110</v>
      </c>
      <c r="J5499">
        <v>593</v>
      </c>
      <c r="K5499">
        <v>3</v>
      </c>
      <c r="L5499">
        <v>3</v>
      </c>
      <c r="M5499">
        <v>0</v>
      </c>
      <c r="N5499" s="23">
        <v>0</v>
      </c>
      <c r="O5499">
        <f t="shared" si="1059"/>
        <v>-1</v>
      </c>
      <c r="P5499" s="57">
        <f t="shared" si="1060"/>
        <v>1</v>
      </c>
      <c r="Q5499" s="267">
        <f t="shared" si="1061"/>
        <v>6</v>
      </c>
      <c r="R5499" s="23">
        <f t="shared" si="1062"/>
        <v>1</v>
      </c>
      <c r="S5499" s="23">
        <f t="shared" si="1063"/>
        <v>0</v>
      </c>
      <c r="T5499" s="23" t="str">
        <f t="shared" si="1064"/>
        <v/>
      </c>
      <c r="U5499" t="str">
        <f t="shared" si="1065"/>
        <v/>
      </c>
      <c r="X5499" s="43"/>
      <c r="Y5499" s="53"/>
      <c r="Z5499" s="53"/>
      <c r="AA5499"/>
      <c r="AB5499" s="23"/>
    </row>
    <row r="5500" spans="1:38">
      <c r="A5500" t="str">
        <f t="shared" si="1066"/>
        <v>PA_Alleg_2019p~Rep-commissioner upper st clair ward 5 (vote for 1)</v>
      </c>
      <c r="B5500" s="55" t="s">
        <v>1291</v>
      </c>
      <c r="C5500">
        <v>1686</v>
      </c>
      <c r="D5500" s="55" t="s">
        <v>644</v>
      </c>
      <c r="E5500" s="55" t="s">
        <v>1168</v>
      </c>
      <c r="F5500" t="s">
        <v>1117</v>
      </c>
      <c r="G5500" s="62">
        <v>221</v>
      </c>
      <c r="H5500" s="25">
        <v>100</v>
      </c>
      <c r="I5500">
        <v>3054</v>
      </c>
      <c r="J5500">
        <v>483</v>
      </c>
      <c r="K5500">
        <v>3</v>
      </c>
      <c r="L5500">
        <v>3</v>
      </c>
      <c r="M5500">
        <v>0</v>
      </c>
      <c r="N5500" s="23">
        <v>0</v>
      </c>
      <c r="O5500">
        <f t="shared" si="1059"/>
        <v>1</v>
      </c>
      <c r="P5500" s="57">
        <f t="shared" si="1060"/>
        <v>1</v>
      </c>
      <c r="Q5500" s="267">
        <f t="shared" si="1061"/>
        <v>221</v>
      </c>
      <c r="R5500" s="23">
        <f t="shared" si="1062"/>
        <v>221</v>
      </c>
      <c r="S5500" s="23">
        <f t="shared" si="1063"/>
        <v>0</v>
      </c>
      <c r="T5500" s="23" t="str">
        <f t="shared" si="1064"/>
        <v/>
      </c>
      <c r="U5500" t="str">
        <f t="shared" si="1065"/>
        <v>PA_Alleg_2019p~Rep-commissioner upper st clair ward 5 (vote for 1)</v>
      </c>
      <c r="X5500" s="43"/>
      <c r="Y5500" s="53"/>
      <c r="Z5500" s="53"/>
      <c r="AA5500"/>
      <c r="AB5500" s="23"/>
      <c r="AF5500" s="22"/>
      <c r="AG5500" s="295"/>
      <c r="AH5500" s="294"/>
      <c r="AI5500" s="279"/>
      <c r="AJ5500" s="279"/>
      <c r="AL5500" s="341"/>
    </row>
    <row r="5501" spans="1:38">
      <c r="A5501" t="str">
        <f t="shared" si="1066"/>
        <v>PA_Alleg_2019p~Rep-commissioner upper st clair ward 5 (vote for 1)</v>
      </c>
      <c r="B5501" s="55" t="s">
        <v>1291</v>
      </c>
      <c r="C5501">
        <v>1687</v>
      </c>
      <c r="D5501" s="55" t="s">
        <v>644</v>
      </c>
      <c r="E5501" s="55" t="s">
        <v>15</v>
      </c>
      <c r="F5501" t="s">
        <v>1117</v>
      </c>
      <c r="G5501" s="62">
        <v>0</v>
      </c>
      <c r="H5501" s="25">
        <v>0</v>
      </c>
      <c r="I5501">
        <v>3054</v>
      </c>
      <c r="J5501">
        <v>483</v>
      </c>
      <c r="K5501">
        <v>3</v>
      </c>
      <c r="L5501">
        <v>3</v>
      </c>
      <c r="M5501">
        <v>0</v>
      </c>
      <c r="N5501" s="23">
        <v>0</v>
      </c>
      <c r="O5501">
        <f t="shared" si="1059"/>
        <v>-1</v>
      </c>
      <c r="P5501" s="57">
        <f t="shared" si="1060"/>
        <v>1</v>
      </c>
      <c r="Q5501" s="267">
        <f t="shared" si="1061"/>
        <v>0</v>
      </c>
      <c r="R5501" s="23">
        <f t="shared" si="1062"/>
        <v>1</v>
      </c>
      <c r="S5501" s="23">
        <f t="shared" si="1063"/>
        <v>0</v>
      </c>
      <c r="T5501" s="23" t="str">
        <f t="shared" si="1064"/>
        <v/>
      </c>
      <c r="U5501" t="str">
        <f t="shared" si="1065"/>
        <v/>
      </c>
      <c r="X5501" s="43"/>
      <c r="Y5501" s="53"/>
      <c r="Z5501" s="53"/>
      <c r="AA5501"/>
      <c r="AB5501" s="23"/>
      <c r="AF5501" s="22"/>
    </row>
    <row r="5502" spans="1:38">
      <c r="A5502" t="str">
        <f t="shared" si="1066"/>
        <v>PA_Alleg_2019p~Rep-commissioner wilkins ward 1 (vote for 1)</v>
      </c>
      <c r="B5502" s="55" t="s">
        <v>1291</v>
      </c>
      <c r="C5502">
        <v>1688</v>
      </c>
      <c r="D5502" s="55" t="s">
        <v>645</v>
      </c>
      <c r="E5502" s="55" t="s">
        <v>15</v>
      </c>
      <c r="F5502" t="s">
        <v>1117</v>
      </c>
      <c r="G5502" s="62">
        <v>7</v>
      </c>
      <c r="H5502" s="25">
        <v>100</v>
      </c>
      <c r="I5502">
        <v>3398</v>
      </c>
      <c r="J5502">
        <v>578</v>
      </c>
      <c r="K5502">
        <v>5</v>
      </c>
      <c r="L5502">
        <v>5</v>
      </c>
      <c r="M5502">
        <v>0</v>
      </c>
      <c r="N5502" s="23">
        <v>0</v>
      </c>
      <c r="O5502">
        <f t="shared" si="1059"/>
        <v>0</v>
      </c>
      <c r="P5502" s="57">
        <f t="shared" si="1060"/>
        <v>1</v>
      </c>
      <c r="Q5502" s="267">
        <f t="shared" si="1061"/>
        <v>7</v>
      </c>
      <c r="R5502" s="23">
        <f t="shared" si="1062"/>
        <v>1</v>
      </c>
      <c r="S5502" s="23">
        <f t="shared" si="1063"/>
        <v>0</v>
      </c>
      <c r="T5502" s="23" t="str">
        <f t="shared" si="1064"/>
        <v/>
      </c>
      <c r="U5502" t="str">
        <f t="shared" si="1065"/>
        <v>PA_Alleg_2019p~Rep-commissioner wilkins ward 1 (vote for 1)</v>
      </c>
      <c r="X5502" s="43"/>
      <c r="Y5502" s="53"/>
      <c r="Z5502" s="53"/>
      <c r="AA5502"/>
      <c r="AB5502" s="23"/>
      <c r="AF5502" s="22"/>
    </row>
    <row r="5503" spans="1:38">
      <c r="A5503" t="str">
        <f t="shared" si="1066"/>
        <v>PA_Alleg_2019p~Rep-controller citywide (vote for 1)</v>
      </c>
      <c r="B5503" s="55" t="s">
        <v>1291</v>
      </c>
      <c r="C5503">
        <v>1168</v>
      </c>
      <c r="D5503" s="55" t="s">
        <v>49</v>
      </c>
      <c r="E5503" s="55" t="s">
        <v>15</v>
      </c>
      <c r="F5503" t="s">
        <v>1117</v>
      </c>
      <c r="G5503" s="62">
        <v>205</v>
      </c>
      <c r="H5503" s="25">
        <v>100</v>
      </c>
      <c r="I5503">
        <v>252924</v>
      </c>
      <c r="J5503">
        <v>39906</v>
      </c>
      <c r="K5503">
        <v>402</v>
      </c>
      <c r="L5503">
        <v>402</v>
      </c>
      <c r="M5503">
        <v>0</v>
      </c>
      <c r="N5503" s="23">
        <v>0</v>
      </c>
      <c r="O5503">
        <f t="shared" si="1059"/>
        <v>0</v>
      </c>
      <c r="P5503" s="57">
        <f t="shared" si="1060"/>
        <v>1</v>
      </c>
      <c r="Q5503" s="267">
        <f t="shared" si="1061"/>
        <v>205</v>
      </c>
      <c r="R5503" s="23">
        <f t="shared" si="1062"/>
        <v>1</v>
      </c>
      <c r="S5503" s="23">
        <f t="shared" si="1063"/>
        <v>0</v>
      </c>
      <c r="T5503" s="23" t="str">
        <f t="shared" si="1064"/>
        <v/>
      </c>
      <c r="U5503" t="str">
        <f t="shared" si="1065"/>
        <v>PA_Alleg_2019p~Rep-controller citywide (vote for 1)</v>
      </c>
      <c r="X5503" s="43"/>
      <c r="Y5503" s="53"/>
      <c r="Z5503" s="53"/>
      <c r="AA5503"/>
      <c r="AB5503" s="23"/>
      <c r="AF5503" s="22"/>
    </row>
    <row r="5504" spans="1:38">
      <c r="A5504" t="str">
        <f t="shared" si="1066"/>
        <v>PA_Alleg_2019p~Rep-controller duquesne (vote for 1)</v>
      </c>
      <c r="B5504" s="55" t="s">
        <v>1291</v>
      </c>
      <c r="C5504">
        <v>1543</v>
      </c>
      <c r="D5504" s="55" t="s">
        <v>484</v>
      </c>
      <c r="E5504" s="55" t="s">
        <v>15</v>
      </c>
      <c r="F5504" t="s">
        <v>1117</v>
      </c>
      <c r="G5504" s="62">
        <v>5</v>
      </c>
      <c r="H5504" s="25">
        <v>100</v>
      </c>
      <c r="I5504">
        <v>3901</v>
      </c>
      <c r="J5504">
        <v>641</v>
      </c>
      <c r="K5504">
        <v>10</v>
      </c>
      <c r="L5504">
        <v>10</v>
      </c>
      <c r="M5504">
        <v>0</v>
      </c>
      <c r="N5504" s="23">
        <v>0</v>
      </c>
      <c r="O5504">
        <f t="shared" si="1059"/>
        <v>0</v>
      </c>
      <c r="P5504" s="57">
        <f t="shared" si="1060"/>
        <v>1</v>
      </c>
      <c r="Q5504" s="267">
        <f t="shared" si="1061"/>
        <v>5</v>
      </c>
      <c r="R5504" s="23">
        <f t="shared" si="1062"/>
        <v>1</v>
      </c>
      <c r="S5504" s="23">
        <f t="shared" si="1063"/>
        <v>0</v>
      </c>
      <c r="T5504" s="23" t="str">
        <f t="shared" si="1064"/>
        <v/>
      </c>
      <c r="U5504" t="str">
        <f t="shared" si="1065"/>
        <v>PA_Alleg_2019p~Rep-controller duquesne (vote for 1)</v>
      </c>
      <c r="X5504" s="43"/>
      <c r="Y5504" s="53"/>
      <c r="Z5504" s="53"/>
      <c r="AA5504"/>
      <c r="AB5504" s="23"/>
    </row>
    <row r="5505" spans="1:38">
      <c r="A5505" t="str">
        <f t="shared" si="1066"/>
        <v>PA_Alleg_2019p~Rep-controller hampton (vote for 1)</v>
      </c>
      <c r="B5505" s="55" t="s">
        <v>1291</v>
      </c>
      <c r="C5505">
        <v>1540</v>
      </c>
      <c r="D5505" s="55" t="s">
        <v>481</v>
      </c>
      <c r="E5505" s="55" t="s">
        <v>1129</v>
      </c>
      <c r="F5505" t="s">
        <v>1117</v>
      </c>
      <c r="G5505" s="62">
        <v>767</v>
      </c>
      <c r="H5505" s="25">
        <v>99.1</v>
      </c>
      <c r="I5505">
        <v>14273</v>
      </c>
      <c r="J5505">
        <v>2114</v>
      </c>
      <c r="K5505">
        <v>13</v>
      </c>
      <c r="L5505">
        <v>13</v>
      </c>
      <c r="M5505">
        <v>0</v>
      </c>
      <c r="N5505" s="23">
        <v>0</v>
      </c>
      <c r="O5505">
        <f t="shared" si="1059"/>
        <v>1</v>
      </c>
      <c r="P5505" s="57">
        <f t="shared" si="1060"/>
        <v>1</v>
      </c>
      <c r="Q5505" s="267">
        <f t="shared" si="1061"/>
        <v>774</v>
      </c>
      <c r="R5505" s="23">
        <f t="shared" si="1062"/>
        <v>767</v>
      </c>
      <c r="S5505" s="23">
        <f t="shared" si="1063"/>
        <v>0</v>
      </c>
      <c r="T5505" s="23" t="str">
        <f t="shared" si="1064"/>
        <v/>
      </c>
      <c r="U5505" t="str">
        <f t="shared" si="1065"/>
        <v>PA_Alleg_2019p~Rep-controller hampton (vote for 1)</v>
      </c>
      <c r="X5505" s="43"/>
      <c r="Y5505" s="53"/>
      <c r="Z5505" s="53"/>
      <c r="AA5505"/>
      <c r="AB5505" s="23"/>
      <c r="AF5505" s="22"/>
      <c r="AH5505" s="8"/>
      <c r="AL5505" s="23"/>
    </row>
    <row r="5506" spans="1:38">
      <c r="A5506" t="str">
        <f t="shared" si="1066"/>
        <v>PA_Alleg_2019p~Rep-controller hampton (vote for 1)</v>
      </c>
      <c r="B5506" s="55" t="s">
        <v>1291</v>
      </c>
      <c r="C5506">
        <v>1541</v>
      </c>
      <c r="D5506" s="55" t="s">
        <v>481</v>
      </c>
      <c r="E5506" s="55" t="s">
        <v>15</v>
      </c>
      <c r="F5506" t="s">
        <v>1117</v>
      </c>
      <c r="G5506" s="62">
        <v>7</v>
      </c>
      <c r="H5506" s="25">
        <v>0.9</v>
      </c>
      <c r="I5506">
        <v>14273</v>
      </c>
      <c r="J5506">
        <v>2114</v>
      </c>
      <c r="K5506">
        <v>13</v>
      </c>
      <c r="L5506">
        <v>13</v>
      </c>
      <c r="M5506">
        <v>0</v>
      </c>
      <c r="N5506" s="23">
        <v>0</v>
      </c>
      <c r="O5506">
        <f t="shared" ref="O5506:O5569" si="1067">IF(OR(LOWER(LEFT(E5506,8))="write-in",LOWER(LEFT(E5506,8))="not qual"),IF(A5506=A5505,-ABS(O5505),0),IF(A5506=A5505,ABS(O5505)+1,1))</f>
        <v>-1</v>
      </c>
      <c r="P5506" s="57">
        <f t="shared" ref="P5506:P5569" si="1068">1*LEFT(RIGHT(A5506,2),1)</f>
        <v>1</v>
      </c>
      <c r="Q5506" s="267">
        <f t="shared" ref="Q5506:Q5569" si="1069">IF(A5506&lt;&gt;A5507,G5506,IF(A5506=A5505,G5506+Q5507,MAX(G5506,(G5506+Q5507)/P5506)))</f>
        <v>7</v>
      </c>
      <c r="R5506" s="23">
        <f t="shared" ref="R5506:R5569" si="1070">IF(O5506&gt;P5506,"",IF(O5506=P5506,G5506,IF(A5506=A5507,R5507,IF(O5506&lt;=0,1,G5506))))</f>
        <v>1</v>
      </c>
      <c r="S5506" s="23">
        <f t="shared" ref="S5506:S5569" si="1071">IF(AND(O5506&gt;P5506,LOWER(LEFT(E5506,8))&lt;&gt;"write-in",LOWER(LEFT(E5506,8))&lt;&gt;"not qual"),G5506,IF(A5506=A5507,S5507,0))</f>
        <v>0</v>
      </c>
      <c r="T5506" s="23" t="str">
        <f t="shared" ref="T5506:T5569" si="1072">IF(OR(A5506=A5505,S5506=0),"",R5506-ABS(S5506))</f>
        <v/>
      </c>
      <c r="U5506" t="str">
        <f t="shared" ref="U5506:U5569" si="1073">IF(A5506=A5505,"",A5506)</f>
        <v/>
      </c>
      <c r="X5506" s="43"/>
      <c r="Y5506" s="53"/>
      <c r="Z5506" s="53"/>
      <c r="AA5506"/>
      <c r="AB5506" s="23"/>
      <c r="AF5506" s="22"/>
    </row>
    <row r="5507" spans="1:38">
      <c r="A5507" t="str">
        <f t="shared" ref="A5507:A5570" si="1074">CONCATENATE(B5507,"~",F5507,"-",LOWER(D5507))</f>
        <v>PA_Alleg_2019p~Rep-controller penn hills (vote for 1)</v>
      </c>
      <c r="B5507" s="55" t="s">
        <v>1291</v>
      </c>
      <c r="C5507">
        <v>1542</v>
      </c>
      <c r="D5507" s="55" t="s">
        <v>482</v>
      </c>
      <c r="E5507" s="55" t="s">
        <v>15</v>
      </c>
      <c r="F5507" t="s">
        <v>1117</v>
      </c>
      <c r="G5507" s="62">
        <v>79</v>
      </c>
      <c r="H5507" s="25">
        <v>100</v>
      </c>
      <c r="I5507">
        <v>32131</v>
      </c>
      <c r="J5507">
        <v>6084</v>
      </c>
      <c r="K5507">
        <v>50</v>
      </c>
      <c r="L5507">
        <v>50</v>
      </c>
      <c r="M5507">
        <v>0</v>
      </c>
      <c r="N5507" s="23">
        <v>0</v>
      </c>
      <c r="O5507">
        <f t="shared" si="1067"/>
        <v>0</v>
      </c>
      <c r="P5507" s="57">
        <f t="shared" si="1068"/>
        <v>1</v>
      </c>
      <c r="Q5507" s="267">
        <f t="shared" si="1069"/>
        <v>79</v>
      </c>
      <c r="R5507" s="23">
        <f t="shared" si="1070"/>
        <v>1</v>
      </c>
      <c r="S5507" s="23">
        <f t="shared" si="1071"/>
        <v>0</v>
      </c>
      <c r="T5507" s="23" t="str">
        <f t="shared" si="1072"/>
        <v/>
      </c>
      <c r="U5507" t="str">
        <f t="shared" si="1073"/>
        <v>PA_Alleg_2019p~Rep-controller penn hills (vote for 1)</v>
      </c>
      <c r="X5507" s="43"/>
      <c r="Y5507" s="53"/>
      <c r="Z5507" s="53"/>
      <c r="AA5507"/>
      <c r="AB5507" s="23"/>
      <c r="AG5507" s="23"/>
      <c r="AH5507" s="8"/>
      <c r="AL5507" s="344"/>
    </row>
    <row r="5508" spans="1:38">
      <c r="A5508" t="str">
        <f t="shared" si="1074"/>
        <v>PA_Alleg_2019p~Rep-county chief executive (vote for 1)</v>
      </c>
      <c r="B5508" s="55" t="s">
        <v>1291</v>
      </c>
      <c r="C5508">
        <v>1152</v>
      </c>
      <c r="D5508" s="55" t="s">
        <v>21</v>
      </c>
      <c r="E5508" s="55" t="s">
        <v>1120</v>
      </c>
      <c r="F5508" t="s">
        <v>1117</v>
      </c>
      <c r="G5508" s="62">
        <v>30184</v>
      </c>
      <c r="H5508" s="25">
        <v>98.28</v>
      </c>
      <c r="I5508">
        <v>952750</v>
      </c>
      <c r="J5508">
        <v>157264</v>
      </c>
      <c r="K5508">
        <v>1322</v>
      </c>
      <c r="L5508">
        <v>1322</v>
      </c>
      <c r="M5508">
        <v>0</v>
      </c>
      <c r="N5508" s="23">
        <v>0</v>
      </c>
      <c r="O5508">
        <f t="shared" si="1067"/>
        <v>1</v>
      </c>
      <c r="P5508" s="57">
        <f t="shared" si="1068"/>
        <v>1</v>
      </c>
      <c r="Q5508" s="267">
        <f t="shared" si="1069"/>
        <v>30712</v>
      </c>
      <c r="R5508" s="23">
        <f t="shared" si="1070"/>
        <v>30184</v>
      </c>
      <c r="S5508" s="23">
        <f t="shared" si="1071"/>
        <v>0</v>
      </c>
      <c r="T5508" s="23" t="str">
        <f t="shared" si="1072"/>
        <v/>
      </c>
      <c r="U5508" t="str">
        <f t="shared" si="1073"/>
        <v>PA_Alleg_2019p~Rep-county chief executive (vote for 1)</v>
      </c>
      <c r="X5508" s="43"/>
      <c r="Y5508" s="53"/>
      <c r="Z5508" s="53"/>
      <c r="AA5508"/>
      <c r="AB5508" s="23"/>
      <c r="AF5508" s="22"/>
    </row>
    <row r="5509" spans="1:38">
      <c r="A5509" t="str">
        <f t="shared" si="1074"/>
        <v>PA_Alleg_2019p~Rep-county chief executive (vote for 1)</v>
      </c>
      <c r="B5509" s="55" t="s">
        <v>1291</v>
      </c>
      <c r="C5509">
        <v>1153</v>
      </c>
      <c r="D5509" s="55" t="s">
        <v>21</v>
      </c>
      <c r="E5509" s="55" t="s">
        <v>15</v>
      </c>
      <c r="F5509" t="s">
        <v>1117</v>
      </c>
      <c r="G5509" s="62">
        <v>528</v>
      </c>
      <c r="H5509" s="25">
        <v>1.72</v>
      </c>
      <c r="I5509">
        <v>952750</v>
      </c>
      <c r="J5509">
        <v>157264</v>
      </c>
      <c r="K5509">
        <v>1322</v>
      </c>
      <c r="L5509">
        <v>1322</v>
      </c>
      <c r="M5509">
        <v>0</v>
      </c>
      <c r="N5509" s="23">
        <v>0</v>
      </c>
      <c r="O5509">
        <f t="shared" si="1067"/>
        <v>-1</v>
      </c>
      <c r="P5509" s="57">
        <f t="shared" si="1068"/>
        <v>1</v>
      </c>
      <c r="Q5509" s="267">
        <f t="shared" si="1069"/>
        <v>528</v>
      </c>
      <c r="R5509" s="23">
        <f t="shared" si="1070"/>
        <v>1</v>
      </c>
      <c r="S5509" s="23">
        <f t="shared" si="1071"/>
        <v>0</v>
      </c>
      <c r="T5509" s="23" t="str">
        <f t="shared" si="1072"/>
        <v/>
      </c>
      <c r="U5509" t="str">
        <f t="shared" si="1073"/>
        <v/>
      </c>
      <c r="X5509" s="43"/>
      <c r="Y5509" s="53"/>
      <c r="Z5509" s="53"/>
      <c r="AA5509"/>
      <c r="AB5509" s="23"/>
      <c r="AF5509" s="22"/>
      <c r="AG5509" s="23"/>
      <c r="AH5509" s="8"/>
    </row>
    <row r="5510" spans="1:38">
      <c r="A5510" t="str">
        <f t="shared" si="1074"/>
        <v>PA_Alleg_2019p~Rep-county controller (vote for 1)</v>
      </c>
      <c r="B5510" s="55" t="s">
        <v>1291</v>
      </c>
      <c r="C5510">
        <v>1154</v>
      </c>
      <c r="D5510" s="55" t="s">
        <v>23</v>
      </c>
      <c r="E5510" s="55" t="s">
        <v>15</v>
      </c>
      <c r="F5510" t="s">
        <v>1117</v>
      </c>
      <c r="G5510" s="62">
        <v>3572</v>
      </c>
      <c r="H5510" s="25">
        <v>100</v>
      </c>
      <c r="I5510">
        <v>952750</v>
      </c>
      <c r="J5510">
        <v>157264</v>
      </c>
      <c r="K5510">
        <v>1322</v>
      </c>
      <c r="L5510">
        <v>1322</v>
      </c>
      <c r="M5510">
        <v>0</v>
      </c>
      <c r="N5510" s="23">
        <v>0</v>
      </c>
      <c r="O5510">
        <f t="shared" si="1067"/>
        <v>0</v>
      </c>
      <c r="P5510" s="57">
        <f t="shared" si="1068"/>
        <v>1</v>
      </c>
      <c r="Q5510" s="267">
        <f t="shared" si="1069"/>
        <v>3572</v>
      </c>
      <c r="R5510" s="23">
        <f t="shared" si="1070"/>
        <v>1</v>
      </c>
      <c r="S5510" s="23">
        <f t="shared" si="1071"/>
        <v>0</v>
      </c>
      <c r="T5510" s="23" t="str">
        <f t="shared" si="1072"/>
        <v/>
      </c>
      <c r="U5510" t="str">
        <f t="shared" si="1073"/>
        <v>PA_Alleg_2019p~Rep-county controller (vote for 1)</v>
      </c>
      <c r="X5510" s="43"/>
      <c r="Y5510" s="53"/>
      <c r="Z5510" s="53"/>
      <c r="AA5510"/>
      <c r="AB5510" s="23"/>
      <c r="AF5510" s="22"/>
    </row>
    <row r="5511" spans="1:38">
      <c r="A5511" t="str">
        <f t="shared" si="1074"/>
        <v>PA_Alleg_2019p~Rep-county treasurer (vote for 1)</v>
      </c>
      <c r="B5511" s="55" t="s">
        <v>1291</v>
      </c>
      <c r="C5511">
        <v>1156</v>
      </c>
      <c r="D5511" s="55" t="s">
        <v>28</v>
      </c>
      <c r="E5511" s="55" t="s">
        <v>15</v>
      </c>
      <c r="F5511" t="s">
        <v>1117</v>
      </c>
      <c r="G5511" s="62">
        <v>2663</v>
      </c>
      <c r="H5511" s="25">
        <v>100</v>
      </c>
      <c r="I5511">
        <v>952750</v>
      </c>
      <c r="J5511">
        <v>157264</v>
      </c>
      <c r="K5511">
        <v>1322</v>
      </c>
      <c r="L5511">
        <v>1322</v>
      </c>
      <c r="M5511">
        <v>0</v>
      </c>
      <c r="N5511" s="23">
        <v>0</v>
      </c>
      <c r="O5511">
        <f t="shared" si="1067"/>
        <v>0</v>
      </c>
      <c r="P5511" s="57">
        <f t="shared" si="1068"/>
        <v>1</v>
      </c>
      <c r="Q5511" s="267">
        <f t="shared" si="1069"/>
        <v>2663</v>
      </c>
      <c r="R5511" s="23">
        <f t="shared" si="1070"/>
        <v>1</v>
      </c>
      <c r="S5511" s="23">
        <f t="shared" si="1071"/>
        <v>0</v>
      </c>
      <c r="T5511" s="23" t="str">
        <f t="shared" si="1072"/>
        <v/>
      </c>
      <c r="U5511" t="str">
        <f t="shared" si="1073"/>
        <v>PA_Alleg_2019p~Rep-county treasurer (vote for 1)</v>
      </c>
      <c r="X5511" s="43"/>
      <c r="Y5511" s="53"/>
      <c r="Z5511" s="53"/>
      <c r="AA5511"/>
      <c r="AB5511" s="23"/>
      <c r="AF5511" s="22"/>
    </row>
    <row r="5512" spans="1:38">
      <c r="A5512" t="str">
        <f t="shared" si="1074"/>
        <v>PA_Alleg_2019p~Rep-district attorney (vote for 1)</v>
      </c>
      <c r="B5512" s="55" t="s">
        <v>1291</v>
      </c>
      <c r="C5512">
        <v>1155</v>
      </c>
      <c r="D5512" s="55" t="s">
        <v>25</v>
      </c>
      <c r="E5512" s="55" t="s">
        <v>15</v>
      </c>
      <c r="F5512" t="s">
        <v>1117</v>
      </c>
      <c r="G5512" s="62">
        <v>3626</v>
      </c>
      <c r="H5512" s="25">
        <v>100</v>
      </c>
      <c r="I5512">
        <v>952750</v>
      </c>
      <c r="J5512">
        <v>157264</v>
      </c>
      <c r="K5512">
        <v>1322</v>
      </c>
      <c r="L5512">
        <v>1322</v>
      </c>
      <c r="M5512">
        <v>0</v>
      </c>
      <c r="N5512" s="23">
        <v>0</v>
      </c>
      <c r="O5512">
        <f t="shared" si="1067"/>
        <v>0</v>
      </c>
      <c r="P5512" s="57">
        <f t="shared" si="1068"/>
        <v>1</v>
      </c>
      <c r="Q5512" s="267">
        <f t="shared" si="1069"/>
        <v>3626</v>
      </c>
      <c r="R5512" s="23">
        <f t="shared" si="1070"/>
        <v>1</v>
      </c>
      <c r="S5512" s="23">
        <f t="shared" si="1071"/>
        <v>0</v>
      </c>
      <c r="T5512" s="23" t="str">
        <f t="shared" si="1072"/>
        <v/>
      </c>
      <c r="U5512" t="str">
        <f t="shared" si="1073"/>
        <v>PA_Alleg_2019p~Rep-district attorney (vote for 1)</v>
      </c>
      <c r="X5512" s="43"/>
      <c r="Y5512" s="53"/>
      <c r="Z5512" s="53"/>
      <c r="AA5512"/>
      <c r="AB5512" s="23"/>
      <c r="AF5512" s="22"/>
    </row>
    <row r="5513" spans="1:38">
      <c r="A5513" t="str">
        <f t="shared" si="1074"/>
        <v>PA_Alleg_2019p~Rep-judge of the court of common pleas (vote for 1)</v>
      </c>
      <c r="B5513" s="55" t="s">
        <v>1291</v>
      </c>
      <c r="C5513">
        <v>1150</v>
      </c>
      <c r="D5513" s="55" t="s">
        <v>16</v>
      </c>
      <c r="E5513" s="55" t="s">
        <v>18</v>
      </c>
      <c r="F5513" t="s">
        <v>1117</v>
      </c>
      <c r="G5513" s="62">
        <v>29572</v>
      </c>
      <c r="H5513" s="25">
        <v>98.45</v>
      </c>
      <c r="I5513">
        <v>952750</v>
      </c>
      <c r="J5513">
        <v>157264</v>
      </c>
      <c r="K5513">
        <v>1322</v>
      </c>
      <c r="L5513">
        <v>1322</v>
      </c>
      <c r="M5513">
        <v>0</v>
      </c>
      <c r="N5513" s="23">
        <v>0</v>
      </c>
      <c r="O5513">
        <f t="shared" si="1067"/>
        <v>1</v>
      </c>
      <c r="P5513" s="57">
        <f t="shared" si="1068"/>
        <v>1</v>
      </c>
      <c r="Q5513" s="267">
        <f t="shared" si="1069"/>
        <v>30037</v>
      </c>
      <c r="R5513" s="23">
        <f t="shared" si="1070"/>
        <v>29572</v>
      </c>
      <c r="S5513" s="23">
        <f t="shared" si="1071"/>
        <v>0</v>
      </c>
      <c r="T5513" s="23" t="str">
        <f t="shared" si="1072"/>
        <v/>
      </c>
      <c r="U5513" t="str">
        <f t="shared" si="1073"/>
        <v>PA_Alleg_2019p~Rep-judge of the court of common pleas (vote for 1)</v>
      </c>
      <c r="X5513" s="43"/>
      <c r="Y5513" s="53"/>
      <c r="Z5513" s="53"/>
      <c r="AA5513"/>
      <c r="AB5513" s="23"/>
      <c r="AF5513" s="88"/>
    </row>
    <row r="5514" spans="1:38">
      <c r="A5514" t="str">
        <f t="shared" si="1074"/>
        <v>PA_Alleg_2019p~Rep-judge of the court of common pleas (vote for 1)</v>
      </c>
      <c r="B5514" s="55" t="s">
        <v>1291</v>
      </c>
      <c r="C5514">
        <v>1151</v>
      </c>
      <c r="D5514" s="55" t="s">
        <v>16</v>
      </c>
      <c r="E5514" s="55" t="s">
        <v>15</v>
      </c>
      <c r="F5514" t="s">
        <v>1117</v>
      </c>
      <c r="G5514" s="62">
        <v>465</v>
      </c>
      <c r="H5514" s="25">
        <v>1.55</v>
      </c>
      <c r="I5514">
        <v>952750</v>
      </c>
      <c r="J5514">
        <v>157264</v>
      </c>
      <c r="K5514">
        <v>1322</v>
      </c>
      <c r="L5514">
        <v>1322</v>
      </c>
      <c r="M5514">
        <v>0</v>
      </c>
      <c r="N5514" s="23">
        <v>0</v>
      </c>
      <c r="O5514">
        <f t="shared" si="1067"/>
        <v>-1</v>
      </c>
      <c r="P5514" s="57">
        <f t="shared" si="1068"/>
        <v>1</v>
      </c>
      <c r="Q5514" s="267">
        <f t="shared" si="1069"/>
        <v>465</v>
      </c>
      <c r="R5514" s="23">
        <f t="shared" si="1070"/>
        <v>1</v>
      </c>
      <c r="S5514" s="23">
        <f t="shared" si="1071"/>
        <v>0</v>
      </c>
      <c r="T5514" s="23" t="str">
        <f t="shared" si="1072"/>
        <v/>
      </c>
      <c r="U5514" t="str">
        <f t="shared" si="1073"/>
        <v/>
      </c>
      <c r="X5514" s="43"/>
      <c r="Y5514" s="53"/>
      <c r="Z5514" s="53"/>
      <c r="AA5514"/>
      <c r="AB5514" s="23"/>
    </row>
    <row r="5515" spans="1:38">
      <c r="A5515" t="str">
        <f t="shared" si="1074"/>
        <v>PA_Alleg_2019p~Rep-judge of the superior court (vote for 2)</v>
      </c>
      <c r="B5515" s="55" t="s">
        <v>1291</v>
      </c>
      <c r="C5515">
        <v>1147</v>
      </c>
      <c r="D5515" s="55" t="s">
        <v>10</v>
      </c>
      <c r="E5515" s="55" t="s">
        <v>1118</v>
      </c>
      <c r="F5515" t="s">
        <v>1117</v>
      </c>
      <c r="G5515" s="62">
        <v>21437</v>
      </c>
      <c r="H5515" s="25">
        <v>38.61</v>
      </c>
      <c r="I5515">
        <v>952750</v>
      </c>
      <c r="J5515">
        <v>157264</v>
      </c>
      <c r="K5515">
        <v>1322</v>
      </c>
      <c r="L5515">
        <v>1322</v>
      </c>
      <c r="M5515">
        <v>0</v>
      </c>
      <c r="N5515" s="23">
        <v>0</v>
      </c>
      <c r="O5515">
        <f t="shared" si="1067"/>
        <v>1</v>
      </c>
      <c r="P5515" s="57">
        <f t="shared" si="1068"/>
        <v>2</v>
      </c>
      <c r="Q5515" s="267">
        <f t="shared" si="1069"/>
        <v>27759.5</v>
      </c>
      <c r="R5515" s="23">
        <f t="shared" si="1070"/>
        <v>17773</v>
      </c>
      <c r="S5515" s="23">
        <f t="shared" si="1071"/>
        <v>15868</v>
      </c>
      <c r="T5515" s="23">
        <f t="shared" si="1072"/>
        <v>1905</v>
      </c>
      <c r="U5515" t="str">
        <f t="shared" si="1073"/>
        <v>PA_Alleg_2019p~Rep-judge of the superior court (vote for 2)</v>
      </c>
      <c r="X5515" s="43"/>
      <c r="Y5515" s="53"/>
      <c r="Z5515" s="53"/>
      <c r="AA5515"/>
      <c r="AB5515" s="23"/>
      <c r="AF5515" s="22"/>
      <c r="AG5515" s="23"/>
      <c r="AH5515" s="8"/>
    </row>
    <row r="5516" spans="1:38">
      <c r="A5516" t="str">
        <f t="shared" si="1074"/>
        <v>PA_Alleg_2019p~Rep-judge of the superior court (vote for 2)</v>
      </c>
      <c r="B5516" s="55" t="s">
        <v>1291</v>
      </c>
      <c r="C5516">
        <v>1148</v>
      </c>
      <c r="D5516" s="55" t="s">
        <v>10</v>
      </c>
      <c r="E5516" s="55" t="s">
        <v>1119</v>
      </c>
      <c r="F5516" t="s">
        <v>1117</v>
      </c>
      <c r="G5516" s="62">
        <v>17773</v>
      </c>
      <c r="H5516" s="25">
        <v>32.01</v>
      </c>
      <c r="I5516">
        <v>952750</v>
      </c>
      <c r="J5516">
        <v>157264</v>
      </c>
      <c r="K5516">
        <v>1322</v>
      </c>
      <c r="L5516">
        <v>1322</v>
      </c>
      <c r="M5516">
        <v>0</v>
      </c>
      <c r="N5516" s="23">
        <v>0</v>
      </c>
      <c r="O5516">
        <f t="shared" si="1067"/>
        <v>2</v>
      </c>
      <c r="P5516" s="57">
        <f t="shared" si="1068"/>
        <v>2</v>
      </c>
      <c r="Q5516" s="267">
        <f t="shared" si="1069"/>
        <v>34082</v>
      </c>
      <c r="R5516" s="23">
        <f t="shared" si="1070"/>
        <v>17773</v>
      </c>
      <c r="S5516" s="23">
        <f t="shared" si="1071"/>
        <v>15868</v>
      </c>
      <c r="T5516" s="23" t="str">
        <f t="shared" si="1072"/>
        <v/>
      </c>
      <c r="U5516" t="str">
        <f t="shared" si="1073"/>
        <v/>
      </c>
      <c r="X5516" s="43"/>
      <c r="Y5516" s="53"/>
      <c r="Z5516" s="53"/>
      <c r="AA5516"/>
      <c r="AB5516" s="23"/>
      <c r="AF5516" s="22"/>
    </row>
    <row r="5517" spans="1:38">
      <c r="A5517" t="str">
        <f t="shared" si="1074"/>
        <v>PA_Alleg_2019p~Rep-judge of the superior court (vote for 2)</v>
      </c>
      <c r="B5517" s="55" t="s">
        <v>1291</v>
      </c>
      <c r="C5517">
        <v>1146</v>
      </c>
      <c r="D5517" s="55" t="s">
        <v>10</v>
      </c>
      <c r="E5517" s="55" t="s">
        <v>1116</v>
      </c>
      <c r="F5517" t="s">
        <v>1117</v>
      </c>
      <c r="G5517" s="62">
        <v>15868</v>
      </c>
      <c r="H5517" s="25">
        <v>28.58</v>
      </c>
      <c r="I5517">
        <v>952750</v>
      </c>
      <c r="J5517">
        <v>157264</v>
      </c>
      <c r="K5517">
        <v>1322</v>
      </c>
      <c r="L5517">
        <v>1322</v>
      </c>
      <c r="M5517">
        <v>0</v>
      </c>
      <c r="N5517" s="23">
        <v>0</v>
      </c>
      <c r="O5517">
        <f t="shared" si="1067"/>
        <v>3</v>
      </c>
      <c r="P5517" s="57">
        <f t="shared" si="1068"/>
        <v>2</v>
      </c>
      <c r="Q5517" s="267">
        <f t="shared" si="1069"/>
        <v>16309</v>
      </c>
      <c r="R5517" s="23" t="str">
        <f t="shared" si="1070"/>
        <v/>
      </c>
      <c r="S5517" s="23">
        <f t="shared" si="1071"/>
        <v>15868</v>
      </c>
      <c r="T5517" s="23" t="str">
        <f t="shared" si="1072"/>
        <v/>
      </c>
      <c r="U5517" t="str">
        <f t="shared" si="1073"/>
        <v/>
      </c>
      <c r="X5517" s="43"/>
      <c r="Y5517" s="53"/>
      <c r="Z5517" s="53"/>
      <c r="AA5517"/>
      <c r="AB5517" s="23"/>
      <c r="AF5517" s="22"/>
    </row>
    <row r="5518" spans="1:38">
      <c r="A5518" t="str">
        <f t="shared" si="1074"/>
        <v>PA_Alleg_2019p~Rep-judge of the superior court (vote for 2)</v>
      </c>
      <c r="B5518" s="55" t="s">
        <v>1291</v>
      </c>
      <c r="C5518">
        <v>1149</v>
      </c>
      <c r="D5518" s="55" t="s">
        <v>10</v>
      </c>
      <c r="E5518" s="55" t="s">
        <v>15</v>
      </c>
      <c r="F5518" t="s">
        <v>1117</v>
      </c>
      <c r="G5518" s="62">
        <v>441</v>
      </c>
      <c r="H5518" s="25">
        <v>0.79</v>
      </c>
      <c r="I5518">
        <v>952750</v>
      </c>
      <c r="J5518">
        <v>157264</v>
      </c>
      <c r="K5518">
        <v>1322</v>
      </c>
      <c r="L5518">
        <v>1322</v>
      </c>
      <c r="M5518">
        <v>0</v>
      </c>
      <c r="N5518" s="23">
        <v>0</v>
      </c>
      <c r="O5518">
        <f t="shared" si="1067"/>
        <v>-3</v>
      </c>
      <c r="P5518" s="57">
        <f t="shared" si="1068"/>
        <v>2</v>
      </c>
      <c r="Q5518" s="267">
        <f t="shared" si="1069"/>
        <v>441</v>
      </c>
      <c r="R5518" s="23">
        <f t="shared" si="1070"/>
        <v>1</v>
      </c>
      <c r="S5518" s="23">
        <f t="shared" si="1071"/>
        <v>0</v>
      </c>
      <c r="T5518" s="23" t="str">
        <f t="shared" si="1072"/>
        <v/>
      </c>
      <c r="U5518" t="str">
        <f t="shared" si="1073"/>
        <v/>
      </c>
      <c r="X5518" s="43"/>
      <c r="Y5518" s="53"/>
      <c r="Z5518" s="53"/>
      <c r="AA5518"/>
      <c r="AB5518" s="23"/>
      <c r="AF5518" s="22"/>
      <c r="AH5518" s="8"/>
    </row>
    <row r="5519" spans="1:38">
      <c r="A5519" t="str">
        <f t="shared" si="1074"/>
        <v>PA_Alleg_2019p~Rep-magisterial district judge 05-02-13 (vote for 1)</v>
      </c>
      <c r="B5519" s="55" t="s">
        <v>1291</v>
      </c>
      <c r="C5519">
        <v>1181</v>
      </c>
      <c r="D5519" s="55" t="s">
        <v>83</v>
      </c>
      <c r="E5519" s="55" t="s">
        <v>84</v>
      </c>
      <c r="F5519" t="s">
        <v>1117</v>
      </c>
      <c r="G5519" s="62">
        <v>204</v>
      </c>
      <c r="H5519" s="25">
        <v>98.08</v>
      </c>
      <c r="I5519">
        <v>12636</v>
      </c>
      <c r="J5519">
        <v>2295</v>
      </c>
      <c r="K5519">
        <v>32</v>
      </c>
      <c r="L5519">
        <v>32</v>
      </c>
      <c r="M5519">
        <v>0</v>
      </c>
      <c r="N5519" s="23">
        <v>0</v>
      </c>
      <c r="O5519">
        <f t="shared" si="1067"/>
        <v>1</v>
      </c>
      <c r="P5519" s="57">
        <f t="shared" si="1068"/>
        <v>1</v>
      </c>
      <c r="Q5519" s="267">
        <f t="shared" si="1069"/>
        <v>208</v>
      </c>
      <c r="R5519" s="23">
        <f t="shared" si="1070"/>
        <v>204</v>
      </c>
      <c r="S5519" s="23">
        <f t="shared" si="1071"/>
        <v>0</v>
      </c>
      <c r="T5519" s="23" t="str">
        <f t="shared" si="1072"/>
        <v/>
      </c>
      <c r="U5519" t="str">
        <f t="shared" si="1073"/>
        <v>PA_Alleg_2019p~Rep-magisterial district judge 05-02-13 (vote for 1)</v>
      </c>
      <c r="X5519" s="43"/>
      <c r="Y5519" s="53"/>
      <c r="Z5519" s="53"/>
      <c r="AA5519"/>
      <c r="AB5519" s="23"/>
      <c r="AF5519" s="22"/>
    </row>
    <row r="5520" spans="1:38">
      <c r="A5520" t="str">
        <f t="shared" si="1074"/>
        <v>PA_Alleg_2019p~Rep-magisterial district judge 05-02-13 (vote for 1)</v>
      </c>
      <c r="B5520" s="55" t="s">
        <v>1291</v>
      </c>
      <c r="C5520">
        <v>1182</v>
      </c>
      <c r="D5520" s="55" t="s">
        <v>83</v>
      </c>
      <c r="E5520" s="55" t="s">
        <v>15</v>
      </c>
      <c r="F5520" t="s">
        <v>1117</v>
      </c>
      <c r="G5520" s="62">
        <v>4</v>
      </c>
      <c r="H5520" s="25">
        <v>1.92</v>
      </c>
      <c r="I5520">
        <v>12636</v>
      </c>
      <c r="J5520">
        <v>2295</v>
      </c>
      <c r="K5520">
        <v>32</v>
      </c>
      <c r="L5520">
        <v>32</v>
      </c>
      <c r="M5520">
        <v>0</v>
      </c>
      <c r="N5520" s="23">
        <v>0</v>
      </c>
      <c r="O5520">
        <f t="shared" si="1067"/>
        <v>-1</v>
      </c>
      <c r="P5520" s="57">
        <f t="shared" si="1068"/>
        <v>1</v>
      </c>
      <c r="Q5520" s="267">
        <f t="shared" si="1069"/>
        <v>4</v>
      </c>
      <c r="R5520" s="23">
        <f t="shared" si="1070"/>
        <v>1</v>
      </c>
      <c r="S5520" s="23">
        <f t="shared" si="1071"/>
        <v>0</v>
      </c>
      <c r="T5520" s="23" t="str">
        <f t="shared" si="1072"/>
        <v/>
      </c>
      <c r="U5520" t="str">
        <f t="shared" si="1073"/>
        <v/>
      </c>
      <c r="X5520" s="43"/>
      <c r="Y5520" s="53"/>
      <c r="Z5520" s="53"/>
      <c r="AA5520"/>
      <c r="AB5520" s="23"/>
      <c r="AF5520" s="22"/>
    </row>
    <row r="5521" spans="1:38">
      <c r="A5521" t="str">
        <f t="shared" si="1074"/>
        <v>PA_Alleg_2019p~Rep-magisterial district judge 05-02-14 (vote for 1)</v>
      </c>
      <c r="B5521" s="55" t="s">
        <v>1291</v>
      </c>
      <c r="C5521">
        <v>1183</v>
      </c>
      <c r="D5521" s="55" t="s">
        <v>85</v>
      </c>
      <c r="E5521" s="55" t="s">
        <v>86</v>
      </c>
      <c r="F5521" t="s">
        <v>1117</v>
      </c>
      <c r="G5521" s="62">
        <v>498</v>
      </c>
      <c r="H5521" s="25">
        <v>97.27</v>
      </c>
      <c r="I5521">
        <v>17703</v>
      </c>
      <c r="J5521">
        <v>3761</v>
      </c>
      <c r="K5521">
        <v>29</v>
      </c>
      <c r="L5521">
        <v>29</v>
      </c>
      <c r="M5521">
        <v>0</v>
      </c>
      <c r="N5521" s="23">
        <v>0</v>
      </c>
      <c r="O5521">
        <f t="shared" si="1067"/>
        <v>1</v>
      </c>
      <c r="P5521" s="57">
        <f t="shared" si="1068"/>
        <v>1</v>
      </c>
      <c r="Q5521" s="267">
        <f t="shared" si="1069"/>
        <v>512</v>
      </c>
      <c r="R5521" s="23">
        <f t="shared" si="1070"/>
        <v>498</v>
      </c>
      <c r="S5521" s="23">
        <f t="shared" si="1071"/>
        <v>0</v>
      </c>
      <c r="T5521" s="23" t="str">
        <f t="shared" si="1072"/>
        <v/>
      </c>
      <c r="U5521" t="str">
        <f t="shared" si="1073"/>
        <v>PA_Alleg_2019p~Rep-magisterial district judge 05-02-14 (vote for 1)</v>
      </c>
      <c r="X5521" s="43"/>
      <c r="Y5521" s="53"/>
      <c r="Z5521" s="53"/>
      <c r="AA5521"/>
      <c r="AB5521" s="23"/>
      <c r="AF5521" s="88"/>
    </row>
    <row r="5522" spans="1:38">
      <c r="A5522" t="str">
        <f t="shared" si="1074"/>
        <v>PA_Alleg_2019p~Rep-magisterial district judge 05-02-14 (vote for 1)</v>
      </c>
      <c r="B5522" s="55" t="s">
        <v>1291</v>
      </c>
      <c r="C5522">
        <v>1184</v>
      </c>
      <c r="D5522" s="55" t="s">
        <v>85</v>
      </c>
      <c r="E5522" s="55" t="s">
        <v>15</v>
      </c>
      <c r="F5522" t="s">
        <v>1117</v>
      </c>
      <c r="G5522" s="62">
        <v>14</v>
      </c>
      <c r="H5522" s="25">
        <v>2.73</v>
      </c>
      <c r="I5522">
        <v>17703</v>
      </c>
      <c r="J5522">
        <v>3761</v>
      </c>
      <c r="K5522">
        <v>29</v>
      </c>
      <c r="L5522">
        <v>29</v>
      </c>
      <c r="M5522">
        <v>0</v>
      </c>
      <c r="N5522" s="23">
        <v>0</v>
      </c>
      <c r="O5522">
        <f t="shared" si="1067"/>
        <v>-1</v>
      </c>
      <c r="P5522" s="57">
        <f t="shared" si="1068"/>
        <v>1</v>
      </c>
      <c r="Q5522" s="267">
        <f t="shared" si="1069"/>
        <v>14</v>
      </c>
      <c r="R5522" s="23">
        <f t="shared" si="1070"/>
        <v>1</v>
      </c>
      <c r="S5522" s="23">
        <f t="shared" si="1071"/>
        <v>0</v>
      </c>
      <c r="T5522" s="23" t="str">
        <f t="shared" si="1072"/>
        <v/>
      </c>
      <c r="U5522" t="str">
        <f t="shared" si="1073"/>
        <v/>
      </c>
      <c r="X5522" s="43"/>
      <c r="Y5522" s="53"/>
      <c r="Z5522" s="53"/>
      <c r="AA5522"/>
      <c r="AB5522" s="23"/>
      <c r="AF5522" s="22"/>
    </row>
    <row r="5523" spans="1:38">
      <c r="A5523" t="str">
        <f t="shared" si="1074"/>
        <v>PA_Alleg_2019p~Rep-magisterial district judge 05-02-25 (vote for 1)</v>
      </c>
      <c r="B5523" s="55" t="s">
        <v>1291</v>
      </c>
      <c r="C5523">
        <v>1186</v>
      </c>
      <c r="D5523" s="55" t="s">
        <v>87</v>
      </c>
      <c r="E5523" s="55" t="s">
        <v>90</v>
      </c>
      <c r="F5523" t="s">
        <v>1117</v>
      </c>
      <c r="G5523" s="62">
        <v>695</v>
      </c>
      <c r="H5523" s="25">
        <v>41.67</v>
      </c>
      <c r="I5523">
        <v>25729</v>
      </c>
      <c r="J5523">
        <v>4363</v>
      </c>
      <c r="K5523">
        <v>25</v>
      </c>
      <c r="L5523">
        <v>25</v>
      </c>
      <c r="M5523">
        <v>0</v>
      </c>
      <c r="N5523" s="23">
        <v>0</v>
      </c>
      <c r="O5523">
        <f t="shared" si="1067"/>
        <v>1</v>
      </c>
      <c r="P5523" s="57">
        <f t="shared" si="1068"/>
        <v>1</v>
      </c>
      <c r="Q5523" s="267">
        <f t="shared" si="1069"/>
        <v>1668</v>
      </c>
      <c r="R5523" s="23">
        <f t="shared" si="1070"/>
        <v>695</v>
      </c>
      <c r="S5523" s="23">
        <f t="shared" si="1071"/>
        <v>571</v>
      </c>
      <c r="T5523" s="23">
        <f t="shared" si="1072"/>
        <v>124</v>
      </c>
      <c r="U5523" t="str">
        <f t="shared" si="1073"/>
        <v>PA_Alleg_2019p~Rep-magisterial district judge 05-02-25 (vote for 1)</v>
      </c>
      <c r="X5523" s="43"/>
      <c r="Y5523" s="53"/>
      <c r="Z5523" s="53"/>
      <c r="AA5523"/>
      <c r="AB5523" s="23"/>
      <c r="AF5523" s="22"/>
    </row>
    <row r="5524" spans="1:38">
      <c r="A5524" t="str">
        <f t="shared" si="1074"/>
        <v>PA_Alleg_2019p~Rep-magisterial district judge 05-02-25 (vote for 1)</v>
      </c>
      <c r="B5524" s="55" t="s">
        <v>1291</v>
      </c>
      <c r="C5524">
        <v>1187</v>
      </c>
      <c r="D5524" s="55" t="s">
        <v>87</v>
      </c>
      <c r="E5524" s="55" t="s">
        <v>88</v>
      </c>
      <c r="F5524" t="s">
        <v>1117</v>
      </c>
      <c r="G5524" s="62">
        <v>571</v>
      </c>
      <c r="H5524" s="25">
        <v>34.229999999999997</v>
      </c>
      <c r="I5524">
        <v>25729</v>
      </c>
      <c r="J5524">
        <v>4363</v>
      </c>
      <c r="K5524">
        <v>25</v>
      </c>
      <c r="L5524">
        <v>25</v>
      </c>
      <c r="M5524">
        <v>0</v>
      </c>
      <c r="N5524" s="23">
        <v>0</v>
      </c>
      <c r="O5524">
        <f t="shared" si="1067"/>
        <v>2</v>
      </c>
      <c r="P5524" s="57">
        <f t="shared" si="1068"/>
        <v>1</v>
      </c>
      <c r="Q5524" s="267">
        <f t="shared" si="1069"/>
        <v>973</v>
      </c>
      <c r="R5524" s="23" t="str">
        <f t="shared" si="1070"/>
        <v/>
      </c>
      <c r="S5524" s="23">
        <f t="shared" si="1071"/>
        <v>571</v>
      </c>
      <c r="T5524" s="23" t="str">
        <f t="shared" si="1072"/>
        <v/>
      </c>
      <c r="U5524" t="str">
        <f t="shared" si="1073"/>
        <v/>
      </c>
      <c r="X5524" s="43"/>
      <c r="Y5524" s="53"/>
      <c r="Z5524" s="53"/>
      <c r="AA5524"/>
      <c r="AB5524" s="23"/>
      <c r="AF5524" s="22"/>
    </row>
    <row r="5525" spans="1:38">
      <c r="A5525" t="str">
        <f t="shared" si="1074"/>
        <v>PA_Alleg_2019p~Rep-magisterial district judge 05-02-25 (vote for 1)</v>
      </c>
      <c r="B5525" s="55" t="s">
        <v>1291</v>
      </c>
      <c r="C5525">
        <v>1185</v>
      </c>
      <c r="D5525" s="55" t="s">
        <v>87</v>
      </c>
      <c r="E5525" s="55" t="s">
        <v>89</v>
      </c>
      <c r="F5525" t="s">
        <v>1117</v>
      </c>
      <c r="G5525" s="62">
        <v>401</v>
      </c>
      <c r="H5525" s="25">
        <v>24.04</v>
      </c>
      <c r="I5525">
        <v>25729</v>
      </c>
      <c r="J5525">
        <v>4363</v>
      </c>
      <c r="K5525">
        <v>25</v>
      </c>
      <c r="L5525">
        <v>25</v>
      </c>
      <c r="M5525">
        <v>0</v>
      </c>
      <c r="N5525" s="23">
        <v>0</v>
      </c>
      <c r="O5525">
        <f t="shared" si="1067"/>
        <v>3</v>
      </c>
      <c r="P5525" s="57">
        <f t="shared" si="1068"/>
        <v>1</v>
      </c>
      <c r="Q5525" s="267">
        <f t="shared" si="1069"/>
        <v>402</v>
      </c>
      <c r="R5525" s="23" t="str">
        <f t="shared" si="1070"/>
        <v/>
      </c>
      <c r="S5525" s="23">
        <f t="shared" si="1071"/>
        <v>401</v>
      </c>
      <c r="T5525" s="23" t="str">
        <f t="shared" si="1072"/>
        <v/>
      </c>
      <c r="U5525" t="str">
        <f t="shared" si="1073"/>
        <v/>
      </c>
      <c r="X5525" s="43"/>
      <c r="Y5525" s="53"/>
      <c r="Z5525" s="53"/>
      <c r="AA5525"/>
      <c r="AB5525" s="23"/>
      <c r="AF5525" s="22"/>
    </row>
    <row r="5526" spans="1:38">
      <c r="A5526" t="str">
        <f t="shared" si="1074"/>
        <v>PA_Alleg_2019p~Rep-magisterial district judge 05-02-25 (vote for 1)</v>
      </c>
      <c r="B5526" s="55" t="s">
        <v>1291</v>
      </c>
      <c r="C5526">
        <v>1188</v>
      </c>
      <c r="D5526" s="55" t="s">
        <v>87</v>
      </c>
      <c r="E5526" s="55" t="s">
        <v>15</v>
      </c>
      <c r="F5526" t="s">
        <v>1117</v>
      </c>
      <c r="G5526" s="62">
        <v>1</v>
      </c>
      <c r="H5526" s="25">
        <v>0.06</v>
      </c>
      <c r="I5526">
        <v>25729</v>
      </c>
      <c r="J5526">
        <v>4363</v>
      </c>
      <c r="K5526">
        <v>25</v>
      </c>
      <c r="L5526">
        <v>25</v>
      </c>
      <c r="M5526">
        <v>0</v>
      </c>
      <c r="N5526" s="23">
        <v>0</v>
      </c>
      <c r="O5526">
        <f t="shared" si="1067"/>
        <v>-3</v>
      </c>
      <c r="P5526" s="57">
        <f t="shared" si="1068"/>
        <v>1</v>
      </c>
      <c r="Q5526" s="267">
        <f t="shared" si="1069"/>
        <v>1</v>
      </c>
      <c r="R5526" s="23">
        <f t="shared" si="1070"/>
        <v>1</v>
      </c>
      <c r="S5526" s="23">
        <f t="shared" si="1071"/>
        <v>0</v>
      </c>
      <c r="T5526" s="23" t="str">
        <f t="shared" si="1072"/>
        <v/>
      </c>
      <c r="U5526" t="str">
        <f t="shared" si="1073"/>
        <v/>
      </c>
      <c r="X5526" s="43"/>
      <c r="Y5526" s="53"/>
      <c r="Z5526" s="53"/>
      <c r="AA5526"/>
      <c r="AB5526" s="23"/>
      <c r="AF5526" s="22"/>
    </row>
    <row r="5527" spans="1:38">
      <c r="A5527" t="str">
        <f t="shared" si="1074"/>
        <v>PA_Alleg_2019p~Rep-magisterial district judge 05-02-26 (vote for 1)</v>
      </c>
      <c r="B5527" s="55" t="s">
        <v>1291</v>
      </c>
      <c r="C5527">
        <v>1189</v>
      </c>
      <c r="D5527" s="55" t="s">
        <v>91</v>
      </c>
      <c r="E5527" s="55" t="s">
        <v>92</v>
      </c>
      <c r="F5527" t="s">
        <v>1117</v>
      </c>
      <c r="G5527" s="62">
        <v>757</v>
      </c>
      <c r="H5527" s="25">
        <v>98.83</v>
      </c>
      <c r="I5527">
        <v>12699</v>
      </c>
      <c r="J5527">
        <v>2309</v>
      </c>
      <c r="K5527">
        <v>17</v>
      </c>
      <c r="L5527">
        <v>17</v>
      </c>
      <c r="M5527">
        <v>0</v>
      </c>
      <c r="N5527" s="23">
        <v>0</v>
      </c>
      <c r="O5527">
        <f t="shared" si="1067"/>
        <v>1</v>
      </c>
      <c r="P5527" s="57">
        <f t="shared" si="1068"/>
        <v>1</v>
      </c>
      <c r="Q5527" s="267">
        <f t="shared" si="1069"/>
        <v>766</v>
      </c>
      <c r="R5527" s="23">
        <f t="shared" si="1070"/>
        <v>757</v>
      </c>
      <c r="S5527" s="23">
        <f t="shared" si="1071"/>
        <v>0</v>
      </c>
      <c r="T5527" s="23" t="str">
        <f t="shared" si="1072"/>
        <v/>
      </c>
      <c r="U5527" t="str">
        <f t="shared" si="1073"/>
        <v>PA_Alleg_2019p~Rep-magisterial district judge 05-02-26 (vote for 1)</v>
      </c>
      <c r="X5527" s="43"/>
      <c r="Y5527" s="53"/>
      <c r="Z5527" s="53"/>
      <c r="AA5527"/>
      <c r="AB5527" s="23"/>
      <c r="AF5527" s="22"/>
    </row>
    <row r="5528" spans="1:38">
      <c r="A5528" t="str">
        <f t="shared" si="1074"/>
        <v>PA_Alleg_2019p~Rep-magisterial district judge 05-02-26 (vote for 1)</v>
      </c>
      <c r="B5528" s="55" t="s">
        <v>1291</v>
      </c>
      <c r="C5528">
        <v>1190</v>
      </c>
      <c r="D5528" s="55" t="s">
        <v>91</v>
      </c>
      <c r="E5528" s="55" t="s">
        <v>15</v>
      </c>
      <c r="F5528" t="s">
        <v>1117</v>
      </c>
      <c r="G5528" s="62">
        <v>9</v>
      </c>
      <c r="H5528" s="25">
        <v>1.17</v>
      </c>
      <c r="I5528">
        <v>12699</v>
      </c>
      <c r="J5528">
        <v>2309</v>
      </c>
      <c r="K5528">
        <v>17</v>
      </c>
      <c r="L5528">
        <v>17</v>
      </c>
      <c r="M5528">
        <v>0</v>
      </c>
      <c r="N5528" s="23">
        <v>0</v>
      </c>
      <c r="O5528">
        <f t="shared" si="1067"/>
        <v>-1</v>
      </c>
      <c r="P5528" s="57">
        <f t="shared" si="1068"/>
        <v>1</v>
      </c>
      <c r="Q5528" s="267">
        <f t="shared" si="1069"/>
        <v>9</v>
      </c>
      <c r="R5528" s="23">
        <f t="shared" si="1070"/>
        <v>1</v>
      </c>
      <c r="S5528" s="23">
        <f t="shared" si="1071"/>
        <v>0</v>
      </c>
      <c r="T5528" s="23" t="str">
        <f t="shared" si="1072"/>
        <v/>
      </c>
      <c r="U5528" t="str">
        <f t="shared" si="1073"/>
        <v/>
      </c>
      <c r="X5528" s="43"/>
      <c r="Y5528" s="53"/>
      <c r="Z5528" s="53"/>
      <c r="AA5528"/>
      <c r="AB5528" s="23"/>
      <c r="AF5528" s="22"/>
      <c r="AH5528" s="8"/>
      <c r="AL5528" s="23"/>
    </row>
    <row r="5529" spans="1:38">
      <c r="A5529" t="str">
        <f t="shared" si="1074"/>
        <v>PA_Alleg_2019p~Rep-magisterial district judge 05-02-28 (vote for 1)</v>
      </c>
      <c r="B5529" s="55" t="s">
        <v>1291</v>
      </c>
      <c r="C5529">
        <v>1191</v>
      </c>
      <c r="D5529" s="55" t="s">
        <v>93</v>
      </c>
      <c r="E5529" s="55" t="s">
        <v>95</v>
      </c>
      <c r="F5529" t="s">
        <v>1117</v>
      </c>
      <c r="G5529" s="62">
        <v>51</v>
      </c>
      <c r="H5529" s="25">
        <v>98.08</v>
      </c>
      <c r="I5529">
        <v>17331</v>
      </c>
      <c r="J5529">
        <v>2147</v>
      </c>
      <c r="K5529">
        <v>27</v>
      </c>
      <c r="L5529">
        <v>27</v>
      </c>
      <c r="M5529">
        <v>0</v>
      </c>
      <c r="N5529" s="23">
        <v>0</v>
      </c>
      <c r="O5529">
        <f t="shared" si="1067"/>
        <v>1</v>
      </c>
      <c r="P5529" s="57">
        <f t="shared" si="1068"/>
        <v>1</v>
      </c>
      <c r="Q5529" s="267">
        <f t="shared" si="1069"/>
        <v>52</v>
      </c>
      <c r="R5529" s="23">
        <f t="shared" si="1070"/>
        <v>51</v>
      </c>
      <c r="S5529" s="23">
        <f t="shared" si="1071"/>
        <v>0</v>
      </c>
      <c r="T5529" s="23" t="str">
        <f t="shared" si="1072"/>
        <v/>
      </c>
      <c r="U5529" t="str">
        <f t="shared" si="1073"/>
        <v>PA_Alleg_2019p~Rep-magisterial district judge 05-02-28 (vote for 1)</v>
      </c>
      <c r="X5529" s="43"/>
      <c r="Y5529" s="53"/>
      <c r="Z5529" s="53"/>
      <c r="AA5529"/>
      <c r="AB5529" s="23"/>
      <c r="AF5529" s="22"/>
    </row>
    <row r="5530" spans="1:38">
      <c r="A5530" t="str">
        <f t="shared" si="1074"/>
        <v>PA_Alleg_2019p~Rep-magisterial district judge 05-02-28 (vote for 1)</v>
      </c>
      <c r="B5530" s="55" t="s">
        <v>1291</v>
      </c>
      <c r="C5530">
        <v>1192</v>
      </c>
      <c r="D5530" s="55" t="s">
        <v>93</v>
      </c>
      <c r="E5530" s="55" t="s">
        <v>15</v>
      </c>
      <c r="F5530" t="s">
        <v>1117</v>
      </c>
      <c r="G5530" s="62">
        <v>1</v>
      </c>
      <c r="H5530" s="25">
        <v>1.92</v>
      </c>
      <c r="I5530">
        <v>17331</v>
      </c>
      <c r="J5530">
        <v>2147</v>
      </c>
      <c r="K5530">
        <v>27</v>
      </c>
      <c r="L5530">
        <v>27</v>
      </c>
      <c r="M5530">
        <v>0</v>
      </c>
      <c r="N5530" s="23">
        <v>0</v>
      </c>
      <c r="O5530">
        <f t="shared" si="1067"/>
        <v>-1</v>
      </c>
      <c r="P5530" s="57">
        <f t="shared" si="1068"/>
        <v>1</v>
      </c>
      <c r="Q5530" s="267">
        <f t="shared" si="1069"/>
        <v>1</v>
      </c>
      <c r="R5530" s="23">
        <f t="shared" si="1070"/>
        <v>1</v>
      </c>
      <c r="S5530" s="23">
        <f t="shared" si="1071"/>
        <v>0</v>
      </c>
      <c r="T5530" s="23" t="str">
        <f t="shared" si="1072"/>
        <v/>
      </c>
      <c r="U5530" t="str">
        <f t="shared" si="1073"/>
        <v/>
      </c>
      <c r="X5530" s="43"/>
      <c r="Y5530" s="53"/>
      <c r="Z5530" s="53"/>
      <c r="AA5530"/>
      <c r="AB5530" s="23"/>
      <c r="AF5530" s="22"/>
    </row>
    <row r="5531" spans="1:38">
      <c r="A5531" t="str">
        <f t="shared" si="1074"/>
        <v>PA_Alleg_2019p~Rep-magisterial district judge 05-03-17 (vote for 1)</v>
      </c>
      <c r="B5531" s="55" t="s">
        <v>1291</v>
      </c>
      <c r="C5531">
        <v>1193</v>
      </c>
      <c r="D5531" s="55" t="s">
        <v>96</v>
      </c>
      <c r="E5531" s="55" t="s">
        <v>97</v>
      </c>
      <c r="F5531" t="s">
        <v>1117</v>
      </c>
      <c r="G5531" s="62">
        <v>629</v>
      </c>
      <c r="H5531" s="25">
        <v>98.74</v>
      </c>
      <c r="I5531">
        <v>16477</v>
      </c>
      <c r="J5531">
        <v>1801</v>
      </c>
      <c r="K5531">
        <v>11</v>
      </c>
      <c r="L5531">
        <v>11</v>
      </c>
      <c r="M5531">
        <v>0</v>
      </c>
      <c r="N5531" s="23">
        <v>0</v>
      </c>
      <c r="O5531">
        <f t="shared" si="1067"/>
        <v>1</v>
      </c>
      <c r="P5531" s="57">
        <f t="shared" si="1068"/>
        <v>1</v>
      </c>
      <c r="Q5531" s="267">
        <f t="shared" si="1069"/>
        <v>637</v>
      </c>
      <c r="R5531" s="23">
        <f t="shared" si="1070"/>
        <v>629</v>
      </c>
      <c r="S5531" s="23">
        <f t="shared" si="1071"/>
        <v>0</v>
      </c>
      <c r="T5531" s="23" t="str">
        <f t="shared" si="1072"/>
        <v/>
      </c>
      <c r="U5531" t="str">
        <f t="shared" si="1073"/>
        <v>PA_Alleg_2019p~Rep-magisterial district judge 05-03-17 (vote for 1)</v>
      </c>
      <c r="X5531" s="43"/>
      <c r="Y5531" s="53"/>
      <c r="Z5531" s="53"/>
      <c r="AA5531"/>
      <c r="AB5531" s="23"/>
      <c r="AF5531" s="22"/>
    </row>
    <row r="5532" spans="1:38">
      <c r="A5532" t="str">
        <f t="shared" si="1074"/>
        <v>PA_Alleg_2019p~Rep-magisterial district judge 05-03-17 (vote for 1)</v>
      </c>
      <c r="B5532" s="55" t="s">
        <v>1291</v>
      </c>
      <c r="C5532">
        <v>1194</v>
      </c>
      <c r="D5532" s="55" t="s">
        <v>96</v>
      </c>
      <c r="E5532" s="55" t="s">
        <v>15</v>
      </c>
      <c r="F5532" t="s">
        <v>1117</v>
      </c>
      <c r="G5532" s="62">
        <v>8</v>
      </c>
      <c r="H5532" s="25">
        <v>1.26</v>
      </c>
      <c r="I5532">
        <v>16477</v>
      </c>
      <c r="J5532">
        <v>1801</v>
      </c>
      <c r="K5532">
        <v>11</v>
      </c>
      <c r="L5532">
        <v>11</v>
      </c>
      <c r="M5532">
        <v>0</v>
      </c>
      <c r="N5532" s="23">
        <v>0</v>
      </c>
      <c r="O5532">
        <f t="shared" si="1067"/>
        <v>-1</v>
      </c>
      <c r="P5532" s="57">
        <f t="shared" si="1068"/>
        <v>1</v>
      </c>
      <c r="Q5532" s="267">
        <f t="shared" si="1069"/>
        <v>8</v>
      </c>
      <c r="R5532" s="23">
        <f t="shared" si="1070"/>
        <v>1</v>
      </c>
      <c r="S5532" s="23">
        <f t="shared" si="1071"/>
        <v>0</v>
      </c>
      <c r="T5532" s="23" t="str">
        <f t="shared" si="1072"/>
        <v/>
      </c>
      <c r="U5532" t="str">
        <f t="shared" si="1073"/>
        <v/>
      </c>
      <c r="X5532" s="43"/>
      <c r="Y5532" s="53"/>
      <c r="Z5532" s="53"/>
      <c r="AA5532"/>
      <c r="AB5532" s="23"/>
      <c r="AF5532" s="22"/>
    </row>
    <row r="5533" spans="1:38">
      <c r="A5533" t="str">
        <f t="shared" si="1074"/>
        <v>PA_Alleg_2019p~Rep-mayor aspinwall (vote for 1)</v>
      </c>
      <c r="B5533" s="55" t="s">
        <v>1291</v>
      </c>
      <c r="C5533">
        <v>1533</v>
      </c>
      <c r="D5533" s="55" t="s">
        <v>470</v>
      </c>
      <c r="E5533" s="55" t="s">
        <v>1127</v>
      </c>
      <c r="F5533" t="s">
        <v>1117</v>
      </c>
      <c r="G5533" s="62">
        <v>120</v>
      </c>
      <c r="H5533" s="25">
        <v>97.56</v>
      </c>
      <c r="I5533">
        <v>2364</v>
      </c>
      <c r="J5533">
        <v>497</v>
      </c>
      <c r="K5533">
        <v>3</v>
      </c>
      <c r="L5533">
        <v>3</v>
      </c>
      <c r="M5533">
        <v>0</v>
      </c>
      <c r="N5533" s="23">
        <v>0</v>
      </c>
      <c r="O5533">
        <f t="shared" si="1067"/>
        <v>1</v>
      </c>
      <c r="P5533" s="57">
        <f t="shared" si="1068"/>
        <v>1</v>
      </c>
      <c r="Q5533" s="267">
        <f t="shared" si="1069"/>
        <v>123</v>
      </c>
      <c r="R5533" s="23">
        <f t="shared" si="1070"/>
        <v>120</v>
      </c>
      <c r="S5533" s="23">
        <f t="shared" si="1071"/>
        <v>0</v>
      </c>
      <c r="T5533" s="23" t="str">
        <f t="shared" si="1072"/>
        <v/>
      </c>
      <c r="U5533" t="str">
        <f t="shared" si="1073"/>
        <v>PA_Alleg_2019p~Rep-mayor aspinwall (vote for 1)</v>
      </c>
      <c r="X5533" s="43"/>
      <c r="Y5533" s="53"/>
      <c r="Z5533" s="53"/>
      <c r="AA5533"/>
      <c r="AB5533" s="23"/>
      <c r="AF5533" s="22"/>
    </row>
    <row r="5534" spans="1:38">
      <c r="A5534" t="str">
        <f t="shared" si="1074"/>
        <v>PA_Alleg_2019p~Rep-mayor aspinwall (vote for 1)</v>
      </c>
      <c r="B5534" s="55" t="s">
        <v>1291</v>
      </c>
      <c r="C5534">
        <v>1534</v>
      </c>
      <c r="D5534" s="55" t="s">
        <v>470</v>
      </c>
      <c r="E5534" s="55" t="s">
        <v>15</v>
      </c>
      <c r="F5534" t="s">
        <v>1117</v>
      </c>
      <c r="G5534" s="62">
        <v>3</v>
      </c>
      <c r="H5534" s="25">
        <v>2.44</v>
      </c>
      <c r="I5534">
        <v>2364</v>
      </c>
      <c r="J5534">
        <v>497</v>
      </c>
      <c r="K5534">
        <v>3</v>
      </c>
      <c r="L5534">
        <v>3</v>
      </c>
      <c r="M5534">
        <v>0</v>
      </c>
      <c r="N5534" s="23">
        <v>0</v>
      </c>
      <c r="O5534">
        <f t="shared" si="1067"/>
        <v>-1</v>
      </c>
      <c r="P5534" s="57">
        <f t="shared" si="1068"/>
        <v>1</v>
      </c>
      <c r="Q5534" s="267">
        <f t="shared" si="1069"/>
        <v>3</v>
      </c>
      <c r="R5534" s="23">
        <f t="shared" si="1070"/>
        <v>1</v>
      </c>
      <c r="S5534" s="23">
        <f t="shared" si="1071"/>
        <v>0</v>
      </c>
      <c r="T5534" s="23" t="str">
        <f t="shared" si="1072"/>
        <v/>
      </c>
      <c r="U5534" t="str">
        <f t="shared" si="1073"/>
        <v/>
      </c>
      <c r="X5534" s="43"/>
      <c r="Y5534" s="53"/>
      <c r="Z5534" s="53"/>
      <c r="AA5534"/>
      <c r="AB5534" s="23"/>
      <c r="AF5534" s="22"/>
    </row>
    <row r="5535" spans="1:38">
      <c r="A5535" t="str">
        <f t="shared" si="1074"/>
        <v>PA_Alleg_2019p~Rep-mayor bell acres (vote for 1)</v>
      </c>
      <c r="B5535" s="55" t="s">
        <v>1291</v>
      </c>
      <c r="C5535">
        <v>1535</v>
      </c>
      <c r="D5535" s="55" t="s">
        <v>471</v>
      </c>
      <c r="E5535" s="55" t="s">
        <v>15</v>
      </c>
      <c r="F5535" t="s">
        <v>1117</v>
      </c>
      <c r="G5535" s="62">
        <v>5</v>
      </c>
      <c r="H5535" s="25">
        <v>100</v>
      </c>
      <c r="I5535">
        <v>1167</v>
      </c>
      <c r="J5535">
        <v>162</v>
      </c>
      <c r="K5535">
        <v>1</v>
      </c>
      <c r="L5535">
        <v>1</v>
      </c>
      <c r="M5535">
        <v>0</v>
      </c>
      <c r="N5535" s="23">
        <v>0</v>
      </c>
      <c r="O5535">
        <f t="shared" si="1067"/>
        <v>0</v>
      </c>
      <c r="P5535" s="57">
        <f t="shared" si="1068"/>
        <v>1</v>
      </c>
      <c r="Q5535" s="267">
        <f t="shared" si="1069"/>
        <v>5</v>
      </c>
      <c r="R5535" s="23">
        <f t="shared" si="1070"/>
        <v>1</v>
      </c>
      <c r="S5535" s="23">
        <f t="shared" si="1071"/>
        <v>0</v>
      </c>
      <c r="T5535" s="23" t="str">
        <f t="shared" si="1072"/>
        <v/>
      </c>
      <c r="U5535" t="str">
        <f t="shared" si="1073"/>
        <v>PA_Alleg_2019p~Rep-mayor bell acres (vote for 1)</v>
      </c>
      <c r="X5535" s="43"/>
      <c r="Y5535" s="53"/>
      <c r="Z5535" s="53"/>
      <c r="AA5535"/>
      <c r="AB5535" s="23"/>
      <c r="AF5535" s="293"/>
    </row>
    <row r="5536" spans="1:38">
      <c r="A5536" t="str">
        <f t="shared" si="1074"/>
        <v>PA_Alleg_2019p~Rep-mayor braddock (vote for 1)</v>
      </c>
      <c r="B5536" s="55" t="s">
        <v>1291</v>
      </c>
      <c r="C5536">
        <v>1536</v>
      </c>
      <c r="D5536" s="55" t="s">
        <v>473</v>
      </c>
      <c r="E5536" s="55" t="s">
        <v>15</v>
      </c>
      <c r="F5536" t="s">
        <v>1117</v>
      </c>
      <c r="G5536" s="62">
        <v>0</v>
      </c>
      <c r="H5536" s="25">
        <v>0</v>
      </c>
      <c r="I5536">
        <v>1698</v>
      </c>
      <c r="J5536">
        <v>298</v>
      </c>
      <c r="K5536">
        <v>3</v>
      </c>
      <c r="L5536">
        <v>3</v>
      </c>
      <c r="M5536">
        <v>0</v>
      </c>
      <c r="N5536" s="23">
        <v>0</v>
      </c>
      <c r="O5536">
        <f t="shared" si="1067"/>
        <v>0</v>
      </c>
      <c r="P5536" s="57">
        <f t="shared" si="1068"/>
        <v>1</v>
      </c>
      <c r="Q5536" s="267">
        <f t="shared" si="1069"/>
        <v>0</v>
      </c>
      <c r="R5536" s="23">
        <f t="shared" si="1070"/>
        <v>1</v>
      </c>
      <c r="S5536" s="23">
        <f t="shared" si="1071"/>
        <v>0</v>
      </c>
      <c r="T5536" s="23" t="str">
        <f t="shared" si="1072"/>
        <v/>
      </c>
      <c r="U5536" t="str">
        <f t="shared" si="1073"/>
        <v>PA_Alleg_2019p~Rep-mayor braddock (vote for 1)</v>
      </c>
      <c r="X5536" s="43"/>
      <c r="Y5536" s="53"/>
      <c r="Z5536" s="53"/>
      <c r="AA5536"/>
      <c r="AB5536" s="23"/>
      <c r="AF5536" s="22"/>
    </row>
    <row r="5537" spans="1:38">
      <c r="A5537" t="str">
        <f t="shared" si="1074"/>
        <v>PA_Alleg_2019p~Rep-mayor bradford woods (vote for 1)</v>
      </c>
      <c r="B5537" s="55" t="s">
        <v>1291</v>
      </c>
      <c r="C5537">
        <v>1537</v>
      </c>
      <c r="D5537" s="55" t="s">
        <v>477</v>
      </c>
      <c r="E5537" s="55" t="s">
        <v>1128</v>
      </c>
      <c r="F5537" t="s">
        <v>1117</v>
      </c>
      <c r="G5537" s="62">
        <v>107</v>
      </c>
      <c r="H5537" s="25">
        <v>97.27</v>
      </c>
      <c r="I5537">
        <v>1027</v>
      </c>
      <c r="J5537">
        <v>207</v>
      </c>
      <c r="K5537">
        <v>1</v>
      </c>
      <c r="L5537">
        <v>1</v>
      </c>
      <c r="M5537">
        <v>0</v>
      </c>
      <c r="N5537" s="23">
        <v>0</v>
      </c>
      <c r="O5537">
        <f t="shared" si="1067"/>
        <v>1</v>
      </c>
      <c r="P5537" s="57">
        <f t="shared" si="1068"/>
        <v>1</v>
      </c>
      <c r="Q5537" s="267">
        <f t="shared" si="1069"/>
        <v>110</v>
      </c>
      <c r="R5537" s="23">
        <f t="shared" si="1070"/>
        <v>107</v>
      </c>
      <c r="S5537" s="23">
        <f t="shared" si="1071"/>
        <v>0</v>
      </c>
      <c r="T5537" s="23" t="str">
        <f t="shared" si="1072"/>
        <v/>
      </c>
      <c r="U5537" t="str">
        <f t="shared" si="1073"/>
        <v>PA_Alleg_2019p~Rep-mayor bradford woods (vote for 1)</v>
      </c>
      <c r="X5537" s="43"/>
      <c r="Y5537" s="53"/>
      <c r="Z5537" s="53"/>
      <c r="AA5537"/>
      <c r="AB5537" s="23"/>
    </row>
    <row r="5538" spans="1:38">
      <c r="A5538" t="str">
        <f t="shared" si="1074"/>
        <v>PA_Alleg_2019p~Rep-mayor bradford woods (vote for 1)</v>
      </c>
      <c r="B5538" s="55" t="s">
        <v>1291</v>
      </c>
      <c r="C5538">
        <v>1538</v>
      </c>
      <c r="D5538" s="55" t="s">
        <v>477</v>
      </c>
      <c r="E5538" s="55" t="s">
        <v>15</v>
      </c>
      <c r="F5538" t="s">
        <v>1117</v>
      </c>
      <c r="G5538" s="62">
        <v>3</v>
      </c>
      <c r="H5538" s="25">
        <v>2.73</v>
      </c>
      <c r="I5538">
        <v>1027</v>
      </c>
      <c r="J5538">
        <v>207</v>
      </c>
      <c r="K5538">
        <v>1</v>
      </c>
      <c r="L5538">
        <v>1</v>
      </c>
      <c r="M5538">
        <v>0</v>
      </c>
      <c r="N5538" s="23">
        <v>0</v>
      </c>
      <c r="O5538">
        <f t="shared" si="1067"/>
        <v>-1</v>
      </c>
      <c r="P5538" s="57">
        <f t="shared" si="1068"/>
        <v>1</v>
      </c>
      <c r="Q5538" s="267">
        <f t="shared" si="1069"/>
        <v>3</v>
      </c>
      <c r="R5538" s="23">
        <f t="shared" si="1070"/>
        <v>1</v>
      </c>
      <c r="S5538" s="23">
        <f t="shared" si="1071"/>
        <v>0</v>
      </c>
      <c r="T5538" s="23" t="str">
        <f t="shared" si="1072"/>
        <v/>
      </c>
      <c r="U5538" t="str">
        <f t="shared" si="1073"/>
        <v/>
      </c>
      <c r="X5538" s="43"/>
      <c r="Y5538" s="53"/>
      <c r="Z5538" s="53"/>
      <c r="AA5538"/>
      <c r="AB5538" s="23"/>
      <c r="AF5538" s="22"/>
    </row>
    <row r="5539" spans="1:38">
      <c r="A5539" t="str">
        <f t="shared" si="1074"/>
        <v>PA_Alleg_2019p~Rep-mayor mcdonald (vote for 1)</v>
      </c>
      <c r="B5539" s="55" t="s">
        <v>1291</v>
      </c>
      <c r="C5539">
        <v>1539</v>
      </c>
      <c r="D5539" s="55" t="s">
        <v>478</v>
      </c>
      <c r="E5539" s="55" t="s">
        <v>15</v>
      </c>
      <c r="F5539" t="s">
        <v>1117</v>
      </c>
      <c r="G5539" s="62">
        <v>12</v>
      </c>
      <c r="H5539" s="25">
        <v>100</v>
      </c>
      <c r="I5539">
        <v>220</v>
      </c>
      <c r="J5539">
        <v>47</v>
      </c>
      <c r="K5539">
        <v>1</v>
      </c>
      <c r="L5539">
        <v>1</v>
      </c>
      <c r="M5539">
        <v>0</v>
      </c>
      <c r="N5539" s="23">
        <v>0</v>
      </c>
      <c r="O5539">
        <f t="shared" si="1067"/>
        <v>0</v>
      </c>
      <c r="P5539" s="57">
        <f t="shared" si="1068"/>
        <v>1</v>
      </c>
      <c r="Q5539" s="267">
        <f t="shared" si="1069"/>
        <v>12</v>
      </c>
      <c r="R5539" s="23">
        <f t="shared" si="1070"/>
        <v>1</v>
      </c>
      <c r="S5539" s="23">
        <f t="shared" si="1071"/>
        <v>0</v>
      </c>
      <c r="T5539" s="23" t="str">
        <f t="shared" si="1072"/>
        <v/>
      </c>
      <c r="U5539" t="str">
        <f t="shared" si="1073"/>
        <v>PA_Alleg_2019p~Rep-mayor mcdonald (vote for 1)</v>
      </c>
      <c r="X5539" s="43"/>
      <c r="Y5539" s="53"/>
      <c r="Z5539" s="53"/>
      <c r="AA5539"/>
      <c r="AB5539" s="23"/>
      <c r="AF5539" s="22"/>
    </row>
    <row r="5540" spans="1:38">
      <c r="A5540" t="str">
        <f t="shared" si="1074"/>
        <v>PA_Alleg_2019p~Rep-mayor mckeesport (vote for 1)</v>
      </c>
      <c r="B5540" s="55" t="s">
        <v>1291</v>
      </c>
      <c r="C5540">
        <v>1531</v>
      </c>
      <c r="D5540" s="55" t="s">
        <v>465</v>
      </c>
      <c r="E5540" s="55" t="s">
        <v>15</v>
      </c>
      <c r="F5540" t="s">
        <v>1117</v>
      </c>
      <c r="G5540" s="62">
        <v>61</v>
      </c>
      <c r="H5540" s="25">
        <v>100</v>
      </c>
      <c r="I5540">
        <v>12636</v>
      </c>
      <c r="J5540">
        <v>2295</v>
      </c>
      <c r="K5540">
        <v>32</v>
      </c>
      <c r="L5540">
        <v>32</v>
      </c>
      <c r="M5540">
        <v>0</v>
      </c>
      <c r="N5540" s="23">
        <v>0</v>
      </c>
      <c r="O5540">
        <f t="shared" si="1067"/>
        <v>0</v>
      </c>
      <c r="P5540" s="57">
        <f t="shared" si="1068"/>
        <v>1</v>
      </c>
      <c r="Q5540" s="267">
        <f t="shared" si="1069"/>
        <v>61</v>
      </c>
      <c r="R5540" s="23">
        <f t="shared" si="1070"/>
        <v>1</v>
      </c>
      <c r="S5540" s="23">
        <f t="shared" si="1071"/>
        <v>0</v>
      </c>
      <c r="T5540" s="23" t="str">
        <f t="shared" si="1072"/>
        <v/>
      </c>
      <c r="U5540" t="str">
        <f t="shared" si="1073"/>
        <v>PA_Alleg_2019p~Rep-mayor mckeesport (vote for 1)</v>
      </c>
      <c r="X5540" s="43"/>
      <c r="Y5540" s="53"/>
      <c r="Z5540" s="53"/>
      <c r="AA5540"/>
      <c r="AB5540" s="23"/>
      <c r="AF5540" s="88"/>
      <c r="AG5540" s="23"/>
      <c r="AH5540" s="8"/>
    </row>
    <row r="5541" spans="1:38">
      <c r="A5541" t="str">
        <f t="shared" si="1074"/>
        <v>PA_Alleg_2019p~Rep-mayor penn hills (vote for 1)</v>
      </c>
      <c r="B5541" s="55" t="s">
        <v>1291</v>
      </c>
      <c r="C5541">
        <v>1532</v>
      </c>
      <c r="D5541" s="55" t="s">
        <v>467</v>
      </c>
      <c r="E5541" s="55" t="s">
        <v>15</v>
      </c>
      <c r="F5541" t="s">
        <v>1117</v>
      </c>
      <c r="G5541" s="62">
        <v>605</v>
      </c>
      <c r="H5541" s="25">
        <v>100</v>
      </c>
      <c r="I5541">
        <v>32131</v>
      </c>
      <c r="J5541">
        <v>6084</v>
      </c>
      <c r="K5541">
        <v>50</v>
      </c>
      <c r="L5541">
        <v>50</v>
      </c>
      <c r="M5541">
        <v>0</v>
      </c>
      <c r="N5541" s="23">
        <v>0</v>
      </c>
      <c r="O5541">
        <f t="shared" si="1067"/>
        <v>0</v>
      </c>
      <c r="P5541" s="57">
        <f t="shared" si="1068"/>
        <v>1</v>
      </c>
      <c r="Q5541" s="267">
        <f t="shared" si="1069"/>
        <v>605</v>
      </c>
      <c r="R5541" s="23">
        <f t="shared" si="1070"/>
        <v>1</v>
      </c>
      <c r="S5541" s="23">
        <f t="shared" si="1071"/>
        <v>0</v>
      </c>
      <c r="T5541" s="23" t="str">
        <f t="shared" si="1072"/>
        <v/>
      </c>
      <c r="U5541" t="str">
        <f t="shared" si="1073"/>
        <v>PA_Alleg_2019p~Rep-mayor penn hills (vote for 1)</v>
      </c>
      <c r="X5541" s="43"/>
      <c r="Y5541" s="53"/>
      <c r="Z5541" s="53"/>
      <c r="AA5541"/>
      <c r="AB5541" s="23"/>
      <c r="AF5541" s="293"/>
    </row>
    <row r="5542" spans="1:38">
      <c r="A5542" t="str">
        <f t="shared" si="1074"/>
        <v>PA_Alleg_2019p~Rep-member of council aspinwall (vote for 1)</v>
      </c>
      <c r="B5542" s="55" t="s">
        <v>1291</v>
      </c>
      <c r="C5542">
        <v>1834</v>
      </c>
      <c r="D5542" s="55" t="s">
        <v>911</v>
      </c>
      <c r="E5542" s="55" t="s">
        <v>1178</v>
      </c>
      <c r="F5542" t="s">
        <v>1117</v>
      </c>
      <c r="G5542" s="62">
        <v>57</v>
      </c>
      <c r="H5542" s="25">
        <v>49.57</v>
      </c>
      <c r="I5542">
        <v>2364</v>
      </c>
      <c r="J5542">
        <v>497</v>
      </c>
      <c r="K5542">
        <v>3</v>
      </c>
      <c r="L5542">
        <v>3</v>
      </c>
      <c r="M5542">
        <v>0</v>
      </c>
      <c r="N5542" s="23">
        <v>0</v>
      </c>
      <c r="O5542">
        <f t="shared" si="1067"/>
        <v>1</v>
      </c>
      <c r="P5542" s="57">
        <f t="shared" si="1068"/>
        <v>1</v>
      </c>
      <c r="Q5542" s="267">
        <f t="shared" si="1069"/>
        <v>115</v>
      </c>
      <c r="R5542" s="23">
        <f t="shared" si="1070"/>
        <v>57</v>
      </c>
      <c r="S5542" s="23">
        <f t="shared" si="1071"/>
        <v>56</v>
      </c>
      <c r="T5542" s="23">
        <f t="shared" si="1072"/>
        <v>1</v>
      </c>
      <c r="U5542" t="str">
        <f t="shared" si="1073"/>
        <v>PA_Alleg_2019p~Rep-member of council aspinwall (vote for 1)</v>
      </c>
      <c r="X5542" s="43"/>
      <c r="Y5542" s="53"/>
      <c r="Z5542" s="53"/>
      <c r="AA5542"/>
      <c r="AB5542" s="23"/>
    </row>
    <row r="5543" spans="1:38">
      <c r="A5543" t="str">
        <f t="shared" si="1074"/>
        <v>PA_Alleg_2019p~Rep-member of council aspinwall (vote for 1)</v>
      </c>
      <c r="B5543" s="55" t="s">
        <v>1291</v>
      </c>
      <c r="C5543">
        <v>1833</v>
      </c>
      <c r="D5543" s="55" t="s">
        <v>911</v>
      </c>
      <c r="E5543" s="55" t="s">
        <v>1177</v>
      </c>
      <c r="F5543" t="s">
        <v>1117</v>
      </c>
      <c r="G5543" s="62">
        <v>56</v>
      </c>
      <c r="H5543" s="25">
        <v>48.7</v>
      </c>
      <c r="I5543">
        <v>2364</v>
      </c>
      <c r="J5543">
        <v>497</v>
      </c>
      <c r="K5543">
        <v>3</v>
      </c>
      <c r="L5543">
        <v>3</v>
      </c>
      <c r="M5543">
        <v>0</v>
      </c>
      <c r="N5543" s="23">
        <v>0</v>
      </c>
      <c r="O5543">
        <f t="shared" si="1067"/>
        <v>2</v>
      </c>
      <c r="P5543" s="57">
        <f t="shared" si="1068"/>
        <v>1</v>
      </c>
      <c r="Q5543" s="267">
        <f t="shared" si="1069"/>
        <v>58</v>
      </c>
      <c r="R5543" s="23" t="str">
        <f t="shared" si="1070"/>
        <v/>
      </c>
      <c r="S5543" s="23">
        <f t="shared" si="1071"/>
        <v>56</v>
      </c>
      <c r="T5543" s="23" t="str">
        <f t="shared" si="1072"/>
        <v/>
      </c>
      <c r="U5543" t="str">
        <f t="shared" si="1073"/>
        <v/>
      </c>
      <c r="X5543" s="43"/>
      <c r="Y5543" s="53"/>
      <c r="Z5543" s="53"/>
      <c r="AA5543"/>
      <c r="AB5543" s="23"/>
      <c r="AF5543" s="22"/>
      <c r="AG5543" s="23"/>
      <c r="AH5543" s="8"/>
      <c r="AL5543" s="344"/>
    </row>
    <row r="5544" spans="1:38">
      <c r="A5544" t="str">
        <f t="shared" si="1074"/>
        <v>PA_Alleg_2019p~Rep-member of council aspinwall (vote for 1)</v>
      </c>
      <c r="B5544" s="55" t="s">
        <v>1291</v>
      </c>
      <c r="C5544">
        <v>1835</v>
      </c>
      <c r="D5544" s="55" t="s">
        <v>911</v>
      </c>
      <c r="E5544" s="55" t="s">
        <v>15</v>
      </c>
      <c r="F5544" t="s">
        <v>1117</v>
      </c>
      <c r="G5544" s="62">
        <v>2</v>
      </c>
      <c r="H5544" s="25">
        <v>1.74</v>
      </c>
      <c r="I5544">
        <v>2364</v>
      </c>
      <c r="J5544">
        <v>497</v>
      </c>
      <c r="K5544">
        <v>3</v>
      </c>
      <c r="L5544">
        <v>3</v>
      </c>
      <c r="M5544">
        <v>0</v>
      </c>
      <c r="N5544" s="23">
        <v>0</v>
      </c>
      <c r="O5544">
        <f t="shared" si="1067"/>
        <v>-2</v>
      </c>
      <c r="P5544" s="57">
        <f t="shared" si="1068"/>
        <v>1</v>
      </c>
      <c r="Q5544" s="267">
        <f t="shared" si="1069"/>
        <v>2</v>
      </c>
      <c r="R5544" s="23">
        <f t="shared" si="1070"/>
        <v>1</v>
      </c>
      <c r="S5544" s="23">
        <f t="shared" si="1071"/>
        <v>0</v>
      </c>
      <c r="T5544" s="23" t="str">
        <f t="shared" si="1072"/>
        <v/>
      </c>
      <c r="U5544" t="str">
        <f t="shared" si="1073"/>
        <v/>
      </c>
      <c r="X5544" s="43"/>
      <c r="Y5544" s="53"/>
      <c r="Z5544" s="53"/>
      <c r="AA5544"/>
      <c r="AB5544" s="23"/>
      <c r="AF5544" s="22"/>
      <c r="AH5544" s="8"/>
    </row>
    <row r="5545" spans="1:38">
      <c r="A5545" t="str">
        <f t="shared" si="1074"/>
        <v>PA_Alleg_2019p~Rep-member of council aspinwall (vote for 3)</v>
      </c>
      <c r="B5545" s="55" t="s">
        <v>1291</v>
      </c>
      <c r="C5545">
        <v>1709</v>
      </c>
      <c r="D5545" s="55" t="s">
        <v>690</v>
      </c>
      <c r="E5545" s="55" t="s">
        <v>1178</v>
      </c>
      <c r="F5545" t="s">
        <v>1117</v>
      </c>
      <c r="G5545" s="62">
        <v>101</v>
      </c>
      <c r="H5545" s="25">
        <v>52.06</v>
      </c>
      <c r="I5545">
        <v>2364</v>
      </c>
      <c r="J5545">
        <v>497</v>
      </c>
      <c r="K5545">
        <v>3</v>
      </c>
      <c r="L5545">
        <v>3</v>
      </c>
      <c r="M5545">
        <v>0</v>
      </c>
      <c r="N5545" s="23">
        <v>0</v>
      </c>
      <c r="O5545">
        <f t="shared" si="1067"/>
        <v>1</v>
      </c>
      <c r="P5545" s="57">
        <f t="shared" si="1068"/>
        <v>3</v>
      </c>
      <c r="Q5545" s="267">
        <f t="shared" si="1069"/>
        <v>101</v>
      </c>
      <c r="R5545" s="23">
        <f t="shared" si="1070"/>
        <v>1</v>
      </c>
      <c r="S5545" s="23">
        <f t="shared" si="1071"/>
        <v>0</v>
      </c>
      <c r="T5545" s="23" t="str">
        <f t="shared" si="1072"/>
        <v/>
      </c>
      <c r="U5545" t="str">
        <f t="shared" si="1073"/>
        <v>PA_Alleg_2019p~Rep-member of council aspinwall (vote for 3)</v>
      </c>
      <c r="X5545" s="43"/>
      <c r="Y5545" s="53"/>
      <c r="Z5545" s="53"/>
      <c r="AA5545"/>
      <c r="AB5545" s="23"/>
    </row>
    <row r="5546" spans="1:38">
      <c r="A5546" t="str">
        <f t="shared" si="1074"/>
        <v>PA_Alleg_2019p~Rep-member of council aspinwall (vote for 3)</v>
      </c>
      <c r="B5546" s="55" t="s">
        <v>1291</v>
      </c>
      <c r="C5546">
        <v>1708</v>
      </c>
      <c r="D5546" s="55" t="s">
        <v>690</v>
      </c>
      <c r="E5546" s="55" t="s">
        <v>1177</v>
      </c>
      <c r="F5546" t="s">
        <v>1117</v>
      </c>
      <c r="G5546" s="62">
        <v>84</v>
      </c>
      <c r="H5546" s="25">
        <v>43.3</v>
      </c>
      <c r="I5546">
        <v>2364</v>
      </c>
      <c r="J5546">
        <v>497</v>
      </c>
      <c r="K5546">
        <v>3</v>
      </c>
      <c r="L5546">
        <v>3</v>
      </c>
      <c r="M5546">
        <v>0</v>
      </c>
      <c r="N5546" s="23">
        <v>0</v>
      </c>
      <c r="O5546">
        <f t="shared" si="1067"/>
        <v>2</v>
      </c>
      <c r="P5546" s="57">
        <f t="shared" si="1068"/>
        <v>3</v>
      </c>
      <c r="Q5546" s="267">
        <f t="shared" si="1069"/>
        <v>93</v>
      </c>
      <c r="R5546" s="23">
        <f t="shared" si="1070"/>
        <v>1</v>
      </c>
      <c r="S5546" s="23">
        <f t="shared" si="1071"/>
        <v>0</v>
      </c>
      <c r="T5546" s="23" t="str">
        <f t="shared" si="1072"/>
        <v/>
      </c>
      <c r="U5546" t="str">
        <f t="shared" si="1073"/>
        <v/>
      </c>
      <c r="X5546" s="43"/>
      <c r="Y5546" s="53"/>
      <c r="Z5546" s="53"/>
      <c r="AA5546"/>
      <c r="AB5546" s="23"/>
      <c r="AF5546" s="22"/>
    </row>
    <row r="5547" spans="1:38">
      <c r="A5547" t="str">
        <f t="shared" si="1074"/>
        <v>PA_Alleg_2019p~Rep-member of council aspinwall (vote for 3)</v>
      </c>
      <c r="B5547" s="55" t="s">
        <v>1291</v>
      </c>
      <c r="C5547">
        <v>1710</v>
      </c>
      <c r="D5547" s="55" t="s">
        <v>690</v>
      </c>
      <c r="E5547" s="55" t="s">
        <v>15</v>
      </c>
      <c r="F5547" t="s">
        <v>1117</v>
      </c>
      <c r="G5547" s="62">
        <v>9</v>
      </c>
      <c r="H5547" s="25">
        <v>4.6399999999999997</v>
      </c>
      <c r="I5547">
        <v>2364</v>
      </c>
      <c r="J5547">
        <v>497</v>
      </c>
      <c r="K5547">
        <v>3</v>
      </c>
      <c r="L5547">
        <v>3</v>
      </c>
      <c r="M5547">
        <v>0</v>
      </c>
      <c r="N5547" s="23">
        <v>0</v>
      </c>
      <c r="O5547">
        <f t="shared" si="1067"/>
        <v>-2</v>
      </c>
      <c r="P5547" s="57">
        <f t="shared" si="1068"/>
        <v>3</v>
      </c>
      <c r="Q5547" s="267">
        <f t="shared" si="1069"/>
        <v>9</v>
      </c>
      <c r="R5547" s="23">
        <f t="shared" si="1070"/>
        <v>1</v>
      </c>
      <c r="S5547" s="23">
        <f t="shared" si="1071"/>
        <v>0</v>
      </c>
      <c r="T5547" s="23" t="str">
        <f t="shared" si="1072"/>
        <v/>
      </c>
      <c r="U5547" t="str">
        <f t="shared" si="1073"/>
        <v/>
      </c>
      <c r="X5547" s="43"/>
      <c r="Y5547" s="53"/>
      <c r="Z5547" s="53"/>
      <c r="AA5547"/>
      <c r="AB5547" s="23"/>
      <c r="AF5547" s="22"/>
    </row>
    <row r="5548" spans="1:38">
      <c r="A5548" t="str">
        <f t="shared" si="1074"/>
        <v>PA_Alleg_2019p~Rep-member of council at-large east pittsburgh (vote for 2)</v>
      </c>
      <c r="B5548" s="55" t="s">
        <v>1291</v>
      </c>
      <c r="C5548">
        <v>1692</v>
      </c>
      <c r="D5548" s="55" t="s">
        <v>650</v>
      </c>
      <c r="E5548" s="55" t="s">
        <v>15</v>
      </c>
      <c r="F5548" t="s">
        <v>1117</v>
      </c>
      <c r="G5548" s="62">
        <v>3</v>
      </c>
      <c r="H5548" s="25">
        <v>100</v>
      </c>
      <c r="I5548">
        <v>1307</v>
      </c>
      <c r="J5548">
        <v>230</v>
      </c>
      <c r="K5548">
        <v>3</v>
      </c>
      <c r="L5548">
        <v>3</v>
      </c>
      <c r="M5548">
        <v>0</v>
      </c>
      <c r="N5548" s="23">
        <v>0</v>
      </c>
      <c r="O5548">
        <f t="shared" si="1067"/>
        <v>0</v>
      </c>
      <c r="P5548" s="57">
        <f t="shared" si="1068"/>
        <v>2</v>
      </c>
      <c r="Q5548" s="267">
        <f t="shared" si="1069"/>
        <v>3</v>
      </c>
      <c r="R5548" s="23">
        <f t="shared" si="1070"/>
        <v>1</v>
      </c>
      <c r="S5548" s="23">
        <f t="shared" si="1071"/>
        <v>0</v>
      </c>
      <c r="T5548" s="23" t="str">
        <f t="shared" si="1072"/>
        <v/>
      </c>
      <c r="U5548" t="str">
        <f t="shared" si="1073"/>
        <v>PA_Alleg_2019p~Rep-member of council at-large east pittsburgh (vote for 2)</v>
      </c>
      <c r="X5548" s="43"/>
      <c r="Y5548" s="53"/>
      <c r="Z5548" s="53"/>
      <c r="AA5548"/>
      <c r="AB5548" s="23"/>
      <c r="AF5548" s="22"/>
    </row>
    <row r="5549" spans="1:38">
      <c r="A5549" t="str">
        <f t="shared" si="1074"/>
        <v>PA_Alleg_2019p~Rep-member of council at-large ohara (vote for 2)</v>
      </c>
      <c r="B5549" s="55" t="s">
        <v>1291</v>
      </c>
      <c r="C5549">
        <v>1693</v>
      </c>
      <c r="D5549" s="55" t="s">
        <v>655</v>
      </c>
      <c r="E5549" s="55" t="s">
        <v>1170</v>
      </c>
      <c r="F5549" t="s">
        <v>1117</v>
      </c>
      <c r="G5549" s="62">
        <v>349</v>
      </c>
      <c r="H5549" s="25">
        <v>50.07</v>
      </c>
      <c r="I5549">
        <v>7581</v>
      </c>
      <c r="J5549">
        <v>1591</v>
      </c>
      <c r="K5549">
        <v>10</v>
      </c>
      <c r="L5549">
        <v>10</v>
      </c>
      <c r="M5549">
        <v>0</v>
      </c>
      <c r="N5549" s="23">
        <v>0</v>
      </c>
      <c r="O5549">
        <f t="shared" si="1067"/>
        <v>1</v>
      </c>
      <c r="P5549" s="57">
        <f t="shared" si="1068"/>
        <v>2</v>
      </c>
      <c r="Q5549" s="267">
        <f t="shared" si="1069"/>
        <v>349</v>
      </c>
      <c r="R5549" s="23">
        <f t="shared" si="1070"/>
        <v>339</v>
      </c>
      <c r="S5549" s="23">
        <f t="shared" si="1071"/>
        <v>0</v>
      </c>
      <c r="T5549" s="23" t="str">
        <f t="shared" si="1072"/>
        <v/>
      </c>
      <c r="U5549" t="str">
        <f t="shared" si="1073"/>
        <v>PA_Alleg_2019p~Rep-member of council at-large ohara (vote for 2)</v>
      </c>
      <c r="X5549" s="43"/>
      <c r="Y5549" s="53"/>
      <c r="Z5549" s="53"/>
      <c r="AA5549"/>
      <c r="AB5549" s="23"/>
      <c r="AF5549" s="22"/>
    </row>
    <row r="5550" spans="1:38">
      <c r="A5550" t="str">
        <f t="shared" si="1074"/>
        <v>PA_Alleg_2019p~Rep-member of council at-large ohara (vote for 2)</v>
      </c>
      <c r="B5550" s="55" t="s">
        <v>1291</v>
      </c>
      <c r="C5550">
        <v>1694</v>
      </c>
      <c r="D5550" s="55" t="s">
        <v>655</v>
      </c>
      <c r="E5550" s="55" t="s">
        <v>1171</v>
      </c>
      <c r="F5550" t="s">
        <v>1117</v>
      </c>
      <c r="G5550" s="62">
        <v>339</v>
      </c>
      <c r="H5550" s="25">
        <v>48.64</v>
      </c>
      <c r="I5550">
        <v>7581</v>
      </c>
      <c r="J5550">
        <v>1591</v>
      </c>
      <c r="K5550">
        <v>10</v>
      </c>
      <c r="L5550">
        <v>10</v>
      </c>
      <c r="M5550">
        <v>0</v>
      </c>
      <c r="N5550" s="23">
        <v>0</v>
      </c>
      <c r="O5550">
        <f t="shared" si="1067"/>
        <v>2</v>
      </c>
      <c r="P5550" s="57">
        <f t="shared" si="1068"/>
        <v>2</v>
      </c>
      <c r="Q5550" s="267">
        <f t="shared" si="1069"/>
        <v>348</v>
      </c>
      <c r="R5550" s="23">
        <f t="shared" si="1070"/>
        <v>339</v>
      </c>
      <c r="S5550" s="23">
        <f t="shared" si="1071"/>
        <v>0</v>
      </c>
      <c r="T5550" s="23" t="str">
        <f t="shared" si="1072"/>
        <v/>
      </c>
      <c r="U5550" t="str">
        <f t="shared" si="1073"/>
        <v/>
      </c>
      <c r="X5550" s="43"/>
      <c r="Y5550" s="53"/>
      <c r="Z5550" s="53"/>
      <c r="AA5550"/>
      <c r="AB5550" s="23"/>
      <c r="AF5550" s="22"/>
      <c r="AL5550" s="344"/>
    </row>
    <row r="5551" spans="1:38">
      <c r="A5551" t="str">
        <f t="shared" si="1074"/>
        <v>PA_Alleg_2019p~Rep-member of council at-large ohara (vote for 2)</v>
      </c>
      <c r="B5551" s="55" t="s">
        <v>1291</v>
      </c>
      <c r="C5551">
        <v>1695</v>
      </c>
      <c r="D5551" s="55" t="s">
        <v>655</v>
      </c>
      <c r="E5551" s="55" t="s">
        <v>15</v>
      </c>
      <c r="F5551" t="s">
        <v>1117</v>
      </c>
      <c r="G5551" s="62">
        <v>9</v>
      </c>
      <c r="H5551" s="25">
        <v>1.29</v>
      </c>
      <c r="I5551">
        <v>7581</v>
      </c>
      <c r="J5551">
        <v>1591</v>
      </c>
      <c r="K5551">
        <v>10</v>
      </c>
      <c r="L5551">
        <v>10</v>
      </c>
      <c r="M5551">
        <v>0</v>
      </c>
      <c r="N5551" s="23">
        <v>0</v>
      </c>
      <c r="O5551">
        <f t="shared" si="1067"/>
        <v>-2</v>
      </c>
      <c r="P5551" s="57">
        <f t="shared" si="1068"/>
        <v>2</v>
      </c>
      <c r="Q5551" s="267">
        <f t="shared" si="1069"/>
        <v>9</v>
      </c>
      <c r="R5551" s="23">
        <f t="shared" si="1070"/>
        <v>1</v>
      </c>
      <c r="S5551" s="23">
        <f t="shared" si="1071"/>
        <v>0</v>
      </c>
      <c r="T5551" s="23" t="str">
        <f t="shared" si="1072"/>
        <v/>
      </c>
      <c r="U5551" t="str">
        <f t="shared" si="1073"/>
        <v/>
      </c>
      <c r="X5551" s="43"/>
      <c r="Y5551" s="53"/>
      <c r="Z5551" s="53"/>
      <c r="AA5551"/>
      <c r="AB5551" s="23"/>
      <c r="AF5551" s="22"/>
    </row>
    <row r="5552" spans="1:38">
      <c r="A5552" t="str">
        <f t="shared" si="1074"/>
        <v>PA_Alleg_2019p~Rep-member of council at-large tarentum (vote for 1)</v>
      </c>
      <c r="B5552" s="55" t="s">
        <v>1291</v>
      </c>
      <c r="C5552">
        <v>1696</v>
      </c>
      <c r="D5552" s="55" t="s">
        <v>656</v>
      </c>
      <c r="E5552" s="55" t="s">
        <v>1172</v>
      </c>
      <c r="F5552" t="s">
        <v>1117</v>
      </c>
      <c r="G5552" s="62">
        <v>39</v>
      </c>
      <c r="H5552" s="25">
        <v>34.82</v>
      </c>
      <c r="I5552">
        <v>2614</v>
      </c>
      <c r="J5552">
        <v>384</v>
      </c>
      <c r="K5552">
        <v>5</v>
      </c>
      <c r="L5552">
        <v>5</v>
      </c>
      <c r="M5552">
        <v>0</v>
      </c>
      <c r="N5552" s="23">
        <v>0</v>
      </c>
      <c r="O5552">
        <f t="shared" si="1067"/>
        <v>1</v>
      </c>
      <c r="P5552" s="57">
        <f t="shared" si="1068"/>
        <v>1</v>
      </c>
      <c r="Q5552" s="267">
        <f t="shared" si="1069"/>
        <v>112</v>
      </c>
      <c r="R5552" s="23">
        <f t="shared" si="1070"/>
        <v>39</v>
      </c>
      <c r="S5552" s="23">
        <f t="shared" si="1071"/>
        <v>36</v>
      </c>
      <c r="T5552" s="23">
        <f t="shared" si="1072"/>
        <v>3</v>
      </c>
      <c r="U5552" t="str">
        <f t="shared" si="1073"/>
        <v>PA_Alleg_2019p~Rep-member of council at-large tarentum (vote for 1)</v>
      </c>
      <c r="X5552" s="43"/>
      <c r="Y5552" s="53"/>
      <c r="Z5552" s="53"/>
      <c r="AA5552"/>
      <c r="AB5552" s="23"/>
    </row>
    <row r="5553" spans="1:38">
      <c r="A5553" t="str">
        <f t="shared" si="1074"/>
        <v>PA_Alleg_2019p~Rep-member of council at-large tarentum (vote for 1)</v>
      </c>
      <c r="B5553" s="55" t="s">
        <v>1291</v>
      </c>
      <c r="C5553">
        <v>1698</v>
      </c>
      <c r="D5553" s="55" t="s">
        <v>656</v>
      </c>
      <c r="E5553" s="55" t="s">
        <v>15</v>
      </c>
      <c r="F5553" t="s">
        <v>1117</v>
      </c>
      <c r="G5553" s="62">
        <v>37</v>
      </c>
      <c r="H5553" s="25">
        <v>33.04</v>
      </c>
      <c r="I5553">
        <v>2614</v>
      </c>
      <c r="J5553">
        <v>384</v>
      </c>
      <c r="K5553">
        <v>5</v>
      </c>
      <c r="L5553">
        <v>5</v>
      </c>
      <c r="M5553">
        <v>0</v>
      </c>
      <c r="N5553" s="23">
        <v>0</v>
      </c>
      <c r="O5553">
        <f t="shared" si="1067"/>
        <v>-1</v>
      </c>
      <c r="P5553" s="57">
        <f t="shared" si="1068"/>
        <v>1</v>
      </c>
      <c r="Q5553" s="267">
        <f t="shared" si="1069"/>
        <v>73</v>
      </c>
      <c r="R5553" s="23" t="str">
        <f t="shared" si="1070"/>
        <v/>
      </c>
      <c r="S5553" s="23">
        <f t="shared" si="1071"/>
        <v>36</v>
      </c>
      <c r="T5553" s="23" t="str">
        <f t="shared" si="1072"/>
        <v/>
      </c>
      <c r="U5553" t="str">
        <f t="shared" si="1073"/>
        <v/>
      </c>
      <c r="X5553" s="43"/>
      <c r="Y5553" s="53"/>
      <c r="Z5553" s="53"/>
      <c r="AA5553"/>
      <c r="AB5553" s="23"/>
      <c r="AF5553" s="22"/>
    </row>
    <row r="5554" spans="1:38">
      <c r="A5554" t="str">
        <f t="shared" si="1074"/>
        <v>PA_Alleg_2019p~Rep-member of council at-large tarentum (vote for 1)</v>
      </c>
      <c r="B5554" s="55" t="s">
        <v>1291</v>
      </c>
      <c r="C5554">
        <v>1697</v>
      </c>
      <c r="D5554" s="55" t="s">
        <v>656</v>
      </c>
      <c r="E5554" s="55" t="s">
        <v>1173</v>
      </c>
      <c r="F5554" t="s">
        <v>1117</v>
      </c>
      <c r="G5554" s="62">
        <v>36</v>
      </c>
      <c r="H5554" s="25">
        <v>32.14</v>
      </c>
      <c r="I5554">
        <v>2614</v>
      </c>
      <c r="J5554">
        <v>384</v>
      </c>
      <c r="K5554">
        <v>5</v>
      </c>
      <c r="L5554">
        <v>5</v>
      </c>
      <c r="M5554">
        <v>0</v>
      </c>
      <c r="N5554" s="23">
        <v>0</v>
      </c>
      <c r="O5554">
        <f t="shared" si="1067"/>
        <v>2</v>
      </c>
      <c r="P5554" s="57">
        <f t="shared" si="1068"/>
        <v>1</v>
      </c>
      <c r="Q5554" s="267">
        <f t="shared" si="1069"/>
        <v>36</v>
      </c>
      <c r="R5554" s="23" t="str">
        <f t="shared" si="1070"/>
        <v/>
      </c>
      <c r="S5554" s="23">
        <f t="shared" si="1071"/>
        <v>36</v>
      </c>
      <c r="T5554" s="23" t="str">
        <f t="shared" si="1072"/>
        <v/>
      </c>
      <c r="U5554" t="str">
        <f t="shared" si="1073"/>
        <v/>
      </c>
      <c r="X5554" s="43"/>
      <c r="Y5554" s="53"/>
      <c r="Z5554" s="53"/>
      <c r="AA5554"/>
      <c r="AB5554" s="23"/>
      <c r="AF5554" s="22"/>
    </row>
    <row r="5555" spans="1:38">
      <c r="A5555" t="str">
        <f t="shared" si="1074"/>
        <v>PA_Alleg_2019p~Rep-member of council avalon ward 1 (vote for 2)</v>
      </c>
      <c r="B5555" s="55" t="s">
        <v>1291</v>
      </c>
      <c r="C5555">
        <v>1859</v>
      </c>
      <c r="D5555" s="55" t="s">
        <v>945</v>
      </c>
      <c r="E5555" s="55" t="s">
        <v>15</v>
      </c>
      <c r="F5555" t="s">
        <v>1117</v>
      </c>
      <c r="G5555" s="62">
        <v>3</v>
      </c>
      <c r="H5555" s="25">
        <v>100</v>
      </c>
      <c r="I5555">
        <v>1122</v>
      </c>
      <c r="J5555">
        <v>118</v>
      </c>
      <c r="K5555">
        <v>1</v>
      </c>
      <c r="L5555">
        <v>1</v>
      </c>
      <c r="M5555">
        <v>0</v>
      </c>
      <c r="N5555" s="23">
        <v>0</v>
      </c>
      <c r="O5555">
        <f t="shared" si="1067"/>
        <v>0</v>
      </c>
      <c r="P5555" s="57">
        <f t="shared" si="1068"/>
        <v>2</v>
      </c>
      <c r="Q5555" s="267">
        <f t="shared" si="1069"/>
        <v>3</v>
      </c>
      <c r="R5555" s="23">
        <f t="shared" si="1070"/>
        <v>1</v>
      </c>
      <c r="S5555" s="23">
        <f t="shared" si="1071"/>
        <v>0</v>
      </c>
      <c r="T5555" s="23" t="str">
        <f t="shared" si="1072"/>
        <v/>
      </c>
      <c r="U5555" t="str">
        <f t="shared" si="1073"/>
        <v>PA_Alleg_2019p~Rep-member of council avalon ward 1 (vote for 2)</v>
      </c>
      <c r="X5555" s="43"/>
      <c r="Y5555" s="53"/>
      <c r="Z5555" s="53"/>
      <c r="AA5555"/>
      <c r="AB5555" s="23"/>
      <c r="AF5555" s="22"/>
    </row>
    <row r="5556" spans="1:38">
      <c r="A5556" t="str">
        <f t="shared" si="1074"/>
        <v>PA_Alleg_2019p~Rep-member of council avalon ward 2 (vote for 1)</v>
      </c>
      <c r="B5556" s="55" t="s">
        <v>1291</v>
      </c>
      <c r="C5556">
        <v>1869</v>
      </c>
      <c r="D5556" s="55" t="s">
        <v>974</v>
      </c>
      <c r="E5556" s="55" t="s">
        <v>1243</v>
      </c>
      <c r="F5556" t="s">
        <v>1117</v>
      </c>
      <c r="G5556" s="62">
        <v>41</v>
      </c>
      <c r="H5556" s="25">
        <v>100</v>
      </c>
      <c r="I5556">
        <v>1197</v>
      </c>
      <c r="J5556">
        <v>181</v>
      </c>
      <c r="K5556">
        <v>2</v>
      </c>
      <c r="L5556">
        <v>2</v>
      </c>
      <c r="M5556">
        <v>0</v>
      </c>
      <c r="N5556" s="23">
        <v>0</v>
      </c>
      <c r="O5556">
        <f t="shared" si="1067"/>
        <v>1</v>
      </c>
      <c r="P5556" s="57">
        <f t="shared" si="1068"/>
        <v>1</v>
      </c>
      <c r="Q5556" s="267">
        <f t="shared" si="1069"/>
        <v>41</v>
      </c>
      <c r="R5556" s="23">
        <f t="shared" si="1070"/>
        <v>41</v>
      </c>
      <c r="S5556" s="23">
        <f t="shared" si="1071"/>
        <v>0</v>
      </c>
      <c r="T5556" s="23" t="str">
        <f t="shared" si="1072"/>
        <v/>
      </c>
      <c r="U5556" t="str">
        <f t="shared" si="1073"/>
        <v>PA_Alleg_2019p~Rep-member of council avalon ward 2 (vote for 1)</v>
      </c>
      <c r="X5556" s="43"/>
      <c r="Y5556" s="53"/>
      <c r="Z5556" s="53"/>
      <c r="AA5556"/>
      <c r="AB5556" s="23"/>
      <c r="AF5556" s="22"/>
    </row>
    <row r="5557" spans="1:38">
      <c r="A5557" t="str">
        <f t="shared" si="1074"/>
        <v>PA_Alleg_2019p~Rep-member of council avalon ward 2 (vote for 1)</v>
      </c>
      <c r="B5557" s="55" t="s">
        <v>1291</v>
      </c>
      <c r="C5557">
        <v>1870</v>
      </c>
      <c r="D5557" s="55" t="s">
        <v>974</v>
      </c>
      <c r="E5557" s="55" t="s">
        <v>15</v>
      </c>
      <c r="F5557" t="s">
        <v>1117</v>
      </c>
      <c r="G5557" s="62">
        <v>0</v>
      </c>
      <c r="H5557" s="25">
        <v>0</v>
      </c>
      <c r="I5557">
        <v>1197</v>
      </c>
      <c r="J5557">
        <v>181</v>
      </c>
      <c r="K5557">
        <v>2</v>
      </c>
      <c r="L5557">
        <v>2</v>
      </c>
      <c r="M5557">
        <v>0</v>
      </c>
      <c r="N5557" s="23">
        <v>0</v>
      </c>
      <c r="O5557">
        <f t="shared" si="1067"/>
        <v>-1</v>
      </c>
      <c r="P5557" s="57">
        <f t="shared" si="1068"/>
        <v>1</v>
      </c>
      <c r="Q5557" s="267">
        <f t="shared" si="1069"/>
        <v>0</v>
      </c>
      <c r="R5557" s="23">
        <f t="shared" si="1070"/>
        <v>1</v>
      </c>
      <c r="S5557" s="23">
        <f t="shared" si="1071"/>
        <v>0</v>
      </c>
      <c r="T5557" s="23" t="str">
        <f t="shared" si="1072"/>
        <v/>
      </c>
      <c r="U5557" t="str">
        <f t="shared" si="1073"/>
        <v/>
      </c>
      <c r="X5557" s="43"/>
      <c r="Y5557" s="53"/>
      <c r="Z5557" s="53"/>
      <c r="AA5557"/>
      <c r="AB5557" s="23"/>
      <c r="AF5557" s="22"/>
    </row>
    <row r="5558" spans="1:38">
      <c r="A5558" t="str">
        <f t="shared" si="1074"/>
        <v>PA_Alleg_2019p~Rep-member of council avalon ward 3 (vote for 1)</v>
      </c>
      <c r="B5558" s="55" t="s">
        <v>1291</v>
      </c>
      <c r="C5558">
        <v>1871</v>
      </c>
      <c r="D5558" s="55" t="s">
        <v>975</v>
      </c>
      <c r="E5558" s="55" t="s">
        <v>15</v>
      </c>
      <c r="F5558" t="s">
        <v>1117</v>
      </c>
      <c r="G5558" s="62">
        <v>6</v>
      </c>
      <c r="H5558" s="25">
        <v>100</v>
      </c>
      <c r="I5558">
        <v>1338</v>
      </c>
      <c r="J5558">
        <v>175</v>
      </c>
      <c r="K5558">
        <v>3</v>
      </c>
      <c r="L5558">
        <v>3</v>
      </c>
      <c r="M5558">
        <v>0</v>
      </c>
      <c r="N5558" s="23">
        <v>0</v>
      </c>
      <c r="O5558">
        <f t="shared" si="1067"/>
        <v>0</v>
      </c>
      <c r="P5558" s="57">
        <f t="shared" si="1068"/>
        <v>1</v>
      </c>
      <c r="Q5558" s="267">
        <f t="shared" si="1069"/>
        <v>6</v>
      </c>
      <c r="R5558" s="23">
        <f t="shared" si="1070"/>
        <v>1</v>
      </c>
      <c r="S5558" s="23">
        <f t="shared" si="1071"/>
        <v>0</v>
      </c>
      <c r="T5558" s="23" t="str">
        <f t="shared" si="1072"/>
        <v/>
      </c>
      <c r="U5558" t="str">
        <f t="shared" si="1073"/>
        <v>PA_Alleg_2019p~Rep-member of council avalon ward 3 (vote for 1)</v>
      </c>
      <c r="X5558" s="43"/>
      <c r="Y5558" s="53"/>
      <c r="Z5558" s="53"/>
      <c r="AA5558"/>
      <c r="AB5558" s="23"/>
      <c r="AF5558" s="22"/>
      <c r="AL5558" s="23"/>
    </row>
    <row r="5559" spans="1:38">
      <c r="A5559" t="str">
        <f t="shared" si="1074"/>
        <v>PA_Alleg_2019p~Rep-member of council baldwin borough (vote for 3)</v>
      </c>
      <c r="B5559" s="55" t="s">
        <v>1291</v>
      </c>
      <c r="C5559">
        <v>1711</v>
      </c>
      <c r="D5559" s="55" t="s">
        <v>693</v>
      </c>
      <c r="E5559" s="55" t="s">
        <v>1179</v>
      </c>
      <c r="F5559" t="s">
        <v>1117</v>
      </c>
      <c r="G5559" s="62">
        <v>371</v>
      </c>
      <c r="H5559" s="25">
        <v>75.099999999999994</v>
      </c>
      <c r="I5559">
        <v>14451</v>
      </c>
      <c r="J5559">
        <v>2421</v>
      </c>
      <c r="K5559">
        <v>18</v>
      </c>
      <c r="L5559">
        <v>18</v>
      </c>
      <c r="M5559">
        <v>0</v>
      </c>
      <c r="N5559" s="23">
        <v>0</v>
      </c>
      <c r="O5559">
        <f t="shared" si="1067"/>
        <v>1</v>
      </c>
      <c r="P5559" s="57">
        <f t="shared" si="1068"/>
        <v>3</v>
      </c>
      <c r="Q5559" s="267">
        <f t="shared" si="1069"/>
        <v>371</v>
      </c>
      <c r="R5559" s="23">
        <f t="shared" si="1070"/>
        <v>1</v>
      </c>
      <c r="S5559" s="23">
        <f t="shared" si="1071"/>
        <v>0</v>
      </c>
      <c r="T5559" s="23" t="str">
        <f t="shared" si="1072"/>
        <v/>
      </c>
      <c r="U5559" t="str">
        <f t="shared" si="1073"/>
        <v>PA_Alleg_2019p~Rep-member of council baldwin borough (vote for 3)</v>
      </c>
      <c r="X5559" s="43"/>
      <c r="Y5559" s="53"/>
      <c r="Z5559" s="53"/>
      <c r="AA5559"/>
      <c r="AB5559" s="23"/>
      <c r="AF5559" s="88"/>
    </row>
    <row r="5560" spans="1:38">
      <c r="A5560" t="str">
        <f t="shared" si="1074"/>
        <v>PA_Alleg_2019p~Rep-member of council baldwin borough (vote for 3)</v>
      </c>
      <c r="B5560" s="55" t="s">
        <v>1291</v>
      </c>
      <c r="C5560">
        <v>1712</v>
      </c>
      <c r="D5560" s="55" t="s">
        <v>693</v>
      </c>
      <c r="E5560" s="55" t="s">
        <v>15</v>
      </c>
      <c r="F5560" t="s">
        <v>1117</v>
      </c>
      <c r="G5560" s="62">
        <v>123</v>
      </c>
      <c r="H5560" s="25">
        <v>24.9</v>
      </c>
      <c r="I5560">
        <v>14451</v>
      </c>
      <c r="J5560">
        <v>2421</v>
      </c>
      <c r="K5560">
        <v>18</v>
      </c>
      <c r="L5560">
        <v>18</v>
      </c>
      <c r="M5560">
        <v>0</v>
      </c>
      <c r="N5560" s="23">
        <v>0</v>
      </c>
      <c r="O5560">
        <f t="shared" si="1067"/>
        <v>-1</v>
      </c>
      <c r="P5560" s="57">
        <f t="shared" si="1068"/>
        <v>3</v>
      </c>
      <c r="Q5560" s="267">
        <f t="shared" si="1069"/>
        <v>123</v>
      </c>
      <c r="R5560" s="23">
        <f t="shared" si="1070"/>
        <v>1</v>
      </c>
      <c r="S5560" s="23">
        <f t="shared" si="1071"/>
        <v>0</v>
      </c>
      <c r="T5560" s="23" t="str">
        <f t="shared" si="1072"/>
        <v/>
      </c>
      <c r="U5560" t="str">
        <f t="shared" si="1073"/>
        <v/>
      </c>
      <c r="X5560" s="43"/>
      <c r="Y5560" s="53"/>
      <c r="Z5560" s="53"/>
      <c r="AA5560"/>
      <c r="AB5560" s="23"/>
      <c r="AF5560" s="22"/>
    </row>
    <row r="5561" spans="1:38">
      <c r="A5561" t="str">
        <f t="shared" si="1074"/>
        <v>PA_Alleg_2019p~Rep-member of council bell acres (vote for 3)</v>
      </c>
      <c r="B5561" s="55" t="s">
        <v>1291</v>
      </c>
      <c r="C5561">
        <v>1713</v>
      </c>
      <c r="D5561" s="55" t="s">
        <v>698</v>
      </c>
      <c r="E5561" s="55" t="s">
        <v>1180</v>
      </c>
      <c r="F5561" t="s">
        <v>1117</v>
      </c>
      <c r="G5561" s="62">
        <v>65</v>
      </c>
      <c r="H5561" s="25">
        <v>50.78</v>
      </c>
      <c r="I5561">
        <v>1167</v>
      </c>
      <c r="J5561">
        <v>162</v>
      </c>
      <c r="K5561">
        <v>1</v>
      </c>
      <c r="L5561">
        <v>1</v>
      </c>
      <c r="M5561">
        <v>0</v>
      </c>
      <c r="N5561" s="23">
        <v>0</v>
      </c>
      <c r="O5561">
        <f t="shared" si="1067"/>
        <v>1</v>
      </c>
      <c r="P5561" s="57">
        <f t="shared" si="1068"/>
        <v>3</v>
      </c>
      <c r="Q5561" s="267">
        <f t="shared" si="1069"/>
        <v>65</v>
      </c>
      <c r="R5561" s="23">
        <f t="shared" si="1070"/>
        <v>1</v>
      </c>
      <c r="S5561" s="23">
        <f t="shared" si="1071"/>
        <v>0</v>
      </c>
      <c r="T5561" s="23" t="str">
        <f t="shared" si="1072"/>
        <v/>
      </c>
      <c r="U5561" t="str">
        <f t="shared" si="1073"/>
        <v>PA_Alleg_2019p~Rep-member of council bell acres (vote for 3)</v>
      </c>
      <c r="X5561" s="43"/>
      <c r="Y5561" s="53"/>
      <c r="Z5561" s="53"/>
      <c r="AA5561"/>
      <c r="AB5561" s="23"/>
    </row>
    <row r="5562" spans="1:38">
      <c r="A5562" t="str">
        <f t="shared" si="1074"/>
        <v>PA_Alleg_2019p~Rep-member of council bell acres (vote for 3)</v>
      </c>
      <c r="B5562" s="55" t="s">
        <v>1291</v>
      </c>
      <c r="C5562">
        <v>1714</v>
      </c>
      <c r="D5562" s="55" t="s">
        <v>698</v>
      </c>
      <c r="E5562" s="55" t="s">
        <v>1181</v>
      </c>
      <c r="F5562" t="s">
        <v>1117</v>
      </c>
      <c r="G5562" s="62">
        <v>57</v>
      </c>
      <c r="H5562" s="25">
        <v>44.53</v>
      </c>
      <c r="I5562">
        <v>1167</v>
      </c>
      <c r="J5562">
        <v>162</v>
      </c>
      <c r="K5562">
        <v>1</v>
      </c>
      <c r="L5562">
        <v>1</v>
      </c>
      <c r="M5562">
        <v>0</v>
      </c>
      <c r="N5562" s="23">
        <v>0</v>
      </c>
      <c r="O5562">
        <f t="shared" si="1067"/>
        <v>2</v>
      </c>
      <c r="P5562" s="57">
        <f t="shared" si="1068"/>
        <v>3</v>
      </c>
      <c r="Q5562" s="267">
        <f t="shared" si="1069"/>
        <v>63</v>
      </c>
      <c r="R5562" s="23">
        <f t="shared" si="1070"/>
        <v>1</v>
      </c>
      <c r="S5562" s="23">
        <f t="shared" si="1071"/>
        <v>0</v>
      </c>
      <c r="T5562" s="23" t="str">
        <f t="shared" si="1072"/>
        <v/>
      </c>
      <c r="U5562" t="str">
        <f t="shared" si="1073"/>
        <v/>
      </c>
      <c r="X5562" s="43"/>
      <c r="Y5562" s="53"/>
      <c r="Z5562" s="53"/>
      <c r="AA5562"/>
      <c r="AB5562" s="23"/>
      <c r="AF5562" s="22"/>
    </row>
    <row r="5563" spans="1:38">
      <c r="A5563" t="str">
        <f t="shared" si="1074"/>
        <v>PA_Alleg_2019p~Rep-member of council bell acres (vote for 3)</v>
      </c>
      <c r="B5563" s="55" t="s">
        <v>1291</v>
      </c>
      <c r="C5563">
        <v>1715</v>
      </c>
      <c r="D5563" s="55" t="s">
        <v>698</v>
      </c>
      <c r="E5563" s="55" t="s">
        <v>15</v>
      </c>
      <c r="F5563" t="s">
        <v>1117</v>
      </c>
      <c r="G5563" s="62">
        <v>6</v>
      </c>
      <c r="H5563" s="25">
        <v>4.6900000000000004</v>
      </c>
      <c r="I5563">
        <v>1167</v>
      </c>
      <c r="J5563">
        <v>162</v>
      </c>
      <c r="K5563">
        <v>1</v>
      </c>
      <c r="L5563">
        <v>1</v>
      </c>
      <c r="M5563">
        <v>0</v>
      </c>
      <c r="N5563" s="23">
        <v>0</v>
      </c>
      <c r="O5563">
        <f t="shared" si="1067"/>
        <v>-2</v>
      </c>
      <c r="P5563" s="57">
        <f t="shared" si="1068"/>
        <v>3</v>
      </c>
      <c r="Q5563" s="267">
        <f t="shared" si="1069"/>
        <v>6</v>
      </c>
      <c r="R5563" s="23">
        <f t="shared" si="1070"/>
        <v>1</v>
      </c>
      <c r="S5563" s="23">
        <f t="shared" si="1071"/>
        <v>0</v>
      </c>
      <c r="T5563" s="23" t="str">
        <f t="shared" si="1072"/>
        <v/>
      </c>
      <c r="U5563" t="str">
        <f t="shared" si="1073"/>
        <v/>
      </c>
      <c r="X5563" s="43"/>
      <c r="Y5563" s="53"/>
      <c r="Z5563" s="53"/>
      <c r="AA5563"/>
      <c r="AB5563" s="23"/>
      <c r="AF5563" s="22"/>
    </row>
    <row r="5564" spans="1:38">
      <c r="A5564" t="str">
        <f t="shared" si="1074"/>
        <v>PA_Alleg_2019p~Rep-member of council bellevue ward 1 (vote for 1)</v>
      </c>
      <c r="B5564" s="55" t="s">
        <v>1291</v>
      </c>
      <c r="C5564">
        <v>1872</v>
      </c>
      <c r="D5564" s="55" t="s">
        <v>976</v>
      </c>
      <c r="E5564" s="55" t="s">
        <v>15</v>
      </c>
      <c r="F5564" t="s">
        <v>1117</v>
      </c>
      <c r="G5564" s="62">
        <v>21</v>
      </c>
      <c r="H5564" s="25">
        <v>100</v>
      </c>
      <c r="I5564">
        <v>2039</v>
      </c>
      <c r="J5564">
        <v>344</v>
      </c>
      <c r="K5564">
        <v>2</v>
      </c>
      <c r="L5564">
        <v>2</v>
      </c>
      <c r="M5564">
        <v>0</v>
      </c>
      <c r="N5564" s="23">
        <v>0</v>
      </c>
      <c r="O5564">
        <f t="shared" si="1067"/>
        <v>0</v>
      </c>
      <c r="P5564" s="57">
        <f t="shared" si="1068"/>
        <v>1</v>
      </c>
      <c r="Q5564" s="267">
        <f t="shared" si="1069"/>
        <v>21</v>
      </c>
      <c r="R5564" s="23">
        <f t="shared" si="1070"/>
        <v>1</v>
      </c>
      <c r="S5564" s="23">
        <f t="shared" si="1071"/>
        <v>0</v>
      </c>
      <c r="T5564" s="23" t="str">
        <f t="shared" si="1072"/>
        <v/>
      </c>
      <c r="U5564" t="str">
        <f t="shared" si="1073"/>
        <v>PA_Alleg_2019p~Rep-member of council bellevue ward 1 (vote for 1)</v>
      </c>
      <c r="X5564" s="43"/>
      <c r="Y5564" s="53"/>
      <c r="Z5564" s="53"/>
      <c r="AA5564"/>
      <c r="AB5564" s="23"/>
      <c r="AF5564" s="22"/>
    </row>
    <row r="5565" spans="1:38">
      <c r="A5565" t="str">
        <f t="shared" si="1074"/>
        <v>PA_Alleg_2019p~Rep-member of council bellevue ward 2 (vote for 1)</v>
      </c>
      <c r="B5565" s="55" t="s">
        <v>1291</v>
      </c>
      <c r="C5565">
        <v>1873</v>
      </c>
      <c r="D5565" s="55" t="s">
        <v>979</v>
      </c>
      <c r="E5565" s="55" t="s">
        <v>1244</v>
      </c>
      <c r="F5565" t="s">
        <v>1117</v>
      </c>
      <c r="G5565" s="62">
        <v>52</v>
      </c>
      <c r="H5565" s="25">
        <v>98.11</v>
      </c>
      <c r="I5565">
        <v>2198</v>
      </c>
      <c r="J5565">
        <v>270</v>
      </c>
      <c r="K5565">
        <v>2</v>
      </c>
      <c r="L5565">
        <v>2</v>
      </c>
      <c r="M5565">
        <v>0</v>
      </c>
      <c r="N5565" s="23">
        <v>0</v>
      </c>
      <c r="O5565">
        <f t="shared" si="1067"/>
        <v>1</v>
      </c>
      <c r="P5565" s="57">
        <f t="shared" si="1068"/>
        <v>1</v>
      </c>
      <c r="Q5565" s="267">
        <f t="shared" si="1069"/>
        <v>53</v>
      </c>
      <c r="R5565" s="23">
        <f t="shared" si="1070"/>
        <v>52</v>
      </c>
      <c r="S5565" s="23">
        <f t="shared" si="1071"/>
        <v>0</v>
      </c>
      <c r="T5565" s="23" t="str">
        <f t="shared" si="1072"/>
        <v/>
      </c>
      <c r="U5565" t="str">
        <f t="shared" si="1073"/>
        <v>PA_Alleg_2019p~Rep-member of council bellevue ward 2 (vote for 1)</v>
      </c>
      <c r="X5565" s="43"/>
      <c r="Y5565" s="53"/>
      <c r="Z5565" s="53"/>
      <c r="AA5565"/>
      <c r="AB5565" s="23"/>
      <c r="AF5565" s="22"/>
    </row>
    <row r="5566" spans="1:38">
      <c r="A5566" t="str">
        <f t="shared" si="1074"/>
        <v>PA_Alleg_2019p~Rep-member of council bellevue ward 2 (vote for 1)</v>
      </c>
      <c r="B5566" s="55" t="s">
        <v>1291</v>
      </c>
      <c r="C5566">
        <v>1874</v>
      </c>
      <c r="D5566" s="55" t="s">
        <v>979</v>
      </c>
      <c r="E5566" s="55" t="s">
        <v>15</v>
      </c>
      <c r="F5566" t="s">
        <v>1117</v>
      </c>
      <c r="G5566" s="62">
        <v>1</v>
      </c>
      <c r="H5566" s="25">
        <v>1.89</v>
      </c>
      <c r="I5566">
        <v>2198</v>
      </c>
      <c r="J5566">
        <v>270</v>
      </c>
      <c r="K5566">
        <v>2</v>
      </c>
      <c r="L5566">
        <v>2</v>
      </c>
      <c r="M5566">
        <v>0</v>
      </c>
      <c r="N5566" s="23">
        <v>0</v>
      </c>
      <c r="O5566">
        <f t="shared" si="1067"/>
        <v>-1</v>
      </c>
      <c r="P5566" s="57">
        <f t="shared" si="1068"/>
        <v>1</v>
      </c>
      <c r="Q5566" s="267">
        <f t="shared" si="1069"/>
        <v>1</v>
      </c>
      <c r="R5566" s="23">
        <f t="shared" si="1070"/>
        <v>1</v>
      </c>
      <c r="S5566" s="23">
        <f t="shared" si="1071"/>
        <v>0</v>
      </c>
      <c r="T5566" s="23" t="str">
        <f t="shared" si="1072"/>
        <v/>
      </c>
      <c r="U5566" t="str">
        <f t="shared" si="1073"/>
        <v/>
      </c>
      <c r="X5566" s="43"/>
      <c r="Y5566" s="53"/>
      <c r="Z5566" s="53"/>
      <c r="AA5566"/>
      <c r="AB5566" s="23"/>
      <c r="AF5566" s="22"/>
      <c r="AG5566" s="295"/>
      <c r="AH5566" s="294"/>
      <c r="AI5566" s="279"/>
      <c r="AJ5566" s="279"/>
      <c r="AL5566" s="341"/>
    </row>
    <row r="5567" spans="1:38">
      <c r="A5567" t="str">
        <f t="shared" si="1074"/>
        <v>PA_Alleg_2019p~Rep-member of council bellevue ward 3 (vote for 2)</v>
      </c>
      <c r="B5567" s="55" t="s">
        <v>1291</v>
      </c>
      <c r="C5567">
        <v>1860</v>
      </c>
      <c r="D5567" s="55" t="s">
        <v>947</v>
      </c>
      <c r="E5567" s="55" t="s">
        <v>15</v>
      </c>
      <c r="F5567" t="s">
        <v>1117</v>
      </c>
      <c r="G5567" s="62">
        <v>10</v>
      </c>
      <c r="H5567" s="25">
        <v>100</v>
      </c>
      <c r="I5567">
        <v>2005</v>
      </c>
      <c r="J5567">
        <v>261</v>
      </c>
      <c r="K5567">
        <v>2</v>
      </c>
      <c r="L5567">
        <v>2</v>
      </c>
      <c r="M5567">
        <v>0</v>
      </c>
      <c r="N5567" s="23">
        <v>0</v>
      </c>
      <c r="O5567">
        <f t="shared" si="1067"/>
        <v>0</v>
      </c>
      <c r="P5567" s="57">
        <f t="shared" si="1068"/>
        <v>2</v>
      </c>
      <c r="Q5567" s="267">
        <f t="shared" si="1069"/>
        <v>10</v>
      </c>
      <c r="R5567" s="23">
        <f t="shared" si="1070"/>
        <v>1</v>
      </c>
      <c r="S5567" s="23">
        <f t="shared" si="1071"/>
        <v>0</v>
      </c>
      <c r="T5567" s="23" t="str">
        <f t="shared" si="1072"/>
        <v/>
      </c>
      <c r="U5567" t="str">
        <f t="shared" si="1073"/>
        <v>PA_Alleg_2019p~Rep-member of council bellevue ward 3 (vote for 2)</v>
      </c>
      <c r="X5567" s="43"/>
      <c r="Y5567" s="53"/>
      <c r="Z5567" s="53"/>
      <c r="AA5567"/>
      <c r="AB5567" s="23"/>
      <c r="AF5567" s="22"/>
    </row>
    <row r="5568" spans="1:38">
      <c r="A5568" t="str">
        <f t="shared" si="1074"/>
        <v>PA_Alleg_2019p~Rep-member of council ben avon (vote for 3)</v>
      </c>
      <c r="B5568" s="55" t="s">
        <v>1291</v>
      </c>
      <c r="C5568">
        <v>1716</v>
      </c>
      <c r="D5568" s="55" t="s">
        <v>700</v>
      </c>
      <c r="E5568" s="55" t="s">
        <v>15</v>
      </c>
      <c r="F5568" t="s">
        <v>1117</v>
      </c>
      <c r="G5568" s="62">
        <v>21</v>
      </c>
      <c r="H5568" s="25">
        <v>100</v>
      </c>
      <c r="I5568">
        <v>1455</v>
      </c>
      <c r="J5568">
        <v>260</v>
      </c>
      <c r="K5568">
        <v>2</v>
      </c>
      <c r="L5568">
        <v>2</v>
      </c>
      <c r="M5568">
        <v>0</v>
      </c>
      <c r="N5568" s="23">
        <v>0</v>
      </c>
      <c r="O5568">
        <f t="shared" si="1067"/>
        <v>0</v>
      </c>
      <c r="P5568" s="57">
        <f t="shared" si="1068"/>
        <v>3</v>
      </c>
      <c r="Q5568" s="267">
        <f t="shared" si="1069"/>
        <v>21</v>
      </c>
      <c r="R5568" s="23">
        <f t="shared" si="1070"/>
        <v>1</v>
      </c>
      <c r="S5568" s="23">
        <f t="shared" si="1071"/>
        <v>0</v>
      </c>
      <c r="T5568" s="23" t="str">
        <f t="shared" si="1072"/>
        <v/>
      </c>
      <c r="U5568" t="str">
        <f t="shared" si="1073"/>
        <v>PA_Alleg_2019p~Rep-member of council ben avon (vote for 3)</v>
      </c>
      <c r="X5568" s="43"/>
      <c r="Y5568" s="53"/>
      <c r="Z5568" s="53"/>
      <c r="AA5568"/>
      <c r="AB5568" s="23"/>
      <c r="AF5568" s="22"/>
    </row>
    <row r="5569" spans="1:34">
      <c r="A5569" t="str">
        <f t="shared" si="1074"/>
        <v>PA_Alleg_2019p~Rep-member of council ben avon heights (vote for 1)</v>
      </c>
      <c r="B5569" s="55" t="s">
        <v>1291</v>
      </c>
      <c r="C5569">
        <v>1836</v>
      </c>
      <c r="D5569" s="55" t="s">
        <v>912</v>
      </c>
      <c r="E5569" s="55" t="s">
        <v>15</v>
      </c>
      <c r="F5569" t="s">
        <v>1117</v>
      </c>
      <c r="G5569" s="62">
        <v>8</v>
      </c>
      <c r="H5569" s="25">
        <v>100</v>
      </c>
      <c r="I5569">
        <v>324</v>
      </c>
      <c r="J5569">
        <v>74</v>
      </c>
      <c r="K5569">
        <v>1</v>
      </c>
      <c r="L5569">
        <v>1</v>
      </c>
      <c r="M5569">
        <v>0</v>
      </c>
      <c r="N5569" s="23">
        <v>0</v>
      </c>
      <c r="O5569">
        <f t="shared" si="1067"/>
        <v>0</v>
      </c>
      <c r="P5569" s="57">
        <f t="shared" si="1068"/>
        <v>1</v>
      </c>
      <c r="Q5569" s="267">
        <f t="shared" si="1069"/>
        <v>8</v>
      </c>
      <c r="R5569" s="23">
        <f t="shared" si="1070"/>
        <v>1</v>
      </c>
      <c r="S5569" s="23">
        <f t="shared" si="1071"/>
        <v>0</v>
      </c>
      <c r="T5569" s="23" t="str">
        <f t="shared" si="1072"/>
        <v/>
      </c>
      <c r="U5569" t="str">
        <f t="shared" si="1073"/>
        <v>PA_Alleg_2019p~Rep-member of council ben avon heights (vote for 1)</v>
      </c>
      <c r="X5569" s="43"/>
      <c r="Y5569" s="53"/>
      <c r="Z5569" s="53"/>
      <c r="AA5569"/>
      <c r="AB5569" s="23"/>
      <c r="AF5569" s="22"/>
    </row>
    <row r="5570" spans="1:34">
      <c r="A5570" t="str">
        <f t="shared" si="1074"/>
        <v>PA_Alleg_2019p~Rep-member of council ben avon heights (vote for 4)</v>
      </c>
      <c r="B5570" s="55" t="s">
        <v>1291</v>
      </c>
      <c r="C5570">
        <v>1699</v>
      </c>
      <c r="D5570" s="55" t="s">
        <v>660</v>
      </c>
      <c r="E5570" s="55" t="s">
        <v>1174</v>
      </c>
      <c r="F5570" t="s">
        <v>1117</v>
      </c>
      <c r="G5570" s="62">
        <v>35</v>
      </c>
      <c r="H5570" s="25">
        <v>46.67</v>
      </c>
      <c r="I5570">
        <v>324</v>
      </c>
      <c r="J5570">
        <v>74</v>
      </c>
      <c r="K5570">
        <v>1</v>
      </c>
      <c r="L5570">
        <v>1</v>
      </c>
      <c r="M5570">
        <v>0</v>
      </c>
      <c r="N5570" s="23">
        <v>0</v>
      </c>
      <c r="O5570">
        <f t="shared" ref="O5570:O5633" si="1075">IF(OR(LOWER(LEFT(E5570,8))="write-in",LOWER(LEFT(E5570,8))="not qual"),IF(A5570=A5569,-ABS(O5569),0),IF(A5570=A5569,ABS(O5569)+1,1))</f>
        <v>1</v>
      </c>
      <c r="P5570" s="57">
        <f t="shared" ref="P5570:P5633" si="1076">1*LEFT(RIGHT(A5570,2),1)</f>
        <v>4</v>
      </c>
      <c r="Q5570" s="267">
        <f t="shared" ref="Q5570:Q5633" si="1077">IF(A5570&lt;&gt;A5571,G5570,IF(A5570=A5569,G5570+Q5571,MAX(G5570,(G5570+Q5571)/P5570)))</f>
        <v>35</v>
      </c>
      <c r="R5570" s="23">
        <f t="shared" ref="R5570:R5633" si="1078">IF(O5570&gt;P5570,"",IF(O5570=P5570,G5570,IF(A5570=A5571,R5571,IF(O5570&lt;=0,1,G5570))))</f>
        <v>1</v>
      </c>
      <c r="S5570" s="23">
        <f t="shared" ref="S5570:S5633" si="1079">IF(AND(O5570&gt;P5570,LOWER(LEFT(E5570,8))&lt;&gt;"write-in",LOWER(LEFT(E5570,8))&lt;&gt;"not qual"),G5570,IF(A5570=A5571,S5571,0))</f>
        <v>0</v>
      </c>
      <c r="T5570" s="23" t="str">
        <f t="shared" ref="T5570:T5633" si="1080">IF(OR(A5570=A5569,S5570=0),"",R5570-ABS(S5570))</f>
        <v/>
      </c>
      <c r="U5570" t="str">
        <f t="shared" ref="U5570:U5633" si="1081">IF(A5570=A5569,"",A5570)</f>
        <v>PA_Alleg_2019p~Rep-member of council ben avon heights (vote for 4)</v>
      </c>
      <c r="X5570" s="43"/>
      <c r="Y5570" s="53"/>
      <c r="Z5570" s="53"/>
      <c r="AA5570"/>
      <c r="AB5570" s="23"/>
      <c r="AF5570" s="22"/>
      <c r="AG5570" s="23"/>
      <c r="AH5570" s="8"/>
    </row>
    <row r="5571" spans="1:34">
      <c r="A5571" t="str">
        <f t="shared" ref="A5571:A5634" si="1082">CONCATENATE(B5571,"~",F5571,"-",LOWER(D5571))</f>
        <v>PA_Alleg_2019p~Rep-member of council ben avon heights (vote for 4)</v>
      </c>
      <c r="B5571" s="55" t="s">
        <v>1291</v>
      </c>
      <c r="C5571">
        <v>1700</v>
      </c>
      <c r="D5571" s="55" t="s">
        <v>660</v>
      </c>
      <c r="E5571" s="55" t="s">
        <v>1175</v>
      </c>
      <c r="F5571" t="s">
        <v>1117</v>
      </c>
      <c r="G5571" s="62">
        <v>29</v>
      </c>
      <c r="H5571" s="25">
        <v>38.67</v>
      </c>
      <c r="I5571">
        <v>324</v>
      </c>
      <c r="J5571">
        <v>74</v>
      </c>
      <c r="K5571">
        <v>1</v>
      </c>
      <c r="L5571">
        <v>1</v>
      </c>
      <c r="M5571">
        <v>0</v>
      </c>
      <c r="N5571" s="23">
        <v>0</v>
      </c>
      <c r="O5571">
        <f t="shared" si="1075"/>
        <v>2</v>
      </c>
      <c r="P5571" s="57">
        <f t="shared" si="1076"/>
        <v>4</v>
      </c>
      <c r="Q5571" s="267">
        <f t="shared" si="1077"/>
        <v>40</v>
      </c>
      <c r="R5571" s="23">
        <f t="shared" si="1078"/>
        <v>1</v>
      </c>
      <c r="S5571" s="23">
        <f t="shared" si="1079"/>
        <v>0</v>
      </c>
      <c r="T5571" s="23" t="str">
        <f t="shared" si="1080"/>
        <v/>
      </c>
      <c r="U5571" t="str">
        <f t="shared" si="1081"/>
        <v/>
      </c>
      <c r="X5571" s="43"/>
      <c r="Y5571" s="53"/>
      <c r="Z5571" s="53"/>
      <c r="AA5571"/>
      <c r="AB5571" s="23"/>
      <c r="AF5571" s="22"/>
    </row>
    <row r="5572" spans="1:34">
      <c r="A5572" t="str">
        <f t="shared" si="1082"/>
        <v>PA_Alleg_2019p~Rep-member of council ben avon heights (vote for 4)</v>
      </c>
      <c r="B5572" s="55" t="s">
        <v>1291</v>
      </c>
      <c r="C5572">
        <v>1701</v>
      </c>
      <c r="D5572" s="55" t="s">
        <v>660</v>
      </c>
      <c r="E5572" s="55" t="s">
        <v>15</v>
      </c>
      <c r="F5572" t="s">
        <v>1117</v>
      </c>
      <c r="G5572" s="62">
        <v>11</v>
      </c>
      <c r="H5572" s="25">
        <v>14.67</v>
      </c>
      <c r="I5572">
        <v>324</v>
      </c>
      <c r="J5572">
        <v>74</v>
      </c>
      <c r="K5572">
        <v>1</v>
      </c>
      <c r="L5572">
        <v>1</v>
      </c>
      <c r="M5572">
        <v>0</v>
      </c>
      <c r="N5572" s="23">
        <v>0</v>
      </c>
      <c r="O5572">
        <f t="shared" si="1075"/>
        <v>-2</v>
      </c>
      <c r="P5572" s="57">
        <f t="shared" si="1076"/>
        <v>4</v>
      </c>
      <c r="Q5572" s="267">
        <f t="shared" si="1077"/>
        <v>11</v>
      </c>
      <c r="R5572" s="23">
        <f t="shared" si="1078"/>
        <v>1</v>
      </c>
      <c r="S5572" s="23">
        <f t="shared" si="1079"/>
        <v>0</v>
      </c>
      <c r="T5572" s="23" t="str">
        <f t="shared" si="1080"/>
        <v/>
      </c>
      <c r="U5572" t="str">
        <f t="shared" si="1081"/>
        <v/>
      </c>
      <c r="X5572" s="43"/>
      <c r="Y5572" s="53"/>
      <c r="Z5572" s="53"/>
      <c r="AA5572"/>
      <c r="AB5572" s="23"/>
      <c r="AF5572" s="22"/>
    </row>
    <row r="5573" spans="1:34">
      <c r="A5573" t="str">
        <f t="shared" si="1082"/>
        <v>PA_Alleg_2019p~Rep-member of council bethel park ward 2 (vote for 1)</v>
      </c>
      <c r="B5573" s="55" t="s">
        <v>1291</v>
      </c>
      <c r="C5573">
        <v>1875</v>
      </c>
      <c r="D5573" s="55" t="s">
        <v>981</v>
      </c>
      <c r="E5573" s="55" t="s">
        <v>1245</v>
      </c>
      <c r="F5573" t="s">
        <v>1117</v>
      </c>
      <c r="G5573" s="62">
        <v>205</v>
      </c>
      <c r="H5573" s="25">
        <v>99.03</v>
      </c>
      <c r="I5573">
        <v>2765</v>
      </c>
      <c r="J5573">
        <v>567</v>
      </c>
      <c r="K5573">
        <v>3</v>
      </c>
      <c r="L5573">
        <v>3</v>
      </c>
      <c r="M5573">
        <v>0</v>
      </c>
      <c r="N5573" s="23">
        <v>0</v>
      </c>
      <c r="O5573">
        <f t="shared" si="1075"/>
        <v>1</v>
      </c>
      <c r="P5573" s="57">
        <f t="shared" si="1076"/>
        <v>1</v>
      </c>
      <c r="Q5573" s="267">
        <f t="shared" si="1077"/>
        <v>207</v>
      </c>
      <c r="R5573" s="23">
        <f t="shared" si="1078"/>
        <v>205</v>
      </c>
      <c r="S5573" s="23">
        <f t="shared" si="1079"/>
        <v>0</v>
      </c>
      <c r="T5573" s="23" t="str">
        <f t="shared" si="1080"/>
        <v/>
      </c>
      <c r="U5573" t="str">
        <f t="shared" si="1081"/>
        <v>PA_Alleg_2019p~Rep-member of council bethel park ward 2 (vote for 1)</v>
      </c>
      <c r="X5573" s="43"/>
      <c r="Y5573" s="53"/>
      <c r="Z5573" s="53"/>
      <c r="AA5573"/>
      <c r="AB5573" s="23"/>
      <c r="AF5573" s="22"/>
    </row>
    <row r="5574" spans="1:34">
      <c r="A5574" t="str">
        <f t="shared" si="1082"/>
        <v>PA_Alleg_2019p~Rep-member of council bethel park ward 2 (vote for 1)</v>
      </c>
      <c r="B5574" s="55" t="s">
        <v>1291</v>
      </c>
      <c r="C5574">
        <v>1876</v>
      </c>
      <c r="D5574" s="55" t="s">
        <v>981</v>
      </c>
      <c r="E5574" s="55" t="s">
        <v>15</v>
      </c>
      <c r="F5574" t="s">
        <v>1117</v>
      </c>
      <c r="G5574" s="62">
        <v>2</v>
      </c>
      <c r="H5574" s="25">
        <v>0.97</v>
      </c>
      <c r="I5574">
        <v>2765</v>
      </c>
      <c r="J5574">
        <v>567</v>
      </c>
      <c r="K5574">
        <v>3</v>
      </c>
      <c r="L5574">
        <v>3</v>
      </c>
      <c r="M5574">
        <v>0</v>
      </c>
      <c r="N5574" s="23">
        <v>0</v>
      </c>
      <c r="O5574">
        <f t="shared" si="1075"/>
        <v>-1</v>
      </c>
      <c r="P5574" s="57">
        <f t="shared" si="1076"/>
        <v>1</v>
      </c>
      <c r="Q5574" s="267">
        <f t="shared" si="1077"/>
        <v>2</v>
      </c>
      <c r="R5574" s="23">
        <f t="shared" si="1078"/>
        <v>1</v>
      </c>
      <c r="S5574" s="23">
        <f t="shared" si="1079"/>
        <v>0</v>
      </c>
      <c r="T5574" s="23" t="str">
        <f t="shared" si="1080"/>
        <v/>
      </c>
      <c r="U5574" t="str">
        <f t="shared" si="1081"/>
        <v/>
      </c>
      <c r="X5574" s="43"/>
      <c r="Y5574" s="53"/>
      <c r="Z5574" s="53"/>
      <c r="AA5574"/>
      <c r="AB5574" s="23"/>
      <c r="AF5574" s="22"/>
    </row>
    <row r="5575" spans="1:34">
      <c r="A5575" t="str">
        <f t="shared" si="1082"/>
        <v>PA_Alleg_2019p~Rep-member of council bethel park ward 4 (vote for 1)</v>
      </c>
      <c r="B5575" s="55" t="s">
        <v>1291</v>
      </c>
      <c r="C5575">
        <v>1877</v>
      </c>
      <c r="D5575" s="55" t="s">
        <v>982</v>
      </c>
      <c r="E5575" s="55" t="s">
        <v>1246</v>
      </c>
      <c r="F5575" t="s">
        <v>1117</v>
      </c>
      <c r="G5575" s="62">
        <v>115</v>
      </c>
      <c r="H5575" s="25">
        <v>50.66</v>
      </c>
      <c r="I5575">
        <v>2994</v>
      </c>
      <c r="J5575">
        <v>613</v>
      </c>
      <c r="K5575">
        <v>3</v>
      </c>
      <c r="L5575">
        <v>3</v>
      </c>
      <c r="M5575">
        <v>0</v>
      </c>
      <c r="N5575" s="23">
        <v>0</v>
      </c>
      <c r="O5575">
        <f t="shared" si="1075"/>
        <v>1</v>
      </c>
      <c r="P5575" s="57">
        <f t="shared" si="1076"/>
        <v>1</v>
      </c>
      <c r="Q5575" s="267">
        <f t="shared" si="1077"/>
        <v>227</v>
      </c>
      <c r="R5575" s="23">
        <f t="shared" si="1078"/>
        <v>115</v>
      </c>
      <c r="S5575" s="23">
        <f t="shared" si="1079"/>
        <v>112</v>
      </c>
      <c r="T5575" s="23">
        <f t="shared" si="1080"/>
        <v>3</v>
      </c>
      <c r="U5575" t="str">
        <f t="shared" si="1081"/>
        <v>PA_Alleg_2019p~Rep-member of council bethel park ward 4 (vote for 1)</v>
      </c>
      <c r="X5575" s="43"/>
      <c r="Y5575" s="53"/>
      <c r="Z5575" s="53"/>
      <c r="AA5575"/>
      <c r="AB5575" s="23"/>
      <c r="AF5575" s="22"/>
    </row>
    <row r="5576" spans="1:34">
      <c r="A5576" t="str">
        <f t="shared" si="1082"/>
        <v>PA_Alleg_2019p~Rep-member of council bethel park ward 4 (vote for 1)</v>
      </c>
      <c r="B5576" s="55" t="s">
        <v>1291</v>
      </c>
      <c r="C5576">
        <v>1878</v>
      </c>
      <c r="D5576" s="55" t="s">
        <v>982</v>
      </c>
      <c r="E5576" s="55" t="s">
        <v>1247</v>
      </c>
      <c r="F5576" t="s">
        <v>1117</v>
      </c>
      <c r="G5576" s="62">
        <v>112</v>
      </c>
      <c r="H5576" s="25">
        <v>49.34</v>
      </c>
      <c r="I5576">
        <v>2994</v>
      </c>
      <c r="J5576">
        <v>613</v>
      </c>
      <c r="K5576">
        <v>3</v>
      </c>
      <c r="L5576">
        <v>3</v>
      </c>
      <c r="M5576">
        <v>0</v>
      </c>
      <c r="N5576" s="23">
        <v>0</v>
      </c>
      <c r="O5576">
        <f t="shared" si="1075"/>
        <v>2</v>
      </c>
      <c r="P5576" s="57">
        <f t="shared" si="1076"/>
        <v>1</v>
      </c>
      <c r="Q5576" s="267">
        <f t="shared" si="1077"/>
        <v>112</v>
      </c>
      <c r="R5576" s="23" t="str">
        <f t="shared" si="1078"/>
        <v/>
      </c>
      <c r="S5576" s="23">
        <f t="shared" si="1079"/>
        <v>112</v>
      </c>
      <c r="T5576" s="23" t="str">
        <f t="shared" si="1080"/>
        <v/>
      </c>
      <c r="U5576" t="str">
        <f t="shared" si="1081"/>
        <v/>
      </c>
      <c r="X5576" s="43"/>
      <c r="Y5576" s="53"/>
      <c r="Z5576" s="53"/>
      <c r="AA5576"/>
      <c r="AB5576" s="23"/>
      <c r="AF5576" s="22"/>
    </row>
    <row r="5577" spans="1:34">
      <c r="A5577" t="str">
        <f t="shared" si="1082"/>
        <v>PA_Alleg_2019p~Rep-member of council bethel park ward 4 (vote for 1)</v>
      </c>
      <c r="B5577" s="55" t="s">
        <v>1291</v>
      </c>
      <c r="C5577">
        <v>1879</v>
      </c>
      <c r="D5577" s="55" t="s">
        <v>982</v>
      </c>
      <c r="E5577" s="55" t="s">
        <v>15</v>
      </c>
      <c r="F5577" t="s">
        <v>1117</v>
      </c>
      <c r="G5577" s="62">
        <v>0</v>
      </c>
      <c r="H5577" s="25">
        <v>0</v>
      </c>
      <c r="I5577">
        <v>2994</v>
      </c>
      <c r="J5577">
        <v>613</v>
      </c>
      <c r="K5577">
        <v>3</v>
      </c>
      <c r="L5577">
        <v>3</v>
      </c>
      <c r="M5577">
        <v>0</v>
      </c>
      <c r="N5577" s="23">
        <v>0</v>
      </c>
      <c r="O5577">
        <f t="shared" si="1075"/>
        <v>-2</v>
      </c>
      <c r="P5577" s="57">
        <f t="shared" si="1076"/>
        <v>1</v>
      </c>
      <c r="Q5577" s="267">
        <f t="shared" si="1077"/>
        <v>0</v>
      </c>
      <c r="R5577" s="23">
        <f t="shared" si="1078"/>
        <v>1</v>
      </c>
      <c r="S5577" s="23">
        <f t="shared" si="1079"/>
        <v>0</v>
      </c>
      <c r="T5577" s="23" t="str">
        <f t="shared" si="1080"/>
        <v/>
      </c>
      <c r="U5577" t="str">
        <f t="shared" si="1081"/>
        <v/>
      </c>
      <c r="X5577" s="43"/>
      <c r="Y5577" s="53"/>
      <c r="Z5577" s="53"/>
      <c r="AA5577"/>
      <c r="AB5577" s="23"/>
      <c r="AF5577" s="22"/>
    </row>
    <row r="5578" spans="1:34">
      <c r="A5578" t="str">
        <f t="shared" si="1082"/>
        <v>PA_Alleg_2019p~Rep-member of council bethel park ward 6 (vote for 1)</v>
      </c>
      <c r="B5578" s="55" t="s">
        <v>1291</v>
      </c>
      <c r="C5578">
        <v>1880</v>
      </c>
      <c r="D5578" s="55" t="s">
        <v>983</v>
      </c>
      <c r="E5578" s="55" t="s">
        <v>15</v>
      </c>
      <c r="F5578" t="s">
        <v>1117</v>
      </c>
      <c r="G5578" s="62">
        <v>69</v>
      </c>
      <c r="H5578" s="25">
        <v>100</v>
      </c>
      <c r="I5578">
        <v>3122</v>
      </c>
      <c r="J5578">
        <v>754</v>
      </c>
      <c r="K5578">
        <v>3</v>
      </c>
      <c r="L5578">
        <v>3</v>
      </c>
      <c r="M5578">
        <v>0</v>
      </c>
      <c r="N5578" s="23">
        <v>0</v>
      </c>
      <c r="O5578">
        <f t="shared" si="1075"/>
        <v>0</v>
      </c>
      <c r="P5578" s="57">
        <f t="shared" si="1076"/>
        <v>1</v>
      </c>
      <c r="Q5578" s="267">
        <f t="shared" si="1077"/>
        <v>69</v>
      </c>
      <c r="R5578" s="23">
        <f t="shared" si="1078"/>
        <v>1</v>
      </c>
      <c r="S5578" s="23">
        <f t="shared" si="1079"/>
        <v>0</v>
      </c>
      <c r="T5578" s="23" t="str">
        <f t="shared" si="1080"/>
        <v/>
      </c>
      <c r="U5578" t="str">
        <f t="shared" si="1081"/>
        <v>PA_Alleg_2019p~Rep-member of council bethel park ward 6 (vote for 1)</v>
      </c>
      <c r="X5578" s="43"/>
      <c r="Y5578" s="53"/>
      <c r="Z5578" s="53"/>
      <c r="AA5578"/>
      <c r="AB5578" s="23"/>
      <c r="AF5578" s="22"/>
    </row>
    <row r="5579" spans="1:34">
      <c r="A5579" t="str">
        <f t="shared" si="1082"/>
        <v>PA_Alleg_2019p~Rep-member of council bethel park ward 8 (vote for 1)</v>
      </c>
      <c r="B5579" s="55" t="s">
        <v>1291</v>
      </c>
      <c r="C5579">
        <v>1881</v>
      </c>
      <c r="D5579" s="55" t="s">
        <v>985</v>
      </c>
      <c r="E5579" s="55" t="s">
        <v>1248</v>
      </c>
      <c r="F5579" t="s">
        <v>1117</v>
      </c>
      <c r="G5579" s="62">
        <v>222</v>
      </c>
      <c r="H5579" s="25">
        <v>97.37</v>
      </c>
      <c r="I5579">
        <v>2787</v>
      </c>
      <c r="J5579">
        <v>601</v>
      </c>
      <c r="K5579">
        <v>4</v>
      </c>
      <c r="L5579">
        <v>4</v>
      </c>
      <c r="M5579">
        <v>0</v>
      </c>
      <c r="N5579" s="23">
        <v>0</v>
      </c>
      <c r="O5579">
        <f t="shared" si="1075"/>
        <v>1</v>
      </c>
      <c r="P5579" s="57">
        <f t="shared" si="1076"/>
        <v>1</v>
      </c>
      <c r="Q5579" s="267">
        <f t="shared" si="1077"/>
        <v>228</v>
      </c>
      <c r="R5579" s="23">
        <f t="shared" si="1078"/>
        <v>222</v>
      </c>
      <c r="S5579" s="23">
        <f t="shared" si="1079"/>
        <v>0</v>
      </c>
      <c r="T5579" s="23" t="str">
        <f t="shared" si="1080"/>
        <v/>
      </c>
      <c r="U5579" t="str">
        <f t="shared" si="1081"/>
        <v>PA_Alleg_2019p~Rep-member of council bethel park ward 8 (vote for 1)</v>
      </c>
      <c r="X5579" s="43"/>
      <c r="Y5579" s="53"/>
      <c r="Z5579" s="53"/>
      <c r="AA5579"/>
      <c r="AB5579" s="23"/>
      <c r="AF5579" s="22"/>
    </row>
    <row r="5580" spans="1:34">
      <c r="A5580" t="str">
        <f t="shared" si="1082"/>
        <v>PA_Alleg_2019p~Rep-member of council bethel park ward 8 (vote for 1)</v>
      </c>
      <c r="B5580" s="55" t="s">
        <v>1291</v>
      </c>
      <c r="C5580">
        <v>1882</v>
      </c>
      <c r="D5580" s="55" t="s">
        <v>985</v>
      </c>
      <c r="E5580" s="55" t="s">
        <v>15</v>
      </c>
      <c r="F5580" t="s">
        <v>1117</v>
      </c>
      <c r="G5580" s="62">
        <v>6</v>
      </c>
      <c r="H5580" s="25">
        <v>2.63</v>
      </c>
      <c r="I5580">
        <v>2787</v>
      </c>
      <c r="J5580">
        <v>601</v>
      </c>
      <c r="K5580">
        <v>4</v>
      </c>
      <c r="L5580">
        <v>4</v>
      </c>
      <c r="M5580">
        <v>0</v>
      </c>
      <c r="N5580" s="23">
        <v>0</v>
      </c>
      <c r="O5580">
        <f t="shared" si="1075"/>
        <v>-1</v>
      </c>
      <c r="P5580" s="57">
        <f t="shared" si="1076"/>
        <v>1</v>
      </c>
      <c r="Q5580" s="267">
        <f t="shared" si="1077"/>
        <v>6</v>
      </c>
      <c r="R5580" s="23">
        <f t="shared" si="1078"/>
        <v>1</v>
      </c>
      <c r="S5580" s="23">
        <f t="shared" si="1079"/>
        <v>0</v>
      </c>
      <c r="T5580" s="23" t="str">
        <f t="shared" si="1080"/>
        <v/>
      </c>
      <c r="U5580" t="str">
        <f t="shared" si="1081"/>
        <v/>
      </c>
      <c r="X5580" s="43"/>
      <c r="Y5580" s="53"/>
      <c r="Z5580" s="53"/>
      <c r="AA5580"/>
      <c r="AB5580" s="23"/>
      <c r="AF5580" s="22"/>
    </row>
    <row r="5581" spans="1:34">
      <c r="A5581" t="str">
        <f t="shared" si="1082"/>
        <v>PA_Alleg_2019p~Rep-member of council blawnox (vote for 3)</v>
      </c>
      <c r="B5581" s="55" t="s">
        <v>1291</v>
      </c>
      <c r="C5581">
        <v>1717</v>
      </c>
      <c r="D5581" s="55" t="s">
        <v>704</v>
      </c>
      <c r="E5581" s="55" t="s">
        <v>15</v>
      </c>
      <c r="F5581" t="s">
        <v>1117</v>
      </c>
      <c r="G5581" s="62">
        <v>3</v>
      </c>
      <c r="H5581" s="25">
        <v>100</v>
      </c>
      <c r="I5581">
        <v>1064</v>
      </c>
      <c r="J5581">
        <v>158</v>
      </c>
      <c r="K5581">
        <v>1</v>
      </c>
      <c r="L5581">
        <v>1</v>
      </c>
      <c r="M5581">
        <v>0</v>
      </c>
      <c r="N5581" s="23">
        <v>0</v>
      </c>
      <c r="O5581">
        <f t="shared" si="1075"/>
        <v>0</v>
      </c>
      <c r="P5581" s="57">
        <f t="shared" si="1076"/>
        <v>3</v>
      </c>
      <c r="Q5581" s="267">
        <f t="shared" si="1077"/>
        <v>3</v>
      </c>
      <c r="R5581" s="23">
        <f t="shared" si="1078"/>
        <v>1</v>
      </c>
      <c r="S5581" s="23">
        <f t="shared" si="1079"/>
        <v>0</v>
      </c>
      <c r="T5581" s="23" t="str">
        <f t="shared" si="1080"/>
        <v/>
      </c>
      <c r="U5581" t="str">
        <f t="shared" si="1081"/>
        <v>PA_Alleg_2019p~Rep-member of council blawnox (vote for 3)</v>
      </c>
      <c r="X5581" s="43"/>
      <c r="Y5581" s="53"/>
      <c r="Z5581" s="53"/>
      <c r="AA5581"/>
      <c r="AB5581" s="23"/>
      <c r="AF5581" s="22"/>
    </row>
    <row r="5582" spans="1:34">
      <c r="A5582" t="str">
        <f t="shared" si="1082"/>
        <v>PA_Alleg_2019p~Rep-member of council brackenridge ward 1 (vote for 1)</v>
      </c>
      <c r="B5582" s="55" t="s">
        <v>1291</v>
      </c>
      <c r="C5582">
        <v>1883</v>
      </c>
      <c r="D5582" s="55" t="s">
        <v>986</v>
      </c>
      <c r="E5582" s="55" t="s">
        <v>15</v>
      </c>
      <c r="F5582" t="s">
        <v>1117</v>
      </c>
      <c r="G5582" s="62">
        <v>1</v>
      </c>
      <c r="H5582" s="25">
        <v>100</v>
      </c>
      <c r="I5582">
        <v>515</v>
      </c>
      <c r="J5582">
        <v>78</v>
      </c>
      <c r="K5582">
        <v>1</v>
      </c>
      <c r="L5582">
        <v>1</v>
      </c>
      <c r="M5582">
        <v>0</v>
      </c>
      <c r="N5582" s="23">
        <v>0</v>
      </c>
      <c r="O5582">
        <f t="shared" si="1075"/>
        <v>0</v>
      </c>
      <c r="P5582" s="57">
        <f t="shared" si="1076"/>
        <v>1</v>
      </c>
      <c r="Q5582" s="267">
        <f t="shared" si="1077"/>
        <v>1</v>
      </c>
      <c r="R5582" s="23">
        <f t="shared" si="1078"/>
        <v>1</v>
      </c>
      <c r="S5582" s="23">
        <f t="shared" si="1079"/>
        <v>0</v>
      </c>
      <c r="T5582" s="23" t="str">
        <f t="shared" si="1080"/>
        <v/>
      </c>
      <c r="U5582" t="str">
        <f t="shared" si="1081"/>
        <v>PA_Alleg_2019p~Rep-member of council brackenridge ward 1 (vote for 1)</v>
      </c>
      <c r="X5582" s="43"/>
      <c r="Y5582" s="53"/>
      <c r="Z5582" s="53"/>
      <c r="AA5582"/>
      <c r="AB5582" s="23"/>
      <c r="AF5582" s="22"/>
    </row>
    <row r="5583" spans="1:34">
      <c r="A5583" t="str">
        <f t="shared" si="1082"/>
        <v>PA_Alleg_2019p~Rep-member of council brackenridge ward 2 (vote for 1)</v>
      </c>
      <c r="B5583" s="55" t="s">
        <v>1291</v>
      </c>
      <c r="C5583">
        <v>1884</v>
      </c>
      <c r="D5583" s="55" t="s">
        <v>988</v>
      </c>
      <c r="E5583" s="55" t="s">
        <v>15</v>
      </c>
      <c r="F5583" t="s">
        <v>1117</v>
      </c>
      <c r="G5583" s="62">
        <v>4</v>
      </c>
      <c r="H5583" s="25">
        <v>100</v>
      </c>
      <c r="I5583">
        <v>785</v>
      </c>
      <c r="J5583">
        <v>115</v>
      </c>
      <c r="K5583">
        <v>1</v>
      </c>
      <c r="L5583">
        <v>1</v>
      </c>
      <c r="M5583">
        <v>0</v>
      </c>
      <c r="N5583" s="23">
        <v>0</v>
      </c>
      <c r="O5583">
        <f t="shared" si="1075"/>
        <v>0</v>
      </c>
      <c r="P5583" s="57">
        <f t="shared" si="1076"/>
        <v>1</v>
      </c>
      <c r="Q5583" s="267">
        <f t="shared" si="1077"/>
        <v>4</v>
      </c>
      <c r="R5583" s="23">
        <f t="shared" si="1078"/>
        <v>1</v>
      </c>
      <c r="S5583" s="23">
        <f t="shared" si="1079"/>
        <v>0</v>
      </c>
      <c r="T5583" s="23" t="str">
        <f t="shared" si="1080"/>
        <v/>
      </c>
      <c r="U5583" t="str">
        <f t="shared" si="1081"/>
        <v>PA_Alleg_2019p~Rep-member of council brackenridge ward 2 (vote for 1)</v>
      </c>
      <c r="X5583" s="43"/>
      <c r="Y5583" s="53"/>
      <c r="Z5583" s="53"/>
      <c r="AA5583"/>
      <c r="AB5583" s="23"/>
      <c r="AF5583" s="22"/>
    </row>
    <row r="5584" spans="1:34">
      <c r="A5584" t="str">
        <f t="shared" si="1082"/>
        <v>PA_Alleg_2019p~Rep-member of council brackenridge ward 3 (vote for 1)</v>
      </c>
      <c r="B5584" s="55" t="s">
        <v>1291</v>
      </c>
      <c r="C5584">
        <v>1885</v>
      </c>
      <c r="D5584" s="55" t="s">
        <v>990</v>
      </c>
      <c r="E5584" s="55" t="s">
        <v>15</v>
      </c>
      <c r="F5584" t="s">
        <v>1117</v>
      </c>
      <c r="G5584" s="62">
        <v>1</v>
      </c>
      <c r="H5584" s="25">
        <v>100</v>
      </c>
      <c r="I5584">
        <v>655</v>
      </c>
      <c r="J5584">
        <v>97</v>
      </c>
      <c r="K5584">
        <v>1</v>
      </c>
      <c r="L5584">
        <v>1</v>
      </c>
      <c r="M5584">
        <v>0</v>
      </c>
      <c r="N5584" s="23">
        <v>0</v>
      </c>
      <c r="O5584">
        <f t="shared" si="1075"/>
        <v>0</v>
      </c>
      <c r="P5584" s="57">
        <f t="shared" si="1076"/>
        <v>1</v>
      </c>
      <c r="Q5584" s="267">
        <f t="shared" si="1077"/>
        <v>1</v>
      </c>
      <c r="R5584" s="23">
        <f t="shared" si="1078"/>
        <v>1</v>
      </c>
      <c r="S5584" s="23">
        <f t="shared" si="1079"/>
        <v>0</v>
      </c>
      <c r="T5584" s="23" t="str">
        <f t="shared" si="1080"/>
        <v/>
      </c>
      <c r="U5584" t="str">
        <f t="shared" si="1081"/>
        <v>PA_Alleg_2019p~Rep-member of council brackenridge ward 3 (vote for 1)</v>
      </c>
      <c r="X5584" s="43"/>
      <c r="Y5584" s="53"/>
      <c r="Z5584" s="53"/>
      <c r="AA5584"/>
      <c r="AB5584" s="23"/>
      <c r="AF5584" s="22"/>
    </row>
    <row r="5585" spans="1:32">
      <c r="A5585" t="str">
        <f t="shared" si="1082"/>
        <v>PA_Alleg_2019p~Rep-member of council braddock hills (vote for 2)</v>
      </c>
      <c r="B5585" s="55" t="s">
        <v>1291</v>
      </c>
      <c r="C5585">
        <v>1829</v>
      </c>
      <c r="D5585" s="55" t="s">
        <v>908</v>
      </c>
      <c r="E5585" s="55" t="s">
        <v>15</v>
      </c>
      <c r="F5585" t="s">
        <v>1117</v>
      </c>
      <c r="G5585" s="62">
        <v>9</v>
      </c>
      <c r="H5585" s="25">
        <v>100</v>
      </c>
      <c r="I5585">
        <v>1392</v>
      </c>
      <c r="J5585">
        <v>252</v>
      </c>
      <c r="K5585">
        <v>2</v>
      </c>
      <c r="L5585">
        <v>2</v>
      </c>
      <c r="M5585">
        <v>0</v>
      </c>
      <c r="N5585" s="23">
        <v>0</v>
      </c>
      <c r="O5585">
        <f t="shared" si="1075"/>
        <v>0</v>
      </c>
      <c r="P5585" s="57">
        <f t="shared" si="1076"/>
        <v>2</v>
      </c>
      <c r="Q5585" s="267">
        <f t="shared" si="1077"/>
        <v>9</v>
      </c>
      <c r="R5585" s="23">
        <f t="shared" si="1078"/>
        <v>1</v>
      </c>
      <c r="S5585" s="23">
        <f t="shared" si="1079"/>
        <v>0</v>
      </c>
      <c r="T5585" s="23" t="str">
        <f t="shared" si="1080"/>
        <v/>
      </c>
      <c r="U5585" t="str">
        <f t="shared" si="1081"/>
        <v>PA_Alleg_2019p~Rep-member of council braddock hills (vote for 2)</v>
      </c>
      <c r="X5585" s="43"/>
      <c r="Y5585" s="53"/>
      <c r="Z5585" s="53"/>
      <c r="AA5585"/>
      <c r="AB5585" s="23"/>
      <c r="AF5585" s="22"/>
    </row>
    <row r="5586" spans="1:32">
      <c r="A5586" t="str">
        <f t="shared" si="1082"/>
        <v>PA_Alleg_2019p~Rep-member of council braddock hills (vote for 3)</v>
      </c>
      <c r="B5586" s="55" t="s">
        <v>1291</v>
      </c>
      <c r="C5586">
        <v>1718</v>
      </c>
      <c r="D5586" s="55" t="s">
        <v>708</v>
      </c>
      <c r="E5586" s="55" t="s">
        <v>15</v>
      </c>
      <c r="F5586" t="s">
        <v>1117</v>
      </c>
      <c r="G5586" s="62">
        <v>14</v>
      </c>
      <c r="H5586" s="25">
        <v>100</v>
      </c>
      <c r="I5586">
        <v>1392</v>
      </c>
      <c r="J5586">
        <v>252</v>
      </c>
      <c r="K5586">
        <v>2</v>
      </c>
      <c r="L5586">
        <v>2</v>
      </c>
      <c r="M5586">
        <v>0</v>
      </c>
      <c r="N5586" s="23">
        <v>0</v>
      </c>
      <c r="O5586">
        <f t="shared" si="1075"/>
        <v>0</v>
      </c>
      <c r="P5586" s="57">
        <f t="shared" si="1076"/>
        <v>3</v>
      </c>
      <c r="Q5586" s="267">
        <f t="shared" si="1077"/>
        <v>14</v>
      </c>
      <c r="R5586" s="23">
        <f t="shared" si="1078"/>
        <v>1</v>
      </c>
      <c r="S5586" s="23">
        <f t="shared" si="1079"/>
        <v>0</v>
      </c>
      <c r="T5586" s="23" t="str">
        <f t="shared" si="1080"/>
        <v/>
      </c>
      <c r="U5586" t="str">
        <f t="shared" si="1081"/>
        <v>PA_Alleg_2019p~Rep-member of council braddock hills (vote for 3)</v>
      </c>
      <c r="X5586" s="43"/>
      <c r="Y5586" s="53"/>
      <c r="Z5586" s="53"/>
      <c r="AA5586"/>
      <c r="AB5586" s="23"/>
      <c r="AF5586" s="22"/>
    </row>
    <row r="5587" spans="1:32">
      <c r="A5587" t="str">
        <f t="shared" si="1082"/>
        <v>PA_Alleg_2019p~Rep-member of council braddock ward 1 (vote for 1)</v>
      </c>
      <c r="B5587" s="55" t="s">
        <v>1291</v>
      </c>
      <c r="C5587">
        <v>1886</v>
      </c>
      <c r="D5587" s="55" t="s">
        <v>992</v>
      </c>
      <c r="E5587" s="55" t="s">
        <v>15</v>
      </c>
      <c r="F5587" t="s">
        <v>1117</v>
      </c>
      <c r="G5587" s="62">
        <v>0</v>
      </c>
      <c r="H5587" s="25">
        <v>0</v>
      </c>
      <c r="I5587">
        <v>560</v>
      </c>
      <c r="J5587">
        <v>111</v>
      </c>
      <c r="K5587">
        <v>1</v>
      </c>
      <c r="L5587">
        <v>1</v>
      </c>
      <c r="M5587">
        <v>0</v>
      </c>
      <c r="N5587" s="23">
        <v>0</v>
      </c>
      <c r="O5587">
        <f t="shared" si="1075"/>
        <v>0</v>
      </c>
      <c r="P5587" s="57">
        <f t="shared" si="1076"/>
        <v>1</v>
      </c>
      <c r="Q5587" s="267">
        <f t="shared" si="1077"/>
        <v>0</v>
      </c>
      <c r="R5587" s="23">
        <f t="shared" si="1078"/>
        <v>1</v>
      </c>
      <c r="S5587" s="23">
        <f t="shared" si="1079"/>
        <v>0</v>
      </c>
      <c r="T5587" s="23" t="str">
        <f t="shared" si="1080"/>
        <v/>
      </c>
      <c r="U5587" t="str">
        <f t="shared" si="1081"/>
        <v>PA_Alleg_2019p~Rep-member of council braddock ward 1 (vote for 1)</v>
      </c>
      <c r="X5587" s="43"/>
      <c r="Y5587" s="53"/>
      <c r="Z5587" s="53"/>
      <c r="AA5587"/>
      <c r="AB5587" s="23"/>
      <c r="AF5587" s="22"/>
    </row>
    <row r="5588" spans="1:32">
      <c r="A5588" t="str">
        <f t="shared" si="1082"/>
        <v>PA_Alleg_2019p~Rep-member of council braddock ward 2 (vote for 1)</v>
      </c>
      <c r="B5588" s="55" t="s">
        <v>1291</v>
      </c>
      <c r="C5588">
        <v>1887</v>
      </c>
      <c r="D5588" s="55" t="s">
        <v>993</v>
      </c>
      <c r="E5588" s="55" t="s">
        <v>15</v>
      </c>
      <c r="F5588" t="s">
        <v>1117</v>
      </c>
      <c r="G5588" s="62">
        <v>0</v>
      </c>
      <c r="H5588" s="25">
        <v>0</v>
      </c>
      <c r="I5588">
        <v>641</v>
      </c>
      <c r="J5588">
        <v>112</v>
      </c>
      <c r="K5588">
        <v>1</v>
      </c>
      <c r="L5588">
        <v>1</v>
      </c>
      <c r="M5588">
        <v>0</v>
      </c>
      <c r="N5588" s="23">
        <v>0</v>
      </c>
      <c r="O5588">
        <f t="shared" si="1075"/>
        <v>0</v>
      </c>
      <c r="P5588" s="57">
        <f t="shared" si="1076"/>
        <v>1</v>
      </c>
      <c r="Q5588" s="267">
        <f t="shared" si="1077"/>
        <v>0</v>
      </c>
      <c r="R5588" s="23">
        <f t="shared" si="1078"/>
        <v>1</v>
      </c>
      <c r="S5588" s="23">
        <f t="shared" si="1079"/>
        <v>0</v>
      </c>
      <c r="T5588" s="23" t="str">
        <f t="shared" si="1080"/>
        <v/>
      </c>
      <c r="U5588" t="str">
        <f t="shared" si="1081"/>
        <v>PA_Alleg_2019p~Rep-member of council braddock ward 2 (vote for 1)</v>
      </c>
      <c r="X5588" s="43"/>
      <c r="Y5588" s="53"/>
      <c r="Z5588" s="53"/>
      <c r="AA5588"/>
      <c r="AB5588" s="23"/>
      <c r="AF5588" s="88"/>
    </row>
    <row r="5589" spans="1:32">
      <c r="A5589" t="str">
        <f t="shared" si="1082"/>
        <v>PA_Alleg_2019p~Rep-member of council braddock ward 3 (vote for 1)</v>
      </c>
      <c r="B5589" s="55" t="s">
        <v>1291</v>
      </c>
      <c r="C5589">
        <v>1888</v>
      </c>
      <c r="D5589" s="55" t="s">
        <v>996</v>
      </c>
      <c r="E5589" s="55" t="s">
        <v>15</v>
      </c>
      <c r="F5589" t="s">
        <v>1117</v>
      </c>
      <c r="G5589" s="62">
        <v>0</v>
      </c>
      <c r="H5589" s="25">
        <v>0</v>
      </c>
      <c r="I5589">
        <v>497</v>
      </c>
      <c r="J5589">
        <v>75</v>
      </c>
      <c r="K5589">
        <v>1</v>
      </c>
      <c r="L5589">
        <v>1</v>
      </c>
      <c r="M5589">
        <v>0</v>
      </c>
      <c r="N5589" s="23">
        <v>0</v>
      </c>
      <c r="O5589">
        <f t="shared" si="1075"/>
        <v>0</v>
      </c>
      <c r="P5589" s="57">
        <f t="shared" si="1076"/>
        <v>1</v>
      </c>
      <c r="Q5589" s="267">
        <f t="shared" si="1077"/>
        <v>0</v>
      </c>
      <c r="R5589" s="23">
        <f t="shared" si="1078"/>
        <v>1</v>
      </c>
      <c r="S5589" s="23">
        <f t="shared" si="1079"/>
        <v>0</v>
      </c>
      <c r="T5589" s="23" t="str">
        <f t="shared" si="1080"/>
        <v/>
      </c>
      <c r="U5589" t="str">
        <f t="shared" si="1081"/>
        <v>PA_Alleg_2019p~Rep-member of council braddock ward 3 (vote for 1)</v>
      </c>
      <c r="X5589" s="43"/>
      <c r="Y5589" s="53"/>
      <c r="Z5589" s="53"/>
      <c r="AA5589"/>
      <c r="AB5589" s="23"/>
      <c r="AF5589" s="22"/>
    </row>
    <row r="5590" spans="1:32">
      <c r="A5590" t="str">
        <f t="shared" si="1082"/>
        <v>PA_Alleg_2019p~Rep-member of council bradford woods (vote for 3)</v>
      </c>
      <c r="B5590" s="55" t="s">
        <v>1291</v>
      </c>
      <c r="C5590">
        <v>1719</v>
      </c>
      <c r="D5590" s="55" t="s">
        <v>713</v>
      </c>
      <c r="E5590" s="55" t="s">
        <v>1182</v>
      </c>
      <c r="F5590" t="s">
        <v>1117</v>
      </c>
      <c r="G5590" s="62">
        <v>100</v>
      </c>
      <c r="H5590" s="25">
        <v>50.25</v>
      </c>
      <c r="I5590">
        <v>1027</v>
      </c>
      <c r="J5590">
        <v>207</v>
      </c>
      <c r="K5590">
        <v>1</v>
      </c>
      <c r="L5590">
        <v>1</v>
      </c>
      <c r="M5590">
        <v>0</v>
      </c>
      <c r="N5590" s="23">
        <v>0</v>
      </c>
      <c r="O5590">
        <f t="shared" si="1075"/>
        <v>1</v>
      </c>
      <c r="P5590" s="57">
        <f t="shared" si="1076"/>
        <v>3</v>
      </c>
      <c r="Q5590" s="267">
        <f t="shared" si="1077"/>
        <v>100</v>
      </c>
      <c r="R5590" s="23">
        <f t="shared" si="1078"/>
        <v>1</v>
      </c>
      <c r="S5590" s="23">
        <f t="shared" si="1079"/>
        <v>0</v>
      </c>
      <c r="T5590" s="23" t="str">
        <f t="shared" si="1080"/>
        <v/>
      </c>
      <c r="U5590" t="str">
        <f t="shared" si="1081"/>
        <v>PA_Alleg_2019p~Rep-member of council bradford woods (vote for 3)</v>
      </c>
      <c r="X5590" s="43"/>
      <c r="Y5590" s="53"/>
      <c r="Z5590" s="53"/>
      <c r="AA5590"/>
      <c r="AB5590" s="23"/>
    </row>
    <row r="5591" spans="1:32">
      <c r="A5591" t="str">
        <f t="shared" si="1082"/>
        <v>PA_Alleg_2019p~Rep-member of council bradford woods (vote for 3)</v>
      </c>
      <c r="B5591" s="55" t="s">
        <v>1291</v>
      </c>
      <c r="C5591">
        <v>1720</v>
      </c>
      <c r="D5591" s="55" t="s">
        <v>713</v>
      </c>
      <c r="E5591" s="55" t="s">
        <v>1183</v>
      </c>
      <c r="F5591" t="s">
        <v>1117</v>
      </c>
      <c r="G5591" s="62">
        <v>91</v>
      </c>
      <c r="H5591" s="25">
        <v>45.73</v>
      </c>
      <c r="I5591">
        <v>1027</v>
      </c>
      <c r="J5591">
        <v>207</v>
      </c>
      <c r="K5591">
        <v>1</v>
      </c>
      <c r="L5591">
        <v>1</v>
      </c>
      <c r="M5591">
        <v>0</v>
      </c>
      <c r="N5591" s="23">
        <v>0</v>
      </c>
      <c r="O5591">
        <f t="shared" si="1075"/>
        <v>2</v>
      </c>
      <c r="P5591" s="57">
        <f t="shared" si="1076"/>
        <v>3</v>
      </c>
      <c r="Q5591" s="267">
        <f t="shared" si="1077"/>
        <v>99</v>
      </c>
      <c r="R5591" s="23">
        <f t="shared" si="1078"/>
        <v>1</v>
      </c>
      <c r="S5591" s="23">
        <f t="shared" si="1079"/>
        <v>0</v>
      </c>
      <c r="T5591" s="23" t="str">
        <f t="shared" si="1080"/>
        <v/>
      </c>
      <c r="U5591" t="str">
        <f t="shared" si="1081"/>
        <v/>
      </c>
      <c r="X5591" s="43"/>
      <c r="Y5591" s="53"/>
      <c r="Z5591" s="53"/>
      <c r="AA5591"/>
      <c r="AB5591" s="23"/>
      <c r="AF5591" s="22"/>
    </row>
    <row r="5592" spans="1:32">
      <c r="A5592" t="str">
        <f t="shared" si="1082"/>
        <v>PA_Alleg_2019p~Rep-member of council bradford woods (vote for 3)</v>
      </c>
      <c r="B5592" s="55" t="s">
        <v>1291</v>
      </c>
      <c r="C5592">
        <v>1721</v>
      </c>
      <c r="D5592" s="55" t="s">
        <v>713</v>
      </c>
      <c r="E5592" s="55" t="s">
        <v>15</v>
      </c>
      <c r="F5592" t="s">
        <v>1117</v>
      </c>
      <c r="G5592" s="62">
        <v>8</v>
      </c>
      <c r="H5592" s="25">
        <v>4.0199999999999996</v>
      </c>
      <c r="I5592">
        <v>1027</v>
      </c>
      <c r="J5592">
        <v>207</v>
      </c>
      <c r="K5592">
        <v>1</v>
      </c>
      <c r="L5592">
        <v>1</v>
      </c>
      <c r="M5592">
        <v>0</v>
      </c>
      <c r="N5592" s="23">
        <v>0</v>
      </c>
      <c r="O5592">
        <f t="shared" si="1075"/>
        <v>-2</v>
      </c>
      <c r="P5592" s="57">
        <f t="shared" si="1076"/>
        <v>3</v>
      </c>
      <c r="Q5592" s="267">
        <f t="shared" si="1077"/>
        <v>8</v>
      </c>
      <c r="R5592" s="23">
        <f t="shared" si="1078"/>
        <v>1</v>
      </c>
      <c r="S5592" s="23">
        <f t="shared" si="1079"/>
        <v>0</v>
      </c>
      <c r="T5592" s="23" t="str">
        <f t="shared" si="1080"/>
        <v/>
      </c>
      <c r="U5592" t="str">
        <f t="shared" si="1081"/>
        <v/>
      </c>
      <c r="X5592" s="43"/>
      <c r="Y5592" s="53"/>
      <c r="Z5592" s="53"/>
      <c r="AA5592"/>
      <c r="AB5592" s="23"/>
      <c r="AF5592" s="22"/>
    </row>
    <row r="5593" spans="1:32">
      <c r="A5593" t="str">
        <f t="shared" si="1082"/>
        <v>PA_Alleg_2019p~Rep-member of council brentwood (vote for 3)</v>
      </c>
      <c r="B5593" s="55" t="s">
        <v>1291</v>
      </c>
      <c r="C5593">
        <v>1722</v>
      </c>
      <c r="D5593" s="55" t="s">
        <v>715</v>
      </c>
      <c r="E5593" s="55" t="s">
        <v>15</v>
      </c>
      <c r="F5593" t="s">
        <v>1117</v>
      </c>
      <c r="G5593" s="62">
        <v>93</v>
      </c>
      <c r="H5593" s="25">
        <v>100</v>
      </c>
      <c r="I5593">
        <v>6753</v>
      </c>
      <c r="J5593">
        <v>824</v>
      </c>
      <c r="K5593">
        <v>10</v>
      </c>
      <c r="L5593">
        <v>10</v>
      </c>
      <c r="M5593">
        <v>0</v>
      </c>
      <c r="N5593" s="23">
        <v>0</v>
      </c>
      <c r="O5593">
        <f t="shared" si="1075"/>
        <v>0</v>
      </c>
      <c r="P5593" s="57">
        <f t="shared" si="1076"/>
        <v>3</v>
      </c>
      <c r="Q5593" s="267">
        <f t="shared" si="1077"/>
        <v>93</v>
      </c>
      <c r="R5593" s="23">
        <f t="shared" si="1078"/>
        <v>1</v>
      </c>
      <c r="S5593" s="23">
        <f t="shared" si="1079"/>
        <v>0</v>
      </c>
      <c r="T5593" s="23" t="str">
        <f t="shared" si="1080"/>
        <v/>
      </c>
      <c r="U5593" t="str">
        <f t="shared" si="1081"/>
        <v>PA_Alleg_2019p~Rep-member of council brentwood (vote for 3)</v>
      </c>
      <c r="X5593" s="43"/>
      <c r="Y5593" s="53"/>
      <c r="Z5593" s="53"/>
      <c r="AA5593"/>
      <c r="AB5593" s="23"/>
      <c r="AF5593" s="22"/>
    </row>
    <row r="5594" spans="1:32">
      <c r="A5594" t="str">
        <f t="shared" si="1082"/>
        <v>PA_Alleg_2019p~Rep-member of council bridgeville (vote for 3)</v>
      </c>
      <c r="B5594" s="55" t="s">
        <v>1291</v>
      </c>
      <c r="C5594">
        <v>1725</v>
      </c>
      <c r="D5594" s="55" t="s">
        <v>720</v>
      </c>
      <c r="E5594" s="55" t="s">
        <v>1186</v>
      </c>
      <c r="F5594" t="s">
        <v>1117</v>
      </c>
      <c r="G5594" s="62">
        <v>102</v>
      </c>
      <c r="H5594" s="25">
        <v>33.770000000000003</v>
      </c>
      <c r="I5594">
        <v>3576</v>
      </c>
      <c r="J5594">
        <v>400</v>
      </c>
      <c r="K5594">
        <v>4</v>
      </c>
      <c r="L5594">
        <v>4</v>
      </c>
      <c r="M5594">
        <v>0</v>
      </c>
      <c r="N5594" s="23">
        <v>0</v>
      </c>
      <c r="O5594">
        <f t="shared" si="1075"/>
        <v>1</v>
      </c>
      <c r="P5594" s="57">
        <f t="shared" si="1076"/>
        <v>3</v>
      </c>
      <c r="Q5594" s="267">
        <f t="shared" si="1077"/>
        <v>102</v>
      </c>
      <c r="R5594" s="23">
        <f t="shared" si="1078"/>
        <v>93</v>
      </c>
      <c r="S5594" s="23">
        <f t="shared" si="1079"/>
        <v>0</v>
      </c>
      <c r="T5594" s="23" t="str">
        <f t="shared" si="1080"/>
        <v/>
      </c>
      <c r="U5594" t="str">
        <f t="shared" si="1081"/>
        <v>PA_Alleg_2019p~Rep-member of council bridgeville (vote for 3)</v>
      </c>
      <c r="X5594" s="43"/>
      <c r="Y5594" s="53"/>
      <c r="Z5594" s="53"/>
      <c r="AA5594"/>
      <c r="AB5594" s="23"/>
      <c r="AF5594" s="22"/>
    </row>
    <row r="5595" spans="1:32">
      <c r="A5595" t="str">
        <f t="shared" si="1082"/>
        <v>PA_Alleg_2019p~Rep-member of council bridgeville (vote for 3)</v>
      </c>
      <c r="B5595" s="55" t="s">
        <v>1291</v>
      </c>
      <c r="C5595">
        <v>1724</v>
      </c>
      <c r="D5595" s="55" t="s">
        <v>720</v>
      </c>
      <c r="E5595" s="55" t="s">
        <v>1185</v>
      </c>
      <c r="F5595" t="s">
        <v>1117</v>
      </c>
      <c r="G5595" s="62">
        <v>96</v>
      </c>
      <c r="H5595" s="25">
        <v>31.79</v>
      </c>
      <c r="I5595">
        <v>3576</v>
      </c>
      <c r="J5595">
        <v>400</v>
      </c>
      <c r="K5595">
        <v>4</v>
      </c>
      <c r="L5595">
        <v>4</v>
      </c>
      <c r="M5595">
        <v>0</v>
      </c>
      <c r="N5595" s="23">
        <v>0</v>
      </c>
      <c r="O5595">
        <f t="shared" si="1075"/>
        <v>2</v>
      </c>
      <c r="P5595" s="57">
        <f t="shared" si="1076"/>
        <v>3</v>
      </c>
      <c r="Q5595" s="267">
        <f t="shared" si="1077"/>
        <v>200</v>
      </c>
      <c r="R5595" s="23">
        <f t="shared" si="1078"/>
        <v>93</v>
      </c>
      <c r="S5595" s="23">
        <f t="shared" si="1079"/>
        <v>0</v>
      </c>
      <c r="T5595" s="23" t="str">
        <f t="shared" si="1080"/>
        <v/>
      </c>
      <c r="U5595" t="str">
        <f t="shared" si="1081"/>
        <v/>
      </c>
      <c r="X5595" s="43"/>
      <c r="Y5595" s="53"/>
      <c r="Z5595" s="53"/>
      <c r="AA5595"/>
      <c r="AB5595" s="23"/>
      <c r="AF5595" s="22"/>
    </row>
    <row r="5596" spans="1:32">
      <c r="A5596" t="str">
        <f t="shared" si="1082"/>
        <v>PA_Alleg_2019p~Rep-member of council bridgeville (vote for 3)</v>
      </c>
      <c r="B5596" s="55" t="s">
        <v>1291</v>
      </c>
      <c r="C5596">
        <v>1723</v>
      </c>
      <c r="D5596" s="55" t="s">
        <v>720</v>
      </c>
      <c r="E5596" s="55" t="s">
        <v>1184</v>
      </c>
      <c r="F5596" t="s">
        <v>1117</v>
      </c>
      <c r="G5596" s="62">
        <v>93</v>
      </c>
      <c r="H5596" s="25">
        <v>30.79</v>
      </c>
      <c r="I5596">
        <v>3576</v>
      </c>
      <c r="J5596">
        <v>400</v>
      </c>
      <c r="K5596">
        <v>4</v>
      </c>
      <c r="L5596">
        <v>4</v>
      </c>
      <c r="M5596">
        <v>0</v>
      </c>
      <c r="N5596" s="23">
        <v>0</v>
      </c>
      <c r="O5596">
        <f t="shared" si="1075"/>
        <v>3</v>
      </c>
      <c r="P5596" s="57">
        <f t="shared" si="1076"/>
        <v>3</v>
      </c>
      <c r="Q5596" s="267">
        <f t="shared" si="1077"/>
        <v>104</v>
      </c>
      <c r="R5596" s="23">
        <f t="shared" si="1078"/>
        <v>93</v>
      </c>
      <c r="S5596" s="23">
        <f t="shared" si="1079"/>
        <v>0</v>
      </c>
      <c r="T5596" s="23" t="str">
        <f t="shared" si="1080"/>
        <v/>
      </c>
      <c r="U5596" t="str">
        <f t="shared" si="1081"/>
        <v/>
      </c>
      <c r="X5596" s="43"/>
      <c r="Y5596" s="53"/>
      <c r="Z5596" s="53"/>
      <c r="AA5596"/>
      <c r="AB5596" s="23"/>
      <c r="AF5596" s="22"/>
    </row>
    <row r="5597" spans="1:32">
      <c r="A5597" t="str">
        <f t="shared" si="1082"/>
        <v>PA_Alleg_2019p~Rep-member of council bridgeville (vote for 3)</v>
      </c>
      <c r="B5597" s="55" t="s">
        <v>1291</v>
      </c>
      <c r="C5597">
        <v>1726</v>
      </c>
      <c r="D5597" s="55" t="s">
        <v>720</v>
      </c>
      <c r="E5597" s="55" t="s">
        <v>15</v>
      </c>
      <c r="F5597" t="s">
        <v>1117</v>
      </c>
      <c r="G5597" s="62">
        <v>11</v>
      </c>
      <c r="H5597" s="25">
        <v>3.64</v>
      </c>
      <c r="I5597">
        <v>3576</v>
      </c>
      <c r="J5597">
        <v>400</v>
      </c>
      <c r="K5597">
        <v>4</v>
      </c>
      <c r="L5597">
        <v>4</v>
      </c>
      <c r="M5597">
        <v>0</v>
      </c>
      <c r="N5597" s="23">
        <v>0</v>
      </c>
      <c r="O5597">
        <f t="shared" si="1075"/>
        <v>-3</v>
      </c>
      <c r="P5597" s="57">
        <f t="shared" si="1076"/>
        <v>3</v>
      </c>
      <c r="Q5597" s="267">
        <f t="shared" si="1077"/>
        <v>11</v>
      </c>
      <c r="R5597" s="23">
        <f t="shared" si="1078"/>
        <v>1</v>
      </c>
      <c r="S5597" s="23">
        <f t="shared" si="1079"/>
        <v>0</v>
      </c>
      <c r="T5597" s="23" t="str">
        <f t="shared" si="1080"/>
        <v/>
      </c>
      <c r="U5597" t="str">
        <f t="shared" si="1081"/>
        <v/>
      </c>
      <c r="X5597" s="43"/>
      <c r="Y5597" s="53"/>
      <c r="Z5597" s="53"/>
      <c r="AA5597"/>
      <c r="AB5597" s="23"/>
      <c r="AF5597" s="22"/>
    </row>
    <row r="5598" spans="1:32">
      <c r="A5598" t="str">
        <f t="shared" si="1082"/>
        <v>PA_Alleg_2019p~Rep-member of council carnegie ward 1 (vote for 2)</v>
      </c>
      <c r="B5598" s="55" t="s">
        <v>1291</v>
      </c>
      <c r="C5598">
        <v>1861</v>
      </c>
      <c r="D5598" s="55" t="s">
        <v>950</v>
      </c>
      <c r="E5598" s="55" t="s">
        <v>15</v>
      </c>
      <c r="F5598" t="s">
        <v>1117</v>
      </c>
      <c r="G5598" s="62">
        <v>4</v>
      </c>
      <c r="H5598" s="25">
        <v>100</v>
      </c>
      <c r="I5598">
        <v>3043</v>
      </c>
      <c r="J5598">
        <v>254</v>
      </c>
      <c r="K5598">
        <v>4</v>
      </c>
      <c r="L5598">
        <v>4</v>
      </c>
      <c r="M5598">
        <v>0</v>
      </c>
      <c r="N5598" s="23">
        <v>0</v>
      </c>
      <c r="O5598">
        <f t="shared" si="1075"/>
        <v>0</v>
      </c>
      <c r="P5598" s="57">
        <f t="shared" si="1076"/>
        <v>2</v>
      </c>
      <c r="Q5598" s="267">
        <f t="shared" si="1077"/>
        <v>4</v>
      </c>
      <c r="R5598" s="23">
        <f t="shared" si="1078"/>
        <v>1</v>
      </c>
      <c r="S5598" s="23">
        <f t="shared" si="1079"/>
        <v>0</v>
      </c>
      <c r="T5598" s="23" t="str">
        <f t="shared" si="1080"/>
        <v/>
      </c>
      <c r="U5598" t="str">
        <f t="shared" si="1081"/>
        <v>PA_Alleg_2019p~Rep-member of council carnegie ward 1 (vote for 2)</v>
      </c>
      <c r="X5598" s="43"/>
      <c r="Y5598" s="53"/>
      <c r="Z5598" s="53"/>
      <c r="AA5598"/>
      <c r="AB5598" s="23"/>
      <c r="AF5598" s="22"/>
    </row>
    <row r="5599" spans="1:32">
      <c r="A5599" t="str">
        <f t="shared" si="1082"/>
        <v>PA_Alleg_2019p~Rep-member of council carnegie ward 2 (vote for 1)</v>
      </c>
      <c r="B5599" s="55" t="s">
        <v>1291</v>
      </c>
      <c r="C5599">
        <v>1889</v>
      </c>
      <c r="D5599" s="55" t="s">
        <v>999</v>
      </c>
      <c r="E5599" s="55" t="s">
        <v>15</v>
      </c>
      <c r="F5599" t="s">
        <v>1117</v>
      </c>
      <c r="G5599" s="62">
        <v>7</v>
      </c>
      <c r="H5599" s="25">
        <v>100</v>
      </c>
      <c r="I5599">
        <v>2661</v>
      </c>
      <c r="J5599">
        <v>301</v>
      </c>
      <c r="K5599">
        <v>4</v>
      </c>
      <c r="L5599">
        <v>4</v>
      </c>
      <c r="M5599">
        <v>0</v>
      </c>
      <c r="N5599" s="23">
        <v>0</v>
      </c>
      <c r="O5599">
        <f t="shared" si="1075"/>
        <v>0</v>
      </c>
      <c r="P5599" s="57">
        <f t="shared" si="1076"/>
        <v>1</v>
      </c>
      <c r="Q5599" s="267">
        <f t="shared" si="1077"/>
        <v>7</v>
      </c>
      <c r="R5599" s="23">
        <f t="shared" si="1078"/>
        <v>1</v>
      </c>
      <c r="S5599" s="23">
        <f t="shared" si="1079"/>
        <v>0</v>
      </c>
      <c r="T5599" s="23" t="str">
        <f t="shared" si="1080"/>
        <v/>
      </c>
      <c r="U5599" t="str">
        <f t="shared" si="1081"/>
        <v>PA_Alleg_2019p~Rep-member of council carnegie ward 2 (vote for 1)</v>
      </c>
      <c r="X5599" s="43"/>
      <c r="Y5599" s="53"/>
      <c r="Z5599" s="53"/>
      <c r="AA5599"/>
      <c r="AB5599" s="23"/>
      <c r="AF5599" s="22"/>
    </row>
    <row r="5600" spans="1:32">
      <c r="A5600" t="str">
        <f t="shared" si="1082"/>
        <v>PA_Alleg_2019p~Rep-member of council castle shannon (vote for 3)</v>
      </c>
      <c r="B5600" s="55" t="s">
        <v>1291</v>
      </c>
      <c r="C5600">
        <v>1727</v>
      </c>
      <c r="D5600" s="55" t="s">
        <v>724</v>
      </c>
      <c r="E5600" s="55" t="s">
        <v>15</v>
      </c>
      <c r="F5600" t="s">
        <v>1117</v>
      </c>
      <c r="G5600" s="62">
        <v>44</v>
      </c>
      <c r="H5600" s="25">
        <v>100</v>
      </c>
      <c r="I5600">
        <v>6107</v>
      </c>
      <c r="J5600">
        <v>771</v>
      </c>
      <c r="K5600">
        <v>8</v>
      </c>
      <c r="L5600">
        <v>8</v>
      </c>
      <c r="M5600">
        <v>0</v>
      </c>
      <c r="N5600" s="23">
        <v>0</v>
      </c>
      <c r="O5600">
        <f t="shared" si="1075"/>
        <v>0</v>
      </c>
      <c r="P5600" s="57">
        <f t="shared" si="1076"/>
        <v>3</v>
      </c>
      <c r="Q5600" s="267">
        <f t="shared" si="1077"/>
        <v>44</v>
      </c>
      <c r="R5600" s="23">
        <f t="shared" si="1078"/>
        <v>1</v>
      </c>
      <c r="S5600" s="23">
        <f t="shared" si="1079"/>
        <v>0</v>
      </c>
      <c r="T5600" s="23" t="str">
        <f t="shared" si="1080"/>
        <v/>
      </c>
      <c r="U5600" t="str">
        <f t="shared" si="1081"/>
        <v>PA_Alleg_2019p~Rep-member of council castle shannon (vote for 3)</v>
      </c>
      <c r="X5600" s="43"/>
      <c r="Y5600" s="53"/>
      <c r="Z5600" s="53"/>
      <c r="AA5600"/>
      <c r="AB5600" s="23"/>
      <c r="AF5600" s="22"/>
    </row>
    <row r="5601" spans="1:32">
      <c r="A5601" t="str">
        <f t="shared" si="1082"/>
        <v>PA_Alleg_2019p~Rep-member of council chalfant (vote for 1)</v>
      </c>
      <c r="B5601" s="55" t="s">
        <v>1291</v>
      </c>
      <c r="C5601">
        <v>1837</v>
      </c>
      <c r="D5601" s="55" t="s">
        <v>913</v>
      </c>
      <c r="E5601" s="55" t="s">
        <v>15</v>
      </c>
      <c r="F5601" t="s">
        <v>1117</v>
      </c>
      <c r="G5601" s="62">
        <v>0</v>
      </c>
      <c r="H5601" s="25">
        <v>0</v>
      </c>
      <c r="I5601">
        <v>593</v>
      </c>
      <c r="J5601">
        <v>96</v>
      </c>
      <c r="K5601">
        <v>1</v>
      </c>
      <c r="L5601">
        <v>1</v>
      </c>
      <c r="M5601">
        <v>0</v>
      </c>
      <c r="N5601" s="23">
        <v>0</v>
      </c>
      <c r="O5601">
        <f t="shared" si="1075"/>
        <v>0</v>
      </c>
      <c r="P5601" s="57">
        <f t="shared" si="1076"/>
        <v>1</v>
      </c>
      <c r="Q5601" s="267">
        <f t="shared" si="1077"/>
        <v>0</v>
      </c>
      <c r="R5601" s="23">
        <f t="shared" si="1078"/>
        <v>1</v>
      </c>
      <c r="S5601" s="23">
        <f t="shared" si="1079"/>
        <v>0</v>
      </c>
      <c r="T5601" s="23" t="str">
        <f t="shared" si="1080"/>
        <v/>
      </c>
      <c r="U5601" t="str">
        <f t="shared" si="1081"/>
        <v>PA_Alleg_2019p~Rep-member of council chalfant (vote for 1)</v>
      </c>
      <c r="X5601" s="43"/>
      <c r="Y5601" s="53"/>
      <c r="Z5601" s="53"/>
      <c r="AA5601"/>
      <c r="AB5601" s="23"/>
      <c r="AF5601" s="22"/>
    </row>
    <row r="5602" spans="1:32">
      <c r="A5602" t="str">
        <f t="shared" si="1082"/>
        <v>PA_Alleg_2019p~Rep-member of council chalfant (vote for 3)</v>
      </c>
      <c r="B5602" s="55" t="s">
        <v>1291</v>
      </c>
      <c r="C5602">
        <v>1728</v>
      </c>
      <c r="D5602" s="55" t="s">
        <v>728</v>
      </c>
      <c r="E5602" s="55" t="s">
        <v>15</v>
      </c>
      <c r="F5602" t="s">
        <v>1117</v>
      </c>
      <c r="G5602" s="62">
        <v>0</v>
      </c>
      <c r="H5602" s="25">
        <v>0</v>
      </c>
      <c r="I5602">
        <v>593</v>
      </c>
      <c r="J5602">
        <v>96</v>
      </c>
      <c r="K5602">
        <v>1</v>
      </c>
      <c r="L5602">
        <v>1</v>
      </c>
      <c r="M5602">
        <v>0</v>
      </c>
      <c r="N5602" s="23">
        <v>0</v>
      </c>
      <c r="O5602">
        <f t="shared" si="1075"/>
        <v>0</v>
      </c>
      <c r="P5602" s="57">
        <f t="shared" si="1076"/>
        <v>3</v>
      </c>
      <c r="Q5602" s="267">
        <f t="shared" si="1077"/>
        <v>0</v>
      </c>
      <c r="R5602" s="23">
        <f t="shared" si="1078"/>
        <v>1</v>
      </c>
      <c r="S5602" s="23">
        <f t="shared" si="1079"/>
        <v>0</v>
      </c>
      <c r="T5602" s="23" t="str">
        <f t="shared" si="1080"/>
        <v/>
      </c>
      <c r="U5602" t="str">
        <f t="shared" si="1081"/>
        <v>PA_Alleg_2019p~Rep-member of council chalfant (vote for 3)</v>
      </c>
      <c r="X5602" s="43"/>
      <c r="Y5602" s="53"/>
      <c r="Z5602" s="53"/>
      <c r="AA5602"/>
      <c r="AB5602" s="23"/>
      <c r="AF5602" s="22"/>
    </row>
    <row r="5603" spans="1:32">
      <c r="A5603" t="str">
        <f t="shared" si="1082"/>
        <v>PA_Alleg_2019p~Rep-member of council cheswick (vote for 1)</v>
      </c>
      <c r="B5603" s="55" t="s">
        <v>1291</v>
      </c>
      <c r="C5603">
        <v>1838</v>
      </c>
      <c r="D5603" s="55" t="s">
        <v>915</v>
      </c>
      <c r="E5603" s="55" t="s">
        <v>1188</v>
      </c>
      <c r="F5603" t="s">
        <v>1117</v>
      </c>
      <c r="G5603" s="62">
        <v>61</v>
      </c>
      <c r="H5603" s="25">
        <v>95.31</v>
      </c>
      <c r="I5603">
        <v>1271</v>
      </c>
      <c r="J5603">
        <v>266</v>
      </c>
      <c r="K5603">
        <v>2</v>
      </c>
      <c r="L5603">
        <v>2</v>
      </c>
      <c r="M5603">
        <v>0</v>
      </c>
      <c r="N5603" s="23">
        <v>0</v>
      </c>
      <c r="O5603">
        <f t="shared" si="1075"/>
        <v>1</v>
      </c>
      <c r="P5603" s="57">
        <f t="shared" si="1076"/>
        <v>1</v>
      </c>
      <c r="Q5603" s="267">
        <f t="shared" si="1077"/>
        <v>64</v>
      </c>
      <c r="R5603" s="23">
        <f t="shared" si="1078"/>
        <v>61</v>
      </c>
      <c r="S5603" s="23">
        <f t="shared" si="1079"/>
        <v>0</v>
      </c>
      <c r="T5603" s="23" t="str">
        <f t="shared" si="1080"/>
        <v/>
      </c>
      <c r="U5603" t="str">
        <f t="shared" si="1081"/>
        <v>PA_Alleg_2019p~Rep-member of council cheswick (vote for 1)</v>
      </c>
      <c r="X5603" s="43"/>
      <c r="Y5603" s="53"/>
      <c r="Z5603" s="53"/>
      <c r="AA5603"/>
      <c r="AB5603" s="23"/>
      <c r="AF5603" s="22"/>
    </row>
    <row r="5604" spans="1:32">
      <c r="A5604" t="str">
        <f t="shared" si="1082"/>
        <v>PA_Alleg_2019p~Rep-member of council cheswick (vote for 1)</v>
      </c>
      <c r="B5604" s="55" t="s">
        <v>1291</v>
      </c>
      <c r="C5604">
        <v>1839</v>
      </c>
      <c r="D5604" s="55" t="s">
        <v>915</v>
      </c>
      <c r="E5604" s="55" t="s">
        <v>15</v>
      </c>
      <c r="F5604" t="s">
        <v>1117</v>
      </c>
      <c r="G5604" s="62">
        <v>3</v>
      </c>
      <c r="H5604" s="25">
        <v>4.6900000000000004</v>
      </c>
      <c r="I5604">
        <v>1271</v>
      </c>
      <c r="J5604">
        <v>266</v>
      </c>
      <c r="K5604">
        <v>2</v>
      </c>
      <c r="L5604">
        <v>2</v>
      </c>
      <c r="M5604">
        <v>0</v>
      </c>
      <c r="N5604" s="23">
        <v>0</v>
      </c>
      <c r="O5604">
        <f t="shared" si="1075"/>
        <v>-1</v>
      </c>
      <c r="P5604" s="57">
        <f t="shared" si="1076"/>
        <v>1</v>
      </c>
      <c r="Q5604" s="267">
        <f t="shared" si="1077"/>
        <v>3</v>
      </c>
      <c r="R5604" s="23">
        <f t="shared" si="1078"/>
        <v>1</v>
      </c>
      <c r="S5604" s="23">
        <f t="shared" si="1079"/>
        <v>0</v>
      </c>
      <c r="T5604" s="23" t="str">
        <f t="shared" si="1080"/>
        <v/>
      </c>
      <c r="U5604" t="str">
        <f t="shared" si="1081"/>
        <v/>
      </c>
      <c r="X5604" s="43"/>
      <c r="Y5604" s="53"/>
      <c r="Z5604" s="53"/>
      <c r="AA5604"/>
      <c r="AB5604" s="23"/>
      <c r="AF5604" s="22"/>
    </row>
    <row r="5605" spans="1:32">
      <c r="A5605" t="str">
        <f t="shared" si="1082"/>
        <v>PA_Alleg_2019p~Rep-member of council cheswick (vote for 3)</v>
      </c>
      <c r="B5605" s="55" t="s">
        <v>1291</v>
      </c>
      <c r="C5605">
        <v>1729</v>
      </c>
      <c r="D5605" s="55" t="s">
        <v>732</v>
      </c>
      <c r="E5605" s="55" t="s">
        <v>1187</v>
      </c>
      <c r="F5605" t="s">
        <v>1117</v>
      </c>
      <c r="G5605" s="62">
        <v>67</v>
      </c>
      <c r="H5605" s="25">
        <v>51.15</v>
      </c>
      <c r="I5605">
        <v>1271</v>
      </c>
      <c r="J5605">
        <v>266</v>
      </c>
      <c r="K5605">
        <v>2</v>
      </c>
      <c r="L5605">
        <v>2</v>
      </c>
      <c r="M5605">
        <v>0</v>
      </c>
      <c r="N5605" s="23">
        <v>0</v>
      </c>
      <c r="O5605">
        <f t="shared" si="1075"/>
        <v>1</v>
      </c>
      <c r="P5605" s="57">
        <f t="shared" si="1076"/>
        <v>3</v>
      </c>
      <c r="Q5605" s="267">
        <f t="shared" si="1077"/>
        <v>67</v>
      </c>
      <c r="R5605" s="23">
        <f t="shared" si="1078"/>
        <v>1</v>
      </c>
      <c r="S5605" s="23">
        <f t="shared" si="1079"/>
        <v>0</v>
      </c>
      <c r="T5605" s="23" t="str">
        <f t="shared" si="1080"/>
        <v/>
      </c>
      <c r="U5605" t="str">
        <f t="shared" si="1081"/>
        <v>PA_Alleg_2019p~Rep-member of council cheswick (vote for 3)</v>
      </c>
      <c r="X5605" s="43"/>
      <c r="Y5605" s="53"/>
      <c r="Z5605" s="53"/>
      <c r="AA5605"/>
      <c r="AB5605" s="23"/>
      <c r="AF5605" s="22"/>
    </row>
    <row r="5606" spans="1:32">
      <c r="A5606" t="str">
        <f t="shared" si="1082"/>
        <v>PA_Alleg_2019p~Rep-member of council cheswick (vote for 3)</v>
      </c>
      <c r="B5606" s="55" t="s">
        <v>1291</v>
      </c>
      <c r="C5606">
        <v>1730</v>
      </c>
      <c r="D5606" s="55" t="s">
        <v>732</v>
      </c>
      <c r="E5606" s="55" t="s">
        <v>1188</v>
      </c>
      <c r="F5606" t="s">
        <v>1117</v>
      </c>
      <c r="G5606" s="62">
        <v>59</v>
      </c>
      <c r="H5606" s="25">
        <v>45.04</v>
      </c>
      <c r="I5606">
        <v>1271</v>
      </c>
      <c r="J5606">
        <v>266</v>
      </c>
      <c r="K5606">
        <v>2</v>
      </c>
      <c r="L5606">
        <v>2</v>
      </c>
      <c r="M5606">
        <v>0</v>
      </c>
      <c r="N5606" s="23">
        <v>0</v>
      </c>
      <c r="O5606">
        <f t="shared" si="1075"/>
        <v>2</v>
      </c>
      <c r="P5606" s="57">
        <f t="shared" si="1076"/>
        <v>3</v>
      </c>
      <c r="Q5606" s="267">
        <f t="shared" si="1077"/>
        <v>64</v>
      </c>
      <c r="R5606" s="23">
        <f t="shared" si="1078"/>
        <v>1</v>
      </c>
      <c r="S5606" s="23">
        <f t="shared" si="1079"/>
        <v>0</v>
      </c>
      <c r="T5606" s="23" t="str">
        <f t="shared" si="1080"/>
        <v/>
      </c>
      <c r="U5606" t="str">
        <f t="shared" si="1081"/>
        <v/>
      </c>
      <c r="X5606" s="43"/>
      <c r="Y5606" s="53"/>
      <c r="Z5606" s="53"/>
      <c r="AA5606"/>
      <c r="AB5606" s="23"/>
      <c r="AF5606" s="22"/>
    </row>
    <row r="5607" spans="1:32">
      <c r="A5607" t="str">
        <f t="shared" si="1082"/>
        <v>PA_Alleg_2019p~Rep-member of council cheswick (vote for 3)</v>
      </c>
      <c r="B5607" s="55" t="s">
        <v>1291</v>
      </c>
      <c r="C5607">
        <v>1731</v>
      </c>
      <c r="D5607" s="55" t="s">
        <v>732</v>
      </c>
      <c r="E5607" s="55" t="s">
        <v>15</v>
      </c>
      <c r="F5607" t="s">
        <v>1117</v>
      </c>
      <c r="G5607" s="62">
        <v>5</v>
      </c>
      <c r="H5607" s="25">
        <v>3.82</v>
      </c>
      <c r="I5607">
        <v>1271</v>
      </c>
      <c r="J5607">
        <v>266</v>
      </c>
      <c r="K5607">
        <v>2</v>
      </c>
      <c r="L5607">
        <v>2</v>
      </c>
      <c r="M5607">
        <v>0</v>
      </c>
      <c r="N5607" s="23">
        <v>0</v>
      </c>
      <c r="O5607">
        <f t="shared" si="1075"/>
        <v>-2</v>
      </c>
      <c r="P5607" s="57">
        <f t="shared" si="1076"/>
        <v>3</v>
      </c>
      <c r="Q5607" s="267">
        <f t="shared" si="1077"/>
        <v>5</v>
      </c>
      <c r="R5607" s="23">
        <f t="shared" si="1078"/>
        <v>1</v>
      </c>
      <c r="S5607" s="23">
        <f t="shared" si="1079"/>
        <v>0</v>
      </c>
      <c r="T5607" s="23" t="str">
        <f t="shared" si="1080"/>
        <v/>
      </c>
      <c r="U5607" t="str">
        <f t="shared" si="1081"/>
        <v/>
      </c>
      <c r="X5607" s="43"/>
      <c r="Y5607" s="53"/>
      <c r="Z5607" s="53"/>
      <c r="AA5607"/>
      <c r="AB5607" s="23"/>
      <c r="AF5607" s="22"/>
    </row>
    <row r="5608" spans="1:32">
      <c r="A5608" t="str">
        <f t="shared" si="1082"/>
        <v>PA_Alleg_2019p~Rep-member of council churchill (vote for 3)</v>
      </c>
      <c r="B5608" s="55" t="s">
        <v>1291</v>
      </c>
      <c r="C5608">
        <v>1732</v>
      </c>
      <c r="D5608" s="55" t="s">
        <v>733</v>
      </c>
      <c r="E5608" s="55" t="s">
        <v>15</v>
      </c>
      <c r="F5608" t="s">
        <v>1117</v>
      </c>
      <c r="G5608" s="62">
        <v>17</v>
      </c>
      <c r="H5608" s="25">
        <v>100</v>
      </c>
      <c r="I5608">
        <v>2794</v>
      </c>
      <c r="J5608">
        <v>615</v>
      </c>
      <c r="K5608">
        <v>4</v>
      </c>
      <c r="L5608">
        <v>4</v>
      </c>
      <c r="M5608">
        <v>0</v>
      </c>
      <c r="N5608" s="23">
        <v>0</v>
      </c>
      <c r="O5608">
        <f t="shared" si="1075"/>
        <v>0</v>
      </c>
      <c r="P5608" s="57">
        <f t="shared" si="1076"/>
        <v>3</v>
      </c>
      <c r="Q5608" s="267">
        <f t="shared" si="1077"/>
        <v>17</v>
      </c>
      <c r="R5608" s="23">
        <f t="shared" si="1078"/>
        <v>1</v>
      </c>
      <c r="S5608" s="23">
        <f t="shared" si="1079"/>
        <v>0</v>
      </c>
      <c r="T5608" s="23" t="str">
        <f t="shared" si="1080"/>
        <v/>
      </c>
      <c r="U5608" t="str">
        <f t="shared" si="1081"/>
        <v>PA_Alleg_2019p~Rep-member of council churchill (vote for 3)</v>
      </c>
      <c r="X5608" s="43"/>
      <c r="Y5608" s="53"/>
      <c r="Z5608" s="53"/>
      <c r="AA5608"/>
      <c r="AB5608" s="23"/>
      <c r="AF5608" s="22"/>
    </row>
    <row r="5609" spans="1:32">
      <c r="A5609" t="str">
        <f t="shared" si="1082"/>
        <v>PA_Alleg_2019p~Rep-member of council clairton ward 1 (vote for 1)</v>
      </c>
      <c r="B5609" s="55" t="s">
        <v>1291</v>
      </c>
      <c r="C5609">
        <v>1890</v>
      </c>
      <c r="D5609" s="55" t="s">
        <v>1001</v>
      </c>
      <c r="E5609" s="55" t="s">
        <v>15</v>
      </c>
      <c r="F5609" t="s">
        <v>1117</v>
      </c>
      <c r="G5609" s="62">
        <v>14</v>
      </c>
      <c r="H5609" s="25">
        <v>100</v>
      </c>
      <c r="I5609">
        <v>1137</v>
      </c>
      <c r="J5609">
        <v>183</v>
      </c>
      <c r="K5609">
        <v>3</v>
      </c>
      <c r="L5609">
        <v>3</v>
      </c>
      <c r="M5609">
        <v>0</v>
      </c>
      <c r="N5609" s="23">
        <v>0</v>
      </c>
      <c r="O5609">
        <f t="shared" si="1075"/>
        <v>0</v>
      </c>
      <c r="P5609" s="57">
        <f t="shared" si="1076"/>
        <v>1</v>
      </c>
      <c r="Q5609" s="267">
        <f t="shared" si="1077"/>
        <v>14</v>
      </c>
      <c r="R5609" s="23">
        <f t="shared" si="1078"/>
        <v>1</v>
      </c>
      <c r="S5609" s="23">
        <f t="shared" si="1079"/>
        <v>0</v>
      </c>
      <c r="T5609" s="23" t="str">
        <f t="shared" si="1080"/>
        <v/>
      </c>
      <c r="U5609" t="str">
        <f t="shared" si="1081"/>
        <v>PA_Alleg_2019p~Rep-member of council clairton ward 1 (vote for 1)</v>
      </c>
      <c r="X5609" s="43"/>
      <c r="Y5609" s="53"/>
      <c r="Z5609" s="53"/>
      <c r="AA5609"/>
      <c r="AB5609" s="23"/>
      <c r="AF5609" s="22"/>
    </row>
    <row r="5610" spans="1:32">
      <c r="A5610" t="str">
        <f t="shared" si="1082"/>
        <v>PA_Alleg_2019p~Rep-member of council clairton ward 4 (vote for 1)</v>
      </c>
      <c r="B5610" s="55" t="s">
        <v>1291</v>
      </c>
      <c r="C5610">
        <v>1891</v>
      </c>
      <c r="D5610" s="55" t="s">
        <v>1003</v>
      </c>
      <c r="E5610" s="55" t="s">
        <v>15</v>
      </c>
      <c r="F5610" t="s">
        <v>1117</v>
      </c>
      <c r="G5610" s="62">
        <v>14</v>
      </c>
      <c r="H5610" s="25">
        <v>100</v>
      </c>
      <c r="I5610">
        <v>1227</v>
      </c>
      <c r="J5610">
        <v>263</v>
      </c>
      <c r="K5610">
        <v>3</v>
      </c>
      <c r="L5610">
        <v>3</v>
      </c>
      <c r="M5610">
        <v>0</v>
      </c>
      <c r="N5610" s="23">
        <v>0</v>
      </c>
      <c r="O5610">
        <f t="shared" si="1075"/>
        <v>0</v>
      </c>
      <c r="P5610" s="57">
        <f t="shared" si="1076"/>
        <v>1</v>
      </c>
      <c r="Q5610" s="267">
        <f t="shared" si="1077"/>
        <v>14</v>
      </c>
      <c r="R5610" s="23">
        <f t="shared" si="1078"/>
        <v>1</v>
      </c>
      <c r="S5610" s="23">
        <f t="shared" si="1079"/>
        <v>0</v>
      </c>
      <c r="T5610" s="23" t="str">
        <f t="shared" si="1080"/>
        <v/>
      </c>
      <c r="U5610" t="str">
        <f t="shared" si="1081"/>
        <v>PA_Alleg_2019p~Rep-member of council clairton ward 4 (vote for 1)</v>
      </c>
      <c r="X5610" s="43"/>
      <c r="Y5610" s="53"/>
      <c r="Z5610" s="53"/>
      <c r="AA5610"/>
      <c r="AB5610" s="23"/>
      <c r="AF5610" s="22"/>
    </row>
    <row r="5611" spans="1:32">
      <c r="A5611" t="str">
        <f t="shared" si="1082"/>
        <v>PA_Alleg_2019p~Rep-member of council coraopolis ward 1 (vote for 1)</v>
      </c>
      <c r="B5611" s="55" t="s">
        <v>1291</v>
      </c>
      <c r="C5611">
        <v>1892</v>
      </c>
      <c r="D5611" s="55" t="s">
        <v>1006</v>
      </c>
      <c r="E5611" s="55" t="s">
        <v>15</v>
      </c>
      <c r="F5611" t="s">
        <v>1117</v>
      </c>
      <c r="G5611" s="62">
        <v>5</v>
      </c>
      <c r="H5611" s="25">
        <v>100</v>
      </c>
      <c r="I5611">
        <v>994</v>
      </c>
      <c r="J5611">
        <v>185</v>
      </c>
      <c r="K5611">
        <v>2</v>
      </c>
      <c r="L5611">
        <v>2</v>
      </c>
      <c r="M5611">
        <v>0</v>
      </c>
      <c r="N5611" s="23">
        <v>0</v>
      </c>
      <c r="O5611">
        <f t="shared" si="1075"/>
        <v>0</v>
      </c>
      <c r="P5611" s="57">
        <f t="shared" si="1076"/>
        <v>1</v>
      </c>
      <c r="Q5611" s="267">
        <f t="shared" si="1077"/>
        <v>5</v>
      </c>
      <c r="R5611" s="23">
        <f t="shared" si="1078"/>
        <v>1</v>
      </c>
      <c r="S5611" s="23">
        <f t="shared" si="1079"/>
        <v>0</v>
      </c>
      <c r="T5611" s="23" t="str">
        <f t="shared" si="1080"/>
        <v/>
      </c>
      <c r="U5611" t="str">
        <f t="shared" si="1081"/>
        <v>PA_Alleg_2019p~Rep-member of council coraopolis ward 1 (vote for 1)</v>
      </c>
      <c r="X5611" s="43"/>
      <c r="Y5611" s="53"/>
      <c r="Z5611" s="53"/>
      <c r="AA5611"/>
      <c r="AB5611" s="23"/>
      <c r="AF5611" s="22"/>
    </row>
    <row r="5612" spans="1:32">
      <c r="A5612" t="str">
        <f t="shared" si="1082"/>
        <v>PA_Alleg_2019p~Rep-member of council coraopolis ward 2 (vote for 1)</v>
      </c>
      <c r="B5612" s="55" t="s">
        <v>1291</v>
      </c>
      <c r="C5612">
        <v>1893</v>
      </c>
      <c r="D5612" s="55" t="s">
        <v>1008</v>
      </c>
      <c r="E5612" s="55" t="s">
        <v>15</v>
      </c>
      <c r="F5612" t="s">
        <v>1117</v>
      </c>
      <c r="G5612" s="62">
        <v>5</v>
      </c>
      <c r="H5612" s="25">
        <v>100</v>
      </c>
      <c r="I5612">
        <v>827</v>
      </c>
      <c r="J5612">
        <v>166</v>
      </c>
      <c r="K5612">
        <v>1</v>
      </c>
      <c r="L5612">
        <v>1</v>
      </c>
      <c r="M5612">
        <v>0</v>
      </c>
      <c r="N5612" s="23">
        <v>0</v>
      </c>
      <c r="O5612">
        <f t="shared" si="1075"/>
        <v>0</v>
      </c>
      <c r="P5612" s="57">
        <f t="shared" si="1076"/>
        <v>1</v>
      </c>
      <c r="Q5612" s="267">
        <f t="shared" si="1077"/>
        <v>5</v>
      </c>
      <c r="R5612" s="23">
        <f t="shared" si="1078"/>
        <v>1</v>
      </c>
      <c r="S5612" s="23">
        <f t="shared" si="1079"/>
        <v>0</v>
      </c>
      <c r="T5612" s="23" t="str">
        <f t="shared" si="1080"/>
        <v/>
      </c>
      <c r="U5612" t="str">
        <f t="shared" si="1081"/>
        <v>PA_Alleg_2019p~Rep-member of council coraopolis ward 2 (vote for 1)</v>
      </c>
      <c r="X5612" s="43"/>
      <c r="Y5612" s="53"/>
      <c r="Z5612" s="53"/>
      <c r="AA5612"/>
      <c r="AB5612" s="23"/>
      <c r="AF5612" s="22"/>
    </row>
    <row r="5613" spans="1:32">
      <c r="A5613" t="str">
        <f t="shared" si="1082"/>
        <v>PA_Alleg_2019p~Rep-member of council coraopolis ward 3 (vote for 1)</v>
      </c>
      <c r="B5613" s="55" t="s">
        <v>1291</v>
      </c>
      <c r="C5613">
        <v>1894</v>
      </c>
      <c r="D5613" s="55" t="s">
        <v>1010</v>
      </c>
      <c r="E5613" s="55" t="s">
        <v>15</v>
      </c>
      <c r="F5613" t="s">
        <v>1117</v>
      </c>
      <c r="G5613" s="62">
        <v>18</v>
      </c>
      <c r="H5613" s="25">
        <v>100</v>
      </c>
      <c r="I5613">
        <v>1201</v>
      </c>
      <c r="J5613">
        <v>239</v>
      </c>
      <c r="K5613">
        <v>2</v>
      </c>
      <c r="L5613">
        <v>2</v>
      </c>
      <c r="M5613">
        <v>0</v>
      </c>
      <c r="N5613" s="23">
        <v>0</v>
      </c>
      <c r="O5613">
        <f t="shared" si="1075"/>
        <v>0</v>
      </c>
      <c r="P5613" s="57">
        <f t="shared" si="1076"/>
        <v>1</v>
      </c>
      <c r="Q5613" s="267">
        <f t="shared" si="1077"/>
        <v>33</v>
      </c>
      <c r="R5613" s="23">
        <f t="shared" si="1078"/>
        <v>1</v>
      </c>
      <c r="S5613" s="23">
        <f t="shared" si="1079"/>
        <v>0</v>
      </c>
      <c r="T5613" s="23" t="str">
        <f t="shared" si="1080"/>
        <v/>
      </c>
      <c r="U5613" t="str">
        <f t="shared" si="1081"/>
        <v>PA_Alleg_2019p~Rep-member of council coraopolis ward 3 (vote for 1)</v>
      </c>
      <c r="X5613" s="43"/>
      <c r="Y5613" s="53"/>
      <c r="Z5613" s="53"/>
      <c r="AA5613"/>
      <c r="AB5613" s="23"/>
      <c r="AF5613" s="22"/>
    </row>
    <row r="5614" spans="1:32">
      <c r="A5614" t="str">
        <f t="shared" si="1082"/>
        <v>PA_Alleg_2019p~Rep-member of council coraopolis ward 3 (vote for 1)</v>
      </c>
      <c r="B5614" s="55" t="s">
        <v>1291</v>
      </c>
      <c r="C5614">
        <v>1939</v>
      </c>
      <c r="D5614" s="55" t="s">
        <v>1075</v>
      </c>
      <c r="E5614" s="55" t="s">
        <v>15</v>
      </c>
      <c r="F5614" t="s">
        <v>1117</v>
      </c>
      <c r="G5614" s="62">
        <v>15</v>
      </c>
      <c r="H5614" s="25">
        <v>100</v>
      </c>
      <c r="I5614">
        <v>1201</v>
      </c>
      <c r="J5614">
        <v>239</v>
      </c>
      <c r="K5614">
        <v>2</v>
      </c>
      <c r="L5614">
        <v>2</v>
      </c>
      <c r="M5614">
        <v>0</v>
      </c>
      <c r="N5614" s="23">
        <v>0</v>
      </c>
      <c r="O5614">
        <f t="shared" si="1075"/>
        <v>0</v>
      </c>
      <c r="P5614" s="57">
        <f t="shared" si="1076"/>
        <v>1</v>
      </c>
      <c r="Q5614" s="267">
        <f t="shared" si="1077"/>
        <v>15</v>
      </c>
      <c r="R5614" s="23">
        <f t="shared" si="1078"/>
        <v>1</v>
      </c>
      <c r="S5614" s="23">
        <f t="shared" si="1079"/>
        <v>0</v>
      </c>
      <c r="T5614" s="23" t="str">
        <f t="shared" si="1080"/>
        <v/>
      </c>
      <c r="U5614" t="str">
        <f t="shared" si="1081"/>
        <v/>
      </c>
      <c r="X5614" s="43"/>
      <c r="Y5614" s="53"/>
      <c r="Z5614" s="53"/>
      <c r="AA5614"/>
      <c r="AB5614" s="23"/>
      <c r="AF5614" s="22"/>
    </row>
    <row r="5615" spans="1:32">
      <c r="A5615" t="str">
        <f t="shared" si="1082"/>
        <v>PA_Alleg_2019p~Rep-member of council coraopolis ward 4 (vote for 1)</v>
      </c>
      <c r="B5615" s="55" t="s">
        <v>1291</v>
      </c>
      <c r="C5615">
        <v>1895</v>
      </c>
      <c r="D5615" s="55" t="s">
        <v>1013</v>
      </c>
      <c r="E5615" s="55" t="s">
        <v>15</v>
      </c>
      <c r="F5615" t="s">
        <v>1117</v>
      </c>
      <c r="G5615" s="62">
        <v>8</v>
      </c>
      <c r="H5615" s="25">
        <v>100</v>
      </c>
      <c r="I5615">
        <v>1001</v>
      </c>
      <c r="J5615">
        <v>232</v>
      </c>
      <c r="K5615">
        <v>2</v>
      </c>
      <c r="L5615">
        <v>2</v>
      </c>
      <c r="M5615">
        <v>0</v>
      </c>
      <c r="N5615" s="23">
        <v>0</v>
      </c>
      <c r="O5615">
        <f t="shared" si="1075"/>
        <v>0</v>
      </c>
      <c r="P5615" s="57">
        <f t="shared" si="1076"/>
        <v>1</v>
      </c>
      <c r="Q5615" s="267">
        <f t="shared" si="1077"/>
        <v>8</v>
      </c>
      <c r="R5615" s="23">
        <f t="shared" si="1078"/>
        <v>1</v>
      </c>
      <c r="S5615" s="23">
        <f t="shared" si="1079"/>
        <v>0</v>
      </c>
      <c r="T5615" s="23" t="str">
        <f t="shared" si="1080"/>
        <v/>
      </c>
      <c r="U5615" t="str">
        <f t="shared" si="1081"/>
        <v>PA_Alleg_2019p~Rep-member of council coraopolis ward 4 (vote for 1)</v>
      </c>
      <c r="X5615" s="43"/>
      <c r="Y5615" s="53"/>
      <c r="Z5615" s="53"/>
      <c r="AA5615"/>
      <c r="AB5615" s="23"/>
      <c r="AF5615" s="22"/>
    </row>
    <row r="5616" spans="1:32">
      <c r="A5616" t="str">
        <f t="shared" si="1082"/>
        <v>PA_Alleg_2019p~Rep-member of council crafton (vote for 3)</v>
      </c>
      <c r="B5616" s="55" t="s">
        <v>1291</v>
      </c>
      <c r="C5616">
        <v>1733</v>
      </c>
      <c r="D5616" s="55" t="s">
        <v>737</v>
      </c>
      <c r="E5616" s="55" t="s">
        <v>15</v>
      </c>
      <c r="F5616" t="s">
        <v>1117</v>
      </c>
      <c r="G5616" s="62">
        <v>95</v>
      </c>
      <c r="H5616" s="25">
        <v>100</v>
      </c>
      <c r="I5616">
        <v>4603</v>
      </c>
      <c r="J5616">
        <v>610</v>
      </c>
      <c r="K5616">
        <v>6</v>
      </c>
      <c r="L5616">
        <v>6</v>
      </c>
      <c r="M5616">
        <v>0</v>
      </c>
      <c r="N5616" s="23">
        <v>0</v>
      </c>
      <c r="O5616">
        <f t="shared" si="1075"/>
        <v>0</v>
      </c>
      <c r="P5616" s="57">
        <f t="shared" si="1076"/>
        <v>3</v>
      </c>
      <c r="Q5616" s="267">
        <f t="shared" si="1077"/>
        <v>95</v>
      </c>
      <c r="R5616" s="23">
        <f t="shared" si="1078"/>
        <v>1</v>
      </c>
      <c r="S5616" s="23">
        <f t="shared" si="1079"/>
        <v>0</v>
      </c>
      <c r="T5616" s="23" t="str">
        <f t="shared" si="1080"/>
        <v/>
      </c>
      <c r="U5616" t="str">
        <f t="shared" si="1081"/>
        <v>PA_Alleg_2019p~Rep-member of council crafton (vote for 3)</v>
      </c>
      <c r="X5616" s="43"/>
      <c r="Y5616" s="53"/>
      <c r="Z5616" s="53"/>
      <c r="AA5616"/>
      <c r="AB5616" s="23"/>
      <c r="AF5616" s="22"/>
    </row>
    <row r="5617" spans="1:32">
      <c r="A5617" t="str">
        <f t="shared" si="1082"/>
        <v>PA_Alleg_2019p~Rep-member of council district 1 (vote for 1)</v>
      </c>
      <c r="B5617" s="55" t="s">
        <v>1291</v>
      </c>
      <c r="C5617">
        <v>1169</v>
      </c>
      <c r="D5617" s="55" t="s">
        <v>51</v>
      </c>
      <c r="E5617" s="55" t="s">
        <v>15</v>
      </c>
      <c r="F5617" t="s">
        <v>1117</v>
      </c>
      <c r="G5617" s="62">
        <v>68</v>
      </c>
      <c r="H5617" s="25">
        <v>100</v>
      </c>
      <c r="I5617">
        <v>24216</v>
      </c>
      <c r="J5617">
        <v>4986</v>
      </c>
      <c r="K5617">
        <v>39</v>
      </c>
      <c r="L5617">
        <v>39</v>
      </c>
      <c r="M5617">
        <v>0</v>
      </c>
      <c r="N5617" s="23">
        <v>0</v>
      </c>
      <c r="O5617">
        <f t="shared" si="1075"/>
        <v>0</v>
      </c>
      <c r="P5617" s="57">
        <f t="shared" si="1076"/>
        <v>1</v>
      </c>
      <c r="Q5617" s="267">
        <f t="shared" si="1077"/>
        <v>68</v>
      </c>
      <c r="R5617" s="23">
        <f t="shared" si="1078"/>
        <v>1</v>
      </c>
      <c r="S5617" s="23">
        <f t="shared" si="1079"/>
        <v>0</v>
      </c>
      <c r="T5617" s="23" t="str">
        <f t="shared" si="1080"/>
        <v/>
      </c>
      <c r="U5617" t="str">
        <f t="shared" si="1081"/>
        <v>PA_Alleg_2019p~Rep-member of council district 1 (vote for 1)</v>
      </c>
      <c r="X5617" s="43"/>
      <c r="Y5617" s="53"/>
      <c r="Z5617" s="53"/>
      <c r="AA5617"/>
      <c r="AB5617" s="23"/>
      <c r="AF5617" s="22"/>
    </row>
    <row r="5618" spans="1:32">
      <c r="A5618" t="str">
        <f t="shared" si="1082"/>
        <v>PA_Alleg_2019p~Rep-member of council district 3 (vote for 1)</v>
      </c>
      <c r="B5618" s="55" t="s">
        <v>1291</v>
      </c>
      <c r="C5618">
        <v>1170</v>
      </c>
      <c r="D5618" s="55" t="s">
        <v>55</v>
      </c>
      <c r="E5618" s="55" t="s">
        <v>15</v>
      </c>
      <c r="F5618" t="s">
        <v>1117</v>
      </c>
      <c r="G5618" s="62">
        <v>37</v>
      </c>
      <c r="H5618" s="25">
        <v>100</v>
      </c>
      <c r="I5618">
        <v>30395</v>
      </c>
      <c r="J5618">
        <v>3001</v>
      </c>
      <c r="K5618">
        <v>41</v>
      </c>
      <c r="L5618">
        <v>41</v>
      </c>
      <c r="M5618">
        <v>0</v>
      </c>
      <c r="N5618" s="23">
        <v>0</v>
      </c>
      <c r="O5618">
        <f t="shared" si="1075"/>
        <v>0</v>
      </c>
      <c r="P5618" s="57">
        <f t="shared" si="1076"/>
        <v>1</v>
      </c>
      <c r="Q5618" s="267">
        <f t="shared" si="1077"/>
        <v>37</v>
      </c>
      <c r="R5618" s="23">
        <f t="shared" si="1078"/>
        <v>1</v>
      </c>
      <c r="S5618" s="23">
        <f t="shared" si="1079"/>
        <v>0</v>
      </c>
      <c r="T5618" s="23" t="str">
        <f t="shared" si="1080"/>
        <v/>
      </c>
      <c r="U5618" t="str">
        <f t="shared" si="1081"/>
        <v>PA_Alleg_2019p~Rep-member of council district 3 (vote for 1)</v>
      </c>
      <c r="X5618" s="43"/>
      <c r="Y5618" s="53"/>
      <c r="Z5618" s="53"/>
      <c r="AA5618"/>
      <c r="AB5618" s="23"/>
      <c r="AF5618" s="22"/>
    </row>
    <row r="5619" spans="1:32">
      <c r="A5619" t="str">
        <f t="shared" si="1082"/>
        <v>PA_Alleg_2019p~Rep-member of council district 5 (vote for 1)</v>
      </c>
      <c r="B5619" s="55" t="s">
        <v>1291</v>
      </c>
      <c r="C5619">
        <v>1171</v>
      </c>
      <c r="D5619" s="55" t="s">
        <v>59</v>
      </c>
      <c r="E5619" s="55" t="s">
        <v>15</v>
      </c>
      <c r="F5619" t="s">
        <v>1117</v>
      </c>
      <c r="G5619" s="62">
        <v>34</v>
      </c>
      <c r="H5619" s="25">
        <v>100</v>
      </c>
      <c r="I5619">
        <v>27899</v>
      </c>
      <c r="J5619">
        <v>5418</v>
      </c>
      <c r="K5619">
        <v>47</v>
      </c>
      <c r="L5619">
        <v>47</v>
      </c>
      <c r="M5619">
        <v>0</v>
      </c>
      <c r="N5619" s="23">
        <v>0</v>
      </c>
      <c r="O5619">
        <f t="shared" si="1075"/>
        <v>0</v>
      </c>
      <c r="P5619" s="57">
        <f t="shared" si="1076"/>
        <v>1</v>
      </c>
      <c r="Q5619" s="267">
        <f t="shared" si="1077"/>
        <v>34</v>
      </c>
      <c r="R5619" s="23">
        <f t="shared" si="1078"/>
        <v>1</v>
      </c>
      <c r="S5619" s="23">
        <f t="shared" si="1079"/>
        <v>0</v>
      </c>
      <c r="T5619" s="23" t="str">
        <f t="shared" si="1080"/>
        <v/>
      </c>
      <c r="U5619" t="str">
        <f t="shared" si="1081"/>
        <v>PA_Alleg_2019p~Rep-member of council district 5 (vote for 1)</v>
      </c>
      <c r="X5619" s="43"/>
      <c r="Y5619" s="53"/>
      <c r="Z5619" s="53"/>
      <c r="AA5619"/>
      <c r="AB5619" s="23"/>
      <c r="AF5619" s="22"/>
    </row>
    <row r="5620" spans="1:32">
      <c r="A5620" t="str">
        <f t="shared" si="1082"/>
        <v>PA_Alleg_2019p~Rep-member of council district 7 (vote for 1)</v>
      </c>
      <c r="B5620" s="55" t="s">
        <v>1291</v>
      </c>
      <c r="C5620">
        <v>1172</v>
      </c>
      <c r="D5620" s="55" t="s">
        <v>61</v>
      </c>
      <c r="E5620" s="55" t="s">
        <v>15</v>
      </c>
      <c r="F5620" t="s">
        <v>1117</v>
      </c>
      <c r="G5620" s="62">
        <v>30</v>
      </c>
      <c r="H5620" s="25">
        <v>100</v>
      </c>
      <c r="I5620">
        <v>31186</v>
      </c>
      <c r="J5620">
        <v>6432</v>
      </c>
      <c r="K5620">
        <v>46</v>
      </c>
      <c r="L5620">
        <v>46</v>
      </c>
      <c r="M5620">
        <v>0</v>
      </c>
      <c r="N5620" s="23">
        <v>0</v>
      </c>
      <c r="O5620">
        <f t="shared" si="1075"/>
        <v>0</v>
      </c>
      <c r="P5620" s="57">
        <f t="shared" si="1076"/>
        <v>1</v>
      </c>
      <c r="Q5620" s="267">
        <f t="shared" si="1077"/>
        <v>30</v>
      </c>
      <c r="R5620" s="23">
        <f t="shared" si="1078"/>
        <v>1</v>
      </c>
      <c r="S5620" s="23">
        <f t="shared" si="1079"/>
        <v>0</v>
      </c>
      <c r="T5620" s="23" t="str">
        <f t="shared" si="1080"/>
        <v/>
      </c>
      <c r="U5620" t="str">
        <f t="shared" si="1081"/>
        <v>PA_Alleg_2019p~Rep-member of council district 7 (vote for 1)</v>
      </c>
      <c r="X5620" s="43"/>
      <c r="Y5620" s="53"/>
      <c r="Z5620" s="53"/>
      <c r="AA5620"/>
      <c r="AB5620" s="23"/>
      <c r="AF5620" s="22"/>
    </row>
    <row r="5621" spans="1:32">
      <c r="A5621" t="str">
        <f t="shared" si="1082"/>
        <v>PA_Alleg_2019p~Rep-member of council district 9 (vote for 1)</v>
      </c>
      <c r="B5621" s="55" t="s">
        <v>1291</v>
      </c>
      <c r="C5621">
        <v>1173</v>
      </c>
      <c r="D5621" s="55" t="s">
        <v>64</v>
      </c>
      <c r="E5621" s="55" t="s">
        <v>15</v>
      </c>
      <c r="F5621" t="s">
        <v>1117</v>
      </c>
      <c r="G5621" s="62">
        <v>23</v>
      </c>
      <c r="H5621" s="25">
        <v>100</v>
      </c>
      <c r="I5621">
        <v>28287</v>
      </c>
      <c r="J5621">
        <v>5611</v>
      </c>
      <c r="K5621">
        <v>60</v>
      </c>
      <c r="L5621">
        <v>60</v>
      </c>
      <c r="M5621">
        <v>0</v>
      </c>
      <c r="N5621" s="23">
        <v>0</v>
      </c>
      <c r="O5621">
        <f t="shared" si="1075"/>
        <v>0</v>
      </c>
      <c r="P5621" s="57">
        <f t="shared" si="1076"/>
        <v>1</v>
      </c>
      <c r="Q5621" s="267">
        <f t="shared" si="1077"/>
        <v>23</v>
      </c>
      <c r="R5621" s="23">
        <f t="shared" si="1078"/>
        <v>1</v>
      </c>
      <c r="S5621" s="23">
        <f t="shared" si="1079"/>
        <v>0</v>
      </c>
      <c r="T5621" s="23" t="str">
        <f t="shared" si="1080"/>
        <v/>
      </c>
      <c r="U5621" t="str">
        <f t="shared" si="1081"/>
        <v>PA_Alleg_2019p~Rep-member of council district 9 (vote for 1)</v>
      </c>
      <c r="X5621" s="43"/>
      <c r="Y5621" s="53"/>
      <c r="Z5621" s="53"/>
      <c r="AA5621"/>
      <c r="AB5621" s="23"/>
      <c r="AF5621" s="22"/>
    </row>
    <row r="5622" spans="1:32">
      <c r="A5622" t="str">
        <f t="shared" si="1082"/>
        <v>PA_Alleg_2019p~Rep-member of council dormont (vote for 3)</v>
      </c>
      <c r="B5622" s="55" t="s">
        <v>1291</v>
      </c>
      <c r="C5622">
        <v>1734</v>
      </c>
      <c r="D5622" s="55" t="s">
        <v>741</v>
      </c>
      <c r="E5622" s="55" t="s">
        <v>15</v>
      </c>
      <c r="F5622" t="s">
        <v>1117</v>
      </c>
      <c r="G5622" s="62">
        <v>33</v>
      </c>
      <c r="H5622" s="25">
        <v>100</v>
      </c>
      <c r="I5622">
        <v>6683</v>
      </c>
      <c r="J5622">
        <v>840</v>
      </c>
      <c r="K5622">
        <v>10</v>
      </c>
      <c r="L5622">
        <v>10</v>
      </c>
      <c r="M5622">
        <v>0</v>
      </c>
      <c r="N5622" s="23">
        <v>0</v>
      </c>
      <c r="O5622">
        <f t="shared" si="1075"/>
        <v>0</v>
      </c>
      <c r="P5622" s="57">
        <f t="shared" si="1076"/>
        <v>3</v>
      </c>
      <c r="Q5622" s="267">
        <f t="shared" si="1077"/>
        <v>33</v>
      </c>
      <c r="R5622" s="23">
        <f t="shared" si="1078"/>
        <v>1</v>
      </c>
      <c r="S5622" s="23">
        <f t="shared" si="1079"/>
        <v>0</v>
      </c>
      <c r="T5622" s="23" t="str">
        <f t="shared" si="1080"/>
        <v/>
      </c>
      <c r="U5622" t="str">
        <f t="shared" si="1081"/>
        <v>PA_Alleg_2019p~Rep-member of council dormont (vote for 3)</v>
      </c>
      <c r="X5622" s="43"/>
      <c r="Y5622" s="53"/>
      <c r="Z5622" s="53"/>
      <c r="AA5622"/>
      <c r="AB5622" s="23"/>
      <c r="AF5622" s="22"/>
    </row>
    <row r="5623" spans="1:32">
      <c r="A5623" t="str">
        <f t="shared" si="1082"/>
        <v>PA_Alleg_2019p~Rep-member of council dravosburg (vote for 2)</v>
      </c>
      <c r="B5623" s="55" t="s">
        <v>1291</v>
      </c>
      <c r="C5623">
        <v>1818</v>
      </c>
      <c r="D5623" s="55" t="s">
        <v>886</v>
      </c>
      <c r="E5623" s="55" t="s">
        <v>1231</v>
      </c>
      <c r="F5623" t="s">
        <v>1117</v>
      </c>
      <c r="G5623" s="62">
        <v>39</v>
      </c>
      <c r="H5623" s="25">
        <v>81.25</v>
      </c>
      <c r="I5623">
        <v>1184</v>
      </c>
      <c r="J5623">
        <v>236</v>
      </c>
      <c r="K5623">
        <v>3</v>
      </c>
      <c r="L5623">
        <v>3</v>
      </c>
      <c r="M5623">
        <v>0</v>
      </c>
      <c r="N5623" s="23">
        <v>0</v>
      </c>
      <c r="O5623">
        <f t="shared" si="1075"/>
        <v>1</v>
      </c>
      <c r="P5623" s="57">
        <f t="shared" si="1076"/>
        <v>2</v>
      </c>
      <c r="Q5623" s="267">
        <f t="shared" si="1077"/>
        <v>39</v>
      </c>
      <c r="R5623" s="23">
        <f t="shared" si="1078"/>
        <v>1</v>
      </c>
      <c r="S5623" s="23">
        <f t="shared" si="1079"/>
        <v>0</v>
      </c>
      <c r="T5623" s="23" t="str">
        <f t="shared" si="1080"/>
        <v/>
      </c>
      <c r="U5623" t="str">
        <f t="shared" si="1081"/>
        <v>PA_Alleg_2019p~Rep-member of council dravosburg (vote for 2)</v>
      </c>
      <c r="X5623" s="43"/>
      <c r="Y5623" s="53"/>
      <c r="Z5623" s="53"/>
      <c r="AA5623"/>
      <c r="AB5623" s="23"/>
      <c r="AF5623" s="22"/>
    </row>
    <row r="5624" spans="1:32">
      <c r="A5624" t="str">
        <f t="shared" si="1082"/>
        <v>PA_Alleg_2019p~Rep-member of council dravosburg (vote for 2)</v>
      </c>
      <c r="B5624" s="55" t="s">
        <v>1291</v>
      </c>
      <c r="C5624">
        <v>1819</v>
      </c>
      <c r="D5624" s="55" t="s">
        <v>886</v>
      </c>
      <c r="E5624" s="55" t="s">
        <v>15</v>
      </c>
      <c r="F5624" t="s">
        <v>1117</v>
      </c>
      <c r="G5624" s="62">
        <v>9</v>
      </c>
      <c r="H5624" s="25">
        <v>18.75</v>
      </c>
      <c r="I5624">
        <v>1184</v>
      </c>
      <c r="J5624">
        <v>236</v>
      </c>
      <c r="K5624">
        <v>3</v>
      </c>
      <c r="L5624">
        <v>3</v>
      </c>
      <c r="M5624">
        <v>0</v>
      </c>
      <c r="N5624" s="23">
        <v>0</v>
      </c>
      <c r="O5624">
        <f t="shared" si="1075"/>
        <v>-1</v>
      </c>
      <c r="P5624" s="57">
        <f t="shared" si="1076"/>
        <v>2</v>
      </c>
      <c r="Q5624" s="267">
        <f t="shared" si="1077"/>
        <v>9</v>
      </c>
      <c r="R5624" s="23">
        <f t="shared" si="1078"/>
        <v>1</v>
      </c>
      <c r="S5624" s="23">
        <f t="shared" si="1079"/>
        <v>0</v>
      </c>
      <c r="T5624" s="23" t="str">
        <f t="shared" si="1080"/>
        <v/>
      </c>
      <c r="U5624" t="str">
        <f t="shared" si="1081"/>
        <v/>
      </c>
      <c r="X5624" s="43"/>
      <c r="Y5624" s="53"/>
      <c r="Z5624" s="53"/>
      <c r="AA5624"/>
      <c r="AB5624" s="23"/>
      <c r="AF5624" s="22"/>
    </row>
    <row r="5625" spans="1:32">
      <c r="A5625" t="str">
        <f t="shared" si="1082"/>
        <v>PA_Alleg_2019p~Rep-member of council duquesne (vote for 1)</v>
      </c>
      <c r="B5625" s="55" t="s">
        <v>1291</v>
      </c>
      <c r="C5625">
        <v>1840</v>
      </c>
      <c r="D5625" s="55" t="s">
        <v>916</v>
      </c>
      <c r="E5625" s="55" t="s">
        <v>15</v>
      </c>
      <c r="F5625" t="s">
        <v>1117</v>
      </c>
      <c r="G5625" s="62">
        <v>10</v>
      </c>
      <c r="H5625" s="25">
        <v>100</v>
      </c>
      <c r="I5625">
        <v>3901</v>
      </c>
      <c r="J5625">
        <v>641</v>
      </c>
      <c r="K5625">
        <v>10</v>
      </c>
      <c r="L5625">
        <v>10</v>
      </c>
      <c r="M5625">
        <v>0</v>
      </c>
      <c r="N5625" s="23">
        <v>0</v>
      </c>
      <c r="O5625">
        <f t="shared" si="1075"/>
        <v>0</v>
      </c>
      <c r="P5625" s="57">
        <f t="shared" si="1076"/>
        <v>1</v>
      </c>
      <c r="Q5625" s="267">
        <f t="shared" si="1077"/>
        <v>10</v>
      </c>
      <c r="R5625" s="23">
        <f t="shared" si="1078"/>
        <v>1</v>
      </c>
      <c r="S5625" s="23">
        <f t="shared" si="1079"/>
        <v>0</v>
      </c>
      <c r="T5625" s="23" t="str">
        <f t="shared" si="1080"/>
        <v/>
      </c>
      <c r="U5625" t="str">
        <f t="shared" si="1081"/>
        <v>PA_Alleg_2019p~Rep-member of council duquesne (vote for 1)</v>
      </c>
      <c r="X5625" s="43"/>
      <c r="Y5625" s="53"/>
      <c r="Z5625" s="53"/>
      <c r="AA5625"/>
      <c r="AB5625" s="23"/>
      <c r="AF5625" s="22"/>
    </row>
    <row r="5626" spans="1:32">
      <c r="A5626" t="str">
        <f t="shared" si="1082"/>
        <v>PA_Alleg_2019p~Rep-member of council duquesne (vote for 2)</v>
      </c>
      <c r="B5626" s="55" t="s">
        <v>1291</v>
      </c>
      <c r="C5626">
        <v>1820</v>
      </c>
      <c r="D5626" s="55" t="s">
        <v>889</v>
      </c>
      <c r="E5626" s="55" t="s">
        <v>15</v>
      </c>
      <c r="F5626" t="s">
        <v>1117</v>
      </c>
      <c r="G5626" s="62">
        <v>19</v>
      </c>
      <c r="H5626" s="25">
        <v>100</v>
      </c>
      <c r="I5626">
        <v>3901</v>
      </c>
      <c r="J5626">
        <v>641</v>
      </c>
      <c r="K5626">
        <v>10</v>
      </c>
      <c r="L5626">
        <v>10</v>
      </c>
      <c r="M5626">
        <v>0</v>
      </c>
      <c r="N5626" s="23">
        <v>0</v>
      </c>
      <c r="O5626">
        <f t="shared" si="1075"/>
        <v>0</v>
      </c>
      <c r="P5626" s="57">
        <f t="shared" si="1076"/>
        <v>2</v>
      </c>
      <c r="Q5626" s="267">
        <f t="shared" si="1077"/>
        <v>19</v>
      </c>
      <c r="R5626" s="23">
        <f t="shared" si="1078"/>
        <v>1</v>
      </c>
      <c r="S5626" s="23">
        <f t="shared" si="1079"/>
        <v>0</v>
      </c>
      <c r="T5626" s="23" t="str">
        <f t="shared" si="1080"/>
        <v/>
      </c>
      <c r="U5626" t="str">
        <f t="shared" si="1081"/>
        <v>PA_Alleg_2019p~Rep-member of council duquesne (vote for 2)</v>
      </c>
      <c r="X5626" s="43"/>
      <c r="Y5626" s="53"/>
      <c r="Z5626" s="53"/>
      <c r="AA5626"/>
      <c r="AB5626" s="23"/>
      <c r="AF5626" s="22"/>
    </row>
    <row r="5627" spans="1:32">
      <c r="A5627" t="str">
        <f t="shared" si="1082"/>
        <v>PA_Alleg_2019p~Rep-member of council east mckeesport (vote for 3)</v>
      </c>
      <c r="B5627" s="55" t="s">
        <v>1291</v>
      </c>
      <c r="C5627">
        <v>1735</v>
      </c>
      <c r="D5627" s="55" t="s">
        <v>745</v>
      </c>
      <c r="E5627" s="55" t="s">
        <v>15</v>
      </c>
      <c r="F5627" t="s">
        <v>1117</v>
      </c>
      <c r="G5627" s="62">
        <v>10</v>
      </c>
      <c r="H5627" s="25">
        <v>100</v>
      </c>
      <c r="I5627">
        <v>1429</v>
      </c>
      <c r="J5627">
        <v>221</v>
      </c>
      <c r="K5627">
        <v>3</v>
      </c>
      <c r="L5627">
        <v>3</v>
      </c>
      <c r="M5627">
        <v>0</v>
      </c>
      <c r="N5627" s="23">
        <v>0</v>
      </c>
      <c r="O5627">
        <f t="shared" si="1075"/>
        <v>0</v>
      </c>
      <c r="P5627" s="57">
        <f t="shared" si="1076"/>
        <v>3</v>
      </c>
      <c r="Q5627" s="267">
        <f t="shared" si="1077"/>
        <v>10</v>
      </c>
      <c r="R5627" s="23">
        <f t="shared" si="1078"/>
        <v>1</v>
      </c>
      <c r="S5627" s="23">
        <f t="shared" si="1079"/>
        <v>0</v>
      </c>
      <c r="T5627" s="23" t="str">
        <f t="shared" si="1080"/>
        <v/>
      </c>
      <c r="U5627" t="str">
        <f t="shared" si="1081"/>
        <v>PA_Alleg_2019p~Rep-member of council east mckeesport (vote for 3)</v>
      </c>
      <c r="X5627" s="43"/>
      <c r="Y5627" s="53"/>
      <c r="Z5627" s="53"/>
      <c r="AA5627"/>
      <c r="AB5627" s="23"/>
      <c r="AF5627" s="22"/>
    </row>
    <row r="5628" spans="1:32">
      <c r="A5628" t="str">
        <f t="shared" si="1082"/>
        <v>PA_Alleg_2019p~Rep-member of council edgewood (vote for 3)</v>
      </c>
      <c r="B5628" s="55" t="s">
        <v>1291</v>
      </c>
      <c r="C5628">
        <v>1736</v>
      </c>
      <c r="D5628" s="55" t="s">
        <v>749</v>
      </c>
      <c r="E5628" s="55" t="s">
        <v>1189</v>
      </c>
      <c r="F5628" t="s">
        <v>1117</v>
      </c>
      <c r="G5628" s="62">
        <v>63</v>
      </c>
      <c r="H5628" s="25">
        <v>96.92</v>
      </c>
      <c r="I5628">
        <v>2919</v>
      </c>
      <c r="J5628">
        <v>608</v>
      </c>
      <c r="K5628">
        <v>3</v>
      </c>
      <c r="L5628">
        <v>3</v>
      </c>
      <c r="M5628">
        <v>0</v>
      </c>
      <c r="N5628" s="23">
        <v>0</v>
      </c>
      <c r="O5628">
        <f t="shared" si="1075"/>
        <v>1</v>
      </c>
      <c r="P5628" s="57">
        <f t="shared" si="1076"/>
        <v>3</v>
      </c>
      <c r="Q5628" s="267">
        <f t="shared" si="1077"/>
        <v>63</v>
      </c>
      <c r="R5628" s="23">
        <f t="shared" si="1078"/>
        <v>1</v>
      </c>
      <c r="S5628" s="23">
        <f t="shared" si="1079"/>
        <v>0</v>
      </c>
      <c r="T5628" s="23" t="str">
        <f t="shared" si="1080"/>
        <v/>
      </c>
      <c r="U5628" t="str">
        <f t="shared" si="1081"/>
        <v>PA_Alleg_2019p~Rep-member of council edgewood (vote for 3)</v>
      </c>
      <c r="X5628" s="43"/>
      <c r="Y5628" s="53"/>
      <c r="Z5628" s="53"/>
      <c r="AA5628"/>
      <c r="AB5628" s="23"/>
      <c r="AF5628" s="22"/>
    </row>
    <row r="5629" spans="1:32">
      <c r="A5629" t="str">
        <f t="shared" si="1082"/>
        <v>PA_Alleg_2019p~Rep-member of council edgewood (vote for 3)</v>
      </c>
      <c r="B5629" s="55" t="s">
        <v>1291</v>
      </c>
      <c r="C5629">
        <v>1737</v>
      </c>
      <c r="D5629" s="55" t="s">
        <v>749</v>
      </c>
      <c r="E5629" s="55" t="s">
        <v>15</v>
      </c>
      <c r="F5629" t="s">
        <v>1117</v>
      </c>
      <c r="G5629" s="62">
        <v>2</v>
      </c>
      <c r="H5629" s="25">
        <v>3.08</v>
      </c>
      <c r="I5629">
        <v>2919</v>
      </c>
      <c r="J5629">
        <v>608</v>
      </c>
      <c r="K5629">
        <v>3</v>
      </c>
      <c r="L5629">
        <v>3</v>
      </c>
      <c r="M5629">
        <v>0</v>
      </c>
      <c r="N5629" s="23">
        <v>0</v>
      </c>
      <c r="O5629">
        <f t="shared" si="1075"/>
        <v>-1</v>
      </c>
      <c r="P5629" s="57">
        <f t="shared" si="1076"/>
        <v>3</v>
      </c>
      <c r="Q5629" s="267">
        <f t="shared" si="1077"/>
        <v>2</v>
      </c>
      <c r="R5629" s="23">
        <f t="shared" si="1078"/>
        <v>1</v>
      </c>
      <c r="S5629" s="23">
        <f t="shared" si="1079"/>
        <v>0</v>
      </c>
      <c r="T5629" s="23" t="str">
        <f t="shared" si="1080"/>
        <v/>
      </c>
      <c r="U5629" t="str">
        <f t="shared" si="1081"/>
        <v/>
      </c>
      <c r="X5629" s="43"/>
      <c r="Y5629" s="53"/>
      <c r="Z5629" s="53"/>
      <c r="AA5629"/>
      <c r="AB5629" s="23"/>
      <c r="AF5629" s="22"/>
    </row>
    <row r="5630" spans="1:32">
      <c r="A5630" t="str">
        <f t="shared" si="1082"/>
        <v>PA_Alleg_2019p~Rep-member of council edgeworth (vote for 3)</v>
      </c>
      <c r="B5630" s="55" t="s">
        <v>1291</v>
      </c>
      <c r="C5630">
        <v>1738</v>
      </c>
      <c r="D5630" s="55" t="s">
        <v>752</v>
      </c>
      <c r="E5630" s="55" t="s">
        <v>1190</v>
      </c>
      <c r="F5630" t="s">
        <v>1117</v>
      </c>
      <c r="G5630" s="62">
        <v>84</v>
      </c>
      <c r="H5630" s="25">
        <v>35.74</v>
      </c>
      <c r="I5630">
        <v>1482</v>
      </c>
      <c r="J5630">
        <v>187</v>
      </c>
      <c r="K5630">
        <v>2</v>
      </c>
      <c r="L5630">
        <v>2</v>
      </c>
      <c r="M5630">
        <v>0</v>
      </c>
      <c r="N5630" s="23">
        <v>0</v>
      </c>
      <c r="O5630">
        <f t="shared" si="1075"/>
        <v>1</v>
      </c>
      <c r="P5630" s="57">
        <f t="shared" si="1076"/>
        <v>3</v>
      </c>
      <c r="Q5630" s="267">
        <f t="shared" si="1077"/>
        <v>84</v>
      </c>
      <c r="R5630" s="23">
        <f t="shared" si="1078"/>
        <v>73</v>
      </c>
      <c r="S5630" s="23">
        <f t="shared" si="1079"/>
        <v>0</v>
      </c>
      <c r="T5630" s="23" t="str">
        <f t="shared" si="1080"/>
        <v/>
      </c>
      <c r="U5630" t="str">
        <f t="shared" si="1081"/>
        <v>PA_Alleg_2019p~Rep-member of council edgeworth (vote for 3)</v>
      </c>
      <c r="X5630" s="43"/>
      <c r="Y5630" s="53"/>
      <c r="Z5630" s="53"/>
      <c r="AA5630"/>
      <c r="AB5630" s="23"/>
      <c r="AF5630" s="22"/>
    </row>
    <row r="5631" spans="1:32">
      <c r="A5631" t="str">
        <f t="shared" si="1082"/>
        <v>PA_Alleg_2019p~Rep-member of council edgeworth (vote for 3)</v>
      </c>
      <c r="B5631" s="55" t="s">
        <v>1291</v>
      </c>
      <c r="C5631">
        <v>1739</v>
      </c>
      <c r="D5631" s="55" t="s">
        <v>752</v>
      </c>
      <c r="E5631" s="55" t="s">
        <v>1191</v>
      </c>
      <c r="F5631" t="s">
        <v>1117</v>
      </c>
      <c r="G5631" s="62">
        <v>78</v>
      </c>
      <c r="H5631" s="25">
        <v>33.19</v>
      </c>
      <c r="I5631">
        <v>1482</v>
      </c>
      <c r="J5631">
        <v>187</v>
      </c>
      <c r="K5631">
        <v>2</v>
      </c>
      <c r="L5631">
        <v>2</v>
      </c>
      <c r="M5631">
        <v>0</v>
      </c>
      <c r="N5631" s="23">
        <v>0</v>
      </c>
      <c r="O5631">
        <f t="shared" si="1075"/>
        <v>2</v>
      </c>
      <c r="P5631" s="57">
        <f t="shared" si="1076"/>
        <v>3</v>
      </c>
      <c r="Q5631" s="267">
        <f t="shared" si="1077"/>
        <v>151</v>
      </c>
      <c r="R5631" s="23">
        <f t="shared" si="1078"/>
        <v>73</v>
      </c>
      <c r="S5631" s="23">
        <f t="shared" si="1079"/>
        <v>0</v>
      </c>
      <c r="T5631" s="23" t="str">
        <f t="shared" si="1080"/>
        <v/>
      </c>
      <c r="U5631" t="str">
        <f t="shared" si="1081"/>
        <v/>
      </c>
      <c r="X5631" s="43"/>
      <c r="Y5631" s="53"/>
      <c r="Z5631" s="53"/>
      <c r="AA5631"/>
      <c r="AB5631" s="23"/>
      <c r="AF5631" s="22"/>
    </row>
    <row r="5632" spans="1:32">
      <c r="A5632" t="str">
        <f t="shared" si="1082"/>
        <v>PA_Alleg_2019p~Rep-member of council edgeworth (vote for 3)</v>
      </c>
      <c r="B5632" s="55" t="s">
        <v>1291</v>
      </c>
      <c r="C5632">
        <v>1740</v>
      </c>
      <c r="D5632" s="55" t="s">
        <v>752</v>
      </c>
      <c r="E5632" s="55" t="s">
        <v>1192</v>
      </c>
      <c r="F5632" t="s">
        <v>1117</v>
      </c>
      <c r="G5632" s="62">
        <v>73</v>
      </c>
      <c r="H5632" s="25">
        <v>31.06</v>
      </c>
      <c r="I5632">
        <v>1482</v>
      </c>
      <c r="J5632">
        <v>187</v>
      </c>
      <c r="K5632">
        <v>2</v>
      </c>
      <c r="L5632">
        <v>2</v>
      </c>
      <c r="M5632">
        <v>0</v>
      </c>
      <c r="N5632" s="23">
        <v>0</v>
      </c>
      <c r="O5632">
        <f t="shared" si="1075"/>
        <v>3</v>
      </c>
      <c r="P5632" s="57">
        <f t="shared" si="1076"/>
        <v>3</v>
      </c>
      <c r="Q5632" s="267">
        <f t="shared" si="1077"/>
        <v>73</v>
      </c>
      <c r="R5632" s="23">
        <f t="shared" si="1078"/>
        <v>73</v>
      </c>
      <c r="S5632" s="23">
        <f t="shared" si="1079"/>
        <v>0</v>
      </c>
      <c r="T5632" s="23" t="str">
        <f t="shared" si="1080"/>
        <v/>
      </c>
      <c r="U5632" t="str">
        <f t="shared" si="1081"/>
        <v/>
      </c>
      <c r="X5632" s="43"/>
      <c r="Y5632" s="53"/>
      <c r="Z5632" s="53"/>
      <c r="AA5632"/>
      <c r="AB5632" s="23"/>
      <c r="AF5632" s="22"/>
    </row>
    <row r="5633" spans="1:32">
      <c r="A5633" t="str">
        <f t="shared" si="1082"/>
        <v>PA_Alleg_2019p~Rep-member of council edgeworth (vote for 3)</v>
      </c>
      <c r="B5633" s="55" t="s">
        <v>1291</v>
      </c>
      <c r="C5633">
        <v>1741</v>
      </c>
      <c r="D5633" s="55" t="s">
        <v>752</v>
      </c>
      <c r="E5633" s="55" t="s">
        <v>15</v>
      </c>
      <c r="F5633" t="s">
        <v>1117</v>
      </c>
      <c r="G5633" s="62">
        <v>0</v>
      </c>
      <c r="H5633" s="25">
        <v>0</v>
      </c>
      <c r="I5633">
        <v>1482</v>
      </c>
      <c r="J5633">
        <v>187</v>
      </c>
      <c r="K5633">
        <v>2</v>
      </c>
      <c r="L5633">
        <v>2</v>
      </c>
      <c r="M5633">
        <v>0</v>
      </c>
      <c r="N5633" s="23">
        <v>0</v>
      </c>
      <c r="O5633">
        <f t="shared" si="1075"/>
        <v>-3</v>
      </c>
      <c r="P5633" s="57">
        <f t="shared" si="1076"/>
        <v>3</v>
      </c>
      <c r="Q5633" s="267">
        <f t="shared" si="1077"/>
        <v>0</v>
      </c>
      <c r="R5633" s="23">
        <f t="shared" si="1078"/>
        <v>1</v>
      </c>
      <c r="S5633" s="23">
        <f t="shared" si="1079"/>
        <v>0</v>
      </c>
      <c r="T5633" s="23" t="str">
        <f t="shared" si="1080"/>
        <v/>
      </c>
      <c r="U5633" t="str">
        <f t="shared" si="1081"/>
        <v/>
      </c>
      <c r="X5633" s="43"/>
      <c r="Y5633" s="53"/>
      <c r="Z5633" s="53"/>
      <c r="AA5633"/>
      <c r="AB5633" s="23"/>
      <c r="AF5633" s="22"/>
    </row>
    <row r="5634" spans="1:32">
      <c r="A5634" t="str">
        <f t="shared" si="1082"/>
        <v>PA_Alleg_2019p~Rep-member of council elizabeth borough (vote for 1)</v>
      </c>
      <c r="B5634" s="55" t="s">
        <v>1291</v>
      </c>
      <c r="C5634">
        <v>1841</v>
      </c>
      <c r="D5634" s="55" t="s">
        <v>918</v>
      </c>
      <c r="E5634" s="55" t="s">
        <v>15</v>
      </c>
      <c r="F5634" t="s">
        <v>1117</v>
      </c>
      <c r="G5634" s="62">
        <v>5</v>
      </c>
      <c r="H5634" s="25">
        <v>100</v>
      </c>
      <c r="I5634">
        <v>923</v>
      </c>
      <c r="J5634">
        <v>122</v>
      </c>
      <c r="K5634">
        <v>1</v>
      </c>
      <c r="L5634">
        <v>1</v>
      </c>
      <c r="M5634">
        <v>0</v>
      </c>
      <c r="N5634" s="23">
        <v>0</v>
      </c>
      <c r="O5634">
        <f t="shared" ref="O5634:O5697" si="1083">IF(OR(LOWER(LEFT(E5634,8))="write-in",LOWER(LEFT(E5634,8))="not qual"),IF(A5634=A5633,-ABS(O5633),0),IF(A5634=A5633,ABS(O5633)+1,1))</f>
        <v>0</v>
      </c>
      <c r="P5634" s="57">
        <f t="shared" ref="P5634:P5697" si="1084">1*LEFT(RIGHT(A5634,2),1)</f>
        <v>1</v>
      </c>
      <c r="Q5634" s="267">
        <f t="shared" ref="Q5634:Q5697" si="1085">IF(A5634&lt;&gt;A5635,G5634,IF(A5634=A5633,G5634+Q5635,MAX(G5634,(G5634+Q5635)/P5634)))</f>
        <v>5</v>
      </c>
      <c r="R5634" s="23">
        <f t="shared" ref="R5634:R5697" si="1086">IF(O5634&gt;P5634,"",IF(O5634=P5634,G5634,IF(A5634=A5635,R5635,IF(O5634&lt;=0,1,G5634))))</f>
        <v>1</v>
      </c>
      <c r="S5634" s="23">
        <f t="shared" ref="S5634:S5697" si="1087">IF(AND(O5634&gt;P5634,LOWER(LEFT(E5634,8))&lt;&gt;"write-in",LOWER(LEFT(E5634,8))&lt;&gt;"not qual"),G5634,IF(A5634=A5635,S5635,0))</f>
        <v>0</v>
      </c>
      <c r="T5634" s="23" t="str">
        <f t="shared" ref="T5634:T5697" si="1088">IF(OR(A5634=A5633,S5634=0),"",R5634-ABS(S5634))</f>
        <v/>
      </c>
      <c r="U5634" t="str">
        <f t="shared" ref="U5634:U5697" si="1089">IF(A5634=A5633,"",A5634)</f>
        <v>PA_Alleg_2019p~Rep-member of council elizabeth borough (vote for 1)</v>
      </c>
      <c r="X5634" s="43"/>
      <c r="Y5634" s="53"/>
      <c r="Z5634" s="53"/>
      <c r="AA5634"/>
      <c r="AB5634" s="23"/>
      <c r="AF5634" s="22"/>
    </row>
    <row r="5635" spans="1:32">
      <c r="A5635" t="str">
        <f t="shared" ref="A5635:A5698" si="1090">CONCATENATE(B5635,"~",F5635,"-",LOWER(D5635))</f>
        <v>PA_Alleg_2019p~Rep-member of council elizabeth borough (vote for 3)</v>
      </c>
      <c r="B5635" s="55" t="s">
        <v>1291</v>
      </c>
      <c r="C5635">
        <v>1742</v>
      </c>
      <c r="D5635" s="55" t="s">
        <v>753</v>
      </c>
      <c r="E5635" s="55" t="s">
        <v>1193</v>
      </c>
      <c r="F5635" t="s">
        <v>1117</v>
      </c>
      <c r="G5635" s="62">
        <v>35</v>
      </c>
      <c r="H5635" s="25">
        <v>77.78</v>
      </c>
      <c r="I5635">
        <v>923</v>
      </c>
      <c r="J5635">
        <v>122</v>
      </c>
      <c r="K5635">
        <v>1</v>
      </c>
      <c r="L5635">
        <v>1</v>
      </c>
      <c r="M5635">
        <v>0</v>
      </c>
      <c r="N5635" s="23">
        <v>0</v>
      </c>
      <c r="O5635">
        <f t="shared" si="1083"/>
        <v>1</v>
      </c>
      <c r="P5635" s="57">
        <f t="shared" si="1084"/>
        <v>3</v>
      </c>
      <c r="Q5635" s="267">
        <f t="shared" si="1085"/>
        <v>35</v>
      </c>
      <c r="R5635" s="23">
        <f t="shared" si="1086"/>
        <v>1</v>
      </c>
      <c r="S5635" s="23">
        <f t="shared" si="1087"/>
        <v>0</v>
      </c>
      <c r="T5635" s="23" t="str">
        <f t="shared" si="1088"/>
        <v/>
      </c>
      <c r="U5635" t="str">
        <f t="shared" si="1089"/>
        <v>PA_Alleg_2019p~Rep-member of council elizabeth borough (vote for 3)</v>
      </c>
      <c r="X5635" s="43"/>
      <c r="Y5635" s="53"/>
      <c r="Z5635" s="53"/>
      <c r="AA5635"/>
      <c r="AB5635" s="23"/>
      <c r="AF5635" s="22"/>
    </row>
    <row r="5636" spans="1:32">
      <c r="A5636" t="str">
        <f t="shared" si="1090"/>
        <v>PA_Alleg_2019p~Rep-member of council elizabeth borough (vote for 3)</v>
      </c>
      <c r="B5636" s="55" t="s">
        <v>1291</v>
      </c>
      <c r="C5636">
        <v>1743</v>
      </c>
      <c r="D5636" s="55" t="s">
        <v>753</v>
      </c>
      <c r="E5636" s="55" t="s">
        <v>15</v>
      </c>
      <c r="F5636" t="s">
        <v>1117</v>
      </c>
      <c r="G5636" s="62">
        <v>10</v>
      </c>
      <c r="H5636" s="25">
        <v>22.22</v>
      </c>
      <c r="I5636">
        <v>923</v>
      </c>
      <c r="J5636">
        <v>122</v>
      </c>
      <c r="K5636">
        <v>1</v>
      </c>
      <c r="L5636">
        <v>1</v>
      </c>
      <c r="M5636">
        <v>0</v>
      </c>
      <c r="N5636" s="23">
        <v>0</v>
      </c>
      <c r="O5636">
        <f t="shared" si="1083"/>
        <v>-1</v>
      </c>
      <c r="P5636" s="57">
        <f t="shared" si="1084"/>
        <v>3</v>
      </c>
      <c r="Q5636" s="267">
        <f t="shared" si="1085"/>
        <v>10</v>
      </c>
      <c r="R5636" s="23">
        <f t="shared" si="1086"/>
        <v>1</v>
      </c>
      <c r="S5636" s="23">
        <f t="shared" si="1087"/>
        <v>0</v>
      </c>
      <c r="T5636" s="23" t="str">
        <f t="shared" si="1088"/>
        <v/>
      </c>
      <c r="U5636" t="str">
        <f t="shared" si="1089"/>
        <v/>
      </c>
      <c r="X5636" s="43"/>
      <c r="Y5636" s="53"/>
      <c r="Z5636" s="53"/>
      <c r="AA5636"/>
      <c r="AB5636" s="23"/>
      <c r="AF5636" s="22"/>
    </row>
    <row r="5637" spans="1:32">
      <c r="A5637" t="str">
        <f t="shared" si="1090"/>
        <v>PA_Alleg_2019p~Rep-member of council emsworth (vote for 3)</v>
      </c>
      <c r="B5637" s="55" t="s">
        <v>1291</v>
      </c>
      <c r="C5637">
        <v>1744</v>
      </c>
      <c r="D5637" s="55" t="s">
        <v>755</v>
      </c>
      <c r="E5637" s="55" t="s">
        <v>1194</v>
      </c>
      <c r="F5637" t="s">
        <v>1117</v>
      </c>
      <c r="G5637" s="62">
        <v>37</v>
      </c>
      <c r="H5637" s="25">
        <v>77.08</v>
      </c>
      <c r="I5637">
        <v>1770</v>
      </c>
      <c r="J5637">
        <v>219</v>
      </c>
      <c r="K5637">
        <v>2</v>
      </c>
      <c r="L5637">
        <v>2</v>
      </c>
      <c r="M5637">
        <v>0</v>
      </c>
      <c r="N5637" s="23">
        <v>0</v>
      </c>
      <c r="O5637">
        <f t="shared" si="1083"/>
        <v>1</v>
      </c>
      <c r="P5637" s="57">
        <f t="shared" si="1084"/>
        <v>3</v>
      </c>
      <c r="Q5637" s="267">
        <f t="shared" si="1085"/>
        <v>37</v>
      </c>
      <c r="R5637" s="23">
        <f t="shared" si="1086"/>
        <v>1</v>
      </c>
      <c r="S5637" s="23">
        <f t="shared" si="1087"/>
        <v>0</v>
      </c>
      <c r="T5637" s="23" t="str">
        <f t="shared" si="1088"/>
        <v/>
      </c>
      <c r="U5637" t="str">
        <f t="shared" si="1089"/>
        <v>PA_Alleg_2019p~Rep-member of council emsworth (vote for 3)</v>
      </c>
      <c r="X5637" s="43"/>
      <c r="Y5637" s="53"/>
      <c r="Z5637" s="53"/>
      <c r="AA5637"/>
      <c r="AB5637" s="23"/>
      <c r="AF5637" s="88"/>
    </row>
    <row r="5638" spans="1:32">
      <c r="A5638" t="str">
        <f t="shared" si="1090"/>
        <v>PA_Alleg_2019p~Rep-member of council emsworth (vote for 3)</v>
      </c>
      <c r="B5638" s="55" t="s">
        <v>1291</v>
      </c>
      <c r="C5638">
        <v>1745</v>
      </c>
      <c r="D5638" s="55" t="s">
        <v>755</v>
      </c>
      <c r="E5638" s="55" t="s">
        <v>15</v>
      </c>
      <c r="F5638" t="s">
        <v>1117</v>
      </c>
      <c r="G5638" s="62">
        <v>11</v>
      </c>
      <c r="H5638" s="25">
        <v>22.92</v>
      </c>
      <c r="I5638">
        <v>1770</v>
      </c>
      <c r="J5638">
        <v>219</v>
      </c>
      <c r="K5638">
        <v>2</v>
      </c>
      <c r="L5638">
        <v>2</v>
      </c>
      <c r="M5638">
        <v>0</v>
      </c>
      <c r="N5638" s="23">
        <v>0</v>
      </c>
      <c r="O5638">
        <f t="shared" si="1083"/>
        <v>-1</v>
      </c>
      <c r="P5638" s="57">
        <f t="shared" si="1084"/>
        <v>3</v>
      </c>
      <c r="Q5638" s="267">
        <f t="shared" si="1085"/>
        <v>11</v>
      </c>
      <c r="R5638" s="23">
        <f t="shared" si="1086"/>
        <v>1</v>
      </c>
      <c r="S5638" s="23">
        <f t="shared" si="1087"/>
        <v>0</v>
      </c>
      <c r="T5638" s="23" t="str">
        <f t="shared" si="1088"/>
        <v/>
      </c>
      <c r="U5638" t="str">
        <f t="shared" si="1089"/>
        <v/>
      </c>
      <c r="X5638" s="43"/>
      <c r="Y5638" s="53"/>
      <c r="Z5638" s="53"/>
      <c r="AA5638"/>
      <c r="AB5638" s="23"/>
      <c r="AF5638" s="22"/>
    </row>
    <row r="5639" spans="1:32">
      <c r="A5639" t="str">
        <f t="shared" si="1090"/>
        <v>PA_Alleg_2019p~Rep-member of council etna ward 1 (vote for 2)</v>
      </c>
      <c r="B5639" s="55" t="s">
        <v>1291</v>
      </c>
      <c r="C5639">
        <v>1862</v>
      </c>
      <c r="D5639" s="55" t="s">
        <v>953</v>
      </c>
      <c r="E5639" s="55" t="s">
        <v>15</v>
      </c>
      <c r="F5639" t="s">
        <v>1117</v>
      </c>
      <c r="G5639" s="62">
        <v>1</v>
      </c>
      <c r="H5639" s="25">
        <v>100</v>
      </c>
      <c r="I5639">
        <v>841</v>
      </c>
      <c r="J5639">
        <v>115</v>
      </c>
      <c r="K5639">
        <v>1</v>
      </c>
      <c r="L5639">
        <v>1</v>
      </c>
      <c r="M5639">
        <v>0</v>
      </c>
      <c r="N5639" s="23">
        <v>0</v>
      </c>
      <c r="O5639">
        <f t="shared" si="1083"/>
        <v>0</v>
      </c>
      <c r="P5639" s="57">
        <f t="shared" si="1084"/>
        <v>2</v>
      </c>
      <c r="Q5639" s="267">
        <f t="shared" si="1085"/>
        <v>1</v>
      </c>
      <c r="R5639" s="23">
        <f t="shared" si="1086"/>
        <v>1</v>
      </c>
      <c r="S5639" s="23">
        <f t="shared" si="1087"/>
        <v>0</v>
      </c>
      <c r="T5639" s="23" t="str">
        <f t="shared" si="1088"/>
        <v/>
      </c>
      <c r="U5639" t="str">
        <f t="shared" si="1089"/>
        <v>PA_Alleg_2019p~Rep-member of council etna ward 1 (vote for 2)</v>
      </c>
      <c r="X5639" s="43"/>
      <c r="Y5639" s="53"/>
      <c r="Z5639" s="53"/>
      <c r="AA5639"/>
      <c r="AB5639" s="23"/>
      <c r="AF5639" s="22"/>
    </row>
    <row r="5640" spans="1:32">
      <c r="A5640" t="str">
        <f t="shared" si="1090"/>
        <v>PA_Alleg_2019p~Rep-member of council etna ward 2 (vote for 1)</v>
      </c>
      <c r="B5640" s="55" t="s">
        <v>1291</v>
      </c>
      <c r="C5640">
        <v>1896</v>
      </c>
      <c r="D5640" s="55" t="s">
        <v>1015</v>
      </c>
      <c r="E5640" s="55" t="s">
        <v>15</v>
      </c>
      <c r="F5640" t="s">
        <v>1117</v>
      </c>
      <c r="G5640" s="62">
        <v>2</v>
      </c>
      <c r="H5640" s="25">
        <v>100</v>
      </c>
      <c r="I5640">
        <v>716</v>
      </c>
      <c r="J5640">
        <v>72</v>
      </c>
      <c r="K5640">
        <v>1</v>
      </c>
      <c r="L5640">
        <v>1</v>
      </c>
      <c r="M5640">
        <v>0</v>
      </c>
      <c r="N5640" s="23">
        <v>0</v>
      </c>
      <c r="O5640">
        <f t="shared" si="1083"/>
        <v>0</v>
      </c>
      <c r="P5640" s="57">
        <f t="shared" si="1084"/>
        <v>1</v>
      </c>
      <c r="Q5640" s="267">
        <f t="shared" si="1085"/>
        <v>2</v>
      </c>
      <c r="R5640" s="23">
        <f t="shared" si="1086"/>
        <v>1</v>
      </c>
      <c r="S5640" s="23">
        <f t="shared" si="1087"/>
        <v>0</v>
      </c>
      <c r="T5640" s="23" t="str">
        <f t="shared" si="1088"/>
        <v/>
      </c>
      <c r="U5640" t="str">
        <f t="shared" si="1089"/>
        <v>PA_Alleg_2019p~Rep-member of council etna ward 2 (vote for 1)</v>
      </c>
      <c r="X5640" s="43"/>
      <c r="Y5640" s="53"/>
      <c r="Z5640" s="53"/>
      <c r="AA5640"/>
      <c r="AB5640" s="23"/>
      <c r="AF5640" s="22"/>
    </row>
    <row r="5641" spans="1:32">
      <c r="A5641" t="str">
        <f t="shared" si="1090"/>
        <v>PA_Alleg_2019p~Rep-member of council etna ward 3 (vote for 1)</v>
      </c>
      <c r="B5641" s="55" t="s">
        <v>1291</v>
      </c>
      <c r="C5641">
        <v>1897</v>
      </c>
      <c r="D5641" s="55" t="s">
        <v>1017</v>
      </c>
      <c r="E5641" s="55" t="s">
        <v>15</v>
      </c>
      <c r="F5641" t="s">
        <v>1117</v>
      </c>
      <c r="G5641" s="62">
        <v>3</v>
      </c>
      <c r="H5641" s="25">
        <v>100</v>
      </c>
      <c r="I5641">
        <v>725</v>
      </c>
      <c r="J5641">
        <v>99</v>
      </c>
      <c r="K5641">
        <v>1</v>
      </c>
      <c r="L5641">
        <v>1</v>
      </c>
      <c r="M5641">
        <v>0</v>
      </c>
      <c r="N5641" s="23">
        <v>0</v>
      </c>
      <c r="O5641">
        <f t="shared" si="1083"/>
        <v>0</v>
      </c>
      <c r="P5641" s="57">
        <f t="shared" si="1084"/>
        <v>1</v>
      </c>
      <c r="Q5641" s="267">
        <f t="shared" si="1085"/>
        <v>3</v>
      </c>
      <c r="R5641" s="23">
        <f t="shared" si="1086"/>
        <v>1</v>
      </c>
      <c r="S5641" s="23">
        <f t="shared" si="1087"/>
        <v>0</v>
      </c>
      <c r="T5641" s="23" t="str">
        <f t="shared" si="1088"/>
        <v/>
      </c>
      <c r="U5641" t="str">
        <f t="shared" si="1089"/>
        <v>PA_Alleg_2019p~Rep-member of council etna ward 3 (vote for 1)</v>
      </c>
      <c r="X5641" s="43"/>
      <c r="Y5641" s="53"/>
      <c r="Z5641" s="53"/>
      <c r="AA5641"/>
      <c r="AB5641" s="23"/>
      <c r="AF5641" s="22"/>
    </row>
    <row r="5642" spans="1:32">
      <c r="A5642" t="str">
        <f t="shared" si="1090"/>
        <v>PA_Alleg_2019p~Rep-member of council forest hills (vote for 3)</v>
      </c>
      <c r="B5642" s="55" t="s">
        <v>1291</v>
      </c>
      <c r="C5642">
        <v>1746</v>
      </c>
      <c r="D5642" s="55" t="s">
        <v>757</v>
      </c>
      <c r="E5642" s="55" t="s">
        <v>15</v>
      </c>
      <c r="F5642" t="s">
        <v>1117</v>
      </c>
      <c r="G5642" s="62">
        <v>44</v>
      </c>
      <c r="H5642" s="25">
        <v>100</v>
      </c>
      <c r="I5642">
        <v>5448</v>
      </c>
      <c r="J5642">
        <v>1198</v>
      </c>
      <c r="K5642">
        <v>8</v>
      </c>
      <c r="L5642">
        <v>8</v>
      </c>
      <c r="M5642">
        <v>0</v>
      </c>
      <c r="N5642" s="23">
        <v>0</v>
      </c>
      <c r="O5642">
        <f t="shared" si="1083"/>
        <v>0</v>
      </c>
      <c r="P5642" s="57">
        <f t="shared" si="1084"/>
        <v>3</v>
      </c>
      <c r="Q5642" s="267">
        <f t="shared" si="1085"/>
        <v>44</v>
      </c>
      <c r="R5642" s="23">
        <f t="shared" si="1086"/>
        <v>1</v>
      </c>
      <c r="S5642" s="23">
        <f t="shared" si="1087"/>
        <v>0</v>
      </c>
      <c r="T5642" s="23" t="str">
        <f t="shared" si="1088"/>
        <v/>
      </c>
      <c r="U5642" t="str">
        <f t="shared" si="1089"/>
        <v>PA_Alleg_2019p~Rep-member of council forest hills (vote for 3)</v>
      </c>
      <c r="X5642" s="43"/>
      <c r="Y5642" s="53"/>
      <c r="Z5642" s="53"/>
      <c r="AA5642"/>
      <c r="AB5642" s="23"/>
      <c r="AF5642" s="22"/>
    </row>
    <row r="5643" spans="1:32">
      <c r="A5643" t="str">
        <f t="shared" si="1090"/>
        <v>PA_Alleg_2019p~Rep-member of council fox chapel (vote for 3)</v>
      </c>
      <c r="B5643" s="55" t="s">
        <v>1291</v>
      </c>
      <c r="C5643">
        <v>1749</v>
      </c>
      <c r="D5643" s="55" t="s">
        <v>762</v>
      </c>
      <c r="E5643" s="55" t="s">
        <v>1197</v>
      </c>
      <c r="F5643" t="s">
        <v>1117</v>
      </c>
      <c r="G5643" s="62">
        <v>359</v>
      </c>
      <c r="H5643" s="25">
        <v>35.97</v>
      </c>
      <c r="I5643">
        <v>4785</v>
      </c>
      <c r="J5643">
        <v>976</v>
      </c>
      <c r="K5643">
        <v>5</v>
      </c>
      <c r="L5643">
        <v>5</v>
      </c>
      <c r="M5643">
        <v>0</v>
      </c>
      <c r="N5643" s="23">
        <v>0</v>
      </c>
      <c r="O5643">
        <f t="shared" si="1083"/>
        <v>1</v>
      </c>
      <c r="P5643" s="57">
        <f t="shared" si="1084"/>
        <v>3</v>
      </c>
      <c r="Q5643" s="267">
        <f t="shared" si="1085"/>
        <v>359</v>
      </c>
      <c r="R5643" s="23">
        <f t="shared" si="1086"/>
        <v>302</v>
      </c>
      <c r="S5643" s="23">
        <f t="shared" si="1087"/>
        <v>0</v>
      </c>
      <c r="T5643" s="23" t="str">
        <f t="shared" si="1088"/>
        <v/>
      </c>
      <c r="U5643" t="str">
        <f t="shared" si="1089"/>
        <v>PA_Alleg_2019p~Rep-member of council fox chapel (vote for 3)</v>
      </c>
      <c r="X5643" s="43"/>
      <c r="Y5643" s="53"/>
      <c r="Z5643" s="53"/>
      <c r="AA5643"/>
      <c r="AB5643" s="23"/>
      <c r="AF5643" s="22"/>
    </row>
    <row r="5644" spans="1:32">
      <c r="A5644" t="str">
        <f t="shared" si="1090"/>
        <v>PA_Alleg_2019p~Rep-member of council fox chapel (vote for 3)</v>
      </c>
      <c r="B5644" s="55" t="s">
        <v>1291</v>
      </c>
      <c r="C5644">
        <v>1748</v>
      </c>
      <c r="D5644" s="55" t="s">
        <v>762</v>
      </c>
      <c r="E5644" s="55" t="s">
        <v>1196</v>
      </c>
      <c r="F5644" t="s">
        <v>1117</v>
      </c>
      <c r="G5644" s="62">
        <v>326</v>
      </c>
      <c r="H5644" s="25">
        <v>32.67</v>
      </c>
      <c r="I5644">
        <v>4785</v>
      </c>
      <c r="J5644">
        <v>976</v>
      </c>
      <c r="K5644">
        <v>5</v>
      </c>
      <c r="L5644">
        <v>5</v>
      </c>
      <c r="M5644">
        <v>0</v>
      </c>
      <c r="N5644" s="23">
        <v>0</v>
      </c>
      <c r="O5644">
        <f t="shared" si="1083"/>
        <v>2</v>
      </c>
      <c r="P5644" s="57">
        <f t="shared" si="1084"/>
        <v>3</v>
      </c>
      <c r="Q5644" s="267">
        <f t="shared" si="1085"/>
        <v>639</v>
      </c>
      <c r="R5644" s="23">
        <f t="shared" si="1086"/>
        <v>302</v>
      </c>
      <c r="S5644" s="23">
        <f t="shared" si="1087"/>
        <v>0</v>
      </c>
      <c r="T5644" s="23" t="str">
        <f t="shared" si="1088"/>
        <v/>
      </c>
      <c r="U5644" t="str">
        <f t="shared" si="1089"/>
        <v/>
      </c>
      <c r="X5644" s="43"/>
      <c r="Y5644" s="53"/>
      <c r="Z5644" s="53"/>
      <c r="AA5644"/>
      <c r="AB5644" s="23"/>
      <c r="AF5644" s="22"/>
    </row>
    <row r="5645" spans="1:32">
      <c r="A5645" t="str">
        <f t="shared" si="1090"/>
        <v>PA_Alleg_2019p~Rep-member of council fox chapel (vote for 3)</v>
      </c>
      <c r="B5645" s="55" t="s">
        <v>1291</v>
      </c>
      <c r="C5645">
        <v>1747</v>
      </c>
      <c r="D5645" s="55" t="s">
        <v>762</v>
      </c>
      <c r="E5645" s="55" t="s">
        <v>1195</v>
      </c>
      <c r="F5645" t="s">
        <v>1117</v>
      </c>
      <c r="G5645" s="62">
        <v>302</v>
      </c>
      <c r="H5645" s="25">
        <v>30.26</v>
      </c>
      <c r="I5645">
        <v>4785</v>
      </c>
      <c r="J5645">
        <v>976</v>
      </c>
      <c r="K5645">
        <v>5</v>
      </c>
      <c r="L5645">
        <v>5</v>
      </c>
      <c r="M5645">
        <v>0</v>
      </c>
      <c r="N5645" s="23">
        <v>0</v>
      </c>
      <c r="O5645">
        <f t="shared" si="1083"/>
        <v>3</v>
      </c>
      <c r="P5645" s="57">
        <f t="shared" si="1084"/>
        <v>3</v>
      </c>
      <c r="Q5645" s="267">
        <f t="shared" si="1085"/>
        <v>313</v>
      </c>
      <c r="R5645" s="23">
        <f t="shared" si="1086"/>
        <v>302</v>
      </c>
      <c r="S5645" s="23">
        <f t="shared" si="1087"/>
        <v>0</v>
      </c>
      <c r="T5645" s="23" t="str">
        <f t="shared" si="1088"/>
        <v/>
      </c>
      <c r="U5645" t="str">
        <f t="shared" si="1089"/>
        <v/>
      </c>
      <c r="X5645" s="43"/>
      <c r="Y5645" s="53"/>
      <c r="Z5645" s="53"/>
      <c r="AA5645"/>
      <c r="AB5645" s="23"/>
      <c r="AF5645" s="22"/>
    </row>
    <row r="5646" spans="1:32">
      <c r="A5646" t="str">
        <f t="shared" si="1090"/>
        <v>PA_Alleg_2019p~Rep-member of council fox chapel (vote for 3)</v>
      </c>
      <c r="B5646" s="55" t="s">
        <v>1291</v>
      </c>
      <c r="C5646">
        <v>1750</v>
      </c>
      <c r="D5646" s="55" t="s">
        <v>762</v>
      </c>
      <c r="E5646" s="55" t="s">
        <v>15</v>
      </c>
      <c r="F5646" t="s">
        <v>1117</v>
      </c>
      <c r="G5646" s="62">
        <v>11</v>
      </c>
      <c r="H5646" s="25">
        <v>1.1000000000000001</v>
      </c>
      <c r="I5646">
        <v>4785</v>
      </c>
      <c r="J5646">
        <v>976</v>
      </c>
      <c r="K5646">
        <v>5</v>
      </c>
      <c r="L5646">
        <v>5</v>
      </c>
      <c r="M5646">
        <v>0</v>
      </c>
      <c r="N5646" s="23">
        <v>0</v>
      </c>
      <c r="O5646">
        <f t="shared" si="1083"/>
        <v>-3</v>
      </c>
      <c r="P5646" s="57">
        <f t="shared" si="1084"/>
        <v>3</v>
      </c>
      <c r="Q5646" s="267">
        <f t="shared" si="1085"/>
        <v>11</v>
      </c>
      <c r="R5646" s="23">
        <f t="shared" si="1086"/>
        <v>1</v>
      </c>
      <c r="S5646" s="23">
        <f t="shared" si="1087"/>
        <v>0</v>
      </c>
      <c r="T5646" s="23" t="str">
        <f t="shared" si="1088"/>
        <v/>
      </c>
      <c r="U5646" t="str">
        <f t="shared" si="1089"/>
        <v/>
      </c>
      <c r="X5646" s="43"/>
      <c r="Y5646" s="53"/>
      <c r="Z5646" s="53"/>
      <c r="AA5646"/>
      <c r="AB5646" s="23"/>
      <c r="AF5646" s="22"/>
    </row>
    <row r="5647" spans="1:32">
      <c r="A5647" t="str">
        <f t="shared" si="1090"/>
        <v>PA_Alleg_2019p~Rep-member of council franklin park ward 1 (vote for 1)</v>
      </c>
      <c r="B5647" s="55" t="s">
        <v>1291</v>
      </c>
      <c r="C5647">
        <v>1898</v>
      </c>
      <c r="D5647" s="55" t="s">
        <v>1019</v>
      </c>
      <c r="E5647" s="55" t="s">
        <v>1249</v>
      </c>
      <c r="F5647" t="s">
        <v>1117</v>
      </c>
      <c r="G5647" s="62">
        <v>147</v>
      </c>
      <c r="H5647" s="25">
        <v>98.66</v>
      </c>
      <c r="I5647">
        <v>3929</v>
      </c>
      <c r="J5647">
        <v>411</v>
      </c>
      <c r="K5647">
        <v>3</v>
      </c>
      <c r="L5647">
        <v>3</v>
      </c>
      <c r="M5647">
        <v>0</v>
      </c>
      <c r="N5647" s="23">
        <v>0</v>
      </c>
      <c r="O5647">
        <f t="shared" si="1083"/>
        <v>1</v>
      </c>
      <c r="P5647" s="57">
        <f t="shared" si="1084"/>
        <v>1</v>
      </c>
      <c r="Q5647" s="267">
        <f t="shared" si="1085"/>
        <v>149</v>
      </c>
      <c r="R5647" s="23">
        <f t="shared" si="1086"/>
        <v>147</v>
      </c>
      <c r="S5647" s="23">
        <f t="shared" si="1087"/>
        <v>0</v>
      </c>
      <c r="T5647" s="23" t="str">
        <f t="shared" si="1088"/>
        <v/>
      </c>
      <c r="U5647" t="str">
        <f t="shared" si="1089"/>
        <v>PA_Alleg_2019p~Rep-member of council franklin park ward 1 (vote for 1)</v>
      </c>
      <c r="X5647" s="43"/>
      <c r="Y5647" s="53"/>
      <c r="Z5647" s="53"/>
      <c r="AA5647"/>
      <c r="AB5647" s="23"/>
      <c r="AF5647" s="22"/>
    </row>
    <row r="5648" spans="1:32">
      <c r="A5648" t="str">
        <f t="shared" si="1090"/>
        <v>PA_Alleg_2019p~Rep-member of council franklin park ward 1 (vote for 1)</v>
      </c>
      <c r="B5648" s="55" t="s">
        <v>1291</v>
      </c>
      <c r="C5648">
        <v>1899</v>
      </c>
      <c r="D5648" s="55" t="s">
        <v>1019</v>
      </c>
      <c r="E5648" s="55" t="s">
        <v>15</v>
      </c>
      <c r="F5648" t="s">
        <v>1117</v>
      </c>
      <c r="G5648" s="62">
        <v>2</v>
      </c>
      <c r="H5648" s="25">
        <v>1.34</v>
      </c>
      <c r="I5648">
        <v>3929</v>
      </c>
      <c r="J5648">
        <v>411</v>
      </c>
      <c r="K5648">
        <v>3</v>
      </c>
      <c r="L5648">
        <v>3</v>
      </c>
      <c r="M5648">
        <v>0</v>
      </c>
      <c r="N5648" s="23">
        <v>0</v>
      </c>
      <c r="O5648">
        <f t="shared" si="1083"/>
        <v>-1</v>
      </c>
      <c r="P5648" s="57">
        <f t="shared" si="1084"/>
        <v>1</v>
      </c>
      <c r="Q5648" s="267">
        <f t="shared" si="1085"/>
        <v>2</v>
      </c>
      <c r="R5648" s="23">
        <f t="shared" si="1086"/>
        <v>1</v>
      </c>
      <c r="S5648" s="23">
        <f t="shared" si="1087"/>
        <v>0</v>
      </c>
      <c r="T5648" s="23" t="str">
        <f t="shared" si="1088"/>
        <v/>
      </c>
      <c r="U5648" t="str">
        <f t="shared" si="1089"/>
        <v/>
      </c>
      <c r="X5648" s="43"/>
      <c r="Y5648" s="53"/>
      <c r="Z5648" s="53"/>
      <c r="AA5648"/>
      <c r="AB5648" s="23"/>
      <c r="AF5648" s="22"/>
    </row>
    <row r="5649" spans="1:32">
      <c r="A5649" t="str">
        <f t="shared" si="1090"/>
        <v>PA_Alleg_2019p~Rep-member of council franklin park ward 2 (vote for 1)</v>
      </c>
      <c r="B5649" s="55" t="s">
        <v>1291</v>
      </c>
      <c r="C5649">
        <v>1900</v>
      </c>
      <c r="D5649" s="55" t="s">
        <v>1020</v>
      </c>
      <c r="E5649" s="55" t="s">
        <v>1250</v>
      </c>
      <c r="F5649" t="s">
        <v>1117</v>
      </c>
      <c r="G5649" s="62">
        <v>210</v>
      </c>
      <c r="H5649" s="25">
        <v>99.53</v>
      </c>
      <c r="I5649">
        <v>3820</v>
      </c>
      <c r="J5649">
        <v>588</v>
      </c>
      <c r="K5649">
        <v>3</v>
      </c>
      <c r="L5649">
        <v>3</v>
      </c>
      <c r="M5649">
        <v>0</v>
      </c>
      <c r="N5649" s="23">
        <v>0</v>
      </c>
      <c r="O5649">
        <f t="shared" si="1083"/>
        <v>1</v>
      </c>
      <c r="P5649" s="57">
        <f t="shared" si="1084"/>
        <v>1</v>
      </c>
      <c r="Q5649" s="267">
        <f t="shared" si="1085"/>
        <v>419</v>
      </c>
      <c r="R5649" s="23">
        <f t="shared" si="1086"/>
        <v>210</v>
      </c>
      <c r="S5649" s="23">
        <f t="shared" si="1087"/>
        <v>206</v>
      </c>
      <c r="T5649" s="23">
        <f t="shared" si="1088"/>
        <v>4</v>
      </c>
      <c r="U5649" t="str">
        <f t="shared" si="1089"/>
        <v>PA_Alleg_2019p~Rep-member of council franklin park ward 2 (vote for 1)</v>
      </c>
      <c r="X5649" s="43"/>
      <c r="Y5649" s="53"/>
      <c r="Z5649" s="53"/>
      <c r="AA5649"/>
      <c r="AB5649" s="23"/>
      <c r="AF5649" s="22"/>
    </row>
    <row r="5650" spans="1:32">
      <c r="A5650" t="str">
        <f t="shared" si="1090"/>
        <v>PA_Alleg_2019p~Rep-member of council franklin park ward 2 (vote for 1)</v>
      </c>
      <c r="B5650" s="55" t="s">
        <v>1291</v>
      </c>
      <c r="C5650">
        <v>1940</v>
      </c>
      <c r="D5650" s="55" t="s">
        <v>1076</v>
      </c>
      <c r="E5650" s="55" t="s">
        <v>1261</v>
      </c>
      <c r="F5650" t="s">
        <v>1117</v>
      </c>
      <c r="G5650" s="62">
        <v>206</v>
      </c>
      <c r="H5650" s="25">
        <v>99.04</v>
      </c>
      <c r="I5650">
        <v>3820</v>
      </c>
      <c r="J5650">
        <v>588</v>
      </c>
      <c r="K5650">
        <v>3</v>
      </c>
      <c r="L5650">
        <v>3</v>
      </c>
      <c r="M5650">
        <v>0</v>
      </c>
      <c r="N5650" s="23">
        <v>0</v>
      </c>
      <c r="O5650">
        <f t="shared" si="1083"/>
        <v>2</v>
      </c>
      <c r="P5650" s="57">
        <f t="shared" si="1084"/>
        <v>1</v>
      </c>
      <c r="Q5650" s="267">
        <f t="shared" si="1085"/>
        <v>209</v>
      </c>
      <c r="R5650" s="23" t="str">
        <f t="shared" si="1086"/>
        <v/>
      </c>
      <c r="S5650" s="23">
        <f t="shared" si="1087"/>
        <v>206</v>
      </c>
      <c r="T5650" s="23" t="str">
        <f t="shared" si="1088"/>
        <v/>
      </c>
      <c r="U5650" t="str">
        <f t="shared" si="1089"/>
        <v/>
      </c>
      <c r="X5650" s="43"/>
      <c r="Y5650" s="53"/>
      <c r="Z5650" s="53"/>
      <c r="AA5650"/>
      <c r="AB5650" s="23"/>
      <c r="AF5650" s="22"/>
    </row>
    <row r="5651" spans="1:32">
      <c r="A5651" t="str">
        <f t="shared" si="1090"/>
        <v>PA_Alleg_2019p~Rep-member of council franklin park ward 2 (vote for 1)</v>
      </c>
      <c r="B5651" s="55" t="s">
        <v>1291</v>
      </c>
      <c r="C5651">
        <v>1941</v>
      </c>
      <c r="D5651" s="55" t="s">
        <v>1076</v>
      </c>
      <c r="E5651" s="55" t="s">
        <v>15</v>
      </c>
      <c r="F5651" t="s">
        <v>1117</v>
      </c>
      <c r="G5651" s="62">
        <v>2</v>
      </c>
      <c r="H5651" s="25">
        <v>0.96</v>
      </c>
      <c r="I5651">
        <v>3820</v>
      </c>
      <c r="J5651">
        <v>588</v>
      </c>
      <c r="K5651">
        <v>3</v>
      </c>
      <c r="L5651">
        <v>3</v>
      </c>
      <c r="M5651">
        <v>0</v>
      </c>
      <c r="N5651" s="23">
        <v>0</v>
      </c>
      <c r="O5651">
        <f t="shared" si="1083"/>
        <v>-2</v>
      </c>
      <c r="P5651" s="57">
        <f t="shared" si="1084"/>
        <v>1</v>
      </c>
      <c r="Q5651" s="267">
        <f t="shared" si="1085"/>
        <v>3</v>
      </c>
      <c r="R5651" s="23">
        <f t="shared" si="1086"/>
        <v>1</v>
      </c>
      <c r="S5651" s="23">
        <f t="shared" si="1087"/>
        <v>0</v>
      </c>
      <c r="T5651" s="23" t="str">
        <f t="shared" si="1088"/>
        <v/>
      </c>
      <c r="U5651" t="str">
        <f t="shared" si="1089"/>
        <v/>
      </c>
      <c r="X5651" s="43"/>
      <c r="Y5651" s="53"/>
      <c r="Z5651" s="53"/>
      <c r="AA5651"/>
      <c r="AB5651" s="23"/>
      <c r="AF5651" s="22"/>
    </row>
    <row r="5652" spans="1:32">
      <c r="A5652" t="str">
        <f t="shared" si="1090"/>
        <v>PA_Alleg_2019p~Rep-member of council franklin park ward 2 (vote for 1)</v>
      </c>
      <c r="B5652" s="55" t="s">
        <v>1291</v>
      </c>
      <c r="C5652">
        <v>1901</v>
      </c>
      <c r="D5652" s="55" t="s">
        <v>1020</v>
      </c>
      <c r="E5652" s="55" t="s">
        <v>15</v>
      </c>
      <c r="F5652" t="s">
        <v>1117</v>
      </c>
      <c r="G5652" s="62">
        <v>1</v>
      </c>
      <c r="H5652" s="25">
        <v>0.47</v>
      </c>
      <c r="I5652">
        <v>3820</v>
      </c>
      <c r="J5652">
        <v>588</v>
      </c>
      <c r="K5652">
        <v>3</v>
      </c>
      <c r="L5652">
        <v>3</v>
      </c>
      <c r="M5652">
        <v>0</v>
      </c>
      <c r="N5652" s="23">
        <v>0</v>
      </c>
      <c r="O5652">
        <f t="shared" si="1083"/>
        <v>-2</v>
      </c>
      <c r="P5652" s="57">
        <f t="shared" si="1084"/>
        <v>1</v>
      </c>
      <c r="Q5652" s="267">
        <f t="shared" si="1085"/>
        <v>1</v>
      </c>
      <c r="R5652" s="23">
        <f t="shared" si="1086"/>
        <v>1</v>
      </c>
      <c r="S5652" s="23">
        <f t="shared" si="1087"/>
        <v>0</v>
      </c>
      <c r="T5652" s="23" t="str">
        <f t="shared" si="1088"/>
        <v/>
      </c>
      <c r="U5652" t="str">
        <f t="shared" si="1089"/>
        <v/>
      </c>
      <c r="X5652" s="43"/>
      <c r="Y5652" s="53"/>
      <c r="Z5652" s="53"/>
      <c r="AA5652"/>
      <c r="AB5652" s="23"/>
      <c r="AF5652" s="22"/>
    </row>
    <row r="5653" spans="1:32">
      <c r="A5653" t="str">
        <f t="shared" si="1090"/>
        <v>PA_Alleg_2019p~Rep-member of council franklin park ward 3 (vote for 1)</v>
      </c>
      <c r="B5653" s="55" t="s">
        <v>1291</v>
      </c>
      <c r="C5653">
        <v>1902</v>
      </c>
      <c r="D5653" s="55" t="s">
        <v>1022</v>
      </c>
      <c r="E5653" s="55" t="s">
        <v>1251</v>
      </c>
      <c r="F5653" t="s">
        <v>1117</v>
      </c>
      <c r="G5653" s="62">
        <v>189</v>
      </c>
      <c r="H5653" s="25">
        <v>96.43</v>
      </c>
      <c r="I5653">
        <v>3329</v>
      </c>
      <c r="J5653">
        <v>553</v>
      </c>
      <c r="K5653">
        <v>3</v>
      </c>
      <c r="L5653">
        <v>3</v>
      </c>
      <c r="M5653">
        <v>0</v>
      </c>
      <c r="N5653" s="23">
        <v>0</v>
      </c>
      <c r="O5653">
        <f t="shared" si="1083"/>
        <v>1</v>
      </c>
      <c r="P5653" s="57">
        <f t="shared" si="1084"/>
        <v>1</v>
      </c>
      <c r="Q5653" s="267">
        <f t="shared" si="1085"/>
        <v>196</v>
      </c>
      <c r="R5653" s="23">
        <f t="shared" si="1086"/>
        <v>189</v>
      </c>
      <c r="S5653" s="23">
        <f t="shared" si="1087"/>
        <v>0</v>
      </c>
      <c r="T5653" s="23" t="str">
        <f t="shared" si="1088"/>
        <v/>
      </c>
      <c r="U5653" t="str">
        <f t="shared" si="1089"/>
        <v>PA_Alleg_2019p~Rep-member of council franklin park ward 3 (vote for 1)</v>
      </c>
      <c r="X5653" s="43"/>
      <c r="Y5653" s="53"/>
      <c r="Z5653" s="53"/>
      <c r="AA5653"/>
      <c r="AB5653" s="23"/>
      <c r="AF5653" s="22"/>
    </row>
    <row r="5654" spans="1:32">
      <c r="A5654" t="str">
        <f t="shared" si="1090"/>
        <v>PA_Alleg_2019p~Rep-member of council franklin park ward 3 (vote for 1)</v>
      </c>
      <c r="B5654" s="55" t="s">
        <v>1291</v>
      </c>
      <c r="C5654">
        <v>1903</v>
      </c>
      <c r="D5654" s="55" t="s">
        <v>1022</v>
      </c>
      <c r="E5654" s="55" t="s">
        <v>15</v>
      </c>
      <c r="F5654" t="s">
        <v>1117</v>
      </c>
      <c r="G5654" s="62">
        <v>7</v>
      </c>
      <c r="H5654" s="25">
        <v>3.57</v>
      </c>
      <c r="I5654">
        <v>3329</v>
      </c>
      <c r="J5654">
        <v>553</v>
      </c>
      <c r="K5654">
        <v>3</v>
      </c>
      <c r="L5654">
        <v>3</v>
      </c>
      <c r="M5654">
        <v>0</v>
      </c>
      <c r="N5654" s="23">
        <v>0</v>
      </c>
      <c r="O5654">
        <f t="shared" si="1083"/>
        <v>-1</v>
      </c>
      <c r="P5654" s="57">
        <f t="shared" si="1084"/>
        <v>1</v>
      </c>
      <c r="Q5654" s="267">
        <f t="shared" si="1085"/>
        <v>7</v>
      </c>
      <c r="R5654" s="23">
        <f t="shared" si="1086"/>
        <v>1</v>
      </c>
      <c r="S5654" s="23">
        <f t="shared" si="1087"/>
        <v>0</v>
      </c>
      <c r="T5654" s="23" t="str">
        <f t="shared" si="1088"/>
        <v/>
      </c>
      <c r="U5654" t="str">
        <f t="shared" si="1089"/>
        <v/>
      </c>
      <c r="X5654" s="43"/>
      <c r="Y5654" s="53"/>
      <c r="Z5654" s="53"/>
      <c r="AA5654"/>
      <c r="AB5654" s="23"/>
      <c r="AF5654" s="22"/>
    </row>
    <row r="5655" spans="1:32">
      <c r="A5655" t="str">
        <f t="shared" si="1090"/>
        <v>PA_Alleg_2019p~Rep-member of council glassport (vote for 4)</v>
      </c>
      <c r="B5655" s="55" t="s">
        <v>1291</v>
      </c>
      <c r="C5655">
        <v>1702</v>
      </c>
      <c r="D5655" s="55" t="s">
        <v>662</v>
      </c>
      <c r="E5655" s="55" t="s">
        <v>15</v>
      </c>
      <c r="F5655" t="s">
        <v>1117</v>
      </c>
      <c r="G5655" s="62">
        <v>17</v>
      </c>
      <c r="H5655" s="25">
        <v>100</v>
      </c>
      <c r="I5655">
        <v>2693</v>
      </c>
      <c r="J5655">
        <v>582</v>
      </c>
      <c r="K5655">
        <v>6</v>
      </c>
      <c r="L5655">
        <v>6</v>
      </c>
      <c r="M5655">
        <v>0</v>
      </c>
      <c r="N5655" s="23">
        <v>0</v>
      </c>
      <c r="O5655">
        <f t="shared" si="1083"/>
        <v>0</v>
      </c>
      <c r="P5655" s="57">
        <f t="shared" si="1084"/>
        <v>4</v>
      </c>
      <c r="Q5655" s="267">
        <f t="shared" si="1085"/>
        <v>17</v>
      </c>
      <c r="R5655" s="23">
        <f t="shared" si="1086"/>
        <v>1</v>
      </c>
      <c r="S5655" s="23">
        <f t="shared" si="1087"/>
        <v>0</v>
      </c>
      <c r="T5655" s="23" t="str">
        <f t="shared" si="1088"/>
        <v/>
      </c>
      <c r="U5655" t="str">
        <f t="shared" si="1089"/>
        <v>PA_Alleg_2019p~Rep-member of council glassport (vote for 4)</v>
      </c>
      <c r="X5655" s="43"/>
      <c r="Y5655" s="53"/>
      <c r="Z5655" s="53"/>
      <c r="AA5655"/>
      <c r="AB5655" s="23"/>
      <c r="AF5655" s="22"/>
    </row>
    <row r="5656" spans="1:32">
      <c r="A5656" t="str">
        <f t="shared" si="1090"/>
        <v>PA_Alleg_2019p~Rep-member of council glen osborne (vote for 3)</v>
      </c>
      <c r="B5656" s="55" t="s">
        <v>1291</v>
      </c>
      <c r="C5656">
        <v>1773</v>
      </c>
      <c r="D5656" s="55" t="s">
        <v>810</v>
      </c>
      <c r="E5656" s="55" t="s">
        <v>1208</v>
      </c>
      <c r="F5656" t="s">
        <v>1117</v>
      </c>
      <c r="G5656" s="62">
        <v>20</v>
      </c>
      <c r="H5656" s="25">
        <v>86.96</v>
      </c>
      <c r="I5656">
        <v>463</v>
      </c>
      <c r="J5656">
        <v>80</v>
      </c>
      <c r="K5656">
        <v>1</v>
      </c>
      <c r="L5656">
        <v>1</v>
      </c>
      <c r="M5656">
        <v>0</v>
      </c>
      <c r="N5656" s="23">
        <v>0</v>
      </c>
      <c r="O5656">
        <f t="shared" si="1083"/>
        <v>1</v>
      </c>
      <c r="P5656" s="57">
        <f t="shared" si="1084"/>
        <v>3</v>
      </c>
      <c r="Q5656" s="267">
        <f t="shared" si="1085"/>
        <v>20</v>
      </c>
      <c r="R5656" s="23">
        <f t="shared" si="1086"/>
        <v>1</v>
      </c>
      <c r="S5656" s="23">
        <f t="shared" si="1087"/>
        <v>0</v>
      </c>
      <c r="T5656" s="23" t="str">
        <f t="shared" si="1088"/>
        <v/>
      </c>
      <c r="U5656" t="str">
        <f t="shared" si="1089"/>
        <v>PA_Alleg_2019p~Rep-member of council glen osborne (vote for 3)</v>
      </c>
      <c r="X5656" s="43"/>
      <c r="Y5656" s="53"/>
      <c r="Z5656" s="53"/>
      <c r="AA5656"/>
      <c r="AB5656" s="23"/>
      <c r="AF5656" s="22"/>
    </row>
    <row r="5657" spans="1:32">
      <c r="A5657" t="str">
        <f t="shared" si="1090"/>
        <v>PA_Alleg_2019p~Rep-member of council glen osborne (vote for 3)</v>
      </c>
      <c r="B5657" s="55" t="s">
        <v>1291</v>
      </c>
      <c r="C5657">
        <v>1774</v>
      </c>
      <c r="D5657" s="55" t="s">
        <v>810</v>
      </c>
      <c r="E5657" s="55" t="s">
        <v>15</v>
      </c>
      <c r="F5657" t="s">
        <v>1117</v>
      </c>
      <c r="G5657" s="62">
        <v>3</v>
      </c>
      <c r="H5657" s="25">
        <v>13.04</v>
      </c>
      <c r="I5657">
        <v>463</v>
      </c>
      <c r="J5657">
        <v>80</v>
      </c>
      <c r="K5657">
        <v>1</v>
      </c>
      <c r="L5657">
        <v>1</v>
      </c>
      <c r="M5657">
        <v>0</v>
      </c>
      <c r="N5657" s="23">
        <v>0</v>
      </c>
      <c r="O5657">
        <f t="shared" si="1083"/>
        <v>-1</v>
      </c>
      <c r="P5657" s="57">
        <f t="shared" si="1084"/>
        <v>3</v>
      </c>
      <c r="Q5657" s="267">
        <f t="shared" si="1085"/>
        <v>3</v>
      </c>
      <c r="R5657" s="23">
        <f t="shared" si="1086"/>
        <v>1</v>
      </c>
      <c r="S5657" s="23">
        <f t="shared" si="1087"/>
        <v>0</v>
      </c>
      <c r="T5657" s="23" t="str">
        <f t="shared" si="1088"/>
        <v/>
      </c>
      <c r="U5657" t="str">
        <f t="shared" si="1089"/>
        <v/>
      </c>
      <c r="X5657" s="43"/>
      <c r="Y5657" s="53"/>
      <c r="Z5657" s="53"/>
      <c r="AA5657"/>
      <c r="AB5657" s="23"/>
      <c r="AF5657" s="22"/>
    </row>
    <row r="5658" spans="1:32">
      <c r="A5658" t="str">
        <f t="shared" si="1090"/>
        <v>PA_Alleg_2019p~Rep-member of council glenfield (vote for 1)</v>
      </c>
      <c r="B5658" s="55" t="s">
        <v>1291</v>
      </c>
      <c r="C5658">
        <v>1842</v>
      </c>
      <c r="D5658" s="55" t="s">
        <v>920</v>
      </c>
      <c r="E5658" s="55" t="s">
        <v>15</v>
      </c>
      <c r="F5658" t="s">
        <v>1117</v>
      </c>
      <c r="G5658" s="62">
        <v>2</v>
      </c>
      <c r="H5658" s="25">
        <v>100</v>
      </c>
      <c r="I5658">
        <v>153</v>
      </c>
      <c r="J5658">
        <v>26</v>
      </c>
      <c r="K5658">
        <v>1</v>
      </c>
      <c r="L5658">
        <v>1</v>
      </c>
      <c r="M5658">
        <v>0</v>
      </c>
      <c r="N5658" s="23">
        <v>0</v>
      </c>
      <c r="O5658">
        <f t="shared" si="1083"/>
        <v>0</v>
      </c>
      <c r="P5658" s="57">
        <f t="shared" si="1084"/>
        <v>1</v>
      </c>
      <c r="Q5658" s="267">
        <f t="shared" si="1085"/>
        <v>2</v>
      </c>
      <c r="R5658" s="23">
        <f t="shared" si="1086"/>
        <v>1</v>
      </c>
      <c r="S5658" s="23">
        <f t="shared" si="1087"/>
        <v>0</v>
      </c>
      <c r="T5658" s="23" t="str">
        <f t="shared" si="1088"/>
        <v/>
      </c>
      <c r="U5658" t="str">
        <f t="shared" si="1089"/>
        <v>PA_Alleg_2019p~Rep-member of council glenfield (vote for 1)</v>
      </c>
      <c r="X5658" s="43"/>
      <c r="Y5658" s="53"/>
      <c r="Z5658" s="53"/>
      <c r="AA5658"/>
      <c r="AB5658" s="23"/>
      <c r="AF5658" s="22"/>
    </row>
    <row r="5659" spans="1:32">
      <c r="A5659" t="str">
        <f t="shared" si="1090"/>
        <v>PA_Alleg_2019p~Rep-member of council glenfield (vote for 3)</v>
      </c>
      <c r="B5659" s="55" t="s">
        <v>1291</v>
      </c>
      <c r="C5659">
        <v>1751</v>
      </c>
      <c r="D5659" s="55" t="s">
        <v>763</v>
      </c>
      <c r="E5659" s="55" t="s">
        <v>15</v>
      </c>
      <c r="F5659" t="s">
        <v>1117</v>
      </c>
      <c r="G5659" s="62">
        <v>6</v>
      </c>
      <c r="H5659" s="25">
        <v>100</v>
      </c>
      <c r="I5659">
        <v>153</v>
      </c>
      <c r="J5659">
        <v>26</v>
      </c>
      <c r="K5659">
        <v>1</v>
      </c>
      <c r="L5659">
        <v>1</v>
      </c>
      <c r="M5659">
        <v>0</v>
      </c>
      <c r="N5659" s="23">
        <v>0</v>
      </c>
      <c r="O5659">
        <f t="shared" si="1083"/>
        <v>0</v>
      </c>
      <c r="P5659" s="57">
        <f t="shared" si="1084"/>
        <v>3</v>
      </c>
      <c r="Q5659" s="267">
        <f t="shared" si="1085"/>
        <v>6</v>
      </c>
      <c r="R5659" s="23">
        <f t="shared" si="1086"/>
        <v>1</v>
      </c>
      <c r="S5659" s="23">
        <f t="shared" si="1087"/>
        <v>0</v>
      </c>
      <c r="T5659" s="23" t="str">
        <f t="shared" si="1088"/>
        <v/>
      </c>
      <c r="U5659" t="str">
        <f t="shared" si="1089"/>
        <v>PA_Alleg_2019p~Rep-member of council glenfield (vote for 3)</v>
      </c>
      <c r="X5659" s="43"/>
      <c r="Y5659" s="53"/>
      <c r="Z5659" s="53"/>
      <c r="AA5659"/>
      <c r="AB5659" s="23"/>
      <c r="AF5659" s="22"/>
    </row>
    <row r="5660" spans="1:32">
      <c r="A5660" t="str">
        <f t="shared" si="1090"/>
        <v>PA_Alleg_2019p~Rep-member of council green tree (vote for 3)</v>
      </c>
      <c r="B5660" s="55" t="s">
        <v>1291</v>
      </c>
      <c r="C5660">
        <v>1752</v>
      </c>
      <c r="D5660" s="55" t="s">
        <v>764</v>
      </c>
      <c r="E5660" s="55" t="s">
        <v>15</v>
      </c>
      <c r="F5660" t="s">
        <v>1117</v>
      </c>
      <c r="G5660" s="62">
        <v>11</v>
      </c>
      <c r="H5660" s="25">
        <v>100</v>
      </c>
      <c r="I5660">
        <v>3708</v>
      </c>
      <c r="J5660">
        <v>522</v>
      </c>
      <c r="K5660">
        <v>4</v>
      </c>
      <c r="L5660">
        <v>4</v>
      </c>
      <c r="M5660">
        <v>0</v>
      </c>
      <c r="N5660" s="23">
        <v>0</v>
      </c>
      <c r="O5660">
        <f t="shared" si="1083"/>
        <v>0</v>
      </c>
      <c r="P5660" s="57">
        <f t="shared" si="1084"/>
        <v>3</v>
      </c>
      <c r="Q5660" s="267">
        <f t="shared" si="1085"/>
        <v>11</v>
      </c>
      <c r="R5660" s="23">
        <f t="shared" si="1086"/>
        <v>1</v>
      </c>
      <c r="S5660" s="23">
        <f t="shared" si="1087"/>
        <v>0</v>
      </c>
      <c r="T5660" s="23" t="str">
        <f t="shared" si="1088"/>
        <v/>
      </c>
      <c r="U5660" t="str">
        <f t="shared" si="1089"/>
        <v>PA_Alleg_2019p~Rep-member of council green tree (vote for 3)</v>
      </c>
      <c r="X5660" s="43"/>
      <c r="Y5660" s="53"/>
      <c r="Z5660" s="53"/>
      <c r="AA5660"/>
      <c r="AB5660" s="23"/>
      <c r="AF5660" s="22"/>
    </row>
    <row r="5661" spans="1:32">
      <c r="A5661" t="str">
        <f t="shared" si="1090"/>
        <v>PA_Alleg_2019p~Rep-member of council hampton (vote for 2)</v>
      </c>
      <c r="B5661" s="55" t="s">
        <v>1291</v>
      </c>
      <c r="C5661">
        <v>1822</v>
      </c>
      <c r="D5661" s="55" t="s">
        <v>893</v>
      </c>
      <c r="E5661" s="55" t="s">
        <v>1233</v>
      </c>
      <c r="F5661" t="s">
        <v>1117</v>
      </c>
      <c r="G5661" s="62">
        <v>655</v>
      </c>
      <c r="H5661" s="25">
        <v>38.1</v>
      </c>
      <c r="I5661">
        <v>14273</v>
      </c>
      <c r="J5661">
        <v>2114</v>
      </c>
      <c r="K5661">
        <v>13</v>
      </c>
      <c r="L5661">
        <v>13</v>
      </c>
      <c r="M5661">
        <v>0</v>
      </c>
      <c r="N5661" s="23">
        <v>0</v>
      </c>
      <c r="O5661">
        <f t="shared" si="1083"/>
        <v>1</v>
      </c>
      <c r="P5661" s="57">
        <f t="shared" si="1084"/>
        <v>2</v>
      </c>
      <c r="Q5661" s="267">
        <f t="shared" si="1085"/>
        <v>859.5</v>
      </c>
      <c r="R5661" s="23">
        <f t="shared" si="1086"/>
        <v>519</v>
      </c>
      <c r="S5661" s="23">
        <f t="shared" si="1087"/>
        <v>500</v>
      </c>
      <c r="T5661" s="23">
        <f t="shared" si="1088"/>
        <v>19</v>
      </c>
      <c r="U5661" t="str">
        <f t="shared" si="1089"/>
        <v>PA_Alleg_2019p~Rep-member of council hampton (vote for 2)</v>
      </c>
      <c r="X5661" s="43"/>
      <c r="Y5661" s="53"/>
      <c r="Z5661" s="53"/>
      <c r="AA5661"/>
      <c r="AB5661" s="23"/>
      <c r="AF5661" s="22"/>
    </row>
    <row r="5662" spans="1:32">
      <c r="A5662" t="str">
        <f t="shared" si="1090"/>
        <v>PA_Alleg_2019p~Rep-member of council hampton (vote for 2)</v>
      </c>
      <c r="B5662" s="55" t="s">
        <v>1291</v>
      </c>
      <c r="C5662">
        <v>1823</v>
      </c>
      <c r="D5662" s="55" t="s">
        <v>893</v>
      </c>
      <c r="E5662" s="55" t="s">
        <v>1234</v>
      </c>
      <c r="F5662" t="s">
        <v>1117</v>
      </c>
      <c r="G5662" s="62">
        <v>519</v>
      </c>
      <c r="H5662" s="25">
        <v>30.19</v>
      </c>
      <c r="I5662">
        <v>14273</v>
      </c>
      <c r="J5662">
        <v>2114</v>
      </c>
      <c r="K5662">
        <v>13</v>
      </c>
      <c r="L5662">
        <v>13</v>
      </c>
      <c r="M5662">
        <v>0</v>
      </c>
      <c r="N5662" s="23">
        <v>0</v>
      </c>
      <c r="O5662">
        <f t="shared" si="1083"/>
        <v>2</v>
      </c>
      <c r="P5662" s="57">
        <f t="shared" si="1084"/>
        <v>2</v>
      </c>
      <c r="Q5662" s="267">
        <f t="shared" si="1085"/>
        <v>1064</v>
      </c>
      <c r="R5662" s="23">
        <f t="shared" si="1086"/>
        <v>519</v>
      </c>
      <c r="S5662" s="23">
        <f t="shared" si="1087"/>
        <v>500</v>
      </c>
      <c r="T5662" s="23" t="str">
        <f t="shared" si="1088"/>
        <v/>
      </c>
      <c r="U5662" t="str">
        <f t="shared" si="1089"/>
        <v/>
      </c>
      <c r="X5662" s="43"/>
      <c r="Y5662" s="53"/>
      <c r="Z5662" s="53"/>
      <c r="AA5662"/>
      <c r="AB5662" s="23"/>
      <c r="AF5662" s="22"/>
    </row>
    <row r="5663" spans="1:32">
      <c r="A5663" t="str">
        <f t="shared" si="1090"/>
        <v>PA_Alleg_2019p~Rep-member of council hampton (vote for 2)</v>
      </c>
      <c r="B5663" s="55" t="s">
        <v>1291</v>
      </c>
      <c r="C5663">
        <v>1821</v>
      </c>
      <c r="D5663" s="55" t="s">
        <v>893</v>
      </c>
      <c r="E5663" s="55" t="s">
        <v>1232</v>
      </c>
      <c r="F5663" t="s">
        <v>1117</v>
      </c>
      <c r="G5663" s="62">
        <v>500</v>
      </c>
      <c r="H5663" s="25">
        <v>29.09</v>
      </c>
      <c r="I5663">
        <v>14273</v>
      </c>
      <c r="J5663">
        <v>2114</v>
      </c>
      <c r="K5663">
        <v>13</v>
      </c>
      <c r="L5663">
        <v>13</v>
      </c>
      <c r="M5663">
        <v>0</v>
      </c>
      <c r="N5663" s="23">
        <v>0</v>
      </c>
      <c r="O5663">
        <f t="shared" si="1083"/>
        <v>3</v>
      </c>
      <c r="P5663" s="57">
        <f t="shared" si="1084"/>
        <v>2</v>
      </c>
      <c r="Q5663" s="267">
        <f t="shared" si="1085"/>
        <v>545</v>
      </c>
      <c r="R5663" s="23" t="str">
        <f t="shared" si="1086"/>
        <v/>
      </c>
      <c r="S5663" s="23">
        <f t="shared" si="1087"/>
        <v>500</v>
      </c>
      <c r="T5663" s="23" t="str">
        <f t="shared" si="1088"/>
        <v/>
      </c>
      <c r="U5663" t="str">
        <f t="shared" si="1089"/>
        <v/>
      </c>
      <c r="X5663" s="43"/>
      <c r="Y5663" s="53"/>
      <c r="Z5663" s="53"/>
      <c r="AA5663"/>
      <c r="AB5663" s="23"/>
      <c r="AF5663" s="22"/>
    </row>
    <row r="5664" spans="1:32">
      <c r="A5664" t="str">
        <f t="shared" si="1090"/>
        <v>PA_Alleg_2019p~Rep-member of council hampton (vote for 2)</v>
      </c>
      <c r="B5664" s="55" t="s">
        <v>1291</v>
      </c>
      <c r="C5664">
        <v>1824</v>
      </c>
      <c r="D5664" s="55" t="s">
        <v>893</v>
      </c>
      <c r="E5664" s="55" t="s">
        <v>15</v>
      </c>
      <c r="F5664" t="s">
        <v>1117</v>
      </c>
      <c r="G5664" s="62">
        <v>45</v>
      </c>
      <c r="H5664" s="25">
        <v>2.62</v>
      </c>
      <c r="I5664">
        <v>14273</v>
      </c>
      <c r="J5664">
        <v>2114</v>
      </c>
      <c r="K5664">
        <v>13</v>
      </c>
      <c r="L5664">
        <v>13</v>
      </c>
      <c r="M5664">
        <v>0</v>
      </c>
      <c r="N5664" s="23">
        <v>0</v>
      </c>
      <c r="O5664">
        <f t="shared" si="1083"/>
        <v>-3</v>
      </c>
      <c r="P5664" s="57">
        <f t="shared" si="1084"/>
        <v>2</v>
      </c>
      <c r="Q5664" s="267">
        <f t="shared" si="1085"/>
        <v>45</v>
      </c>
      <c r="R5664" s="23">
        <f t="shared" si="1086"/>
        <v>1</v>
      </c>
      <c r="S5664" s="23">
        <f t="shared" si="1087"/>
        <v>0</v>
      </c>
      <c r="T5664" s="23" t="str">
        <f t="shared" si="1088"/>
        <v/>
      </c>
      <c r="U5664" t="str">
        <f t="shared" si="1089"/>
        <v/>
      </c>
      <c r="X5664" s="43"/>
      <c r="Y5664" s="53"/>
      <c r="Z5664" s="53"/>
      <c r="AA5664"/>
      <c r="AB5664" s="23"/>
      <c r="AF5664" s="22"/>
    </row>
    <row r="5665" spans="1:32">
      <c r="A5665" t="str">
        <f t="shared" si="1090"/>
        <v>PA_Alleg_2019p~Rep-member of council haysville (vote for 3)</v>
      </c>
      <c r="B5665" s="55" t="s">
        <v>1291</v>
      </c>
      <c r="C5665">
        <v>1753</v>
      </c>
      <c r="D5665" s="55" t="s">
        <v>768</v>
      </c>
      <c r="E5665" s="55" t="s">
        <v>15</v>
      </c>
      <c r="F5665" t="s">
        <v>1117</v>
      </c>
      <c r="G5665" s="62">
        <v>4</v>
      </c>
      <c r="H5665" s="25">
        <v>100</v>
      </c>
      <c r="I5665">
        <v>61</v>
      </c>
      <c r="J5665">
        <v>12</v>
      </c>
      <c r="K5665">
        <v>1</v>
      </c>
      <c r="L5665">
        <v>1</v>
      </c>
      <c r="M5665">
        <v>0</v>
      </c>
      <c r="N5665" s="23">
        <v>0</v>
      </c>
      <c r="O5665">
        <f t="shared" si="1083"/>
        <v>0</v>
      </c>
      <c r="P5665" s="57">
        <f t="shared" si="1084"/>
        <v>3</v>
      </c>
      <c r="Q5665" s="267">
        <f t="shared" si="1085"/>
        <v>4</v>
      </c>
      <c r="R5665" s="23">
        <f t="shared" si="1086"/>
        <v>1</v>
      </c>
      <c r="S5665" s="23">
        <f t="shared" si="1087"/>
        <v>0</v>
      </c>
      <c r="T5665" s="23" t="str">
        <f t="shared" si="1088"/>
        <v/>
      </c>
      <c r="U5665" t="str">
        <f t="shared" si="1089"/>
        <v>PA_Alleg_2019p~Rep-member of council haysville (vote for 3)</v>
      </c>
      <c r="X5665" s="43"/>
      <c r="Y5665" s="53"/>
      <c r="Z5665" s="53"/>
      <c r="AA5665"/>
      <c r="AB5665" s="23"/>
      <c r="AF5665" s="22"/>
    </row>
    <row r="5666" spans="1:32">
      <c r="A5666" t="str">
        <f t="shared" si="1090"/>
        <v>PA_Alleg_2019p~Rep-member of council heidelberg (vote for 2)</v>
      </c>
      <c r="B5666" s="55" t="s">
        <v>1291</v>
      </c>
      <c r="C5666">
        <v>1825</v>
      </c>
      <c r="D5666" s="55" t="s">
        <v>895</v>
      </c>
      <c r="E5666" s="55" t="s">
        <v>15</v>
      </c>
      <c r="F5666" t="s">
        <v>1117</v>
      </c>
      <c r="G5666" s="62">
        <v>47</v>
      </c>
      <c r="H5666" s="25">
        <v>100</v>
      </c>
      <c r="I5666">
        <v>901</v>
      </c>
      <c r="J5666">
        <v>152</v>
      </c>
      <c r="K5666">
        <v>1</v>
      </c>
      <c r="L5666">
        <v>1</v>
      </c>
      <c r="M5666">
        <v>0</v>
      </c>
      <c r="N5666" s="23">
        <v>0</v>
      </c>
      <c r="O5666">
        <f t="shared" si="1083"/>
        <v>0</v>
      </c>
      <c r="P5666" s="57">
        <f t="shared" si="1084"/>
        <v>2</v>
      </c>
      <c r="Q5666" s="267">
        <f t="shared" si="1085"/>
        <v>47</v>
      </c>
      <c r="R5666" s="23">
        <f t="shared" si="1086"/>
        <v>1</v>
      </c>
      <c r="S5666" s="23">
        <f t="shared" si="1087"/>
        <v>0</v>
      </c>
      <c r="T5666" s="23" t="str">
        <f t="shared" si="1088"/>
        <v/>
      </c>
      <c r="U5666" t="str">
        <f t="shared" si="1089"/>
        <v>PA_Alleg_2019p~Rep-member of council heidelberg (vote for 2)</v>
      </c>
      <c r="X5666" s="43"/>
      <c r="Y5666" s="53"/>
      <c r="Z5666" s="53"/>
      <c r="AA5666"/>
      <c r="AB5666" s="23"/>
      <c r="AF5666" s="22"/>
    </row>
    <row r="5667" spans="1:32">
      <c r="A5667" t="str">
        <f t="shared" si="1090"/>
        <v>PA_Alleg_2019p~Rep-member of council homestead ward 1 (vote for 1)</v>
      </c>
      <c r="B5667" s="55" t="s">
        <v>1291</v>
      </c>
      <c r="C5667">
        <v>1904</v>
      </c>
      <c r="D5667" s="55" t="s">
        <v>1023</v>
      </c>
      <c r="E5667" s="55" t="s">
        <v>15</v>
      </c>
      <c r="F5667" t="s">
        <v>1117</v>
      </c>
      <c r="G5667" s="62">
        <v>1</v>
      </c>
      <c r="H5667" s="25">
        <v>100</v>
      </c>
      <c r="I5667">
        <v>1002</v>
      </c>
      <c r="J5667">
        <v>176</v>
      </c>
      <c r="K5667">
        <v>2</v>
      </c>
      <c r="L5667">
        <v>2</v>
      </c>
      <c r="M5667">
        <v>0</v>
      </c>
      <c r="N5667" s="23">
        <v>0</v>
      </c>
      <c r="O5667">
        <f t="shared" si="1083"/>
        <v>0</v>
      </c>
      <c r="P5667" s="57">
        <f t="shared" si="1084"/>
        <v>1</v>
      </c>
      <c r="Q5667" s="267">
        <f t="shared" si="1085"/>
        <v>1</v>
      </c>
      <c r="R5667" s="23">
        <f t="shared" si="1086"/>
        <v>1</v>
      </c>
      <c r="S5667" s="23">
        <f t="shared" si="1087"/>
        <v>0</v>
      </c>
      <c r="T5667" s="23" t="str">
        <f t="shared" si="1088"/>
        <v/>
      </c>
      <c r="U5667" t="str">
        <f t="shared" si="1089"/>
        <v>PA_Alleg_2019p~Rep-member of council homestead ward 1 (vote for 1)</v>
      </c>
      <c r="X5667" s="43"/>
      <c r="Y5667" s="53"/>
      <c r="Z5667" s="53"/>
      <c r="AA5667"/>
      <c r="AB5667" s="23"/>
      <c r="AF5667" s="22"/>
    </row>
    <row r="5668" spans="1:32">
      <c r="A5668" t="str">
        <f t="shared" si="1090"/>
        <v>PA_Alleg_2019p~Rep-member of council homestead ward 2 (vote for 1)</v>
      </c>
      <c r="B5668" s="55" t="s">
        <v>1291</v>
      </c>
      <c r="C5668">
        <v>1905</v>
      </c>
      <c r="D5668" s="55" t="s">
        <v>1026</v>
      </c>
      <c r="E5668" s="55" t="s">
        <v>15</v>
      </c>
      <c r="F5668" t="s">
        <v>1117</v>
      </c>
      <c r="G5668" s="62">
        <v>0</v>
      </c>
      <c r="H5668" s="25">
        <v>0</v>
      </c>
      <c r="I5668">
        <v>771</v>
      </c>
      <c r="J5668">
        <v>144</v>
      </c>
      <c r="K5668">
        <v>2</v>
      </c>
      <c r="L5668">
        <v>2</v>
      </c>
      <c r="M5668">
        <v>0</v>
      </c>
      <c r="N5668" s="23">
        <v>0</v>
      </c>
      <c r="O5668">
        <f t="shared" si="1083"/>
        <v>0</v>
      </c>
      <c r="P5668" s="57">
        <f t="shared" si="1084"/>
        <v>1</v>
      </c>
      <c r="Q5668" s="267">
        <f t="shared" si="1085"/>
        <v>0</v>
      </c>
      <c r="R5668" s="23">
        <f t="shared" si="1086"/>
        <v>1</v>
      </c>
      <c r="S5668" s="23">
        <f t="shared" si="1087"/>
        <v>0</v>
      </c>
      <c r="T5668" s="23" t="str">
        <f t="shared" si="1088"/>
        <v/>
      </c>
      <c r="U5668" t="str">
        <f t="shared" si="1089"/>
        <v>PA_Alleg_2019p~Rep-member of council homestead ward 2 (vote for 1)</v>
      </c>
      <c r="X5668" s="43"/>
      <c r="Y5668" s="53"/>
      <c r="Z5668" s="53"/>
      <c r="AA5668"/>
      <c r="AB5668" s="23"/>
      <c r="AF5668" s="22"/>
    </row>
    <row r="5669" spans="1:32">
      <c r="A5669" t="str">
        <f t="shared" si="1090"/>
        <v>PA_Alleg_2019p~Rep-member of council homestead ward 3 (vote for 1)</v>
      </c>
      <c r="B5669" s="55" t="s">
        <v>1291</v>
      </c>
      <c r="C5669">
        <v>1906</v>
      </c>
      <c r="D5669" s="55" t="s">
        <v>1028</v>
      </c>
      <c r="E5669" s="55" t="s">
        <v>15</v>
      </c>
      <c r="F5669" t="s">
        <v>1117</v>
      </c>
      <c r="G5669" s="62">
        <v>0</v>
      </c>
      <c r="H5669" s="25">
        <v>0</v>
      </c>
      <c r="I5669">
        <v>860</v>
      </c>
      <c r="J5669">
        <v>145</v>
      </c>
      <c r="K5669">
        <v>2</v>
      </c>
      <c r="L5669">
        <v>2</v>
      </c>
      <c r="M5669">
        <v>0</v>
      </c>
      <c r="N5669" s="23">
        <v>0</v>
      </c>
      <c r="O5669">
        <f t="shared" si="1083"/>
        <v>0</v>
      </c>
      <c r="P5669" s="57">
        <f t="shared" si="1084"/>
        <v>1</v>
      </c>
      <c r="Q5669" s="267">
        <f t="shared" si="1085"/>
        <v>0</v>
      </c>
      <c r="R5669" s="23">
        <f t="shared" si="1086"/>
        <v>1</v>
      </c>
      <c r="S5669" s="23">
        <f t="shared" si="1087"/>
        <v>0</v>
      </c>
      <c r="T5669" s="23" t="str">
        <f t="shared" si="1088"/>
        <v/>
      </c>
      <c r="U5669" t="str">
        <f t="shared" si="1089"/>
        <v>PA_Alleg_2019p~Rep-member of council homestead ward 3 (vote for 1)</v>
      </c>
      <c r="X5669" s="43"/>
      <c r="Y5669" s="53"/>
      <c r="Z5669" s="53"/>
      <c r="AA5669"/>
      <c r="AB5669" s="23"/>
      <c r="AF5669" s="22"/>
    </row>
    <row r="5670" spans="1:32">
      <c r="A5670" t="str">
        <f t="shared" si="1090"/>
        <v>PA_Alleg_2019p~Rep-member of council ingram (vote for 1)</v>
      </c>
      <c r="B5670" s="55" t="s">
        <v>1291</v>
      </c>
      <c r="C5670">
        <v>1843</v>
      </c>
      <c r="D5670" s="55" t="s">
        <v>921</v>
      </c>
      <c r="E5670" s="55" t="s">
        <v>15</v>
      </c>
      <c r="F5670" t="s">
        <v>1117</v>
      </c>
      <c r="G5670" s="62">
        <v>14</v>
      </c>
      <c r="H5670" s="25">
        <v>100</v>
      </c>
      <c r="I5670">
        <v>2397</v>
      </c>
      <c r="J5670">
        <v>288</v>
      </c>
      <c r="K5670">
        <v>3</v>
      </c>
      <c r="L5670">
        <v>3</v>
      </c>
      <c r="M5670">
        <v>0</v>
      </c>
      <c r="N5670" s="23">
        <v>0</v>
      </c>
      <c r="O5670">
        <f t="shared" si="1083"/>
        <v>0</v>
      </c>
      <c r="P5670" s="57">
        <f t="shared" si="1084"/>
        <v>1</v>
      </c>
      <c r="Q5670" s="267">
        <f t="shared" si="1085"/>
        <v>14</v>
      </c>
      <c r="R5670" s="23">
        <f t="shared" si="1086"/>
        <v>1</v>
      </c>
      <c r="S5670" s="23">
        <f t="shared" si="1087"/>
        <v>0</v>
      </c>
      <c r="T5670" s="23" t="str">
        <f t="shared" si="1088"/>
        <v/>
      </c>
      <c r="U5670" t="str">
        <f t="shared" si="1089"/>
        <v>PA_Alleg_2019p~Rep-member of council ingram (vote for 1)</v>
      </c>
      <c r="X5670" s="43"/>
      <c r="Y5670" s="53"/>
      <c r="Z5670" s="53"/>
      <c r="AA5670"/>
      <c r="AB5670" s="23"/>
      <c r="AF5670" s="22"/>
    </row>
    <row r="5671" spans="1:32">
      <c r="A5671" t="str">
        <f t="shared" si="1090"/>
        <v>PA_Alleg_2019p~Rep-member of council ingram (vote for 3)</v>
      </c>
      <c r="B5671" s="55" t="s">
        <v>1291</v>
      </c>
      <c r="C5671">
        <v>1755</v>
      </c>
      <c r="D5671" s="55" t="s">
        <v>769</v>
      </c>
      <c r="E5671" s="55" t="s">
        <v>15</v>
      </c>
      <c r="F5671" t="s">
        <v>1117</v>
      </c>
      <c r="G5671" s="62">
        <v>62</v>
      </c>
      <c r="H5671" s="25">
        <v>55.36</v>
      </c>
      <c r="I5671">
        <v>2397</v>
      </c>
      <c r="J5671">
        <v>288</v>
      </c>
      <c r="K5671">
        <v>3</v>
      </c>
      <c r="L5671">
        <v>3</v>
      </c>
      <c r="M5671">
        <v>0</v>
      </c>
      <c r="N5671" s="23">
        <v>0</v>
      </c>
      <c r="O5671">
        <f t="shared" si="1083"/>
        <v>0</v>
      </c>
      <c r="P5671" s="57">
        <f t="shared" si="1084"/>
        <v>3</v>
      </c>
      <c r="Q5671" s="267">
        <f t="shared" si="1085"/>
        <v>62</v>
      </c>
      <c r="R5671" s="23">
        <f t="shared" si="1086"/>
        <v>50</v>
      </c>
      <c r="S5671" s="23">
        <f t="shared" si="1087"/>
        <v>0</v>
      </c>
      <c r="T5671" s="23" t="str">
        <f t="shared" si="1088"/>
        <v/>
      </c>
      <c r="U5671" t="str">
        <f t="shared" si="1089"/>
        <v>PA_Alleg_2019p~Rep-member of council ingram (vote for 3)</v>
      </c>
      <c r="X5671" s="43"/>
      <c r="Y5671" s="53"/>
      <c r="Z5671" s="53"/>
      <c r="AA5671"/>
      <c r="AB5671" s="23"/>
      <c r="AF5671" s="22"/>
    </row>
    <row r="5672" spans="1:32">
      <c r="A5672" t="str">
        <f t="shared" si="1090"/>
        <v>PA_Alleg_2019p~Rep-member of council ingram (vote for 3)</v>
      </c>
      <c r="B5672" s="55" t="s">
        <v>1291</v>
      </c>
      <c r="C5672">
        <v>1754</v>
      </c>
      <c r="D5672" s="55" t="s">
        <v>769</v>
      </c>
      <c r="E5672" s="55" t="s">
        <v>1198</v>
      </c>
      <c r="F5672" t="s">
        <v>1117</v>
      </c>
      <c r="G5672" s="62">
        <v>50</v>
      </c>
      <c r="H5672" s="25">
        <v>44.64</v>
      </c>
      <c r="I5672">
        <v>2397</v>
      </c>
      <c r="J5672">
        <v>288</v>
      </c>
      <c r="K5672">
        <v>3</v>
      </c>
      <c r="L5672">
        <v>3</v>
      </c>
      <c r="M5672">
        <v>0</v>
      </c>
      <c r="N5672" s="23">
        <v>0</v>
      </c>
      <c r="O5672">
        <f t="shared" si="1083"/>
        <v>1</v>
      </c>
      <c r="P5672" s="57">
        <f t="shared" si="1084"/>
        <v>3</v>
      </c>
      <c r="Q5672" s="267">
        <f t="shared" si="1085"/>
        <v>50</v>
      </c>
      <c r="R5672" s="23">
        <f t="shared" si="1086"/>
        <v>50</v>
      </c>
      <c r="S5672" s="23">
        <f t="shared" si="1087"/>
        <v>0</v>
      </c>
      <c r="T5672" s="23" t="str">
        <f t="shared" si="1088"/>
        <v/>
      </c>
      <c r="U5672" t="str">
        <f t="shared" si="1089"/>
        <v/>
      </c>
      <c r="X5672" s="43"/>
      <c r="Y5672" s="53"/>
      <c r="Z5672" s="53"/>
      <c r="AA5672"/>
      <c r="AB5672" s="23"/>
      <c r="AF5672" s="22"/>
    </row>
    <row r="5673" spans="1:32">
      <c r="A5673" t="str">
        <f t="shared" si="1090"/>
        <v>PA_Alleg_2019p~Rep-member of council jefferson hills (vote for 3)</v>
      </c>
      <c r="B5673" s="55" t="s">
        <v>1291</v>
      </c>
      <c r="C5673">
        <v>1759</v>
      </c>
      <c r="D5673" s="55" t="s">
        <v>771</v>
      </c>
      <c r="E5673" s="55" t="s">
        <v>1202</v>
      </c>
      <c r="F5673" t="s">
        <v>1117</v>
      </c>
      <c r="G5673" s="62">
        <v>362</v>
      </c>
      <c r="H5673" s="25">
        <v>26.17</v>
      </c>
      <c r="I5673">
        <v>8397</v>
      </c>
      <c r="J5673">
        <v>1418</v>
      </c>
      <c r="K5673">
        <v>8</v>
      </c>
      <c r="L5673">
        <v>8</v>
      </c>
      <c r="M5673">
        <v>0</v>
      </c>
      <c r="N5673" s="23">
        <v>0</v>
      </c>
      <c r="O5673">
        <f t="shared" si="1083"/>
        <v>1</v>
      </c>
      <c r="P5673" s="57">
        <f t="shared" si="1084"/>
        <v>3</v>
      </c>
      <c r="Q5673" s="267">
        <f t="shared" si="1085"/>
        <v>461</v>
      </c>
      <c r="R5673" s="23">
        <f t="shared" si="1086"/>
        <v>272</v>
      </c>
      <c r="S5673" s="23">
        <f t="shared" si="1087"/>
        <v>268</v>
      </c>
      <c r="T5673" s="23">
        <f t="shared" si="1088"/>
        <v>4</v>
      </c>
      <c r="U5673" t="str">
        <f t="shared" si="1089"/>
        <v>PA_Alleg_2019p~Rep-member of council jefferson hills (vote for 3)</v>
      </c>
      <c r="X5673" s="43"/>
      <c r="Y5673" s="53"/>
      <c r="Z5673" s="53"/>
      <c r="AA5673"/>
      <c r="AB5673" s="23"/>
      <c r="AF5673" s="22"/>
    </row>
    <row r="5674" spans="1:32">
      <c r="A5674" t="str">
        <f t="shared" si="1090"/>
        <v>PA_Alleg_2019p~Rep-member of council jefferson hills (vote for 3)</v>
      </c>
      <c r="B5674" s="55" t="s">
        <v>1291</v>
      </c>
      <c r="C5674">
        <v>1756</v>
      </c>
      <c r="D5674" s="55" t="s">
        <v>771</v>
      </c>
      <c r="E5674" s="55" t="s">
        <v>1199</v>
      </c>
      <c r="F5674" t="s">
        <v>1117</v>
      </c>
      <c r="G5674" s="62">
        <v>275</v>
      </c>
      <c r="H5674" s="25">
        <v>19.88</v>
      </c>
      <c r="I5674">
        <v>8397</v>
      </c>
      <c r="J5674">
        <v>1418</v>
      </c>
      <c r="K5674">
        <v>8</v>
      </c>
      <c r="L5674">
        <v>8</v>
      </c>
      <c r="M5674">
        <v>0</v>
      </c>
      <c r="N5674" s="23">
        <v>0</v>
      </c>
      <c r="O5674">
        <f t="shared" si="1083"/>
        <v>2</v>
      </c>
      <c r="P5674" s="57">
        <f t="shared" si="1084"/>
        <v>3</v>
      </c>
      <c r="Q5674" s="267">
        <f t="shared" si="1085"/>
        <v>1021</v>
      </c>
      <c r="R5674" s="23">
        <f t="shared" si="1086"/>
        <v>272</v>
      </c>
      <c r="S5674" s="23">
        <f t="shared" si="1087"/>
        <v>268</v>
      </c>
      <c r="T5674" s="23" t="str">
        <f t="shared" si="1088"/>
        <v/>
      </c>
      <c r="U5674" t="str">
        <f t="shared" si="1089"/>
        <v/>
      </c>
      <c r="X5674" s="43"/>
      <c r="Y5674" s="53"/>
      <c r="Z5674" s="53"/>
      <c r="AA5674"/>
      <c r="AB5674" s="23"/>
      <c r="AF5674" s="22"/>
    </row>
    <row r="5675" spans="1:32">
      <c r="A5675" t="str">
        <f t="shared" si="1090"/>
        <v>PA_Alleg_2019p~Rep-member of council jefferson hills (vote for 3)</v>
      </c>
      <c r="B5675" s="55" t="s">
        <v>1291</v>
      </c>
      <c r="C5675">
        <v>1757</v>
      </c>
      <c r="D5675" s="55" t="s">
        <v>771</v>
      </c>
      <c r="E5675" s="55" t="s">
        <v>1200</v>
      </c>
      <c r="F5675" t="s">
        <v>1117</v>
      </c>
      <c r="G5675" s="62">
        <v>272</v>
      </c>
      <c r="H5675" s="25">
        <v>19.670000000000002</v>
      </c>
      <c r="I5675">
        <v>8397</v>
      </c>
      <c r="J5675">
        <v>1418</v>
      </c>
      <c r="K5675">
        <v>8</v>
      </c>
      <c r="L5675">
        <v>8</v>
      </c>
      <c r="M5675">
        <v>0</v>
      </c>
      <c r="N5675" s="23">
        <v>0</v>
      </c>
      <c r="O5675">
        <f t="shared" si="1083"/>
        <v>3</v>
      </c>
      <c r="P5675" s="57">
        <f t="shared" si="1084"/>
        <v>3</v>
      </c>
      <c r="Q5675" s="267">
        <f t="shared" si="1085"/>
        <v>746</v>
      </c>
      <c r="R5675" s="23">
        <f t="shared" si="1086"/>
        <v>272</v>
      </c>
      <c r="S5675" s="23">
        <f t="shared" si="1087"/>
        <v>268</v>
      </c>
      <c r="T5675" s="23" t="str">
        <f t="shared" si="1088"/>
        <v/>
      </c>
      <c r="U5675" t="str">
        <f t="shared" si="1089"/>
        <v/>
      </c>
      <c r="X5675" s="43"/>
      <c r="Y5675" s="53"/>
      <c r="Z5675" s="53"/>
      <c r="AA5675"/>
      <c r="AB5675" s="23"/>
      <c r="AF5675" s="22"/>
    </row>
    <row r="5676" spans="1:32">
      <c r="A5676" t="str">
        <f t="shared" si="1090"/>
        <v>PA_Alleg_2019p~Rep-member of council jefferson hills (vote for 3)</v>
      </c>
      <c r="B5676" s="55" t="s">
        <v>1291</v>
      </c>
      <c r="C5676">
        <v>1758</v>
      </c>
      <c r="D5676" s="55" t="s">
        <v>771</v>
      </c>
      <c r="E5676" s="55" t="s">
        <v>1201</v>
      </c>
      <c r="F5676" t="s">
        <v>1117</v>
      </c>
      <c r="G5676" s="62">
        <v>268</v>
      </c>
      <c r="H5676" s="25">
        <v>19.38</v>
      </c>
      <c r="I5676">
        <v>8397</v>
      </c>
      <c r="J5676">
        <v>1418</v>
      </c>
      <c r="K5676">
        <v>8</v>
      </c>
      <c r="L5676">
        <v>8</v>
      </c>
      <c r="M5676">
        <v>0</v>
      </c>
      <c r="N5676" s="23">
        <v>0</v>
      </c>
      <c r="O5676">
        <f t="shared" si="1083"/>
        <v>4</v>
      </c>
      <c r="P5676" s="57">
        <f t="shared" si="1084"/>
        <v>3</v>
      </c>
      <c r="Q5676" s="267">
        <f t="shared" si="1085"/>
        <v>474</v>
      </c>
      <c r="R5676" s="23" t="str">
        <f t="shared" si="1086"/>
        <v/>
      </c>
      <c r="S5676" s="23">
        <f t="shared" si="1087"/>
        <v>268</v>
      </c>
      <c r="T5676" s="23" t="str">
        <f t="shared" si="1088"/>
        <v/>
      </c>
      <c r="U5676" t="str">
        <f t="shared" si="1089"/>
        <v/>
      </c>
      <c r="X5676" s="43"/>
      <c r="Y5676" s="53"/>
      <c r="Z5676" s="53"/>
      <c r="AA5676"/>
      <c r="AB5676" s="23"/>
      <c r="AF5676" s="22"/>
    </row>
    <row r="5677" spans="1:32">
      <c r="A5677" t="str">
        <f t="shared" si="1090"/>
        <v>PA_Alleg_2019p~Rep-member of council jefferson hills (vote for 3)</v>
      </c>
      <c r="B5677" s="55" t="s">
        <v>1291</v>
      </c>
      <c r="C5677">
        <v>1760</v>
      </c>
      <c r="D5677" s="55" t="s">
        <v>771</v>
      </c>
      <c r="E5677" s="55" t="s">
        <v>15</v>
      </c>
      <c r="F5677" t="s">
        <v>1117</v>
      </c>
      <c r="G5677" s="62">
        <v>206</v>
      </c>
      <c r="H5677" s="25">
        <v>14.9</v>
      </c>
      <c r="I5677">
        <v>8397</v>
      </c>
      <c r="J5677">
        <v>1418</v>
      </c>
      <c r="K5677">
        <v>8</v>
      </c>
      <c r="L5677">
        <v>8</v>
      </c>
      <c r="M5677">
        <v>0</v>
      </c>
      <c r="N5677" s="23">
        <v>0</v>
      </c>
      <c r="O5677">
        <f t="shared" si="1083"/>
        <v>-4</v>
      </c>
      <c r="P5677" s="57">
        <f t="shared" si="1084"/>
        <v>3</v>
      </c>
      <c r="Q5677" s="267">
        <f t="shared" si="1085"/>
        <v>206</v>
      </c>
      <c r="R5677" s="23">
        <f t="shared" si="1086"/>
        <v>1</v>
      </c>
      <c r="S5677" s="23">
        <f t="shared" si="1087"/>
        <v>0</v>
      </c>
      <c r="T5677" s="23" t="str">
        <f t="shared" si="1088"/>
        <v/>
      </c>
      <c r="U5677" t="str">
        <f t="shared" si="1089"/>
        <v/>
      </c>
      <c r="X5677" s="43"/>
      <c r="Y5677" s="53"/>
      <c r="Z5677" s="53"/>
      <c r="AA5677"/>
      <c r="AB5677" s="23"/>
      <c r="AF5677" s="22"/>
    </row>
    <row r="5678" spans="1:32">
      <c r="A5678" t="str">
        <f t="shared" si="1090"/>
        <v>PA_Alleg_2019p~Rep-member of council leetsdale (vote for 3)</v>
      </c>
      <c r="B5678" s="55" t="s">
        <v>1291</v>
      </c>
      <c r="C5678">
        <v>1761</v>
      </c>
      <c r="D5678" s="55" t="s">
        <v>776</v>
      </c>
      <c r="E5678" s="55" t="s">
        <v>1203</v>
      </c>
      <c r="F5678" t="s">
        <v>1117</v>
      </c>
      <c r="G5678" s="62">
        <v>38</v>
      </c>
      <c r="H5678" s="25">
        <v>43.68</v>
      </c>
      <c r="I5678">
        <v>878</v>
      </c>
      <c r="J5678">
        <v>152</v>
      </c>
      <c r="K5678">
        <v>1</v>
      </c>
      <c r="L5678">
        <v>1</v>
      </c>
      <c r="M5678">
        <v>0</v>
      </c>
      <c r="N5678" s="23">
        <v>0</v>
      </c>
      <c r="O5678">
        <f t="shared" si="1083"/>
        <v>1</v>
      </c>
      <c r="P5678" s="57">
        <f t="shared" si="1084"/>
        <v>3</v>
      </c>
      <c r="Q5678" s="267">
        <f t="shared" si="1085"/>
        <v>38</v>
      </c>
      <c r="R5678" s="23">
        <f t="shared" si="1086"/>
        <v>1</v>
      </c>
      <c r="S5678" s="23">
        <f t="shared" si="1087"/>
        <v>0</v>
      </c>
      <c r="T5678" s="23" t="str">
        <f t="shared" si="1088"/>
        <v/>
      </c>
      <c r="U5678" t="str">
        <f t="shared" si="1089"/>
        <v>PA_Alleg_2019p~Rep-member of council leetsdale (vote for 3)</v>
      </c>
      <c r="X5678" s="43"/>
      <c r="Y5678" s="53"/>
      <c r="Z5678" s="53"/>
      <c r="AA5678"/>
      <c r="AB5678" s="23"/>
      <c r="AF5678" s="22"/>
    </row>
    <row r="5679" spans="1:32">
      <c r="A5679" t="str">
        <f t="shared" si="1090"/>
        <v>PA_Alleg_2019p~Rep-member of council leetsdale (vote for 3)</v>
      </c>
      <c r="B5679" s="55" t="s">
        <v>1291</v>
      </c>
      <c r="C5679">
        <v>1762</v>
      </c>
      <c r="D5679" s="55" t="s">
        <v>776</v>
      </c>
      <c r="E5679" s="55" t="s">
        <v>1204</v>
      </c>
      <c r="F5679" t="s">
        <v>1117</v>
      </c>
      <c r="G5679" s="62">
        <v>38</v>
      </c>
      <c r="H5679" s="25">
        <v>43.68</v>
      </c>
      <c r="I5679">
        <v>878</v>
      </c>
      <c r="J5679">
        <v>152</v>
      </c>
      <c r="K5679">
        <v>1</v>
      </c>
      <c r="L5679">
        <v>1</v>
      </c>
      <c r="M5679">
        <v>0</v>
      </c>
      <c r="N5679" s="23">
        <v>0</v>
      </c>
      <c r="O5679">
        <f t="shared" si="1083"/>
        <v>2</v>
      </c>
      <c r="P5679" s="57">
        <f t="shared" si="1084"/>
        <v>3</v>
      </c>
      <c r="Q5679" s="267">
        <f t="shared" si="1085"/>
        <v>49</v>
      </c>
      <c r="R5679" s="23">
        <f t="shared" si="1086"/>
        <v>1</v>
      </c>
      <c r="S5679" s="23">
        <f t="shared" si="1087"/>
        <v>0</v>
      </c>
      <c r="T5679" s="23" t="str">
        <f t="shared" si="1088"/>
        <v/>
      </c>
      <c r="U5679" t="str">
        <f t="shared" si="1089"/>
        <v/>
      </c>
      <c r="X5679" s="43"/>
      <c r="Y5679" s="53"/>
      <c r="Z5679" s="53"/>
      <c r="AA5679"/>
      <c r="AB5679" s="23"/>
      <c r="AF5679" s="22"/>
    </row>
    <row r="5680" spans="1:32">
      <c r="A5680" t="str">
        <f t="shared" si="1090"/>
        <v>PA_Alleg_2019p~Rep-member of council leetsdale (vote for 3)</v>
      </c>
      <c r="B5680" s="55" t="s">
        <v>1291</v>
      </c>
      <c r="C5680">
        <v>1763</v>
      </c>
      <c r="D5680" s="55" t="s">
        <v>776</v>
      </c>
      <c r="E5680" s="55" t="s">
        <v>15</v>
      </c>
      <c r="F5680" t="s">
        <v>1117</v>
      </c>
      <c r="G5680" s="62">
        <v>11</v>
      </c>
      <c r="H5680" s="25">
        <v>12.64</v>
      </c>
      <c r="I5680">
        <v>878</v>
      </c>
      <c r="J5680">
        <v>152</v>
      </c>
      <c r="K5680">
        <v>1</v>
      </c>
      <c r="L5680">
        <v>1</v>
      </c>
      <c r="M5680">
        <v>0</v>
      </c>
      <c r="N5680" s="23">
        <v>0</v>
      </c>
      <c r="O5680">
        <f t="shared" si="1083"/>
        <v>-2</v>
      </c>
      <c r="P5680" s="57">
        <f t="shared" si="1084"/>
        <v>3</v>
      </c>
      <c r="Q5680" s="267">
        <f t="shared" si="1085"/>
        <v>11</v>
      </c>
      <c r="R5680" s="23">
        <f t="shared" si="1086"/>
        <v>1</v>
      </c>
      <c r="S5680" s="23">
        <f t="shared" si="1087"/>
        <v>0</v>
      </c>
      <c r="T5680" s="23" t="str">
        <f t="shared" si="1088"/>
        <v/>
      </c>
      <c r="U5680" t="str">
        <f t="shared" si="1089"/>
        <v/>
      </c>
      <c r="X5680" s="43"/>
      <c r="Y5680" s="53"/>
      <c r="Z5680" s="53"/>
      <c r="AA5680"/>
      <c r="AB5680" s="23"/>
      <c r="AF5680" s="22"/>
    </row>
    <row r="5681" spans="1:32">
      <c r="A5681" t="str">
        <f t="shared" si="1090"/>
        <v>PA_Alleg_2019p~Rep-member of council liberty (vote for 1)</v>
      </c>
      <c r="B5681" s="55" t="s">
        <v>1291</v>
      </c>
      <c r="C5681">
        <v>1844</v>
      </c>
      <c r="D5681" s="55" t="s">
        <v>923</v>
      </c>
      <c r="E5681" s="55" t="s">
        <v>1237</v>
      </c>
      <c r="F5681" t="s">
        <v>1117</v>
      </c>
      <c r="G5681" s="62">
        <v>80</v>
      </c>
      <c r="H5681" s="25">
        <v>86.02</v>
      </c>
      <c r="I5681">
        <v>1692</v>
      </c>
      <c r="J5681">
        <v>482</v>
      </c>
      <c r="K5681">
        <v>2</v>
      </c>
      <c r="L5681">
        <v>2</v>
      </c>
      <c r="M5681">
        <v>0</v>
      </c>
      <c r="N5681" s="23">
        <v>0</v>
      </c>
      <c r="O5681">
        <f t="shared" si="1083"/>
        <v>1</v>
      </c>
      <c r="P5681" s="57">
        <f t="shared" si="1084"/>
        <v>1</v>
      </c>
      <c r="Q5681" s="267">
        <f t="shared" si="1085"/>
        <v>93</v>
      </c>
      <c r="R5681" s="23">
        <f t="shared" si="1086"/>
        <v>80</v>
      </c>
      <c r="S5681" s="23">
        <f t="shared" si="1087"/>
        <v>0</v>
      </c>
      <c r="T5681" s="23" t="str">
        <f t="shared" si="1088"/>
        <v/>
      </c>
      <c r="U5681" t="str">
        <f t="shared" si="1089"/>
        <v>PA_Alleg_2019p~Rep-member of council liberty (vote for 1)</v>
      </c>
      <c r="X5681" s="43"/>
      <c r="Y5681" s="53"/>
      <c r="Z5681" s="53"/>
      <c r="AA5681"/>
      <c r="AB5681" s="23"/>
      <c r="AF5681" s="22"/>
    </row>
    <row r="5682" spans="1:32">
      <c r="A5682" t="str">
        <f t="shared" si="1090"/>
        <v>PA_Alleg_2019p~Rep-member of council liberty (vote for 1)</v>
      </c>
      <c r="B5682" s="55" t="s">
        <v>1291</v>
      </c>
      <c r="C5682">
        <v>1845</v>
      </c>
      <c r="D5682" s="55" t="s">
        <v>923</v>
      </c>
      <c r="E5682" s="55" t="s">
        <v>15</v>
      </c>
      <c r="F5682" t="s">
        <v>1117</v>
      </c>
      <c r="G5682" s="62">
        <v>13</v>
      </c>
      <c r="H5682" s="25">
        <v>13.98</v>
      </c>
      <c r="I5682">
        <v>1692</v>
      </c>
      <c r="J5682">
        <v>482</v>
      </c>
      <c r="K5682">
        <v>2</v>
      </c>
      <c r="L5682">
        <v>2</v>
      </c>
      <c r="M5682">
        <v>0</v>
      </c>
      <c r="N5682" s="23">
        <v>0</v>
      </c>
      <c r="O5682">
        <f t="shared" si="1083"/>
        <v>-1</v>
      </c>
      <c r="P5682" s="57">
        <f t="shared" si="1084"/>
        <v>1</v>
      </c>
      <c r="Q5682" s="267">
        <f t="shared" si="1085"/>
        <v>13</v>
      </c>
      <c r="R5682" s="23">
        <f t="shared" si="1086"/>
        <v>1</v>
      </c>
      <c r="S5682" s="23">
        <f t="shared" si="1087"/>
        <v>0</v>
      </c>
      <c r="T5682" s="23" t="str">
        <f t="shared" si="1088"/>
        <v/>
      </c>
      <c r="U5682" t="str">
        <f t="shared" si="1089"/>
        <v/>
      </c>
      <c r="X5682" s="43"/>
      <c r="Y5682" s="53"/>
      <c r="Z5682" s="53"/>
      <c r="AA5682"/>
      <c r="AB5682" s="23"/>
      <c r="AF5682" s="22"/>
    </row>
    <row r="5683" spans="1:32">
      <c r="A5683" t="str">
        <f t="shared" si="1090"/>
        <v>PA_Alleg_2019p~Rep-member of council liberty (vote for 3)</v>
      </c>
      <c r="B5683" s="55" t="s">
        <v>1291</v>
      </c>
      <c r="C5683">
        <v>1764</v>
      </c>
      <c r="D5683" s="55" t="s">
        <v>778</v>
      </c>
      <c r="E5683" s="55" t="s">
        <v>15</v>
      </c>
      <c r="F5683" t="s">
        <v>1117</v>
      </c>
      <c r="G5683" s="62">
        <v>137</v>
      </c>
      <c r="H5683" s="25">
        <v>100</v>
      </c>
      <c r="I5683">
        <v>1692</v>
      </c>
      <c r="J5683">
        <v>482</v>
      </c>
      <c r="K5683">
        <v>2</v>
      </c>
      <c r="L5683">
        <v>2</v>
      </c>
      <c r="M5683">
        <v>0</v>
      </c>
      <c r="N5683" s="23">
        <v>0</v>
      </c>
      <c r="O5683">
        <f t="shared" si="1083"/>
        <v>0</v>
      </c>
      <c r="P5683" s="57">
        <f t="shared" si="1084"/>
        <v>3</v>
      </c>
      <c r="Q5683" s="267">
        <f t="shared" si="1085"/>
        <v>137</v>
      </c>
      <c r="R5683" s="23">
        <f t="shared" si="1086"/>
        <v>1</v>
      </c>
      <c r="S5683" s="23">
        <f t="shared" si="1087"/>
        <v>0</v>
      </c>
      <c r="T5683" s="23" t="str">
        <f t="shared" si="1088"/>
        <v/>
      </c>
      <c r="U5683" t="str">
        <f t="shared" si="1089"/>
        <v>PA_Alleg_2019p~Rep-member of council liberty (vote for 3)</v>
      </c>
      <c r="X5683" s="43"/>
      <c r="Y5683" s="53"/>
      <c r="Z5683" s="53"/>
      <c r="AA5683"/>
      <c r="AB5683" s="23"/>
      <c r="AF5683" s="293"/>
    </row>
    <row r="5684" spans="1:32">
      <c r="A5684" t="str">
        <f t="shared" si="1090"/>
        <v>PA_Alleg_2019p~Rep-member of council lincoln (vote for 3)</v>
      </c>
      <c r="B5684" s="55" t="s">
        <v>1291</v>
      </c>
      <c r="C5684">
        <v>1765</v>
      </c>
      <c r="D5684" s="55" t="s">
        <v>784</v>
      </c>
      <c r="E5684" s="55" t="s">
        <v>15</v>
      </c>
      <c r="F5684" t="s">
        <v>1117</v>
      </c>
      <c r="G5684" s="62">
        <v>1</v>
      </c>
      <c r="H5684" s="25">
        <v>100</v>
      </c>
      <c r="I5684">
        <v>694</v>
      </c>
      <c r="J5684">
        <v>148</v>
      </c>
      <c r="K5684">
        <v>1</v>
      </c>
      <c r="L5684">
        <v>1</v>
      </c>
      <c r="M5684">
        <v>0</v>
      </c>
      <c r="N5684" s="23">
        <v>0</v>
      </c>
      <c r="O5684">
        <f t="shared" si="1083"/>
        <v>0</v>
      </c>
      <c r="P5684" s="57">
        <f t="shared" si="1084"/>
        <v>3</v>
      </c>
      <c r="Q5684" s="267">
        <f t="shared" si="1085"/>
        <v>1</v>
      </c>
      <c r="R5684" s="23">
        <f t="shared" si="1086"/>
        <v>1</v>
      </c>
      <c r="S5684" s="23">
        <f t="shared" si="1087"/>
        <v>0</v>
      </c>
      <c r="T5684" s="23" t="str">
        <f t="shared" si="1088"/>
        <v/>
      </c>
      <c r="U5684" t="str">
        <f t="shared" si="1089"/>
        <v>PA_Alleg_2019p~Rep-member of council lincoln (vote for 3)</v>
      </c>
      <c r="X5684" s="43"/>
      <c r="Y5684" s="53"/>
      <c r="Z5684" s="53"/>
      <c r="AA5684"/>
      <c r="AB5684" s="23"/>
      <c r="AF5684" s="22"/>
    </row>
    <row r="5685" spans="1:32">
      <c r="A5685" t="str">
        <f t="shared" si="1090"/>
        <v>PA_Alleg_2019p~Rep-member of council mccandless ward 1 (vote for 1)</v>
      </c>
      <c r="B5685" s="55" t="s">
        <v>1291</v>
      </c>
      <c r="C5685">
        <v>1907</v>
      </c>
      <c r="D5685" s="55" t="s">
        <v>1031</v>
      </c>
      <c r="E5685" s="55" t="s">
        <v>1252</v>
      </c>
      <c r="F5685" t="s">
        <v>1117</v>
      </c>
      <c r="G5685" s="62">
        <v>239</v>
      </c>
      <c r="H5685" s="25">
        <v>68.48</v>
      </c>
      <c r="I5685">
        <v>3356</v>
      </c>
      <c r="J5685">
        <v>624</v>
      </c>
      <c r="K5685">
        <v>3</v>
      </c>
      <c r="L5685">
        <v>3</v>
      </c>
      <c r="M5685">
        <v>0</v>
      </c>
      <c r="N5685" s="23">
        <v>0</v>
      </c>
      <c r="O5685">
        <f t="shared" si="1083"/>
        <v>1</v>
      </c>
      <c r="P5685" s="57">
        <f t="shared" si="1084"/>
        <v>1</v>
      </c>
      <c r="Q5685" s="267">
        <f t="shared" si="1085"/>
        <v>349</v>
      </c>
      <c r="R5685" s="23">
        <f t="shared" si="1086"/>
        <v>239</v>
      </c>
      <c r="S5685" s="23">
        <f t="shared" si="1087"/>
        <v>107</v>
      </c>
      <c r="T5685" s="23">
        <f t="shared" si="1088"/>
        <v>132</v>
      </c>
      <c r="U5685" t="str">
        <f t="shared" si="1089"/>
        <v>PA_Alleg_2019p~Rep-member of council mccandless ward 1 (vote for 1)</v>
      </c>
      <c r="X5685" s="43"/>
      <c r="Y5685" s="53"/>
      <c r="Z5685" s="53"/>
      <c r="AA5685"/>
      <c r="AB5685" s="23"/>
      <c r="AF5685" s="22"/>
    </row>
    <row r="5686" spans="1:32">
      <c r="A5686" t="str">
        <f t="shared" si="1090"/>
        <v>PA_Alleg_2019p~Rep-member of council mccandless ward 1 (vote for 1)</v>
      </c>
      <c r="B5686" s="55" t="s">
        <v>1291</v>
      </c>
      <c r="C5686">
        <v>1908</v>
      </c>
      <c r="D5686" s="55" t="s">
        <v>1031</v>
      </c>
      <c r="E5686" s="55" t="s">
        <v>1253</v>
      </c>
      <c r="F5686" t="s">
        <v>1117</v>
      </c>
      <c r="G5686" s="62">
        <v>107</v>
      </c>
      <c r="H5686" s="25">
        <v>30.66</v>
      </c>
      <c r="I5686">
        <v>3356</v>
      </c>
      <c r="J5686">
        <v>624</v>
      </c>
      <c r="K5686">
        <v>3</v>
      </c>
      <c r="L5686">
        <v>3</v>
      </c>
      <c r="M5686">
        <v>0</v>
      </c>
      <c r="N5686" s="23">
        <v>0</v>
      </c>
      <c r="O5686">
        <f t="shared" si="1083"/>
        <v>2</v>
      </c>
      <c r="P5686" s="57">
        <f t="shared" si="1084"/>
        <v>1</v>
      </c>
      <c r="Q5686" s="267">
        <f t="shared" si="1085"/>
        <v>110</v>
      </c>
      <c r="R5686" s="23" t="str">
        <f t="shared" si="1086"/>
        <v/>
      </c>
      <c r="S5686" s="23">
        <f t="shared" si="1087"/>
        <v>107</v>
      </c>
      <c r="T5686" s="23" t="str">
        <f t="shared" si="1088"/>
        <v/>
      </c>
      <c r="U5686" t="str">
        <f t="shared" si="1089"/>
        <v/>
      </c>
      <c r="X5686" s="43"/>
      <c r="Y5686" s="53"/>
      <c r="Z5686" s="53"/>
      <c r="AA5686"/>
      <c r="AB5686" s="23"/>
      <c r="AF5686" s="22"/>
    </row>
    <row r="5687" spans="1:32">
      <c r="A5687" t="str">
        <f t="shared" si="1090"/>
        <v>PA_Alleg_2019p~Rep-member of council mccandless ward 1 (vote for 1)</v>
      </c>
      <c r="B5687" s="55" t="s">
        <v>1291</v>
      </c>
      <c r="C5687">
        <v>1909</v>
      </c>
      <c r="D5687" s="55" t="s">
        <v>1031</v>
      </c>
      <c r="E5687" s="55" t="s">
        <v>15</v>
      </c>
      <c r="F5687" t="s">
        <v>1117</v>
      </c>
      <c r="G5687" s="62">
        <v>3</v>
      </c>
      <c r="H5687" s="25">
        <v>0.86</v>
      </c>
      <c r="I5687">
        <v>3356</v>
      </c>
      <c r="J5687">
        <v>624</v>
      </c>
      <c r="K5687">
        <v>3</v>
      </c>
      <c r="L5687">
        <v>3</v>
      </c>
      <c r="M5687">
        <v>0</v>
      </c>
      <c r="N5687" s="23">
        <v>0</v>
      </c>
      <c r="O5687">
        <f t="shared" si="1083"/>
        <v>-2</v>
      </c>
      <c r="P5687" s="57">
        <f t="shared" si="1084"/>
        <v>1</v>
      </c>
      <c r="Q5687" s="267">
        <f t="shared" si="1085"/>
        <v>3</v>
      </c>
      <c r="R5687" s="23">
        <f t="shared" si="1086"/>
        <v>1</v>
      </c>
      <c r="S5687" s="23">
        <f t="shared" si="1087"/>
        <v>0</v>
      </c>
      <c r="T5687" s="23" t="str">
        <f t="shared" si="1088"/>
        <v/>
      </c>
      <c r="U5687" t="str">
        <f t="shared" si="1089"/>
        <v/>
      </c>
      <c r="X5687" s="43"/>
      <c r="Y5687" s="53"/>
      <c r="Z5687" s="53"/>
      <c r="AA5687"/>
      <c r="AB5687" s="23"/>
      <c r="AF5687" s="22"/>
    </row>
    <row r="5688" spans="1:32">
      <c r="A5688" t="str">
        <f t="shared" si="1090"/>
        <v>PA_Alleg_2019p~Rep-member of council mccandless ward 3 (vote for 1)</v>
      </c>
      <c r="B5688" s="55" t="s">
        <v>1291</v>
      </c>
      <c r="C5688">
        <v>1911</v>
      </c>
      <c r="D5688" s="55" t="s">
        <v>1032</v>
      </c>
      <c r="E5688" s="55" t="s">
        <v>1255</v>
      </c>
      <c r="F5688" t="s">
        <v>1117</v>
      </c>
      <c r="G5688" s="62">
        <v>272</v>
      </c>
      <c r="H5688" s="25">
        <v>85</v>
      </c>
      <c r="I5688">
        <v>3121</v>
      </c>
      <c r="J5688">
        <v>660</v>
      </c>
      <c r="K5688">
        <v>3</v>
      </c>
      <c r="L5688">
        <v>3</v>
      </c>
      <c r="M5688">
        <v>0</v>
      </c>
      <c r="N5688" s="23">
        <v>0</v>
      </c>
      <c r="O5688">
        <f t="shared" si="1083"/>
        <v>1</v>
      </c>
      <c r="P5688" s="57">
        <f t="shared" si="1084"/>
        <v>1</v>
      </c>
      <c r="Q5688" s="267">
        <f t="shared" si="1085"/>
        <v>320</v>
      </c>
      <c r="R5688" s="23">
        <f t="shared" si="1086"/>
        <v>272</v>
      </c>
      <c r="S5688" s="23">
        <f t="shared" si="1087"/>
        <v>46</v>
      </c>
      <c r="T5688" s="23">
        <f t="shared" si="1088"/>
        <v>226</v>
      </c>
      <c r="U5688" t="str">
        <f t="shared" si="1089"/>
        <v>PA_Alleg_2019p~Rep-member of council mccandless ward 3 (vote for 1)</v>
      </c>
      <c r="X5688" s="43"/>
      <c r="Y5688" s="53"/>
      <c r="Z5688" s="53"/>
      <c r="AA5688"/>
      <c r="AB5688" s="23"/>
      <c r="AF5688" s="22"/>
    </row>
    <row r="5689" spans="1:32">
      <c r="A5689" t="str">
        <f t="shared" si="1090"/>
        <v>PA_Alleg_2019p~Rep-member of council mccandless ward 3 (vote for 1)</v>
      </c>
      <c r="B5689" s="55" t="s">
        <v>1291</v>
      </c>
      <c r="C5689">
        <v>1910</v>
      </c>
      <c r="D5689" s="55" t="s">
        <v>1032</v>
      </c>
      <c r="E5689" s="55" t="s">
        <v>1254</v>
      </c>
      <c r="F5689" t="s">
        <v>1117</v>
      </c>
      <c r="G5689" s="62">
        <v>46</v>
      </c>
      <c r="H5689" s="25">
        <v>14.38</v>
      </c>
      <c r="I5689">
        <v>3121</v>
      </c>
      <c r="J5689">
        <v>660</v>
      </c>
      <c r="K5689">
        <v>3</v>
      </c>
      <c r="L5689">
        <v>3</v>
      </c>
      <c r="M5689">
        <v>0</v>
      </c>
      <c r="N5689" s="23">
        <v>0</v>
      </c>
      <c r="O5689">
        <f t="shared" si="1083"/>
        <v>2</v>
      </c>
      <c r="P5689" s="57">
        <f t="shared" si="1084"/>
        <v>1</v>
      </c>
      <c r="Q5689" s="267">
        <f t="shared" si="1085"/>
        <v>48</v>
      </c>
      <c r="R5689" s="23" t="str">
        <f t="shared" si="1086"/>
        <v/>
      </c>
      <c r="S5689" s="23">
        <f t="shared" si="1087"/>
        <v>46</v>
      </c>
      <c r="T5689" s="23" t="str">
        <f t="shared" si="1088"/>
        <v/>
      </c>
      <c r="U5689" t="str">
        <f t="shared" si="1089"/>
        <v/>
      </c>
      <c r="X5689" s="43"/>
      <c r="Y5689" s="53"/>
      <c r="Z5689" s="53"/>
      <c r="AA5689"/>
      <c r="AB5689" s="23"/>
      <c r="AF5689" s="22"/>
    </row>
    <row r="5690" spans="1:32">
      <c r="A5690" t="str">
        <f t="shared" si="1090"/>
        <v>PA_Alleg_2019p~Rep-member of council mccandless ward 3 (vote for 1)</v>
      </c>
      <c r="B5690" s="55" t="s">
        <v>1291</v>
      </c>
      <c r="C5690">
        <v>1912</v>
      </c>
      <c r="D5690" s="55" t="s">
        <v>1032</v>
      </c>
      <c r="E5690" s="55" t="s">
        <v>15</v>
      </c>
      <c r="F5690" t="s">
        <v>1117</v>
      </c>
      <c r="G5690" s="62">
        <v>2</v>
      </c>
      <c r="H5690" s="25">
        <v>0.63</v>
      </c>
      <c r="I5690">
        <v>3121</v>
      </c>
      <c r="J5690">
        <v>660</v>
      </c>
      <c r="K5690">
        <v>3</v>
      </c>
      <c r="L5690">
        <v>3</v>
      </c>
      <c r="M5690">
        <v>0</v>
      </c>
      <c r="N5690" s="23">
        <v>0</v>
      </c>
      <c r="O5690">
        <f t="shared" si="1083"/>
        <v>-2</v>
      </c>
      <c r="P5690" s="57">
        <f t="shared" si="1084"/>
        <v>1</v>
      </c>
      <c r="Q5690" s="267">
        <f t="shared" si="1085"/>
        <v>2</v>
      </c>
      <c r="R5690" s="23">
        <f t="shared" si="1086"/>
        <v>1</v>
      </c>
      <c r="S5690" s="23">
        <f t="shared" si="1087"/>
        <v>0</v>
      </c>
      <c r="T5690" s="23" t="str">
        <f t="shared" si="1088"/>
        <v/>
      </c>
      <c r="U5690" t="str">
        <f t="shared" si="1089"/>
        <v/>
      </c>
      <c r="X5690" s="43"/>
      <c r="Y5690" s="53"/>
      <c r="Z5690" s="53"/>
      <c r="AA5690"/>
      <c r="AB5690" s="23"/>
      <c r="AF5690" s="22"/>
    </row>
    <row r="5691" spans="1:32">
      <c r="A5691" t="str">
        <f t="shared" si="1090"/>
        <v>PA_Alleg_2019p~Rep-member of council mccandless ward 5 (vote for 1)</v>
      </c>
      <c r="B5691" s="55" t="s">
        <v>1291</v>
      </c>
      <c r="C5691">
        <v>1913</v>
      </c>
      <c r="D5691" s="55" t="s">
        <v>1034</v>
      </c>
      <c r="E5691" s="55" t="s">
        <v>1256</v>
      </c>
      <c r="F5691" t="s">
        <v>1117</v>
      </c>
      <c r="G5691" s="62">
        <v>171</v>
      </c>
      <c r="H5691" s="25">
        <v>52.62</v>
      </c>
      <c r="I5691">
        <v>3152</v>
      </c>
      <c r="J5691">
        <v>627</v>
      </c>
      <c r="K5691">
        <v>3</v>
      </c>
      <c r="L5691">
        <v>3</v>
      </c>
      <c r="M5691">
        <v>0</v>
      </c>
      <c r="N5691" s="23">
        <v>0</v>
      </c>
      <c r="O5691">
        <f t="shared" si="1083"/>
        <v>1</v>
      </c>
      <c r="P5691" s="57">
        <f t="shared" si="1084"/>
        <v>1</v>
      </c>
      <c r="Q5691" s="267">
        <f t="shared" si="1085"/>
        <v>325</v>
      </c>
      <c r="R5691" s="23">
        <f t="shared" si="1086"/>
        <v>171</v>
      </c>
      <c r="S5691" s="23">
        <f t="shared" si="1087"/>
        <v>152</v>
      </c>
      <c r="T5691" s="23">
        <f t="shared" si="1088"/>
        <v>19</v>
      </c>
      <c r="U5691" t="str">
        <f t="shared" si="1089"/>
        <v>PA_Alleg_2019p~Rep-member of council mccandless ward 5 (vote for 1)</v>
      </c>
      <c r="X5691" s="43"/>
      <c r="Y5691" s="53"/>
      <c r="Z5691" s="53"/>
      <c r="AA5691"/>
      <c r="AB5691" s="23"/>
      <c r="AF5691" s="22"/>
    </row>
    <row r="5692" spans="1:32">
      <c r="A5692" t="str">
        <f t="shared" si="1090"/>
        <v>PA_Alleg_2019p~Rep-member of council mccandless ward 5 (vote for 1)</v>
      </c>
      <c r="B5692" s="55" t="s">
        <v>1291</v>
      </c>
      <c r="C5692">
        <v>1914</v>
      </c>
      <c r="D5692" s="55" t="s">
        <v>1034</v>
      </c>
      <c r="E5692" s="55" t="s">
        <v>1257</v>
      </c>
      <c r="F5692" t="s">
        <v>1117</v>
      </c>
      <c r="G5692" s="62">
        <v>152</v>
      </c>
      <c r="H5692" s="25">
        <v>46.77</v>
      </c>
      <c r="I5692">
        <v>3152</v>
      </c>
      <c r="J5692">
        <v>627</v>
      </c>
      <c r="K5692">
        <v>3</v>
      </c>
      <c r="L5692">
        <v>3</v>
      </c>
      <c r="M5692">
        <v>0</v>
      </c>
      <c r="N5692" s="23">
        <v>0</v>
      </c>
      <c r="O5692">
        <f t="shared" si="1083"/>
        <v>2</v>
      </c>
      <c r="P5692" s="57">
        <f t="shared" si="1084"/>
        <v>1</v>
      </c>
      <c r="Q5692" s="267">
        <f t="shared" si="1085"/>
        <v>154</v>
      </c>
      <c r="R5692" s="23" t="str">
        <f t="shared" si="1086"/>
        <v/>
      </c>
      <c r="S5692" s="23">
        <f t="shared" si="1087"/>
        <v>152</v>
      </c>
      <c r="T5692" s="23" t="str">
        <f t="shared" si="1088"/>
        <v/>
      </c>
      <c r="U5692" t="str">
        <f t="shared" si="1089"/>
        <v/>
      </c>
      <c r="X5692" s="43"/>
      <c r="Y5692" s="53"/>
      <c r="Z5692" s="53"/>
      <c r="AA5692"/>
      <c r="AB5692" s="23"/>
      <c r="AF5692" s="22"/>
    </row>
    <row r="5693" spans="1:32">
      <c r="A5693" t="str">
        <f t="shared" si="1090"/>
        <v>PA_Alleg_2019p~Rep-member of council mccandless ward 5 (vote for 1)</v>
      </c>
      <c r="B5693" s="55" t="s">
        <v>1291</v>
      </c>
      <c r="C5693">
        <v>1915</v>
      </c>
      <c r="D5693" s="55" t="s">
        <v>1034</v>
      </c>
      <c r="E5693" s="55" t="s">
        <v>15</v>
      </c>
      <c r="F5693" t="s">
        <v>1117</v>
      </c>
      <c r="G5693" s="62">
        <v>2</v>
      </c>
      <c r="H5693" s="25">
        <v>0.62</v>
      </c>
      <c r="I5693">
        <v>3152</v>
      </c>
      <c r="J5693">
        <v>627</v>
      </c>
      <c r="K5693">
        <v>3</v>
      </c>
      <c r="L5693">
        <v>3</v>
      </c>
      <c r="M5693">
        <v>0</v>
      </c>
      <c r="N5693" s="23">
        <v>0</v>
      </c>
      <c r="O5693">
        <f t="shared" si="1083"/>
        <v>-2</v>
      </c>
      <c r="P5693" s="57">
        <f t="shared" si="1084"/>
        <v>1</v>
      </c>
      <c r="Q5693" s="267">
        <f t="shared" si="1085"/>
        <v>2</v>
      </c>
      <c r="R5693" s="23">
        <f t="shared" si="1086"/>
        <v>1</v>
      </c>
      <c r="S5693" s="23">
        <f t="shared" si="1087"/>
        <v>0</v>
      </c>
      <c r="T5693" s="23" t="str">
        <f t="shared" si="1088"/>
        <v/>
      </c>
      <c r="U5693" t="str">
        <f t="shared" si="1089"/>
        <v/>
      </c>
      <c r="X5693" s="43"/>
      <c r="Y5693" s="53"/>
      <c r="Z5693" s="53"/>
      <c r="AA5693"/>
      <c r="AB5693" s="23"/>
      <c r="AF5693" s="22"/>
    </row>
    <row r="5694" spans="1:32">
      <c r="A5694" t="str">
        <f t="shared" si="1090"/>
        <v>PA_Alleg_2019p~Rep-member of council mccandless ward 7 (vote for 1)</v>
      </c>
      <c r="B5694" s="55" t="s">
        <v>1291</v>
      </c>
      <c r="C5694">
        <v>1916</v>
      </c>
      <c r="D5694" s="55" t="s">
        <v>1035</v>
      </c>
      <c r="E5694" s="55" t="s">
        <v>1258</v>
      </c>
      <c r="F5694" t="s">
        <v>1117</v>
      </c>
      <c r="G5694" s="62">
        <v>181</v>
      </c>
      <c r="H5694" s="25">
        <v>90.95</v>
      </c>
      <c r="I5694">
        <v>3129</v>
      </c>
      <c r="J5694">
        <v>511</v>
      </c>
      <c r="K5694">
        <v>3</v>
      </c>
      <c r="L5694">
        <v>3</v>
      </c>
      <c r="M5694">
        <v>0</v>
      </c>
      <c r="N5694" s="23">
        <v>0</v>
      </c>
      <c r="O5694">
        <f t="shared" si="1083"/>
        <v>1</v>
      </c>
      <c r="P5694" s="57">
        <f t="shared" si="1084"/>
        <v>1</v>
      </c>
      <c r="Q5694" s="267">
        <f t="shared" si="1085"/>
        <v>199</v>
      </c>
      <c r="R5694" s="23">
        <f t="shared" si="1086"/>
        <v>181</v>
      </c>
      <c r="S5694" s="23">
        <f t="shared" si="1087"/>
        <v>0</v>
      </c>
      <c r="T5694" s="23" t="str">
        <f t="shared" si="1088"/>
        <v/>
      </c>
      <c r="U5694" t="str">
        <f t="shared" si="1089"/>
        <v>PA_Alleg_2019p~Rep-member of council mccandless ward 7 (vote for 1)</v>
      </c>
      <c r="X5694" s="43"/>
      <c r="Y5694" s="53"/>
      <c r="Z5694" s="53"/>
      <c r="AA5694"/>
      <c r="AB5694" s="23"/>
      <c r="AF5694" s="22"/>
    </row>
    <row r="5695" spans="1:32">
      <c r="A5695" t="str">
        <f t="shared" si="1090"/>
        <v>PA_Alleg_2019p~Rep-member of council mccandless ward 7 (vote for 1)</v>
      </c>
      <c r="B5695" s="55" t="s">
        <v>1291</v>
      </c>
      <c r="C5695">
        <v>1917</v>
      </c>
      <c r="D5695" s="55" t="s">
        <v>1035</v>
      </c>
      <c r="E5695" s="55" t="s">
        <v>15</v>
      </c>
      <c r="F5695" t="s">
        <v>1117</v>
      </c>
      <c r="G5695" s="62">
        <v>18</v>
      </c>
      <c r="H5695" s="25">
        <v>9.0500000000000007</v>
      </c>
      <c r="I5695">
        <v>3129</v>
      </c>
      <c r="J5695">
        <v>511</v>
      </c>
      <c r="K5695">
        <v>3</v>
      </c>
      <c r="L5695">
        <v>3</v>
      </c>
      <c r="M5695">
        <v>0</v>
      </c>
      <c r="N5695" s="23">
        <v>0</v>
      </c>
      <c r="O5695">
        <f t="shared" si="1083"/>
        <v>-1</v>
      </c>
      <c r="P5695" s="57">
        <f t="shared" si="1084"/>
        <v>1</v>
      </c>
      <c r="Q5695" s="267">
        <f t="shared" si="1085"/>
        <v>18</v>
      </c>
      <c r="R5695" s="23">
        <f t="shared" si="1086"/>
        <v>1</v>
      </c>
      <c r="S5695" s="23">
        <f t="shared" si="1087"/>
        <v>0</v>
      </c>
      <c r="T5695" s="23" t="str">
        <f t="shared" si="1088"/>
        <v/>
      </c>
      <c r="U5695" t="str">
        <f t="shared" si="1089"/>
        <v/>
      </c>
      <c r="X5695" s="43"/>
      <c r="Y5695" s="53"/>
      <c r="Z5695" s="53"/>
      <c r="AA5695"/>
      <c r="AB5695" s="23"/>
      <c r="AF5695" s="22"/>
    </row>
    <row r="5696" spans="1:32">
      <c r="A5696" t="str">
        <f t="shared" si="1090"/>
        <v>PA_Alleg_2019p~Rep-member of council mcdonald (vote for 4)</v>
      </c>
      <c r="B5696" s="55" t="s">
        <v>1291</v>
      </c>
      <c r="C5696">
        <v>1703</v>
      </c>
      <c r="D5696" s="55" t="s">
        <v>667</v>
      </c>
      <c r="E5696" s="55" t="s">
        <v>1176</v>
      </c>
      <c r="F5696" t="s">
        <v>1117</v>
      </c>
      <c r="G5696" s="62">
        <v>8</v>
      </c>
      <c r="H5696" s="25">
        <v>66.67</v>
      </c>
      <c r="I5696">
        <v>220</v>
      </c>
      <c r="J5696">
        <v>47</v>
      </c>
      <c r="K5696">
        <v>1</v>
      </c>
      <c r="L5696">
        <v>1</v>
      </c>
      <c r="M5696">
        <v>0</v>
      </c>
      <c r="N5696" s="23">
        <v>0</v>
      </c>
      <c r="O5696">
        <f t="shared" si="1083"/>
        <v>1</v>
      </c>
      <c r="P5696" s="57">
        <f t="shared" si="1084"/>
        <v>4</v>
      </c>
      <c r="Q5696" s="267">
        <f t="shared" si="1085"/>
        <v>8</v>
      </c>
      <c r="R5696" s="23">
        <f t="shared" si="1086"/>
        <v>1</v>
      </c>
      <c r="S5696" s="23">
        <f t="shared" si="1087"/>
        <v>0</v>
      </c>
      <c r="T5696" s="23" t="str">
        <f t="shared" si="1088"/>
        <v/>
      </c>
      <c r="U5696" t="str">
        <f t="shared" si="1089"/>
        <v>PA_Alleg_2019p~Rep-member of council mcdonald (vote for 4)</v>
      </c>
      <c r="X5696" s="43"/>
      <c r="Y5696" s="53"/>
      <c r="Z5696" s="53"/>
      <c r="AA5696"/>
      <c r="AB5696" s="23"/>
      <c r="AF5696" s="22"/>
    </row>
    <row r="5697" spans="1:32">
      <c r="A5697" t="str">
        <f t="shared" si="1090"/>
        <v>PA_Alleg_2019p~Rep-member of council mcdonald (vote for 4)</v>
      </c>
      <c r="B5697" s="55" t="s">
        <v>1291</v>
      </c>
      <c r="C5697">
        <v>1704</v>
      </c>
      <c r="D5697" s="55" t="s">
        <v>667</v>
      </c>
      <c r="E5697" s="55" t="s">
        <v>15</v>
      </c>
      <c r="F5697" t="s">
        <v>1117</v>
      </c>
      <c r="G5697" s="62">
        <v>4</v>
      </c>
      <c r="H5697" s="25">
        <v>33.33</v>
      </c>
      <c r="I5697">
        <v>220</v>
      </c>
      <c r="J5697">
        <v>47</v>
      </c>
      <c r="K5697">
        <v>1</v>
      </c>
      <c r="L5697">
        <v>1</v>
      </c>
      <c r="M5697">
        <v>0</v>
      </c>
      <c r="N5697" s="23">
        <v>0</v>
      </c>
      <c r="O5697">
        <f t="shared" si="1083"/>
        <v>-1</v>
      </c>
      <c r="P5697" s="57">
        <f t="shared" si="1084"/>
        <v>4</v>
      </c>
      <c r="Q5697" s="267">
        <f t="shared" si="1085"/>
        <v>4</v>
      </c>
      <c r="R5697" s="23">
        <f t="shared" si="1086"/>
        <v>1</v>
      </c>
      <c r="S5697" s="23">
        <f t="shared" si="1087"/>
        <v>0</v>
      </c>
      <c r="T5697" s="23" t="str">
        <f t="shared" si="1088"/>
        <v/>
      </c>
      <c r="U5697" t="str">
        <f t="shared" si="1089"/>
        <v/>
      </c>
      <c r="X5697" s="43"/>
      <c r="Y5697" s="53"/>
      <c r="Z5697" s="53"/>
      <c r="AA5697"/>
      <c r="AB5697" s="23"/>
      <c r="AF5697" s="22"/>
    </row>
    <row r="5698" spans="1:32">
      <c r="A5698" t="str">
        <f t="shared" si="1090"/>
        <v>PA_Alleg_2019p~Rep-member of council mckees rocks ward 1 (vote for 1)</v>
      </c>
      <c r="B5698" s="55" t="s">
        <v>1291</v>
      </c>
      <c r="C5698">
        <v>1918</v>
      </c>
      <c r="D5698" s="55" t="s">
        <v>1037</v>
      </c>
      <c r="E5698" s="55" t="s">
        <v>15</v>
      </c>
      <c r="F5698" t="s">
        <v>1117</v>
      </c>
      <c r="G5698" s="62">
        <v>3</v>
      </c>
      <c r="H5698" s="25">
        <v>100</v>
      </c>
      <c r="I5698">
        <v>837</v>
      </c>
      <c r="J5698">
        <v>90</v>
      </c>
      <c r="K5698">
        <v>2</v>
      </c>
      <c r="L5698">
        <v>2</v>
      </c>
      <c r="M5698">
        <v>0</v>
      </c>
      <c r="N5698" s="23">
        <v>0</v>
      </c>
      <c r="O5698">
        <f t="shared" ref="O5698:O5761" si="1091">IF(OR(LOWER(LEFT(E5698,8))="write-in",LOWER(LEFT(E5698,8))="not qual"),IF(A5698=A5697,-ABS(O5697),0),IF(A5698=A5697,ABS(O5697)+1,1))</f>
        <v>0</v>
      </c>
      <c r="P5698" s="57">
        <f t="shared" ref="P5698:P5761" si="1092">1*LEFT(RIGHT(A5698,2),1)</f>
        <v>1</v>
      </c>
      <c r="Q5698" s="267">
        <f t="shared" ref="Q5698:Q5761" si="1093">IF(A5698&lt;&gt;A5699,G5698,IF(A5698=A5697,G5698+Q5699,MAX(G5698,(G5698+Q5699)/P5698)))</f>
        <v>3</v>
      </c>
      <c r="R5698" s="23">
        <f t="shared" ref="R5698:R5761" si="1094">IF(O5698&gt;P5698,"",IF(O5698=P5698,G5698,IF(A5698=A5699,R5699,IF(O5698&lt;=0,1,G5698))))</f>
        <v>1</v>
      </c>
      <c r="S5698" s="23">
        <f t="shared" ref="S5698:S5761" si="1095">IF(AND(O5698&gt;P5698,LOWER(LEFT(E5698,8))&lt;&gt;"write-in",LOWER(LEFT(E5698,8))&lt;&gt;"not qual"),G5698,IF(A5698=A5699,S5699,0))</f>
        <v>0</v>
      </c>
      <c r="T5698" s="23" t="str">
        <f t="shared" ref="T5698:T5761" si="1096">IF(OR(A5698=A5697,S5698=0),"",R5698-ABS(S5698))</f>
        <v/>
      </c>
      <c r="U5698" t="str">
        <f t="shared" ref="U5698:U5761" si="1097">IF(A5698=A5697,"",A5698)</f>
        <v>PA_Alleg_2019p~Rep-member of council mckees rocks ward 1 (vote for 1)</v>
      </c>
      <c r="X5698" s="43"/>
      <c r="Y5698" s="53"/>
      <c r="Z5698" s="53"/>
      <c r="AA5698"/>
      <c r="AB5698" s="23"/>
      <c r="AF5698" s="22"/>
    </row>
    <row r="5699" spans="1:32">
      <c r="A5699" t="str">
        <f t="shared" ref="A5699:A5762" si="1098">CONCATENATE(B5699,"~",F5699,"-",LOWER(D5699))</f>
        <v>PA_Alleg_2019p~Rep-member of council mckees rocks ward 3 (vote for 3)</v>
      </c>
      <c r="B5699" s="55" t="s">
        <v>1291</v>
      </c>
      <c r="C5699">
        <v>1858</v>
      </c>
      <c r="D5699" s="55" t="s">
        <v>939</v>
      </c>
      <c r="E5699" s="55" t="s">
        <v>15</v>
      </c>
      <c r="F5699" t="s">
        <v>1117</v>
      </c>
      <c r="G5699" s="62">
        <v>87</v>
      </c>
      <c r="H5699" s="25">
        <v>100</v>
      </c>
      <c r="I5699">
        <v>1898</v>
      </c>
      <c r="J5699">
        <v>369</v>
      </c>
      <c r="K5699">
        <v>3</v>
      </c>
      <c r="L5699">
        <v>3</v>
      </c>
      <c r="M5699">
        <v>0</v>
      </c>
      <c r="N5699" s="23">
        <v>0</v>
      </c>
      <c r="O5699">
        <f t="shared" si="1091"/>
        <v>0</v>
      </c>
      <c r="P5699" s="57">
        <f t="shared" si="1092"/>
        <v>3</v>
      </c>
      <c r="Q5699" s="267">
        <f t="shared" si="1093"/>
        <v>87</v>
      </c>
      <c r="R5699" s="23">
        <f t="shared" si="1094"/>
        <v>1</v>
      </c>
      <c r="S5699" s="23">
        <f t="shared" si="1095"/>
        <v>0</v>
      </c>
      <c r="T5699" s="23" t="str">
        <f t="shared" si="1096"/>
        <v/>
      </c>
      <c r="U5699" t="str">
        <f t="shared" si="1097"/>
        <v>PA_Alleg_2019p~Rep-member of council mckees rocks ward 3 (vote for 3)</v>
      </c>
      <c r="X5699" s="43"/>
      <c r="Y5699" s="53"/>
      <c r="Z5699" s="53"/>
      <c r="AA5699"/>
      <c r="AB5699" s="23"/>
      <c r="AF5699" s="22"/>
    </row>
    <row r="5700" spans="1:32">
      <c r="A5700" t="str">
        <f t="shared" si="1098"/>
        <v>PA_Alleg_2019p~Rep-member of council mckeesport (vote for 4)</v>
      </c>
      <c r="B5700" s="55" t="s">
        <v>1291</v>
      </c>
      <c r="C5700">
        <v>1705</v>
      </c>
      <c r="D5700" s="55" t="s">
        <v>671</v>
      </c>
      <c r="E5700" s="55" t="s">
        <v>15</v>
      </c>
      <c r="F5700" t="s">
        <v>1117</v>
      </c>
      <c r="G5700" s="62">
        <v>64</v>
      </c>
      <c r="H5700" s="25">
        <v>100</v>
      </c>
      <c r="I5700">
        <v>12636</v>
      </c>
      <c r="J5700">
        <v>2295</v>
      </c>
      <c r="K5700">
        <v>32</v>
      </c>
      <c r="L5700">
        <v>32</v>
      </c>
      <c r="M5700">
        <v>0</v>
      </c>
      <c r="N5700" s="23">
        <v>0</v>
      </c>
      <c r="O5700">
        <f t="shared" si="1091"/>
        <v>0</v>
      </c>
      <c r="P5700" s="57">
        <f t="shared" si="1092"/>
        <v>4</v>
      </c>
      <c r="Q5700" s="267">
        <f t="shared" si="1093"/>
        <v>64</v>
      </c>
      <c r="R5700" s="23">
        <f t="shared" si="1094"/>
        <v>1</v>
      </c>
      <c r="S5700" s="23">
        <f t="shared" si="1095"/>
        <v>0</v>
      </c>
      <c r="T5700" s="23" t="str">
        <f t="shared" si="1096"/>
        <v/>
      </c>
      <c r="U5700" t="str">
        <f t="shared" si="1097"/>
        <v>PA_Alleg_2019p~Rep-member of council mckeesport (vote for 4)</v>
      </c>
      <c r="X5700" s="43"/>
      <c r="Y5700" s="53"/>
      <c r="Z5700" s="53"/>
      <c r="AA5700"/>
      <c r="AB5700" s="23"/>
      <c r="AF5700" s="22"/>
    </row>
    <row r="5701" spans="1:32">
      <c r="A5701" t="str">
        <f t="shared" si="1098"/>
        <v>PA_Alleg_2019p~Rep-member of council millvale (vote for 4)</v>
      </c>
      <c r="B5701" s="55" t="s">
        <v>1291</v>
      </c>
      <c r="C5701">
        <v>1706</v>
      </c>
      <c r="D5701" s="55" t="s">
        <v>678</v>
      </c>
      <c r="E5701" s="55" t="s">
        <v>15</v>
      </c>
      <c r="F5701" t="s">
        <v>1117</v>
      </c>
      <c r="G5701" s="62">
        <v>11</v>
      </c>
      <c r="H5701" s="25">
        <v>100</v>
      </c>
      <c r="I5701">
        <v>2475</v>
      </c>
      <c r="J5701">
        <v>322</v>
      </c>
      <c r="K5701">
        <v>5</v>
      </c>
      <c r="L5701">
        <v>5</v>
      </c>
      <c r="M5701">
        <v>0</v>
      </c>
      <c r="N5701" s="23">
        <v>0</v>
      </c>
      <c r="O5701">
        <f t="shared" si="1091"/>
        <v>0</v>
      </c>
      <c r="P5701" s="57">
        <f t="shared" si="1092"/>
        <v>4</v>
      </c>
      <c r="Q5701" s="267">
        <f t="shared" si="1093"/>
        <v>11</v>
      </c>
      <c r="R5701" s="23">
        <f t="shared" si="1094"/>
        <v>1</v>
      </c>
      <c r="S5701" s="23">
        <f t="shared" si="1095"/>
        <v>0</v>
      </c>
      <c r="T5701" s="23" t="str">
        <f t="shared" si="1096"/>
        <v/>
      </c>
      <c r="U5701" t="str">
        <f t="shared" si="1097"/>
        <v>PA_Alleg_2019p~Rep-member of council millvale (vote for 4)</v>
      </c>
      <c r="X5701" s="43"/>
      <c r="Y5701" s="53"/>
      <c r="Z5701" s="53"/>
      <c r="AA5701"/>
      <c r="AB5701" s="23"/>
      <c r="AF5701" s="22"/>
    </row>
    <row r="5702" spans="1:32">
      <c r="A5702" t="str">
        <f t="shared" si="1098"/>
        <v>PA_Alleg_2019p~Rep-member of council monroeville ward 2 (vote for 1)</v>
      </c>
      <c r="B5702" s="55" t="s">
        <v>1291</v>
      </c>
      <c r="C5702">
        <v>1919</v>
      </c>
      <c r="D5702" s="55" t="s">
        <v>1039</v>
      </c>
      <c r="E5702" s="55" t="s">
        <v>15</v>
      </c>
      <c r="F5702" t="s">
        <v>1117</v>
      </c>
      <c r="G5702" s="62">
        <v>17</v>
      </c>
      <c r="H5702" s="25">
        <v>100</v>
      </c>
      <c r="I5702">
        <v>2984</v>
      </c>
      <c r="J5702">
        <v>645</v>
      </c>
      <c r="K5702">
        <v>3</v>
      </c>
      <c r="L5702">
        <v>3</v>
      </c>
      <c r="M5702">
        <v>0</v>
      </c>
      <c r="N5702" s="23">
        <v>0</v>
      </c>
      <c r="O5702">
        <f t="shared" si="1091"/>
        <v>0</v>
      </c>
      <c r="P5702" s="57">
        <f t="shared" si="1092"/>
        <v>1</v>
      </c>
      <c r="Q5702" s="267">
        <f t="shared" si="1093"/>
        <v>17</v>
      </c>
      <c r="R5702" s="23">
        <f t="shared" si="1094"/>
        <v>1</v>
      </c>
      <c r="S5702" s="23">
        <f t="shared" si="1095"/>
        <v>0</v>
      </c>
      <c r="T5702" s="23" t="str">
        <f t="shared" si="1096"/>
        <v/>
      </c>
      <c r="U5702" t="str">
        <f t="shared" si="1097"/>
        <v>PA_Alleg_2019p~Rep-member of council monroeville ward 2 (vote for 1)</v>
      </c>
      <c r="X5702" s="43"/>
      <c r="Y5702" s="53"/>
      <c r="Z5702" s="53"/>
      <c r="AA5702"/>
      <c r="AB5702" s="23"/>
      <c r="AF5702" s="22"/>
    </row>
    <row r="5703" spans="1:32">
      <c r="A5703" t="str">
        <f t="shared" si="1098"/>
        <v>PA_Alleg_2019p~Rep-member of council monroeville ward 4 (vote for 1)</v>
      </c>
      <c r="B5703" s="55" t="s">
        <v>1291</v>
      </c>
      <c r="C5703">
        <v>1920</v>
      </c>
      <c r="D5703" s="55" t="s">
        <v>1041</v>
      </c>
      <c r="E5703" s="55" t="s">
        <v>15</v>
      </c>
      <c r="F5703" t="s">
        <v>1117</v>
      </c>
      <c r="G5703" s="62">
        <v>54</v>
      </c>
      <c r="H5703" s="25">
        <v>100</v>
      </c>
      <c r="I5703">
        <v>2712</v>
      </c>
      <c r="J5703">
        <v>508</v>
      </c>
      <c r="K5703">
        <v>3</v>
      </c>
      <c r="L5703">
        <v>3</v>
      </c>
      <c r="M5703">
        <v>0</v>
      </c>
      <c r="N5703" s="23">
        <v>0</v>
      </c>
      <c r="O5703">
        <f t="shared" si="1091"/>
        <v>0</v>
      </c>
      <c r="P5703" s="57">
        <f t="shared" si="1092"/>
        <v>1</v>
      </c>
      <c r="Q5703" s="267">
        <f t="shared" si="1093"/>
        <v>54</v>
      </c>
      <c r="R5703" s="23">
        <f t="shared" si="1094"/>
        <v>1</v>
      </c>
      <c r="S5703" s="23">
        <f t="shared" si="1095"/>
        <v>0</v>
      </c>
      <c r="T5703" s="23" t="str">
        <f t="shared" si="1096"/>
        <v/>
      </c>
      <c r="U5703" t="str">
        <f t="shared" si="1097"/>
        <v>PA_Alleg_2019p~Rep-member of council monroeville ward 4 (vote for 1)</v>
      </c>
      <c r="X5703" s="43"/>
      <c r="Y5703" s="53"/>
      <c r="Z5703" s="53"/>
      <c r="AA5703"/>
      <c r="AB5703" s="23"/>
      <c r="AF5703" s="22"/>
    </row>
    <row r="5704" spans="1:32">
      <c r="A5704" t="str">
        <f t="shared" si="1098"/>
        <v>PA_Alleg_2019p~Rep-member of council monroeville ward 6 (vote for 1)</v>
      </c>
      <c r="B5704" s="55" t="s">
        <v>1291</v>
      </c>
      <c r="C5704">
        <v>1921</v>
      </c>
      <c r="D5704" s="55" t="s">
        <v>1043</v>
      </c>
      <c r="E5704" s="55" t="s">
        <v>15</v>
      </c>
      <c r="F5704" t="s">
        <v>1117</v>
      </c>
      <c r="G5704" s="62">
        <v>60</v>
      </c>
      <c r="H5704" s="25">
        <v>100</v>
      </c>
      <c r="I5704">
        <v>3152</v>
      </c>
      <c r="J5704">
        <v>522</v>
      </c>
      <c r="K5704">
        <v>4</v>
      </c>
      <c r="L5704">
        <v>4</v>
      </c>
      <c r="M5704">
        <v>0</v>
      </c>
      <c r="N5704" s="23">
        <v>0</v>
      </c>
      <c r="O5704">
        <f t="shared" si="1091"/>
        <v>0</v>
      </c>
      <c r="P5704" s="57">
        <f t="shared" si="1092"/>
        <v>1</v>
      </c>
      <c r="Q5704" s="267">
        <f t="shared" si="1093"/>
        <v>60</v>
      </c>
      <c r="R5704" s="23">
        <f t="shared" si="1094"/>
        <v>1</v>
      </c>
      <c r="S5704" s="23">
        <f t="shared" si="1095"/>
        <v>0</v>
      </c>
      <c r="T5704" s="23" t="str">
        <f t="shared" si="1096"/>
        <v/>
      </c>
      <c r="U5704" t="str">
        <f t="shared" si="1097"/>
        <v>PA_Alleg_2019p~Rep-member of council monroeville ward 6 (vote for 1)</v>
      </c>
      <c r="X5704" s="43"/>
      <c r="Y5704" s="53"/>
      <c r="Z5704" s="53"/>
      <c r="AA5704"/>
      <c r="AB5704" s="23"/>
      <c r="AF5704" s="22"/>
    </row>
    <row r="5705" spans="1:32">
      <c r="A5705" t="str">
        <f t="shared" si="1098"/>
        <v>PA_Alleg_2019p~Rep-member of council mt oliver (vote for 1)</v>
      </c>
      <c r="B5705" s="55" t="s">
        <v>1291</v>
      </c>
      <c r="C5705">
        <v>1846</v>
      </c>
      <c r="D5705" s="55" t="s">
        <v>925</v>
      </c>
      <c r="E5705" s="55" t="s">
        <v>15</v>
      </c>
      <c r="F5705" t="s">
        <v>1117</v>
      </c>
      <c r="G5705" s="62">
        <v>1</v>
      </c>
      <c r="H5705" s="25">
        <v>100</v>
      </c>
      <c r="I5705">
        <v>2361</v>
      </c>
      <c r="J5705">
        <v>234</v>
      </c>
      <c r="K5705">
        <v>4</v>
      </c>
      <c r="L5705">
        <v>4</v>
      </c>
      <c r="M5705">
        <v>0</v>
      </c>
      <c r="N5705" s="23">
        <v>0</v>
      </c>
      <c r="O5705">
        <f t="shared" si="1091"/>
        <v>0</v>
      </c>
      <c r="P5705" s="57">
        <f t="shared" si="1092"/>
        <v>1</v>
      </c>
      <c r="Q5705" s="267">
        <f t="shared" si="1093"/>
        <v>1</v>
      </c>
      <c r="R5705" s="23">
        <f t="shared" si="1094"/>
        <v>1</v>
      </c>
      <c r="S5705" s="23">
        <f t="shared" si="1095"/>
        <v>0</v>
      </c>
      <c r="T5705" s="23" t="str">
        <f t="shared" si="1096"/>
        <v/>
      </c>
      <c r="U5705" t="str">
        <f t="shared" si="1097"/>
        <v>PA_Alleg_2019p~Rep-member of council mt oliver (vote for 1)</v>
      </c>
      <c r="X5705" s="43"/>
      <c r="Y5705" s="53"/>
      <c r="Z5705" s="53"/>
      <c r="AA5705"/>
      <c r="AB5705" s="23"/>
      <c r="AF5705" s="22"/>
    </row>
    <row r="5706" spans="1:32">
      <c r="A5706" t="str">
        <f t="shared" si="1098"/>
        <v>PA_Alleg_2019p~Rep-member of council mt oliver (vote for 3)</v>
      </c>
      <c r="B5706" s="55" t="s">
        <v>1291</v>
      </c>
      <c r="C5706">
        <v>1766</v>
      </c>
      <c r="D5706" s="55" t="s">
        <v>788</v>
      </c>
      <c r="E5706" s="55" t="s">
        <v>15</v>
      </c>
      <c r="F5706" t="s">
        <v>1117</v>
      </c>
      <c r="G5706" s="62">
        <v>1</v>
      </c>
      <c r="H5706" s="25">
        <v>100</v>
      </c>
      <c r="I5706">
        <v>2361</v>
      </c>
      <c r="J5706">
        <v>234</v>
      </c>
      <c r="K5706">
        <v>4</v>
      </c>
      <c r="L5706">
        <v>4</v>
      </c>
      <c r="M5706">
        <v>0</v>
      </c>
      <c r="N5706" s="23">
        <v>0</v>
      </c>
      <c r="O5706">
        <f t="shared" si="1091"/>
        <v>0</v>
      </c>
      <c r="P5706" s="57">
        <f t="shared" si="1092"/>
        <v>3</v>
      </c>
      <c r="Q5706" s="267">
        <f t="shared" si="1093"/>
        <v>1</v>
      </c>
      <c r="R5706" s="23">
        <f t="shared" si="1094"/>
        <v>1</v>
      </c>
      <c r="S5706" s="23">
        <f t="shared" si="1095"/>
        <v>0</v>
      </c>
      <c r="T5706" s="23" t="str">
        <f t="shared" si="1096"/>
        <v/>
      </c>
      <c r="U5706" t="str">
        <f t="shared" si="1097"/>
        <v>PA_Alleg_2019p~Rep-member of council mt oliver (vote for 3)</v>
      </c>
      <c r="X5706" s="43"/>
      <c r="Y5706" s="53"/>
      <c r="Z5706" s="53"/>
      <c r="AA5706"/>
      <c r="AB5706" s="23"/>
      <c r="AF5706" s="22"/>
    </row>
    <row r="5707" spans="1:32">
      <c r="A5707" t="str">
        <f t="shared" si="1098"/>
        <v>PA_Alleg_2019p~Rep-member of council munhall (vote for 3)</v>
      </c>
      <c r="B5707" s="55" t="s">
        <v>1291</v>
      </c>
      <c r="C5707">
        <v>1767</v>
      </c>
      <c r="D5707" s="55" t="s">
        <v>792</v>
      </c>
      <c r="E5707" s="55" t="s">
        <v>15</v>
      </c>
      <c r="F5707" t="s">
        <v>1117</v>
      </c>
      <c r="G5707" s="62">
        <v>344</v>
      </c>
      <c r="H5707" s="25">
        <v>100</v>
      </c>
      <c r="I5707">
        <v>7990</v>
      </c>
      <c r="J5707">
        <v>1885</v>
      </c>
      <c r="K5707">
        <v>12</v>
      </c>
      <c r="L5707">
        <v>12</v>
      </c>
      <c r="M5707">
        <v>0</v>
      </c>
      <c r="N5707" s="23">
        <v>0</v>
      </c>
      <c r="O5707">
        <f t="shared" si="1091"/>
        <v>0</v>
      </c>
      <c r="P5707" s="57">
        <f t="shared" si="1092"/>
        <v>3</v>
      </c>
      <c r="Q5707" s="267">
        <f t="shared" si="1093"/>
        <v>344</v>
      </c>
      <c r="R5707" s="23">
        <f t="shared" si="1094"/>
        <v>1</v>
      </c>
      <c r="S5707" s="23">
        <f t="shared" si="1095"/>
        <v>0</v>
      </c>
      <c r="T5707" s="23" t="str">
        <f t="shared" si="1096"/>
        <v/>
      </c>
      <c r="U5707" t="str">
        <f t="shared" si="1097"/>
        <v>PA_Alleg_2019p~Rep-member of council munhall (vote for 3)</v>
      </c>
      <c r="X5707" s="43"/>
      <c r="Y5707" s="53"/>
      <c r="Z5707" s="53"/>
      <c r="AA5707"/>
      <c r="AB5707" s="23"/>
      <c r="AF5707" s="22"/>
    </row>
    <row r="5708" spans="1:32">
      <c r="A5708" t="str">
        <f t="shared" si="1098"/>
        <v>PA_Alleg_2019p~Rep-member of council north braddock ward 1 (vote for 1)</v>
      </c>
      <c r="B5708" s="55" t="s">
        <v>1291</v>
      </c>
      <c r="C5708">
        <v>1922</v>
      </c>
      <c r="D5708" s="55" t="s">
        <v>1046</v>
      </c>
      <c r="E5708" s="55" t="s">
        <v>15</v>
      </c>
      <c r="F5708" t="s">
        <v>1117</v>
      </c>
      <c r="G5708" s="62">
        <v>1</v>
      </c>
      <c r="H5708" s="25">
        <v>100</v>
      </c>
      <c r="I5708">
        <v>1329</v>
      </c>
      <c r="J5708">
        <v>221</v>
      </c>
      <c r="K5708">
        <v>3</v>
      </c>
      <c r="L5708">
        <v>3</v>
      </c>
      <c r="M5708">
        <v>0</v>
      </c>
      <c r="N5708" s="23">
        <v>0</v>
      </c>
      <c r="O5708">
        <f t="shared" si="1091"/>
        <v>0</v>
      </c>
      <c r="P5708" s="57">
        <f t="shared" si="1092"/>
        <v>1</v>
      </c>
      <c r="Q5708" s="267">
        <f t="shared" si="1093"/>
        <v>1</v>
      </c>
      <c r="R5708" s="23">
        <f t="shared" si="1094"/>
        <v>1</v>
      </c>
      <c r="S5708" s="23">
        <f t="shared" si="1095"/>
        <v>0</v>
      </c>
      <c r="T5708" s="23" t="str">
        <f t="shared" si="1096"/>
        <v/>
      </c>
      <c r="U5708" t="str">
        <f t="shared" si="1097"/>
        <v>PA_Alleg_2019p~Rep-member of council north braddock ward 1 (vote for 1)</v>
      </c>
      <c r="X5708" s="43"/>
      <c r="Y5708" s="53"/>
      <c r="Z5708" s="53"/>
      <c r="AA5708"/>
      <c r="AB5708" s="23"/>
      <c r="AF5708" s="22"/>
    </row>
    <row r="5709" spans="1:32">
      <c r="A5709" t="str">
        <f t="shared" si="1098"/>
        <v>PA_Alleg_2019p~Rep-member of council north braddock ward 2 (vote for 1)</v>
      </c>
      <c r="B5709" s="55" t="s">
        <v>1291</v>
      </c>
      <c r="C5709">
        <v>1923</v>
      </c>
      <c r="D5709" s="55" t="s">
        <v>1048</v>
      </c>
      <c r="E5709" s="55" t="s">
        <v>15</v>
      </c>
      <c r="F5709" t="s">
        <v>1117</v>
      </c>
      <c r="G5709" s="62">
        <v>3</v>
      </c>
      <c r="H5709" s="25">
        <v>100</v>
      </c>
      <c r="I5709">
        <v>1052</v>
      </c>
      <c r="J5709">
        <v>169</v>
      </c>
      <c r="K5709">
        <v>2</v>
      </c>
      <c r="L5709">
        <v>2</v>
      </c>
      <c r="M5709">
        <v>0</v>
      </c>
      <c r="N5709" s="23">
        <v>0</v>
      </c>
      <c r="O5709">
        <f t="shared" si="1091"/>
        <v>0</v>
      </c>
      <c r="P5709" s="57">
        <f t="shared" si="1092"/>
        <v>1</v>
      </c>
      <c r="Q5709" s="267">
        <f t="shared" si="1093"/>
        <v>3</v>
      </c>
      <c r="R5709" s="23">
        <f t="shared" si="1094"/>
        <v>1</v>
      </c>
      <c r="S5709" s="23">
        <f t="shared" si="1095"/>
        <v>0</v>
      </c>
      <c r="T5709" s="23" t="str">
        <f t="shared" si="1096"/>
        <v/>
      </c>
      <c r="U5709" t="str">
        <f t="shared" si="1097"/>
        <v>PA_Alleg_2019p~Rep-member of council north braddock ward 2 (vote for 1)</v>
      </c>
      <c r="X5709" s="43"/>
      <c r="Y5709" s="53"/>
      <c r="Z5709" s="53"/>
      <c r="AA5709"/>
      <c r="AB5709" s="23"/>
      <c r="AF5709" s="22"/>
    </row>
    <row r="5710" spans="1:32">
      <c r="A5710" t="str">
        <f t="shared" si="1098"/>
        <v>PA_Alleg_2019p~Rep-member of council north braddock ward 3 (vote for 2)</v>
      </c>
      <c r="B5710" s="55" t="s">
        <v>1291</v>
      </c>
      <c r="C5710">
        <v>1863</v>
      </c>
      <c r="D5710" s="55" t="s">
        <v>956</v>
      </c>
      <c r="E5710" s="55" t="s">
        <v>15</v>
      </c>
      <c r="F5710" t="s">
        <v>1117</v>
      </c>
      <c r="G5710" s="62">
        <v>3</v>
      </c>
      <c r="H5710" s="25">
        <v>100</v>
      </c>
      <c r="I5710">
        <v>995</v>
      </c>
      <c r="J5710">
        <v>169</v>
      </c>
      <c r="K5710">
        <v>2</v>
      </c>
      <c r="L5710">
        <v>2</v>
      </c>
      <c r="M5710">
        <v>0</v>
      </c>
      <c r="N5710" s="23">
        <v>0</v>
      </c>
      <c r="O5710">
        <f t="shared" si="1091"/>
        <v>0</v>
      </c>
      <c r="P5710" s="57">
        <f t="shared" si="1092"/>
        <v>2</v>
      </c>
      <c r="Q5710" s="267">
        <f t="shared" si="1093"/>
        <v>3</v>
      </c>
      <c r="R5710" s="23">
        <f t="shared" si="1094"/>
        <v>1</v>
      </c>
      <c r="S5710" s="23">
        <f t="shared" si="1095"/>
        <v>0</v>
      </c>
      <c r="T5710" s="23" t="str">
        <f t="shared" si="1096"/>
        <v/>
      </c>
      <c r="U5710" t="str">
        <f t="shared" si="1097"/>
        <v>PA_Alleg_2019p~Rep-member of council north braddock ward 3 (vote for 2)</v>
      </c>
      <c r="X5710" s="43"/>
      <c r="Y5710" s="53"/>
      <c r="Z5710" s="53"/>
      <c r="AA5710"/>
      <c r="AB5710" s="23"/>
      <c r="AF5710" s="22"/>
    </row>
    <row r="5711" spans="1:32">
      <c r="A5711" t="str">
        <f t="shared" si="1098"/>
        <v>PA_Alleg_2019p~Rep-member of council oakdale (vote for 3)</v>
      </c>
      <c r="B5711" s="55" t="s">
        <v>1291</v>
      </c>
      <c r="C5711">
        <v>1768</v>
      </c>
      <c r="D5711" s="55" t="s">
        <v>800</v>
      </c>
      <c r="E5711" s="55" t="s">
        <v>15</v>
      </c>
      <c r="F5711" t="s">
        <v>1117</v>
      </c>
      <c r="G5711" s="62">
        <v>8</v>
      </c>
      <c r="H5711" s="25">
        <v>100</v>
      </c>
      <c r="I5711">
        <v>1049</v>
      </c>
      <c r="J5711">
        <v>163</v>
      </c>
      <c r="K5711">
        <v>2</v>
      </c>
      <c r="L5711">
        <v>2</v>
      </c>
      <c r="M5711">
        <v>0</v>
      </c>
      <c r="N5711" s="23">
        <v>0</v>
      </c>
      <c r="O5711">
        <f t="shared" si="1091"/>
        <v>0</v>
      </c>
      <c r="P5711" s="57">
        <f t="shared" si="1092"/>
        <v>3</v>
      </c>
      <c r="Q5711" s="267">
        <f t="shared" si="1093"/>
        <v>8</v>
      </c>
      <c r="R5711" s="23">
        <f t="shared" si="1094"/>
        <v>1</v>
      </c>
      <c r="S5711" s="23">
        <f t="shared" si="1095"/>
        <v>0</v>
      </c>
      <c r="T5711" s="23" t="str">
        <f t="shared" si="1096"/>
        <v/>
      </c>
      <c r="U5711" t="str">
        <f t="shared" si="1097"/>
        <v>PA_Alleg_2019p~Rep-member of council oakdale (vote for 3)</v>
      </c>
      <c r="X5711" s="43"/>
      <c r="Y5711" s="53"/>
      <c r="Z5711" s="53"/>
      <c r="AA5711"/>
      <c r="AB5711" s="23"/>
      <c r="AF5711" s="22"/>
    </row>
    <row r="5712" spans="1:32">
      <c r="A5712" t="str">
        <f t="shared" si="1098"/>
        <v>PA_Alleg_2019p~Rep-member of council oakmont (vote for 1)</v>
      </c>
      <c r="B5712" s="55" t="s">
        <v>1291</v>
      </c>
      <c r="C5712">
        <v>1847</v>
      </c>
      <c r="D5712" s="55" t="s">
        <v>927</v>
      </c>
      <c r="E5712" s="55" t="s">
        <v>1238</v>
      </c>
      <c r="F5712" t="s">
        <v>1117</v>
      </c>
      <c r="G5712" s="62">
        <v>268</v>
      </c>
      <c r="H5712" s="25">
        <v>98.89</v>
      </c>
      <c r="I5712">
        <v>5545</v>
      </c>
      <c r="J5712">
        <v>1102</v>
      </c>
      <c r="K5712">
        <v>6</v>
      </c>
      <c r="L5712">
        <v>6</v>
      </c>
      <c r="M5712">
        <v>0</v>
      </c>
      <c r="N5712" s="23">
        <v>0</v>
      </c>
      <c r="O5712">
        <f t="shared" si="1091"/>
        <v>1</v>
      </c>
      <c r="P5712" s="57">
        <f t="shared" si="1092"/>
        <v>1</v>
      </c>
      <c r="Q5712" s="267">
        <f t="shared" si="1093"/>
        <v>271</v>
      </c>
      <c r="R5712" s="23">
        <f t="shared" si="1094"/>
        <v>268</v>
      </c>
      <c r="S5712" s="23">
        <f t="shared" si="1095"/>
        <v>0</v>
      </c>
      <c r="T5712" s="23" t="str">
        <f t="shared" si="1096"/>
        <v/>
      </c>
      <c r="U5712" t="str">
        <f t="shared" si="1097"/>
        <v>PA_Alleg_2019p~Rep-member of council oakmont (vote for 1)</v>
      </c>
      <c r="X5712" s="43"/>
      <c r="Y5712" s="53"/>
      <c r="Z5712" s="53"/>
      <c r="AA5712"/>
      <c r="AB5712" s="23"/>
      <c r="AF5712" s="22"/>
    </row>
    <row r="5713" spans="1:32">
      <c r="A5713" t="str">
        <f t="shared" si="1098"/>
        <v>PA_Alleg_2019p~Rep-member of council oakmont (vote for 1)</v>
      </c>
      <c r="B5713" s="55" t="s">
        <v>1291</v>
      </c>
      <c r="C5713">
        <v>1848</v>
      </c>
      <c r="D5713" s="55" t="s">
        <v>927</v>
      </c>
      <c r="E5713" s="55" t="s">
        <v>15</v>
      </c>
      <c r="F5713" t="s">
        <v>1117</v>
      </c>
      <c r="G5713" s="62">
        <v>3</v>
      </c>
      <c r="H5713" s="25">
        <v>1.1100000000000001</v>
      </c>
      <c r="I5713">
        <v>5545</v>
      </c>
      <c r="J5713">
        <v>1102</v>
      </c>
      <c r="K5713">
        <v>6</v>
      </c>
      <c r="L5713">
        <v>6</v>
      </c>
      <c r="M5713">
        <v>0</v>
      </c>
      <c r="N5713" s="23">
        <v>0</v>
      </c>
      <c r="O5713">
        <f t="shared" si="1091"/>
        <v>-1</v>
      </c>
      <c r="P5713" s="57">
        <f t="shared" si="1092"/>
        <v>1</v>
      </c>
      <c r="Q5713" s="267">
        <f t="shared" si="1093"/>
        <v>3</v>
      </c>
      <c r="R5713" s="23">
        <f t="shared" si="1094"/>
        <v>1</v>
      </c>
      <c r="S5713" s="23">
        <f t="shared" si="1095"/>
        <v>0</v>
      </c>
      <c r="T5713" s="23" t="str">
        <f t="shared" si="1096"/>
        <v/>
      </c>
      <c r="U5713" t="str">
        <f t="shared" si="1097"/>
        <v/>
      </c>
      <c r="X5713" s="43"/>
      <c r="Y5713" s="53"/>
      <c r="Z5713" s="53"/>
      <c r="AA5713"/>
      <c r="AB5713" s="23"/>
      <c r="AF5713" s="22"/>
    </row>
    <row r="5714" spans="1:32">
      <c r="A5714" t="str">
        <f t="shared" si="1098"/>
        <v>PA_Alleg_2019p~Rep-member of council oakmont (vote for 3)</v>
      </c>
      <c r="B5714" s="55" t="s">
        <v>1291</v>
      </c>
      <c r="C5714">
        <v>1770</v>
      </c>
      <c r="D5714" s="55" t="s">
        <v>804</v>
      </c>
      <c r="E5714" s="55" t="s">
        <v>1206</v>
      </c>
      <c r="F5714" t="s">
        <v>1117</v>
      </c>
      <c r="G5714" s="62">
        <v>272</v>
      </c>
      <c r="H5714" s="25">
        <v>35.19</v>
      </c>
      <c r="I5714">
        <v>5545</v>
      </c>
      <c r="J5714">
        <v>1102</v>
      </c>
      <c r="K5714">
        <v>6</v>
      </c>
      <c r="L5714">
        <v>6</v>
      </c>
      <c r="M5714">
        <v>0</v>
      </c>
      <c r="N5714" s="23">
        <v>0</v>
      </c>
      <c r="O5714">
        <f t="shared" si="1091"/>
        <v>1</v>
      </c>
      <c r="P5714" s="57">
        <f t="shared" si="1092"/>
        <v>3</v>
      </c>
      <c r="Q5714" s="267">
        <f t="shared" si="1093"/>
        <v>272</v>
      </c>
      <c r="R5714" s="23">
        <f t="shared" si="1094"/>
        <v>237</v>
      </c>
      <c r="S5714" s="23">
        <f t="shared" si="1095"/>
        <v>0</v>
      </c>
      <c r="T5714" s="23" t="str">
        <f t="shared" si="1096"/>
        <v/>
      </c>
      <c r="U5714" t="str">
        <f t="shared" si="1097"/>
        <v>PA_Alleg_2019p~Rep-member of council oakmont (vote for 3)</v>
      </c>
      <c r="X5714" s="43"/>
      <c r="Y5714" s="53"/>
      <c r="Z5714" s="53"/>
      <c r="AA5714"/>
      <c r="AB5714" s="23"/>
      <c r="AF5714" s="22"/>
    </row>
    <row r="5715" spans="1:32">
      <c r="A5715" t="str">
        <f t="shared" si="1098"/>
        <v>PA_Alleg_2019p~Rep-member of council oakmont (vote for 3)</v>
      </c>
      <c r="B5715" s="55" t="s">
        <v>1291</v>
      </c>
      <c r="C5715">
        <v>1771</v>
      </c>
      <c r="D5715" s="55" t="s">
        <v>804</v>
      </c>
      <c r="E5715" s="55" t="s">
        <v>1207</v>
      </c>
      <c r="F5715" t="s">
        <v>1117</v>
      </c>
      <c r="G5715" s="62">
        <v>256</v>
      </c>
      <c r="H5715" s="25">
        <v>33.119999999999997</v>
      </c>
      <c r="I5715">
        <v>5545</v>
      </c>
      <c r="J5715">
        <v>1102</v>
      </c>
      <c r="K5715">
        <v>6</v>
      </c>
      <c r="L5715">
        <v>6</v>
      </c>
      <c r="M5715">
        <v>0</v>
      </c>
      <c r="N5715" s="23">
        <v>0</v>
      </c>
      <c r="O5715">
        <f t="shared" si="1091"/>
        <v>2</v>
      </c>
      <c r="P5715" s="57">
        <f t="shared" si="1092"/>
        <v>3</v>
      </c>
      <c r="Q5715" s="267">
        <f t="shared" si="1093"/>
        <v>501</v>
      </c>
      <c r="R5715" s="23">
        <f t="shared" si="1094"/>
        <v>237</v>
      </c>
      <c r="S5715" s="23">
        <f t="shared" si="1095"/>
        <v>0</v>
      </c>
      <c r="T5715" s="23" t="str">
        <f t="shared" si="1096"/>
        <v/>
      </c>
      <c r="U5715" t="str">
        <f t="shared" si="1097"/>
        <v/>
      </c>
      <c r="X5715" s="43"/>
      <c r="Y5715" s="53"/>
      <c r="Z5715" s="53"/>
      <c r="AA5715"/>
      <c r="AB5715" s="23"/>
      <c r="AF5715" s="22"/>
    </row>
    <row r="5716" spans="1:32">
      <c r="A5716" t="str">
        <f t="shared" si="1098"/>
        <v>PA_Alleg_2019p~Rep-member of council oakmont (vote for 3)</v>
      </c>
      <c r="B5716" s="55" t="s">
        <v>1291</v>
      </c>
      <c r="C5716">
        <v>1769</v>
      </c>
      <c r="D5716" s="55" t="s">
        <v>804</v>
      </c>
      <c r="E5716" s="55" t="s">
        <v>1205</v>
      </c>
      <c r="F5716" t="s">
        <v>1117</v>
      </c>
      <c r="G5716" s="62">
        <v>237</v>
      </c>
      <c r="H5716" s="25">
        <v>30.66</v>
      </c>
      <c r="I5716">
        <v>5545</v>
      </c>
      <c r="J5716">
        <v>1102</v>
      </c>
      <c r="K5716">
        <v>6</v>
      </c>
      <c r="L5716">
        <v>6</v>
      </c>
      <c r="M5716">
        <v>0</v>
      </c>
      <c r="N5716" s="23">
        <v>0</v>
      </c>
      <c r="O5716">
        <f t="shared" si="1091"/>
        <v>3</v>
      </c>
      <c r="P5716" s="57">
        <f t="shared" si="1092"/>
        <v>3</v>
      </c>
      <c r="Q5716" s="267">
        <f t="shared" si="1093"/>
        <v>245</v>
      </c>
      <c r="R5716" s="23">
        <f t="shared" si="1094"/>
        <v>237</v>
      </c>
      <c r="S5716" s="23">
        <f t="shared" si="1095"/>
        <v>0</v>
      </c>
      <c r="T5716" s="23" t="str">
        <f t="shared" si="1096"/>
        <v/>
      </c>
      <c r="U5716" t="str">
        <f t="shared" si="1097"/>
        <v/>
      </c>
      <c r="X5716" s="43"/>
      <c r="Y5716" s="53"/>
      <c r="Z5716" s="53"/>
      <c r="AA5716"/>
      <c r="AB5716" s="23"/>
      <c r="AF5716" s="22"/>
    </row>
    <row r="5717" spans="1:32">
      <c r="A5717" t="str">
        <f t="shared" si="1098"/>
        <v>PA_Alleg_2019p~Rep-member of council oakmont (vote for 3)</v>
      </c>
      <c r="B5717" s="55" t="s">
        <v>1291</v>
      </c>
      <c r="C5717">
        <v>1772</v>
      </c>
      <c r="D5717" s="55" t="s">
        <v>804</v>
      </c>
      <c r="E5717" s="55" t="s">
        <v>15</v>
      </c>
      <c r="F5717" t="s">
        <v>1117</v>
      </c>
      <c r="G5717" s="62">
        <v>8</v>
      </c>
      <c r="H5717" s="25">
        <v>1.03</v>
      </c>
      <c r="I5717">
        <v>5545</v>
      </c>
      <c r="J5717">
        <v>1102</v>
      </c>
      <c r="K5717">
        <v>6</v>
      </c>
      <c r="L5717">
        <v>6</v>
      </c>
      <c r="M5717">
        <v>0</v>
      </c>
      <c r="N5717" s="23">
        <v>0</v>
      </c>
      <c r="O5717">
        <f t="shared" si="1091"/>
        <v>-3</v>
      </c>
      <c r="P5717" s="57">
        <f t="shared" si="1092"/>
        <v>3</v>
      </c>
      <c r="Q5717" s="267">
        <f t="shared" si="1093"/>
        <v>8</v>
      </c>
      <c r="R5717" s="23">
        <f t="shared" si="1094"/>
        <v>1</v>
      </c>
      <c r="S5717" s="23">
        <f t="shared" si="1095"/>
        <v>0</v>
      </c>
      <c r="T5717" s="23" t="str">
        <f t="shared" si="1096"/>
        <v/>
      </c>
      <c r="U5717" t="str">
        <f t="shared" si="1097"/>
        <v/>
      </c>
      <c r="X5717" s="43"/>
      <c r="Y5717" s="53"/>
      <c r="Z5717" s="53"/>
      <c r="AA5717"/>
      <c r="AB5717" s="23"/>
      <c r="AF5717" s="22"/>
    </row>
    <row r="5718" spans="1:32">
      <c r="A5718" t="str">
        <f t="shared" si="1098"/>
        <v>PA_Alleg_2019p~Rep-member of council penn hills (vote for 2)</v>
      </c>
      <c r="B5718" s="55" t="s">
        <v>1291</v>
      </c>
      <c r="C5718">
        <v>1826</v>
      </c>
      <c r="D5718" s="55" t="s">
        <v>897</v>
      </c>
      <c r="E5718" s="55" t="s">
        <v>15</v>
      </c>
      <c r="F5718" t="s">
        <v>1117</v>
      </c>
      <c r="G5718" s="62">
        <v>590</v>
      </c>
      <c r="H5718" s="25">
        <v>100</v>
      </c>
      <c r="I5718">
        <v>32131</v>
      </c>
      <c r="J5718">
        <v>6084</v>
      </c>
      <c r="K5718">
        <v>50</v>
      </c>
      <c r="L5718">
        <v>50</v>
      </c>
      <c r="M5718">
        <v>0</v>
      </c>
      <c r="N5718" s="23">
        <v>0</v>
      </c>
      <c r="O5718">
        <f t="shared" si="1091"/>
        <v>0</v>
      </c>
      <c r="P5718" s="57">
        <f t="shared" si="1092"/>
        <v>2</v>
      </c>
      <c r="Q5718" s="267">
        <f t="shared" si="1093"/>
        <v>590</v>
      </c>
      <c r="R5718" s="23">
        <f t="shared" si="1094"/>
        <v>1</v>
      </c>
      <c r="S5718" s="23">
        <f t="shared" si="1095"/>
        <v>0</v>
      </c>
      <c r="T5718" s="23" t="str">
        <f t="shared" si="1096"/>
        <v/>
      </c>
      <c r="U5718" t="str">
        <f t="shared" si="1097"/>
        <v>PA_Alleg_2019p~Rep-member of council penn hills (vote for 2)</v>
      </c>
      <c r="X5718" s="43"/>
      <c r="Y5718" s="53"/>
      <c r="Z5718" s="53"/>
      <c r="AA5718"/>
      <c r="AB5718" s="23"/>
      <c r="AF5718" s="22"/>
    </row>
    <row r="5719" spans="1:32">
      <c r="A5719" t="str">
        <f t="shared" si="1098"/>
        <v>PA_Alleg_2019p~Rep-member of council pennsbury village (vote for 3)</v>
      </c>
      <c r="B5719" s="55" t="s">
        <v>1291</v>
      </c>
      <c r="C5719">
        <v>1816</v>
      </c>
      <c r="D5719" s="55" t="s">
        <v>883</v>
      </c>
      <c r="E5719" s="55" t="s">
        <v>1230</v>
      </c>
      <c r="F5719" t="s">
        <v>1117</v>
      </c>
      <c r="G5719" s="62">
        <v>22</v>
      </c>
      <c r="H5719" s="25">
        <v>100</v>
      </c>
      <c r="I5719">
        <v>596</v>
      </c>
      <c r="J5719">
        <v>89</v>
      </c>
      <c r="K5719">
        <v>1</v>
      </c>
      <c r="L5719">
        <v>1</v>
      </c>
      <c r="M5719">
        <v>0</v>
      </c>
      <c r="N5719" s="23">
        <v>0</v>
      </c>
      <c r="O5719">
        <f t="shared" si="1091"/>
        <v>1</v>
      </c>
      <c r="P5719" s="57">
        <f t="shared" si="1092"/>
        <v>3</v>
      </c>
      <c r="Q5719" s="267">
        <f t="shared" si="1093"/>
        <v>22</v>
      </c>
      <c r="R5719" s="23">
        <f t="shared" si="1094"/>
        <v>1</v>
      </c>
      <c r="S5719" s="23">
        <f t="shared" si="1095"/>
        <v>0</v>
      </c>
      <c r="T5719" s="23" t="str">
        <f t="shared" si="1096"/>
        <v/>
      </c>
      <c r="U5719" t="str">
        <f t="shared" si="1097"/>
        <v>PA_Alleg_2019p~Rep-member of council pennsbury village (vote for 3)</v>
      </c>
      <c r="X5719" s="43"/>
      <c r="Y5719" s="53"/>
      <c r="Z5719" s="53"/>
      <c r="AA5719"/>
      <c r="AB5719" s="23"/>
      <c r="AF5719" s="22"/>
    </row>
    <row r="5720" spans="1:32">
      <c r="A5720" t="str">
        <f t="shared" si="1098"/>
        <v>PA_Alleg_2019p~Rep-member of council pennsbury village (vote for 3)</v>
      </c>
      <c r="B5720" s="55" t="s">
        <v>1291</v>
      </c>
      <c r="C5720">
        <v>1817</v>
      </c>
      <c r="D5720" s="55" t="s">
        <v>883</v>
      </c>
      <c r="E5720" s="55" t="s">
        <v>15</v>
      </c>
      <c r="F5720" t="s">
        <v>1117</v>
      </c>
      <c r="G5720" s="62">
        <v>0</v>
      </c>
      <c r="H5720" s="25">
        <v>0</v>
      </c>
      <c r="I5720">
        <v>596</v>
      </c>
      <c r="J5720">
        <v>89</v>
      </c>
      <c r="K5720">
        <v>1</v>
      </c>
      <c r="L5720">
        <v>1</v>
      </c>
      <c r="M5720">
        <v>0</v>
      </c>
      <c r="N5720" s="23">
        <v>0</v>
      </c>
      <c r="O5720">
        <f t="shared" si="1091"/>
        <v>-1</v>
      </c>
      <c r="P5720" s="57">
        <f t="shared" si="1092"/>
        <v>3</v>
      </c>
      <c r="Q5720" s="267">
        <f t="shared" si="1093"/>
        <v>0</v>
      </c>
      <c r="R5720" s="23">
        <f t="shared" si="1094"/>
        <v>1</v>
      </c>
      <c r="S5720" s="23">
        <f t="shared" si="1095"/>
        <v>0</v>
      </c>
      <c r="T5720" s="23" t="str">
        <f t="shared" si="1096"/>
        <v/>
      </c>
      <c r="U5720" t="str">
        <f t="shared" si="1097"/>
        <v/>
      </c>
      <c r="X5720" s="43"/>
      <c r="Y5720" s="53"/>
      <c r="Z5720" s="53"/>
      <c r="AA5720"/>
      <c r="AB5720" s="23"/>
      <c r="AF5720" s="22"/>
    </row>
    <row r="5721" spans="1:32">
      <c r="A5721" t="str">
        <f t="shared" si="1098"/>
        <v>PA_Alleg_2019p~Rep-member of council pitcairn (vote for 1)</v>
      </c>
      <c r="B5721" s="55" t="s">
        <v>1291</v>
      </c>
      <c r="C5721">
        <v>1849</v>
      </c>
      <c r="D5721" s="55" t="s">
        <v>929</v>
      </c>
      <c r="E5721" s="55" t="s">
        <v>15</v>
      </c>
      <c r="F5721" t="s">
        <v>1117</v>
      </c>
      <c r="G5721" s="62">
        <v>33</v>
      </c>
      <c r="H5721" s="25">
        <v>100</v>
      </c>
      <c r="I5721">
        <v>2156</v>
      </c>
      <c r="J5721">
        <v>434</v>
      </c>
      <c r="K5721">
        <v>3</v>
      </c>
      <c r="L5721">
        <v>3</v>
      </c>
      <c r="M5721">
        <v>0</v>
      </c>
      <c r="N5721" s="23">
        <v>0</v>
      </c>
      <c r="O5721">
        <f t="shared" si="1091"/>
        <v>0</v>
      </c>
      <c r="P5721" s="57">
        <f t="shared" si="1092"/>
        <v>1</v>
      </c>
      <c r="Q5721" s="267">
        <f t="shared" si="1093"/>
        <v>33</v>
      </c>
      <c r="R5721" s="23">
        <f t="shared" si="1094"/>
        <v>1</v>
      </c>
      <c r="S5721" s="23">
        <f t="shared" si="1095"/>
        <v>0</v>
      </c>
      <c r="T5721" s="23" t="str">
        <f t="shared" si="1096"/>
        <v/>
      </c>
      <c r="U5721" t="str">
        <f t="shared" si="1097"/>
        <v>PA_Alleg_2019p~Rep-member of council pitcairn (vote for 1)</v>
      </c>
      <c r="X5721" s="43"/>
      <c r="Y5721" s="53"/>
      <c r="Z5721" s="53"/>
      <c r="AA5721"/>
      <c r="AB5721" s="23"/>
      <c r="AF5721" s="22"/>
    </row>
    <row r="5722" spans="1:32">
      <c r="A5722" t="str">
        <f t="shared" si="1098"/>
        <v>PA_Alleg_2019p~Rep-member of council pitcairn (vote for 3)</v>
      </c>
      <c r="B5722" s="55" t="s">
        <v>1291</v>
      </c>
      <c r="C5722">
        <v>1775</v>
      </c>
      <c r="D5722" s="55" t="s">
        <v>812</v>
      </c>
      <c r="E5722" s="55" t="s">
        <v>15</v>
      </c>
      <c r="F5722" t="s">
        <v>1117</v>
      </c>
      <c r="G5722" s="62">
        <v>110</v>
      </c>
      <c r="H5722" s="25">
        <v>100</v>
      </c>
      <c r="I5722">
        <v>2156</v>
      </c>
      <c r="J5722">
        <v>434</v>
      </c>
      <c r="K5722">
        <v>3</v>
      </c>
      <c r="L5722">
        <v>3</v>
      </c>
      <c r="M5722">
        <v>0</v>
      </c>
      <c r="N5722" s="23">
        <v>0</v>
      </c>
      <c r="O5722">
        <f t="shared" si="1091"/>
        <v>0</v>
      </c>
      <c r="P5722" s="57">
        <f t="shared" si="1092"/>
        <v>3</v>
      </c>
      <c r="Q5722" s="267">
        <f t="shared" si="1093"/>
        <v>110</v>
      </c>
      <c r="R5722" s="23">
        <f t="shared" si="1094"/>
        <v>1</v>
      </c>
      <c r="S5722" s="23">
        <f t="shared" si="1095"/>
        <v>0</v>
      </c>
      <c r="T5722" s="23" t="str">
        <f t="shared" si="1096"/>
        <v/>
      </c>
      <c r="U5722" t="str">
        <f t="shared" si="1097"/>
        <v>PA_Alleg_2019p~Rep-member of council pitcairn (vote for 3)</v>
      </c>
      <c r="X5722" s="43"/>
      <c r="Y5722" s="53"/>
      <c r="Z5722" s="53"/>
      <c r="AA5722"/>
      <c r="AB5722" s="23"/>
      <c r="AF5722" s="22"/>
    </row>
    <row r="5723" spans="1:32">
      <c r="A5723" t="str">
        <f t="shared" si="1098"/>
        <v>PA_Alleg_2019p~Rep-member of council pleasant hills (vote for 1)</v>
      </c>
      <c r="B5723" s="55" t="s">
        <v>1291</v>
      </c>
      <c r="C5723">
        <v>1850</v>
      </c>
      <c r="D5723" s="55" t="s">
        <v>932</v>
      </c>
      <c r="E5723" s="55" t="s">
        <v>1239</v>
      </c>
      <c r="F5723" t="s">
        <v>1117</v>
      </c>
      <c r="G5723" s="62">
        <v>231</v>
      </c>
      <c r="H5723" s="25">
        <v>97.47</v>
      </c>
      <c r="I5723">
        <v>6326</v>
      </c>
      <c r="J5723">
        <v>926</v>
      </c>
      <c r="K5723">
        <v>10</v>
      </c>
      <c r="L5723">
        <v>10</v>
      </c>
      <c r="M5723">
        <v>0</v>
      </c>
      <c r="N5723" s="23">
        <v>0</v>
      </c>
      <c r="O5723">
        <f t="shared" si="1091"/>
        <v>1</v>
      </c>
      <c r="P5723" s="57">
        <f t="shared" si="1092"/>
        <v>1</v>
      </c>
      <c r="Q5723" s="267">
        <f t="shared" si="1093"/>
        <v>237</v>
      </c>
      <c r="R5723" s="23">
        <f t="shared" si="1094"/>
        <v>231</v>
      </c>
      <c r="S5723" s="23">
        <f t="shared" si="1095"/>
        <v>0</v>
      </c>
      <c r="T5723" s="23" t="str">
        <f t="shared" si="1096"/>
        <v/>
      </c>
      <c r="U5723" t="str">
        <f t="shared" si="1097"/>
        <v>PA_Alleg_2019p~Rep-member of council pleasant hills (vote for 1)</v>
      </c>
      <c r="X5723" s="43"/>
      <c r="Y5723" s="53"/>
      <c r="Z5723" s="53"/>
      <c r="AA5723"/>
      <c r="AB5723" s="23"/>
      <c r="AF5723" s="88"/>
    </row>
    <row r="5724" spans="1:32">
      <c r="A5724" t="str">
        <f t="shared" si="1098"/>
        <v>PA_Alleg_2019p~Rep-member of council pleasant hills (vote for 1)</v>
      </c>
      <c r="B5724" s="55" t="s">
        <v>1291</v>
      </c>
      <c r="C5724">
        <v>1851</v>
      </c>
      <c r="D5724" s="55" t="s">
        <v>932</v>
      </c>
      <c r="E5724" s="55" t="s">
        <v>15</v>
      </c>
      <c r="F5724" t="s">
        <v>1117</v>
      </c>
      <c r="G5724" s="62">
        <v>6</v>
      </c>
      <c r="H5724" s="25">
        <v>2.5299999999999998</v>
      </c>
      <c r="I5724">
        <v>6326</v>
      </c>
      <c r="J5724">
        <v>926</v>
      </c>
      <c r="K5724">
        <v>10</v>
      </c>
      <c r="L5724">
        <v>10</v>
      </c>
      <c r="M5724">
        <v>0</v>
      </c>
      <c r="N5724" s="23">
        <v>0</v>
      </c>
      <c r="O5724">
        <f t="shared" si="1091"/>
        <v>-1</v>
      </c>
      <c r="P5724" s="57">
        <f t="shared" si="1092"/>
        <v>1</v>
      </c>
      <c r="Q5724" s="267">
        <f t="shared" si="1093"/>
        <v>6</v>
      </c>
      <c r="R5724" s="23">
        <f t="shared" si="1094"/>
        <v>1</v>
      </c>
      <c r="S5724" s="23">
        <f t="shared" si="1095"/>
        <v>0</v>
      </c>
      <c r="T5724" s="23" t="str">
        <f t="shared" si="1096"/>
        <v/>
      </c>
      <c r="U5724" t="str">
        <f t="shared" si="1097"/>
        <v/>
      </c>
      <c r="X5724" s="43"/>
      <c r="Y5724" s="53"/>
      <c r="Z5724" s="53"/>
      <c r="AA5724"/>
      <c r="AB5724" s="23"/>
      <c r="AF5724" s="22"/>
    </row>
    <row r="5725" spans="1:32">
      <c r="A5725" t="str">
        <f t="shared" si="1098"/>
        <v>PA_Alleg_2019p~Rep-member of council pleasant hills (vote for 3)</v>
      </c>
      <c r="B5725" s="55" t="s">
        <v>1291</v>
      </c>
      <c r="C5725">
        <v>1777</v>
      </c>
      <c r="D5725" s="55" t="s">
        <v>819</v>
      </c>
      <c r="E5725" s="55" t="s">
        <v>1210</v>
      </c>
      <c r="F5725" t="s">
        <v>1117</v>
      </c>
      <c r="G5725" s="62">
        <v>250</v>
      </c>
      <c r="H5725" s="25">
        <v>42.88</v>
      </c>
      <c r="I5725">
        <v>6326</v>
      </c>
      <c r="J5725">
        <v>926</v>
      </c>
      <c r="K5725">
        <v>10</v>
      </c>
      <c r="L5725">
        <v>10</v>
      </c>
      <c r="M5725">
        <v>0</v>
      </c>
      <c r="N5725" s="23">
        <v>0</v>
      </c>
      <c r="O5725">
        <f t="shared" si="1091"/>
        <v>1</v>
      </c>
      <c r="P5725" s="57">
        <f t="shared" si="1092"/>
        <v>3</v>
      </c>
      <c r="Q5725" s="267">
        <f t="shared" si="1093"/>
        <v>250</v>
      </c>
      <c r="R5725" s="23">
        <f t="shared" si="1094"/>
        <v>1</v>
      </c>
      <c r="S5725" s="23">
        <f t="shared" si="1095"/>
        <v>0</v>
      </c>
      <c r="T5725" s="23" t="str">
        <f t="shared" si="1096"/>
        <v/>
      </c>
      <c r="U5725" t="str">
        <f t="shared" si="1097"/>
        <v>PA_Alleg_2019p~Rep-member of council pleasant hills (vote for 3)</v>
      </c>
      <c r="X5725" s="43"/>
      <c r="Y5725" s="53"/>
      <c r="Z5725" s="53"/>
      <c r="AA5725"/>
      <c r="AB5725" s="23"/>
      <c r="AF5725" s="22"/>
    </row>
    <row r="5726" spans="1:32">
      <c r="A5726" t="str">
        <f t="shared" si="1098"/>
        <v>PA_Alleg_2019p~Rep-member of council pleasant hills (vote for 3)</v>
      </c>
      <c r="B5726" s="55" t="s">
        <v>1291</v>
      </c>
      <c r="C5726">
        <v>1776</v>
      </c>
      <c r="D5726" s="55" t="s">
        <v>819</v>
      </c>
      <c r="E5726" s="55" t="s">
        <v>1209</v>
      </c>
      <c r="F5726" t="s">
        <v>1117</v>
      </c>
      <c r="G5726" s="62">
        <v>224</v>
      </c>
      <c r="H5726" s="25">
        <v>38.42</v>
      </c>
      <c r="I5726">
        <v>6326</v>
      </c>
      <c r="J5726">
        <v>926</v>
      </c>
      <c r="K5726">
        <v>10</v>
      </c>
      <c r="L5726">
        <v>10</v>
      </c>
      <c r="M5726">
        <v>0</v>
      </c>
      <c r="N5726" s="23">
        <v>0</v>
      </c>
      <c r="O5726">
        <f t="shared" si="1091"/>
        <v>2</v>
      </c>
      <c r="P5726" s="57">
        <f t="shared" si="1092"/>
        <v>3</v>
      </c>
      <c r="Q5726" s="267">
        <f t="shared" si="1093"/>
        <v>333</v>
      </c>
      <c r="R5726" s="23">
        <f t="shared" si="1094"/>
        <v>1</v>
      </c>
      <c r="S5726" s="23">
        <f t="shared" si="1095"/>
        <v>0</v>
      </c>
      <c r="T5726" s="23" t="str">
        <f t="shared" si="1096"/>
        <v/>
      </c>
      <c r="U5726" t="str">
        <f t="shared" si="1097"/>
        <v/>
      </c>
      <c r="X5726" s="43"/>
      <c r="Y5726" s="53"/>
      <c r="Z5726" s="53"/>
      <c r="AA5726"/>
      <c r="AB5726" s="23"/>
      <c r="AF5726" s="22"/>
    </row>
    <row r="5727" spans="1:32">
      <c r="A5727" t="str">
        <f t="shared" si="1098"/>
        <v>PA_Alleg_2019p~Rep-member of council pleasant hills (vote for 3)</v>
      </c>
      <c r="B5727" s="55" t="s">
        <v>1291</v>
      </c>
      <c r="C5727">
        <v>1778</v>
      </c>
      <c r="D5727" s="55" t="s">
        <v>819</v>
      </c>
      <c r="E5727" s="55" t="s">
        <v>15</v>
      </c>
      <c r="F5727" t="s">
        <v>1117</v>
      </c>
      <c r="G5727" s="62">
        <v>109</v>
      </c>
      <c r="H5727" s="25">
        <v>18.7</v>
      </c>
      <c r="I5727">
        <v>6326</v>
      </c>
      <c r="J5727">
        <v>926</v>
      </c>
      <c r="K5727">
        <v>10</v>
      </c>
      <c r="L5727">
        <v>10</v>
      </c>
      <c r="M5727">
        <v>0</v>
      </c>
      <c r="N5727" s="23">
        <v>0</v>
      </c>
      <c r="O5727">
        <f t="shared" si="1091"/>
        <v>-2</v>
      </c>
      <c r="P5727" s="57">
        <f t="shared" si="1092"/>
        <v>3</v>
      </c>
      <c r="Q5727" s="267">
        <f t="shared" si="1093"/>
        <v>109</v>
      </c>
      <c r="R5727" s="23">
        <f t="shared" si="1094"/>
        <v>1</v>
      </c>
      <c r="S5727" s="23">
        <f t="shared" si="1095"/>
        <v>0</v>
      </c>
      <c r="T5727" s="23" t="str">
        <f t="shared" si="1096"/>
        <v/>
      </c>
      <c r="U5727" t="str">
        <f t="shared" si="1097"/>
        <v/>
      </c>
      <c r="X5727" s="43"/>
      <c r="Y5727" s="53"/>
      <c r="Z5727" s="53"/>
      <c r="AA5727"/>
      <c r="AB5727" s="23"/>
      <c r="AF5727" s="22"/>
    </row>
    <row r="5728" spans="1:32">
      <c r="A5728" t="str">
        <f t="shared" si="1098"/>
        <v>PA_Alleg_2019p~Rep-member of council plum (vote for 3)</v>
      </c>
      <c r="B5728" s="55" t="s">
        <v>1291</v>
      </c>
      <c r="C5728">
        <v>1781</v>
      </c>
      <c r="D5728" s="55" t="s">
        <v>822</v>
      </c>
      <c r="E5728" s="55" t="s">
        <v>1213</v>
      </c>
      <c r="F5728" t="s">
        <v>1117</v>
      </c>
      <c r="G5728" s="62">
        <v>1167</v>
      </c>
      <c r="H5728" s="25">
        <v>34.42</v>
      </c>
      <c r="I5728">
        <v>19280</v>
      </c>
      <c r="J5728">
        <v>3503</v>
      </c>
      <c r="K5728">
        <v>21</v>
      </c>
      <c r="L5728">
        <v>21</v>
      </c>
      <c r="M5728">
        <v>0</v>
      </c>
      <c r="N5728" s="23">
        <v>0</v>
      </c>
      <c r="O5728">
        <f t="shared" si="1091"/>
        <v>1</v>
      </c>
      <c r="P5728" s="57">
        <f t="shared" si="1092"/>
        <v>3</v>
      </c>
      <c r="Q5728" s="267">
        <f t="shared" si="1093"/>
        <v>1167</v>
      </c>
      <c r="R5728" s="23">
        <f t="shared" si="1094"/>
        <v>1090</v>
      </c>
      <c r="S5728" s="23">
        <f t="shared" si="1095"/>
        <v>0</v>
      </c>
      <c r="T5728" s="23" t="str">
        <f t="shared" si="1096"/>
        <v/>
      </c>
      <c r="U5728" t="str">
        <f t="shared" si="1097"/>
        <v>PA_Alleg_2019p~Rep-member of council plum (vote for 3)</v>
      </c>
      <c r="X5728" s="43"/>
      <c r="Y5728" s="53"/>
      <c r="Z5728" s="53"/>
      <c r="AA5728"/>
      <c r="AB5728" s="23"/>
      <c r="AF5728" s="22"/>
    </row>
    <row r="5729" spans="1:32">
      <c r="A5729" t="str">
        <f t="shared" si="1098"/>
        <v>PA_Alleg_2019p~Rep-member of council plum (vote for 3)</v>
      </c>
      <c r="B5729" s="55" t="s">
        <v>1291</v>
      </c>
      <c r="C5729">
        <v>1780</v>
      </c>
      <c r="D5729" s="55" t="s">
        <v>822</v>
      </c>
      <c r="E5729" s="55" t="s">
        <v>1212</v>
      </c>
      <c r="F5729" t="s">
        <v>1117</v>
      </c>
      <c r="G5729" s="62">
        <v>1110</v>
      </c>
      <c r="H5729" s="25">
        <v>32.74</v>
      </c>
      <c r="I5729">
        <v>19280</v>
      </c>
      <c r="J5729">
        <v>3503</v>
      </c>
      <c r="K5729">
        <v>21</v>
      </c>
      <c r="L5729">
        <v>21</v>
      </c>
      <c r="M5729">
        <v>0</v>
      </c>
      <c r="N5729" s="23">
        <v>0</v>
      </c>
      <c r="O5729">
        <f t="shared" si="1091"/>
        <v>2</v>
      </c>
      <c r="P5729" s="57">
        <f t="shared" si="1092"/>
        <v>3</v>
      </c>
      <c r="Q5729" s="267">
        <f t="shared" si="1093"/>
        <v>2223</v>
      </c>
      <c r="R5729" s="23">
        <f t="shared" si="1094"/>
        <v>1090</v>
      </c>
      <c r="S5729" s="23">
        <f t="shared" si="1095"/>
        <v>0</v>
      </c>
      <c r="T5729" s="23" t="str">
        <f t="shared" si="1096"/>
        <v/>
      </c>
      <c r="U5729" t="str">
        <f t="shared" si="1097"/>
        <v/>
      </c>
      <c r="X5729" s="43"/>
      <c r="Y5729" s="53"/>
      <c r="Z5729" s="53"/>
      <c r="AA5729"/>
      <c r="AB5729" s="23"/>
      <c r="AF5729" s="22"/>
    </row>
    <row r="5730" spans="1:32">
      <c r="A5730" t="str">
        <f t="shared" si="1098"/>
        <v>PA_Alleg_2019p~Rep-member of council plum (vote for 3)</v>
      </c>
      <c r="B5730" s="55" t="s">
        <v>1291</v>
      </c>
      <c r="C5730">
        <v>1779</v>
      </c>
      <c r="D5730" s="55" t="s">
        <v>822</v>
      </c>
      <c r="E5730" s="55" t="s">
        <v>1211</v>
      </c>
      <c r="F5730" t="s">
        <v>1117</v>
      </c>
      <c r="G5730" s="62">
        <v>1090</v>
      </c>
      <c r="H5730" s="25">
        <v>32.15</v>
      </c>
      <c r="I5730">
        <v>19280</v>
      </c>
      <c r="J5730">
        <v>3503</v>
      </c>
      <c r="K5730">
        <v>21</v>
      </c>
      <c r="L5730">
        <v>21</v>
      </c>
      <c r="M5730">
        <v>0</v>
      </c>
      <c r="N5730" s="23">
        <v>0</v>
      </c>
      <c r="O5730">
        <f t="shared" si="1091"/>
        <v>3</v>
      </c>
      <c r="P5730" s="57">
        <f t="shared" si="1092"/>
        <v>3</v>
      </c>
      <c r="Q5730" s="267">
        <f t="shared" si="1093"/>
        <v>1113</v>
      </c>
      <c r="R5730" s="23">
        <f t="shared" si="1094"/>
        <v>1090</v>
      </c>
      <c r="S5730" s="23">
        <f t="shared" si="1095"/>
        <v>0</v>
      </c>
      <c r="T5730" s="23" t="str">
        <f t="shared" si="1096"/>
        <v/>
      </c>
      <c r="U5730" t="str">
        <f t="shared" si="1097"/>
        <v/>
      </c>
      <c r="X5730" s="43"/>
      <c r="Y5730" s="53"/>
      <c r="Z5730" s="53"/>
      <c r="AA5730"/>
      <c r="AB5730" s="23"/>
      <c r="AF5730" s="22"/>
    </row>
    <row r="5731" spans="1:32">
      <c r="A5731" t="str">
        <f t="shared" si="1098"/>
        <v>PA_Alleg_2019p~Rep-member of council plum (vote for 3)</v>
      </c>
      <c r="B5731" s="55" t="s">
        <v>1291</v>
      </c>
      <c r="C5731">
        <v>1782</v>
      </c>
      <c r="D5731" s="55" t="s">
        <v>822</v>
      </c>
      <c r="E5731" s="55" t="s">
        <v>15</v>
      </c>
      <c r="F5731" t="s">
        <v>1117</v>
      </c>
      <c r="G5731" s="62">
        <v>23</v>
      </c>
      <c r="H5731" s="25">
        <v>0.68</v>
      </c>
      <c r="I5731">
        <v>19280</v>
      </c>
      <c r="J5731">
        <v>3503</v>
      </c>
      <c r="K5731">
        <v>21</v>
      </c>
      <c r="L5731">
        <v>21</v>
      </c>
      <c r="M5731">
        <v>0</v>
      </c>
      <c r="N5731" s="23">
        <v>0</v>
      </c>
      <c r="O5731">
        <f t="shared" si="1091"/>
        <v>-3</v>
      </c>
      <c r="P5731" s="57">
        <f t="shared" si="1092"/>
        <v>3</v>
      </c>
      <c r="Q5731" s="267">
        <f t="shared" si="1093"/>
        <v>23</v>
      </c>
      <c r="R5731" s="23">
        <f t="shared" si="1094"/>
        <v>1</v>
      </c>
      <c r="S5731" s="23">
        <f t="shared" si="1095"/>
        <v>0</v>
      </c>
      <c r="T5731" s="23" t="str">
        <f t="shared" si="1096"/>
        <v/>
      </c>
      <c r="U5731" t="str">
        <f t="shared" si="1097"/>
        <v/>
      </c>
      <c r="X5731" s="43"/>
      <c r="Y5731" s="53"/>
      <c r="Z5731" s="53"/>
      <c r="AA5731"/>
      <c r="AB5731" s="23"/>
      <c r="AF5731" s="22"/>
    </row>
    <row r="5732" spans="1:32">
      <c r="A5732" t="str">
        <f t="shared" si="1098"/>
        <v>PA_Alleg_2019p~Rep-member of council port vue (vote for 3)</v>
      </c>
      <c r="B5732" s="55" t="s">
        <v>1291</v>
      </c>
      <c r="C5732">
        <v>1783</v>
      </c>
      <c r="D5732" s="55" t="s">
        <v>825</v>
      </c>
      <c r="E5732" s="55" t="s">
        <v>15</v>
      </c>
      <c r="F5732" t="s">
        <v>1117</v>
      </c>
      <c r="G5732" s="62">
        <v>20</v>
      </c>
      <c r="H5732" s="25">
        <v>100</v>
      </c>
      <c r="I5732">
        <v>2358</v>
      </c>
      <c r="J5732">
        <v>489</v>
      </c>
      <c r="K5732">
        <v>4</v>
      </c>
      <c r="L5732">
        <v>4</v>
      </c>
      <c r="M5732">
        <v>0</v>
      </c>
      <c r="N5732" s="23">
        <v>0</v>
      </c>
      <c r="O5732">
        <f t="shared" si="1091"/>
        <v>0</v>
      </c>
      <c r="P5732" s="57">
        <f t="shared" si="1092"/>
        <v>3</v>
      </c>
      <c r="Q5732" s="267">
        <f t="shared" si="1093"/>
        <v>20</v>
      </c>
      <c r="R5732" s="23">
        <f t="shared" si="1094"/>
        <v>1</v>
      </c>
      <c r="S5732" s="23">
        <f t="shared" si="1095"/>
        <v>0</v>
      </c>
      <c r="T5732" s="23" t="str">
        <f t="shared" si="1096"/>
        <v/>
      </c>
      <c r="U5732" t="str">
        <f t="shared" si="1097"/>
        <v>PA_Alleg_2019p~Rep-member of council port vue (vote for 3)</v>
      </c>
      <c r="X5732" s="43"/>
      <c r="Y5732" s="53"/>
      <c r="Z5732" s="53"/>
      <c r="AA5732"/>
      <c r="AB5732" s="23"/>
      <c r="AF5732" s="22"/>
    </row>
    <row r="5733" spans="1:32">
      <c r="A5733" t="str">
        <f t="shared" si="1098"/>
        <v>PA_Alleg_2019p~Rep-member of council rankin ward 1 (vote for 1)</v>
      </c>
      <c r="B5733" s="55" t="s">
        <v>1291</v>
      </c>
      <c r="C5733">
        <v>1924</v>
      </c>
      <c r="D5733" s="55" t="s">
        <v>1050</v>
      </c>
      <c r="E5733" s="55" t="s">
        <v>15</v>
      </c>
      <c r="F5733" t="s">
        <v>1117</v>
      </c>
      <c r="G5733" s="62">
        <v>0</v>
      </c>
      <c r="H5733" s="25">
        <v>0</v>
      </c>
      <c r="I5733">
        <v>373</v>
      </c>
      <c r="J5733">
        <v>84</v>
      </c>
      <c r="K5733">
        <v>1</v>
      </c>
      <c r="L5733">
        <v>1</v>
      </c>
      <c r="M5733">
        <v>0</v>
      </c>
      <c r="N5733" s="23">
        <v>0</v>
      </c>
      <c r="O5733">
        <f t="shared" si="1091"/>
        <v>0</v>
      </c>
      <c r="P5733" s="57">
        <f t="shared" si="1092"/>
        <v>1</v>
      </c>
      <c r="Q5733" s="267">
        <f t="shared" si="1093"/>
        <v>0</v>
      </c>
      <c r="R5733" s="23">
        <f t="shared" si="1094"/>
        <v>1</v>
      </c>
      <c r="S5733" s="23">
        <f t="shared" si="1095"/>
        <v>0</v>
      </c>
      <c r="T5733" s="23" t="str">
        <f t="shared" si="1096"/>
        <v/>
      </c>
      <c r="U5733" t="str">
        <f t="shared" si="1097"/>
        <v>PA_Alleg_2019p~Rep-member of council rankin ward 1 (vote for 1)</v>
      </c>
      <c r="X5733" s="43"/>
      <c r="Y5733" s="53"/>
      <c r="Z5733" s="53"/>
      <c r="AA5733"/>
      <c r="AB5733" s="23"/>
    </row>
    <row r="5734" spans="1:32">
      <c r="A5734" t="str">
        <f t="shared" si="1098"/>
        <v>PA_Alleg_2019p~Rep-member of council rankin ward 2 (vote for 1)</v>
      </c>
      <c r="B5734" s="55" t="s">
        <v>1291</v>
      </c>
      <c r="C5734">
        <v>1925</v>
      </c>
      <c r="D5734" s="55" t="s">
        <v>1052</v>
      </c>
      <c r="E5734" s="55" t="s">
        <v>15</v>
      </c>
      <c r="F5734" t="s">
        <v>1117</v>
      </c>
      <c r="G5734" s="62">
        <v>0</v>
      </c>
      <c r="H5734" s="25">
        <v>0</v>
      </c>
      <c r="I5734">
        <v>434</v>
      </c>
      <c r="J5734">
        <v>91</v>
      </c>
      <c r="K5734">
        <v>1</v>
      </c>
      <c r="L5734">
        <v>1</v>
      </c>
      <c r="M5734">
        <v>0</v>
      </c>
      <c r="N5734" s="23">
        <v>0</v>
      </c>
      <c r="O5734">
        <f t="shared" si="1091"/>
        <v>0</v>
      </c>
      <c r="P5734" s="57">
        <f t="shared" si="1092"/>
        <v>1</v>
      </c>
      <c r="Q5734" s="267">
        <f t="shared" si="1093"/>
        <v>0</v>
      </c>
      <c r="R5734" s="23">
        <f t="shared" si="1094"/>
        <v>1</v>
      </c>
      <c r="S5734" s="23">
        <f t="shared" si="1095"/>
        <v>0</v>
      </c>
      <c r="T5734" s="23" t="str">
        <f t="shared" si="1096"/>
        <v/>
      </c>
      <c r="U5734" t="str">
        <f t="shared" si="1097"/>
        <v>PA_Alleg_2019p~Rep-member of council rankin ward 2 (vote for 1)</v>
      </c>
      <c r="X5734" s="43"/>
      <c r="Y5734" s="53"/>
      <c r="Z5734" s="53"/>
      <c r="AA5734"/>
      <c r="AB5734" s="23"/>
      <c r="AF5734" s="22"/>
    </row>
    <row r="5735" spans="1:32">
      <c r="A5735" t="str">
        <f t="shared" si="1098"/>
        <v>PA_Alleg_2019p~Rep-member of council rankin ward 3 (vote for 1)</v>
      </c>
      <c r="B5735" s="55" t="s">
        <v>1291</v>
      </c>
      <c r="C5735">
        <v>1926</v>
      </c>
      <c r="D5735" s="55" t="s">
        <v>1054</v>
      </c>
      <c r="E5735" s="55" t="s">
        <v>15</v>
      </c>
      <c r="F5735" t="s">
        <v>1117</v>
      </c>
      <c r="G5735" s="62">
        <v>0</v>
      </c>
      <c r="H5735" s="25">
        <v>0</v>
      </c>
      <c r="I5735">
        <v>664</v>
      </c>
      <c r="J5735">
        <v>87</v>
      </c>
      <c r="K5735">
        <v>1</v>
      </c>
      <c r="L5735">
        <v>1</v>
      </c>
      <c r="M5735">
        <v>0</v>
      </c>
      <c r="N5735" s="23">
        <v>0</v>
      </c>
      <c r="O5735">
        <f t="shared" si="1091"/>
        <v>0</v>
      </c>
      <c r="P5735" s="57">
        <f t="shared" si="1092"/>
        <v>1</v>
      </c>
      <c r="Q5735" s="267">
        <f t="shared" si="1093"/>
        <v>0</v>
      </c>
      <c r="R5735" s="23">
        <f t="shared" si="1094"/>
        <v>1</v>
      </c>
      <c r="S5735" s="23">
        <f t="shared" si="1095"/>
        <v>0</v>
      </c>
      <c r="T5735" s="23" t="str">
        <f t="shared" si="1096"/>
        <v/>
      </c>
      <c r="U5735" t="str">
        <f t="shared" si="1097"/>
        <v>PA_Alleg_2019p~Rep-member of council rankin ward 3 (vote for 1)</v>
      </c>
      <c r="X5735" s="43"/>
      <c r="Y5735" s="53"/>
      <c r="Z5735" s="53"/>
      <c r="AA5735"/>
      <c r="AB5735" s="23"/>
      <c r="AF5735" s="22"/>
    </row>
    <row r="5736" spans="1:32">
      <c r="A5736" t="str">
        <f t="shared" si="1098"/>
        <v>PA_Alleg_2019p~Rep-member of council rosslyn farms (vote for 2)</v>
      </c>
      <c r="B5736" s="55" t="s">
        <v>1291</v>
      </c>
      <c r="C5736">
        <v>1830</v>
      </c>
      <c r="D5736" s="55" t="s">
        <v>909</v>
      </c>
      <c r="E5736" s="55" t="s">
        <v>1235</v>
      </c>
      <c r="F5736" t="s">
        <v>1117</v>
      </c>
      <c r="G5736" s="62">
        <v>32</v>
      </c>
      <c r="H5736" s="25">
        <v>51.61</v>
      </c>
      <c r="I5736">
        <v>402</v>
      </c>
      <c r="J5736">
        <v>112</v>
      </c>
      <c r="K5736">
        <v>1</v>
      </c>
      <c r="L5736">
        <v>1</v>
      </c>
      <c r="M5736">
        <v>0</v>
      </c>
      <c r="N5736" s="23">
        <v>0</v>
      </c>
      <c r="O5736">
        <f t="shared" si="1091"/>
        <v>1</v>
      </c>
      <c r="P5736" s="57">
        <f t="shared" si="1092"/>
        <v>2</v>
      </c>
      <c r="Q5736" s="267">
        <f t="shared" si="1093"/>
        <v>32</v>
      </c>
      <c r="R5736" s="23">
        <f t="shared" si="1094"/>
        <v>29</v>
      </c>
      <c r="S5736" s="23">
        <f t="shared" si="1095"/>
        <v>0</v>
      </c>
      <c r="T5736" s="23" t="str">
        <f t="shared" si="1096"/>
        <v/>
      </c>
      <c r="U5736" t="str">
        <f t="shared" si="1097"/>
        <v>PA_Alleg_2019p~Rep-member of council rosslyn farms (vote for 2)</v>
      </c>
      <c r="X5736" s="43"/>
      <c r="Y5736" s="53"/>
      <c r="Z5736" s="53"/>
      <c r="AA5736"/>
      <c r="AB5736" s="23"/>
      <c r="AF5736" s="22"/>
    </row>
    <row r="5737" spans="1:32">
      <c r="A5737" t="str">
        <f t="shared" si="1098"/>
        <v>PA_Alleg_2019p~Rep-member of council rosslyn farms (vote for 2)</v>
      </c>
      <c r="B5737" s="55" t="s">
        <v>1291</v>
      </c>
      <c r="C5737">
        <v>1831</v>
      </c>
      <c r="D5737" s="55" t="s">
        <v>909</v>
      </c>
      <c r="E5737" s="55" t="s">
        <v>1236</v>
      </c>
      <c r="F5737" t="s">
        <v>1117</v>
      </c>
      <c r="G5737" s="62">
        <v>29</v>
      </c>
      <c r="H5737" s="25">
        <v>46.77</v>
      </c>
      <c r="I5737">
        <v>402</v>
      </c>
      <c r="J5737">
        <v>112</v>
      </c>
      <c r="K5737">
        <v>1</v>
      </c>
      <c r="L5737">
        <v>1</v>
      </c>
      <c r="M5737">
        <v>0</v>
      </c>
      <c r="N5737" s="23">
        <v>0</v>
      </c>
      <c r="O5737">
        <f t="shared" si="1091"/>
        <v>2</v>
      </c>
      <c r="P5737" s="57">
        <f t="shared" si="1092"/>
        <v>2</v>
      </c>
      <c r="Q5737" s="267">
        <f t="shared" si="1093"/>
        <v>30</v>
      </c>
      <c r="R5737" s="23">
        <f t="shared" si="1094"/>
        <v>29</v>
      </c>
      <c r="S5737" s="23">
        <f t="shared" si="1095"/>
        <v>0</v>
      </c>
      <c r="T5737" s="23" t="str">
        <f t="shared" si="1096"/>
        <v/>
      </c>
      <c r="U5737" t="str">
        <f t="shared" si="1097"/>
        <v/>
      </c>
      <c r="X5737" s="43"/>
      <c r="Y5737" s="53"/>
      <c r="Z5737" s="53"/>
      <c r="AA5737"/>
      <c r="AB5737" s="23"/>
      <c r="AF5737" s="22"/>
    </row>
    <row r="5738" spans="1:32">
      <c r="A5738" t="str">
        <f t="shared" si="1098"/>
        <v>PA_Alleg_2019p~Rep-member of council rosslyn farms (vote for 2)</v>
      </c>
      <c r="B5738" s="55" t="s">
        <v>1291</v>
      </c>
      <c r="C5738">
        <v>1832</v>
      </c>
      <c r="D5738" s="55" t="s">
        <v>909</v>
      </c>
      <c r="E5738" s="55" t="s">
        <v>15</v>
      </c>
      <c r="F5738" t="s">
        <v>1117</v>
      </c>
      <c r="G5738" s="62">
        <v>1</v>
      </c>
      <c r="H5738" s="25">
        <v>1.61</v>
      </c>
      <c r="I5738">
        <v>402</v>
      </c>
      <c r="J5738">
        <v>112</v>
      </c>
      <c r="K5738">
        <v>1</v>
      </c>
      <c r="L5738">
        <v>1</v>
      </c>
      <c r="M5738">
        <v>0</v>
      </c>
      <c r="N5738" s="23">
        <v>0</v>
      </c>
      <c r="O5738">
        <f t="shared" si="1091"/>
        <v>-2</v>
      </c>
      <c r="P5738" s="57">
        <f t="shared" si="1092"/>
        <v>2</v>
      </c>
      <c r="Q5738" s="267">
        <f t="shared" si="1093"/>
        <v>1</v>
      </c>
      <c r="R5738" s="23">
        <f t="shared" si="1094"/>
        <v>1</v>
      </c>
      <c r="S5738" s="23">
        <f t="shared" si="1095"/>
        <v>0</v>
      </c>
      <c r="T5738" s="23" t="str">
        <f t="shared" si="1096"/>
        <v/>
      </c>
      <c r="U5738" t="str">
        <f t="shared" si="1097"/>
        <v/>
      </c>
      <c r="X5738" s="43"/>
      <c r="Y5738" s="53"/>
      <c r="Z5738" s="53"/>
      <c r="AA5738"/>
      <c r="AB5738" s="23"/>
      <c r="AF5738" s="22"/>
    </row>
    <row r="5739" spans="1:32">
      <c r="A5739" t="str">
        <f t="shared" si="1098"/>
        <v>PA_Alleg_2019p~Rep-member of council rosslyn farms (vote for 3)</v>
      </c>
      <c r="B5739" s="55" t="s">
        <v>1291</v>
      </c>
      <c r="C5739">
        <v>1786</v>
      </c>
      <c r="D5739" s="55" t="s">
        <v>829</v>
      </c>
      <c r="E5739" s="55" t="s">
        <v>1216</v>
      </c>
      <c r="F5739" t="s">
        <v>1117</v>
      </c>
      <c r="G5739" s="62">
        <v>33</v>
      </c>
      <c r="H5739" s="25">
        <v>36.26</v>
      </c>
      <c r="I5739">
        <v>402</v>
      </c>
      <c r="J5739">
        <v>112</v>
      </c>
      <c r="K5739">
        <v>1</v>
      </c>
      <c r="L5739">
        <v>1</v>
      </c>
      <c r="M5739">
        <v>0</v>
      </c>
      <c r="N5739" s="23">
        <v>0</v>
      </c>
      <c r="O5739">
        <f t="shared" si="1091"/>
        <v>1</v>
      </c>
      <c r="P5739" s="57">
        <f t="shared" si="1092"/>
        <v>3</v>
      </c>
      <c r="Q5739" s="267">
        <f t="shared" si="1093"/>
        <v>33</v>
      </c>
      <c r="R5739" s="23">
        <f t="shared" si="1094"/>
        <v>27</v>
      </c>
      <c r="S5739" s="23">
        <f t="shared" si="1095"/>
        <v>0</v>
      </c>
      <c r="T5739" s="23" t="str">
        <f t="shared" si="1096"/>
        <v/>
      </c>
      <c r="U5739" t="str">
        <f t="shared" si="1097"/>
        <v>PA_Alleg_2019p~Rep-member of council rosslyn farms (vote for 3)</v>
      </c>
      <c r="X5739" s="43"/>
      <c r="Y5739" s="53"/>
      <c r="Z5739" s="53"/>
      <c r="AA5739"/>
      <c r="AB5739" s="23"/>
      <c r="AF5739" s="22"/>
    </row>
    <row r="5740" spans="1:32">
      <c r="A5740" t="str">
        <f t="shared" si="1098"/>
        <v>PA_Alleg_2019p~Rep-member of council rosslyn farms (vote for 3)</v>
      </c>
      <c r="B5740" s="55" t="s">
        <v>1291</v>
      </c>
      <c r="C5740">
        <v>1785</v>
      </c>
      <c r="D5740" s="55" t="s">
        <v>829</v>
      </c>
      <c r="E5740" s="55" t="s">
        <v>1215</v>
      </c>
      <c r="F5740" t="s">
        <v>1117</v>
      </c>
      <c r="G5740" s="62">
        <v>29</v>
      </c>
      <c r="H5740" s="25">
        <v>31.87</v>
      </c>
      <c r="I5740">
        <v>402</v>
      </c>
      <c r="J5740">
        <v>112</v>
      </c>
      <c r="K5740">
        <v>1</v>
      </c>
      <c r="L5740">
        <v>1</v>
      </c>
      <c r="M5740">
        <v>0</v>
      </c>
      <c r="N5740" s="23">
        <v>0</v>
      </c>
      <c r="O5740">
        <f t="shared" si="1091"/>
        <v>2</v>
      </c>
      <c r="P5740" s="57">
        <f t="shared" si="1092"/>
        <v>3</v>
      </c>
      <c r="Q5740" s="267">
        <f t="shared" si="1093"/>
        <v>58</v>
      </c>
      <c r="R5740" s="23">
        <f t="shared" si="1094"/>
        <v>27</v>
      </c>
      <c r="S5740" s="23">
        <f t="shared" si="1095"/>
        <v>0</v>
      </c>
      <c r="T5740" s="23" t="str">
        <f t="shared" si="1096"/>
        <v/>
      </c>
      <c r="U5740" t="str">
        <f t="shared" si="1097"/>
        <v/>
      </c>
      <c r="X5740" s="43"/>
      <c r="Y5740" s="53"/>
      <c r="Z5740" s="53"/>
      <c r="AA5740"/>
      <c r="AB5740" s="23"/>
      <c r="AF5740" s="22"/>
    </row>
    <row r="5741" spans="1:32">
      <c r="A5741" t="str">
        <f t="shared" si="1098"/>
        <v>PA_Alleg_2019p~Rep-member of council rosslyn farms (vote for 3)</v>
      </c>
      <c r="B5741" s="55" t="s">
        <v>1291</v>
      </c>
      <c r="C5741">
        <v>1784</v>
      </c>
      <c r="D5741" s="55" t="s">
        <v>829</v>
      </c>
      <c r="E5741" s="55" t="s">
        <v>1214</v>
      </c>
      <c r="F5741" t="s">
        <v>1117</v>
      </c>
      <c r="G5741" s="62">
        <v>27</v>
      </c>
      <c r="H5741" s="25">
        <v>29.67</v>
      </c>
      <c r="I5741">
        <v>402</v>
      </c>
      <c r="J5741">
        <v>112</v>
      </c>
      <c r="K5741">
        <v>1</v>
      </c>
      <c r="L5741">
        <v>1</v>
      </c>
      <c r="M5741">
        <v>0</v>
      </c>
      <c r="N5741" s="23">
        <v>0</v>
      </c>
      <c r="O5741">
        <f t="shared" si="1091"/>
        <v>3</v>
      </c>
      <c r="P5741" s="57">
        <f t="shared" si="1092"/>
        <v>3</v>
      </c>
      <c r="Q5741" s="267">
        <f t="shared" si="1093"/>
        <v>29</v>
      </c>
      <c r="R5741" s="23">
        <f t="shared" si="1094"/>
        <v>27</v>
      </c>
      <c r="S5741" s="23">
        <f t="shared" si="1095"/>
        <v>0</v>
      </c>
      <c r="T5741" s="23" t="str">
        <f t="shared" si="1096"/>
        <v/>
      </c>
      <c r="U5741" t="str">
        <f t="shared" si="1097"/>
        <v/>
      </c>
      <c r="X5741" s="43"/>
      <c r="Y5741" s="53"/>
      <c r="Z5741" s="53"/>
      <c r="AA5741"/>
      <c r="AB5741" s="23"/>
      <c r="AF5741" s="22"/>
    </row>
    <row r="5742" spans="1:32">
      <c r="A5742" t="str">
        <f t="shared" si="1098"/>
        <v>PA_Alleg_2019p~Rep-member of council rosslyn farms (vote for 3)</v>
      </c>
      <c r="B5742" s="55" t="s">
        <v>1291</v>
      </c>
      <c r="C5742">
        <v>1787</v>
      </c>
      <c r="D5742" s="55" t="s">
        <v>829</v>
      </c>
      <c r="E5742" s="55" t="s">
        <v>15</v>
      </c>
      <c r="F5742" t="s">
        <v>1117</v>
      </c>
      <c r="G5742" s="62">
        <v>2</v>
      </c>
      <c r="H5742" s="25">
        <v>2.2000000000000002</v>
      </c>
      <c r="I5742">
        <v>402</v>
      </c>
      <c r="J5742">
        <v>112</v>
      </c>
      <c r="K5742">
        <v>1</v>
      </c>
      <c r="L5742">
        <v>1</v>
      </c>
      <c r="M5742">
        <v>0</v>
      </c>
      <c r="N5742" s="23">
        <v>0</v>
      </c>
      <c r="O5742">
        <f t="shared" si="1091"/>
        <v>-3</v>
      </c>
      <c r="P5742" s="57">
        <f t="shared" si="1092"/>
        <v>3</v>
      </c>
      <c r="Q5742" s="267">
        <f t="shared" si="1093"/>
        <v>2</v>
      </c>
      <c r="R5742" s="23">
        <f t="shared" si="1094"/>
        <v>1</v>
      </c>
      <c r="S5742" s="23">
        <f t="shared" si="1095"/>
        <v>0</v>
      </c>
      <c r="T5742" s="23" t="str">
        <f t="shared" si="1096"/>
        <v/>
      </c>
      <c r="U5742" t="str">
        <f t="shared" si="1097"/>
        <v/>
      </c>
      <c r="X5742" s="43"/>
      <c r="Y5742" s="53"/>
      <c r="Z5742" s="53"/>
      <c r="AA5742"/>
      <c r="AB5742" s="23"/>
      <c r="AF5742" s="88"/>
    </row>
    <row r="5743" spans="1:32">
      <c r="A5743" t="str">
        <f t="shared" si="1098"/>
        <v>PA_Alleg_2019p~Rep-member of council sewickley heights (vote for 1)</v>
      </c>
      <c r="B5743" s="55" t="s">
        <v>1291</v>
      </c>
      <c r="C5743">
        <v>1852</v>
      </c>
      <c r="D5743" s="55" t="s">
        <v>934</v>
      </c>
      <c r="E5743" s="55" t="s">
        <v>1240</v>
      </c>
      <c r="F5743" t="s">
        <v>1117</v>
      </c>
      <c r="G5743" s="62">
        <v>86</v>
      </c>
      <c r="H5743" s="25">
        <v>90.53</v>
      </c>
      <c r="I5743">
        <v>784</v>
      </c>
      <c r="J5743">
        <v>144</v>
      </c>
      <c r="K5743">
        <v>1</v>
      </c>
      <c r="L5743">
        <v>1</v>
      </c>
      <c r="M5743">
        <v>0</v>
      </c>
      <c r="N5743" s="23">
        <v>0</v>
      </c>
      <c r="O5743">
        <f t="shared" si="1091"/>
        <v>1</v>
      </c>
      <c r="P5743" s="57">
        <f t="shared" si="1092"/>
        <v>1</v>
      </c>
      <c r="Q5743" s="267">
        <f t="shared" si="1093"/>
        <v>95</v>
      </c>
      <c r="R5743" s="23">
        <f t="shared" si="1094"/>
        <v>86</v>
      </c>
      <c r="S5743" s="23">
        <f t="shared" si="1095"/>
        <v>0</v>
      </c>
      <c r="T5743" s="23" t="str">
        <f t="shared" si="1096"/>
        <v/>
      </c>
      <c r="U5743" t="str">
        <f t="shared" si="1097"/>
        <v>PA_Alleg_2019p~Rep-member of council sewickley heights (vote for 1)</v>
      </c>
      <c r="X5743" s="43"/>
      <c r="Y5743" s="53"/>
      <c r="Z5743" s="53"/>
      <c r="AA5743"/>
      <c r="AB5743" s="23"/>
      <c r="AF5743" s="22"/>
    </row>
    <row r="5744" spans="1:32">
      <c r="A5744" t="str">
        <f t="shared" si="1098"/>
        <v>PA_Alleg_2019p~Rep-member of council sewickley heights (vote for 1)</v>
      </c>
      <c r="B5744" s="55" t="s">
        <v>1291</v>
      </c>
      <c r="C5744">
        <v>1853</v>
      </c>
      <c r="D5744" s="55" t="s">
        <v>934</v>
      </c>
      <c r="E5744" s="55" t="s">
        <v>15</v>
      </c>
      <c r="F5744" t="s">
        <v>1117</v>
      </c>
      <c r="G5744" s="62">
        <v>9</v>
      </c>
      <c r="H5744" s="25">
        <v>9.4700000000000006</v>
      </c>
      <c r="I5744">
        <v>784</v>
      </c>
      <c r="J5744">
        <v>144</v>
      </c>
      <c r="K5744">
        <v>1</v>
      </c>
      <c r="L5744">
        <v>1</v>
      </c>
      <c r="M5744">
        <v>0</v>
      </c>
      <c r="N5744" s="23">
        <v>0</v>
      </c>
      <c r="O5744">
        <f t="shared" si="1091"/>
        <v>-1</v>
      </c>
      <c r="P5744" s="57">
        <f t="shared" si="1092"/>
        <v>1</v>
      </c>
      <c r="Q5744" s="267">
        <f t="shared" si="1093"/>
        <v>9</v>
      </c>
      <c r="R5744" s="23">
        <f t="shared" si="1094"/>
        <v>1</v>
      </c>
      <c r="S5744" s="23">
        <f t="shared" si="1095"/>
        <v>0</v>
      </c>
      <c r="T5744" s="23" t="str">
        <f t="shared" si="1096"/>
        <v/>
      </c>
      <c r="U5744" t="str">
        <f t="shared" si="1097"/>
        <v/>
      </c>
      <c r="X5744" s="43"/>
      <c r="Y5744" s="53"/>
      <c r="Z5744" s="53"/>
      <c r="AA5744"/>
      <c r="AB5744" s="23"/>
      <c r="AF5744" s="22"/>
    </row>
    <row r="5745" spans="1:32">
      <c r="A5745" t="str">
        <f t="shared" si="1098"/>
        <v>PA_Alleg_2019p~Rep-member of council sewickley heights (vote for 3)</v>
      </c>
      <c r="B5745" s="55" t="s">
        <v>1291</v>
      </c>
      <c r="C5745">
        <v>1789</v>
      </c>
      <c r="D5745" s="55" t="s">
        <v>830</v>
      </c>
      <c r="E5745" s="55" t="s">
        <v>1218</v>
      </c>
      <c r="F5745" t="s">
        <v>1117</v>
      </c>
      <c r="G5745" s="62">
        <v>83</v>
      </c>
      <c r="H5745" s="25">
        <v>28.52</v>
      </c>
      <c r="I5745">
        <v>784</v>
      </c>
      <c r="J5745">
        <v>144</v>
      </c>
      <c r="K5745">
        <v>1</v>
      </c>
      <c r="L5745">
        <v>1</v>
      </c>
      <c r="M5745">
        <v>0</v>
      </c>
      <c r="N5745" s="23">
        <v>0</v>
      </c>
      <c r="O5745">
        <f t="shared" si="1091"/>
        <v>1</v>
      </c>
      <c r="P5745" s="57">
        <f t="shared" si="1092"/>
        <v>3</v>
      </c>
      <c r="Q5745" s="267">
        <f t="shared" si="1093"/>
        <v>97</v>
      </c>
      <c r="R5745" s="23">
        <f t="shared" si="1094"/>
        <v>81</v>
      </c>
      <c r="S5745" s="23">
        <f t="shared" si="1095"/>
        <v>0</v>
      </c>
      <c r="T5745" s="23" t="str">
        <f t="shared" si="1096"/>
        <v/>
      </c>
      <c r="U5745" t="str">
        <f t="shared" si="1097"/>
        <v>PA_Alleg_2019p~Rep-member of council sewickley heights (vote for 3)</v>
      </c>
      <c r="X5745" s="43"/>
      <c r="Y5745" s="53"/>
      <c r="Z5745" s="53"/>
      <c r="AA5745"/>
      <c r="AB5745" s="23"/>
      <c r="AF5745" s="88"/>
    </row>
    <row r="5746" spans="1:32">
      <c r="A5746" t="str">
        <f t="shared" si="1098"/>
        <v>PA_Alleg_2019p~Rep-member of council sewickley heights (vote for 3)</v>
      </c>
      <c r="B5746" s="55" t="s">
        <v>1291</v>
      </c>
      <c r="C5746">
        <v>1790</v>
      </c>
      <c r="D5746" s="55" t="s">
        <v>830</v>
      </c>
      <c r="E5746" s="55" t="s">
        <v>1219</v>
      </c>
      <c r="F5746" t="s">
        <v>1117</v>
      </c>
      <c r="G5746" s="62">
        <v>82</v>
      </c>
      <c r="H5746" s="25">
        <v>28.18</v>
      </c>
      <c r="I5746">
        <v>784</v>
      </c>
      <c r="J5746">
        <v>144</v>
      </c>
      <c r="K5746">
        <v>1</v>
      </c>
      <c r="L5746">
        <v>1</v>
      </c>
      <c r="M5746">
        <v>0</v>
      </c>
      <c r="N5746" s="23">
        <v>0</v>
      </c>
      <c r="O5746">
        <f t="shared" si="1091"/>
        <v>2</v>
      </c>
      <c r="P5746" s="57">
        <f t="shared" si="1092"/>
        <v>3</v>
      </c>
      <c r="Q5746" s="267">
        <f t="shared" si="1093"/>
        <v>208</v>
      </c>
      <c r="R5746" s="23">
        <f t="shared" si="1094"/>
        <v>81</v>
      </c>
      <c r="S5746" s="23">
        <f t="shared" si="1095"/>
        <v>0</v>
      </c>
      <c r="T5746" s="23" t="str">
        <f t="shared" si="1096"/>
        <v/>
      </c>
      <c r="U5746" t="str">
        <f t="shared" si="1097"/>
        <v/>
      </c>
      <c r="X5746" s="43"/>
      <c r="Y5746" s="53"/>
      <c r="Z5746" s="53"/>
      <c r="AA5746"/>
      <c r="AB5746" s="23"/>
      <c r="AF5746" s="22"/>
    </row>
    <row r="5747" spans="1:32">
      <c r="A5747" t="str">
        <f t="shared" si="1098"/>
        <v>PA_Alleg_2019p~Rep-member of council sewickley heights (vote for 3)</v>
      </c>
      <c r="B5747" s="55" t="s">
        <v>1291</v>
      </c>
      <c r="C5747">
        <v>1788</v>
      </c>
      <c r="D5747" s="55" t="s">
        <v>830</v>
      </c>
      <c r="E5747" s="55" t="s">
        <v>1217</v>
      </c>
      <c r="F5747" t="s">
        <v>1117</v>
      </c>
      <c r="G5747" s="62">
        <v>81</v>
      </c>
      <c r="H5747" s="25">
        <v>27.84</v>
      </c>
      <c r="I5747">
        <v>784</v>
      </c>
      <c r="J5747">
        <v>144</v>
      </c>
      <c r="K5747">
        <v>1</v>
      </c>
      <c r="L5747">
        <v>1</v>
      </c>
      <c r="M5747">
        <v>0</v>
      </c>
      <c r="N5747" s="23">
        <v>0</v>
      </c>
      <c r="O5747">
        <f t="shared" si="1091"/>
        <v>3</v>
      </c>
      <c r="P5747" s="57">
        <f t="shared" si="1092"/>
        <v>3</v>
      </c>
      <c r="Q5747" s="267">
        <f t="shared" si="1093"/>
        <v>126</v>
      </c>
      <c r="R5747" s="23">
        <f t="shared" si="1094"/>
        <v>81</v>
      </c>
      <c r="S5747" s="23">
        <f t="shared" si="1095"/>
        <v>0</v>
      </c>
      <c r="T5747" s="23" t="str">
        <f t="shared" si="1096"/>
        <v/>
      </c>
      <c r="U5747" t="str">
        <f t="shared" si="1097"/>
        <v/>
      </c>
      <c r="X5747" s="43"/>
      <c r="Y5747" s="53"/>
      <c r="Z5747" s="53"/>
      <c r="AA5747"/>
      <c r="AB5747" s="23"/>
      <c r="AF5747" s="22"/>
    </row>
    <row r="5748" spans="1:32">
      <c r="A5748" t="str">
        <f t="shared" si="1098"/>
        <v>PA_Alleg_2019p~Rep-member of council sewickley heights (vote for 3)</v>
      </c>
      <c r="B5748" s="55" t="s">
        <v>1291</v>
      </c>
      <c r="C5748">
        <v>1791</v>
      </c>
      <c r="D5748" s="55" t="s">
        <v>830</v>
      </c>
      <c r="E5748" s="55" t="s">
        <v>15</v>
      </c>
      <c r="F5748" t="s">
        <v>1117</v>
      </c>
      <c r="G5748" s="62">
        <v>45</v>
      </c>
      <c r="H5748" s="25">
        <v>15.46</v>
      </c>
      <c r="I5748">
        <v>784</v>
      </c>
      <c r="J5748">
        <v>144</v>
      </c>
      <c r="K5748">
        <v>1</v>
      </c>
      <c r="L5748">
        <v>1</v>
      </c>
      <c r="M5748">
        <v>0</v>
      </c>
      <c r="N5748" s="23">
        <v>0</v>
      </c>
      <c r="O5748">
        <f t="shared" si="1091"/>
        <v>-3</v>
      </c>
      <c r="P5748" s="57">
        <f t="shared" si="1092"/>
        <v>3</v>
      </c>
      <c r="Q5748" s="267">
        <f t="shared" si="1093"/>
        <v>45</v>
      </c>
      <c r="R5748" s="23">
        <f t="shared" si="1094"/>
        <v>1</v>
      </c>
      <c r="S5748" s="23">
        <f t="shared" si="1095"/>
        <v>0</v>
      </c>
      <c r="T5748" s="23" t="str">
        <f t="shared" si="1096"/>
        <v/>
      </c>
      <c r="U5748" t="str">
        <f t="shared" si="1097"/>
        <v/>
      </c>
      <c r="X5748" s="43"/>
      <c r="Y5748" s="53"/>
      <c r="Z5748" s="53"/>
      <c r="AA5748"/>
      <c r="AB5748" s="23"/>
      <c r="AF5748" s="22"/>
    </row>
    <row r="5749" spans="1:32">
      <c r="A5749" t="str">
        <f t="shared" si="1098"/>
        <v>PA_Alleg_2019p~Rep-member of council sewickley hills (vote for 1)</v>
      </c>
      <c r="B5749" s="55" t="s">
        <v>1291</v>
      </c>
      <c r="C5749">
        <v>1854</v>
      </c>
      <c r="D5749" s="55" t="s">
        <v>935</v>
      </c>
      <c r="E5749" s="55" t="s">
        <v>15</v>
      </c>
      <c r="F5749" t="s">
        <v>1117</v>
      </c>
      <c r="G5749" s="62">
        <v>9</v>
      </c>
      <c r="H5749" s="25">
        <v>100</v>
      </c>
      <c r="I5749">
        <v>552</v>
      </c>
      <c r="J5749">
        <v>98</v>
      </c>
      <c r="K5749">
        <v>1</v>
      </c>
      <c r="L5749">
        <v>1</v>
      </c>
      <c r="M5749">
        <v>0</v>
      </c>
      <c r="N5749" s="23">
        <v>0</v>
      </c>
      <c r="O5749">
        <f t="shared" si="1091"/>
        <v>0</v>
      </c>
      <c r="P5749" s="57">
        <f t="shared" si="1092"/>
        <v>1</v>
      </c>
      <c r="Q5749" s="267">
        <f t="shared" si="1093"/>
        <v>9</v>
      </c>
      <c r="R5749" s="23">
        <f t="shared" si="1094"/>
        <v>1</v>
      </c>
      <c r="S5749" s="23">
        <f t="shared" si="1095"/>
        <v>0</v>
      </c>
      <c r="T5749" s="23" t="str">
        <f t="shared" si="1096"/>
        <v/>
      </c>
      <c r="U5749" t="str">
        <f t="shared" si="1097"/>
        <v>PA_Alleg_2019p~Rep-member of council sewickley hills (vote for 1)</v>
      </c>
      <c r="X5749" s="43"/>
      <c r="Y5749" s="53"/>
      <c r="Z5749" s="53"/>
      <c r="AA5749"/>
      <c r="AB5749" s="23"/>
      <c r="AF5749" s="22"/>
    </row>
    <row r="5750" spans="1:32">
      <c r="A5750" t="str">
        <f t="shared" si="1098"/>
        <v>PA_Alleg_2019p~Rep-member of council sewickley hills (vote for 2)</v>
      </c>
      <c r="B5750" s="55" t="s">
        <v>1291</v>
      </c>
      <c r="C5750">
        <v>1827</v>
      </c>
      <c r="D5750" s="55" t="s">
        <v>905</v>
      </c>
      <c r="E5750" s="55" t="s">
        <v>15</v>
      </c>
      <c r="F5750" t="s">
        <v>1117</v>
      </c>
      <c r="G5750" s="62">
        <v>34</v>
      </c>
      <c r="H5750" s="25">
        <v>100</v>
      </c>
      <c r="I5750">
        <v>552</v>
      </c>
      <c r="J5750">
        <v>98</v>
      </c>
      <c r="K5750">
        <v>1</v>
      </c>
      <c r="L5750">
        <v>1</v>
      </c>
      <c r="M5750">
        <v>0</v>
      </c>
      <c r="N5750" s="23">
        <v>0</v>
      </c>
      <c r="O5750">
        <f t="shared" si="1091"/>
        <v>0</v>
      </c>
      <c r="P5750" s="57">
        <f t="shared" si="1092"/>
        <v>2</v>
      </c>
      <c r="Q5750" s="267">
        <f t="shared" si="1093"/>
        <v>34</v>
      </c>
      <c r="R5750" s="23">
        <f t="shared" si="1094"/>
        <v>1</v>
      </c>
      <c r="S5750" s="23">
        <f t="shared" si="1095"/>
        <v>0</v>
      </c>
      <c r="T5750" s="23" t="str">
        <f t="shared" si="1096"/>
        <v/>
      </c>
      <c r="U5750" t="str">
        <f t="shared" si="1097"/>
        <v>PA_Alleg_2019p~Rep-member of council sewickley hills (vote for 2)</v>
      </c>
      <c r="X5750" s="43"/>
      <c r="Y5750" s="53"/>
      <c r="Z5750" s="53"/>
      <c r="AA5750"/>
      <c r="AB5750" s="23"/>
      <c r="AF5750" s="22"/>
    </row>
    <row r="5751" spans="1:32">
      <c r="A5751" t="str">
        <f t="shared" si="1098"/>
        <v>PA_Alleg_2019p~Rep-member of council sewickley ward 1 (vote for 1)</v>
      </c>
      <c r="B5751" s="55" t="s">
        <v>1291</v>
      </c>
      <c r="C5751">
        <v>1927</v>
      </c>
      <c r="D5751" s="55" t="s">
        <v>1056</v>
      </c>
      <c r="E5751" s="55" t="s">
        <v>1259</v>
      </c>
      <c r="F5751" t="s">
        <v>1117</v>
      </c>
      <c r="G5751" s="62">
        <v>40</v>
      </c>
      <c r="H5751" s="25">
        <v>93.02</v>
      </c>
      <c r="I5751">
        <v>1010</v>
      </c>
      <c r="J5751">
        <v>138</v>
      </c>
      <c r="K5751">
        <v>1</v>
      </c>
      <c r="L5751">
        <v>1</v>
      </c>
      <c r="M5751">
        <v>0</v>
      </c>
      <c r="N5751" s="23">
        <v>0</v>
      </c>
      <c r="O5751">
        <f t="shared" si="1091"/>
        <v>1</v>
      </c>
      <c r="P5751" s="57">
        <f t="shared" si="1092"/>
        <v>1</v>
      </c>
      <c r="Q5751" s="267">
        <f t="shared" si="1093"/>
        <v>43</v>
      </c>
      <c r="R5751" s="23">
        <f t="shared" si="1094"/>
        <v>40</v>
      </c>
      <c r="S5751" s="23">
        <f t="shared" si="1095"/>
        <v>0</v>
      </c>
      <c r="T5751" s="23" t="str">
        <f t="shared" si="1096"/>
        <v/>
      </c>
      <c r="U5751" t="str">
        <f t="shared" si="1097"/>
        <v>PA_Alleg_2019p~Rep-member of council sewickley ward 1 (vote for 1)</v>
      </c>
      <c r="X5751" s="43"/>
      <c r="Y5751" s="53"/>
      <c r="Z5751" s="53"/>
      <c r="AA5751"/>
      <c r="AB5751" s="23"/>
      <c r="AF5751" s="22"/>
    </row>
    <row r="5752" spans="1:32">
      <c r="A5752" t="str">
        <f t="shared" si="1098"/>
        <v>PA_Alleg_2019p~Rep-member of council sewickley ward 1 (vote for 1)</v>
      </c>
      <c r="B5752" s="55" t="s">
        <v>1291</v>
      </c>
      <c r="C5752">
        <v>1928</v>
      </c>
      <c r="D5752" s="55" t="s">
        <v>1056</v>
      </c>
      <c r="E5752" s="55" t="s">
        <v>15</v>
      </c>
      <c r="F5752" t="s">
        <v>1117</v>
      </c>
      <c r="G5752" s="62">
        <v>3</v>
      </c>
      <c r="H5752" s="25">
        <v>6.98</v>
      </c>
      <c r="I5752">
        <v>1010</v>
      </c>
      <c r="J5752">
        <v>138</v>
      </c>
      <c r="K5752">
        <v>1</v>
      </c>
      <c r="L5752">
        <v>1</v>
      </c>
      <c r="M5752">
        <v>0</v>
      </c>
      <c r="N5752" s="23">
        <v>0</v>
      </c>
      <c r="O5752">
        <f t="shared" si="1091"/>
        <v>-1</v>
      </c>
      <c r="P5752" s="57">
        <f t="shared" si="1092"/>
        <v>1</v>
      </c>
      <c r="Q5752" s="267">
        <f t="shared" si="1093"/>
        <v>3</v>
      </c>
      <c r="R5752" s="23">
        <f t="shared" si="1094"/>
        <v>1</v>
      </c>
      <c r="S5752" s="23">
        <f t="shared" si="1095"/>
        <v>0</v>
      </c>
      <c r="T5752" s="23" t="str">
        <f t="shared" si="1096"/>
        <v/>
      </c>
      <c r="U5752" t="str">
        <f t="shared" si="1097"/>
        <v/>
      </c>
      <c r="X5752" s="43"/>
      <c r="Y5752" s="53"/>
      <c r="Z5752" s="53"/>
      <c r="AA5752"/>
      <c r="AB5752" s="23"/>
      <c r="AF5752" s="22"/>
    </row>
    <row r="5753" spans="1:32">
      <c r="A5753" t="str">
        <f t="shared" si="1098"/>
        <v>PA_Alleg_2019p~Rep-member of council sewickley ward 2 (vote for 2)</v>
      </c>
      <c r="B5753" s="55" t="s">
        <v>1291</v>
      </c>
      <c r="C5753">
        <v>1864</v>
      </c>
      <c r="D5753" s="55" t="s">
        <v>960</v>
      </c>
      <c r="E5753" s="55" t="s">
        <v>1242</v>
      </c>
      <c r="F5753" t="s">
        <v>1117</v>
      </c>
      <c r="G5753" s="62">
        <v>90</v>
      </c>
      <c r="H5753" s="25">
        <v>66.180000000000007</v>
      </c>
      <c r="I5753">
        <v>1169</v>
      </c>
      <c r="J5753">
        <v>245</v>
      </c>
      <c r="K5753">
        <v>2</v>
      </c>
      <c r="L5753">
        <v>2</v>
      </c>
      <c r="M5753">
        <v>0</v>
      </c>
      <c r="N5753" s="23">
        <v>0</v>
      </c>
      <c r="O5753">
        <f t="shared" si="1091"/>
        <v>1</v>
      </c>
      <c r="P5753" s="57">
        <f t="shared" si="1092"/>
        <v>2</v>
      </c>
      <c r="Q5753" s="267">
        <f t="shared" si="1093"/>
        <v>90</v>
      </c>
      <c r="R5753" s="23">
        <f t="shared" si="1094"/>
        <v>1</v>
      </c>
      <c r="S5753" s="23">
        <f t="shared" si="1095"/>
        <v>0</v>
      </c>
      <c r="T5753" s="23" t="str">
        <f t="shared" si="1096"/>
        <v/>
      </c>
      <c r="U5753" t="str">
        <f t="shared" si="1097"/>
        <v>PA_Alleg_2019p~Rep-member of council sewickley ward 2 (vote for 2)</v>
      </c>
      <c r="X5753" s="43"/>
      <c r="Y5753" s="53"/>
      <c r="Z5753" s="53"/>
      <c r="AA5753"/>
      <c r="AB5753" s="23"/>
      <c r="AF5753" s="22"/>
    </row>
    <row r="5754" spans="1:32">
      <c r="A5754" t="str">
        <f t="shared" si="1098"/>
        <v>PA_Alleg_2019p~Rep-member of council sewickley ward 2 (vote for 2)</v>
      </c>
      <c r="B5754" s="55" t="s">
        <v>1291</v>
      </c>
      <c r="C5754">
        <v>1865</v>
      </c>
      <c r="D5754" s="55" t="s">
        <v>960</v>
      </c>
      <c r="E5754" s="55" t="s">
        <v>15</v>
      </c>
      <c r="F5754" t="s">
        <v>1117</v>
      </c>
      <c r="G5754" s="62">
        <v>46</v>
      </c>
      <c r="H5754" s="25">
        <v>33.82</v>
      </c>
      <c r="I5754">
        <v>1169</v>
      </c>
      <c r="J5754">
        <v>245</v>
      </c>
      <c r="K5754">
        <v>2</v>
      </c>
      <c r="L5754">
        <v>2</v>
      </c>
      <c r="M5754">
        <v>0</v>
      </c>
      <c r="N5754" s="23">
        <v>0</v>
      </c>
      <c r="O5754">
        <f t="shared" si="1091"/>
        <v>-1</v>
      </c>
      <c r="P5754" s="57">
        <f t="shared" si="1092"/>
        <v>2</v>
      </c>
      <c r="Q5754" s="267">
        <f t="shared" si="1093"/>
        <v>46</v>
      </c>
      <c r="R5754" s="23">
        <f t="shared" si="1094"/>
        <v>1</v>
      </c>
      <c r="S5754" s="23">
        <f t="shared" si="1095"/>
        <v>0</v>
      </c>
      <c r="T5754" s="23" t="str">
        <f t="shared" si="1096"/>
        <v/>
      </c>
      <c r="U5754" t="str">
        <f t="shared" si="1097"/>
        <v/>
      </c>
      <c r="X5754" s="43"/>
      <c r="Y5754" s="53"/>
      <c r="Z5754" s="53"/>
      <c r="AA5754"/>
      <c r="AB5754" s="23"/>
      <c r="AF5754" s="22"/>
    </row>
    <row r="5755" spans="1:32">
      <c r="A5755" t="str">
        <f t="shared" si="1098"/>
        <v>PA_Alleg_2019p~Rep-member of council sewickley ward 3 (vote for 1)</v>
      </c>
      <c r="B5755" s="55" t="s">
        <v>1291</v>
      </c>
      <c r="C5755">
        <v>1929</v>
      </c>
      <c r="D5755" s="55" t="s">
        <v>1058</v>
      </c>
      <c r="E5755" s="55" t="s">
        <v>15</v>
      </c>
      <c r="F5755" t="s">
        <v>1117</v>
      </c>
      <c r="G5755" s="62">
        <v>25</v>
      </c>
      <c r="H5755" s="25">
        <v>100</v>
      </c>
      <c r="I5755">
        <v>1084</v>
      </c>
      <c r="J5755">
        <v>139</v>
      </c>
      <c r="K5755">
        <v>1</v>
      </c>
      <c r="L5755">
        <v>1</v>
      </c>
      <c r="M5755">
        <v>0</v>
      </c>
      <c r="N5755" s="23">
        <v>0</v>
      </c>
      <c r="O5755">
        <f t="shared" si="1091"/>
        <v>0</v>
      </c>
      <c r="P5755" s="57">
        <f t="shared" si="1092"/>
        <v>1</v>
      </c>
      <c r="Q5755" s="267">
        <f t="shared" si="1093"/>
        <v>25</v>
      </c>
      <c r="R5755" s="23">
        <f t="shared" si="1094"/>
        <v>1</v>
      </c>
      <c r="S5755" s="23">
        <f t="shared" si="1095"/>
        <v>0</v>
      </c>
      <c r="T5755" s="23" t="str">
        <f t="shared" si="1096"/>
        <v/>
      </c>
      <c r="U5755" t="str">
        <f t="shared" si="1097"/>
        <v>PA_Alleg_2019p~Rep-member of council sewickley ward 3 (vote for 1)</v>
      </c>
      <c r="X5755" s="43"/>
      <c r="Y5755" s="53"/>
      <c r="Z5755" s="53"/>
      <c r="AA5755"/>
      <c r="AB5755" s="23"/>
      <c r="AF5755" s="22"/>
    </row>
    <row r="5756" spans="1:32">
      <c r="A5756" t="str">
        <f t="shared" si="1098"/>
        <v>PA_Alleg_2019p~Rep-member of council sharpsburg (vote for 3)</v>
      </c>
      <c r="B5756" s="55" t="s">
        <v>1291</v>
      </c>
      <c r="C5756">
        <v>1792</v>
      </c>
      <c r="D5756" s="55" t="s">
        <v>831</v>
      </c>
      <c r="E5756" s="55" t="s">
        <v>15</v>
      </c>
      <c r="F5756" t="s">
        <v>1117</v>
      </c>
      <c r="G5756" s="62">
        <v>26</v>
      </c>
      <c r="H5756" s="25">
        <v>100</v>
      </c>
      <c r="I5756">
        <v>2330</v>
      </c>
      <c r="J5756">
        <v>393</v>
      </c>
      <c r="K5756">
        <v>3</v>
      </c>
      <c r="L5756">
        <v>3</v>
      </c>
      <c r="M5756">
        <v>0</v>
      </c>
      <c r="N5756" s="23">
        <v>0</v>
      </c>
      <c r="O5756">
        <f t="shared" si="1091"/>
        <v>0</v>
      </c>
      <c r="P5756" s="57">
        <f t="shared" si="1092"/>
        <v>3</v>
      </c>
      <c r="Q5756" s="267">
        <f t="shared" si="1093"/>
        <v>26</v>
      </c>
      <c r="R5756" s="23">
        <f t="shared" si="1094"/>
        <v>1</v>
      </c>
      <c r="S5756" s="23">
        <f t="shared" si="1095"/>
        <v>0</v>
      </c>
      <c r="T5756" s="23" t="str">
        <f t="shared" si="1096"/>
        <v/>
      </c>
      <c r="U5756" t="str">
        <f t="shared" si="1097"/>
        <v>PA_Alleg_2019p~Rep-member of council sharpsburg (vote for 3)</v>
      </c>
      <c r="X5756" s="43"/>
      <c r="Y5756" s="53"/>
      <c r="Z5756" s="53"/>
      <c r="AA5756"/>
      <c r="AB5756" s="23"/>
      <c r="AF5756" s="300"/>
    </row>
    <row r="5757" spans="1:32">
      <c r="A5757" t="str">
        <f t="shared" si="1098"/>
        <v>PA_Alleg_2019p~Rep-member of council springdale borough (vote for 3)</v>
      </c>
      <c r="B5757" s="55" t="s">
        <v>1291</v>
      </c>
      <c r="C5757">
        <v>1793</v>
      </c>
      <c r="D5757" s="55" t="s">
        <v>836</v>
      </c>
      <c r="E5757" s="55" t="s">
        <v>1220</v>
      </c>
      <c r="F5757" t="s">
        <v>1117</v>
      </c>
      <c r="G5757" s="62">
        <v>104</v>
      </c>
      <c r="H5757" s="25">
        <v>76.47</v>
      </c>
      <c r="I5757">
        <v>2308</v>
      </c>
      <c r="J5757">
        <v>414</v>
      </c>
      <c r="K5757">
        <v>4</v>
      </c>
      <c r="L5757">
        <v>4</v>
      </c>
      <c r="M5757">
        <v>0</v>
      </c>
      <c r="N5757" s="23">
        <v>0</v>
      </c>
      <c r="O5757">
        <f t="shared" si="1091"/>
        <v>1</v>
      </c>
      <c r="P5757" s="57">
        <f t="shared" si="1092"/>
        <v>3</v>
      </c>
      <c r="Q5757" s="267">
        <f t="shared" si="1093"/>
        <v>104</v>
      </c>
      <c r="R5757" s="23">
        <f t="shared" si="1094"/>
        <v>1</v>
      </c>
      <c r="S5757" s="23">
        <f t="shared" si="1095"/>
        <v>0</v>
      </c>
      <c r="T5757" s="23" t="str">
        <f t="shared" si="1096"/>
        <v/>
      </c>
      <c r="U5757" t="str">
        <f t="shared" si="1097"/>
        <v>PA_Alleg_2019p~Rep-member of council springdale borough (vote for 3)</v>
      </c>
      <c r="X5757" s="43"/>
      <c r="Y5757" s="53"/>
      <c r="Z5757" s="53"/>
      <c r="AA5757"/>
      <c r="AB5757" s="23"/>
      <c r="AF5757" s="22"/>
    </row>
    <row r="5758" spans="1:32">
      <c r="A5758" t="str">
        <f t="shared" si="1098"/>
        <v>PA_Alleg_2019p~Rep-member of council springdale borough (vote for 3)</v>
      </c>
      <c r="B5758" s="55" t="s">
        <v>1291</v>
      </c>
      <c r="C5758">
        <v>1794</v>
      </c>
      <c r="D5758" s="55" t="s">
        <v>836</v>
      </c>
      <c r="E5758" s="55" t="s">
        <v>15</v>
      </c>
      <c r="F5758" t="s">
        <v>1117</v>
      </c>
      <c r="G5758" s="62">
        <v>32</v>
      </c>
      <c r="H5758" s="25">
        <v>23.53</v>
      </c>
      <c r="I5758">
        <v>2308</v>
      </c>
      <c r="J5758">
        <v>414</v>
      </c>
      <c r="K5758">
        <v>4</v>
      </c>
      <c r="L5758">
        <v>4</v>
      </c>
      <c r="M5758">
        <v>0</v>
      </c>
      <c r="N5758" s="23">
        <v>0</v>
      </c>
      <c r="O5758">
        <f t="shared" si="1091"/>
        <v>-1</v>
      </c>
      <c r="P5758" s="57">
        <f t="shared" si="1092"/>
        <v>3</v>
      </c>
      <c r="Q5758" s="267">
        <f t="shared" si="1093"/>
        <v>32</v>
      </c>
      <c r="R5758" s="23">
        <f t="shared" si="1094"/>
        <v>1</v>
      </c>
      <c r="S5758" s="23">
        <f t="shared" si="1095"/>
        <v>0</v>
      </c>
      <c r="T5758" s="23" t="str">
        <f t="shared" si="1096"/>
        <v/>
      </c>
      <c r="U5758" t="str">
        <f t="shared" si="1097"/>
        <v/>
      </c>
      <c r="X5758" s="43"/>
      <c r="Y5758" s="53"/>
      <c r="Z5758" s="53"/>
      <c r="AA5758"/>
      <c r="AB5758" s="23"/>
      <c r="AF5758" s="293"/>
    </row>
    <row r="5759" spans="1:32">
      <c r="A5759" t="str">
        <f t="shared" si="1098"/>
        <v>PA_Alleg_2019p~Rep-member of council swissvale (vote for 3)</v>
      </c>
      <c r="B5759" s="55" t="s">
        <v>1291</v>
      </c>
      <c r="C5759">
        <v>1795</v>
      </c>
      <c r="D5759" s="55" t="s">
        <v>840</v>
      </c>
      <c r="E5759" s="55" t="s">
        <v>15</v>
      </c>
      <c r="F5759" t="s">
        <v>1117</v>
      </c>
      <c r="G5759" s="62">
        <v>23</v>
      </c>
      <c r="H5759" s="25">
        <v>100</v>
      </c>
      <c r="I5759">
        <v>7307</v>
      </c>
      <c r="J5759">
        <v>1470</v>
      </c>
      <c r="K5759">
        <v>11</v>
      </c>
      <c r="L5759">
        <v>11</v>
      </c>
      <c r="M5759">
        <v>0</v>
      </c>
      <c r="N5759" s="23">
        <v>0</v>
      </c>
      <c r="O5759">
        <f t="shared" si="1091"/>
        <v>0</v>
      </c>
      <c r="P5759" s="57">
        <f t="shared" si="1092"/>
        <v>3</v>
      </c>
      <c r="Q5759" s="267">
        <f t="shared" si="1093"/>
        <v>23</v>
      </c>
      <c r="R5759" s="23">
        <f t="shared" si="1094"/>
        <v>1</v>
      </c>
      <c r="S5759" s="23">
        <f t="shared" si="1095"/>
        <v>0</v>
      </c>
      <c r="T5759" s="23" t="str">
        <f t="shared" si="1096"/>
        <v/>
      </c>
      <c r="U5759" t="str">
        <f t="shared" si="1097"/>
        <v>PA_Alleg_2019p~Rep-member of council swissvale (vote for 3)</v>
      </c>
      <c r="X5759" s="43"/>
      <c r="Y5759" s="53"/>
      <c r="Z5759" s="53"/>
      <c r="AA5759"/>
      <c r="AB5759" s="23"/>
      <c r="AF5759" s="22"/>
    </row>
    <row r="5760" spans="1:32">
      <c r="A5760" t="str">
        <f t="shared" si="1098"/>
        <v>PA_Alleg_2019p~Rep-member of council tarentum ward 1 (vote for 1)</v>
      </c>
      <c r="B5760" s="55" t="s">
        <v>1291</v>
      </c>
      <c r="C5760">
        <v>1930</v>
      </c>
      <c r="D5760" s="55" t="s">
        <v>1060</v>
      </c>
      <c r="E5760" s="55" t="s">
        <v>1260</v>
      </c>
      <c r="F5760" t="s">
        <v>1117</v>
      </c>
      <c r="G5760" s="62">
        <v>42</v>
      </c>
      <c r="H5760" s="25">
        <v>77.78</v>
      </c>
      <c r="I5760">
        <v>1181</v>
      </c>
      <c r="J5760">
        <v>192</v>
      </c>
      <c r="K5760">
        <v>2</v>
      </c>
      <c r="L5760">
        <v>2</v>
      </c>
      <c r="M5760">
        <v>0</v>
      </c>
      <c r="N5760" s="23">
        <v>0</v>
      </c>
      <c r="O5760">
        <f t="shared" si="1091"/>
        <v>1</v>
      </c>
      <c r="P5760" s="57">
        <f t="shared" si="1092"/>
        <v>1</v>
      </c>
      <c r="Q5760" s="267">
        <f t="shared" si="1093"/>
        <v>54</v>
      </c>
      <c r="R5760" s="23">
        <f t="shared" si="1094"/>
        <v>42</v>
      </c>
      <c r="S5760" s="23">
        <f t="shared" si="1095"/>
        <v>0</v>
      </c>
      <c r="T5760" s="23" t="str">
        <f t="shared" si="1096"/>
        <v/>
      </c>
      <c r="U5760" t="str">
        <f t="shared" si="1097"/>
        <v>PA_Alleg_2019p~Rep-member of council tarentum ward 1 (vote for 1)</v>
      </c>
      <c r="X5760" s="43"/>
      <c r="Y5760" s="53"/>
      <c r="Z5760" s="53"/>
      <c r="AA5760"/>
      <c r="AB5760" s="23"/>
      <c r="AF5760" s="22"/>
    </row>
    <row r="5761" spans="1:32">
      <c r="A5761" t="str">
        <f t="shared" si="1098"/>
        <v>PA_Alleg_2019p~Rep-member of council tarentum ward 1 (vote for 1)</v>
      </c>
      <c r="B5761" s="55" t="s">
        <v>1291</v>
      </c>
      <c r="C5761">
        <v>1931</v>
      </c>
      <c r="D5761" s="55" t="s">
        <v>1060</v>
      </c>
      <c r="E5761" s="55" t="s">
        <v>15</v>
      </c>
      <c r="F5761" t="s">
        <v>1117</v>
      </c>
      <c r="G5761" s="62">
        <v>12</v>
      </c>
      <c r="H5761" s="25">
        <v>22.22</v>
      </c>
      <c r="I5761">
        <v>1181</v>
      </c>
      <c r="J5761">
        <v>192</v>
      </c>
      <c r="K5761">
        <v>2</v>
      </c>
      <c r="L5761">
        <v>2</v>
      </c>
      <c r="M5761">
        <v>0</v>
      </c>
      <c r="N5761" s="23">
        <v>0</v>
      </c>
      <c r="O5761">
        <f t="shared" si="1091"/>
        <v>-1</v>
      </c>
      <c r="P5761" s="57">
        <f t="shared" si="1092"/>
        <v>1</v>
      </c>
      <c r="Q5761" s="267">
        <f t="shared" si="1093"/>
        <v>12</v>
      </c>
      <c r="R5761" s="23">
        <f t="shared" si="1094"/>
        <v>1</v>
      </c>
      <c r="S5761" s="23">
        <f t="shared" si="1095"/>
        <v>0</v>
      </c>
      <c r="T5761" s="23" t="str">
        <f t="shared" si="1096"/>
        <v/>
      </c>
      <c r="U5761" t="str">
        <f t="shared" si="1097"/>
        <v/>
      </c>
      <c r="X5761" s="43"/>
      <c r="Y5761" s="53"/>
      <c r="Z5761" s="53"/>
      <c r="AA5761"/>
      <c r="AB5761" s="23"/>
      <c r="AF5761" s="22"/>
    </row>
    <row r="5762" spans="1:32">
      <c r="A5762" t="str">
        <f t="shared" si="1098"/>
        <v>PA_Alleg_2019p~Rep-member of council tarentum ward 2 (vote for 1)</v>
      </c>
      <c r="B5762" s="55" t="s">
        <v>1291</v>
      </c>
      <c r="C5762">
        <v>1932</v>
      </c>
      <c r="D5762" s="55" t="s">
        <v>1062</v>
      </c>
      <c r="E5762" s="55" t="s">
        <v>15</v>
      </c>
      <c r="F5762" t="s">
        <v>1117</v>
      </c>
      <c r="G5762" s="62">
        <v>9</v>
      </c>
      <c r="H5762" s="25">
        <v>100</v>
      </c>
      <c r="I5762">
        <v>537</v>
      </c>
      <c r="J5762">
        <v>85</v>
      </c>
      <c r="K5762">
        <v>1</v>
      </c>
      <c r="L5762">
        <v>1</v>
      </c>
      <c r="M5762">
        <v>0</v>
      </c>
      <c r="N5762" s="23">
        <v>0</v>
      </c>
      <c r="O5762">
        <f t="shared" ref="O5762:O5825" si="1099">IF(OR(LOWER(LEFT(E5762,8))="write-in",LOWER(LEFT(E5762,8))="not qual"),IF(A5762=A5761,-ABS(O5761),0),IF(A5762=A5761,ABS(O5761)+1,1))</f>
        <v>0</v>
      </c>
      <c r="P5762" s="57">
        <f t="shared" ref="P5762:P5825" si="1100">1*LEFT(RIGHT(A5762,2),1)</f>
        <v>1</v>
      </c>
      <c r="Q5762" s="267">
        <f t="shared" ref="Q5762:Q5825" si="1101">IF(A5762&lt;&gt;A5763,G5762,IF(A5762=A5761,G5762+Q5763,MAX(G5762,(G5762+Q5763)/P5762)))</f>
        <v>9</v>
      </c>
      <c r="R5762" s="23">
        <f t="shared" ref="R5762:R5825" si="1102">IF(O5762&gt;P5762,"",IF(O5762=P5762,G5762,IF(A5762=A5763,R5763,IF(O5762&lt;=0,1,G5762))))</f>
        <v>1</v>
      </c>
      <c r="S5762" s="23">
        <f t="shared" ref="S5762:S5825" si="1103">IF(AND(O5762&gt;P5762,LOWER(LEFT(E5762,8))&lt;&gt;"write-in",LOWER(LEFT(E5762,8))&lt;&gt;"not qual"),G5762,IF(A5762=A5763,S5763,0))</f>
        <v>0</v>
      </c>
      <c r="T5762" s="23" t="str">
        <f t="shared" ref="T5762:T5825" si="1104">IF(OR(A5762=A5761,S5762=0),"",R5762-ABS(S5762))</f>
        <v/>
      </c>
      <c r="U5762" t="str">
        <f t="shared" ref="U5762:U5825" si="1105">IF(A5762=A5761,"",A5762)</f>
        <v>PA_Alleg_2019p~Rep-member of council tarentum ward 2 (vote for 1)</v>
      </c>
      <c r="X5762" s="43"/>
      <c r="Y5762" s="53"/>
      <c r="Z5762" s="53"/>
      <c r="AA5762"/>
      <c r="AB5762" s="23"/>
      <c r="AF5762" s="22"/>
    </row>
    <row r="5763" spans="1:32">
      <c r="A5763" t="str">
        <f t="shared" ref="A5763:A5826" si="1106">CONCATENATE(B5763,"~",F5763,"-",LOWER(D5763))</f>
        <v>PA_Alleg_2019p~Rep-member of council tarentum ward 3 (vote for 1)</v>
      </c>
      <c r="B5763" s="55" t="s">
        <v>1291</v>
      </c>
      <c r="C5763">
        <v>1942</v>
      </c>
      <c r="D5763" s="55" t="s">
        <v>1078</v>
      </c>
      <c r="E5763" s="55" t="s">
        <v>15</v>
      </c>
      <c r="F5763" t="s">
        <v>1117</v>
      </c>
      <c r="G5763" s="62">
        <v>20</v>
      </c>
      <c r="H5763" s="25">
        <v>100</v>
      </c>
      <c r="I5763">
        <v>896</v>
      </c>
      <c r="J5763">
        <v>107</v>
      </c>
      <c r="K5763">
        <v>2</v>
      </c>
      <c r="L5763">
        <v>2</v>
      </c>
      <c r="M5763">
        <v>0</v>
      </c>
      <c r="N5763" s="23">
        <v>0</v>
      </c>
      <c r="O5763">
        <f t="shared" si="1099"/>
        <v>0</v>
      </c>
      <c r="P5763" s="57">
        <f t="shared" si="1100"/>
        <v>1</v>
      </c>
      <c r="Q5763" s="267">
        <f t="shared" si="1101"/>
        <v>52</v>
      </c>
      <c r="R5763" s="23">
        <f t="shared" si="1102"/>
        <v>11</v>
      </c>
      <c r="S5763" s="23">
        <f t="shared" si="1103"/>
        <v>8</v>
      </c>
      <c r="T5763" s="23">
        <f t="shared" si="1104"/>
        <v>3</v>
      </c>
      <c r="U5763" t="str">
        <f t="shared" si="1105"/>
        <v>PA_Alleg_2019p~Rep-member of council tarentum ward 3 (vote for 1)</v>
      </c>
      <c r="X5763" s="43"/>
      <c r="Y5763" s="53"/>
      <c r="Z5763" s="53"/>
      <c r="AA5763"/>
      <c r="AB5763" s="23"/>
      <c r="AF5763" s="22"/>
    </row>
    <row r="5764" spans="1:32">
      <c r="A5764" t="str">
        <f t="shared" si="1106"/>
        <v>PA_Alleg_2019p~Rep-member of council tarentum ward 3 (vote for 1)</v>
      </c>
      <c r="B5764" s="55" t="s">
        <v>1291</v>
      </c>
      <c r="C5764">
        <v>1935</v>
      </c>
      <c r="D5764" s="55" t="s">
        <v>1064</v>
      </c>
      <c r="E5764" s="55" t="s">
        <v>15</v>
      </c>
      <c r="F5764" t="s">
        <v>1117</v>
      </c>
      <c r="G5764" s="62">
        <v>13</v>
      </c>
      <c r="H5764" s="25">
        <v>40.630000000000003</v>
      </c>
      <c r="I5764">
        <v>896</v>
      </c>
      <c r="J5764">
        <v>107</v>
      </c>
      <c r="K5764">
        <v>2</v>
      </c>
      <c r="L5764">
        <v>2</v>
      </c>
      <c r="M5764">
        <v>0</v>
      </c>
      <c r="N5764" s="23">
        <v>0</v>
      </c>
      <c r="O5764">
        <f t="shared" si="1099"/>
        <v>0</v>
      </c>
      <c r="P5764" s="57">
        <f t="shared" si="1100"/>
        <v>1</v>
      </c>
      <c r="Q5764" s="267">
        <f t="shared" si="1101"/>
        <v>32</v>
      </c>
      <c r="R5764" s="23">
        <f t="shared" si="1102"/>
        <v>11</v>
      </c>
      <c r="S5764" s="23">
        <f t="shared" si="1103"/>
        <v>8</v>
      </c>
      <c r="T5764" s="23" t="str">
        <f t="shared" si="1104"/>
        <v/>
      </c>
      <c r="U5764" t="str">
        <f t="shared" si="1105"/>
        <v/>
      </c>
      <c r="X5764" s="43"/>
      <c r="Y5764" s="53"/>
      <c r="Z5764" s="53"/>
      <c r="AA5764"/>
      <c r="AB5764" s="23"/>
      <c r="AF5764" s="22"/>
    </row>
    <row r="5765" spans="1:32">
      <c r="A5765" t="str">
        <f t="shared" si="1106"/>
        <v>PA_Alleg_2019p~Rep-member of council tarentum ward 3 (vote for 1)</v>
      </c>
      <c r="B5765" s="55" t="s">
        <v>1291</v>
      </c>
      <c r="C5765">
        <v>1934</v>
      </c>
      <c r="D5765" s="55" t="s">
        <v>1064</v>
      </c>
      <c r="E5765" s="55" t="s">
        <v>1172</v>
      </c>
      <c r="F5765" t="s">
        <v>1117</v>
      </c>
      <c r="G5765" s="62">
        <v>11</v>
      </c>
      <c r="H5765" s="25">
        <v>34.380000000000003</v>
      </c>
      <c r="I5765">
        <v>896</v>
      </c>
      <c r="J5765">
        <v>107</v>
      </c>
      <c r="K5765">
        <v>2</v>
      </c>
      <c r="L5765">
        <v>2</v>
      </c>
      <c r="M5765">
        <v>0</v>
      </c>
      <c r="N5765" s="23">
        <v>0</v>
      </c>
      <c r="O5765">
        <f t="shared" si="1099"/>
        <v>1</v>
      </c>
      <c r="P5765" s="57">
        <f t="shared" si="1100"/>
        <v>1</v>
      </c>
      <c r="Q5765" s="267">
        <f t="shared" si="1101"/>
        <v>19</v>
      </c>
      <c r="R5765" s="23">
        <f t="shared" si="1102"/>
        <v>11</v>
      </c>
      <c r="S5765" s="23">
        <f t="shared" si="1103"/>
        <v>8</v>
      </c>
      <c r="T5765" s="23" t="str">
        <f t="shared" si="1104"/>
        <v/>
      </c>
      <c r="U5765" t="str">
        <f t="shared" si="1105"/>
        <v/>
      </c>
      <c r="X5765" s="43"/>
      <c r="Y5765" s="53"/>
      <c r="Z5765" s="53"/>
      <c r="AA5765"/>
      <c r="AB5765" s="23"/>
      <c r="AF5765" s="22"/>
    </row>
    <row r="5766" spans="1:32">
      <c r="A5766" t="str">
        <f t="shared" si="1106"/>
        <v>PA_Alleg_2019p~Rep-member of council tarentum ward 3 (vote for 1)</v>
      </c>
      <c r="B5766" s="55" t="s">
        <v>1291</v>
      </c>
      <c r="C5766">
        <v>1933</v>
      </c>
      <c r="D5766" s="55" t="s">
        <v>1064</v>
      </c>
      <c r="E5766" s="55" t="s">
        <v>1173</v>
      </c>
      <c r="F5766" t="s">
        <v>1117</v>
      </c>
      <c r="G5766" s="62">
        <v>8</v>
      </c>
      <c r="H5766" s="25">
        <v>25</v>
      </c>
      <c r="I5766">
        <v>896</v>
      </c>
      <c r="J5766">
        <v>107</v>
      </c>
      <c r="K5766">
        <v>2</v>
      </c>
      <c r="L5766">
        <v>2</v>
      </c>
      <c r="M5766">
        <v>0</v>
      </c>
      <c r="N5766" s="23">
        <v>0</v>
      </c>
      <c r="O5766">
        <f t="shared" si="1099"/>
        <v>2</v>
      </c>
      <c r="P5766" s="57">
        <f t="shared" si="1100"/>
        <v>1</v>
      </c>
      <c r="Q5766" s="267">
        <f t="shared" si="1101"/>
        <v>8</v>
      </c>
      <c r="R5766" s="23" t="str">
        <f t="shared" si="1102"/>
        <v/>
      </c>
      <c r="S5766" s="23">
        <f t="shared" si="1103"/>
        <v>8</v>
      </c>
      <c r="T5766" s="23" t="str">
        <f t="shared" si="1104"/>
        <v/>
      </c>
      <c r="U5766" t="str">
        <f t="shared" si="1105"/>
        <v/>
      </c>
      <c r="X5766" s="43"/>
      <c r="Y5766" s="53"/>
      <c r="Z5766" s="53"/>
      <c r="AA5766"/>
      <c r="AB5766" s="23"/>
      <c r="AF5766" s="22"/>
    </row>
    <row r="5767" spans="1:32">
      <c r="A5767" t="str">
        <f t="shared" si="1106"/>
        <v>PA_Alleg_2019p~Rep-member of council thornburg (vote for 3)</v>
      </c>
      <c r="B5767" s="55" t="s">
        <v>1291</v>
      </c>
      <c r="C5767">
        <v>1796</v>
      </c>
      <c r="D5767" s="55" t="s">
        <v>846</v>
      </c>
      <c r="E5767" s="55" t="s">
        <v>1221</v>
      </c>
      <c r="F5767" t="s">
        <v>1117</v>
      </c>
      <c r="G5767" s="62">
        <v>20</v>
      </c>
      <c r="H5767" s="25">
        <v>62.5</v>
      </c>
      <c r="I5767">
        <v>440</v>
      </c>
      <c r="J5767">
        <v>93</v>
      </c>
      <c r="K5767">
        <v>1</v>
      </c>
      <c r="L5767">
        <v>1</v>
      </c>
      <c r="M5767">
        <v>0</v>
      </c>
      <c r="N5767" s="23">
        <v>0</v>
      </c>
      <c r="O5767">
        <f t="shared" si="1099"/>
        <v>1</v>
      </c>
      <c r="P5767" s="57">
        <f t="shared" si="1100"/>
        <v>3</v>
      </c>
      <c r="Q5767" s="267">
        <f t="shared" si="1101"/>
        <v>20</v>
      </c>
      <c r="R5767" s="23">
        <f t="shared" si="1102"/>
        <v>1</v>
      </c>
      <c r="S5767" s="23">
        <f t="shared" si="1103"/>
        <v>0</v>
      </c>
      <c r="T5767" s="23" t="str">
        <f t="shared" si="1104"/>
        <v/>
      </c>
      <c r="U5767" t="str">
        <f t="shared" si="1105"/>
        <v>PA_Alleg_2019p~Rep-member of council thornburg (vote for 3)</v>
      </c>
      <c r="X5767" s="43"/>
      <c r="Y5767" s="53"/>
      <c r="Z5767" s="53"/>
      <c r="AA5767"/>
      <c r="AB5767" s="23"/>
      <c r="AF5767" s="22"/>
    </row>
    <row r="5768" spans="1:32">
      <c r="A5768" t="str">
        <f t="shared" si="1106"/>
        <v>PA_Alleg_2019p~Rep-member of council thornburg (vote for 3)</v>
      </c>
      <c r="B5768" s="55" t="s">
        <v>1291</v>
      </c>
      <c r="C5768">
        <v>1797</v>
      </c>
      <c r="D5768" s="55" t="s">
        <v>846</v>
      </c>
      <c r="E5768" s="55" t="s">
        <v>15</v>
      </c>
      <c r="F5768" t="s">
        <v>1117</v>
      </c>
      <c r="G5768" s="62">
        <v>12</v>
      </c>
      <c r="H5768" s="25">
        <v>37.5</v>
      </c>
      <c r="I5768">
        <v>440</v>
      </c>
      <c r="J5768">
        <v>93</v>
      </c>
      <c r="K5768">
        <v>1</v>
      </c>
      <c r="L5768">
        <v>1</v>
      </c>
      <c r="M5768">
        <v>0</v>
      </c>
      <c r="N5768" s="23">
        <v>0</v>
      </c>
      <c r="O5768">
        <f t="shared" si="1099"/>
        <v>-1</v>
      </c>
      <c r="P5768" s="57">
        <f t="shared" si="1100"/>
        <v>3</v>
      </c>
      <c r="Q5768" s="267">
        <f t="shared" si="1101"/>
        <v>12</v>
      </c>
      <c r="R5768" s="23">
        <f t="shared" si="1102"/>
        <v>1</v>
      </c>
      <c r="S5768" s="23">
        <f t="shared" si="1103"/>
        <v>0</v>
      </c>
      <c r="T5768" s="23" t="str">
        <f t="shared" si="1104"/>
        <v/>
      </c>
      <c r="U5768" t="str">
        <f t="shared" si="1105"/>
        <v/>
      </c>
      <c r="X5768" s="43"/>
      <c r="Y5768" s="53"/>
      <c r="Z5768" s="53"/>
      <c r="AA5768"/>
      <c r="AB5768" s="23"/>
      <c r="AF5768" s="293"/>
    </row>
    <row r="5769" spans="1:32">
      <c r="A5769" t="str">
        <f t="shared" si="1106"/>
        <v>PA_Alleg_2019p~Rep-member of council trafford (vote for 3)</v>
      </c>
      <c r="B5769" s="55" t="s">
        <v>1291</v>
      </c>
      <c r="C5769">
        <v>1799</v>
      </c>
      <c r="D5769" s="55" t="s">
        <v>847</v>
      </c>
      <c r="E5769" s="55" t="s">
        <v>15</v>
      </c>
      <c r="F5769" t="s">
        <v>1117</v>
      </c>
      <c r="G5769" s="62">
        <v>1</v>
      </c>
      <c r="H5769" s="25">
        <v>100</v>
      </c>
      <c r="I5769">
        <v>55</v>
      </c>
      <c r="J5769">
        <v>6</v>
      </c>
      <c r="K5769">
        <v>1</v>
      </c>
      <c r="L5769">
        <v>1</v>
      </c>
      <c r="M5769">
        <v>0</v>
      </c>
      <c r="N5769" s="23">
        <v>0</v>
      </c>
      <c r="O5769">
        <f t="shared" si="1099"/>
        <v>0</v>
      </c>
      <c r="P5769" s="57">
        <f t="shared" si="1100"/>
        <v>3</v>
      </c>
      <c r="Q5769" s="267">
        <f t="shared" si="1101"/>
        <v>1</v>
      </c>
      <c r="R5769" s="23">
        <f t="shared" si="1102"/>
        <v>0</v>
      </c>
      <c r="S5769" s="23">
        <f t="shared" si="1103"/>
        <v>0</v>
      </c>
      <c r="T5769" s="23" t="str">
        <f t="shared" si="1104"/>
        <v/>
      </c>
      <c r="U5769" t="str">
        <f t="shared" si="1105"/>
        <v>PA_Alleg_2019p~Rep-member of council trafford (vote for 3)</v>
      </c>
      <c r="X5769" s="43"/>
      <c r="Y5769" s="53"/>
      <c r="Z5769" s="53"/>
      <c r="AA5769"/>
      <c r="AB5769" s="23"/>
      <c r="AF5769" s="22"/>
    </row>
    <row r="5770" spans="1:32">
      <c r="A5770" t="str">
        <f t="shared" si="1106"/>
        <v>PA_Alleg_2019p~Rep-member of council trafford (vote for 3)</v>
      </c>
      <c r="B5770" s="55" t="s">
        <v>1291</v>
      </c>
      <c r="C5770">
        <v>1798</v>
      </c>
      <c r="D5770" s="55" t="s">
        <v>847</v>
      </c>
      <c r="E5770" s="55" t="s">
        <v>1222</v>
      </c>
      <c r="F5770" t="s">
        <v>1117</v>
      </c>
      <c r="G5770" s="62">
        <v>0</v>
      </c>
      <c r="H5770" s="25">
        <v>0</v>
      </c>
      <c r="I5770">
        <v>55</v>
      </c>
      <c r="J5770">
        <v>6</v>
      </c>
      <c r="K5770">
        <v>1</v>
      </c>
      <c r="L5770">
        <v>1</v>
      </c>
      <c r="M5770">
        <v>0</v>
      </c>
      <c r="N5770" s="23">
        <v>0</v>
      </c>
      <c r="O5770">
        <f t="shared" si="1099"/>
        <v>1</v>
      </c>
      <c r="P5770" s="57">
        <f t="shared" si="1100"/>
        <v>3</v>
      </c>
      <c r="Q5770" s="267">
        <f t="shared" si="1101"/>
        <v>0</v>
      </c>
      <c r="R5770" s="23">
        <f t="shared" si="1102"/>
        <v>0</v>
      </c>
      <c r="S5770" s="23">
        <f t="shared" si="1103"/>
        <v>0</v>
      </c>
      <c r="T5770" s="23" t="str">
        <f t="shared" si="1104"/>
        <v/>
      </c>
      <c r="U5770" t="str">
        <f t="shared" si="1105"/>
        <v/>
      </c>
      <c r="X5770" s="43"/>
      <c r="Y5770" s="53"/>
      <c r="Z5770" s="53"/>
      <c r="AA5770"/>
      <c r="AB5770" s="23"/>
      <c r="AF5770" s="22"/>
    </row>
    <row r="5771" spans="1:32">
      <c r="A5771" t="str">
        <f t="shared" si="1106"/>
        <v>PA_Alleg_2019p~Rep-member of council turtle creek ward 1 (vote for 2)</v>
      </c>
      <c r="B5771" s="55" t="s">
        <v>1291</v>
      </c>
      <c r="C5771">
        <v>1866</v>
      </c>
      <c r="D5771" s="55" t="s">
        <v>961</v>
      </c>
      <c r="E5771" s="55" t="s">
        <v>15</v>
      </c>
      <c r="F5771" t="s">
        <v>1117</v>
      </c>
      <c r="G5771" s="62">
        <v>3</v>
      </c>
      <c r="H5771" s="25">
        <v>100</v>
      </c>
      <c r="I5771">
        <v>1284</v>
      </c>
      <c r="J5771">
        <v>166</v>
      </c>
      <c r="K5771">
        <v>2</v>
      </c>
      <c r="L5771">
        <v>2</v>
      </c>
      <c r="M5771">
        <v>0</v>
      </c>
      <c r="N5771" s="23">
        <v>0</v>
      </c>
      <c r="O5771">
        <f t="shared" si="1099"/>
        <v>0</v>
      </c>
      <c r="P5771" s="57">
        <f t="shared" si="1100"/>
        <v>2</v>
      </c>
      <c r="Q5771" s="267">
        <f t="shared" si="1101"/>
        <v>3</v>
      </c>
      <c r="R5771" s="23">
        <f t="shared" si="1102"/>
        <v>1</v>
      </c>
      <c r="S5771" s="23">
        <f t="shared" si="1103"/>
        <v>0</v>
      </c>
      <c r="T5771" s="23" t="str">
        <f t="shared" si="1104"/>
        <v/>
      </c>
      <c r="U5771" t="str">
        <f t="shared" si="1105"/>
        <v>PA_Alleg_2019p~Rep-member of council turtle creek ward 1 (vote for 2)</v>
      </c>
      <c r="X5771" s="43"/>
      <c r="Y5771" s="53"/>
      <c r="Z5771" s="53"/>
      <c r="AA5771"/>
      <c r="AB5771" s="23"/>
      <c r="AF5771" s="293"/>
    </row>
    <row r="5772" spans="1:32">
      <c r="A5772" t="str">
        <f t="shared" si="1106"/>
        <v>PA_Alleg_2019p~Rep-member of council turtle creek ward 2 (vote for 2)</v>
      </c>
      <c r="B5772" s="55" t="s">
        <v>1291</v>
      </c>
      <c r="C5772">
        <v>1867</v>
      </c>
      <c r="D5772" s="55" t="s">
        <v>964</v>
      </c>
      <c r="E5772" s="55" t="s">
        <v>15</v>
      </c>
      <c r="F5772" t="s">
        <v>1117</v>
      </c>
      <c r="G5772" s="62">
        <v>1</v>
      </c>
      <c r="H5772" s="25">
        <v>100</v>
      </c>
      <c r="I5772">
        <v>1049</v>
      </c>
      <c r="J5772">
        <v>103</v>
      </c>
      <c r="K5772">
        <v>2</v>
      </c>
      <c r="L5772">
        <v>2</v>
      </c>
      <c r="M5772">
        <v>0</v>
      </c>
      <c r="N5772" s="23">
        <v>0</v>
      </c>
      <c r="O5772">
        <f t="shared" si="1099"/>
        <v>0</v>
      </c>
      <c r="P5772" s="57">
        <f t="shared" si="1100"/>
        <v>2</v>
      </c>
      <c r="Q5772" s="267">
        <f t="shared" si="1101"/>
        <v>1</v>
      </c>
      <c r="R5772" s="23">
        <f t="shared" si="1102"/>
        <v>1</v>
      </c>
      <c r="S5772" s="23">
        <f t="shared" si="1103"/>
        <v>0</v>
      </c>
      <c r="T5772" s="23" t="str">
        <f t="shared" si="1104"/>
        <v/>
      </c>
      <c r="U5772" t="str">
        <f t="shared" si="1105"/>
        <v>PA_Alleg_2019p~Rep-member of council turtle creek ward 2 (vote for 2)</v>
      </c>
      <c r="X5772" s="43"/>
      <c r="Y5772" s="53"/>
      <c r="Z5772" s="53"/>
      <c r="AA5772"/>
      <c r="AB5772" s="23"/>
      <c r="AF5772" s="22"/>
    </row>
    <row r="5773" spans="1:32">
      <c r="A5773" t="str">
        <f t="shared" si="1106"/>
        <v>PA_Alleg_2019p~Rep-member of council turtle creek ward 3 (vote for 1)</v>
      </c>
      <c r="B5773" s="55" t="s">
        <v>1291</v>
      </c>
      <c r="C5773">
        <v>1936</v>
      </c>
      <c r="D5773" s="55" t="s">
        <v>1065</v>
      </c>
      <c r="E5773" s="55" t="s">
        <v>15</v>
      </c>
      <c r="F5773" t="s">
        <v>1117</v>
      </c>
      <c r="G5773" s="62">
        <v>0</v>
      </c>
      <c r="H5773" s="25">
        <v>0</v>
      </c>
      <c r="I5773">
        <v>1086</v>
      </c>
      <c r="J5773">
        <v>152</v>
      </c>
      <c r="K5773">
        <v>2</v>
      </c>
      <c r="L5773">
        <v>2</v>
      </c>
      <c r="M5773">
        <v>0</v>
      </c>
      <c r="N5773" s="23">
        <v>0</v>
      </c>
      <c r="O5773">
        <f t="shared" si="1099"/>
        <v>0</v>
      </c>
      <c r="P5773" s="57">
        <f t="shared" si="1100"/>
        <v>1</v>
      </c>
      <c r="Q5773" s="267">
        <f t="shared" si="1101"/>
        <v>0</v>
      </c>
      <c r="R5773" s="23">
        <f t="shared" si="1102"/>
        <v>1</v>
      </c>
      <c r="S5773" s="23">
        <f t="shared" si="1103"/>
        <v>0</v>
      </c>
      <c r="T5773" s="23" t="str">
        <f t="shared" si="1104"/>
        <v/>
      </c>
      <c r="U5773" t="str">
        <f t="shared" si="1105"/>
        <v>PA_Alleg_2019p~Rep-member of council turtle creek ward 3 (vote for 1)</v>
      </c>
      <c r="X5773" s="43"/>
      <c r="Y5773" s="53"/>
      <c r="Z5773" s="53"/>
      <c r="AA5773"/>
      <c r="AB5773" s="23"/>
      <c r="AF5773" s="22"/>
    </row>
    <row r="5774" spans="1:32">
      <c r="A5774" t="str">
        <f t="shared" si="1106"/>
        <v>PA_Alleg_2019p~Rep-member of council verona (vote for 3)</v>
      </c>
      <c r="B5774" s="55" t="s">
        <v>1291</v>
      </c>
      <c r="C5774">
        <v>1800</v>
      </c>
      <c r="D5774" s="55" t="s">
        <v>849</v>
      </c>
      <c r="E5774" s="55" t="s">
        <v>15</v>
      </c>
      <c r="F5774" t="s">
        <v>1117</v>
      </c>
      <c r="G5774" s="62">
        <v>111</v>
      </c>
      <c r="H5774" s="25">
        <v>100</v>
      </c>
      <c r="I5774">
        <v>1708</v>
      </c>
      <c r="J5774">
        <v>424</v>
      </c>
      <c r="K5774">
        <v>3</v>
      </c>
      <c r="L5774">
        <v>3</v>
      </c>
      <c r="M5774">
        <v>0</v>
      </c>
      <c r="N5774" s="23">
        <v>0</v>
      </c>
      <c r="O5774">
        <f t="shared" si="1099"/>
        <v>0</v>
      </c>
      <c r="P5774" s="57">
        <f t="shared" si="1100"/>
        <v>3</v>
      </c>
      <c r="Q5774" s="267">
        <f t="shared" si="1101"/>
        <v>111</v>
      </c>
      <c r="R5774" s="23">
        <f t="shared" si="1102"/>
        <v>1</v>
      </c>
      <c r="S5774" s="23">
        <f t="shared" si="1103"/>
        <v>0</v>
      </c>
      <c r="T5774" s="23" t="str">
        <f t="shared" si="1104"/>
        <v/>
      </c>
      <c r="U5774" t="str">
        <f t="shared" si="1105"/>
        <v>PA_Alleg_2019p~Rep-member of council verona (vote for 3)</v>
      </c>
      <c r="X5774" s="43"/>
      <c r="Y5774" s="53"/>
      <c r="Z5774" s="53"/>
      <c r="AA5774"/>
      <c r="AB5774" s="23"/>
      <c r="AF5774" s="22"/>
    </row>
    <row r="5775" spans="1:32">
      <c r="A5775" t="str">
        <f t="shared" si="1106"/>
        <v>PA_Alleg_2019p~Rep-member of council versailles (vote for 3)</v>
      </c>
      <c r="B5775" s="55" t="s">
        <v>1291</v>
      </c>
      <c r="C5775">
        <v>1801</v>
      </c>
      <c r="D5775" s="55" t="s">
        <v>855</v>
      </c>
      <c r="E5775" s="55" t="s">
        <v>15</v>
      </c>
      <c r="F5775" t="s">
        <v>1117</v>
      </c>
      <c r="G5775" s="62">
        <v>15</v>
      </c>
      <c r="H5775" s="25">
        <v>100</v>
      </c>
      <c r="I5775">
        <v>1046</v>
      </c>
      <c r="J5775">
        <v>167</v>
      </c>
      <c r="K5775">
        <v>2</v>
      </c>
      <c r="L5775">
        <v>2</v>
      </c>
      <c r="M5775">
        <v>0</v>
      </c>
      <c r="N5775" s="23">
        <v>0</v>
      </c>
      <c r="O5775">
        <f t="shared" si="1099"/>
        <v>0</v>
      </c>
      <c r="P5775" s="57">
        <f t="shared" si="1100"/>
        <v>3</v>
      </c>
      <c r="Q5775" s="267">
        <f t="shared" si="1101"/>
        <v>15</v>
      </c>
      <c r="R5775" s="23">
        <f t="shared" si="1102"/>
        <v>1</v>
      </c>
      <c r="S5775" s="23">
        <f t="shared" si="1103"/>
        <v>0</v>
      </c>
      <c r="T5775" s="23" t="str">
        <f t="shared" si="1104"/>
        <v/>
      </c>
      <c r="U5775" t="str">
        <f t="shared" si="1105"/>
        <v>PA_Alleg_2019p~Rep-member of council versailles (vote for 3)</v>
      </c>
      <c r="X5775" s="43"/>
      <c r="Y5775" s="53"/>
      <c r="Z5775" s="53"/>
      <c r="AA5775"/>
      <c r="AB5775" s="23"/>
      <c r="AF5775" s="22"/>
    </row>
    <row r="5776" spans="1:32">
      <c r="A5776" t="str">
        <f t="shared" si="1106"/>
        <v>PA_Alleg_2019p~Rep-member of council wall (vote for 2)</v>
      </c>
      <c r="B5776" s="55" t="s">
        <v>1291</v>
      </c>
      <c r="C5776">
        <v>1828</v>
      </c>
      <c r="D5776" s="55" t="s">
        <v>907</v>
      </c>
      <c r="E5776" s="55" t="s">
        <v>15</v>
      </c>
      <c r="F5776" t="s">
        <v>1117</v>
      </c>
      <c r="G5776" s="62">
        <v>2</v>
      </c>
      <c r="H5776" s="25">
        <v>100</v>
      </c>
      <c r="I5776">
        <v>330</v>
      </c>
      <c r="J5776">
        <v>33</v>
      </c>
      <c r="K5776">
        <v>1</v>
      </c>
      <c r="L5776">
        <v>1</v>
      </c>
      <c r="M5776">
        <v>0</v>
      </c>
      <c r="N5776" s="23">
        <v>0</v>
      </c>
      <c r="O5776">
        <f t="shared" si="1099"/>
        <v>0</v>
      </c>
      <c r="P5776" s="57">
        <f t="shared" si="1100"/>
        <v>2</v>
      </c>
      <c r="Q5776" s="267">
        <f t="shared" si="1101"/>
        <v>2</v>
      </c>
      <c r="R5776" s="23">
        <f t="shared" si="1102"/>
        <v>1</v>
      </c>
      <c r="S5776" s="23">
        <f t="shared" si="1103"/>
        <v>0</v>
      </c>
      <c r="T5776" s="23" t="str">
        <f t="shared" si="1104"/>
        <v/>
      </c>
      <c r="U5776" t="str">
        <f t="shared" si="1105"/>
        <v>PA_Alleg_2019p~Rep-member of council wall (vote for 2)</v>
      </c>
      <c r="X5776" s="43"/>
      <c r="Y5776" s="53"/>
      <c r="Z5776" s="53"/>
      <c r="AA5776"/>
      <c r="AB5776" s="23"/>
      <c r="AF5776" s="22"/>
    </row>
    <row r="5777" spans="1:32">
      <c r="A5777" t="str">
        <f t="shared" si="1106"/>
        <v>PA_Alleg_2019p~Rep-member of council west elizabeth (vote for 3)</v>
      </c>
      <c r="B5777" s="55" t="s">
        <v>1291</v>
      </c>
      <c r="C5777">
        <v>1803</v>
      </c>
      <c r="D5777" s="55" t="s">
        <v>858</v>
      </c>
      <c r="E5777" s="55" t="s">
        <v>15</v>
      </c>
      <c r="F5777" t="s">
        <v>1117</v>
      </c>
      <c r="G5777" s="62">
        <v>10</v>
      </c>
      <c r="H5777" s="25">
        <v>52.63</v>
      </c>
      <c r="I5777">
        <v>274</v>
      </c>
      <c r="J5777">
        <v>50</v>
      </c>
      <c r="K5777">
        <v>1</v>
      </c>
      <c r="L5777">
        <v>1</v>
      </c>
      <c r="M5777">
        <v>0</v>
      </c>
      <c r="N5777" s="23">
        <v>0</v>
      </c>
      <c r="O5777">
        <f t="shared" si="1099"/>
        <v>0</v>
      </c>
      <c r="P5777" s="57">
        <f t="shared" si="1100"/>
        <v>3</v>
      </c>
      <c r="Q5777" s="267">
        <f t="shared" si="1101"/>
        <v>10</v>
      </c>
      <c r="R5777" s="23">
        <f t="shared" si="1102"/>
        <v>9</v>
      </c>
      <c r="S5777" s="23">
        <f t="shared" si="1103"/>
        <v>0</v>
      </c>
      <c r="T5777" s="23" t="str">
        <f t="shared" si="1104"/>
        <v/>
      </c>
      <c r="U5777" t="str">
        <f t="shared" si="1105"/>
        <v>PA_Alleg_2019p~Rep-member of council west elizabeth (vote for 3)</v>
      </c>
      <c r="X5777" s="43"/>
      <c r="Y5777" s="53"/>
      <c r="Z5777" s="53"/>
      <c r="AA5777"/>
      <c r="AB5777" s="23"/>
      <c r="AF5777" s="22"/>
    </row>
    <row r="5778" spans="1:32">
      <c r="A5778" t="str">
        <f t="shared" si="1106"/>
        <v>PA_Alleg_2019p~Rep-member of council west elizabeth (vote for 3)</v>
      </c>
      <c r="B5778" s="55" t="s">
        <v>1291</v>
      </c>
      <c r="C5778">
        <v>1802</v>
      </c>
      <c r="D5778" s="55" t="s">
        <v>858</v>
      </c>
      <c r="E5778" s="55" t="s">
        <v>1223</v>
      </c>
      <c r="F5778" t="s">
        <v>1117</v>
      </c>
      <c r="G5778" s="62">
        <v>9</v>
      </c>
      <c r="H5778" s="25">
        <v>47.37</v>
      </c>
      <c r="I5778">
        <v>274</v>
      </c>
      <c r="J5778">
        <v>50</v>
      </c>
      <c r="K5778">
        <v>1</v>
      </c>
      <c r="L5778">
        <v>1</v>
      </c>
      <c r="M5778">
        <v>0</v>
      </c>
      <c r="N5778" s="23">
        <v>0</v>
      </c>
      <c r="O5778">
        <f t="shared" si="1099"/>
        <v>1</v>
      </c>
      <c r="P5778" s="57">
        <f t="shared" si="1100"/>
        <v>3</v>
      </c>
      <c r="Q5778" s="267">
        <f t="shared" si="1101"/>
        <v>9</v>
      </c>
      <c r="R5778" s="23">
        <f t="shared" si="1102"/>
        <v>9</v>
      </c>
      <c r="S5778" s="23">
        <f t="shared" si="1103"/>
        <v>0</v>
      </c>
      <c r="T5778" s="23" t="str">
        <f t="shared" si="1104"/>
        <v/>
      </c>
      <c r="U5778" t="str">
        <f t="shared" si="1105"/>
        <v/>
      </c>
      <c r="X5778" s="43"/>
      <c r="Y5778" s="53"/>
      <c r="Z5778" s="53"/>
      <c r="AA5778"/>
      <c r="AB5778" s="23"/>
      <c r="AF5778" s="22"/>
    </row>
    <row r="5779" spans="1:32">
      <c r="A5779" t="str">
        <f t="shared" si="1106"/>
        <v>PA_Alleg_2019p~Rep-member of council west homestead (vote for 3)</v>
      </c>
      <c r="B5779" s="55" t="s">
        <v>1291</v>
      </c>
      <c r="C5779">
        <v>1804</v>
      </c>
      <c r="D5779" s="55" t="s">
        <v>859</v>
      </c>
      <c r="E5779" s="55" t="s">
        <v>15</v>
      </c>
      <c r="F5779" t="s">
        <v>1117</v>
      </c>
      <c r="G5779" s="62">
        <v>134</v>
      </c>
      <c r="H5779" s="25">
        <v>100</v>
      </c>
      <c r="I5779">
        <v>1499</v>
      </c>
      <c r="J5779">
        <v>450</v>
      </c>
      <c r="K5779">
        <v>3</v>
      </c>
      <c r="L5779">
        <v>3</v>
      </c>
      <c r="M5779">
        <v>0</v>
      </c>
      <c r="N5779" s="23">
        <v>0</v>
      </c>
      <c r="O5779">
        <f t="shared" si="1099"/>
        <v>0</v>
      </c>
      <c r="P5779" s="57">
        <f t="shared" si="1100"/>
        <v>3</v>
      </c>
      <c r="Q5779" s="267">
        <f t="shared" si="1101"/>
        <v>134</v>
      </c>
      <c r="R5779" s="23">
        <f t="shared" si="1102"/>
        <v>1</v>
      </c>
      <c r="S5779" s="23">
        <f t="shared" si="1103"/>
        <v>0</v>
      </c>
      <c r="T5779" s="23" t="str">
        <f t="shared" si="1104"/>
        <v/>
      </c>
      <c r="U5779" t="str">
        <f t="shared" si="1105"/>
        <v>PA_Alleg_2019p~Rep-member of council west homestead (vote for 3)</v>
      </c>
      <c r="X5779" s="43"/>
      <c r="Y5779" s="53"/>
      <c r="Z5779" s="53"/>
      <c r="AA5779"/>
      <c r="AB5779" s="23"/>
      <c r="AF5779" s="22"/>
    </row>
    <row r="5780" spans="1:32">
      <c r="A5780" t="str">
        <f t="shared" si="1106"/>
        <v>PA_Alleg_2019p~Rep-member of council west mifflin (vote for 3)</v>
      </c>
      <c r="B5780" s="55" t="s">
        <v>1291</v>
      </c>
      <c r="C5780">
        <v>1805</v>
      </c>
      <c r="D5780" s="55" t="s">
        <v>865</v>
      </c>
      <c r="E5780" s="55" t="s">
        <v>15</v>
      </c>
      <c r="F5780" t="s">
        <v>1117</v>
      </c>
      <c r="G5780" s="62">
        <v>190</v>
      </c>
      <c r="H5780" s="25">
        <v>100</v>
      </c>
      <c r="I5780">
        <v>14221</v>
      </c>
      <c r="J5780">
        <v>3101</v>
      </c>
      <c r="K5780">
        <v>21</v>
      </c>
      <c r="L5780">
        <v>21</v>
      </c>
      <c r="M5780">
        <v>0</v>
      </c>
      <c r="N5780" s="23">
        <v>0</v>
      </c>
      <c r="O5780">
        <f t="shared" si="1099"/>
        <v>0</v>
      </c>
      <c r="P5780" s="57">
        <f t="shared" si="1100"/>
        <v>3</v>
      </c>
      <c r="Q5780" s="267">
        <f t="shared" si="1101"/>
        <v>190</v>
      </c>
      <c r="R5780" s="23">
        <f t="shared" si="1102"/>
        <v>1</v>
      </c>
      <c r="S5780" s="23">
        <f t="shared" si="1103"/>
        <v>0</v>
      </c>
      <c r="T5780" s="23" t="str">
        <f t="shared" si="1104"/>
        <v/>
      </c>
      <c r="U5780" t="str">
        <f t="shared" si="1105"/>
        <v>PA_Alleg_2019p~Rep-member of council west mifflin (vote for 3)</v>
      </c>
      <c r="X5780" s="43"/>
      <c r="Y5780" s="53"/>
      <c r="Z5780" s="53"/>
      <c r="AA5780"/>
      <c r="AB5780" s="23"/>
      <c r="AF5780" s="22"/>
    </row>
    <row r="5781" spans="1:32">
      <c r="A5781" t="str">
        <f t="shared" si="1106"/>
        <v>PA_Alleg_2019p~Rep-member of council west view (vote for 3)</v>
      </c>
      <c r="B5781" s="55" t="s">
        <v>1291</v>
      </c>
      <c r="C5781">
        <v>1806</v>
      </c>
      <c r="D5781" s="55" t="s">
        <v>871</v>
      </c>
      <c r="E5781" s="55" t="s">
        <v>15</v>
      </c>
      <c r="F5781" t="s">
        <v>1117</v>
      </c>
      <c r="G5781" s="62">
        <v>27</v>
      </c>
      <c r="H5781" s="25">
        <v>100</v>
      </c>
      <c r="I5781">
        <v>4787</v>
      </c>
      <c r="J5781">
        <v>769</v>
      </c>
      <c r="K5781">
        <v>7</v>
      </c>
      <c r="L5781">
        <v>7</v>
      </c>
      <c r="M5781">
        <v>0</v>
      </c>
      <c r="N5781" s="23">
        <v>0</v>
      </c>
      <c r="O5781">
        <f t="shared" si="1099"/>
        <v>0</v>
      </c>
      <c r="P5781" s="57">
        <f t="shared" si="1100"/>
        <v>3</v>
      </c>
      <c r="Q5781" s="267">
        <f t="shared" si="1101"/>
        <v>27</v>
      </c>
      <c r="R5781" s="23">
        <f t="shared" si="1102"/>
        <v>1</v>
      </c>
      <c r="S5781" s="23">
        <f t="shared" si="1103"/>
        <v>0</v>
      </c>
      <c r="T5781" s="23" t="str">
        <f t="shared" si="1104"/>
        <v/>
      </c>
      <c r="U5781" t="str">
        <f t="shared" si="1105"/>
        <v>PA_Alleg_2019p~Rep-member of council west view (vote for 3)</v>
      </c>
      <c r="X5781" s="43"/>
      <c r="Y5781" s="53"/>
      <c r="Z5781" s="53"/>
      <c r="AA5781"/>
      <c r="AB5781" s="23"/>
      <c r="AF5781" s="22"/>
    </row>
    <row r="5782" spans="1:32">
      <c r="A5782" t="str">
        <f t="shared" si="1106"/>
        <v>PA_Alleg_2019p~Rep-member of council whitaker (vote for 1)</v>
      </c>
      <c r="B5782" s="55" t="s">
        <v>1291</v>
      </c>
      <c r="C5782">
        <v>1855</v>
      </c>
      <c r="D5782" s="55" t="s">
        <v>936</v>
      </c>
      <c r="E5782" s="55" t="s">
        <v>15</v>
      </c>
      <c r="F5782" t="s">
        <v>1117</v>
      </c>
      <c r="G5782" s="62">
        <v>9</v>
      </c>
      <c r="H5782" s="25">
        <v>100</v>
      </c>
      <c r="I5782">
        <v>827</v>
      </c>
      <c r="J5782">
        <v>162</v>
      </c>
      <c r="K5782">
        <v>2</v>
      </c>
      <c r="L5782">
        <v>2</v>
      </c>
      <c r="M5782">
        <v>0</v>
      </c>
      <c r="N5782" s="23">
        <v>0</v>
      </c>
      <c r="O5782">
        <f t="shared" si="1099"/>
        <v>0</v>
      </c>
      <c r="P5782" s="57">
        <f t="shared" si="1100"/>
        <v>1</v>
      </c>
      <c r="Q5782" s="267">
        <f t="shared" si="1101"/>
        <v>9</v>
      </c>
      <c r="R5782" s="23">
        <f t="shared" si="1102"/>
        <v>1</v>
      </c>
      <c r="S5782" s="23">
        <f t="shared" si="1103"/>
        <v>0</v>
      </c>
      <c r="T5782" s="23" t="str">
        <f t="shared" si="1104"/>
        <v/>
      </c>
      <c r="U5782" t="str">
        <f t="shared" si="1105"/>
        <v>PA_Alleg_2019p~Rep-member of council whitaker (vote for 1)</v>
      </c>
      <c r="X5782" s="43"/>
      <c r="Y5782" s="53"/>
      <c r="Z5782" s="53"/>
      <c r="AA5782"/>
      <c r="AB5782" s="23"/>
      <c r="AF5782" s="22"/>
    </row>
    <row r="5783" spans="1:32">
      <c r="A5783" t="str">
        <f t="shared" si="1106"/>
        <v>PA_Alleg_2019p~Rep-member of council whitaker (vote for 3)</v>
      </c>
      <c r="B5783" s="55" t="s">
        <v>1291</v>
      </c>
      <c r="C5783">
        <v>1807</v>
      </c>
      <c r="D5783" s="55" t="s">
        <v>875</v>
      </c>
      <c r="E5783" s="55" t="s">
        <v>15</v>
      </c>
      <c r="F5783" t="s">
        <v>1117</v>
      </c>
      <c r="G5783" s="62">
        <v>28</v>
      </c>
      <c r="H5783" s="25">
        <v>100</v>
      </c>
      <c r="I5783">
        <v>827</v>
      </c>
      <c r="J5783">
        <v>162</v>
      </c>
      <c r="K5783">
        <v>2</v>
      </c>
      <c r="L5783">
        <v>2</v>
      </c>
      <c r="M5783">
        <v>0</v>
      </c>
      <c r="N5783" s="23">
        <v>0</v>
      </c>
      <c r="O5783">
        <f t="shared" si="1099"/>
        <v>0</v>
      </c>
      <c r="P5783" s="57">
        <f t="shared" si="1100"/>
        <v>3</v>
      </c>
      <c r="Q5783" s="267">
        <f t="shared" si="1101"/>
        <v>28</v>
      </c>
      <c r="R5783" s="23">
        <f t="shared" si="1102"/>
        <v>1</v>
      </c>
      <c r="S5783" s="23">
        <f t="shared" si="1103"/>
        <v>0</v>
      </c>
      <c r="T5783" s="23" t="str">
        <f t="shared" si="1104"/>
        <v/>
      </c>
      <c r="U5783" t="str">
        <f t="shared" si="1105"/>
        <v>PA_Alleg_2019p~Rep-member of council whitaker (vote for 3)</v>
      </c>
      <c r="X5783" s="43"/>
      <c r="Y5783" s="53"/>
      <c r="Z5783" s="53"/>
      <c r="AA5783"/>
      <c r="AB5783" s="23"/>
      <c r="AF5783" s="22"/>
    </row>
    <row r="5784" spans="1:32">
      <c r="A5784" t="str">
        <f t="shared" si="1106"/>
        <v>PA_Alleg_2019p~Rep-member of council white oak (vote for 1)</v>
      </c>
      <c r="B5784" s="55" t="s">
        <v>1291</v>
      </c>
      <c r="C5784">
        <v>1856</v>
      </c>
      <c r="D5784" s="55" t="s">
        <v>937</v>
      </c>
      <c r="E5784" s="55" t="s">
        <v>1241</v>
      </c>
      <c r="F5784" t="s">
        <v>1117</v>
      </c>
      <c r="G5784" s="62">
        <v>284</v>
      </c>
      <c r="H5784" s="25">
        <v>98.61</v>
      </c>
      <c r="I5784">
        <v>5798</v>
      </c>
      <c r="J5784">
        <v>1043</v>
      </c>
      <c r="K5784">
        <v>7</v>
      </c>
      <c r="L5784">
        <v>7</v>
      </c>
      <c r="M5784">
        <v>0</v>
      </c>
      <c r="N5784" s="23">
        <v>0</v>
      </c>
      <c r="O5784">
        <f t="shared" si="1099"/>
        <v>1</v>
      </c>
      <c r="P5784" s="57">
        <f t="shared" si="1100"/>
        <v>1</v>
      </c>
      <c r="Q5784" s="267">
        <f t="shared" si="1101"/>
        <v>288</v>
      </c>
      <c r="R5784" s="23">
        <f t="shared" si="1102"/>
        <v>284</v>
      </c>
      <c r="S5784" s="23">
        <f t="shared" si="1103"/>
        <v>0</v>
      </c>
      <c r="T5784" s="23" t="str">
        <f t="shared" si="1104"/>
        <v/>
      </c>
      <c r="U5784" t="str">
        <f t="shared" si="1105"/>
        <v>PA_Alleg_2019p~Rep-member of council white oak (vote for 1)</v>
      </c>
      <c r="X5784" s="43"/>
      <c r="Y5784" s="53"/>
      <c r="Z5784" s="53"/>
      <c r="AA5784"/>
      <c r="AB5784" s="23"/>
      <c r="AF5784" s="22"/>
    </row>
    <row r="5785" spans="1:32">
      <c r="A5785" t="str">
        <f t="shared" si="1106"/>
        <v>PA_Alleg_2019p~Rep-member of council white oak (vote for 1)</v>
      </c>
      <c r="B5785" s="55" t="s">
        <v>1291</v>
      </c>
      <c r="C5785">
        <v>1857</v>
      </c>
      <c r="D5785" s="55" t="s">
        <v>937</v>
      </c>
      <c r="E5785" s="55" t="s">
        <v>15</v>
      </c>
      <c r="F5785" t="s">
        <v>1117</v>
      </c>
      <c r="G5785" s="62">
        <v>4</v>
      </c>
      <c r="H5785" s="25">
        <v>1.39</v>
      </c>
      <c r="I5785">
        <v>5798</v>
      </c>
      <c r="J5785">
        <v>1043</v>
      </c>
      <c r="K5785">
        <v>7</v>
      </c>
      <c r="L5785">
        <v>7</v>
      </c>
      <c r="M5785">
        <v>0</v>
      </c>
      <c r="N5785" s="23">
        <v>0</v>
      </c>
      <c r="O5785">
        <f t="shared" si="1099"/>
        <v>-1</v>
      </c>
      <c r="P5785" s="57">
        <f t="shared" si="1100"/>
        <v>1</v>
      </c>
      <c r="Q5785" s="267">
        <f t="shared" si="1101"/>
        <v>4</v>
      </c>
      <c r="R5785" s="23">
        <f t="shared" si="1102"/>
        <v>1</v>
      </c>
      <c r="S5785" s="23">
        <f t="shared" si="1103"/>
        <v>0</v>
      </c>
      <c r="T5785" s="23" t="str">
        <f t="shared" si="1104"/>
        <v/>
      </c>
      <c r="U5785" t="str">
        <f t="shared" si="1105"/>
        <v/>
      </c>
      <c r="X5785" s="43"/>
      <c r="Y5785" s="53"/>
      <c r="Z5785" s="53"/>
      <c r="AA5785"/>
      <c r="AB5785" s="23"/>
      <c r="AF5785" s="22"/>
    </row>
    <row r="5786" spans="1:32">
      <c r="A5786" t="str">
        <f t="shared" si="1106"/>
        <v>PA_Alleg_2019p~Rep-member of council white oak (vote for 3)</v>
      </c>
      <c r="B5786" s="55" t="s">
        <v>1291</v>
      </c>
      <c r="C5786">
        <v>1814</v>
      </c>
      <c r="D5786" s="55" t="s">
        <v>879</v>
      </c>
      <c r="E5786" s="55" t="s">
        <v>1229</v>
      </c>
      <c r="F5786" t="s">
        <v>1117</v>
      </c>
      <c r="G5786" s="62">
        <v>277</v>
      </c>
      <c r="H5786" s="25">
        <v>33.74</v>
      </c>
      <c r="I5786">
        <v>5798</v>
      </c>
      <c r="J5786">
        <v>1043</v>
      </c>
      <c r="K5786">
        <v>7</v>
      </c>
      <c r="L5786">
        <v>7</v>
      </c>
      <c r="M5786">
        <v>0</v>
      </c>
      <c r="N5786" s="23">
        <v>0</v>
      </c>
      <c r="O5786">
        <f t="shared" si="1099"/>
        <v>1</v>
      </c>
      <c r="P5786" s="57">
        <f t="shared" si="1100"/>
        <v>3</v>
      </c>
      <c r="Q5786" s="267">
        <f t="shared" si="1101"/>
        <v>277</v>
      </c>
      <c r="R5786" s="23">
        <f t="shared" si="1102"/>
        <v>267</v>
      </c>
      <c r="S5786" s="23">
        <f t="shared" si="1103"/>
        <v>0</v>
      </c>
      <c r="T5786" s="23" t="str">
        <f t="shared" si="1104"/>
        <v/>
      </c>
      <c r="U5786" t="str">
        <f t="shared" si="1105"/>
        <v>PA_Alleg_2019p~Rep-member of council white oak (vote for 3)</v>
      </c>
      <c r="X5786" s="43"/>
      <c r="Y5786" s="53"/>
      <c r="Z5786" s="53"/>
      <c r="AA5786"/>
      <c r="AB5786" s="23"/>
      <c r="AF5786" s="22"/>
    </row>
    <row r="5787" spans="1:32">
      <c r="A5787" t="str">
        <f t="shared" si="1106"/>
        <v>PA_Alleg_2019p~Rep-member of council white oak (vote for 3)</v>
      </c>
      <c r="B5787" s="55" t="s">
        <v>1291</v>
      </c>
      <c r="C5787">
        <v>1813</v>
      </c>
      <c r="D5787" s="55" t="s">
        <v>879</v>
      </c>
      <c r="E5787" s="55" t="s">
        <v>1228</v>
      </c>
      <c r="F5787" t="s">
        <v>1117</v>
      </c>
      <c r="G5787" s="62">
        <v>267</v>
      </c>
      <c r="H5787" s="25">
        <v>32.520000000000003</v>
      </c>
      <c r="I5787">
        <v>5798</v>
      </c>
      <c r="J5787">
        <v>1043</v>
      </c>
      <c r="K5787">
        <v>7</v>
      </c>
      <c r="L5787">
        <v>7</v>
      </c>
      <c r="M5787">
        <v>0</v>
      </c>
      <c r="N5787" s="23">
        <v>0</v>
      </c>
      <c r="O5787">
        <f t="shared" si="1099"/>
        <v>2</v>
      </c>
      <c r="P5787" s="57">
        <f t="shared" si="1100"/>
        <v>3</v>
      </c>
      <c r="Q5787" s="267">
        <f t="shared" si="1101"/>
        <v>544</v>
      </c>
      <c r="R5787" s="23">
        <f t="shared" si="1102"/>
        <v>267</v>
      </c>
      <c r="S5787" s="23">
        <f t="shared" si="1103"/>
        <v>0</v>
      </c>
      <c r="T5787" s="23" t="str">
        <f t="shared" si="1104"/>
        <v/>
      </c>
      <c r="U5787" t="str">
        <f t="shared" si="1105"/>
        <v/>
      </c>
      <c r="X5787" s="43"/>
      <c r="Y5787" s="53"/>
      <c r="Z5787" s="53"/>
      <c r="AA5787"/>
      <c r="AB5787" s="23"/>
      <c r="AF5787" s="22"/>
    </row>
    <row r="5788" spans="1:32">
      <c r="A5788" t="str">
        <f t="shared" si="1106"/>
        <v>PA_Alleg_2019p~Rep-member of council white oak (vote for 3)</v>
      </c>
      <c r="B5788" s="55" t="s">
        <v>1291</v>
      </c>
      <c r="C5788">
        <v>1812</v>
      </c>
      <c r="D5788" s="55" t="s">
        <v>879</v>
      </c>
      <c r="E5788" s="55" t="s">
        <v>1227</v>
      </c>
      <c r="F5788" t="s">
        <v>1117</v>
      </c>
      <c r="G5788" s="62">
        <v>267</v>
      </c>
      <c r="H5788" s="25">
        <v>32.520000000000003</v>
      </c>
      <c r="I5788">
        <v>5798</v>
      </c>
      <c r="J5788">
        <v>1043</v>
      </c>
      <c r="K5788">
        <v>7</v>
      </c>
      <c r="L5788">
        <v>7</v>
      </c>
      <c r="M5788">
        <v>0</v>
      </c>
      <c r="N5788" s="23">
        <v>0</v>
      </c>
      <c r="O5788">
        <f t="shared" si="1099"/>
        <v>3</v>
      </c>
      <c r="P5788" s="57">
        <f t="shared" si="1100"/>
        <v>3</v>
      </c>
      <c r="Q5788" s="267">
        <f t="shared" si="1101"/>
        <v>277</v>
      </c>
      <c r="R5788" s="23">
        <f t="shared" si="1102"/>
        <v>267</v>
      </c>
      <c r="S5788" s="23">
        <f t="shared" si="1103"/>
        <v>0</v>
      </c>
      <c r="T5788" s="23" t="str">
        <f t="shared" si="1104"/>
        <v/>
      </c>
      <c r="U5788" t="str">
        <f t="shared" si="1105"/>
        <v/>
      </c>
      <c r="X5788" s="43"/>
      <c r="Y5788" s="53"/>
      <c r="Z5788" s="53"/>
      <c r="AA5788"/>
      <c r="AB5788" s="23"/>
      <c r="AF5788" s="22"/>
    </row>
    <row r="5789" spans="1:32">
      <c r="A5789" t="str">
        <f t="shared" si="1106"/>
        <v>PA_Alleg_2019p~Rep-member of council white oak (vote for 3)</v>
      </c>
      <c r="B5789" s="55" t="s">
        <v>1291</v>
      </c>
      <c r="C5789">
        <v>1815</v>
      </c>
      <c r="D5789" s="55" t="s">
        <v>879</v>
      </c>
      <c r="E5789" s="55" t="s">
        <v>15</v>
      </c>
      <c r="F5789" t="s">
        <v>1117</v>
      </c>
      <c r="G5789" s="62">
        <v>10</v>
      </c>
      <c r="H5789" s="25">
        <v>1.22</v>
      </c>
      <c r="I5789">
        <v>5798</v>
      </c>
      <c r="J5789">
        <v>1043</v>
      </c>
      <c r="K5789">
        <v>7</v>
      </c>
      <c r="L5789">
        <v>7</v>
      </c>
      <c r="M5789">
        <v>0</v>
      </c>
      <c r="N5789" s="23">
        <v>0</v>
      </c>
      <c r="O5789">
        <f t="shared" si="1099"/>
        <v>-3</v>
      </c>
      <c r="P5789" s="57">
        <f t="shared" si="1100"/>
        <v>3</v>
      </c>
      <c r="Q5789" s="267">
        <f t="shared" si="1101"/>
        <v>10</v>
      </c>
      <c r="R5789" s="23">
        <f t="shared" si="1102"/>
        <v>1</v>
      </c>
      <c r="S5789" s="23">
        <f t="shared" si="1103"/>
        <v>0</v>
      </c>
      <c r="T5789" s="23" t="str">
        <f t="shared" si="1104"/>
        <v/>
      </c>
      <c r="U5789" t="str">
        <f t="shared" si="1105"/>
        <v/>
      </c>
      <c r="X5789" s="43"/>
      <c r="Y5789" s="53"/>
      <c r="Z5789" s="53"/>
      <c r="AA5789"/>
      <c r="AB5789" s="23"/>
      <c r="AF5789" s="22"/>
    </row>
    <row r="5790" spans="1:32">
      <c r="A5790" t="str">
        <f t="shared" si="1106"/>
        <v>PA_Alleg_2019p~Rep-member of council whitehall (vote for 3)</v>
      </c>
      <c r="B5790" s="55" t="s">
        <v>1291</v>
      </c>
      <c r="C5790">
        <v>1810</v>
      </c>
      <c r="D5790" s="55" t="s">
        <v>876</v>
      </c>
      <c r="E5790" s="55" t="s">
        <v>1226</v>
      </c>
      <c r="F5790" t="s">
        <v>1117</v>
      </c>
      <c r="G5790" s="62">
        <v>465</v>
      </c>
      <c r="H5790" s="25">
        <v>37.35</v>
      </c>
      <c r="I5790">
        <v>10520</v>
      </c>
      <c r="J5790">
        <v>2003</v>
      </c>
      <c r="K5790">
        <v>16</v>
      </c>
      <c r="L5790">
        <v>16</v>
      </c>
      <c r="M5790">
        <v>0</v>
      </c>
      <c r="N5790" s="23">
        <v>0</v>
      </c>
      <c r="O5790">
        <f t="shared" si="1099"/>
        <v>1</v>
      </c>
      <c r="P5790" s="57">
        <f t="shared" si="1100"/>
        <v>3</v>
      </c>
      <c r="Q5790" s="267">
        <f t="shared" si="1101"/>
        <v>465</v>
      </c>
      <c r="R5790" s="23">
        <f t="shared" si="1102"/>
        <v>370</v>
      </c>
      <c r="S5790" s="23">
        <f t="shared" si="1103"/>
        <v>0</v>
      </c>
      <c r="T5790" s="23" t="str">
        <f t="shared" si="1104"/>
        <v/>
      </c>
      <c r="U5790" t="str">
        <f t="shared" si="1105"/>
        <v>PA_Alleg_2019p~Rep-member of council whitehall (vote for 3)</v>
      </c>
      <c r="X5790" s="43"/>
      <c r="Y5790" s="53"/>
      <c r="Z5790" s="53"/>
      <c r="AA5790"/>
      <c r="AB5790" s="23"/>
      <c r="AF5790" s="22"/>
    </row>
    <row r="5791" spans="1:32">
      <c r="A5791" t="str">
        <f t="shared" si="1106"/>
        <v>PA_Alleg_2019p~Rep-member of council whitehall (vote for 3)</v>
      </c>
      <c r="B5791" s="55" t="s">
        <v>1291</v>
      </c>
      <c r="C5791">
        <v>1808</v>
      </c>
      <c r="D5791" s="55" t="s">
        <v>876</v>
      </c>
      <c r="E5791" s="55" t="s">
        <v>1224</v>
      </c>
      <c r="F5791" t="s">
        <v>1117</v>
      </c>
      <c r="G5791" s="62">
        <v>372</v>
      </c>
      <c r="H5791" s="25">
        <v>29.88</v>
      </c>
      <c r="I5791">
        <v>10520</v>
      </c>
      <c r="J5791">
        <v>2003</v>
      </c>
      <c r="K5791">
        <v>16</v>
      </c>
      <c r="L5791">
        <v>16</v>
      </c>
      <c r="M5791">
        <v>0</v>
      </c>
      <c r="N5791" s="23">
        <v>0</v>
      </c>
      <c r="O5791">
        <f t="shared" si="1099"/>
        <v>2</v>
      </c>
      <c r="P5791" s="57">
        <f t="shared" si="1100"/>
        <v>3</v>
      </c>
      <c r="Q5791" s="267">
        <f t="shared" si="1101"/>
        <v>780</v>
      </c>
      <c r="R5791" s="23">
        <f t="shared" si="1102"/>
        <v>370</v>
      </c>
      <c r="S5791" s="23">
        <f t="shared" si="1103"/>
        <v>0</v>
      </c>
      <c r="T5791" s="23" t="str">
        <f t="shared" si="1104"/>
        <v/>
      </c>
      <c r="U5791" t="str">
        <f t="shared" si="1105"/>
        <v/>
      </c>
      <c r="X5791" s="43"/>
      <c r="Y5791" s="53"/>
      <c r="Z5791" s="53"/>
      <c r="AA5791"/>
      <c r="AB5791" s="23"/>
      <c r="AF5791" s="22"/>
    </row>
    <row r="5792" spans="1:32">
      <c r="A5792" t="str">
        <f t="shared" si="1106"/>
        <v>PA_Alleg_2019p~Rep-member of council whitehall (vote for 3)</v>
      </c>
      <c r="B5792" s="55" t="s">
        <v>1291</v>
      </c>
      <c r="C5792">
        <v>1809</v>
      </c>
      <c r="D5792" s="55" t="s">
        <v>876</v>
      </c>
      <c r="E5792" s="55" t="s">
        <v>1225</v>
      </c>
      <c r="F5792" t="s">
        <v>1117</v>
      </c>
      <c r="G5792" s="62">
        <v>370</v>
      </c>
      <c r="H5792" s="25">
        <v>29.72</v>
      </c>
      <c r="I5792">
        <v>10520</v>
      </c>
      <c r="J5792">
        <v>2003</v>
      </c>
      <c r="K5792">
        <v>16</v>
      </c>
      <c r="L5792">
        <v>16</v>
      </c>
      <c r="M5792">
        <v>0</v>
      </c>
      <c r="N5792" s="23">
        <v>0</v>
      </c>
      <c r="O5792">
        <f t="shared" si="1099"/>
        <v>3</v>
      </c>
      <c r="P5792" s="57">
        <f t="shared" si="1100"/>
        <v>3</v>
      </c>
      <c r="Q5792" s="267">
        <f t="shared" si="1101"/>
        <v>408</v>
      </c>
      <c r="R5792" s="23">
        <f t="shared" si="1102"/>
        <v>370</v>
      </c>
      <c r="S5792" s="23">
        <f t="shared" si="1103"/>
        <v>0</v>
      </c>
      <c r="T5792" s="23" t="str">
        <f t="shared" si="1104"/>
        <v/>
      </c>
      <c r="U5792" t="str">
        <f t="shared" si="1105"/>
        <v/>
      </c>
      <c r="X5792" s="43"/>
      <c r="Y5792" s="53"/>
      <c r="Z5792" s="53"/>
      <c r="AA5792"/>
      <c r="AB5792" s="23"/>
      <c r="AF5792" s="22"/>
    </row>
    <row r="5793" spans="1:32">
      <c r="A5793" t="str">
        <f t="shared" si="1106"/>
        <v>PA_Alleg_2019p~Rep-member of council whitehall (vote for 3)</v>
      </c>
      <c r="B5793" s="55" t="s">
        <v>1291</v>
      </c>
      <c r="C5793">
        <v>1811</v>
      </c>
      <c r="D5793" s="55" t="s">
        <v>876</v>
      </c>
      <c r="E5793" s="55" t="s">
        <v>15</v>
      </c>
      <c r="F5793" t="s">
        <v>1117</v>
      </c>
      <c r="G5793" s="62">
        <v>38</v>
      </c>
      <c r="H5793" s="25">
        <v>3.05</v>
      </c>
      <c r="I5793">
        <v>10520</v>
      </c>
      <c r="J5793">
        <v>2003</v>
      </c>
      <c r="K5793">
        <v>16</v>
      </c>
      <c r="L5793">
        <v>16</v>
      </c>
      <c r="M5793">
        <v>0</v>
      </c>
      <c r="N5793" s="23">
        <v>0</v>
      </c>
      <c r="O5793">
        <f t="shared" si="1099"/>
        <v>-3</v>
      </c>
      <c r="P5793" s="57">
        <f t="shared" si="1100"/>
        <v>3</v>
      </c>
      <c r="Q5793" s="267">
        <f t="shared" si="1101"/>
        <v>38</v>
      </c>
      <c r="R5793" s="23">
        <f t="shared" si="1102"/>
        <v>1</v>
      </c>
      <c r="S5793" s="23">
        <f t="shared" si="1103"/>
        <v>0</v>
      </c>
      <c r="T5793" s="23" t="str">
        <f t="shared" si="1104"/>
        <v/>
      </c>
      <c r="U5793" t="str">
        <f t="shared" si="1105"/>
        <v/>
      </c>
      <c r="X5793" s="43"/>
      <c r="Y5793" s="53"/>
      <c r="Z5793" s="53"/>
      <c r="AA5793"/>
      <c r="AB5793" s="23"/>
      <c r="AF5793" s="22"/>
    </row>
    <row r="5794" spans="1:32">
      <c r="A5794" t="str">
        <f t="shared" si="1106"/>
        <v>PA_Alleg_2019p~Rep-member of council wilkinsburg ward 1 (vote for 1)</v>
      </c>
      <c r="B5794" s="55" t="s">
        <v>1291</v>
      </c>
      <c r="C5794">
        <v>1943</v>
      </c>
      <c r="D5794" s="55" t="s">
        <v>1079</v>
      </c>
      <c r="E5794" s="55" t="s">
        <v>15</v>
      </c>
      <c r="F5794" t="s">
        <v>1117</v>
      </c>
      <c r="G5794" s="62">
        <v>6</v>
      </c>
      <c r="H5794" s="25">
        <v>100</v>
      </c>
      <c r="I5794">
        <v>4597</v>
      </c>
      <c r="J5794">
        <v>757</v>
      </c>
      <c r="K5794">
        <v>6</v>
      </c>
      <c r="L5794">
        <v>6</v>
      </c>
      <c r="M5794">
        <v>0</v>
      </c>
      <c r="N5794" s="23">
        <v>0</v>
      </c>
      <c r="O5794">
        <f t="shared" si="1099"/>
        <v>0</v>
      </c>
      <c r="P5794" s="57">
        <f t="shared" si="1100"/>
        <v>1</v>
      </c>
      <c r="Q5794" s="267">
        <f t="shared" si="1101"/>
        <v>6</v>
      </c>
      <c r="R5794" s="23">
        <f t="shared" si="1102"/>
        <v>1</v>
      </c>
      <c r="S5794" s="23">
        <f t="shared" si="1103"/>
        <v>0</v>
      </c>
      <c r="T5794" s="23" t="str">
        <f t="shared" si="1104"/>
        <v/>
      </c>
      <c r="U5794" t="str">
        <f t="shared" si="1105"/>
        <v>PA_Alleg_2019p~Rep-member of council wilkinsburg ward 1 (vote for 1)</v>
      </c>
      <c r="X5794" s="43"/>
      <c r="Y5794" s="53"/>
      <c r="Z5794" s="53"/>
      <c r="AA5794"/>
      <c r="AB5794" s="23"/>
      <c r="AF5794" s="22"/>
    </row>
    <row r="5795" spans="1:32">
      <c r="A5795" t="str">
        <f t="shared" si="1106"/>
        <v>PA_Alleg_2019p~Rep-member of council wilkinsburg ward 1 (vote for 2)</v>
      </c>
      <c r="B5795" s="55" t="s">
        <v>1291</v>
      </c>
      <c r="C5795">
        <v>1868</v>
      </c>
      <c r="D5795" s="55" t="s">
        <v>967</v>
      </c>
      <c r="E5795" s="55" t="s">
        <v>15</v>
      </c>
      <c r="F5795" t="s">
        <v>1117</v>
      </c>
      <c r="G5795" s="62">
        <v>12</v>
      </c>
      <c r="H5795" s="25">
        <v>100</v>
      </c>
      <c r="I5795">
        <v>4597</v>
      </c>
      <c r="J5795">
        <v>757</v>
      </c>
      <c r="K5795">
        <v>6</v>
      </c>
      <c r="L5795">
        <v>6</v>
      </c>
      <c r="M5795">
        <v>0</v>
      </c>
      <c r="N5795" s="23">
        <v>0</v>
      </c>
      <c r="O5795">
        <f t="shared" si="1099"/>
        <v>0</v>
      </c>
      <c r="P5795" s="57">
        <f t="shared" si="1100"/>
        <v>2</v>
      </c>
      <c r="Q5795" s="267">
        <f t="shared" si="1101"/>
        <v>12</v>
      </c>
      <c r="R5795" s="23">
        <f t="shared" si="1102"/>
        <v>1</v>
      </c>
      <c r="S5795" s="23">
        <f t="shared" si="1103"/>
        <v>0</v>
      </c>
      <c r="T5795" s="23" t="str">
        <f t="shared" si="1104"/>
        <v/>
      </c>
      <c r="U5795" t="str">
        <f t="shared" si="1105"/>
        <v>PA_Alleg_2019p~Rep-member of council wilkinsburg ward 1 (vote for 2)</v>
      </c>
      <c r="X5795" s="43"/>
      <c r="Y5795" s="53"/>
      <c r="Z5795" s="53"/>
      <c r="AA5795"/>
      <c r="AB5795" s="23"/>
      <c r="AF5795" s="22"/>
    </row>
    <row r="5796" spans="1:32">
      <c r="A5796" t="str">
        <f t="shared" si="1106"/>
        <v>PA_Alleg_2019p~Rep-member of council wilkinsburg ward 2 (vote for 1)</v>
      </c>
      <c r="B5796" s="55" t="s">
        <v>1291</v>
      </c>
      <c r="C5796">
        <v>1937</v>
      </c>
      <c r="D5796" s="55" t="s">
        <v>1067</v>
      </c>
      <c r="E5796" s="55" t="s">
        <v>15</v>
      </c>
      <c r="F5796" t="s">
        <v>1117</v>
      </c>
      <c r="G5796" s="62">
        <v>12</v>
      </c>
      <c r="H5796" s="25">
        <v>100</v>
      </c>
      <c r="I5796">
        <v>4196</v>
      </c>
      <c r="J5796">
        <v>671</v>
      </c>
      <c r="K5796">
        <v>5</v>
      </c>
      <c r="L5796">
        <v>5</v>
      </c>
      <c r="M5796">
        <v>0</v>
      </c>
      <c r="N5796" s="23">
        <v>0</v>
      </c>
      <c r="O5796">
        <f t="shared" si="1099"/>
        <v>0</v>
      </c>
      <c r="P5796" s="57">
        <f t="shared" si="1100"/>
        <v>1</v>
      </c>
      <c r="Q5796" s="267">
        <f t="shared" si="1101"/>
        <v>21</v>
      </c>
      <c r="R5796" s="23">
        <f t="shared" si="1102"/>
        <v>1</v>
      </c>
      <c r="S5796" s="23">
        <f t="shared" si="1103"/>
        <v>0</v>
      </c>
      <c r="T5796" s="23" t="str">
        <f t="shared" si="1104"/>
        <v/>
      </c>
      <c r="U5796" t="str">
        <f t="shared" si="1105"/>
        <v>PA_Alleg_2019p~Rep-member of council wilkinsburg ward 2 (vote for 1)</v>
      </c>
      <c r="X5796" s="43"/>
      <c r="Y5796" s="53"/>
      <c r="Z5796" s="53"/>
      <c r="AA5796"/>
      <c r="AB5796" s="23"/>
      <c r="AF5796" s="22"/>
    </row>
    <row r="5797" spans="1:32">
      <c r="A5797" t="str">
        <f t="shared" si="1106"/>
        <v>PA_Alleg_2019p~Rep-member of council wilkinsburg ward 2 (vote for 1)</v>
      </c>
      <c r="B5797" s="55" t="s">
        <v>1291</v>
      </c>
      <c r="C5797">
        <v>1944</v>
      </c>
      <c r="D5797" s="55" t="s">
        <v>1081</v>
      </c>
      <c r="E5797" s="55" t="s">
        <v>15</v>
      </c>
      <c r="F5797" t="s">
        <v>1117</v>
      </c>
      <c r="G5797" s="62">
        <v>9</v>
      </c>
      <c r="H5797" s="25">
        <v>100</v>
      </c>
      <c r="I5797">
        <v>4196</v>
      </c>
      <c r="J5797">
        <v>671</v>
      </c>
      <c r="K5797">
        <v>5</v>
      </c>
      <c r="L5797">
        <v>5</v>
      </c>
      <c r="M5797">
        <v>0</v>
      </c>
      <c r="N5797" s="23">
        <v>0</v>
      </c>
      <c r="O5797">
        <f t="shared" si="1099"/>
        <v>0</v>
      </c>
      <c r="P5797" s="57">
        <f t="shared" si="1100"/>
        <v>1</v>
      </c>
      <c r="Q5797" s="267">
        <f t="shared" si="1101"/>
        <v>9</v>
      </c>
      <c r="R5797" s="23">
        <f t="shared" si="1102"/>
        <v>1</v>
      </c>
      <c r="S5797" s="23">
        <f t="shared" si="1103"/>
        <v>0</v>
      </c>
      <c r="T5797" s="23" t="str">
        <f t="shared" si="1104"/>
        <v/>
      </c>
      <c r="U5797" t="str">
        <f t="shared" si="1105"/>
        <v/>
      </c>
      <c r="X5797" s="43"/>
      <c r="Y5797" s="53"/>
      <c r="Z5797" s="53"/>
      <c r="AA5797"/>
      <c r="AB5797" s="23"/>
      <c r="AF5797" s="22"/>
    </row>
    <row r="5798" spans="1:32">
      <c r="A5798" t="str">
        <f t="shared" si="1106"/>
        <v>PA_Alleg_2019p~Rep-member of council wilkinsburg ward 3 (vote for 1)</v>
      </c>
      <c r="B5798" s="55" t="s">
        <v>1291</v>
      </c>
      <c r="C5798">
        <v>1938</v>
      </c>
      <c r="D5798" s="55" t="s">
        <v>1071</v>
      </c>
      <c r="E5798" s="55" t="s">
        <v>15</v>
      </c>
      <c r="F5798" t="s">
        <v>1117</v>
      </c>
      <c r="G5798" s="62">
        <v>35</v>
      </c>
      <c r="H5798" s="25">
        <v>100</v>
      </c>
      <c r="I5798">
        <v>5159</v>
      </c>
      <c r="J5798">
        <v>963</v>
      </c>
      <c r="K5798">
        <v>6</v>
      </c>
      <c r="L5798">
        <v>6</v>
      </c>
      <c r="M5798">
        <v>0</v>
      </c>
      <c r="N5798" s="23">
        <v>0</v>
      </c>
      <c r="O5798">
        <f t="shared" si="1099"/>
        <v>0</v>
      </c>
      <c r="P5798" s="57">
        <f t="shared" si="1100"/>
        <v>1</v>
      </c>
      <c r="Q5798" s="267">
        <f t="shared" si="1101"/>
        <v>35</v>
      </c>
      <c r="R5798" s="23">
        <f t="shared" si="1102"/>
        <v>1</v>
      </c>
      <c r="S5798" s="23">
        <f t="shared" si="1103"/>
        <v>0</v>
      </c>
      <c r="T5798" s="23" t="str">
        <f t="shared" si="1104"/>
        <v/>
      </c>
      <c r="U5798" t="str">
        <f t="shared" si="1105"/>
        <v>PA_Alleg_2019p~Rep-member of council wilkinsburg ward 3 (vote for 1)</v>
      </c>
      <c r="X5798" s="43"/>
      <c r="Y5798" s="53"/>
      <c r="Z5798" s="53"/>
      <c r="AA5798"/>
      <c r="AB5798" s="23"/>
      <c r="AF5798" s="22"/>
    </row>
    <row r="5799" spans="1:32">
      <c r="A5799" t="str">
        <f t="shared" si="1106"/>
        <v>PA_Alleg_2019p~Rep-member of council wilmerding (vote for 4)</v>
      </c>
      <c r="B5799" s="55" t="s">
        <v>1291</v>
      </c>
      <c r="C5799">
        <v>1707</v>
      </c>
      <c r="D5799" s="55" t="s">
        <v>683</v>
      </c>
      <c r="E5799" s="55" t="s">
        <v>15</v>
      </c>
      <c r="F5799" t="s">
        <v>1117</v>
      </c>
      <c r="G5799" s="62">
        <v>21</v>
      </c>
      <c r="H5799" s="25">
        <v>100</v>
      </c>
      <c r="I5799">
        <v>1254</v>
      </c>
      <c r="J5799">
        <v>143</v>
      </c>
      <c r="K5799">
        <v>2</v>
      </c>
      <c r="L5799">
        <v>2</v>
      </c>
      <c r="M5799">
        <v>0</v>
      </c>
      <c r="N5799" s="23">
        <v>0</v>
      </c>
      <c r="O5799">
        <f t="shared" si="1099"/>
        <v>0</v>
      </c>
      <c r="P5799" s="57">
        <f t="shared" si="1100"/>
        <v>4</v>
      </c>
      <c r="Q5799" s="267">
        <f t="shared" si="1101"/>
        <v>21</v>
      </c>
      <c r="R5799" s="23">
        <f t="shared" si="1102"/>
        <v>1</v>
      </c>
      <c r="S5799" s="23">
        <f t="shared" si="1103"/>
        <v>0</v>
      </c>
      <c r="T5799" s="23" t="str">
        <f t="shared" si="1104"/>
        <v/>
      </c>
      <c r="U5799" t="str">
        <f t="shared" si="1105"/>
        <v>PA_Alleg_2019p~Rep-member of council wilmerding (vote for 4)</v>
      </c>
      <c r="X5799" s="43"/>
      <c r="Y5799" s="53"/>
      <c r="Z5799" s="53"/>
      <c r="AA5799"/>
      <c r="AB5799" s="23"/>
      <c r="AF5799" s="22"/>
    </row>
    <row r="5800" spans="1:32">
      <c r="A5800" t="str">
        <f t="shared" si="1106"/>
        <v>PA_Alleg_2019p~Rep-member of county council at-large (vote for 1)</v>
      </c>
      <c r="B5800" s="55" t="s">
        <v>1291</v>
      </c>
      <c r="C5800">
        <v>1157</v>
      </c>
      <c r="D5800" s="55" t="s">
        <v>30</v>
      </c>
      <c r="E5800" s="55" t="s">
        <v>1121</v>
      </c>
      <c r="F5800" t="s">
        <v>1117</v>
      </c>
      <c r="G5800" s="62">
        <v>27274</v>
      </c>
      <c r="H5800" s="25">
        <v>98.34</v>
      </c>
      <c r="I5800">
        <v>952750</v>
      </c>
      <c r="J5800">
        <v>157264</v>
      </c>
      <c r="K5800">
        <v>1322</v>
      </c>
      <c r="L5800">
        <v>1322</v>
      </c>
      <c r="M5800">
        <v>0</v>
      </c>
      <c r="N5800" s="23">
        <v>0</v>
      </c>
      <c r="O5800">
        <f t="shared" si="1099"/>
        <v>1</v>
      </c>
      <c r="P5800" s="57">
        <f t="shared" si="1100"/>
        <v>1</v>
      </c>
      <c r="Q5800" s="267">
        <f t="shared" si="1101"/>
        <v>27735</v>
      </c>
      <c r="R5800" s="23">
        <f t="shared" si="1102"/>
        <v>27274</v>
      </c>
      <c r="S5800" s="23">
        <f t="shared" si="1103"/>
        <v>0</v>
      </c>
      <c r="T5800" s="23" t="str">
        <f t="shared" si="1104"/>
        <v/>
      </c>
      <c r="U5800" t="str">
        <f t="shared" si="1105"/>
        <v>PA_Alleg_2019p~Rep-member of county council at-large (vote for 1)</v>
      </c>
      <c r="X5800" s="43"/>
      <c r="Y5800" s="53"/>
      <c r="Z5800" s="53"/>
      <c r="AA5800"/>
      <c r="AB5800" s="23"/>
      <c r="AF5800" s="22"/>
    </row>
    <row r="5801" spans="1:32">
      <c r="A5801" t="str">
        <f t="shared" si="1106"/>
        <v>PA_Alleg_2019p~Rep-member of county council at-large (vote for 1)</v>
      </c>
      <c r="B5801" s="55" t="s">
        <v>1291</v>
      </c>
      <c r="C5801">
        <v>1158</v>
      </c>
      <c r="D5801" s="55" t="s">
        <v>30</v>
      </c>
      <c r="E5801" s="55" t="s">
        <v>15</v>
      </c>
      <c r="F5801" t="s">
        <v>1117</v>
      </c>
      <c r="G5801" s="62">
        <v>461</v>
      </c>
      <c r="H5801" s="25">
        <v>1.66</v>
      </c>
      <c r="I5801">
        <v>952750</v>
      </c>
      <c r="J5801">
        <v>157264</v>
      </c>
      <c r="K5801">
        <v>1322</v>
      </c>
      <c r="L5801">
        <v>1322</v>
      </c>
      <c r="M5801">
        <v>0</v>
      </c>
      <c r="N5801" s="23">
        <v>0</v>
      </c>
      <c r="O5801">
        <f t="shared" si="1099"/>
        <v>-1</v>
      </c>
      <c r="P5801" s="57">
        <f t="shared" si="1100"/>
        <v>1</v>
      </c>
      <c r="Q5801" s="267">
        <f t="shared" si="1101"/>
        <v>461</v>
      </c>
      <c r="R5801" s="23">
        <f t="shared" si="1102"/>
        <v>1</v>
      </c>
      <c r="S5801" s="23">
        <f t="shared" si="1103"/>
        <v>0</v>
      </c>
      <c r="T5801" s="23" t="str">
        <f t="shared" si="1104"/>
        <v/>
      </c>
      <c r="U5801" t="str">
        <f t="shared" si="1105"/>
        <v/>
      </c>
      <c r="X5801" s="43"/>
      <c r="Y5801" s="53"/>
      <c r="Z5801" s="53"/>
      <c r="AA5801"/>
      <c r="AB5801" s="23"/>
      <c r="AF5801" s="22"/>
    </row>
    <row r="5802" spans="1:32">
      <c r="A5802" t="str">
        <f t="shared" si="1106"/>
        <v>PA_Alleg_2019p~Rep-member of county council district 10 (vote for 1)</v>
      </c>
      <c r="B5802" s="55" t="s">
        <v>1291</v>
      </c>
      <c r="C5802">
        <v>1165</v>
      </c>
      <c r="D5802" s="55" t="s">
        <v>42</v>
      </c>
      <c r="E5802" s="55" t="s">
        <v>15</v>
      </c>
      <c r="F5802" t="s">
        <v>1117</v>
      </c>
      <c r="G5802" s="62">
        <v>45</v>
      </c>
      <c r="H5802" s="25">
        <v>100</v>
      </c>
      <c r="I5802">
        <v>83872</v>
      </c>
      <c r="J5802">
        <v>12819</v>
      </c>
      <c r="K5802">
        <v>133</v>
      </c>
      <c r="L5802">
        <v>133</v>
      </c>
      <c r="M5802">
        <v>0</v>
      </c>
      <c r="N5802" s="23">
        <v>0</v>
      </c>
      <c r="O5802">
        <f t="shared" si="1099"/>
        <v>0</v>
      </c>
      <c r="P5802" s="57">
        <f t="shared" si="1100"/>
        <v>1</v>
      </c>
      <c r="Q5802" s="267">
        <f t="shared" si="1101"/>
        <v>45</v>
      </c>
      <c r="R5802" s="23">
        <f t="shared" si="1102"/>
        <v>1</v>
      </c>
      <c r="S5802" s="23">
        <f t="shared" si="1103"/>
        <v>0</v>
      </c>
      <c r="T5802" s="23" t="str">
        <f t="shared" si="1104"/>
        <v/>
      </c>
      <c r="U5802" t="str">
        <f t="shared" si="1105"/>
        <v>PA_Alleg_2019p~Rep-member of county council district 10 (vote for 1)</v>
      </c>
      <c r="X5802" s="43"/>
      <c r="Y5802" s="53"/>
      <c r="Z5802" s="53"/>
      <c r="AA5802"/>
      <c r="AB5802" s="23"/>
      <c r="AF5802" s="22"/>
    </row>
    <row r="5803" spans="1:32">
      <c r="A5803" t="str">
        <f t="shared" si="1106"/>
        <v>PA_Alleg_2019p~Rep-member of county council district 11 (vote for 1)</v>
      </c>
      <c r="B5803" s="55" t="s">
        <v>1291</v>
      </c>
      <c r="C5803">
        <v>1166</v>
      </c>
      <c r="D5803" s="55" t="s">
        <v>44</v>
      </c>
      <c r="E5803" s="55" t="s">
        <v>15</v>
      </c>
      <c r="F5803" t="s">
        <v>1117</v>
      </c>
      <c r="G5803" s="62">
        <v>74</v>
      </c>
      <c r="H5803" s="25">
        <v>100</v>
      </c>
      <c r="I5803">
        <v>78929</v>
      </c>
      <c r="J5803">
        <v>14006</v>
      </c>
      <c r="K5803">
        <v>113</v>
      </c>
      <c r="L5803">
        <v>113</v>
      </c>
      <c r="M5803">
        <v>0</v>
      </c>
      <c r="N5803" s="23">
        <v>0</v>
      </c>
      <c r="O5803">
        <f t="shared" si="1099"/>
        <v>0</v>
      </c>
      <c r="P5803" s="57">
        <f t="shared" si="1100"/>
        <v>1</v>
      </c>
      <c r="Q5803" s="267">
        <f t="shared" si="1101"/>
        <v>74</v>
      </c>
      <c r="R5803" s="23">
        <f t="shared" si="1102"/>
        <v>1</v>
      </c>
      <c r="S5803" s="23">
        <f t="shared" si="1103"/>
        <v>0</v>
      </c>
      <c r="T5803" s="23" t="str">
        <f t="shared" si="1104"/>
        <v/>
      </c>
      <c r="U5803" t="str">
        <f t="shared" si="1105"/>
        <v>PA_Alleg_2019p~Rep-member of county council district 11 (vote for 1)</v>
      </c>
      <c r="X5803" s="43"/>
      <c r="Y5803" s="53"/>
      <c r="Z5803" s="53"/>
      <c r="AA5803"/>
      <c r="AB5803" s="23"/>
      <c r="AF5803" s="22"/>
    </row>
    <row r="5804" spans="1:32">
      <c r="A5804" t="str">
        <f t="shared" si="1106"/>
        <v>PA_Alleg_2019p~Rep-member of county council district 13 (vote for 1)</v>
      </c>
      <c r="B5804" s="55" t="s">
        <v>1291</v>
      </c>
      <c r="C5804">
        <v>1167</v>
      </c>
      <c r="D5804" s="55" t="s">
        <v>46</v>
      </c>
      <c r="E5804" s="55" t="s">
        <v>15</v>
      </c>
      <c r="F5804" t="s">
        <v>1117</v>
      </c>
      <c r="G5804" s="62">
        <v>95</v>
      </c>
      <c r="H5804" s="25">
        <v>100</v>
      </c>
      <c r="I5804">
        <v>75772</v>
      </c>
      <c r="J5804">
        <v>13298</v>
      </c>
      <c r="K5804">
        <v>116</v>
      </c>
      <c r="L5804">
        <v>116</v>
      </c>
      <c r="M5804">
        <v>0</v>
      </c>
      <c r="N5804" s="23">
        <v>0</v>
      </c>
      <c r="O5804">
        <f t="shared" si="1099"/>
        <v>0</v>
      </c>
      <c r="P5804" s="57">
        <f t="shared" si="1100"/>
        <v>1</v>
      </c>
      <c r="Q5804" s="267">
        <f t="shared" si="1101"/>
        <v>95</v>
      </c>
      <c r="R5804" s="23">
        <f t="shared" si="1102"/>
        <v>1</v>
      </c>
      <c r="S5804" s="23">
        <f t="shared" si="1103"/>
        <v>0</v>
      </c>
      <c r="T5804" s="23" t="str">
        <f t="shared" si="1104"/>
        <v/>
      </c>
      <c r="U5804" t="str">
        <f t="shared" si="1105"/>
        <v>PA_Alleg_2019p~Rep-member of county council district 13 (vote for 1)</v>
      </c>
      <c r="X5804" s="43"/>
      <c r="Y5804" s="53"/>
      <c r="Z5804" s="53"/>
      <c r="AA5804"/>
      <c r="AB5804" s="23"/>
      <c r="AF5804" s="22"/>
    </row>
    <row r="5805" spans="1:32">
      <c r="A5805" t="str">
        <f t="shared" si="1106"/>
        <v>PA_Alleg_2019p~Rep-member of county council district 2 (vote for 1)</v>
      </c>
      <c r="B5805" s="55" t="s">
        <v>1291</v>
      </c>
      <c r="C5805">
        <v>1159</v>
      </c>
      <c r="D5805" s="55" t="s">
        <v>33</v>
      </c>
      <c r="E5805" s="55" t="s">
        <v>1122</v>
      </c>
      <c r="F5805" t="s">
        <v>1117</v>
      </c>
      <c r="G5805" s="62">
        <v>4390</v>
      </c>
      <c r="H5805" s="25">
        <v>98.74</v>
      </c>
      <c r="I5805">
        <v>76652</v>
      </c>
      <c r="J5805">
        <v>11204</v>
      </c>
      <c r="K5805">
        <v>70</v>
      </c>
      <c r="L5805">
        <v>70</v>
      </c>
      <c r="M5805">
        <v>0</v>
      </c>
      <c r="N5805" s="23">
        <v>0</v>
      </c>
      <c r="O5805">
        <f t="shared" si="1099"/>
        <v>1</v>
      </c>
      <c r="P5805" s="57">
        <f t="shared" si="1100"/>
        <v>1</v>
      </c>
      <c r="Q5805" s="267">
        <f t="shared" si="1101"/>
        <v>4446</v>
      </c>
      <c r="R5805" s="23">
        <f t="shared" si="1102"/>
        <v>4390</v>
      </c>
      <c r="S5805" s="23">
        <f t="shared" si="1103"/>
        <v>0</v>
      </c>
      <c r="T5805" s="23" t="str">
        <f t="shared" si="1104"/>
        <v/>
      </c>
      <c r="U5805" t="str">
        <f t="shared" si="1105"/>
        <v>PA_Alleg_2019p~Rep-member of county council district 2 (vote for 1)</v>
      </c>
      <c r="X5805" s="43"/>
      <c r="Y5805" s="53"/>
      <c r="Z5805" s="53"/>
      <c r="AA5805"/>
      <c r="AB5805" s="23"/>
      <c r="AF5805" s="22"/>
    </row>
    <row r="5806" spans="1:32">
      <c r="A5806" t="str">
        <f t="shared" si="1106"/>
        <v>PA_Alleg_2019p~Rep-member of county council district 2 (vote for 1)</v>
      </c>
      <c r="B5806" s="55" t="s">
        <v>1291</v>
      </c>
      <c r="C5806">
        <v>1160</v>
      </c>
      <c r="D5806" s="55" t="s">
        <v>33</v>
      </c>
      <c r="E5806" s="55" t="s">
        <v>15</v>
      </c>
      <c r="F5806" t="s">
        <v>1117</v>
      </c>
      <c r="G5806" s="62">
        <v>56</v>
      </c>
      <c r="H5806" s="25">
        <v>1.26</v>
      </c>
      <c r="I5806">
        <v>76652</v>
      </c>
      <c r="J5806">
        <v>11204</v>
      </c>
      <c r="K5806">
        <v>70</v>
      </c>
      <c r="L5806">
        <v>70</v>
      </c>
      <c r="M5806">
        <v>0</v>
      </c>
      <c r="N5806" s="23">
        <v>0</v>
      </c>
      <c r="O5806">
        <f t="shared" si="1099"/>
        <v>-1</v>
      </c>
      <c r="P5806" s="57">
        <f t="shared" si="1100"/>
        <v>1</v>
      </c>
      <c r="Q5806" s="267">
        <f t="shared" si="1101"/>
        <v>56</v>
      </c>
      <c r="R5806" s="23">
        <f t="shared" si="1102"/>
        <v>1</v>
      </c>
      <c r="S5806" s="23">
        <f t="shared" si="1103"/>
        <v>0</v>
      </c>
      <c r="T5806" s="23" t="str">
        <f t="shared" si="1104"/>
        <v/>
      </c>
      <c r="U5806" t="str">
        <f t="shared" si="1105"/>
        <v/>
      </c>
      <c r="X5806" s="43"/>
      <c r="Y5806" s="53"/>
      <c r="Z5806" s="53"/>
      <c r="AA5806"/>
      <c r="AB5806" s="23"/>
      <c r="AF5806" s="22"/>
    </row>
    <row r="5807" spans="1:32">
      <c r="A5807" t="str">
        <f t="shared" si="1106"/>
        <v>PA_Alleg_2019p~Rep-member of county council district 5 (vote for 1)</v>
      </c>
      <c r="B5807" s="55" t="s">
        <v>1291</v>
      </c>
      <c r="C5807">
        <v>1161</v>
      </c>
      <c r="D5807" s="55" t="s">
        <v>35</v>
      </c>
      <c r="E5807" s="55" t="s">
        <v>1123</v>
      </c>
      <c r="F5807" t="s">
        <v>1117</v>
      </c>
      <c r="G5807" s="62">
        <v>3814</v>
      </c>
      <c r="H5807" s="25">
        <v>97.77</v>
      </c>
      <c r="I5807">
        <v>73100</v>
      </c>
      <c r="J5807">
        <v>12923</v>
      </c>
      <c r="K5807">
        <v>88</v>
      </c>
      <c r="L5807">
        <v>88</v>
      </c>
      <c r="M5807">
        <v>0</v>
      </c>
      <c r="N5807" s="23">
        <v>0</v>
      </c>
      <c r="O5807">
        <f t="shared" si="1099"/>
        <v>1</v>
      </c>
      <c r="P5807" s="57">
        <f t="shared" si="1100"/>
        <v>1</v>
      </c>
      <c r="Q5807" s="267">
        <f t="shared" si="1101"/>
        <v>3901</v>
      </c>
      <c r="R5807" s="23">
        <f t="shared" si="1102"/>
        <v>3814</v>
      </c>
      <c r="S5807" s="23">
        <f t="shared" si="1103"/>
        <v>0</v>
      </c>
      <c r="T5807" s="23" t="str">
        <f t="shared" si="1104"/>
        <v/>
      </c>
      <c r="U5807" t="str">
        <f t="shared" si="1105"/>
        <v>PA_Alleg_2019p~Rep-member of county council district 5 (vote for 1)</v>
      </c>
      <c r="X5807" s="43"/>
      <c r="Y5807" s="53"/>
      <c r="Z5807" s="53"/>
      <c r="AA5807"/>
      <c r="AB5807" s="23"/>
      <c r="AF5807" s="22"/>
    </row>
    <row r="5808" spans="1:32">
      <c r="A5808" t="str">
        <f t="shared" si="1106"/>
        <v>PA_Alleg_2019p~Rep-member of county council district 5 (vote for 1)</v>
      </c>
      <c r="B5808" s="55" t="s">
        <v>1291</v>
      </c>
      <c r="C5808">
        <v>1162</v>
      </c>
      <c r="D5808" s="55" t="s">
        <v>35</v>
      </c>
      <c r="E5808" s="55" t="s">
        <v>15</v>
      </c>
      <c r="F5808" t="s">
        <v>1117</v>
      </c>
      <c r="G5808" s="62">
        <v>87</v>
      </c>
      <c r="H5808" s="25">
        <v>2.23</v>
      </c>
      <c r="I5808">
        <v>73100</v>
      </c>
      <c r="J5808">
        <v>12923</v>
      </c>
      <c r="K5808">
        <v>88</v>
      </c>
      <c r="L5808">
        <v>88</v>
      </c>
      <c r="M5808">
        <v>0</v>
      </c>
      <c r="N5808" s="23">
        <v>0</v>
      </c>
      <c r="O5808">
        <f t="shared" si="1099"/>
        <v>-1</v>
      </c>
      <c r="P5808" s="57">
        <f t="shared" si="1100"/>
        <v>1</v>
      </c>
      <c r="Q5808" s="267">
        <f t="shared" si="1101"/>
        <v>87</v>
      </c>
      <c r="R5808" s="23">
        <f t="shared" si="1102"/>
        <v>1</v>
      </c>
      <c r="S5808" s="23">
        <f t="shared" si="1103"/>
        <v>0</v>
      </c>
      <c r="T5808" s="23" t="str">
        <f t="shared" si="1104"/>
        <v/>
      </c>
      <c r="U5808" t="str">
        <f t="shared" si="1105"/>
        <v/>
      </c>
      <c r="X5808" s="43"/>
      <c r="Y5808" s="53"/>
      <c r="Z5808" s="53"/>
      <c r="AA5808"/>
      <c r="AB5808" s="23"/>
      <c r="AF5808" s="22"/>
    </row>
    <row r="5809" spans="1:32">
      <c r="A5809" t="str">
        <f t="shared" si="1106"/>
        <v>PA_Alleg_2019p~Rep-member of county council district 6 (vote for 1)</v>
      </c>
      <c r="B5809" s="55" t="s">
        <v>1291</v>
      </c>
      <c r="C5809">
        <v>1163</v>
      </c>
      <c r="D5809" s="55" t="s">
        <v>37</v>
      </c>
      <c r="E5809" s="55" t="s">
        <v>15</v>
      </c>
      <c r="F5809" t="s">
        <v>1117</v>
      </c>
      <c r="G5809" s="62">
        <v>526</v>
      </c>
      <c r="H5809" s="25">
        <v>100</v>
      </c>
      <c r="I5809">
        <v>69638</v>
      </c>
      <c r="J5809">
        <v>10916</v>
      </c>
      <c r="K5809">
        <v>99</v>
      </c>
      <c r="L5809">
        <v>99</v>
      </c>
      <c r="M5809">
        <v>0</v>
      </c>
      <c r="N5809" s="23">
        <v>0</v>
      </c>
      <c r="O5809">
        <f t="shared" si="1099"/>
        <v>0</v>
      </c>
      <c r="P5809" s="57">
        <f t="shared" si="1100"/>
        <v>1</v>
      </c>
      <c r="Q5809" s="267">
        <f t="shared" si="1101"/>
        <v>526</v>
      </c>
      <c r="R5809" s="23">
        <f t="shared" si="1102"/>
        <v>1</v>
      </c>
      <c r="S5809" s="23">
        <f t="shared" si="1103"/>
        <v>0</v>
      </c>
      <c r="T5809" s="23" t="str">
        <f t="shared" si="1104"/>
        <v/>
      </c>
      <c r="U5809" t="str">
        <f t="shared" si="1105"/>
        <v>PA_Alleg_2019p~Rep-member of county council district 6 (vote for 1)</v>
      </c>
      <c r="X5809" s="43"/>
      <c r="Y5809" s="53"/>
      <c r="Z5809" s="53"/>
      <c r="AA5809"/>
      <c r="AB5809" s="23"/>
      <c r="AF5809" s="22"/>
    </row>
    <row r="5810" spans="1:32">
      <c r="A5810" t="str">
        <f t="shared" si="1106"/>
        <v>PA_Alleg_2019p~Rep-member of county council district 7 (vote for 1)</v>
      </c>
      <c r="B5810" s="55" t="s">
        <v>1291</v>
      </c>
      <c r="C5810">
        <v>1164</v>
      </c>
      <c r="D5810" s="55" t="s">
        <v>40</v>
      </c>
      <c r="E5810" s="55" t="s">
        <v>15</v>
      </c>
      <c r="F5810" t="s">
        <v>1117</v>
      </c>
      <c r="G5810" s="62">
        <v>117</v>
      </c>
      <c r="H5810" s="25">
        <v>100</v>
      </c>
      <c r="I5810">
        <v>69874</v>
      </c>
      <c r="J5810">
        <v>13329</v>
      </c>
      <c r="K5810">
        <v>105</v>
      </c>
      <c r="L5810">
        <v>105</v>
      </c>
      <c r="M5810">
        <v>0</v>
      </c>
      <c r="N5810" s="23">
        <v>0</v>
      </c>
      <c r="O5810">
        <f t="shared" si="1099"/>
        <v>0</v>
      </c>
      <c r="P5810" s="57">
        <f t="shared" si="1100"/>
        <v>1</v>
      </c>
      <c r="Q5810" s="267">
        <f t="shared" si="1101"/>
        <v>117</v>
      </c>
      <c r="R5810" s="23">
        <f t="shared" si="1102"/>
        <v>1</v>
      </c>
      <c r="S5810" s="23">
        <f t="shared" si="1103"/>
        <v>0</v>
      </c>
      <c r="T5810" s="23" t="str">
        <f t="shared" si="1104"/>
        <v/>
      </c>
      <c r="U5810" t="str">
        <f t="shared" si="1105"/>
        <v>PA_Alleg_2019p~Rep-member of county council district 7 (vote for 1)</v>
      </c>
      <c r="X5810" s="43"/>
      <c r="Y5810" s="53"/>
      <c r="Z5810" s="53"/>
      <c r="AA5810"/>
      <c r="AB5810" s="23"/>
      <c r="AF5810" s="22"/>
    </row>
    <row r="5811" spans="1:32">
      <c r="A5811" t="str">
        <f t="shared" si="1106"/>
        <v>PA_Alleg_2019p~Rep-school director allegheny valley (vote for 5)</v>
      </c>
      <c r="B5811" s="55" t="s">
        <v>1291</v>
      </c>
      <c r="C5811">
        <v>1205</v>
      </c>
      <c r="D5811" s="55" t="s">
        <v>106</v>
      </c>
      <c r="E5811" s="55" t="s">
        <v>111</v>
      </c>
      <c r="F5811" t="s">
        <v>1117</v>
      </c>
      <c r="G5811" s="62">
        <v>261</v>
      </c>
      <c r="H5811" s="25">
        <v>17.27</v>
      </c>
      <c r="I5811">
        <v>7212</v>
      </c>
      <c r="J5811">
        <v>1357</v>
      </c>
      <c r="K5811">
        <v>10</v>
      </c>
      <c r="L5811">
        <v>10</v>
      </c>
      <c r="M5811">
        <v>0</v>
      </c>
      <c r="N5811" s="23">
        <v>0</v>
      </c>
      <c r="O5811">
        <f t="shared" si="1099"/>
        <v>1</v>
      </c>
      <c r="P5811" s="57">
        <f t="shared" si="1100"/>
        <v>5</v>
      </c>
      <c r="Q5811" s="267">
        <f t="shared" si="1101"/>
        <v>302.2</v>
      </c>
      <c r="R5811" s="23">
        <f t="shared" si="1102"/>
        <v>185</v>
      </c>
      <c r="S5811" s="23">
        <f t="shared" si="1103"/>
        <v>180</v>
      </c>
      <c r="T5811" s="23">
        <f t="shared" si="1104"/>
        <v>5</v>
      </c>
      <c r="U5811" t="str">
        <f t="shared" si="1105"/>
        <v>PA_Alleg_2019p~Rep-school director allegheny valley (vote for 5)</v>
      </c>
      <c r="X5811" s="43"/>
      <c r="Y5811" s="53"/>
      <c r="Z5811" s="53"/>
      <c r="AA5811"/>
      <c r="AB5811" s="23"/>
      <c r="AF5811" s="22"/>
    </row>
    <row r="5812" spans="1:32">
      <c r="A5812" t="str">
        <f t="shared" si="1106"/>
        <v>PA_Alleg_2019p~Rep-school director allegheny valley (vote for 5)</v>
      </c>
      <c r="B5812" s="55" t="s">
        <v>1291</v>
      </c>
      <c r="C5812">
        <v>1208</v>
      </c>
      <c r="D5812" s="55" t="s">
        <v>106</v>
      </c>
      <c r="E5812" s="55" t="s">
        <v>113</v>
      </c>
      <c r="F5812" t="s">
        <v>1117</v>
      </c>
      <c r="G5812" s="62">
        <v>250</v>
      </c>
      <c r="H5812" s="25">
        <v>16.55</v>
      </c>
      <c r="I5812">
        <v>7212</v>
      </c>
      <c r="J5812">
        <v>1357</v>
      </c>
      <c r="K5812">
        <v>10</v>
      </c>
      <c r="L5812">
        <v>10</v>
      </c>
      <c r="M5812">
        <v>0</v>
      </c>
      <c r="N5812" s="23">
        <v>0</v>
      </c>
      <c r="O5812">
        <f t="shared" si="1099"/>
        <v>2</v>
      </c>
      <c r="P5812" s="57">
        <f t="shared" si="1100"/>
        <v>5</v>
      </c>
      <c r="Q5812" s="267">
        <f t="shared" si="1101"/>
        <v>1250</v>
      </c>
      <c r="R5812" s="23">
        <f t="shared" si="1102"/>
        <v>185</v>
      </c>
      <c r="S5812" s="23">
        <f t="shared" si="1103"/>
        <v>180</v>
      </c>
      <c r="T5812" s="23" t="str">
        <f t="shared" si="1104"/>
        <v/>
      </c>
      <c r="U5812" t="str">
        <f t="shared" si="1105"/>
        <v/>
      </c>
      <c r="X5812" s="43"/>
      <c r="Y5812" s="53"/>
      <c r="Z5812" s="53"/>
      <c r="AA5812"/>
      <c r="AB5812" s="23"/>
      <c r="AF5812" s="22"/>
    </row>
    <row r="5813" spans="1:32">
      <c r="A5813" t="str">
        <f t="shared" si="1106"/>
        <v>PA_Alleg_2019p~Rep-school director allegheny valley (vote for 5)</v>
      </c>
      <c r="B5813" s="55" t="s">
        <v>1291</v>
      </c>
      <c r="C5813">
        <v>1203</v>
      </c>
      <c r="D5813" s="55" t="s">
        <v>106</v>
      </c>
      <c r="E5813" s="55" t="s">
        <v>109</v>
      </c>
      <c r="F5813" t="s">
        <v>1117</v>
      </c>
      <c r="G5813" s="62">
        <v>227</v>
      </c>
      <c r="H5813" s="25">
        <v>15.02</v>
      </c>
      <c r="I5813">
        <v>7212</v>
      </c>
      <c r="J5813">
        <v>1357</v>
      </c>
      <c r="K5813">
        <v>10</v>
      </c>
      <c r="L5813">
        <v>10</v>
      </c>
      <c r="M5813">
        <v>0</v>
      </c>
      <c r="N5813" s="23">
        <v>0</v>
      </c>
      <c r="O5813">
        <f t="shared" si="1099"/>
        <v>3</v>
      </c>
      <c r="P5813" s="57">
        <f t="shared" si="1100"/>
        <v>5</v>
      </c>
      <c r="Q5813" s="267">
        <f t="shared" si="1101"/>
        <v>1000</v>
      </c>
      <c r="R5813" s="23">
        <f t="shared" si="1102"/>
        <v>185</v>
      </c>
      <c r="S5813" s="23">
        <f t="shared" si="1103"/>
        <v>180</v>
      </c>
      <c r="T5813" s="23" t="str">
        <f t="shared" si="1104"/>
        <v/>
      </c>
      <c r="U5813" t="str">
        <f t="shared" si="1105"/>
        <v/>
      </c>
      <c r="X5813" s="43"/>
      <c r="Y5813" s="53"/>
      <c r="Z5813" s="53"/>
      <c r="AA5813"/>
      <c r="AB5813" s="23"/>
      <c r="AF5813" s="22"/>
    </row>
    <row r="5814" spans="1:32">
      <c r="A5814" t="str">
        <f t="shared" si="1106"/>
        <v>PA_Alleg_2019p~Rep-school director allegheny valley (vote for 5)</v>
      </c>
      <c r="B5814" s="55" t="s">
        <v>1291</v>
      </c>
      <c r="C5814">
        <v>1206</v>
      </c>
      <c r="D5814" s="55" t="s">
        <v>106</v>
      </c>
      <c r="E5814" s="55" t="s">
        <v>108</v>
      </c>
      <c r="F5814" t="s">
        <v>1117</v>
      </c>
      <c r="G5814" s="62">
        <v>224</v>
      </c>
      <c r="H5814" s="25">
        <v>14.82</v>
      </c>
      <c r="I5814">
        <v>7212</v>
      </c>
      <c r="J5814">
        <v>1357</v>
      </c>
      <c r="K5814">
        <v>10</v>
      </c>
      <c r="L5814">
        <v>10</v>
      </c>
      <c r="M5814">
        <v>0</v>
      </c>
      <c r="N5814" s="23">
        <v>0</v>
      </c>
      <c r="O5814">
        <f t="shared" si="1099"/>
        <v>4</v>
      </c>
      <c r="P5814" s="57">
        <f t="shared" si="1100"/>
        <v>5</v>
      </c>
      <c r="Q5814" s="267">
        <f t="shared" si="1101"/>
        <v>773</v>
      </c>
      <c r="R5814" s="23">
        <f t="shared" si="1102"/>
        <v>185</v>
      </c>
      <c r="S5814" s="23">
        <f t="shared" si="1103"/>
        <v>180</v>
      </c>
      <c r="T5814" s="23" t="str">
        <f t="shared" si="1104"/>
        <v/>
      </c>
      <c r="U5814" t="str">
        <f t="shared" si="1105"/>
        <v/>
      </c>
      <c r="X5814" s="43"/>
      <c r="Y5814" s="53"/>
      <c r="Z5814" s="53"/>
      <c r="AA5814"/>
      <c r="AB5814" s="23"/>
      <c r="AF5814" s="22"/>
    </row>
    <row r="5815" spans="1:32">
      <c r="A5815" t="str">
        <f t="shared" si="1106"/>
        <v>PA_Alleg_2019p~Rep-school director allegheny valley (vote for 5)</v>
      </c>
      <c r="B5815" s="55" t="s">
        <v>1291</v>
      </c>
      <c r="C5815">
        <v>1207</v>
      </c>
      <c r="D5815" s="55" t="s">
        <v>106</v>
      </c>
      <c r="E5815" s="55" t="s">
        <v>110</v>
      </c>
      <c r="F5815" t="s">
        <v>1117</v>
      </c>
      <c r="G5815" s="62">
        <v>185</v>
      </c>
      <c r="H5815" s="25">
        <v>12.24</v>
      </c>
      <c r="I5815">
        <v>7212</v>
      </c>
      <c r="J5815">
        <v>1357</v>
      </c>
      <c r="K5815">
        <v>10</v>
      </c>
      <c r="L5815">
        <v>10</v>
      </c>
      <c r="M5815">
        <v>0</v>
      </c>
      <c r="N5815" s="23">
        <v>0</v>
      </c>
      <c r="O5815">
        <f t="shared" si="1099"/>
        <v>5</v>
      </c>
      <c r="P5815" s="57">
        <f t="shared" si="1100"/>
        <v>5</v>
      </c>
      <c r="Q5815" s="267">
        <f t="shared" si="1101"/>
        <v>549</v>
      </c>
      <c r="R5815" s="23">
        <f t="shared" si="1102"/>
        <v>185</v>
      </c>
      <c r="S5815" s="23">
        <f t="shared" si="1103"/>
        <v>180</v>
      </c>
      <c r="T5815" s="23" t="str">
        <f t="shared" si="1104"/>
        <v/>
      </c>
      <c r="U5815" t="str">
        <f t="shared" si="1105"/>
        <v/>
      </c>
      <c r="X5815" s="43"/>
      <c r="Y5815" s="53"/>
      <c r="Z5815" s="53"/>
      <c r="AA5815"/>
      <c r="AB5815" s="23"/>
      <c r="AF5815" s="22"/>
    </row>
    <row r="5816" spans="1:32">
      <c r="A5816" t="str">
        <f t="shared" si="1106"/>
        <v>PA_Alleg_2019p~Rep-school director allegheny valley (vote for 5)</v>
      </c>
      <c r="B5816" s="55" t="s">
        <v>1291</v>
      </c>
      <c r="C5816">
        <v>1202</v>
      </c>
      <c r="D5816" s="55" t="s">
        <v>106</v>
      </c>
      <c r="E5816" s="55" t="s">
        <v>107</v>
      </c>
      <c r="F5816" t="s">
        <v>1117</v>
      </c>
      <c r="G5816" s="62">
        <v>180</v>
      </c>
      <c r="H5816" s="25">
        <v>11.91</v>
      </c>
      <c r="I5816">
        <v>7212</v>
      </c>
      <c r="J5816">
        <v>1357</v>
      </c>
      <c r="K5816">
        <v>10</v>
      </c>
      <c r="L5816">
        <v>10</v>
      </c>
      <c r="M5816">
        <v>0</v>
      </c>
      <c r="N5816" s="23">
        <v>0</v>
      </c>
      <c r="O5816">
        <f t="shared" si="1099"/>
        <v>6</v>
      </c>
      <c r="P5816" s="57">
        <f t="shared" si="1100"/>
        <v>5</v>
      </c>
      <c r="Q5816" s="267">
        <f t="shared" si="1101"/>
        <v>364</v>
      </c>
      <c r="R5816" s="23" t="str">
        <f t="shared" si="1102"/>
        <v/>
      </c>
      <c r="S5816" s="23">
        <f t="shared" si="1103"/>
        <v>180</v>
      </c>
      <c r="T5816" s="23" t="str">
        <f t="shared" si="1104"/>
        <v/>
      </c>
      <c r="U5816" t="str">
        <f t="shared" si="1105"/>
        <v/>
      </c>
      <c r="X5816" s="43"/>
      <c r="Y5816" s="53"/>
      <c r="Z5816" s="53"/>
      <c r="AA5816"/>
      <c r="AB5816" s="23"/>
      <c r="AF5816" s="22"/>
    </row>
    <row r="5817" spans="1:32">
      <c r="A5817" t="str">
        <f t="shared" si="1106"/>
        <v>PA_Alleg_2019p~Rep-school director allegheny valley (vote for 5)</v>
      </c>
      <c r="B5817" s="55" t="s">
        <v>1291</v>
      </c>
      <c r="C5817">
        <v>1204</v>
      </c>
      <c r="D5817" s="55" t="s">
        <v>106</v>
      </c>
      <c r="E5817" s="55" t="s">
        <v>112</v>
      </c>
      <c r="F5817" t="s">
        <v>1117</v>
      </c>
      <c r="G5817" s="62">
        <v>174</v>
      </c>
      <c r="H5817" s="25">
        <v>11.52</v>
      </c>
      <c r="I5817">
        <v>7212</v>
      </c>
      <c r="J5817">
        <v>1357</v>
      </c>
      <c r="K5817">
        <v>10</v>
      </c>
      <c r="L5817">
        <v>10</v>
      </c>
      <c r="M5817">
        <v>0</v>
      </c>
      <c r="N5817" s="23">
        <v>0</v>
      </c>
      <c r="O5817">
        <f t="shared" si="1099"/>
        <v>7</v>
      </c>
      <c r="P5817" s="57">
        <f t="shared" si="1100"/>
        <v>5</v>
      </c>
      <c r="Q5817" s="267">
        <f t="shared" si="1101"/>
        <v>184</v>
      </c>
      <c r="R5817" s="23" t="str">
        <f t="shared" si="1102"/>
        <v/>
      </c>
      <c r="S5817" s="23">
        <f t="shared" si="1103"/>
        <v>174</v>
      </c>
      <c r="T5817" s="23" t="str">
        <f t="shared" si="1104"/>
        <v/>
      </c>
      <c r="U5817" t="str">
        <f t="shared" si="1105"/>
        <v/>
      </c>
      <c r="X5817" s="43"/>
      <c r="Y5817" s="53"/>
      <c r="Z5817" s="53"/>
      <c r="AA5817"/>
      <c r="AB5817" s="23"/>
      <c r="AF5817" s="22"/>
    </row>
    <row r="5818" spans="1:32">
      <c r="A5818" t="str">
        <f t="shared" si="1106"/>
        <v>PA_Alleg_2019p~Rep-school director allegheny valley (vote for 5)</v>
      </c>
      <c r="B5818" s="55" t="s">
        <v>1291</v>
      </c>
      <c r="C5818">
        <v>1209</v>
      </c>
      <c r="D5818" s="55" t="s">
        <v>106</v>
      </c>
      <c r="E5818" s="55" t="s">
        <v>15</v>
      </c>
      <c r="F5818" t="s">
        <v>1117</v>
      </c>
      <c r="G5818" s="62">
        <v>10</v>
      </c>
      <c r="H5818" s="25">
        <v>0.66</v>
      </c>
      <c r="I5818">
        <v>7212</v>
      </c>
      <c r="J5818">
        <v>1357</v>
      </c>
      <c r="K5818">
        <v>10</v>
      </c>
      <c r="L5818">
        <v>10</v>
      </c>
      <c r="M5818">
        <v>0</v>
      </c>
      <c r="N5818" s="23">
        <v>0</v>
      </c>
      <c r="O5818">
        <f t="shared" si="1099"/>
        <v>-7</v>
      </c>
      <c r="P5818" s="57">
        <f t="shared" si="1100"/>
        <v>5</v>
      </c>
      <c r="Q5818" s="267">
        <f t="shared" si="1101"/>
        <v>10</v>
      </c>
      <c r="R5818" s="23">
        <f t="shared" si="1102"/>
        <v>1</v>
      </c>
      <c r="S5818" s="23">
        <f t="shared" si="1103"/>
        <v>0</v>
      </c>
      <c r="T5818" s="23" t="str">
        <f t="shared" si="1104"/>
        <v/>
      </c>
      <c r="U5818" t="str">
        <f t="shared" si="1105"/>
        <v/>
      </c>
      <c r="X5818" s="43"/>
      <c r="Y5818" s="53"/>
      <c r="Z5818" s="53"/>
      <c r="AA5818"/>
      <c r="AB5818" s="23"/>
      <c r="AF5818" s="22"/>
    </row>
    <row r="5819" spans="1:32">
      <c r="A5819" t="str">
        <f t="shared" si="1106"/>
        <v>PA_Alleg_2019p~Rep-school director at large v3 t4 steel valley (vote for 3)</v>
      </c>
      <c r="B5819" s="55" t="s">
        <v>1291</v>
      </c>
      <c r="C5819">
        <v>1195</v>
      </c>
      <c r="D5819" s="55" t="s">
        <v>98</v>
      </c>
      <c r="E5819" s="55" t="s">
        <v>100</v>
      </c>
      <c r="F5819" t="s">
        <v>1117</v>
      </c>
      <c r="G5819" s="62">
        <v>312</v>
      </c>
      <c r="H5819" s="25">
        <v>39.54</v>
      </c>
      <c r="I5819">
        <v>12122</v>
      </c>
      <c r="J5819">
        <v>2800</v>
      </c>
      <c r="K5819">
        <v>21</v>
      </c>
      <c r="L5819">
        <v>21</v>
      </c>
      <c r="M5819">
        <v>0</v>
      </c>
      <c r="N5819" s="23">
        <v>0</v>
      </c>
      <c r="O5819">
        <f t="shared" si="1099"/>
        <v>1</v>
      </c>
      <c r="P5819" s="57">
        <f t="shared" si="1100"/>
        <v>3</v>
      </c>
      <c r="Q5819" s="267">
        <f t="shared" si="1101"/>
        <v>312</v>
      </c>
      <c r="R5819" s="23">
        <f t="shared" si="1102"/>
        <v>207</v>
      </c>
      <c r="S5819" s="23">
        <f t="shared" si="1103"/>
        <v>0</v>
      </c>
      <c r="T5819" s="23" t="str">
        <f t="shared" si="1104"/>
        <v/>
      </c>
      <c r="U5819" t="str">
        <f t="shared" si="1105"/>
        <v>PA_Alleg_2019p~Rep-school director at large v3 t4 steel valley (vote for 3)</v>
      </c>
      <c r="X5819" s="43"/>
      <c r="Y5819" s="53"/>
      <c r="Z5819" s="53"/>
      <c r="AA5819"/>
      <c r="AB5819" s="23"/>
      <c r="AF5819" s="22"/>
    </row>
    <row r="5820" spans="1:32">
      <c r="A5820" t="str">
        <f t="shared" si="1106"/>
        <v>PA_Alleg_2019p~Rep-school director at large v3 t4 steel valley (vote for 3)</v>
      </c>
      <c r="B5820" s="55" t="s">
        <v>1291</v>
      </c>
      <c r="C5820">
        <v>1196</v>
      </c>
      <c r="D5820" s="55" t="s">
        <v>98</v>
      </c>
      <c r="E5820" s="55" t="s">
        <v>101</v>
      </c>
      <c r="F5820" t="s">
        <v>1117</v>
      </c>
      <c r="G5820" s="62">
        <v>248</v>
      </c>
      <c r="H5820" s="25">
        <v>31.43</v>
      </c>
      <c r="I5820">
        <v>12122</v>
      </c>
      <c r="J5820">
        <v>2800</v>
      </c>
      <c r="K5820">
        <v>21</v>
      </c>
      <c r="L5820">
        <v>21</v>
      </c>
      <c r="M5820">
        <v>0</v>
      </c>
      <c r="N5820" s="23">
        <v>0</v>
      </c>
      <c r="O5820">
        <f t="shared" si="1099"/>
        <v>2</v>
      </c>
      <c r="P5820" s="57">
        <f t="shared" si="1100"/>
        <v>3</v>
      </c>
      <c r="Q5820" s="267">
        <f t="shared" si="1101"/>
        <v>477</v>
      </c>
      <c r="R5820" s="23">
        <f t="shared" si="1102"/>
        <v>207</v>
      </c>
      <c r="S5820" s="23">
        <f t="shared" si="1103"/>
        <v>0</v>
      </c>
      <c r="T5820" s="23" t="str">
        <f t="shared" si="1104"/>
        <v/>
      </c>
      <c r="U5820" t="str">
        <f t="shared" si="1105"/>
        <v/>
      </c>
      <c r="X5820" s="43"/>
      <c r="Y5820" s="53"/>
      <c r="Z5820" s="53"/>
      <c r="AA5820"/>
      <c r="AB5820" s="23"/>
      <c r="AF5820" s="22"/>
    </row>
    <row r="5821" spans="1:32">
      <c r="A5821" t="str">
        <f t="shared" si="1106"/>
        <v>PA_Alleg_2019p~Rep-school director at large v3 t4 steel valley (vote for 3)</v>
      </c>
      <c r="B5821" s="55" t="s">
        <v>1291</v>
      </c>
      <c r="C5821">
        <v>1197</v>
      </c>
      <c r="D5821" s="55" t="s">
        <v>98</v>
      </c>
      <c r="E5821" s="55" t="s">
        <v>99</v>
      </c>
      <c r="F5821" t="s">
        <v>1117</v>
      </c>
      <c r="G5821" s="62">
        <v>207</v>
      </c>
      <c r="H5821" s="25">
        <v>26.24</v>
      </c>
      <c r="I5821">
        <v>12122</v>
      </c>
      <c r="J5821">
        <v>2800</v>
      </c>
      <c r="K5821">
        <v>21</v>
      </c>
      <c r="L5821">
        <v>21</v>
      </c>
      <c r="M5821">
        <v>0</v>
      </c>
      <c r="N5821" s="23">
        <v>0</v>
      </c>
      <c r="O5821">
        <f t="shared" si="1099"/>
        <v>3</v>
      </c>
      <c r="P5821" s="57">
        <f t="shared" si="1100"/>
        <v>3</v>
      </c>
      <c r="Q5821" s="267">
        <f t="shared" si="1101"/>
        <v>229</v>
      </c>
      <c r="R5821" s="23">
        <f t="shared" si="1102"/>
        <v>207</v>
      </c>
      <c r="S5821" s="23">
        <f t="shared" si="1103"/>
        <v>0</v>
      </c>
      <c r="T5821" s="23" t="str">
        <f t="shared" si="1104"/>
        <v/>
      </c>
      <c r="U5821" t="str">
        <f t="shared" si="1105"/>
        <v/>
      </c>
      <c r="X5821" s="43"/>
      <c r="Y5821" s="53"/>
      <c r="Z5821" s="53"/>
      <c r="AA5821"/>
      <c r="AB5821" s="23"/>
      <c r="AF5821" s="22"/>
    </row>
    <row r="5822" spans="1:32">
      <c r="A5822" t="str">
        <f t="shared" si="1106"/>
        <v>PA_Alleg_2019p~Rep-school director at large v3 t4 steel valley (vote for 3)</v>
      </c>
      <c r="B5822" s="55" t="s">
        <v>1291</v>
      </c>
      <c r="C5822">
        <v>1198</v>
      </c>
      <c r="D5822" s="55" t="s">
        <v>98</v>
      </c>
      <c r="E5822" s="55" t="s">
        <v>15</v>
      </c>
      <c r="F5822" t="s">
        <v>1117</v>
      </c>
      <c r="G5822" s="62">
        <v>22</v>
      </c>
      <c r="H5822" s="25">
        <v>2.79</v>
      </c>
      <c r="I5822">
        <v>12122</v>
      </c>
      <c r="J5822">
        <v>2800</v>
      </c>
      <c r="K5822">
        <v>21</v>
      </c>
      <c r="L5822">
        <v>21</v>
      </c>
      <c r="M5822">
        <v>0</v>
      </c>
      <c r="N5822" s="23">
        <v>0</v>
      </c>
      <c r="O5822">
        <f t="shared" si="1099"/>
        <v>-3</v>
      </c>
      <c r="P5822" s="57">
        <f t="shared" si="1100"/>
        <v>3</v>
      </c>
      <c r="Q5822" s="267">
        <f t="shared" si="1101"/>
        <v>22</v>
      </c>
      <c r="R5822" s="23">
        <f t="shared" si="1102"/>
        <v>1</v>
      </c>
      <c r="S5822" s="23">
        <f t="shared" si="1103"/>
        <v>0</v>
      </c>
      <c r="T5822" s="23" t="str">
        <f t="shared" si="1104"/>
        <v/>
      </c>
      <c r="U5822" t="str">
        <f t="shared" si="1105"/>
        <v/>
      </c>
      <c r="X5822" s="43"/>
      <c r="Y5822" s="53"/>
      <c r="Z5822" s="53"/>
      <c r="AA5822"/>
      <c r="AB5822" s="23"/>
      <c r="AF5822" s="22"/>
    </row>
    <row r="5823" spans="1:32">
      <c r="A5823" t="str">
        <f t="shared" si="1106"/>
        <v>PA_Alleg_2019p~Rep-school director at-large clairton (vote for 1)</v>
      </c>
      <c r="B5823" s="55" t="s">
        <v>1291</v>
      </c>
      <c r="C5823">
        <v>1199</v>
      </c>
      <c r="D5823" s="55" t="s">
        <v>103</v>
      </c>
      <c r="E5823" s="55" t="s">
        <v>104</v>
      </c>
      <c r="F5823" t="s">
        <v>1117</v>
      </c>
      <c r="G5823" s="62">
        <v>56</v>
      </c>
      <c r="H5823" s="25">
        <v>96.55</v>
      </c>
      <c r="I5823">
        <v>4581</v>
      </c>
      <c r="J5823">
        <v>747</v>
      </c>
      <c r="K5823">
        <v>12</v>
      </c>
      <c r="L5823">
        <v>12</v>
      </c>
      <c r="M5823">
        <v>0</v>
      </c>
      <c r="N5823" s="23">
        <v>0</v>
      </c>
      <c r="O5823">
        <f t="shared" si="1099"/>
        <v>1</v>
      </c>
      <c r="P5823" s="57">
        <f t="shared" si="1100"/>
        <v>1</v>
      </c>
      <c r="Q5823" s="267">
        <f t="shared" si="1101"/>
        <v>58</v>
      </c>
      <c r="R5823" s="23">
        <f t="shared" si="1102"/>
        <v>56</v>
      </c>
      <c r="S5823" s="23">
        <f t="shared" si="1103"/>
        <v>0</v>
      </c>
      <c r="T5823" s="23" t="str">
        <f t="shared" si="1104"/>
        <v/>
      </c>
      <c r="U5823" t="str">
        <f t="shared" si="1105"/>
        <v>PA_Alleg_2019p~Rep-school director at-large clairton (vote for 1)</v>
      </c>
      <c r="X5823" s="43"/>
      <c r="Y5823" s="53"/>
      <c r="Z5823" s="53"/>
      <c r="AA5823"/>
      <c r="AB5823" s="23"/>
      <c r="AF5823" s="22"/>
    </row>
    <row r="5824" spans="1:32">
      <c r="A5824" t="str">
        <f t="shared" si="1106"/>
        <v>PA_Alleg_2019p~Rep-school director at-large clairton (vote for 1)</v>
      </c>
      <c r="B5824" s="55" t="s">
        <v>1291</v>
      </c>
      <c r="C5824">
        <v>1200</v>
      </c>
      <c r="D5824" s="55" t="s">
        <v>103</v>
      </c>
      <c r="E5824" s="55" t="s">
        <v>15</v>
      </c>
      <c r="F5824" t="s">
        <v>1117</v>
      </c>
      <c r="G5824" s="62">
        <v>2</v>
      </c>
      <c r="H5824" s="25">
        <v>3.45</v>
      </c>
      <c r="I5824">
        <v>4581</v>
      </c>
      <c r="J5824">
        <v>747</v>
      </c>
      <c r="K5824">
        <v>12</v>
      </c>
      <c r="L5824">
        <v>12</v>
      </c>
      <c r="M5824">
        <v>0</v>
      </c>
      <c r="N5824" s="23">
        <v>0</v>
      </c>
      <c r="O5824">
        <f t="shared" si="1099"/>
        <v>-1</v>
      </c>
      <c r="P5824" s="57">
        <f t="shared" si="1100"/>
        <v>1</v>
      </c>
      <c r="Q5824" s="267">
        <f t="shared" si="1101"/>
        <v>2</v>
      </c>
      <c r="R5824" s="23">
        <f t="shared" si="1102"/>
        <v>1</v>
      </c>
      <c r="S5824" s="23">
        <f t="shared" si="1103"/>
        <v>0</v>
      </c>
      <c r="T5824" s="23" t="str">
        <f t="shared" si="1104"/>
        <v/>
      </c>
      <c r="U5824" t="str">
        <f t="shared" si="1105"/>
        <v/>
      </c>
      <c r="X5824" s="43"/>
      <c r="Y5824" s="53"/>
      <c r="Z5824" s="53"/>
      <c r="AA5824"/>
      <c r="AB5824" s="23"/>
      <c r="AF5824" s="22"/>
    </row>
    <row r="5825" spans="1:32">
      <c r="A5825" t="str">
        <f t="shared" si="1106"/>
        <v>PA_Alleg_2019p~Rep-school director at-large sto-rox (vote for 1)</v>
      </c>
      <c r="B5825" s="55" t="s">
        <v>1291</v>
      </c>
      <c r="C5825">
        <v>1201</v>
      </c>
      <c r="D5825" s="55" t="s">
        <v>105</v>
      </c>
      <c r="E5825" s="55" t="s">
        <v>15</v>
      </c>
      <c r="F5825" t="s">
        <v>1117</v>
      </c>
      <c r="G5825" s="62">
        <v>13</v>
      </c>
      <c r="H5825" s="25">
        <v>100</v>
      </c>
      <c r="I5825">
        <v>8515</v>
      </c>
      <c r="J5825">
        <v>1422</v>
      </c>
      <c r="K5825">
        <v>18</v>
      </c>
      <c r="L5825">
        <v>18</v>
      </c>
      <c r="M5825">
        <v>0</v>
      </c>
      <c r="N5825" s="23">
        <v>0</v>
      </c>
      <c r="O5825">
        <f t="shared" si="1099"/>
        <v>0</v>
      </c>
      <c r="P5825" s="57">
        <f t="shared" si="1100"/>
        <v>1</v>
      </c>
      <c r="Q5825" s="267">
        <f t="shared" si="1101"/>
        <v>13</v>
      </c>
      <c r="R5825" s="23">
        <f t="shared" si="1102"/>
        <v>1</v>
      </c>
      <c r="S5825" s="23">
        <f t="shared" si="1103"/>
        <v>0</v>
      </c>
      <c r="T5825" s="23" t="str">
        <f t="shared" si="1104"/>
        <v/>
      </c>
      <c r="U5825" t="str">
        <f t="shared" si="1105"/>
        <v>PA_Alleg_2019p~Rep-school director at-large sto-rox (vote for 1)</v>
      </c>
      <c r="X5825" s="43"/>
      <c r="Y5825" s="53"/>
      <c r="Z5825" s="53"/>
      <c r="AA5825"/>
      <c r="AB5825" s="23"/>
      <c r="AF5825" s="22"/>
    </row>
    <row r="5826" spans="1:32">
      <c r="A5826" t="str">
        <f t="shared" si="1106"/>
        <v>PA_Alleg_2019p~Rep-school director avonworth (vote for 5)</v>
      </c>
      <c r="B5826" s="55" t="s">
        <v>1291</v>
      </c>
      <c r="C5826">
        <v>1211</v>
      </c>
      <c r="D5826" s="55" t="s">
        <v>114</v>
      </c>
      <c r="E5826" s="55" t="s">
        <v>116</v>
      </c>
      <c r="F5826" t="s">
        <v>1117</v>
      </c>
      <c r="G5826" s="62">
        <v>318</v>
      </c>
      <c r="H5826" s="25">
        <v>21.53</v>
      </c>
      <c r="I5826">
        <v>9306</v>
      </c>
      <c r="J5826">
        <v>1207</v>
      </c>
      <c r="K5826">
        <v>9</v>
      </c>
      <c r="L5826">
        <v>9</v>
      </c>
      <c r="M5826">
        <v>0</v>
      </c>
      <c r="N5826" s="23">
        <v>0</v>
      </c>
      <c r="O5826">
        <f t="shared" ref="O5826:O5889" si="1107">IF(OR(LOWER(LEFT(E5826,8))="write-in",LOWER(LEFT(E5826,8))="not qual"),IF(A5826=A5825,-ABS(O5825),0),IF(A5826=A5825,ABS(O5825)+1,1))</f>
        <v>1</v>
      </c>
      <c r="P5826" s="57">
        <f t="shared" ref="P5826:P5889" si="1108">1*LEFT(RIGHT(A5826,2),1)</f>
        <v>5</v>
      </c>
      <c r="Q5826" s="267">
        <f t="shared" ref="Q5826:Q5889" si="1109">IF(A5826&lt;&gt;A5827,G5826,IF(A5826=A5825,G5826+Q5827,MAX(G5826,(G5826+Q5827)/P5826)))</f>
        <v>318</v>
      </c>
      <c r="R5826" s="23">
        <f t="shared" ref="R5826:R5889" si="1110">IF(O5826&gt;P5826,"",IF(O5826=P5826,G5826,IF(A5826=A5827,R5827,IF(O5826&lt;=0,1,G5826))))</f>
        <v>252</v>
      </c>
      <c r="S5826" s="23">
        <f t="shared" ref="S5826:S5889" si="1111">IF(AND(O5826&gt;P5826,LOWER(LEFT(E5826,8))&lt;&gt;"write-in",LOWER(LEFT(E5826,8))&lt;&gt;"not qual"),G5826,IF(A5826=A5827,S5827,0))</f>
        <v>0</v>
      </c>
      <c r="T5826" s="23" t="str">
        <f t="shared" ref="T5826:T5889" si="1112">IF(OR(A5826=A5825,S5826=0),"",R5826-ABS(S5826))</f>
        <v/>
      </c>
      <c r="U5826" t="str">
        <f t="shared" ref="U5826:U5889" si="1113">IF(A5826=A5825,"",A5826)</f>
        <v>PA_Alleg_2019p~Rep-school director avonworth (vote for 5)</v>
      </c>
      <c r="X5826" s="43"/>
      <c r="Y5826" s="53"/>
      <c r="Z5826" s="53"/>
      <c r="AA5826"/>
      <c r="AB5826" s="23"/>
      <c r="AF5826" s="22"/>
    </row>
    <row r="5827" spans="1:32">
      <c r="A5827" t="str">
        <f t="shared" ref="A5827:A5890" si="1114">CONCATENATE(B5827,"~",F5827,"-",LOWER(D5827))</f>
        <v>PA_Alleg_2019p~Rep-school director avonworth (vote for 5)</v>
      </c>
      <c r="B5827" s="55" t="s">
        <v>1291</v>
      </c>
      <c r="C5827">
        <v>1210</v>
      </c>
      <c r="D5827" s="55" t="s">
        <v>114</v>
      </c>
      <c r="E5827" s="55" t="s">
        <v>115</v>
      </c>
      <c r="F5827" t="s">
        <v>1117</v>
      </c>
      <c r="G5827" s="62">
        <v>305</v>
      </c>
      <c r="H5827" s="25">
        <v>20.65</v>
      </c>
      <c r="I5827">
        <v>9306</v>
      </c>
      <c r="J5827">
        <v>1207</v>
      </c>
      <c r="K5827">
        <v>9</v>
      </c>
      <c r="L5827">
        <v>9</v>
      </c>
      <c r="M5827">
        <v>0</v>
      </c>
      <c r="N5827" s="23">
        <v>0</v>
      </c>
      <c r="O5827">
        <f t="shared" si="1107"/>
        <v>2</v>
      </c>
      <c r="P5827" s="57">
        <f t="shared" si="1108"/>
        <v>5</v>
      </c>
      <c r="Q5827" s="267">
        <f t="shared" si="1109"/>
        <v>1159</v>
      </c>
      <c r="R5827" s="23">
        <f t="shared" si="1110"/>
        <v>252</v>
      </c>
      <c r="S5827" s="23">
        <f t="shared" si="1111"/>
        <v>0</v>
      </c>
      <c r="T5827" s="23" t="str">
        <f t="shared" si="1112"/>
        <v/>
      </c>
      <c r="U5827" t="str">
        <f t="shared" si="1113"/>
        <v/>
      </c>
      <c r="X5827" s="43"/>
      <c r="Y5827" s="53"/>
      <c r="Z5827" s="53"/>
      <c r="AA5827"/>
      <c r="AB5827" s="23"/>
      <c r="AF5827" s="22"/>
    </row>
    <row r="5828" spans="1:32">
      <c r="A5828" t="str">
        <f t="shared" si="1114"/>
        <v>PA_Alleg_2019p~Rep-school director avonworth (vote for 5)</v>
      </c>
      <c r="B5828" s="55" t="s">
        <v>1291</v>
      </c>
      <c r="C5828">
        <v>1213</v>
      </c>
      <c r="D5828" s="55" t="s">
        <v>114</v>
      </c>
      <c r="E5828" s="55" t="s">
        <v>118</v>
      </c>
      <c r="F5828" t="s">
        <v>1117</v>
      </c>
      <c r="G5828" s="62">
        <v>293</v>
      </c>
      <c r="H5828" s="25">
        <v>19.84</v>
      </c>
      <c r="I5828">
        <v>9306</v>
      </c>
      <c r="J5828">
        <v>1207</v>
      </c>
      <c r="K5828">
        <v>9</v>
      </c>
      <c r="L5828">
        <v>9</v>
      </c>
      <c r="M5828">
        <v>0</v>
      </c>
      <c r="N5828" s="23">
        <v>0</v>
      </c>
      <c r="O5828">
        <f t="shared" si="1107"/>
        <v>3</v>
      </c>
      <c r="P5828" s="57">
        <f t="shared" si="1108"/>
        <v>5</v>
      </c>
      <c r="Q5828" s="267">
        <f t="shared" si="1109"/>
        <v>854</v>
      </c>
      <c r="R5828" s="23">
        <f t="shared" si="1110"/>
        <v>252</v>
      </c>
      <c r="S5828" s="23">
        <f t="shared" si="1111"/>
        <v>0</v>
      </c>
      <c r="T5828" s="23" t="str">
        <f t="shared" si="1112"/>
        <v/>
      </c>
      <c r="U5828" t="str">
        <f t="shared" si="1113"/>
        <v/>
      </c>
      <c r="X5828" s="43"/>
      <c r="Y5828" s="53"/>
      <c r="Z5828" s="53"/>
      <c r="AA5828"/>
      <c r="AB5828" s="23"/>
      <c r="AF5828" s="22"/>
    </row>
    <row r="5829" spans="1:32">
      <c r="A5829" t="str">
        <f t="shared" si="1114"/>
        <v>PA_Alleg_2019p~Rep-school director avonworth (vote for 5)</v>
      </c>
      <c r="B5829" s="55" t="s">
        <v>1291</v>
      </c>
      <c r="C5829">
        <v>1214</v>
      </c>
      <c r="D5829" s="55" t="s">
        <v>114</v>
      </c>
      <c r="E5829" s="55" t="s">
        <v>117</v>
      </c>
      <c r="F5829" t="s">
        <v>1117</v>
      </c>
      <c r="G5829" s="62">
        <v>292</v>
      </c>
      <c r="H5829" s="25">
        <v>19.77</v>
      </c>
      <c r="I5829">
        <v>9306</v>
      </c>
      <c r="J5829">
        <v>1207</v>
      </c>
      <c r="K5829">
        <v>9</v>
      </c>
      <c r="L5829">
        <v>9</v>
      </c>
      <c r="M5829">
        <v>0</v>
      </c>
      <c r="N5829" s="23">
        <v>0</v>
      </c>
      <c r="O5829">
        <f t="shared" si="1107"/>
        <v>4</v>
      </c>
      <c r="P5829" s="57">
        <f t="shared" si="1108"/>
        <v>5</v>
      </c>
      <c r="Q5829" s="267">
        <f t="shared" si="1109"/>
        <v>561</v>
      </c>
      <c r="R5829" s="23">
        <f t="shared" si="1110"/>
        <v>252</v>
      </c>
      <c r="S5829" s="23">
        <f t="shared" si="1111"/>
        <v>0</v>
      </c>
      <c r="T5829" s="23" t="str">
        <f t="shared" si="1112"/>
        <v/>
      </c>
      <c r="U5829" t="str">
        <f t="shared" si="1113"/>
        <v/>
      </c>
      <c r="X5829" s="43"/>
      <c r="Y5829" s="53"/>
      <c r="Z5829" s="53"/>
      <c r="AA5829"/>
      <c r="AB5829" s="23"/>
      <c r="AF5829" s="22"/>
    </row>
    <row r="5830" spans="1:32">
      <c r="A5830" t="str">
        <f t="shared" si="1114"/>
        <v>PA_Alleg_2019p~Rep-school director avonworth (vote for 5)</v>
      </c>
      <c r="B5830" s="55" t="s">
        <v>1291</v>
      </c>
      <c r="C5830">
        <v>1212</v>
      </c>
      <c r="D5830" s="55" t="s">
        <v>114</v>
      </c>
      <c r="E5830" s="55" t="s">
        <v>119</v>
      </c>
      <c r="F5830" t="s">
        <v>1117</v>
      </c>
      <c r="G5830" s="62">
        <v>252</v>
      </c>
      <c r="H5830" s="25">
        <v>17.059999999999999</v>
      </c>
      <c r="I5830">
        <v>9306</v>
      </c>
      <c r="J5830">
        <v>1207</v>
      </c>
      <c r="K5830">
        <v>9</v>
      </c>
      <c r="L5830">
        <v>9</v>
      </c>
      <c r="M5830">
        <v>0</v>
      </c>
      <c r="N5830" s="23">
        <v>0</v>
      </c>
      <c r="O5830">
        <f t="shared" si="1107"/>
        <v>5</v>
      </c>
      <c r="P5830" s="57">
        <f t="shared" si="1108"/>
        <v>5</v>
      </c>
      <c r="Q5830" s="267">
        <f t="shared" si="1109"/>
        <v>269</v>
      </c>
      <c r="R5830" s="23">
        <f t="shared" si="1110"/>
        <v>252</v>
      </c>
      <c r="S5830" s="23">
        <f t="shared" si="1111"/>
        <v>0</v>
      </c>
      <c r="T5830" s="23" t="str">
        <f t="shared" si="1112"/>
        <v/>
      </c>
      <c r="U5830" t="str">
        <f t="shared" si="1113"/>
        <v/>
      </c>
      <c r="X5830" s="43"/>
      <c r="Y5830" s="53"/>
      <c r="Z5830" s="53"/>
      <c r="AA5830"/>
      <c r="AB5830" s="23"/>
      <c r="AF5830" s="22"/>
    </row>
    <row r="5831" spans="1:32">
      <c r="A5831" t="str">
        <f t="shared" si="1114"/>
        <v>PA_Alleg_2019p~Rep-school director avonworth (vote for 5)</v>
      </c>
      <c r="B5831" s="55" t="s">
        <v>1291</v>
      </c>
      <c r="C5831">
        <v>1215</v>
      </c>
      <c r="D5831" s="55" t="s">
        <v>114</v>
      </c>
      <c r="E5831" s="55" t="s">
        <v>15</v>
      </c>
      <c r="F5831" t="s">
        <v>1117</v>
      </c>
      <c r="G5831" s="62">
        <v>17</v>
      </c>
      <c r="H5831" s="25">
        <v>1.1499999999999999</v>
      </c>
      <c r="I5831">
        <v>9306</v>
      </c>
      <c r="J5831">
        <v>1207</v>
      </c>
      <c r="K5831">
        <v>9</v>
      </c>
      <c r="L5831">
        <v>9</v>
      </c>
      <c r="M5831">
        <v>0</v>
      </c>
      <c r="N5831" s="23">
        <v>0</v>
      </c>
      <c r="O5831">
        <f t="shared" si="1107"/>
        <v>-5</v>
      </c>
      <c r="P5831" s="57">
        <f t="shared" si="1108"/>
        <v>5</v>
      </c>
      <c r="Q5831" s="267">
        <f t="shared" si="1109"/>
        <v>17</v>
      </c>
      <c r="R5831" s="23">
        <f t="shared" si="1110"/>
        <v>1</v>
      </c>
      <c r="S5831" s="23">
        <f t="shared" si="1111"/>
        <v>0</v>
      </c>
      <c r="T5831" s="23" t="str">
        <f t="shared" si="1112"/>
        <v/>
      </c>
      <c r="U5831" t="str">
        <f t="shared" si="1113"/>
        <v/>
      </c>
      <c r="X5831" s="43"/>
      <c r="Y5831" s="53"/>
      <c r="Z5831" s="53"/>
      <c r="AA5831"/>
      <c r="AB5831" s="23"/>
      <c r="AF5831" s="22"/>
    </row>
    <row r="5832" spans="1:32">
      <c r="A5832" t="str">
        <f t="shared" si="1114"/>
        <v>PA_Alleg_2019p~Rep-school director baldwin whitehall (vote for 5)</v>
      </c>
      <c r="B5832" s="55" t="s">
        <v>1291</v>
      </c>
      <c r="C5832">
        <v>1216</v>
      </c>
      <c r="D5832" s="55" t="s">
        <v>120</v>
      </c>
      <c r="E5832" s="55" t="s">
        <v>126</v>
      </c>
      <c r="F5832" t="s">
        <v>1117</v>
      </c>
      <c r="G5832" s="62">
        <v>752</v>
      </c>
      <c r="H5832" s="25">
        <v>14.49</v>
      </c>
      <c r="I5832">
        <v>27887</v>
      </c>
      <c r="J5832">
        <v>4892</v>
      </c>
      <c r="K5832">
        <v>38</v>
      </c>
      <c r="L5832">
        <v>38</v>
      </c>
      <c r="M5832">
        <v>0</v>
      </c>
      <c r="N5832" s="23">
        <v>0</v>
      </c>
      <c r="O5832">
        <f t="shared" si="1107"/>
        <v>1</v>
      </c>
      <c r="P5832" s="57">
        <f t="shared" si="1108"/>
        <v>5</v>
      </c>
      <c r="Q5832" s="267">
        <f t="shared" si="1109"/>
        <v>1037.8</v>
      </c>
      <c r="R5832" s="23">
        <f t="shared" si="1110"/>
        <v>373</v>
      </c>
      <c r="S5832" s="23">
        <f t="shared" si="1111"/>
        <v>359</v>
      </c>
      <c r="T5832" s="23">
        <f t="shared" si="1112"/>
        <v>14</v>
      </c>
      <c r="U5832" t="str">
        <f t="shared" si="1113"/>
        <v>PA_Alleg_2019p~Rep-school director baldwin whitehall (vote for 5)</v>
      </c>
      <c r="X5832" s="43"/>
      <c r="Y5832" s="53"/>
      <c r="Z5832" s="53"/>
      <c r="AA5832"/>
      <c r="AB5832" s="23"/>
      <c r="AF5832" s="22"/>
    </row>
    <row r="5833" spans="1:32">
      <c r="A5833" t="str">
        <f t="shared" si="1114"/>
        <v>PA_Alleg_2019p~Rep-school director baldwin whitehall (vote for 5)</v>
      </c>
      <c r="B5833" s="55" t="s">
        <v>1291</v>
      </c>
      <c r="C5833">
        <v>1220</v>
      </c>
      <c r="D5833" s="55" t="s">
        <v>120</v>
      </c>
      <c r="E5833" s="55" t="s">
        <v>125</v>
      </c>
      <c r="F5833" t="s">
        <v>1117</v>
      </c>
      <c r="G5833" s="62">
        <v>730</v>
      </c>
      <c r="H5833" s="25">
        <v>14.07</v>
      </c>
      <c r="I5833">
        <v>27887</v>
      </c>
      <c r="J5833">
        <v>4892</v>
      </c>
      <c r="K5833">
        <v>38</v>
      </c>
      <c r="L5833">
        <v>38</v>
      </c>
      <c r="M5833">
        <v>0</v>
      </c>
      <c r="N5833" s="23">
        <v>0</v>
      </c>
      <c r="O5833">
        <f t="shared" si="1107"/>
        <v>2</v>
      </c>
      <c r="P5833" s="57">
        <f t="shared" si="1108"/>
        <v>5</v>
      </c>
      <c r="Q5833" s="267">
        <f t="shared" si="1109"/>
        <v>4437</v>
      </c>
      <c r="R5833" s="23">
        <f t="shared" si="1110"/>
        <v>373</v>
      </c>
      <c r="S5833" s="23">
        <f t="shared" si="1111"/>
        <v>359</v>
      </c>
      <c r="T5833" s="23" t="str">
        <f t="shared" si="1112"/>
        <v/>
      </c>
      <c r="U5833" t="str">
        <f t="shared" si="1113"/>
        <v/>
      </c>
      <c r="X5833" s="43"/>
      <c r="Y5833" s="53"/>
      <c r="Z5833" s="53"/>
      <c r="AA5833"/>
      <c r="AB5833" s="23"/>
      <c r="AF5833" s="22"/>
    </row>
    <row r="5834" spans="1:32">
      <c r="A5834" t="str">
        <f t="shared" si="1114"/>
        <v>PA_Alleg_2019p~Rep-school director baldwin whitehall (vote for 5)</v>
      </c>
      <c r="B5834" s="55" t="s">
        <v>1291</v>
      </c>
      <c r="C5834">
        <v>1223</v>
      </c>
      <c r="D5834" s="55" t="s">
        <v>120</v>
      </c>
      <c r="E5834" s="55" t="s">
        <v>121</v>
      </c>
      <c r="F5834" t="s">
        <v>1117</v>
      </c>
      <c r="G5834" s="62">
        <v>728</v>
      </c>
      <c r="H5834" s="25">
        <v>14.03</v>
      </c>
      <c r="I5834">
        <v>27887</v>
      </c>
      <c r="J5834">
        <v>4892</v>
      </c>
      <c r="K5834">
        <v>38</v>
      </c>
      <c r="L5834">
        <v>38</v>
      </c>
      <c r="M5834">
        <v>0</v>
      </c>
      <c r="N5834" s="23">
        <v>0</v>
      </c>
      <c r="O5834">
        <f t="shared" si="1107"/>
        <v>3</v>
      </c>
      <c r="P5834" s="57">
        <f t="shared" si="1108"/>
        <v>5</v>
      </c>
      <c r="Q5834" s="267">
        <f t="shared" si="1109"/>
        <v>3707</v>
      </c>
      <c r="R5834" s="23">
        <f t="shared" si="1110"/>
        <v>373</v>
      </c>
      <c r="S5834" s="23">
        <f t="shared" si="1111"/>
        <v>359</v>
      </c>
      <c r="T5834" s="23" t="str">
        <f t="shared" si="1112"/>
        <v/>
      </c>
      <c r="U5834" t="str">
        <f t="shared" si="1113"/>
        <v/>
      </c>
      <c r="X5834" s="43"/>
      <c r="Y5834" s="53"/>
      <c r="Z5834" s="53"/>
      <c r="AA5834"/>
      <c r="AB5834" s="23"/>
      <c r="AF5834" s="22"/>
    </row>
    <row r="5835" spans="1:32">
      <c r="A5835" t="str">
        <f t="shared" si="1114"/>
        <v>PA_Alleg_2019p~Rep-school director baldwin whitehall (vote for 5)</v>
      </c>
      <c r="B5835" s="55" t="s">
        <v>1291</v>
      </c>
      <c r="C5835">
        <v>1224</v>
      </c>
      <c r="D5835" s="55" t="s">
        <v>120</v>
      </c>
      <c r="E5835" s="55" t="s">
        <v>123</v>
      </c>
      <c r="F5835" t="s">
        <v>1117</v>
      </c>
      <c r="G5835" s="62">
        <v>623</v>
      </c>
      <c r="H5835" s="25">
        <v>12.01</v>
      </c>
      <c r="I5835">
        <v>27887</v>
      </c>
      <c r="J5835">
        <v>4892</v>
      </c>
      <c r="K5835">
        <v>38</v>
      </c>
      <c r="L5835">
        <v>38</v>
      </c>
      <c r="M5835">
        <v>0</v>
      </c>
      <c r="N5835" s="23">
        <v>0</v>
      </c>
      <c r="O5835">
        <f t="shared" si="1107"/>
        <v>4</v>
      </c>
      <c r="P5835" s="57">
        <f t="shared" si="1108"/>
        <v>5</v>
      </c>
      <c r="Q5835" s="267">
        <f t="shared" si="1109"/>
        <v>2979</v>
      </c>
      <c r="R5835" s="23">
        <f t="shared" si="1110"/>
        <v>373</v>
      </c>
      <c r="S5835" s="23">
        <f t="shared" si="1111"/>
        <v>359</v>
      </c>
      <c r="T5835" s="23" t="str">
        <f t="shared" si="1112"/>
        <v/>
      </c>
      <c r="U5835" t="str">
        <f t="shared" si="1113"/>
        <v/>
      </c>
      <c r="X5835" s="43"/>
      <c r="Y5835" s="53"/>
      <c r="Z5835" s="53"/>
      <c r="AA5835"/>
      <c r="AB5835" s="23"/>
      <c r="AF5835" s="22"/>
    </row>
    <row r="5836" spans="1:32">
      <c r="A5836" t="str">
        <f t="shared" si="1114"/>
        <v>PA_Alleg_2019p~Rep-school director baldwin whitehall (vote for 5)</v>
      </c>
      <c r="B5836" s="55" t="s">
        <v>1291</v>
      </c>
      <c r="C5836">
        <v>1225</v>
      </c>
      <c r="D5836" s="55" t="s">
        <v>120</v>
      </c>
      <c r="E5836" s="55" t="s">
        <v>15</v>
      </c>
      <c r="F5836" t="s">
        <v>1117</v>
      </c>
      <c r="G5836" s="62">
        <v>617</v>
      </c>
      <c r="H5836" s="25">
        <v>11.89</v>
      </c>
      <c r="I5836">
        <v>27887</v>
      </c>
      <c r="J5836">
        <v>4892</v>
      </c>
      <c r="K5836">
        <v>38</v>
      </c>
      <c r="L5836">
        <v>38</v>
      </c>
      <c r="M5836">
        <v>0</v>
      </c>
      <c r="N5836" s="23">
        <v>0</v>
      </c>
      <c r="O5836">
        <f t="shared" si="1107"/>
        <v>-4</v>
      </c>
      <c r="P5836" s="57">
        <f t="shared" si="1108"/>
        <v>5</v>
      </c>
      <c r="Q5836" s="267">
        <f t="shared" si="1109"/>
        <v>2356</v>
      </c>
      <c r="R5836" s="23">
        <f t="shared" si="1110"/>
        <v>373</v>
      </c>
      <c r="S5836" s="23">
        <f t="shared" si="1111"/>
        <v>359</v>
      </c>
      <c r="T5836" s="23" t="str">
        <f t="shared" si="1112"/>
        <v/>
      </c>
      <c r="U5836" t="str">
        <f t="shared" si="1113"/>
        <v/>
      </c>
      <c r="X5836" s="43"/>
      <c r="Y5836" s="53"/>
      <c r="Z5836" s="53"/>
      <c r="AA5836"/>
      <c r="AB5836" s="23"/>
      <c r="AF5836" s="22"/>
    </row>
    <row r="5837" spans="1:32">
      <c r="A5837" t="str">
        <f t="shared" si="1114"/>
        <v>PA_Alleg_2019p~Rep-school director baldwin whitehall (vote for 5)</v>
      </c>
      <c r="B5837" s="55" t="s">
        <v>1291</v>
      </c>
      <c r="C5837">
        <v>1218</v>
      </c>
      <c r="D5837" s="55" t="s">
        <v>120</v>
      </c>
      <c r="E5837" s="55" t="s">
        <v>122</v>
      </c>
      <c r="F5837" t="s">
        <v>1117</v>
      </c>
      <c r="G5837" s="62">
        <v>373</v>
      </c>
      <c r="H5837" s="25">
        <v>7.19</v>
      </c>
      <c r="I5837">
        <v>27887</v>
      </c>
      <c r="J5837">
        <v>4892</v>
      </c>
      <c r="K5837">
        <v>38</v>
      </c>
      <c r="L5837">
        <v>38</v>
      </c>
      <c r="M5837">
        <v>0</v>
      </c>
      <c r="N5837" s="23">
        <v>0</v>
      </c>
      <c r="O5837">
        <f t="shared" si="1107"/>
        <v>5</v>
      </c>
      <c r="P5837" s="57">
        <f t="shared" si="1108"/>
        <v>5</v>
      </c>
      <c r="Q5837" s="267">
        <f t="shared" si="1109"/>
        <v>1739</v>
      </c>
      <c r="R5837" s="23">
        <f t="shared" si="1110"/>
        <v>373</v>
      </c>
      <c r="S5837" s="23">
        <f t="shared" si="1111"/>
        <v>359</v>
      </c>
      <c r="T5837" s="23" t="str">
        <f t="shared" si="1112"/>
        <v/>
      </c>
      <c r="U5837" t="str">
        <f t="shared" si="1113"/>
        <v/>
      </c>
      <c r="X5837" s="43"/>
      <c r="Y5837" s="53"/>
      <c r="Z5837" s="53"/>
      <c r="AA5837"/>
      <c r="AB5837" s="23"/>
      <c r="AF5837" s="293"/>
    </row>
    <row r="5838" spans="1:32">
      <c r="A5838" t="str">
        <f t="shared" si="1114"/>
        <v>PA_Alleg_2019p~Rep-school director baldwin whitehall (vote for 5)</v>
      </c>
      <c r="B5838" s="55" t="s">
        <v>1291</v>
      </c>
      <c r="C5838">
        <v>1219</v>
      </c>
      <c r="D5838" s="55" t="s">
        <v>120</v>
      </c>
      <c r="E5838" s="55" t="s">
        <v>128</v>
      </c>
      <c r="F5838" t="s">
        <v>1117</v>
      </c>
      <c r="G5838" s="62">
        <v>359</v>
      </c>
      <c r="H5838" s="25">
        <v>6.92</v>
      </c>
      <c r="I5838">
        <v>27887</v>
      </c>
      <c r="J5838">
        <v>4892</v>
      </c>
      <c r="K5838">
        <v>38</v>
      </c>
      <c r="L5838">
        <v>38</v>
      </c>
      <c r="M5838">
        <v>0</v>
      </c>
      <c r="N5838" s="23">
        <v>0</v>
      </c>
      <c r="O5838">
        <f t="shared" si="1107"/>
        <v>6</v>
      </c>
      <c r="P5838" s="57">
        <f t="shared" si="1108"/>
        <v>5</v>
      </c>
      <c r="Q5838" s="267">
        <f t="shared" si="1109"/>
        <v>1366</v>
      </c>
      <c r="R5838" s="23" t="str">
        <f t="shared" si="1110"/>
        <v/>
      </c>
      <c r="S5838" s="23">
        <f t="shared" si="1111"/>
        <v>359</v>
      </c>
      <c r="T5838" s="23" t="str">
        <f t="shared" si="1112"/>
        <v/>
      </c>
      <c r="U5838" t="str">
        <f t="shared" si="1113"/>
        <v/>
      </c>
      <c r="X5838" s="43"/>
      <c r="Y5838" s="53"/>
      <c r="Z5838" s="53"/>
      <c r="AA5838"/>
      <c r="AB5838" s="23"/>
      <c r="AF5838" s="22"/>
    </row>
    <row r="5839" spans="1:32">
      <c r="A5839" t="str">
        <f t="shared" si="1114"/>
        <v>PA_Alleg_2019p~Rep-school director baldwin whitehall (vote for 5)</v>
      </c>
      <c r="B5839" s="55" t="s">
        <v>1291</v>
      </c>
      <c r="C5839">
        <v>1217</v>
      </c>
      <c r="D5839" s="55" t="s">
        <v>120</v>
      </c>
      <c r="E5839" s="55" t="s">
        <v>127</v>
      </c>
      <c r="F5839" t="s">
        <v>1117</v>
      </c>
      <c r="G5839" s="62">
        <v>349</v>
      </c>
      <c r="H5839" s="25">
        <v>6.73</v>
      </c>
      <c r="I5839">
        <v>27887</v>
      </c>
      <c r="J5839">
        <v>4892</v>
      </c>
      <c r="K5839">
        <v>38</v>
      </c>
      <c r="L5839">
        <v>38</v>
      </c>
      <c r="M5839">
        <v>0</v>
      </c>
      <c r="N5839" s="23">
        <v>0</v>
      </c>
      <c r="O5839">
        <f t="shared" si="1107"/>
        <v>7</v>
      </c>
      <c r="P5839" s="57">
        <f t="shared" si="1108"/>
        <v>5</v>
      </c>
      <c r="Q5839" s="267">
        <f t="shared" si="1109"/>
        <v>1007</v>
      </c>
      <c r="R5839" s="23" t="str">
        <f t="shared" si="1110"/>
        <v/>
      </c>
      <c r="S5839" s="23">
        <f t="shared" si="1111"/>
        <v>349</v>
      </c>
      <c r="T5839" s="23" t="str">
        <f t="shared" si="1112"/>
        <v/>
      </c>
      <c r="U5839" t="str">
        <f t="shared" si="1113"/>
        <v/>
      </c>
      <c r="X5839" s="43"/>
      <c r="Y5839" s="53"/>
      <c r="Z5839" s="53"/>
      <c r="AA5839"/>
      <c r="AB5839" s="23"/>
      <c r="AF5839" s="22"/>
    </row>
    <row r="5840" spans="1:32">
      <c r="A5840" t="str">
        <f t="shared" si="1114"/>
        <v>PA_Alleg_2019p~Rep-school director baldwin whitehall (vote for 5)</v>
      </c>
      <c r="B5840" s="55" t="s">
        <v>1291</v>
      </c>
      <c r="C5840">
        <v>1222</v>
      </c>
      <c r="D5840" s="55" t="s">
        <v>120</v>
      </c>
      <c r="E5840" s="55" t="s">
        <v>129</v>
      </c>
      <c r="F5840" t="s">
        <v>1117</v>
      </c>
      <c r="G5840" s="62">
        <v>347</v>
      </c>
      <c r="H5840" s="25">
        <v>6.69</v>
      </c>
      <c r="I5840">
        <v>27887</v>
      </c>
      <c r="J5840">
        <v>4892</v>
      </c>
      <c r="K5840">
        <v>38</v>
      </c>
      <c r="L5840">
        <v>38</v>
      </c>
      <c r="M5840">
        <v>0</v>
      </c>
      <c r="N5840" s="23">
        <v>0</v>
      </c>
      <c r="O5840">
        <f t="shared" si="1107"/>
        <v>8</v>
      </c>
      <c r="P5840" s="57">
        <f t="shared" si="1108"/>
        <v>5</v>
      </c>
      <c r="Q5840" s="267">
        <f t="shared" si="1109"/>
        <v>658</v>
      </c>
      <c r="R5840" s="23" t="str">
        <f t="shared" si="1110"/>
        <v/>
      </c>
      <c r="S5840" s="23">
        <f t="shared" si="1111"/>
        <v>347</v>
      </c>
      <c r="T5840" s="23" t="str">
        <f t="shared" si="1112"/>
        <v/>
      </c>
      <c r="U5840" t="str">
        <f t="shared" si="1113"/>
        <v/>
      </c>
      <c r="X5840" s="43"/>
      <c r="Y5840" s="53"/>
      <c r="Z5840" s="53"/>
      <c r="AA5840"/>
      <c r="AB5840" s="23"/>
      <c r="AF5840" s="22"/>
    </row>
    <row r="5841" spans="1:32">
      <c r="A5841" t="str">
        <f t="shared" si="1114"/>
        <v>PA_Alleg_2019p~Rep-school director baldwin whitehall (vote for 5)</v>
      </c>
      <c r="B5841" s="55" t="s">
        <v>1291</v>
      </c>
      <c r="C5841">
        <v>1221</v>
      </c>
      <c r="D5841" s="55" t="s">
        <v>120</v>
      </c>
      <c r="E5841" s="55" t="s">
        <v>124</v>
      </c>
      <c r="F5841" t="s">
        <v>1117</v>
      </c>
      <c r="G5841" s="62">
        <v>311</v>
      </c>
      <c r="H5841" s="25">
        <v>5.99</v>
      </c>
      <c r="I5841">
        <v>27887</v>
      </c>
      <c r="J5841">
        <v>4892</v>
      </c>
      <c r="K5841">
        <v>38</v>
      </c>
      <c r="L5841">
        <v>38</v>
      </c>
      <c r="M5841">
        <v>0</v>
      </c>
      <c r="N5841" s="23">
        <v>0</v>
      </c>
      <c r="O5841">
        <f t="shared" si="1107"/>
        <v>9</v>
      </c>
      <c r="P5841" s="57">
        <f t="shared" si="1108"/>
        <v>5</v>
      </c>
      <c r="Q5841" s="267">
        <f t="shared" si="1109"/>
        <v>311</v>
      </c>
      <c r="R5841" s="23" t="str">
        <f t="shared" si="1110"/>
        <v/>
      </c>
      <c r="S5841" s="23">
        <f t="shared" si="1111"/>
        <v>311</v>
      </c>
      <c r="T5841" s="23" t="str">
        <f t="shared" si="1112"/>
        <v/>
      </c>
      <c r="U5841" t="str">
        <f t="shared" si="1113"/>
        <v/>
      </c>
      <c r="X5841" s="43"/>
      <c r="Y5841" s="53"/>
      <c r="Z5841" s="53"/>
      <c r="AA5841"/>
      <c r="AB5841" s="23"/>
      <c r="AF5841" s="22"/>
    </row>
    <row r="5842" spans="1:32">
      <c r="A5842" t="str">
        <f t="shared" si="1114"/>
        <v>PA_Alleg_2019p~Rep-school director bethel park (vote for 5)</v>
      </c>
      <c r="B5842" s="55" t="s">
        <v>1291</v>
      </c>
      <c r="C5842">
        <v>1228</v>
      </c>
      <c r="D5842" s="55" t="s">
        <v>132</v>
      </c>
      <c r="E5842" s="55" t="s">
        <v>140</v>
      </c>
      <c r="F5842" t="s">
        <v>1117</v>
      </c>
      <c r="G5842" s="62">
        <v>1411</v>
      </c>
      <c r="H5842" s="25">
        <v>12.98</v>
      </c>
      <c r="I5842">
        <v>26257</v>
      </c>
      <c r="J5842">
        <v>5464</v>
      </c>
      <c r="K5842">
        <v>29</v>
      </c>
      <c r="L5842">
        <v>29</v>
      </c>
      <c r="M5842">
        <v>0</v>
      </c>
      <c r="N5842" s="23">
        <v>0</v>
      </c>
      <c r="O5842">
        <f t="shared" si="1107"/>
        <v>1</v>
      </c>
      <c r="P5842" s="57">
        <f t="shared" si="1108"/>
        <v>5</v>
      </c>
      <c r="Q5842" s="267">
        <f t="shared" si="1109"/>
        <v>2174.4</v>
      </c>
      <c r="R5842" s="23">
        <f t="shared" si="1110"/>
        <v>1100</v>
      </c>
      <c r="S5842" s="23">
        <f t="shared" si="1111"/>
        <v>1059</v>
      </c>
      <c r="T5842" s="23">
        <f t="shared" si="1112"/>
        <v>41</v>
      </c>
      <c r="U5842" t="str">
        <f t="shared" si="1113"/>
        <v>PA_Alleg_2019p~Rep-school director bethel park (vote for 5)</v>
      </c>
      <c r="X5842" s="43"/>
      <c r="Y5842" s="53"/>
      <c r="Z5842" s="53"/>
      <c r="AA5842"/>
      <c r="AB5842" s="23"/>
      <c r="AF5842" s="22"/>
    </row>
    <row r="5843" spans="1:32">
      <c r="A5843" t="str">
        <f t="shared" si="1114"/>
        <v>PA_Alleg_2019p~Rep-school director bethel park (vote for 5)</v>
      </c>
      <c r="B5843" s="55" t="s">
        <v>1291</v>
      </c>
      <c r="C5843">
        <v>1233</v>
      </c>
      <c r="D5843" s="55" t="s">
        <v>132</v>
      </c>
      <c r="E5843" s="55" t="s">
        <v>139</v>
      </c>
      <c r="F5843" t="s">
        <v>1117</v>
      </c>
      <c r="G5843" s="62">
        <v>1174</v>
      </c>
      <c r="H5843" s="25">
        <v>10.8</v>
      </c>
      <c r="I5843">
        <v>26257</v>
      </c>
      <c r="J5843">
        <v>5464</v>
      </c>
      <c r="K5843">
        <v>29</v>
      </c>
      <c r="L5843">
        <v>29</v>
      </c>
      <c r="M5843">
        <v>0</v>
      </c>
      <c r="N5843" s="23">
        <v>0</v>
      </c>
      <c r="O5843">
        <f t="shared" si="1107"/>
        <v>2</v>
      </c>
      <c r="P5843" s="57">
        <f t="shared" si="1108"/>
        <v>5</v>
      </c>
      <c r="Q5843" s="267">
        <f t="shared" si="1109"/>
        <v>9461</v>
      </c>
      <c r="R5843" s="23">
        <f t="shared" si="1110"/>
        <v>1100</v>
      </c>
      <c r="S5843" s="23">
        <f t="shared" si="1111"/>
        <v>1059</v>
      </c>
      <c r="T5843" s="23" t="str">
        <f t="shared" si="1112"/>
        <v/>
      </c>
      <c r="U5843" t="str">
        <f t="shared" si="1113"/>
        <v/>
      </c>
      <c r="X5843" s="43"/>
      <c r="Y5843" s="53"/>
      <c r="Z5843" s="53"/>
      <c r="AA5843"/>
      <c r="AB5843" s="23"/>
      <c r="AF5843" s="22"/>
    </row>
    <row r="5844" spans="1:32">
      <c r="A5844" t="str">
        <f t="shared" si="1114"/>
        <v>PA_Alleg_2019p~Rep-school director bethel park (vote for 5)</v>
      </c>
      <c r="B5844" s="55" t="s">
        <v>1291</v>
      </c>
      <c r="C5844">
        <v>1235</v>
      </c>
      <c r="D5844" s="55" t="s">
        <v>132</v>
      </c>
      <c r="E5844" s="55" t="s">
        <v>141</v>
      </c>
      <c r="F5844" t="s">
        <v>1117</v>
      </c>
      <c r="G5844" s="62">
        <v>1130</v>
      </c>
      <c r="H5844" s="25">
        <v>10.39</v>
      </c>
      <c r="I5844">
        <v>26257</v>
      </c>
      <c r="J5844">
        <v>5464</v>
      </c>
      <c r="K5844">
        <v>29</v>
      </c>
      <c r="L5844">
        <v>29</v>
      </c>
      <c r="M5844">
        <v>0</v>
      </c>
      <c r="N5844" s="23">
        <v>0</v>
      </c>
      <c r="O5844">
        <f t="shared" si="1107"/>
        <v>3</v>
      </c>
      <c r="P5844" s="57">
        <f t="shared" si="1108"/>
        <v>5</v>
      </c>
      <c r="Q5844" s="267">
        <f t="shared" si="1109"/>
        <v>8287</v>
      </c>
      <c r="R5844" s="23">
        <f t="shared" si="1110"/>
        <v>1100</v>
      </c>
      <c r="S5844" s="23">
        <f t="shared" si="1111"/>
        <v>1059</v>
      </c>
      <c r="T5844" s="23" t="str">
        <f t="shared" si="1112"/>
        <v/>
      </c>
      <c r="U5844" t="str">
        <f t="shared" si="1113"/>
        <v/>
      </c>
      <c r="X5844" s="43"/>
      <c r="Y5844" s="53"/>
      <c r="Z5844" s="53"/>
      <c r="AA5844"/>
      <c r="AB5844" s="23"/>
      <c r="AF5844" s="22"/>
    </row>
    <row r="5845" spans="1:32">
      <c r="A5845" t="str">
        <f t="shared" si="1114"/>
        <v>PA_Alleg_2019p~Rep-school director bethel park (vote for 5)</v>
      </c>
      <c r="B5845" s="55" t="s">
        <v>1291</v>
      </c>
      <c r="C5845">
        <v>1234</v>
      </c>
      <c r="D5845" s="55" t="s">
        <v>132</v>
      </c>
      <c r="E5845" s="55" t="s">
        <v>136</v>
      </c>
      <c r="F5845" t="s">
        <v>1117</v>
      </c>
      <c r="G5845" s="62">
        <v>1116</v>
      </c>
      <c r="H5845" s="25">
        <v>10.26</v>
      </c>
      <c r="I5845">
        <v>26257</v>
      </c>
      <c r="J5845">
        <v>5464</v>
      </c>
      <c r="K5845">
        <v>29</v>
      </c>
      <c r="L5845">
        <v>29</v>
      </c>
      <c r="M5845">
        <v>0</v>
      </c>
      <c r="N5845" s="23">
        <v>0</v>
      </c>
      <c r="O5845">
        <f t="shared" si="1107"/>
        <v>4</v>
      </c>
      <c r="P5845" s="57">
        <f t="shared" si="1108"/>
        <v>5</v>
      </c>
      <c r="Q5845" s="267">
        <f t="shared" si="1109"/>
        <v>7157</v>
      </c>
      <c r="R5845" s="23">
        <f t="shared" si="1110"/>
        <v>1100</v>
      </c>
      <c r="S5845" s="23">
        <f t="shared" si="1111"/>
        <v>1059</v>
      </c>
      <c r="T5845" s="23" t="str">
        <f t="shared" si="1112"/>
        <v/>
      </c>
      <c r="U5845" t="str">
        <f t="shared" si="1113"/>
        <v/>
      </c>
      <c r="X5845" s="43"/>
      <c r="Y5845" s="53"/>
      <c r="Z5845" s="53"/>
      <c r="AA5845"/>
      <c r="AB5845" s="23"/>
      <c r="AF5845" s="22"/>
    </row>
    <row r="5846" spans="1:32">
      <c r="A5846" t="str">
        <f t="shared" si="1114"/>
        <v>PA_Alleg_2019p~Rep-school director bethel park (vote for 5)</v>
      </c>
      <c r="B5846" s="55" t="s">
        <v>1291</v>
      </c>
      <c r="C5846">
        <v>1230</v>
      </c>
      <c r="D5846" s="55" t="s">
        <v>132</v>
      </c>
      <c r="E5846" s="55" t="s">
        <v>134</v>
      </c>
      <c r="F5846" t="s">
        <v>1117</v>
      </c>
      <c r="G5846" s="62">
        <v>1100</v>
      </c>
      <c r="H5846" s="25">
        <v>10.119999999999999</v>
      </c>
      <c r="I5846">
        <v>26257</v>
      </c>
      <c r="J5846">
        <v>5464</v>
      </c>
      <c r="K5846">
        <v>29</v>
      </c>
      <c r="L5846">
        <v>29</v>
      </c>
      <c r="M5846">
        <v>0</v>
      </c>
      <c r="N5846" s="23">
        <v>0</v>
      </c>
      <c r="O5846">
        <f t="shared" si="1107"/>
        <v>5</v>
      </c>
      <c r="P5846" s="57">
        <f t="shared" si="1108"/>
        <v>5</v>
      </c>
      <c r="Q5846" s="267">
        <f t="shared" si="1109"/>
        <v>6041</v>
      </c>
      <c r="R5846" s="23">
        <f t="shared" si="1110"/>
        <v>1100</v>
      </c>
      <c r="S5846" s="23">
        <f t="shared" si="1111"/>
        <v>1059</v>
      </c>
      <c r="T5846" s="23" t="str">
        <f t="shared" si="1112"/>
        <v/>
      </c>
      <c r="U5846" t="str">
        <f t="shared" si="1113"/>
        <v/>
      </c>
      <c r="X5846" s="43"/>
      <c r="Y5846" s="53"/>
      <c r="Z5846" s="53"/>
      <c r="AA5846"/>
      <c r="AB5846" s="23"/>
      <c r="AF5846" s="22"/>
    </row>
    <row r="5847" spans="1:32">
      <c r="A5847" t="str">
        <f t="shared" si="1114"/>
        <v>PA_Alleg_2019p~Rep-school director bethel park (vote for 5)</v>
      </c>
      <c r="B5847" s="55" t="s">
        <v>1291</v>
      </c>
      <c r="C5847">
        <v>1229</v>
      </c>
      <c r="D5847" s="55" t="s">
        <v>132</v>
      </c>
      <c r="E5847" s="55" t="s">
        <v>133</v>
      </c>
      <c r="F5847" t="s">
        <v>1117</v>
      </c>
      <c r="G5847" s="62">
        <v>1059</v>
      </c>
      <c r="H5847" s="25">
        <v>9.74</v>
      </c>
      <c r="I5847">
        <v>26257</v>
      </c>
      <c r="J5847">
        <v>5464</v>
      </c>
      <c r="K5847">
        <v>29</v>
      </c>
      <c r="L5847">
        <v>29</v>
      </c>
      <c r="M5847">
        <v>0</v>
      </c>
      <c r="N5847" s="23">
        <v>0</v>
      </c>
      <c r="O5847">
        <f t="shared" si="1107"/>
        <v>6</v>
      </c>
      <c r="P5847" s="57">
        <f t="shared" si="1108"/>
        <v>5</v>
      </c>
      <c r="Q5847" s="267">
        <f t="shared" si="1109"/>
        <v>4941</v>
      </c>
      <c r="R5847" s="23" t="str">
        <f t="shared" si="1110"/>
        <v/>
      </c>
      <c r="S5847" s="23">
        <f t="shared" si="1111"/>
        <v>1059</v>
      </c>
      <c r="T5847" s="23" t="str">
        <f t="shared" si="1112"/>
        <v/>
      </c>
      <c r="U5847" t="str">
        <f t="shared" si="1113"/>
        <v/>
      </c>
      <c r="X5847" s="43"/>
      <c r="Y5847" s="53"/>
      <c r="Z5847" s="53"/>
      <c r="AA5847"/>
      <c r="AB5847" s="23"/>
      <c r="AF5847" s="22"/>
    </row>
    <row r="5848" spans="1:32">
      <c r="A5848" t="str">
        <f t="shared" si="1114"/>
        <v>PA_Alleg_2019p~Rep-school director bethel park (vote for 5)</v>
      </c>
      <c r="B5848" s="55" t="s">
        <v>1291</v>
      </c>
      <c r="C5848">
        <v>1227</v>
      </c>
      <c r="D5848" s="55" t="s">
        <v>132</v>
      </c>
      <c r="E5848" s="55" t="s">
        <v>135</v>
      </c>
      <c r="F5848" t="s">
        <v>1117</v>
      </c>
      <c r="G5848" s="62">
        <v>1039</v>
      </c>
      <c r="H5848" s="25">
        <v>9.56</v>
      </c>
      <c r="I5848">
        <v>26257</v>
      </c>
      <c r="J5848">
        <v>5464</v>
      </c>
      <c r="K5848">
        <v>29</v>
      </c>
      <c r="L5848">
        <v>29</v>
      </c>
      <c r="M5848">
        <v>0</v>
      </c>
      <c r="N5848" s="23">
        <v>0</v>
      </c>
      <c r="O5848">
        <f t="shared" si="1107"/>
        <v>7</v>
      </c>
      <c r="P5848" s="57">
        <f t="shared" si="1108"/>
        <v>5</v>
      </c>
      <c r="Q5848" s="267">
        <f t="shared" si="1109"/>
        <v>3882</v>
      </c>
      <c r="R5848" s="23" t="str">
        <f t="shared" si="1110"/>
        <v/>
      </c>
      <c r="S5848" s="23">
        <f t="shared" si="1111"/>
        <v>1039</v>
      </c>
      <c r="T5848" s="23" t="str">
        <f t="shared" si="1112"/>
        <v/>
      </c>
      <c r="U5848" t="str">
        <f t="shared" si="1113"/>
        <v/>
      </c>
      <c r="X5848" s="43"/>
      <c r="Y5848" s="53"/>
      <c r="Z5848" s="53"/>
      <c r="AA5848"/>
      <c r="AB5848" s="23"/>
      <c r="AF5848" s="22"/>
    </row>
    <row r="5849" spans="1:32">
      <c r="A5849" t="str">
        <f t="shared" si="1114"/>
        <v>PA_Alleg_2019p~Rep-school director bethel park (vote for 5)</v>
      </c>
      <c r="B5849" s="55" t="s">
        <v>1291</v>
      </c>
      <c r="C5849">
        <v>1226</v>
      </c>
      <c r="D5849" s="55" t="s">
        <v>132</v>
      </c>
      <c r="E5849" s="55" t="s">
        <v>142</v>
      </c>
      <c r="F5849" t="s">
        <v>1117</v>
      </c>
      <c r="G5849" s="62">
        <v>1001</v>
      </c>
      <c r="H5849" s="25">
        <v>9.2100000000000009</v>
      </c>
      <c r="I5849">
        <v>26257</v>
      </c>
      <c r="J5849">
        <v>5464</v>
      </c>
      <c r="K5849">
        <v>29</v>
      </c>
      <c r="L5849">
        <v>29</v>
      </c>
      <c r="M5849">
        <v>0</v>
      </c>
      <c r="N5849" s="23">
        <v>0</v>
      </c>
      <c r="O5849">
        <f t="shared" si="1107"/>
        <v>8</v>
      </c>
      <c r="P5849" s="57">
        <f t="shared" si="1108"/>
        <v>5</v>
      </c>
      <c r="Q5849" s="267">
        <f t="shared" si="1109"/>
        <v>2843</v>
      </c>
      <c r="R5849" s="23" t="str">
        <f t="shared" si="1110"/>
        <v/>
      </c>
      <c r="S5849" s="23">
        <f t="shared" si="1111"/>
        <v>1001</v>
      </c>
      <c r="T5849" s="23" t="str">
        <f t="shared" si="1112"/>
        <v/>
      </c>
      <c r="U5849" t="str">
        <f t="shared" si="1113"/>
        <v/>
      </c>
      <c r="X5849" s="43"/>
      <c r="Y5849" s="53"/>
      <c r="Z5849" s="53"/>
      <c r="AA5849"/>
      <c r="AB5849" s="23"/>
      <c r="AF5849" s="22"/>
    </row>
    <row r="5850" spans="1:32">
      <c r="A5850" t="str">
        <f t="shared" si="1114"/>
        <v>PA_Alleg_2019p~Rep-school director bethel park (vote for 5)</v>
      </c>
      <c r="B5850" s="55" t="s">
        <v>1291</v>
      </c>
      <c r="C5850">
        <v>1232</v>
      </c>
      <c r="D5850" s="55" t="s">
        <v>132</v>
      </c>
      <c r="E5850" s="55" t="s">
        <v>137</v>
      </c>
      <c r="F5850" t="s">
        <v>1117</v>
      </c>
      <c r="G5850" s="62">
        <v>996</v>
      </c>
      <c r="H5850" s="25">
        <v>9.16</v>
      </c>
      <c r="I5850">
        <v>26257</v>
      </c>
      <c r="J5850">
        <v>5464</v>
      </c>
      <c r="K5850">
        <v>29</v>
      </c>
      <c r="L5850">
        <v>29</v>
      </c>
      <c r="M5850">
        <v>0</v>
      </c>
      <c r="N5850" s="23">
        <v>0</v>
      </c>
      <c r="O5850">
        <f t="shared" si="1107"/>
        <v>9</v>
      </c>
      <c r="P5850" s="57">
        <f t="shared" si="1108"/>
        <v>5</v>
      </c>
      <c r="Q5850" s="267">
        <f t="shared" si="1109"/>
        <v>1842</v>
      </c>
      <c r="R5850" s="23" t="str">
        <f t="shared" si="1110"/>
        <v/>
      </c>
      <c r="S5850" s="23">
        <f t="shared" si="1111"/>
        <v>996</v>
      </c>
      <c r="T5850" s="23" t="str">
        <f t="shared" si="1112"/>
        <v/>
      </c>
      <c r="U5850" t="str">
        <f t="shared" si="1113"/>
        <v/>
      </c>
      <c r="X5850" s="43"/>
      <c r="Y5850" s="53"/>
      <c r="Z5850" s="53"/>
      <c r="AA5850"/>
      <c r="AB5850" s="23"/>
      <c r="AF5850" s="22"/>
    </row>
    <row r="5851" spans="1:32">
      <c r="A5851" t="str">
        <f t="shared" si="1114"/>
        <v>PA_Alleg_2019p~Rep-school director bethel park (vote for 5)</v>
      </c>
      <c r="B5851" s="55" t="s">
        <v>1291</v>
      </c>
      <c r="C5851">
        <v>1231</v>
      </c>
      <c r="D5851" s="55" t="s">
        <v>132</v>
      </c>
      <c r="E5851" s="55" t="s">
        <v>138</v>
      </c>
      <c r="F5851" t="s">
        <v>1117</v>
      </c>
      <c r="G5851" s="62">
        <v>827</v>
      </c>
      <c r="H5851" s="25">
        <v>7.61</v>
      </c>
      <c r="I5851">
        <v>26257</v>
      </c>
      <c r="J5851">
        <v>5464</v>
      </c>
      <c r="K5851">
        <v>29</v>
      </c>
      <c r="L5851">
        <v>29</v>
      </c>
      <c r="M5851">
        <v>0</v>
      </c>
      <c r="N5851" s="23">
        <v>0</v>
      </c>
      <c r="O5851">
        <f t="shared" si="1107"/>
        <v>10</v>
      </c>
      <c r="P5851" s="57">
        <f t="shared" si="1108"/>
        <v>5</v>
      </c>
      <c r="Q5851" s="267">
        <f t="shared" si="1109"/>
        <v>846</v>
      </c>
      <c r="R5851" s="23" t="str">
        <f t="shared" si="1110"/>
        <v/>
      </c>
      <c r="S5851" s="23">
        <f t="shared" si="1111"/>
        <v>827</v>
      </c>
      <c r="T5851" s="23" t="str">
        <f t="shared" si="1112"/>
        <v/>
      </c>
      <c r="U5851" t="str">
        <f t="shared" si="1113"/>
        <v/>
      </c>
      <c r="X5851" s="43"/>
      <c r="Y5851" s="53"/>
      <c r="Z5851" s="53"/>
      <c r="AA5851"/>
      <c r="AB5851" s="23"/>
      <c r="AF5851" s="22"/>
    </row>
    <row r="5852" spans="1:32">
      <c r="A5852" t="str">
        <f t="shared" si="1114"/>
        <v>PA_Alleg_2019p~Rep-school director bethel park (vote for 5)</v>
      </c>
      <c r="B5852" s="55" t="s">
        <v>1291</v>
      </c>
      <c r="C5852">
        <v>1236</v>
      </c>
      <c r="D5852" s="55" t="s">
        <v>132</v>
      </c>
      <c r="E5852" s="55" t="s">
        <v>15</v>
      </c>
      <c r="F5852" t="s">
        <v>1117</v>
      </c>
      <c r="G5852" s="62">
        <v>19</v>
      </c>
      <c r="H5852" s="25">
        <v>0.17</v>
      </c>
      <c r="I5852">
        <v>26257</v>
      </c>
      <c r="J5852">
        <v>5464</v>
      </c>
      <c r="K5852">
        <v>29</v>
      </c>
      <c r="L5852">
        <v>29</v>
      </c>
      <c r="M5852">
        <v>0</v>
      </c>
      <c r="N5852" s="23">
        <v>0</v>
      </c>
      <c r="O5852">
        <f t="shared" si="1107"/>
        <v>-10</v>
      </c>
      <c r="P5852" s="57">
        <f t="shared" si="1108"/>
        <v>5</v>
      </c>
      <c r="Q5852" s="267">
        <f t="shared" si="1109"/>
        <v>19</v>
      </c>
      <c r="R5852" s="23">
        <f t="shared" si="1110"/>
        <v>1</v>
      </c>
      <c r="S5852" s="23">
        <f t="shared" si="1111"/>
        <v>0</v>
      </c>
      <c r="T5852" s="23" t="str">
        <f t="shared" si="1112"/>
        <v/>
      </c>
      <c r="U5852" t="str">
        <f t="shared" si="1113"/>
        <v/>
      </c>
      <c r="X5852" s="43"/>
      <c r="Y5852" s="53"/>
      <c r="Z5852" s="53"/>
      <c r="AA5852"/>
      <c r="AB5852" s="23"/>
      <c r="AF5852" s="22"/>
    </row>
    <row r="5853" spans="1:32">
      <c r="A5853" t="str">
        <f t="shared" si="1114"/>
        <v>PA_Alleg_2019p~Rep-school director brentwood (vote for 5)</v>
      </c>
      <c r="B5853" s="55" t="s">
        <v>1291</v>
      </c>
      <c r="C5853">
        <v>1240</v>
      </c>
      <c r="D5853" s="55" t="s">
        <v>143</v>
      </c>
      <c r="E5853" s="55" t="s">
        <v>144</v>
      </c>
      <c r="F5853" t="s">
        <v>1117</v>
      </c>
      <c r="G5853" s="62">
        <v>154</v>
      </c>
      <c r="H5853" s="25">
        <v>21.27</v>
      </c>
      <c r="I5853">
        <v>6753</v>
      </c>
      <c r="J5853">
        <v>824</v>
      </c>
      <c r="K5853">
        <v>10</v>
      </c>
      <c r="L5853">
        <v>10</v>
      </c>
      <c r="M5853">
        <v>0</v>
      </c>
      <c r="N5853" s="23">
        <v>0</v>
      </c>
      <c r="O5853">
        <f t="shared" si="1107"/>
        <v>1</v>
      </c>
      <c r="P5853" s="57">
        <f t="shared" si="1108"/>
        <v>5</v>
      </c>
      <c r="Q5853" s="267">
        <f t="shared" si="1109"/>
        <v>154</v>
      </c>
      <c r="R5853" s="23">
        <f t="shared" si="1110"/>
        <v>131</v>
      </c>
      <c r="S5853" s="23">
        <f t="shared" si="1111"/>
        <v>0</v>
      </c>
      <c r="T5853" s="23" t="str">
        <f t="shared" si="1112"/>
        <v/>
      </c>
      <c r="U5853" t="str">
        <f t="shared" si="1113"/>
        <v>PA_Alleg_2019p~Rep-school director brentwood (vote for 5)</v>
      </c>
      <c r="X5853" s="43"/>
      <c r="Y5853" s="53"/>
      <c r="Z5853" s="53"/>
      <c r="AA5853"/>
      <c r="AB5853" s="23"/>
      <c r="AF5853" s="22"/>
    </row>
    <row r="5854" spans="1:32">
      <c r="A5854" t="str">
        <f t="shared" si="1114"/>
        <v>PA_Alleg_2019p~Rep-school director brentwood (vote for 5)</v>
      </c>
      <c r="B5854" s="55" t="s">
        <v>1291</v>
      </c>
      <c r="C5854">
        <v>1239</v>
      </c>
      <c r="D5854" s="55" t="s">
        <v>143</v>
      </c>
      <c r="E5854" s="55" t="s">
        <v>147</v>
      </c>
      <c r="F5854" t="s">
        <v>1117</v>
      </c>
      <c r="G5854" s="62">
        <v>147</v>
      </c>
      <c r="H5854" s="25">
        <v>20.3</v>
      </c>
      <c r="I5854">
        <v>6753</v>
      </c>
      <c r="J5854">
        <v>824</v>
      </c>
      <c r="K5854">
        <v>10</v>
      </c>
      <c r="L5854">
        <v>10</v>
      </c>
      <c r="M5854">
        <v>0</v>
      </c>
      <c r="N5854" s="23">
        <v>0</v>
      </c>
      <c r="O5854">
        <f t="shared" si="1107"/>
        <v>2</v>
      </c>
      <c r="P5854" s="57">
        <f t="shared" si="1108"/>
        <v>5</v>
      </c>
      <c r="Q5854" s="267">
        <f t="shared" si="1109"/>
        <v>570</v>
      </c>
      <c r="R5854" s="23">
        <f t="shared" si="1110"/>
        <v>131</v>
      </c>
      <c r="S5854" s="23">
        <f t="shared" si="1111"/>
        <v>0</v>
      </c>
      <c r="T5854" s="23" t="str">
        <f t="shared" si="1112"/>
        <v/>
      </c>
      <c r="U5854" t="str">
        <f t="shared" si="1113"/>
        <v/>
      </c>
      <c r="X5854" s="43"/>
      <c r="Y5854" s="53"/>
      <c r="Z5854" s="53"/>
      <c r="AA5854"/>
      <c r="AB5854" s="23"/>
      <c r="AF5854" s="22"/>
    </row>
    <row r="5855" spans="1:32">
      <c r="A5855" t="str">
        <f t="shared" si="1114"/>
        <v>PA_Alleg_2019p~Rep-school director brentwood (vote for 5)</v>
      </c>
      <c r="B5855" s="55" t="s">
        <v>1291</v>
      </c>
      <c r="C5855">
        <v>1241</v>
      </c>
      <c r="D5855" s="55" t="s">
        <v>143</v>
      </c>
      <c r="E5855" s="55" t="s">
        <v>146</v>
      </c>
      <c r="F5855" t="s">
        <v>1117</v>
      </c>
      <c r="G5855" s="62">
        <v>136</v>
      </c>
      <c r="H5855" s="25">
        <v>18.78</v>
      </c>
      <c r="I5855">
        <v>6753</v>
      </c>
      <c r="J5855">
        <v>824</v>
      </c>
      <c r="K5855">
        <v>10</v>
      </c>
      <c r="L5855">
        <v>10</v>
      </c>
      <c r="M5855">
        <v>0</v>
      </c>
      <c r="N5855" s="23">
        <v>0</v>
      </c>
      <c r="O5855">
        <f t="shared" si="1107"/>
        <v>3</v>
      </c>
      <c r="P5855" s="57">
        <f t="shared" si="1108"/>
        <v>5</v>
      </c>
      <c r="Q5855" s="267">
        <f t="shared" si="1109"/>
        <v>423</v>
      </c>
      <c r="R5855" s="23">
        <f t="shared" si="1110"/>
        <v>131</v>
      </c>
      <c r="S5855" s="23">
        <f t="shared" si="1111"/>
        <v>0</v>
      </c>
      <c r="T5855" s="23" t="str">
        <f t="shared" si="1112"/>
        <v/>
      </c>
      <c r="U5855" t="str">
        <f t="shared" si="1113"/>
        <v/>
      </c>
      <c r="X5855" s="43"/>
      <c r="Y5855" s="53"/>
      <c r="Z5855" s="53"/>
      <c r="AA5855"/>
      <c r="AB5855" s="23"/>
      <c r="AF5855" s="22"/>
    </row>
    <row r="5856" spans="1:32">
      <c r="A5856" t="str">
        <f t="shared" si="1114"/>
        <v>PA_Alleg_2019p~Rep-school director brentwood (vote for 5)</v>
      </c>
      <c r="B5856" s="55" t="s">
        <v>1291</v>
      </c>
      <c r="C5856">
        <v>1237</v>
      </c>
      <c r="D5856" s="55" t="s">
        <v>143</v>
      </c>
      <c r="E5856" s="55" t="s">
        <v>148</v>
      </c>
      <c r="F5856" t="s">
        <v>1117</v>
      </c>
      <c r="G5856" s="62">
        <v>135</v>
      </c>
      <c r="H5856" s="25">
        <v>18.649999999999999</v>
      </c>
      <c r="I5856">
        <v>6753</v>
      </c>
      <c r="J5856">
        <v>824</v>
      </c>
      <c r="K5856">
        <v>10</v>
      </c>
      <c r="L5856">
        <v>10</v>
      </c>
      <c r="M5856">
        <v>0</v>
      </c>
      <c r="N5856" s="23">
        <v>0</v>
      </c>
      <c r="O5856">
        <f t="shared" si="1107"/>
        <v>4</v>
      </c>
      <c r="P5856" s="57">
        <f t="shared" si="1108"/>
        <v>5</v>
      </c>
      <c r="Q5856" s="267">
        <f t="shared" si="1109"/>
        <v>287</v>
      </c>
      <c r="R5856" s="23">
        <f t="shared" si="1110"/>
        <v>131</v>
      </c>
      <c r="S5856" s="23">
        <f t="shared" si="1111"/>
        <v>0</v>
      </c>
      <c r="T5856" s="23" t="str">
        <f t="shared" si="1112"/>
        <v/>
      </c>
      <c r="U5856" t="str">
        <f t="shared" si="1113"/>
        <v/>
      </c>
      <c r="X5856" s="43"/>
      <c r="Y5856" s="53"/>
      <c r="Z5856" s="53"/>
      <c r="AA5856"/>
      <c r="AB5856" s="23"/>
      <c r="AF5856" s="22"/>
    </row>
    <row r="5857" spans="1:40">
      <c r="A5857" t="str">
        <f t="shared" si="1114"/>
        <v>PA_Alleg_2019p~Rep-school director brentwood (vote for 5)</v>
      </c>
      <c r="B5857" s="55" t="s">
        <v>1291</v>
      </c>
      <c r="C5857">
        <v>1238</v>
      </c>
      <c r="D5857" s="55" t="s">
        <v>143</v>
      </c>
      <c r="E5857" s="55" t="s">
        <v>145</v>
      </c>
      <c r="F5857" t="s">
        <v>1117</v>
      </c>
      <c r="G5857" s="62">
        <v>131</v>
      </c>
      <c r="H5857" s="25">
        <v>18.09</v>
      </c>
      <c r="I5857">
        <v>6753</v>
      </c>
      <c r="J5857">
        <v>824</v>
      </c>
      <c r="K5857">
        <v>10</v>
      </c>
      <c r="L5857">
        <v>10</v>
      </c>
      <c r="M5857">
        <v>0</v>
      </c>
      <c r="N5857" s="23">
        <v>0</v>
      </c>
      <c r="O5857">
        <f t="shared" si="1107"/>
        <v>5</v>
      </c>
      <c r="P5857" s="57">
        <f t="shared" si="1108"/>
        <v>5</v>
      </c>
      <c r="Q5857" s="267">
        <f t="shared" si="1109"/>
        <v>152</v>
      </c>
      <c r="R5857" s="23">
        <f t="shared" si="1110"/>
        <v>131</v>
      </c>
      <c r="S5857" s="23">
        <f t="shared" si="1111"/>
        <v>0</v>
      </c>
      <c r="T5857" s="23" t="str">
        <f t="shared" si="1112"/>
        <v/>
      </c>
      <c r="U5857" t="str">
        <f t="shared" si="1113"/>
        <v/>
      </c>
      <c r="X5857" s="43"/>
      <c r="Y5857" s="53"/>
      <c r="Z5857" s="53"/>
      <c r="AA5857"/>
      <c r="AB5857" s="23"/>
      <c r="AF5857" s="22"/>
    </row>
    <row r="5858" spans="1:40">
      <c r="A5858" t="str">
        <f t="shared" si="1114"/>
        <v>PA_Alleg_2019p~Rep-school director brentwood (vote for 5)</v>
      </c>
      <c r="B5858" s="55" t="s">
        <v>1291</v>
      </c>
      <c r="C5858">
        <v>1242</v>
      </c>
      <c r="D5858" s="55" t="s">
        <v>143</v>
      </c>
      <c r="E5858" s="55" t="s">
        <v>15</v>
      </c>
      <c r="F5858" t="s">
        <v>1117</v>
      </c>
      <c r="G5858" s="62">
        <v>21</v>
      </c>
      <c r="H5858" s="25">
        <v>2.9</v>
      </c>
      <c r="I5858">
        <v>6753</v>
      </c>
      <c r="J5858">
        <v>824</v>
      </c>
      <c r="K5858">
        <v>10</v>
      </c>
      <c r="L5858">
        <v>10</v>
      </c>
      <c r="M5858">
        <v>0</v>
      </c>
      <c r="N5858" s="23">
        <v>0</v>
      </c>
      <c r="O5858">
        <f t="shared" si="1107"/>
        <v>-5</v>
      </c>
      <c r="P5858" s="57">
        <f t="shared" si="1108"/>
        <v>5</v>
      </c>
      <c r="Q5858" s="267">
        <f t="shared" si="1109"/>
        <v>21</v>
      </c>
      <c r="R5858" s="23">
        <f t="shared" si="1110"/>
        <v>1</v>
      </c>
      <c r="S5858" s="23">
        <f t="shared" si="1111"/>
        <v>0</v>
      </c>
      <c r="T5858" s="23" t="str">
        <f t="shared" si="1112"/>
        <v/>
      </c>
      <c r="U5858" t="str">
        <f t="shared" si="1113"/>
        <v/>
      </c>
      <c r="X5858" s="43"/>
      <c r="Y5858" s="53"/>
      <c r="Z5858" s="53"/>
      <c r="AA5858"/>
      <c r="AB5858" s="23"/>
      <c r="AF5858" s="22"/>
    </row>
    <row r="5859" spans="1:40">
      <c r="A5859" t="str">
        <f t="shared" si="1114"/>
        <v>PA_Alleg_2019p~Rep-school director carlynton (vote for 1)</v>
      </c>
      <c r="B5859" s="55" t="s">
        <v>1291</v>
      </c>
      <c r="C5859">
        <v>1415</v>
      </c>
      <c r="D5859" s="55" t="s">
        <v>341</v>
      </c>
      <c r="E5859" s="55" t="s">
        <v>342</v>
      </c>
      <c r="F5859" t="s">
        <v>1117</v>
      </c>
      <c r="G5859" s="62">
        <v>247</v>
      </c>
      <c r="H5859" s="25">
        <v>99.6</v>
      </c>
      <c r="I5859">
        <v>10709</v>
      </c>
      <c r="J5859">
        <v>1277</v>
      </c>
      <c r="K5859">
        <v>15</v>
      </c>
      <c r="L5859">
        <v>15</v>
      </c>
      <c r="M5859">
        <v>0</v>
      </c>
      <c r="N5859" s="23">
        <v>0</v>
      </c>
      <c r="O5859">
        <f t="shared" si="1107"/>
        <v>1</v>
      </c>
      <c r="P5859" s="57">
        <f t="shared" si="1108"/>
        <v>1</v>
      </c>
      <c r="Q5859" s="267">
        <f t="shared" si="1109"/>
        <v>248</v>
      </c>
      <c r="R5859" s="23">
        <f t="shared" si="1110"/>
        <v>247</v>
      </c>
      <c r="S5859" s="23">
        <f t="shared" si="1111"/>
        <v>0</v>
      </c>
      <c r="T5859" s="23" t="str">
        <f t="shared" si="1112"/>
        <v/>
      </c>
      <c r="U5859" t="str">
        <f t="shared" si="1113"/>
        <v>PA_Alleg_2019p~Rep-school director carlynton (vote for 1)</v>
      </c>
      <c r="X5859" s="43"/>
      <c r="Y5859" s="53"/>
      <c r="Z5859" s="53"/>
      <c r="AA5859"/>
      <c r="AB5859" s="23"/>
      <c r="AF5859" s="22"/>
    </row>
    <row r="5860" spans="1:40">
      <c r="A5860" t="str">
        <f t="shared" si="1114"/>
        <v>PA_Alleg_2019p~Rep-school director carlynton (vote for 1)</v>
      </c>
      <c r="B5860" s="55" t="s">
        <v>1291</v>
      </c>
      <c r="C5860">
        <v>1416</v>
      </c>
      <c r="D5860" s="55" t="s">
        <v>341</v>
      </c>
      <c r="E5860" s="55" t="s">
        <v>15</v>
      </c>
      <c r="F5860" t="s">
        <v>1117</v>
      </c>
      <c r="G5860" s="62">
        <v>1</v>
      </c>
      <c r="H5860" s="25">
        <v>0.4</v>
      </c>
      <c r="I5860">
        <v>10709</v>
      </c>
      <c r="J5860">
        <v>1277</v>
      </c>
      <c r="K5860">
        <v>15</v>
      </c>
      <c r="L5860">
        <v>15</v>
      </c>
      <c r="M5860">
        <v>0</v>
      </c>
      <c r="N5860" s="23">
        <v>0</v>
      </c>
      <c r="O5860">
        <f t="shared" si="1107"/>
        <v>-1</v>
      </c>
      <c r="P5860" s="57">
        <f t="shared" si="1108"/>
        <v>1</v>
      </c>
      <c r="Q5860" s="267">
        <f t="shared" si="1109"/>
        <v>1</v>
      </c>
      <c r="R5860" s="23">
        <f t="shared" si="1110"/>
        <v>1</v>
      </c>
      <c r="S5860" s="23">
        <f t="shared" si="1111"/>
        <v>0</v>
      </c>
      <c r="T5860" s="23" t="str">
        <f t="shared" si="1112"/>
        <v/>
      </c>
      <c r="U5860" t="str">
        <f t="shared" si="1113"/>
        <v/>
      </c>
      <c r="X5860" s="43"/>
      <c r="Y5860" s="53"/>
      <c r="Z5860" s="53"/>
      <c r="AA5860"/>
      <c r="AB5860"/>
      <c r="AC5860" s="23"/>
      <c r="AD5860" s="23"/>
      <c r="AF5860" s="22"/>
    </row>
    <row r="5861" spans="1:40">
      <c r="A5861" t="str">
        <f t="shared" si="1114"/>
        <v>PA_Alleg_2019p~Rep-school director carlynton (vote for 5)</v>
      </c>
      <c r="B5861" s="55" t="s">
        <v>1291</v>
      </c>
      <c r="C5861">
        <v>1245</v>
      </c>
      <c r="D5861" s="55" t="s">
        <v>149</v>
      </c>
      <c r="E5861" s="55" t="s">
        <v>153</v>
      </c>
      <c r="F5861" t="s">
        <v>1117</v>
      </c>
      <c r="G5861" s="62">
        <v>214</v>
      </c>
      <c r="H5861" s="25">
        <v>22.84</v>
      </c>
      <c r="I5861">
        <v>10709</v>
      </c>
      <c r="J5861">
        <v>1277</v>
      </c>
      <c r="K5861">
        <v>15</v>
      </c>
      <c r="L5861">
        <v>15</v>
      </c>
      <c r="M5861">
        <v>0</v>
      </c>
      <c r="N5861" s="23">
        <v>0</v>
      </c>
      <c r="O5861">
        <f t="shared" si="1107"/>
        <v>1</v>
      </c>
      <c r="P5861" s="57">
        <f t="shared" si="1108"/>
        <v>5</v>
      </c>
      <c r="Q5861" s="267">
        <f t="shared" si="1109"/>
        <v>214</v>
      </c>
      <c r="R5861" s="23">
        <f t="shared" si="1110"/>
        <v>157</v>
      </c>
      <c r="S5861" s="23">
        <f t="shared" si="1111"/>
        <v>0</v>
      </c>
      <c r="T5861" s="23" t="str">
        <f t="shared" si="1112"/>
        <v/>
      </c>
      <c r="U5861" t="str">
        <f t="shared" si="1113"/>
        <v>PA_Alleg_2019p~Rep-school director carlynton (vote for 5)</v>
      </c>
      <c r="X5861" s="43"/>
      <c r="Y5861" s="53"/>
      <c r="Z5861" s="53"/>
      <c r="AA5861"/>
      <c r="AB5861"/>
      <c r="AC5861" s="23"/>
      <c r="AD5861" s="23"/>
      <c r="AF5861" s="22"/>
    </row>
    <row r="5862" spans="1:40">
      <c r="A5862" t="str">
        <f t="shared" si="1114"/>
        <v>PA_Alleg_2019p~Rep-school director carlynton (vote for 5)</v>
      </c>
      <c r="B5862" s="55" t="s">
        <v>1291</v>
      </c>
      <c r="C5862">
        <v>1246</v>
      </c>
      <c r="D5862" s="55" t="s">
        <v>149</v>
      </c>
      <c r="E5862" s="55" t="s">
        <v>154</v>
      </c>
      <c r="F5862" t="s">
        <v>1117</v>
      </c>
      <c r="G5862" s="62">
        <v>196</v>
      </c>
      <c r="H5862" s="25">
        <v>20.92</v>
      </c>
      <c r="I5862">
        <v>10709</v>
      </c>
      <c r="J5862">
        <v>1277</v>
      </c>
      <c r="K5862">
        <v>15</v>
      </c>
      <c r="L5862">
        <v>15</v>
      </c>
      <c r="M5862">
        <v>0</v>
      </c>
      <c r="N5862" s="23">
        <v>0</v>
      </c>
      <c r="O5862">
        <f t="shared" si="1107"/>
        <v>2</v>
      </c>
      <c r="P5862" s="57">
        <f t="shared" si="1108"/>
        <v>5</v>
      </c>
      <c r="Q5862" s="267">
        <f t="shared" si="1109"/>
        <v>723</v>
      </c>
      <c r="R5862" s="23">
        <f t="shared" si="1110"/>
        <v>157</v>
      </c>
      <c r="S5862" s="23">
        <f t="shared" si="1111"/>
        <v>0</v>
      </c>
      <c r="T5862" s="23" t="str">
        <f t="shared" si="1112"/>
        <v/>
      </c>
      <c r="U5862" t="str">
        <f t="shared" si="1113"/>
        <v/>
      </c>
      <c r="X5862" s="43"/>
      <c r="Y5862" s="53"/>
      <c r="Z5862" s="53"/>
      <c r="AA5862"/>
      <c r="AB5862"/>
      <c r="AC5862" s="23"/>
      <c r="AD5862" s="23"/>
      <c r="AF5862" s="22"/>
      <c r="AM5862" s="371"/>
      <c r="AN5862" s="372"/>
    </row>
    <row r="5863" spans="1:40">
      <c r="A5863" t="str">
        <f t="shared" si="1114"/>
        <v>PA_Alleg_2019p~Rep-school director carlynton (vote for 5)</v>
      </c>
      <c r="B5863" s="55" t="s">
        <v>1291</v>
      </c>
      <c r="C5863">
        <v>1244</v>
      </c>
      <c r="D5863" s="55" t="s">
        <v>149</v>
      </c>
      <c r="E5863" s="55" t="s">
        <v>151</v>
      </c>
      <c r="F5863" t="s">
        <v>1117</v>
      </c>
      <c r="G5863" s="62">
        <v>194</v>
      </c>
      <c r="H5863" s="25">
        <v>20.7</v>
      </c>
      <c r="I5863">
        <v>10709</v>
      </c>
      <c r="J5863">
        <v>1277</v>
      </c>
      <c r="K5863">
        <v>15</v>
      </c>
      <c r="L5863">
        <v>15</v>
      </c>
      <c r="M5863">
        <v>0</v>
      </c>
      <c r="N5863" s="23">
        <v>0</v>
      </c>
      <c r="O5863">
        <f t="shared" si="1107"/>
        <v>3</v>
      </c>
      <c r="P5863" s="57">
        <f t="shared" si="1108"/>
        <v>5</v>
      </c>
      <c r="Q5863" s="267">
        <f t="shared" si="1109"/>
        <v>527</v>
      </c>
      <c r="R5863" s="23">
        <f t="shared" si="1110"/>
        <v>157</v>
      </c>
      <c r="S5863" s="23">
        <f t="shared" si="1111"/>
        <v>0</v>
      </c>
      <c r="T5863" s="23" t="str">
        <f t="shared" si="1112"/>
        <v/>
      </c>
      <c r="U5863" t="str">
        <f t="shared" si="1113"/>
        <v/>
      </c>
      <c r="X5863" s="43"/>
      <c r="Y5863" s="53"/>
      <c r="Z5863" s="53"/>
      <c r="AA5863"/>
      <c r="AB5863"/>
      <c r="AC5863" s="23"/>
      <c r="AD5863" s="23"/>
      <c r="AF5863" s="22"/>
      <c r="AM5863" s="371"/>
      <c r="AN5863" s="372"/>
    </row>
    <row r="5864" spans="1:40">
      <c r="A5864" t="str">
        <f t="shared" si="1114"/>
        <v>PA_Alleg_2019p~Rep-school director carlynton (vote for 5)</v>
      </c>
      <c r="B5864" s="55" t="s">
        <v>1291</v>
      </c>
      <c r="C5864">
        <v>1243</v>
      </c>
      <c r="D5864" s="55" t="s">
        <v>149</v>
      </c>
      <c r="E5864" s="55" t="s">
        <v>152</v>
      </c>
      <c r="F5864" t="s">
        <v>1117</v>
      </c>
      <c r="G5864" s="62">
        <v>174</v>
      </c>
      <c r="H5864" s="25">
        <v>18.57</v>
      </c>
      <c r="I5864">
        <v>10709</v>
      </c>
      <c r="J5864">
        <v>1277</v>
      </c>
      <c r="K5864">
        <v>15</v>
      </c>
      <c r="L5864">
        <v>15</v>
      </c>
      <c r="M5864">
        <v>0</v>
      </c>
      <c r="N5864" s="23">
        <v>0</v>
      </c>
      <c r="O5864">
        <f t="shared" si="1107"/>
        <v>4</v>
      </c>
      <c r="P5864" s="57">
        <f t="shared" si="1108"/>
        <v>5</v>
      </c>
      <c r="Q5864" s="267">
        <f t="shared" si="1109"/>
        <v>333</v>
      </c>
      <c r="R5864" s="23">
        <f t="shared" si="1110"/>
        <v>157</v>
      </c>
      <c r="S5864" s="23">
        <f t="shared" si="1111"/>
        <v>0</v>
      </c>
      <c r="T5864" s="23" t="str">
        <f t="shared" si="1112"/>
        <v/>
      </c>
      <c r="U5864" t="str">
        <f t="shared" si="1113"/>
        <v/>
      </c>
      <c r="X5864" s="43"/>
      <c r="Y5864" s="53"/>
      <c r="Z5864" s="53"/>
      <c r="AA5864"/>
      <c r="AB5864"/>
      <c r="AC5864" s="23"/>
      <c r="AD5864" s="23"/>
      <c r="AF5864" s="22"/>
      <c r="AM5864" s="371"/>
      <c r="AN5864" s="372"/>
    </row>
    <row r="5865" spans="1:40">
      <c r="A5865" t="str">
        <f t="shared" si="1114"/>
        <v>PA_Alleg_2019p~Rep-school director carlynton (vote for 5)</v>
      </c>
      <c r="B5865" s="55" t="s">
        <v>1291</v>
      </c>
      <c r="C5865">
        <v>1247</v>
      </c>
      <c r="D5865" s="55" t="s">
        <v>149</v>
      </c>
      <c r="E5865" s="55" t="s">
        <v>150</v>
      </c>
      <c r="F5865" t="s">
        <v>1117</v>
      </c>
      <c r="G5865" s="62">
        <v>157</v>
      </c>
      <c r="H5865" s="25">
        <v>16.760000000000002</v>
      </c>
      <c r="I5865">
        <v>10709</v>
      </c>
      <c r="J5865">
        <v>1277</v>
      </c>
      <c r="K5865">
        <v>15</v>
      </c>
      <c r="L5865">
        <v>15</v>
      </c>
      <c r="M5865">
        <v>0</v>
      </c>
      <c r="N5865" s="23">
        <v>0</v>
      </c>
      <c r="O5865">
        <f t="shared" si="1107"/>
        <v>5</v>
      </c>
      <c r="P5865" s="57">
        <f t="shared" si="1108"/>
        <v>5</v>
      </c>
      <c r="Q5865" s="267">
        <f t="shared" si="1109"/>
        <v>159</v>
      </c>
      <c r="R5865" s="23">
        <f t="shared" si="1110"/>
        <v>157</v>
      </c>
      <c r="S5865" s="23">
        <f t="shared" si="1111"/>
        <v>0</v>
      </c>
      <c r="T5865" s="23" t="str">
        <f t="shared" si="1112"/>
        <v/>
      </c>
      <c r="U5865" t="str">
        <f t="shared" si="1113"/>
        <v/>
      </c>
      <c r="X5865" s="43"/>
      <c r="Y5865" s="53"/>
      <c r="Z5865" s="53"/>
      <c r="AA5865"/>
      <c r="AB5865"/>
      <c r="AC5865" s="23"/>
      <c r="AD5865" s="23"/>
      <c r="AF5865" s="22"/>
      <c r="AM5865" s="371"/>
      <c r="AN5865" s="372"/>
    </row>
    <row r="5866" spans="1:40">
      <c r="A5866" t="str">
        <f t="shared" si="1114"/>
        <v>PA_Alleg_2019p~Rep-school director carlynton (vote for 5)</v>
      </c>
      <c r="B5866" s="55" t="s">
        <v>1291</v>
      </c>
      <c r="C5866">
        <v>1248</v>
      </c>
      <c r="D5866" s="55" t="s">
        <v>149</v>
      </c>
      <c r="E5866" s="55" t="s">
        <v>15</v>
      </c>
      <c r="F5866" t="s">
        <v>1117</v>
      </c>
      <c r="G5866" s="62">
        <v>2</v>
      </c>
      <c r="H5866" s="25">
        <v>0.21</v>
      </c>
      <c r="I5866">
        <v>10709</v>
      </c>
      <c r="J5866">
        <v>1277</v>
      </c>
      <c r="K5866">
        <v>15</v>
      </c>
      <c r="L5866">
        <v>15</v>
      </c>
      <c r="M5866">
        <v>0</v>
      </c>
      <c r="N5866" s="23">
        <v>0</v>
      </c>
      <c r="O5866">
        <f t="shared" si="1107"/>
        <v>-5</v>
      </c>
      <c r="P5866" s="57">
        <f t="shared" si="1108"/>
        <v>5</v>
      </c>
      <c r="Q5866" s="267">
        <f t="shared" si="1109"/>
        <v>2</v>
      </c>
      <c r="R5866" s="23">
        <f t="shared" si="1110"/>
        <v>1</v>
      </c>
      <c r="S5866" s="23">
        <f t="shared" si="1111"/>
        <v>0</v>
      </c>
      <c r="T5866" s="23" t="str">
        <f t="shared" si="1112"/>
        <v/>
      </c>
      <c r="U5866" t="str">
        <f t="shared" si="1113"/>
        <v/>
      </c>
      <c r="X5866" s="43"/>
      <c r="Y5866" s="53"/>
      <c r="Z5866" s="53"/>
      <c r="AA5866"/>
      <c r="AB5866"/>
      <c r="AC5866" s="23"/>
      <c r="AD5866" s="23"/>
      <c r="AF5866" s="22"/>
      <c r="AM5866" s="371"/>
      <c r="AN5866" s="372"/>
    </row>
    <row r="5867" spans="1:40">
      <c r="A5867" t="str">
        <f t="shared" si="1114"/>
        <v>PA_Alleg_2019p~Rep-school director chartiers valley (vote for 5)</v>
      </c>
      <c r="B5867" s="55" t="s">
        <v>1291</v>
      </c>
      <c r="C5867">
        <v>1249</v>
      </c>
      <c r="D5867" s="55" t="s">
        <v>155</v>
      </c>
      <c r="E5867" s="55" t="s">
        <v>157</v>
      </c>
      <c r="F5867" t="s">
        <v>1117</v>
      </c>
      <c r="G5867" s="62">
        <v>741</v>
      </c>
      <c r="H5867" s="25">
        <v>20.76</v>
      </c>
      <c r="I5867">
        <v>22760</v>
      </c>
      <c r="J5867">
        <v>3631</v>
      </c>
      <c r="K5867">
        <v>29</v>
      </c>
      <c r="L5867">
        <v>29</v>
      </c>
      <c r="M5867">
        <v>0</v>
      </c>
      <c r="N5867" s="23">
        <v>0</v>
      </c>
      <c r="O5867">
        <f t="shared" si="1107"/>
        <v>1</v>
      </c>
      <c r="P5867" s="57">
        <f t="shared" si="1108"/>
        <v>5</v>
      </c>
      <c r="Q5867" s="267">
        <f t="shared" si="1109"/>
        <v>741</v>
      </c>
      <c r="R5867" s="23">
        <f t="shared" si="1110"/>
        <v>688</v>
      </c>
      <c r="S5867" s="23">
        <f t="shared" si="1111"/>
        <v>0</v>
      </c>
      <c r="T5867" s="23" t="str">
        <f t="shared" si="1112"/>
        <v/>
      </c>
      <c r="U5867" t="str">
        <f t="shared" si="1113"/>
        <v>PA_Alleg_2019p~Rep-school director chartiers valley (vote for 5)</v>
      </c>
      <c r="X5867" s="43"/>
      <c r="Y5867" s="53"/>
      <c r="Z5867" s="53"/>
      <c r="AA5867"/>
      <c r="AB5867"/>
      <c r="AC5867" s="23"/>
      <c r="AD5867" s="23"/>
      <c r="AF5867" s="22"/>
      <c r="AM5867" s="371"/>
      <c r="AN5867" s="372"/>
    </row>
    <row r="5868" spans="1:40">
      <c r="A5868" t="str">
        <f t="shared" si="1114"/>
        <v>PA_Alleg_2019p~Rep-school director chartiers valley (vote for 5)</v>
      </c>
      <c r="B5868" s="55" t="s">
        <v>1291</v>
      </c>
      <c r="C5868">
        <v>1251</v>
      </c>
      <c r="D5868" s="55" t="s">
        <v>155</v>
      </c>
      <c r="E5868" s="55" t="s">
        <v>158</v>
      </c>
      <c r="F5868" t="s">
        <v>1117</v>
      </c>
      <c r="G5868" s="62">
        <v>707</v>
      </c>
      <c r="H5868" s="25">
        <v>19.8</v>
      </c>
      <c r="I5868">
        <v>22760</v>
      </c>
      <c r="J5868">
        <v>3631</v>
      </c>
      <c r="K5868">
        <v>29</v>
      </c>
      <c r="L5868">
        <v>29</v>
      </c>
      <c r="M5868">
        <v>0</v>
      </c>
      <c r="N5868" s="23">
        <v>0</v>
      </c>
      <c r="O5868">
        <f t="shared" si="1107"/>
        <v>2</v>
      </c>
      <c r="P5868" s="57">
        <f t="shared" si="1108"/>
        <v>5</v>
      </c>
      <c r="Q5868" s="267">
        <f t="shared" si="1109"/>
        <v>2829</v>
      </c>
      <c r="R5868" s="23">
        <f t="shared" si="1110"/>
        <v>688</v>
      </c>
      <c r="S5868" s="23">
        <f t="shared" si="1111"/>
        <v>0</v>
      </c>
      <c r="T5868" s="23" t="str">
        <f t="shared" si="1112"/>
        <v/>
      </c>
      <c r="U5868" t="str">
        <f t="shared" si="1113"/>
        <v/>
      </c>
      <c r="X5868" s="43"/>
      <c r="Y5868" s="53"/>
      <c r="Z5868" s="53"/>
      <c r="AA5868"/>
      <c r="AB5868"/>
      <c r="AC5868" s="23"/>
      <c r="AD5868" s="23"/>
      <c r="AF5868" s="22"/>
      <c r="AM5868" s="371"/>
      <c r="AN5868" s="372"/>
    </row>
    <row r="5869" spans="1:40">
      <c r="A5869" t="str">
        <f t="shared" si="1114"/>
        <v>PA_Alleg_2019p~Rep-school director chartiers valley (vote for 5)</v>
      </c>
      <c r="B5869" s="55" t="s">
        <v>1291</v>
      </c>
      <c r="C5869">
        <v>1252</v>
      </c>
      <c r="D5869" s="55" t="s">
        <v>155</v>
      </c>
      <c r="E5869" s="55" t="s">
        <v>160</v>
      </c>
      <c r="F5869" t="s">
        <v>1117</v>
      </c>
      <c r="G5869" s="62">
        <v>706</v>
      </c>
      <c r="H5869" s="25">
        <v>19.78</v>
      </c>
      <c r="I5869">
        <v>22760</v>
      </c>
      <c r="J5869">
        <v>3631</v>
      </c>
      <c r="K5869">
        <v>29</v>
      </c>
      <c r="L5869">
        <v>29</v>
      </c>
      <c r="M5869">
        <v>0</v>
      </c>
      <c r="N5869" s="23">
        <v>0</v>
      </c>
      <c r="O5869">
        <f t="shared" si="1107"/>
        <v>3</v>
      </c>
      <c r="P5869" s="57">
        <f t="shared" si="1108"/>
        <v>5</v>
      </c>
      <c r="Q5869" s="267">
        <f t="shared" si="1109"/>
        <v>2122</v>
      </c>
      <c r="R5869" s="23">
        <f t="shared" si="1110"/>
        <v>688</v>
      </c>
      <c r="S5869" s="23">
        <f t="shared" si="1111"/>
        <v>0</v>
      </c>
      <c r="T5869" s="23" t="str">
        <f t="shared" si="1112"/>
        <v/>
      </c>
      <c r="U5869" t="str">
        <f t="shared" si="1113"/>
        <v/>
      </c>
      <c r="X5869" s="43"/>
      <c r="Y5869" s="53"/>
      <c r="Z5869" s="53"/>
      <c r="AA5869"/>
      <c r="AB5869"/>
      <c r="AC5869" s="23"/>
      <c r="AD5869" s="23"/>
      <c r="AF5869" s="22"/>
      <c r="AM5869" s="371"/>
      <c r="AN5869" s="372"/>
    </row>
    <row r="5870" spans="1:40">
      <c r="A5870" t="str">
        <f t="shared" si="1114"/>
        <v>PA_Alleg_2019p~Rep-school director chartiers valley (vote for 5)</v>
      </c>
      <c r="B5870" s="55" t="s">
        <v>1291</v>
      </c>
      <c r="C5870">
        <v>1253</v>
      </c>
      <c r="D5870" s="55" t="s">
        <v>155</v>
      </c>
      <c r="E5870" s="55" t="s">
        <v>159</v>
      </c>
      <c r="F5870" t="s">
        <v>1117</v>
      </c>
      <c r="G5870" s="62">
        <v>689</v>
      </c>
      <c r="H5870" s="25">
        <v>19.3</v>
      </c>
      <c r="I5870">
        <v>22760</v>
      </c>
      <c r="J5870">
        <v>3631</v>
      </c>
      <c r="K5870">
        <v>29</v>
      </c>
      <c r="L5870">
        <v>29</v>
      </c>
      <c r="M5870">
        <v>0</v>
      </c>
      <c r="N5870" s="23">
        <v>0</v>
      </c>
      <c r="O5870">
        <f t="shared" si="1107"/>
        <v>4</v>
      </c>
      <c r="P5870" s="57">
        <f t="shared" si="1108"/>
        <v>5</v>
      </c>
      <c r="Q5870" s="267">
        <f t="shared" si="1109"/>
        <v>1416</v>
      </c>
      <c r="R5870" s="23">
        <f t="shared" si="1110"/>
        <v>688</v>
      </c>
      <c r="S5870" s="23">
        <f t="shared" si="1111"/>
        <v>0</v>
      </c>
      <c r="T5870" s="23" t="str">
        <f t="shared" si="1112"/>
        <v/>
      </c>
      <c r="U5870" t="str">
        <f t="shared" si="1113"/>
        <v/>
      </c>
      <c r="X5870" s="43"/>
      <c r="Y5870" s="53"/>
      <c r="Z5870" s="53"/>
      <c r="AA5870"/>
      <c r="AB5870"/>
      <c r="AC5870" s="23"/>
      <c r="AD5870" s="23"/>
      <c r="AF5870" s="22"/>
      <c r="AM5870" s="371"/>
      <c r="AN5870" s="372"/>
    </row>
    <row r="5871" spans="1:40">
      <c r="A5871" t="str">
        <f t="shared" si="1114"/>
        <v>PA_Alleg_2019p~Rep-school director chartiers valley (vote for 5)</v>
      </c>
      <c r="B5871" s="55" t="s">
        <v>1291</v>
      </c>
      <c r="C5871">
        <v>1250</v>
      </c>
      <c r="D5871" s="55" t="s">
        <v>155</v>
      </c>
      <c r="E5871" s="55" t="s">
        <v>156</v>
      </c>
      <c r="F5871" t="s">
        <v>1117</v>
      </c>
      <c r="G5871" s="62">
        <v>688</v>
      </c>
      <c r="H5871" s="25">
        <v>19.27</v>
      </c>
      <c r="I5871">
        <v>22760</v>
      </c>
      <c r="J5871">
        <v>3631</v>
      </c>
      <c r="K5871">
        <v>29</v>
      </c>
      <c r="L5871">
        <v>29</v>
      </c>
      <c r="M5871">
        <v>0</v>
      </c>
      <c r="N5871" s="23">
        <v>0</v>
      </c>
      <c r="O5871">
        <f t="shared" si="1107"/>
        <v>5</v>
      </c>
      <c r="P5871" s="57">
        <f t="shared" si="1108"/>
        <v>5</v>
      </c>
      <c r="Q5871" s="267">
        <f t="shared" si="1109"/>
        <v>727</v>
      </c>
      <c r="R5871" s="23">
        <f t="shared" si="1110"/>
        <v>688</v>
      </c>
      <c r="S5871" s="23">
        <f t="shared" si="1111"/>
        <v>0</v>
      </c>
      <c r="T5871" s="23" t="str">
        <f t="shared" si="1112"/>
        <v/>
      </c>
      <c r="U5871" t="str">
        <f t="shared" si="1113"/>
        <v/>
      </c>
      <c r="X5871" s="43"/>
      <c r="Y5871" s="53"/>
      <c r="Z5871" s="53"/>
      <c r="AA5871"/>
      <c r="AB5871"/>
      <c r="AC5871" s="23"/>
      <c r="AD5871" s="23"/>
      <c r="AF5871" s="22"/>
      <c r="AM5871" s="371"/>
      <c r="AN5871" s="372"/>
    </row>
    <row r="5872" spans="1:40">
      <c r="A5872" t="str">
        <f t="shared" si="1114"/>
        <v>PA_Alleg_2019p~Rep-school director chartiers valley (vote for 5)</v>
      </c>
      <c r="B5872" s="55" t="s">
        <v>1291</v>
      </c>
      <c r="C5872">
        <v>1254</v>
      </c>
      <c r="D5872" s="55" t="s">
        <v>155</v>
      </c>
      <c r="E5872" s="55" t="s">
        <v>15</v>
      </c>
      <c r="F5872" t="s">
        <v>1117</v>
      </c>
      <c r="G5872" s="62">
        <v>39</v>
      </c>
      <c r="H5872" s="25">
        <v>1.0900000000000001</v>
      </c>
      <c r="I5872">
        <v>22760</v>
      </c>
      <c r="J5872">
        <v>3631</v>
      </c>
      <c r="K5872">
        <v>29</v>
      </c>
      <c r="L5872">
        <v>29</v>
      </c>
      <c r="M5872">
        <v>0</v>
      </c>
      <c r="N5872" s="23">
        <v>0</v>
      </c>
      <c r="O5872">
        <f t="shared" si="1107"/>
        <v>-5</v>
      </c>
      <c r="P5872" s="57">
        <f t="shared" si="1108"/>
        <v>5</v>
      </c>
      <c r="Q5872" s="267">
        <f t="shared" si="1109"/>
        <v>39</v>
      </c>
      <c r="R5872" s="23">
        <f t="shared" si="1110"/>
        <v>1</v>
      </c>
      <c r="S5872" s="23">
        <f t="shared" si="1111"/>
        <v>0</v>
      </c>
      <c r="T5872" s="23" t="str">
        <f t="shared" si="1112"/>
        <v/>
      </c>
      <c r="U5872" t="str">
        <f t="shared" si="1113"/>
        <v/>
      </c>
      <c r="X5872" s="43"/>
      <c r="Y5872" s="53"/>
      <c r="Z5872" s="53"/>
      <c r="AA5872"/>
      <c r="AB5872"/>
      <c r="AC5872" s="23"/>
      <c r="AD5872" s="23"/>
      <c r="AF5872" s="22"/>
      <c r="AM5872" s="371"/>
      <c r="AN5872" s="372"/>
    </row>
    <row r="5873" spans="1:40">
      <c r="A5873" t="str">
        <f t="shared" si="1114"/>
        <v>PA_Alleg_2019p~Rep-school director clairton region 1 (vote for 1)</v>
      </c>
      <c r="B5873" s="55" t="s">
        <v>1291</v>
      </c>
      <c r="C5873">
        <v>1444</v>
      </c>
      <c r="D5873" s="55" t="s">
        <v>373</v>
      </c>
      <c r="E5873" s="55" t="s">
        <v>15</v>
      </c>
      <c r="F5873" t="s">
        <v>1117</v>
      </c>
      <c r="G5873" s="62">
        <v>3</v>
      </c>
      <c r="H5873" s="25">
        <v>100</v>
      </c>
      <c r="I5873">
        <v>1137</v>
      </c>
      <c r="J5873">
        <v>183</v>
      </c>
      <c r="K5873">
        <v>3</v>
      </c>
      <c r="L5873">
        <v>3</v>
      </c>
      <c r="M5873">
        <v>0</v>
      </c>
      <c r="N5873" s="23">
        <v>0</v>
      </c>
      <c r="O5873">
        <f t="shared" si="1107"/>
        <v>0</v>
      </c>
      <c r="P5873" s="57">
        <f t="shared" si="1108"/>
        <v>1</v>
      </c>
      <c r="Q5873" s="267">
        <f t="shared" si="1109"/>
        <v>3</v>
      </c>
      <c r="R5873" s="23">
        <f t="shared" si="1110"/>
        <v>1</v>
      </c>
      <c r="S5873" s="23">
        <f t="shared" si="1111"/>
        <v>0</v>
      </c>
      <c r="T5873" s="23" t="str">
        <f t="shared" si="1112"/>
        <v/>
      </c>
      <c r="U5873" t="str">
        <f t="shared" si="1113"/>
        <v>PA_Alleg_2019p~Rep-school director clairton region 1 (vote for 1)</v>
      </c>
      <c r="X5873" s="43"/>
      <c r="Y5873" s="53"/>
      <c r="Z5873" s="53"/>
      <c r="AA5873"/>
      <c r="AB5873"/>
      <c r="AC5873" s="23"/>
      <c r="AD5873" s="23"/>
      <c r="AF5873" s="22"/>
      <c r="AM5873" s="371"/>
      <c r="AN5873" s="372"/>
    </row>
    <row r="5874" spans="1:40">
      <c r="A5874" t="str">
        <f t="shared" si="1114"/>
        <v>PA_Alleg_2019p~Rep-school director clairton region 2 (vote for 1)</v>
      </c>
      <c r="B5874" s="55" t="s">
        <v>1291</v>
      </c>
      <c r="C5874">
        <v>1484</v>
      </c>
      <c r="D5874" s="55" t="s">
        <v>409</v>
      </c>
      <c r="E5874" s="55" t="s">
        <v>15</v>
      </c>
      <c r="F5874" t="s">
        <v>1117</v>
      </c>
      <c r="G5874" s="62">
        <v>2</v>
      </c>
      <c r="H5874" s="25">
        <v>100</v>
      </c>
      <c r="I5874">
        <v>937</v>
      </c>
      <c r="J5874">
        <v>153</v>
      </c>
      <c r="K5874">
        <v>3</v>
      </c>
      <c r="L5874">
        <v>3</v>
      </c>
      <c r="M5874">
        <v>0</v>
      </c>
      <c r="N5874" s="23">
        <v>0</v>
      </c>
      <c r="O5874">
        <f t="shared" si="1107"/>
        <v>0</v>
      </c>
      <c r="P5874" s="57">
        <f t="shared" si="1108"/>
        <v>1</v>
      </c>
      <c r="Q5874" s="267">
        <f t="shared" si="1109"/>
        <v>2</v>
      </c>
      <c r="R5874" s="23">
        <f t="shared" si="1110"/>
        <v>1</v>
      </c>
      <c r="S5874" s="23">
        <f t="shared" si="1111"/>
        <v>0</v>
      </c>
      <c r="T5874" s="23" t="str">
        <f t="shared" si="1112"/>
        <v/>
      </c>
      <c r="U5874" t="str">
        <f t="shared" si="1113"/>
        <v>PA_Alleg_2019p~Rep-school director clairton region 2 (vote for 1)</v>
      </c>
      <c r="X5874" s="43"/>
      <c r="Y5874" s="53"/>
      <c r="Z5874" s="53"/>
      <c r="AA5874"/>
      <c r="AB5874"/>
      <c r="AC5874" s="23"/>
      <c r="AD5874" s="23"/>
      <c r="AF5874" s="22"/>
      <c r="AM5874" s="371"/>
      <c r="AN5874" s="372"/>
    </row>
    <row r="5875" spans="1:40">
      <c r="A5875" t="str">
        <f t="shared" si="1114"/>
        <v>PA_Alleg_2019p~Rep-school director clairton region 2 (vote for 1)</v>
      </c>
      <c r="B5875" s="55" t="s">
        <v>1291</v>
      </c>
      <c r="C5875">
        <v>1474</v>
      </c>
      <c r="D5875" s="55" t="s">
        <v>409</v>
      </c>
      <c r="E5875" s="55" t="s">
        <v>15</v>
      </c>
      <c r="F5875" t="s">
        <v>1117</v>
      </c>
      <c r="G5875" s="62">
        <v>0</v>
      </c>
      <c r="H5875" s="25">
        <v>0</v>
      </c>
      <c r="I5875">
        <v>937</v>
      </c>
      <c r="J5875">
        <v>153</v>
      </c>
      <c r="K5875">
        <v>3</v>
      </c>
      <c r="L5875">
        <v>3</v>
      </c>
      <c r="M5875">
        <v>0</v>
      </c>
      <c r="N5875" s="23">
        <v>0</v>
      </c>
      <c r="O5875">
        <f t="shared" si="1107"/>
        <v>0</v>
      </c>
      <c r="P5875" s="57">
        <f t="shared" si="1108"/>
        <v>1</v>
      </c>
      <c r="Q5875" s="267">
        <f t="shared" si="1109"/>
        <v>0</v>
      </c>
      <c r="R5875" s="23">
        <f t="shared" si="1110"/>
        <v>1</v>
      </c>
      <c r="S5875" s="23">
        <f t="shared" si="1111"/>
        <v>0</v>
      </c>
      <c r="T5875" s="23" t="str">
        <f t="shared" si="1112"/>
        <v/>
      </c>
      <c r="U5875" t="str">
        <f t="shared" si="1113"/>
        <v/>
      </c>
      <c r="X5875" s="43"/>
      <c r="Y5875" s="53"/>
      <c r="Z5875" s="53"/>
      <c r="AA5875"/>
      <c r="AB5875"/>
      <c r="AC5875" s="23"/>
      <c r="AD5875" s="23"/>
      <c r="AF5875" s="22"/>
      <c r="AM5875" s="371"/>
      <c r="AN5875" s="372"/>
    </row>
    <row r="5876" spans="1:40">
      <c r="A5876" t="str">
        <f t="shared" si="1114"/>
        <v>PA_Alleg_2019p~Rep-school director clairton region 3 (vote for 1)</v>
      </c>
      <c r="B5876" s="55" t="s">
        <v>1291</v>
      </c>
      <c r="C5876">
        <v>1507</v>
      </c>
      <c r="D5876" s="55" t="s">
        <v>442</v>
      </c>
      <c r="E5876" s="55" t="s">
        <v>15</v>
      </c>
      <c r="F5876" t="s">
        <v>1117</v>
      </c>
      <c r="G5876" s="62">
        <v>1</v>
      </c>
      <c r="H5876" s="25">
        <v>100</v>
      </c>
      <c r="I5876">
        <v>1280</v>
      </c>
      <c r="J5876">
        <v>148</v>
      </c>
      <c r="K5876">
        <v>3</v>
      </c>
      <c r="L5876">
        <v>3</v>
      </c>
      <c r="M5876">
        <v>0</v>
      </c>
      <c r="N5876" s="23">
        <v>0</v>
      </c>
      <c r="O5876">
        <f t="shared" si="1107"/>
        <v>0</v>
      </c>
      <c r="P5876" s="57">
        <f t="shared" si="1108"/>
        <v>1</v>
      </c>
      <c r="Q5876" s="267">
        <f t="shared" si="1109"/>
        <v>1</v>
      </c>
      <c r="R5876" s="23">
        <f t="shared" si="1110"/>
        <v>1</v>
      </c>
      <c r="S5876" s="23">
        <f t="shared" si="1111"/>
        <v>0</v>
      </c>
      <c r="T5876" s="23" t="str">
        <f t="shared" si="1112"/>
        <v/>
      </c>
      <c r="U5876" t="str">
        <f t="shared" si="1113"/>
        <v>PA_Alleg_2019p~Rep-school director clairton region 3 (vote for 1)</v>
      </c>
      <c r="X5876" s="43"/>
      <c r="Y5876" s="53"/>
      <c r="Z5876" s="53"/>
      <c r="AA5876"/>
      <c r="AB5876"/>
      <c r="AC5876" s="23"/>
      <c r="AD5876" s="23"/>
      <c r="AF5876" s="22"/>
      <c r="AM5876" s="371"/>
      <c r="AN5876" s="372"/>
    </row>
    <row r="5877" spans="1:40">
      <c r="A5877" t="str">
        <f t="shared" si="1114"/>
        <v>PA_Alleg_2019p~Rep-school director clairton region 4 (vote for 1)</v>
      </c>
      <c r="B5877" s="55" t="s">
        <v>1291</v>
      </c>
      <c r="C5877">
        <v>1520</v>
      </c>
      <c r="D5877" s="55" t="s">
        <v>454</v>
      </c>
      <c r="E5877" s="55" t="s">
        <v>104</v>
      </c>
      <c r="F5877" t="s">
        <v>1117</v>
      </c>
      <c r="G5877" s="62">
        <v>22</v>
      </c>
      <c r="H5877" s="25">
        <v>100</v>
      </c>
      <c r="I5877">
        <v>1227</v>
      </c>
      <c r="J5877">
        <v>263</v>
      </c>
      <c r="K5877">
        <v>3</v>
      </c>
      <c r="L5877">
        <v>3</v>
      </c>
      <c r="M5877">
        <v>0</v>
      </c>
      <c r="N5877" s="23">
        <v>0</v>
      </c>
      <c r="O5877">
        <f t="shared" si="1107"/>
        <v>1</v>
      </c>
      <c r="P5877" s="57">
        <f t="shared" si="1108"/>
        <v>1</v>
      </c>
      <c r="Q5877" s="267">
        <f t="shared" si="1109"/>
        <v>22</v>
      </c>
      <c r="R5877" s="23">
        <f t="shared" si="1110"/>
        <v>22</v>
      </c>
      <c r="S5877" s="23">
        <f t="shared" si="1111"/>
        <v>0</v>
      </c>
      <c r="T5877" s="23" t="str">
        <f t="shared" si="1112"/>
        <v/>
      </c>
      <c r="U5877" t="str">
        <f t="shared" si="1113"/>
        <v>PA_Alleg_2019p~Rep-school director clairton region 4 (vote for 1)</v>
      </c>
      <c r="X5877" s="43"/>
      <c r="Y5877" s="53"/>
      <c r="Z5877" s="53"/>
      <c r="AA5877"/>
      <c r="AB5877"/>
      <c r="AC5877" s="23"/>
      <c r="AD5877" s="23"/>
      <c r="AF5877" s="22"/>
      <c r="AM5877" s="371"/>
      <c r="AN5877" s="372"/>
    </row>
    <row r="5878" spans="1:40">
      <c r="A5878" t="str">
        <f t="shared" si="1114"/>
        <v>PA_Alleg_2019p~Rep-school director clairton region 4 (vote for 1)</v>
      </c>
      <c r="B5878" s="55" t="s">
        <v>1291</v>
      </c>
      <c r="C5878">
        <v>1521</v>
      </c>
      <c r="D5878" s="55" t="s">
        <v>454</v>
      </c>
      <c r="E5878" s="55" t="s">
        <v>15</v>
      </c>
      <c r="F5878" t="s">
        <v>1117</v>
      </c>
      <c r="G5878" s="62">
        <v>0</v>
      </c>
      <c r="H5878" s="25">
        <v>0</v>
      </c>
      <c r="I5878">
        <v>1227</v>
      </c>
      <c r="J5878">
        <v>263</v>
      </c>
      <c r="K5878">
        <v>3</v>
      </c>
      <c r="L5878">
        <v>3</v>
      </c>
      <c r="M5878">
        <v>0</v>
      </c>
      <c r="N5878" s="23">
        <v>0</v>
      </c>
      <c r="O5878">
        <f t="shared" si="1107"/>
        <v>-1</v>
      </c>
      <c r="P5878" s="57">
        <f t="shared" si="1108"/>
        <v>1</v>
      </c>
      <c r="Q5878" s="267">
        <f t="shared" si="1109"/>
        <v>0</v>
      </c>
      <c r="R5878" s="23">
        <f t="shared" si="1110"/>
        <v>1</v>
      </c>
      <c r="S5878" s="23">
        <f t="shared" si="1111"/>
        <v>0</v>
      </c>
      <c r="T5878" s="23" t="str">
        <f t="shared" si="1112"/>
        <v/>
      </c>
      <c r="U5878" t="str">
        <f t="shared" si="1113"/>
        <v/>
      </c>
      <c r="X5878" s="43"/>
      <c r="Y5878" s="53"/>
      <c r="Z5878" s="53"/>
      <c r="AA5878"/>
      <c r="AB5878"/>
      <c r="AC5878" s="23"/>
      <c r="AD5878" s="23"/>
      <c r="AF5878" s="22"/>
      <c r="AM5878" s="371"/>
      <c r="AN5878" s="372"/>
    </row>
    <row r="5879" spans="1:40">
      <c r="A5879" t="str">
        <f t="shared" si="1114"/>
        <v>PA_Alleg_2019p~Rep-school director cornell (vote for 1)</v>
      </c>
      <c r="B5879" s="55" t="s">
        <v>1291</v>
      </c>
      <c r="C5879">
        <v>1417</v>
      </c>
      <c r="D5879" s="55" t="s">
        <v>343</v>
      </c>
      <c r="E5879" s="55" t="s">
        <v>15</v>
      </c>
      <c r="F5879" t="s">
        <v>1117</v>
      </c>
      <c r="G5879" s="62">
        <v>41</v>
      </c>
      <c r="H5879" s="25">
        <v>100</v>
      </c>
      <c r="I5879">
        <v>4820</v>
      </c>
      <c r="J5879">
        <v>1068</v>
      </c>
      <c r="K5879">
        <v>10</v>
      </c>
      <c r="L5879">
        <v>10</v>
      </c>
      <c r="M5879">
        <v>0</v>
      </c>
      <c r="N5879" s="23">
        <v>0</v>
      </c>
      <c r="O5879">
        <f t="shared" si="1107"/>
        <v>0</v>
      </c>
      <c r="P5879" s="57">
        <f t="shared" si="1108"/>
        <v>1</v>
      </c>
      <c r="Q5879" s="267">
        <f t="shared" si="1109"/>
        <v>41</v>
      </c>
      <c r="R5879" s="23">
        <f t="shared" si="1110"/>
        <v>1</v>
      </c>
      <c r="S5879" s="23">
        <f t="shared" si="1111"/>
        <v>0</v>
      </c>
      <c r="T5879" s="23" t="str">
        <f t="shared" si="1112"/>
        <v/>
      </c>
      <c r="U5879" t="str">
        <f t="shared" si="1113"/>
        <v>PA_Alleg_2019p~Rep-school director cornell (vote for 1)</v>
      </c>
      <c r="X5879" s="43"/>
      <c r="Y5879" s="53"/>
      <c r="Z5879" s="53"/>
      <c r="AA5879"/>
      <c r="AB5879"/>
      <c r="AC5879" s="23"/>
      <c r="AD5879" s="23"/>
      <c r="AF5879" s="22"/>
      <c r="AM5879" s="371"/>
      <c r="AN5879" s="372"/>
    </row>
    <row r="5880" spans="1:40">
      <c r="A5880" t="str">
        <f t="shared" si="1114"/>
        <v>PA_Alleg_2019p~Rep-school director cornell (vote for 5)</v>
      </c>
      <c r="B5880" s="55" t="s">
        <v>1291</v>
      </c>
      <c r="C5880">
        <v>1256</v>
      </c>
      <c r="D5880" s="55" t="s">
        <v>161</v>
      </c>
      <c r="E5880" s="55" t="s">
        <v>164</v>
      </c>
      <c r="F5880" t="s">
        <v>1117</v>
      </c>
      <c r="G5880" s="62">
        <v>120</v>
      </c>
      <c r="H5880" s="25">
        <v>23.72</v>
      </c>
      <c r="I5880">
        <v>4820</v>
      </c>
      <c r="J5880">
        <v>1068</v>
      </c>
      <c r="K5880">
        <v>10</v>
      </c>
      <c r="L5880">
        <v>10</v>
      </c>
      <c r="M5880">
        <v>0</v>
      </c>
      <c r="N5880" s="23">
        <v>0</v>
      </c>
      <c r="O5880">
        <f t="shared" si="1107"/>
        <v>1</v>
      </c>
      <c r="P5880" s="57">
        <f t="shared" si="1108"/>
        <v>5</v>
      </c>
      <c r="Q5880" s="267">
        <f t="shared" si="1109"/>
        <v>120</v>
      </c>
      <c r="R5880" s="23">
        <f t="shared" si="1110"/>
        <v>1</v>
      </c>
      <c r="S5880" s="23">
        <f t="shared" si="1111"/>
        <v>0</v>
      </c>
      <c r="T5880" s="23" t="str">
        <f t="shared" si="1112"/>
        <v/>
      </c>
      <c r="U5880" t="str">
        <f t="shared" si="1113"/>
        <v>PA_Alleg_2019p~Rep-school director cornell (vote for 5)</v>
      </c>
      <c r="X5880" s="43"/>
      <c r="Y5880" s="53"/>
      <c r="Z5880" s="53"/>
      <c r="AA5880"/>
      <c r="AB5880"/>
      <c r="AC5880" s="23"/>
      <c r="AD5880" s="23"/>
      <c r="AF5880" s="22"/>
      <c r="AM5880" s="371"/>
      <c r="AN5880" s="372"/>
    </row>
    <row r="5881" spans="1:40">
      <c r="A5881" t="str">
        <f t="shared" si="1114"/>
        <v>PA_Alleg_2019p~Rep-school director cornell (vote for 5)</v>
      </c>
      <c r="B5881" s="55" t="s">
        <v>1291</v>
      </c>
      <c r="C5881">
        <v>1255</v>
      </c>
      <c r="D5881" s="55" t="s">
        <v>161</v>
      </c>
      <c r="E5881" s="55" t="s">
        <v>162</v>
      </c>
      <c r="F5881" t="s">
        <v>1117</v>
      </c>
      <c r="G5881" s="62">
        <v>115</v>
      </c>
      <c r="H5881" s="25">
        <v>22.73</v>
      </c>
      <c r="I5881">
        <v>4820</v>
      </c>
      <c r="J5881">
        <v>1068</v>
      </c>
      <c r="K5881">
        <v>10</v>
      </c>
      <c r="L5881">
        <v>10</v>
      </c>
      <c r="M5881">
        <v>0</v>
      </c>
      <c r="N5881" s="23">
        <v>0</v>
      </c>
      <c r="O5881">
        <f t="shared" si="1107"/>
        <v>2</v>
      </c>
      <c r="P5881" s="57">
        <f t="shared" si="1108"/>
        <v>5</v>
      </c>
      <c r="Q5881" s="267">
        <f t="shared" si="1109"/>
        <v>386</v>
      </c>
      <c r="R5881" s="23">
        <f t="shared" si="1110"/>
        <v>1</v>
      </c>
      <c r="S5881" s="23">
        <f t="shared" si="1111"/>
        <v>0</v>
      </c>
      <c r="T5881" s="23" t="str">
        <f t="shared" si="1112"/>
        <v/>
      </c>
      <c r="U5881" t="str">
        <f t="shared" si="1113"/>
        <v/>
      </c>
      <c r="X5881" s="43"/>
      <c r="Y5881" s="53"/>
      <c r="Z5881" s="53"/>
      <c r="AA5881"/>
      <c r="AB5881"/>
      <c r="AC5881" s="23"/>
      <c r="AD5881" s="23"/>
      <c r="AF5881" s="22"/>
      <c r="AM5881" s="371"/>
      <c r="AN5881" s="372"/>
    </row>
    <row r="5882" spans="1:40">
      <c r="A5882" t="str">
        <f t="shared" si="1114"/>
        <v>PA_Alleg_2019p~Rep-school director cornell (vote for 5)</v>
      </c>
      <c r="B5882" s="55" t="s">
        <v>1291</v>
      </c>
      <c r="C5882">
        <v>1258</v>
      </c>
      <c r="D5882" s="55" t="s">
        <v>161</v>
      </c>
      <c r="E5882" s="55" t="s">
        <v>163</v>
      </c>
      <c r="F5882" t="s">
        <v>1117</v>
      </c>
      <c r="G5882" s="62">
        <v>100</v>
      </c>
      <c r="H5882" s="25">
        <v>19.760000000000002</v>
      </c>
      <c r="I5882">
        <v>4820</v>
      </c>
      <c r="J5882">
        <v>1068</v>
      </c>
      <c r="K5882">
        <v>10</v>
      </c>
      <c r="L5882">
        <v>10</v>
      </c>
      <c r="M5882">
        <v>0</v>
      </c>
      <c r="N5882" s="23">
        <v>0</v>
      </c>
      <c r="O5882">
        <f t="shared" si="1107"/>
        <v>3</v>
      </c>
      <c r="P5882" s="57">
        <f t="shared" si="1108"/>
        <v>5</v>
      </c>
      <c r="Q5882" s="267">
        <f t="shared" si="1109"/>
        <v>271</v>
      </c>
      <c r="R5882" s="23">
        <f t="shared" si="1110"/>
        <v>1</v>
      </c>
      <c r="S5882" s="23">
        <f t="shared" si="1111"/>
        <v>0</v>
      </c>
      <c r="T5882" s="23" t="str">
        <f t="shared" si="1112"/>
        <v/>
      </c>
      <c r="U5882" t="str">
        <f t="shared" si="1113"/>
        <v/>
      </c>
      <c r="X5882" s="43"/>
      <c r="Y5882" s="53"/>
      <c r="Z5882" s="53"/>
      <c r="AA5882"/>
      <c r="AB5882"/>
      <c r="AC5882" s="23"/>
      <c r="AD5882" s="23"/>
      <c r="AF5882" s="22"/>
      <c r="AM5882" s="371"/>
      <c r="AN5882" s="372"/>
    </row>
    <row r="5883" spans="1:40">
      <c r="A5883" t="str">
        <f t="shared" si="1114"/>
        <v>PA_Alleg_2019p~Rep-school director cornell (vote for 5)</v>
      </c>
      <c r="B5883" s="55" t="s">
        <v>1291</v>
      </c>
      <c r="C5883">
        <v>1257</v>
      </c>
      <c r="D5883" s="55" t="s">
        <v>161</v>
      </c>
      <c r="E5883" s="55" t="s">
        <v>165</v>
      </c>
      <c r="F5883" t="s">
        <v>1117</v>
      </c>
      <c r="G5883" s="62">
        <v>86</v>
      </c>
      <c r="H5883" s="25">
        <v>17</v>
      </c>
      <c r="I5883">
        <v>4820</v>
      </c>
      <c r="J5883">
        <v>1068</v>
      </c>
      <c r="K5883">
        <v>10</v>
      </c>
      <c r="L5883">
        <v>10</v>
      </c>
      <c r="M5883">
        <v>0</v>
      </c>
      <c r="N5883" s="23">
        <v>0</v>
      </c>
      <c r="O5883">
        <f t="shared" si="1107"/>
        <v>4</v>
      </c>
      <c r="P5883" s="57">
        <f t="shared" si="1108"/>
        <v>5</v>
      </c>
      <c r="Q5883" s="267">
        <f t="shared" si="1109"/>
        <v>171</v>
      </c>
      <c r="R5883" s="23">
        <f t="shared" si="1110"/>
        <v>1</v>
      </c>
      <c r="S5883" s="23">
        <f t="shared" si="1111"/>
        <v>0</v>
      </c>
      <c r="T5883" s="23" t="str">
        <f t="shared" si="1112"/>
        <v/>
      </c>
      <c r="U5883" t="str">
        <f t="shared" si="1113"/>
        <v/>
      </c>
      <c r="X5883" s="43"/>
      <c r="Y5883" s="53"/>
      <c r="Z5883" s="53"/>
      <c r="AA5883"/>
      <c r="AB5883"/>
      <c r="AC5883" s="23"/>
      <c r="AD5883" s="23"/>
      <c r="AF5883" s="22"/>
      <c r="AM5883" s="371"/>
      <c r="AN5883" s="372"/>
    </row>
    <row r="5884" spans="1:40">
      <c r="A5884" t="str">
        <f t="shared" si="1114"/>
        <v>PA_Alleg_2019p~Rep-school director cornell (vote for 5)</v>
      </c>
      <c r="B5884" s="55" t="s">
        <v>1291</v>
      </c>
      <c r="C5884">
        <v>1259</v>
      </c>
      <c r="D5884" s="55" t="s">
        <v>161</v>
      </c>
      <c r="E5884" s="55" t="s">
        <v>15</v>
      </c>
      <c r="F5884" t="s">
        <v>1117</v>
      </c>
      <c r="G5884" s="62">
        <v>85</v>
      </c>
      <c r="H5884" s="25">
        <v>16.8</v>
      </c>
      <c r="I5884">
        <v>4820</v>
      </c>
      <c r="J5884">
        <v>1068</v>
      </c>
      <c r="K5884">
        <v>10</v>
      </c>
      <c r="L5884">
        <v>10</v>
      </c>
      <c r="M5884">
        <v>0</v>
      </c>
      <c r="N5884" s="23">
        <v>0</v>
      </c>
      <c r="O5884">
        <f t="shared" si="1107"/>
        <v>-4</v>
      </c>
      <c r="P5884" s="57">
        <f t="shared" si="1108"/>
        <v>5</v>
      </c>
      <c r="Q5884" s="267">
        <f t="shared" si="1109"/>
        <v>85</v>
      </c>
      <c r="R5884" s="23">
        <f t="shared" si="1110"/>
        <v>1</v>
      </c>
      <c r="S5884" s="23">
        <f t="shared" si="1111"/>
        <v>0</v>
      </c>
      <c r="T5884" s="23" t="str">
        <f t="shared" si="1112"/>
        <v/>
      </c>
      <c r="U5884" t="str">
        <f t="shared" si="1113"/>
        <v/>
      </c>
      <c r="X5884" s="43"/>
      <c r="Y5884" s="53"/>
      <c r="Z5884" s="53"/>
      <c r="AA5884"/>
      <c r="AB5884"/>
      <c r="AC5884" s="23"/>
      <c r="AD5884" s="23"/>
      <c r="AF5884" s="22"/>
      <c r="AM5884" s="371"/>
      <c r="AN5884" s="372"/>
    </row>
    <row r="5885" spans="1:40">
      <c r="A5885" t="str">
        <f t="shared" si="1114"/>
        <v>PA_Alleg_2019p~Rep-school director deer lakes (vote for 5)</v>
      </c>
      <c r="B5885" s="55" t="s">
        <v>1291</v>
      </c>
      <c r="C5885">
        <v>1260</v>
      </c>
      <c r="D5885" s="55" t="s">
        <v>166</v>
      </c>
      <c r="E5885" s="55" t="s">
        <v>1124</v>
      </c>
      <c r="F5885" t="s">
        <v>1117</v>
      </c>
      <c r="G5885" s="62">
        <v>353</v>
      </c>
      <c r="H5885" s="25">
        <v>36.21</v>
      </c>
      <c r="I5885">
        <v>10135</v>
      </c>
      <c r="J5885">
        <v>1286</v>
      </c>
      <c r="K5885">
        <v>11</v>
      </c>
      <c r="L5885">
        <v>11</v>
      </c>
      <c r="M5885">
        <v>0</v>
      </c>
      <c r="N5885" s="23">
        <v>0</v>
      </c>
      <c r="O5885">
        <f t="shared" si="1107"/>
        <v>1</v>
      </c>
      <c r="P5885" s="57">
        <f t="shared" si="1108"/>
        <v>5</v>
      </c>
      <c r="Q5885" s="267">
        <f t="shared" si="1109"/>
        <v>353</v>
      </c>
      <c r="R5885" s="23">
        <f t="shared" si="1110"/>
        <v>1</v>
      </c>
      <c r="S5885" s="23">
        <f t="shared" si="1111"/>
        <v>0</v>
      </c>
      <c r="T5885" s="23" t="str">
        <f t="shared" si="1112"/>
        <v/>
      </c>
      <c r="U5885" t="str">
        <f t="shared" si="1113"/>
        <v>PA_Alleg_2019p~Rep-school director deer lakes (vote for 5)</v>
      </c>
      <c r="X5885" s="43"/>
      <c r="Y5885" s="53"/>
      <c r="Z5885" s="53"/>
      <c r="AA5885"/>
      <c r="AB5885"/>
      <c r="AC5885" s="23"/>
      <c r="AD5885" s="23"/>
      <c r="AF5885" s="22"/>
      <c r="AM5885" s="371"/>
      <c r="AN5885" s="372"/>
    </row>
    <row r="5886" spans="1:40">
      <c r="A5886" t="str">
        <f t="shared" si="1114"/>
        <v>PA_Alleg_2019p~Rep-school director deer lakes (vote for 5)</v>
      </c>
      <c r="B5886" s="55" t="s">
        <v>1291</v>
      </c>
      <c r="C5886">
        <v>1261</v>
      </c>
      <c r="D5886" s="55" t="s">
        <v>166</v>
      </c>
      <c r="E5886" s="55" t="s">
        <v>167</v>
      </c>
      <c r="F5886" t="s">
        <v>1117</v>
      </c>
      <c r="G5886" s="62">
        <v>328</v>
      </c>
      <c r="H5886" s="25">
        <v>33.64</v>
      </c>
      <c r="I5886">
        <v>10135</v>
      </c>
      <c r="J5886">
        <v>1286</v>
      </c>
      <c r="K5886">
        <v>11</v>
      </c>
      <c r="L5886">
        <v>11</v>
      </c>
      <c r="M5886">
        <v>0</v>
      </c>
      <c r="N5886" s="23">
        <v>0</v>
      </c>
      <c r="O5886">
        <f t="shared" si="1107"/>
        <v>2</v>
      </c>
      <c r="P5886" s="57">
        <f t="shared" si="1108"/>
        <v>5</v>
      </c>
      <c r="Q5886" s="267">
        <f t="shared" si="1109"/>
        <v>622</v>
      </c>
      <c r="R5886" s="23">
        <f t="shared" si="1110"/>
        <v>1</v>
      </c>
      <c r="S5886" s="23">
        <f t="shared" si="1111"/>
        <v>0</v>
      </c>
      <c r="T5886" s="23" t="str">
        <f t="shared" si="1112"/>
        <v/>
      </c>
      <c r="U5886" t="str">
        <f t="shared" si="1113"/>
        <v/>
      </c>
      <c r="X5886" s="43"/>
      <c r="Y5886" s="53"/>
      <c r="Z5886" s="53"/>
      <c r="AA5886"/>
      <c r="AB5886"/>
      <c r="AC5886" s="23"/>
      <c r="AD5886" s="23"/>
      <c r="AF5886" s="22"/>
      <c r="AM5886" s="371"/>
      <c r="AN5886" s="372"/>
    </row>
    <row r="5887" spans="1:40">
      <c r="A5887" t="str">
        <f t="shared" si="1114"/>
        <v>PA_Alleg_2019p~Rep-school director deer lakes (vote for 5)</v>
      </c>
      <c r="B5887" s="55" t="s">
        <v>1291</v>
      </c>
      <c r="C5887">
        <v>1262</v>
      </c>
      <c r="D5887" s="55" t="s">
        <v>166</v>
      </c>
      <c r="E5887" s="55" t="s">
        <v>15</v>
      </c>
      <c r="F5887" t="s">
        <v>1117</v>
      </c>
      <c r="G5887" s="62">
        <v>294</v>
      </c>
      <c r="H5887" s="25">
        <v>30.15</v>
      </c>
      <c r="I5887">
        <v>10135</v>
      </c>
      <c r="J5887">
        <v>1286</v>
      </c>
      <c r="K5887">
        <v>11</v>
      </c>
      <c r="L5887">
        <v>11</v>
      </c>
      <c r="M5887">
        <v>0</v>
      </c>
      <c r="N5887" s="23">
        <v>0</v>
      </c>
      <c r="O5887">
        <f t="shared" si="1107"/>
        <v>-2</v>
      </c>
      <c r="P5887" s="57">
        <f t="shared" si="1108"/>
        <v>5</v>
      </c>
      <c r="Q5887" s="267">
        <f t="shared" si="1109"/>
        <v>294</v>
      </c>
      <c r="R5887" s="23">
        <f t="shared" si="1110"/>
        <v>1</v>
      </c>
      <c r="S5887" s="23">
        <f t="shared" si="1111"/>
        <v>0</v>
      </c>
      <c r="T5887" s="23" t="str">
        <f t="shared" si="1112"/>
        <v/>
      </c>
      <c r="U5887" t="str">
        <f t="shared" si="1113"/>
        <v/>
      </c>
      <c r="X5887" s="43"/>
      <c r="Y5887" s="53"/>
      <c r="Z5887" s="53"/>
      <c r="AA5887"/>
      <c r="AB5887"/>
      <c r="AC5887" s="23"/>
      <c r="AD5887" s="23"/>
      <c r="AF5887" s="22"/>
      <c r="AM5887" s="371"/>
      <c r="AN5887" s="372"/>
    </row>
    <row r="5888" spans="1:40">
      <c r="A5888" t="str">
        <f t="shared" si="1114"/>
        <v>PA_Alleg_2019p~Rep-school director district 2 (vote for 1)</v>
      </c>
      <c r="B5888" s="55" t="s">
        <v>1291</v>
      </c>
      <c r="C5888">
        <v>1174</v>
      </c>
      <c r="D5888" s="55" t="s">
        <v>70</v>
      </c>
      <c r="E5888" s="55" t="s">
        <v>73</v>
      </c>
      <c r="F5888" t="s">
        <v>1117</v>
      </c>
      <c r="G5888" s="62">
        <v>196</v>
      </c>
      <c r="H5888" s="25">
        <v>95.15</v>
      </c>
      <c r="I5888">
        <v>31961</v>
      </c>
      <c r="J5888">
        <v>6770</v>
      </c>
      <c r="K5888">
        <v>51</v>
      </c>
      <c r="L5888">
        <v>51</v>
      </c>
      <c r="M5888">
        <v>0</v>
      </c>
      <c r="N5888" s="23">
        <v>0</v>
      </c>
      <c r="O5888">
        <f t="shared" si="1107"/>
        <v>1</v>
      </c>
      <c r="P5888" s="57">
        <f t="shared" si="1108"/>
        <v>1</v>
      </c>
      <c r="Q5888" s="267">
        <f t="shared" si="1109"/>
        <v>206</v>
      </c>
      <c r="R5888" s="23">
        <f t="shared" si="1110"/>
        <v>196</v>
      </c>
      <c r="S5888" s="23">
        <f t="shared" si="1111"/>
        <v>0</v>
      </c>
      <c r="T5888" s="23" t="str">
        <f t="shared" si="1112"/>
        <v/>
      </c>
      <c r="U5888" t="str">
        <f t="shared" si="1113"/>
        <v>PA_Alleg_2019p~Rep-school director district 2 (vote for 1)</v>
      </c>
      <c r="X5888" s="43"/>
      <c r="Y5888" s="53"/>
      <c r="Z5888" s="53"/>
      <c r="AA5888"/>
      <c r="AB5888"/>
      <c r="AC5888" s="23"/>
      <c r="AD5888" s="23"/>
      <c r="AF5888" s="22"/>
      <c r="AM5888" s="371"/>
      <c r="AN5888" s="372"/>
    </row>
    <row r="5889" spans="1:40">
      <c r="A5889" t="str">
        <f t="shared" si="1114"/>
        <v>PA_Alleg_2019p~Rep-school director district 2 (vote for 1)</v>
      </c>
      <c r="B5889" s="55" t="s">
        <v>1291</v>
      </c>
      <c r="C5889">
        <v>1175</v>
      </c>
      <c r="D5889" s="55" t="s">
        <v>70</v>
      </c>
      <c r="E5889" s="55" t="s">
        <v>15</v>
      </c>
      <c r="F5889" t="s">
        <v>1117</v>
      </c>
      <c r="G5889" s="62">
        <v>10</v>
      </c>
      <c r="H5889" s="25">
        <v>4.8499999999999996</v>
      </c>
      <c r="I5889">
        <v>31961</v>
      </c>
      <c r="J5889">
        <v>6770</v>
      </c>
      <c r="K5889">
        <v>51</v>
      </c>
      <c r="L5889">
        <v>51</v>
      </c>
      <c r="M5889">
        <v>0</v>
      </c>
      <c r="N5889" s="23">
        <v>0</v>
      </c>
      <c r="O5889">
        <f t="shared" si="1107"/>
        <v>-1</v>
      </c>
      <c r="P5889" s="57">
        <f t="shared" si="1108"/>
        <v>1</v>
      </c>
      <c r="Q5889" s="267">
        <f t="shared" si="1109"/>
        <v>10</v>
      </c>
      <c r="R5889" s="23">
        <f t="shared" si="1110"/>
        <v>1</v>
      </c>
      <c r="S5889" s="23">
        <f t="shared" si="1111"/>
        <v>0</v>
      </c>
      <c r="T5889" s="23" t="str">
        <f t="shared" si="1112"/>
        <v/>
      </c>
      <c r="U5889" t="str">
        <f t="shared" si="1113"/>
        <v/>
      </c>
      <c r="X5889" s="43"/>
      <c r="Y5889" s="53"/>
      <c r="Z5889" s="53"/>
      <c r="AA5889"/>
      <c r="AB5889"/>
      <c r="AC5889" s="23"/>
      <c r="AD5889" s="23"/>
      <c r="AF5889" s="22"/>
      <c r="AM5889" s="371"/>
      <c r="AN5889" s="372"/>
    </row>
    <row r="5890" spans="1:40">
      <c r="A5890" t="str">
        <f t="shared" si="1114"/>
        <v>PA_Alleg_2019p~Rep-school director district 4 (vote for 1)</v>
      </c>
      <c r="B5890" s="55" t="s">
        <v>1291</v>
      </c>
      <c r="C5890">
        <v>1176</v>
      </c>
      <c r="D5890" s="55" t="s">
        <v>75</v>
      </c>
      <c r="E5890" s="55" t="s">
        <v>76</v>
      </c>
      <c r="F5890" t="s">
        <v>1117</v>
      </c>
      <c r="G5890" s="62">
        <v>133</v>
      </c>
      <c r="H5890" s="25">
        <v>51.35</v>
      </c>
      <c r="I5890">
        <v>35698</v>
      </c>
      <c r="J5890">
        <v>5325</v>
      </c>
      <c r="K5890">
        <v>37</v>
      </c>
      <c r="L5890">
        <v>37</v>
      </c>
      <c r="M5890">
        <v>0</v>
      </c>
      <c r="N5890" s="23">
        <v>0</v>
      </c>
      <c r="O5890">
        <f t="shared" ref="O5890:O5953" si="1115">IF(OR(LOWER(LEFT(E5890,8))="write-in",LOWER(LEFT(E5890,8))="not qual"),IF(A5890=A5889,-ABS(O5889),0),IF(A5890=A5889,ABS(O5889)+1,1))</f>
        <v>1</v>
      </c>
      <c r="P5890" s="57">
        <f t="shared" ref="P5890:P5953" si="1116">1*LEFT(RIGHT(A5890,2),1)</f>
        <v>1</v>
      </c>
      <c r="Q5890" s="267">
        <f t="shared" ref="Q5890:Q5953" si="1117">IF(A5890&lt;&gt;A5891,G5890,IF(A5890=A5889,G5890+Q5891,MAX(G5890,(G5890+Q5891)/P5890)))</f>
        <v>259</v>
      </c>
      <c r="R5890" s="23">
        <f t="shared" ref="R5890:R5953" si="1118">IF(O5890&gt;P5890,"",IF(O5890=P5890,G5890,IF(A5890=A5891,R5891,IF(O5890&lt;=0,1,G5890))))</f>
        <v>133</v>
      </c>
      <c r="S5890" s="23">
        <f t="shared" ref="S5890:S5953" si="1119">IF(AND(O5890&gt;P5890,LOWER(LEFT(E5890,8))&lt;&gt;"write-in",LOWER(LEFT(E5890,8))&lt;&gt;"not qual"),G5890,IF(A5890=A5891,S5891,0))</f>
        <v>121</v>
      </c>
      <c r="T5890" s="23">
        <f t="shared" ref="T5890:T5953" si="1120">IF(OR(A5890=A5889,S5890=0),"",R5890-ABS(S5890))</f>
        <v>12</v>
      </c>
      <c r="U5890" t="str">
        <f t="shared" ref="U5890:U5953" si="1121">IF(A5890=A5889,"",A5890)</f>
        <v>PA_Alleg_2019p~Rep-school director district 4 (vote for 1)</v>
      </c>
      <c r="X5890" s="43"/>
      <c r="Y5890" s="53"/>
      <c r="Z5890" s="53"/>
      <c r="AA5890"/>
      <c r="AB5890"/>
      <c r="AC5890" s="23"/>
      <c r="AD5890" s="23"/>
      <c r="AF5890" s="22"/>
      <c r="AM5890" s="371"/>
      <c r="AN5890" s="372"/>
    </row>
    <row r="5891" spans="1:40">
      <c r="A5891" t="str">
        <f t="shared" ref="A5891:A5954" si="1122">CONCATENATE(B5891,"~",F5891,"-",LOWER(D5891))</f>
        <v>PA_Alleg_2019p~Rep-school director district 4 (vote for 1)</v>
      </c>
      <c r="B5891" s="55" t="s">
        <v>1291</v>
      </c>
      <c r="C5891">
        <v>1177</v>
      </c>
      <c r="D5891" s="55" t="s">
        <v>75</v>
      </c>
      <c r="E5891" s="55" t="s">
        <v>77</v>
      </c>
      <c r="F5891" t="s">
        <v>1117</v>
      </c>
      <c r="G5891" s="62">
        <v>121</v>
      </c>
      <c r="H5891" s="25">
        <v>46.72</v>
      </c>
      <c r="I5891">
        <v>35698</v>
      </c>
      <c r="J5891">
        <v>5325</v>
      </c>
      <c r="K5891">
        <v>37</v>
      </c>
      <c r="L5891">
        <v>37</v>
      </c>
      <c r="M5891">
        <v>0</v>
      </c>
      <c r="N5891" s="23">
        <v>0</v>
      </c>
      <c r="O5891">
        <f t="shared" si="1115"/>
        <v>2</v>
      </c>
      <c r="P5891" s="57">
        <f t="shared" si="1116"/>
        <v>1</v>
      </c>
      <c r="Q5891" s="267">
        <f t="shared" si="1117"/>
        <v>126</v>
      </c>
      <c r="R5891" s="23" t="str">
        <f t="shared" si="1118"/>
        <v/>
      </c>
      <c r="S5891" s="23">
        <f t="shared" si="1119"/>
        <v>121</v>
      </c>
      <c r="T5891" s="23" t="str">
        <f t="shared" si="1120"/>
        <v/>
      </c>
      <c r="U5891" t="str">
        <f t="shared" si="1121"/>
        <v/>
      </c>
      <c r="X5891" s="43"/>
      <c r="Y5891" s="53"/>
      <c r="Z5891" s="53"/>
      <c r="AA5891"/>
      <c r="AB5891"/>
      <c r="AC5891" s="23"/>
      <c r="AD5891" s="23"/>
      <c r="AF5891" s="22"/>
      <c r="AM5891" s="371"/>
      <c r="AN5891" s="372"/>
    </row>
    <row r="5892" spans="1:40">
      <c r="A5892" t="str">
        <f t="shared" si="1122"/>
        <v>PA_Alleg_2019p~Rep-school director district 4 (vote for 1)</v>
      </c>
      <c r="B5892" s="55" t="s">
        <v>1291</v>
      </c>
      <c r="C5892">
        <v>1178</v>
      </c>
      <c r="D5892" s="55" t="s">
        <v>75</v>
      </c>
      <c r="E5892" s="55" t="s">
        <v>15</v>
      </c>
      <c r="F5892" t="s">
        <v>1117</v>
      </c>
      <c r="G5892" s="62">
        <v>5</v>
      </c>
      <c r="H5892" s="25">
        <v>1.93</v>
      </c>
      <c r="I5892">
        <v>35698</v>
      </c>
      <c r="J5892">
        <v>5325</v>
      </c>
      <c r="K5892">
        <v>37</v>
      </c>
      <c r="L5892">
        <v>37</v>
      </c>
      <c r="M5892">
        <v>0</v>
      </c>
      <c r="N5892" s="23">
        <v>0</v>
      </c>
      <c r="O5892">
        <f t="shared" si="1115"/>
        <v>-2</v>
      </c>
      <c r="P5892" s="57">
        <f t="shared" si="1116"/>
        <v>1</v>
      </c>
      <c r="Q5892" s="267">
        <f t="shared" si="1117"/>
        <v>5</v>
      </c>
      <c r="R5892" s="23">
        <f t="shared" si="1118"/>
        <v>1</v>
      </c>
      <c r="S5892" s="23">
        <f t="shared" si="1119"/>
        <v>0</v>
      </c>
      <c r="T5892" s="23" t="str">
        <f t="shared" si="1120"/>
        <v/>
      </c>
      <c r="U5892" t="str">
        <f t="shared" si="1121"/>
        <v/>
      </c>
      <c r="X5892" s="43"/>
      <c r="Y5892" s="53"/>
      <c r="Z5892" s="53"/>
      <c r="AA5892"/>
      <c r="AB5892"/>
      <c r="AC5892" s="23"/>
      <c r="AD5892" s="23"/>
      <c r="AF5892" s="22"/>
      <c r="AM5892" s="371"/>
      <c r="AN5892" s="372"/>
    </row>
    <row r="5893" spans="1:40">
      <c r="A5893" t="str">
        <f t="shared" si="1122"/>
        <v>PA_Alleg_2019p~Rep-school director district 6 (vote for 1)</v>
      </c>
      <c r="B5893" s="55" t="s">
        <v>1291</v>
      </c>
      <c r="C5893">
        <v>1179</v>
      </c>
      <c r="D5893" s="55" t="s">
        <v>78</v>
      </c>
      <c r="E5893" s="55" t="s">
        <v>15</v>
      </c>
      <c r="F5893" t="s">
        <v>1117</v>
      </c>
      <c r="G5893" s="62">
        <v>92</v>
      </c>
      <c r="H5893" s="25">
        <v>100</v>
      </c>
      <c r="I5893">
        <v>27122</v>
      </c>
      <c r="J5893">
        <v>3975</v>
      </c>
      <c r="K5893">
        <v>49</v>
      </c>
      <c r="L5893">
        <v>49</v>
      </c>
      <c r="M5893">
        <v>0</v>
      </c>
      <c r="N5893" s="23">
        <v>0</v>
      </c>
      <c r="O5893">
        <f t="shared" si="1115"/>
        <v>0</v>
      </c>
      <c r="P5893" s="57">
        <f t="shared" si="1116"/>
        <v>1</v>
      </c>
      <c r="Q5893" s="267">
        <f t="shared" si="1117"/>
        <v>92</v>
      </c>
      <c r="R5893" s="23">
        <f t="shared" si="1118"/>
        <v>1</v>
      </c>
      <c r="S5893" s="23">
        <f t="shared" si="1119"/>
        <v>0</v>
      </c>
      <c r="T5893" s="23" t="str">
        <f t="shared" si="1120"/>
        <v/>
      </c>
      <c r="U5893" t="str">
        <f t="shared" si="1121"/>
        <v>PA_Alleg_2019p~Rep-school director district 6 (vote for 1)</v>
      </c>
      <c r="X5893" s="43"/>
      <c r="Y5893" s="53"/>
      <c r="Z5893" s="53"/>
      <c r="AA5893"/>
      <c r="AB5893"/>
      <c r="AC5893" s="23"/>
      <c r="AD5893" s="23"/>
      <c r="AF5893" s="22"/>
      <c r="AM5893" s="371"/>
      <c r="AN5893" s="372"/>
    </row>
    <row r="5894" spans="1:40">
      <c r="A5894" t="str">
        <f t="shared" si="1122"/>
        <v>PA_Alleg_2019p~Rep-school director district 8 (vote for 1)</v>
      </c>
      <c r="B5894" s="55" t="s">
        <v>1291</v>
      </c>
      <c r="C5894">
        <v>1180</v>
      </c>
      <c r="D5894" s="55" t="s">
        <v>81</v>
      </c>
      <c r="E5894" s="55" t="s">
        <v>15</v>
      </c>
      <c r="F5894" t="s">
        <v>1117</v>
      </c>
      <c r="G5894" s="62">
        <v>10</v>
      </c>
      <c r="H5894" s="25">
        <v>100</v>
      </c>
      <c r="I5894">
        <v>26453</v>
      </c>
      <c r="J5894">
        <v>3523</v>
      </c>
      <c r="K5894">
        <v>42</v>
      </c>
      <c r="L5894">
        <v>42</v>
      </c>
      <c r="M5894">
        <v>0</v>
      </c>
      <c r="N5894" s="23">
        <v>0</v>
      </c>
      <c r="O5894">
        <f t="shared" si="1115"/>
        <v>0</v>
      </c>
      <c r="P5894" s="57">
        <f t="shared" si="1116"/>
        <v>1</v>
      </c>
      <c r="Q5894" s="267">
        <f t="shared" si="1117"/>
        <v>10</v>
      </c>
      <c r="R5894" s="23">
        <f t="shared" si="1118"/>
        <v>1</v>
      </c>
      <c r="S5894" s="23">
        <f t="shared" si="1119"/>
        <v>0</v>
      </c>
      <c r="T5894" s="23" t="str">
        <f t="shared" si="1120"/>
        <v/>
      </c>
      <c r="U5894" t="str">
        <f t="shared" si="1121"/>
        <v>PA_Alleg_2019p~Rep-school director district 8 (vote for 1)</v>
      </c>
      <c r="X5894" s="43"/>
      <c r="Y5894" s="53"/>
      <c r="Z5894" s="53"/>
      <c r="AA5894"/>
      <c r="AB5894"/>
      <c r="AC5894" s="23"/>
      <c r="AD5894" s="23"/>
      <c r="AF5894" s="22"/>
      <c r="AM5894" s="371"/>
      <c r="AN5894" s="372"/>
    </row>
    <row r="5895" spans="1:40">
      <c r="A5895" t="str">
        <f t="shared" si="1122"/>
        <v>PA_Alleg_2019p~Rep-school director duquesne (vote for 1)</v>
      </c>
      <c r="B5895" s="55" t="s">
        <v>1291</v>
      </c>
      <c r="C5895">
        <v>1418</v>
      </c>
      <c r="D5895" s="55" t="s">
        <v>344</v>
      </c>
      <c r="E5895" s="55" t="s">
        <v>15</v>
      </c>
      <c r="F5895" t="s">
        <v>1117</v>
      </c>
      <c r="G5895" s="62">
        <v>4</v>
      </c>
      <c r="H5895" s="25">
        <v>100</v>
      </c>
      <c r="I5895">
        <v>3901</v>
      </c>
      <c r="J5895">
        <v>641</v>
      </c>
      <c r="K5895">
        <v>10</v>
      </c>
      <c r="L5895">
        <v>10</v>
      </c>
      <c r="M5895">
        <v>0</v>
      </c>
      <c r="N5895" s="23">
        <v>0</v>
      </c>
      <c r="O5895">
        <f t="shared" si="1115"/>
        <v>0</v>
      </c>
      <c r="P5895" s="57">
        <f t="shared" si="1116"/>
        <v>1</v>
      </c>
      <c r="Q5895" s="267">
        <f t="shared" si="1117"/>
        <v>4</v>
      </c>
      <c r="R5895" s="23">
        <f t="shared" si="1118"/>
        <v>1</v>
      </c>
      <c r="S5895" s="23">
        <f t="shared" si="1119"/>
        <v>0</v>
      </c>
      <c r="T5895" s="23" t="str">
        <f t="shared" si="1120"/>
        <v/>
      </c>
      <c r="U5895" t="str">
        <f t="shared" si="1121"/>
        <v>PA_Alleg_2019p~Rep-school director duquesne (vote for 1)</v>
      </c>
      <c r="X5895" s="43"/>
      <c r="Y5895" s="53"/>
      <c r="Z5895" s="53"/>
      <c r="AA5895"/>
      <c r="AB5895"/>
      <c r="AC5895" s="23"/>
      <c r="AD5895" s="23"/>
      <c r="AF5895" s="22"/>
      <c r="AM5895" s="371"/>
      <c r="AN5895" s="372"/>
    </row>
    <row r="5896" spans="1:40">
      <c r="A5896" t="str">
        <f t="shared" si="1122"/>
        <v>PA_Alleg_2019p~Rep-school director duquesne (vote for 5)</v>
      </c>
      <c r="B5896" s="55" t="s">
        <v>1291</v>
      </c>
      <c r="C5896">
        <v>1263</v>
      </c>
      <c r="D5896" s="55" t="s">
        <v>168</v>
      </c>
      <c r="E5896" s="55" t="s">
        <v>15</v>
      </c>
      <c r="F5896" t="s">
        <v>1117</v>
      </c>
      <c r="G5896" s="62">
        <v>13</v>
      </c>
      <c r="H5896" s="25">
        <v>100</v>
      </c>
      <c r="I5896">
        <v>3901</v>
      </c>
      <c r="J5896">
        <v>641</v>
      </c>
      <c r="K5896">
        <v>10</v>
      </c>
      <c r="L5896">
        <v>10</v>
      </c>
      <c r="M5896">
        <v>0</v>
      </c>
      <c r="N5896" s="23">
        <v>0</v>
      </c>
      <c r="O5896">
        <f t="shared" si="1115"/>
        <v>0</v>
      </c>
      <c r="P5896" s="57">
        <f t="shared" si="1116"/>
        <v>5</v>
      </c>
      <c r="Q5896" s="267">
        <f t="shared" si="1117"/>
        <v>13</v>
      </c>
      <c r="R5896" s="23">
        <f t="shared" si="1118"/>
        <v>1</v>
      </c>
      <c r="S5896" s="23">
        <f t="shared" si="1119"/>
        <v>0</v>
      </c>
      <c r="T5896" s="23" t="str">
        <f t="shared" si="1120"/>
        <v/>
      </c>
      <c r="U5896" t="str">
        <f t="shared" si="1121"/>
        <v>PA_Alleg_2019p~Rep-school director duquesne (vote for 5)</v>
      </c>
      <c r="X5896" s="43"/>
      <c r="Y5896" s="53"/>
      <c r="Z5896" s="53"/>
      <c r="AA5896"/>
      <c r="AB5896"/>
      <c r="AC5896" s="23"/>
      <c r="AD5896" s="23"/>
      <c r="AF5896" s="22"/>
      <c r="AM5896" s="371"/>
      <c r="AN5896" s="372"/>
    </row>
    <row r="5897" spans="1:40">
      <c r="A5897" t="str">
        <f t="shared" si="1122"/>
        <v>PA_Alleg_2019p~Rep-school director east allegheny region 1 (vote for 1)</v>
      </c>
      <c r="B5897" s="55" t="s">
        <v>1291</v>
      </c>
      <c r="C5897">
        <v>1445</v>
      </c>
      <c r="D5897" s="55" t="s">
        <v>375</v>
      </c>
      <c r="E5897" s="55" t="s">
        <v>376</v>
      </c>
      <c r="F5897" t="s">
        <v>1117</v>
      </c>
      <c r="G5897" s="62">
        <v>13</v>
      </c>
      <c r="H5897" s="25">
        <v>92.86</v>
      </c>
      <c r="I5897">
        <v>916</v>
      </c>
      <c r="J5897">
        <v>197</v>
      </c>
      <c r="K5897">
        <v>2</v>
      </c>
      <c r="L5897">
        <v>2</v>
      </c>
      <c r="M5897">
        <v>0</v>
      </c>
      <c r="N5897" s="23">
        <v>0</v>
      </c>
      <c r="O5897">
        <f t="shared" si="1115"/>
        <v>1</v>
      </c>
      <c r="P5897" s="57">
        <f t="shared" si="1116"/>
        <v>1</v>
      </c>
      <c r="Q5897" s="267">
        <f t="shared" si="1117"/>
        <v>14</v>
      </c>
      <c r="R5897" s="23">
        <f t="shared" si="1118"/>
        <v>13</v>
      </c>
      <c r="S5897" s="23">
        <f t="shared" si="1119"/>
        <v>0</v>
      </c>
      <c r="T5897" s="23" t="str">
        <f t="shared" si="1120"/>
        <v/>
      </c>
      <c r="U5897" t="str">
        <f t="shared" si="1121"/>
        <v>PA_Alleg_2019p~Rep-school director east allegheny region 1 (vote for 1)</v>
      </c>
      <c r="X5897" s="43"/>
      <c r="Y5897" s="53"/>
      <c r="Z5897" s="53"/>
      <c r="AA5897"/>
      <c r="AB5897"/>
      <c r="AC5897" s="23"/>
      <c r="AD5897" s="23"/>
      <c r="AF5897" s="22"/>
      <c r="AM5897" s="371"/>
      <c r="AN5897" s="372"/>
    </row>
    <row r="5898" spans="1:40">
      <c r="A5898" t="str">
        <f t="shared" si="1122"/>
        <v>PA_Alleg_2019p~Rep-school director east allegheny region 1 (vote for 1)</v>
      </c>
      <c r="B5898" s="55" t="s">
        <v>1291</v>
      </c>
      <c r="C5898">
        <v>1446</v>
      </c>
      <c r="D5898" s="55" t="s">
        <v>375</v>
      </c>
      <c r="E5898" s="55" t="s">
        <v>15</v>
      </c>
      <c r="F5898" t="s">
        <v>1117</v>
      </c>
      <c r="G5898" s="62">
        <v>1</v>
      </c>
      <c r="H5898" s="25">
        <v>7.14</v>
      </c>
      <c r="I5898">
        <v>916</v>
      </c>
      <c r="J5898">
        <v>197</v>
      </c>
      <c r="K5898">
        <v>2</v>
      </c>
      <c r="L5898">
        <v>2</v>
      </c>
      <c r="M5898">
        <v>0</v>
      </c>
      <c r="N5898" s="23">
        <v>0</v>
      </c>
      <c r="O5898">
        <f t="shared" si="1115"/>
        <v>-1</v>
      </c>
      <c r="P5898" s="57">
        <f t="shared" si="1116"/>
        <v>1</v>
      </c>
      <c r="Q5898" s="267">
        <f t="shared" si="1117"/>
        <v>1</v>
      </c>
      <c r="R5898" s="23">
        <f t="shared" si="1118"/>
        <v>1</v>
      </c>
      <c r="S5898" s="23">
        <f t="shared" si="1119"/>
        <v>0</v>
      </c>
      <c r="T5898" s="23" t="str">
        <f t="shared" si="1120"/>
        <v/>
      </c>
      <c r="U5898" t="str">
        <f t="shared" si="1121"/>
        <v/>
      </c>
      <c r="X5898" s="43"/>
      <c r="Y5898" s="53"/>
      <c r="Z5898" s="53"/>
      <c r="AA5898"/>
      <c r="AB5898"/>
      <c r="AC5898" s="23"/>
      <c r="AD5898" s="23"/>
      <c r="AF5898" s="22"/>
      <c r="AM5898" s="371"/>
      <c r="AN5898" s="372"/>
    </row>
    <row r="5899" spans="1:40">
      <c r="A5899" t="str">
        <f t="shared" si="1122"/>
        <v>PA_Alleg_2019p~Rep-school director east allegheny region 4 (vote for 1)</v>
      </c>
      <c r="B5899" s="55" t="s">
        <v>1291</v>
      </c>
      <c r="C5899">
        <v>1522</v>
      </c>
      <c r="D5899" s="55" t="s">
        <v>455</v>
      </c>
      <c r="E5899" s="55" t="s">
        <v>456</v>
      </c>
      <c r="F5899" t="s">
        <v>1117</v>
      </c>
      <c r="G5899" s="62">
        <v>34</v>
      </c>
      <c r="H5899" s="25">
        <v>97.14</v>
      </c>
      <c r="I5899">
        <v>1320</v>
      </c>
      <c r="J5899">
        <v>202</v>
      </c>
      <c r="K5899">
        <v>2</v>
      </c>
      <c r="L5899">
        <v>2</v>
      </c>
      <c r="M5899">
        <v>0</v>
      </c>
      <c r="N5899" s="23">
        <v>0</v>
      </c>
      <c r="O5899">
        <f t="shared" si="1115"/>
        <v>1</v>
      </c>
      <c r="P5899" s="57">
        <f t="shared" si="1116"/>
        <v>1</v>
      </c>
      <c r="Q5899" s="267">
        <f t="shared" si="1117"/>
        <v>35</v>
      </c>
      <c r="R5899" s="23">
        <f t="shared" si="1118"/>
        <v>34</v>
      </c>
      <c r="S5899" s="23">
        <f t="shared" si="1119"/>
        <v>0</v>
      </c>
      <c r="T5899" s="23" t="str">
        <f t="shared" si="1120"/>
        <v/>
      </c>
      <c r="U5899" t="str">
        <f t="shared" si="1121"/>
        <v>PA_Alleg_2019p~Rep-school director east allegheny region 4 (vote for 1)</v>
      </c>
      <c r="X5899" s="43"/>
      <c r="Y5899" s="53"/>
      <c r="Z5899" s="53"/>
      <c r="AA5899"/>
      <c r="AB5899"/>
      <c r="AC5899" s="23"/>
      <c r="AD5899" s="23"/>
      <c r="AF5899" s="22"/>
      <c r="AM5899" s="371"/>
      <c r="AN5899" s="372"/>
    </row>
    <row r="5900" spans="1:40">
      <c r="A5900" t="str">
        <f t="shared" si="1122"/>
        <v>PA_Alleg_2019p~Rep-school director east allegheny region 4 (vote for 1)</v>
      </c>
      <c r="B5900" s="55" t="s">
        <v>1291</v>
      </c>
      <c r="C5900">
        <v>1523</v>
      </c>
      <c r="D5900" s="55" t="s">
        <v>455</v>
      </c>
      <c r="E5900" s="55" t="s">
        <v>15</v>
      </c>
      <c r="F5900" t="s">
        <v>1117</v>
      </c>
      <c r="G5900" s="62">
        <v>1</v>
      </c>
      <c r="H5900" s="25">
        <v>2.86</v>
      </c>
      <c r="I5900">
        <v>1320</v>
      </c>
      <c r="J5900">
        <v>202</v>
      </c>
      <c r="K5900">
        <v>2</v>
      </c>
      <c r="L5900">
        <v>2</v>
      </c>
      <c r="M5900">
        <v>0</v>
      </c>
      <c r="N5900" s="23">
        <v>0</v>
      </c>
      <c r="O5900">
        <f t="shared" si="1115"/>
        <v>-1</v>
      </c>
      <c r="P5900" s="57">
        <f t="shared" si="1116"/>
        <v>1</v>
      </c>
      <c r="Q5900" s="267">
        <f t="shared" si="1117"/>
        <v>1</v>
      </c>
      <c r="R5900" s="23">
        <f t="shared" si="1118"/>
        <v>1</v>
      </c>
      <c r="S5900" s="23">
        <f t="shared" si="1119"/>
        <v>0</v>
      </c>
      <c r="T5900" s="23" t="str">
        <f t="shared" si="1120"/>
        <v/>
      </c>
      <c r="U5900" t="str">
        <f t="shared" si="1121"/>
        <v/>
      </c>
      <c r="X5900" s="43"/>
      <c r="Y5900" s="53"/>
      <c r="Z5900" s="53"/>
      <c r="AA5900"/>
      <c r="AB5900"/>
      <c r="AC5900" s="23"/>
      <c r="AD5900" s="23"/>
      <c r="AF5900" s="22"/>
      <c r="AM5900" s="371"/>
      <c r="AN5900" s="372"/>
    </row>
    <row r="5901" spans="1:40">
      <c r="A5901" t="str">
        <f t="shared" si="1122"/>
        <v>PA_Alleg_2019p~Rep-school director east allegheny region 5 (vote for 1)</v>
      </c>
      <c r="B5901" s="55" t="s">
        <v>1291</v>
      </c>
      <c r="C5901">
        <v>1524</v>
      </c>
      <c r="D5901" s="55" t="s">
        <v>457</v>
      </c>
      <c r="E5901" s="55" t="s">
        <v>458</v>
      </c>
      <c r="F5901" t="s">
        <v>1117</v>
      </c>
      <c r="G5901" s="62">
        <v>48</v>
      </c>
      <c r="H5901" s="25">
        <v>94.12</v>
      </c>
      <c r="I5901">
        <v>1198</v>
      </c>
      <c r="J5901">
        <v>249</v>
      </c>
      <c r="K5901">
        <v>2</v>
      </c>
      <c r="L5901">
        <v>2</v>
      </c>
      <c r="M5901">
        <v>0</v>
      </c>
      <c r="N5901" s="23">
        <v>0</v>
      </c>
      <c r="O5901">
        <f t="shared" si="1115"/>
        <v>1</v>
      </c>
      <c r="P5901" s="57">
        <f t="shared" si="1116"/>
        <v>1</v>
      </c>
      <c r="Q5901" s="267">
        <f t="shared" si="1117"/>
        <v>51</v>
      </c>
      <c r="R5901" s="23">
        <f t="shared" si="1118"/>
        <v>48</v>
      </c>
      <c r="S5901" s="23">
        <f t="shared" si="1119"/>
        <v>0</v>
      </c>
      <c r="T5901" s="23" t="str">
        <f t="shared" si="1120"/>
        <v/>
      </c>
      <c r="U5901" t="str">
        <f t="shared" si="1121"/>
        <v>PA_Alleg_2019p~Rep-school director east allegheny region 5 (vote for 1)</v>
      </c>
      <c r="X5901" s="43"/>
      <c r="Y5901" s="53"/>
      <c r="Z5901" s="53"/>
      <c r="AA5901"/>
      <c r="AB5901"/>
      <c r="AC5901" s="23"/>
      <c r="AD5901" s="23"/>
      <c r="AF5901" s="22"/>
      <c r="AM5901" s="371"/>
      <c r="AN5901" s="372"/>
    </row>
    <row r="5902" spans="1:40">
      <c r="A5902" t="str">
        <f t="shared" si="1122"/>
        <v>PA_Alleg_2019p~Rep-school director east allegheny region 5 (vote for 1)</v>
      </c>
      <c r="B5902" s="55" t="s">
        <v>1291</v>
      </c>
      <c r="C5902">
        <v>1525</v>
      </c>
      <c r="D5902" s="55" t="s">
        <v>457</v>
      </c>
      <c r="E5902" s="55" t="s">
        <v>15</v>
      </c>
      <c r="F5902" t="s">
        <v>1117</v>
      </c>
      <c r="G5902" s="62">
        <v>3</v>
      </c>
      <c r="H5902" s="25">
        <v>5.88</v>
      </c>
      <c r="I5902">
        <v>1198</v>
      </c>
      <c r="J5902">
        <v>249</v>
      </c>
      <c r="K5902">
        <v>2</v>
      </c>
      <c r="L5902">
        <v>2</v>
      </c>
      <c r="M5902">
        <v>0</v>
      </c>
      <c r="N5902" s="23">
        <v>0</v>
      </c>
      <c r="O5902">
        <f t="shared" si="1115"/>
        <v>-1</v>
      </c>
      <c r="P5902" s="57">
        <f t="shared" si="1116"/>
        <v>1</v>
      </c>
      <c r="Q5902" s="267">
        <f t="shared" si="1117"/>
        <v>3</v>
      </c>
      <c r="R5902" s="23">
        <f t="shared" si="1118"/>
        <v>1</v>
      </c>
      <c r="S5902" s="23">
        <f t="shared" si="1119"/>
        <v>0</v>
      </c>
      <c r="T5902" s="23" t="str">
        <f t="shared" si="1120"/>
        <v/>
      </c>
      <c r="U5902" t="str">
        <f t="shared" si="1121"/>
        <v/>
      </c>
      <c r="X5902" s="43"/>
      <c r="Y5902" s="53"/>
      <c r="Z5902" s="53"/>
      <c r="AA5902"/>
      <c r="AB5902"/>
      <c r="AC5902" s="23"/>
      <c r="AD5902" s="23"/>
      <c r="AF5902" s="22"/>
      <c r="AM5902" s="371"/>
      <c r="AN5902" s="372"/>
    </row>
    <row r="5903" spans="1:40">
      <c r="A5903" t="str">
        <f t="shared" si="1122"/>
        <v>PA_Alleg_2019p~Rep-school director east allegheny region 6 (vote for 1)</v>
      </c>
      <c r="B5903" s="55" t="s">
        <v>1291</v>
      </c>
      <c r="C5903">
        <v>1526</v>
      </c>
      <c r="D5903" s="55" t="s">
        <v>459</v>
      </c>
      <c r="E5903" s="55" t="s">
        <v>15</v>
      </c>
      <c r="F5903" t="s">
        <v>1117</v>
      </c>
      <c r="G5903" s="62">
        <v>1</v>
      </c>
      <c r="H5903" s="25">
        <v>100</v>
      </c>
      <c r="I5903">
        <v>931</v>
      </c>
      <c r="J5903">
        <v>140</v>
      </c>
      <c r="K5903">
        <v>2</v>
      </c>
      <c r="L5903">
        <v>2</v>
      </c>
      <c r="M5903">
        <v>0</v>
      </c>
      <c r="N5903" s="23">
        <v>0</v>
      </c>
      <c r="O5903">
        <f t="shared" si="1115"/>
        <v>0</v>
      </c>
      <c r="P5903" s="57">
        <f t="shared" si="1116"/>
        <v>1</v>
      </c>
      <c r="Q5903" s="267">
        <f t="shared" si="1117"/>
        <v>1</v>
      </c>
      <c r="R5903" s="23">
        <f t="shared" si="1118"/>
        <v>1</v>
      </c>
      <c r="S5903" s="23">
        <f t="shared" si="1119"/>
        <v>0</v>
      </c>
      <c r="T5903" s="23" t="str">
        <f t="shared" si="1120"/>
        <v/>
      </c>
      <c r="U5903" t="str">
        <f t="shared" si="1121"/>
        <v>PA_Alleg_2019p~Rep-school director east allegheny region 6 (vote for 1)</v>
      </c>
      <c r="X5903" s="43"/>
      <c r="Y5903" s="53"/>
      <c r="Z5903" s="53"/>
      <c r="AA5903"/>
      <c r="AB5903"/>
      <c r="AC5903" s="23"/>
      <c r="AD5903" s="23"/>
      <c r="AF5903" s="22"/>
      <c r="AM5903" s="371"/>
      <c r="AN5903" s="372"/>
    </row>
    <row r="5904" spans="1:40">
      <c r="A5904" t="str">
        <f t="shared" si="1122"/>
        <v>PA_Alleg_2019p~Rep-school director east allegheny region 8 (vote for 1)</v>
      </c>
      <c r="B5904" s="55" t="s">
        <v>1291</v>
      </c>
      <c r="C5904">
        <v>1527</v>
      </c>
      <c r="D5904" s="55" t="s">
        <v>461</v>
      </c>
      <c r="E5904" s="55" t="s">
        <v>462</v>
      </c>
      <c r="F5904" t="s">
        <v>1117</v>
      </c>
      <c r="G5904" s="62">
        <v>24</v>
      </c>
      <c r="H5904" s="25">
        <v>100</v>
      </c>
      <c r="I5904">
        <v>911</v>
      </c>
      <c r="J5904">
        <v>120</v>
      </c>
      <c r="K5904">
        <v>2</v>
      </c>
      <c r="L5904">
        <v>2</v>
      </c>
      <c r="M5904">
        <v>0</v>
      </c>
      <c r="N5904" s="23">
        <v>0</v>
      </c>
      <c r="O5904">
        <f t="shared" si="1115"/>
        <v>1</v>
      </c>
      <c r="P5904" s="57">
        <f t="shared" si="1116"/>
        <v>1</v>
      </c>
      <c r="Q5904" s="267">
        <f t="shared" si="1117"/>
        <v>24</v>
      </c>
      <c r="R5904" s="23">
        <f t="shared" si="1118"/>
        <v>24</v>
      </c>
      <c r="S5904" s="23">
        <f t="shared" si="1119"/>
        <v>0</v>
      </c>
      <c r="T5904" s="23" t="str">
        <f t="shared" si="1120"/>
        <v/>
      </c>
      <c r="U5904" t="str">
        <f t="shared" si="1121"/>
        <v>PA_Alleg_2019p~Rep-school director east allegheny region 8 (vote for 1)</v>
      </c>
      <c r="X5904" s="43"/>
      <c r="Y5904" s="53"/>
      <c r="Z5904" s="53"/>
      <c r="AA5904"/>
      <c r="AB5904"/>
      <c r="AC5904" s="23"/>
      <c r="AD5904" s="23"/>
      <c r="AF5904" s="22"/>
      <c r="AM5904" s="371"/>
      <c r="AN5904" s="372"/>
    </row>
    <row r="5905" spans="1:40">
      <c r="A5905" t="str">
        <f t="shared" si="1122"/>
        <v>PA_Alleg_2019p~Rep-school director east allegheny region 8 (vote for 1)</v>
      </c>
      <c r="B5905" s="55" t="s">
        <v>1291</v>
      </c>
      <c r="C5905">
        <v>1528</v>
      </c>
      <c r="D5905" s="55" t="s">
        <v>461</v>
      </c>
      <c r="E5905" s="55" t="s">
        <v>15</v>
      </c>
      <c r="F5905" t="s">
        <v>1117</v>
      </c>
      <c r="G5905" s="62">
        <v>0</v>
      </c>
      <c r="H5905" s="25">
        <v>0</v>
      </c>
      <c r="I5905">
        <v>911</v>
      </c>
      <c r="J5905">
        <v>120</v>
      </c>
      <c r="K5905">
        <v>2</v>
      </c>
      <c r="L5905">
        <v>2</v>
      </c>
      <c r="M5905">
        <v>0</v>
      </c>
      <c r="N5905" s="23">
        <v>0</v>
      </c>
      <c r="O5905">
        <f t="shared" si="1115"/>
        <v>-1</v>
      </c>
      <c r="P5905" s="57">
        <f t="shared" si="1116"/>
        <v>1</v>
      </c>
      <c r="Q5905" s="267">
        <f t="shared" si="1117"/>
        <v>0</v>
      </c>
      <c r="R5905" s="23">
        <f t="shared" si="1118"/>
        <v>1</v>
      </c>
      <c r="S5905" s="23">
        <f t="shared" si="1119"/>
        <v>0</v>
      </c>
      <c r="T5905" s="23" t="str">
        <f t="shared" si="1120"/>
        <v/>
      </c>
      <c r="U5905" t="str">
        <f t="shared" si="1121"/>
        <v/>
      </c>
      <c r="X5905" s="43"/>
      <c r="Y5905" s="53"/>
      <c r="Z5905" s="53"/>
      <c r="AA5905"/>
      <c r="AB5905"/>
      <c r="AC5905" s="23"/>
      <c r="AD5905" s="23"/>
      <c r="AF5905" s="22"/>
      <c r="AM5905" s="371"/>
      <c r="AN5905" s="372"/>
    </row>
    <row r="5906" spans="1:40">
      <c r="A5906" t="str">
        <f t="shared" si="1122"/>
        <v>PA_Alleg_2019p~Rep-school director east allegheny region 9 (vote for 1)</v>
      </c>
      <c r="B5906" s="55" t="s">
        <v>1291</v>
      </c>
      <c r="C5906">
        <v>1529</v>
      </c>
      <c r="D5906" s="55" t="s">
        <v>463</v>
      </c>
      <c r="E5906" s="55" t="s">
        <v>464</v>
      </c>
      <c r="F5906" t="s">
        <v>1117</v>
      </c>
      <c r="G5906" s="62">
        <v>17</v>
      </c>
      <c r="H5906" s="25">
        <v>100</v>
      </c>
      <c r="I5906">
        <v>965</v>
      </c>
      <c r="J5906">
        <v>92</v>
      </c>
      <c r="K5906">
        <v>2</v>
      </c>
      <c r="L5906">
        <v>2</v>
      </c>
      <c r="M5906">
        <v>0</v>
      </c>
      <c r="N5906" s="23">
        <v>0</v>
      </c>
      <c r="O5906">
        <f t="shared" si="1115"/>
        <v>1</v>
      </c>
      <c r="P5906" s="57">
        <f t="shared" si="1116"/>
        <v>1</v>
      </c>
      <c r="Q5906" s="267">
        <f t="shared" si="1117"/>
        <v>17</v>
      </c>
      <c r="R5906" s="23">
        <f t="shared" si="1118"/>
        <v>17</v>
      </c>
      <c r="S5906" s="23">
        <f t="shared" si="1119"/>
        <v>0</v>
      </c>
      <c r="T5906" s="23" t="str">
        <f t="shared" si="1120"/>
        <v/>
      </c>
      <c r="U5906" t="str">
        <f t="shared" si="1121"/>
        <v>PA_Alleg_2019p~Rep-school director east allegheny region 9 (vote for 1)</v>
      </c>
      <c r="X5906" s="43"/>
      <c r="Y5906" s="53"/>
      <c r="Z5906" s="53"/>
      <c r="AA5906"/>
      <c r="AB5906"/>
      <c r="AC5906" s="23"/>
      <c r="AD5906" s="23"/>
      <c r="AF5906" s="22"/>
      <c r="AM5906" s="371"/>
      <c r="AN5906" s="372"/>
    </row>
    <row r="5907" spans="1:40">
      <c r="A5907" t="str">
        <f t="shared" si="1122"/>
        <v>PA_Alleg_2019p~Rep-school director east allegheny region 9 (vote for 1)</v>
      </c>
      <c r="B5907" s="55" t="s">
        <v>1291</v>
      </c>
      <c r="C5907">
        <v>1530</v>
      </c>
      <c r="D5907" s="55" t="s">
        <v>463</v>
      </c>
      <c r="E5907" s="55" t="s">
        <v>15</v>
      </c>
      <c r="F5907" t="s">
        <v>1117</v>
      </c>
      <c r="G5907" s="62">
        <v>0</v>
      </c>
      <c r="H5907" s="25">
        <v>0</v>
      </c>
      <c r="I5907">
        <v>965</v>
      </c>
      <c r="J5907">
        <v>92</v>
      </c>
      <c r="K5907">
        <v>2</v>
      </c>
      <c r="L5907">
        <v>2</v>
      </c>
      <c r="M5907">
        <v>0</v>
      </c>
      <c r="N5907" s="23">
        <v>0</v>
      </c>
      <c r="O5907">
        <f t="shared" si="1115"/>
        <v>-1</v>
      </c>
      <c r="P5907" s="57">
        <f t="shared" si="1116"/>
        <v>1</v>
      </c>
      <c r="Q5907" s="267">
        <f t="shared" si="1117"/>
        <v>0</v>
      </c>
      <c r="R5907" s="23">
        <f t="shared" si="1118"/>
        <v>1</v>
      </c>
      <c r="S5907" s="23">
        <f t="shared" si="1119"/>
        <v>0</v>
      </c>
      <c r="T5907" s="23" t="str">
        <f t="shared" si="1120"/>
        <v/>
      </c>
      <c r="U5907" t="str">
        <f t="shared" si="1121"/>
        <v/>
      </c>
      <c r="X5907" s="43"/>
      <c r="Y5907" s="53"/>
      <c r="Z5907" s="53"/>
      <c r="AA5907"/>
      <c r="AB5907"/>
      <c r="AC5907" s="23"/>
      <c r="AD5907" s="23"/>
      <c r="AF5907" s="22"/>
      <c r="AM5907" s="371"/>
      <c r="AN5907" s="372"/>
    </row>
    <row r="5908" spans="1:40">
      <c r="A5908" t="str">
        <f t="shared" si="1122"/>
        <v>PA_Alleg_2019p~Rep-school director elizabeth forward (vote for 5)</v>
      </c>
      <c r="B5908" s="55" t="s">
        <v>1291</v>
      </c>
      <c r="C5908">
        <v>1264</v>
      </c>
      <c r="D5908" s="55" t="s">
        <v>174</v>
      </c>
      <c r="E5908" s="55" t="s">
        <v>178</v>
      </c>
      <c r="F5908" t="s">
        <v>1117</v>
      </c>
      <c r="G5908" s="62">
        <v>492</v>
      </c>
      <c r="H5908" s="25">
        <v>17.87</v>
      </c>
      <c r="I5908">
        <v>12425</v>
      </c>
      <c r="J5908">
        <v>2259</v>
      </c>
      <c r="K5908">
        <v>16</v>
      </c>
      <c r="L5908">
        <v>16</v>
      </c>
      <c r="M5908">
        <v>0</v>
      </c>
      <c r="N5908" s="23">
        <v>0</v>
      </c>
      <c r="O5908">
        <f t="shared" si="1115"/>
        <v>1</v>
      </c>
      <c r="P5908" s="57">
        <f t="shared" si="1116"/>
        <v>5</v>
      </c>
      <c r="Q5908" s="267">
        <f t="shared" si="1117"/>
        <v>550.6</v>
      </c>
      <c r="R5908" s="23">
        <f t="shared" si="1118"/>
        <v>438</v>
      </c>
      <c r="S5908" s="23">
        <f t="shared" si="1119"/>
        <v>432</v>
      </c>
      <c r="T5908" s="23">
        <f t="shared" si="1120"/>
        <v>6</v>
      </c>
      <c r="U5908" t="str">
        <f t="shared" si="1121"/>
        <v>PA_Alleg_2019p~Rep-school director elizabeth forward (vote for 5)</v>
      </c>
      <c r="X5908" s="43"/>
      <c r="Y5908" s="53"/>
      <c r="Z5908" s="53"/>
      <c r="AA5908"/>
      <c r="AB5908"/>
      <c r="AC5908" s="23"/>
      <c r="AD5908" s="23"/>
      <c r="AF5908" s="22"/>
      <c r="AM5908" s="371"/>
      <c r="AN5908" s="372"/>
    </row>
    <row r="5909" spans="1:40">
      <c r="A5909" t="str">
        <f t="shared" si="1122"/>
        <v>PA_Alleg_2019p~Rep-school director elizabeth forward (vote for 5)</v>
      </c>
      <c r="B5909" s="55" t="s">
        <v>1291</v>
      </c>
      <c r="C5909">
        <v>1267</v>
      </c>
      <c r="D5909" s="55" t="s">
        <v>174</v>
      </c>
      <c r="E5909" s="55" t="s">
        <v>179</v>
      </c>
      <c r="F5909" t="s">
        <v>1117</v>
      </c>
      <c r="G5909" s="62">
        <v>460</v>
      </c>
      <c r="H5909" s="25">
        <v>16.71</v>
      </c>
      <c r="I5909">
        <v>12425</v>
      </c>
      <c r="J5909">
        <v>2259</v>
      </c>
      <c r="K5909">
        <v>16</v>
      </c>
      <c r="L5909">
        <v>16</v>
      </c>
      <c r="M5909">
        <v>0</v>
      </c>
      <c r="N5909" s="23">
        <v>0</v>
      </c>
      <c r="O5909">
        <f t="shared" si="1115"/>
        <v>2</v>
      </c>
      <c r="P5909" s="57">
        <f t="shared" si="1116"/>
        <v>5</v>
      </c>
      <c r="Q5909" s="267">
        <f t="shared" si="1117"/>
        <v>2261</v>
      </c>
      <c r="R5909" s="23">
        <f t="shared" si="1118"/>
        <v>438</v>
      </c>
      <c r="S5909" s="23">
        <f t="shared" si="1119"/>
        <v>432</v>
      </c>
      <c r="T5909" s="23" t="str">
        <f t="shared" si="1120"/>
        <v/>
      </c>
      <c r="U5909" t="str">
        <f t="shared" si="1121"/>
        <v/>
      </c>
      <c r="X5909" s="43"/>
      <c r="Y5909" s="53"/>
      <c r="Z5909" s="53"/>
      <c r="AA5909"/>
      <c r="AB5909"/>
      <c r="AC5909" s="23"/>
      <c r="AD5909" s="23"/>
      <c r="AF5909" s="22"/>
      <c r="AM5909" s="371"/>
      <c r="AN5909" s="372"/>
    </row>
    <row r="5910" spans="1:40">
      <c r="A5910" t="str">
        <f t="shared" si="1122"/>
        <v>PA_Alleg_2019p~Rep-school director elizabeth forward (vote for 5)</v>
      </c>
      <c r="B5910" s="55" t="s">
        <v>1291</v>
      </c>
      <c r="C5910">
        <v>1265</v>
      </c>
      <c r="D5910" s="55" t="s">
        <v>174</v>
      </c>
      <c r="E5910" s="55" t="s">
        <v>177</v>
      </c>
      <c r="F5910" t="s">
        <v>1117</v>
      </c>
      <c r="G5910" s="62">
        <v>451</v>
      </c>
      <c r="H5910" s="25">
        <v>16.38</v>
      </c>
      <c r="I5910">
        <v>12425</v>
      </c>
      <c r="J5910">
        <v>2259</v>
      </c>
      <c r="K5910">
        <v>16</v>
      </c>
      <c r="L5910">
        <v>16</v>
      </c>
      <c r="M5910">
        <v>0</v>
      </c>
      <c r="N5910" s="23">
        <v>0</v>
      </c>
      <c r="O5910">
        <f t="shared" si="1115"/>
        <v>3</v>
      </c>
      <c r="P5910" s="57">
        <f t="shared" si="1116"/>
        <v>5</v>
      </c>
      <c r="Q5910" s="267">
        <f t="shared" si="1117"/>
        <v>1801</v>
      </c>
      <c r="R5910" s="23">
        <f t="shared" si="1118"/>
        <v>438</v>
      </c>
      <c r="S5910" s="23">
        <f t="shared" si="1119"/>
        <v>432</v>
      </c>
      <c r="T5910" s="23" t="str">
        <f t="shared" si="1120"/>
        <v/>
      </c>
      <c r="U5910" t="str">
        <f t="shared" si="1121"/>
        <v/>
      </c>
      <c r="X5910" s="43"/>
      <c r="Y5910" s="53"/>
      <c r="Z5910" s="53"/>
      <c r="AA5910"/>
      <c r="AB5910"/>
      <c r="AC5910" s="23"/>
      <c r="AD5910" s="23"/>
      <c r="AF5910" s="22"/>
      <c r="AM5910" s="371"/>
      <c r="AN5910" s="372"/>
    </row>
    <row r="5911" spans="1:40">
      <c r="A5911" t="str">
        <f t="shared" si="1122"/>
        <v>PA_Alleg_2019p~Rep-school director elizabeth forward (vote for 5)</v>
      </c>
      <c r="B5911" s="55" t="s">
        <v>1291</v>
      </c>
      <c r="C5911">
        <v>1266</v>
      </c>
      <c r="D5911" s="55" t="s">
        <v>174</v>
      </c>
      <c r="E5911" s="55" t="s">
        <v>180</v>
      </c>
      <c r="F5911" t="s">
        <v>1117</v>
      </c>
      <c r="G5911" s="62">
        <v>439</v>
      </c>
      <c r="H5911" s="25">
        <v>15.95</v>
      </c>
      <c r="I5911">
        <v>12425</v>
      </c>
      <c r="J5911">
        <v>2259</v>
      </c>
      <c r="K5911">
        <v>16</v>
      </c>
      <c r="L5911">
        <v>16</v>
      </c>
      <c r="M5911">
        <v>0</v>
      </c>
      <c r="N5911" s="23">
        <v>0</v>
      </c>
      <c r="O5911">
        <f t="shared" si="1115"/>
        <v>4</v>
      </c>
      <c r="P5911" s="57">
        <f t="shared" si="1116"/>
        <v>5</v>
      </c>
      <c r="Q5911" s="267">
        <f t="shared" si="1117"/>
        <v>1350</v>
      </c>
      <c r="R5911" s="23">
        <f t="shared" si="1118"/>
        <v>438</v>
      </c>
      <c r="S5911" s="23">
        <f t="shared" si="1119"/>
        <v>432</v>
      </c>
      <c r="T5911" s="23" t="str">
        <f t="shared" si="1120"/>
        <v/>
      </c>
      <c r="U5911" t="str">
        <f t="shared" si="1121"/>
        <v/>
      </c>
      <c r="X5911" s="43"/>
      <c r="Y5911" s="53"/>
      <c r="Z5911" s="53"/>
      <c r="AA5911"/>
      <c r="AB5911"/>
      <c r="AC5911" s="23"/>
      <c r="AD5911" s="23"/>
      <c r="AF5911" s="22"/>
      <c r="AM5911" s="371"/>
      <c r="AN5911" s="372"/>
    </row>
    <row r="5912" spans="1:40">
      <c r="A5912" t="str">
        <f t="shared" si="1122"/>
        <v>PA_Alleg_2019p~Rep-school director elizabeth forward (vote for 5)</v>
      </c>
      <c r="B5912" s="55" t="s">
        <v>1291</v>
      </c>
      <c r="C5912">
        <v>1268</v>
      </c>
      <c r="D5912" s="55" t="s">
        <v>174</v>
      </c>
      <c r="E5912" s="55" t="s">
        <v>175</v>
      </c>
      <c r="F5912" t="s">
        <v>1117</v>
      </c>
      <c r="G5912" s="62">
        <v>438</v>
      </c>
      <c r="H5912" s="25">
        <v>15.91</v>
      </c>
      <c r="I5912">
        <v>12425</v>
      </c>
      <c r="J5912">
        <v>2259</v>
      </c>
      <c r="K5912">
        <v>16</v>
      </c>
      <c r="L5912">
        <v>16</v>
      </c>
      <c r="M5912">
        <v>0</v>
      </c>
      <c r="N5912" s="23">
        <v>0</v>
      </c>
      <c r="O5912">
        <f t="shared" si="1115"/>
        <v>5</v>
      </c>
      <c r="P5912" s="57">
        <f t="shared" si="1116"/>
        <v>5</v>
      </c>
      <c r="Q5912" s="267">
        <f t="shared" si="1117"/>
        <v>911</v>
      </c>
      <c r="R5912" s="23">
        <f t="shared" si="1118"/>
        <v>438</v>
      </c>
      <c r="S5912" s="23">
        <f t="shared" si="1119"/>
        <v>432</v>
      </c>
      <c r="T5912" s="23" t="str">
        <f t="shared" si="1120"/>
        <v/>
      </c>
      <c r="U5912" t="str">
        <f t="shared" si="1121"/>
        <v/>
      </c>
      <c r="X5912" s="43"/>
      <c r="Y5912" s="53"/>
      <c r="Z5912" s="53"/>
      <c r="AA5912"/>
      <c r="AB5912"/>
      <c r="AC5912" s="23"/>
      <c r="AD5912" s="23"/>
      <c r="AF5912" s="22"/>
      <c r="AM5912" s="371"/>
      <c r="AN5912" s="372"/>
    </row>
    <row r="5913" spans="1:40">
      <c r="A5913" t="str">
        <f t="shared" si="1122"/>
        <v>PA_Alleg_2019p~Rep-school director elizabeth forward (vote for 5)</v>
      </c>
      <c r="B5913" s="55" t="s">
        <v>1291</v>
      </c>
      <c r="C5913">
        <v>1269</v>
      </c>
      <c r="D5913" s="55" t="s">
        <v>174</v>
      </c>
      <c r="E5913" s="55" t="s">
        <v>176</v>
      </c>
      <c r="F5913" t="s">
        <v>1117</v>
      </c>
      <c r="G5913" s="62">
        <v>432</v>
      </c>
      <c r="H5913" s="25">
        <v>15.69</v>
      </c>
      <c r="I5913">
        <v>12425</v>
      </c>
      <c r="J5913">
        <v>2259</v>
      </c>
      <c r="K5913">
        <v>16</v>
      </c>
      <c r="L5913">
        <v>16</v>
      </c>
      <c r="M5913">
        <v>0</v>
      </c>
      <c r="N5913" s="23">
        <v>0</v>
      </c>
      <c r="O5913">
        <f t="shared" si="1115"/>
        <v>6</v>
      </c>
      <c r="P5913" s="57">
        <f t="shared" si="1116"/>
        <v>5</v>
      </c>
      <c r="Q5913" s="267">
        <f t="shared" si="1117"/>
        <v>473</v>
      </c>
      <c r="R5913" s="23" t="str">
        <f t="shared" si="1118"/>
        <v/>
      </c>
      <c r="S5913" s="23">
        <f t="shared" si="1119"/>
        <v>432</v>
      </c>
      <c r="T5913" s="23" t="str">
        <f t="shared" si="1120"/>
        <v/>
      </c>
      <c r="U5913" t="str">
        <f t="shared" si="1121"/>
        <v/>
      </c>
      <c r="X5913" s="43"/>
      <c r="Y5913" s="53"/>
      <c r="Z5913" s="53"/>
      <c r="AA5913"/>
      <c r="AB5913"/>
      <c r="AC5913" s="23"/>
      <c r="AD5913" s="23"/>
      <c r="AF5913" s="22"/>
      <c r="AM5913" s="371"/>
      <c r="AN5913" s="372"/>
    </row>
    <row r="5914" spans="1:40">
      <c r="A5914" t="str">
        <f t="shared" si="1122"/>
        <v>PA_Alleg_2019p~Rep-school director elizabeth forward (vote for 5)</v>
      </c>
      <c r="B5914" s="55" t="s">
        <v>1291</v>
      </c>
      <c r="C5914">
        <v>1270</v>
      </c>
      <c r="D5914" s="55" t="s">
        <v>174</v>
      </c>
      <c r="E5914" s="55" t="s">
        <v>15</v>
      </c>
      <c r="F5914" t="s">
        <v>1117</v>
      </c>
      <c r="G5914" s="62">
        <v>41</v>
      </c>
      <c r="H5914" s="25">
        <v>1.49</v>
      </c>
      <c r="I5914">
        <v>12425</v>
      </c>
      <c r="J5914">
        <v>2259</v>
      </c>
      <c r="K5914">
        <v>16</v>
      </c>
      <c r="L5914">
        <v>16</v>
      </c>
      <c r="M5914">
        <v>0</v>
      </c>
      <c r="N5914" s="23">
        <v>0</v>
      </c>
      <c r="O5914">
        <f t="shared" si="1115"/>
        <v>-6</v>
      </c>
      <c r="P5914" s="57">
        <f t="shared" si="1116"/>
        <v>5</v>
      </c>
      <c r="Q5914" s="267">
        <f t="shared" si="1117"/>
        <v>41</v>
      </c>
      <c r="R5914" s="23">
        <f t="shared" si="1118"/>
        <v>1</v>
      </c>
      <c r="S5914" s="23">
        <f t="shared" si="1119"/>
        <v>0</v>
      </c>
      <c r="T5914" s="23" t="str">
        <f t="shared" si="1120"/>
        <v/>
      </c>
      <c r="U5914" t="str">
        <f t="shared" si="1121"/>
        <v/>
      </c>
      <c r="X5914" s="43"/>
      <c r="Y5914" s="53"/>
      <c r="Z5914" s="53"/>
      <c r="AA5914"/>
      <c r="AB5914"/>
      <c r="AC5914" s="23"/>
      <c r="AD5914" s="23"/>
      <c r="AF5914" s="22"/>
      <c r="AM5914" s="371"/>
      <c r="AN5914" s="372"/>
    </row>
    <row r="5915" spans="1:40">
      <c r="A5915" t="str">
        <f t="shared" si="1122"/>
        <v>PA_Alleg_2019p~Rep-school director fort cherry (vote for 5)</v>
      </c>
      <c r="B5915" s="55" t="s">
        <v>1291</v>
      </c>
      <c r="C5915">
        <v>1273</v>
      </c>
      <c r="D5915" s="55" t="s">
        <v>181</v>
      </c>
      <c r="E5915" s="55" t="s">
        <v>186</v>
      </c>
      <c r="F5915" t="s">
        <v>1117</v>
      </c>
      <c r="G5915" s="62">
        <v>11</v>
      </c>
      <c r="H5915" s="25">
        <v>29.73</v>
      </c>
      <c r="I5915">
        <v>220</v>
      </c>
      <c r="J5915">
        <v>47</v>
      </c>
      <c r="K5915">
        <v>1</v>
      </c>
      <c r="L5915">
        <v>1</v>
      </c>
      <c r="M5915">
        <v>0</v>
      </c>
      <c r="N5915" s="23">
        <v>0</v>
      </c>
      <c r="O5915">
        <f t="shared" si="1115"/>
        <v>1</v>
      </c>
      <c r="P5915" s="57">
        <f t="shared" si="1116"/>
        <v>5</v>
      </c>
      <c r="Q5915" s="267">
        <f t="shared" si="1117"/>
        <v>11</v>
      </c>
      <c r="R5915" s="23">
        <f t="shared" si="1118"/>
        <v>4</v>
      </c>
      <c r="S5915" s="23">
        <f t="shared" si="1119"/>
        <v>0</v>
      </c>
      <c r="T5915" s="23" t="str">
        <f t="shared" si="1120"/>
        <v/>
      </c>
      <c r="U5915" t="str">
        <f t="shared" si="1121"/>
        <v>PA_Alleg_2019p~Rep-school director fort cherry (vote for 5)</v>
      </c>
      <c r="X5915" s="43"/>
      <c r="Y5915" s="53"/>
      <c r="Z5915" s="53"/>
      <c r="AA5915"/>
      <c r="AB5915"/>
      <c r="AC5915" s="23"/>
      <c r="AD5915" s="23"/>
      <c r="AF5915" s="22"/>
      <c r="AM5915" s="371"/>
      <c r="AN5915" s="372"/>
    </row>
    <row r="5916" spans="1:40">
      <c r="A5916" t="str">
        <f t="shared" si="1122"/>
        <v>PA_Alleg_2019p~Rep-school director fort cherry (vote for 5)</v>
      </c>
      <c r="B5916" s="55" t="s">
        <v>1291</v>
      </c>
      <c r="C5916">
        <v>1275</v>
      </c>
      <c r="D5916" s="55" t="s">
        <v>181</v>
      </c>
      <c r="E5916" s="55" t="s">
        <v>182</v>
      </c>
      <c r="F5916" t="s">
        <v>1117</v>
      </c>
      <c r="G5916" s="62">
        <v>9</v>
      </c>
      <c r="H5916" s="25">
        <v>24.32</v>
      </c>
      <c r="I5916">
        <v>220</v>
      </c>
      <c r="J5916">
        <v>47</v>
      </c>
      <c r="K5916">
        <v>1</v>
      </c>
      <c r="L5916">
        <v>1</v>
      </c>
      <c r="M5916">
        <v>0</v>
      </c>
      <c r="N5916" s="23">
        <v>0</v>
      </c>
      <c r="O5916">
        <f t="shared" si="1115"/>
        <v>2</v>
      </c>
      <c r="P5916" s="57">
        <f t="shared" si="1116"/>
        <v>5</v>
      </c>
      <c r="Q5916" s="267">
        <f t="shared" si="1117"/>
        <v>26</v>
      </c>
      <c r="R5916" s="23">
        <f t="shared" si="1118"/>
        <v>4</v>
      </c>
      <c r="S5916" s="23">
        <f t="shared" si="1119"/>
        <v>0</v>
      </c>
      <c r="T5916" s="23" t="str">
        <f t="shared" si="1120"/>
        <v/>
      </c>
      <c r="U5916" t="str">
        <f t="shared" si="1121"/>
        <v/>
      </c>
      <c r="X5916" s="43"/>
      <c r="Y5916" s="53"/>
      <c r="Z5916" s="53"/>
      <c r="AA5916"/>
      <c r="AB5916"/>
      <c r="AC5916" s="23"/>
      <c r="AD5916" s="23"/>
      <c r="AF5916" s="22"/>
      <c r="AM5916" s="371"/>
      <c r="AN5916" s="372"/>
    </row>
    <row r="5917" spans="1:40">
      <c r="A5917" t="str">
        <f t="shared" si="1122"/>
        <v>PA_Alleg_2019p~Rep-school director fort cherry (vote for 5)</v>
      </c>
      <c r="B5917" s="55" t="s">
        <v>1291</v>
      </c>
      <c r="C5917">
        <v>1272</v>
      </c>
      <c r="D5917" s="55" t="s">
        <v>181</v>
      </c>
      <c r="E5917" s="55" t="s">
        <v>185</v>
      </c>
      <c r="F5917" t="s">
        <v>1117</v>
      </c>
      <c r="G5917" s="62">
        <v>6</v>
      </c>
      <c r="H5917" s="25">
        <v>16.22</v>
      </c>
      <c r="I5917">
        <v>220</v>
      </c>
      <c r="J5917">
        <v>47</v>
      </c>
      <c r="K5917">
        <v>1</v>
      </c>
      <c r="L5917">
        <v>1</v>
      </c>
      <c r="M5917">
        <v>0</v>
      </c>
      <c r="N5917" s="23">
        <v>0</v>
      </c>
      <c r="O5917">
        <f t="shared" si="1115"/>
        <v>3</v>
      </c>
      <c r="P5917" s="57">
        <f t="shared" si="1116"/>
        <v>5</v>
      </c>
      <c r="Q5917" s="267">
        <f t="shared" si="1117"/>
        <v>17</v>
      </c>
      <c r="R5917" s="23">
        <f t="shared" si="1118"/>
        <v>4</v>
      </c>
      <c r="S5917" s="23">
        <f t="shared" si="1119"/>
        <v>0</v>
      </c>
      <c r="T5917" s="23" t="str">
        <f t="shared" si="1120"/>
        <v/>
      </c>
      <c r="U5917" t="str">
        <f t="shared" si="1121"/>
        <v/>
      </c>
      <c r="X5917" s="43"/>
      <c r="Y5917" s="53"/>
      <c r="Z5917" s="53"/>
      <c r="AA5917"/>
      <c r="AB5917"/>
      <c r="AC5917" s="23"/>
      <c r="AD5917" s="23"/>
      <c r="AF5917" s="22"/>
      <c r="AM5917" s="371"/>
      <c r="AN5917" s="372"/>
    </row>
    <row r="5918" spans="1:40">
      <c r="A5918" t="str">
        <f t="shared" si="1122"/>
        <v>PA_Alleg_2019p~Rep-school director fort cherry (vote for 5)</v>
      </c>
      <c r="B5918" s="55" t="s">
        <v>1291</v>
      </c>
      <c r="C5918">
        <v>1274</v>
      </c>
      <c r="D5918" s="55" t="s">
        <v>181</v>
      </c>
      <c r="E5918" s="55" t="s">
        <v>183</v>
      </c>
      <c r="F5918" t="s">
        <v>1117</v>
      </c>
      <c r="G5918" s="62">
        <v>5</v>
      </c>
      <c r="H5918" s="25">
        <v>13.51</v>
      </c>
      <c r="I5918">
        <v>220</v>
      </c>
      <c r="J5918">
        <v>47</v>
      </c>
      <c r="K5918">
        <v>1</v>
      </c>
      <c r="L5918">
        <v>1</v>
      </c>
      <c r="M5918">
        <v>0</v>
      </c>
      <c r="N5918" s="23">
        <v>0</v>
      </c>
      <c r="O5918">
        <f t="shared" si="1115"/>
        <v>4</v>
      </c>
      <c r="P5918" s="57">
        <f t="shared" si="1116"/>
        <v>5</v>
      </c>
      <c r="Q5918" s="267">
        <f t="shared" si="1117"/>
        <v>11</v>
      </c>
      <c r="R5918" s="23">
        <f t="shared" si="1118"/>
        <v>4</v>
      </c>
      <c r="S5918" s="23">
        <f t="shared" si="1119"/>
        <v>0</v>
      </c>
      <c r="T5918" s="23" t="str">
        <f t="shared" si="1120"/>
        <v/>
      </c>
      <c r="U5918" t="str">
        <f t="shared" si="1121"/>
        <v/>
      </c>
      <c r="X5918" s="43"/>
      <c r="Y5918" s="53"/>
      <c r="Z5918" s="53"/>
      <c r="AA5918"/>
      <c r="AB5918"/>
      <c r="AC5918" s="23"/>
      <c r="AD5918" s="23"/>
      <c r="AF5918" s="22"/>
      <c r="AM5918" s="371"/>
      <c r="AN5918" s="372"/>
    </row>
    <row r="5919" spans="1:40">
      <c r="A5919" t="str">
        <f t="shared" si="1122"/>
        <v>PA_Alleg_2019p~Rep-school director fort cherry (vote for 5)</v>
      </c>
      <c r="B5919" s="55" t="s">
        <v>1291</v>
      </c>
      <c r="C5919">
        <v>1271</v>
      </c>
      <c r="D5919" s="55" t="s">
        <v>181</v>
      </c>
      <c r="E5919" s="55" t="s">
        <v>184</v>
      </c>
      <c r="F5919" t="s">
        <v>1117</v>
      </c>
      <c r="G5919" s="62">
        <v>4</v>
      </c>
      <c r="H5919" s="25">
        <v>10.81</v>
      </c>
      <c r="I5919">
        <v>220</v>
      </c>
      <c r="J5919">
        <v>47</v>
      </c>
      <c r="K5919">
        <v>1</v>
      </c>
      <c r="L5919">
        <v>1</v>
      </c>
      <c r="M5919">
        <v>0</v>
      </c>
      <c r="N5919" s="23">
        <v>0</v>
      </c>
      <c r="O5919">
        <f t="shared" si="1115"/>
        <v>5</v>
      </c>
      <c r="P5919" s="57">
        <f t="shared" si="1116"/>
        <v>5</v>
      </c>
      <c r="Q5919" s="267">
        <f t="shared" si="1117"/>
        <v>6</v>
      </c>
      <c r="R5919" s="23">
        <f t="shared" si="1118"/>
        <v>4</v>
      </c>
      <c r="S5919" s="23">
        <f t="shared" si="1119"/>
        <v>0</v>
      </c>
      <c r="T5919" s="23" t="str">
        <f t="shared" si="1120"/>
        <v/>
      </c>
      <c r="U5919" t="str">
        <f t="shared" si="1121"/>
        <v/>
      </c>
      <c r="X5919" s="43"/>
      <c r="Y5919" s="53"/>
      <c r="Z5919" s="53"/>
      <c r="AA5919"/>
      <c r="AB5919"/>
      <c r="AC5919" s="23"/>
      <c r="AD5919" s="23"/>
      <c r="AF5919" s="22"/>
      <c r="AM5919" s="371"/>
      <c r="AN5919" s="372"/>
    </row>
    <row r="5920" spans="1:40">
      <c r="A5920" t="str">
        <f t="shared" si="1122"/>
        <v>PA_Alleg_2019p~Rep-school director fort cherry (vote for 5)</v>
      </c>
      <c r="B5920" s="55" t="s">
        <v>1291</v>
      </c>
      <c r="C5920">
        <v>1276</v>
      </c>
      <c r="D5920" s="55" t="s">
        <v>181</v>
      </c>
      <c r="E5920" s="55" t="s">
        <v>15</v>
      </c>
      <c r="F5920" t="s">
        <v>1117</v>
      </c>
      <c r="G5920" s="62">
        <v>2</v>
      </c>
      <c r="H5920" s="25">
        <v>5.41</v>
      </c>
      <c r="I5920">
        <v>220</v>
      </c>
      <c r="J5920">
        <v>47</v>
      </c>
      <c r="K5920">
        <v>1</v>
      </c>
      <c r="L5920">
        <v>1</v>
      </c>
      <c r="M5920">
        <v>0</v>
      </c>
      <c r="N5920" s="23">
        <v>0</v>
      </c>
      <c r="O5920">
        <f t="shared" si="1115"/>
        <v>-5</v>
      </c>
      <c r="P5920" s="57">
        <f t="shared" si="1116"/>
        <v>5</v>
      </c>
      <c r="Q5920" s="267">
        <f t="shared" si="1117"/>
        <v>2</v>
      </c>
      <c r="R5920" s="23">
        <f t="shared" si="1118"/>
        <v>1</v>
      </c>
      <c r="S5920" s="23">
        <f t="shared" si="1119"/>
        <v>0</v>
      </c>
      <c r="T5920" s="23" t="str">
        <f t="shared" si="1120"/>
        <v/>
      </c>
      <c r="U5920" t="str">
        <f t="shared" si="1121"/>
        <v/>
      </c>
      <c r="X5920" s="43"/>
      <c r="Y5920" s="53"/>
      <c r="Z5920" s="53"/>
      <c r="AA5920"/>
      <c r="AB5920"/>
      <c r="AC5920" s="23"/>
      <c r="AD5920" s="23"/>
      <c r="AF5920" s="22"/>
      <c r="AM5920" s="371"/>
      <c r="AN5920" s="372"/>
    </row>
    <row r="5921" spans="1:49">
      <c r="A5921" t="str">
        <f t="shared" si="1122"/>
        <v>PA_Alleg_2019p~Rep-school director fox chapel region 1 (vote for 2)</v>
      </c>
      <c r="B5921" s="55" t="s">
        <v>1291</v>
      </c>
      <c r="C5921">
        <v>1424</v>
      </c>
      <c r="D5921" s="55" t="s">
        <v>350</v>
      </c>
      <c r="E5921" s="55" t="s">
        <v>352</v>
      </c>
      <c r="F5921" t="s">
        <v>1117</v>
      </c>
      <c r="G5921" s="62">
        <v>175</v>
      </c>
      <c r="H5921" s="25">
        <v>33.33</v>
      </c>
      <c r="I5921">
        <v>6510</v>
      </c>
      <c r="J5921">
        <v>1271</v>
      </c>
      <c r="K5921">
        <v>9</v>
      </c>
      <c r="L5921">
        <v>9</v>
      </c>
      <c r="M5921">
        <v>0</v>
      </c>
      <c r="N5921" s="23">
        <v>0</v>
      </c>
      <c r="O5921">
        <f t="shared" si="1115"/>
        <v>1</v>
      </c>
      <c r="P5921" s="57">
        <f t="shared" si="1116"/>
        <v>2</v>
      </c>
      <c r="Q5921" s="267">
        <f t="shared" si="1117"/>
        <v>262.5</v>
      </c>
      <c r="R5921" s="23">
        <f t="shared" si="1118"/>
        <v>172</v>
      </c>
      <c r="S5921" s="23">
        <f t="shared" si="1119"/>
        <v>164</v>
      </c>
      <c r="T5921" s="23">
        <f t="shared" si="1120"/>
        <v>8</v>
      </c>
      <c r="U5921" t="str">
        <f t="shared" si="1121"/>
        <v>PA_Alleg_2019p~Rep-school director fox chapel region 1 (vote for 2)</v>
      </c>
      <c r="X5921" s="43"/>
      <c r="Y5921" s="53"/>
      <c r="Z5921" s="53"/>
      <c r="AA5921"/>
      <c r="AB5921"/>
      <c r="AC5921" s="23"/>
      <c r="AD5921" s="23"/>
      <c r="AF5921" s="22"/>
      <c r="AM5921" s="371"/>
      <c r="AN5921" s="372"/>
    </row>
    <row r="5922" spans="1:49">
      <c r="A5922" t="str">
        <f t="shared" si="1122"/>
        <v>PA_Alleg_2019p~Rep-school director fox chapel region 1 (vote for 2)</v>
      </c>
      <c r="B5922" s="55" t="s">
        <v>1291</v>
      </c>
      <c r="C5922">
        <v>1423</v>
      </c>
      <c r="D5922" s="55" t="s">
        <v>350</v>
      </c>
      <c r="E5922" s="55" t="s">
        <v>351</v>
      </c>
      <c r="F5922" t="s">
        <v>1117</v>
      </c>
      <c r="G5922" s="62">
        <v>172</v>
      </c>
      <c r="H5922" s="25">
        <v>32.76</v>
      </c>
      <c r="I5922">
        <v>6510</v>
      </c>
      <c r="J5922">
        <v>1271</v>
      </c>
      <c r="K5922">
        <v>9</v>
      </c>
      <c r="L5922">
        <v>9</v>
      </c>
      <c r="M5922">
        <v>0</v>
      </c>
      <c r="N5922" s="23">
        <v>0</v>
      </c>
      <c r="O5922">
        <f t="shared" si="1115"/>
        <v>2</v>
      </c>
      <c r="P5922" s="57">
        <f t="shared" si="1116"/>
        <v>2</v>
      </c>
      <c r="Q5922" s="267">
        <f t="shared" si="1117"/>
        <v>350</v>
      </c>
      <c r="R5922" s="23">
        <f t="shared" si="1118"/>
        <v>172</v>
      </c>
      <c r="S5922" s="23">
        <f t="shared" si="1119"/>
        <v>164</v>
      </c>
      <c r="T5922" s="23" t="str">
        <f t="shared" si="1120"/>
        <v/>
      </c>
      <c r="U5922" t="str">
        <f t="shared" si="1121"/>
        <v/>
      </c>
      <c r="X5922" s="43"/>
      <c r="Y5922" s="53"/>
      <c r="Z5922" s="53"/>
      <c r="AA5922"/>
      <c r="AB5922"/>
      <c r="AC5922" s="23"/>
      <c r="AD5922" s="23"/>
      <c r="AF5922" s="22"/>
      <c r="AM5922" s="371"/>
      <c r="AN5922" s="372"/>
    </row>
    <row r="5923" spans="1:49">
      <c r="A5923" t="str">
        <f t="shared" si="1122"/>
        <v>PA_Alleg_2019p~Rep-school director fox chapel region 1 (vote for 2)</v>
      </c>
      <c r="B5923" s="55" t="s">
        <v>1291</v>
      </c>
      <c r="C5923">
        <v>1425</v>
      </c>
      <c r="D5923" s="55" t="s">
        <v>350</v>
      </c>
      <c r="E5923" s="55" t="s">
        <v>353</v>
      </c>
      <c r="F5923" t="s">
        <v>1117</v>
      </c>
      <c r="G5923" s="62">
        <v>164</v>
      </c>
      <c r="H5923" s="25">
        <v>31.24</v>
      </c>
      <c r="I5923">
        <v>6510</v>
      </c>
      <c r="J5923">
        <v>1271</v>
      </c>
      <c r="K5923">
        <v>9</v>
      </c>
      <c r="L5923">
        <v>9</v>
      </c>
      <c r="M5923">
        <v>0</v>
      </c>
      <c r="N5923" s="23">
        <v>0</v>
      </c>
      <c r="O5923">
        <f t="shared" si="1115"/>
        <v>3</v>
      </c>
      <c r="P5923" s="57">
        <f t="shared" si="1116"/>
        <v>2</v>
      </c>
      <c r="Q5923" s="267">
        <f t="shared" si="1117"/>
        <v>178</v>
      </c>
      <c r="R5923" s="23" t="str">
        <f t="shared" si="1118"/>
        <v/>
      </c>
      <c r="S5923" s="23">
        <f t="shared" si="1119"/>
        <v>164</v>
      </c>
      <c r="T5923" s="23" t="str">
        <f t="shared" si="1120"/>
        <v/>
      </c>
      <c r="U5923" t="str">
        <f t="shared" si="1121"/>
        <v/>
      </c>
      <c r="V5923" s="40"/>
      <c r="X5923" s="43"/>
      <c r="Y5923" s="53"/>
      <c r="Z5923" s="53"/>
      <c r="AA5923"/>
      <c r="AB5923"/>
      <c r="AC5923" s="23"/>
      <c r="AD5923" s="23"/>
      <c r="AF5923" s="22"/>
      <c r="AM5923" s="371"/>
      <c r="AN5923" s="372"/>
      <c r="AT5923" s="20"/>
      <c r="AU5923" s="29"/>
      <c r="AV5923"/>
      <c r="AW5923"/>
    </row>
    <row r="5924" spans="1:49">
      <c r="A5924" t="str">
        <f t="shared" si="1122"/>
        <v>PA_Alleg_2019p~Rep-school director fox chapel region 1 (vote for 2)</v>
      </c>
      <c r="B5924" s="55" t="s">
        <v>1291</v>
      </c>
      <c r="C5924">
        <v>1426</v>
      </c>
      <c r="D5924" s="55" t="s">
        <v>350</v>
      </c>
      <c r="E5924" s="55" t="s">
        <v>15</v>
      </c>
      <c r="F5924" t="s">
        <v>1117</v>
      </c>
      <c r="G5924" s="62">
        <v>14</v>
      </c>
      <c r="H5924" s="25">
        <v>2.67</v>
      </c>
      <c r="I5924">
        <v>6510</v>
      </c>
      <c r="J5924">
        <v>1271</v>
      </c>
      <c r="K5924">
        <v>9</v>
      </c>
      <c r="L5924">
        <v>9</v>
      </c>
      <c r="M5924">
        <v>0</v>
      </c>
      <c r="N5924" s="23">
        <v>0</v>
      </c>
      <c r="O5924">
        <f t="shared" si="1115"/>
        <v>-3</v>
      </c>
      <c r="P5924" s="57">
        <f t="shared" si="1116"/>
        <v>2</v>
      </c>
      <c r="Q5924" s="267">
        <f t="shared" si="1117"/>
        <v>14</v>
      </c>
      <c r="R5924" s="23">
        <f t="shared" si="1118"/>
        <v>1</v>
      </c>
      <c r="S5924" s="23">
        <f t="shared" si="1119"/>
        <v>0</v>
      </c>
      <c r="T5924" s="23" t="str">
        <f t="shared" si="1120"/>
        <v/>
      </c>
      <c r="U5924" t="str">
        <f t="shared" si="1121"/>
        <v/>
      </c>
      <c r="V5924" s="40"/>
      <c r="X5924" s="43"/>
      <c r="Y5924" s="53"/>
      <c r="Z5924" s="53"/>
      <c r="AA5924"/>
      <c r="AB5924"/>
      <c r="AC5924" s="23"/>
      <c r="AD5924" s="23"/>
      <c r="AF5924" s="22"/>
      <c r="AM5924" s="371"/>
      <c r="AN5924" s="372"/>
      <c r="AT5924" s="20"/>
      <c r="AU5924" s="29"/>
      <c r="AV5924"/>
      <c r="AW5924"/>
    </row>
    <row r="5925" spans="1:49">
      <c r="A5925" t="str">
        <f t="shared" si="1122"/>
        <v>PA_Alleg_2019p~Rep-school director fox chapel region 2 (vote for 2)</v>
      </c>
      <c r="B5925" s="55" t="s">
        <v>1291</v>
      </c>
      <c r="C5925">
        <v>1459</v>
      </c>
      <c r="D5925" s="55" t="s">
        <v>389</v>
      </c>
      <c r="E5925" s="55" t="s">
        <v>392</v>
      </c>
      <c r="F5925" t="s">
        <v>1117</v>
      </c>
      <c r="G5925" s="62">
        <v>331</v>
      </c>
      <c r="H5925" s="25">
        <v>28.12</v>
      </c>
      <c r="I5925">
        <v>8346</v>
      </c>
      <c r="J5925">
        <v>1578</v>
      </c>
      <c r="K5925">
        <v>8</v>
      </c>
      <c r="L5925">
        <v>8</v>
      </c>
      <c r="M5925">
        <v>0</v>
      </c>
      <c r="N5925" s="23">
        <v>0</v>
      </c>
      <c r="O5925">
        <f t="shared" si="1115"/>
        <v>1</v>
      </c>
      <c r="P5925" s="57">
        <f t="shared" si="1116"/>
        <v>2</v>
      </c>
      <c r="Q5925" s="267">
        <f t="shared" si="1117"/>
        <v>588.5</v>
      </c>
      <c r="R5925" s="23">
        <f t="shared" si="1118"/>
        <v>307</v>
      </c>
      <c r="S5925" s="23">
        <f t="shared" si="1119"/>
        <v>301</v>
      </c>
      <c r="T5925" s="23">
        <f t="shared" si="1120"/>
        <v>6</v>
      </c>
      <c r="U5925" t="str">
        <f t="shared" si="1121"/>
        <v>PA_Alleg_2019p~Rep-school director fox chapel region 2 (vote for 2)</v>
      </c>
      <c r="V5925" s="40"/>
      <c r="X5925" s="43"/>
      <c r="Y5925" s="53"/>
      <c r="Z5925" s="53"/>
      <c r="AA5925"/>
      <c r="AB5925"/>
      <c r="AC5925" s="23"/>
      <c r="AD5925" s="23"/>
      <c r="AF5925" s="22"/>
      <c r="AM5925" s="371"/>
      <c r="AN5925" s="372"/>
      <c r="AT5925" s="20"/>
      <c r="AU5925" s="29"/>
      <c r="AV5925"/>
      <c r="AW5925"/>
    </row>
    <row r="5926" spans="1:49">
      <c r="A5926" t="str">
        <f t="shared" si="1122"/>
        <v>PA_Alleg_2019p~Rep-school director fox chapel region 2 (vote for 2)</v>
      </c>
      <c r="B5926" s="55" t="s">
        <v>1291</v>
      </c>
      <c r="C5926">
        <v>1461</v>
      </c>
      <c r="D5926" s="55" t="s">
        <v>389</v>
      </c>
      <c r="E5926" s="55" t="s">
        <v>391</v>
      </c>
      <c r="F5926" t="s">
        <v>1117</v>
      </c>
      <c r="G5926" s="62">
        <v>307</v>
      </c>
      <c r="H5926" s="25">
        <v>26.08</v>
      </c>
      <c r="I5926">
        <v>8346</v>
      </c>
      <c r="J5926">
        <v>1578</v>
      </c>
      <c r="K5926">
        <v>8</v>
      </c>
      <c r="L5926">
        <v>8</v>
      </c>
      <c r="M5926">
        <v>0</v>
      </c>
      <c r="N5926" s="23">
        <v>0</v>
      </c>
      <c r="O5926">
        <f t="shared" si="1115"/>
        <v>2</v>
      </c>
      <c r="P5926" s="57">
        <f t="shared" si="1116"/>
        <v>2</v>
      </c>
      <c r="Q5926" s="267">
        <f t="shared" si="1117"/>
        <v>846</v>
      </c>
      <c r="R5926" s="23">
        <f t="shared" si="1118"/>
        <v>307</v>
      </c>
      <c r="S5926" s="23">
        <f t="shared" si="1119"/>
        <v>301</v>
      </c>
      <c r="T5926" s="23" t="str">
        <f t="shared" si="1120"/>
        <v/>
      </c>
      <c r="U5926" t="str">
        <f t="shared" si="1121"/>
        <v/>
      </c>
      <c r="V5926" s="40"/>
      <c r="X5926" s="43"/>
      <c r="Y5926" s="53"/>
      <c r="Z5926" s="53"/>
      <c r="AA5926"/>
      <c r="AB5926"/>
      <c r="AC5926" s="23"/>
      <c r="AD5926" s="23"/>
      <c r="AF5926" s="22"/>
      <c r="AM5926" s="371"/>
      <c r="AN5926" s="372"/>
      <c r="AT5926" s="20"/>
      <c r="AU5926" s="29"/>
      <c r="AV5926"/>
      <c r="AW5926"/>
    </row>
    <row r="5927" spans="1:49">
      <c r="A5927" t="str">
        <f t="shared" si="1122"/>
        <v>PA_Alleg_2019p~Rep-school director fox chapel region 2 (vote for 2)</v>
      </c>
      <c r="B5927" s="55" t="s">
        <v>1291</v>
      </c>
      <c r="C5927">
        <v>1460</v>
      </c>
      <c r="D5927" s="55" t="s">
        <v>389</v>
      </c>
      <c r="E5927" s="55" t="s">
        <v>1126</v>
      </c>
      <c r="F5927" t="s">
        <v>1117</v>
      </c>
      <c r="G5927" s="62">
        <v>301</v>
      </c>
      <c r="H5927" s="25">
        <v>25.57</v>
      </c>
      <c r="I5927">
        <v>8346</v>
      </c>
      <c r="J5927">
        <v>1578</v>
      </c>
      <c r="K5927">
        <v>8</v>
      </c>
      <c r="L5927">
        <v>8</v>
      </c>
      <c r="M5927">
        <v>0</v>
      </c>
      <c r="N5927" s="23">
        <v>0</v>
      </c>
      <c r="O5927">
        <f t="shared" si="1115"/>
        <v>3</v>
      </c>
      <c r="P5927" s="57">
        <f t="shared" si="1116"/>
        <v>2</v>
      </c>
      <c r="Q5927" s="267">
        <f t="shared" si="1117"/>
        <v>539</v>
      </c>
      <c r="R5927" s="23" t="str">
        <f t="shared" si="1118"/>
        <v/>
      </c>
      <c r="S5927" s="23">
        <f t="shared" si="1119"/>
        <v>301</v>
      </c>
      <c r="T5927" s="23" t="str">
        <f t="shared" si="1120"/>
        <v/>
      </c>
      <c r="U5927" t="str">
        <f t="shared" si="1121"/>
        <v/>
      </c>
      <c r="V5927" s="40"/>
      <c r="X5927" s="43"/>
      <c r="Y5927" s="53"/>
      <c r="Z5927" s="53"/>
      <c r="AA5927"/>
      <c r="AB5927"/>
      <c r="AC5927" s="23"/>
      <c r="AD5927" s="23"/>
      <c r="AF5927" s="22"/>
      <c r="AM5927" s="371"/>
      <c r="AN5927" s="372"/>
      <c r="AT5927" s="20"/>
      <c r="AU5927" s="29"/>
      <c r="AV5927"/>
      <c r="AW5927"/>
    </row>
    <row r="5928" spans="1:49">
      <c r="A5928" t="str">
        <f t="shared" si="1122"/>
        <v>PA_Alleg_2019p~Rep-school director fox chapel region 2 (vote for 2)</v>
      </c>
      <c r="B5928" s="55" t="s">
        <v>1291</v>
      </c>
      <c r="C5928">
        <v>1458</v>
      </c>
      <c r="D5928" s="55" t="s">
        <v>389</v>
      </c>
      <c r="E5928" s="55" t="s">
        <v>390</v>
      </c>
      <c r="F5928" t="s">
        <v>1117</v>
      </c>
      <c r="G5928" s="62">
        <v>234</v>
      </c>
      <c r="H5928" s="25">
        <v>19.88</v>
      </c>
      <c r="I5928">
        <v>8346</v>
      </c>
      <c r="J5928">
        <v>1578</v>
      </c>
      <c r="K5928">
        <v>8</v>
      </c>
      <c r="L5928">
        <v>8</v>
      </c>
      <c r="M5928">
        <v>0</v>
      </c>
      <c r="N5928" s="23">
        <v>0</v>
      </c>
      <c r="O5928">
        <f t="shared" si="1115"/>
        <v>4</v>
      </c>
      <c r="P5928" s="57">
        <f t="shared" si="1116"/>
        <v>2</v>
      </c>
      <c r="Q5928" s="267">
        <f t="shared" si="1117"/>
        <v>238</v>
      </c>
      <c r="R5928" s="23" t="str">
        <f t="shared" si="1118"/>
        <v/>
      </c>
      <c r="S5928" s="23">
        <f t="shared" si="1119"/>
        <v>234</v>
      </c>
      <c r="T5928" s="23" t="str">
        <f t="shared" si="1120"/>
        <v/>
      </c>
      <c r="U5928" t="str">
        <f t="shared" si="1121"/>
        <v/>
      </c>
      <c r="V5928" s="40"/>
      <c r="X5928" s="43"/>
      <c r="Y5928" s="53"/>
      <c r="Z5928" s="53"/>
      <c r="AA5928"/>
      <c r="AB5928"/>
      <c r="AC5928" s="23"/>
      <c r="AD5928" s="23"/>
      <c r="AF5928" s="22"/>
      <c r="AM5928" s="371"/>
      <c r="AN5928" s="372"/>
      <c r="AT5928" s="20"/>
      <c r="AU5928" s="29"/>
      <c r="AV5928"/>
      <c r="AW5928"/>
    </row>
    <row r="5929" spans="1:49">
      <c r="A5929" t="str">
        <f t="shared" si="1122"/>
        <v>PA_Alleg_2019p~Rep-school director fox chapel region 2 (vote for 2)</v>
      </c>
      <c r="B5929" s="55" t="s">
        <v>1291</v>
      </c>
      <c r="C5929">
        <v>1462</v>
      </c>
      <c r="D5929" s="55" t="s">
        <v>389</v>
      </c>
      <c r="E5929" s="55" t="s">
        <v>15</v>
      </c>
      <c r="F5929" t="s">
        <v>1117</v>
      </c>
      <c r="G5929" s="62">
        <v>4</v>
      </c>
      <c r="H5929" s="25">
        <v>0.34</v>
      </c>
      <c r="I5929">
        <v>8346</v>
      </c>
      <c r="J5929">
        <v>1578</v>
      </c>
      <c r="K5929">
        <v>8</v>
      </c>
      <c r="L5929">
        <v>8</v>
      </c>
      <c r="M5929">
        <v>0</v>
      </c>
      <c r="N5929" s="23">
        <v>0</v>
      </c>
      <c r="O5929">
        <f t="shared" si="1115"/>
        <v>-4</v>
      </c>
      <c r="P5929" s="57">
        <f t="shared" si="1116"/>
        <v>2</v>
      </c>
      <c r="Q5929" s="267">
        <f t="shared" si="1117"/>
        <v>4</v>
      </c>
      <c r="R5929" s="23">
        <f t="shared" si="1118"/>
        <v>1</v>
      </c>
      <c r="S5929" s="23">
        <f t="shared" si="1119"/>
        <v>0</v>
      </c>
      <c r="T5929" s="23" t="str">
        <f t="shared" si="1120"/>
        <v/>
      </c>
      <c r="U5929" t="str">
        <f t="shared" si="1121"/>
        <v/>
      </c>
      <c r="V5929" s="40"/>
      <c r="X5929" s="43"/>
      <c r="Y5929" s="53"/>
      <c r="Z5929" s="53"/>
      <c r="AA5929"/>
      <c r="AB5929"/>
      <c r="AC5929" s="23"/>
      <c r="AD5929" s="23"/>
      <c r="AF5929" s="22"/>
      <c r="AM5929" s="371"/>
      <c r="AN5929" s="372"/>
      <c r="AT5929" s="20"/>
      <c r="AU5929" s="29"/>
      <c r="AV5929"/>
      <c r="AW5929"/>
    </row>
    <row r="5930" spans="1:49">
      <c r="A5930" t="str">
        <f t="shared" si="1122"/>
        <v>PA_Alleg_2019p~Rep-school director fox chapel region 3 (vote for 1)</v>
      </c>
      <c r="B5930" s="55" t="s">
        <v>1291</v>
      </c>
      <c r="C5930">
        <v>1509</v>
      </c>
      <c r="D5930" s="55" t="s">
        <v>444</v>
      </c>
      <c r="E5930" s="55" t="s">
        <v>446</v>
      </c>
      <c r="F5930" t="s">
        <v>1117</v>
      </c>
      <c r="G5930" s="62">
        <v>273</v>
      </c>
      <c r="H5930" s="25">
        <v>51.12</v>
      </c>
      <c r="I5930">
        <v>8435</v>
      </c>
      <c r="J5930">
        <v>1713</v>
      </c>
      <c r="K5930">
        <v>10</v>
      </c>
      <c r="L5930">
        <v>10</v>
      </c>
      <c r="M5930">
        <v>0</v>
      </c>
      <c r="N5930" s="23">
        <v>0</v>
      </c>
      <c r="O5930">
        <f t="shared" si="1115"/>
        <v>1</v>
      </c>
      <c r="P5930" s="57">
        <f t="shared" si="1116"/>
        <v>1</v>
      </c>
      <c r="Q5930" s="267">
        <f t="shared" si="1117"/>
        <v>534</v>
      </c>
      <c r="R5930" s="23">
        <f t="shared" si="1118"/>
        <v>273</v>
      </c>
      <c r="S5930" s="23">
        <f t="shared" si="1119"/>
        <v>250</v>
      </c>
      <c r="T5930" s="23">
        <f t="shared" si="1120"/>
        <v>23</v>
      </c>
      <c r="U5930" t="str">
        <f t="shared" si="1121"/>
        <v>PA_Alleg_2019p~Rep-school director fox chapel region 3 (vote for 1)</v>
      </c>
      <c r="V5930" s="40"/>
      <c r="X5930" s="43"/>
      <c r="Y5930" s="53"/>
      <c r="Z5930" s="53"/>
      <c r="AA5930"/>
      <c r="AB5930"/>
      <c r="AC5930" s="23"/>
      <c r="AD5930" s="23"/>
      <c r="AF5930" s="22"/>
      <c r="AM5930" s="371"/>
      <c r="AN5930" s="372"/>
      <c r="AT5930" s="20"/>
      <c r="AU5930" s="29"/>
      <c r="AV5930"/>
      <c r="AW5930"/>
    </row>
    <row r="5931" spans="1:49">
      <c r="A5931" t="str">
        <f t="shared" si="1122"/>
        <v>PA_Alleg_2019p~Rep-school director fox chapel region 3 (vote for 1)</v>
      </c>
      <c r="B5931" s="55" t="s">
        <v>1291</v>
      </c>
      <c r="C5931">
        <v>1508</v>
      </c>
      <c r="D5931" s="55" t="s">
        <v>444</v>
      </c>
      <c r="E5931" s="55" t="s">
        <v>445</v>
      </c>
      <c r="F5931" t="s">
        <v>1117</v>
      </c>
      <c r="G5931" s="62">
        <v>250</v>
      </c>
      <c r="H5931" s="25">
        <v>46.82</v>
      </c>
      <c r="I5931">
        <v>8435</v>
      </c>
      <c r="J5931">
        <v>1713</v>
      </c>
      <c r="K5931">
        <v>10</v>
      </c>
      <c r="L5931">
        <v>10</v>
      </c>
      <c r="M5931">
        <v>0</v>
      </c>
      <c r="N5931" s="23">
        <v>0</v>
      </c>
      <c r="O5931">
        <f t="shared" si="1115"/>
        <v>2</v>
      </c>
      <c r="P5931" s="57">
        <f t="shared" si="1116"/>
        <v>1</v>
      </c>
      <c r="Q5931" s="267">
        <f t="shared" si="1117"/>
        <v>261</v>
      </c>
      <c r="R5931" s="23" t="str">
        <f t="shared" si="1118"/>
        <v/>
      </c>
      <c r="S5931" s="23">
        <f t="shared" si="1119"/>
        <v>250</v>
      </c>
      <c r="T5931" s="23" t="str">
        <f t="shared" si="1120"/>
        <v/>
      </c>
      <c r="U5931" t="str">
        <f t="shared" si="1121"/>
        <v/>
      </c>
      <c r="V5931" s="40"/>
      <c r="X5931" s="43"/>
      <c r="Y5931" s="53"/>
      <c r="Z5931" s="53"/>
      <c r="AA5931"/>
      <c r="AB5931"/>
      <c r="AC5931" s="23"/>
      <c r="AD5931" s="23"/>
      <c r="AF5931" s="22"/>
      <c r="AM5931" s="371"/>
      <c r="AN5931" s="372"/>
      <c r="AT5931" s="20"/>
      <c r="AU5931" s="29"/>
      <c r="AV5931"/>
      <c r="AW5931"/>
    </row>
    <row r="5932" spans="1:49">
      <c r="A5932" t="str">
        <f t="shared" si="1122"/>
        <v>PA_Alleg_2019p~Rep-school director fox chapel region 3 (vote for 1)</v>
      </c>
      <c r="B5932" s="55" t="s">
        <v>1291</v>
      </c>
      <c r="C5932">
        <v>1510</v>
      </c>
      <c r="D5932" s="55" t="s">
        <v>444</v>
      </c>
      <c r="E5932" s="55" t="s">
        <v>15</v>
      </c>
      <c r="F5932" t="s">
        <v>1117</v>
      </c>
      <c r="G5932" s="62">
        <v>11</v>
      </c>
      <c r="H5932" s="25">
        <v>2.06</v>
      </c>
      <c r="I5932">
        <v>8435</v>
      </c>
      <c r="J5932">
        <v>1713</v>
      </c>
      <c r="K5932">
        <v>10</v>
      </c>
      <c r="L5932">
        <v>10</v>
      </c>
      <c r="M5932">
        <v>0</v>
      </c>
      <c r="N5932" s="23">
        <v>0</v>
      </c>
      <c r="O5932">
        <f t="shared" si="1115"/>
        <v>-2</v>
      </c>
      <c r="P5932" s="57">
        <f t="shared" si="1116"/>
        <v>1</v>
      </c>
      <c r="Q5932" s="267">
        <f t="shared" si="1117"/>
        <v>11</v>
      </c>
      <c r="R5932" s="23">
        <f t="shared" si="1118"/>
        <v>1</v>
      </c>
      <c r="S5932" s="23">
        <f t="shared" si="1119"/>
        <v>0</v>
      </c>
      <c r="T5932" s="23" t="str">
        <f t="shared" si="1120"/>
        <v/>
      </c>
      <c r="U5932" t="str">
        <f t="shared" si="1121"/>
        <v/>
      </c>
      <c r="V5932" s="40"/>
      <c r="X5932" s="43"/>
      <c r="Y5932" s="53"/>
      <c r="Z5932" s="53"/>
      <c r="AA5932"/>
      <c r="AB5932"/>
      <c r="AC5932" s="23"/>
      <c r="AD5932" s="23"/>
      <c r="AF5932" s="22"/>
      <c r="AM5932" s="371"/>
      <c r="AN5932" s="372"/>
      <c r="AT5932" s="20"/>
      <c r="AU5932" s="29"/>
      <c r="AV5932"/>
      <c r="AW5932"/>
    </row>
    <row r="5933" spans="1:49">
      <c r="A5933" t="str">
        <f t="shared" si="1122"/>
        <v>PA_Alleg_2019p~Rep-school director gateway (vote for 5)</v>
      </c>
      <c r="B5933" s="55" t="s">
        <v>1291</v>
      </c>
      <c r="C5933">
        <v>1279</v>
      </c>
      <c r="D5933" s="55" t="s">
        <v>187</v>
      </c>
      <c r="E5933" s="55" t="s">
        <v>188</v>
      </c>
      <c r="F5933" t="s">
        <v>1117</v>
      </c>
      <c r="G5933" s="62">
        <v>709</v>
      </c>
      <c r="H5933" s="25">
        <v>19.149999999999999</v>
      </c>
      <c r="I5933">
        <v>23368</v>
      </c>
      <c r="J5933">
        <v>3963</v>
      </c>
      <c r="K5933">
        <v>28</v>
      </c>
      <c r="L5933">
        <v>28</v>
      </c>
      <c r="M5933">
        <v>0</v>
      </c>
      <c r="N5933" s="23">
        <v>0</v>
      </c>
      <c r="O5933">
        <f t="shared" si="1115"/>
        <v>1</v>
      </c>
      <c r="P5933" s="57">
        <f t="shared" si="1116"/>
        <v>5</v>
      </c>
      <c r="Q5933" s="267">
        <f t="shared" si="1117"/>
        <v>740.6</v>
      </c>
      <c r="R5933" s="23">
        <f t="shared" si="1118"/>
        <v>460</v>
      </c>
      <c r="S5933" s="23">
        <f t="shared" si="1119"/>
        <v>440</v>
      </c>
      <c r="T5933" s="23">
        <f t="shared" si="1120"/>
        <v>20</v>
      </c>
      <c r="U5933" t="str">
        <f t="shared" si="1121"/>
        <v>PA_Alleg_2019p~Rep-school director gateway (vote for 5)</v>
      </c>
      <c r="V5933" s="40"/>
      <c r="X5933" s="43"/>
      <c r="Y5933" s="53"/>
      <c r="Z5933" s="53"/>
      <c r="AA5933"/>
      <c r="AB5933"/>
      <c r="AC5933" s="23"/>
      <c r="AD5933" s="23"/>
      <c r="AF5933" s="22"/>
      <c r="AM5933" s="371"/>
      <c r="AN5933" s="372"/>
      <c r="AT5933" s="20"/>
      <c r="AU5933" s="29"/>
      <c r="AV5933"/>
      <c r="AW5933"/>
    </row>
    <row r="5934" spans="1:49">
      <c r="A5934" t="str">
        <f t="shared" si="1122"/>
        <v>PA_Alleg_2019p~Rep-school director gateway (vote for 5)</v>
      </c>
      <c r="B5934" s="55" t="s">
        <v>1291</v>
      </c>
      <c r="C5934">
        <v>1277</v>
      </c>
      <c r="D5934" s="55" t="s">
        <v>187</v>
      </c>
      <c r="E5934" s="55" t="s">
        <v>189</v>
      </c>
      <c r="F5934" t="s">
        <v>1117</v>
      </c>
      <c r="G5934" s="62">
        <v>674</v>
      </c>
      <c r="H5934" s="25">
        <v>18.2</v>
      </c>
      <c r="I5934">
        <v>23368</v>
      </c>
      <c r="J5934">
        <v>3963</v>
      </c>
      <c r="K5934">
        <v>28</v>
      </c>
      <c r="L5934">
        <v>28</v>
      </c>
      <c r="M5934">
        <v>0</v>
      </c>
      <c r="N5934" s="23">
        <v>0</v>
      </c>
      <c r="O5934">
        <f t="shared" si="1115"/>
        <v>2</v>
      </c>
      <c r="P5934" s="57">
        <f t="shared" si="1116"/>
        <v>5</v>
      </c>
      <c r="Q5934" s="267">
        <f t="shared" si="1117"/>
        <v>2994</v>
      </c>
      <c r="R5934" s="23">
        <f t="shared" si="1118"/>
        <v>460</v>
      </c>
      <c r="S5934" s="23">
        <f t="shared" si="1119"/>
        <v>440</v>
      </c>
      <c r="T5934" s="23" t="str">
        <f t="shared" si="1120"/>
        <v/>
      </c>
      <c r="U5934" t="str">
        <f t="shared" si="1121"/>
        <v/>
      </c>
      <c r="V5934" s="40"/>
      <c r="X5934" s="43"/>
      <c r="Y5934" s="53"/>
      <c r="Z5934" s="53"/>
      <c r="AA5934"/>
      <c r="AB5934"/>
      <c r="AC5934" s="23"/>
      <c r="AD5934" s="23"/>
      <c r="AF5934" s="22"/>
      <c r="AM5934" s="371"/>
      <c r="AN5934" s="372"/>
      <c r="AT5934" s="20"/>
      <c r="AU5934" s="29"/>
      <c r="AV5934"/>
      <c r="AW5934"/>
    </row>
    <row r="5935" spans="1:49">
      <c r="A5935" t="str">
        <f t="shared" si="1122"/>
        <v>PA_Alleg_2019p~Rep-school director gateway (vote for 5)</v>
      </c>
      <c r="B5935" s="55" t="s">
        <v>1291</v>
      </c>
      <c r="C5935">
        <v>1283</v>
      </c>
      <c r="D5935" s="55" t="s">
        <v>187</v>
      </c>
      <c r="E5935" s="55" t="s">
        <v>192</v>
      </c>
      <c r="F5935" t="s">
        <v>1117</v>
      </c>
      <c r="G5935" s="62">
        <v>541</v>
      </c>
      <c r="H5935" s="25">
        <v>14.61</v>
      </c>
      <c r="I5935">
        <v>23368</v>
      </c>
      <c r="J5935">
        <v>3963</v>
      </c>
      <c r="K5935">
        <v>28</v>
      </c>
      <c r="L5935">
        <v>28</v>
      </c>
      <c r="M5935">
        <v>0</v>
      </c>
      <c r="N5935" s="23">
        <v>0</v>
      </c>
      <c r="O5935">
        <f t="shared" si="1115"/>
        <v>3</v>
      </c>
      <c r="P5935" s="57">
        <f t="shared" si="1116"/>
        <v>5</v>
      </c>
      <c r="Q5935" s="267">
        <f t="shared" si="1117"/>
        <v>2320</v>
      </c>
      <c r="R5935" s="23">
        <f t="shared" si="1118"/>
        <v>460</v>
      </c>
      <c r="S5935" s="23">
        <f t="shared" si="1119"/>
        <v>440</v>
      </c>
      <c r="T5935" s="23" t="str">
        <f t="shared" si="1120"/>
        <v/>
      </c>
      <c r="U5935" t="str">
        <f t="shared" si="1121"/>
        <v/>
      </c>
      <c r="V5935" s="40"/>
      <c r="X5935" s="43"/>
      <c r="Y5935" s="53"/>
      <c r="Z5935" s="53"/>
      <c r="AA5935"/>
      <c r="AB5935"/>
      <c r="AC5935" s="23"/>
      <c r="AD5935" s="23"/>
      <c r="AF5935" s="22"/>
      <c r="AM5935" s="371"/>
      <c r="AN5935" s="372"/>
      <c r="AT5935" s="20"/>
      <c r="AU5935" s="29"/>
      <c r="AV5935"/>
      <c r="AW5935"/>
    </row>
    <row r="5936" spans="1:49">
      <c r="A5936" t="str">
        <f t="shared" si="1122"/>
        <v>PA_Alleg_2019p~Rep-school director gateway (vote for 5)</v>
      </c>
      <c r="B5936" s="55" t="s">
        <v>1291</v>
      </c>
      <c r="C5936">
        <v>1280</v>
      </c>
      <c r="D5936" s="55" t="s">
        <v>187</v>
      </c>
      <c r="E5936" s="55" t="s">
        <v>190</v>
      </c>
      <c r="F5936" t="s">
        <v>1117</v>
      </c>
      <c r="G5936" s="62">
        <v>502</v>
      </c>
      <c r="H5936" s="25">
        <v>13.56</v>
      </c>
      <c r="I5936">
        <v>23368</v>
      </c>
      <c r="J5936">
        <v>3963</v>
      </c>
      <c r="K5936">
        <v>28</v>
      </c>
      <c r="L5936">
        <v>28</v>
      </c>
      <c r="M5936">
        <v>0</v>
      </c>
      <c r="N5936" s="23">
        <v>0</v>
      </c>
      <c r="O5936">
        <f t="shared" si="1115"/>
        <v>4</v>
      </c>
      <c r="P5936" s="57">
        <f t="shared" si="1116"/>
        <v>5</v>
      </c>
      <c r="Q5936" s="267">
        <f t="shared" si="1117"/>
        <v>1779</v>
      </c>
      <c r="R5936" s="23">
        <f t="shared" si="1118"/>
        <v>460</v>
      </c>
      <c r="S5936" s="23">
        <f t="shared" si="1119"/>
        <v>440</v>
      </c>
      <c r="T5936" s="23" t="str">
        <f t="shared" si="1120"/>
        <v/>
      </c>
      <c r="U5936" t="str">
        <f t="shared" si="1121"/>
        <v/>
      </c>
      <c r="V5936" s="40"/>
      <c r="X5936" s="43"/>
      <c r="Y5936" s="53"/>
      <c r="Z5936" s="53"/>
      <c r="AA5936"/>
      <c r="AB5936"/>
      <c r="AC5936" s="23"/>
      <c r="AD5936" s="23"/>
      <c r="AF5936" s="22"/>
      <c r="AM5936" s="371"/>
      <c r="AN5936" s="372"/>
      <c r="AT5936" s="20"/>
      <c r="AU5936" s="29"/>
      <c r="AV5936"/>
      <c r="AW5936"/>
    </row>
    <row r="5937" spans="1:49">
      <c r="A5937" t="str">
        <f t="shared" si="1122"/>
        <v>PA_Alleg_2019p~Rep-school director gateway (vote for 5)</v>
      </c>
      <c r="B5937" s="55" t="s">
        <v>1291</v>
      </c>
      <c r="C5937">
        <v>1281</v>
      </c>
      <c r="D5937" s="55" t="s">
        <v>187</v>
      </c>
      <c r="E5937" s="55" t="s">
        <v>193</v>
      </c>
      <c r="F5937" t="s">
        <v>1117</v>
      </c>
      <c r="G5937" s="62">
        <v>460</v>
      </c>
      <c r="H5937" s="25">
        <v>12.42</v>
      </c>
      <c r="I5937">
        <v>23368</v>
      </c>
      <c r="J5937">
        <v>3963</v>
      </c>
      <c r="K5937">
        <v>28</v>
      </c>
      <c r="L5937">
        <v>28</v>
      </c>
      <c r="M5937">
        <v>0</v>
      </c>
      <c r="N5937" s="23">
        <v>0</v>
      </c>
      <c r="O5937">
        <f t="shared" si="1115"/>
        <v>5</v>
      </c>
      <c r="P5937" s="57">
        <f t="shared" si="1116"/>
        <v>5</v>
      </c>
      <c r="Q5937" s="267">
        <f t="shared" si="1117"/>
        <v>1277</v>
      </c>
      <c r="R5937" s="23">
        <f t="shared" si="1118"/>
        <v>460</v>
      </c>
      <c r="S5937" s="23">
        <f t="shared" si="1119"/>
        <v>440</v>
      </c>
      <c r="T5937" s="23" t="str">
        <f t="shared" si="1120"/>
        <v/>
      </c>
      <c r="U5937" t="str">
        <f t="shared" si="1121"/>
        <v/>
      </c>
      <c r="V5937" s="40"/>
      <c r="X5937" s="43"/>
      <c r="Y5937" s="53"/>
      <c r="Z5937" s="53"/>
      <c r="AA5937"/>
      <c r="AB5937"/>
      <c r="AC5937" s="23"/>
      <c r="AD5937" s="23"/>
      <c r="AF5937" s="22"/>
      <c r="AM5937" s="371"/>
      <c r="AN5937" s="372"/>
      <c r="AT5937" s="20"/>
      <c r="AU5937" s="29"/>
      <c r="AV5937"/>
      <c r="AW5937"/>
    </row>
    <row r="5938" spans="1:49">
      <c r="A5938" t="str">
        <f t="shared" si="1122"/>
        <v>PA_Alleg_2019p~Rep-school director gateway (vote for 5)</v>
      </c>
      <c r="B5938" s="55" t="s">
        <v>1291</v>
      </c>
      <c r="C5938">
        <v>1278</v>
      </c>
      <c r="D5938" s="55" t="s">
        <v>187</v>
      </c>
      <c r="E5938" s="55" t="s">
        <v>191</v>
      </c>
      <c r="F5938" t="s">
        <v>1117</v>
      </c>
      <c r="G5938" s="62">
        <v>440</v>
      </c>
      <c r="H5938" s="25">
        <v>11.88</v>
      </c>
      <c r="I5938">
        <v>23368</v>
      </c>
      <c r="J5938">
        <v>3963</v>
      </c>
      <c r="K5938">
        <v>28</v>
      </c>
      <c r="L5938">
        <v>28</v>
      </c>
      <c r="M5938">
        <v>0</v>
      </c>
      <c r="N5938" s="23">
        <v>0</v>
      </c>
      <c r="O5938">
        <f t="shared" si="1115"/>
        <v>6</v>
      </c>
      <c r="P5938" s="57">
        <f t="shared" si="1116"/>
        <v>5</v>
      </c>
      <c r="Q5938" s="267">
        <f t="shared" si="1117"/>
        <v>817</v>
      </c>
      <c r="R5938" s="23" t="str">
        <f t="shared" si="1118"/>
        <v/>
      </c>
      <c r="S5938" s="23">
        <f t="shared" si="1119"/>
        <v>440</v>
      </c>
      <c r="T5938" s="23" t="str">
        <f t="shared" si="1120"/>
        <v/>
      </c>
      <c r="U5938" t="str">
        <f t="shared" si="1121"/>
        <v/>
      </c>
      <c r="V5938" s="40"/>
      <c r="X5938" s="43"/>
      <c r="Y5938" s="53"/>
      <c r="Z5938" s="53"/>
      <c r="AA5938"/>
      <c r="AB5938"/>
      <c r="AC5938" s="23"/>
      <c r="AD5938" s="23"/>
      <c r="AF5938" s="22"/>
      <c r="AM5938" s="371"/>
      <c r="AN5938" s="372"/>
      <c r="AT5938" s="20"/>
      <c r="AU5938" s="29"/>
      <c r="AV5938"/>
      <c r="AW5938"/>
    </row>
    <row r="5939" spans="1:49">
      <c r="A5939" t="str">
        <f t="shared" si="1122"/>
        <v>PA_Alleg_2019p~Rep-school director gateway (vote for 5)</v>
      </c>
      <c r="B5939" s="55" t="s">
        <v>1291</v>
      </c>
      <c r="C5939">
        <v>1282</v>
      </c>
      <c r="D5939" s="55" t="s">
        <v>187</v>
      </c>
      <c r="E5939" s="55" t="s">
        <v>194</v>
      </c>
      <c r="F5939" t="s">
        <v>1117</v>
      </c>
      <c r="G5939" s="62">
        <v>347</v>
      </c>
      <c r="H5939" s="25">
        <v>9.3699999999999992</v>
      </c>
      <c r="I5939">
        <v>23368</v>
      </c>
      <c r="J5939">
        <v>3963</v>
      </c>
      <c r="K5939">
        <v>28</v>
      </c>
      <c r="L5939">
        <v>28</v>
      </c>
      <c r="M5939">
        <v>0</v>
      </c>
      <c r="N5939" s="23">
        <v>0</v>
      </c>
      <c r="O5939">
        <f t="shared" si="1115"/>
        <v>7</v>
      </c>
      <c r="P5939" s="57">
        <f t="shared" si="1116"/>
        <v>5</v>
      </c>
      <c r="Q5939" s="267">
        <f t="shared" si="1117"/>
        <v>377</v>
      </c>
      <c r="R5939" s="23" t="str">
        <f t="shared" si="1118"/>
        <v/>
      </c>
      <c r="S5939" s="23">
        <f t="shared" si="1119"/>
        <v>347</v>
      </c>
      <c r="T5939" s="23" t="str">
        <f t="shared" si="1120"/>
        <v/>
      </c>
      <c r="U5939" t="str">
        <f t="shared" si="1121"/>
        <v/>
      </c>
      <c r="V5939" s="40"/>
      <c r="X5939" s="43"/>
      <c r="Y5939" s="53"/>
      <c r="Z5939" s="53"/>
      <c r="AA5939"/>
      <c r="AB5939"/>
      <c r="AC5939" s="23"/>
      <c r="AD5939" s="23"/>
      <c r="AF5939" s="22"/>
      <c r="AM5939" s="371"/>
      <c r="AN5939" s="372"/>
      <c r="AT5939" s="20"/>
      <c r="AU5939" s="29"/>
      <c r="AV5939"/>
      <c r="AW5939"/>
    </row>
    <row r="5940" spans="1:49">
      <c r="A5940" t="str">
        <f t="shared" si="1122"/>
        <v>PA_Alleg_2019p~Rep-school director gateway (vote for 5)</v>
      </c>
      <c r="B5940" s="55" t="s">
        <v>1291</v>
      </c>
      <c r="C5940">
        <v>1284</v>
      </c>
      <c r="D5940" s="55" t="s">
        <v>187</v>
      </c>
      <c r="E5940" s="55" t="s">
        <v>15</v>
      </c>
      <c r="F5940" t="s">
        <v>1117</v>
      </c>
      <c r="G5940" s="62">
        <v>30</v>
      </c>
      <c r="H5940" s="25">
        <v>0.81</v>
      </c>
      <c r="I5940">
        <v>23368</v>
      </c>
      <c r="J5940">
        <v>3963</v>
      </c>
      <c r="K5940">
        <v>28</v>
      </c>
      <c r="L5940">
        <v>28</v>
      </c>
      <c r="M5940">
        <v>0</v>
      </c>
      <c r="N5940" s="23">
        <v>0</v>
      </c>
      <c r="O5940">
        <f t="shared" si="1115"/>
        <v>-7</v>
      </c>
      <c r="P5940" s="57">
        <f t="shared" si="1116"/>
        <v>5</v>
      </c>
      <c r="Q5940" s="267">
        <f t="shared" si="1117"/>
        <v>30</v>
      </c>
      <c r="R5940" s="23">
        <f t="shared" si="1118"/>
        <v>1</v>
      </c>
      <c r="S5940" s="23">
        <f t="shared" si="1119"/>
        <v>0</v>
      </c>
      <c r="T5940" s="23" t="str">
        <f t="shared" si="1120"/>
        <v/>
      </c>
      <c r="U5940" t="str">
        <f t="shared" si="1121"/>
        <v/>
      </c>
      <c r="V5940" s="40"/>
      <c r="X5940" s="43"/>
      <c r="Y5940" s="53"/>
      <c r="Z5940" s="53"/>
      <c r="AA5940"/>
      <c r="AB5940"/>
      <c r="AC5940" s="23"/>
      <c r="AD5940" s="23"/>
      <c r="AF5940" s="22"/>
      <c r="AM5940" s="371"/>
      <c r="AN5940" s="372"/>
      <c r="AT5940" s="20"/>
      <c r="AU5940" s="29"/>
      <c r="AV5940"/>
      <c r="AW5940"/>
    </row>
    <row r="5941" spans="1:49">
      <c r="A5941" t="str">
        <f t="shared" si="1122"/>
        <v>PA_Alleg_2019p~Rep-school director hampton (vote for 5)</v>
      </c>
      <c r="B5941" s="55" t="s">
        <v>1291</v>
      </c>
      <c r="C5941">
        <v>1286</v>
      </c>
      <c r="D5941" s="55" t="s">
        <v>195</v>
      </c>
      <c r="E5941" s="55" t="s">
        <v>201</v>
      </c>
      <c r="F5941" t="s">
        <v>1117</v>
      </c>
      <c r="G5941" s="62">
        <v>736</v>
      </c>
      <c r="H5941" s="25">
        <v>18.989999999999998</v>
      </c>
      <c r="I5941">
        <v>14273</v>
      </c>
      <c r="J5941">
        <v>2114</v>
      </c>
      <c r="K5941">
        <v>13</v>
      </c>
      <c r="L5941">
        <v>13</v>
      </c>
      <c r="M5941">
        <v>0</v>
      </c>
      <c r="N5941" s="23">
        <v>0</v>
      </c>
      <c r="O5941">
        <f t="shared" si="1115"/>
        <v>1</v>
      </c>
      <c r="P5941" s="57">
        <f t="shared" si="1116"/>
        <v>5</v>
      </c>
      <c r="Q5941" s="267">
        <f t="shared" si="1117"/>
        <v>775.2</v>
      </c>
      <c r="R5941" s="23">
        <f t="shared" si="1118"/>
        <v>633</v>
      </c>
      <c r="S5941" s="23">
        <f t="shared" si="1119"/>
        <v>315</v>
      </c>
      <c r="T5941" s="23">
        <f t="shared" si="1120"/>
        <v>318</v>
      </c>
      <c r="U5941" t="str">
        <f t="shared" si="1121"/>
        <v>PA_Alleg_2019p~Rep-school director hampton (vote for 5)</v>
      </c>
      <c r="V5941" s="40"/>
      <c r="X5941" s="43"/>
      <c r="Y5941" s="53"/>
      <c r="Z5941" s="53"/>
      <c r="AA5941"/>
      <c r="AB5941"/>
      <c r="AC5941" s="23"/>
      <c r="AD5941" s="23"/>
      <c r="AF5941" s="22"/>
      <c r="AM5941" s="371"/>
      <c r="AN5941" s="372"/>
      <c r="AT5941" s="20"/>
      <c r="AU5941" s="29"/>
      <c r="AV5941"/>
      <c r="AW5941"/>
    </row>
    <row r="5942" spans="1:49">
      <c r="A5942" t="str">
        <f t="shared" si="1122"/>
        <v>PA_Alleg_2019p~Rep-school director hampton (vote for 5)</v>
      </c>
      <c r="B5942" s="55" t="s">
        <v>1291</v>
      </c>
      <c r="C5942">
        <v>1288</v>
      </c>
      <c r="D5942" s="55" t="s">
        <v>195</v>
      </c>
      <c r="E5942" s="55" t="s">
        <v>199</v>
      </c>
      <c r="F5942" t="s">
        <v>1117</v>
      </c>
      <c r="G5942" s="62">
        <v>724</v>
      </c>
      <c r="H5942" s="25">
        <v>18.68</v>
      </c>
      <c r="I5942">
        <v>14273</v>
      </c>
      <c r="J5942">
        <v>2114</v>
      </c>
      <c r="K5942">
        <v>13</v>
      </c>
      <c r="L5942">
        <v>13</v>
      </c>
      <c r="M5942">
        <v>0</v>
      </c>
      <c r="N5942" s="23">
        <v>0</v>
      </c>
      <c r="O5942">
        <f t="shared" si="1115"/>
        <v>2</v>
      </c>
      <c r="P5942" s="57">
        <f t="shared" si="1116"/>
        <v>5</v>
      </c>
      <c r="Q5942" s="267">
        <f t="shared" si="1117"/>
        <v>3140</v>
      </c>
      <c r="R5942" s="23">
        <f t="shared" si="1118"/>
        <v>633</v>
      </c>
      <c r="S5942" s="23">
        <f t="shared" si="1119"/>
        <v>315</v>
      </c>
      <c r="T5942" s="23" t="str">
        <f t="shared" si="1120"/>
        <v/>
      </c>
      <c r="U5942" t="str">
        <f t="shared" si="1121"/>
        <v/>
      </c>
      <c r="V5942" s="40"/>
      <c r="X5942" s="43"/>
      <c r="Y5942" s="53"/>
      <c r="Z5942" s="53"/>
      <c r="AA5942"/>
      <c r="AB5942"/>
      <c r="AC5942" s="23"/>
      <c r="AD5942" s="23"/>
      <c r="AF5942" s="22"/>
      <c r="AM5942" s="371"/>
      <c r="AN5942" s="372"/>
      <c r="AT5942" s="20"/>
      <c r="AU5942" s="29"/>
      <c r="AV5942"/>
      <c r="AW5942"/>
    </row>
    <row r="5943" spans="1:49">
      <c r="A5943" t="str">
        <f t="shared" si="1122"/>
        <v>PA_Alleg_2019p~Rep-school director hampton (vote for 5)</v>
      </c>
      <c r="B5943" s="55" t="s">
        <v>1291</v>
      </c>
      <c r="C5943">
        <v>1289</v>
      </c>
      <c r="D5943" s="55" t="s">
        <v>195</v>
      </c>
      <c r="E5943" s="55" t="s">
        <v>197</v>
      </c>
      <c r="F5943" t="s">
        <v>1117</v>
      </c>
      <c r="G5943" s="62">
        <v>694</v>
      </c>
      <c r="H5943" s="25">
        <v>17.91</v>
      </c>
      <c r="I5943">
        <v>14273</v>
      </c>
      <c r="J5943">
        <v>2114</v>
      </c>
      <c r="K5943">
        <v>13</v>
      </c>
      <c r="L5943">
        <v>13</v>
      </c>
      <c r="M5943">
        <v>0</v>
      </c>
      <c r="N5943" s="23">
        <v>0</v>
      </c>
      <c r="O5943">
        <f t="shared" si="1115"/>
        <v>3</v>
      </c>
      <c r="P5943" s="57">
        <f t="shared" si="1116"/>
        <v>5</v>
      </c>
      <c r="Q5943" s="267">
        <f t="shared" si="1117"/>
        <v>2416</v>
      </c>
      <c r="R5943" s="23">
        <f t="shared" si="1118"/>
        <v>633</v>
      </c>
      <c r="S5943" s="23">
        <f t="shared" si="1119"/>
        <v>315</v>
      </c>
      <c r="T5943" s="23" t="str">
        <f t="shared" si="1120"/>
        <v/>
      </c>
      <c r="U5943" t="str">
        <f t="shared" si="1121"/>
        <v/>
      </c>
      <c r="V5943" s="40"/>
      <c r="X5943" s="43"/>
      <c r="Y5943" s="53"/>
      <c r="Z5943" s="53"/>
      <c r="AA5943"/>
      <c r="AB5943"/>
      <c r="AC5943" s="23"/>
      <c r="AD5943" s="23"/>
      <c r="AF5943" s="22"/>
      <c r="AM5943" s="371"/>
      <c r="AN5943" s="372"/>
      <c r="AT5943" s="20"/>
      <c r="AU5943" s="29"/>
      <c r="AV5943"/>
      <c r="AW5943"/>
    </row>
    <row r="5944" spans="1:49">
      <c r="A5944" t="str">
        <f t="shared" si="1122"/>
        <v>PA_Alleg_2019p~Rep-school director hampton (vote for 5)</v>
      </c>
      <c r="B5944" s="55" t="s">
        <v>1291</v>
      </c>
      <c r="C5944">
        <v>1287</v>
      </c>
      <c r="D5944" s="55" t="s">
        <v>195</v>
      </c>
      <c r="E5944" s="55" t="s">
        <v>196</v>
      </c>
      <c r="F5944" t="s">
        <v>1117</v>
      </c>
      <c r="G5944" s="62">
        <v>676</v>
      </c>
      <c r="H5944" s="25">
        <v>17.440000000000001</v>
      </c>
      <c r="I5944">
        <v>14273</v>
      </c>
      <c r="J5944">
        <v>2114</v>
      </c>
      <c r="K5944">
        <v>13</v>
      </c>
      <c r="L5944">
        <v>13</v>
      </c>
      <c r="M5944">
        <v>0</v>
      </c>
      <c r="N5944" s="23">
        <v>0</v>
      </c>
      <c r="O5944">
        <f t="shared" si="1115"/>
        <v>4</v>
      </c>
      <c r="P5944" s="57">
        <f t="shared" si="1116"/>
        <v>5</v>
      </c>
      <c r="Q5944" s="267">
        <f t="shared" si="1117"/>
        <v>1722</v>
      </c>
      <c r="R5944" s="23">
        <f t="shared" si="1118"/>
        <v>633</v>
      </c>
      <c r="S5944" s="23">
        <f t="shared" si="1119"/>
        <v>315</v>
      </c>
      <c r="T5944" s="23" t="str">
        <f t="shared" si="1120"/>
        <v/>
      </c>
      <c r="U5944" t="str">
        <f t="shared" si="1121"/>
        <v/>
      </c>
      <c r="V5944" s="40"/>
      <c r="X5944" s="43"/>
      <c r="Y5944" s="53"/>
      <c r="Z5944" s="53"/>
      <c r="AA5944"/>
      <c r="AB5944"/>
      <c r="AC5944" s="23"/>
      <c r="AD5944" s="23"/>
      <c r="AF5944" s="22"/>
      <c r="AM5944" s="371"/>
      <c r="AN5944" s="372"/>
      <c r="AT5944" s="20"/>
      <c r="AU5944" s="29"/>
      <c r="AV5944"/>
      <c r="AW5944"/>
    </row>
    <row r="5945" spans="1:49">
      <c r="A5945" t="str">
        <f t="shared" si="1122"/>
        <v>PA_Alleg_2019p~Rep-school director hampton (vote for 5)</v>
      </c>
      <c r="B5945" s="55" t="s">
        <v>1291</v>
      </c>
      <c r="C5945">
        <v>1290</v>
      </c>
      <c r="D5945" s="55" t="s">
        <v>195</v>
      </c>
      <c r="E5945" s="55" t="s">
        <v>200</v>
      </c>
      <c r="F5945" t="s">
        <v>1117</v>
      </c>
      <c r="G5945" s="62">
        <v>633</v>
      </c>
      <c r="H5945" s="25">
        <v>16.329999999999998</v>
      </c>
      <c r="I5945">
        <v>14273</v>
      </c>
      <c r="J5945">
        <v>2114</v>
      </c>
      <c r="K5945">
        <v>13</v>
      </c>
      <c r="L5945">
        <v>13</v>
      </c>
      <c r="M5945">
        <v>0</v>
      </c>
      <c r="N5945" s="23">
        <v>0</v>
      </c>
      <c r="O5945">
        <f t="shared" si="1115"/>
        <v>5</v>
      </c>
      <c r="P5945" s="57">
        <f t="shared" si="1116"/>
        <v>5</v>
      </c>
      <c r="Q5945" s="267">
        <f t="shared" si="1117"/>
        <v>1046</v>
      </c>
      <c r="R5945" s="23">
        <f t="shared" si="1118"/>
        <v>633</v>
      </c>
      <c r="S5945" s="23">
        <f t="shared" si="1119"/>
        <v>315</v>
      </c>
      <c r="T5945" s="23" t="str">
        <f t="shared" si="1120"/>
        <v/>
      </c>
      <c r="U5945" t="str">
        <f t="shared" si="1121"/>
        <v/>
      </c>
      <c r="V5945" s="40"/>
      <c r="X5945" s="43"/>
      <c r="Y5945" s="53"/>
      <c r="Z5945" s="53"/>
      <c r="AA5945"/>
      <c r="AB5945"/>
      <c r="AC5945" s="23"/>
      <c r="AD5945" s="23"/>
      <c r="AF5945" s="22"/>
      <c r="AM5945" s="371"/>
      <c r="AN5945" s="372"/>
      <c r="AT5945" s="20"/>
      <c r="AU5945" s="29"/>
      <c r="AV5945"/>
      <c r="AW5945"/>
    </row>
    <row r="5946" spans="1:49">
      <c r="A5946" t="str">
        <f t="shared" si="1122"/>
        <v>PA_Alleg_2019p~Rep-school director hampton (vote for 5)</v>
      </c>
      <c r="B5946" s="55" t="s">
        <v>1291</v>
      </c>
      <c r="C5946">
        <v>1285</v>
      </c>
      <c r="D5946" s="55" t="s">
        <v>195</v>
      </c>
      <c r="E5946" s="55" t="s">
        <v>198</v>
      </c>
      <c r="F5946" t="s">
        <v>1117</v>
      </c>
      <c r="G5946" s="62">
        <v>315</v>
      </c>
      <c r="H5946" s="25">
        <v>8.1300000000000008</v>
      </c>
      <c r="I5946">
        <v>14273</v>
      </c>
      <c r="J5946">
        <v>2114</v>
      </c>
      <c r="K5946">
        <v>13</v>
      </c>
      <c r="L5946">
        <v>13</v>
      </c>
      <c r="M5946">
        <v>0</v>
      </c>
      <c r="N5946" s="23">
        <v>0</v>
      </c>
      <c r="O5946">
        <f t="shared" si="1115"/>
        <v>6</v>
      </c>
      <c r="P5946" s="57">
        <f t="shared" si="1116"/>
        <v>5</v>
      </c>
      <c r="Q5946" s="267">
        <f t="shared" si="1117"/>
        <v>413</v>
      </c>
      <c r="R5946" s="23" t="str">
        <f t="shared" si="1118"/>
        <v/>
      </c>
      <c r="S5946" s="23">
        <f t="shared" si="1119"/>
        <v>315</v>
      </c>
      <c r="T5946" s="23" t="str">
        <f t="shared" si="1120"/>
        <v/>
      </c>
      <c r="U5946" t="str">
        <f t="shared" si="1121"/>
        <v/>
      </c>
      <c r="V5946" s="40"/>
      <c r="X5946" s="43"/>
      <c r="Y5946" s="53"/>
      <c r="Z5946" s="53"/>
      <c r="AA5946"/>
      <c r="AB5946"/>
      <c r="AC5946" s="23"/>
      <c r="AD5946" s="23"/>
      <c r="AF5946" s="22"/>
      <c r="AM5946" s="371"/>
      <c r="AN5946" s="372"/>
      <c r="AT5946" s="20"/>
      <c r="AU5946" s="29"/>
      <c r="AV5946"/>
      <c r="AW5946"/>
    </row>
    <row r="5947" spans="1:49">
      <c r="A5947" t="str">
        <f t="shared" si="1122"/>
        <v>PA_Alleg_2019p~Rep-school director hampton (vote for 5)</v>
      </c>
      <c r="B5947" s="55" t="s">
        <v>1291</v>
      </c>
      <c r="C5947">
        <v>1291</v>
      </c>
      <c r="D5947" s="55" t="s">
        <v>195</v>
      </c>
      <c r="E5947" s="55" t="s">
        <v>15</v>
      </c>
      <c r="F5947" t="s">
        <v>1117</v>
      </c>
      <c r="G5947" s="62">
        <v>98</v>
      </c>
      <c r="H5947" s="25">
        <v>2.5299999999999998</v>
      </c>
      <c r="I5947">
        <v>14273</v>
      </c>
      <c r="J5947">
        <v>2114</v>
      </c>
      <c r="K5947">
        <v>13</v>
      </c>
      <c r="L5947">
        <v>13</v>
      </c>
      <c r="M5947">
        <v>0</v>
      </c>
      <c r="N5947" s="23">
        <v>0</v>
      </c>
      <c r="O5947">
        <f t="shared" si="1115"/>
        <v>-6</v>
      </c>
      <c r="P5947" s="57">
        <f t="shared" si="1116"/>
        <v>5</v>
      </c>
      <c r="Q5947" s="267">
        <f t="shared" si="1117"/>
        <v>98</v>
      </c>
      <c r="R5947" s="23">
        <f t="shared" si="1118"/>
        <v>1</v>
      </c>
      <c r="S5947" s="23">
        <f t="shared" si="1119"/>
        <v>0</v>
      </c>
      <c r="T5947" s="23" t="str">
        <f t="shared" si="1120"/>
        <v/>
      </c>
      <c r="U5947" t="str">
        <f t="shared" si="1121"/>
        <v/>
      </c>
      <c r="V5947" s="40"/>
      <c r="X5947" s="43"/>
      <c r="Y5947" s="53"/>
      <c r="Z5947" s="53"/>
      <c r="AA5947"/>
      <c r="AB5947"/>
      <c r="AC5947" s="23"/>
      <c r="AD5947" s="23"/>
      <c r="AF5947" s="22"/>
      <c r="AM5947" s="371"/>
      <c r="AN5947" s="372"/>
      <c r="AT5947" s="20"/>
      <c r="AU5947" s="29"/>
      <c r="AV5947"/>
      <c r="AW5947"/>
    </row>
    <row r="5948" spans="1:49">
      <c r="A5948" t="str">
        <f t="shared" si="1122"/>
        <v>PA_Alleg_2019p~Rep-school director highlands region 1 (vote for 2)</v>
      </c>
      <c r="B5948" s="55" t="s">
        <v>1291</v>
      </c>
      <c r="C5948">
        <v>1427</v>
      </c>
      <c r="D5948" s="55" t="s">
        <v>354</v>
      </c>
      <c r="E5948" s="55" t="s">
        <v>356</v>
      </c>
      <c r="F5948" t="s">
        <v>1117</v>
      </c>
      <c r="G5948" s="62">
        <v>173</v>
      </c>
      <c r="H5948" s="25">
        <v>51.18</v>
      </c>
      <c r="I5948">
        <v>4090</v>
      </c>
      <c r="J5948">
        <v>679</v>
      </c>
      <c r="K5948">
        <v>7</v>
      </c>
      <c r="L5948">
        <v>7</v>
      </c>
      <c r="M5948">
        <v>0</v>
      </c>
      <c r="N5948" s="23">
        <v>0</v>
      </c>
      <c r="O5948">
        <f t="shared" si="1115"/>
        <v>1</v>
      </c>
      <c r="P5948" s="57">
        <f t="shared" si="1116"/>
        <v>2</v>
      </c>
      <c r="Q5948" s="267">
        <f t="shared" si="1117"/>
        <v>173</v>
      </c>
      <c r="R5948" s="23">
        <f t="shared" si="1118"/>
        <v>97</v>
      </c>
      <c r="S5948" s="23">
        <f t="shared" si="1119"/>
        <v>0</v>
      </c>
      <c r="T5948" s="23" t="str">
        <f t="shared" si="1120"/>
        <v/>
      </c>
      <c r="U5948" t="str">
        <f t="shared" si="1121"/>
        <v>PA_Alleg_2019p~Rep-school director highlands region 1 (vote for 2)</v>
      </c>
      <c r="V5948" s="40"/>
      <c r="X5948" s="43"/>
      <c r="Y5948" s="53"/>
      <c r="Z5948" s="53"/>
      <c r="AA5948"/>
      <c r="AB5948"/>
      <c r="AC5948" s="23"/>
      <c r="AD5948" s="23"/>
      <c r="AF5948" s="22"/>
      <c r="AM5948" s="371"/>
      <c r="AN5948" s="372"/>
      <c r="AT5948" s="20"/>
      <c r="AU5948" s="29"/>
      <c r="AV5948"/>
      <c r="AW5948"/>
    </row>
    <row r="5949" spans="1:49">
      <c r="A5949" t="str">
        <f t="shared" si="1122"/>
        <v>PA_Alleg_2019p~Rep-school director highlands region 1 (vote for 2)</v>
      </c>
      <c r="B5949" s="55" t="s">
        <v>1291</v>
      </c>
      <c r="C5949">
        <v>1428</v>
      </c>
      <c r="D5949" s="55" t="s">
        <v>354</v>
      </c>
      <c r="E5949" s="55" t="s">
        <v>355</v>
      </c>
      <c r="F5949" t="s">
        <v>1117</v>
      </c>
      <c r="G5949" s="62">
        <v>97</v>
      </c>
      <c r="H5949" s="25">
        <v>28.7</v>
      </c>
      <c r="I5949">
        <v>4090</v>
      </c>
      <c r="J5949">
        <v>679</v>
      </c>
      <c r="K5949">
        <v>7</v>
      </c>
      <c r="L5949">
        <v>7</v>
      </c>
      <c r="M5949">
        <v>0</v>
      </c>
      <c r="N5949" s="23">
        <v>0</v>
      </c>
      <c r="O5949">
        <f t="shared" si="1115"/>
        <v>2</v>
      </c>
      <c r="P5949" s="57">
        <f t="shared" si="1116"/>
        <v>2</v>
      </c>
      <c r="Q5949" s="267">
        <f t="shared" si="1117"/>
        <v>165</v>
      </c>
      <c r="R5949" s="23">
        <f t="shared" si="1118"/>
        <v>97</v>
      </c>
      <c r="S5949" s="23">
        <f t="shared" si="1119"/>
        <v>0</v>
      </c>
      <c r="T5949" s="23" t="str">
        <f t="shared" si="1120"/>
        <v/>
      </c>
      <c r="U5949" t="str">
        <f t="shared" si="1121"/>
        <v/>
      </c>
      <c r="V5949" s="40"/>
      <c r="X5949" s="43"/>
      <c r="Y5949" s="53"/>
      <c r="Z5949" s="53"/>
      <c r="AA5949"/>
      <c r="AB5949"/>
      <c r="AC5949" s="23"/>
      <c r="AD5949" s="23"/>
      <c r="AF5949" s="22"/>
      <c r="AM5949" s="371"/>
      <c r="AN5949" s="372"/>
      <c r="AT5949" s="20"/>
      <c r="AU5949" s="29"/>
      <c r="AV5949"/>
      <c r="AW5949"/>
    </row>
    <row r="5950" spans="1:49">
      <c r="A5950" t="str">
        <f t="shared" si="1122"/>
        <v>PA_Alleg_2019p~Rep-school director highlands region 1 (vote for 2)</v>
      </c>
      <c r="B5950" s="55" t="s">
        <v>1291</v>
      </c>
      <c r="C5950">
        <v>1429</v>
      </c>
      <c r="D5950" s="55" t="s">
        <v>354</v>
      </c>
      <c r="E5950" s="55" t="s">
        <v>15</v>
      </c>
      <c r="F5950" t="s">
        <v>1117</v>
      </c>
      <c r="G5950" s="62">
        <v>68</v>
      </c>
      <c r="H5950" s="25">
        <v>20.12</v>
      </c>
      <c r="I5950">
        <v>4090</v>
      </c>
      <c r="J5950">
        <v>679</v>
      </c>
      <c r="K5950">
        <v>7</v>
      </c>
      <c r="L5950">
        <v>7</v>
      </c>
      <c r="M5950">
        <v>0</v>
      </c>
      <c r="N5950" s="23">
        <v>0</v>
      </c>
      <c r="O5950">
        <f t="shared" si="1115"/>
        <v>-2</v>
      </c>
      <c r="P5950" s="57">
        <f t="shared" si="1116"/>
        <v>2</v>
      </c>
      <c r="Q5950" s="267">
        <f t="shared" si="1117"/>
        <v>68</v>
      </c>
      <c r="R5950" s="23">
        <f t="shared" si="1118"/>
        <v>1</v>
      </c>
      <c r="S5950" s="23">
        <f t="shared" si="1119"/>
        <v>0</v>
      </c>
      <c r="T5950" s="23" t="str">
        <f t="shared" si="1120"/>
        <v/>
      </c>
      <c r="U5950" t="str">
        <f t="shared" si="1121"/>
        <v/>
      </c>
      <c r="V5950" s="40"/>
      <c r="X5950" s="43"/>
      <c r="Y5950" s="53"/>
      <c r="Z5950" s="53"/>
      <c r="AA5950"/>
      <c r="AB5950"/>
      <c r="AC5950" s="23"/>
      <c r="AD5950" s="23"/>
      <c r="AF5950" s="22"/>
      <c r="AM5950" s="371"/>
      <c r="AN5950" s="372"/>
      <c r="AT5950" s="20"/>
      <c r="AU5950" s="29"/>
      <c r="AV5950"/>
      <c r="AW5950"/>
    </row>
    <row r="5951" spans="1:49">
      <c r="A5951" t="str">
        <f t="shared" si="1122"/>
        <v>PA_Alleg_2019p~Rep-school director highlands region 2 (vote for 1)</v>
      </c>
      <c r="B5951" s="55" t="s">
        <v>1291</v>
      </c>
      <c r="C5951">
        <v>1475</v>
      </c>
      <c r="D5951" s="55" t="s">
        <v>412</v>
      </c>
      <c r="E5951" s="55" t="s">
        <v>413</v>
      </c>
      <c r="F5951" t="s">
        <v>1117</v>
      </c>
      <c r="G5951" s="62">
        <v>136</v>
      </c>
      <c r="H5951" s="25">
        <v>97.14</v>
      </c>
      <c r="I5951">
        <v>3694</v>
      </c>
      <c r="J5951">
        <v>593</v>
      </c>
      <c r="K5951">
        <v>7</v>
      </c>
      <c r="L5951">
        <v>7</v>
      </c>
      <c r="M5951">
        <v>0</v>
      </c>
      <c r="N5951" s="23">
        <v>0</v>
      </c>
      <c r="O5951">
        <f t="shared" si="1115"/>
        <v>1</v>
      </c>
      <c r="P5951" s="57">
        <f t="shared" si="1116"/>
        <v>1</v>
      </c>
      <c r="Q5951" s="267">
        <f t="shared" si="1117"/>
        <v>140</v>
      </c>
      <c r="R5951" s="23">
        <f t="shared" si="1118"/>
        <v>136</v>
      </c>
      <c r="S5951" s="23">
        <f t="shared" si="1119"/>
        <v>0</v>
      </c>
      <c r="T5951" s="23" t="str">
        <f t="shared" si="1120"/>
        <v/>
      </c>
      <c r="U5951" t="str">
        <f t="shared" si="1121"/>
        <v>PA_Alleg_2019p~Rep-school director highlands region 2 (vote for 1)</v>
      </c>
      <c r="V5951" s="40"/>
      <c r="X5951" s="43"/>
      <c r="Y5951" s="53"/>
      <c r="Z5951" s="53"/>
      <c r="AA5951"/>
      <c r="AB5951"/>
      <c r="AC5951" s="23"/>
      <c r="AD5951" s="23"/>
      <c r="AF5951" s="22"/>
      <c r="AM5951" s="371"/>
      <c r="AN5951" s="372"/>
      <c r="AT5951" s="20"/>
      <c r="AU5951" s="29"/>
      <c r="AV5951"/>
      <c r="AW5951"/>
    </row>
    <row r="5952" spans="1:49">
      <c r="A5952" t="str">
        <f t="shared" si="1122"/>
        <v>PA_Alleg_2019p~Rep-school director highlands region 2 (vote for 1)</v>
      </c>
      <c r="B5952" s="55" t="s">
        <v>1291</v>
      </c>
      <c r="C5952">
        <v>1476</v>
      </c>
      <c r="D5952" s="55" t="s">
        <v>412</v>
      </c>
      <c r="E5952" s="55" t="s">
        <v>15</v>
      </c>
      <c r="F5952" t="s">
        <v>1117</v>
      </c>
      <c r="G5952" s="62">
        <v>4</v>
      </c>
      <c r="H5952" s="25">
        <v>2.86</v>
      </c>
      <c r="I5952">
        <v>3694</v>
      </c>
      <c r="J5952">
        <v>593</v>
      </c>
      <c r="K5952">
        <v>7</v>
      </c>
      <c r="L5952">
        <v>7</v>
      </c>
      <c r="M5952">
        <v>0</v>
      </c>
      <c r="N5952" s="23">
        <v>0</v>
      </c>
      <c r="O5952">
        <f t="shared" si="1115"/>
        <v>-1</v>
      </c>
      <c r="P5952" s="57">
        <f t="shared" si="1116"/>
        <v>1</v>
      </c>
      <c r="Q5952" s="267">
        <f t="shared" si="1117"/>
        <v>4</v>
      </c>
      <c r="R5952" s="23">
        <f t="shared" si="1118"/>
        <v>1</v>
      </c>
      <c r="S5952" s="23">
        <f t="shared" si="1119"/>
        <v>0</v>
      </c>
      <c r="T5952" s="23" t="str">
        <f t="shared" si="1120"/>
        <v/>
      </c>
      <c r="U5952" t="str">
        <f t="shared" si="1121"/>
        <v/>
      </c>
      <c r="V5952" s="40"/>
      <c r="X5952" s="43"/>
      <c r="Y5952" s="53"/>
      <c r="Z5952" s="53"/>
      <c r="AA5952"/>
      <c r="AB5952"/>
      <c r="AC5952" s="23"/>
      <c r="AD5952" s="23"/>
      <c r="AF5952" s="22"/>
      <c r="AM5952" s="371"/>
      <c r="AN5952" s="372"/>
      <c r="AT5952" s="20"/>
      <c r="AU5952" s="29"/>
      <c r="AV5952"/>
      <c r="AW5952"/>
    </row>
    <row r="5953" spans="1:49">
      <c r="A5953" t="str">
        <f t="shared" si="1122"/>
        <v>PA_Alleg_2019p~Rep-school director highlands region 3 (vote for 2)</v>
      </c>
      <c r="B5953" s="55" t="s">
        <v>1291</v>
      </c>
      <c r="C5953">
        <v>1489</v>
      </c>
      <c r="D5953" s="55" t="s">
        <v>423</v>
      </c>
      <c r="E5953" s="55" t="s">
        <v>426</v>
      </c>
      <c r="F5953" t="s">
        <v>1117</v>
      </c>
      <c r="G5953" s="62">
        <v>337</v>
      </c>
      <c r="H5953" s="25">
        <v>43.15</v>
      </c>
      <c r="I5953">
        <v>4995</v>
      </c>
      <c r="J5953">
        <v>1258</v>
      </c>
      <c r="K5953">
        <v>7</v>
      </c>
      <c r="L5953">
        <v>7</v>
      </c>
      <c r="M5953">
        <v>0</v>
      </c>
      <c r="N5953" s="23">
        <v>0</v>
      </c>
      <c r="O5953">
        <f t="shared" si="1115"/>
        <v>1</v>
      </c>
      <c r="P5953" s="57">
        <f t="shared" si="1116"/>
        <v>2</v>
      </c>
      <c r="Q5953" s="267">
        <f t="shared" si="1117"/>
        <v>390.5</v>
      </c>
      <c r="R5953" s="23">
        <f t="shared" si="1118"/>
        <v>295</v>
      </c>
      <c r="S5953" s="23">
        <f t="shared" si="1119"/>
        <v>137</v>
      </c>
      <c r="T5953" s="23">
        <f t="shared" si="1120"/>
        <v>158</v>
      </c>
      <c r="U5953" t="str">
        <f t="shared" si="1121"/>
        <v>PA_Alleg_2019p~Rep-school director highlands region 3 (vote for 2)</v>
      </c>
      <c r="V5953" s="40"/>
      <c r="X5953" s="43"/>
      <c r="Y5953" s="53"/>
      <c r="Z5953" s="53"/>
      <c r="AA5953"/>
      <c r="AB5953"/>
      <c r="AC5953" s="23"/>
      <c r="AD5953" s="23"/>
      <c r="AF5953" s="22"/>
      <c r="AM5953" s="371"/>
      <c r="AN5953" s="372"/>
      <c r="AT5953" s="20"/>
      <c r="AU5953" s="29"/>
      <c r="AV5953"/>
      <c r="AW5953"/>
    </row>
    <row r="5954" spans="1:49">
      <c r="A5954" t="str">
        <f t="shared" si="1122"/>
        <v>PA_Alleg_2019p~Rep-school director highlands region 3 (vote for 2)</v>
      </c>
      <c r="B5954" s="55" t="s">
        <v>1291</v>
      </c>
      <c r="C5954">
        <v>1488</v>
      </c>
      <c r="D5954" s="55" t="s">
        <v>423</v>
      </c>
      <c r="E5954" s="55" t="s">
        <v>425</v>
      </c>
      <c r="F5954" t="s">
        <v>1117</v>
      </c>
      <c r="G5954" s="62">
        <v>295</v>
      </c>
      <c r="H5954" s="25">
        <v>37.770000000000003</v>
      </c>
      <c r="I5954">
        <v>4995</v>
      </c>
      <c r="J5954">
        <v>1258</v>
      </c>
      <c r="K5954">
        <v>7</v>
      </c>
      <c r="L5954">
        <v>7</v>
      </c>
      <c r="M5954">
        <v>0</v>
      </c>
      <c r="N5954" s="23">
        <v>0</v>
      </c>
      <c r="O5954">
        <f t="shared" ref="O5954:O6017" si="1123">IF(OR(LOWER(LEFT(E5954,8))="write-in",LOWER(LEFT(E5954,8))="not qual"),IF(A5954=A5953,-ABS(O5953),0),IF(A5954=A5953,ABS(O5953)+1,1))</f>
        <v>2</v>
      </c>
      <c r="P5954" s="57">
        <f t="shared" ref="P5954:P6017" si="1124">1*LEFT(RIGHT(A5954,2),1)</f>
        <v>2</v>
      </c>
      <c r="Q5954" s="267">
        <f t="shared" ref="Q5954:Q6017" si="1125">IF(A5954&lt;&gt;A5955,G5954,IF(A5954=A5953,G5954+Q5955,MAX(G5954,(G5954+Q5955)/P5954)))</f>
        <v>444</v>
      </c>
      <c r="R5954" s="23">
        <f t="shared" ref="R5954:R6017" si="1126">IF(O5954&gt;P5954,"",IF(O5954=P5954,G5954,IF(A5954=A5955,R5955,IF(O5954&lt;=0,1,G5954))))</f>
        <v>295</v>
      </c>
      <c r="S5954" s="23">
        <f t="shared" ref="S5954:S6017" si="1127">IF(AND(O5954&gt;P5954,LOWER(LEFT(E5954,8))&lt;&gt;"write-in",LOWER(LEFT(E5954,8))&lt;&gt;"not qual"),G5954,IF(A5954=A5955,S5955,0))</f>
        <v>137</v>
      </c>
      <c r="T5954" s="23" t="str">
        <f t="shared" ref="T5954:T6017" si="1128">IF(OR(A5954=A5953,S5954=0),"",R5954-ABS(S5954))</f>
        <v/>
      </c>
      <c r="U5954" t="str">
        <f t="shared" ref="U5954:U6017" si="1129">IF(A5954=A5953,"",A5954)</f>
        <v/>
      </c>
      <c r="V5954" s="40"/>
      <c r="X5954" s="43"/>
      <c r="Y5954" s="53"/>
      <c r="Z5954" s="53"/>
      <c r="AA5954"/>
      <c r="AB5954"/>
      <c r="AC5954" s="23"/>
      <c r="AD5954" s="23"/>
      <c r="AF5954" s="22"/>
      <c r="AM5954" s="371"/>
      <c r="AN5954" s="372"/>
      <c r="AT5954" s="20"/>
      <c r="AU5954" s="29"/>
      <c r="AV5954"/>
      <c r="AW5954"/>
    </row>
    <row r="5955" spans="1:49">
      <c r="A5955" t="str">
        <f t="shared" ref="A5955:A6018" si="1130">CONCATENATE(B5955,"~",F5955,"-",LOWER(D5955))</f>
        <v>PA_Alleg_2019p~Rep-school director highlands region 3 (vote for 2)</v>
      </c>
      <c r="B5955" s="55" t="s">
        <v>1291</v>
      </c>
      <c r="C5955">
        <v>1490</v>
      </c>
      <c r="D5955" s="55" t="s">
        <v>423</v>
      </c>
      <c r="E5955" s="55" t="s">
        <v>424</v>
      </c>
      <c r="F5955" t="s">
        <v>1117</v>
      </c>
      <c r="G5955" s="62">
        <v>137</v>
      </c>
      <c r="H5955" s="25">
        <v>17.54</v>
      </c>
      <c r="I5955">
        <v>4995</v>
      </c>
      <c r="J5955">
        <v>1258</v>
      </c>
      <c r="K5955">
        <v>7</v>
      </c>
      <c r="L5955">
        <v>7</v>
      </c>
      <c r="M5955">
        <v>0</v>
      </c>
      <c r="N5955" s="23">
        <v>0</v>
      </c>
      <c r="O5955">
        <f t="shared" si="1123"/>
        <v>3</v>
      </c>
      <c r="P5955" s="57">
        <f t="shared" si="1124"/>
        <v>2</v>
      </c>
      <c r="Q5955" s="267">
        <f t="shared" si="1125"/>
        <v>149</v>
      </c>
      <c r="R5955" s="23" t="str">
        <f t="shared" si="1126"/>
        <v/>
      </c>
      <c r="S5955" s="23">
        <f t="shared" si="1127"/>
        <v>137</v>
      </c>
      <c r="T5955" s="23" t="str">
        <f t="shared" si="1128"/>
        <v/>
      </c>
      <c r="U5955" t="str">
        <f t="shared" si="1129"/>
        <v/>
      </c>
      <c r="V5955" s="40"/>
      <c r="X5955" s="43"/>
      <c r="Y5955" s="53"/>
      <c r="Z5955" s="53"/>
      <c r="AA5955"/>
      <c r="AB5955"/>
      <c r="AC5955" s="23"/>
      <c r="AD5955" s="23"/>
      <c r="AF5955" s="22"/>
      <c r="AM5955" s="371"/>
      <c r="AN5955" s="372"/>
      <c r="AT5955" s="20"/>
      <c r="AU5955" s="29"/>
      <c r="AV5955"/>
      <c r="AW5955"/>
    </row>
    <row r="5956" spans="1:49">
      <c r="A5956" t="str">
        <f t="shared" si="1130"/>
        <v>PA_Alleg_2019p~Rep-school director highlands region 3 (vote for 2)</v>
      </c>
      <c r="B5956" s="55" t="s">
        <v>1291</v>
      </c>
      <c r="C5956">
        <v>1491</v>
      </c>
      <c r="D5956" s="55" t="s">
        <v>423</v>
      </c>
      <c r="E5956" s="55" t="s">
        <v>15</v>
      </c>
      <c r="F5956" t="s">
        <v>1117</v>
      </c>
      <c r="G5956" s="62">
        <v>12</v>
      </c>
      <c r="H5956" s="25">
        <v>1.54</v>
      </c>
      <c r="I5956">
        <v>4995</v>
      </c>
      <c r="J5956">
        <v>1258</v>
      </c>
      <c r="K5956">
        <v>7</v>
      </c>
      <c r="L5956">
        <v>7</v>
      </c>
      <c r="M5956">
        <v>0</v>
      </c>
      <c r="N5956" s="23">
        <v>0</v>
      </c>
      <c r="O5956">
        <f t="shared" si="1123"/>
        <v>-3</v>
      </c>
      <c r="P5956" s="57">
        <f t="shared" si="1124"/>
        <v>2</v>
      </c>
      <c r="Q5956" s="267">
        <f t="shared" si="1125"/>
        <v>12</v>
      </c>
      <c r="R5956" s="23">
        <f t="shared" si="1126"/>
        <v>1</v>
      </c>
      <c r="S5956" s="23">
        <f t="shared" si="1127"/>
        <v>0</v>
      </c>
      <c r="T5956" s="23" t="str">
        <f t="shared" si="1128"/>
        <v/>
      </c>
      <c r="U5956" t="str">
        <f t="shared" si="1129"/>
        <v/>
      </c>
      <c r="V5956" s="40"/>
      <c r="X5956" s="43"/>
      <c r="Y5956" s="53"/>
      <c r="Z5956" s="53"/>
      <c r="AA5956"/>
      <c r="AB5956"/>
      <c r="AC5956" s="23"/>
      <c r="AD5956" s="23"/>
      <c r="AF5956" s="22"/>
      <c r="AM5956" s="371"/>
      <c r="AN5956" s="372"/>
      <c r="AT5956" s="20"/>
      <c r="AU5956" s="29"/>
      <c r="AV5956"/>
      <c r="AW5956"/>
    </row>
    <row r="5957" spans="1:49">
      <c r="A5957" t="str">
        <f t="shared" si="1130"/>
        <v>PA_Alleg_2019p~Rep-school director keystone oaks region 1 (vote for 1)</v>
      </c>
      <c r="B5957" s="55" t="s">
        <v>1291</v>
      </c>
      <c r="C5957">
        <v>1448</v>
      </c>
      <c r="D5957" s="55" t="s">
        <v>378</v>
      </c>
      <c r="E5957" s="55" t="s">
        <v>379</v>
      </c>
      <c r="F5957" t="s">
        <v>1117</v>
      </c>
      <c r="G5957" s="62">
        <v>95</v>
      </c>
      <c r="H5957" s="25">
        <v>52.49</v>
      </c>
      <c r="I5957">
        <v>6107</v>
      </c>
      <c r="J5957">
        <v>771</v>
      </c>
      <c r="K5957">
        <v>8</v>
      </c>
      <c r="L5957">
        <v>8</v>
      </c>
      <c r="M5957">
        <v>0</v>
      </c>
      <c r="N5957" s="23">
        <v>0</v>
      </c>
      <c r="O5957">
        <f t="shared" si="1123"/>
        <v>1</v>
      </c>
      <c r="P5957" s="57">
        <f t="shared" si="1124"/>
        <v>1</v>
      </c>
      <c r="Q5957" s="267">
        <f t="shared" si="1125"/>
        <v>181</v>
      </c>
      <c r="R5957" s="23">
        <f t="shared" si="1126"/>
        <v>95</v>
      </c>
      <c r="S5957" s="23">
        <f t="shared" si="1127"/>
        <v>85</v>
      </c>
      <c r="T5957" s="23">
        <f t="shared" si="1128"/>
        <v>10</v>
      </c>
      <c r="U5957" t="str">
        <f t="shared" si="1129"/>
        <v>PA_Alleg_2019p~Rep-school director keystone oaks region 1 (vote for 1)</v>
      </c>
      <c r="V5957" s="40"/>
      <c r="X5957" s="43"/>
      <c r="Y5957" s="53"/>
      <c r="Z5957" s="53"/>
      <c r="AA5957"/>
      <c r="AB5957"/>
      <c r="AC5957" s="23"/>
      <c r="AD5957" s="23"/>
      <c r="AF5957" s="22"/>
      <c r="AM5957" s="371"/>
      <c r="AN5957" s="372"/>
      <c r="AT5957" s="20"/>
      <c r="AU5957" s="29"/>
      <c r="AV5957"/>
      <c r="AW5957"/>
    </row>
    <row r="5958" spans="1:49">
      <c r="A5958" t="str">
        <f t="shared" si="1130"/>
        <v>PA_Alleg_2019p~Rep-school director keystone oaks region 1 (vote for 1)</v>
      </c>
      <c r="B5958" s="55" t="s">
        <v>1291</v>
      </c>
      <c r="C5958">
        <v>1447</v>
      </c>
      <c r="D5958" s="55" t="s">
        <v>378</v>
      </c>
      <c r="E5958" s="55" t="s">
        <v>380</v>
      </c>
      <c r="F5958" t="s">
        <v>1117</v>
      </c>
      <c r="G5958" s="62">
        <v>85</v>
      </c>
      <c r="H5958" s="25">
        <v>46.96</v>
      </c>
      <c r="I5958">
        <v>6107</v>
      </c>
      <c r="J5958">
        <v>771</v>
      </c>
      <c r="K5958">
        <v>8</v>
      </c>
      <c r="L5958">
        <v>8</v>
      </c>
      <c r="M5958">
        <v>0</v>
      </c>
      <c r="N5958" s="23">
        <v>0</v>
      </c>
      <c r="O5958">
        <f t="shared" si="1123"/>
        <v>2</v>
      </c>
      <c r="P5958" s="57">
        <f t="shared" si="1124"/>
        <v>1</v>
      </c>
      <c r="Q5958" s="267">
        <f t="shared" si="1125"/>
        <v>86</v>
      </c>
      <c r="R5958" s="23" t="str">
        <f t="shared" si="1126"/>
        <v/>
      </c>
      <c r="S5958" s="23">
        <f t="shared" si="1127"/>
        <v>85</v>
      </c>
      <c r="T5958" s="23" t="str">
        <f t="shared" si="1128"/>
        <v/>
      </c>
      <c r="U5958" t="str">
        <f t="shared" si="1129"/>
        <v/>
      </c>
      <c r="V5958" s="40"/>
      <c r="X5958" s="43"/>
      <c r="Y5958" s="53"/>
      <c r="Z5958" s="53"/>
      <c r="AA5958"/>
      <c r="AB5958"/>
      <c r="AC5958" s="23"/>
      <c r="AD5958" s="23"/>
      <c r="AF5958" s="22"/>
      <c r="AM5958" s="371"/>
      <c r="AN5958" s="372"/>
      <c r="AT5958" s="20"/>
      <c r="AU5958" s="29"/>
      <c r="AV5958"/>
      <c r="AW5958"/>
    </row>
    <row r="5959" spans="1:49">
      <c r="A5959" t="str">
        <f t="shared" si="1130"/>
        <v>PA_Alleg_2019p~Rep-school director keystone oaks region 1 (vote for 1)</v>
      </c>
      <c r="B5959" s="55" t="s">
        <v>1291</v>
      </c>
      <c r="C5959">
        <v>1449</v>
      </c>
      <c r="D5959" s="55" t="s">
        <v>378</v>
      </c>
      <c r="E5959" s="55" t="s">
        <v>15</v>
      </c>
      <c r="F5959" t="s">
        <v>1117</v>
      </c>
      <c r="G5959" s="62">
        <v>1</v>
      </c>
      <c r="H5959" s="25">
        <v>0.55000000000000004</v>
      </c>
      <c r="I5959">
        <v>6107</v>
      </c>
      <c r="J5959">
        <v>771</v>
      </c>
      <c r="K5959">
        <v>8</v>
      </c>
      <c r="L5959">
        <v>8</v>
      </c>
      <c r="M5959">
        <v>0</v>
      </c>
      <c r="N5959" s="23">
        <v>0</v>
      </c>
      <c r="O5959">
        <f t="shared" si="1123"/>
        <v>-2</v>
      </c>
      <c r="P5959" s="57">
        <f t="shared" si="1124"/>
        <v>1</v>
      </c>
      <c r="Q5959" s="267">
        <f t="shared" si="1125"/>
        <v>1</v>
      </c>
      <c r="R5959" s="23">
        <f t="shared" si="1126"/>
        <v>1</v>
      </c>
      <c r="S5959" s="23">
        <f t="shared" si="1127"/>
        <v>0</v>
      </c>
      <c r="T5959" s="23" t="str">
        <f t="shared" si="1128"/>
        <v/>
      </c>
      <c r="U5959" t="str">
        <f t="shared" si="1129"/>
        <v/>
      </c>
      <c r="V5959" s="40"/>
      <c r="X5959" s="43"/>
      <c r="Y5959" s="53"/>
      <c r="Z5959" s="53"/>
      <c r="AA5959"/>
      <c r="AB5959"/>
      <c r="AC5959" s="23"/>
      <c r="AD5959" s="23"/>
      <c r="AF5959" s="22"/>
      <c r="AM5959" s="371"/>
      <c r="AN5959" s="372"/>
      <c r="AT5959" s="20"/>
      <c r="AU5959" s="29"/>
      <c r="AV5959"/>
      <c r="AW5959"/>
    </row>
    <row r="5960" spans="1:49">
      <c r="A5960" t="str">
        <f t="shared" si="1130"/>
        <v>PA_Alleg_2019p~Rep-school director keystone oaks region 2 (vote for 2)</v>
      </c>
      <c r="B5960" s="55" t="s">
        <v>1291</v>
      </c>
      <c r="C5960">
        <v>1463</v>
      </c>
      <c r="D5960" s="55" t="s">
        <v>393</v>
      </c>
      <c r="E5960" s="55" t="s">
        <v>15</v>
      </c>
      <c r="F5960" t="s">
        <v>1117</v>
      </c>
      <c r="G5960" s="62">
        <v>18</v>
      </c>
      <c r="H5960" s="25">
        <v>100</v>
      </c>
      <c r="I5960">
        <v>6683</v>
      </c>
      <c r="J5960">
        <v>840</v>
      </c>
      <c r="K5960">
        <v>10</v>
      </c>
      <c r="L5960">
        <v>10</v>
      </c>
      <c r="M5960">
        <v>0</v>
      </c>
      <c r="N5960" s="23">
        <v>0</v>
      </c>
      <c r="O5960">
        <f t="shared" si="1123"/>
        <v>0</v>
      </c>
      <c r="P5960" s="57">
        <f t="shared" si="1124"/>
        <v>2</v>
      </c>
      <c r="Q5960" s="267">
        <f t="shared" si="1125"/>
        <v>18</v>
      </c>
      <c r="R5960" s="23">
        <f t="shared" si="1126"/>
        <v>1</v>
      </c>
      <c r="S5960" s="23">
        <f t="shared" si="1127"/>
        <v>0</v>
      </c>
      <c r="T5960" s="23" t="str">
        <f t="shared" si="1128"/>
        <v/>
      </c>
      <c r="U5960" t="str">
        <f t="shared" si="1129"/>
        <v>PA_Alleg_2019p~Rep-school director keystone oaks region 2 (vote for 2)</v>
      </c>
      <c r="V5960" s="40"/>
      <c r="X5960" s="43"/>
      <c r="Y5960" s="53"/>
      <c r="Z5960" s="53"/>
      <c r="AA5960"/>
      <c r="AB5960"/>
      <c r="AC5960" s="23"/>
      <c r="AD5960" s="23"/>
      <c r="AF5960" s="22"/>
      <c r="AM5960" s="371"/>
      <c r="AN5960" s="372"/>
      <c r="AT5960" s="20"/>
      <c r="AU5960" s="29"/>
      <c r="AV5960"/>
      <c r="AW5960"/>
    </row>
    <row r="5961" spans="1:49">
      <c r="A5961" t="str">
        <f t="shared" si="1130"/>
        <v>PA_Alleg_2019p~Rep-school director keystone oaks region 3 (vote for 2)</v>
      </c>
      <c r="B5961" s="55" t="s">
        <v>1291</v>
      </c>
      <c r="C5961">
        <v>1492</v>
      </c>
      <c r="D5961" s="55" t="s">
        <v>427</v>
      </c>
      <c r="E5961" s="55" t="s">
        <v>429</v>
      </c>
      <c r="F5961" t="s">
        <v>1117</v>
      </c>
      <c r="G5961" s="62">
        <v>114</v>
      </c>
      <c r="H5961" s="25">
        <v>49.57</v>
      </c>
      <c r="I5961">
        <v>3708</v>
      </c>
      <c r="J5961">
        <v>522</v>
      </c>
      <c r="K5961">
        <v>4</v>
      </c>
      <c r="L5961">
        <v>4</v>
      </c>
      <c r="M5961">
        <v>0</v>
      </c>
      <c r="N5961" s="23">
        <v>0</v>
      </c>
      <c r="O5961">
        <f t="shared" si="1123"/>
        <v>1</v>
      </c>
      <c r="P5961" s="57">
        <f t="shared" si="1124"/>
        <v>2</v>
      </c>
      <c r="Q5961" s="267">
        <f t="shared" si="1125"/>
        <v>115</v>
      </c>
      <c r="R5961" s="23">
        <f t="shared" si="1126"/>
        <v>114</v>
      </c>
      <c r="S5961" s="23">
        <f t="shared" si="1127"/>
        <v>0</v>
      </c>
      <c r="T5961" s="23" t="str">
        <f t="shared" si="1128"/>
        <v/>
      </c>
      <c r="U5961" t="str">
        <f t="shared" si="1129"/>
        <v>PA_Alleg_2019p~Rep-school director keystone oaks region 3 (vote for 2)</v>
      </c>
      <c r="V5961" s="40"/>
      <c r="X5961" s="43"/>
      <c r="Y5961" s="53"/>
      <c r="Z5961" s="53"/>
      <c r="AA5961"/>
      <c r="AB5961"/>
      <c r="AC5961" s="23"/>
      <c r="AD5961" s="23"/>
      <c r="AF5961" s="22"/>
      <c r="AM5961" s="371"/>
      <c r="AN5961" s="372"/>
      <c r="AT5961" s="20"/>
      <c r="AU5961" s="29"/>
      <c r="AV5961"/>
      <c r="AW5961"/>
    </row>
    <row r="5962" spans="1:49">
      <c r="A5962" t="str">
        <f t="shared" si="1130"/>
        <v>PA_Alleg_2019p~Rep-school director keystone oaks region 3 (vote for 2)</v>
      </c>
      <c r="B5962" s="55" t="s">
        <v>1291</v>
      </c>
      <c r="C5962">
        <v>1493</v>
      </c>
      <c r="D5962" s="55" t="s">
        <v>427</v>
      </c>
      <c r="E5962" s="55" t="s">
        <v>428</v>
      </c>
      <c r="F5962" t="s">
        <v>1117</v>
      </c>
      <c r="G5962" s="62">
        <v>114</v>
      </c>
      <c r="H5962" s="25">
        <v>49.57</v>
      </c>
      <c r="I5962">
        <v>3708</v>
      </c>
      <c r="J5962">
        <v>522</v>
      </c>
      <c r="K5962">
        <v>4</v>
      </c>
      <c r="L5962">
        <v>4</v>
      </c>
      <c r="M5962">
        <v>0</v>
      </c>
      <c r="N5962" s="23">
        <v>0</v>
      </c>
      <c r="O5962">
        <f t="shared" si="1123"/>
        <v>2</v>
      </c>
      <c r="P5962" s="57">
        <f t="shared" si="1124"/>
        <v>2</v>
      </c>
      <c r="Q5962" s="267">
        <f t="shared" si="1125"/>
        <v>116</v>
      </c>
      <c r="R5962" s="23">
        <f t="shared" si="1126"/>
        <v>114</v>
      </c>
      <c r="S5962" s="23">
        <f t="shared" si="1127"/>
        <v>0</v>
      </c>
      <c r="T5962" s="23" t="str">
        <f t="shared" si="1128"/>
        <v/>
      </c>
      <c r="U5962" t="str">
        <f t="shared" si="1129"/>
        <v/>
      </c>
      <c r="V5962" s="40"/>
      <c r="X5962" s="43"/>
      <c r="Y5962" s="53"/>
      <c r="Z5962" s="53"/>
      <c r="AA5962"/>
      <c r="AB5962"/>
      <c r="AC5962" s="23"/>
      <c r="AD5962" s="23"/>
      <c r="AF5962" s="22"/>
      <c r="AM5962" s="371"/>
      <c r="AN5962" s="372"/>
      <c r="AT5962" s="20"/>
      <c r="AU5962" s="29"/>
      <c r="AV5962"/>
      <c r="AW5962"/>
    </row>
    <row r="5963" spans="1:49">
      <c r="A5963" t="str">
        <f t="shared" si="1130"/>
        <v>PA_Alleg_2019p~Rep-school director keystone oaks region 3 (vote for 2)</v>
      </c>
      <c r="B5963" s="55" t="s">
        <v>1291</v>
      </c>
      <c r="C5963">
        <v>1494</v>
      </c>
      <c r="D5963" s="55" t="s">
        <v>427</v>
      </c>
      <c r="E5963" s="55" t="s">
        <v>15</v>
      </c>
      <c r="F5963" t="s">
        <v>1117</v>
      </c>
      <c r="G5963" s="62">
        <v>2</v>
      </c>
      <c r="H5963" s="25">
        <v>0.87</v>
      </c>
      <c r="I5963">
        <v>3708</v>
      </c>
      <c r="J5963">
        <v>522</v>
      </c>
      <c r="K5963">
        <v>4</v>
      </c>
      <c r="L5963">
        <v>4</v>
      </c>
      <c r="M5963">
        <v>0</v>
      </c>
      <c r="N5963" s="23">
        <v>0</v>
      </c>
      <c r="O5963">
        <f t="shared" si="1123"/>
        <v>-2</v>
      </c>
      <c r="P5963" s="57">
        <f t="shared" si="1124"/>
        <v>2</v>
      </c>
      <c r="Q5963" s="267">
        <f t="shared" si="1125"/>
        <v>2</v>
      </c>
      <c r="R5963" s="23">
        <f t="shared" si="1126"/>
        <v>1</v>
      </c>
      <c r="S5963" s="23">
        <f t="shared" si="1127"/>
        <v>0</v>
      </c>
      <c r="T5963" s="23" t="str">
        <f t="shared" si="1128"/>
        <v/>
      </c>
      <c r="U5963" t="str">
        <f t="shared" si="1129"/>
        <v/>
      </c>
      <c r="V5963" s="40"/>
      <c r="X5963" s="43"/>
      <c r="Y5963" s="53"/>
      <c r="Z5963" s="53"/>
      <c r="AA5963"/>
      <c r="AB5963"/>
      <c r="AC5963" s="23"/>
      <c r="AD5963" s="23"/>
      <c r="AF5963" s="22"/>
      <c r="AM5963" s="371"/>
      <c r="AN5963" s="372"/>
      <c r="AT5963" s="20"/>
      <c r="AU5963" s="29"/>
      <c r="AV5963"/>
      <c r="AW5963"/>
    </row>
    <row r="5964" spans="1:49">
      <c r="A5964" t="str">
        <f t="shared" si="1130"/>
        <v>PA_Alleg_2019p~Rep-school director mckeesport area (vote for 5)</v>
      </c>
      <c r="B5964" s="55" t="s">
        <v>1291</v>
      </c>
      <c r="C5964">
        <v>1292</v>
      </c>
      <c r="D5964" s="55" t="s">
        <v>202</v>
      </c>
      <c r="E5964" s="55" t="s">
        <v>209</v>
      </c>
      <c r="F5964" t="s">
        <v>1117</v>
      </c>
      <c r="G5964" s="62">
        <v>510</v>
      </c>
      <c r="H5964" s="25">
        <v>46.45</v>
      </c>
      <c r="I5964">
        <v>20880</v>
      </c>
      <c r="J5964">
        <v>3784</v>
      </c>
      <c r="K5964">
        <v>45</v>
      </c>
      <c r="L5964">
        <v>45</v>
      </c>
      <c r="M5964">
        <v>0</v>
      </c>
      <c r="N5964" s="23">
        <v>0</v>
      </c>
      <c r="O5964">
        <f t="shared" si="1123"/>
        <v>1</v>
      </c>
      <c r="P5964" s="57">
        <f t="shared" si="1124"/>
        <v>5</v>
      </c>
      <c r="Q5964" s="267">
        <f t="shared" si="1125"/>
        <v>510</v>
      </c>
      <c r="R5964" s="23">
        <f t="shared" si="1126"/>
        <v>1</v>
      </c>
      <c r="S5964" s="23">
        <f t="shared" si="1127"/>
        <v>0</v>
      </c>
      <c r="T5964" s="23" t="str">
        <f t="shared" si="1128"/>
        <v/>
      </c>
      <c r="U5964" t="str">
        <f t="shared" si="1129"/>
        <v>PA_Alleg_2019p~Rep-school director mckeesport area (vote for 5)</v>
      </c>
      <c r="V5964" s="40"/>
      <c r="X5964" s="43"/>
      <c r="Y5964" s="53"/>
      <c r="Z5964" s="53"/>
      <c r="AA5964"/>
      <c r="AB5964"/>
      <c r="AC5964" s="23"/>
      <c r="AD5964" s="23"/>
      <c r="AF5964" s="22"/>
      <c r="AM5964" s="371"/>
      <c r="AN5964" s="372"/>
      <c r="AT5964" s="20"/>
      <c r="AU5964" s="29"/>
      <c r="AV5964"/>
      <c r="AW5964"/>
    </row>
    <row r="5965" spans="1:49">
      <c r="A5965" t="str">
        <f t="shared" si="1130"/>
        <v>PA_Alleg_2019p~Rep-school director mckeesport area (vote for 5)</v>
      </c>
      <c r="B5965" s="55" t="s">
        <v>1291</v>
      </c>
      <c r="C5965">
        <v>1293</v>
      </c>
      <c r="D5965" s="55" t="s">
        <v>202</v>
      </c>
      <c r="E5965" s="55" t="s">
        <v>206</v>
      </c>
      <c r="F5965" t="s">
        <v>1117</v>
      </c>
      <c r="G5965" s="62">
        <v>474</v>
      </c>
      <c r="H5965" s="25">
        <v>43.17</v>
      </c>
      <c r="I5965">
        <v>20880</v>
      </c>
      <c r="J5965">
        <v>3784</v>
      </c>
      <c r="K5965">
        <v>45</v>
      </c>
      <c r="L5965">
        <v>45</v>
      </c>
      <c r="M5965">
        <v>0</v>
      </c>
      <c r="N5965" s="23">
        <v>0</v>
      </c>
      <c r="O5965">
        <f t="shared" si="1123"/>
        <v>2</v>
      </c>
      <c r="P5965" s="57">
        <f t="shared" si="1124"/>
        <v>5</v>
      </c>
      <c r="Q5965" s="267">
        <f t="shared" si="1125"/>
        <v>588</v>
      </c>
      <c r="R5965" s="23">
        <f t="shared" si="1126"/>
        <v>1</v>
      </c>
      <c r="S5965" s="23">
        <f t="shared" si="1127"/>
        <v>0</v>
      </c>
      <c r="T5965" s="23" t="str">
        <f t="shared" si="1128"/>
        <v/>
      </c>
      <c r="U5965" t="str">
        <f t="shared" si="1129"/>
        <v/>
      </c>
      <c r="V5965" s="40"/>
      <c r="X5965" s="43"/>
      <c r="Y5965" s="53"/>
      <c r="Z5965" s="53"/>
      <c r="AA5965"/>
      <c r="AB5965"/>
      <c r="AC5965" s="23"/>
      <c r="AD5965" s="23"/>
      <c r="AF5965" s="22"/>
      <c r="AM5965" s="371"/>
      <c r="AN5965" s="372"/>
      <c r="AT5965" s="20"/>
      <c r="AU5965" s="29"/>
      <c r="AV5965"/>
      <c r="AW5965"/>
    </row>
    <row r="5966" spans="1:49">
      <c r="A5966" t="str">
        <f t="shared" si="1130"/>
        <v>PA_Alleg_2019p~Rep-school director mckeesport area (vote for 5)</v>
      </c>
      <c r="B5966" s="55" t="s">
        <v>1291</v>
      </c>
      <c r="C5966">
        <v>1294</v>
      </c>
      <c r="D5966" s="55" t="s">
        <v>202</v>
      </c>
      <c r="E5966" s="55" t="s">
        <v>15</v>
      </c>
      <c r="F5966" t="s">
        <v>1117</v>
      </c>
      <c r="G5966" s="62">
        <v>114</v>
      </c>
      <c r="H5966" s="25">
        <v>10.38</v>
      </c>
      <c r="I5966">
        <v>20880</v>
      </c>
      <c r="J5966">
        <v>3784</v>
      </c>
      <c r="K5966">
        <v>45</v>
      </c>
      <c r="L5966">
        <v>45</v>
      </c>
      <c r="M5966">
        <v>0</v>
      </c>
      <c r="N5966" s="23">
        <v>0</v>
      </c>
      <c r="O5966">
        <f t="shared" si="1123"/>
        <v>-2</v>
      </c>
      <c r="P5966" s="57">
        <f t="shared" si="1124"/>
        <v>5</v>
      </c>
      <c r="Q5966" s="267">
        <f t="shared" si="1125"/>
        <v>114</v>
      </c>
      <c r="R5966" s="23">
        <f t="shared" si="1126"/>
        <v>1</v>
      </c>
      <c r="S5966" s="23">
        <f t="shared" si="1127"/>
        <v>0</v>
      </c>
      <c r="T5966" s="23" t="str">
        <f t="shared" si="1128"/>
        <v/>
      </c>
      <c r="U5966" t="str">
        <f t="shared" si="1129"/>
        <v/>
      </c>
      <c r="V5966" s="40"/>
      <c r="X5966" s="43"/>
      <c r="Y5966" s="53"/>
      <c r="Z5966" s="53"/>
      <c r="AA5966"/>
      <c r="AB5966"/>
      <c r="AC5966" s="23"/>
      <c r="AD5966" s="23"/>
      <c r="AF5966" s="22"/>
      <c r="AM5966" s="371"/>
      <c r="AN5966" s="372"/>
      <c r="AT5966" s="20"/>
      <c r="AU5966" s="29"/>
      <c r="AV5966"/>
      <c r="AW5966"/>
    </row>
    <row r="5967" spans="1:49">
      <c r="A5967" t="str">
        <f t="shared" si="1130"/>
        <v>PA_Alleg_2019p~Rep-school director montour region 1 (vote for 2)</v>
      </c>
      <c r="B5967" s="55" t="s">
        <v>1291</v>
      </c>
      <c r="C5967">
        <v>1430</v>
      </c>
      <c r="D5967" s="55" t="s">
        <v>357</v>
      </c>
      <c r="E5967" s="55" t="s">
        <v>359</v>
      </c>
      <c r="F5967" t="s">
        <v>1117</v>
      </c>
      <c r="G5967" s="62">
        <v>166</v>
      </c>
      <c r="H5967" s="25">
        <v>50.76</v>
      </c>
      <c r="I5967">
        <v>6764</v>
      </c>
      <c r="J5967">
        <v>828</v>
      </c>
      <c r="K5967">
        <v>7</v>
      </c>
      <c r="L5967">
        <v>7</v>
      </c>
      <c r="M5967">
        <v>0</v>
      </c>
      <c r="N5967" s="23">
        <v>0</v>
      </c>
      <c r="O5967">
        <f t="shared" si="1123"/>
        <v>1</v>
      </c>
      <c r="P5967" s="57">
        <f t="shared" si="1124"/>
        <v>2</v>
      </c>
      <c r="Q5967" s="267">
        <f t="shared" si="1125"/>
        <v>166</v>
      </c>
      <c r="R5967" s="23">
        <f t="shared" si="1126"/>
        <v>158</v>
      </c>
      <c r="S5967" s="23">
        <f t="shared" si="1127"/>
        <v>0</v>
      </c>
      <c r="T5967" s="23" t="str">
        <f t="shared" si="1128"/>
        <v/>
      </c>
      <c r="U5967" t="str">
        <f t="shared" si="1129"/>
        <v>PA_Alleg_2019p~Rep-school director montour region 1 (vote for 2)</v>
      </c>
      <c r="V5967" s="40"/>
      <c r="X5967" s="43"/>
      <c r="Y5967" s="53"/>
      <c r="Z5967" s="53"/>
      <c r="AA5967"/>
      <c r="AB5967"/>
      <c r="AC5967" s="23"/>
      <c r="AD5967" s="23"/>
      <c r="AF5967" s="22"/>
      <c r="AM5967" s="371"/>
      <c r="AN5967" s="372"/>
      <c r="AT5967" s="20"/>
      <c r="AU5967" s="29"/>
      <c r="AV5967"/>
      <c r="AW5967"/>
    </row>
    <row r="5968" spans="1:49">
      <c r="A5968" t="str">
        <f t="shared" si="1130"/>
        <v>PA_Alleg_2019p~Rep-school director montour region 1 (vote for 2)</v>
      </c>
      <c r="B5968" s="55" t="s">
        <v>1291</v>
      </c>
      <c r="C5968">
        <v>1431</v>
      </c>
      <c r="D5968" s="55" t="s">
        <v>357</v>
      </c>
      <c r="E5968" s="55" t="s">
        <v>358</v>
      </c>
      <c r="F5968" t="s">
        <v>1117</v>
      </c>
      <c r="G5968" s="62">
        <v>158</v>
      </c>
      <c r="H5968" s="25">
        <v>48.32</v>
      </c>
      <c r="I5968">
        <v>6764</v>
      </c>
      <c r="J5968">
        <v>828</v>
      </c>
      <c r="K5968">
        <v>7</v>
      </c>
      <c r="L5968">
        <v>7</v>
      </c>
      <c r="M5968">
        <v>0</v>
      </c>
      <c r="N5968" s="23">
        <v>0</v>
      </c>
      <c r="O5968">
        <f t="shared" si="1123"/>
        <v>2</v>
      </c>
      <c r="P5968" s="57">
        <f t="shared" si="1124"/>
        <v>2</v>
      </c>
      <c r="Q5968" s="267">
        <f t="shared" si="1125"/>
        <v>161</v>
      </c>
      <c r="R5968" s="23">
        <f t="shared" si="1126"/>
        <v>158</v>
      </c>
      <c r="S5968" s="23">
        <f t="shared" si="1127"/>
        <v>0</v>
      </c>
      <c r="T5968" s="23" t="str">
        <f t="shared" si="1128"/>
        <v/>
      </c>
      <c r="U5968" t="str">
        <f t="shared" si="1129"/>
        <v/>
      </c>
      <c r="V5968" s="40"/>
      <c r="X5968" s="43"/>
      <c r="Y5968" s="53"/>
      <c r="Z5968" s="53"/>
      <c r="AA5968"/>
      <c r="AB5968"/>
      <c r="AC5968" s="23"/>
      <c r="AD5968" s="23"/>
      <c r="AF5968" s="22"/>
      <c r="AM5968" s="371"/>
      <c r="AN5968" s="372"/>
      <c r="AT5968" s="20"/>
      <c r="AU5968" s="29"/>
      <c r="AV5968"/>
      <c r="AW5968"/>
    </row>
    <row r="5969" spans="1:49">
      <c r="A5969" t="str">
        <f t="shared" si="1130"/>
        <v>PA_Alleg_2019p~Rep-school director montour region 1 (vote for 2)</v>
      </c>
      <c r="B5969" s="55" t="s">
        <v>1291</v>
      </c>
      <c r="C5969">
        <v>1432</v>
      </c>
      <c r="D5969" s="55" t="s">
        <v>357</v>
      </c>
      <c r="E5969" s="55" t="s">
        <v>15</v>
      </c>
      <c r="F5969" t="s">
        <v>1117</v>
      </c>
      <c r="G5969" s="62">
        <v>3</v>
      </c>
      <c r="H5969" s="25">
        <v>0.92</v>
      </c>
      <c r="I5969">
        <v>6764</v>
      </c>
      <c r="J5969">
        <v>828</v>
      </c>
      <c r="K5969">
        <v>7</v>
      </c>
      <c r="L5969">
        <v>7</v>
      </c>
      <c r="M5969">
        <v>0</v>
      </c>
      <c r="N5969" s="23">
        <v>0</v>
      </c>
      <c r="O5969">
        <f t="shared" si="1123"/>
        <v>-2</v>
      </c>
      <c r="P5969" s="57">
        <f t="shared" si="1124"/>
        <v>2</v>
      </c>
      <c r="Q5969" s="267">
        <f t="shared" si="1125"/>
        <v>3</v>
      </c>
      <c r="R5969" s="23">
        <f t="shared" si="1126"/>
        <v>1</v>
      </c>
      <c r="S5969" s="23">
        <f t="shared" si="1127"/>
        <v>0</v>
      </c>
      <c r="T5969" s="23" t="str">
        <f t="shared" si="1128"/>
        <v/>
      </c>
      <c r="U5969" t="str">
        <f t="shared" si="1129"/>
        <v/>
      </c>
      <c r="V5969" s="40"/>
      <c r="X5969" s="43"/>
      <c r="Y5969" s="53"/>
      <c r="Z5969" s="53"/>
      <c r="AA5969"/>
      <c r="AB5969"/>
      <c r="AC5969" s="23"/>
      <c r="AD5969" s="23"/>
      <c r="AF5969" s="22"/>
      <c r="AM5969" s="371"/>
      <c r="AN5969" s="372"/>
      <c r="AT5969" s="20"/>
      <c r="AU5969" s="29"/>
      <c r="AV5969"/>
      <c r="AW5969"/>
    </row>
    <row r="5970" spans="1:49">
      <c r="A5970" t="str">
        <f t="shared" si="1130"/>
        <v>PA_Alleg_2019p~Rep-school director montour region 2 (vote for 3)</v>
      </c>
      <c r="B5970" s="55" t="s">
        <v>1291</v>
      </c>
      <c r="C5970">
        <v>1454</v>
      </c>
      <c r="D5970" s="55" t="s">
        <v>385</v>
      </c>
      <c r="E5970" s="55" t="s">
        <v>387</v>
      </c>
      <c r="F5970" t="s">
        <v>1117</v>
      </c>
      <c r="G5970" s="62">
        <v>228</v>
      </c>
      <c r="H5970" s="25">
        <v>33.479999999999997</v>
      </c>
      <c r="I5970">
        <v>7913</v>
      </c>
      <c r="J5970">
        <v>1237</v>
      </c>
      <c r="K5970">
        <v>7</v>
      </c>
      <c r="L5970">
        <v>7</v>
      </c>
      <c r="M5970">
        <v>0</v>
      </c>
      <c r="N5970" s="23">
        <v>0</v>
      </c>
      <c r="O5970">
        <f t="shared" si="1123"/>
        <v>1</v>
      </c>
      <c r="P5970" s="57">
        <f t="shared" si="1124"/>
        <v>3</v>
      </c>
      <c r="Q5970" s="267">
        <f t="shared" si="1125"/>
        <v>228</v>
      </c>
      <c r="R5970" s="23">
        <f t="shared" si="1126"/>
        <v>221</v>
      </c>
      <c r="S5970" s="23">
        <f t="shared" si="1127"/>
        <v>0</v>
      </c>
      <c r="T5970" s="23" t="str">
        <f t="shared" si="1128"/>
        <v/>
      </c>
      <c r="U5970" t="str">
        <f t="shared" si="1129"/>
        <v>PA_Alleg_2019p~Rep-school director montour region 2 (vote for 3)</v>
      </c>
      <c r="V5970" s="40"/>
      <c r="X5970" s="43"/>
      <c r="Y5970" s="53"/>
      <c r="Z5970" s="53"/>
      <c r="AA5970"/>
      <c r="AB5970"/>
      <c r="AC5970" s="23"/>
      <c r="AD5970" s="23"/>
      <c r="AF5970" s="22"/>
      <c r="AM5970" s="371"/>
      <c r="AN5970" s="372"/>
      <c r="AT5970" s="20"/>
      <c r="AU5970" s="29"/>
      <c r="AV5970"/>
      <c r="AW5970"/>
    </row>
    <row r="5971" spans="1:49">
      <c r="A5971" t="str">
        <f t="shared" si="1130"/>
        <v>PA_Alleg_2019p~Rep-school director montour region 2 (vote for 3)</v>
      </c>
      <c r="B5971" s="55" t="s">
        <v>1291</v>
      </c>
      <c r="C5971">
        <v>1455</v>
      </c>
      <c r="D5971" s="55" t="s">
        <v>385</v>
      </c>
      <c r="E5971" s="55" t="s">
        <v>388</v>
      </c>
      <c r="F5971" t="s">
        <v>1117</v>
      </c>
      <c r="G5971" s="62">
        <v>224</v>
      </c>
      <c r="H5971" s="25">
        <v>32.89</v>
      </c>
      <c r="I5971">
        <v>7913</v>
      </c>
      <c r="J5971">
        <v>1237</v>
      </c>
      <c r="K5971">
        <v>7</v>
      </c>
      <c r="L5971">
        <v>7</v>
      </c>
      <c r="M5971">
        <v>0</v>
      </c>
      <c r="N5971" s="23">
        <v>0</v>
      </c>
      <c r="O5971">
        <f t="shared" si="1123"/>
        <v>2</v>
      </c>
      <c r="P5971" s="57">
        <f t="shared" si="1124"/>
        <v>3</v>
      </c>
      <c r="Q5971" s="267">
        <f t="shared" si="1125"/>
        <v>453</v>
      </c>
      <c r="R5971" s="23">
        <f t="shared" si="1126"/>
        <v>221</v>
      </c>
      <c r="S5971" s="23">
        <f t="shared" si="1127"/>
        <v>0</v>
      </c>
      <c r="T5971" s="23" t="str">
        <f t="shared" si="1128"/>
        <v/>
      </c>
      <c r="U5971" t="str">
        <f t="shared" si="1129"/>
        <v/>
      </c>
      <c r="V5971" s="40"/>
      <c r="X5971" s="43"/>
      <c r="Y5971" s="53"/>
      <c r="Z5971" s="53"/>
      <c r="AA5971"/>
      <c r="AB5971"/>
      <c r="AC5971" s="23"/>
      <c r="AD5971" s="23"/>
      <c r="AF5971" s="22"/>
      <c r="AM5971" s="371"/>
      <c r="AN5971" s="372"/>
      <c r="AT5971" s="20"/>
      <c r="AU5971" s="29"/>
      <c r="AV5971"/>
      <c r="AW5971"/>
    </row>
    <row r="5972" spans="1:49">
      <c r="A5972" t="str">
        <f t="shared" si="1130"/>
        <v>PA_Alleg_2019p~Rep-school director montour region 2 (vote for 3)</v>
      </c>
      <c r="B5972" s="55" t="s">
        <v>1291</v>
      </c>
      <c r="C5972">
        <v>1456</v>
      </c>
      <c r="D5972" s="55" t="s">
        <v>385</v>
      </c>
      <c r="E5972" s="55" t="s">
        <v>386</v>
      </c>
      <c r="F5972" t="s">
        <v>1117</v>
      </c>
      <c r="G5972" s="62">
        <v>221</v>
      </c>
      <c r="H5972" s="25">
        <v>32.450000000000003</v>
      </c>
      <c r="I5972">
        <v>7913</v>
      </c>
      <c r="J5972">
        <v>1237</v>
      </c>
      <c r="K5972">
        <v>7</v>
      </c>
      <c r="L5972">
        <v>7</v>
      </c>
      <c r="M5972">
        <v>0</v>
      </c>
      <c r="N5972" s="23">
        <v>0</v>
      </c>
      <c r="O5972">
        <f t="shared" si="1123"/>
        <v>3</v>
      </c>
      <c r="P5972" s="57">
        <f t="shared" si="1124"/>
        <v>3</v>
      </c>
      <c r="Q5972" s="267">
        <f t="shared" si="1125"/>
        <v>229</v>
      </c>
      <c r="R5972" s="23">
        <f t="shared" si="1126"/>
        <v>221</v>
      </c>
      <c r="S5972" s="23">
        <f t="shared" si="1127"/>
        <v>0</v>
      </c>
      <c r="T5972" s="23" t="str">
        <f t="shared" si="1128"/>
        <v/>
      </c>
      <c r="U5972" t="str">
        <f t="shared" si="1129"/>
        <v/>
      </c>
      <c r="V5972" s="40"/>
      <c r="X5972" s="43"/>
      <c r="Y5972" s="53"/>
      <c r="Z5972" s="53"/>
      <c r="AA5972"/>
      <c r="AB5972"/>
      <c r="AC5972" s="23"/>
      <c r="AD5972" s="23"/>
      <c r="AF5972" s="22"/>
      <c r="AG5972" s="23"/>
      <c r="AH5972" s="8"/>
      <c r="AL5972" s="344"/>
      <c r="AM5972" s="371"/>
      <c r="AN5972" s="372"/>
      <c r="AT5972" s="20"/>
      <c r="AU5972" s="29"/>
      <c r="AV5972"/>
      <c r="AW5972"/>
    </row>
    <row r="5973" spans="1:49">
      <c r="A5973" t="str">
        <f t="shared" si="1130"/>
        <v>PA_Alleg_2019p~Rep-school director montour region 2 (vote for 3)</v>
      </c>
      <c r="B5973" s="55" t="s">
        <v>1291</v>
      </c>
      <c r="C5973">
        <v>1457</v>
      </c>
      <c r="D5973" s="55" t="s">
        <v>385</v>
      </c>
      <c r="E5973" s="55" t="s">
        <v>15</v>
      </c>
      <c r="F5973" t="s">
        <v>1117</v>
      </c>
      <c r="G5973" s="62">
        <v>8</v>
      </c>
      <c r="H5973" s="25">
        <v>1.17</v>
      </c>
      <c r="I5973">
        <v>7913</v>
      </c>
      <c r="J5973">
        <v>1237</v>
      </c>
      <c r="K5973">
        <v>7</v>
      </c>
      <c r="L5973">
        <v>7</v>
      </c>
      <c r="M5973">
        <v>0</v>
      </c>
      <c r="N5973" s="23">
        <v>0</v>
      </c>
      <c r="O5973">
        <f t="shared" si="1123"/>
        <v>-3</v>
      </c>
      <c r="P5973" s="57">
        <f t="shared" si="1124"/>
        <v>3</v>
      </c>
      <c r="Q5973" s="267">
        <f t="shared" si="1125"/>
        <v>8</v>
      </c>
      <c r="R5973" s="23">
        <f t="shared" si="1126"/>
        <v>1</v>
      </c>
      <c r="S5973" s="23">
        <f t="shared" si="1127"/>
        <v>0</v>
      </c>
      <c r="T5973" s="23" t="str">
        <f t="shared" si="1128"/>
        <v/>
      </c>
      <c r="U5973" t="str">
        <f t="shared" si="1129"/>
        <v/>
      </c>
      <c r="V5973" s="40"/>
      <c r="X5973" s="43"/>
      <c r="Y5973" s="53"/>
      <c r="Z5973" s="53"/>
      <c r="AA5973"/>
      <c r="AB5973"/>
      <c r="AC5973" s="23"/>
      <c r="AD5973" s="23"/>
      <c r="AF5973" s="22"/>
      <c r="AG5973" s="23"/>
      <c r="AH5973" s="8"/>
      <c r="AL5973" s="344"/>
      <c r="AM5973" s="371"/>
      <c r="AN5973" s="372"/>
      <c r="AT5973" s="20"/>
      <c r="AU5973" s="29"/>
      <c r="AV5973"/>
      <c r="AW5973"/>
    </row>
    <row r="5974" spans="1:49">
      <c r="A5974" t="str">
        <f t="shared" si="1130"/>
        <v>PA_Alleg_2019p~Rep-school director moon area (vote for 5)</v>
      </c>
      <c r="B5974" s="55" t="s">
        <v>1291</v>
      </c>
      <c r="C5974">
        <v>1297</v>
      </c>
      <c r="D5974" s="55" t="s">
        <v>211</v>
      </c>
      <c r="E5974" s="55" t="s">
        <v>212</v>
      </c>
      <c r="F5974" t="s">
        <v>1117</v>
      </c>
      <c r="G5974" s="62">
        <v>906</v>
      </c>
      <c r="H5974" s="25">
        <v>21.79</v>
      </c>
      <c r="I5974">
        <v>20909</v>
      </c>
      <c r="J5974">
        <v>3295</v>
      </c>
      <c r="K5974">
        <v>15</v>
      </c>
      <c r="L5974">
        <v>15</v>
      </c>
      <c r="M5974">
        <v>0</v>
      </c>
      <c r="N5974" s="23">
        <v>0</v>
      </c>
      <c r="O5974">
        <f t="shared" si="1123"/>
        <v>1</v>
      </c>
      <c r="P5974" s="57">
        <f t="shared" si="1124"/>
        <v>5</v>
      </c>
      <c r="Q5974" s="267">
        <f t="shared" si="1125"/>
        <v>906</v>
      </c>
      <c r="R5974" s="23">
        <f t="shared" si="1126"/>
        <v>767</v>
      </c>
      <c r="S5974" s="23">
        <f t="shared" si="1127"/>
        <v>0</v>
      </c>
      <c r="T5974" s="23" t="str">
        <f t="shared" si="1128"/>
        <v/>
      </c>
      <c r="U5974" t="str">
        <f t="shared" si="1129"/>
        <v>PA_Alleg_2019p~Rep-school director moon area (vote for 5)</v>
      </c>
      <c r="V5974" s="40"/>
      <c r="X5974" s="43"/>
      <c r="Y5974" s="53"/>
      <c r="Z5974" s="53"/>
      <c r="AA5974"/>
      <c r="AB5974"/>
      <c r="AC5974" s="23"/>
      <c r="AD5974" s="23"/>
      <c r="AF5974" s="22"/>
      <c r="AG5974" s="23"/>
      <c r="AH5974" s="8"/>
      <c r="AL5974" s="344"/>
      <c r="AM5974" s="371"/>
      <c r="AN5974" s="372"/>
      <c r="AT5974" s="20"/>
      <c r="AU5974" s="29"/>
      <c r="AV5974"/>
      <c r="AW5974"/>
    </row>
    <row r="5975" spans="1:49">
      <c r="A5975" t="str">
        <f t="shared" si="1130"/>
        <v>PA_Alleg_2019p~Rep-school director moon area (vote for 5)</v>
      </c>
      <c r="B5975" s="55" t="s">
        <v>1291</v>
      </c>
      <c r="C5975">
        <v>1299</v>
      </c>
      <c r="D5975" s="55" t="s">
        <v>211</v>
      </c>
      <c r="E5975" s="55" t="s">
        <v>213</v>
      </c>
      <c r="F5975" t="s">
        <v>1117</v>
      </c>
      <c r="G5975" s="62">
        <v>834</v>
      </c>
      <c r="H5975" s="25">
        <v>20.059999999999999</v>
      </c>
      <c r="I5975">
        <v>20909</v>
      </c>
      <c r="J5975">
        <v>3295</v>
      </c>
      <c r="K5975">
        <v>15</v>
      </c>
      <c r="L5975">
        <v>15</v>
      </c>
      <c r="M5975">
        <v>0</v>
      </c>
      <c r="N5975" s="23">
        <v>0</v>
      </c>
      <c r="O5975">
        <f t="shared" si="1123"/>
        <v>2</v>
      </c>
      <c r="P5975" s="57">
        <f t="shared" si="1124"/>
        <v>5</v>
      </c>
      <c r="Q5975" s="267">
        <f t="shared" si="1125"/>
        <v>3252</v>
      </c>
      <c r="R5975" s="23">
        <f t="shared" si="1126"/>
        <v>767</v>
      </c>
      <c r="S5975" s="23">
        <f t="shared" si="1127"/>
        <v>0</v>
      </c>
      <c r="T5975" s="23" t="str">
        <f t="shared" si="1128"/>
        <v/>
      </c>
      <c r="U5975" t="str">
        <f t="shared" si="1129"/>
        <v/>
      </c>
      <c r="V5975" s="40"/>
      <c r="X5975" s="43"/>
      <c r="Y5975" s="53"/>
      <c r="Z5975" s="53"/>
      <c r="AA5975"/>
      <c r="AB5975"/>
      <c r="AC5975" s="23"/>
      <c r="AD5975" s="23"/>
      <c r="AF5975" s="22"/>
      <c r="AG5975" s="23"/>
      <c r="AH5975" s="8"/>
      <c r="AL5975" s="344"/>
      <c r="AM5975" s="371"/>
      <c r="AN5975" s="372"/>
      <c r="AT5975" s="20"/>
      <c r="AU5975" s="29"/>
      <c r="AV5975"/>
      <c r="AW5975"/>
    </row>
    <row r="5976" spans="1:49">
      <c r="A5976" t="str">
        <f t="shared" si="1130"/>
        <v>PA_Alleg_2019p~Rep-school director moon area (vote for 5)</v>
      </c>
      <c r="B5976" s="55" t="s">
        <v>1291</v>
      </c>
      <c r="C5976">
        <v>1295</v>
      </c>
      <c r="D5976" s="55" t="s">
        <v>211</v>
      </c>
      <c r="E5976" s="55" t="s">
        <v>216</v>
      </c>
      <c r="F5976" t="s">
        <v>1117</v>
      </c>
      <c r="G5976" s="62">
        <v>818</v>
      </c>
      <c r="H5976" s="25">
        <v>19.670000000000002</v>
      </c>
      <c r="I5976">
        <v>20909</v>
      </c>
      <c r="J5976">
        <v>3295</v>
      </c>
      <c r="K5976">
        <v>15</v>
      </c>
      <c r="L5976">
        <v>15</v>
      </c>
      <c r="M5976">
        <v>0</v>
      </c>
      <c r="N5976" s="23">
        <v>0</v>
      </c>
      <c r="O5976">
        <f t="shared" si="1123"/>
        <v>3</v>
      </c>
      <c r="P5976" s="57">
        <f t="shared" si="1124"/>
        <v>5</v>
      </c>
      <c r="Q5976" s="267">
        <f t="shared" si="1125"/>
        <v>2418</v>
      </c>
      <c r="R5976" s="23">
        <f t="shared" si="1126"/>
        <v>767</v>
      </c>
      <c r="S5976" s="23">
        <f t="shared" si="1127"/>
        <v>0</v>
      </c>
      <c r="T5976" s="23" t="str">
        <f t="shared" si="1128"/>
        <v/>
      </c>
      <c r="U5976" t="str">
        <f t="shared" si="1129"/>
        <v/>
      </c>
      <c r="V5976" s="40"/>
      <c r="X5976" s="43"/>
      <c r="Y5976" s="53"/>
      <c r="Z5976" s="53"/>
      <c r="AA5976"/>
      <c r="AB5976"/>
      <c r="AC5976" s="23"/>
      <c r="AD5976" s="23"/>
      <c r="AF5976" s="22"/>
      <c r="AG5976" s="23"/>
      <c r="AH5976" s="8"/>
      <c r="AL5976" s="344"/>
      <c r="AM5976" s="371"/>
      <c r="AN5976" s="372"/>
      <c r="AT5976" s="20"/>
      <c r="AU5976" s="29"/>
      <c r="AV5976"/>
      <c r="AW5976"/>
    </row>
    <row r="5977" spans="1:49">
      <c r="A5977" t="str">
        <f t="shared" si="1130"/>
        <v>PA_Alleg_2019p~Rep-school director moon area (vote for 5)</v>
      </c>
      <c r="B5977" s="55" t="s">
        <v>1291</v>
      </c>
      <c r="C5977">
        <v>1298</v>
      </c>
      <c r="D5977" s="55" t="s">
        <v>211</v>
      </c>
      <c r="E5977" s="55" t="s">
        <v>215</v>
      </c>
      <c r="F5977" t="s">
        <v>1117</v>
      </c>
      <c r="G5977" s="62">
        <v>776</v>
      </c>
      <c r="H5977" s="25">
        <v>18.66</v>
      </c>
      <c r="I5977">
        <v>20909</v>
      </c>
      <c r="J5977">
        <v>3295</v>
      </c>
      <c r="K5977">
        <v>15</v>
      </c>
      <c r="L5977">
        <v>15</v>
      </c>
      <c r="M5977">
        <v>0</v>
      </c>
      <c r="N5977" s="23">
        <v>0</v>
      </c>
      <c r="O5977">
        <f t="shared" si="1123"/>
        <v>4</v>
      </c>
      <c r="P5977" s="57">
        <f t="shared" si="1124"/>
        <v>5</v>
      </c>
      <c r="Q5977" s="267">
        <f t="shared" si="1125"/>
        <v>1600</v>
      </c>
      <c r="R5977" s="23">
        <f t="shared" si="1126"/>
        <v>767</v>
      </c>
      <c r="S5977" s="23">
        <f t="shared" si="1127"/>
        <v>0</v>
      </c>
      <c r="T5977" s="23" t="str">
        <f t="shared" si="1128"/>
        <v/>
      </c>
      <c r="U5977" t="str">
        <f t="shared" si="1129"/>
        <v/>
      </c>
      <c r="V5977" s="40"/>
      <c r="X5977" s="43"/>
      <c r="Y5977" s="53"/>
      <c r="Z5977" s="53"/>
      <c r="AA5977"/>
      <c r="AB5977"/>
      <c r="AC5977" s="23"/>
      <c r="AD5977" s="23"/>
      <c r="AF5977" s="22"/>
      <c r="AG5977" s="23"/>
      <c r="AH5977" s="8"/>
      <c r="AL5977" s="344"/>
      <c r="AM5977" s="371"/>
      <c r="AN5977" s="372"/>
      <c r="AT5977" s="20"/>
      <c r="AU5977" s="29"/>
      <c r="AV5977"/>
      <c r="AW5977"/>
    </row>
    <row r="5978" spans="1:49">
      <c r="A5978" t="str">
        <f t="shared" si="1130"/>
        <v>PA_Alleg_2019p~Rep-school director moon area (vote for 5)</v>
      </c>
      <c r="B5978" s="55" t="s">
        <v>1291</v>
      </c>
      <c r="C5978">
        <v>1296</v>
      </c>
      <c r="D5978" s="55" t="s">
        <v>211</v>
      </c>
      <c r="E5978" s="55" t="s">
        <v>214</v>
      </c>
      <c r="F5978" t="s">
        <v>1117</v>
      </c>
      <c r="G5978" s="62">
        <v>767</v>
      </c>
      <c r="H5978" s="25">
        <v>18.45</v>
      </c>
      <c r="I5978">
        <v>20909</v>
      </c>
      <c r="J5978">
        <v>3295</v>
      </c>
      <c r="K5978">
        <v>15</v>
      </c>
      <c r="L5978">
        <v>15</v>
      </c>
      <c r="M5978">
        <v>0</v>
      </c>
      <c r="N5978" s="23">
        <v>0</v>
      </c>
      <c r="O5978">
        <f t="shared" si="1123"/>
        <v>5</v>
      </c>
      <c r="P5978" s="57">
        <f t="shared" si="1124"/>
        <v>5</v>
      </c>
      <c r="Q5978" s="267">
        <f t="shared" si="1125"/>
        <v>824</v>
      </c>
      <c r="R5978" s="23">
        <f t="shared" si="1126"/>
        <v>767</v>
      </c>
      <c r="S5978" s="23">
        <f t="shared" si="1127"/>
        <v>0</v>
      </c>
      <c r="T5978" s="23" t="str">
        <f t="shared" si="1128"/>
        <v/>
      </c>
      <c r="U5978" t="str">
        <f t="shared" si="1129"/>
        <v/>
      </c>
      <c r="V5978" s="40"/>
      <c r="X5978" s="43"/>
      <c r="Y5978" s="53"/>
      <c r="Z5978" s="53"/>
      <c r="AA5978"/>
      <c r="AB5978"/>
      <c r="AC5978" s="23"/>
      <c r="AD5978" s="23"/>
      <c r="AF5978" s="22"/>
      <c r="AG5978" s="23"/>
      <c r="AH5978" s="8"/>
      <c r="AL5978" s="344"/>
      <c r="AM5978" s="371"/>
      <c r="AN5978" s="372"/>
      <c r="AT5978" s="20"/>
      <c r="AU5978" s="29"/>
      <c r="AV5978"/>
      <c r="AW5978"/>
    </row>
    <row r="5979" spans="1:49">
      <c r="A5979" t="str">
        <f t="shared" si="1130"/>
        <v>PA_Alleg_2019p~Rep-school director moon area (vote for 5)</v>
      </c>
      <c r="B5979" s="55" t="s">
        <v>1291</v>
      </c>
      <c r="C5979">
        <v>1300</v>
      </c>
      <c r="D5979" s="55" t="s">
        <v>211</v>
      </c>
      <c r="E5979" s="55" t="s">
        <v>15</v>
      </c>
      <c r="F5979" t="s">
        <v>1117</v>
      </c>
      <c r="G5979" s="62">
        <v>57</v>
      </c>
      <c r="H5979" s="25">
        <v>1.37</v>
      </c>
      <c r="I5979">
        <v>20909</v>
      </c>
      <c r="J5979">
        <v>3295</v>
      </c>
      <c r="K5979">
        <v>15</v>
      </c>
      <c r="L5979">
        <v>15</v>
      </c>
      <c r="M5979">
        <v>0</v>
      </c>
      <c r="N5979" s="23">
        <v>0</v>
      </c>
      <c r="O5979">
        <f t="shared" si="1123"/>
        <v>-5</v>
      </c>
      <c r="P5979" s="57">
        <f t="shared" si="1124"/>
        <v>5</v>
      </c>
      <c r="Q5979" s="267">
        <f t="shared" si="1125"/>
        <v>57</v>
      </c>
      <c r="R5979" s="23">
        <f t="shared" si="1126"/>
        <v>1</v>
      </c>
      <c r="S5979" s="23">
        <f t="shared" si="1127"/>
        <v>0</v>
      </c>
      <c r="T5979" s="23" t="str">
        <f t="shared" si="1128"/>
        <v/>
      </c>
      <c r="U5979" t="str">
        <f t="shared" si="1129"/>
        <v/>
      </c>
      <c r="V5979" s="40"/>
      <c r="X5979" s="43"/>
      <c r="Y5979" s="53"/>
      <c r="Z5979" s="53"/>
      <c r="AA5979"/>
      <c r="AB5979"/>
      <c r="AC5979" s="23"/>
      <c r="AD5979" s="23"/>
      <c r="AF5979" s="22"/>
      <c r="AG5979" s="23"/>
      <c r="AH5979" s="8"/>
      <c r="AL5979" s="344"/>
      <c r="AM5979" s="371"/>
      <c r="AN5979" s="372"/>
      <c r="AT5979" s="20"/>
      <c r="AU5979" s="29"/>
      <c r="AV5979"/>
      <c r="AW5979"/>
    </row>
    <row r="5980" spans="1:49">
      <c r="A5980" t="str">
        <f t="shared" si="1130"/>
        <v>PA_Alleg_2019p~Rep-school director mt lebanon (vote for 5)</v>
      </c>
      <c r="B5980" s="55" t="s">
        <v>1291</v>
      </c>
      <c r="C5980">
        <v>1304</v>
      </c>
      <c r="D5980" s="55" t="s">
        <v>217</v>
      </c>
      <c r="E5980" s="55" t="s">
        <v>219</v>
      </c>
      <c r="F5980" t="s">
        <v>1117</v>
      </c>
      <c r="G5980" s="62">
        <v>707</v>
      </c>
      <c r="H5980" s="25">
        <v>20.059999999999999</v>
      </c>
      <c r="I5980">
        <v>27449</v>
      </c>
      <c r="J5980">
        <v>4261</v>
      </c>
      <c r="K5980">
        <v>38</v>
      </c>
      <c r="L5980">
        <v>38</v>
      </c>
      <c r="M5980">
        <v>0</v>
      </c>
      <c r="N5980" s="23">
        <v>0</v>
      </c>
      <c r="O5980">
        <f t="shared" si="1123"/>
        <v>1</v>
      </c>
      <c r="P5980" s="57">
        <f t="shared" si="1124"/>
        <v>5</v>
      </c>
      <c r="Q5980" s="267">
        <f t="shared" si="1125"/>
        <v>707</v>
      </c>
      <c r="R5980" s="23">
        <f t="shared" si="1126"/>
        <v>685</v>
      </c>
      <c r="S5980" s="23">
        <f t="shared" si="1127"/>
        <v>0</v>
      </c>
      <c r="T5980" s="23" t="str">
        <f t="shared" si="1128"/>
        <v/>
      </c>
      <c r="U5980" t="str">
        <f t="shared" si="1129"/>
        <v>PA_Alleg_2019p~Rep-school director mt lebanon (vote for 5)</v>
      </c>
      <c r="V5980" s="40"/>
      <c r="X5980" s="43"/>
      <c r="Y5980" s="53"/>
      <c r="Z5980" s="53"/>
      <c r="AA5980"/>
      <c r="AB5980"/>
      <c r="AC5980" s="23"/>
      <c r="AD5980" s="23"/>
      <c r="AF5980" s="22"/>
      <c r="AG5980" s="23"/>
      <c r="AH5980" s="8"/>
      <c r="AL5980" s="344"/>
      <c r="AM5980" s="371"/>
      <c r="AN5980" s="372"/>
      <c r="AT5980" s="20"/>
      <c r="AU5980" s="29"/>
      <c r="AV5980"/>
      <c r="AW5980"/>
    </row>
    <row r="5981" spans="1:49">
      <c r="A5981" t="str">
        <f t="shared" si="1130"/>
        <v>PA_Alleg_2019p~Rep-school director mt lebanon (vote for 5)</v>
      </c>
      <c r="B5981" s="55" t="s">
        <v>1291</v>
      </c>
      <c r="C5981">
        <v>1302</v>
      </c>
      <c r="D5981" s="55" t="s">
        <v>217</v>
      </c>
      <c r="E5981" s="55" t="s">
        <v>220</v>
      </c>
      <c r="F5981" t="s">
        <v>1117</v>
      </c>
      <c r="G5981" s="62">
        <v>696</v>
      </c>
      <c r="H5981" s="25">
        <v>19.75</v>
      </c>
      <c r="I5981">
        <v>27449</v>
      </c>
      <c r="J5981">
        <v>4261</v>
      </c>
      <c r="K5981">
        <v>38</v>
      </c>
      <c r="L5981">
        <v>38</v>
      </c>
      <c r="M5981">
        <v>0</v>
      </c>
      <c r="N5981" s="23">
        <v>0</v>
      </c>
      <c r="O5981">
        <f t="shared" si="1123"/>
        <v>2</v>
      </c>
      <c r="P5981" s="57">
        <f t="shared" si="1124"/>
        <v>5</v>
      </c>
      <c r="Q5981" s="267">
        <f t="shared" si="1125"/>
        <v>2817</v>
      </c>
      <c r="R5981" s="23">
        <f t="shared" si="1126"/>
        <v>685</v>
      </c>
      <c r="S5981" s="23">
        <f t="shared" si="1127"/>
        <v>0</v>
      </c>
      <c r="T5981" s="23" t="str">
        <f t="shared" si="1128"/>
        <v/>
      </c>
      <c r="U5981" t="str">
        <f t="shared" si="1129"/>
        <v/>
      </c>
      <c r="V5981" s="40"/>
      <c r="X5981" s="43"/>
      <c r="Y5981" s="53"/>
      <c r="Z5981" s="53"/>
      <c r="AA5981"/>
      <c r="AB5981"/>
      <c r="AC5981" s="23"/>
      <c r="AD5981" s="23"/>
      <c r="AF5981" s="22"/>
      <c r="AG5981" s="23"/>
      <c r="AH5981" s="8"/>
      <c r="AL5981" s="344"/>
      <c r="AM5981" s="371"/>
      <c r="AN5981" s="372"/>
      <c r="AT5981" s="20"/>
      <c r="AU5981" s="29"/>
      <c r="AV5981"/>
      <c r="AW5981"/>
    </row>
    <row r="5982" spans="1:49">
      <c r="A5982" t="str">
        <f t="shared" si="1130"/>
        <v>PA_Alleg_2019p~Rep-school director mt lebanon (vote for 5)</v>
      </c>
      <c r="B5982" s="55" t="s">
        <v>1291</v>
      </c>
      <c r="C5982">
        <v>1305</v>
      </c>
      <c r="D5982" s="55" t="s">
        <v>217</v>
      </c>
      <c r="E5982" s="55" t="s">
        <v>218</v>
      </c>
      <c r="F5982" t="s">
        <v>1117</v>
      </c>
      <c r="G5982" s="62">
        <v>695</v>
      </c>
      <c r="H5982" s="25">
        <v>19.72</v>
      </c>
      <c r="I5982">
        <v>27449</v>
      </c>
      <c r="J5982">
        <v>4261</v>
      </c>
      <c r="K5982">
        <v>38</v>
      </c>
      <c r="L5982">
        <v>38</v>
      </c>
      <c r="M5982">
        <v>0</v>
      </c>
      <c r="N5982" s="23">
        <v>0</v>
      </c>
      <c r="O5982">
        <f t="shared" si="1123"/>
        <v>3</v>
      </c>
      <c r="P5982" s="57">
        <f t="shared" si="1124"/>
        <v>5</v>
      </c>
      <c r="Q5982" s="267">
        <f t="shared" si="1125"/>
        <v>2121</v>
      </c>
      <c r="R5982" s="23">
        <f t="shared" si="1126"/>
        <v>685</v>
      </c>
      <c r="S5982" s="23">
        <f t="shared" si="1127"/>
        <v>0</v>
      </c>
      <c r="T5982" s="23" t="str">
        <f t="shared" si="1128"/>
        <v/>
      </c>
      <c r="U5982" t="str">
        <f t="shared" si="1129"/>
        <v/>
      </c>
      <c r="V5982" s="40"/>
      <c r="X5982" s="43"/>
      <c r="Y5982" s="53"/>
      <c r="Z5982" s="53"/>
      <c r="AA5982"/>
      <c r="AB5982"/>
      <c r="AC5982" s="23"/>
      <c r="AD5982" s="23"/>
      <c r="AF5982" s="22"/>
      <c r="AG5982" s="23"/>
      <c r="AH5982" s="8"/>
      <c r="AL5982" s="344"/>
      <c r="AM5982" s="371"/>
      <c r="AN5982" s="372"/>
      <c r="AT5982" s="20"/>
      <c r="AU5982" s="29"/>
      <c r="AV5982"/>
      <c r="AW5982"/>
    </row>
    <row r="5983" spans="1:49">
      <c r="A5983" t="str">
        <f t="shared" si="1130"/>
        <v>PA_Alleg_2019p~Rep-school director mt lebanon (vote for 5)</v>
      </c>
      <c r="B5983" s="55" t="s">
        <v>1291</v>
      </c>
      <c r="C5983">
        <v>1303</v>
      </c>
      <c r="D5983" s="55" t="s">
        <v>217</v>
      </c>
      <c r="E5983" s="55" t="s">
        <v>222</v>
      </c>
      <c r="F5983" t="s">
        <v>1117</v>
      </c>
      <c r="G5983" s="62">
        <v>690</v>
      </c>
      <c r="H5983" s="25">
        <v>19.579999999999998</v>
      </c>
      <c r="I5983">
        <v>27449</v>
      </c>
      <c r="J5983">
        <v>4261</v>
      </c>
      <c r="K5983">
        <v>38</v>
      </c>
      <c r="L5983">
        <v>38</v>
      </c>
      <c r="M5983">
        <v>0</v>
      </c>
      <c r="N5983" s="23">
        <v>0</v>
      </c>
      <c r="O5983">
        <f t="shared" si="1123"/>
        <v>4</v>
      </c>
      <c r="P5983" s="57">
        <f t="shared" si="1124"/>
        <v>5</v>
      </c>
      <c r="Q5983" s="267">
        <f t="shared" si="1125"/>
        <v>1426</v>
      </c>
      <c r="R5983" s="23">
        <f t="shared" si="1126"/>
        <v>685</v>
      </c>
      <c r="S5983" s="23">
        <f t="shared" si="1127"/>
        <v>0</v>
      </c>
      <c r="T5983" s="23" t="str">
        <f t="shared" si="1128"/>
        <v/>
      </c>
      <c r="U5983" t="str">
        <f t="shared" si="1129"/>
        <v/>
      </c>
      <c r="V5983" s="40"/>
      <c r="X5983" s="43"/>
      <c r="Y5983" s="53"/>
      <c r="Z5983" s="53"/>
      <c r="AA5983"/>
      <c r="AB5983"/>
      <c r="AC5983" s="23"/>
      <c r="AD5983" s="23"/>
      <c r="AF5983" s="22"/>
      <c r="AG5983" s="23"/>
      <c r="AH5983" s="8"/>
      <c r="AM5983" s="371"/>
      <c r="AN5983" s="372"/>
      <c r="AT5983" s="20"/>
      <c r="AU5983" s="29"/>
      <c r="AV5983"/>
      <c r="AW5983"/>
    </row>
    <row r="5984" spans="1:49">
      <c r="A5984" t="str">
        <f t="shared" si="1130"/>
        <v>PA_Alleg_2019p~Rep-school director mt lebanon (vote for 5)</v>
      </c>
      <c r="B5984" s="55" t="s">
        <v>1291</v>
      </c>
      <c r="C5984">
        <v>1301</v>
      </c>
      <c r="D5984" s="55" t="s">
        <v>217</v>
      </c>
      <c r="E5984" s="55" t="s">
        <v>221</v>
      </c>
      <c r="F5984" t="s">
        <v>1117</v>
      </c>
      <c r="G5984" s="62">
        <v>685</v>
      </c>
      <c r="H5984" s="25">
        <v>19.440000000000001</v>
      </c>
      <c r="I5984">
        <v>27449</v>
      </c>
      <c r="J5984">
        <v>4261</v>
      </c>
      <c r="K5984">
        <v>38</v>
      </c>
      <c r="L5984">
        <v>38</v>
      </c>
      <c r="M5984">
        <v>0</v>
      </c>
      <c r="N5984" s="23">
        <v>0</v>
      </c>
      <c r="O5984">
        <f t="shared" si="1123"/>
        <v>5</v>
      </c>
      <c r="P5984" s="57">
        <f t="shared" si="1124"/>
        <v>5</v>
      </c>
      <c r="Q5984" s="267">
        <f t="shared" si="1125"/>
        <v>736</v>
      </c>
      <c r="R5984" s="23">
        <f t="shared" si="1126"/>
        <v>685</v>
      </c>
      <c r="S5984" s="23">
        <f t="shared" si="1127"/>
        <v>0</v>
      </c>
      <c r="T5984" s="23" t="str">
        <f t="shared" si="1128"/>
        <v/>
      </c>
      <c r="U5984" t="str">
        <f t="shared" si="1129"/>
        <v/>
      </c>
      <c r="V5984" s="40"/>
      <c r="X5984" s="43"/>
      <c r="Y5984" s="53"/>
      <c r="Z5984" s="53"/>
      <c r="AA5984"/>
      <c r="AB5984"/>
      <c r="AC5984" s="23"/>
      <c r="AD5984" s="23"/>
      <c r="AF5984" s="22"/>
      <c r="AM5984" s="371"/>
      <c r="AN5984" s="372"/>
      <c r="AT5984" s="20"/>
      <c r="AU5984" s="29"/>
      <c r="AV5984"/>
      <c r="AW5984"/>
    </row>
    <row r="5985" spans="1:49">
      <c r="A5985" t="str">
        <f t="shared" si="1130"/>
        <v>PA_Alleg_2019p~Rep-school director mt lebanon (vote for 5)</v>
      </c>
      <c r="B5985" s="55" t="s">
        <v>1291</v>
      </c>
      <c r="C5985">
        <v>1306</v>
      </c>
      <c r="D5985" s="55" t="s">
        <v>217</v>
      </c>
      <c r="E5985" s="55" t="s">
        <v>15</v>
      </c>
      <c r="F5985" t="s">
        <v>1117</v>
      </c>
      <c r="G5985" s="62">
        <v>51</v>
      </c>
      <c r="H5985" s="25">
        <v>1.45</v>
      </c>
      <c r="I5985">
        <v>27449</v>
      </c>
      <c r="J5985">
        <v>4261</v>
      </c>
      <c r="K5985">
        <v>38</v>
      </c>
      <c r="L5985">
        <v>38</v>
      </c>
      <c r="M5985">
        <v>0</v>
      </c>
      <c r="N5985" s="23">
        <v>0</v>
      </c>
      <c r="O5985">
        <f t="shared" si="1123"/>
        <v>-5</v>
      </c>
      <c r="P5985" s="57">
        <f t="shared" si="1124"/>
        <v>5</v>
      </c>
      <c r="Q5985" s="267">
        <f t="shared" si="1125"/>
        <v>51</v>
      </c>
      <c r="R5985" s="23">
        <f t="shared" si="1126"/>
        <v>1</v>
      </c>
      <c r="S5985" s="23">
        <f t="shared" si="1127"/>
        <v>0</v>
      </c>
      <c r="T5985" s="23" t="str">
        <f t="shared" si="1128"/>
        <v/>
      </c>
      <c r="U5985" t="str">
        <f t="shared" si="1129"/>
        <v/>
      </c>
      <c r="V5985" s="40"/>
      <c r="X5985" s="43"/>
      <c r="Y5985" s="53"/>
      <c r="Z5985" s="53"/>
      <c r="AA5985"/>
      <c r="AB5985"/>
      <c r="AC5985" s="23"/>
      <c r="AD5985" s="23"/>
      <c r="AF5985" s="22"/>
      <c r="AM5985" s="371"/>
      <c r="AN5985" s="372"/>
      <c r="AT5985" s="20"/>
      <c r="AU5985" s="29"/>
      <c r="AV5985"/>
      <c r="AW5985"/>
    </row>
    <row r="5986" spans="1:49">
      <c r="A5986" t="str">
        <f t="shared" si="1130"/>
        <v>PA_Alleg_2019p~Rep-school director north allegheny (vote for 5)</v>
      </c>
      <c r="B5986" s="55" t="s">
        <v>1291</v>
      </c>
      <c r="C5986">
        <v>1307</v>
      </c>
      <c r="D5986" s="55" t="s">
        <v>223</v>
      </c>
      <c r="E5986" s="55" t="s">
        <v>230</v>
      </c>
      <c r="F5986" t="s">
        <v>1117</v>
      </c>
      <c r="G5986" s="62">
        <v>2217</v>
      </c>
      <c r="H5986" s="25">
        <v>16.809999999999999</v>
      </c>
      <c r="I5986">
        <v>41514</v>
      </c>
      <c r="J5986">
        <v>6539</v>
      </c>
      <c r="K5986">
        <v>37</v>
      </c>
      <c r="L5986">
        <v>37</v>
      </c>
      <c r="M5986">
        <v>0</v>
      </c>
      <c r="N5986" s="23">
        <v>0</v>
      </c>
      <c r="O5986">
        <f t="shared" si="1123"/>
        <v>1</v>
      </c>
      <c r="P5986" s="57">
        <f t="shared" si="1124"/>
        <v>5</v>
      </c>
      <c r="Q5986" s="267">
        <f t="shared" si="1125"/>
        <v>2637.6</v>
      </c>
      <c r="R5986" s="23">
        <f t="shared" si="1126"/>
        <v>1774</v>
      </c>
      <c r="S5986" s="23">
        <f t="shared" si="1127"/>
        <v>1229</v>
      </c>
      <c r="T5986" s="23">
        <f t="shared" si="1128"/>
        <v>545</v>
      </c>
      <c r="U5986" t="str">
        <f t="shared" si="1129"/>
        <v>PA_Alleg_2019p~Rep-school director north allegheny (vote for 5)</v>
      </c>
      <c r="V5986" s="40"/>
      <c r="X5986" s="43"/>
      <c r="Y5986" s="53"/>
      <c r="Z5986" s="53"/>
      <c r="AA5986"/>
      <c r="AB5986"/>
      <c r="AC5986" s="23"/>
      <c r="AD5986" s="23"/>
      <c r="AF5986" s="22"/>
      <c r="AM5986" s="371"/>
      <c r="AN5986" s="372"/>
      <c r="AT5986" s="20"/>
      <c r="AU5986" s="29"/>
      <c r="AV5986"/>
      <c r="AW5986"/>
    </row>
    <row r="5987" spans="1:49">
      <c r="A5987" t="str">
        <f t="shared" si="1130"/>
        <v>PA_Alleg_2019p~Rep-school director north allegheny (vote for 5)</v>
      </c>
      <c r="B5987" s="55" t="s">
        <v>1291</v>
      </c>
      <c r="C5987">
        <v>1308</v>
      </c>
      <c r="D5987" s="55" t="s">
        <v>223</v>
      </c>
      <c r="E5987" s="55" t="s">
        <v>231</v>
      </c>
      <c r="F5987" t="s">
        <v>1117</v>
      </c>
      <c r="G5987" s="62">
        <v>1986</v>
      </c>
      <c r="H5987" s="25">
        <v>15.06</v>
      </c>
      <c r="I5987">
        <v>41514</v>
      </c>
      <c r="J5987">
        <v>6539</v>
      </c>
      <c r="K5987">
        <v>37</v>
      </c>
      <c r="L5987">
        <v>37</v>
      </c>
      <c r="M5987">
        <v>0</v>
      </c>
      <c r="N5987" s="23">
        <v>0</v>
      </c>
      <c r="O5987">
        <f t="shared" si="1123"/>
        <v>2</v>
      </c>
      <c r="P5987" s="57">
        <f t="shared" si="1124"/>
        <v>5</v>
      </c>
      <c r="Q5987" s="267">
        <f t="shared" si="1125"/>
        <v>10971</v>
      </c>
      <c r="R5987" s="23">
        <f t="shared" si="1126"/>
        <v>1774</v>
      </c>
      <c r="S5987" s="23">
        <f t="shared" si="1127"/>
        <v>1229</v>
      </c>
      <c r="T5987" s="23" t="str">
        <f t="shared" si="1128"/>
        <v/>
      </c>
      <c r="U5987" t="str">
        <f t="shared" si="1129"/>
        <v/>
      </c>
      <c r="V5987" s="40"/>
      <c r="X5987" s="43"/>
      <c r="Y5987" s="53"/>
      <c r="Z5987" s="53"/>
      <c r="AA5987"/>
      <c r="AB5987"/>
      <c r="AC5987" s="23"/>
      <c r="AD5987" s="23"/>
      <c r="AF5987" s="22"/>
      <c r="AM5987" s="371"/>
      <c r="AN5987" s="372"/>
      <c r="AT5987" s="20"/>
      <c r="AU5987" s="29"/>
      <c r="AV5987"/>
      <c r="AW5987"/>
    </row>
    <row r="5988" spans="1:49">
      <c r="A5988" t="str">
        <f t="shared" si="1130"/>
        <v>PA_Alleg_2019p~Rep-school director north allegheny (vote for 5)</v>
      </c>
      <c r="B5988" s="55" t="s">
        <v>1291</v>
      </c>
      <c r="C5988">
        <v>1310</v>
      </c>
      <c r="D5988" s="55" t="s">
        <v>223</v>
      </c>
      <c r="E5988" s="55" t="s">
        <v>225</v>
      </c>
      <c r="F5988" t="s">
        <v>1117</v>
      </c>
      <c r="G5988" s="62">
        <v>1934</v>
      </c>
      <c r="H5988" s="25">
        <v>14.66</v>
      </c>
      <c r="I5988">
        <v>41514</v>
      </c>
      <c r="J5988">
        <v>6539</v>
      </c>
      <c r="K5988">
        <v>37</v>
      </c>
      <c r="L5988">
        <v>37</v>
      </c>
      <c r="M5988">
        <v>0</v>
      </c>
      <c r="N5988" s="23">
        <v>0</v>
      </c>
      <c r="O5988">
        <f t="shared" si="1123"/>
        <v>3</v>
      </c>
      <c r="P5988" s="57">
        <f t="shared" si="1124"/>
        <v>5</v>
      </c>
      <c r="Q5988" s="267">
        <f t="shared" si="1125"/>
        <v>8985</v>
      </c>
      <c r="R5988" s="23">
        <f t="shared" si="1126"/>
        <v>1774</v>
      </c>
      <c r="S5988" s="23">
        <f t="shared" si="1127"/>
        <v>1229</v>
      </c>
      <c r="T5988" s="23" t="str">
        <f t="shared" si="1128"/>
        <v/>
      </c>
      <c r="U5988" t="str">
        <f t="shared" si="1129"/>
        <v/>
      </c>
      <c r="V5988" s="40"/>
      <c r="X5988" s="43"/>
      <c r="Y5988" s="53"/>
      <c r="Z5988" s="53"/>
      <c r="AA5988"/>
      <c r="AB5988"/>
      <c r="AC5988" s="23"/>
      <c r="AD5988" s="23"/>
      <c r="AF5988" s="22"/>
      <c r="AM5988" s="371"/>
      <c r="AN5988" s="372"/>
      <c r="AT5988" s="20"/>
      <c r="AU5988" s="29"/>
      <c r="AV5988"/>
      <c r="AW5988"/>
    </row>
    <row r="5989" spans="1:49">
      <c r="A5989" t="str">
        <f t="shared" si="1130"/>
        <v>PA_Alleg_2019p~Rep-school director north allegheny (vote for 5)</v>
      </c>
      <c r="B5989" s="55" t="s">
        <v>1291</v>
      </c>
      <c r="C5989">
        <v>1312</v>
      </c>
      <c r="D5989" s="55" t="s">
        <v>223</v>
      </c>
      <c r="E5989" s="55" t="s">
        <v>224</v>
      </c>
      <c r="F5989" t="s">
        <v>1117</v>
      </c>
      <c r="G5989" s="62">
        <v>1928</v>
      </c>
      <c r="H5989" s="25">
        <v>14.62</v>
      </c>
      <c r="I5989">
        <v>41514</v>
      </c>
      <c r="J5989">
        <v>6539</v>
      </c>
      <c r="K5989">
        <v>37</v>
      </c>
      <c r="L5989">
        <v>37</v>
      </c>
      <c r="M5989">
        <v>0</v>
      </c>
      <c r="N5989" s="23">
        <v>0</v>
      </c>
      <c r="O5989">
        <f t="shared" si="1123"/>
        <v>4</v>
      </c>
      <c r="P5989" s="57">
        <f t="shared" si="1124"/>
        <v>5</v>
      </c>
      <c r="Q5989" s="267">
        <f t="shared" si="1125"/>
        <v>7051</v>
      </c>
      <c r="R5989" s="23">
        <f t="shared" si="1126"/>
        <v>1774</v>
      </c>
      <c r="S5989" s="23">
        <f t="shared" si="1127"/>
        <v>1229</v>
      </c>
      <c r="T5989" s="23" t="str">
        <f t="shared" si="1128"/>
        <v/>
      </c>
      <c r="U5989" t="str">
        <f t="shared" si="1129"/>
        <v/>
      </c>
      <c r="V5989" s="40"/>
      <c r="X5989" s="43"/>
      <c r="Y5989" s="53"/>
      <c r="Z5989" s="53"/>
      <c r="AA5989"/>
      <c r="AB5989"/>
      <c r="AC5989" s="23"/>
      <c r="AD5989" s="23"/>
      <c r="AF5989" s="22"/>
      <c r="AM5989" s="371"/>
      <c r="AN5989" s="372"/>
      <c r="AT5989" s="20"/>
      <c r="AU5989" s="29"/>
      <c r="AV5989"/>
      <c r="AW5989"/>
    </row>
    <row r="5990" spans="1:49">
      <c r="A5990" t="str">
        <f t="shared" si="1130"/>
        <v>PA_Alleg_2019p~Rep-school director north allegheny (vote for 5)</v>
      </c>
      <c r="B5990" s="55" t="s">
        <v>1291</v>
      </c>
      <c r="C5990">
        <v>1311</v>
      </c>
      <c r="D5990" s="55" t="s">
        <v>223</v>
      </c>
      <c r="E5990" s="55" t="s">
        <v>226</v>
      </c>
      <c r="F5990" t="s">
        <v>1117</v>
      </c>
      <c r="G5990" s="62">
        <v>1774</v>
      </c>
      <c r="H5990" s="25">
        <v>13.45</v>
      </c>
      <c r="I5990">
        <v>41514</v>
      </c>
      <c r="J5990">
        <v>6539</v>
      </c>
      <c r="K5990">
        <v>37</v>
      </c>
      <c r="L5990">
        <v>37</v>
      </c>
      <c r="M5990">
        <v>0</v>
      </c>
      <c r="N5990" s="23">
        <v>0</v>
      </c>
      <c r="O5990">
        <f t="shared" si="1123"/>
        <v>5</v>
      </c>
      <c r="P5990" s="57">
        <f t="shared" si="1124"/>
        <v>5</v>
      </c>
      <c r="Q5990" s="267">
        <f t="shared" si="1125"/>
        <v>5123</v>
      </c>
      <c r="R5990" s="23">
        <f t="shared" si="1126"/>
        <v>1774</v>
      </c>
      <c r="S5990" s="23">
        <f t="shared" si="1127"/>
        <v>1229</v>
      </c>
      <c r="T5990" s="23" t="str">
        <f t="shared" si="1128"/>
        <v/>
      </c>
      <c r="U5990" t="str">
        <f t="shared" si="1129"/>
        <v/>
      </c>
      <c r="V5990" s="40"/>
      <c r="X5990" s="43"/>
      <c r="Y5990" s="53"/>
      <c r="Z5990" s="53"/>
      <c r="AA5990"/>
      <c r="AB5990"/>
      <c r="AC5990" s="23"/>
      <c r="AD5990" s="23"/>
      <c r="AF5990" s="22"/>
      <c r="AM5990" s="371"/>
      <c r="AN5990" s="372"/>
      <c r="AT5990" s="20"/>
      <c r="AU5990" s="29"/>
      <c r="AV5990"/>
      <c r="AW5990"/>
    </row>
    <row r="5991" spans="1:49">
      <c r="A5991" t="str">
        <f t="shared" si="1130"/>
        <v>PA_Alleg_2019p~Rep-school director north allegheny (vote for 5)</v>
      </c>
      <c r="B5991" s="55" t="s">
        <v>1291</v>
      </c>
      <c r="C5991">
        <v>1309</v>
      </c>
      <c r="D5991" s="55" t="s">
        <v>223</v>
      </c>
      <c r="E5991" s="55" t="s">
        <v>229</v>
      </c>
      <c r="F5991" t="s">
        <v>1117</v>
      </c>
      <c r="G5991" s="62">
        <v>1229</v>
      </c>
      <c r="H5991" s="25">
        <v>9.32</v>
      </c>
      <c r="I5991">
        <v>41514</v>
      </c>
      <c r="J5991">
        <v>6539</v>
      </c>
      <c r="K5991">
        <v>37</v>
      </c>
      <c r="L5991">
        <v>37</v>
      </c>
      <c r="M5991">
        <v>0</v>
      </c>
      <c r="N5991" s="23">
        <v>0</v>
      </c>
      <c r="O5991">
        <f t="shared" si="1123"/>
        <v>6</v>
      </c>
      <c r="P5991" s="57">
        <f t="shared" si="1124"/>
        <v>5</v>
      </c>
      <c r="Q5991" s="267">
        <f t="shared" si="1125"/>
        <v>3349</v>
      </c>
      <c r="R5991" s="23" t="str">
        <f t="shared" si="1126"/>
        <v/>
      </c>
      <c r="S5991" s="23">
        <f t="shared" si="1127"/>
        <v>1229</v>
      </c>
      <c r="T5991" s="23" t="str">
        <f t="shared" si="1128"/>
        <v/>
      </c>
      <c r="U5991" t="str">
        <f t="shared" si="1129"/>
        <v/>
      </c>
      <c r="V5991" s="40"/>
      <c r="X5991" s="43"/>
      <c r="Y5991" s="53"/>
      <c r="Z5991" s="53"/>
      <c r="AA5991"/>
      <c r="AB5991"/>
      <c r="AC5991" s="23"/>
      <c r="AD5991" s="23"/>
      <c r="AF5991" s="22"/>
      <c r="AM5991" s="371"/>
      <c r="AN5991" s="372"/>
      <c r="AT5991" s="20"/>
      <c r="AU5991" s="29"/>
      <c r="AV5991"/>
      <c r="AW5991"/>
    </row>
    <row r="5992" spans="1:49">
      <c r="A5992" t="str">
        <f t="shared" si="1130"/>
        <v>PA_Alleg_2019p~Rep-school director north allegheny (vote for 5)</v>
      </c>
      <c r="B5992" s="55" t="s">
        <v>1291</v>
      </c>
      <c r="C5992">
        <v>1314</v>
      </c>
      <c r="D5992" s="55" t="s">
        <v>223</v>
      </c>
      <c r="E5992" s="55" t="s">
        <v>227</v>
      </c>
      <c r="F5992" t="s">
        <v>1117</v>
      </c>
      <c r="G5992" s="62">
        <v>1084</v>
      </c>
      <c r="H5992" s="25">
        <v>8.2200000000000006</v>
      </c>
      <c r="I5992">
        <v>41514</v>
      </c>
      <c r="J5992">
        <v>6539</v>
      </c>
      <c r="K5992">
        <v>37</v>
      </c>
      <c r="L5992">
        <v>37</v>
      </c>
      <c r="M5992">
        <v>0</v>
      </c>
      <c r="N5992" s="23">
        <v>0</v>
      </c>
      <c r="O5992">
        <f t="shared" si="1123"/>
        <v>7</v>
      </c>
      <c r="P5992" s="57">
        <f t="shared" si="1124"/>
        <v>5</v>
      </c>
      <c r="Q5992" s="267">
        <f t="shared" si="1125"/>
        <v>2120</v>
      </c>
      <c r="R5992" s="23" t="str">
        <f t="shared" si="1126"/>
        <v/>
      </c>
      <c r="S5992" s="23">
        <f t="shared" si="1127"/>
        <v>1084</v>
      </c>
      <c r="T5992" s="23" t="str">
        <f t="shared" si="1128"/>
        <v/>
      </c>
      <c r="U5992" t="str">
        <f t="shared" si="1129"/>
        <v/>
      </c>
      <c r="V5992" s="40"/>
      <c r="X5992" s="43"/>
      <c r="Y5992" s="53"/>
      <c r="Z5992" s="53"/>
      <c r="AA5992"/>
      <c r="AB5992"/>
      <c r="AC5992" s="23"/>
      <c r="AD5992" s="23"/>
      <c r="AF5992" s="22"/>
      <c r="AM5992" s="371"/>
      <c r="AN5992" s="372"/>
      <c r="AT5992" s="20"/>
      <c r="AU5992" s="29"/>
      <c r="AV5992"/>
      <c r="AW5992"/>
    </row>
    <row r="5993" spans="1:49">
      <c r="A5993" t="str">
        <f t="shared" si="1130"/>
        <v>PA_Alleg_2019p~Rep-school director north allegheny (vote for 5)</v>
      </c>
      <c r="B5993" s="55" t="s">
        <v>1291</v>
      </c>
      <c r="C5993">
        <v>1313</v>
      </c>
      <c r="D5993" s="55" t="s">
        <v>223</v>
      </c>
      <c r="E5993" s="55" t="s">
        <v>228</v>
      </c>
      <c r="F5993" t="s">
        <v>1117</v>
      </c>
      <c r="G5993" s="62">
        <v>1014</v>
      </c>
      <c r="H5993" s="25">
        <v>7.69</v>
      </c>
      <c r="I5993">
        <v>41514</v>
      </c>
      <c r="J5993">
        <v>6539</v>
      </c>
      <c r="K5993">
        <v>37</v>
      </c>
      <c r="L5993">
        <v>37</v>
      </c>
      <c r="M5993">
        <v>0</v>
      </c>
      <c r="N5993" s="23">
        <v>0</v>
      </c>
      <c r="O5993">
        <f t="shared" si="1123"/>
        <v>8</v>
      </c>
      <c r="P5993" s="57">
        <f t="shared" si="1124"/>
        <v>5</v>
      </c>
      <c r="Q5993" s="267">
        <f t="shared" si="1125"/>
        <v>1036</v>
      </c>
      <c r="R5993" s="23" t="str">
        <f t="shared" si="1126"/>
        <v/>
      </c>
      <c r="S5993" s="23">
        <f t="shared" si="1127"/>
        <v>1014</v>
      </c>
      <c r="T5993" s="23" t="str">
        <f t="shared" si="1128"/>
        <v/>
      </c>
      <c r="U5993" t="str">
        <f t="shared" si="1129"/>
        <v/>
      </c>
      <c r="V5993" s="40"/>
      <c r="X5993" s="43"/>
      <c r="Y5993" s="53"/>
      <c r="Z5993" s="53"/>
      <c r="AA5993"/>
      <c r="AB5993"/>
      <c r="AC5993" s="23"/>
      <c r="AD5993" s="23"/>
      <c r="AF5993" s="22"/>
      <c r="AM5993" s="371"/>
      <c r="AN5993" s="372"/>
      <c r="AT5993" s="20"/>
      <c r="AU5993" s="29"/>
      <c r="AV5993"/>
      <c r="AW5993"/>
    </row>
    <row r="5994" spans="1:49">
      <c r="A5994" t="str">
        <f t="shared" si="1130"/>
        <v>PA_Alleg_2019p~Rep-school director north allegheny (vote for 5)</v>
      </c>
      <c r="B5994" s="55" t="s">
        <v>1291</v>
      </c>
      <c r="C5994">
        <v>1315</v>
      </c>
      <c r="D5994" s="55" t="s">
        <v>223</v>
      </c>
      <c r="E5994" s="55" t="s">
        <v>15</v>
      </c>
      <c r="F5994" t="s">
        <v>1117</v>
      </c>
      <c r="G5994" s="62">
        <v>22</v>
      </c>
      <c r="H5994" s="25">
        <v>0.17</v>
      </c>
      <c r="I5994">
        <v>41514</v>
      </c>
      <c r="J5994">
        <v>6539</v>
      </c>
      <c r="K5994">
        <v>37</v>
      </c>
      <c r="L5994">
        <v>37</v>
      </c>
      <c r="M5994">
        <v>0</v>
      </c>
      <c r="N5994" s="23">
        <v>0</v>
      </c>
      <c r="O5994">
        <f t="shared" si="1123"/>
        <v>-8</v>
      </c>
      <c r="P5994" s="57">
        <f t="shared" si="1124"/>
        <v>5</v>
      </c>
      <c r="Q5994" s="267">
        <f t="shared" si="1125"/>
        <v>22</v>
      </c>
      <c r="R5994" s="23">
        <f t="shared" si="1126"/>
        <v>1</v>
      </c>
      <c r="S5994" s="23">
        <f t="shared" si="1127"/>
        <v>0</v>
      </c>
      <c r="T5994" s="23" t="str">
        <f t="shared" si="1128"/>
        <v/>
      </c>
      <c r="U5994" t="str">
        <f t="shared" si="1129"/>
        <v/>
      </c>
      <c r="V5994" s="40"/>
      <c r="X5994" s="43"/>
      <c r="Y5994" s="53"/>
      <c r="Z5994" s="53"/>
      <c r="AA5994"/>
      <c r="AB5994"/>
      <c r="AC5994" s="23"/>
      <c r="AD5994" s="23"/>
      <c r="AF5994" s="22"/>
      <c r="AM5994" s="371"/>
      <c r="AN5994" s="372"/>
      <c r="AT5994" s="20"/>
      <c r="AU5994" s="29"/>
      <c r="AV5994"/>
      <c r="AW5994"/>
    </row>
    <row r="5995" spans="1:49">
      <c r="A5995" t="str">
        <f t="shared" si="1130"/>
        <v>PA_Alleg_2019p~Rep-school director north hills (vote for 5)</v>
      </c>
      <c r="B5995" s="55" t="s">
        <v>1291</v>
      </c>
      <c r="C5995">
        <v>1317</v>
      </c>
      <c r="D5995" s="55" t="s">
        <v>232</v>
      </c>
      <c r="E5995" s="55" t="s">
        <v>235</v>
      </c>
      <c r="F5995" t="s">
        <v>1117</v>
      </c>
      <c r="G5995" s="62">
        <v>1141</v>
      </c>
      <c r="H5995" s="25">
        <v>16.420000000000002</v>
      </c>
      <c r="I5995">
        <v>29475</v>
      </c>
      <c r="J5995">
        <v>5219</v>
      </c>
      <c r="K5995">
        <v>40</v>
      </c>
      <c r="L5995">
        <v>40</v>
      </c>
      <c r="M5995">
        <v>0</v>
      </c>
      <c r="N5995" s="23">
        <v>0</v>
      </c>
      <c r="O5995">
        <f t="shared" si="1123"/>
        <v>1</v>
      </c>
      <c r="P5995" s="57">
        <f t="shared" si="1124"/>
        <v>5</v>
      </c>
      <c r="Q5995" s="267">
        <f t="shared" si="1125"/>
        <v>1389.4</v>
      </c>
      <c r="R5995" s="23">
        <f t="shared" si="1126"/>
        <v>905</v>
      </c>
      <c r="S5995" s="23">
        <f t="shared" si="1127"/>
        <v>634</v>
      </c>
      <c r="T5995" s="23">
        <f t="shared" si="1128"/>
        <v>271</v>
      </c>
      <c r="U5995" t="str">
        <f t="shared" si="1129"/>
        <v>PA_Alleg_2019p~Rep-school director north hills (vote for 5)</v>
      </c>
      <c r="V5995" s="40"/>
      <c r="X5995" s="43"/>
      <c r="Y5995" s="53"/>
      <c r="Z5995" s="53"/>
      <c r="AA5995"/>
      <c r="AB5995"/>
      <c r="AC5995" s="23"/>
      <c r="AD5995" s="23"/>
      <c r="AF5995" s="22"/>
      <c r="AM5995" s="371"/>
      <c r="AN5995" s="372"/>
      <c r="AT5995" s="20"/>
      <c r="AU5995" s="29"/>
      <c r="AV5995"/>
      <c r="AW5995"/>
    </row>
    <row r="5996" spans="1:49">
      <c r="A5996" t="str">
        <f t="shared" si="1130"/>
        <v>PA_Alleg_2019p~Rep-school director north hills (vote for 5)</v>
      </c>
      <c r="B5996" s="55" t="s">
        <v>1291</v>
      </c>
      <c r="C5996">
        <v>1316</v>
      </c>
      <c r="D5996" s="55" t="s">
        <v>232</v>
      </c>
      <c r="E5996" s="55" t="s">
        <v>240</v>
      </c>
      <c r="F5996" t="s">
        <v>1117</v>
      </c>
      <c r="G5996" s="62">
        <v>1136</v>
      </c>
      <c r="H5996" s="25">
        <v>16.350000000000001</v>
      </c>
      <c r="I5996">
        <v>29475</v>
      </c>
      <c r="J5996">
        <v>5219</v>
      </c>
      <c r="K5996">
        <v>40</v>
      </c>
      <c r="L5996">
        <v>40</v>
      </c>
      <c r="M5996">
        <v>0</v>
      </c>
      <c r="N5996" s="23">
        <v>0</v>
      </c>
      <c r="O5996">
        <f t="shared" si="1123"/>
        <v>2</v>
      </c>
      <c r="P5996" s="57">
        <f t="shared" si="1124"/>
        <v>5</v>
      </c>
      <c r="Q5996" s="267">
        <f t="shared" si="1125"/>
        <v>5806</v>
      </c>
      <c r="R5996" s="23">
        <f t="shared" si="1126"/>
        <v>905</v>
      </c>
      <c r="S5996" s="23">
        <f t="shared" si="1127"/>
        <v>634</v>
      </c>
      <c r="T5996" s="23" t="str">
        <f t="shared" si="1128"/>
        <v/>
      </c>
      <c r="U5996" t="str">
        <f t="shared" si="1129"/>
        <v/>
      </c>
      <c r="V5996" s="40"/>
      <c r="X5996" s="43"/>
      <c r="Y5996" s="53"/>
      <c r="Z5996" s="53"/>
      <c r="AA5996"/>
      <c r="AB5996"/>
      <c r="AC5996" s="23"/>
      <c r="AD5996" s="23"/>
      <c r="AF5996" s="22"/>
      <c r="AM5996" s="371"/>
      <c r="AN5996" s="372"/>
      <c r="AT5996" s="20"/>
      <c r="AU5996" s="29"/>
      <c r="AV5996"/>
      <c r="AW5996"/>
    </row>
    <row r="5997" spans="1:49">
      <c r="A5997" t="str">
        <f t="shared" si="1130"/>
        <v>PA_Alleg_2019p~Rep-school director north hills (vote for 5)</v>
      </c>
      <c r="B5997" s="55" t="s">
        <v>1291</v>
      </c>
      <c r="C5997">
        <v>1319</v>
      </c>
      <c r="D5997" s="55" t="s">
        <v>232</v>
      </c>
      <c r="E5997" s="55" t="s">
        <v>238</v>
      </c>
      <c r="F5997" t="s">
        <v>1117</v>
      </c>
      <c r="G5997" s="62">
        <v>1037</v>
      </c>
      <c r="H5997" s="25">
        <v>14.93</v>
      </c>
      <c r="I5997">
        <v>29475</v>
      </c>
      <c r="J5997">
        <v>5219</v>
      </c>
      <c r="K5997">
        <v>40</v>
      </c>
      <c r="L5997">
        <v>40</v>
      </c>
      <c r="M5997">
        <v>0</v>
      </c>
      <c r="N5997" s="23">
        <v>0</v>
      </c>
      <c r="O5997">
        <f t="shared" si="1123"/>
        <v>3</v>
      </c>
      <c r="P5997" s="57">
        <f t="shared" si="1124"/>
        <v>5</v>
      </c>
      <c r="Q5997" s="267">
        <f t="shared" si="1125"/>
        <v>4670</v>
      </c>
      <c r="R5997" s="23">
        <f t="shared" si="1126"/>
        <v>905</v>
      </c>
      <c r="S5997" s="23">
        <f t="shared" si="1127"/>
        <v>634</v>
      </c>
      <c r="T5997" s="23" t="str">
        <f t="shared" si="1128"/>
        <v/>
      </c>
      <c r="U5997" t="str">
        <f t="shared" si="1129"/>
        <v/>
      </c>
      <c r="V5997" s="40"/>
      <c r="X5997" s="43"/>
      <c r="Y5997" s="53"/>
      <c r="Z5997" s="53"/>
      <c r="AA5997"/>
      <c r="AB5997"/>
      <c r="AC5997" s="23"/>
      <c r="AD5997" s="23"/>
      <c r="AF5997" s="22"/>
      <c r="AM5997" s="371"/>
      <c r="AN5997" s="372"/>
      <c r="AT5997" s="20"/>
      <c r="AU5997" s="29"/>
      <c r="AV5997"/>
      <c r="AW5997"/>
    </row>
    <row r="5998" spans="1:49">
      <c r="A5998" t="str">
        <f t="shared" si="1130"/>
        <v>PA_Alleg_2019p~Rep-school director north hills (vote for 5)</v>
      </c>
      <c r="B5998" s="55" t="s">
        <v>1291</v>
      </c>
      <c r="C5998">
        <v>1323</v>
      </c>
      <c r="D5998" s="55" t="s">
        <v>232</v>
      </c>
      <c r="E5998" s="55" t="s">
        <v>241</v>
      </c>
      <c r="F5998" t="s">
        <v>1117</v>
      </c>
      <c r="G5998" s="62">
        <v>983</v>
      </c>
      <c r="H5998" s="25">
        <v>14.15</v>
      </c>
      <c r="I5998">
        <v>29475</v>
      </c>
      <c r="J5998">
        <v>5219</v>
      </c>
      <c r="K5998">
        <v>40</v>
      </c>
      <c r="L5998">
        <v>40</v>
      </c>
      <c r="M5998">
        <v>0</v>
      </c>
      <c r="N5998" s="23">
        <v>0</v>
      </c>
      <c r="O5998">
        <f t="shared" si="1123"/>
        <v>4</v>
      </c>
      <c r="P5998" s="57">
        <f t="shared" si="1124"/>
        <v>5</v>
      </c>
      <c r="Q5998" s="267">
        <f t="shared" si="1125"/>
        <v>3633</v>
      </c>
      <c r="R5998" s="23">
        <f t="shared" si="1126"/>
        <v>905</v>
      </c>
      <c r="S5998" s="23">
        <f t="shared" si="1127"/>
        <v>634</v>
      </c>
      <c r="T5998" s="23" t="str">
        <f t="shared" si="1128"/>
        <v/>
      </c>
      <c r="U5998" t="str">
        <f t="shared" si="1129"/>
        <v/>
      </c>
      <c r="V5998" s="40"/>
      <c r="X5998" s="43"/>
      <c r="Y5998" s="53"/>
      <c r="Z5998" s="53"/>
      <c r="AA5998"/>
      <c r="AB5998"/>
      <c r="AC5998" s="23"/>
      <c r="AD5998" s="23"/>
      <c r="AF5998" s="22"/>
      <c r="AM5998" s="371"/>
      <c r="AN5998" s="372"/>
      <c r="AT5998" s="20"/>
      <c r="AU5998" s="29"/>
      <c r="AV5998"/>
      <c r="AW5998"/>
    </row>
    <row r="5999" spans="1:49">
      <c r="A5999" t="str">
        <f t="shared" si="1130"/>
        <v>PA_Alleg_2019p~Rep-school director north hills (vote for 5)</v>
      </c>
      <c r="B5999" s="55" t="s">
        <v>1291</v>
      </c>
      <c r="C5999">
        <v>1322</v>
      </c>
      <c r="D5999" s="55" t="s">
        <v>232</v>
      </c>
      <c r="E5999" s="55" t="s">
        <v>234</v>
      </c>
      <c r="F5999" t="s">
        <v>1117</v>
      </c>
      <c r="G5999" s="62">
        <v>905</v>
      </c>
      <c r="H5999" s="25">
        <v>13.03</v>
      </c>
      <c r="I5999">
        <v>29475</v>
      </c>
      <c r="J5999">
        <v>5219</v>
      </c>
      <c r="K5999">
        <v>40</v>
      </c>
      <c r="L5999">
        <v>40</v>
      </c>
      <c r="M5999">
        <v>0</v>
      </c>
      <c r="N5999" s="23">
        <v>0</v>
      </c>
      <c r="O5999">
        <f t="shared" si="1123"/>
        <v>5</v>
      </c>
      <c r="P5999" s="57">
        <f t="shared" si="1124"/>
        <v>5</v>
      </c>
      <c r="Q5999" s="267">
        <f t="shared" si="1125"/>
        <v>2650</v>
      </c>
      <c r="R5999" s="23">
        <f t="shared" si="1126"/>
        <v>905</v>
      </c>
      <c r="S5999" s="23">
        <f t="shared" si="1127"/>
        <v>634</v>
      </c>
      <c r="T5999" s="23" t="str">
        <f t="shared" si="1128"/>
        <v/>
      </c>
      <c r="U5999" t="str">
        <f t="shared" si="1129"/>
        <v/>
      </c>
      <c r="V5999" s="40"/>
      <c r="X5999" s="43"/>
      <c r="Y5999" s="53"/>
      <c r="Z5999" s="53"/>
      <c r="AA5999"/>
      <c r="AB5999"/>
      <c r="AC5999" s="23"/>
      <c r="AD5999" s="23"/>
      <c r="AF5999" s="22"/>
      <c r="AM5999" s="371"/>
      <c r="AN5999" s="372"/>
      <c r="AT5999" s="20"/>
      <c r="AU5999" s="29"/>
      <c r="AV5999"/>
      <c r="AW5999"/>
    </row>
    <row r="6000" spans="1:49">
      <c r="A6000" t="str">
        <f t="shared" si="1130"/>
        <v>PA_Alleg_2019p~Rep-school director north hills (vote for 5)</v>
      </c>
      <c r="B6000" s="55" t="s">
        <v>1291</v>
      </c>
      <c r="C6000">
        <v>1321</v>
      </c>
      <c r="D6000" s="55" t="s">
        <v>232</v>
      </c>
      <c r="E6000" s="55" t="s">
        <v>237</v>
      </c>
      <c r="F6000" t="s">
        <v>1117</v>
      </c>
      <c r="G6000" s="62">
        <v>634</v>
      </c>
      <c r="H6000" s="25">
        <v>9.1300000000000008</v>
      </c>
      <c r="I6000">
        <v>29475</v>
      </c>
      <c r="J6000">
        <v>5219</v>
      </c>
      <c r="K6000">
        <v>40</v>
      </c>
      <c r="L6000">
        <v>40</v>
      </c>
      <c r="M6000">
        <v>0</v>
      </c>
      <c r="N6000" s="23">
        <v>0</v>
      </c>
      <c r="O6000">
        <f t="shared" si="1123"/>
        <v>6</v>
      </c>
      <c r="P6000" s="57">
        <f t="shared" si="1124"/>
        <v>5</v>
      </c>
      <c r="Q6000" s="267">
        <f t="shared" si="1125"/>
        <v>1745</v>
      </c>
      <c r="R6000" s="23" t="str">
        <f t="shared" si="1126"/>
        <v/>
      </c>
      <c r="S6000" s="23">
        <f t="shared" si="1127"/>
        <v>634</v>
      </c>
      <c r="T6000" s="23" t="str">
        <f t="shared" si="1128"/>
        <v/>
      </c>
      <c r="U6000" t="str">
        <f t="shared" si="1129"/>
        <v/>
      </c>
      <c r="V6000" s="40"/>
      <c r="X6000" s="43"/>
      <c r="Y6000" s="53"/>
      <c r="Z6000" s="53"/>
      <c r="AA6000"/>
      <c r="AB6000"/>
      <c r="AC6000" s="23"/>
      <c r="AD6000" s="23"/>
      <c r="AF6000" s="22"/>
      <c r="AM6000" s="371"/>
      <c r="AN6000" s="372"/>
      <c r="AT6000" s="20"/>
      <c r="AU6000" s="29"/>
      <c r="AV6000"/>
      <c r="AW6000"/>
    </row>
    <row r="6001" spans="1:49">
      <c r="A6001" t="str">
        <f t="shared" si="1130"/>
        <v>PA_Alleg_2019p~Rep-school director north hills (vote for 5)</v>
      </c>
      <c r="B6001" s="55" t="s">
        <v>1291</v>
      </c>
      <c r="C6001">
        <v>1320</v>
      </c>
      <c r="D6001" s="55" t="s">
        <v>232</v>
      </c>
      <c r="E6001" s="55" t="s">
        <v>233</v>
      </c>
      <c r="F6001" t="s">
        <v>1117</v>
      </c>
      <c r="G6001" s="62">
        <v>565</v>
      </c>
      <c r="H6001" s="25">
        <v>8.1300000000000008</v>
      </c>
      <c r="I6001">
        <v>29475</v>
      </c>
      <c r="J6001">
        <v>5219</v>
      </c>
      <c r="K6001">
        <v>40</v>
      </c>
      <c r="L6001">
        <v>40</v>
      </c>
      <c r="M6001">
        <v>0</v>
      </c>
      <c r="N6001" s="23">
        <v>0</v>
      </c>
      <c r="O6001">
        <f t="shared" si="1123"/>
        <v>7</v>
      </c>
      <c r="P6001" s="57">
        <f t="shared" si="1124"/>
        <v>5</v>
      </c>
      <c r="Q6001" s="267">
        <f t="shared" si="1125"/>
        <v>1111</v>
      </c>
      <c r="R6001" s="23" t="str">
        <f t="shared" si="1126"/>
        <v/>
      </c>
      <c r="S6001" s="23">
        <f t="shared" si="1127"/>
        <v>565</v>
      </c>
      <c r="T6001" s="23" t="str">
        <f t="shared" si="1128"/>
        <v/>
      </c>
      <c r="U6001" t="str">
        <f t="shared" si="1129"/>
        <v/>
      </c>
      <c r="V6001" s="40"/>
      <c r="X6001" s="43"/>
      <c r="Y6001" s="53"/>
      <c r="Z6001" s="53"/>
      <c r="AA6001"/>
      <c r="AB6001"/>
      <c r="AC6001" s="23"/>
      <c r="AD6001" s="23"/>
      <c r="AF6001" s="22"/>
      <c r="AM6001" s="371"/>
      <c r="AN6001" s="372"/>
      <c r="AT6001" s="20"/>
      <c r="AU6001" s="29"/>
      <c r="AV6001"/>
      <c r="AW6001"/>
    </row>
    <row r="6002" spans="1:49">
      <c r="A6002" t="str">
        <f t="shared" si="1130"/>
        <v>PA_Alleg_2019p~Rep-school director north hills (vote for 5)</v>
      </c>
      <c r="B6002" s="55" t="s">
        <v>1291</v>
      </c>
      <c r="C6002">
        <v>1318</v>
      </c>
      <c r="D6002" s="55" t="s">
        <v>232</v>
      </c>
      <c r="E6002" s="55" t="s">
        <v>236</v>
      </c>
      <c r="F6002" t="s">
        <v>1117</v>
      </c>
      <c r="G6002" s="62">
        <v>489</v>
      </c>
      <c r="H6002" s="25">
        <v>7.04</v>
      </c>
      <c r="I6002">
        <v>29475</v>
      </c>
      <c r="J6002">
        <v>5219</v>
      </c>
      <c r="K6002">
        <v>40</v>
      </c>
      <c r="L6002">
        <v>40</v>
      </c>
      <c r="M6002">
        <v>0</v>
      </c>
      <c r="N6002" s="23">
        <v>0</v>
      </c>
      <c r="O6002">
        <f t="shared" si="1123"/>
        <v>8</v>
      </c>
      <c r="P6002" s="57">
        <f t="shared" si="1124"/>
        <v>5</v>
      </c>
      <c r="Q6002" s="267">
        <f t="shared" si="1125"/>
        <v>546</v>
      </c>
      <c r="R6002" s="23" t="str">
        <f t="shared" si="1126"/>
        <v/>
      </c>
      <c r="S6002" s="23">
        <f t="shared" si="1127"/>
        <v>489</v>
      </c>
      <c r="T6002" s="23" t="str">
        <f t="shared" si="1128"/>
        <v/>
      </c>
      <c r="U6002" t="str">
        <f t="shared" si="1129"/>
        <v/>
      </c>
      <c r="V6002" s="40"/>
      <c r="X6002" s="43"/>
      <c r="Y6002" s="53"/>
      <c r="Z6002" s="53"/>
      <c r="AA6002"/>
      <c r="AB6002"/>
      <c r="AC6002" s="23"/>
      <c r="AD6002" s="23"/>
      <c r="AF6002" s="22"/>
      <c r="AM6002" s="371"/>
      <c r="AN6002" s="372"/>
      <c r="AT6002" s="20"/>
      <c r="AU6002" s="29"/>
      <c r="AV6002"/>
      <c r="AW6002"/>
    </row>
    <row r="6003" spans="1:49">
      <c r="A6003" t="str">
        <f t="shared" si="1130"/>
        <v>PA_Alleg_2019p~Rep-school director north hills (vote for 5)</v>
      </c>
      <c r="B6003" s="55" t="s">
        <v>1291</v>
      </c>
      <c r="C6003">
        <v>1324</v>
      </c>
      <c r="D6003" s="55" t="s">
        <v>232</v>
      </c>
      <c r="E6003" s="55" t="s">
        <v>15</v>
      </c>
      <c r="F6003" t="s">
        <v>1117</v>
      </c>
      <c r="G6003" s="62">
        <v>57</v>
      </c>
      <c r="H6003" s="25">
        <v>0.82</v>
      </c>
      <c r="I6003">
        <v>29475</v>
      </c>
      <c r="J6003">
        <v>5219</v>
      </c>
      <c r="K6003">
        <v>40</v>
      </c>
      <c r="L6003">
        <v>40</v>
      </c>
      <c r="M6003">
        <v>0</v>
      </c>
      <c r="N6003" s="23">
        <v>0</v>
      </c>
      <c r="O6003">
        <f t="shared" si="1123"/>
        <v>-8</v>
      </c>
      <c r="P6003" s="57">
        <f t="shared" si="1124"/>
        <v>5</v>
      </c>
      <c r="Q6003" s="267">
        <f t="shared" si="1125"/>
        <v>57</v>
      </c>
      <c r="R6003" s="23">
        <f t="shared" si="1126"/>
        <v>1</v>
      </c>
      <c r="S6003" s="23">
        <f t="shared" si="1127"/>
        <v>0</v>
      </c>
      <c r="T6003" s="23" t="str">
        <f t="shared" si="1128"/>
        <v/>
      </c>
      <c r="U6003" t="str">
        <f t="shared" si="1129"/>
        <v/>
      </c>
      <c r="V6003" s="40"/>
      <c r="X6003" s="43"/>
      <c r="Y6003" s="53"/>
      <c r="Z6003" s="53"/>
      <c r="AA6003"/>
      <c r="AB6003"/>
      <c r="AC6003" s="23"/>
      <c r="AD6003" s="23"/>
      <c r="AF6003" s="22"/>
      <c r="AM6003" s="371"/>
      <c r="AN6003" s="372"/>
      <c r="AT6003" s="20"/>
      <c r="AU6003" s="29"/>
      <c r="AV6003"/>
      <c r="AW6003"/>
    </row>
    <row r="6004" spans="1:49">
      <c r="A6004" t="str">
        <f t="shared" si="1130"/>
        <v>PA_Alleg_2019p~Rep-school director northgate (vote for 5)</v>
      </c>
      <c r="B6004" s="55" t="s">
        <v>1291</v>
      </c>
      <c r="C6004">
        <v>1330</v>
      </c>
      <c r="D6004" s="55" t="s">
        <v>242</v>
      </c>
      <c r="E6004" s="55" t="s">
        <v>247</v>
      </c>
      <c r="F6004" t="s">
        <v>1117</v>
      </c>
      <c r="G6004" s="62">
        <v>194</v>
      </c>
      <c r="H6004" s="25">
        <v>19.149999999999999</v>
      </c>
      <c r="I6004">
        <v>9899</v>
      </c>
      <c r="J6004">
        <v>1349</v>
      </c>
      <c r="K6004">
        <v>12</v>
      </c>
      <c r="L6004">
        <v>12</v>
      </c>
      <c r="M6004">
        <v>0</v>
      </c>
      <c r="N6004" s="23">
        <v>0</v>
      </c>
      <c r="O6004">
        <f t="shared" si="1123"/>
        <v>1</v>
      </c>
      <c r="P6004" s="57">
        <f t="shared" si="1124"/>
        <v>5</v>
      </c>
      <c r="Q6004" s="267">
        <f t="shared" si="1125"/>
        <v>202.6</v>
      </c>
      <c r="R6004" s="23">
        <f t="shared" si="1126"/>
        <v>162</v>
      </c>
      <c r="S6004" s="23">
        <f t="shared" si="1127"/>
        <v>97</v>
      </c>
      <c r="T6004" s="23">
        <f t="shared" si="1128"/>
        <v>65</v>
      </c>
      <c r="U6004" t="str">
        <f t="shared" si="1129"/>
        <v>PA_Alleg_2019p~Rep-school director northgate (vote for 5)</v>
      </c>
      <c r="V6004" s="40"/>
      <c r="X6004" s="43"/>
      <c r="Y6004" s="53"/>
      <c r="Z6004" s="53"/>
      <c r="AA6004"/>
      <c r="AB6004"/>
      <c r="AC6004" s="23"/>
      <c r="AD6004" s="23"/>
      <c r="AF6004" s="22"/>
      <c r="AM6004" s="371"/>
      <c r="AN6004" s="372"/>
      <c r="AT6004" s="20"/>
      <c r="AU6004" s="29"/>
      <c r="AV6004"/>
      <c r="AW6004"/>
    </row>
    <row r="6005" spans="1:49">
      <c r="A6005" t="str">
        <f t="shared" si="1130"/>
        <v>PA_Alleg_2019p~Rep-school director northgate (vote for 5)</v>
      </c>
      <c r="B6005" s="55" t="s">
        <v>1291</v>
      </c>
      <c r="C6005">
        <v>1325</v>
      </c>
      <c r="D6005" s="55" t="s">
        <v>242</v>
      </c>
      <c r="E6005" s="55" t="s">
        <v>248</v>
      </c>
      <c r="F6005" t="s">
        <v>1117</v>
      </c>
      <c r="G6005" s="62">
        <v>175</v>
      </c>
      <c r="H6005" s="25">
        <v>17.28</v>
      </c>
      <c r="I6005">
        <v>9899</v>
      </c>
      <c r="J6005">
        <v>1349</v>
      </c>
      <c r="K6005">
        <v>12</v>
      </c>
      <c r="L6005">
        <v>12</v>
      </c>
      <c r="M6005">
        <v>0</v>
      </c>
      <c r="N6005" s="23">
        <v>0</v>
      </c>
      <c r="O6005">
        <f t="shared" si="1123"/>
        <v>2</v>
      </c>
      <c r="P6005" s="57">
        <f t="shared" si="1124"/>
        <v>5</v>
      </c>
      <c r="Q6005" s="267">
        <f t="shared" si="1125"/>
        <v>819</v>
      </c>
      <c r="R6005" s="23">
        <f t="shared" si="1126"/>
        <v>162</v>
      </c>
      <c r="S6005" s="23">
        <f t="shared" si="1127"/>
        <v>97</v>
      </c>
      <c r="T6005" s="23" t="str">
        <f t="shared" si="1128"/>
        <v/>
      </c>
      <c r="U6005" t="str">
        <f t="shared" si="1129"/>
        <v/>
      </c>
      <c r="V6005" s="40"/>
      <c r="X6005" s="43"/>
      <c r="Y6005" s="53"/>
      <c r="Z6005" s="53"/>
      <c r="AA6005"/>
      <c r="AB6005"/>
      <c r="AC6005" s="23"/>
      <c r="AD6005" s="23"/>
      <c r="AF6005" s="22"/>
      <c r="AM6005" s="371"/>
      <c r="AN6005" s="372"/>
      <c r="AT6005" s="20"/>
      <c r="AU6005" s="29"/>
      <c r="AV6005"/>
      <c r="AW6005"/>
    </row>
    <row r="6006" spans="1:49">
      <c r="A6006" t="str">
        <f t="shared" si="1130"/>
        <v>PA_Alleg_2019p~Rep-school director northgate (vote for 5)</v>
      </c>
      <c r="B6006" s="55" t="s">
        <v>1291</v>
      </c>
      <c r="C6006">
        <v>1326</v>
      </c>
      <c r="D6006" s="55" t="s">
        <v>242</v>
      </c>
      <c r="E6006" s="55" t="s">
        <v>245</v>
      </c>
      <c r="F6006" t="s">
        <v>1117</v>
      </c>
      <c r="G6006" s="62">
        <v>172</v>
      </c>
      <c r="H6006" s="25">
        <v>16.98</v>
      </c>
      <c r="I6006">
        <v>9899</v>
      </c>
      <c r="J6006">
        <v>1349</v>
      </c>
      <c r="K6006">
        <v>12</v>
      </c>
      <c r="L6006">
        <v>12</v>
      </c>
      <c r="M6006">
        <v>0</v>
      </c>
      <c r="N6006" s="23">
        <v>0</v>
      </c>
      <c r="O6006">
        <f t="shared" si="1123"/>
        <v>3</v>
      </c>
      <c r="P6006" s="57">
        <f t="shared" si="1124"/>
        <v>5</v>
      </c>
      <c r="Q6006" s="267">
        <f t="shared" si="1125"/>
        <v>644</v>
      </c>
      <c r="R6006" s="23">
        <f t="shared" si="1126"/>
        <v>162</v>
      </c>
      <c r="S6006" s="23">
        <f t="shared" si="1127"/>
        <v>97</v>
      </c>
      <c r="T6006" s="23" t="str">
        <f t="shared" si="1128"/>
        <v/>
      </c>
      <c r="U6006" t="str">
        <f t="shared" si="1129"/>
        <v/>
      </c>
      <c r="V6006" s="40"/>
      <c r="X6006" s="43"/>
      <c r="Y6006" s="53"/>
      <c r="Z6006" s="53"/>
      <c r="AA6006"/>
      <c r="AB6006"/>
      <c r="AC6006" s="23"/>
      <c r="AD6006" s="23"/>
      <c r="AF6006" s="22"/>
      <c r="AM6006" s="371"/>
      <c r="AN6006" s="372"/>
      <c r="AO6006" s="356"/>
      <c r="AP6006" s="356"/>
      <c r="AQ6006" s="394"/>
      <c r="AR6006" s="394"/>
      <c r="AS6006" s="394"/>
      <c r="AT6006" s="20"/>
      <c r="AU6006" s="29"/>
      <c r="AV6006"/>
      <c r="AW6006"/>
    </row>
    <row r="6007" spans="1:49">
      <c r="A6007" t="str">
        <f t="shared" si="1130"/>
        <v>PA_Alleg_2019p~Rep-school director northgate (vote for 5)</v>
      </c>
      <c r="B6007" s="55" t="s">
        <v>1291</v>
      </c>
      <c r="C6007">
        <v>1328</v>
      </c>
      <c r="D6007" s="55" t="s">
        <v>242</v>
      </c>
      <c r="E6007" s="55" t="s">
        <v>244</v>
      </c>
      <c r="F6007" t="s">
        <v>1117</v>
      </c>
      <c r="G6007" s="62">
        <v>169</v>
      </c>
      <c r="H6007" s="25">
        <v>16.68</v>
      </c>
      <c r="I6007">
        <v>9899</v>
      </c>
      <c r="J6007">
        <v>1349</v>
      </c>
      <c r="K6007">
        <v>12</v>
      </c>
      <c r="L6007">
        <v>12</v>
      </c>
      <c r="M6007">
        <v>0</v>
      </c>
      <c r="N6007" s="23">
        <v>0</v>
      </c>
      <c r="O6007">
        <f t="shared" si="1123"/>
        <v>4</v>
      </c>
      <c r="P6007" s="57">
        <f t="shared" si="1124"/>
        <v>5</v>
      </c>
      <c r="Q6007" s="267">
        <f t="shared" si="1125"/>
        <v>472</v>
      </c>
      <c r="R6007" s="23">
        <f t="shared" si="1126"/>
        <v>162</v>
      </c>
      <c r="S6007" s="23">
        <f t="shared" si="1127"/>
        <v>97</v>
      </c>
      <c r="T6007" s="23" t="str">
        <f t="shared" si="1128"/>
        <v/>
      </c>
      <c r="U6007" t="str">
        <f t="shared" si="1129"/>
        <v/>
      </c>
      <c r="V6007" s="40"/>
      <c r="X6007" s="43"/>
      <c r="Y6007" s="53"/>
      <c r="Z6007" s="53"/>
      <c r="AA6007"/>
      <c r="AB6007"/>
      <c r="AC6007" s="23"/>
      <c r="AD6007" s="23"/>
      <c r="AF6007" s="22"/>
      <c r="AM6007" s="371"/>
      <c r="AN6007" s="372"/>
      <c r="AO6007" s="356"/>
      <c r="AP6007" s="356"/>
      <c r="AQ6007" s="394"/>
      <c r="AR6007" s="394"/>
      <c r="AS6007" s="394"/>
      <c r="AT6007" s="20"/>
      <c r="AU6007" s="29"/>
      <c r="AV6007"/>
      <c r="AW6007"/>
    </row>
    <row r="6008" spans="1:49">
      <c r="A6008" t="str">
        <f t="shared" si="1130"/>
        <v>PA_Alleg_2019p~Rep-school director northgate (vote for 5)</v>
      </c>
      <c r="B6008" s="55" t="s">
        <v>1291</v>
      </c>
      <c r="C6008">
        <v>1329</v>
      </c>
      <c r="D6008" s="55" t="s">
        <v>242</v>
      </c>
      <c r="E6008" s="55" t="s">
        <v>243</v>
      </c>
      <c r="F6008" t="s">
        <v>1117</v>
      </c>
      <c r="G6008" s="62">
        <v>162</v>
      </c>
      <c r="H6008" s="25">
        <v>15.99</v>
      </c>
      <c r="I6008">
        <v>9899</v>
      </c>
      <c r="J6008">
        <v>1349</v>
      </c>
      <c r="K6008">
        <v>12</v>
      </c>
      <c r="L6008">
        <v>12</v>
      </c>
      <c r="M6008">
        <v>0</v>
      </c>
      <c r="N6008" s="23">
        <v>0</v>
      </c>
      <c r="O6008">
        <f t="shared" si="1123"/>
        <v>5</v>
      </c>
      <c r="P6008" s="57">
        <f t="shared" si="1124"/>
        <v>5</v>
      </c>
      <c r="Q6008" s="267">
        <f t="shared" si="1125"/>
        <v>303</v>
      </c>
      <c r="R6008" s="23">
        <f t="shared" si="1126"/>
        <v>162</v>
      </c>
      <c r="S6008" s="23">
        <f t="shared" si="1127"/>
        <v>97</v>
      </c>
      <c r="T6008" s="23" t="str">
        <f t="shared" si="1128"/>
        <v/>
      </c>
      <c r="U6008" t="str">
        <f t="shared" si="1129"/>
        <v/>
      </c>
      <c r="V6008" s="40"/>
      <c r="X6008" s="43"/>
      <c r="Y6008" s="53"/>
      <c r="Z6008" s="53"/>
      <c r="AA6008"/>
      <c r="AB6008"/>
      <c r="AC6008" s="23"/>
      <c r="AD6008" s="23"/>
      <c r="AF6008" s="22"/>
      <c r="AM6008" s="371"/>
      <c r="AN6008" s="372"/>
      <c r="AO6008" s="356"/>
      <c r="AP6008" s="356"/>
      <c r="AQ6008" s="394"/>
      <c r="AR6008" s="394"/>
      <c r="AS6008" s="394"/>
      <c r="AT6008" s="20"/>
      <c r="AU6008" s="29"/>
      <c r="AV6008"/>
      <c r="AW6008"/>
    </row>
    <row r="6009" spans="1:49">
      <c r="A6009" t="str">
        <f t="shared" si="1130"/>
        <v>PA_Alleg_2019p~Rep-school director northgate (vote for 5)</v>
      </c>
      <c r="B6009" s="55" t="s">
        <v>1291</v>
      </c>
      <c r="C6009">
        <v>1327</v>
      </c>
      <c r="D6009" s="55" t="s">
        <v>242</v>
      </c>
      <c r="E6009" s="55" t="s">
        <v>246</v>
      </c>
      <c r="F6009" t="s">
        <v>1117</v>
      </c>
      <c r="G6009" s="62">
        <v>97</v>
      </c>
      <c r="H6009" s="25">
        <v>9.58</v>
      </c>
      <c r="I6009">
        <v>9899</v>
      </c>
      <c r="J6009">
        <v>1349</v>
      </c>
      <c r="K6009">
        <v>12</v>
      </c>
      <c r="L6009">
        <v>12</v>
      </c>
      <c r="M6009">
        <v>0</v>
      </c>
      <c r="N6009" s="23">
        <v>0</v>
      </c>
      <c r="O6009">
        <f t="shared" si="1123"/>
        <v>6</v>
      </c>
      <c r="P6009" s="57">
        <f t="shared" si="1124"/>
        <v>5</v>
      </c>
      <c r="Q6009" s="267">
        <f t="shared" si="1125"/>
        <v>141</v>
      </c>
      <c r="R6009" s="23" t="str">
        <f t="shared" si="1126"/>
        <v/>
      </c>
      <c r="S6009" s="23">
        <f t="shared" si="1127"/>
        <v>97</v>
      </c>
      <c r="T6009" s="23" t="str">
        <f t="shared" si="1128"/>
        <v/>
      </c>
      <c r="U6009" t="str">
        <f t="shared" si="1129"/>
        <v/>
      </c>
      <c r="V6009" s="40"/>
      <c r="X6009" s="43"/>
      <c r="Y6009" s="53"/>
      <c r="Z6009" s="53"/>
      <c r="AA6009"/>
      <c r="AB6009"/>
      <c r="AC6009" s="23"/>
      <c r="AD6009" s="23"/>
      <c r="AF6009" s="22"/>
      <c r="AM6009" s="371"/>
      <c r="AN6009" s="372"/>
      <c r="AO6009" s="356"/>
      <c r="AP6009" s="356"/>
      <c r="AQ6009" s="394"/>
      <c r="AR6009" s="394"/>
      <c r="AS6009" s="394"/>
      <c r="AT6009" s="20"/>
      <c r="AU6009" s="29"/>
      <c r="AV6009"/>
      <c r="AW6009"/>
    </row>
    <row r="6010" spans="1:49">
      <c r="A6010" t="str">
        <f t="shared" si="1130"/>
        <v>PA_Alleg_2019p~Rep-school director northgate (vote for 5)</v>
      </c>
      <c r="B6010" s="55" t="s">
        <v>1291</v>
      </c>
      <c r="C6010">
        <v>1331</v>
      </c>
      <c r="D6010" s="55" t="s">
        <v>242</v>
      </c>
      <c r="E6010" s="55" t="s">
        <v>15</v>
      </c>
      <c r="F6010" t="s">
        <v>1117</v>
      </c>
      <c r="G6010" s="62">
        <v>44</v>
      </c>
      <c r="H6010" s="25">
        <v>4.34</v>
      </c>
      <c r="I6010">
        <v>9899</v>
      </c>
      <c r="J6010">
        <v>1349</v>
      </c>
      <c r="K6010">
        <v>12</v>
      </c>
      <c r="L6010">
        <v>12</v>
      </c>
      <c r="M6010">
        <v>0</v>
      </c>
      <c r="N6010" s="23">
        <v>0</v>
      </c>
      <c r="O6010">
        <f t="shared" si="1123"/>
        <v>-6</v>
      </c>
      <c r="P6010" s="57">
        <f t="shared" si="1124"/>
        <v>5</v>
      </c>
      <c r="Q6010" s="267">
        <f t="shared" si="1125"/>
        <v>44</v>
      </c>
      <c r="R6010" s="23">
        <f t="shared" si="1126"/>
        <v>1</v>
      </c>
      <c r="S6010" s="23">
        <f t="shared" si="1127"/>
        <v>0</v>
      </c>
      <c r="T6010" s="23" t="str">
        <f t="shared" si="1128"/>
        <v/>
      </c>
      <c r="U6010" t="str">
        <f t="shared" si="1129"/>
        <v/>
      </c>
      <c r="V6010" s="40"/>
      <c r="X6010" s="43"/>
      <c r="Y6010" s="53"/>
      <c r="Z6010" s="53"/>
      <c r="AA6010"/>
      <c r="AB6010"/>
      <c r="AC6010" s="23"/>
      <c r="AD6010" s="23"/>
      <c r="AF6010" s="22"/>
      <c r="AM6010" s="371"/>
      <c r="AN6010" s="372"/>
      <c r="AO6010" s="356"/>
      <c r="AP6010" s="356"/>
      <c r="AQ6010" s="394"/>
      <c r="AR6010" s="394"/>
      <c r="AS6010" s="394"/>
      <c r="AT6010" s="20"/>
      <c r="AU6010" s="29"/>
      <c r="AV6010"/>
      <c r="AW6010"/>
    </row>
    <row r="6011" spans="1:49">
      <c r="A6011" t="str">
        <f t="shared" si="1130"/>
        <v>PA_Alleg_2019p~Rep-school director norwin (vote for 5)</v>
      </c>
      <c r="B6011" s="55" t="s">
        <v>1291</v>
      </c>
      <c r="C6011">
        <v>1398</v>
      </c>
      <c r="D6011" s="55" t="s">
        <v>315</v>
      </c>
      <c r="E6011" s="55" t="s">
        <v>317</v>
      </c>
      <c r="F6011" t="s">
        <v>1117</v>
      </c>
      <c r="G6011" s="62">
        <v>1</v>
      </c>
      <c r="H6011" s="25">
        <v>20</v>
      </c>
      <c r="I6011">
        <v>1273</v>
      </c>
      <c r="J6011">
        <v>229</v>
      </c>
      <c r="K6011">
        <v>2</v>
      </c>
      <c r="L6011">
        <v>2</v>
      </c>
      <c r="M6011">
        <v>0</v>
      </c>
      <c r="N6011" s="23">
        <v>0</v>
      </c>
      <c r="O6011">
        <f t="shared" si="1123"/>
        <v>1</v>
      </c>
      <c r="P6011" s="57">
        <f t="shared" si="1124"/>
        <v>5</v>
      </c>
      <c r="Q6011" s="267">
        <f t="shared" si="1125"/>
        <v>1</v>
      </c>
      <c r="R6011" s="23">
        <f t="shared" si="1126"/>
        <v>1</v>
      </c>
      <c r="S6011" s="23">
        <f t="shared" si="1127"/>
        <v>0</v>
      </c>
      <c r="T6011" s="23" t="str">
        <f t="shared" si="1128"/>
        <v/>
      </c>
      <c r="U6011" t="str">
        <f t="shared" si="1129"/>
        <v>PA_Alleg_2019p~Rep-school director norwin (vote for 5)</v>
      </c>
      <c r="V6011" s="40"/>
      <c r="X6011" s="43"/>
      <c r="Y6011" s="53"/>
      <c r="Z6011" s="53"/>
      <c r="AA6011"/>
      <c r="AB6011"/>
      <c r="AC6011" s="23"/>
      <c r="AD6011" s="23"/>
      <c r="AF6011" s="22"/>
      <c r="AM6011" s="371"/>
      <c r="AN6011" s="372"/>
      <c r="AO6011" s="356"/>
      <c r="AP6011" s="356"/>
      <c r="AQ6011" s="394"/>
      <c r="AR6011" s="394"/>
      <c r="AS6011" s="394"/>
      <c r="AT6011" s="20"/>
      <c r="AU6011" s="29"/>
      <c r="AV6011"/>
      <c r="AW6011"/>
    </row>
    <row r="6012" spans="1:49">
      <c r="A6012" t="str">
        <f t="shared" si="1130"/>
        <v>PA_Alleg_2019p~Rep-school director norwin (vote for 5)</v>
      </c>
      <c r="B6012" s="55" t="s">
        <v>1291</v>
      </c>
      <c r="C6012">
        <v>1400</v>
      </c>
      <c r="D6012" s="55" t="s">
        <v>315</v>
      </c>
      <c r="E6012" s="55" t="s">
        <v>320</v>
      </c>
      <c r="F6012" t="s">
        <v>1117</v>
      </c>
      <c r="G6012" s="62">
        <v>1</v>
      </c>
      <c r="H6012" s="25">
        <v>20</v>
      </c>
      <c r="I6012">
        <v>1273</v>
      </c>
      <c r="J6012">
        <v>229</v>
      </c>
      <c r="K6012">
        <v>2</v>
      </c>
      <c r="L6012">
        <v>2</v>
      </c>
      <c r="M6012">
        <v>0</v>
      </c>
      <c r="N6012" s="23">
        <v>0</v>
      </c>
      <c r="O6012">
        <f t="shared" si="1123"/>
        <v>2</v>
      </c>
      <c r="P6012" s="57">
        <f t="shared" si="1124"/>
        <v>5</v>
      </c>
      <c r="Q6012" s="267">
        <f t="shared" si="1125"/>
        <v>4</v>
      </c>
      <c r="R6012" s="23">
        <f t="shared" si="1126"/>
        <v>1</v>
      </c>
      <c r="S6012" s="23">
        <f t="shared" si="1127"/>
        <v>0</v>
      </c>
      <c r="T6012" s="23" t="str">
        <f t="shared" si="1128"/>
        <v/>
      </c>
      <c r="U6012" t="str">
        <f t="shared" si="1129"/>
        <v/>
      </c>
      <c r="V6012" s="40"/>
      <c r="X6012" s="43"/>
      <c r="Y6012" s="53"/>
      <c r="Z6012" s="53"/>
      <c r="AA6012"/>
      <c r="AB6012"/>
      <c r="AC6012" s="23"/>
      <c r="AD6012" s="23"/>
      <c r="AF6012" s="22"/>
      <c r="AM6012" s="371"/>
      <c r="AN6012" s="372"/>
      <c r="AO6012" s="356"/>
      <c r="AP6012" s="356"/>
      <c r="AQ6012" s="394"/>
      <c r="AR6012" s="394"/>
      <c r="AS6012" s="394"/>
      <c r="AT6012" s="20"/>
      <c r="AU6012" s="29"/>
      <c r="AV6012"/>
      <c r="AW6012"/>
    </row>
    <row r="6013" spans="1:49">
      <c r="A6013" t="str">
        <f t="shared" si="1130"/>
        <v>PA_Alleg_2019p~Rep-school director norwin (vote for 5)</v>
      </c>
      <c r="B6013" s="55" t="s">
        <v>1291</v>
      </c>
      <c r="C6013">
        <v>1396</v>
      </c>
      <c r="D6013" s="55" t="s">
        <v>315</v>
      </c>
      <c r="E6013" s="55" t="s">
        <v>322</v>
      </c>
      <c r="F6013" t="s">
        <v>1117</v>
      </c>
      <c r="G6013" s="62">
        <v>1</v>
      </c>
      <c r="H6013" s="25">
        <v>20</v>
      </c>
      <c r="I6013">
        <v>1273</v>
      </c>
      <c r="J6013">
        <v>229</v>
      </c>
      <c r="K6013">
        <v>2</v>
      </c>
      <c r="L6013">
        <v>2</v>
      </c>
      <c r="M6013">
        <v>0</v>
      </c>
      <c r="N6013" s="23">
        <v>0</v>
      </c>
      <c r="O6013">
        <f t="shared" si="1123"/>
        <v>3</v>
      </c>
      <c r="P6013" s="57">
        <f t="shared" si="1124"/>
        <v>5</v>
      </c>
      <c r="Q6013" s="267">
        <f t="shared" si="1125"/>
        <v>3</v>
      </c>
      <c r="R6013" s="23">
        <f t="shared" si="1126"/>
        <v>1</v>
      </c>
      <c r="S6013" s="23">
        <f t="shared" si="1127"/>
        <v>0</v>
      </c>
      <c r="T6013" s="23" t="str">
        <f t="shared" si="1128"/>
        <v/>
      </c>
      <c r="U6013" t="str">
        <f t="shared" si="1129"/>
        <v/>
      </c>
      <c r="V6013" s="40"/>
      <c r="X6013" s="43"/>
      <c r="Y6013" s="53"/>
      <c r="Z6013" s="53"/>
      <c r="AA6013"/>
      <c r="AB6013"/>
      <c r="AC6013" s="23"/>
      <c r="AD6013" s="23"/>
      <c r="AF6013" s="22"/>
      <c r="AM6013" s="371"/>
      <c r="AN6013" s="372"/>
      <c r="AO6013" s="356"/>
      <c r="AP6013" s="356"/>
      <c r="AQ6013" s="394"/>
      <c r="AR6013" s="394"/>
      <c r="AS6013" s="394"/>
      <c r="AT6013" s="20"/>
      <c r="AU6013" s="29"/>
      <c r="AV6013"/>
      <c r="AW6013"/>
    </row>
    <row r="6014" spans="1:49">
      <c r="A6014" t="str">
        <f t="shared" si="1130"/>
        <v>PA_Alleg_2019p~Rep-school director norwin (vote for 5)</v>
      </c>
      <c r="B6014" s="55" t="s">
        <v>1291</v>
      </c>
      <c r="C6014">
        <v>1393</v>
      </c>
      <c r="D6014" s="55" t="s">
        <v>315</v>
      </c>
      <c r="E6014" s="55" t="s">
        <v>321</v>
      </c>
      <c r="F6014" t="s">
        <v>1117</v>
      </c>
      <c r="G6014" s="62">
        <v>1</v>
      </c>
      <c r="H6014" s="25">
        <v>20</v>
      </c>
      <c r="I6014">
        <v>1273</v>
      </c>
      <c r="J6014">
        <v>229</v>
      </c>
      <c r="K6014">
        <v>2</v>
      </c>
      <c r="L6014">
        <v>2</v>
      </c>
      <c r="M6014">
        <v>0</v>
      </c>
      <c r="N6014" s="23">
        <v>0</v>
      </c>
      <c r="O6014">
        <f t="shared" si="1123"/>
        <v>4</v>
      </c>
      <c r="P6014" s="57">
        <f t="shared" si="1124"/>
        <v>5</v>
      </c>
      <c r="Q6014" s="267">
        <f t="shared" si="1125"/>
        <v>2</v>
      </c>
      <c r="R6014" s="23">
        <f t="shared" si="1126"/>
        <v>1</v>
      </c>
      <c r="S6014" s="23">
        <f t="shared" si="1127"/>
        <v>0</v>
      </c>
      <c r="T6014" s="23" t="str">
        <f t="shared" si="1128"/>
        <v/>
      </c>
      <c r="U6014" t="str">
        <f t="shared" si="1129"/>
        <v/>
      </c>
      <c r="V6014" s="40"/>
      <c r="X6014" s="43"/>
      <c r="Y6014" s="53"/>
      <c r="Z6014" s="53"/>
      <c r="AA6014"/>
      <c r="AB6014"/>
      <c r="AC6014" s="23"/>
      <c r="AD6014" s="23"/>
      <c r="AF6014" s="22"/>
      <c r="AM6014" s="371"/>
      <c r="AN6014" s="372"/>
      <c r="AO6014" s="356"/>
      <c r="AP6014" s="356"/>
      <c r="AQ6014" s="394"/>
      <c r="AR6014" s="394"/>
      <c r="AS6014" s="394"/>
      <c r="AT6014" s="20"/>
      <c r="AU6014" s="29"/>
      <c r="AV6014"/>
      <c r="AW6014"/>
    </row>
    <row r="6015" spans="1:49">
      <c r="A6015" t="str">
        <f t="shared" si="1130"/>
        <v>PA_Alleg_2019p~Rep-school director norwin (vote for 5)</v>
      </c>
      <c r="B6015" s="55" t="s">
        <v>1291</v>
      </c>
      <c r="C6015">
        <v>1395</v>
      </c>
      <c r="D6015" s="55" t="s">
        <v>315</v>
      </c>
      <c r="E6015" s="55" t="s">
        <v>323</v>
      </c>
      <c r="F6015" t="s">
        <v>1117</v>
      </c>
      <c r="G6015" s="62">
        <v>1</v>
      </c>
      <c r="H6015" s="25">
        <v>20</v>
      </c>
      <c r="I6015">
        <v>1273</v>
      </c>
      <c r="J6015">
        <v>229</v>
      </c>
      <c r="K6015">
        <v>2</v>
      </c>
      <c r="L6015">
        <v>2</v>
      </c>
      <c r="M6015">
        <v>0</v>
      </c>
      <c r="N6015" s="23">
        <v>0</v>
      </c>
      <c r="O6015">
        <f t="shared" si="1123"/>
        <v>5</v>
      </c>
      <c r="P6015" s="57">
        <f t="shared" si="1124"/>
        <v>5</v>
      </c>
      <c r="Q6015" s="267">
        <f t="shared" si="1125"/>
        <v>1</v>
      </c>
      <c r="R6015" s="23">
        <f t="shared" si="1126"/>
        <v>1</v>
      </c>
      <c r="S6015" s="23">
        <f t="shared" si="1127"/>
        <v>0</v>
      </c>
      <c r="T6015" s="23" t="str">
        <f t="shared" si="1128"/>
        <v/>
      </c>
      <c r="U6015" t="str">
        <f t="shared" si="1129"/>
        <v/>
      </c>
      <c r="V6015" s="40"/>
      <c r="X6015" s="43"/>
      <c r="Y6015" s="53"/>
      <c r="Z6015" s="53"/>
      <c r="AA6015"/>
      <c r="AB6015"/>
      <c r="AC6015" s="23"/>
      <c r="AD6015" s="23"/>
      <c r="AF6015" s="22"/>
      <c r="AM6015" s="371"/>
      <c r="AN6015" s="372"/>
      <c r="AO6015" s="356"/>
      <c r="AP6015" s="356"/>
      <c r="AQ6015" s="394"/>
      <c r="AR6015" s="394"/>
      <c r="AS6015" s="394"/>
      <c r="AT6015" s="20"/>
      <c r="AU6015" s="29"/>
      <c r="AV6015"/>
      <c r="AW6015"/>
    </row>
    <row r="6016" spans="1:49">
      <c r="A6016" t="str">
        <f t="shared" si="1130"/>
        <v>PA_Alleg_2019p~Rep-school director norwin (vote for 5)</v>
      </c>
      <c r="B6016" s="55" t="s">
        <v>1291</v>
      </c>
      <c r="C6016">
        <v>1399</v>
      </c>
      <c r="D6016" s="55" t="s">
        <v>315</v>
      </c>
      <c r="E6016" s="55" t="s">
        <v>324</v>
      </c>
      <c r="F6016" t="s">
        <v>1117</v>
      </c>
      <c r="G6016" s="62">
        <v>0</v>
      </c>
      <c r="H6016" s="25">
        <v>0</v>
      </c>
      <c r="I6016">
        <v>1273</v>
      </c>
      <c r="J6016">
        <v>229</v>
      </c>
      <c r="K6016">
        <v>2</v>
      </c>
      <c r="L6016">
        <v>2</v>
      </c>
      <c r="M6016">
        <v>0</v>
      </c>
      <c r="N6016" s="23">
        <v>0</v>
      </c>
      <c r="O6016">
        <f t="shared" si="1123"/>
        <v>6</v>
      </c>
      <c r="P6016" s="57">
        <f t="shared" si="1124"/>
        <v>5</v>
      </c>
      <c r="Q6016" s="267">
        <f t="shared" si="1125"/>
        <v>0</v>
      </c>
      <c r="R6016" s="23" t="str">
        <f t="shared" si="1126"/>
        <v/>
      </c>
      <c r="S6016" s="23">
        <f t="shared" si="1127"/>
        <v>0</v>
      </c>
      <c r="T6016" s="23" t="str">
        <f t="shared" si="1128"/>
        <v/>
      </c>
      <c r="U6016" t="str">
        <f t="shared" si="1129"/>
        <v/>
      </c>
      <c r="V6016" s="40"/>
      <c r="X6016" s="43"/>
      <c r="Y6016" s="53"/>
      <c r="Z6016" s="53"/>
      <c r="AA6016"/>
      <c r="AB6016"/>
      <c r="AC6016" s="23"/>
      <c r="AD6016" s="23"/>
      <c r="AF6016" s="22"/>
      <c r="AM6016" s="371"/>
      <c r="AN6016" s="372"/>
      <c r="AO6016" s="356"/>
      <c r="AP6016" s="356"/>
      <c r="AQ6016" s="394"/>
      <c r="AR6016" s="394"/>
      <c r="AS6016" s="394"/>
      <c r="AT6016" s="20"/>
      <c r="AU6016" s="29"/>
      <c r="AV6016"/>
      <c r="AW6016"/>
    </row>
    <row r="6017" spans="1:49">
      <c r="A6017" t="str">
        <f t="shared" si="1130"/>
        <v>PA_Alleg_2019p~Rep-school director norwin (vote for 5)</v>
      </c>
      <c r="B6017" s="55" t="s">
        <v>1291</v>
      </c>
      <c r="C6017">
        <v>1392</v>
      </c>
      <c r="D6017" s="55" t="s">
        <v>315</v>
      </c>
      <c r="E6017" s="55" t="s">
        <v>318</v>
      </c>
      <c r="F6017" t="s">
        <v>1117</v>
      </c>
      <c r="G6017" s="62">
        <v>0</v>
      </c>
      <c r="H6017" s="25">
        <v>0</v>
      </c>
      <c r="I6017">
        <v>1273</v>
      </c>
      <c r="J6017">
        <v>229</v>
      </c>
      <c r="K6017">
        <v>2</v>
      </c>
      <c r="L6017">
        <v>2</v>
      </c>
      <c r="M6017">
        <v>0</v>
      </c>
      <c r="N6017" s="23">
        <v>0</v>
      </c>
      <c r="O6017">
        <f t="shared" si="1123"/>
        <v>7</v>
      </c>
      <c r="P6017" s="57">
        <f t="shared" si="1124"/>
        <v>5</v>
      </c>
      <c r="Q6017" s="267">
        <f t="shared" si="1125"/>
        <v>0</v>
      </c>
      <c r="R6017" s="23" t="str">
        <f t="shared" si="1126"/>
        <v/>
      </c>
      <c r="S6017" s="23">
        <f t="shared" si="1127"/>
        <v>0</v>
      </c>
      <c r="T6017" s="23" t="str">
        <f t="shared" si="1128"/>
        <v/>
      </c>
      <c r="U6017" t="str">
        <f t="shared" si="1129"/>
        <v/>
      </c>
      <c r="V6017" s="40"/>
      <c r="X6017" s="43"/>
      <c r="Y6017" s="53"/>
      <c r="Z6017" s="53"/>
      <c r="AA6017"/>
      <c r="AB6017"/>
      <c r="AC6017" s="23"/>
      <c r="AD6017" s="23"/>
      <c r="AF6017" s="22"/>
      <c r="AM6017" s="371"/>
      <c r="AN6017" s="372"/>
      <c r="AO6017" s="356"/>
      <c r="AP6017" s="356"/>
      <c r="AQ6017" s="394"/>
      <c r="AR6017" s="394"/>
      <c r="AS6017" s="394"/>
      <c r="AT6017" s="20"/>
      <c r="AU6017" s="29"/>
      <c r="AV6017"/>
      <c r="AW6017"/>
    </row>
    <row r="6018" spans="1:49">
      <c r="A6018" t="str">
        <f t="shared" si="1130"/>
        <v>PA_Alleg_2019p~Rep-school director norwin (vote for 5)</v>
      </c>
      <c r="B6018" s="55" t="s">
        <v>1291</v>
      </c>
      <c r="C6018">
        <v>1397</v>
      </c>
      <c r="D6018" s="55" t="s">
        <v>315</v>
      </c>
      <c r="E6018" s="55" t="s">
        <v>319</v>
      </c>
      <c r="F6018" t="s">
        <v>1117</v>
      </c>
      <c r="G6018" s="62">
        <v>0</v>
      </c>
      <c r="H6018" s="25">
        <v>0</v>
      </c>
      <c r="I6018">
        <v>1273</v>
      </c>
      <c r="J6018">
        <v>229</v>
      </c>
      <c r="K6018">
        <v>2</v>
      </c>
      <c r="L6018">
        <v>2</v>
      </c>
      <c r="M6018">
        <v>0</v>
      </c>
      <c r="N6018" s="23">
        <v>0</v>
      </c>
      <c r="O6018">
        <f t="shared" ref="O6018:O6081" si="1131">IF(OR(LOWER(LEFT(E6018,8))="write-in",LOWER(LEFT(E6018,8))="not qual"),IF(A6018=A6017,-ABS(O6017),0),IF(A6018=A6017,ABS(O6017)+1,1))</f>
        <v>8</v>
      </c>
      <c r="P6018" s="57">
        <f t="shared" ref="P6018:P6081" si="1132">1*LEFT(RIGHT(A6018,2),1)</f>
        <v>5</v>
      </c>
      <c r="Q6018" s="267">
        <f t="shared" ref="Q6018:Q6081" si="1133">IF(A6018&lt;&gt;A6019,G6018,IF(A6018=A6017,G6018+Q6019,MAX(G6018,(G6018+Q6019)/P6018)))</f>
        <v>0</v>
      </c>
      <c r="R6018" s="23" t="str">
        <f t="shared" ref="R6018:R6081" si="1134">IF(O6018&gt;P6018,"",IF(O6018=P6018,G6018,IF(A6018=A6019,R6019,IF(O6018&lt;=0,1,G6018))))</f>
        <v/>
      </c>
      <c r="S6018" s="23">
        <f t="shared" ref="S6018:S6081" si="1135">IF(AND(O6018&gt;P6018,LOWER(LEFT(E6018,8))&lt;&gt;"write-in",LOWER(LEFT(E6018,8))&lt;&gt;"not qual"),G6018,IF(A6018=A6019,S6019,0))</f>
        <v>0</v>
      </c>
      <c r="T6018" s="23" t="str">
        <f t="shared" ref="T6018:T6081" si="1136">IF(OR(A6018=A6017,S6018=0),"",R6018-ABS(S6018))</f>
        <v/>
      </c>
      <c r="U6018" t="str">
        <f t="shared" ref="U6018:U6081" si="1137">IF(A6018=A6017,"",A6018)</f>
        <v/>
      </c>
      <c r="V6018" s="40"/>
      <c r="X6018" s="43"/>
      <c r="Y6018" s="53"/>
      <c r="Z6018" s="53"/>
      <c r="AA6018"/>
      <c r="AB6018"/>
      <c r="AC6018" s="23"/>
      <c r="AD6018" s="23"/>
      <c r="AF6018" s="22"/>
      <c r="AM6018" s="371"/>
      <c r="AN6018" s="372"/>
      <c r="AO6018" s="356"/>
      <c r="AP6018" s="356"/>
      <c r="AQ6018" s="394"/>
      <c r="AR6018" s="394"/>
      <c r="AS6018" s="394"/>
      <c r="AT6018" s="20"/>
      <c r="AU6018" s="29"/>
      <c r="AV6018"/>
      <c r="AW6018"/>
    </row>
    <row r="6019" spans="1:49">
      <c r="A6019" t="str">
        <f t="shared" ref="A6019:A6082" si="1138">CONCATENATE(B6019,"~",F6019,"-",LOWER(D6019))</f>
        <v>PA_Alleg_2019p~Rep-school director norwin (vote for 5)</v>
      </c>
      <c r="B6019" s="55" t="s">
        <v>1291</v>
      </c>
      <c r="C6019">
        <v>1394</v>
      </c>
      <c r="D6019" s="55" t="s">
        <v>315</v>
      </c>
      <c r="E6019" s="55" t="s">
        <v>316</v>
      </c>
      <c r="F6019" t="s">
        <v>1117</v>
      </c>
      <c r="G6019" s="62">
        <v>0</v>
      </c>
      <c r="H6019" s="25">
        <v>0</v>
      </c>
      <c r="I6019">
        <v>1273</v>
      </c>
      <c r="J6019">
        <v>229</v>
      </c>
      <c r="K6019">
        <v>2</v>
      </c>
      <c r="L6019">
        <v>2</v>
      </c>
      <c r="M6019">
        <v>0</v>
      </c>
      <c r="N6019" s="23">
        <v>0</v>
      </c>
      <c r="O6019">
        <f t="shared" si="1131"/>
        <v>9</v>
      </c>
      <c r="P6019" s="57">
        <f t="shared" si="1132"/>
        <v>5</v>
      </c>
      <c r="Q6019" s="267">
        <f t="shared" si="1133"/>
        <v>0</v>
      </c>
      <c r="R6019" s="23" t="str">
        <f t="shared" si="1134"/>
        <v/>
      </c>
      <c r="S6019" s="23">
        <f t="shared" si="1135"/>
        <v>0</v>
      </c>
      <c r="T6019" s="23" t="str">
        <f t="shared" si="1136"/>
        <v/>
      </c>
      <c r="U6019" t="str">
        <f t="shared" si="1137"/>
        <v/>
      </c>
      <c r="V6019" s="40"/>
      <c r="X6019" s="43"/>
      <c r="Y6019" s="53"/>
      <c r="Z6019" s="53"/>
      <c r="AA6019"/>
      <c r="AB6019"/>
      <c r="AC6019" s="23"/>
      <c r="AD6019" s="23"/>
      <c r="AF6019" s="22"/>
      <c r="AM6019" s="371"/>
      <c r="AN6019" s="372"/>
      <c r="AO6019" s="356"/>
      <c r="AP6019" s="356"/>
      <c r="AQ6019" s="394"/>
      <c r="AR6019" s="394"/>
      <c r="AS6019" s="394"/>
      <c r="AT6019" s="20"/>
      <c r="AU6019" s="29"/>
      <c r="AV6019"/>
      <c r="AW6019"/>
    </row>
    <row r="6020" spans="1:49">
      <c r="A6020" t="str">
        <f t="shared" si="1138"/>
        <v>PA_Alleg_2019p~Rep-school director norwin (vote for 5)</v>
      </c>
      <c r="B6020" s="55" t="s">
        <v>1291</v>
      </c>
      <c r="C6020">
        <v>1401</v>
      </c>
      <c r="D6020" s="55" t="s">
        <v>315</v>
      </c>
      <c r="E6020" s="55" t="s">
        <v>15</v>
      </c>
      <c r="F6020" t="s">
        <v>1117</v>
      </c>
      <c r="G6020" s="62">
        <v>0</v>
      </c>
      <c r="H6020" s="25">
        <v>0</v>
      </c>
      <c r="I6020">
        <v>1273</v>
      </c>
      <c r="J6020">
        <v>229</v>
      </c>
      <c r="K6020">
        <v>2</v>
      </c>
      <c r="L6020">
        <v>2</v>
      </c>
      <c r="M6020">
        <v>0</v>
      </c>
      <c r="N6020" s="23">
        <v>0</v>
      </c>
      <c r="O6020">
        <f t="shared" si="1131"/>
        <v>-9</v>
      </c>
      <c r="P6020" s="57">
        <f t="shared" si="1132"/>
        <v>5</v>
      </c>
      <c r="Q6020" s="267">
        <f t="shared" si="1133"/>
        <v>0</v>
      </c>
      <c r="R6020" s="23">
        <f t="shared" si="1134"/>
        <v>1</v>
      </c>
      <c r="S6020" s="23">
        <f t="shared" si="1135"/>
        <v>0</v>
      </c>
      <c r="T6020" s="23" t="str">
        <f t="shared" si="1136"/>
        <v/>
      </c>
      <c r="U6020" t="str">
        <f t="shared" si="1137"/>
        <v/>
      </c>
      <c r="V6020" s="40"/>
      <c r="X6020" s="43"/>
      <c r="Y6020" s="53"/>
      <c r="Z6020" s="53"/>
      <c r="AA6020"/>
      <c r="AB6020"/>
      <c r="AC6020" s="23"/>
      <c r="AD6020" s="23"/>
      <c r="AF6020" s="22"/>
      <c r="AM6020" s="371"/>
      <c r="AN6020" s="372"/>
      <c r="AO6020" s="356"/>
      <c r="AP6020" s="356"/>
      <c r="AQ6020" s="394"/>
      <c r="AR6020" s="394"/>
      <c r="AS6020" s="394"/>
      <c r="AT6020" s="20"/>
      <c r="AU6020" s="29"/>
      <c r="AV6020"/>
      <c r="AW6020"/>
    </row>
    <row r="6021" spans="1:49">
      <c r="A6021" t="str">
        <f t="shared" si="1138"/>
        <v>PA_Alleg_2019p~Rep-school director penn hills (vote for 5)</v>
      </c>
      <c r="B6021" s="55" t="s">
        <v>1291</v>
      </c>
      <c r="C6021">
        <v>1333</v>
      </c>
      <c r="D6021" s="55" t="s">
        <v>249</v>
      </c>
      <c r="E6021" s="55" t="s">
        <v>251</v>
      </c>
      <c r="F6021" t="s">
        <v>1117</v>
      </c>
      <c r="G6021" s="62">
        <v>689</v>
      </c>
      <c r="H6021" s="25">
        <v>37.57</v>
      </c>
      <c r="I6021">
        <v>32131</v>
      </c>
      <c r="J6021">
        <v>6084</v>
      </c>
      <c r="K6021">
        <v>50</v>
      </c>
      <c r="L6021">
        <v>50</v>
      </c>
      <c r="M6021">
        <v>0</v>
      </c>
      <c r="N6021" s="23">
        <v>0</v>
      </c>
      <c r="O6021">
        <f t="shared" si="1131"/>
        <v>1</v>
      </c>
      <c r="P6021" s="57">
        <f t="shared" si="1132"/>
        <v>5</v>
      </c>
      <c r="Q6021" s="267">
        <f t="shared" si="1133"/>
        <v>689</v>
      </c>
      <c r="R6021" s="23">
        <f t="shared" si="1134"/>
        <v>468</v>
      </c>
      <c r="S6021" s="23">
        <f t="shared" si="1135"/>
        <v>0</v>
      </c>
      <c r="T6021" s="23" t="str">
        <f t="shared" si="1136"/>
        <v/>
      </c>
      <c r="U6021" t="str">
        <f t="shared" si="1137"/>
        <v>PA_Alleg_2019p~Rep-school director penn hills (vote for 5)</v>
      </c>
      <c r="V6021" s="40"/>
      <c r="X6021" s="43"/>
      <c r="Y6021" s="53"/>
      <c r="Z6021" s="53"/>
      <c r="AA6021"/>
      <c r="AB6021"/>
      <c r="AC6021" s="23"/>
      <c r="AD6021" s="23"/>
      <c r="AF6021" s="22"/>
      <c r="AM6021" s="371"/>
      <c r="AN6021" s="372"/>
      <c r="AO6021" s="356"/>
      <c r="AP6021" s="356"/>
      <c r="AQ6021" s="394"/>
      <c r="AR6021" s="394"/>
      <c r="AS6021" s="394"/>
      <c r="AT6021" s="20"/>
      <c r="AU6021" s="29"/>
      <c r="AV6021"/>
      <c r="AW6021"/>
    </row>
    <row r="6022" spans="1:49">
      <c r="A6022" t="str">
        <f t="shared" si="1138"/>
        <v>PA_Alleg_2019p~Rep-school director penn hills (vote for 5)</v>
      </c>
      <c r="B6022" s="55" t="s">
        <v>1291</v>
      </c>
      <c r="C6022">
        <v>1334</v>
      </c>
      <c r="D6022" s="55" t="s">
        <v>249</v>
      </c>
      <c r="E6022" s="55" t="s">
        <v>15</v>
      </c>
      <c r="F6022" t="s">
        <v>1117</v>
      </c>
      <c r="G6022" s="62">
        <v>677</v>
      </c>
      <c r="H6022" s="25">
        <v>36.909999999999997</v>
      </c>
      <c r="I6022">
        <v>32131</v>
      </c>
      <c r="J6022">
        <v>6084</v>
      </c>
      <c r="K6022">
        <v>50</v>
      </c>
      <c r="L6022">
        <v>50</v>
      </c>
      <c r="M6022">
        <v>0</v>
      </c>
      <c r="N6022" s="23">
        <v>0</v>
      </c>
      <c r="O6022">
        <f t="shared" si="1131"/>
        <v>-1</v>
      </c>
      <c r="P6022" s="57">
        <f t="shared" si="1132"/>
        <v>5</v>
      </c>
      <c r="Q6022" s="267">
        <f t="shared" si="1133"/>
        <v>1145</v>
      </c>
      <c r="R6022" s="23">
        <f t="shared" si="1134"/>
        <v>468</v>
      </c>
      <c r="S6022" s="23">
        <f t="shared" si="1135"/>
        <v>0</v>
      </c>
      <c r="T6022" s="23" t="str">
        <f t="shared" si="1136"/>
        <v/>
      </c>
      <c r="U6022" t="str">
        <f t="shared" si="1137"/>
        <v/>
      </c>
      <c r="V6022" s="40"/>
      <c r="X6022" s="43"/>
      <c r="Y6022" s="53"/>
      <c r="Z6022" s="53"/>
      <c r="AA6022"/>
      <c r="AB6022"/>
      <c r="AC6022" s="23"/>
      <c r="AD6022" s="23"/>
      <c r="AF6022" s="22"/>
      <c r="AM6022" s="371"/>
      <c r="AN6022" s="372"/>
      <c r="AO6022" s="356"/>
      <c r="AP6022" s="356"/>
      <c r="AQ6022" s="394"/>
      <c r="AR6022" s="394"/>
      <c r="AS6022" s="394"/>
      <c r="AT6022" s="20"/>
      <c r="AU6022" s="29"/>
      <c r="AV6022"/>
      <c r="AW6022"/>
    </row>
    <row r="6023" spans="1:49">
      <c r="A6023" t="str">
        <f t="shared" si="1138"/>
        <v>PA_Alleg_2019p~Rep-school director penn hills (vote for 5)</v>
      </c>
      <c r="B6023" s="55" t="s">
        <v>1291</v>
      </c>
      <c r="C6023">
        <v>1332</v>
      </c>
      <c r="D6023" s="55" t="s">
        <v>249</v>
      </c>
      <c r="E6023" s="55" t="s">
        <v>250</v>
      </c>
      <c r="F6023" t="s">
        <v>1117</v>
      </c>
      <c r="G6023" s="62">
        <v>468</v>
      </c>
      <c r="H6023" s="25">
        <v>25.52</v>
      </c>
      <c r="I6023">
        <v>32131</v>
      </c>
      <c r="J6023">
        <v>6084</v>
      </c>
      <c r="K6023">
        <v>50</v>
      </c>
      <c r="L6023">
        <v>50</v>
      </c>
      <c r="M6023">
        <v>0</v>
      </c>
      <c r="N6023" s="23">
        <v>0</v>
      </c>
      <c r="O6023">
        <f t="shared" si="1131"/>
        <v>2</v>
      </c>
      <c r="P6023" s="57">
        <f t="shared" si="1132"/>
        <v>5</v>
      </c>
      <c r="Q6023" s="267">
        <f t="shared" si="1133"/>
        <v>468</v>
      </c>
      <c r="R6023" s="23">
        <f t="shared" si="1134"/>
        <v>468</v>
      </c>
      <c r="S6023" s="23">
        <f t="shared" si="1135"/>
        <v>0</v>
      </c>
      <c r="T6023" s="23" t="str">
        <f t="shared" si="1136"/>
        <v/>
      </c>
      <c r="U6023" t="str">
        <f t="shared" si="1137"/>
        <v/>
      </c>
      <c r="V6023" s="40"/>
      <c r="X6023" s="43"/>
      <c r="Y6023" s="53"/>
      <c r="Z6023" s="53"/>
      <c r="AA6023"/>
      <c r="AB6023"/>
      <c r="AC6023" s="23"/>
      <c r="AD6023" s="23"/>
      <c r="AF6023" s="22"/>
      <c r="AM6023" s="371"/>
      <c r="AN6023" s="372"/>
      <c r="AO6023" s="356"/>
      <c r="AP6023" s="356"/>
      <c r="AQ6023" s="394"/>
      <c r="AR6023" s="394"/>
      <c r="AS6023" s="394"/>
      <c r="AT6023" s="20"/>
      <c r="AU6023" s="29"/>
      <c r="AV6023"/>
      <c r="AW6023"/>
    </row>
    <row r="6024" spans="1:49">
      <c r="A6024" t="str">
        <f t="shared" si="1138"/>
        <v>PA_Alleg_2019p~Rep-school director penn -trafford (vote for 2)</v>
      </c>
      <c r="B6024" s="55" t="s">
        <v>1291</v>
      </c>
      <c r="C6024">
        <v>1437</v>
      </c>
      <c r="D6024" s="55" t="s">
        <v>362</v>
      </c>
      <c r="E6024" s="55" t="s">
        <v>363</v>
      </c>
      <c r="F6024" t="s">
        <v>1117</v>
      </c>
      <c r="G6024" s="62">
        <v>1</v>
      </c>
      <c r="H6024" s="25">
        <v>100</v>
      </c>
      <c r="I6024">
        <v>55</v>
      </c>
      <c r="J6024">
        <v>6</v>
      </c>
      <c r="K6024">
        <v>1</v>
      </c>
      <c r="L6024">
        <v>1</v>
      </c>
      <c r="M6024">
        <v>0</v>
      </c>
      <c r="N6024" s="23">
        <v>0</v>
      </c>
      <c r="O6024">
        <f t="shared" si="1131"/>
        <v>1</v>
      </c>
      <c r="P6024" s="57">
        <f t="shared" si="1132"/>
        <v>2</v>
      </c>
      <c r="Q6024" s="267">
        <f t="shared" si="1133"/>
        <v>1</v>
      </c>
      <c r="R6024" s="23">
        <f t="shared" si="1134"/>
        <v>0</v>
      </c>
      <c r="S6024" s="23">
        <f t="shared" si="1135"/>
        <v>0</v>
      </c>
      <c r="T6024" s="23" t="str">
        <f t="shared" si="1136"/>
        <v/>
      </c>
      <c r="U6024" t="str">
        <f t="shared" si="1137"/>
        <v>PA_Alleg_2019p~Rep-school director penn -trafford (vote for 2)</v>
      </c>
      <c r="V6024" s="40"/>
      <c r="X6024" s="43"/>
      <c r="Y6024" s="53"/>
      <c r="Z6024" s="53"/>
      <c r="AA6024"/>
      <c r="AB6024"/>
      <c r="AC6024" s="23"/>
      <c r="AD6024" s="23"/>
      <c r="AF6024" s="22"/>
      <c r="AM6024" s="371"/>
      <c r="AN6024" s="372"/>
      <c r="AO6024" s="356"/>
      <c r="AP6024" s="356"/>
      <c r="AQ6024" s="394"/>
      <c r="AR6024" s="394"/>
      <c r="AS6024" s="394"/>
      <c r="AT6024" s="20"/>
      <c r="AU6024" s="29"/>
      <c r="AV6024"/>
      <c r="AW6024"/>
    </row>
    <row r="6025" spans="1:49">
      <c r="A6025" t="str">
        <f t="shared" si="1138"/>
        <v>PA_Alleg_2019p~Rep-school director penn -trafford (vote for 2)</v>
      </c>
      <c r="B6025" s="55" t="s">
        <v>1291</v>
      </c>
      <c r="C6025">
        <v>1436</v>
      </c>
      <c r="D6025" s="55" t="s">
        <v>362</v>
      </c>
      <c r="E6025" s="55" t="s">
        <v>364</v>
      </c>
      <c r="F6025" t="s">
        <v>1117</v>
      </c>
      <c r="G6025" s="62">
        <v>0</v>
      </c>
      <c r="H6025" s="25">
        <v>0</v>
      </c>
      <c r="I6025">
        <v>55</v>
      </c>
      <c r="J6025">
        <v>6</v>
      </c>
      <c r="K6025">
        <v>1</v>
      </c>
      <c r="L6025">
        <v>1</v>
      </c>
      <c r="M6025">
        <v>0</v>
      </c>
      <c r="N6025" s="23">
        <v>0</v>
      </c>
      <c r="O6025">
        <f t="shared" si="1131"/>
        <v>2</v>
      </c>
      <c r="P6025" s="57">
        <f t="shared" si="1132"/>
        <v>2</v>
      </c>
      <c r="Q6025" s="267">
        <f t="shared" si="1133"/>
        <v>0</v>
      </c>
      <c r="R6025" s="23">
        <f t="shared" si="1134"/>
        <v>0</v>
      </c>
      <c r="S6025" s="23">
        <f t="shared" si="1135"/>
        <v>0</v>
      </c>
      <c r="T6025" s="23" t="str">
        <f t="shared" si="1136"/>
        <v/>
      </c>
      <c r="U6025" t="str">
        <f t="shared" si="1137"/>
        <v/>
      </c>
      <c r="V6025" s="40"/>
      <c r="X6025" s="43"/>
      <c r="Y6025" s="53"/>
      <c r="Z6025" s="53"/>
      <c r="AA6025"/>
      <c r="AB6025"/>
      <c r="AC6025" s="23"/>
      <c r="AD6025" s="23"/>
      <c r="AF6025" s="22"/>
      <c r="AM6025" s="371"/>
      <c r="AN6025" s="372"/>
      <c r="AO6025" s="356"/>
      <c r="AP6025" s="356"/>
      <c r="AQ6025" s="394"/>
      <c r="AR6025" s="394"/>
      <c r="AS6025" s="394"/>
      <c r="AT6025" s="20"/>
      <c r="AU6025" s="29"/>
      <c r="AV6025"/>
      <c r="AW6025"/>
    </row>
    <row r="6026" spans="1:49">
      <c r="A6026" t="str">
        <f t="shared" si="1138"/>
        <v>PA_Alleg_2019p~Rep-school director penn -trafford (vote for 2)</v>
      </c>
      <c r="B6026" s="55" t="s">
        <v>1291</v>
      </c>
      <c r="C6026">
        <v>1438</v>
      </c>
      <c r="D6026" s="55" t="s">
        <v>362</v>
      </c>
      <c r="E6026" s="55" t="s">
        <v>15</v>
      </c>
      <c r="F6026" t="s">
        <v>1117</v>
      </c>
      <c r="G6026" s="62">
        <v>0</v>
      </c>
      <c r="H6026" s="25">
        <v>0</v>
      </c>
      <c r="I6026">
        <v>55</v>
      </c>
      <c r="J6026">
        <v>6</v>
      </c>
      <c r="K6026">
        <v>1</v>
      </c>
      <c r="L6026">
        <v>1</v>
      </c>
      <c r="M6026">
        <v>0</v>
      </c>
      <c r="N6026" s="23">
        <v>0</v>
      </c>
      <c r="O6026">
        <f t="shared" si="1131"/>
        <v>-2</v>
      </c>
      <c r="P6026" s="57">
        <f t="shared" si="1132"/>
        <v>2</v>
      </c>
      <c r="Q6026" s="267">
        <f t="shared" si="1133"/>
        <v>0</v>
      </c>
      <c r="R6026" s="23">
        <f t="shared" si="1134"/>
        <v>1</v>
      </c>
      <c r="S6026" s="23">
        <f t="shared" si="1135"/>
        <v>0</v>
      </c>
      <c r="T6026" s="23" t="str">
        <f t="shared" si="1136"/>
        <v/>
      </c>
      <c r="U6026" t="str">
        <f t="shared" si="1137"/>
        <v/>
      </c>
      <c r="V6026" s="40"/>
      <c r="X6026" s="43"/>
      <c r="Y6026" s="53"/>
      <c r="Z6026" s="53"/>
      <c r="AA6026"/>
      <c r="AB6026"/>
      <c r="AC6026" s="23"/>
      <c r="AD6026" s="23"/>
      <c r="AF6026" s="22"/>
      <c r="AM6026" s="371"/>
      <c r="AN6026" s="372"/>
      <c r="AO6026" s="356"/>
      <c r="AP6026" s="356"/>
      <c r="AQ6026" s="394"/>
      <c r="AR6026" s="394"/>
      <c r="AS6026" s="394"/>
      <c r="AT6026" s="20"/>
      <c r="AU6026" s="29"/>
      <c r="AV6026"/>
      <c r="AW6026"/>
    </row>
    <row r="6027" spans="1:49">
      <c r="A6027" t="str">
        <f t="shared" si="1138"/>
        <v>PA_Alleg_2019p~Rep-school director pine richland region 1 (vote for 2)</v>
      </c>
      <c r="B6027" s="55" t="s">
        <v>1291</v>
      </c>
      <c r="C6027">
        <v>1433</v>
      </c>
      <c r="D6027" s="55" t="s">
        <v>360</v>
      </c>
      <c r="E6027" s="55" t="s">
        <v>1125</v>
      </c>
      <c r="F6027" t="s">
        <v>1117</v>
      </c>
      <c r="G6027" s="62">
        <v>331</v>
      </c>
      <c r="H6027" s="25">
        <v>54</v>
      </c>
      <c r="I6027">
        <v>7073</v>
      </c>
      <c r="J6027">
        <v>874</v>
      </c>
      <c r="K6027">
        <v>5</v>
      </c>
      <c r="L6027">
        <v>5</v>
      </c>
      <c r="M6027">
        <v>0</v>
      </c>
      <c r="N6027" s="23">
        <v>0</v>
      </c>
      <c r="O6027">
        <f t="shared" si="1131"/>
        <v>1</v>
      </c>
      <c r="P6027" s="57">
        <f t="shared" si="1132"/>
        <v>2</v>
      </c>
      <c r="Q6027" s="267">
        <f t="shared" si="1133"/>
        <v>331</v>
      </c>
      <c r="R6027" s="23">
        <f t="shared" si="1134"/>
        <v>270</v>
      </c>
      <c r="S6027" s="23">
        <f t="shared" si="1135"/>
        <v>0</v>
      </c>
      <c r="T6027" s="23" t="str">
        <f t="shared" si="1136"/>
        <v/>
      </c>
      <c r="U6027" t="str">
        <f t="shared" si="1137"/>
        <v>PA_Alleg_2019p~Rep-school director pine richland region 1 (vote for 2)</v>
      </c>
      <c r="V6027" s="40"/>
      <c r="X6027" s="43"/>
      <c r="Y6027" s="53"/>
      <c r="Z6027" s="53"/>
      <c r="AA6027"/>
      <c r="AB6027"/>
      <c r="AC6027" s="23"/>
      <c r="AD6027" s="23"/>
      <c r="AF6027" s="22"/>
      <c r="AM6027" s="371"/>
      <c r="AN6027" s="372"/>
      <c r="AO6027" s="356"/>
      <c r="AP6027" s="356"/>
      <c r="AQ6027" s="394"/>
      <c r="AR6027" s="394"/>
      <c r="AS6027" s="394"/>
      <c r="AT6027" s="20"/>
      <c r="AU6027" s="29"/>
      <c r="AV6027"/>
      <c r="AW6027"/>
    </row>
    <row r="6028" spans="1:49">
      <c r="A6028" t="str">
        <f t="shared" si="1138"/>
        <v>PA_Alleg_2019p~Rep-school director pine richland region 1 (vote for 2)</v>
      </c>
      <c r="B6028" s="55" t="s">
        <v>1291</v>
      </c>
      <c r="C6028">
        <v>1434</v>
      </c>
      <c r="D6028" s="55" t="s">
        <v>360</v>
      </c>
      <c r="E6028" s="55" t="s">
        <v>361</v>
      </c>
      <c r="F6028" t="s">
        <v>1117</v>
      </c>
      <c r="G6028" s="62">
        <v>270</v>
      </c>
      <c r="H6028" s="25">
        <v>44.05</v>
      </c>
      <c r="I6028">
        <v>7073</v>
      </c>
      <c r="J6028">
        <v>874</v>
      </c>
      <c r="K6028">
        <v>5</v>
      </c>
      <c r="L6028">
        <v>5</v>
      </c>
      <c r="M6028">
        <v>0</v>
      </c>
      <c r="N6028" s="23">
        <v>0</v>
      </c>
      <c r="O6028">
        <f t="shared" si="1131"/>
        <v>2</v>
      </c>
      <c r="P6028" s="57">
        <f t="shared" si="1132"/>
        <v>2</v>
      </c>
      <c r="Q6028" s="267">
        <f t="shared" si="1133"/>
        <v>282</v>
      </c>
      <c r="R6028" s="23">
        <f t="shared" si="1134"/>
        <v>270</v>
      </c>
      <c r="S6028" s="23">
        <f t="shared" si="1135"/>
        <v>0</v>
      </c>
      <c r="T6028" s="23" t="str">
        <f t="shared" si="1136"/>
        <v/>
      </c>
      <c r="U6028" t="str">
        <f t="shared" si="1137"/>
        <v/>
      </c>
      <c r="V6028" s="40"/>
      <c r="X6028" s="43"/>
      <c r="Y6028" s="53"/>
      <c r="Z6028" s="53"/>
      <c r="AA6028"/>
      <c r="AB6028"/>
      <c r="AC6028" s="23"/>
      <c r="AD6028" s="23"/>
      <c r="AF6028" s="22"/>
      <c r="AM6028" s="371"/>
      <c r="AN6028" s="372"/>
      <c r="AO6028" s="356"/>
      <c r="AP6028" s="356"/>
      <c r="AQ6028" s="394"/>
      <c r="AR6028" s="394"/>
      <c r="AS6028" s="394"/>
      <c r="AT6028" s="20"/>
      <c r="AU6028" s="29"/>
      <c r="AV6028"/>
      <c r="AW6028"/>
    </row>
    <row r="6029" spans="1:49">
      <c r="A6029" t="str">
        <f t="shared" si="1138"/>
        <v>PA_Alleg_2019p~Rep-school director pine richland region 1 (vote for 2)</v>
      </c>
      <c r="B6029" s="55" t="s">
        <v>1291</v>
      </c>
      <c r="C6029">
        <v>1435</v>
      </c>
      <c r="D6029" s="55" t="s">
        <v>360</v>
      </c>
      <c r="E6029" s="55" t="s">
        <v>15</v>
      </c>
      <c r="F6029" t="s">
        <v>1117</v>
      </c>
      <c r="G6029" s="62">
        <v>12</v>
      </c>
      <c r="H6029" s="25">
        <v>1.96</v>
      </c>
      <c r="I6029">
        <v>7073</v>
      </c>
      <c r="J6029">
        <v>874</v>
      </c>
      <c r="K6029">
        <v>5</v>
      </c>
      <c r="L6029">
        <v>5</v>
      </c>
      <c r="M6029">
        <v>0</v>
      </c>
      <c r="N6029" s="23">
        <v>0</v>
      </c>
      <c r="O6029">
        <f t="shared" si="1131"/>
        <v>-2</v>
      </c>
      <c r="P6029" s="57">
        <f t="shared" si="1132"/>
        <v>2</v>
      </c>
      <c r="Q6029" s="267">
        <f t="shared" si="1133"/>
        <v>12</v>
      </c>
      <c r="R6029" s="23">
        <f t="shared" si="1134"/>
        <v>1</v>
      </c>
      <c r="S6029" s="23">
        <f t="shared" si="1135"/>
        <v>0</v>
      </c>
      <c r="T6029" s="23" t="str">
        <f t="shared" si="1136"/>
        <v/>
      </c>
      <c r="U6029" t="str">
        <f t="shared" si="1137"/>
        <v/>
      </c>
      <c r="V6029" s="40"/>
      <c r="X6029" s="43"/>
      <c r="Y6029" s="53"/>
      <c r="Z6029" s="53"/>
      <c r="AA6029"/>
      <c r="AB6029"/>
      <c r="AC6029" s="23"/>
      <c r="AD6029" s="23"/>
      <c r="AF6029" s="22"/>
      <c r="AM6029" s="371"/>
      <c r="AN6029" s="372"/>
      <c r="AO6029" s="356"/>
      <c r="AP6029" s="356"/>
      <c r="AQ6029" s="394"/>
      <c r="AR6029" s="394"/>
      <c r="AS6029" s="394"/>
      <c r="AT6029" s="20"/>
      <c r="AU6029" s="29"/>
      <c r="AV6029"/>
      <c r="AW6029"/>
    </row>
    <row r="6030" spans="1:49">
      <c r="A6030" t="str">
        <f t="shared" si="1138"/>
        <v>PA_Alleg_2019p~Rep-school director pine richland region 2 (vote for 1)</v>
      </c>
      <c r="B6030" s="55" t="s">
        <v>1291</v>
      </c>
      <c r="C6030">
        <v>1477</v>
      </c>
      <c r="D6030" s="55" t="s">
        <v>414</v>
      </c>
      <c r="E6030" s="55" t="s">
        <v>415</v>
      </c>
      <c r="F6030" t="s">
        <v>1117</v>
      </c>
      <c r="G6030" s="62">
        <v>367</v>
      </c>
      <c r="H6030" s="25">
        <v>97.61</v>
      </c>
      <c r="I6030">
        <v>6171</v>
      </c>
      <c r="J6030">
        <v>845</v>
      </c>
      <c r="K6030">
        <v>6</v>
      </c>
      <c r="L6030">
        <v>6</v>
      </c>
      <c r="M6030">
        <v>0</v>
      </c>
      <c r="N6030" s="23">
        <v>0</v>
      </c>
      <c r="O6030">
        <f t="shared" si="1131"/>
        <v>1</v>
      </c>
      <c r="P6030" s="57">
        <f t="shared" si="1132"/>
        <v>1</v>
      </c>
      <c r="Q6030" s="267">
        <f t="shared" si="1133"/>
        <v>376</v>
      </c>
      <c r="R6030" s="23">
        <f t="shared" si="1134"/>
        <v>367</v>
      </c>
      <c r="S6030" s="23">
        <f t="shared" si="1135"/>
        <v>0</v>
      </c>
      <c r="T6030" s="23" t="str">
        <f t="shared" si="1136"/>
        <v/>
      </c>
      <c r="U6030" t="str">
        <f t="shared" si="1137"/>
        <v>PA_Alleg_2019p~Rep-school director pine richland region 2 (vote for 1)</v>
      </c>
      <c r="V6030" s="40"/>
      <c r="X6030" s="43"/>
      <c r="Y6030" s="53"/>
      <c r="Z6030" s="53"/>
      <c r="AA6030"/>
      <c r="AB6030"/>
      <c r="AC6030" s="23"/>
      <c r="AD6030" s="23"/>
      <c r="AF6030" s="22"/>
      <c r="AM6030" s="371"/>
      <c r="AN6030" s="372"/>
      <c r="AO6030" s="356"/>
      <c r="AP6030" s="356"/>
      <c r="AQ6030" s="394"/>
      <c r="AR6030" s="394"/>
      <c r="AS6030" s="394"/>
      <c r="AT6030" s="20"/>
      <c r="AU6030" s="29"/>
      <c r="AV6030"/>
      <c r="AW6030"/>
    </row>
    <row r="6031" spans="1:49">
      <c r="A6031" t="str">
        <f t="shared" si="1138"/>
        <v>PA_Alleg_2019p~Rep-school director pine richland region 2 (vote for 1)</v>
      </c>
      <c r="B6031" s="55" t="s">
        <v>1291</v>
      </c>
      <c r="C6031">
        <v>1478</v>
      </c>
      <c r="D6031" s="55" t="s">
        <v>414</v>
      </c>
      <c r="E6031" s="55" t="s">
        <v>15</v>
      </c>
      <c r="F6031" t="s">
        <v>1117</v>
      </c>
      <c r="G6031" s="62">
        <v>9</v>
      </c>
      <c r="H6031" s="25">
        <v>2.39</v>
      </c>
      <c r="I6031">
        <v>6171</v>
      </c>
      <c r="J6031">
        <v>845</v>
      </c>
      <c r="K6031">
        <v>6</v>
      </c>
      <c r="L6031">
        <v>6</v>
      </c>
      <c r="M6031">
        <v>0</v>
      </c>
      <c r="N6031" s="23">
        <v>0</v>
      </c>
      <c r="O6031">
        <f t="shared" si="1131"/>
        <v>-1</v>
      </c>
      <c r="P6031" s="57">
        <f t="shared" si="1132"/>
        <v>1</v>
      </c>
      <c r="Q6031" s="267">
        <f t="shared" si="1133"/>
        <v>9</v>
      </c>
      <c r="R6031" s="23">
        <f t="shared" si="1134"/>
        <v>1</v>
      </c>
      <c r="S6031" s="23">
        <f t="shared" si="1135"/>
        <v>0</v>
      </c>
      <c r="T6031" s="23" t="str">
        <f t="shared" si="1136"/>
        <v/>
      </c>
      <c r="U6031" t="str">
        <f t="shared" si="1137"/>
        <v/>
      </c>
      <c r="V6031" s="40"/>
      <c r="X6031" s="43"/>
      <c r="Y6031" s="53"/>
      <c r="Z6031" s="53"/>
      <c r="AA6031"/>
      <c r="AB6031"/>
      <c r="AC6031" s="23"/>
      <c r="AD6031" s="23"/>
      <c r="AF6031" s="22"/>
      <c r="AM6031" s="371"/>
      <c r="AN6031" s="372"/>
      <c r="AO6031" s="356"/>
      <c r="AP6031" s="356"/>
      <c r="AQ6031" s="394"/>
      <c r="AR6031" s="394"/>
      <c r="AS6031" s="394"/>
      <c r="AT6031" s="20"/>
      <c r="AU6031" s="29"/>
      <c r="AV6031"/>
      <c r="AW6031"/>
    </row>
    <row r="6032" spans="1:49">
      <c r="A6032" t="str">
        <f t="shared" si="1138"/>
        <v>PA_Alleg_2019p~Rep-school director pine richland region 3 (vote for 1)</v>
      </c>
      <c r="B6032" s="55" t="s">
        <v>1291</v>
      </c>
      <c r="C6032">
        <v>1516</v>
      </c>
      <c r="D6032" s="55" t="s">
        <v>451</v>
      </c>
      <c r="E6032" s="55" t="s">
        <v>432</v>
      </c>
      <c r="F6032" t="s">
        <v>1117</v>
      </c>
      <c r="G6032" s="62">
        <v>88</v>
      </c>
      <c r="H6032" s="25">
        <v>44</v>
      </c>
      <c r="I6032">
        <v>5588</v>
      </c>
      <c r="J6032">
        <v>547</v>
      </c>
      <c r="K6032">
        <v>5</v>
      </c>
      <c r="L6032">
        <v>5</v>
      </c>
      <c r="M6032">
        <v>0</v>
      </c>
      <c r="N6032" s="23">
        <v>0</v>
      </c>
      <c r="O6032">
        <f t="shared" si="1131"/>
        <v>1</v>
      </c>
      <c r="P6032" s="57">
        <f t="shared" si="1132"/>
        <v>1</v>
      </c>
      <c r="Q6032" s="267">
        <f t="shared" si="1133"/>
        <v>200</v>
      </c>
      <c r="R6032" s="23">
        <f t="shared" si="1134"/>
        <v>88</v>
      </c>
      <c r="S6032" s="23">
        <f t="shared" si="1135"/>
        <v>58</v>
      </c>
      <c r="T6032" s="23">
        <f t="shared" si="1136"/>
        <v>30</v>
      </c>
      <c r="U6032" t="str">
        <f t="shared" si="1137"/>
        <v>PA_Alleg_2019p~Rep-school director pine richland region 3 (vote for 1)</v>
      </c>
      <c r="V6032" s="40"/>
      <c r="X6032" s="43"/>
      <c r="Y6032" s="53"/>
      <c r="Z6032" s="53"/>
      <c r="AA6032"/>
      <c r="AB6032"/>
      <c r="AC6032" s="23"/>
      <c r="AD6032" s="23"/>
      <c r="AF6032" s="22"/>
      <c r="AM6032" s="371"/>
      <c r="AN6032" s="372"/>
      <c r="AO6032" s="356"/>
      <c r="AP6032" s="356"/>
      <c r="AQ6032" s="394"/>
      <c r="AR6032" s="394"/>
      <c r="AS6032" s="394"/>
      <c r="AT6032" s="20"/>
      <c r="AU6032" s="29"/>
      <c r="AV6032"/>
      <c r="AW6032"/>
    </row>
    <row r="6033" spans="1:49">
      <c r="A6033" t="str">
        <f t="shared" si="1138"/>
        <v>PA_Alleg_2019p~Rep-school director pine richland region 3 (vote for 1)</v>
      </c>
      <c r="B6033" s="55" t="s">
        <v>1291</v>
      </c>
      <c r="C6033">
        <v>1514</v>
      </c>
      <c r="D6033" s="55" t="s">
        <v>451</v>
      </c>
      <c r="E6033" s="55" t="s">
        <v>452</v>
      </c>
      <c r="F6033" t="s">
        <v>1117</v>
      </c>
      <c r="G6033" s="62">
        <v>58</v>
      </c>
      <c r="H6033" s="25">
        <v>29</v>
      </c>
      <c r="I6033">
        <v>5588</v>
      </c>
      <c r="J6033">
        <v>547</v>
      </c>
      <c r="K6033">
        <v>5</v>
      </c>
      <c r="L6033">
        <v>5</v>
      </c>
      <c r="M6033">
        <v>0</v>
      </c>
      <c r="N6033" s="23">
        <v>0</v>
      </c>
      <c r="O6033">
        <f t="shared" si="1131"/>
        <v>2</v>
      </c>
      <c r="P6033" s="57">
        <f t="shared" si="1132"/>
        <v>1</v>
      </c>
      <c r="Q6033" s="267">
        <f t="shared" si="1133"/>
        <v>112</v>
      </c>
      <c r="R6033" s="23" t="str">
        <f t="shared" si="1134"/>
        <v/>
      </c>
      <c r="S6033" s="23">
        <f t="shared" si="1135"/>
        <v>58</v>
      </c>
      <c r="T6033" s="23" t="str">
        <f t="shared" si="1136"/>
        <v/>
      </c>
      <c r="U6033" t="str">
        <f t="shared" si="1137"/>
        <v/>
      </c>
      <c r="V6033" s="40"/>
      <c r="X6033" s="43"/>
      <c r="Y6033" s="53"/>
      <c r="Z6033" s="53"/>
      <c r="AA6033"/>
      <c r="AB6033"/>
      <c r="AC6033" s="23"/>
      <c r="AD6033" s="23"/>
      <c r="AF6033" s="22"/>
      <c r="AM6033" s="371"/>
      <c r="AN6033" s="372"/>
      <c r="AO6033" s="356"/>
      <c r="AP6033" s="356"/>
      <c r="AQ6033" s="394"/>
      <c r="AR6033" s="394"/>
      <c r="AS6033" s="394"/>
      <c r="AT6033" s="20"/>
      <c r="AU6033" s="29"/>
      <c r="AV6033"/>
      <c r="AW6033"/>
    </row>
    <row r="6034" spans="1:49">
      <c r="A6034" t="str">
        <f t="shared" si="1138"/>
        <v>PA_Alleg_2019p~Rep-school director pine richland region 3 (vote for 1)</v>
      </c>
      <c r="B6034" s="55" t="s">
        <v>1291</v>
      </c>
      <c r="C6034">
        <v>1515</v>
      </c>
      <c r="D6034" s="55" t="s">
        <v>451</v>
      </c>
      <c r="E6034" s="55" t="s">
        <v>431</v>
      </c>
      <c r="F6034" t="s">
        <v>1117</v>
      </c>
      <c r="G6034" s="62">
        <v>53</v>
      </c>
      <c r="H6034" s="25">
        <v>26.5</v>
      </c>
      <c r="I6034">
        <v>5588</v>
      </c>
      <c r="J6034">
        <v>547</v>
      </c>
      <c r="K6034">
        <v>5</v>
      </c>
      <c r="L6034">
        <v>5</v>
      </c>
      <c r="M6034">
        <v>0</v>
      </c>
      <c r="N6034" s="23">
        <v>0</v>
      </c>
      <c r="O6034">
        <f t="shared" si="1131"/>
        <v>3</v>
      </c>
      <c r="P6034" s="57">
        <f t="shared" si="1132"/>
        <v>1</v>
      </c>
      <c r="Q6034" s="267">
        <f t="shared" si="1133"/>
        <v>54</v>
      </c>
      <c r="R6034" s="23" t="str">
        <f t="shared" si="1134"/>
        <v/>
      </c>
      <c r="S6034" s="23">
        <f t="shared" si="1135"/>
        <v>53</v>
      </c>
      <c r="T6034" s="23" t="str">
        <f t="shared" si="1136"/>
        <v/>
      </c>
      <c r="U6034" t="str">
        <f t="shared" si="1137"/>
        <v/>
      </c>
      <c r="V6034" s="40"/>
      <c r="X6034" s="43"/>
      <c r="Y6034" s="53"/>
      <c r="Z6034" s="53"/>
      <c r="AA6034"/>
      <c r="AB6034"/>
      <c r="AC6034" s="23"/>
      <c r="AD6034" s="23"/>
      <c r="AF6034" s="22"/>
      <c r="AM6034" s="371"/>
      <c r="AN6034" s="372"/>
      <c r="AO6034" s="356"/>
      <c r="AP6034" s="356"/>
      <c r="AQ6034" s="394"/>
      <c r="AR6034" s="394"/>
      <c r="AS6034" s="394"/>
      <c r="AT6034" s="20"/>
      <c r="AU6034" s="29"/>
      <c r="AV6034"/>
      <c r="AW6034"/>
    </row>
    <row r="6035" spans="1:49">
      <c r="A6035" t="str">
        <f t="shared" si="1138"/>
        <v>PA_Alleg_2019p~Rep-school director pine richland region 3 (vote for 1)</v>
      </c>
      <c r="B6035" s="55" t="s">
        <v>1291</v>
      </c>
      <c r="C6035">
        <v>1517</v>
      </c>
      <c r="D6035" s="55" t="s">
        <v>451</v>
      </c>
      <c r="E6035" s="55" t="s">
        <v>15</v>
      </c>
      <c r="F6035" t="s">
        <v>1117</v>
      </c>
      <c r="G6035" s="62">
        <v>1</v>
      </c>
      <c r="H6035" s="25">
        <v>0.5</v>
      </c>
      <c r="I6035">
        <v>5588</v>
      </c>
      <c r="J6035">
        <v>547</v>
      </c>
      <c r="K6035">
        <v>5</v>
      </c>
      <c r="L6035">
        <v>5</v>
      </c>
      <c r="M6035">
        <v>0</v>
      </c>
      <c r="N6035" s="23">
        <v>0</v>
      </c>
      <c r="O6035">
        <f t="shared" si="1131"/>
        <v>-3</v>
      </c>
      <c r="P6035" s="57">
        <f t="shared" si="1132"/>
        <v>1</v>
      </c>
      <c r="Q6035" s="267">
        <f t="shared" si="1133"/>
        <v>1</v>
      </c>
      <c r="R6035" s="23">
        <f t="shared" si="1134"/>
        <v>1</v>
      </c>
      <c r="S6035" s="23">
        <f t="shared" si="1135"/>
        <v>0</v>
      </c>
      <c r="T6035" s="23" t="str">
        <f t="shared" si="1136"/>
        <v/>
      </c>
      <c r="U6035" t="str">
        <f t="shared" si="1137"/>
        <v/>
      </c>
      <c r="V6035" s="40"/>
      <c r="X6035" s="43"/>
      <c r="Y6035" s="53"/>
      <c r="Z6035" s="53"/>
      <c r="AA6035"/>
      <c r="AB6035"/>
      <c r="AC6035" s="23"/>
      <c r="AD6035" s="23"/>
      <c r="AF6035" s="22"/>
      <c r="AM6035" s="371"/>
      <c r="AN6035" s="372"/>
      <c r="AO6035" s="356"/>
      <c r="AP6035" s="356"/>
      <c r="AQ6035" s="394"/>
      <c r="AR6035" s="394"/>
      <c r="AS6035" s="394"/>
      <c r="AT6035" s="20"/>
      <c r="AU6035" s="29"/>
      <c r="AV6035"/>
      <c r="AW6035"/>
    </row>
    <row r="6036" spans="1:49">
      <c r="A6036" t="str">
        <f t="shared" si="1138"/>
        <v>PA_Alleg_2019p~Rep-school director pine richland region 3 (vote for 2)</v>
      </c>
      <c r="B6036" s="55" t="s">
        <v>1291</v>
      </c>
      <c r="C6036">
        <v>1496</v>
      </c>
      <c r="D6036" s="55" t="s">
        <v>430</v>
      </c>
      <c r="E6036" s="55" t="s">
        <v>432</v>
      </c>
      <c r="F6036" t="s">
        <v>1117</v>
      </c>
      <c r="G6036" s="62">
        <v>178</v>
      </c>
      <c r="H6036" s="25">
        <v>54.27</v>
      </c>
      <c r="I6036">
        <v>5588</v>
      </c>
      <c r="J6036">
        <v>547</v>
      </c>
      <c r="K6036">
        <v>5</v>
      </c>
      <c r="L6036">
        <v>5</v>
      </c>
      <c r="M6036">
        <v>0</v>
      </c>
      <c r="N6036" s="23">
        <v>0</v>
      </c>
      <c r="O6036">
        <f t="shared" si="1131"/>
        <v>1</v>
      </c>
      <c r="P6036" s="57">
        <f t="shared" si="1132"/>
        <v>2</v>
      </c>
      <c r="Q6036" s="267">
        <f t="shared" si="1133"/>
        <v>178</v>
      </c>
      <c r="R6036" s="23">
        <f t="shared" si="1134"/>
        <v>147</v>
      </c>
      <c r="S6036" s="23">
        <f t="shared" si="1135"/>
        <v>0</v>
      </c>
      <c r="T6036" s="23" t="str">
        <f t="shared" si="1136"/>
        <v/>
      </c>
      <c r="U6036" t="str">
        <f t="shared" si="1137"/>
        <v>PA_Alleg_2019p~Rep-school director pine richland region 3 (vote for 2)</v>
      </c>
      <c r="V6036" s="40"/>
      <c r="X6036" s="43"/>
      <c r="Y6036" s="53"/>
      <c r="Z6036" s="53"/>
      <c r="AA6036"/>
      <c r="AB6036"/>
      <c r="AC6036" s="23"/>
      <c r="AD6036" s="23"/>
      <c r="AF6036" s="22"/>
      <c r="AM6036" s="371"/>
      <c r="AN6036" s="372"/>
      <c r="AO6036" s="356"/>
      <c r="AP6036" s="356"/>
      <c r="AQ6036" s="394"/>
      <c r="AR6036" s="394"/>
      <c r="AS6036" s="394"/>
      <c r="AT6036" s="20"/>
      <c r="AU6036" s="29"/>
      <c r="AV6036"/>
      <c r="AW6036"/>
    </row>
    <row r="6037" spans="1:49">
      <c r="A6037" t="str">
        <f t="shared" si="1138"/>
        <v>PA_Alleg_2019p~Rep-school director pine richland region 3 (vote for 2)</v>
      </c>
      <c r="B6037" s="55" t="s">
        <v>1291</v>
      </c>
      <c r="C6037">
        <v>1495</v>
      </c>
      <c r="D6037" s="55" t="s">
        <v>430</v>
      </c>
      <c r="E6037" s="55" t="s">
        <v>431</v>
      </c>
      <c r="F6037" t="s">
        <v>1117</v>
      </c>
      <c r="G6037" s="62">
        <v>147</v>
      </c>
      <c r="H6037" s="25">
        <v>44.82</v>
      </c>
      <c r="I6037">
        <v>5588</v>
      </c>
      <c r="J6037">
        <v>547</v>
      </c>
      <c r="K6037">
        <v>5</v>
      </c>
      <c r="L6037">
        <v>5</v>
      </c>
      <c r="M6037">
        <v>0</v>
      </c>
      <c r="N6037" s="23">
        <v>0</v>
      </c>
      <c r="O6037">
        <f t="shared" si="1131"/>
        <v>2</v>
      </c>
      <c r="P6037" s="57">
        <f t="shared" si="1132"/>
        <v>2</v>
      </c>
      <c r="Q6037" s="267">
        <f t="shared" si="1133"/>
        <v>150</v>
      </c>
      <c r="R6037" s="23">
        <f t="shared" si="1134"/>
        <v>147</v>
      </c>
      <c r="S6037" s="23">
        <f t="shared" si="1135"/>
        <v>0</v>
      </c>
      <c r="T6037" s="23" t="str">
        <f t="shared" si="1136"/>
        <v/>
      </c>
      <c r="U6037" t="str">
        <f t="shared" si="1137"/>
        <v/>
      </c>
      <c r="V6037" s="40"/>
      <c r="X6037" s="43"/>
      <c r="Y6037" s="53"/>
      <c r="Z6037" s="53"/>
      <c r="AA6037"/>
      <c r="AB6037"/>
      <c r="AC6037" s="23"/>
      <c r="AD6037" s="23"/>
      <c r="AF6037" s="22"/>
      <c r="AH6037" s="8"/>
      <c r="AL6037" s="23"/>
      <c r="AM6037" s="371"/>
      <c r="AN6037" s="372"/>
      <c r="AO6037" s="356"/>
      <c r="AP6037" s="356"/>
      <c r="AQ6037" s="394"/>
      <c r="AR6037" s="394"/>
      <c r="AS6037" s="394"/>
      <c r="AT6037" s="20"/>
      <c r="AU6037" s="29"/>
      <c r="AV6037"/>
      <c r="AW6037"/>
    </row>
    <row r="6038" spans="1:49">
      <c r="A6038" t="str">
        <f t="shared" si="1138"/>
        <v>PA_Alleg_2019p~Rep-school director pine richland region 3 (vote for 2)</v>
      </c>
      <c r="B6038" s="55" t="s">
        <v>1291</v>
      </c>
      <c r="C6038">
        <v>1497</v>
      </c>
      <c r="D6038" s="55" t="s">
        <v>430</v>
      </c>
      <c r="E6038" s="55" t="s">
        <v>15</v>
      </c>
      <c r="F6038" t="s">
        <v>1117</v>
      </c>
      <c r="G6038" s="62">
        <v>3</v>
      </c>
      <c r="H6038" s="25">
        <v>0.91</v>
      </c>
      <c r="I6038">
        <v>5588</v>
      </c>
      <c r="J6038">
        <v>547</v>
      </c>
      <c r="K6038">
        <v>5</v>
      </c>
      <c r="L6038">
        <v>5</v>
      </c>
      <c r="M6038">
        <v>0</v>
      </c>
      <c r="N6038" s="23">
        <v>0</v>
      </c>
      <c r="O6038">
        <f t="shared" si="1131"/>
        <v>-2</v>
      </c>
      <c r="P6038" s="57">
        <f t="shared" si="1132"/>
        <v>2</v>
      </c>
      <c r="Q6038" s="267">
        <f t="shared" si="1133"/>
        <v>3</v>
      </c>
      <c r="R6038" s="23">
        <f t="shared" si="1134"/>
        <v>1</v>
      </c>
      <c r="S6038" s="23">
        <f t="shared" si="1135"/>
        <v>0</v>
      </c>
      <c r="T6038" s="23" t="str">
        <f t="shared" si="1136"/>
        <v/>
      </c>
      <c r="U6038" t="str">
        <f t="shared" si="1137"/>
        <v/>
      </c>
      <c r="V6038" s="40"/>
      <c r="X6038" s="43"/>
      <c r="Y6038" s="53"/>
      <c r="Z6038" s="53"/>
      <c r="AA6038"/>
      <c r="AB6038"/>
      <c r="AC6038" s="23"/>
      <c r="AD6038" s="23"/>
      <c r="AF6038" s="22"/>
      <c r="AH6038" s="8"/>
      <c r="AL6038" s="23"/>
      <c r="AM6038" s="371"/>
      <c r="AN6038" s="372"/>
      <c r="AO6038" s="356"/>
      <c r="AP6038" s="356"/>
      <c r="AQ6038" s="394"/>
      <c r="AR6038" s="394"/>
      <c r="AS6038" s="394"/>
      <c r="AT6038" s="20"/>
      <c r="AU6038" s="29"/>
      <c r="AV6038"/>
      <c r="AW6038"/>
    </row>
    <row r="6039" spans="1:49">
      <c r="A6039" t="str">
        <f t="shared" si="1138"/>
        <v>PA_Alleg_2019p~Rep-school director plum (vote for 1)</v>
      </c>
      <c r="B6039" s="55" t="s">
        <v>1291</v>
      </c>
      <c r="C6039">
        <v>1419</v>
      </c>
      <c r="D6039" s="55" t="s">
        <v>345</v>
      </c>
      <c r="E6039" s="55" t="s">
        <v>347</v>
      </c>
      <c r="F6039" t="s">
        <v>1117</v>
      </c>
      <c r="G6039" s="62">
        <v>1084</v>
      </c>
      <c r="H6039" s="25">
        <v>90.03</v>
      </c>
      <c r="I6039">
        <v>19280</v>
      </c>
      <c r="J6039">
        <v>3503</v>
      </c>
      <c r="K6039">
        <v>21</v>
      </c>
      <c r="L6039">
        <v>21</v>
      </c>
      <c r="M6039">
        <v>0</v>
      </c>
      <c r="N6039" s="23">
        <v>0</v>
      </c>
      <c r="O6039">
        <f t="shared" si="1131"/>
        <v>1</v>
      </c>
      <c r="P6039" s="57">
        <f t="shared" si="1132"/>
        <v>1</v>
      </c>
      <c r="Q6039" s="267">
        <f t="shared" si="1133"/>
        <v>1204</v>
      </c>
      <c r="R6039" s="23">
        <f t="shared" si="1134"/>
        <v>1084</v>
      </c>
      <c r="S6039" s="23">
        <f t="shared" si="1135"/>
        <v>0</v>
      </c>
      <c r="T6039" s="23" t="str">
        <f t="shared" si="1136"/>
        <v/>
      </c>
      <c r="U6039" t="str">
        <f t="shared" si="1137"/>
        <v>PA_Alleg_2019p~Rep-school director plum (vote for 1)</v>
      </c>
      <c r="V6039" s="40"/>
      <c r="X6039" s="43"/>
      <c r="Y6039" s="53"/>
      <c r="Z6039" s="53"/>
      <c r="AA6039"/>
      <c r="AB6039"/>
      <c r="AC6039" s="23"/>
      <c r="AD6039" s="23"/>
      <c r="AF6039" s="22"/>
      <c r="AH6039" s="8"/>
      <c r="AL6039" s="23"/>
      <c r="AM6039" s="371"/>
      <c r="AN6039" s="372"/>
      <c r="AO6039" s="356"/>
      <c r="AP6039" s="356"/>
      <c r="AQ6039" s="394"/>
      <c r="AR6039" s="394"/>
      <c r="AS6039" s="394"/>
      <c r="AT6039" s="20"/>
      <c r="AU6039" s="29"/>
      <c r="AV6039"/>
      <c r="AW6039"/>
    </row>
    <row r="6040" spans="1:49">
      <c r="A6040" t="str">
        <f t="shared" si="1138"/>
        <v>PA_Alleg_2019p~Rep-school director plum (vote for 1)</v>
      </c>
      <c r="B6040" s="55" t="s">
        <v>1291</v>
      </c>
      <c r="C6040">
        <v>1420</v>
      </c>
      <c r="D6040" s="55" t="s">
        <v>345</v>
      </c>
      <c r="E6040" s="55" t="s">
        <v>15</v>
      </c>
      <c r="F6040" t="s">
        <v>1117</v>
      </c>
      <c r="G6040" s="62">
        <v>120</v>
      </c>
      <c r="H6040" s="25">
        <v>9.9700000000000006</v>
      </c>
      <c r="I6040">
        <v>19280</v>
      </c>
      <c r="J6040">
        <v>3503</v>
      </c>
      <c r="K6040">
        <v>21</v>
      </c>
      <c r="L6040">
        <v>21</v>
      </c>
      <c r="M6040">
        <v>0</v>
      </c>
      <c r="N6040" s="23">
        <v>0</v>
      </c>
      <c r="O6040">
        <f t="shared" si="1131"/>
        <v>-1</v>
      </c>
      <c r="P6040" s="57">
        <f t="shared" si="1132"/>
        <v>1</v>
      </c>
      <c r="Q6040" s="267">
        <f t="shared" si="1133"/>
        <v>120</v>
      </c>
      <c r="R6040" s="23">
        <f t="shared" si="1134"/>
        <v>1</v>
      </c>
      <c r="S6040" s="23">
        <f t="shared" si="1135"/>
        <v>0</v>
      </c>
      <c r="T6040" s="23" t="str">
        <f t="shared" si="1136"/>
        <v/>
      </c>
      <c r="U6040" t="str">
        <f t="shared" si="1137"/>
        <v/>
      </c>
      <c r="V6040" s="40"/>
      <c r="X6040" s="43"/>
      <c r="Y6040" s="53"/>
      <c r="Z6040" s="53"/>
      <c r="AA6040"/>
      <c r="AB6040"/>
      <c r="AC6040" s="23"/>
      <c r="AD6040" s="23"/>
      <c r="AF6040" s="22"/>
      <c r="AH6040" s="8"/>
      <c r="AL6040" s="23"/>
      <c r="AM6040" s="371"/>
      <c r="AN6040" s="372"/>
      <c r="AO6040" s="356"/>
      <c r="AP6040" s="356"/>
      <c r="AQ6040" s="394"/>
      <c r="AR6040" s="394"/>
      <c r="AS6040" s="394"/>
      <c r="AT6040" s="20"/>
      <c r="AU6040" s="29"/>
      <c r="AV6040"/>
      <c r="AW6040"/>
    </row>
    <row r="6041" spans="1:49">
      <c r="A6041" t="str">
        <f t="shared" si="1138"/>
        <v>PA_Alleg_2019p~Rep-school director plum (vote for 5)</v>
      </c>
      <c r="B6041" s="55" t="s">
        <v>1291</v>
      </c>
      <c r="C6041">
        <v>1407</v>
      </c>
      <c r="D6041" s="55" t="s">
        <v>325</v>
      </c>
      <c r="E6041" s="55" t="s">
        <v>327</v>
      </c>
      <c r="F6041" t="s">
        <v>1117</v>
      </c>
      <c r="G6041" s="62">
        <v>941</v>
      </c>
      <c r="H6041" s="25">
        <v>14.09</v>
      </c>
      <c r="I6041">
        <v>19280</v>
      </c>
      <c r="J6041">
        <v>3503</v>
      </c>
      <c r="K6041">
        <v>21</v>
      </c>
      <c r="L6041">
        <v>21</v>
      </c>
      <c r="M6041">
        <v>0</v>
      </c>
      <c r="N6041" s="23">
        <v>0</v>
      </c>
      <c r="O6041">
        <f t="shared" si="1131"/>
        <v>1</v>
      </c>
      <c r="P6041" s="57">
        <f t="shared" si="1132"/>
        <v>5</v>
      </c>
      <c r="Q6041" s="267">
        <f t="shared" si="1133"/>
        <v>1335.8</v>
      </c>
      <c r="R6041" s="23">
        <f t="shared" si="1134"/>
        <v>734</v>
      </c>
      <c r="S6041" s="23">
        <f t="shared" si="1135"/>
        <v>557</v>
      </c>
      <c r="T6041" s="23">
        <f t="shared" si="1136"/>
        <v>177</v>
      </c>
      <c r="U6041" t="str">
        <f t="shared" si="1137"/>
        <v>PA_Alleg_2019p~Rep-school director plum (vote for 5)</v>
      </c>
      <c r="V6041" s="40"/>
      <c r="X6041" s="43"/>
      <c r="Y6041" s="53"/>
      <c r="Z6041" s="53"/>
      <c r="AA6041"/>
      <c r="AB6041"/>
      <c r="AC6041" s="23"/>
      <c r="AD6041" s="23"/>
      <c r="AF6041" s="22"/>
      <c r="AH6041" s="8"/>
      <c r="AL6041" s="23"/>
      <c r="AM6041" s="371"/>
      <c r="AN6041" s="372"/>
      <c r="AO6041" s="356"/>
      <c r="AP6041" s="356"/>
      <c r="AQ6041" s="394"/>
      <c r="AR6041" s="394"/>
      <c r="AS6041" s="394"/>
      <c r="AT6041" s="20"/>
      <c r="AU6041" s="29"/>
      <c r="AV6041"/>
      <c r="AW6041"/>
    </row>
    <row r="6042" spans="1:49">
      <c r="A6042" t="str">
        <f t="shared" si="1138"/>
        <v>PA_Alleg_2019p~Rep-school director plum (vote for 5)</v>
      </c>
      <c r="B6042" s="55" t="s">
        <v>1291</v>
      </c>
      <c r="C6042">
        <v>1412</v>
      </c>
      <c r="D6042" s="55" t="s">
        <v>325</v>
      </c>
      <c r="E6042" s="55" t="s">
        <v>326</v>
      </c>
      <c r="F6042" t="s">
        <v>1117</v>
      </c>
      <c r="G6042" s="62">
        <v>879</v>
      </c>
      <c r="H6042" s="25">
        <v>13.16</v>
      </c>
      <c r="I6042">
        <v>19280</v>
      </c>
      <c r="J6042">
        <v>3503</v>
      </c>
      <c r="K6042">
        <v>21</v>
      </c>
      <c r="L6042">
        <v>21</v>
      </c>
      <c r="M6042">
        <v>0</v>
      </c>
      <c r="N6042" s="23">
        <v>0</v>
      </c>
      <c r="O6042">
        <f t="shared" si="1131"/>
        <v>2</v>
      </c>
      <c r="P6042" s="57">
        <f t="shared" si="1132"/>
        <v>5</v>
      </c>
      <c r="Q6042" s="267">
        <f t="shared" si="1133"/>
        <v>5738</v>
      </c>
      <c r="R6042" s="23">
        <f t="shared" si="1134"/>
        <v>734</v>
      </c>
      <c r="S6042" s="23">
        <f t="shared" si="1135"/>
        <v>557</v>
      </c>
      <c r="T6042" s="23" t="str">
        <f t="shared" si="1136"/>
        <v/>
      </c>
      <c r="U6042" t="str">
        <f t="shared" si="1137"/>
        <v/>
      </c>
      <c r="V6042" s="40"/>
      <c r="X6042" s="43"/>
      <c r="Y6042" s="53"/>
      <c r="Z6042" s="53"/>
      <c r="AA6042"/>
      <c r="AB6042"/>
      <c r="AC6042" s="23"/>
      <c r="AD6042" s="23"/>
      <c r="AF6042" s="22"/>
      <c r="AH6042" s="8"/>
      <c r="AL6042" s="23"/>
      <c r="AM6042" s="371"/>
      <c r="AN6042" s="372"/>
      <c r="AO6042" s="356"/>
      <c r="AP6042" s="356"/>
      <c r="AQ6042" s="394"/>
      <c r="AR6042" s="394"/>
      <c r="AS6042" s="394"/>
      <c r="AT6042" s="20"/>
      <c r="AU6042" s="29"/>
      <c r="AV6042"/>
      <c r="AW6042"/>
    </row>
    <row r="6043" spans="1:49">
      <c r="A6043" t="str">
        <f t="shared" si="1138"/>
        <v>PA_Alleg_2019p~Rep-school director plum (vote for 5)</v>
      </c>
      <c r="B6043" s="55" t="s">
        <v>1291</v>
      </c>
      <c r="C6043">
        <v>1408</v>
      </c>
      <c r="D6043" s="55" t="s">
        <v>325</v>
      </c>
      <c r="E6043" s="55" t="s">
        <v>329</v>
      </c>
      <c r="F6043" t="s">
        <v>1117</v>
      </c>
      <c r="G6043" s="62">
        <v>793</v>
      </c>
      <c r="H6043" s="25">
        <v>11.87</v>
      </c>
      <c r="I6043">
        <v>19280</v>
      </c>
      <c r="J6043">
        <v>3503</v>
      </c>
      <c r="K6043">
        <v>21</v>
      </c>
      <c r="L6043">
        <v>21</v>
      </c>
      <c r="M6043">
        <v>0</v>
      </c>
      <c r="N6043" s="23">
        <v>0</v>
      </c>
      <c r="O6043">
        <f t="shared" si="1131"/>
        <v>3</v>
      </c>
      <c r="P6043" s="57">
        <f t="shared" si="1132"/>
        <v>5</v>
      </c>
      <c r="Q6043" s="267">
        <f t="shared" si="1133"/>
        <v>4859</v>
      </c>
      <c r="R6043" s="23">
        <f t="shared" si="1134"/>
        <v>734</v>
      </c>
      <c r="S6043" s="23">
        <f t="shared" si="1135"/>
        <v>557</v>
      </c>
      <c r="T6043" s="23" t="str">
        <f t="shared" si="1136"/>
        <v/>
      </c>
      <c r="U6043" t="str">
        <f t="shared" si="1137"/>
        <v/>
      </c>
      <c r="V6043" s="40"/>
      <c r="X6043" s="43"/>
      <c r="Y6043" s="53"/>
      <c r="Z6043" s="53"/>
      <c r="AA6043"/>
      <c r="AB6043"/>
      <c r="AC6043" s="23"/>
      <c r="AD6043" s="23"/>
      <c r="AF6043" s="22"/>
      <c r="AH6043" s="8"/>
      <c r="AL6043" s="23"/>
      <c r="AM6043" s="371"/>
      <c r="AN6043" s="372"/>
      <c r="AO6043" s="356"/>
      <c r="AP6043" s="356"/>
      <c r="AQ6043" s="394"/>
      <c r="AR6043" s="394"/>
      <c r="AS6043" s="394"/>
      <c r="AT6043" s="20"/>
      <c r="AU6043" s="29"/>
      <c r="AV6043"/>
      <c r="AW6043"/>
    </row>
    <row r="6044" spans="1:49">
      <c r="A6044" t="str">
        <f t="shared" si="1138"/>
        <v>PA_Alleg_2019p~Rep-school director plum (vote for 5)</v>
      </c>
      <c r="B6044" s="55" t="s">
        <v>1291</v>
      </c>
      <c r="C6044">
        <v>1402</v>
      </c>
      <c r="D6044" s="55" t="s">
        <v>325</v>
      </c>
      <c r="E6044" s="55" t="s">
        <v>332</v>
      </c>
      <c r="F6044" t="s">
        <v>1117</v>
      </c>
      <c r="G6044" s="62">
        <v>756</v>
      </c>
      <c r="H6044" s="25">
        <v>11.32</v>
      </c>
      <c r="I6044">
        <v>19280</v>
      </c>
      <c r="J6044">
        <v>3503</v>
      </c>
      <c r="K6044">
        <v>21</v>
      </c>
      <c r="L6044">
        <v>21</v>
      </c>
      <c r="M6044">
        <v>0</v>
      </c>
      <c r="N6044" s="23">
        <v>0</v>
      </c>
      <c r="O6044">
        <f t="shared" si="1131"/>
        <v>4</v>
      </c>
      <c r="P6044" s="57">
        <f t="shared" si="1132"/>
        <v>5</v>
      </c>
      <c r="Q6044" s="267">
        <f t="shared" si="1133"/>
        <v>4066</v>
      </c>
      <c r="R6044" s="23">
        <f t="shared" si="1134"/>
        <v>734</v>
      </c>
      <c r="S6044" s="23">
        <f t="shared" si="1135"/>
        <v>557</v>
      </c>
      <c r="T6044" s="23" t="str">
        <f t="shared" si="1136"/>
        <v/>
      </c>
      <c r="U6044" t="str">
        <f t="shared" si="1137"/>
        <v/>
      </c>
      <c r="V6044" s="40"/>
      <c r="X6044" s="43"/>
      <c r="Y6044" s="53"/>
      <c r="Z6044" s="53"/>
      <c r="AA6044"/>
      <c r="AB6044"/>
      <c r="AC6044" s="23"/>
      <c r="AD6044" s="23"/>
      <c r="AF6044" s="22"/>
      <c r="AH6044" s="8"/>
      <c r="AL6044" s="23"/>
      <c r="AM6044" s="371"/>
      <c r="AN6044" s="372"/>
      <c r="AO6044" s="356"/>
      <c r="AP6044" s="356"/>
      <c r="AQ6044" s="394"/>
      <c r="AR6044" s="394"/>
      <c r="AS6044" s="394"/>
      <c r="AT6044" s="20"/>
      <c r="AU6044" s="29"/>
      <c r="AV6044"/>
      <c r="AW6044"/>
    </row>
    <row r="6045" spans="1:49">
      <c r="A6045" t="str">
        <f t="shared" si="1138"/>
        <v>PA_Alleg_2019p~Rep-school director plum (vote for 5)</v>
      </c>
      <c r="B6045" s="55" t="s">
        <v>1291</v>
      </c>
      <c r="C6045">
        <v>1410</v>
      </c>
      <c r="D6045" s="55" t="s">
        <v>325</v>
      </c>
      <c r="E6045" s="55" t="s">
        <v>338</v>
      </c>
      <c r="F6045" t="s">
        <v>1117</v>
      </c>
      <c r="G6045" s="62">
        <v>734</v>
      </c>
      <c r="H6045" s="25">
        <v>10.99</v>
      </c>
      <c r="I6045">
        <v>19280</v>
      </c>
      <c r="J6045">
        <v>3503</v>
      </c>
      <c r="K6045">
        <v>21</v>
      </c>
      <c r="L6045">
        <v>21</v>
      </c>
      <c r="M6045">
        <v>0</v>
      </c>
      <c r="N6045" s="23">
        <v>0</v>
      </c>
      <c r="O6045">
        <f t="shared" si="1131"/>
        <v>5</v>
      </c>
      <c r="P6045" s="57">
        <f t="shared" si="1132"/>
        <v>5</v>
      </c>
      <c r="Q6045" s="267">
        <f t="shared" si="1133"/>
        <v>3310</v>
      </c>
      <c r="R6045" s="23">
        <f t="shared" si="1134"/>
        <v>734</v>
      </c>
      <c r="S6045" s="23">
        <f t="shared" si="1135"/>
        <v>557</v>
      </c>
      <c r="T6045" s="23" t="str">
        <f t="shared" si="1136"/>
        <v/>
      </c>
      <c r="U6045" t="str">
        <f t="shared" si="1137"/>
        <v/>
      </c>
      <c r="V6045" s="40"/>
      <c r="X6045" s="43"/>
      <c r="Y6045" s="53"/>
      <c r="Z6045" s="53"/>
      <c r="AA6045"/>
      <c r="AB6045"/>
      <c r="AC6045" s="23"/>
      <c r="AD6045" s="23"/>
      <c r="AF6045" s="22"/>
      <c r="AH6045" s="8"/>
      <c r="AL6045" s="23"/>
      <c r="AM6045" s="371"/>
      <c r="AN6045" s="372"/>
      <c r="AO6045" s="356"/>
      <c r="AP6045" s="356"/>
      <c r="AQ6045" s="394"/>
      <c r="AR6045" s="394"/>
      <c r="AS6045" s="394"/>
      <c r="AT6045" s="20"/>
      <c r="AU6045" s="29"/>
      <c r="AV6045"/>
      <c r="AW6045"/>
    </row>
    <row r="6046" spans="1:49">
      <c r="A6046" t="str">
        <f t="shared" si="1138"/>
        <v>PA_Alleg_2019p~Rep-school director plum (vote for 5)</v>
      </c>
      <c r="B6046" s="55" t="s">
        <v>1291</v>
      </c>
      <c r="C6046">
        <v>1404</v>
      </c>
      <c r="D6046" s="55" t="s">
        <v>325</v>
      </c>
      <c r="E6046" s="55" t="s">
        <v>331</v>
      </c>
      <c r="F6046" t="s">
        <v>1117</v>
      </c>
      <c r="G6046" s="62">
        <v>557</v>
      </c>
      <c r="H6046" s="25">
        <v>8.34</v>
      </c>
      <c r="I6046">
        <v>19280</v>
      </c>
      <c r="J6046">
        <v>3503</v>
      </c>
      <c r="K6046">
        <v>21</v>
      </c>
      <c r="L6046">
        <v>21</v>
      </c>
      <c r="M6046">
        <v>0</v>
      </c>
      <c r="N6046" s="23">
        <v>0</v>
      </c>
      <c r="O6046">
        <f t="shared" si="1131"/>
        <v>6</v>
      </c>
      <c r="P6046" s="57">
        <f t="shared" si="1132"/>
        <v>5</v>
      </c>
      <c r="Q6046" s="267">
        <f t="shared" si="1133"/>
        <v>2576</v>
      </c>
      <c r="R6046" s="23" t="str">
        <f t="shared" si="1134"/>
        <v/>
      </c>
      <c r="S6046" s="23">
        <f t="shared" si="1135"/>
        <v>557</v>
      </c>
      <c r="T6046" s="23" t="str">
        <f t="shared" si="1136"/>
        <v/>
      </c>
      <c r="U6046" t="str">
        <f t="shared" si="1137"/>
        <v/>
      </c>
      <c r="V6046" s="40"/>
      <c r="X6046" s="43"/>
      <c r="Y6046" s="53"/>
      <c r="Z6046" s="53"/>
      <c r="AA6046"/>
      <c r="AB6046"/>
      <c r="AC6046" s="23"/>
      <c r="AD6046" s="23"/>
      <c r="AF6046" s="22"/>
      <c r="AH6046" s="8"/>
      <c r="AL6046" s="23"/>
      <c r="AM6046" s="371"/>
      <c r="AN6046" s="372"/>
      <c r="AO6046" s="356"/>
      <c r="AP6046" s="356"/>
      <c r="AQ6046" s="394"/>
      <c r="AR6046" s="394"/>
      <c r="AS6046" s="394"/>
      <c r="AT6046" s="20"/>
      <c r="AU6046" s="29"/>
      <c r="AV6046"/>
      <c r="AW6046"/>
    </row>
    <row r="6047" spans="1:49">
      <c r="A6047" t="str">
        <f t="shared" si="1138"/>
        <v>PA_Alleg_2019p~Rep-school director plum (vote for 5)</v>
      </c>
      <c r="B6047" s="55" t="s">
        <v>1291</v>
      </c>
      <c r="C6047">
        <v>1403</v>
      </c>
      <c r="D6047" s="55" t="s">
        <v>325</v>
      </c>
      <c r="E6047" s="55" t="s">
        <v>330</v>
      </c>
      <c r="F6047" t="s">
        <v>1117</v>
      </c>
      <c r="G6047" s="62">
        <v>459</v>
      </c>
      <c r="H6047" s="25">
        <v>6.87</v>
      </c>
      <c r="I6047">
        <v>19280</v>
      </c>
      <c r="J6047">
        <v>3503</v>
      </c>
      <c r="K6047">
        <v>21</v>
      </c>
      <c r="L6047">
        <v>21</v>
      </c>
      <c r="M6047">
        <v>0</v>
      </c>
      <c r="N6047" s="23">
        <v>0</v>
      </c>
      <c r="O6047">
        <f t="shared" si="1131"/>
        <v>7</v>
      </c>
      <c r="P6047" s="57">
        <f t="shared" si="1132"/>
        <v>5</v>
      </c>
      <c r="Q6047" s="267">
        <f t="shared" si="1133"/>
        <v>2019</v>
      </c>
      <c r="R6047" s="23" t="str">
        <f t="shared" si="1134"/>
        <v/>
      </c>
      <c r="S6047" s="23">
        <f t="shared" si="1135"/>
        <v>459</v>
      </c>
      <c r="T6047" s="23" t="str">
        <f t="shared" si="1136"/>
        <v/>
      </c>
      <c r="U6047" t="str">
        <f t="shared" si="1137"/>
        <v/>
      </c>
      <c r="V6047" s="40"/>
      <c r="X6047" s="43"/>
      <c r="Y6047" s="53"/>
      <c r="Z6047" s="53"/>
      <c r="AA6047"/>
      <c r="AB6047"/>
      <c r="AC6047" s="23"/>
      <c r="AD6047" s="23"/>
      <c r="AF6047" s="22"/>
      <c r="AH6047" s="8"/>
      <c r="AL6047" s="23"/>
      <c r="AM6047" s="371"/>
      <c r="AN6047" s="372"/>
      <c r="AO6047" s="356"/>
      <c r="AP6047" s="356"/>
      <c r="AQ6047" s="394"/>
      <c r="AR6047" s="394"/>
      <c r="AS6047" s="394"/>
      <c r="AT6047" s="20"/>
      <c r="AU6047" s="29"/>
      <c r="AV6047"/>
      <c r="AW6047"/>
    </row>
    <row r="6048" spans="1:49">
      <c r="A6048" t="str">
        <f t="shared" si="1138"/>
        <v>PA_Alleg_2019p~Rep-school director plum (vote for 5)</v>
      </c>
      <c r="B6048" s="55" t="s">
        <v>1291</v>
      </c>
      <c r="C6048">
        <v>1406</v>
      </c>
      <c r="D6048" s="55" t="s">
        <v>325</v>
      </c>
      <c r="E6048" s="55" t="s">
        <v>334</v>
      </c>
      <c r="F6048" t="s">
        <v>1117</v>
      </c>
      <c r="G6048" s="62">
        <v>361</v>
      </c>
      <c r="H6048" s="25">
        <v>5.41</v>
      </c>
      <c r="I6048">
        <v>19280</v>
      </c>
      <c r="J6048">
        <v>3503</v>
      </c>
      <c r="K6048">
        <v>21</v>
      </c>
      <c r="L6048">
        <v>21</v>
      </c>
      <c r="M6048">
        <v>0</v>
      </c>
      <c r="N6048" s="23">
        <v>0</v>
      </c>
      <c r="O6048">
        <f t="shared" si="1131"/>
        <v>8</v>
      </c>
      <c r="P6048" s="57">
        <f t="shared" si="1132"/>
        <v>5</v>
      </c>
      <c r="Q6048" s="267">
        <f t="shared" si="1133"/>
        <v>1560</v>
      </c>
      <c r="R6048" s="23" t="str">
        <f t="shared" si="1134"/>
        <v/>
      </c>
      <c r="S6048" s="23">
        <f t="shared" si="1135"/>
        <v>361</v>
      </c>
      <c r="T6048" s="23" t="str">
        <f t="shared" si="1136"/>
        <v/>
      </c>
      <c r="U6048" t="str">
        <f t="shared" si="1137"/>
        <v/>
      </c>
      <c r="V6048" s="40"/>
      <c r="X6048" s="43"/>
      <c r="Y6048" s="53"/>
      <c r="Z6048" s="53"/>
      <c r="AA6048"/>
      <c r="AB6048"/>
      <c r="AC6048" s="23"/>
      <c r="AD6048" s="23"/>
      <c r="AF6048" s="22"/>
      <c r="AH6048" s="8"/>
      <c r="AL6048" s="23"/>
      <c r="AM6048" s="371"/>
      <c r="AN6048" s="372"/>
      <c r="AO6048" s="356"/>
      <c r="AP6048" s="356"/>
      <c r="AQ6048" s="394"/>
      <c r="AR6048" s="394"/>
      <c r="AS6048" s="394"/>
      <c r="AT6048" s="20"/>
      <c r="AU6048" s="29"/>
      <c r="AV6048"/>
      <c r="AW6048"/>
    </row>
    <row r="6049" spans="1:49">
      <c r="A6049" t="str">
        <f t="shared" si="1138"/>
        <v>PA_Alleg_2019p~Rep-school director plum (vote for 5)</v>
      </c>
      <c r="B6049" s="55" t="s">
        <v>1291</v>
      </c>
      <c r="C6049">
        <v>1409</v>
      </c>
      <c r="D6049" s="55" t="s">
        <v>325</v>
      </c>
      <c r="E6049" s="55" t="s">
        <v>333</v>
      </c>
      <c r="F6049" t="s">
        <v>1117</v>
      </c>
      <c r="G6049" s="62">
        <v>349</v>
      </c>
      <c r="H6049" s="25">
        <v>5.23</v>
      </c>
      <c r="I6049">
        <v>19280</v>
      </c>
      <c r="J6049">
        <v>3503</v>
      </c>
      <c r="K6049">
        <v>21</v>
      </c>
      <c r="L6049">
        <v>21</v>
      </c>
      <c r="M6049">
        <v>0</v>
      </c>
      <c r="N6049" s="23">
        <v>0</v>
      </c>
      <c r="O6049">
        <f t="shared" si="1131"/>
        <v>9</v>
      </c>
      <c r="P6049" s="57">
        <f t="shared" si="1132"/>
        <v>5</v>
      </c>
      <c r="Q6049" s="267">
        <f t="shared" si="1133"/>
        <v>1199</v>
      </c>
      <c r="R6049" s="23" t="str">
        <f t="shared" si="1134"/>
        <v/>
      </c>
      <c r="S6049" s="23">
        <f t="shared" si="1135"/>
        <v>349</v>
      </c>
      <c r="T6049" s="23" t="str">
        <f t="shared" si="1136"/>
        <v/>
      </c>
      <c r="U6049" t="str">
        <f t="shared" si="1137"/>
        <v/>
      </c>
      <c r="V6049" s="40"/>
      <c r="X6049" s="43"/>
      <c r="Y6049" s="53"/>
      <c r="Z6049" s="53"/>
      <c r="AA6049"/>
      <c r="AB6049"/>
      <c r="AC6049" s="23"/>
      <c r="AD6049" s="23"/>
      <c r="AF6049" s="22"/>
      <c r="AH6049" s="8"/>
      <c r="AL6049" s="23"/>
      <c r="AM6049" s="371"/>
      <c r="AN6049" s="372"/>
      <c r="AO6049" s="356"/>
      <c r="AP6049" s="356"/>
      <c r="AQ6049" s="394"/>
      <c r="AR6049" s="394"/>
      <c r="AS6049" s="394"/>
      <c r="AT6049" s="20"/>
      <c r="AU6049" s="29"/>
      <c r="AV6049"/>
      <c r="AW6049"/>
    </row>
    <row r="6050" spans="1:49">
      <c r="A6050" t="str">
        <f t="shared" si="1138"/>
        <v>PA_Alleg_2019p~Rep-school director plum (vote for 5)</v>
      </c>
      <c r="B6050" s="55" t="s">
        <v>1291</v>
      </c>
      <c r="C6050">
        <v>1413</v>
      </c>
      <c r="D6050" s="55" t="s">
        <v>325</v>
      </c>
      <c r="E6050" s="55" t="s">
        <v>328</v>
      </c>
      <c r="F6050" t="s">
        <v>1117</v>
      </c>
      <c r="G6050" s="62">
        <v>332</v>
      </c>
      <c r="H6050" s="25">
        <v>4.97</v>
      </c>
      <c r="I6050">
        <v>19280</v>
      </c>
      <c r="J6050">
        <v>3503</v>
      </c>
      <c r="K6050">
        <v>21</v>
      </c>
      <c r="L6050">
        <v>21</v>
      </c>
      <c r="M6050">
        <v>0</v>
      </c>
      <c r="N6050" s="23">
        <v>0</v>
      </c>
      <c r="O6050">
        <f t="shared" si="1131"/>
        <v>10</v>
      </c>
      <c r="P6050" s="57">
        <f t="shared" si="1132"/>
        <v>5</v>
      </c>
      <c r="Q6050" s="267">
        <f t="shared" si="1133"/>
        <v>850</v>
      </c>
      <c r="R6050" s="23" t="str">
        <f t="shared" si="1134"/>
        <v/>
      </c>
      <c r="S6050" s="23">
        <f t="shared" si="1135"/>
        <v>332</v>
      </c>
      <c r="T6050" s="23" t="str">
        <f t="shared" si="1136"/>
        <v/>
      </c>
      <c r="U6050" t="str">
        <f t="shared" si="1137"/>
        <v/>
      </c>
      <c r="V6050" s="40"/>
      <c r="X6050" s="43"/>
      <c r="Y6050" s="53"/>
      <c r="Z6050" s="53"/>
      <c r="AA6050"/>
      <c r="AB6050"/>
      <c r="AC6050" s="23"/>
      <c r="AD6050" s="23"/>
      <c r="AF6050" s="22"/>
      <c r="AH6050" s="8"/>
      <c r="AL6050" s="23"/>
      <c r="AM6050" s="371"/>
      <c r="AN6050" s="372"/>
      <c r="AO6050" s="356"/>
      <c r="AP6050" s="356"/>
      <c r="AQ6050" s="394"/>
      <c r="AR6050" s="394"/>
      <c r="AS6050" s="394"/>
      <c r="AT6050" s="20"/>
      <c r="AU6050" s="29"/>
      <c r="AV6050"/>
      <c r="AW6050"/>
    </row>
    <row r="6051" spans="1:49">
      <c r="A6051" t="str">
        <f t="shared" si="1138"/>
        <v>PA_Alleg_2019p~Rep-school director plum (vote for 5)</v>
      </c>
      <c r="B6051" s="55" t="s">
        <v>1291</v>
      </c>
      <c r="C6051">
        <v>1411</v>
      </c>
      <c r="D6051" s="55" t="s">
        <v>325</v>
      </c>
      <c r="E6051" s="55" t="s">
        <v>335</v>
      </c>
      <c r="F6051" t="s">
        <v>1117</v>
      </c>
      <c r="G6051" s="62">
        <v>301</v>
      </c>
      <c r="H6051" s="25">
        <v>4.51</v>
      </c>
      <c r="I6051">
        <v>19280</v>
      </c>
      <c r="J6051">
        <v>3503</v>
      </c>
      <c r="K6051">
        <v>21</v>
      </c>
      <c r="L6051">
        <v>21</v>
      </c>
      <c r="M6051">
        <v>0</v>
      </c>
      <c r="N6051" s="23">
        <v>0</v>
      </c>
      <c r="O6051">
        <f t="shared" si="1131"/>
        <v>11</v>
      </c>
      <c r="P6051" s="57">
        <f t="shared" si="1132"/>
        <v>5</v>
      </c>
      <c r="Q6051" s="267">
        <f t="shared" si="1133"/>
        <v>518</v>
      </c>
      <c r="R6051" s="23" t="str">
        <f t="shared" si="1134"/>
        <v/>
      </c>
      <c r="S6051" s="23">
        <f t="shared" si="1135"/>
        <v>301</v>
      </c>
      <c r="T6051" s="23" t="str">
        <f t="shared" si="1136"/>
        <v/>
      </c>
      <c r="U6051" t="str">
        <f t="shared" si="1137"/>
        <v/>
      </c>
      <c r="V6051" s="40"/>
      <c r="X6051" s="43"/>
      <c r="Y6051" s="53"/>
      <c r="Z6051" s="53"/>
      <c r="AA6051"/>
      <c r="AB6051"/>
      <c r="AC6051" s="23"/>
      <c r="AD6051" s="23"/>
      <c r="AF6051" s="22"/>
      <c r="AH6051" s="8"/>
      <c r="AM6051" s="371"/>
      <c r="AN6051" s="372"/>
      <c r="AO6051" s="356"/>
      <c r="AP6051" s="356"/>
      <c r="AQ6051" s="394"/>
      <c r="AR6051" s="394"/>
      <c r="AS6051" s="394"/>
      <c r="AT6051" s="20"/>
      <c r="AU6051" s="29"/>
      <c r="AV6051"/>
      <c r="AW6051"/>
    </row>
    <row r="6052" spans="1:49">
      <c r="A6052" t="str">
        <f t="shared" si="1138"/>
        <v>PA_Alleg_2019p~Rep-school director plum (vote for 5)</v>
      </c>
      <c r="B6052" s="55" t="s">
        <v>1291</v>
      </c>
      <c r="C6052">
        <v>1405</v>
      </c>
      <c r="D6052" s="55" t="s">
        <v>325</v>
      </c>
      <c r="E6052" s="55" t="s">
        <v>339</v>
      </c>
      <c r="F6052" t="s">
        <v>1117</v>
      </c>
      <c r="G6052" s="62">
        <v>165</v>
      </c>
      <c r="H6052" s="25">
        <v>2.4700000000000002</v>
      </c>
      <c r="I6052">
        <v>19280</v>
      </c>
      <c r="J6052">
        <v>3503</v>
      </c>
      <c r="K6052">
        <v>21</v>
      </c>
      <c r="L6052">
        <v>21</v>
      </c>
      <c r="M6052">
        <v>0</v>
      </c>
      <c r="N6052" s="23">
        <v>0</v>
      </c>
      <c r="O6052">
        <f t="shared" si="1131"/>
        <v>12</v>
      </c>
      <c r="P6052" s="57">
        <f t="shared" si="1132"/>
        <v>5</v>
      </c>
      <c r="Q6052" s="267">
        <f t="shared" si="1133"/>
        <v>217</v>
      </c>
      <c r="R6052" s="23" t="str">
        <f t="shared" si="1134"/>
        <v/>
      </c>
      <c r="S6052" s="23">
        <f t="shared" si="1135"/>
        <v>165</v>
      </c>
      <c r="T6052" s="23" t="str">
        <f t="shared" si="1136"/>
        <v/>
      </c>
      <c r="U6052" t="str">
        <f t="shared" si="1137"/>
        <v/>
      </c>
      <c r="V6052" s="40"/>
      <c r="X6052" s="43"/>
      <c r="Y6052" s="53"/>
      <c r="Z6052" s="53"/>
      <c r="AA6052"/>
      <c r="AB6052"/>
      <c r="AC6052" s="23"/>
      <c r="AD6052" s="23"/>
      <c r="AF6052" s="22"/>
      <c r="AM6052" s="371"/>
      <c r="AN6052" s="372"/>
      <c r="AO6052" s="356"/>
      <c r="AP6052" s="356"/>
      <c r="AQ6052" s="394"/>
      <c r="AR6052" s="394"/>
      <c r="AS6052" s="394"/>
      <c r="AT6052" s="20"/>
      <c r="AU6052" s="29"/>
      <c r="AV6052"/>
      <c r="AW6052"/>
    </row>
    <row r="6053" spans="1:49">
      <c r="A6053" t="str">
        <f t="shared" si="1138"/>
        <v>PA_Alleg_2019p~Rep-school director plum (vote for 5)</v>
      </c>
      <c r="B6053" s="55" t="s">
        <v>1291</v>
      </c>
      <c r="C6053">
        <v>1414</v>
      </c>
      <c r="D6053" s="55" t="s">
        <v>325</v>
      </c>
      <c r="E6053" s="55" t="s">
        <v>15</v>
      </c>
      <c r="F6053" t="s">
        <v>1117</v>
      </c>
      <c r="G6053" s="62">
        <v>52</v>
      </c>
      <c r="H6053" s="25">
        <v>0.78</v>
      </c>
      <c r="I6053">
        <v>19280</v>
      </c>
      <c r="J6053">
        <v>3503</v>
      </c>
      <c r="K6053">
        <v>21</v>
      </c>
      <c r="L6053">
        <v>21</v>
      </c>
      <c r="M6053">
        <v>0</v>
      </c>
      <c r="N6053" s="23">
        <v>0</v>
      </c>
      <c r="O6053">
        <f t="shared" si="1131"/>
        <v>-12</v>
      </c>
      <c r="P6053" s="57">
        <f t="shared" si="1132"/>
        <v>5</v>
      </c>
      <c r="Q6053" s="267">
        <f t="shared" si="1133"/>
        <v>52</v>
      </c>
      <c r="R6053" s="23">
        <f t="shared" si="1134"/>
        <v>1</v>
      </c>
      <c r="S6053" s="23">
        <f t="shared" si="1135"/>
        <v>0</v>
      </c>
      <c r="T6053" s="23" t="str">
        <f t="shared" si="1136"/>
        <v/>
      </c>
      <c r="U6053" t="str">
        <f t="shared" si="1137"/>
        <v/>
      </c>
      <c r="V6053" s="40"/>
      <c r="X6053" s="43"/>
      <c r="Y6053" s="53"/>
      <c r="Z6053" s="53"/>
      <c r="AA6053"/>
      <c r="AB6053"/>
      <c r="AC6053" s="23"/>
      <c r="AD6053" s="23"/>
      <c r="AF6053" s="22"/>
      <c r="AM6053" s="371"/>
      <c r="AN6053" s="372"/>
      <c r="AO6053" s="356"/>
      <c r="AP6053" s="356"/>
      <c r="AQ6053" s="394"/>
      <c r="AR6053" s="394"/>
      <c r="AS6053" s="394"/>
      <c r="AT6053" s="20"/>
      <c r="AU6053" s="29"/>
      <c r="AV6053"/>
      <c r="AW6053"/>
    </row>
    <row r="6054" spans="1:49">
      <c r="A6054" t="str">
        <f t="shared" si="1138"/>
        <v>PA_Alleg_2019p~Rep-school director quaker valley region 1 (vote for 1)</v>
      </c>
      <c r="B6054" s="55" t="s">
        <v>1291</v>
      </c>
      <c r="C6054">
        <v>1450</v>
      </c>
      <c r="D6054" s="55" t="s">
        <v>381</v>
      </c>
      <c r="E6054" s="55" t="s">
        <v>382</v>
      </c>
      <c r="F6054" t="s">
        <v>1117</v>
      </c>
      <c r="G6054" s="62">
        <v>188</v>
      </c>
      <c r="H6054" s="25">
        <v>94</v>
      </c>
      <c r="I6054">
        <v>3244</v>
      </c>
      <c r="J6054">
        <v>581</v>
      </c>
      <c r="K6054">
        <v>4</v>
      </c>
      <c r="L6054">
        <v>4</v>
      </c>
      <c r="M6054">
        <v>0</v>
      </c>
      <c r="N6054" s="23">
        <v>0</v>
      </c>
      <c r="O6054">
        <f t="shared" si="1131"/>
        <v>1</v>
      </c>
      <c r="P6054" s="57">
        <f t="shared" si="1132"/>
        <v>1</v>
      </c>
      <c r="Q6054" s="267">
        <f t="shared" si="1133"/>
        <v>200</v>
      </c>
      <c r="R6054" s="23">
        <f t="shared" si="1134"/>
        <v>188</v>
      </c>
      <c r="S6054" s="23">
        <f t="shared" si="1135"/>
        <v>0</v>
      </c>
      <c r="T6054" s="23" t="str">
        <f t="shared" si="1136"/>
        <v/>
      </c>
      <c r="U6054" t="str">
        <f t="shared" si="1137"/>
        <v>PA_Alleg_2019p~Rep-school director quaker valley region 1 (vote for 1)</v>
      </c>
      <c r="V6054" s="40"/>
      <c r="X6054" s="43"/>
      <c r="Y6054" s="53"/>
      <c r="Z6054" s="53"/>
      <c r="AA6054"/>
      <c r="AB6054"/>
      <c r="AC6054" s="23"/>
      <c r="AD6054" s="23"/>
      <c r="AF6054" s="22"/>
      <c r="AM6054" s="371"/>
      <c r="AN6054" s="372"/>
      <c r="AO6054" s="356"/>
      <c r="AP6054" s="356"/>
      <c r="AQ6054" s="394"/>
      <c r="AR6054" s="394"/>
      <c r="AS6054" s="394"/>
      <c r="AT6054" s="20"/>
      <c r="AU6054" s="29"/>
      <c r="AV6054"/>
      <c r="AW6054"/>
    </row>
    <row r="6055" spans="1:49">
      <c r="A6055" t="str">
        <f t="shared" si="1138"/>
        <v>PA_Alleg_2019p~Rep-school director quaker valley region 1 (vote for 1)</v>
      </c>
      <c r="B6055" s="55" t="s">
        <v>1291</v>
      </c>
      <c r="C6055">
        <v>1451</v>
      </c>
      <c r="D6055" s="55" t="s">
        <v>381</v>
      </c>
      <c r="E6055" s="55" t="s">
        <v>15</v>
      </c>
      <c r="F6055" t="s">
        <v>1117</v>
      </c>
      <c r="G6055" s="62">
        <v>12</v>
      </c>
      <c r="H6055" s="25">
        <v>6</v>
      </c>
      <c r="I6055">
        <v>3244</v>
      </c>
      <c r="J6055">
        <v>581</v>
      </c>
      <c r="K6055">
        <v>4</v>
      </c>
      <c r="L6055">
        <v>4</v>
      </c>
      <c r="M6055">
        <v>0</v>
      </c>
      <c r="N6055" s="23">
        <v>0</v>
      </c>
      <c r="O6055">
        <f t="shared" si="1131"/>
        <v>-1</v>
      </c>
      <c r="P6055" s="57">
        <f t="shared" si="1132"/>
        <v>1</v>
      </c>
      <c r="Q6055" s="267">
        <f t="shared" si="1133"/>
        <v>12</v>
      </c>
      <c r="R6055" s="23">
        <f t="shared" si="1134"/>
        <v>1</v>
      </c>
      <c r="S6055" s="23">
        <f t="shared" si="1135"/>
        <v>0</v>
      </c>
      <c r="T6055" s="23" t="str">
        <f t="shared" si="1136"/>
        <v/>
      </c>
      <c r="U6055" t="str">
        <f t="shared" si="1137"/>
        <v/>
      </c>
      <c r="V6055" s="40"/>
      <c r="X6055" s="43"/>
      <c r="Y6055" s="53"/>
      <c r="Z6055" s="53"/>
      <c r="AA6055"/>
      <c r="AB6055"/>
      <c r="AC6055" s="23"/>
      <c r="AD6055" s="23"/>
      <c r="AF6055" s="22"/>
      <c r="AM6055" s="371"/>
      <c r="AN6055" s="372"/>
      <c r="AO6055" s="356"/>
      <c r="AP6055" s="356"/>
      <c r="AQ6055" s="394"/>
      <c r="AR6055" s="394"/>
      <c r="AS6055" s="394"/>
      <c r="AT6055" s="20"/>
      <c r="AU6055" s="29"/>
      <c r="AV6055"/>
      <c r="AW6055"/>
    </row>
    <row r="6056" spans="1:49">
      <c r="A6056" t="str">
        <f t="shared" si="1138"/>
        <v>PA_Alleg_2019p~Rep-school director quaker valley region 2 (vote for 2)</v>
      </c>
      <c r="B6056" s="55" t="s">
        <v>1291</v>
      </c>
      <c r="C6056">
        <v>1465</v>
      </c>
      <c r="D6056" s="55" t="s">
        <v>395</v>
      </c>
      <c r="E6056" s="55" t="s">
        <v>396</v>
      </c>
      <c r="F6056" t="s">
        <v>1117</v>
      </c>
      <c r="G6056" s="62">
        <v>159</v>
      </c>
      <c r="H6056" s="25">
        <v>52.3</v>
      </c>
      <c r="I6056">
        <v>3263</v>
      </c>
      <c r="J6056">
        <v>522</v>
      </c>
      <c r="K6056">
        <v>4</v>
      </c>
      <c r="L6056">
        <v>4</v>
      </c>
      <c r="M6056">
        <v>0</v>
      </c>
      <c r="N6056" s="23">
        <v>0</v>
      </c>
      <c r="O6056">
        <f t="shared" si="1131"/>
        <v>1</v>
      </c>
      <c r="P6056" s="57">
        <f t="shared" si="1132"/>
        <v>2</v>
      </c>
      <c r="Q6056" s="267">
        <f t="shared" si="1133"/>
        <v>159</v>
      </c>
      <c r="R6056" s="23">
        <f t="shared" si="1134"/>
        <v>72</v>
      </c>
      <c r="S6056" s="23">
        <f t="shared" si="1135"/>
        <v>65</v>
      </c>
      <c r="T6056" s="23">
        <f t="shared" si="1136"/>
        <v>7</v>
      </c>
      <c r="U6056" t="str">
        <f t="shared" si="1137"/>
        <v>PA_Alleg_2019p~Rep-school director quaker valley region 2 (vote for 2)</v>
      </c>
      <c r="V6056" s="40"/>
      <c r="X6056" s="43"/>
      <c r="Y6056" s="53"/>
      <c r="Z6056" s="53"/>
      <c r="AA6056"/>
      <c r="AB6056"/>
      <c r="AC6056" s="23"/>
      <c r="AD6056" s="23"/>
      <c r="AF6056" s="22"/>
      <c r="AM6056" s="371"/>
      <c r="AN6056" s="372"/>
      <c r="AO6056" s="356"/>
      <c r="AP6056" s="356"/>
      <c r="AQ6056" s="394"/>
      <c r="AR6056" s="394"/>
      <c r="AS6056" s="394"/>
      <c r="AT6056" s="20"/>
      <c r="AU6056" s="29"/>
      <c r="AV6056"/>
      <c r="AW6056"/>
    </row>
    <row r="6057" spans="1:49">
      <c r="A6057" t="str">
        <f t="shared" si="1138"/>
        <v>PA_Alleg_2019p~Rep-school director quaker valley region 2 (vote for 2)</v>
      </c>
      <c r="B6057" s="55" t="s">
        <v>1291</v>
      </c>
      <c r="C6057">
        <v>1464</v>
      </c>
      <c r="D6057" s="55" t="s">
        <v>395</v>
      </c>
      <c r="E6057" s="55" t="s">
        <v>398</v>
      </c>
      <c r="F6057" t="s">
        <v>1117</v>
      </c>
      <c r="G6057" s="62">
        <v>72</v>
      </c>
      <c r="H6057" s="25">
        <v>23.68</v>
      </c>
      <c r="I6057">
        <v>3263</v>
      </c>
      <c r="J6057">
        <v>522</v>
      </c>
      <c r="K6057">
        <v>4</v>
      </c>
      <c r="L6057">
        <v>4</v>
      </c>
      <c r="M6057">
        <v>0</v>
      </c>
      <c r="N6057" s="23">
        <v>0</v>
      </c>
      <c r="O6057">
        <f t="shared" si="1131"/>
        <v>2</v>
      </c>
      <c r="P6057" s="57">
        <f t="shared" si="1132"/>
        <v>2</v>
      </c>
      <c r="Q6057" s="267">
        <f t="shared" si="1133"/>
        <v>145</v>
      </c>
      <c r="R6057" s="23">
        <f t="shared" si="1134"/>
        <v>72</v>
      </c>
      <c r="S6057" s="23">
        <f t="shared" si="1135"/>
        <v>65</v>
      </c>
      <c r="T6057" s="23" t="str">
        <f t="shared" si="1136"/>
        <v/>
      </c>
      <c r="U6057" t="str">
        <f t="shared" si="1137"/>
        <v/>
      </c>
      <c r="V6057" s="40"/>
      <c r="X6057" s="43"/>
      <c r="Y6057" s="53"/>
      <c r="Z6057" s="53"/>
      <c r="AA6057"/>
      <c r="AB6057"/>
      <c r="AC6057" s="23"/>
      <c r="AD6057" s="23"/>
      <c r="AF6057" s="22"/>
      <c r="AM6057" s="371"/>
      <c r="AN6057" s="372"/>
      <c r="AO6057" s="356"/>
      <c r="AP6057" s="356"/>
      <c r="AQ6057" s="394"/>
      <c r="AR6057" s="394"/>
      <c r="AS6057" s="394"/>
      <c r="AT6057" s="20"/>
      <c r="AU6057" s="29"/>
      <c r="AV6057"/>
      <c r="AW6057"/>
    </row>
    <row r="6058" spans="1:49">
      <c r="A6058" t="str">
        <f t="shared" si="1138"/>
        <v>PA_Alleg_2019p~Rep-school director quaker valley region 2 (vote for 2)</v>
      </c>
      <c r="B6058" s="55" t="s">
        <v>1291</v>
      </c>
      <c r="C6058">
        <v>1466</v>
      </c>
      <c r="D6058" s="55" t="s">
        <v>395</v>
      </c>
      <c r="E6058" s="55" t="s">
        <v>397</v>
      </c>
      <c r="F6058" t="s">
        <v>1117</v>
      </c>
      <c r="G6058" s="62">
        <v>65</v>
      </c>
      <c r="H6058" s="25">
        <v>21.38</v>
      </c>
      <c r="I6058">
        <v>3263</v>
      </c>
      <c r="J6058">
        <v>522</v>
      </c>
      <c r="K6058">
        <v>4</v>
      </c>
      <c r="L6058">
        <v>4</v>
      </c>
      <c r="M6058">
        <v>0</v>
      </c>
      <c r="N6058" s="23">
        <v>0</v>
      </c>
      <c r="O6058">
        <f t="shared" si="1131"/>
        <v>3</v>
      </c>
      <c r="P6058" s="57">
        <f t="shared" si="1132"/>
        <v>2</v>
      </c>
      <c r="Q6058" s="267">
        <f t="shared" si="1133"/>
        <v>73</v>
      </c>
      <c r="R6058" s="23" t="str">
        <f t="shared" si="1134"/>
        <v/>
      </c>
      <c r="S6058" s="23">
        <f t="shared" si="1135"/>
        <v>65</v>
      </c>
      <c r="T6058" s="23" t="str">
        <f t="shared" si="1136"/>
        <v/>
      </c>
      <c r="U6058" t="str">
        <f t="shared" si="1137"/>
        <v/>
      </c>
      <c r="V6058" s="40"/>
      <c r="X6058" s="43"/>
      <c r="Y6058" s="53"/>
      <c r="Z6058" s="53"/>
      <c r="AA6058"/>
      <c r="AB6058"/>
      <c r="AC6058" s="23"/>
      <c r="AD6058" s="23"/>
      <c r="AF6058" s="22"/>
      <c r="AM6058" s="371"/>
      <c r="AN6058" s="372"/>
      <c r="AO6058" s="356"/>
      <c r="AP6058" s="356"/>
      <c r="AQ6058" s="394"/>
      <c r="AR6058" s="394"/>
      <c r="AS6058" s="394"/>
      <c r="AT6058" s="20"/>
      <c r="AU6058" s="29"/>
      <c r="AV6058"/>
      <c r="AW6058"/>
    </row>
    <row r="6059" spans="1:49">
      <c r="A6059" t="str">
        <f t="shared" si="1138"/>
        <v>PA_Alleg_2019p~Rep-school director quaker valley region 2 (vote for 2)</v>
      </c>
      <c r="B6059" s="55" t="s">
        <v>1291</v>
      </c>
      <c r="C6059">
        <v>1467</v>
      </c>
      <c r="D6059" s="55" t="s">
        <v>395</v>
      </c>
      <c r="E6059" s="55" t="s">
        <v>15</v>
      </c>
      <c r="F6059" t="s">
        <v>1117</v>
      </c>
      <c r="G6059" s="62">
        <v>8</v>
      </c>
      <c r="H6059" s="25">
        <v>2.63</v>
      </c>
      <c r="I6059">
        <v>3263</v>
      </c>
      <c r="J6059">
        <v>522</v>
      </c>
      <c r="K6059">
        <v>4</v>
      </c>
      <c r="L6059">
        <v>4</v>
      </c>
      <c r="M6059">
        <v>0</v>
      </c>
      <c r="N6059" s="23">
        <v>0</v>
      </c>
      <c r="O6059">
        <f t="shared" si="1131"/>
        <v>-3</v>
      </c>
      <c r="P6059" s="57">
        <f t="shared" si="1132"/>
        <v>2</v>
      </c>
      <c r="Q6059" s="267">
        <f t="shared" si="1133"/>
        <v>8</v>
      </c>
      <c r="R6059" s="23">
        <f t="shared" si="1134"/>
        <v>1</v>
      </c>
      <c r="S6059" s="23">
        <f t="shared" si="1135"/>
        <v>0</v>
      </c>
      <c r="T6059" s="23" t="str">
        <f t="shared" si="1136"/>
        <v/>
      </c>
      <c r="U6059" t="str">
        <f t="shared" si="1137"/>
        <v/>
      </c>
      <c r="V6059" s="40"/>
      <c r="X6059" s="43"/>
      <c r="Y6059" s="53"/>
      <c r="Z6059" s="53"/>
      <c r="AA6059"/>
      <c r="AB6059"/>
      <c r="AC6059" s="23"/>
      <c r="AD6059" s="23"/>
      <c r="AF6059" s="22"/>
      <c r="AM6059" s="371"/>
      <c r="AN6059" s="372"/>
      <c r="AO6059" s="356"/>
      <c r="AP6059" s="356"/>
      <c r="AQ6059" s="394"/>
      <c r="AR6059" s="394"/>
      <c r="AS6059" s="394"/>
      <c r="AT6059" s="20"/>
      <c r="AU6059" s="29"/>
      <c r="AV6059"/>
      <c r="AW6059"/>
    </row>
    <row r="6060" spans="1:49">
      <c r="A6060" t="str">
        <f t="shared" si="1138"/>
        <v>PA_Alleg_2019p~Rep-school director quaker valley region 3 (vote for 2)</v>
      </c>
      <c r="B6060" s="55" t="s">
        <v>1291</v>
      </c>
      <c r="C6060">
        <v>1499</v>
      </c>
      <c r="D6060" s="55" t="s">
        <v>433</v>
      </c>
      <c r="E6060" s="55" t="s">
        <v>435</v>
      </c>
      <c r="F6060" t="s">
        <v>1117</v>
      </c>
      <c r="G6060" s="62">
        <v>301</v>
      </c>
      <c r="H6060" s="25">
        <v>52.62</v>
      </c>
      <c r="I6060">
        <v>4864</v>
      </c>
      <c r="J6060">
        <v>776</v>
      </c>
      <c r="K6060">
        <v>8</v>
      </c>
      <c r="L6060">
        <v>8</v>
      </c>
      <c r="M6060">
        <v>0</v>
      </c>
      <c r="N6060" s="23">
        <v>0</v>
      </c>
      <c r="O6060">
        <f t="shared" si="1131"/>
        <v>1</v>
      </c>
      <c r="P6060" s="57">
        <f t="shared" si="1132"/>
        <v>2</v>
      </c>
      <c r="Q6060" s="267">
        <f t="shared" si="1133"/>
        <v>301</v>
      </c>
      <c r="R6060" s="23">
        <f t="shared" si="1134"/>
        <v>259</v>
      </c>
      <c r="S6060" s="23">
        <f t="shared" si="1135"/>
        <v>0</v>
      </c>
      <c r="T6060" s="23" t="str">
        <f t="shared" si="1136"/>
        <v/>
      </c>
      <c r="U6060" t="str">
        <f t="shared" si="1137"/>
        <v>PA_Alleg_2019p~Rep-school director quaker valley region 3 (vote for 2)</v>
      </c>
      <c r="V6060" s="40"/>
      <c r="X6060" s="43"/>
      <c r="Y6060" s="53"/>
      <c r="Z6060" s="53"/>
      <c r="AA6060"/>
      <c r="AB6060"/>
      <c r="AC6060" s="23"/>
      <c r="AD6060" s="23"/>
      <c r="AF6060" s="22"/>
      <c r="AM6060" s="371"/>
      <c r="AN6060" s="372"/>
      <c r="AO6060" s="356"/>
      <c r="AP6060" s="356"/>
      <c r="AQ6060" s="394"/>
      <c r="AR6060" s="394"/>
      <c r="AS6060" s="394"/>
      <c r="AT6060" s="20"/>
      <c r="AU6060" s="29"/>
      <c r="AV6060"/>
      <c r="AW6060"/>
    </row>
    <row r="6061" spans="1:49">
      <c r="A6061" t="str">
        <f t="shared" si="1138"/>
        <v>PA_Alleg_2019p~Rep-school director quaker valley region 3 (vote for 2)</v>
      </c>
      <c r="B6061" s="55" t="s">
        <v>1291</v>
      </c>
      <c r="C6061">
        <v>1498</v>
      </c>
      <c r="D6061" s="55" t="s">
        <v>433</v>
      </c>
      <c r="E6061" s="55" t="s">
        <v>434</v>
      </c>
      <c r="F6061" t="s">
        <v>1117</v>
      </c>
      <c r="G6061" s="62">
        <v>259</v>
      </c>
      <c r="H6061" s="25">
        <v>45.28</v>
      </c>
      <c r="I6061">
        <v>4864</v>
      </c>
      <c r="J6061">
        <v>776</v>
      </c>
      <c r="K6061">
        <v>8</v>
      </c>
      <c r="L6061">
        <v>8</v>
      </c>
      <c r="M6061">
        <v>0</v>
      </c>
      <c r="N6061" s="23">
        <v>0</v>
      </c>
      <c r="O6061">
        <f t="shared" si="1131"/>
        <v>2</v>
      </c>
      <c r="P6061" s="57">
        <f t="shared" si="1132"/>
        <v>2</v>
      </c>
      <c r="Q6061" s="267">
        <f t="shared" si="1133"/>
        <v>271</v>
      </c>
      <c r="R6061" s="23">
        <f t="shared" si="1134"/>
        <v>259</v>
      </c>
      <c r="S6061" s="23">
        <f t="shared" si="1135"/>
        <v>0</v>
      </c>
      <c r="T6061" s="23" t="str">
        <f t="shared" si="1136"/>
        <v/>
      </c>
      <c r="U6061" t="str">
        <f t="shared" si="1137"/>
        <v/>
      </c>
      <c r="V6061" s="40"/>
      <c r="X6061" s="43"/>
      <c r="Y6061" s="53"/>
      <c r="Z6061" s="53"/>
      <c r="AA6061"/>
      <c r="AB6061"/>
      <c r="AC6061" s="23"/>
      <c r="AD6061" s="23"/>
      <c r="AF6061" s="22"/>
      <c r="AM6061" s="371"/>
      <c r="AN6061" s="372"/>
      <c r="AO6061" s="356"/>
      <c r="AP6061" s="356"/>
      <c r="AQ6061" s="394"/>
      <c r="AR6061" s="394"/>
      <c r="AS6061" s="394"/>
      <c r="AT6061" s="20"/>
      <c r="AU6061" s="29"/>
      <c r="AV6061"/>
      <c r="AW6061"/>
    </row>
    <row r="6062" spans="1:49">
      <c r="A6062" t="str">
        <f t="shared" si="1138"/>
        <v>PA_Alleg_2019p~Rep-school director quaker valley region 3 (vote for 2)</v>
      </c>
      <c r="B6062" s="55" t="s">
        <v>1291</v>
      </c>
      <c r="C6062">
        <v>1500</v>
      </c>
      <c r="D6062" s="55" t="s">
        <v>433</v>
      </c>
      <c r="E6062" s="55" t="s">
        <v>15</v>
      </c>
      <c r="F6062" t="s">
        <v>1117</v>
      </c>
      <c r="G6062" s="62">
        <v>12</v>
      </c>
      <c r="H6062" s="25">
        <v>2.1</v>
      </c>
      <c r="I6062">
        <v>4864</v>
      </c>
      <c r="J6062">
        <v>776</v>
      </c>
      <c r="K6062">
        <v>8</v>
      </c>
      <c r="L6062">
        <v>8</v>
      </c>
      <c r="M6062">
        <v>0</v>
      </c>
      <c r="N6062" s="23">
        <v>0</v>
      </c>
      <c r="O6062">
        <f t="shared" si="1131"/>
        <v>-2</v>
      </c>
      <c r="P6062" s="57">
        <f t="shared" si="1132"/>
        <v>2</v>
      </c>
      <c r="Q6062" s="267">
        <f t="shared" si="1133"/>
        <v>12</v>
      </c>
      <c r="R6062" s="23">
        <f t="shared" si="1134"/>
        <v>1</v>
      </c>
      <c r="S6062" s="23">
        <f t="shared" si="1135"/>
        <v>0</v>
      </c>
      <c r="T6062" s="23" t="str">
        <f t="shared" si="1136"/>
        <v/>
      </c>
      <c r="U6062" t="str">
        <f t="shared" si="1137"/>
        <v/>
      </c>
      <c r="V6062" s="40"/>
      <c r="X6062" s="43"/>
      <c r="Y6062" s="53"/>
      <c r="Z6062" s="53"/>
      <c r="AA6062"/>
      <c r="AB6062"/>
      <c r="AC6062" s="23"/>
      <c r="AD6062" s="23"/>
      <c r="AF6062" s="22"/>
      <c r="AM6062" s="371"/>
      <c r="AN6062" s="372"/>
      <c r="AO6062" s="356"/>
      <c r="AP6062" s="356"/>
      <c r="AQ6062" s="394"/>
      <c r="AR6062" s="394"/>
      <c r="AS6062" s="394"/>
      <c r="AT6062" s="20"/>
      <c r="AU6062" s="29"/>
      <c r="AV6062"/>
      <c r="AW6062"/>
    </row>
    <row r="6063" spans="1:49">
      <c r="A6063" t="str">
        <f t="shared" si="1138"/>
        <v>PA_Alleg_2019p~Rep-school director riverview (vote for 5)</v>
      </c>
      <c r="B6063" s="55" t="s">
        <v>1291</v>
      </c>
      <c r="C6063">
        <v>1336</v>
      </c>
      <c r="D6063" s="55" t="s">
        <v>252</v>
      </c>
      <c r="E6063" s="55" t="s">
        <v>259</v>
      </c>
      <c r="F6063" t="s">
        <v>1117</v>
      </c>
      <c r="G6063" s="62">
        <v>275</v>
      </c>
      <c r="H6063" s="25">
        <v>19.41</v>
      </c>
      <c r="I6063">
        <v>7253</v>
      </c>
      <c r="J6063">
        <v>1526</v>
      </c>
      <c r="K6063">
        <v>9</v>
      </c>
      <c r="L6063">
        <v>9</v>
      </c>
      <c r="M6063">
        <v>0</v>
      </c>
      <c r="N6063" s="23">
        <v>0</v>
      </c>
      <c r="O6063">
        <f t="shared" si="1131"/>
        <v>1</v>
      </c>
      <c r="P6063" s="57">
        <f t="shared" si="1132"/>
        <v>5</v>
      </c>
      <c r="Q6063" s="267">
        <f t="shared" si="1133"/>
        <v>283.39999999999998</v>
      </c>
      <c r="R6063" s="23">
        <f t="shared" si="1134"/>
        <v>193</v>
      </c>
      <c r="S6063" s="23">
        <f t="shared" si="1135"/>
        <v>163</v>
      </c>
      <c r="T6063" s="23">
        <f t="shared" si="1136"/>
        <v>30</v>
      </c>
      <c r="U6063" t="str">
        <f t="shared" si="1137"/>
        <v>PA_Alleg_2019p~Rep-school director riverview (vote for 5)</v>
      </c>
      <c r="V6063" s="40"/>
      <c r="X6063" s="43"/>
      <c r="Y6063" s="53"/>
      <c r="Z6063" s="53"/>
      <c r="AA6063"/>
      <c r="AB6063"/>
      <c r="AC6063" s="23"/>
      <c r="AD6063" s="23"/>
      <c r="AF6063" s="22"/>
      <c r="AM6063" s="371"/>
      <c r="AN6063" s="372"/>
      <c r="AO6063" s="356"/>
      <c r="AP6063" s="356"/>
      <c r="AQ6063" s="394"/>
      <c r="AR6063" s="394"/>
      <c r="AS6063" s="394"/>
      <c r="AT6063" s="20"/>
      <c r="AU6063" s="29"/>
      <c r="AV6063"/>
      <c r="AW6063"/>
    </row>
    <row r="6064" spans="1:49">
      <c r="A6064" t="str">
        <f t="shared" si="1138"/>
        <v>PA_Alleg_2019p~Rep-school director riverview (vote for 5)</v>
      </c>
      <c r="B6064" s="55" t="s">
        <v>1291</v>
      </c>
      <c r="C6064">
        <v>1337</v>
      </c>
      <c r="D6064" s="55" t="s">
        <v>252</v>
      </c>
      <c r="E6064" s="55" t="s">
        <v>253</v>
      </c>
      <c r="F6064" t="s">
        <v>1117</v>
      </c>
      <c r="G6064" s="62">
        <v>241</v>
      </c>
      <c r="H6064" s="25">
        <v>17.010000000000002</v>
      </c>
      <c r="I6064">
        <v>7253</v>
      </c>
      <c r="J6064">
        <v>1526</v>
      </c>
      <c r="K6064">
        <v>9</v>
      </c>
      <c r="L6064">
        <v>9</v>
      </c>
      <c r="M6064">
        <v>0</v>
      </c>
      <c r="N6064" s="23">
        <v>0</v>
      </c>
      <c r="O6064">
        <f t="shared" si="1131"/>
        <v>2</v>
      </c>
      <c r="P6064" s="57">
        <f t="shared" si="1132"/>
        <v>5</v>
      </c>
      <c r="Q6064" s="267">
        <f t="shared" si="1133"/>
        <v>1142</v>
      </c>
      <c r="R6064" s="23">
        <f t="shared" si="1134"/>
        <v>193</v>
      </c>
      <c r="S6064" s="23">
        <f t="shared" si="1135"/>
        <v>163</v>
      </c>
      <c r="T6064" s="23" t="str">
        <f t="shared" si="1136"/>
        <v/>
      </c>
      <c r="U6064" t="str">
        <f t="shared" si="1137"/>
        <v/>
      </c>
      <c r="V6064" s="40"/>
      <c r="X6064" s="43"/>
      <c r="Y6064" s="53"/>
      <c r="Z6064" s="53"/>
      <c r="AA6064"/>
      <c r="AB6064"/>
      <c r="AC6064" s="23"/>
      <c r="AD6064" s="23"/>
      <c r="AF6064" s="22"/>
      <c r="AM6064" s="371"/>
      <c r="AN6064" s="372"/>
      <c r="AO6064" s="356"/>
      <c r="AP6064" s="356"/>
      <c r="AQ6064" s="394"/>
      <c r="AR6064" s="394"/>
      <c r="AS6064" s="394"/>
      <c r="AT6064" s="20"/>
      <c r="AU6064" s="29"/>
      <c r="AV6064"/>
      <c r="AW6064"/>
    </row>
    <row r="6065" spans="1:49">
      <c r="A6065" t="str">
        <f t="shared" si="1138"/>
        <v>PA_Alleg_2019p~Rep-school director riverview (vote for 5)</v>
      </c>
      <c r="B6065" s="55" t="s">
        <v>1291</v>
      </c>
      <c r="C6065">
        <v>1340</v>
      </c>
      <c r="D6065" s="55" t="s">
        <v>252</v>
      </c>
      <c r="E6065" s="55" t="s">
        <v>258</v>
      </c>
      <c r="F6065" t="s">
        <v>1117</v>
      </c>
      <c r="G6065" s="62">
        <v>209</v>
      </c>
      <c r="H6065" s="25">
        <v>14.75</v>
      </c>
      <c r="I6065">
        <v>7253</v>
      </c>
      <c r="J6065">
        <v>1526</v>
      </c>
      <c r="K6065">
        <v>9</v>
      </c>
      <c r="L6065">
        <v>9</v>
      </c>
      <c r="M6065">
        <v>0</v>
      </c>
      <c r="N6065" s="23">
        <v>0</v>
      </c>
      <c r="O6065">
        <f t="shared" si="1131"/>
        <v>3</v>
      </c>
      <c r="P6065" s="57">
        <f t="shared" si="1132"/>
        <v>5</v>
      </c>
      <c r="Q6065" s="267">
        <f t="shared" si="1133"/>
        <v>901</v>
      </c>
      <c r="R6065" s="23">
        <f t="shared" si="1134"/>
        <v>193</v>
      </c>
      <c r="S6065" s="23">
        <f t="shared" si="1135"/>
        <v>163</v>
      </c>
      <c r="T6065" s="23" t="str">
        <f t="shared" si="1136"/>
        <v/>
      </c>
      <c r="U6065" t="str">
        <f t="shared" si="1137"/>
        <v/>
      </c>
      <c r="V6065" s="40"/>
      <c r="X6065" s="43"/>
      <c r="Y6065" s="53"/>
      <c r="Z6065" s="53"/>
      <c r="AA6065"/>
      <c r="AB6065"/>
      <c r="AC6065" s="23"/>
      <c r="AD6065" s="23"/>
      <c r="AF6065" s="22"/>
      <c r="AM6065" s="371"/>
      <c r="AN6065" s="372"/>
      <c r="AO6065" s="356"/>
      <c r="AP6065" s="356"/>
      <c r="AQ6065" s="394"/>
      <c r="AR6065" s="394"/>
      <c r="AS6065" s="394"/>
      <c r="AT6065" s="20"/>
      <c r="AU6065" s="29"/>
      <c r="AV6065"/>
      <c r="AW6065"/>
    </row>
    <row r="6066" spans="1:49">
      <c r="A6066" t="str">
        <f t="shared" si="1138"/>
        <v>PA_Alleg_2019p~Rep-school director riverview (vote for 5)</v>
      </c>
      <c r="B6066" s="55" t="s">
        <v>1291</v>
      </c>
      <c r="C6066">
        <v>1339</v>
      </c>
      <c r="D6066" s="55" t="s">
        <v>252</v>
      </c>
      <c r="E6066" s="55" t="s">
        <v>257</v>
      </c>
      <c r="F6066" t="s">
        <v>1117</v>
      </c>
      <c r="G6066" s="62">
        <v>205</v>
      </c>
      <c r="H6066" s="25">
        <v>14.47</v>
      </c>
      <c r="I6066">
        <v>7253</v>
      </c>
      <c r="J6066">
        <v>1526</v>
      </c>
      <c r="K6066">
        <v>9</v>
      </c>
      <c r="L6066">
        <v>9</v>
      </c>
      <c r="M6066">
        <v>0</v>
      </c>
      <c r="N6066" s="23">
        <v>0</v>
      </c>
      <c r="O6066">
        <f t="shared" si="1131"/>
        <v>4</v>
      </c>
      <c r="P6066" s="57">
        <f t="shared" si="1132"/>
        <v>5</v>
      </c>
      <c r="Q6066" s="267">
        <f t="shared" si="1133"/>
        <v>692</v>
      </c>
      <c r="R6066" s="23">
        <f t="shared" si="1134"/>
        <v>193</v>
      </c>
      <c r="S6066" s="23">
        <f t="shared" si="1135"/>
        <v>163</v>
      </c>
      <c r="T6066" s="23" t="str">
        <f t="shared" si="1136"/>
        <v/>
      </c>
      <c r="U6066" t="str">
        <f t="shared" si="1137"/>
        <v/>
      </c>
      <c r="V6066" s="40"/>
      <c r="X6066" s="43"/>
      <c r="Y6066" s="53"/>
      <c r="Z6066" s="53"/>
      <c r="AA6066"/>
      <c r="AB6066"/>
      <c r="AC6066" s="23"/>
      <c r="AD6066" s="23"/>
      <c r="AF6066" s="22"/>
      <c r="AM6066" s="371"/>
      <c r="AN6066" s="372"/>
      <c r="AO6066" s="356"/>
      <c r="AP6066" s="356"/>
      <c r="AQ6066" s="394"/>
      <c r="AR6066" s="394"/>
      <c r="AS6066" s="394"/>
      <c r="AT6066" s="20"/>
      <c r="AU6066" s="29"/>
      <c r="AV6066"/>
      <c r="AW6066"/>
    </row>
    <row r="6067" spans="1:49">
      <c r="A6067" t="str">
        <f t="shared" si="1138"/>
        <v>PA_Alleg_2019p~Rep-school director riverview (vote for 5)</v>
      </c>
      <c r="B6067" s="55" t="s">
        <v>1291</v>
      </c>
      <c r="C6067">
        <v>1341</v>
      </c>
      <c r="D6067" s="55" t="s">
        <v>252</v>
      </c>
      <c r="E6067" s="55" t="s">
        <v>256</v>
      </c>
      <c r="F6067" t="s">
        <v>1117</v>
      </c>
      <c r="G6067" s="62">
        <v>193</v>
      </c>
      <c r="H6067" s="25">
        <v>13.62</v>
      </c>
      <c r="I6067">
        <v>7253</v>
      </c>
      <c r="J6067">
        <v>1526</v>
      </c>
      <c r="K6067">
        <v>9</v>
      </c>
      <c r="L6067">
        <v>9</v>
      </c>
      <c r="M6067">
        <v>0</v>
      </c>
      <c r="N6067" s="23">
        <v>0</v>
      </c>
      <c r="O6067">
        <f t="shared" si="1131"/>
        <v>5</v>
      </c>
      <c r="P6067" s="57">
        <f t="shared" si="1132"/>
        <v>5</v>
      </c>
      <c r="Q6067" s="267">
        <f t="shared" si="1133"/>
        <v>487</v>
      </c>
      <c r="R6067" s="23">
        <f t="shared" si="1134"/>
        <v>193</v>
      </c>
      <c r="S6067" s="23">
        <f t="shared" si="1135"/>
        <v>163</v>
      </c>
      <c r="T6067" s="23" t="str">
        <f t="shared" si="1136"/>
        <v/>
      </c>
      <c r="U6067" t="str">
        <f t="shared" si="1137"/>
        <v/>
      </c>
      <c r="V6067" s="40"/>
      <c r="X6067" s="43"/>
      <c r="Y6067" s="53"/>
      <c r="Z6067" s="53"/>
      <c r="AA6067"/>
      <c r="AB6067"/>
      <c r="AC6067" s="23"/>
      <c r="AD6067" s="23"/>
      <c r="AF6067" s="22"/>
      <c r="AM6067" s="371"/>
      <c r="AN6067" s="372"/>
      <c r="AO6067" s="356"/>
      <c r="AP6067" s="356"/>
      <c r="AQ6067" s="394"/>
      <c r="AR6067" s="394"/>
      <c r="AS6067" s="394"/>
      <c r="AT6067" s="20"/>
      <c r="AU6067" s="29"/>
      <c r="AV6067"/>
      <c r="AW6067"/>
    </row>
    <row r="6068" spans="1:49">
      <c r="A6068" t="str">
        <f t="shared" si="1138"/>
        <v>PA_Alleg_2019p~Rep-school director riverview (vote for 5)</v>
      </c>
      <c r="B6068" s="55" t="s">
        <v>1291</v>
      </c>
      <c r="C6068">
        <v>1338</v>
      </c>
      <c r="D6068" s="55" t="s">
        <v>252</v>
      </c>
      <c r="E6068" s="55" t="s">
        <v>255</v>
      </c>
      <c r="F6068" t="s">
        <v>1117</v>
      </c>
      <c r="G6068" s="62">
        <v>163</v>
      </c>
      <c r="H6068" s="25">
        <v>11.5</v>
      </c>
      <c r="I6068">
        <v>7253</v>
      </c>
      <c r="J6068">
        <v>1526</v>
      </c>
      <c r="K6068">
        <v>9</v>
      </c>
      <c r="L6068">
        <v>9</v>
      </c>
      <c r="M6068">
        <v>0</v>
      </c>
      <c r="N6068" s="23">
        <v>0</v>
      </c>
      <c r="O6068">
        <f t="shared" si="1131"/>
        <v>6</v>
      </c>
      <c r="P6068" s="57">
        <f t="shared" si="1132"/>
        <v>5</v>
      </c>
      <c r="Q6068" s="267">
        <f t="shared" si="1133"/>
        <v>294</v>
      </c>
      <c r="R6068" s="23" t="str">
        <f t="shared" si="1134"/>
        <v/>
      </c>
      <c r="S6068" s="23">
        <f t="shared" si="1135"/>
        <v>163</v>
      </c>
      <c r="T6068" s="23" t="str">
        <f t="shared" si="1136"/>
        <v/>
      </c>
      <c r="U6068" t="str">
        <f t="shared" si="1137"/>
        <v/>
      </c>
      <c r="V6068" s="40"/>
      <c r="X6068" s="43"/>
      <c r="Y6068" s="53"/>
      <c r="Z6068" s="53"/>
      <c r="AA6068"/>
      <c r="AB6068"/>
      <c r="AC6068" s="23"/>
      <c r="AD6068" s="23"/>
      <c r="AF6068" s="22"/>
      <c r="AM6068" s="371"/>
      <c r="AN6068" s="372"/>
      <c r="AO6068" s="356"/>
      <c r="AP6068" s="356"/>
      <c r="AQ6068" s="394"/>
      <c r="AR6068" s="394"/>
      <c r="AS6068" s="394"/>
      <c r="AT6068" s="20"/>
      <c r="AU6068" s="29"/>
      <c r="AV6068"/>
      <c r="AW6068"/>
    </row>
    <row r="6069" spans="1:49">
      <c r="A6069" t="str">
        <f t="shared" si="1138"/>
        <v>PA_Alleg_2019p~Rep-school director riverview (vote for 5)</v>
      </c>
      <c r="B6069" s="55" t="s">
        <v>1291</v>
      </c>
      <c r="C6069">
        <v>1335</v>
      </c>
      <c r="D6069" s="55" t="s">
        <v>252</v>
      </c>
      <c r="E6069" s="55" t="s">
        <v>254</v>
      </c>
      <c r="F6069" t="s">
        <v>1117</v>
      </c>
      <c r="G6069" s="62">
        <v>124</v>
      </c>
      <c r="H6069" s="25">
        <v>8.75</v>
      </c>
      <c r="I6069">
        <v>7253</v>
      </c>
      <c r="J6069">
        <v>1526</v>
      </c>
      <c r="K6069">
        <v>9</v>
      </c>
      <c r="L6069">
        <v>9</v>
      </c>
      <c r="M6069">
        <v>0</v>
      </c>
      <c r="N6069" s="23">
        <v>0</v>
      </c>
      <c r="O6069">
        <f t="shared" si="1131"/>
        <v>7</v>
      </c>
      <c r="P6069" s="57">
        <f t="shared" si="1132"/>
        <v>5</v>
      </c>
      <c r="Q6069" s="267">
        <f t="shared" si="1133"/>
        <v>131</v>
      </c>
      <c r="R6069" s="23" t="str">
        <f t="shared" si="1134"/>
        <v/>
      </c>
      <c r="S6069" s="23">
        <f t="shared" si="1135"/>
        <v>124</v>
      </c>
      <c r="T6069" s="23" t="str">
        <f t="shared" si="1136"/>
        <v/>
      </c>
      <c r="U6069" t="str">
        <f t="shared" si="1137"/>
        <v/>
      </c>
      <c r="V6069" s="40"/>
      <c r="X6069" s="43"/>
      <c r="Y6069" s="53"/>
      <c r="Z6069" s="53"/>
      <c r="AA6069"/>
      <c r="AB6069"/>
      <c r="AC6069" s="23"/>
      <c r="AD6069" s="23"/>
      <c r="AF6069" s="22"/>
      <c r="AM6069" s="371"/>
      <c r="AN6069" s="372"/>
      <c r="AT6069" s="20"/>
      <c r="AU6069" s="29"/>
      <c r="AV6069"/>
      <c r="AW6069"/>
    </row>
    <row r="6070" spans="1:49">
      <c r="A6070" t="str">
        <f t="shared" si="1138"/>
        <v>PA_Alleg_2019p~Rep-school director riverview (vote for 5)</v>
      </c>
      <c r="B6070" s="55" t="s">
        <v>1291</v>
      </c>
      <c r="C6070">
        <v>1342</v>
      </c>
      <c r="D6070" s="55" t="s">
        <v>252</v>
      </c>
      <c r="E6070" s="55" t="s">
        <v>15</v>
      </c>
      <c r="F6070" t="s">
        <v>1117</v>
      </c>
      <c r="G6070" s="62">
        <v>7</v>
      </c>
      <c r="H6070" s="25">
        <v>0.49</v>
      </c>
      <c r="I6070">
        <v>7253</v>
      </c>
      <c r="J6070">
        <v>1526</v>
      </c>
      <c r="K6070">
        <v>9</v>
      </c>
      <c r="L6070">
        <v>9</v>
      </c>
      <c r="M6070">
        <v>0</v>
      </c>
      <c r="N6070" s="23">
        <v>0</v>
      </c>
      <c r="O6070">
        <f t="shared" si="1131"/>
        <v>-7</v>
      </c>
      <c r="P6070" s="57">
        <f t="shared" si="1132"/>
        <v>5</v>
      </c>
      <c r="Q6070" s="267">
        <f t="shared" si="1133"/>
        <v>7</v>
      </c>
      <c r="R6070" s="23">
        <f t="shared" si="1134"/>
        <v>1</v>
      </c>
      <c r="S6070" s="23">
        <f t="shared" si="1135"/>
        <v>0</v>
      </c>
      <c r="T6070" s="23" t="str">
        <f t="shared" si="1136"/>
        <v/>
      </c>
      <c r="U6070" t="str">
        <f t="shared" si="1137"/>
        <v/>
      </c>
      <c r="V6070" s="40"/>
      <c r="X6070" s="43"/>
      <c r="Y6070" s="53"/>
      <c r="Z6070" s="53"/>
      <c r="AA6070"/>
      <c r="AB6070"/>
      <c r="AC6070" s="23"/>
      <c r="AD6070" s="23"/>
      <c r="AF6070" s="22"/>
      <c r="AM6070" s="371"/>
      <c r="AN6070" s="372"/>
      <c r="AT6070" s="20"/>
      <c r="AU6070" s="29"/>
      <c r="AV6070"/>
      <c r="AW6070"/>
    </row>
    <row r="6071" spans="1:49">
      <c r="A6071" t="str">
        <f t="shared" si="1138"/>
        <v>PA_Alleg_2019p~Rep-school director shaler area region 1 (vote for 1)</v>
      </c>
      <c r="B6071" s="55" t="s">
        <v>1291</v>
      </c>
      <c r="C6071">
        <v>1452</v>
      </c>
      <c r="D6071" s="55" t="s">
        <v>383</v>
      </c>
      <c r="E6071" s="55" t="s">
        <v>384</v>
      </c>
      <c r="F6071" t="s">
        <v>1117</v>
      </c>
      <c r="G6071" s="62">
        <v>347</v>
      </c>
      <c r="H6071" s="25">
        <v>97.75</v>
      </c>
      <c r="I6071">
        <v>9152</v>
      </c>
      <c r="J6071">
        <v>1517</v>
      </c>
      <c r="K6071">
        <v>15</v>
      </c>
      <c r="L6071">
        <v>15</v>
      </c>
      <c r="M6071">
        <v>0</v>
      </c>
      <c r="N6071" s="23">
        <v>0</v>
      </c>
      <c r="O6071">
        <f t="shared" si="1131"/>
        <v>1</v>
      </c>
      <c r="P6071" s="57">
        <f t="shared" si="1132"/>
        <v>1</v>
      </c>
      <c r="Q6071" s="267">
        <f t="shared" si="1133"/>
        <v>355</v>
      </c>
      <c r="R6071" s="23">
        <f t="shared" si="1134"/>
        <v>347</v>
      </c>
      <c r="S6071" s="23">
        <f t="shared" si="1135"/>
        <v>0</v>
      </c>
      <c r="T6071" s="23" t="str">
        <f t="shared" si="1136"/>
        <v/>
      </c>
      <c r="U6071" t="str">
        <f t="shared" si="1137"/>
        <v>PA_Alleg_2019p~Rep-school director shaler area region 1 (vote for 1)</v>
      </c>
      <c r="V6071" s="40"/>
      <c r="X6071" s="43"/>
      <c r="Y6071" s="53"/>
      <c r="Z6071" s="53"/>
      <c r="AA6071"/>
      <c r="AB6071"/>
      <c r="AC6071" s="23"/>
      <c r="AD6071" s="23"/>
      <c r="AF6071" s="22"/>
      <c r="AM6071" s="371"/>
      <c r="AN6071" s="372"/>
      <c r="AT6071" s="20"/>
      <c r="AU6071" s="29"/>
      <c r="AV6071"/>
      <c r="AW6071"/>
    </row>
    <row r="6072" spans="1:49">
      <c r="A6072" t="str">
        <f t="shared" si="1138"/>
        <v>PA_Alleg_2019p~Rep-school director shaler area region 1 (vote for 1)</v>
      </c>
      <c r="B6072" s="55" t="s">
        <v>1291</v>
      </c>
      <c r="C6072">
        <v>1453</v>
      </c>
      <c r="D6072" s="55" t="s">
        <v>383</v>
      </c>
      <c r="E6072" s="55" t="s">
        <v>15</v>
      </c>
      <c r="F6072" t="s">
        <v>1117</v>
      </c>
      <c r="G6072" s="62">
        <v>8</v>
      </c>
      <c r="H6072" s="25">
        <v>2.25</v>
      </c>
      <c r="I6072">
        <v>9152</v>
      </c>
      <c r="J6072">
        <v>1517</v>
      </c>
      <c r="K6072">
        <v>15</v>
      </c>
      <c r="L6072">
        <v>15</v>
      </c>
      <c r="M6072">
        <v>0</v>
      </c>
      <c r="N6072" s="23">
        <v>0</v>
      </c>
      <c r="O6072">
        <f t="shared" si="1131"/>
        <v>-1</v>
      </c>
      <c r="P6072" s="57">
        <f t="shared" si="1132"/>
        <v>1</v>
      </c>
      <c r="Q6072" s="267">
        <f t="shared" si="1133"/>
        <v>8</v>
      </c>
      <c r="R6072" s="23">
        <f t="shared" si="1134"/>
        <v>1</v>
      </c>
      <c r="S6072" s="23">
        <f t="shared" si="1135"/>
        <v>0</v>
      </c>
      <c r="T6072" s="23" t="str">
        <f t="shared" si="1136"/>
        <v/>
      </c>
      <c r="U6072" t="str">
        <f t="shared" si="1137"/>
        <v/>
      </c>
      <c r="V6072" s="40"/>
      <c r="X6072" s="43"/>
      <c r="Y6072" s="53"/>
      <c r="Z6072" s="53"/>
      <c r="AA6072"/>
      <c r="AB6072"/>
      <c r="AC6072" s="23"/>
      <c r="AD6072" s="23"/>
      <c r="AF6072" s="22"/>
      <c r="AM6072" s="371"/>
      <c r="AN6072" s="372"/>
      <c r="AT6072" s="20"/>
      <c r="AU6072" s="29"/>
      <c r="AV6072"/>
      <c r="AW6072"/>
    </row>
    <row r="6073" spans="1:49">
      <c r="A6073" t="str">
        <f t="shared" si="1138"/>
        <v>PA_Alleg_2019p~Rep-school director shaler area region 2 (vote for 2)</v>
      </c>
      <c r="B6073" s="55" t="s">
        <v>1291</v>
      </c>
      <c r="C6073">
        <v>1469</v>
      </c>
      <c r="D6073" s="55" t="s">
        <v>399</v>
      </c>
      <c r="E6073" s="55" t="s">
        <v>400</v>
      </c>
      <c r="F6073" t="s">
        <v>1117</v>
      </c>
      <c r="G6073" s="62">
        <v>323</v>
      </c>
      <c r="H6073" s="25">
        <v>50.63</v>
      </c>
      <c r="I6073">
        <v>10336</v>
      </c>
      <c r="J6073">
        <v>1618</v>
      </c>
      <c r="K6073">
        <v>16</v>
      </c>
      <c r="L6073">
        <v>16</v>
      </c>
      <c r="M6073">
        <v>0</v>
      </c>
      <c r="N6073" s="23">
        <v>0</v>
      </c>
      <c r="O6073">
        <f t="shared" si="1131"/>
        <v>1</v>
      </c>
      <c r="P6073" s="57">
        <f t="shared" si="1132"/>
        <v>2</v>
      </c>
      <c r="Q6073" s="267">
        <f t="shared" si="1133"/>
        <v>323</v>
      </c>
      <c r="R6073" s="23">
        <f t="shared" si="1134"/>
        <v>309</v>
      </c>
      <c r="S6073" s="23">
        <f t="shared" si="1135"/>
        <v>0</v>
      </c>
      <c r="T6073" s="23" t="str">
        <f t="shared" si="1136"/>
        <v/>
      </c>
      <c r="U6073" t="str">
        <f t="shared" si="1137"/>
        <v>PA_Alleg_2019p~Rep-school director shaler area region 2 (vote for 2)</v>
      </c>
      <c r="V6073" s="40"/>
      <c r="X6073" s="43"/>
      <c r="Y6073" s="53"/>
      <c r="Z6073" s="53"/>
      <c r="AA6073"/>
      <c r="AB6073"/>
      <c r="AC6073" s="23"/>
      <c r="AD6073" s="23"/>
      <c r="AF6073" s="22"/>
      <c r="AM6073" s="371"/>
      <c r="AN6073" s="372"/>
      <c r="AT6073" s="20"/>
      <c r="AU6073" s="29"/>
      <c r="AV6073"/>
      <c r="AW6073"/>
    </row>
    <row r="6074" spans="1:49">
      <c r="A6074" t="str">
        <f t="shared" si="1138"/>
        <v>PA_Alleg_2019p~Rep-school director shaler area region 2 (vote for 2)</v>
      </c>
      <c r="B6074" s="55" t="s">
        <v>1291</v>
      </c>
      <c r="C6074">
        <v>1468</v>
      </c>
      <c r="D6074" s="55" t="s">
        <v>399</v>
      </c>
      <c r="E6074" s="55" t="s">
        <v>401</v>
      </c>
      <c r="F6074" t="s">
        <v>1117</v>
      </c>
      <c r="G6074" s="62">
        <v>309</v>
      </c>
      <c r="H6074" s="25">
        <v>48.43</v>
      </c>
      <c r="I6074">
        <v>10336</v>
      </c>
      <c r="J6074">
        <v>1618</v>
      </c>
      <c r="K6074">
        <v>16</v>
      </c>
      <c r="L6074">
        <v>16</v>
      </c>
      <c r="M6074">
        <v>0</v>
      </c>
      <c r="N6074" s="23">
        <v>0</v>
      </c>
      <c r="O6074">
        <f t="shared" si="1131"/>
        <v>2</v>
      </c>
      <c r="P6074" s="57">
        <f t="shared" si="1132"/>
        <v>2</v>
      </c>
      <c r="Q6074" s="267">
        <f t="shared" si="1133"/>
        <v>315</v>
      </c>
      <c r="R6074" s="23">
        <f t="shared" si="1134"/>
        <v>309</v>
      </c>
      <c r="S6074" s="23">
        <f t="shared" si="1135"/>
        <v>0</v>
      </c>
      <c r="T6074" s="23" t="str">
        <f t="shared" si="1136"/>
        <v/>
      </c>
      <c r="U6074" t="str">
        <f t="shared" si="1137"/>
        <v/>
      </c>
      <c r="V6074" s="40"/>
      <c r="X6074" s="43"/>
      <c r="Y6074" s="53"/>
      <c r="Z6074" s="53"/>
      <c r="AA6074"/>
      <c r="AB6074"/>
      <c r="AC6074" s="23"/>
      <c r="AD6074" s="23"/>
      <c r="AF6074" s="22"/>
      <c r="AM6074" s="371"/>
      <c r="AN6074" s="372"/>
      <c r="AT6074" s="20"/>
      <c r="AU6074" s="29"/>
      <c r="AV6074"/>
      <c r="AW6074"/>
    </row>
    <row r="6075" spans="1:49">
      <c r="A6075" t="str">
        <f t="shared" si="1138"/>
        <v>PA_Alleg_2019p~Rep-school director shaler area region 2 (vote for 2)</v>
      </c>
      <c r="B6075" s="55" t="s">
        <v>1291</v>
      </c>
      <c r="C6075">
        <v>1470</v>
      </c>
      <c r="D6075" s="55" t="s">
        <v>399</v>
      </c>
      <c r="E6075" s="55" t="s">
        <v>15</v>
      </c>
      <c r="F6075" t="s">
        <v>1117</v>
      </c>
      <c r="G6075" s="62">
        <v>6</v>
      </c>
      <c r="H6075" s="25">
        <v>0.94</v>
      </c>
      <c r="I6075">
        <v>10336</v>
      </c>
      <c r="J6075">
        <v>1618</v>
      </c>
      <c r="K6075">
        <v>16</v>
      </c>
      <c r="L6075">
        <v>16</v>
      </c>
      <c r="M6075">
        <v>0</v>
      </c>
      <c r="N6075" s="23">
        <v>0</v>
      </c>
      <c r="O6075">
        <f t="shared" si="1131"/>
        <v>-2</v>
      </c>
      <c r="P6075" s="57">
        <f t="shared" si="1132"/>
        <v>2</v>
      </c>
      <c r="Q6075" s="267">
        <f t="shared" si="1133"/>
        <v>6</v>
      </c>
      <c r="R6075" s="23">
        <f t="shared" si="1134"/>
        <v>1</v>
      </c>
      <c r="S6075" s="23">
        <f t="shared" si="1135"/>
        <v>0</v>
      </c>
      <c r="T6075" s="23" t="str">
        <f t="shared" si="1136"/>
        <v/>
      </c>
      <c r="U6075" t="str">
        <f t="shared" si="1137"/>
        <v/>
      </c>
      <c r="V6075" s="40"/>
      <c r="X6075" s="43"/>
      <c r="Y6075" s="53"/>
      <c r="Z6075" s="53"/>
      <c r="AA6075"/>
      <c r="AB6075"/>
      <c r="AC6075" s="23"/>
      <c r="AD6075" s="23"/>
      <c r="AF6075" s="22"/>
      <c r="AM6075" s="371"/>
      <c r="AN6075" s="372"/>
      <c r="AT6075" s="20"/>
      <c r="AU6075" s="29"/>
      <c r="AV6075"/>
      <c r="AW6075"/>
    </row>
    <row r="6076" spans="1:49">
      <c r="A6076" t="str">
        <f t="shared" si="1138"/>
        <v>PA_Alleg_2019p~Rep-school director shaler area region 3 (vote for 2)</v>
      </c>
      <c r="B6076" s="55" t="s">
        <v>1291</v>
      </c>
      <c r="C6076">
        <v>1502</v>
      </c>
      <c r="D6076" s="55" t="s">
        <v>436</v>
      </c>
      <c r="E6076" s="55" t="s">
        <v>438</v>
      </c>
      <c r="F6076" t="s">
        <v>1117</v>
      </c>
      <c r="G6076" s="62">
        <v>404</v>
      </c>
      <c r="H6076" s="25">
        <v>49.88</v>
      </c>
      <c r="I6076">
        <v>9491</v>
      </c>
      <c r="J6076">
        <v>1460</v>
      </c>
      <c r="K6076">
        <v>15</v>
      </c>
      <c r="L6076">
        <v>15</v>
      </c>
      <c r="M6076">
        <v>0</v>
      </c>
      <c r="N6076" s="23">
        <v>0</v>
      </c>
      <c r="O6076">
        <f t="shared" si="1131"/>
        <v>1</v>
      </c>
      <c r="P6076" s="57">
        <f t="shared" si="1132"/>
        <v>2</v>
      </c>
      <c r="Q6076" s="267">
        <f t="shared" si="1133"/>
        <v>405</v>
      </c>
      <c r="R6076" s="23">
        <f t="shared" si="1134"/>
        <v>397</v>
      </c>
      <c r="S6076" s="23">
        <f t="shared" si="1135"/>
        <v>0</v>
      </c>
      <c r="T6076" s="23" t="str">
        <f t="shared" si="1136"/>
        <v/>
      </c>
      <c r="U6076" t="str">
        <f t="shared" si="1137"/>
        <v>PA_Alleg_2019p~Rep-school director shaler area region 3 (vote for 2)</v>
      </c>
      <c r="V6076" s="40"/>
      <c r="X6076" s="43"/>
      <c r="Y6076" s="53"/>
      <c r="Z6076" s="53"/>
      <c r="AA6076"/>
      <c r="AB6076"/>
      <c r="AC6076" s="23"/>
      <c r="AD6076" s="23"/>
      <c r="AF6076" s="22"/>
      <c r="AM6076" s="371"/>
      <c r="AN6076" s="372"/>
      <c r="AT6076" s="20"/>
      <c r="AU6076" s="29"/>
      <c r="AV6076"/>
      <c r="AW6076"/>
    </row>
    <row r="6077" spans="1:49">
      <c r="A6077" t="str">
        <f t="shared" si="1138"/>
        <v>PA_Alleg_2019p~Rep-school director shaler area region 3 (vote for 2)</v>
      </c>
      <c r="B6077" s="55" t="s">
        <v>1291</v>
      </c>
      <c r="C6077">
        <v>1501</v>
      </c>
      <c r="D6077" s="55" t="s">
        <v>436</v>
      </c>
      <c r="E6077" s="55" t="s">
        <v>437</v>
      </c>
      <c r="F6077" t="s">
        <v>1117</v>
      </c>
      <c r="G6077" s="62">
        <v>397</v>
      </c>
      <c r="H6077" s="25">
        <v>49.01</v>
      </c>
      <c r="I6077">
        <v>9491</v>
      </c>
      <c r="J6077">
        <v>1460</v>
      </c>
      <c r="K6077">
        <v>15</v>
      </c>
      <c r="L6077">
        <v>15</v>
      </c>
      <c r="M6077">
        <v>0</v>
      </c>
      <c r="N6077" s="23">
        <v>0</v>
      </c>
      <c r="O6077">
        <f t="shared" si="1131"/>
        <v>2</v>
      </c>
      <c r="P6077" s="57">
        <f t="shared" si="1132"/>
        <v>2</v>
      </c>
      <c r="Q6077" s="267">
        <f t="shared" si="1133"/>
        <v>406</v>
      </c>
      <c r="R6077" s="23">
        <f t="shared" si="1134"/>
        <v>397</v>
      </c>
      <c r="S6077" s="23">
        <f t="shared" si="1135"/>
        <v>0</v>
      </c>
      <c r="T6077" s="23" t="str">
        <f t="shared" si="1136"/>
        <v/>
      </c>
      <c r="U6077" t="str">
        <f t="shared" si="1137"/>
        <v/>
      </c>
      <c r="V6077" s="40"/>
      <c r="X6077" s="43"/>
      <c r="Y6077" s="53"/>
      <c r="Z6077" s="53"/>
      <c r="AA6077"/>
      <c r="AB6077"/>
      <c r="AC6077" s="23"/>
      <c r="AD6077" s="23"/>
      <c r="AF6077" s="22"/>
      <c r="AM6077" s="371"/>
      <c r="AN6077" s="372"/>
      <c r="AT6077" s="20"/>
      <c r="AU6077" s="29"/>
      <c r="AV6077"/>
      <c r="AW6077"/>
    </row>
    <row r="6078" spans="1:49">
      <c r="A6078" t="str">
        <f t="shared" si="1138"/>
        <v>PA_Alleg_2019p~Rep-school director shaler area region 3 (vote for 2)</v>
      </c>
      <c r="B6078" s="55" t="s">
        <v>1291</v>
      </c>
      <c r="C6078">
        <v>1503</v>
      </c>
      <c r="D6078" s="55" t="s">
        <v>436</v>
      </c>
      <c r="E6078" s="55" t="s">
        <v>15</v>
      </c>
      <c r="F6078" t="s">
        <v>1117</v>
      </c>
      <c r="G6078" s="62">
        <v>9</v>
      </c>
      <c r="H6078" s="25">
        <v>1.1100000000000001</v>
      </c>
      <c r="I6078">
        <v>9491</v>
      </c>
      <c r="J6078">
        <v>1460</v>
      </c>
      <c r="K6078">
        <v>15</v>
      </c>
      <c r="L6078">
        <v>15</v>
      </c>
      <c r="M6078">
        <v>0</v>
      </c>
      <c r="N6078" s="23">
        <v>0</v>
      </c>
      <c r="O6078">
        <f t="shared" si="1131"/>
        <v>-2</v>
      </c>
      <c r="P6078" s="57">
        <f t="shared" si="1132"/>
        <v>2</v>
      </c>
      <c r="Q6078" s="267">
        <f t="shared" si="1133"/>
        <v>9</v>
      </c>
      <c r="R6078" s="23">
        <f t="shared" si="1134"/>
        <v>1</v>
      </c>
      <c r="S6078" s="23">
        <f t="shared" si="1135"/>
        <v>0</v>
      </c>
      <c r="T6078" s="23" t="str">
        <f t="shared" si="1136"/>
        <v/>
      </c>
      <c r="U6078" t="str">
        <f t="shared" si="1137"/>
        <v/>
      </c>
      <c r="V6078" s="40"/>
      <c r="X6078" s="43"/>
      <c r="Y6078" s="53"/>
      <c r="Z6078" s="53"/>
      <c r="AA6078"/>
      <c r="AB6078"/>
      <c r="AC6078" s="23"/>
      <c r="AD6078" s="23"/>
      <c r="AF6078" s="22"/>
      <c r="AM6078" s="371"/>
      <c r="AN6078" s="372"/>
      <c r="AT6078" s="20"/>
      <c r="AU6078" s="29"/>
      <c r="AV6078"/>
      <c r="AW6078"/>
    </row>
    <row r="6079" spans="1:49">
      <c r="A6079" t="str">
        <f t="shared" si="1138"/>
        <v>PA_Alleg_2019p~Rep-school director south allegheny (vote for 5)</v>
      </c>
      <c r="B6079" s="55" t="s">
        <v>1291</v>
      </c>
      <c r="C6079">
        <v>1349</v>
      </c>
      <c r="D6079" s="55" t="s">
        <v>260</v>
      </c>
      <c r="E6079" s="55" t="s">
        <v>270</v>
      </c>
      <c r="F6079" t="s">
        <v>1117</v>
      </c>
      <c r="G6079" s="62">
        <v>235</v>
      </c>
      <c r="H6079" s="25">
        <v>14.61</v>
      </c>
      <c r="I6079">
        <v>7437</v>
      </c>
      <c r="J6079">
        <v>1701</v>
      </c>
      <c r="K6079">
        <v>13</v>
      </c>
      <c r="L6079">
        <v>13</v>
      </c>
      <c r="M6079">
        <v>0</v>
      </c>
      <c r="N6079" s="23">
        <v>0</v>
      </c>
      <c r="O6079">
        <f t="shared" si="1131"/>
        <v>1</v>
      </c>
      <c r="P6079" s="57">
        <f t="shared" si="1132"/>
        <v>5</v>
      </c>
      <c r="Q6079" s="267">
        <f t="shared" si="1133"/>
        <v>321.60000000000002</v>
      </c>
      <c r="R6079" s="23">
        <f t="shared" si="1134"/>
        <v>167</v>
      </c>
      <c r="S6079" s="23">
        <f t="shared" si="1135"/>
        <v>150</v>
      </c>
      <c r="T6079" s="23">
        <f t="shared" si="1136"/>
        <v>17</v>
      </c>
      <c r="U6079" t="str">
        <f t="shared" si="1137"/>
        <v>PA_Alleg_2019p~Rep-school director south allegheny (vote for 5)</v>
      </c>
      <c r="V6079" s="40"/>
      <c r="X6079" s="43"/>
      <c r="Y6079" s="53"/>
      <c r="Z6079" s="53"/>
      <c r="AA6079"/>
      <c r="AB6079"/>
      <c r="AC6079" s="23"/>
      <c r="AD6079" s="23"/>
      <c r="AF6079" s="22"/>
      <c r="AM6079" s="371"/>
      <c r="AN6079" s="372"/>
      <c r="AT6079" s="20"/>
      <c r="AU6079" s="29"/>
      <c r="AV6079"/>
      <c r="AW6079"/>
    </row>
    <row r="6080" spans="1:49">
      <c r="A6080" t="str">
        <f t="shared" si="1138"/>
        <v>PA_Alleg_2019p~Rep-school director south allegheny (vote for 5)</v>
      </c>
      <c r="B6080" s="55" t="s">
        <v>1291</v>
      </c>
      <c r="C6080">
        <v>1350</v>
      </c>
      <c r="D6080" s="55" t="s">
        <v>260</v>
      </c>
      <c r="E6080" s="55" t="s">
        <v>265</v>
      </c>
      <c r="F6080" t="s">
        <v>1117</v>
      </c>
      <c r="G6080" s="62">
        <v>221</v>
      </c>
      <c r="H6080" s="25">
        <v>13.74</v>
      </c>
      <c r="I6080">
        <v>7437</v>
      </c>
      <c r="J6080">
        <v>1701</v>
      </c>
      <c r="K6080">
        <v>13</v>
      </c>
      <c r="L6080">
        <v>13</v>
      </c>
      <c r="M6080">
        <v>0</v>
      </c>
      <c r="N6080" s="23">
        <v>0</v>
      </c>
      <c r="O6080">
        <f t="shared" si="1131"/>
        <v>2</v>
      </c>
      <c r="P6080" s="57">
        <f t="shared" si="1132"/>
        <v>5</v>
      </c>
      <c r="Q6080" s="267">
        <f t="shared" si="1133"/>
        <v>1373</v>
      </c>
      <c r="R6080" s="23">
        <f t="shared" si="1134"/>
        <v>167</v>
      </c>
      <c r="S6080" s="23">
        <f t="shared" si="1135"/>
        <v>150</v>
      </c>
      <c r="T6080" s="23" t="str">
        <f t="shared" si="1136"/>
        <v/>
      </c>
      <c r="U6080" t="str">
        <f t="shared" si="1137"/>
        <v/>
      </c>
      <c r="V6080" s="40"/>
      <c r="X6080" s="43"/>
      <c r="Y6080" s="53"/>
      <c r="Z6080" s="53"/>
      <c r="AA6080"/>
      <c r="AB6080"/>
      <c r="AC6080" s="23"/>
      <c r="AD6080" s="23"/>
      <c r="AF6080" s="22"/>
      <c r="AM6080" s="371"/>
      <c r="AN6080" s="372"/>
      <c r="AT6080" s="20"/>
      <c r="AU6080" s="29"/>
      <c r="AV6080"/>
      <c r="AW6080"/>
    </row>
    <row r="6081" spans="1:49">
      <c r="A6081" t="str">
        <f t="shared" si="1138"/>
        <v>PA_Alleg_2019p~Rep-school director south allegheny (vote for 5)</v>
      </c>
      <c r="B6081" s="55" t="s">
        <v>1291</v>
      </c>
      <c r="C6081">
        <v>1352</v>
      </c>
      <c r="D6081" s="55" t="s">
        <v>260</v>
      </c>
      <c r="E6081" s="55" t="s">
        <v>263</v>
      </c>
      <c r="F6081" t="s">
        <v>1117</v>
      </c>
      <c r="G6081" s="62">
        <v>212</v>
      </c>
      <c r="H6081" s="25">
        <v>13.18</v>
      </c>
      <c r="I6081">
        <v>7437</v>
      </c>
      <c r="J6081">
        <v>1701</v>
      </c>
      <c r="K6081">
        <v>13</v>
      </c>
      <c r="L6081">
        <v>13</v>
      </c>
      <c r="M6081">
        <v>0</v>
      </c>
      <c r="N6081" s="23">
        <v>0</v>
      </c>
      <c r="O6081">
        <f t="shared" si="1131"/>
        <v>3</v>
      </c>
      <c r="P6081" s="57">
        <f t="shared" si="1132"/>
        <v>5</v>
      </c>
      <c r="Q6081" s="267">
        <f t="shared" si="1133"/>
        <v>1152</v>
      </c>
      <c r="R6081" s="23">
        <f t="shared" si="1134"/>
        <v>167</v>
      </c>
      <c r="S6081" s="23">
        <f t="shared" si="1135"/>
        <v>150</v>
      </c>
      <c r="T6081" s="23" t="str">
        <f t="shared" si="1136"/>
        <v/>
      </c>
      <c r="U6081" t="str">
        <f t="shared" si="1137"/>
        <v/>
      </c>
      <c r="V6081" s="40"/>
      <c r="X6081" s="43"/>
      <c r="Y6081" s="53"/>
      <c r="Z6081" s="53"/>
      <c r="AA6081"/>
      <c r="AB6081"/>
      <c r="AC6081" s="23"/>
      <c r="AD6081" s="23"/>
      <c r="AF6081" s="22"/>
      <c r="AM6081" s="371"/>
      <c r="AN6081" s="372"/>
      <c r="AT6081" s="20"/>
      <c r="AU6081" s="29"/>
      <c r="AV6081"/>
      <c r="AW6081"/>
    </row>
    <row r="6082" spans="1:49">
      <c r="A6082" t="str">
        <f t="shared" si="1138"/>
        <v>PA_Alleg_2019p~Rep-school director south allegheny (vote for 5)</v>
      </c>
      <c r="B6082" s="55" t="s">
        <v>1291</v>
      </c>
      <c r="C6082">
        <v>1343</v>
      </c>
      <c r="D6082" s="55" t="s">
        <v>260</v>
      </c>
      <c r="E6082" s="55" t="s">
        <v>269</v>
      </c>
      <c r="F6082" t="s">
        <v>1117</v>
      </c>
      <c r="G6082" s="62">
        <v>199</v>
      </c>
      <c r="H6082" s="25">
        <v>12.38</v>
      </c>
      <c r="I6082">
        <v>7437</v>
      </c>
      <c r="J6082">
        <v>1701</v>
      </c>
      <c r="K6082">
        <v>13</v>
      </c>
      <c r="L6082">
        <v>13</v>
      </c>
      <c r="M6082">
        <v>0</v>
      </c>
      <c r="N6082" s="23">
        <v>0</v>
      </c>
      <c r="O6082">
        <f t="shared" ref="O6082:O6145" si="1139">IF(OR(LOWER(LEFT(E6082,8))="write-in",LOWER(LEFT(E6082,8))="not qual"),IF(A6082=A6081,-ABS(O6081),0),IF(A6082=A6081,ABS(O6081)+1,1))</f>
        <v>4</v>
      </c>
      <c r="P6082" s="57">
        <f t="shared" ref="P6082:P6145" si="1140">1*LEFT(RIGHT(A6082,2),1)</f>
        <v>5</v>
      </c>
      <c r="Q6082" s="267">
        <f t="shared" ref="Q6082:Q6145" si="1141">IF(A6082&lt;&gt;A6083,G6082,IF(A6082=A6081,G6082+Q6083,MAX(G6082,(G6082+Q6083)/P6082)))</f>
        <v>940</v>
      </c>
      <c r="R6082" s="23">
        <f t="shared" ref="R6082:R6145" si="1142">IF(O6082&gt;P6082,"",IF(O6082=P6082,G6082,IF(A6082=A6083,R6083,IF(O6082&lt;=0,1,G6082))))</f>
        <v>167</v>
      </c>
      <c r="S6082" s="23">
        <f t="shared" ref="S6082:S6145" si="1143">IF(AND(O6082&gt;P6082,LOWER(LEFT(E6082,8))&lt;&gt;"write-in",LOWER(LEFT(E6082,8))&lt;&gt;"not qual"),G6082,IF(A6082=A6083,S6083,0))</f>
        <v>150</v>
      </c>
      <c r="T6082" s="23" t="str">
        <f t="shared" ref="T6082:T6145" si="1144">IF(OR(A6082=A6081,S6082=0),"",R6082-ABS(S6082))</f>
        <v/>
      </c>
      <c r="U6082" t="str">
        <f t="shared" ref="U6082:U6145" si="1145">IF(A6082=A6081,"",A6082)</f>
        <v/>
      </c>
      <c r="V6082" s="40"/>
      <c r="X6082" s="43"/>
      <c r="Y6082" s="53"/>
      <c r="Z6082" s="53"/>
      <c r="AA6082"/>
      <c r="AB6082"/>
      <c r="AC6082" s="23"/>
      <c r="AD6082" s="23"/>
      <c r="AF6082" s="22"/>
      <c r="AM6082" s="371"/>
      <c r="AN6082" s="372"/>
      <c r="AT6082" s="20"/>
      <c r="AU6082" s="29"/>
      <c r="AV6082"/>
      <c r="AW6082"/>
    </row>
    <row r="6083" spans="1:49">
      <c r="A6083" t="str">
        <f t="shared" ref="A6083:A6146" si="1146">CONCATENATE(B6083,"~",F6083,"-",LOWER(D6083))</f>
        <v>PA_Alleg_2019p~Rep-school director south allegheny (vote for 5)</v>
      </c>
      <c r="B6083" s="55" t="s">
        <v>1291</v>
      </c>
      <c r="C6083">
        <v>1346</v>
      </c>
      <c r="D6083" s="55" t="s">
        <v>260</v>
      </c>
      <c r="E6083" s="55" t="s">
        <v>267</v>
      </c>
      <c r="F6083" t="s">
        <v>1117</v>
      </c>
      <c r="G6083" s="62">
        <v>167</v>
      </c>
      <c r="H6083" s="25">
        <v>10.39</v>
      </c>
      <c r="I6083">
        <v>7437</v>
      </c>
      <c r="J6083">
        <v>1701</v>
      </c>
      <c r="K6083">
        <v>13</v>
      </c>
      <c r="L6083">
        <v>13</v>
      </c>
      <c r="M6083">
        <v>0</v>
      </c>
      <c r="N6083" s="23">
        <v>0</v>
      </c>
      <c r="O6083">
        <f t="shared" si="1139"/>
        <v>5</v>
      </c>
      <c r="P6083" s="57">
        <f t="shared" si="1140"/>
        <v>5</v>
      </c>
      <c r="Q6083" s="267">
        <f t="shared" si="1141"/>
        <v>741</v>
      </c>
      <c r="R6083" s="23">
        <f t="shared" si="1142"/>
        <v>167</v>
      </c>
      <c r="S6083" s="23">
        <f t="shared" si="1143"/>
        <v>150</v>
      </c>
      <c r="T6083" s="23" t="str">
        <f t="shared" si="1144"/>
        <v/>
      </c>
      <c r="U6083" t="str">
        <f t="shared" si="1145"/>
        <v/>
      </c>
      <c r="V6083" s="40"/>
      <c r="X6083" s="43"/>
      <c r="Y6083" s="53"/>
      <c r="Z6083" s="53"/>
      <c r="AA6083"/>
      <c r="AB6083"/>
      <c r="AC6083" s="23"/>
      <c r="AD6083" s="23"/>
      <c r="AF6083" s="22"/>
      <c r="AM6083" s="371"/>
      <c r="AN6083" s="372"/>
      <c r="AT6083" s="20"/>
      <c r="AU6083" s="29"/>
      <c r="AV6083"/>
      <c r="AW6083"/>
    </row>
    <row r="6084" spans="1:49">
      <c r="A6084" t="str">
        <f t="shared" si="1146"/>
        <v>PA_Alleg_2019p~Rep-school director south allegheny (vote for 5)</v>
      </c>
      <c r="B6084" s="55" t="s">
        <v>1291</v>
      </c>
      <c r="C6084">
        <v>1344</v>
      </c>
      <c r="D6084" s="55" t="s">
        <v>260</v>
      </c>
      <c r="E6084" s="55" t="s">
        <v>266</v>
      </c>
      <c r="F6084" t="s">
        <v>1117</v>
      </c>
      <c r="G6084" s="62">
        <v>150</v>
      </c>
      <c r="H6084" s="25">
        <v>9.33</v>
      </c>
      <c r="I6084">
        <v>7437</v>
      </c>
      <c r="J6084">
        <v>1701</v>
      </c>
      <c r="K6084">
        <v>13</v>
      </c>
      <c r="L6084">
        <v>13</v>
      </c>
      <c r="M6084">
        <v>0</v>
      </c>
      <c r="N6084" s="23">
        <v>0</v>
      </c>
      <c r="O6084">
        <f t="shared" si="1139"/>
        <v>6</v>
      </c>
      <c r="P6084" s="57">
        <f t="shared" si="1140"/>
        <v>5</v>
      </c>
      <c r="Q6084" s="267">
        <f t="shared" si="1141"/>
        <v>574</v>
      </c>
      <c r="R6084" s="23" t="str">
        <f t="shared" si="1142"/>
        <v/>
      </c>
      <c r="S6084" s="23">
        <f t="shared" si="1143"/>
        <v>150</v>
      </c>
      <c r="T6084" s="23" t="str">
        <f t="shared" si="1144"/>
        <v/>
      </c>
      <c r="U6084" t="str">
        <f t="shared" si="1145"/>
        <v/>
      </c>
      <c r="V6084" s="40"/>
      <c r="X6084" s="43"/>
      <c r="Y6084" s="53"/>
      <c r="Z6084" s="53"/>
      <c r="AA6084"/>
      <c r="AB6084"/>
      <c r="AC6084" s="23"/>
      <c r="AD6084" s="23"/>
      <c r="AF6084" s="22"/>
      <c r="AM6084" s="371"/>
      <c r="AN6084" s="372"/>
      <c r="AT6084" s="20"/>
      <c r="AU6084" s="29"/>
      <c r="AV6084"/>
      <c r="AW6084"/>
    </row>
    <row r="6085" spans="1:49">
      <c r="A6085" t="str">
        <f t="shared" si="1146"/>
        <v>PA_Alleg_2019p~Rep-school director south allegheny (vote for 5)</v>
      </c>
      <c r="B6085" s="55" t="s">
        <v>1291</v>
      </c>
      <c r="C6085">
        <v>1345</v>
      </c>
      <c r="D6085" s="55" t="s">
        <v>260</v>
      </c>
      <c r="E6085" s="55" t="s">
        <v>264</v>
      </c>
      <c r="F6085" t="s">
        <v>1117</v>
      </c>
      <c r="G6085" s="62">
        <v>127</v>
      </c>
      <c r="H6085" s="25">
        <v>7.9</v>
      </c>
      <c r="I6085">
        <v>7437</v>
      </c>
      <c r="J6085">
        <v>1701</v>
      </c>
      <c r="K6085">
        <v>13</v>
      </c>
      <c r="L6085">
        <v>13</v>
      </c>
      <c r="M6085">
        <v>0</v>
      </c>
      <c r="N6085" s="23">
        <v>0</v>
      </c>
      <c r="O6085">
        <f t="shared" si="1139"/>
        <v>7</v>
      </c>
      <c r="P6085" s="57">
        <f t="shared" si="1140"/>
        <v>5</v>
      </c>
      <c r="Q6085" s="267">
        <f t="shared" si="1141"/>
        <v>424</v>
      </c>
      <c r="R6085" s="23" t="str">
        <f t="shared" si="1142"/>
        <v/>
      </c>
      <c r="S6085" s="23">
        <f t="shared" si="1143"/>
        <v>127</v>
      </c>
      <c r="T6085" s="23" t="str">
        <f t="shared" si="1144"/>
        <v/>
      </c>
      <c r="U6085" t="str">
        <f t="shared" si="1145"/>
        <v/>
      </c>
      <c r="V6085" s="40"/>
      <c r="X6085" s="43"/>
      <c r="Y6085" s="53"/>
      <c r="Z6085" s="53"/>
      <c r="AA6085"/>
      <c r="AB6085"/>
      <c r="AC6085" s="23"/>
      <c r="AD6085" s="23"/>
      <c r="AF6085" s="22"/>
      <c r="AM6085" s="371"/>
      <c r="AN6085" s="372"/>
      <c r="AT6085" s="20"/>
      <c r="AU6085" s="29"/>
      <c r="AV6085"/>
      <c r="AW6085"/>
    </row>
    <row r="6086" spans="1:49">
      <c r="A6086" t="str">
        <f t="shared" si="1146"/>
        <v>PA_Alleg_2019p~Rep-school director south allegheny (vote for 5)</v>
      </c>
      <c r="B6086" s="55" t="s">
        <v>1291</v>
      </c>
      <c r="C6086">
        <v>1347</v>
      </c>
      <c r="D6086" s="55" t="s">
        <v>260</v>
      </c>
      <c r="E6086" s="55" t="s">
        <v>261</v>
      </c>
      <c r="F6086" t="s">
        <v>1117</v>
      </c>
      <c r="G6086" s="62">
        <v>99</v>
      </c>
      <c r="H6086" s="25">
        <v>6.16</v>
      </c>
      <c r="I6086">
        <v>7437</v>
      </c>
      <c r="J6086">
        <v>1701</v>
      </c>
      <c r="K6086">
        <v>13</v>
      </c>
      <c r="L6086">
        <v>13</v>
      </c>
      <c r="M6086">
        <v>0</v>
      </c>
      <c r="N6086" s="23">
        <v>0</v>
      </c>
      <c r="O6086">
        <f t="shared" si="1139"/>
        <v>8</v>
      </c>
      <c r="P6086" s="57">
        <f t="shared" si="1140"/>
        <v>5</v>
      </c>
      <c r="Q6086" s="267">
        <f t="shared" si="1141"/>
        <v>297</v>
      </c>
      <c r="R6086" s="23" t="str">
        <f t="shared" si="1142"/>
        <v/>
      </c>
      <c r="S6086" s="23">
        <f t="shared" si="1143"/>
        <v>99</v>
      </c>
      <c r="T6086" s="23" t="str">
        <f t="shared" si="1144"/>
        <v/>
      </c>
      <c r="U6086" t="str">
        <f t="shared" si="1145"/>
        <v/>
      </c>
      <c r="V6086" s="40"/>
      <c r="X6086" s="43"/>
      <c r="Y6086" s="53"/>
      <c r="Z6086" s="53"/>
      <c r="AA6086"/>
      <c r="AB6086"/>
      <c r="AC6086" s="23"/>
      <c r="AD6086" s="23"/>
      <c r="AF6086" s="22"/>
      <c r="AM6086" s="371"/>
      <c r="AN6086" s="372"/>
      <c r="AT6086" s="20"/>
      <c r="AU6086" s="29"/>
      <c r="AV6086"/>
      <c r="AW6086"/>
    </row>
    <row r="6087" spans="1:49">
      <c r="A6087" t="str">
        <f t="shared" si="1146"/>
        <v>PA_Alleg_2019p~Rep-school director south allegheny (vote for 5)</v>
      </c>
      <c r="B6087" s="55" t="s">
        <v>1291</v>
      </c>
      <c r="C6087">
        <v>1351</v>
      </c>
      <c r="D6087" s="55" t="s">
        <v>260</v>
      </c>
      <c r="E6087" s="55" t="s">
        <v>262</v>
      </c>
      <c r="F6087" t="s">
        <v>1117</v>
      </c>
      <c r="G6087" s="62">
        <v>92</v>
      </c>
      <c r="H6087" s="25">
        <v>5.72</v>
      </c>
      <c r="I6087">
        <v>7437</v>
      </c>
      <c r="J6087">
        <v>1701</v>
      </c>
      <c r="K6087">
        <v>13</v>
      </c>
      <c r="L6087">
        <v>13</v>
      </c>
      <c r="M6087">
        <v>0</v>
      </c>
      <c r="N6087" s="23">
        <v>0</v>
      </c>
      <c r="O6087">
        <f t="shared" si="1139"/>
        <v>9</v>
      </c>
      <c r="P6087" s="57">
        <f t="shared" si="1140"/>
        <v>5</v>
      </c>
      <c r="Q6087" s="267">
        <f t="shared" si="1141"/>
        <v>198</v>
      </c>
      <c r="R6087" s="23" t="str">
        <f t="shared" si="1142"/>
        <v/>
      </c>
      <c r="S6087" s="23">
        <f t="shared" si="1143"/>
        <v>92</v>
      </c>
      <c r="T6087" s="23" t="str">
        <f t="shared" si="1144"/>
        <v/>
      </c>
      <c r="U6087" t="str">
        <f t="shared" si="1145"/>
        <v/>
      </c>
      <c r="V6087" s="40"/>
      <c r="X6087" s="43"/>
      <c r="Y6087" s="53"/>
      <c r="Z6087" s="53"/>
      <c r="AA6087"/>
      <c r="AB6087"/>
      <c r="AC6087" s="23"/>
      <c r="AD6087" s="23"/>
      <c r="AF6087" s="22"/>
      <c r="AM6087" s="371"/>
      <c r="AN6087" s="372"/>
      <c r="AT6087" s="20"/>
      <c r="AU6087" s="29"/>
      <c r="AV6087"/>
      <c r="AW6087"/>
    </row>
    <row r="6088" spans="1:49">
      <c r="A6088" t="str">
        <f t="shared" si="1146"/>
        <v>PA_Alleg_2019p~Rep-school director south allegheny (vote for 5)</v>
      </c>
      <c r="B6088" s="55" t="s">
        <v>1291</v>
      </c>
      <c r="C6088">
        <v>1348</v>
      </c>
      <c r="D6088" s="55" t="s">
        <v>260</v>
      </c>
      <c r="E6088" s="55" t="s">
        <v>268</v>
      </c>
      <c r="F6088" t="s">
        <v>1117</v>
      </c>
      <c r="G6088" s="62">
        <v>80</v>
      </c>
      <c r="H6088" s="25">
        <v>4.9800000000000004</v>
      </c>
      <c r="I6088">
        <v>7437</v>
      </c>
      <c r="J6088">
        <v>1701</v>
      </c>
      <c r="K6088">
        <v>13</v>
      </c>
      <c r="L6088">
        <v>13</v>
      </c>
      <c r="M6088">
        <v>0</v>
      </c>
      <c r="N6088" s="23">
        <v>0</v>
      </c>
      <c r="O6088">
        <f t="shared" si="1139"/>
        <v>10</v>
      </c>
      <c r="P6088" s="57">
        <f t="shared" si="1140"/>
        <v>5</v>
      </c>
      <c r="Q6088" s="267">
        <f t="shared" si="1141"/>
        <v>106</v>
      </c>
      <c r="R6088" s="23" t="str">
        <f t="shared" si="1142"/>
        <v/>
      </c>
      <c r="S6088" s="23">
        <f t="shared" si="1143"/>
        <v>80</v>
      </c>
      <c r="T6088" s="23" t="str">
        <f t="shared" si="1144"/>
        <v/>
      </c>
      <c r="U6088" t="str">
        <f t="shared" si="1145"/>
        <v/>
      </c>
      <c r="V6088" s="40"/>
      <c r="X6088" s="43"/>
      <c r="Y6088" s="53"/>
      <c r="Z6088" s="53"/>
      <c r="AA6088"/>
      <c r="AB6088"/>
      <c r="AC6088" s="23"/>
      <c r="AD6088" s="23"/>
      <c r="AF6088" s="22"/>
      <c r="AM6088" s="371"/>
      <c r="AN6088" s="372"/>
      <c r="AT6088" s="20"/>
      <c r="AU6088" s="29"/>
      <c r="AV6088"/>
      <c r="AW6088"/>
    </row>
    <row r="6089" spans="1:49">
      <c r="A6089" t="str">
        <f t="shared" si="1146"/>
        <v>PA_Alleg_2019p~Rep-school director south allegheny (vote for 5)</v>
      </c>
      <c r="B6089" s="55" t="s">
        <v>1291</v>
      </c>
      <c r="C6089">
        <v>1353</v>
      </c>
      <c r="D6089" s="55" t="s">
        <v>260</v>
      </c>
      <c r="E6089" s="55" t="s">
        <v>15</v>
      </c>
      <c r="F6089" t="s">
        <v>1117</v>
      </c>
      <c r="G6089" s="62">
        <v>26</v>
      </c>
      <c r="H6089" s="25">
        <v>1.62</v>
      </c>
      <c r="I6089">
        <v>7437</v>
      </c>
      <c r="J6089">
        <v>1701</v>
      </c>
      <c r="K6089">
        <v>13</v>
      </c>
      <c r="L6089">
        <v>13</v>
      </c>
      <c r="M6089">
        <v>0</v>
      </c>
      <c r="N6089" s="23">
        <v>0</v>
      </c>
      <c r="O6089">
        <f t="shared" si="1139"/>
        <v>-10</v>
      </c>
      <c r="P6089" s="57">
        <f t="shared" si="1140"/>
        <v>5</v>
      </c>
      <c r="Q6089" s="267">
        <f t="shared" si="1141"/>
        <v>26</v>
      </c>
      <c r="R6089" s="23">
        <f t="shared" si="1142"/>
        <v>1</v>
      </c>
      <c r="S6089" s="23">
        <f t="shared" si="1143"/>
        <v>0</v>
      </c>
      <c r="T6089" s="23" t="str">
        <f t="shared" si="1144"/>
        <v/>
      </c>
      <c r="U6089" t="str">
        <f t="shared" si="1145"/>
        <v/>
      </c>
      <c r="V6089" s="40"/>
      <c r="X6089" s="43"/>
      <c r="Y6089" s="53"/>
      <c r="Z6089" s="53"/>
      <c r="AA6089"/>
      <c r="AB6089"/>
      <c r="AC6089" s="23"/>
      <c r="AD6089" s="23"/>
      <c r="AF6089" s="22"/>
      <c r="AM6089" s="371"/>
      <c r="AN6089" s="372"/>
      <c r="AT6089" s="20"/>
      <c r="AU6089" s="29"/>
      <c r="AV6089"/>
      <c r="AW6089"/>
    </row>
    <row r="6090" spans="1:49">
      <c r="A6090" t="str">
        <f t="shared" si="1146"/>
        <v>PA_Alleg_2019p~Rep-school director south fayette (vote for 1)</v>
      </c>
      <c r="B6090" s="55" t="s">
        <v>1291</v>
      </c>
      <c r="C6090">
        <v>1421</v>
      </c>
      <c r="D6090" s="55" t="s">
        <v>348</v>
      </c>
      <c r="E6090" s="55" t="s">
        <v>349</v>
      </c>
      <c r="F6090" t="s">
        <v>1117</v>
      </c>
      <c r="G6090" s="62">
        <v>420</v>
      </c>
      <c r="H6090" s="25">
        <v>98.59</v>
      </c>
      <c r="I6090">
        <v>11553</v>
      </c>
      <c r="J6090">
        <v>1482</v>
      </c>
      <c r="K6090">
        <v>12</v>
      </c>
      <c r="L6090">
        <v>12</v>
      </c>
      <c r="M6090">
        <v>0</v>
      </c>
      <c r="N6090" s="23">
        <v>0</v>
      </c>
      <c r="O6090">
        <f t="shared" si="1139"/>
        <v>1</v>
      </c>
      <c r="P6090" s="57">
        <f t="shared" si="1140"/>
        <v>1</v>
      </c>
      <c r="Q6090" s="267">
        <f t="shared" si="1141"/>
        <v>426</v>
      </c>
      <c r="R6090" s="23">
        <f t="shared" si="1142"/>
        <v>420</v>
      </c>
      <c r="S6090" s="23">
        <f t="shared" si="1143"/>
        <v>0</v>
      </c>
      <c r="T6090" s="23" t="str">
        <f t="shared" si="1144"/>
        <v/>
      </c>
      <c r="U6090" t="str">
        <f t="shared" si="1145"/>
        <v>PA_Alleg_2019p~Rep-school director south fayette (vote for 1)</v>
      </c>
      <c r="V6090" s="40"/>
      <c r="X6090" s="43"/>
      <c r="Y6090" s="53"/>
      <c r="Z6090" s="53"/>
      <c r="AA6090"/>
      <c r="AB6090"/>
      <c r="AC6090" s="23"/>
      <c r="AD6090" s="23"/>
      <c r="AF6090" s="22"/>
      <c r="AM6090" s="371"/>
      <c r="AN6090" s="372"/>
      <c r="AT6090" s="20"/>
      <c r="AU6090" s="29"/>
      <c r="AV6090"/>
      <c r="AW6090"/>
    </row>
    <row r="6091" spans="1:49">
      <c r="A6091" t="str">
        <f t="shared" si="1146"/>
        <v>PA_Alleg_2019p~Rep-school director south fayette (vote for 1)</v>
      </c>
      <c r="B6091" s="55" t="s">
        <v>1291</v>
      </c>
      <c r="C6091">
        <v>1422</v>
      </c>
      <c r="D6091" s="55" t="s">
        <v>348</v>
      </c>
      <c r="E6091" s="55" t="s">
        <v>15</v>
      </c>
      <c r="F6091" t="s">
        <v>1117</v>
      </c>
      <c r="G6091" s="62">
        <v>6</v>
      </c>
      <c r="H6091" s="25">
        <v>1.41</v>
      </c>
      <c r="I6091">
        <v>11553</v>
      </c>
      <c r="J6091">
        <v>1482</v>
      </c>
      <c r="K6091">
        <v>12</v>
      </c>
      <c r="L6091">
        <v>12</v>
      </c>
      <c r="M6091">
        <v>0</v>
      </c>
      <c r="N6091" s="23">
        <v>0</v>
      </c>
      <c r="O6091">
        <f t="shared" si="1139"/>
        <v>-1</v>
      </c>
      <c r="P6091" s="57">
        <f t="shared" si="1140"/>
        <v>1</v>
      </c>
      <c r="Q6091" s="267">
        <f t="shared" si="1141"/>
        <v>6</v>
      </c>
      <c r="R6091" s="23">
        <f t="shared" si="1142"/>
        <v>1</v>
      </c>
      <c r="S6091" s="23">
        <f t="shared" si="1143"/>
        <v>0</v>
      </c>
      <c r="T6091" s="23" t="str">
        <f t="shared" si="1144"/>
        <v/>
      </c>
      <c r="U6091" t="str">
        <f t="shared" si="1145"/>
        <v/>
      </c>
      <c r="V6091" s="40"/>
      <c r="X6091" s="43"/>
      <c r="Y6091" s="53"/>
      <c r="Z6091" s="53"/>
      <c r="AA6091"/>
      <c r="AB6091"/>
      <c r="AC6091" s="23"/>
      <c r="AD6091" s="23"/>
      <c r="AF6091" s="22"/>
      <c r="AM6091" s="371"/>
      <c r="AN6091" s="372"/>
      <c r="AT6091" s="20"/>
      <c r="AU6091" s="29"/>
      <c r="AV6091"/>
      <c r="AW6091"/>
    </row>
    <row r="6092" spans="1:49">
      <c r="A6092" t="str">
        <f t="shared" si="1146"/>
        <v>PA_Alleg_2019p~Rep-school director south fayette (vote for 5)</v>
      </c>
      <c r="B6092" s="55" t="s">
        <v>1291</v>
      </c>
      <c r="C6092">
        <v>1354</v>
      </c>
      <c r="D6092" s="55" t="s">
        <v>271</v>
      </c>
      <c r="E6092" s="55" t="s">
        <v>278</v>
      </c>
      <c r="F6092" t="s">
        <v>1117</v>
      </c>
      <c r="G6092" s="62">
        <v>383</v>
      </c>
      <c r="H6092" s="25">
        <v>19.71</v>
      </c>
      <c r="I6092">
        <v>11553</v>
      </c>
      <c r="J6092">
        <v>1482</v>
      </c>
      <c r="K6092">
        <v>12</v>
      </c>
      <c r="L6092">
        <v>12</v>
      </c>
      <c r="M6092">
        <v>0</v>
      </c>
      <c r="N6092" s="23">
        <v>0</v>
      </c>
      <c r="O6092">
        <f t="shared" si="1139"/>
        <v>1</v>
      </c>
      <c r="P6092" s="57">
        <f t="shared" si="1140"/>
        <v>5</v>
      </c>
      <c r="Q6092" s="267">
        <f t="shared" si="1141"/>
        <v>388.6</v>
      </c>
      <c r="R6092" s="23">
        <f t="shared" si="1142"/>
        <v>237</v>
      </c>
      <c r="S6092" s="23">
        <f t="shared" si="1143"/>
        <v>219</v>
      </c>
      <c r="T6092" s="23">
        <f t="shared" si="1144"/>
        <v>18</v>
      </c>
      <c r="U6092" t="str">
        <f t="shared" si="1145"/>
        <v>PA_Alleg_2019p~Rep-school director south fayette (vote for 5)</v>
      </c>
      <c r="V6092" s="40"/>
      <c r="X6092" s="43"/>
      <c r="Y6092" s="53"/>
      <c r="Z6092" s="53"/>
      <c r="AA6092"/>
      <c r="AB6092"/>
      <c r="AC6092" s="23"/>
      <c r="AD6092" s="23"/>
      <c r="AF6092" s="22"/>
      <c r="AM6092" s="371"/>
      <c r="AN6092" s="372"/>
      <c r="AT6092" s="20"/>
      <c r="AU6092" s="29"/>
      <c r="AV6092"/>
      <c r="AW6092"/>
    </row>
    <row r="6093" spans="1:49">
      <c r="A6093" t="str">
        <f t="shared" si="1146"/>
        <v>PA_Alleg_2019p~Rep-school director south fayette (vote for 5)</v>
      </c>
      <c r="B6093" s="55" t="s">
        <v>1291</v>
      </c>
      <c r="C6093">
        <v>1360</v>
      </c>
      <c r="D6093" s="55" t="s">
        <v>271</v>
      </c>
      <c r="E6093" s="55" t="s">
        <v>274</v>
      </c>
      <c r="F6093" t="s">
        <v>1117</v>
      </c>
      <c r="G6093" s="62">
        <v>321</v>
      </c>
      <c r="H6093" s="25">
        <v>16.52</v>
      </c>
      <c r="I6093">
        <v>11553</v>
      </c>
      <c r="J6093">
        <v>1482</v>
      </c>
      <c r="K6093">
        <v>12</v>
      </c>
      <c r="L6093">
        <v>12</v>
      </c>
      <c r="M6093">
        <v>0</v>
      </c>
      <c r="N6093" s="23">
        <v>0</v>
      </c>
      <c r="O6093">
        <f t="shared" si="1139"/>
        <v>2</v>
      </c>
      <c r="P6093" s="57">
        <f t="shared" si="1140"/>
        <v>5</v>
      </c>
      <c r="Q6093" s="267">
        <f t="shared" si="1141"/>
        <v>1560</v>
      </c>
      <c r="R6093" s="23">
        <f t="shared" si="1142"/>
        <v>237</v>
      </c>
      <c r="S6093" s="23">
        <f t="shared" si="1143"/>
        <v>219</v>
      </c>
      <c r="T6093" s="23" t="str">
        <f t="shared" si="1144"/>
        <v/>
      </c>
      <c r="U6093" t="str">
        <f t="shared" si="1145"/>
        <v/>
      </c>
      <c r="V6093" s="40"/>
      <c r="X6093" s="43"/>
      <c r="Y6093" s="53"/>
      <c r="Z6093" s="53"/>
      <c r="AA6093"/>
      <c r="AB6093"/>
      <c r="AC6093" s="23"/>
      <c r="AD6093" s="23"/>
      <c r="AF6093" s="22"/>
      <c r="AM6093" s="371"/>
      <c r="AN6093" s="372"/>
      <c r="AT6093" s="20"/>
      <c r="AU6093" s="29"/>
      <c r="AV6093"/>
      <c r="AW6093"/>
    </row>
    <row r="6094" spans="1:49">
      <c r="A6094" t="str">
        <f t="shared" si="1146"/>
        <v>PA_Alleg_2019p~Rep-school director south fayette (vote for 5)</v>
      </c>
      <c r="B6094" s="55" t="s">
        <v>1291</v>
      </c>
      <c r="C6094">
        <v>1357</v>
      </c>
      <c r="D6094" s="55" t="s">
        <v>271</v>
      </c>
      <c r="E6094" s="55" t="s">
        <v>277</v>
      </c>
      <c r="F6094" t="s">
        <v>1117</v>
      </c>
      <c r="G6094" s="62">
        <v>285</v>
      </c>
      <c r="H6094" s="25">
        <v>14.67</v>
      </c>
      <c r="I6094">
        <v>11553</v>
      </c>
      <c r="J6094">
        <v>1482</v>
      </c>
      <c r="K6094">
        <v>12</v>
      </c>
      <c r="L6094">
        <v>12</v>
      </c>
      <c r="M6094">
        <v>0</v>
      </c>
      <c r="N6094" s="23">
        <v>0</v>
      </c>
      <c r="O6094">
        <f t="shared" si="1139"/>
        <v>3</v>
      </c>
      <c r="P6094" s="57">
        <f t="shared" si="1140"/>
        <v>5</v>
      </c>
      <c r="Q6094" s="267">
        <f t="shared" si="1141"/>
        <v>1239</v>
      </c>
      <c r="R6094" s="23">
        <f t="shared" si="1142"/>
        <v>237</v>
      </c>
      <c r="S6094" s="23">
        <f t="shared" si="1143"/>
        <v>219</v>
      </c>
      <c r="T6094" s="23" t="str">
        <f t="shared" si="1144"/>
        <v/>
      </c>
      <c r="U6094" t="str">
        <f t="shared" si="1145"/>
        <v/>
      </c>
      <c r="V6094" s="40"/>
      <c r="X6094" s="43"/>
      <c r="Y6094" s="53"/>
      <c r="Z6094" s="53"/>
      <c r="AA6094"/>
      <c r="AB6094"/>
      <c r="AC6094" s="23"/>
      <c r="AD6094" s="23"/>
      <c r="AF6094" s="22"/>
      <c r="AM6094" s="371"/>
      <c r="AN6094" s="372"/>
      <c r="AT6094" s="20"/>
      <c r="AU6094" s="29"/>
      <c r="AV6094"/>
      <c r="AW6094"/>
    </row>
    <row r="6095" spans="1:49">
      <c r="A6095" t="str">
        <f t="shared" si="1146"/>
        <v>PA_Alleg_2019p~Rep-school director south fayette (vote for 5)</v>
      </c>
      <c r="B6095" s="55" t="s">
        <v>1291</v>
      </c>
      <c r="C6095">
        <v>1355</v>
      </c>
      <c r="D6095" s="55" t="s">
        <v>271</v>
      </c>
      <c r="E6095" s="55" t="s">
        <v>275</v>
      </c>
      <c r="F6095" t="s">
        <v>1117</v>
      </c>
      <c r="G6095" s="62">
        <v>283</v>
      </c>
      <c r="H6095" s="25">
        <v>14.57</v>
      </c>
      <c r="I6095">
        <v>11553</v>
      </c>
      <c r="J6095">
        <v>1482</v>
      </c>
      <c r="K6095">
        <v>12</v>
      </c>
      <c r="L6095">
        <v>12</v>
      </c>
      <c r="M6095">
        <v>0</v>
      </c>
      <c r="N6095" s="23">
        <v>0</v>
      </c>
      <c r="O6095">
        <f t="shared" si="1139"/>
        <v>4</v>
      </c>
      <c r="P6095" s="57">
        <f t="shared" si="1140"/>
        <v>5</v>
      </c>
      <c r="Q6095" s="267">
        <f t="shared" si="1141"/>
        <v>954</v>
      </c>
      <c r="R6095" s="23">
        <f t="shared" si="1142"/>
        <v>237</v>
      </c>
      <c r="S6095" s="23">
        <f t="shared" si="1143"/>
        <v>219</v>
      </c>
      <c r="T6095" s="23" t="str">
        <f t="shared" si="1144"/>
        <v/>
      </c>
      <c r="U6095" t="str">
        <f t="shared" si="1145"/>
        <v/>
      </c>
      <c r="V6095" s="40"/>
      <c r="X6095" s="43"/>
      <c r="Y6095" s="53"/>
      <c r="Z6095" s="53"/>
      <c r="AA6095"/>
      <c r="AB6095"/>
      <c r="AC6095" s="23"/>
      <c r="AD6095" s="23"/>
      <c r="AF6095" s="22"/>
      <c r="AM6095" s="371"/>
      <c r="AN6095" s="372"/>
      <c r="AT6095" s="20"/>
      <c r="AU6095" s="29"/>
      <c r="AV6095"/>
      <c r="AW6095"/>
    </row>
    <row r="6096" spans="1:49">
      <c r="A6096" t="str">
        <f t="shared" si="1146"/>
        <v>PA_Alleg_2019p~Rep-school director south fayette (vote for 5)</v>
      </c>
      <c r="B6096" s="55" t="s">
        <v>1291</v>
      </c>
      <c r="C6096">
        <v>1359</v>
      </c>
      <c r="D6096" s="55" t="s">
        <v>271</v>
      </c>
      <c r="E6096" s="55" t="s">
        <v>272</v>
      </c>
      <c r="F6096" t="s">
        <v>1117</v>
      </c>
      <c r="G6096" s="62">
        <v>237</v>
      </c>
      <c r="H6096" s="25">
        <v>12.2</v>
      </c>
      <c r="I6096">
        <v>11553</v>
      </c>
      <c r="J6096">
        <v>1482</v>
      </c>
      <c r="K6096">
        <v>12</v>
      </c>
      <c r="L6096">
        <v>12</v>
      </c>
      <c r="M6096">
        <v>0</v>
      </c>
      <c r="N6096" s="23">
        <v>0</v>
      </c>
      <c r="O6096">
        <f t="shared" si="1139"/>
        <v>5</v>
      </c>
      <c r="P6096" s="57">
        <f t="shared" si="1140"/>
        <v>5</v>
      </c>
      <c r="Q6096" s="267">
        <f t="shared" si="1141"/>
        <v>671</v>
      </c>
      <c r="R6096" s="23">
        <f t="shared" si="1142"/>
        <v>237</v>
      </c>
      <c r="S6096" s="23">
        <f t="shared" si="1143"/>
        <v>219</v>
      </c>
      <c r="T6096" s="23" t="str">
        <f t="shared" si="1144"/>
        <v/>
      </c>
      <c r="U6096" t="str">
        <f t="shared" si="1145"/>
        <v/>
      </c>
      <c r="V6096" s="40"/>
      <c r="X6096" s="43"/>
      <c r="Y6096" s="53"/>
      <c r="Z6096" s="53"/>
      <c r="AA6096"/>
      <c r="AB6096"/>
      <c r="AC6096" s="23"/>
      <c r="AD6096" s="23"/>
      <c r="AF6096" s="22"/>
      <c r="AM6096" s="371"/>
      <c r="AN6096" s="372"/>
      <c r="AT6096" s="20"/>
      <c r="AU6096" s="29"/>
      <c r="AV6096"/>
      <c r="AW6096"/>
    </row>
    <row r="6097" spans="1:49">
      <c r="A6097" t="str">
        <f t="shared" si="1146"/>
        <v>PA_Alleg_2019p~Rep-school director south fayette (vote for 5)</v>
      </c>
      <c r="B6097" s="55" t="s">
        <v>1291</v>
      </c>
      <c r="C6097">
        <v>1356</v>
      </c>
      <c r="D6097" s="55" t="s">
        <v>271</v>
      </c>
      <c r="E6097" s="55" t="s">
        <v>273</v>
      </c>
      <c r="F6097" t="s">
        <v>1117</v>
      </c>
      <c r="G6097" s="62">
        <v>219</v>
      </c>
      <c r="H6097" s="25">
        <v>11.27</v>
      </c>
      <c r="I6097">
        <v>11553</v>
      </c>
      <c r="J6097">
        <v>1482</v>
      </c>
      <c r="K6097">
        <v>12</v>
      </c>
      <c r="L6097">
        <v>12</v>
      </c>
      <c r="M6097">
        <v>0</v>
      </c>
      <c r="N6097" s="23">
        <v>0</v>
      </c>
      <c r="O6097">
        <f t="shared" si="1139"/>
        <v>6</v>
      </c>
      <c r="P6097" s="57">
        <f t="shared" si="1140"/>
        <v>5</v>
      </c>
      <c r="Q6097" s="267">
        <f t="shared" si="1141"/>
        <v>434</v>
      </c>
      <c r="R6097" s="23" t="str">
        <f t="shared" si="1142"/>
        <v/>
      </c>
      <c r="S6097" s="23">
        <f t="shared" si="1143"/>
        <v>219</v>
      </c>
      <c r="T6097" s="23" t="str">
        <f t="shared" si="1144"/>
        <v/>
      </c>
      <c r="U6097" t="str">
        <f t="shared" si="1145"/>
        <v/>
      </c>
      <c r="V6097" s="40"/>
      <c r="X6097" s="43"/>
      <c r="Y6097" s="53"/>
      <c r="Z6097" s="53"/>
      <c r="AA6097"/>
      <c r="AB6097"/>
      <c r="AC6097" s="23"/>
      <c r="AD6097" s="23"/>
      <c r="AF6097" s="22"/>
      <c r="AM6097" s="371"/>
      <c r="AN6097" s="372"/>
      <c r="AT6097" s="20"/>
      <c r="AU6097" s="29"/>
      <c r="AV6097"/>
      <c r="AW6097"/>
    </row>
    <row r="6098" spans="1:49">
      <c r="A6098" t="str">
        <f t="shared" si="1146"/>
        <v>PA_Alleg_2019p~Rep-school director south fayette (vote for 5)</v>
      </c>
      <c r="B6098" s="55" t="s">
        <v>1291</v>
      </c>
      <c r="C6098">
        <v>1358</v>
      </c>
      <c r="D6098" s="55" t="s">
        <v>271</v>
      </c>
      <c r="E6098" s="55" t="s">
        <v>276</v>
      </c>
      <c r="F6098" t="s">
        <v>1117</v>
      </c>
      <c r="G6098" s="62">
        <v>198</v>
      </c>
      <c r="H6098" s="25">
        <v>10.19</v>
      </c>
      <c r="I6098">
        <v>11553</v>
      </c>
      <c r="J6098">
        <v>1482</v>
      </c>
      <c r="K6098">
        <v>12</v>
      </c>
      <c r="L6098">
        <v>12</v>
      </c>
      <c r="M6098">
        <v>0</v>
      </c>
      <c r="N6098" s="23">
        <v>0</v>
      </c>
      <c r="O6098">
        <f t="shared" si="1139"/>
        <v>7</v>
      </c>
      <c r="P6098" s="57">
        <f t="shared" si="1140"/>
        <v>5</v>
      </c>
      <c r="Q6098" s="267">
        <f t="shared" si="1141"/>
        <v>215</v>
      </c>
      <c r="R6098" s="23" t="str">
        <f t="shared" si="1142"/>
        <v/>
      </c>
      <c r="S6098" s="23">
        <f t="shared" si="1143"/>
        <v>198</v>
      </c>
      <c r="T6098" s="23" t="str">
        <f t="shared" si="1144"/>
        <v/>
      </c>
      <c r="U6098" t="str">
        <f t="shared" si="1145"/>
        <v/>
      </c>
      <c r="V6098" s="40"/>
      <c r="X6098" s="43"/>
      <c r="Y6098" s="53"/>
      <c r="Z6098" s="53"/>
      <c r="AA6098"/>
      <c r="AB6098"/>
      <c r="AC6098" s="23"/>
      <c r="AD6098" s="23"/>
      <c r="AF6098" s="22"/>
      <c r="AM6098" s="371"/>
      <c r="AN6098" s="372"/>
      <c r="AT6098" s="20"/>
      <c r="AU6098" s="29"/>
      <c r="AV6098"/>
      <c r="AW6098"/>
    </row>
    <row r="6099" spans="1:49">
      <c r="A6099" t="str">
        <f t="shared" si="1146"/>
        <v>PA_Alleg_2019p~Rep-school director south fayette (vote for 5)</v>
      </c>
      <c r="B6099" s="55" t="s">
        <v>1291</v>
      </c>
      <c r="C6099">
        <v>1361</v>
      </c>
      <c r="D6099" s="55" t="s">
        <v>271</v>
      </c>
      <c r="E6099" s="55" t="s">
        <v>15</v>
      </c>
      <c r="F6099" t="s">
        <v>1117</v>
      </c>
      <c r="G6099" s="62">
        <v>17</v>
      </c>
      <c r="H6099" s="25">
        <v>0.87</v>
      </c>
      <c r="I6099">
        <v>11553</v>
      </c>
      <c r="J6099">
        <v>1482</v>
      </c>
      <c r="K6099">
        <v>12</v>
      </c>
      <c r="L6099">
        <v>12</v>
      </c>
      <c r="M6099">
        <v>0</v>
      </c>
      <c r="N6099" s="23">
        <v>0</v>
      </c>
      <c r="O6099">
        <f t="shared" si="1139"/>
        <v>-7</v>
      </c>
      <c r="P6099" s="57">
        <f t="shared" si="1140"/>
        <v>5</v>
      </c>
      <c r="Q6099" s="267">
        <f t="shared" si="1141"/>
        <v>17</v>
      </c>
      <c r="R6099" s="23">
        <f t="shared" si="1142"/>
        <v>1</v>
      </c>
      <c r="S6099" s="23">
        <f t="shared" si="1143"/>
        <v>0</v>
      </c>
      <c r="T6099" s="23" t="str">
        <f t="shared" si="1144"/>
        <v/>
      </c>
      <c r="U6099" t="str">
        <f t="shared" si="1145"/>
        <v/>
      </c>
      <c r="V6099" s="40"/>
      <c r="X6099" s="43"/>
      <c r="Y6099" s="53"/>
      <c r="Z6099" s="53"/>
      <c r="AA6099"/>
      <c r="AB6099"/>
      <c r="AC6099" s="23"/>
      <c r="AD6099" s="23"/>
      <c r="AF6099" s="22"/>
      <c r="AM6099" s="371"/>
      <c r="AN6099" s="372"/>
      <c r="AT6099" s="20"/>
      <c r="AU6099" s="29"/>
      <c r="AV6099"/>
      <c r="AW6099"/>
    </row>
    <row r="6100" spans="1:49">
      <c r="A6100" t="str">
        <f t="shared" si="1146"/>
        <v>PA_Alleg_2019p~Rep-school director south park (vote for 5)</v>
      </c>
      <c r="B6100" s="55" t="s">
        <v>1291</v>
      </c>
      <c r="C6100">
        <v>1362</v>
      </c>
      <c r="D6100" s="55" t="s">
        <v>279</v>
      </c>
      <c r="E6100" s="55" t="s">
        <v>280</v>
      </c>
      <c r="F6100" t="s">
        <v>1117</v>
      </c>
      <c r="G6100" s="62">
        <v>307</v>
      </c>
      <c r="H6100" s="25">
        <v>20.45</v>
      </c>
      <c r="I6100">
        <v>9810</v>
      </c>
      <c r="J6100">
        <v>1387</v>
      </c>
      <c r="K6100">
        <v>13</v>
      </c>
      <c r="L6100">
        <v>13</v>
      </c>
      <c r="M6100">
        <v>0</v>
      </c>
      <c r="N6100" s="23">
        <v>0</v>
      </c>
      <c r="O6100">
        <f t="shared" si="1139"/>
        <v>1</v>
      </c>
      <c r="P6100" s="57">
        <f t="shared" si="1140"/>
        <v>5</v>
      </c>
      <c r="Q6100" s="267">
        <f t="shared" si="1141"/>
        <v>307</v>
      </c>
      <c r="R6100" s="23">
        <f t="shared" si="1142"/>
        <v>285</v>
      </c>
      <c r="S6100" s="23">
        <f t="shared" si="1143"/>
        <v>0</v>
      </c>
      <c r="T6100" s="23" t="str">
        <f t="shared" si="1144"/>
        <v/>
      </c>
      <c r="U6100" t="str">
        <f t="shared" si="1145"/>
        <v>PA_Alleg_2019p~Rep-school director south park (vote for 5)</v>
      </c>
      <c r="V6100" s="40"/>
      <c r="X6100" s="43"/>
      <c r="Y6100" s="53"/>
      <c r="Z6100" s="53"/>
      <c r="AA6100"/>
      <c r="AB6100"/>
      <c r="AC6100" s="23"/>
      <c r="AD6100" s="23"/>
      <c r="AF6100" s="22"/>
      <c r="AM6100" s="371"/>
      <c r="AN6100" s="372"/>
      <c r="AT6100" s="20"/>
      <c r="AU6100" s="29"/>
      <c r="AV6100"/>
      <c r="AW6100"/>
    </row>
    <row r="6101" spans="1:49">
      <c r="A6101" t="str">
        <f t="shared" si="1146"/>
        <v>PA_Alleg_2019p~Rep-school director south park (vote for 5)</v>
      </c>
      <c r="B6101" s="55" t="s">
        <v>1291</v>
      </c>
      <c r="C6101">
        <v>1364</v>
      </c>
      <c r="D6101" s="55" t="s">
        <v>279</v>
      </c>
      <c r="E6101" s="55" t="s">
        <v>283</v>
      </c>
      <c r="F6101" t="s">
        <v>1117</v>
      </c>
      <c r="G6101" s="62">
        <v>299</v>
      </c>
      <c r="H6101" s="25">
        <v>19.920000000000002</v>
      </c>
      <c r="I6101">
        <v>9810</v>
      </c>
      <c r="J6101">
        <v>1387</v>
      </c>
      <c r="K6101">
        <v>13</v>
      </c>
      <c r="L6101">
        <v>13</v>
      </c>
      <c r="M6101">
        <v>0</v>
      </c>
      <c r="N6101" s="23">
        <v>0</v>
      </c>
      <c r="O6101">
        <f t="shared" si="1139"/>
        <v>2</v>
      </c>
      <c r="P6101" s="57">
        <f t="shared" si="1140"/>
        <v>5</v>
      </c>
      <c r="Q6101" s="267">
        <f t="shared" si="1141"/>
        <v>1194</v>
      </c>
      <c r="R6101" s="23">
        <f t="shared" si="1142"/>
        <v>285</v>
      </c>
      <c r="S6101" s="23">
        <f t="shared" si="1143"/>
        <v>0</v>
      </c>
      <c r="T6101" s="23" t="str">
        <f t="shared" si="1144"/>
        <v/>
      </c>
      <c r="U6101" t="str">
        <f t="shared" si="1145"/>
        <v/>
      </c>
      <c r="V6101" s="40"/>
      <c r="X6101" s="43"/>
      <c r="Y6101" s="53"/>
      <c r="Z6101" s="53"/>
      <c r="AA6101"/>
      <c r="AB6101"/>
      <c r="AC6101" s="23"/>
      <c r="AD6101" s="23"/>
      <c r="AF6101" s="22"/>
      <c r="AM6101" s="371"/>
      <c r="AN6101" s="372"/>
      <c r="AT6101" s="20"/>
      <c r="AU6101" s="29"/>
      <c r="AV6101"/>
      <c r="AW6101"/>
    </row>
    <row r="6102" spans="1:49">
      <c r="A6102" t="str">
        <f t="shared" si="1146"/>
        <v>PA_Alleg_2019p~Rep-school director south park (vote for 5)</v>
      </c>
      <c r="B6102" s="55" t="s">
        <v>1291</v>
      </c>
      <c r="C6102">
        <v>1365</v>
      </c>
      <c r="D6102" s="55" t="s">
        <v>279</v>
      </c>
      <c r="E6102" s="55" t="s">
        <v>282</v>
      </c>
      <c r="F6102" t="s">
        <v>1117</v>
      </c>
      <c r="G6102" s="62">
        <v>298</v>
      </c>
      <c r="H6102" s="25">
        <v>19.850000000000001</v>
      </c>
      <c r="I6102">
        <v>9810</v>
      </c>
      <c r="J6102">
        <v>1387</v>
      </c>
      <c r="K6102">
        <v>13</v>
      </c>
      <c r="L6102">
        <v>13</v>
      </c>
      <c r="M6102">
        <v>0</v>
      </c>
      <c r="N6102" s="23">
        <v>0</v>
      </c>
      <c r="O6102">
        <f t="shared" si="1139"/>
        <v>3</v>
      </c>
      <c r="P6102" s="57">
        <f t="shared" si="1140"/>
        <v>5</v>
      </c>
      <c r="Q6102" s="267">
        <f t="shared" si="1141"/>
        <v>895</v>
      </c>
      <c r="R6102" s="23">
        <f t="shared" si="1142"/>
        <v>285</v>
      </c>
      <c r="S6102" s="23">
        <f t="shared" si="1143"/>
        <v>0</v>
      </c>
      <c r="T6102" s="23" t="str">
        <f t="shared" si="1144"/>
        <v/>
      </c>
      <c r="U6102" t="str">
        <f t="shared" si="1145"/>
        <v/>
      </c>
      <c r="V6102" s="40"/>
      <c r="X6102" s="43"/>
      <c r="Y6102" s="53"/>
      <c r="Z6102" s="53"/>
      <c r="AA6102"/>
      <c r="AB6102"/>
      <c r="AC6102" s="23"/>
      <c r="AD6102" s="23"/>
      <c r="AF6102" s="22"/>
      <c r="AM6102" s="371"/>
      <c r="AN6102" s="372"/>
      <c r="AT6102" s="20"/>
      <c r="AU6102" s="29"/>
      <c r="AV6102"/>
      <c r="AW6102"/>
    </row>
    <row r="6103" spans="1:49">
      <c r="A6103" t="str">
        <f t="shared" si="1146"/>
        <v>PA_Alleg_2019p~Rep-school director south park (vote for 5)</v>
      </c>
      <c r="B6103" s="55" t="s">
        <v>1291</v>
      </c>
      <c r="C6103">
        <v>1363</v>
      </c>
      <c r="D6103" s="55" t="s">
        <v>279</v>
      </c>
      <c r="E6103" s="55" t="s">
        <v>284</v>
      </c>
      <c r="F6103" t="s">
        <v>1117</v>
      </c>
      <c r="G6103" s="62">
        <v>292</v>
      </c>
      <c r="H6103" s="25">
        <v>19.45</v>
      </c>
      <c r="I6103">
        <v>9810</v>
      </c>
      <c r="J6103">
        <v>1387</v>
      </c>
      <c r="K6103">
        <v>13</v>
      </c>
      <c r="L6103">
        <v>13</v>
      </c>
      <c r="M6103">
        <v>0</v>
      </c>
      <c r="N6103" s="23">
        <v>0</v>
      </c>
      <c r="O6103">
        <f t="shared" si="1139"/>
        <v>4</v>
      </c>
      <c r="P6103" s="57">
        <f t="shared" si="1140"/>
        <v>5</v>
      </c>
      <c r="Q6103" s="267">
        <f t="shared" si="1141"/>
        <v>597</v>
      </c>
      <c r="R6103" s="23">
        <f t="shared" si="1142"/>
        <v>285</v>
      </c>
      <c r="S6103" s="23">
        <f t="shared" si="1143"/>
        <v>0</v>
      </c>
      <c r="T6103" s="23" t="str">
        <f t="shared" si="1144"/>
        <v/>
      </c>
      <c r="U6103" t="str">
        <f t="shared" si="1145"/>
        <v/>
      </c>
      <c r="V6103" s="40"/>
      <c r="X6103" s="43"/>
      <c r="Y6103" s="53"/>
      <c r="Z6103" s="53"/>
      <c r="AA6103"/>
      <c r="AB6103"/>
      <c r="AC6103" s="23"/>
      <c r="AD6103" s="23"/>
      <c r="AF6103" s="22"/>
      <c r="AM6103" s="371"/>
      <c r="AN6103" s="372"/>
      <c r="AT6103" s="20"/>
      <c r="AU6103" s="29"/>
      <c r="AV6103"/>
      <c r="AW6103"/>
    </row>
    <row r="6104" spans="1:49">
      <c r="A6104" t="str">
        <f t="shared" si="1146"/>
        <v>PA_Alleg_2019p~Rep-school director south park (vote for 5)</v>
      </c>
      <c r="B6104" s="55" t="s">
        <v>1291</v>
      </c>
      <c r="C6104">
        <v>1366</v>
      </c>
      <c r="D6104" s="55" t="s">
        <v>279</v>
      </c>
      <c r="E6104" s="55" t="s">
        <v>281</v>
      </c>
      <c r="F6104" t="s">
        <v>1117</v>
      </c>
      <c r="G6104" s="62">
        <v>285</v>
      </c>
      <c r="H6104" s="25">
        <v>18.989999999999998</v>
      </c>
      <c r="I6104">
        <v>9810</v>
      </c>
      <c r="J6104">
        <v>1387</v>
      </c>
      <c r="K6104">
        <v>13</v>
      </c>
      <c r="L6104">
        <v>13</v>
      </c>
      <c r="M6104">
        <v>0</v>
      </c>
      <c r="N6104" s="23">
        <v>0</v>
      </c>
      <c r="O6104">
        <f t="shared" si="1139"/>
        <v>5</v>
      </c>
      <c r="P6104" s="57">
        <f t="shared" si="1140"/>
        <v>5</v>
      </c>
      <c r="Q6104" s="267">
        <f t="shared" si="1141"/>
        <v>305</v>
      </c>
      <c r="R6104" s="23">
        <f t="shared" si="1142"/>
        <v>285</v>
      </c>
      <c r="S6104" s="23">
        <f t="shared" si="1143"/>
        <v>0</v>
      </c>
      <c r="T6104" s="23" t="str">
        <f t="shared" si="1144"/>
        <v/>
      </c>
      <c r="U6104" t="str">
        <f t="shared" si="1145"/>
        <v/>
      </c>
      <c r="V6104" s="40"/>
      <c r="X6104" s="43"/>
      <c r="Y6104" s="53"/>
      <c r="Z6104" s="53"/>
      <c r="AA6104"/>
      <c r="AB6104"/>
      <c r="AC6104" s="23"/>
      <c r="AD6104" s="23"/>
      <c r="AF6104" s="22"/>
      <c r="AM6104" s="371"/>
      <c r="AN6104" s="372"/>
      <c r="AT6104" s="20"/>
      <c r="AU6104" s="29"/>
      <c r="AV6104"/>
      <c r="AW6104"/>
    </row>
    <row r="6105" spans="1:49">
      <c r="A6105" t="str">
        <f t="shared" si="1146"/>
        <v>PA_Alleg_2019p~Rep-school director south park (vote for 5)</v>
      </c>
      <c r="B6105" s="55" t="s">
        <v>1291</v>
      </c>
      <c r="C6105">
        <v>1367</v>
      </c>
      <c r="D6105" s="55" t="s">
        <v>279</v>
      </c>
      <c r="E6105" s="55" t="s">
        <v>15</v>
      </c>
      <c r="F6105" t="s">
        <v>1117</v>
      </c>
      <c r="G6105" s="62">
        <v>20</v>
      </c>
      <c r="H6105" s="25">
        <v>1.33</v>
      </c>
      <c r="I6105">
        <v>9810</v>
      </c>
      <c r="J6105">
        <v>1387</v>
      </c>
      <c r="K6105">
        <v>13</v>
      </c>
      <c r="L6105">
        <v>13</v>
      </c>
      <c r="M6105">
        <v>0</v>
      </c>
      <c r="N6105" s="23">
        <v>0</v>
      </c>
      <c r="O6105">
        <f t="shared" si="1139"/>
        <v>-5</v>
      </c>
      <c r="P6105" s="57">
        <f t="shared" si="1140"/>
        <v>5</v>
      </c>
      <c r="Q6105" s="267">
        <f t="shared" si="1141"/>
        <v>20</v>
      </c>
      <c r="R6105" s="23">
        <f t="shared" si="1142"/>
        <v>1</v>
      </c>
      <c r="S6105" s="23">
        <f t="shared" si="1143"/>
        <v>0</v>
      </c>
      <c r="T6105" s="23" t="str">
        <f t="shared" si="1144"/>
        <v/>
      </c>
      <c r="U6105" t="str">
        <f t="shared" si="1145"/>
        <v/>
      </c>
      <c r="V6105" s="40"/>
      <c r="X6105" s="43"/>
      <c r="Y6105" s="53"/>
      <c r="Z6105" s="53"/>
      <c r="AA6105"/>
      <c r="AB6105"/>
      <c r="AC6105" s="23"/>
      <c r="AD6105" s="23"/>
      <c r="AF6105" s="22"/>
      <c r="AM6105" s="371"/>
      <c r="AN6105" s="372"/>
      <c r="AT6105" s="20"/>
      <c r="AU6105" s="29"/>
      <c r="AV6105"/>
      <c r="AW6105"/>
    </row>
    <row r="6106" spans="1:49">
      <c r="A6106" t="str">
        <f t="shared" si="1146"/>
        <v>PA_Alleg_2019p~Rep-school director steel valley region 2 (vote for 1)</v>
      </c>
      <c r="B6106" s="55" t="s">
        <v>1291</v>
      </c>
      <c r="C6106">
        <v>1482</v>
      </c>
      <c r="D6106" s="55" t="s">
        <v>419</v>
      </c>
      <c r="E6106" s="55" t="s">
        <v>420</v>
      </c>
      <c r="F6106" t="s">
        <v>1117</v>
      </c>
      <c r="G6106" s="62">
        <v>112</v>
      </c>
      <c r="H6106" s="25">
        <v>98.25</v>
      </c>
      <c r="I6106">
        <v>3200</v>
      </c>
      <c r="J6106">
        <v>799</v>
      </c>
      <c r="K6106">
        <v>6</v>
      </c>
      <c r="L6106">
        <v>6</v>
      </c>
      <c r="M6106">
        <v>0</v>
      </c>
      <c r="N6106" s="23">
        <v>0</v>
      </c>
      <c r="O6106">
        <f t="shared" si="1139"/>
        <v>1</v>
      </c>
      <c r="P6106" s="57">
        <f t="shared" si="1140"/>
        <v>1</v>
      </c>
      <c r="Q6106" s="267">
        <f t="shared" si="1141"/>
        <v>114</v>
      </c>
      <c r="R6106" s="23">
        <f t="shared" si="1142"/>
        <v>112</v>
      </c>
      <c r="S6106" s="23">
        <f t="shared" si="1143"/>
        <v>0</v>
      </c>
      <c r="T6106" s="23" t="str">
        <f t="shared" si="1144"/>
        <v/>
      </c>
      <c r="U6106" t="str">
        <f t="shared" si="1145"/>
        <v>PA_Alleg_2019p~Rep-school director steel valley region 2 (vote for 1)</v>
      </c>
      <c r="V6106" s="40"/>
      <c r="X6106" s="43"/>
      <c r="Y6106" s="53"/>
      <c r="Z6106" s="53"/>
      <c r="AA6106"/>
      <c r="AB6106"/>
      <c r="AC6106" s="23"/>
      <c r="AD6106" s="23"/>
      <c r="AF6106" s="22"/>
      <c r="AM6106" s="371"/>
      <c r="AN6106" s="372"/>
      <c r="AT6106" s="20"/>
      <c r="AU6106" s="29"/>
      <c r="AV6106"/>
      <c r="AW6106"/>
    </row>
    <row r="6107" spans="1:49">
      <c r="A6107" t="str">
        <f t="shared" si="1146"/>
        <v>PA_Alleg_2019p~Rep-school director steel valley region 2 (vote for 1)</v>
      </c>
      <c r="B6107" s="55" t="s">
        <v>1291</v>
      </c>
      <c r="C6107">
        <v>1483</v>
      </c>
      <c r="D6107" s="55" t="s">
        <v>419</v>
      </c>
      <c r="E6107" s="55" t="s">
        <v>15</v>
      </c>
      <c r="F6107" t="s">
        <v>1117</v>
      </c>
      <c r="G6107" s="62">
        <v>2</v>
      </c>
      <c r="H6107" s="25">
        <v>1.75</v>
      </c>
      <c r="I6107">
        <v>3200</v>
      </c>
      <c r="J6107">
        <v>799</v>
      </c>
      <c r="K6107">
        <v>6</v>
      </c>
      <c r="L6107">
        <v>6</v>
      </c>
      <c r="M6107">
        <v>0</v>
      </c>
      <c r="N6107" s="23">
        <v>0</v>
      </c>
      <c r="O6107">
        <f t="shared" si="1139"/>
        <v>-1</v>
      </c>
      <c r="P6107" s="57">
        <f t="shared" si="1140"/>
        <v>1</v>
      </c>
      <c r="Q6107" s="267">
        <f t="shared" si="1141"/>
        <v>2</v>
      </c>
      <c r="R6107" s="23">
        <f t="shared" si="1142"/>
        <v>1</v>
      </c>
      <c r="S6107" s="23">
        <f t="shared" si="1143"/>
        <v>0</v>
      </c>
      <c r="T6107" s="23" t="str">
        <f t="shared" si="1144"/>
        <v/>
      </c>
      <c r="U6107" t="str">
        <f t="shared" si="1145"/>
        <v/>
      </c>
      <c r="V6107" s="40"/>
      <c r="X6107" s="43"/>
      <c r="Y6107" s="53"/>
      <c r="Z6107" s="53"/>
      <c r="AA6107"/>
      <c r="AB6107"/>
      <c r="AC6107" s="23"/>
      <c r="AD6107" s="23"/>
      <c r="AF6107" s="22"/>
      <c r="AM6107" s="371"/>
      <c r="AN6107" s="372"/>
      <c r="AT6107" s="20"/>
      <c r="AU6107" s="29"/>
      <c r="AV6107"/>
      <c r="AW6107"/>
    </row>
    <row r="6108" spans="1:49">
      <c r="A6108" t="str">
        <f t="shared" si="1146"/>
        <v>PA_Alleg_2019p~Rep-school director steel valley region 3 (vote for 1)</v>
      </c>
      <c r="B6108" s="55" t="s">
        <v>1291</v>
      </c>
      <c r="C6108">
        <v>1512</v>
      </c>
      <c r="D6108" s="55" t="s">
        <v>449</v>
      </c>
      <c r="E6108" s="55" t="s">
        <v>450</v>
      </c>
      <c r="F6108" t="s">
        <v>1117</v>
      </c>
      <c r="G6108" s="62">
        <v>186</v>
      </c>
      <c r="H6108" s="25">
        <v>97.89</v>
      </c>
      <c r="I6108">
        <v>4023</v>
      </c>
      <c r="J6108">
        <v>1182</v>
      </c>
      <c r="K6108">
        <v>5</v>
      </c>
      <c r="L6108">
        <v>5</v>
      </c>
      <c r="M6108">
        <v>0</v>
      </c>
      <c r="N6108" s="23">
        <v>0</v>
      </c>
      <c r="O6108">
        <f t="shared" si="1139"/>
        <v>1</v>
      </c>
      <c r="P6108" s="57">
        <f t="shared" si="1140"/>
        <v>1</v>
      </c>
      <c r="Q6108" s="267">
        <f t="shared" si="1141"/>
        <v>190</v>
      </c>
      <c r="R6108" s="23">
        <f t="shared" si="1142"/>
        <v>186</v>
      </c>
      <c r="S6108" s="23">
        <f t="shared" si="1143"/>
        <v>0</v>
      </c>
      <c r="T6108" s="23" t="str">
        <f t="shared" si="1144"/>
        <v/>
      </c>
      <c r="U6108" t="str">
        <f t="shared" si="1145"/>
        <v>PA_Alleg_2019p~Rep-school director steel valley region 3 (vote for 1)</v>
      </c>
      <c r="V6108" s="40"/>
      <c r="X6108" s="43"/>
      <c r="Y6108" s="53"/>
      <c r="Z6108" s="53"/>
      <c r="AA6108"/>
      <c r="AB6108"/>
      <c r="AC6108" s="23"/>
      <c r="AD6108" s="23"/>
      <c r="AF6108" s="22"/>
      <c r="AM6108" s="371"/>
      <c r="AN6108" s="372"/>
      <c r="AT6108" s="20"/>
      <c r="AU6108" s="29"/>
      <c r="AV6108"/>
      <c r="AW6108"/>
    </row>
    <row r="6109" spans="1:49">
      <c r="A6109" t="str">
        <f t="shared" si="1146"/>
        <v>PA_Alleg_2019p~Rep-school director steel valley region 3 (vote for 1)</v>
      </c>
      <c r="B6109" s="55" t="s">
        <v>1291</v>
      </c>
      <c r="C6109">
        <v>1513</v>
      </c>
      <c r="D6109" s="55" t="s">
        <v>449</v>
      </c>
      <c r="E6109" s="55" t="s">
        <v>15</v>
      </c>
      <c r="F6109" t="s">
        <v>1117</v>
      </c>
      <c r="G6109" s="62">
        <v>4</v>
      </c>
      <c r="H6109" s="25">
        <v>2.11</v>
      </c>
      <c r="I6109">
        <v>4023</v>
      </c>
      <c r="J6109">
        <v>1182</v>
      </c>
      <c r="K6109">
        <v>5</v>
      </c>
      <c r="L6109">
        <v>5</v>
      </c>
      <c r="M6109">
        <v>0</v>
      </c>
      <c r="N6109" s="23">
        <v>0</v>
      </c>
      <c r="O6109">
        <f t="shared" si="1139"/>
        <v>-1</v>
      </c>
      <c r="P6109" s="57">
        <f t="shared" si="1140"/>
        <v>1</v>
      </c>
      <c r="Q6109" s="267">
        <f t="shared" si="1141"/>
        <v>4</v>
      </c>
      <c r="R6109" s="23">
        <f t="shared" si="1142"/>
        <v>1</v>
      </c>
      <c r="S6109" s="23">
        <f t="shared" si="1143"/>
        <v>0</v>
      </c>
      <c r="T6109" s="23" t="str">
        <f t="shared" si="1144"/>
        <v/>
      </c>
      <c r="U6109" t="str">
        <f t="shared" si="1145"/>
        <v/>
      </c>
      <c r="V6109" s="40"/>
      <c r="X6109" s="43"/>
      <c r="Y6109" s="53"/>
      <c r="Z6109" s="53"/>
      <c r="AA6109"/>
      <c r="AB6109"/>
      <c r="AC6109" s="23"/>
      <c r="AD6109" s="23"/>
      <c r="AF6109" s="22"/>
      <c r="AM6109" s="371"/>
      <c r="AN6109" s="372"/>
      <c r="AT6109" s="20"/>
      <c r="AU6109" s="29"/>
      <c r="AV6109"/>
      <c r="AW6109"/>
    </row>
    <row r="6110" spans="1:49">
      <c r="A6110" t="str">
        <f t="shared" si="1146"/>
        <v>PA_Alleg_2019p~Rep-school director sto-rox region 1 (vote for 2)</v>
      </c>
      <c r="B6110" s="55" t="s">
        <v>1291</v>
      </c>
      <c r="C6110">
        <v>1439</v>
      </c>
      <c r="D6110" s="55" t="s">
        <v>365</v>
      </c>
      <c r="E6110" s="55" t="s">
        <v>15</v>
      </c>
      <c r="F6110" t="s">
        <v>1117</v>
      </c>
      <c r="G6110" s="62">
        <v>11</v>
      </c>
      <c r="H6110" s="25">
        <v>100</v>
      </c>
      <c r="I6110">
        <v>4104</v>
      </c>
      <c r="J6110">
        <v>593</v>
      </c>
      <c r="K6110">
        <v>7</v>
      </c>
      <c r="L6110">
        <v>7</v>
      </c>
      <c r="M6110">
        <v>0</v>
      </c>
      <c r="N6110" s="23">
        <v>0</v>
      </c>
      <c r="O6110">
        <f t="shared" si="1139"/>
        <v>0</v>
      </c>
      <c r="P6110" s="57">
        <f t="shared" si="1140"/>
        <v>2</v>
      </c>
      <c r="Q6110" s="267">
        <f t="shared" si="1141"/>
        <v>11</v>
      </c>
      <c r="R6110" s="23">
        <f t="shared" si="1142"/>
        <v>1</v>
      </c>
      <c r="S6110" s="23">
        <f t="shared" si="1143"/>
        <v>0</v>
      </c>
      <c r="T6110" s="23" t="str">
        <f t="shared" si="1144"/>
        <v/>
      </c>
      <c r="U6110" t="str">
        <f t="shared" si="1145"/>
        <v>PA_Alleg_2019p~Rep-school director sto-rox region 1 (vote for 2)</v>
      </c>
      <c r="V6110" s="40"/>
      <c r="X6110" s="43"/>
      <c r="Y6110" s="53"/>
      <c r="Z6110" s="53"/>
      <c r="AA6110"/>
      <c r="AB6110"/>
      <c r="AC6110" s="23"/>
      <c r="AD6110" s="23"/>
      <c r="AF6110" s="22"/>
      <c r="AM6110" s="371"/>
      <c r="AN6110" s="372"/>
      <c r="AT6110" s="20"/>
      <c r="AU6110" s="29"/>
      <c r="AV6110"/>
      <c r="AW6110"/>
    </row>
    <row r="6111" spans="1:49">
      <c r="A6111" t="str">
        <f t="shared" si="1146"/>
        <v>PA_Alleg_2019p~Rep-school director sto-rox region 2 (vote for 1)</v>
      </c>
      <c r="B6111" s="55" t="s">
        <v>1291</v>
      </c>
      <c r="C6111">
        <v>1485</v>
      </c>
      <c r="D6111" s="55" t="s">
        <v>421</v>
      </c>
      <c r="E6111" s="55" t="s">
        <v>15</v>
      </c>
      <c r="F6111" t="s">
        <v>1117</v>
      </c>
      <c r="G6111" s="62">
        <v>7</v>
      </c>
      <c r="H6111" s="25">
        <v>100</v>
      </c>
      <c r="I6111">
        <v>4411</v>
      </c>
      <c r="J6111">
        <v>829</v>
      </c>
      <c r="K6111">
        <v>11</v>
      </c>
      <c r="L6111">
        <v>11</v>
      </c>
      <c r="M6111">
        <v>0</v>
      </c>
      <c r="N6111" s="23">
        <v>0</v>
      </c>
      <c r="O6111">
        <f t="shared" si="1139"/>
        <v>0</v>
      </c>
      <c r="P6111" s="57">
        <f t="shared" si="1140"/>
        <v>1</v>
      </c>
      <c r="Q6111" s="267">
        <f t="shared" si="1141"/>
        <v>7</v>
      </c>
      <c r="R6111" s="23">
        <f t="shared" si="1142"/>
        <v>1</v>
      </c>
      <c r="S6111" s="23">
        <f t="shared" si="1143"/>
        <v>0</v>
      </c>
      <c r="T6111" s="23" t="str">
        <f t="shared" si="1144"/>
        <v/>
      </c>
      <c r="U6111" t="str">
        <f t="shared" si="1145"/>
        <v>PA_Alleg_2019p~Rep-school director sto-rox region 2 (vote for 1)</v>
      </c>
      <c r="V6111" s="40"/>
      <c r="X6111" s="43"/>
      <c r="Y6111" s="53"/>
      <c r="Z6111" s="53"/>
      <c r="AA6111"/>
      <c r="AB6111"/>
      <c r="AC6111" s="23"/>
      <c r="AD6111" s="23"/>
      <c r="AF6111" s="22"/>
      <c r="AM6111" s="371"/>
      <c r="AN6111" s="372"/>
      <c r="AT6111" s="20"/>
      <c r="AU6111" s="29"/>
      <c r="AV6111"/>
      <c r="AW6111"/>
    </row>
    <row r="6112" spans="1:49">
      <c r="A6112" t="str">
        <f t="shared" si="1146"/>
        <v>PA_Alleg_2019p~Rep-school director sto-rox region 2 (vote for 2)</v>
      </c>
      <c r="B6112" s="55" t="s">
        <v>1291</v>
      </c>
      <c r="C6112">
        <v>1471</v>
      </c>
      <c r="D6112" s="55" t="s">
        <v>402</v>
      </c>
      <c r="E6112" s="55" t="s">
        <v>15</v>
      </c>
      <c r="F6112" t="s">
        <v>1117</v>
      </c>
      <c r="G6112" s="62">
        <v>11</v>
      </c>
      <c r="H6112" s="25">
        <v>100</v>
      </c>
      <c r="I6112">
        <v>4411</v>
      </c>
      <c r="J6112">
        <v>829</v>
      </c>
      <c r="K6112">
        <v>11</v>
      </c>
      <c r="L6112">
        <v>11</v>
      </c>
      <c r="M6112">
        <v>0</v>
      </c>
      <c r="N6112" s="23">
        <v>0</v>
      </c>
      <c r="O6112">
        <f t="shared" si="1139"/>
        <v>0</v>
      </c>
      <c r="P6112" s="57">
        <f t="shared" si="1140"/>
        <v>2</v>
      </c>
      <c r="Q6112" s="267">
        <f t="shared" si="1141"/>
        <v>11</v>
      </c>
      <c r="R6112" s="23">
        <f t="shared" si="1142"/>
        <v>1</v>
      </c>
      <c r="S6112" s="23">
        <f t="shared" si="1143"/>
        <v>0</v>
      </c>
      <c r="T6112" s="23" t="str">
        <f t="shared" si="1144"/>
        <v/>
      </c>
      <c r="U6112" t="str">
        <f t="shared" si="1145"/>
        <v>PA_Alleg_2019p~Rep-school director sto-rox region 2 (vote for 2)</v>
      </c>
      <c r="V6112" s="40"/>
      <c r="X6112" s="43"/>
      <c r="Y6112" s="53"/>
      <c r="Z6112" s="53"/>
      <c r="AA6112"/>
      <c r="AB6112"/>
      <c r="AC6112" s="23"/>
      <c r="AD6112" s="23"/>
      <c r="AF6112" s="22"/>
      <c r="AM6112" s="371"/>
      <c r="AN6112" s="372"/>
      <c r="AT6112" s="20"/>
      <c r="AU6112" s="29"/>
      <c r="AV6112"/>
      <c r="AW6112"/>
    </row>
    <row r="6113" spans="1:49">
      <c r="A6113" t="str">
        <f t="shared" si="1146"/>
        <v>PA_Alleg_2019p~Rep-school director upper saint clair (vote for 5)</v>
      </c>
      <c r="B6113" s="55" t="s">
        <v>1291</v>
      </c>
      <c r="C6113">
        <v>1369</v>
      </c>
      <c r="D6113" s="55" t="s">
        <v>285</v>
      </c>
      <c r="E6113" s="55" t="s">
        <v>290</v>
      </c>
      <c r="F6113" t="s">
        <v>1117</v>
      </c>
      <c r="G6113" s="62">
        <v>916</v>
      </c>
      <c r="H6113" s="25">
        <v>15.53</v>
      </c>
      <c r="I6113">
        <v>16476</v>
      </c>
      <c r="J6113">
        <v>2893</v>
      </c>
      <c r="K6113">
        <v>18</v>
      </c>
      <c r="L6113">
        <v>18</v>
      </c>
      <c r="M6113">
        <v>0</v>
      </c>
      <c r="N6113" s="23">
        <v>0</v>
      </c>
      <c r="O6113">
        <f t="shared" si="1139"/>
        <v>1</v>
      </c>
      <c r="P6113" s="57">
        <f t="shared" si="1140"/>
        <v>5</v>
      </c>
      <c r="Q6113" s="267">
        <f t="shared" si="1141"/>
        <v>1179.8</v>
      </c>
      <c r="R6113" s="23">
        <f t="shared" si="1142"/>
        <v>724</v>
      </c>
      <c r="S6113" s="23">
        <f t="shared" si="1143"/>
        <v>701</v>
      </c>
      <c r="T6113" s="23">
        <f t="shared" si="1144"/>
        <v>23</v>
      </c>
      <c r="U6113" t="str">
        <f t="shared" si="1145"/>
        <v>PA_Alleg_2019p~Rep-school director upper saint clair (vote for 5)</v>
      </c>
      <c r="V6113" s="40"/>
      <c r="X6113" s="43"/>
      <c r="Y6113" s="53"/>
      <c r="Z6113" s="53"/>
      <c r="AA6113"/>
      <c r="AB6113"/>
      <c r="AC6113" s="23"/>
      <c r="AD6113" s="23"/>
      <c r="AF6113" s="22"/>
      <c r="AM6113" s="371"/>
      <c r="AN6113" s="372"/>
      <c r="AT6113" s="20"/>
      <c r="AU6113" s="29"/>
      <c r="AV6113"/>
      <c r="AW6113"/>
    </row>
    <row r="6114" spans="1:49">
      <c r="A6114" t="str">
        <f t="shared" si="1146"/>
        <v>PA_Alleg_2019p~Rep-school director upper saint clair (vote for 5)</v>
      </c>
      <c r="B6114" s="55" t="s">
        <v>1291</v>
      </c>
      <c r="C6114">
        <v>1373</v>
      </c>
      <c r="D6114" s="55" t="s">
        <v>285</v>
      </c>
      <c r="E6114" s="55" t="s">
        <v>288</v>
      </c>
      <c r="F6114" t="s">
        <v>1117</v>
      </c>
      <c r="G6114" s="62">
        <v>875</v>
      </c>
      <c r="H6114" s="25">
        <v>14.83</v>
      </c>
      <c r="I6114">
        <v>16476</v>
      </c>
      <c r="J6114">
        <v>2893</v>
      </c>
      <c r="K6114">
        <v>18</v>
      </c>
      <c r="L6114">
        <v>18</v>
      </c>
      <c r="M6114">
        <v>0</v>
      </c>
      <c r="N6114" s="23">
        <v>0</v>
      </c>
      <c r="O6114">
        <f t="shared" si="1139"/>
        <v>2</v>
      </c>
      <c r="P6114" s="57">
        <f t="shared" si="1140"/>
        <v>5</v>
      </c>
      <c r="Q6114" s="267">
        <f t="shared" si="1141"/>
        <v>4983</v>
      </c>
      <c r="R6114" s="23">
        <f t="shared" si="1142"/>
        <v>724</v>
      </c>
      <c r="S6114" s="23">
        <f t="shared" si="1143"/>
        <v>701</v>
      </c>
      <c r="T6114" s="23" t="str">
        <f t="shared" si="1144"/>
        <v/>
      </c>
      <c r="U6114" t="str">
        <f t="shared" si="1145"/>
        <v/>
      </c>
      <c r="V6114" s="40"/>
      <c r="X6114" s="43"/>
      <c r="Y6114" s="53"/>
      <c r="Z6114" s="53"/>
      <c r="AA6114"/>
      <c r="AB6114"/>
      <c r="AC6114" s="23"/>
      <c r="AD6114" s="23"/>
      <c r="AF6114" s="22"/>
      <c r="AM6114" s="371"/>
      <c r="AN6114" s="372"/>
      <c r="AT6114" s="20"/>
      <c r="AU6114" s="29"/>
      <c r="AV6114"/>
      <c r="AW6114"/>
    </row>
    <row r="6115" spans="1:49">
      <c r="A6115" t="str">
        <f t="shared" si="1146"/>
        <v>PA_Alleg_2019p~Rep-school director upper saint clair (vote for 5)</v>
      </c>
      <c r="B6115" s="55" t="s">
        <v>1291</v>
      </c>
      <c r="C6115">
        <v>1368</v>
      </c>
      <c r="D6115" s="55" t="s">
        <v>285</v>
      </c>
      <c r="E6115" s="55" t="s">
        <v>287</v>
      </c>
      <c r="F6115" t="s">
        <v>1117</v>
      </c>
      <c r="G6115" s="62">
        <v>836</v>
      </c>
      <c r="H6115" s="25">
        <v>14.17</v>
      </c>
      <c r="I6115">
        <v>16476</v>
      </c>
      <c r="J6115">
        <v>2893</v>
      </c>
      <c r="K6115">
        <v>18</v>
      </c>
      <c r="L6115">
        <v>18</v>
      </c>
      <c r="M6115">
        <v>0</v>
      </c>
      <c r="N6115" s="23">
        <v>0</v>
      </c>
      <c r="O6115">
        <f t="shared" si="1139"/>
        <v>3</v>
      </c>
      <c r="P6115" s="57">
        <f t="shared" si="1140"/>
        <v>5</v>
      </c>
      <c r="Q6115" s="267">
        <f t="shared" si="1141"/>
        <v>4108</v>
      </c>
      <c r="R6115" s="23">
        <f t="shared" si="1142"/>
        <v>724</v>
      </c>
      <c r="S6115" s="23">
        <f t="shared" si="1143"/>
        <v>701</v>
      </c>
      <c r="T6115" s="23" t="str">
        <f t="shared" si="1144"/>
        <v/>
      </c>
      <c r="U6115" t="str">
        <f t="shared" si="1145"/>
        <v/>
      </c>
      <c r="V6115" s="40"/>
      <c r="X6115" s="43"/>
      <c r="Y6115" s="53"/>
      <c r="Z6115" s="53"/>
      <c r="AA6115"/>
      <c r="AB6115"/>
      <c r="AC6115" s="23"/>
      <c r="AD6115" s="23"/>
      <c r="AF6115" s="22"/>
      <c r="AM6115" s="371"/>
      <c r="AN6115" s="372"/>
      <c r="AT6115" s="20"/>
      <c r="AU6115" s="29"/>
      <c r="AV6115"/>
      <c r="AW6115"/>
    </row>
    <row r="6116" spans="1:49">
      <c r="A6116" t="str">
        <f t="shared" si="1146"/>
        <v>PA_Alleg_2019p~Rep-school director upper saint clair (vote for 5)</v>
      </c>
      <c r="B6116" s="55" t="s">
        <v>1291</v>
      </c>
      <c r="C6116">
        <v>1371</v>
      </c>
      <c r="D6116" s="55" t="s">
        <v>285</v>
      </c>
      <c r="E6116" s="55" t="s">
        <v>293</v>
      </c>
      <c r="F6116" t="s">
        <v>1117</v>
      </c>
      <c r="G6116" s="62">
        <v>758</v>
      </c>
      <c r="H6116" s="25">
        <v>12.85</v>
      </c>
      <c r="I6116">
        <v>16476</v>
      </c>
      <c r="J6116">
        <v>2893</v>
      </c>
      <c r="K6116">
        <v>18</v>
      </c>
      <c r="L6116">
        <v>18</v>
      </c>
      <c r="M6116">
        <v>0</v>
      </c>
      <c r="N6116" s="23">
        <v>0</v>
      </c>
      <c r="O6116">
        <f t="shared" si="1139"/>
        <v>4</v>
      </c>
      <c r="P6116" s="57">
        <f t="shared" si="1140"/>
        <v>5</v>
      </c>
      <c r="Q6116" s="267">
        <f t="shared" si="1141"/>
        <v>3272</v>
      </c>
      <c r="R6116" s="23">
        <f t="shared" si="1142"/>
        <v>724</v>
      </c>
      <c r="S6116" s="23">
        <f t="shared" si="1143"/>
        <v>701</v>
      </c>
      <c r="T6116" s="23" t="str">
        <f t="shared" si="1144"/>
        <v/>
      </c>
      <c r="U6116" t="str">
        <f t="shared" si="1145"/>
        <v/>
      </c>
      <c r="V6116" s="40"/>
      <c r="X6116" s="43"/>
      <c r="Y6116" s="53"/>
      <c r="Z6116" s="53"/>
      <c r="AA6116"/>
      <c r="AB6116"/>
      <c r="AC6116" s="23"/>
      <c r="AD6116" s="23"/>
      <c r="AF6116" s="22"/>
      <c r="AM6116" s="371"/>
      <c r="AN6116" s="372"/>
      <c r="AT6116" s="20"/>
      <c r="AU6116" s="29"/>
      <c r="AV6116"/>
      <c r="AW6116"/>
    </row>
    <row r="6117" spans="1:49">
      <c r="A6117" t="str">
        <f t="shared" si="1146"/>
        <v>PA_Alleg_2019p~Rep-school director upper saint clair (vote for 5)</v>
      </c>
      <c r="B6117" s="55" t="s">
        <v>1291</v>
      </c>
      <c r="C6117">
        <v>1372</v>
      </c>
      <c r="D6117" s="55" t="s">
        <v>285</v>
      </c>
      <c r="E6117" s="55" t="s">
        <v>291</v>
      </c>
      <c r="F6117" t="s">
        <v>1117</v>
      </c>
      <c r="G6117" s="62">
        <v>724</v>
      </c>
      <c r="H6117" s="25">
        <v>12.27</v>
      </c>
      <c r="I6117">
        <v>16476</v>
      </c>
      <c r="J6117">
        <v>2893</v>
      </c>
      <c r="K6117">
        <v>18</v>
      </c>
      <c r="L6117">
        <v>18</v>
      </c>
      <c r="M6117">
        <v>0</v>
      </c>
      <c r="N6117" s="23">
        <v>0</v>
      </c>
      <c r="O6117">
        <f t="shared" si="1139"/>
        <v>5</v>
      </c>
      <c r="P6117" s="57">
        <f t="shared" si="1140"/>
        <v>5</v>
      </c>
      <c r="Q6117" s="267">
        <f t="shared" si="1141"/>
        <v>2514</v>
      </c>
      <c r="R6117" s="23">
        <f t="shared" si="1142"/>
        <v>724</v>
      </c>
      <c r="S6117" s="23">
        <f t="shared" si="1143"/>
        <v>701</v>
      </c>
      <c r="T6117" s="23" t="str">
        <f t="shared" si="1144"/>
        <v/>
      </c>
      <c r="U6117" t="str">
        <f t="shared" si="1145"/>
        <v/>
      </c>
      <c r="V6117" s="40"/>
      <c r="X6117" s="43"/>
      <c r="Y6117" s="53"/>
      <c r="Z6117" s="53"/>
      <c r="AA6117"/>
      <c r="AB6117"/>
      <c r="AC6117" s="23"/>
      <c r="AD6117" s="23"/>
      <c r="AF6117" s="22"/>
      <c r="AM6117" s="371"/>
      <c r="AN6117" s="372"/>
      <c r="AT6117" s="20"/>
      <c r="AU6117" s="29"/>
      <c r="AV6117"/>
      <c r="AW6117"/>
    </row>
    <row r="6118" spans="1:49">
      <c r="A6118" t="str">
        <f t="shared" si="1146"/>
        <v>PA_Alleg_2019p~Rep-school director upper saint clair (vote for 5)</v>
      </c>
      <c r="B6118" s="55" t="s">
        <v>1291</v>
      </c>
      <c r="C6118">
        <v>1374</v>
      </c>
      <c r="D6118" s="55" t="s">
        <v>285</v>
      </c>
      <c r="E6118" s="55" t="s">
        <v>289</v>
      </c>
      <c r="F6118" t="s">
        <v>1117</v>
      </c>
      <c r="G6118" s="62">
        <v>701</v>
      </c>
      <c r="H6118" s="25">
        <v>11.88</v>
      </c>
      <c r="I6118">
        <v>16476</v>
      </c>
      <c r="J6118">
        <v>2893</v>
      </c>
      <c r="K6118">
        <v>18</v>
      </c>
      <c r="L6118">
        <v>18</v>
      </c>
      <c r="M6118">
        <v>0</v>
      </c>
      <c r="N6118" s="23">
        <v>0</v>
      </c>
      <c r="O6118">
        <f t="shared" si="1139"/>
        <v>6</v>
      </c>
      <c r="P6118" s="57">
        <f t="shared" si="1140"/>
        <v>5</v>
      </c>
      <c r="Q6118" s="267">
        <f t="shared" si="1141"/>
        <v>1790</v>
      </c>
      <c r="R6118" s="23" t="str">
        <f t="shared" si="1142"/>
        <v/>
      </c>
      <c r="S6118" s="23">
        <f t="shared" si="1143"/>
        <v>701</v>
      </c>
      <c r="T6118" s="23" t="str">
        <f t="shared" si="1144"/>
        <v/>
      </c>
      <c r="U6118" t="str">
        <f t="shared" si="1145"/>
        <v/>
      </c>
      <c r="V6118" s="40"/>
      <c r="X6118" s="43"/>
      <c r="Y6118" s="53"/>
      <c r="Z6118" s="53"/>
      <c r="AA6118"/>
      <c r="AB6118"/>
      <c r="AC6118" s="23"/>
      <c r="AD6118" s="23"/>
      <c r="AF6118" s="22"/>
      <c r="AM6118" s="371"/>
      <c r="AN6118" s="372"/>
      <c r="AT6118" s="20"/>
      <c r="AU6118" s="29"/>
      <c r="AV6118"/>
      <c r="AW6118"/>
    </row>
    <row r="6119" spans="1:49">
      <c r="A6119" t="str">
        <f t="shared" si="1146"/>
        <v>PA_Alleg_2019p~Rep-school director upper saint clair (vote for 5)</v>
      </c>
      <c r="B6119" s="55" t="s">
        <v>1291</v>
      </c>
      <c r="C6119">
        <v>1375</v>
      </c>
      <c r="D6119" s="55" t="s">
        <v>285</v>
      </c>
      <c r="E6119" s="55" t="s">
        <v>286</v>
      </c>
      <c r="F6119" t="s">
        <v>1117</v>
      </c>
      <c r="G6119" s="62">
        <v>617</v>
      </c>
      <c r="H6119" s="25">
        <v>10.46</v>
      </c>
      <c r="I6119">
        <v>16476</v>
      </c>
      <c r="J6119">
        <v>2893</v>
      </c>
      <c r="K6119">
        <v>18</v>
      </c>
      <c r="L6119">
        <v>18</v>
      </c>
      <c r="M6119">
        <v>0</v>
      </c>
      <c r="N6119" s="23">
        <v>0</v>
      </c>
      <c r="O6119">
        <f t="shared" si="1139"/>
        <v>7</v>
      </c>
      <c r="P6119" s="57">
        <f t="shared" si="1140"/>
        <v>5</v>
      </c>
      <c r="Q6119" s="267">
        <f t="shared" si="1141"/>
        <v>1089</v>
      </c>
      <c r="R6119" s="23" t="str">
        <f t="shared" si="1142"/>
        <v/>
      </c>
      <c r="S6119" s="23">
        <f t="shared" si="1143"/>
        <v>617</v>
      </c>
      <c r="T6119" s="23" t="str">
        <f t="shared" si="1144"/>
        <v/>
      </c>
      <c r="U6119" t="str">
        <f t="shared" si="1145"/>
        <v/>
      </c>
      <c r="V6119" s="40"/>
      <c r="X6119" s="43"/>
      <c r="Y6119" s="53"/>
      <c r="Z6119" s="53"/>
      <c r="AA6119"/>
      <c r="AB6119"/>
      <c r="AC6119" s="23"/>
      <c r="AD6119" s="23"/>
      <c r="AF6119" s="22"/>
      <c r="AM6119" s="371"/>
      <c r="AN6119" s="372"/>
      <c r="AT6119" s="20"/>
      <c r="AU6119" s="29"/>
      <c r="AV6119"/>
      <c r="AW6119"/>
    </row>
    <row r="6120" spans="1:49">
      <c r="A6120" t="str">
        <f t="shared" si="1146"/>
        <v>PA_Alleg_2019p~Rep-school director upper saint clair (vote for 5)</v>
      </c>
      <c r="B6120" s="55" t="s">
        <v>1291</v>
      </c>
      <c r="C6120">
        <v>1370</v>
      </c>
      <c r="D6120" s="55" t="s">
        <v>285</v>
      </c>
      <c r="E6120" s="55" t="s">
        <v>292</v>
      </c>
      <c r="F6120" t="s">
        <v>1117</v>
      </c>
      <c r="G6120" s="62">
        <v>451</v>
      </c>
      <c r="H6120" s="25">
        <v>7.65</v>
      </c>
      <c r="I6120">
        <v>16476</v>
      </c>
      <c r="J6120">
        <v>2893</v>
      </c>
      <c r="K6120">
        <v>18</v>
      </c>
      <c r="L6120">
        <v>18</v>
      </c>
      <c r="M6120">
        <v>0</v>
      </c>
      <c r="N6120" s="23">
        <v>0</v>
      </c>
      <c r="O6120">
        <f t="shared" si="1139"/>
        <v>8</v>
      </c>
      <c r="P6120" s="57">
        <f t="shared" si="1140"/>
        <v>5</v>
      </c>
      <c r="Q6120" s="267">
        <f t="shared" si="1141"/>
        <v>472</v>
      </c>
      <c r="R6120" s="23" t="str">
        <f t="shared" si="1142"/>
        <v/>
      </c>
      <c r="S6120" s="23">
        <f t="shared" si="1143"/>
        <v>451</v>
      </c>
      <c r="T6120" s="23" t="str">
        <f t="shared" si="1144"/>
        <v/>
      </c>
      <c r="U6120" t="str">
        <f t="shared" si="1145"/>
        <v/>
      </c>
      <c r="V6120" s="40"/>
      <c r="X6120" s="43"/>
      <c r="Y6120" s="53"/>
      <c r="Z6120" s="53"/>
      <c r="AA6120"/>
      <c r="AB6120"/>
      <c r="AC6120" s="23"/>
      <c r="AD6120" s="23"/>
      <c r="AF6120" s="22"/>
      <c r="AM6120" s="371"/>
      <c r="AN6120" s="372"/>
      <c r="AT6120" s="20"/>
      <c r="AU6120" s="29"/>
      <c r="AV6120"/>
      <c r="AW6120"/>
    </row>
    <row r="6121" spans="1:49">
      <c r="A6121" t="str">
        <f t="shared" si="1146"/>
        <v>PA_Alleg_2019p~Rep-school director upper saint clair (vote for 5)</v>
      </c>
      <c r="B6121" s="55" t="s">
        <v>1291</v>
      </c>
      <c r="C6121">
        <v>1376</v>
      </c>
      <c r="D6121" s="55" t="s">
        <v>285</v>
      </c>
      <c r="E6121" s="55" t="s">
        <v>15</v>
      </c>
      <c r="F6121" t="s">
        <v>1117</v>
      </c>
      <c r="G6121" s="62">
        <v>21</v>
      </c>
      <c r="H6121" s="25">
        <v>0.36</v>
      </c>
      <c r="I6121">
        <v>16476</v>
      </c>
      <c r="J6121">
        <v>2893</v>
      </c>
      <c r="K6121">
        <v>18</v>
      </c>
      <c r="L6121">
        <v>18</v>
      </c>
      <c r="M6121">
        <v>0</v>
      </c>
      <c r="N6121" s="23">
        <v>0</v>
      </c>
      <c r="O6121">
        <f t="shared" si="1139"/>
        <v>-8</v>
      </c>
      <c r="P6121" s="57">
        <f t="shared" si="1140"/>
        <v>5</v>
      </c>
      <c r="Q6121" s="267">
        <f t="shared" si="1141"/>
        <v>21</v>
      </c>
      <c r="R6121" s="23">
        <f t="shared" si="1142"/>
        <v>1</v>
      </c>
      <c r="S6121" s="23">
        <f t="shared" si="1143"/>
        <v>0</v>
      </c>
      <c r="T6121" s="23" t="str">
        <f t="shared" si="1144"/>
        <v/>
      </c>
      <c r="U6121" t="str">
        <f t="shared" si="1145"/>
        <v/>
      </c>
      <c r="V6121" s="40"/>
      <c r="X6121" s="43"/>
      <c r="Y6121" s="53"/>
      <c r="Z6121" s="53"/>
      <c r="AA6121"/>
      <c r="AB6121"/>
      <c r="AC6121" s="23"/>
      <c r="AD6121" s="23"/>
      <c r="AF6121" s="22"/>
      <c r="AM6121" s="371"/>
      <c r="AN6121" s="372"/>
      <c r="AT6121" s="20"/>
      <c r="AU6121" s="29"/>
      <c r="AV6121"/>
      <c r="AW6121"/>
    </row>
    <row r="6122" spans="1:49">
      <c r="A6122" t="str">
        <f t="shared" si="1146"/>
        <v>PA_Alleg_2019p~Rep-school director west allegheny region 1 (vote for 2)</v>
      </c>
      <c r="B6122" s="55" t="s">
        <v>1291</v>
      </c>
      <c r="C6122">
        <v>1440</v>
      </c>
      <c r="D6122" s="55" t="s">
        <v>368</v>
      </c>
      <c r="E6122" s="55" t="s">
        <v>369</v>
      </c>
      <c r="F6122" t="s">
        <v>1117</v>
      </c>
      <c r="G6122" s="62">
        <v>100</v>
      </c>
      <c r="H6122" s="25">
        <v>52.91</v>
      </c>
      <c r="I6122">
        <v>3141</v>
      </c>
      <c r="J6122">
        <v>351</v>
      </c>
      <c r="K6122">
        <v>3</v>
      </c>
      <c r="L6122">
        <v>3</v>
      </c>
      <c r="M6122">
        <v>0</v>
      </c>
      <c r="N6122" s="23">
        <v>0</v>
      </c>
      <c r="O6122">
        <f t="shared" si="1139"/>
        <v>1</v>
      </c>
      <c r="P6122" s="57">
        <f t="shared" si="1140"/>
        <v>2</v>
      </c>
      <c r="Q6122" s="267">
        <f t="shared" si="1141"/>
        <v>100</v>
      </c>
      <c r="R6122" s="23">
        <f t="shared" si="1142"/>
        <v>86</v>
      </c>
      <c r="S6122" s="23">
        <f t="shared" si="1143"/>
        <v>0</v>
      </c>
      <c r="T6122" s="23" t="str">
        <f t="shared" si="1144"/>
        <v/>
      </c>
      <c r="U6122" t="str">
        <f t="shared" si="1145"/>
        <v>PA_Alleg_2019p~Rep-school director west allegheny region 1 (vote for 2)</v>
      </c>
      <c r="V6122" s="40"/>
      <c r="X6122" s="43"/>
      <c r="Y6122" s="53"/>
      <c r="Z6122" s="53"/>
      <c r="AA6122"/>
      <c r="AB6122"/>
      <c r="AC6122" s="23"/>
      <c r="AD6122" s="23"/>
      <c r="AF6122" s="22"/>
      <c r="AM6122" s="371"/>
      <c r="AN6122" s="372"/>
      <c r="AT6122" s="20"/>
      <c r="AU6122" s="29"/>
      <c r="AV6122"/>
      <c r="AW6122"/>
    </row>
    <row r="6123" spans="1:49">
      <c r="A6123" t="str">
        <f t="shared" si="1146"/>
        <v>PA_Alleg_2019p~Rep-school director west allegheny region 1 (vote for 2)</v>
      </c>
      <c r="B6123" s="55" t="s">
        <v>1291</v>
      </c>
      <c r="C6123">
        <v>1441</v>
      </c>
      <c r="D6123" s="55" t="s">
        <v>368</v>
      </c>
      <c r="E6123" s="55" t="s">
        <v>370</v>
      </c>
      <c r="F6123" t="s">
        <v>1117</v>
      </c>
      <c r="G6123" s="62">
        <v>86</v>
      </c>
      <c r="H6123" s="25">
        <v>45.5</v>
      </c>
      <c r="I6123">
        <v>3141</v>
      </c>
      <c r="J6123">
        <v>351</v>
      </c>
      <c r="K6123">
        <v>3</v>
      </c>
      <c r="L6123">
        <v>3</v>
      </c>
      <c r="M6123">
        <v>0</v>
      </c>
      <c r="N6123" s="23">
        <v>0</v>
      </c>
      <c r="O6123">
        <f t="shared" si="1139"/>
        <v>2</v>
      </c>
      <c r="P6123" s="57">
        <f t="shared" si="1140"/>
        <v>2</v>
      </c>
      <c r="Q6123" s="267">
        <f t="shared" si="1141"/>
        <v>89</v>
      </c>
      <c r="R6123" s="23">
        <f t="shared" si="1142"/>
        <v>86</v>
      </c>
      <c r="S6123" s="23">
        <f t="shared" si="1143"/>
        <v>0</v>
      </c>
      <c r="T6123" s="23" t="str">
        <f t="shared" si="1144"/>
        <v/>
      </c>
      <c r="U6123" t="str">
        <f t="shared" si="1145"/>
        <v/>
      </c>
      <c r="V6123" s="40"/>
      <c r="X6123" s="43"/>
      <c r="Y6123" s="53"/>
      <c r="Z6123" s="53"/>
      <c r="AA6123"/>
      <c r="AB6123"/>
      <c r="AC6123" s="23"/>
      <c r="AD6123" s="23"/>
      <c r="AF6123" s="22"/>
      <c r="AM6123" s="371"/>
      <c r="AN6123" s="372"/>
      <c r="AT6123" s="20"/>
      <c r="AU6123" s="29"/>
      <c r="AV6123"/>
      <c r="AW6123"/>
    </row>
    <row r="6124" spans="1:49">
      <c r="A6124" t="str">
        <f t="shared" si="1146"/>
        <v>PA_Alleg_2019p~Rep-school director west allegheny region 1 (vote for 2)</v>
      </c>
      <c r="B6124" s="55" t="s">
        <v>1291</v>
      </c>
      <c r="C6124">
        <v>1442</v>
      </c>
      <c r="D6124" s="55" t="s">
        <v>368</v>
      </c>
      <c r="E6124" s="55" t="s">
        <v>15</v>
      </c>
      <c r="F6124" t="s">
        <v>1117</v>
      </c>
      <c r="G6124" s="62">
        <v>3</v>
      </c>
      <c r="H6124" s="25">
        <v>1.59</v>
      </c>
      <c r="I6124">
        <v>3141</v>
      </c>
      <c r="J6124">
        <v>351</v>
      </c>
      <c r="K6124">
        <v>3</v>
      </c>
      <c r="L6124">
        <v>3</v>
      </c>
      <c r="M6124">
        <v>0</v>
      </c>
      <c r="N6124" s="23">
        <v>0</v>
      </c>
      <c r="O6124">
        <f t="shared" si="1139"/>
        <v>-2</v>
      </c>
      <c r="P6124" s="57">
        <f t="shared" si="1140"/>
        <v>2</v>
      </c>
      <c r="Q6124" s="267">
        <f t="shared" si="1141"/>
        <v>3</v>
      </c>
      <c r="R6124" s="23">
        <f t="shared" si="1142"/>
        <v>1</v>
      </c>
      <c r="S6124" s="23">
        <f t="shared" si="1143"/>
        <v>0</v>
      </c>
      <c r="T6124" s="23" t="str">
        <f t="shared" si="1144"/>
        <v/>
      </c>
      <c r="U6124" t="str">
        <f t="shared" si="1145"/>
        <v/>
      </c>
      <c r="V6124" s="40"/>
      <c r="X6124" s="43"/>
      <c r="Y6124" s="53"/>
      <c r="Z6124" s="53"/>
      <c r="AA6124"/>
      <c r="AB6124"/>
      <c r="AC6124" s="23"/>
      <c r="AD6124" s="23"/>
      <c r="AF6124" s="22"/>
      <c r="AM6124" s="371"/>
      <c r="AN6124" s="372"/>
      <c r="AT6124" s="20"/>
      <c r="AU6124" s="29"/>
      <c r="AV6124"/>
      <c r="AW6124"/>
    </row>
    <row r="6125" spans="1:49">
      <c r="A6125" t="str">
        <f t="shared" si="1146"/>
        <v>PA_Alleg_2019p~Rep-school director west allegheny region 2 (vote for 1)</v>
      </c>
      <c r="B6125" s="55" t="s">
        <v>1291</v>
      </c>
      <c r="C6125">
        <v>1486</v>
      </c>
      <c r="D6125" s="55" t="s">
        <v>416</v>
      </c>
      <c r="E6125" s="55" t="s">
        <v>422</v>
      </c>
      <c r="F6125" t="s">
        <v>1117</v>
      </c>
      <c r="G6125" s="62">
        <v>276</v>
      </c>
      <c r="H6125" s="25">
        <v>98.92</v>
      </c>
      <c r="I6125">
        <v>8765</v>
      </c>
      <c r="J6125">
        <v>864</v>
      </c>
      <c r="K6125">
        <v>4</v>
      </c>
      <c r="L6125">
        <v>4</v>
      </c>
      <c r="M6125">
        <v>0</v>
      </c>
      <c r="N6125" s="23">
        <v>0</v>
      </c>
      <c r="O6125">
        <f t="shared" si="1139"/>
        <v>1</v>
      </c>
      <c r="P6125" s="57">
        <f t="shared" si="1140"/>
        <v>1</v>
      </c>
      <c r="Q6125" s="267">
        <f t="shared" si="1141"/>
        <v>607</v>
      </c>
      <c r="R6125" s="23">
        <f t="shared" si="1142"/>
        <v>276</v>
      </c>
      <c r="S6125" s="23">
        <f t="shared" si="1143"/>
        <v>164</v>
      </c>
      <c r="T6125" s="23">
        <f t="shared" si="1144"/>
        <v>112</v>
      </c>
      <c r="U6125" t="str">
        <f t="shared" si="1145"/>
        <v>PA_Alleg_2019p~Rep-school director west allegheny region 2 (vote for 1)</v>
      </c>
      <c r="V6125" s="40"/>
      <c r="X6125" s="43"/>
      <c r="Y6125" s="53"/>
      <c r="Z6125" s="53"/>
      <c r="AA6125"/>
      <c r="AB6125"/>
      <c r="AC6125" s="23"/>
      <c r="AD6125" s="23"/>
      <c r="AF6125" s="22"/>
      <c r="AM6125" s="371"/>
      <c r="AN6125" s="372"/>
      <c r="AT6125" s="20"/>
      <c r="AU6125" s="29"/>
      <c r="AV6125"/>
      <c r="AW6125"/>
    </row>
    <row r="6126" spans="1:49">
      <c r="A6126" t="str">
        <f t="shared" si="1146"/>
        <v>PA_Alleg_2019p~Rep-school director west allegheny region 2 (vote for 1)</v>
      </c>
      <c r="B6126" s="55" t="s">
        <v>1291</v>
      </c>
      <c r="C6126">
        <v>1480</v>
      </c>
      <c r="D6126" s="55" t="s">
        <v>416</v>
      </c>
      <c r="E6126" s="55" t="s">
        <v>418</v>
      </c>
      <c r="F6126" t="s">
        <v>1117</v>
      </c>
      <c r="G6126" s="62">
        <v>164</v>
      </c>
      <c r="H6126" s="25">
        <v>50</v>
      </c>
      <c r="I6126">
        <v>8765</v>
      </c>
      <c r="J6126">
        <v>864</v>
      </c>
      <c r="K6126">
        <v>4</v>
      </c>
      <c r="L6126">
        <v>4</v>
      </c>
      <c r="M6126">
        <v>0</v>
      </c>
      <c r="N6126" s="23">
        <v>0</v>
      </c>
      <c r="O6126">
        <f t="shared" si="1139"/>
        <v>2</v>
      </c>
      <c r="P6126" s="57">
        <f t="shared" si="1140"/>
        <v>1</v>
      </c>
      <c r="Q6126" s="267">
        <f t="shared" si="1141"/>
        <v>331</v>
      </c>
      <c r="R6126" s="23" t="str">
        <f t="shared" si="1142"/>
        <v/>
      </c>
      <c r="S6126" s="23">
        <f t="shared" si="1143"/>
        <v>164</v>
      </c>
      <c r="T6126" s="23" t="str">
        <f t="shared" si="1144"/>
        <v/>
      </c>
      <c r="U6126" t="str">
        <f t="shared" si="1145"/>
        <v/>
      </c>
      <c r="V6126" s="40"/>
      <c r="X6126" s="43"/>
      <c r="Y6126" s="53"/>
      <c r="Z6126" s="53"/>
      <c r="AA6126"/>
      <c r="AB6126"/>
      <c r="AC6126" s="23"/>
      <c r="AD6126" s="23"/>
      <c r="AF6126" s="22"/>
      <c r="AM6126" s="371"/>
      <c r="AN6126" s="372"/>
      <c r="AT6126" s="20"/>
      <c r="AU6126" s="29"/>
      <c r="AV6126"/>
      <c r="AW6126"/>
    </row>
    <row r="6127" spans="1:49">
      <c r="A6127" t="str">
        <f t="shared" si="1146"/>
        <v>PA_Alleg_2019p~Rep-school director west allegheny region 2 (vote for 1)</v>
      </c>
      <c r="B6127" s="55" t="s">
        <v>1291</v>
      </c>
      <c r="C6127">
        <v>1479</v>
      </c>
      <c r="D6127" s="55" t="s">
        <v>416</v>
      </c>
      <c r="E6127" s="55" t="s">
        <v>417</v>
      </c>
      <c r="F6127" t="s">
        <v>1117</v>
      </c>
      <c r="G6127" s="62">
        <v>160</v>
      </c>
      <c r="H6127" s="25">
        <v>48.78</v>
      </c>
      <c r="I6127">
        <v>8765</v>
      </c>
      <c r="J6127">
        <v>864</v>
      </c>
      <c r="K6127">
        <v>4</v>
      </c>
      <c r="L6127">
        <v>4</v>
      </c>
      <c r="M6127">
        <v>0</v>
      </c>
      <c r="N6127" s="23">
        <v>0</v>
      </c>
      <c r="O6127">
        <f t="shared" si="1139"/>
        <v>3</v>
      </c>
      <c r="P6127" s="57">
        <f t="shared" si="1140"/>
        <v>1</v>
      </c>
      <c r="Q6127" s="267">
        <f t="shared" si="1141"/>
        <v>167</v>
      </c>
      <c r="R6127" s="23" t="str">
        <f t="shared" si="1142"/>
        <v/>
      </c>
      <c r="S6127" s="23">
        <f t="shared" si="1143"/>
        <v>160</v>
      </c>
      <c r="T6127" s="23" t="str">
        <f t="shared" si="1144"/>
        <v/>
      </c>
      <c r="U6127" t="str">
        <f t="shared" si="1145"/>
        <v/>
      </c>
      <c r="V6127" s="40"/>
      <c r="X6127" s="43"/>
      <c r="Y6127" s="53"/>
      <c r="Z6127" s="53"/>
      <c r="AA6127"/>
      <c r="AB6127"/>
      <c r="AC6127" s="23"/>
      <c r="AD6127" s="23"/>
      <c r="AF6127" s="22"/>
      <c r="AM6127" s="371"/>
      <c r="AN6127" s="372"/>
      <c r="AT6127" s="20"/>
      <c r="AU6127" s="29"/>
      <c r="AV6127"/>
      <c r="AW6127"/>
    </row>
    <row r="6128" spans="1:49">
      <c r="A6128" t="str">
        <f t="shared" si="1146"/>
        <v>PA_Alleg_2019p~Rep-school director west allegheny region 2 (vote for 1)</v>
      </c>
      <c r="B6128" s="55" t="s">
        <v>1291</v>
      </c>
      <c r="C6128">
        <v>1481</v>
      </c>
      <c r="D6128" s="55" t="s">
        <v>416</v>
      </c>
      <c r="E6128" s="55" t="s">
        <v>15</v>
      </c>
      <c r="F6128" t="s">
        <v>1117</v>
      </c>
      <c r="G6128" s="62">
        <v>4</v>
      </c>
      <c r="H6128" s="25">
        <v>1.22</v>
      </c>
      <c r="I6128">
        <v>8765</v>
      </c>
      <c r="J6128">
        <v>864</v>
      </c>
      <c r="K6128">
        <v>4</v>
      </c>
      <c r="L6128">
        <v>4</v>
      </c>
      <c r="M6128">
        <v>0</v>
      </c>
      <c r="N6128" s="23">
        <v>0</v>
      </c>
      <c r="O6128">
        <f t="shared" si="1139"/>
        <v>-3</v>
      </c>
      <c r="P6128" s="57">
        <f t="shared" si="1140"/>
        <v>1</v>
      </c>
      <c r="Q6128" s="267">
        <f t="shared" si="1141"/>
        <v>7</v>
      </c>
      <c r="R6128" s="23">
        <f t="shared" si="1142"/>
        <v>1</v>
      </c>
      <c r="S6128" s="23">
        <f t="shared" si="1143"/>
        <v>0</v>
      </c>
      <c r="T6128" s="23" t="str">
        <f t="shared" si="1144"/>
        <v/>
      </c>
      <c r="U6128" t="str">
        <f t="shared" si="1145"/>
        <v/>
      </c>
      <c r="V6128" s="40"/>
      <c r="X6128" s="43"/>
      <c r="Y6128" s="53"/>
      <c r="Z6128" s="53"/>
      <c r="AA6128"/>
      <c r="AB6128"/>
      <c r="AC6128" s="23"/>
      <c r="AD6128" s="23"/>
      <c r="AF6128" s="22"/>
      <c r="AM6128" s="371"/>
      <c r="AN6128" s="372"/>
      <c r="AT6128" s="20"/>
      <c r="AU6128" s="29"/>
      <c r="AV6128"/>
      <c r="AW6128"/>
    </row>
    <row r="6129" spans="1:49">
      <c r="A6129" t="str">
        <f t="shared" si="1146"/>
        <v>PA_Alleg_2019p~Rep-school director west allegheny region 2 (vote for 1)</v>
      </c>
      <c r="B6129" s="55" t="s">
        <v>1291</v>
      </c>
      <c r="C6129">
        <v>1487</v>
      </c>
      <c r="D6129" s="55" t="s">
        <v>416</v>
      </c>
      <c r="E6129" s="55" t="s">
        <v>15</v>
      </c>
      <c r="F6129" t="s">
        <v>1117</v>
      </c>
      <c r="G6129" s="62">
        <v>3</v>
      </c>
      <c r="H6129" s="25">
        <v>1.08</v>
      </c>
      <c r="I6129">
        <v>8765</v>
      </c>
      <c r="J6129">
        <v>864</v>
      </c>
      <c r="K6129">
        <v>4</v>
      </c>
      <c r="L6129">
        <v>4</v>
      </c>
      <c r="M6129">
        <v>0</v>
      </c>
      <c r="N6129" s="23">
        <v>0</v>
      </c>
      <c r="O6129">
        <f t="shared" si="1139"/>
        <v>-3</v>
      </c>
      <c r="P6129" s="57">
        <f t="shared" si="1140"/>
        <v>1</v>
      </c>
      <c r="Q6129" s="267">
        <f t="shared" si="1141"/>
        <v>3</v>
      </c>
      <c r="R6129" s="23">
        <f t="shared" si="1142"/>
        <v>1</v>
      </c>
      <c r="S6129" s="23">
        <f t="shared" si="1143"/>
        <v>0</v>
      </c>
      <c r="T6129" s="23" t="str">
        <f t="shared" si="1144"/>
        <v/>
      </c>
      <c r="U6129" t="str">
        <f t="shared" si="1145"/>
        <v/>
      </c>
      <c r="V6129" s="40"/>
      <c r="X6129" s="43"/>
      <c r="Y6129" s="53"/>
      <c r="Z6129" s="53"/>
      <c r="AA6129"/>
      <c r="AB6129"/>
      <c r="AC6129" s="23"/>
      <c r="AD6129" s="23"/>
      <c r="AF6129" s="22"/>
      <c r="AM6129" s="371"/>
      <c r="AN6129" s="372"/>
      <c r="AT6129" s="20"/>
      <c r="AU6129" s="29"/>
      <c r="AV6129"/>
      <c r="AW6129"/>
    </row>
    <row r="6130" spans="1:49">
      <c r="A6130" t="str">
        <f t="shared" si="1146"/>
        <v>PA_Alleg_2019p~Rep-school director west allegheny region 3 (vote for 2)</v>
      </c>
      <c r="B6130" s="55" t="s">
        <v>1291</v>
      </c>
      <c r="C6130">
        <v>1504</v>
      </c>
      <c r="D6130" s="55" t="s">
        <v>439</v>
      </c>
      <c r="E6130" s="55" t="s">
        <v>440</v>
      </c>
      <c r="F6130" t="s">
        <v>1117</v>
      </c>
      <c r="G6130" s="62">
        <v>151</v>
      </c>
      <c r="H6130" s="25">
        <v>48.24</v>
      </c>
      <c r="I6130">
        <v>4351</v>
      </c>
      <c r="J6130">
        <v>539</v>
      </c>
      <c r="K6130">
        <v>3</v>
      </c>
      <c r="L6130">
        <v>3</v>
      </c>
      <c r="M6130">
        <v>0</v>
      </c>
      <c r="N6130" s="23">
        <v>0</v>
      </c>
      <c r="O6130">
        <f t="shared" si="1139"/>
        <v>1</v>
      </c>
      <c r="P6130" s="57">
        <f t="shared" si="1140"/>
        <v>2</v>
      </c>
      <c r="Q6130" s="267">
        <f t="shared" si="1141"/>
        <v>156.5</v>
      </c>
      <c r="R6130" s="23">
        <f t="shared" si="1142"/>
        <v>151</v>
      </c>
      <c r="S6130" s="23">
        <f t="shared" si="1143"/>
        <v>0</v>
      </c>
      <c r="T6130" s="23" t="str">
        <f t="shared" si="1144"/>
        <v/>
      </c>
      <c r="U6130" t="str">
        <f t="shared" si="1145"/>
        <v>PA_Alleg_2019p~Rep-school director west allegheny region 3 (vote for 2)</v>
      </c>
      <c r="V6130" s="40"/>
      <c r="X6130" s="43"/>
      <c r="Y6130" s="53"/>
      <c r="Z6130" s="53"/>
      <c r="AA6130"/>
      <c r="AB6130"/>
      <c r="AC6130" s="23"/>
      <c r="AD6130" s="23"/>
      <c r="AF6130" s="22"/>
      <c r="AM6130" s="371"/>
      <c r="AN6130" s="372"/>
      <c r="AT6130" s="20"/>
      <c r="AU6130" s="29"/>
      <c r="AV6130"/>
      <c r="AW6130"/>
    </row>
    <row r="6131" spans="1:49">
      <c r="A6131" t="str">
        <f t="shared" si="1146"/>
        <v>PA_Alleg_2019p~Rep-school director west allegheny region 3 (vote for 2)</v>
      </c>
      <c r="B6131" s="55" t="s">
        <v>1291</v>
      </c>
      <c r="C6131">
        <v>1505</v>
      </c>
      <c r="D6131" s="55" t="s">
        <v>439</v>
      </c>
      <c r="E6131" s="55" t="s">
        <v>441</v>
      </c>
      <c r="F6131" t="s">
        <v>1117</v>
      </c>
      <c r="G6131" s="62">
        <v>151</v>
      </c>
      <c r="H6131" s="25">
        <v>48.24</v>
      </c>
      <c r="I6131">
        <v>4351</v>
      </c>
      <c r="J6131">
        <v>539</v>
      </c>
      <c r="K6131">
        <v>3</v>
      </c>
      <c r="L6131">
        <v>3</v>
      </c>
      <c r="M6131">
        <v>0</v>
      </c>
      <c r="N6131" s="23">
        <v>0</v>
      </c>
      <c r="O6131">
        <f t="shared" si="1139"/>
        <v>2</v>
      </c>
      <c r="P6131" s="57">
        <f t="shared" si="1140"/>
        <v>2</v>
      </c>
      <c r="Q6131" s="267">
        <f t="shared" si="1141"/>
        <v>162</v>
      </c>
      <c r="R6131" s="23">
        <f t="shared" si="1142"/>
        <v>151</v>
      </c>
      <c r="S6131" s="23">
        <f t="shared" si="1143"/>
        <v>0</v>
      </c>
      <c r="T6131" s="23" t="str">
        <f t="shared" si="1144"/>
        <v/>
      </c>
      <c r="U6131" t="str">
        <f t="shared" si="1145"/>
        <v/>
      </c>
      <c r="V6131" s="40"/>
      <c r="X6131" s="43"/>
      <c r="Y6131" s="53"/>
      <c r="Z6131" s="53"/>
      <c r="AA6131"/>
      <c r="AB6131"/>
      <c r="AC6131" s="23"/>
      <c r="AD6131" s="23"/>
      <c r="AF6131" s="22"/>
      <c r="AM6131" s="371"/>
      <c r="AN6131" s="372"/>
      <c r="AT6131" s="20"/>
      <c r="AU6131" s="29"/>
      <c r="AV6131"/>
      <c r="AW6131"/>
    </row>
    <row r="6132" spans="1:49">
      <c r="A6132" t="str">
        <f t="shared" si="1146"/>
        <v>PA_Alleg_2019p~Rep-school director west allegheny region 3 (vote for 2)</v>
      </c>
      <c r="B6132" s="55" t="s">
        <v>1291</v>
      </c>
      <c r="C6132">
        <v>1506</v>
      </c>
      <c r="D6132" s="55" t="s">
        <v>439</v>
      </c>
      <c r="E6132" s="55" t="s">
        <v>15</v>
      </c>
      <c r="F6132" t="s">
        <v>1117</v>
      </c>
      <c r="G6132" s="62">
        <v>11</v>
      </c>
      <c r="H6132" s="25">
        <v>3.51</v>
      </c>
      <c r="I6132">
        <v>4351</v>
      </c>
      <c r="J6132">
        <v>539</v>
      </c>
      <c r="K6132">
        <v>3</v>
      </c>
      <c r="L6132">
        <v>3</v>
      </c>
      <c r="M6132">
        <v>0</v>
      </c>
      <c r="N6132" s="23">
        <v>0</v>
      </c>
      <c r="O6132">
        <f t="shared" si="1139"/>
        <v>-2</v>
      </c>
      <c r="P6132" s="57">
        <f t="shared" si="1140"/>
        <v>2</v>
      </c>
      <c r="Q6132" s="267">
        <f t="shared" si="1141"/>
        <v>11</v>
      </c>
      <c r="R6132" s="23">
        <f t="shared" si="1142"/>
        <v>1</v>
      </c>
      <c r="S6132" s="23">
        <f t="shared" si="1143"/>
        <v>0</v>
      </c>
      <c r="T6132" s="23" t="str">
        <f t="shared" si="1144"/>
        <v/>
      </c>
      <c r="U6132" t="str">
        <f t="shared" si="1145"/>
        <v/>
      </c>
      <c r="V6132" s="40"/>
      <c r="X6132" s="43"/>
      <c r="Y6132" s="53"/>
      <c r="Z6132" s="53"/>
      <c r="AA6132"/>
      <c r="AB6132"/>
      <c r="AC6132" s="23"/>
      <c r="AD6132" s="23"/>
      <c r="AF6132" s="22"/>
      <c r="AG6132" s="23"/>
      <c r="AH6132" s="8"/>
      <c r="AL6132" s="344"/>
      <c r="AM6132" s="371"/>
      <c r="AN6132" s="372"/>
      <c r="AT6132" s="20"/>
      <c r="AU6132" s="29"/>
      <c r="AV6132"/>
      <c r="AW6132"/>
    </row>
    <row r="6133" spans="1:49">
      <c r="A6133" t="str">
        <f t="shared" si="1146"/>
        <v>PA_Alleg_2019p~Rep-school director west jefferson hills (vote for 5)</v>
      </c>
      <c r="B6133" s="55" t="s">
        <v>1291</v>
      </c>
      <c r="C6133">
        <v>1381</v>
      </c>
      <c r="D6133" s="55" t="s">
        <v>294</v>
      </c>
      <c r="E6133" s="55" t="s">
        <v>296</v>
      </c>
      <c r="F6133" t="s">
        <v>1117</v>
      </c>
      <c r="G6133" s="62">
        <v>610</v>
      </c>
      <c r="H6133" s="25">
        <v>20.71</v>
      </c>
      <c r="I6133">
        <v>14997</v>
      </c>
      <c r="J6133">
        <v>2394</v>
      </c>
      <c r="K6133">
        <v>19</v>
      </c>
      <c r="L6133">
        <v>19</v>
      </c>
      <c r="M6133">
        <v>0</v>
      </c>
      <c r="N6133" s="23">
        <v>0</v>
      </c>
      <c r="O6133">
        <f t="shared" si="1139"/>
        <v>1</v>
      </c>
      <c r="P6133" s="57">
        <f t="shared" si="1140"/>
        <v>5</v>
      </c>
      <c r="Q6133" s="267">
        <f t="shared" si="1141"/>
        <v>610</v>
      </c>
      <c r="R6133" s="23">
        <f t="shared" si="1142"/>
        <v>563</v>
      </c>
      <c r="S6133" s="23">
        <f t="shared" si="1143"/>
        <v>0</v>
      </c>
      <c r="T6133" s="23" t="str">
        <f t="shared" si="1144"/>
        <v/>
      </c>
      <c r="U6133" t="str">
        <f t="shared" si="1145"/>
        <v>PA_Alleg_2019p~Rep-school director west jefferson hills (vote for 5)</v>
      </c>
      <c r="V6133" s="40"/>
      <c r="X6133" s="43"/>
      <c r="Y6133" s="53"/>
      <c r="Z6133" s="53"/>
      <c r="AA6133"/>
      <c r="AB6133"/>
      <c r="AC6133" s="23"/>
      <c r="AD6133" s="23"/>
      <c r="AF6133" s="22"/>
      <c r="AG6133" s="23"/>
      <c r="AH6133" s="8"/>
      <c r="AL6133" s="344"/>
      <c r="AM6133" s="371"/>
      <c r="AN6133" s="372"/>
      <c r="AT6133" s="20"/>
      <c r="AU6133" s="29"/>
      <c r="AV6133"/>
      <c r="AW6133"/>
    </row>
    <row r="6134" spans="1:49">
      <c r="A6134" t="str">
        <f t="shared" si="1146"/>
        <v>PA_Alleg_2019p~Rep-school director west jefferson hills (vote for 5)</v>
      </c>
      <c r="B6134" s="55" t="s">
        <v>1291</v>
      </c>
      <c r="C6134">
        <v>1379</v>
      </c>
      <c r="D6134" s="55" t="s">
        <v>294</v>
      </c>
      <c r="E6134" s="55" t="s">
        <v>299</v>
      </c>
      <c r="F6134" t="s">
        <v>1117</v>
      </c>
      <c r="G6134" s="62">
        <v>601</v>
      </c>
      <c r="H6134" s="25">
        <v>20.41</v>
      </c>
      <c r="I6134">
        <v>14997</v>
      </c>
      <c r="J6134">
        <v>2394</v>
      </c>
      <c r="K6134">
        <v>19</v>
      </c>
      <c r="L6134">
        <v>19</v>
      </c>
      <c r="M6134">
        <v>0</v>
      </c>
      <c r="N6134" s="23">
        <v>0</v>
      </c>
      <c r="O6134">
        <f t="shared" si="1139"/>
        <v>2</v>
      </c>
      <c r="P6134" s="57">
        <f t="shared" si="1140"/>
        <v>5</v>
      </c>
      <c r="Q6134" s="267">
        <f t="shared" si="1141"/>
        <v>2335</v>
      </c>
      <c r="R6134" s="23">
        <f t="shared" si="1142"/>
        <v>563</v>
      </c>
      <c r="S6134" s="23">
        <f t="shared" si="1143"/>
        <v>0</v>
      </c>
      <c r="T6134" s="23" t="str">
        <f t="shared" si="1144"/>
        <v/>
      </c>
      <c r="U6134" t="str">
        <f t="shared" si="1145"/>
        <v/>
      </c>
      <c r="V6134" s="40"/>
      <c r="X6134" s="43"/>
      <c r="Y6134" s="53"/>
      <c r="Z6134" s="53"/>
      <c r="AA6134"/>
      <c r="AB6134"/>
      <c r="AC6134" s="23"/>
      <c r="AD6134" s="23"/>
      <c r="AF6134" s="22"/>
      <c r="AG6134" s="23"/>
      <c r="AH6134" s="8"/>
      <c r="AL6134" s="344"/>
      <c r="AM6134" s="371"/>
      <c r="AN6134" s="372"/>
      <c r="AT6134" s="20"/>
      <c r="AU6134" s="29"/>
      <c r="AV6134"/>
      <c r="AW6134"/>
    </row>
    <row r="6135" spans="1:49">
      <c r="A6135" t="str">
        <f t="shared" si="1146"/>
        <v>PA_Alleg_2019p~Rep-school director west jefferson hills (vote for 5)</v>
      </c>
      <c r="B6135" s="55" t="s">
        <v>1291</v>
      </c>
      <c r="C6135">
        <v>1380</v>
      </c>
      <c r="D6135" s="55" t="s">
        <v>294</v>
      </c>
      <c r="E6135" s="55" t="s">
        <v>298</v>
      </c>
      <c r="F6135" t="s">
        <v>1117</v>
      </c>
      <c r="G6135" s="62">
        <v>586</v>
      </c>
      <c r="H6135" s="25">
        <v>19.899999999999999</v>
      </c>
      <c r="I6135">
        <v>14997</v>
      </c>
      <c r="J6135">
        <v>2394</v>
      </c>
      <c r="K6135">
        <v>19</v>
      </c>
      <c r="L6135">
        <v>19</v>
      </c>
      <c r="M6135">
        <v>0</v>
      </c>
      <c r="N6135" s="23">
        <v>0</v>
      </c>
      <c r="O6135">
        <f t="shared" si="1139"/>
        <v>3</v>
      </c>
      <c r="P6135" s="57">
        <f t="shared" si="1140"/>
        <v>5</v>
      </c>
      <c r="Q6135" s="267">
        <f t="shared" si="1141"/>
        <v>1734</v>
      </c>
      <c r="R6135" s="23">
        <f t="shared" si="1142"/>
        <v>563</v>
      </c>
      <c r="S6135" s="23">
        <f t="shared" si="1143"/>
        <v>0</v>
      </c>
      <c r="T6135" s="23" t="str">
        <f t="shared" si="1144"/>
        <v/>
      </c>
      <c r="U6135" t="str">
        <f t="shared" si="1145"/>
        <v/>
      </c>
      <c r="V6135" s="40"/>
      <c r="X6135" s="43"/>
      <c r="Y6135" s="53"/>
      <c r="Z6135" s="53"/>
      <c r="AA6135"/>
      <c r="AB6135"/>
      <c r="AC6135" s="23"/>
      <c r="AD6135" s="23"/>
      <c r="AF6135" s="22"/>
      <c r="AG6135" s="23"/>
      <c r="AH6135" s="8"/>
      <c r="AL6135" s="344"/>
      <c r="AM6135" s="371"/>
      <c r="AN6135" s="372"/>
      <c r="AT6135" s="20"/>
      <c r="AU6135" s="29"/>
      <c r="AV6135"/>
      <c r="AW6135"/>
    </row>
    <row r="6136" spans="1:49">
      <c r="A6136" t="str">
        <f t="shared" si="1146"/>
        <v>PA_Alleg_2019p~Rep-school director west jefferson hills (vote for 5)</v>
      </c>
      <c r="B6136" s="55" t="s">
        <v>1291</v>
      </c>
      <c r="C6136">
        <v>1378</v>
      </c>
      <c r="D6136" s="55" t="s">
        <v>294</v>
      </c>
      <c r="E6136" s="55" t="s">
        <v>295</v>
      </c>
      <c r="F6136" t="s">
        <v>1117</v>
      </c>
      <c r="G6136" s="62">
        <v>563</v>
      </c>
      <c r="H6136" s="25">
        <v>19.12</v>
      </c>
      <c r="I6136">
        <v>14997</v>
      </c>
      <c r="J6136">
        <v>2394</v>
      </c>
      <c r="K6136">
        <v>19</v>
      </c>
      <c r="L6136">
        <v>19</v>
      </c>
      <c r="M6136">
        <v>0</v>
      </c>
      <c r="N6136" s="23">
        <v>0</v>
      </c>
      <c r="O6136">
        <f t="shared" si="1139"/>
        <v>4</v>
      </c>
      <c r="P6136" s="57">
        <f t="shared" si="1140"/>
        <v>5</v>
      </c>
      <c r="Q6136" s="267">
        <f t="shared" si="1141"/>
        <v>1148</v>
      </c>
      <c r="R6136" s="23">
        <f t="shared" si="1142"/>
        <v>563</v>
      </c>
      <c r="S6136" s="23">
        <f t="shared" si="1143"/>
        <v>0</v>
      </c>
      <c r="T6136" s="23" t="str">
        <f t="shared" si="1144"/>
        <v/>
      </c>
      <c r="U6136" t="str">
        <f t="shared" si="1145"/>
        <v/>
      </c>
      <c r="V6136" s="40"/>
      <c r="X6136" s="43"/>
      <c r="Y6136" s="53"/>
      <c r="Z6136" s="53"/>
      <c r="AA6136"/>
      <c r="AB6136"/>
      <c r="AC6136" s="23"/>
      <c r="AD6136" s="23"/>
      <c r="AF6136" s="22"/>
      <c r="AG6136" s="23"/>
      <c r="AH6136" s="8"/>
      <c r="AL6136" s="344"/>
      <c r="AM6136" s="371"/>
      <c r="AN6136" s="372"/>
      <c r="AT6136" s="20"/>
      <c r="AU6136" s="29"/>
      <c r="AV6136"/>
      <c r="AW6136"/>
    </row>
    <row r="6137" spans="1:49">
      <c r="A6137" t="str">
        <f t="shared" si="1146"/>
        <v>PA_Alleg_2019p~Rep-school director west jefferson hills (vote for 5)</v>
      </c>
      <c r="B6137" s="55" t="s">
        <v>1291</v>
      </c>
      <c r="C6137">
        <v>1377</v>
      </c>
      <c r="D6137" s="55" t="s">
        <v>294</v>
      </c>
      <c r="E6137" s="55" t="s">
        <v>297</v>
      </c>
      <c r="F6137" t="s">
        <v>1117</v>
      </c>
      <c r="G6137" s="62">
        <v>563</v>
      </c>
      <c r="H6137" s="25">
        <v>19.12</v>
      </c>
      <c r="I6137">
        <v>14997</v>
      </c>
      <c r="J6137">
        <v>2394</v>
      </c>
      <c r="K6137">
        <v>19</v>
      </c>
      <c r="L6137">
        <v>19</v>
      </c>
      <c r="M6137">
        <v>0</v>
      </c>
      <c r="N6137" s="23">
        <v>0</v>
      </c>
      <c r="O6137">
        <f t="shared" si="1139"/>
        <v>5</v>
      </c>
      <c r="P6137" s="57">
        <f t="shared" si="1140"/>
        <v>5</v>
      </c>
      <c r="Q6137" s="267">
        <f t="shared" si="1141"/>
        <v>585</v>
      </c>
      <c r="R6137" s="23">
        <f t="shared" si="1142"/>
        <v>563</v>
      </c>
      <c r="S6137" s="23">
        <f t="shared" si="1143"/>
        <v>0</v>
      </c>
      <c r="T6137" s="23" t="str">
        <f t="shared" si="1144"/>
        <v/>
      </c>
      <c r="U6137" t="str">
        <f t="shared" si="1145"/>
        <v/>
      </c>
      <c r="V6137" s="40"/>
      <c r="X6137" s="43"/>
      <c r="Y6137" s="53"/>
      <c r="Z6137" s="53"/>
      <c r="AA6137"/>
      <c r="AB6137"/>
      <c r="AC6137" s="23"/>
      <c r="AD6137" s="23"/>
      <c r="AF6137" s="22"/>
      <c r="AM6137" s="371"/>
      <c r="AN6137" s="372"/>
      <c r="AT6137" s="20"/>
      <c r="AU6137" s="29"/>
      <c r="AV6137"/>
      <c r="AW6137"/>
    </row>
    <row r="6138" spans="1:49">
      <c r="A6138" t="str">
        <f t="shared" si="1146"/>
        <v>PA_Alleg_2019p~Rep-school director west jefferson hills (vote for 5)</v>
      </c>
      <c r="B6138" s="55" t="s">
        <v>1291</v>
      </c>
      <c r="C6138">
        <v>1382</v>
      </c>
      <c r="D6138" s="55" t="s">
        <v>294</v>
      </c>
      <c r="E6138" s="55" t="s">
        <v>15</v>
      </c>
      <c r="F6138" t="s">
        <v>1117</v>
      </c>
      <c r="G6138" s="62">
        <v>22</v>
      </c>
      <c r="H6138" s="25">
        <v>0.75</v>
      </c>
      <c r="I6138">
        <v>14997</v>
      </c>
      <c r="J6138">
        <v>2394</v>
      </c>
      <c r="K6138">
        <v>19</v>
      </c>
      <c r="L6138">
        <v>19</v>
      </c>
      <c r="M6138">
        <v>0</v>
      </c>
      <c r="N6138" s="23">
        <v>0</v>
      </c>
      <c r="O6138">
        <f t="shared" si="1139"/>
        <v>-5</v>
      </c>
      <c r="P6138" s="57">
        <f t="shared" si="1140"/>
        <v>5</v>
      </c>
      <c r="Q6138" s="267">
        <f t="shared" si="1141"/>
        <v>22</v>
      </c>
      <c r="R6138" s="23">
        <f t="shared" si="1142"/>
        <v>1</v>
      </c>
      <c r="S6138" s="23">
        <f t="shared" si="1143"/>
        <v>0</v>
      </c>
      <c r="T6138" s="23" t="str">
        <f t="shared" si="1144"/>
        <v/>
      </c>
      <c r="U6138" t="str">
        <f t="shared" si="1145"/>
        <v/>
      </c>
      <c r="V6138" s="40"/>
      <c r="X6138" s="43"/>
      <c r="Y6138" s="53"/>
      <c r="Z6138" s="53"/>
      <c r="AA6138"/>
      <c r="AB6138"/>
      <c r="AC6138" s="23"/>
      <c r="AD6138" s="23"/>
      <c r="AF6138" s="22"/>
      <c r="AM6138" s="371"/>
      <c r="AN6138" s="372"/>
      <c r="AT6138" s="20"/>
      <c r="AU6138" s="29"/>
      <c r="AV6138"/>
      <c r="AW6138"/>
    </row>
    <row r="6139" spans="1:49">
      <c r="A6139" t="str">
        <f t="shared" si="1146"/>
        <v>PA_Alleg_2019p~Rep-school director west mifflin area (vote for 5)</v>
      </c>
      <c r="B6139" s="55" t="s">
        <v>1291</v>
      </c>
      <c r="C6139">
        <v>1386</v>
      </c>
      <c r="D6139" s="55" t="s">
        <v>300</v>
      </c>
      <c r="E6139" s="55" t="s">
        <v>306</v>
      </c>
      <c r="F6139" t="s">
        <v>1117</v>
      </c>
      <c r="G6139" s="62">
        <v>369</v>
      </c>
      <c r="H6139" s="25">
        <v>23.32</v>
      </c>
      <c r="I6139">
        <v>15048</v>
      </c>
      <c r="J6139">
        <v>3263</v>
      </c>
      <c r="K6139">
        <v>23</v>
      </c>
      <c r="L6139">
        <v>23</v>
      </c>
      <c r="M6139">
        <v>0</v>
      </c>
      <c r="N6139" s="23">
        <v>0</v>
      </c>
      <c r="O6139">
        <f t="shared" si="1139"/>
        <v>1</v>
      </c>
      <c r="P6139" s="57">
        <f t="shared" si="1140"/>
        <v>5</v>
      </c>
      <c r="Q6139" s="267">
        <f t="shared" si="1141"/>
        <v>369</v>
      </c>
      <c r="R6139" s="23">
        <f t="shared" si="1142"/>
        <v>262</v>
      </c>
      <c r="S6139" s="23">
        <f t="shared" si="1143"/>
        <v>0</v>
      </c>
      <c r="T6139" s="23" t="str">
        <f t="shared" si="1144"/>
        <v/>
      </c>
      <c r="U6139" t="str">
        <f t="shared" si="1145"/>
        <v>PA_Alleg_2019p~Rep-school director west mifflin area (vote for 5)</v>
      </c>
      <c r="V6139" s="40"/>
      <c r="X6139" s="43"/>
      <c r="Y6139" s="53"/>
      <c r="Z6139" s="53"/>
      <c r="AA6139"/>
      <c r="AB6139"/>
      <c r="AC6139" s="23"/>
      <c r="AD6139" s="23"/>
      <c r="AF6139" s="22"/>
      <c r="AM6139" s="371"/>
      <c r="AN6139" s="372"/>
      <c r="AT6139" s="20"/>
      <c r="AU6139" s="29"/>
      <c r="AV6139"/>
      <c r="AW6139"/>
    </row>
    <row r="6140" spans="1:49">
      <c r="A6140" t="str">
        <f t="shared" si="1146"/>
        <v>PA_Alleg_2019p~Rep-school director west mifflin area (vote for 5)</v>
      </c>
      <c r="B6140" s="55" t="s">
        <v>1291</v>
      </c>
      <c r="C6140">
        <v>1384</v>
      </c>
      <c r="D6140" s="55" t="s">
        <v>300</v>
      </c>
      <c r="E6140" s="55" t="s">
        <v>308</v>
      </c>
      <c r="F6140" t="s">
        <v>1117</v>
      </c>
      <c r="G6140" s="62">
        <v>292</v>
      </c>
      <c r="H6140" s="25">
        <v>18.46</v>
      </c>
      <c r="I6140">
        <v>15048</v>
      </c>
      <c r="J6140">
        <v>3263</v>
      </c>
      <c r="K6140">
        <v>23</v>
      </c>
      <c r="L6140">
        <v>23</v>
      </c>
      <c r="M6140">
        <v>0</v>
      </c>
      <c r="N6140" s="23">
        <v>0</v>
      </c>
      <c r="O6140">
        <f t="shared" si="1139"/>
        <v>2</v>
      </c>
      <c r="P6140" s="57">
        <f t="shared" si="1140"/>
        <v>5</v>
      </c>
      <c r="Q6140" s="267">
        <f t="shared" si="1141"/>
        <v>1213</v>
      </c>
      <c r="R6140" s="23">
        <f t="shared" si="1142"/>
        <v>262</v>
      </c>
      <c r="S6140" s="23">
        <f t="shared" si="1143"/>
        <v>0</v>
      </c>
      <c r="T6140" s="23" t="str">
        <f t="shared" si="1144"/>
        <v/>
      </c>
      <c r="U6140" t="str">
        <f t="shared" si="1145"/>
        <v/>
      </c>
      <c r="V6140" s="40"/>
      <c r="X6140" s="43"/>
      <c r="Y6140" s="53"/>
      <c r="Z6140" s="53"/>
      <c r="AA6140"/>
      <c r="AB6140"/>
      <c r="AC6140" s="23"/>
      <c r="AD6140" s="23"/>
      <c r="AF6140" s="22"/>
      <c r="AM6140" s="371"/>
      <c r="AN6140" s="372"/>
      <c r="AT6140" s="20"/>
      <c r="AU6140" s="29"/>
      <c r="AV6140"/>
      <c r="AW6140"/>
    </row>
    <row r="6141" spans="1:49">
      <c r="A6141" t="str">
        <f t="shared" si="1146"/>
        <v>PA_Alleg_2019p~Rep-school director west mifflin area (vote for 5)</v>
      </c>
      <c r="B6141" s="55" t="s">
        <v>1291</v>
      </c>
      <c r="C6141">
        <v>1387</v>
      </c>
      <c r="D6141" s="55" t="s">
        <v>300</v>
      </c>
      <c r="E6141" s="55" t="s">
        <v>303</v>
      </c>
      <c r="F6141" t="s">
        <v>1117</v>
      </c>
      <c r="G6141" s="62">
        <v>287</v>
      </c>
      <c r="H6141" s="25">
        <v>18.14</v>
      </c>
      <c r="I6141">
        <v>15048</v>
      </c>
      <c r="J6141">
        <v>3263</v>
      </c>
      <c r="K6141">
        <v>23</v>
      </c>
      <c r="L6141">
        <v>23</v>
      </c>
      <c r="M6141">
        <v>0</v>
      </c>
      <c r="N6141" s="23">
        <v>0</v>
      </c>
      <c r="O6141">
        <f t="shared" si="1139"/>
        <v>3</v>
      </c>
      <c r="P6141" s="57">
        <f t="shared" si="1140"/>
        <v>5</v>
      </c>
      <c r="Q6141" s="267">
        <f t="shared" si="1141"/>
        <v>921</v>
      </c>
      <c r="R6141" s="23">
        <f t="shared" si="1142"/>
        <v>262</v>
      </c>
      <c r="S6141" s="23">
        <f t="shared" si="1143"/>
        <v>0</v>
      </c>
      <c r="T6141" s="23" t="str">
        <f t="shared" si="1144"/>
        <v/>
      </c>
      <c r="U6141" t="str">
        <f t="shared" si="1145"/>
        <v/>
      </c>
      <c r="V6141" s="40"/>
      <c r="X6141" s="43"/>
      <c r="Y6141" s="53"/>
      <c r="Z6141" s="53"/>
      <c r="AA6141"/>
      <c r="AB6141"/>
      <c r="AC6141" s="23"/>
      <c r="AD6141" s="23"/>
      <c r="AF6141" s="22"/>
      <c r="AH6141" s="8"/>
      <c r="AL6141" s="23"/>
      <c r="AM6141" s="371"/>
      <c r="AN6141" s="372"/>
      <c r="AT6141" s="20"/>
      <c r="AU6141" s="29"/>
      <c r="AV6141"/>
      <c r="AW6141"/>
    </row>
    <row r="6142" spans="1:49">
      <c r="A6142" t="str">
        <f t="shared" si="1146"/>
        <v>PA_Alleg_2019p~Rep-school director west mifflin area (vote for 5)</v>
      </c>
      <c r="B6142" s="55" t="s">
        <v>1291</v>
      </c>
      <c r="C6142">
        <v>1383</v>
      </c>
      <c r="D6142" s="55" t="s">
        <v>300</v>
      </c>
      <c r="E6142" s="55" t="s">
        <v>302</v>
      </c>
      <c r="F6142" t="s">
        <v>1117</v>
      </c>
      <c r="G6142" s="62">
        <v>286</v>
      </c>
      <c r="H6142" s="25">
        <v>18.079999999999998</v>
      </c>
      <c r="I6142">
        <v>15048</v>
      </c>
      <c r="J6142">
        <v>3263</v>
      </c>
      <c r="K6142">
        <v>23</v>
      </c>
      <c r="L6142">
        <v>23</v>
      </c>
      <c r="M6142">
        <v>0</v>
      </c>
      <c r="N6142" s="23">
        <v>0</v>
      </c>
      <c r="O6142">
        <f t="shared" si="1139"/>
        <v>4</v>
      </c>
      <c r="P6142" s="57">
        <f t="shared" si="1140"/>
        <v>5</v>
      </c>
      <c r="Q6142" s="267">
        <f t="shared" si="1141"/>
        <v>634</v>
      </c>
      <c r="R6142" s="23">
        <f t="shared" si="1142"/>
        <v>262</v>
      </c>
      <c r="S6142" s="23">
        <f t="shared" si="1143"/>
        <v>0</v>
      </c>
      <c r="T6142" s="23" t="str">
        <f t="shared" si="1144"/>
        <v/>
      </c>
      <c r="U6142" t="str">
        <f t="shared" si="1145"/>
        <v/>
      </c>
      <c r="V6142" s="40"/>
      <c r="X6142" s="43"/>
      <c r="Y6142" s="53"/>
      <c r="Z6142" s="53"/>
      <c r="AA6142"/>
      <c r="AB6142"/>
      <c r="AC6142" s="23"/>
      <c r="AD6142" s="23"/>
      <c r="AF6142" s="22"/>
      <c r="AH6142" s="8"/>
      <c r="AL6142" s="23"/>
      <c r="AM6142" s="371"/>
      <c r="AN6142" s="372"/>
      <c r="AT6142" s="20"/>
      <c r="AU6142" s="29"/>
      <c r="AV6142"/>
      <c r="AW6142"/>
    </row>
    <row r="6143" spans="1:49">
      <c r="A6143" t="str">
        <f t="shared" si="1146"/>
        <v>PA_Alleg_2019p~Rep-school director west mifflin area (vote for 5)</v>
      </c>
      <c r="B6143" s="55" t="s">
        <v>1291</v>
      </c>
      <c r="C6143">
        <v>1385</v>
      </c>
      <c r="D6143" s="55" t="s">
        <v>300</v>
      </c>
      <c r="E6143" s="55" t="s">
        <v>307</v>
      </c>
      <c r="F6143" t="s">
        <v>1117</v>
      </c>
      <c r="G6143" s="62">
        <v>262</v>
      </c>
      <c r="H6143" s="25">
        <v>16.559999999999999</v>
      </c>
      <c r="I6143">
        <v>15048</v>
      </c>
      <c r="J6143">
        <v>3263</v>
      </c>
      <c r="K6143">
        <v>23</v>
      </c>
      <c r="L6143">
        <v>23</v>
      </c>
      <c r="M6143">
        <v>0</v>
      </c>
      <c r="N6143" s="23">
        <v>0</v>
      </c>
      <c r="O6143">
        <f t="shared" si="1139"/>
        <v>5</v>
      </c>
      <c r="P6143" s="57">
        <f t="shared" si="1140"/>
        <v>5</v>
      </c>
      <c r="Q6143" s="267">
        <f t="shared" si="1141"/>
        <v>348</v>
      </c>
      <c r="R6143" s="23">
        <f t="shared" si="1142"/>
        <v>262</v>
      </c>
      <c r="S6143" s="23">
        <f t="shared" si="1143"/>
        <v>0</v>
      </c>
      <c r="T6143" s="23" t="str">
        <f t="shared" si="1144"/>
        <v/>
      </c>
      <c r="U6143" t="str">
        <f t="shared" si="1145"/>
        <v/>
      </c>
      <c r="V6143" s="40"/>
      <c r="X6143" s="43"/>
      <c r="Y6143" s="53"/>
      <c r="Z6143" s="53"/>
      <c r="AA6143"/>
      <c r="AB6143"/>
      <c r="AC6143" s="23"/>
      <c r="AD6143" s="23"/>
      <c r="AF6143" s="22"/>
      <c r="AH6143" s="8"/>
      <c r="AL6143" s="23"/>
      <c r="AM6143" s="371"/>
      <c r="AN6143" s="372"/>
      <c r="AT6143" s="20"/>
      <c r="AU6143" s="29"/>
      <c r="AV6143"/>
      <c r="AW6143"/>
    </row>
    <row r="6144" spans="1:49">
      <c r="A6144" t="str">
        <f t="shared" si="1146"/>
        <v>PA_Alleg_2019p~Rep-school director west mifflin area (vote for 5)</v>
      </c>
      <c r="B6144" s="55" t="s">
        <v>1291</v>
      </c>
      <c r="C6144">
        <v>1388</v>
      </c>
      <c r="D6144" s="55" t="s">
        <v>300</v>
      </c>
      <c r="E6144" s="55" t="s">
        <v>15</v>
      </c>
      <c r="F6144" t="s">
        <v>1117</v>
      </c>
      <c r="G6144" s="62">
        <v>86</v>
      </c>
      <c r="H6144" s="25">
        <v>5.44</v>
      </c>
      <c r="I6144">
        <v>15048</v>
      </c>
      <c r="J6144">
        <v>3263</v>
      </c>
      <c r="K6144">
        <v>23</v>
      </c>
      <c r="L6144">
        <v>23</v>
      </c>
      <c r="M6144">
        <v>0</v>
      </c>
      <c r="N6144" s="23">
        <v>0</v>
      </c>
      <c r="O6144">
        <f t="shared" si="1139"/>
        <v>-5</v>
      </c>
      <c r="P6144" s="57">
        <f t="shared" si="1140"/>
        <v>5</v>
      </c>
      <c r="Q6144" s="267">
        <f t="shared" si="1141"/>
        <v>86</v>
      </c>
      <c r="R6144" s="23">
        <f t="shared" si="1142"/>
        <v>1</v>
      </c>
      <c r="S6144" s="23">
        <f t="shared" si="1143"/>
        <v>0</v>
      </c>
      <c r="T6144" s="23" t="str">
        <f t="shared" si="1144"/>
        <v/>
      </c>
      <c r="U6144" t="str">
        <f t="shared" si="1145"/>
        <v/>
      </c>
      <c r="V6144" s="40"/>
      <c r="X6144" s="43"/>
      <c r="Y6144" s="53"/>
      <c r="Z6144" s="53"/>
      <c r="AA6144"/>
      <c r="AB6144"/>
      <c r="AC6144" s="23"/>
      <c r="AD6144" s="23"/>
      <c r="AF6144" s="22"/>
      <c r="AH6144" s="8"/>
      <c r="AL6144" s="23"/>
      <c r="AM6144" s="371"/>
      <c r="AN6144" s="372"/>
      <c r="AT6144" s="20"/>
      <c r="AU6144" s="29"/>
      <c r="AV6144"/>
      <c r="AW6144"/>
    </row>
    <row r="6145" spans="1:49">
      <c r="A6145" t="str">
        <f t="shared" si="1146"/>
        <v>PA_Alleg_2019p~Rep-school director wilkinsburg (vote for 5)</v>
      </c>
      <c r="B6145" s="55" t="s">
        <v>1291</v>
      </c>
      <c r="C6145">
        <v>1391</v>
      </c>
      <c r="D6145" s="55" t="s">
        <v>309</v>
      </c>
      <c r="E6145" s="55" t="s">
        <v>15</v>
      </c>
      <c r="F6145" t="s">
        <v>1117</v>
      </c>
      <c r="G6145" s="62">
        <v>82</v>
      </c>
      <c r="H6145" s="25">
        <v>37.44</v>
      </c>
      <c r="I6145">
        <v>13952</v>
      </c>
      <c r="J6145">
        <v>2391</v>
      </c>
      <c r="K6145">
        <v>17</v>
      </c>
      <c r="L6145">
        <v>17</v>
      </c>
      <c r="M6145">
        <v>0</v>
      </c>
      <c r="N6145" s="23">
        <v>0</v>
      </c>
      <c r="O6145">
        <f t="shared" si="1139"/>
        <v>0</v>
      </c>
      <c r="P6145" s="57">
        <f t="shared" si="1140"/>
        <v>5</v>
      </c>
      <c r="Q6145" s="267">
        <f t="shared" si="1141"/>
        <v>82</v>
      </c>
      <c r="R6145" s="23">
        <f t="shared" si="1142"/>
        <v>64</v>
      </c>
      <c r="S6145" s="23">
        <f t="shared" si="1143"/>
        <v>0</v>
      </c>
      <c r="T6145" s="23" t="str">
        <f t="shared" si="1144"/>
        <v/>
      </c>
      <c r="U6145" t="str">
        <f t="shared" si="1145"/>
        <v>PA_Alleg_2019p~Rep-school director wilkinsburg (vote for 5)</v>
      </c>
      <c r="V6145" s="40"/>
      <c r="X6145" s="43"/>
      <c r="Y6145" s="53"/>
      <c r="Z6145" s="53"/>
      <c r="AA6145"/>
      <c r="AB6145"/>
      <c r="AC6145" s="23"/>
      <c r="AD6145" s="23"/>
      <c r="AF6145" s="22"/>
      <c r="AH6145" s="8"/>
      <c r="AL6145" s="23"/>
      <c r="AM6145" s="371"/>
      <c r="AN6145" s="372"/>
      <c r="AT6145" s="20"/>
      <c r="AU6145" s="29"/>
      <c r="AV6145"/>
      <c r="AW6145"/>
    </row>
    <row r="6146" spans="1:49">
      <c r="A6146" t="str">
        <f t="shared" si="1146"/>
        <v>PA_Alleg_2019p~Rep-school director wilkinsburg (vote for 5)</v>
      </c>
      <c r="B6146" s="55" t="s">
        <v>1291</v>
      </c>
      <c r="C6146">
        <v>1390</v>
      </c>
      <c r="D6146" s="55" t="s">
        <v>309</v>
      </c>
      <c r="E6146" s="55" t="s">
        <v>313</v>
      </c>
      <c r="F6146" t="s">
        <v>1117</v>
      </c>
      <c r="G6146" s="62">
        <v>73</v>
      </c>
      <c r="H6146" s="25">
        <v>33.33</v>
      </c>
      <c r="I6146">
        <v>13952</v>
      </c>
      <c r="J6146">
        <v>2391</v>
      </c>
      <c r="K6146">
        <v>17</v>
      </c>
      <c r="L6146">
        <v>17</v>
      </c>
      <c r="M6146">
        <v>0</v>
      </c>
      <c r="N6146" s="23">
        <v>0</v>
      </c>
      <c r="O6146">
        <f t="shared" ref="O6146:O6209" si="1147">IF(OR(LOWER(LEFT(E6146,8))="write-in",LOWER(LEFT(E6146,8))="not qual"),IF(A6146=A6145,-ABS(O6145),0),IF(A6146=A6145,ABS(O6145)+1,1))</f>
        <v>1</v>
      </c>
      <c r="P6146" s="57">
        <f t="shared" ref="P6146:P6209" si="1148">1*LEFT(RIGHT(A6146,2),1)</f>
        <v>5</v>
      </c>
      <c r="Q6146" s="267">
        <f t="shared" ref="Q6146:Q6209" si="1149">IF(A6146&lt;&gt;A6147,G6146,IF(A6146=A6145,G6146+Q6147,MAX(G6146,(G6146+Q6147)/P6146)))</f>
        <v>137</v>
      </c>
      <c r="R6146" s="23">
        <f t="shared" ref="R6146:R6209" si="1150">IF(O6146&gt;P6146,"",IF(O6146=P6146,G6146,IF(A6146=A6147,R6147,IF(O6146&lt;=0,1,G6146))))</f>
        <v>64</v>
      </c>
      <c r="S6146" s="23">
        <f t="shared" ref="S6146:S6209" si="1151">IF(AND(O6146&gt;P6146,LOWER(LEFT(E6146,8))&lt;&gt;"write-in",LOWER(LEFT(E6146,8))&lt;&gt;"not qual"),G6146,IF(A6146=A6147,S6147,0))</f>
        <v>0</v>
      </c>
      <c r="T6146" s="23" t="str">
        <f t="shared" ref="T6146:T6209" si="1152">IF(OR(A6146=A6145,S6146=0),"",R6146-ABS(S6146))</f>
        <v/>
      </c>
      <c r="U6146" t="str">
        <f t="shared" ref="U6146:U6209" si="1153">IF(A6146=A6145,"",A6146)</f>
        <v/>
      </c>
      <c r="V6146" s="40"/>
      <c r="X6146" s="43"/>
      <c r="Y6146" s="53"/>
      <c r="Z6146" s="53"/>
      <c r="AA6146"/>
      <c r="AB6146"/>
      <c r="AC6146" s="23"/>
      <c r="AD6146" s="23"/>
      <c r="AF6146" s="22"/>
      <c r="AH6146" s="8"/>
      <c r="AL6146" s="23"/>
      <c r="AM6146" s="371"/>
      <c r="AN6146" s="372"/>
      <c r="AT6146" s="20"/>
      <c r="AU6146" s="29"/>
      <c r="AV6146"/>
      <c r="AW6146"/>
    </row>
    <row r="6147" spans="1:49">
      <c r="A6147" t="str">
        <f t="shared" ref="A6147:A6210" si="1154">CONCATENATE(B6147,"~",F6147,"-",LOWER(D6147))</f>
        <v>PA_Alleg_2019p~Rep-school director wilkinsburg (vote for 5)</v>
      </c>
      <c r="B6147" s="55" t="s">
        <v>1291</v>
      </c>
      <c r="C6147">
        <v>1389</v>
      </c>
      <c r="D6147" s="55" t="s">
        <v>309</v>
      </c>
      <c r="E6147" s="55" t="s">
        <v>311</v>
      </c>
      <c r="F6147" t="s">
        <v>1117</v>
      </c>
      <c r="G6147" s="62">
        <v>64</v>
      </c>
      <c r="H6147" s="25">
        <v>29.22</v>
      </c>
      <c r="I6147">
        <v>13952</v>
      </c>
      <c r="J6147">
        <v>2391</v>
      </c>
      <c r="K6147">
        <v>17</v>
      </c>
      <c r="L6147">
        <v>17</v>
      </c>
      <c r="M6147">
        <v>0</v>
      </c>
      <c r="N6147" s="23">
        <v>0</v>
      </c>
      <c r="O6147">
        <f t="shared" si="1147"/>
        <v>2</v>
      </c>
      <c r="P6147" s="57">
        <f t="shared" si="1148"/>
        <v>5</v>
      </c>
      <c r="Q6147" s="267">
        <f t="shared" si="1149"/>
        <v>64</v>
      </c>
      <c r="R6147" s="23">
        <f t="shared" si="1150"/>
        <v>64</v>
      </c>
      <c r="S6147" s="23">
        <f t="shared" si="1151"/>
        <v>0</v>
      </c>
      <c r="T6147" s="23" t="str">
        <f t="shared" si="1152"/>
        <v/>
      </c>
      <c r="U6147" t="str">
        <f t="shared" si="1153"/>
        <v/>
      </c>
      <c r="V6147" s="40"/>
      <c r="X6147" s="43"/>
      <c r="Y6147" s="53"/>
      <c r="Z6147" s="53"/>
      <c r="AA6147"/>
      <c r="AB6147"/>
      <c r="AC6147" s="23"/>
      <c r="AD6147" s="23"/>
      <c r="AF6147" s="22"/>
      <c r="AH6147" s="8"/>
      <c r="AL6147" s="23"/>
      <c r="AM6147" s="371"/>
      <c r="AN6147" s="372"/>
      <c r="AT6147" s="20"/>
      <c r="AU6147" s="29"/>
      <c r="AV6147"/>
      <c r="AW6147"/>
    </row>
    <row r="6148" spans="1:49">
      <c r="A6148" t="str">
        <f t="shared" si="1154"/>
        <v>PA_Alleg_2019p~Rep-school director woodland hills region 1 (vote for 2)</v>
      </c>
      <c r="B6148" s="55" t="s">
        <v>1291</v>
      </c>
      <c r="C6148">
        <v>1443</v>
      </c>
      <c r="D6148" s="55" t="s">
        <v>371</v>
      </c>
      <c r="E6148" s="55" t="s">
        <v>15</v>
      </c>
      <c r="F6148" t="s">
        <v>1117</v>
      </c>
      <c r="G6148" s="62">
        <v>46</v>
      </c>
      <c r="H6148" s="25">
        <v>100</v>
      </c>
      <c r="I6148">
        <v>11791</v>
      </c>
      <c r="J6148">
        <v>1987</v>
      </c>
      <c r="K6148">
        <v>18</v>
      </c>
      <c r="L6148">
        <v>18</v>
      </c>
      <c r="M6148">
        <v>0</v>
      </c>
      <c r="N6148" s="23">
        <v>0</v>
      </c>
      <c r="O6148">
        <f t="shared" si="1147"/>
        <v>0</v>
      </c>
      <c r="P6148" s="57">
        <f t="shared" si="1148"/>
        <v>2</v>
      </c>
      <c r="Q6148" s="267">
        <f t="shared" si="1149"/>
        <v>46</v>
      </c>
      <c r="R6148" s="23">
        <f t="shared" si="1150"/>
        <v>1</v>
      </c>
      <c r="S6148" s="23">
        <f t="shared" si="1151"/>
        <v>0</v>
      </c>
      <c r="T6148" s="23" t="str">
        <f t="shared" si="1152"/>
        <v/>
      </c>
      <c r="U6148" t="str">
        <f t="shared" si="1153"/>
        <v>PA_Alleg_2019p~Rep-school director woodland hills region 1 (vote for 2)</v>
      </c>
      <c r="V6148" s="40"/>
      <c r="X6148" s="43"/>
      <c r="Y6148" s="53"/>
      <c r="Z6148" s="53"/>
      <c r="AA6148"/>
      <c r="AB6148"/>
      <c r="AC6148" s="23"/>
      <c r="AD6148" s="23"/>
      <c r="AF6148" s="22"/>
      <c r="AH6148" s="8"/>
      <c r="AL6148" s="23"/>
      <c r="AM6148" s="371"/>
      <c r="AN6148" s="372"/>
      <c r="AT6148" s="20"/>
      <c r="AU6148" s="29"/>
      <c r="AV6148"/>
      <c r="AW6148"/>
    </row>
    <row r="6149" spans="1:49">
      <c r="A6149" t="str">
        <f t="shared" si="1154"/>
        <v>PA_Alleg_2019p~Rep-school director woodland hills region 2 (vote for 2)</v>
      </c>
      <c r="B6149" s="55" t="s">
        <v>1291</v>
      </c>
      <c r="C6149">
        <v>1472</v>
      </c>
      <c r="D6149" s="55" t="s">
        <v>405</v>
      </c>
      <c r="E6149" s="55" t="s">
        <v>406</v>
      </c>
      <c r="F6149" t="s">
        <v>1117</v>
      </c>
      <c r="G6149" s="62">
        <v>140</v>
      </c>
      <c r="H6149" s="25">
        <v>97.9</v>
      </c>
      <c r="I6149">
        <v>13395</v>
      </c>
      <c r="J6149">
        <v>2638</v>
      </c>
      <c r="K6149">
        <v>20</v>
      </c>
      <c r="L6149">
        <v>20</v>
      </c>
      <c r="M6149">
        <v>0</v>
      </c>
      <c r="N6149" s="23">
        <v>0</v>
      </c>
      <c r="O6149">
        <f t="shared" si="1147"/>
        <v>1</v>
      </c>
      <c r="P6149" s="57">
        <f t="shared" si="1148"/>
        <v>2</v>
      </c>
      <c r="Q6149" s="267">
        <f t="shared" si="1149"/>
        <v>140</v>
      </c>
      <c r="R6149" s="23">
        <f t="shared" si="1150"/>
        <v>1</v>
      </c>
      <c r="S6149" s="23">
        <f t="shared" si="1151"/>
        <v>0</v>
      </c>
      <c r="T6149" s="23" t="str">
        <f t="shared" si="1152"/>
        <v/>
      </c>
      <c r="U6149" t="str">
        <f t="shared" si="1153"/>
        <v>PA_Alleg_2019p~Rep-school director woodland hills region 2 (vote for 2)</v>
      </c>
      <c r="V6149" s="40"/>
      <c r="X6149" s="43"/>
      <c r="Y6149" s="53"/>
      <c r="Z6149" s="53"/>
      <c r="AA6149"/>
      <c r="AB6149"/>
      <c r="AC6149" s="23"/>
      <c r="AD6149" s="23"/>
      <c r="AF6149" s="22"/>
      <c r="AH6149" s="8"/>
      <c r="AL6149" s="23"/>
      <c r="AM6149" s="371"/>
      <c r="AN6149" s="372"/>
      <c r="AT6149" s="20"/>
      <c r="AU6149" s="29"/>
      <c r="AV6149"/>
      <c r="AW6149"/>
    </row>
    <row r="6150" spans="1:49">
      <c r="A6150" t="str">
        <f t="shared" si="1154"/>
        <v>PA_Alleg_2019p~Rep-school director woodland hills region 2 (vote for 2)</v>
      </c>
      <c r="B6150" s="55" t="s">
        <v>1291</v>
      </c>
      <c r="C6150">
        <v>1473</v>
      </c>
      <c r="D6150" s="55" t="s">
        <v>405</v>
      </c>
      <c r="E6150" s="55" t="s">
        <v>15</v>
      </c>
      <c r="F6150" t="s">
        <v>1117</v>
      </c>
      <c r="G6150" s="62">
        <v>3</v>
      </c>
      <c r="H6150" s="25">
        <v>2.1</v>
      </c>
      <c r="I6150">
        <v>13395</v>
      </c>
      <c r="J6150">
        <v>2638</v>
      </c>
      <c r="K6150">
        <v>20</v>
      </c>
      <c r="L6150">
        <v>20</v>
      </c>
      <c r="M6150">
        <v>0</v>
      </c>
      <c r="N6150" s="23">
        <v>0</v>
      </c>
      <c r="O6150">
        <f t="shared" si="1147"/>
        <v>-1</v>
      </c>
      <c r="P6150" s="57">
        <f t="shared" si="1148"/>
        <v>2</v>
      </c>
      <c r="Q6150" s="267">
        <f t="shared" si="1149"/>
        <v>3</v>
      </c>
      <c r="R6150" s="23">
        <f t="shared" si="1150"/>
        <v>1</v>
      </c>
      <c r="S6150" s="23">
        <f t="shared" si="1151"/>
        <v>0</v>
      </c>
      <c r="T6150" s="23" t="str">
        <f t="shared" si="1152"/>
        <v/>
      </c>
      <c r="U6150" t="str">
        <f t="shared" si="1153"/>
        <v/>
      </c>
      <c r="V6150" s="40"/>
      <c r="X6150" s="43"/>
      <c r="Y6150" s="53"/>
      <c r="Z6150" s="53"/>
      <c r="AA6150"/>
      <c r="AB6150"/>
      <c r="AC6150" s="23"/>
      <c r="AD6150" s="23"/>
      <c r="AF6150" s="22"/>
      <c r="AH6150" s="8"/>
      <c r="AL6150" s="23"/>
      <c r="AM6150" s="371"/>
      <c r="AN6150" s="372"/>
      <c r="AT6150" s="20"/>
      <c r="AU6150" s="29"/>
      <c r="AV6150"/>
      <c r="AW6150"/>
    </row>
    <row r="6151" spans="1:49">
      <c r="A6151" t="str">
        <f t="shared" si="1154"/>
        <v>PA_Alleg_2019p~Rep-school director woodland hills region 3 (vote for 1)</v>
      </c>
      <c r="B6151" s="55" t="s">
        <v>1291</v>
      </c>
      <c r="C6151">
        <v>1518</v>
      </c>
      <c r="D6151" s="55" t="s">
        <v>447</v>
      </c>
      <c r="E6151" s="55" t="s">
        <v>453</v>
      </c>
      <c r="F6151" t="s">
        <v>1117</v>
      </c>
      <c r="G6151" s="62">
        <v>232</v>
      </c>
      <c r="H6151" s="25">
        <v>100</v>
      </c>
      <c r="I6151">
        <v>11523</v>
      </c>
      <c r="J6151">
        <v>2239</v>
      </c>
      <c r="K6151">
        <v>20</v>
      </c>
      <c r="L6151">
        <v>20</v>
      </c>
      <c r="M6151">
        <v>0</v>
      </c>
      <c r="N6151" s="23">
        <v>0</v>
      </c>
      <c r="O6151">
        <f t="shared" si="1147"/>
        <v>1</v>
      </c>
      <c r="P6151" s="57">
        <f t="shared" si="1148"/>
        <v>1</v>
      </c>
      <c r="Q6151" s="267">
        <f t="shared" si="1149"/>
        <v>239</v>
      </c>
      <c r="R6151" s="23">
        <f t="shared" si="1150"/>
        <v>232</v>
      </c>
      <c r="S6151" s="23">
        <f t="shared" si="1151"/>
        <v>0</v>
      </c>
      <c r="T6151" s="23" t="str">
        <f t="shared" si="1152"/>
        <v/>
      </c>
      <c r="U6151" t="str">
        <f t="shared" si="1153"/>
        <v>PA_Alleg_2019p~Rep-school director woodland hills region 3 (vote for 1)</v>
      </c>
      <c r="V6151" s="40"/>
      <c r="X6151" s="43"/>
      <c r="Y6151" s="53"/>
      <c r="Z6151" s="53"/>
      <c r="AA6151"/>
      <c r="AB6151"/>
      <c r="AC6151" s="23"/>
      <c r="AD6151" s="23"/>
      <c r="AF6151" s="22"/>
      <c r="AH6151" s="8"/>
      <c r="AL6151" s="23"/>
      <c r="AM6151" s="371"/>
      <c r="AN6151" s="372"/>
      <c r="AT6151" s="20"/>
      <c r="AU6151" s="29"/>
      <c r="AV6151"/>
      <c r="AW6151"/>
    </row>
    <row r="6152" spans="1:49">
      <c r="A6152" t="str">
        <f t="shared" si="1154"/>
        <v>PA_Alleg_2019p~Rep-school director woodland hills region 3 (vote for 1)</v>
      </c>
      <c r="B6152" s="55" t="s">
        <v>1291</v>
      </c>
      <c r="C6152">
        <v>1511</v>
      </c>
      <c r="D6152" s="55" t="s">
        <v>447</v>
      </c>
      <c r="E6152" s="55" t="s">
        <v>15</v>
      </c>
      <c r="F6152" t="s">
        <v>1117</v>
      </c>
      <c r="G6152" s="62">
        <v>7</v>
      </c>
      <c r="H6152" s="25">
        <v>100</v>
      </c>
      <c r="I6152">
        <v>11523</v>
      </c>
      <c r="J6152">
        <v>2239</v>
      </c>
      <c r="K6152">
        <v>20</v>
      </c>
      <c r="L6152">
        <v>20</v>
      </c>
      <c r="M6152">
        <v>0</v>
      </c>
      <c r="N6152" s="23">
        <v>0</v>
      </c>
      <c r="O6152">
        <f t="shared" si="1147"/>
        <v>-1</v>
      </c>
      <c r="P6152" s="57">
        <f t="shared" si="1148"/>
        <v>1</v>
      </c>
      <c r="Q6152" s="267">
        <f t="shared" si="1149"/>
        <v>7</v>
      </c>
      <c r="R6152" s="23">
        <f t="shared" si="1150"/>
        <v>1</v>
      </c>
      <c r="S6152" s="23">
        <f t="shared" si="1151"/>
        <v>0</v>
      </c>
      <c r="T6152" s="23" t="str">
        <f t="shared" si="1152"/>
        <v/>
      </c>
      <c r="U6152" t="str">
        <f t="shared" si="1153"/>
        <v/>
      </c>
      <c r="V6152" s="40"/>
      <c r="X6152" s="43"/>
      <c r="Y6152" s="53"/>
      <c r="Z6152" s="53"/>
      <c r="AA6152"/>
      <c r="AB6152"/>
      <c r="AC6152" s="23"/>
      <c r="AD6152" s="23"/>
      <c r="AF6152" s="22"/>
      <c r="AH6152" s="8"/>
      <c r="AL6152" s="23"/>
      <c r="AM6152" s="371"/>
      <c r="AN6152" s="372"/>
      <c r="AT6152" s="20"/>
      <c r="AU6152" s="29"/>
      <c r="AV6152"/>
      <c r="AW6152"/>
    </row>
    <row r="6153" spans="1:49">
      <c r="A6153" t="str">
        <f t="shared" si="1154"/>
        <v>PA_Alleg_2019p~Rep-school director woodland hills region 3 (vote for 1)</v>
      </c>
      <c r="B6153" s="55" t="s">
        <v>1291</v>
      </c>
      <c r="C6153">
        <v>1519</v>
      </c>
      <c r="D6153" s="55" t="s">
        <v>447</v>
      </c>
      <c r="E6153" s="55" t="s">
        <v>15</v>
      </c>
      <c r="F6153" t="s">
        <v>1117</v>
      </c>
      <c r="G6153" s="62">
        <v>0</v>
      </c>
      <c r="H6153" s="25">
        <v>0</v>
      </c>
      <c r="I6153">
        <v>11523</v>
      </c>
      <c r="J6153">
        <v>2239</v>
      </c>
      <c r="K6153">
        <v>20</v>
      </c>
      <c r="L6153">
        <v>20</v>
      </c>
      <c r="M6153">
        <v>0</v>
      </c>
      <c r="N6153" s="23">
        <v>0</v>
      </c>
      <c r="O6153">
        <f t="shared" si="1147"/>
        <v>-1</v>
      </c>
      <c r="P6153" s="57">
        <f t="shared" si="1148"/>
        <v>1</v>
      </c>
      <c r="Q6153" s="267">
        <f t="shared" si="1149"/>
        <v>0</v>
      </c>
      <c r="R6153" s="23">
        <f t="shared" si="1150"/>
        <v>1</v>
      </c>
      <c r="S6153" s="23">
        <f t="shared" si="1151"/>
        <v>0</v>
      </c>
      <c r="T6153" s="23" t="str">
        <f t="shared" si="1152"/>
        <v/>
      </c>
      <c r="U6153" t="str">
        <f t="shared" si="1153"/>
        <v/>
      </c>
      <c r="V6153" s="40"/>
      <c r="X6153" s="43"/>
      <c r="Y6153" s="53"/>
      <c r="Z6153" s="53"/>
      <c r="AA6153"/>
      <c r="AB6153"/>
      <c r="AC6153" s="23"/>
      <c r="AD6153" s="23"/>
      <c r="AF6153" s="22"/>
      <c r="AH6153" s="8"/>
      <c r="AL6153" s="23"/>
      <c r="AM6153" s="371"/>
      <c r="AN6153" s="372"/>
      <c r="AT6153" s="20"/>
      <c r="AU6153" s="29"/>
      <c r="AV6153"/>
      <c r="AW6153"/>
    </row>
    <row r="6154" spans="1:49">
      <c r="A6154" t="str">
        <f t="shared" si="1154"/>
        <v>PA_Alleg_2019p~Rep-supervisor at-large richland (vote for 1)</v>
      </c>
      <c r="B6154" s="55" t="s">
        <v>1291</v>
      </c>
      <c r="C6154">
        <v>1945</v>
      </c>
      <c r="D6154" s="55" t="s">
        <v>1082</v>
      </c>
      <c r="E6154" s="55" t="s">
        <v>1262</v>
      </c>
      <c r="F6154" t="s">
        <v>1117</v>
      </c>
      <c r="G6154" s="62">
        <v>366</v>
      </c>
      <c r="H6154" s="25">
        <v>100</v>
      </c>
      <c r="I6154">
        <v>8714</v>
      </c>
      <c r="J6154">
        <v>940</v>
      </c>
      <c r="K6154">
        <v>8</v>
      </c>
      <c r="L6154">
        <v>8</v>
      </c>
      <c r="M6154">
        <v>0</v>
      </c>
      <c r="N6154" s="23">
        <v>0</v>
      </c>
      <c r="O6154">
        <f t="shared" si="1147"/>
        <v>1</v>
      </c>
      <c r="P6154" s="57">
        <f t="shared" si="1148"/>
        <v>1</v>
      </c>
      <c r="Q6154" s="267">
        <f t="shared" si="1149"/>
        <v>366</v>
      </c>
      <c r="R6154" s="23">
        <f t="shared" si="1150"/>
        <v>366</v>
      </c>
      <c r="S6154" s="23">
        <f t="shared" si="1151"/>
        <v>0</v>
      </c>
      <c r="T6154" s="23" t="str">
        <f t="shared" si="1152"/>
        <v/>
      </c>
      <c r="U6154" t="str">
        <f t="shared" si="1153"/>
        <v>PA_Alleg_2019p~Rep-supervisor at-large richland (vote for 1)</v>
      </c>
      <c r="V6154" s="40"/>
      <c r="X6154" s="43"/>
      <c r="Y6154" s="53"/>
      <c r="Z6154" s="53"/>
      <c r="AA6154"/>
      <c r="AB6154"/>
      <c r="AC6154" s="23"/>
      <c r="AD6154" s="23"/>
      <c r="AF6154" s="22"/>
      <c r="AH6154" s="8"/>
      <c r="AL6154" s="23"/>
      <c r="AM6154" s="371"/>
      <c r="AN6154" s="372"/>
      <c r="AT6154" s="20"/>
      <c r="AU6154" s="29"/>
      <c r="AV6154"/>
      <c r="AW6154"/>
    </row>
    <row r="6155" spans="1:49">
      <c r="A6155" t="str">
        <f t="shared" si="1154"/>
        <v>PA_Alleg_2019p~Rep-supervisor at-large richland (vote for 1)</v>
      </c>
      <c r="B6155" s="55" t="s">
        <v>1291</v>
      </c>
      <c r="C6155">
        <v>1946</v>
      </c>
      <c r="D6155" s="55" t="s">
        <v>1082</v>
      </c>
      <c r="E6155" s="55" t="s">
        <v>15</v>
      </c>
      <c r="F6155" t="s">
        <v>1117</v>
      </c>
      <c r="G6155" s="62">
        <v>0</v>
      </c>
      <c r="H6155" s="25">
        <v>0</v>
      </c>
      <c r="I6155">
        <v>8714</v>
      </c>
      <c r="J6155">
        <v>940</v>
      </c>
      <c r="K6155">
        <v>8</v>
      </c>
      <c r="L6155">
        <v>8</v>
      </c>
      <c r="M6155">
        <v>0</v>
      </c>
      <c r="N6155" s="23">
        <v>0</v>
      </c>
      <c r="O6155">
        <f t="shared" si="1147"/>
        <v>-1</v>
      </c>
      <c r="P6155" s="57">
        <f t="shared" si="1148"/>
        <v>1</v>
      </c>
      <c r="Q6155" s="267">
        <f t="shared" si="1149"/>
        <v>0</v>
      </c>
      <c r="R6155" s="23">
        <f t="shared" si="1150"/>
        <v>1</v>
      </c>
      <c r="S6155" s="23">
        <f t="shared" si="1151"/>
        <v>0</v>
      </c>
      <c r="T6155" s="23" t="str">
        <f t="shared" si="1152"/>
        <v/>
      </c>
      <c r="U6155" t="str">
        <f t="shared" si="1153"/>
        <v/>
      </c>
      <c r="V6155" s="40"/>
      <c r="X6155" s="43"/>
      <c r="Y6155" s="53"/>
      <c r="Z6155" s="53"/>
      <c r="AA6155"/>
      <c r="AB6155"/>
      <c r="AC6155" s="23"/>
      <c r="AD6155" s="23"/>
      <c r="AF6155" s="22"/>
      <c r="AH6155" s="8"/>
      <c r="AL6155" s="23"/>
      <c r="AM6155" s="371"/>
      <c r="AN6155" s="372"/>
      <c r="AT6155" s="20"/>
      <c r="AU6155" s="29"/>
      <c r="AV6155"/>
      <c r="AW6155"/>
    </row>
    <row r="6156" spans="1:49">
      <c r="A6156" t="str">
        <f t="shared" si="1154"/>
        <v>PA_Alleg_2019p~Rep-supervisor fawn (vote for 1)</v>
      </c>
      <c r="B6156" s="55" t="s">
        <v>1291</v>
      </c>
      <c r="C6156">
        <v>1953</v>
      </c>
      <c r="D6156" s="55" t="s">
        <v>1087</v>
      </c>
      <c r="E6156" s="55" t="s">
        <v>1267</v>
      </c>
      <c r="F6156" t="s">
        <v>1117</v>
      </c>
      <c r="G6156" s="62">
        <v>83</v>
      </c>
      <c r="H6156" s="25">
        <v>69.17</v>
      </c>
      <c r="I6156">
        <v>1476</v>
      </c>
      <c r="J6156">
        <v>295</v>
      </c>
      <c r="K6156">
        <v>2</v>
      </c>
      <c r="L6156">
        <v>2</v>
      </c>
      <c r="M6156">
        <v>0</v>
      </c>
      <c r="N6156" s="23">
        <v>0</v>
      </c>
      <c r="O6156">
        <f t="shared" si="1147"/>
        <v>1</v>
      </c>
      <c r="P6156" s="57">
        <f t="shared" si="1148"/>
        <v>1</v>
      </c>
      <c r="Q6156" s="267">
        <f t="shared" si="1149"/>
        <v>182</v>
      </c>
      <c r="R6156" s="23">
        <f t="shared" si="1150"/>
        <v>83</v>
      </c>
      <c r="S6156" s="23">
        <f t="shared" si="1151"/>
        <v>0</v>
      </c>
      <c r="T6156" s="23" t="str">
        <f t="shared" si="1152"/>
        <v/>
      </c>
      <c r="U6156" t="str">
        <f t="shared" si="1153"/>
        <v>PA_Alleg_2019p~Rep-supervisor fawn (vote for 1)</v>
      </c>
      <c r="V6156" s="40"/>
      <c r="X6156" s="43"/>
      <c r="Y6156" s="53"/>
      <c r="Z6156" s="53"/>
      <c r="AA6156"/>
      <c r="AB6156"/>
      <c r="AC6156" s="23"/>
      <c r="AD6156" s="23"/>
      <c r="AF6156" s="22"/>
      <c r="AH6156" s="8"/>
      <c r="AL6156" s="23"/>
      <c r="AM6156" s="371"/>
      <c r="AN6156" s="372"/>
      <c r="AT6156" s="20"/>
      <c r="AU6156" s="29"/>
      <c r="AV6156"/>
      <c r="AW6156"/>
    </row>
    <row r="6157" spans="1:49">
      <c r="A6157" t="str">
        <f t="shared" si="1154"/>
        <v>PA_Alleg_2019p~Rep-supervisor fawn (vote for 1)</v>
      </c>
      <c r="B6157" s="55" t="s">
        <v>1291</v>
      </c>
      <c r="C6157">
        <v>1974</v>
      </c>
      <c r="D6157" s="55" t="s">
        <v>1087</v>
      </c>
      <c r="E6157" s="55" t="s">
        <v>15</v>
      </c>
      <c r="F6157" t="s">
        <v>1117</v>
      </c>
      <c r="G6157" s="62">
        <v>62</v>
      </c>
      <c r="H6157" s="25">
        <v>100</v>
      </c>
      <c r="I6157">
        <v>1476</v>
      </c>
      <c r="J6157">
        <v>295</v>
      </c>
      <c r="K6157">
        <v>2</v>
      </c>
      <c r="L6157">
        <v>2</v>
      </c>
      <c r="M6157">
        <v>0</v>
      </c>
      <c r="N6157" s="23">
        <v>0</v>
      </c>
      <c r="O6157">
        <f t="shared" si="1147"/>
        <v>-1</v>
      </c>
      <c r="P6157" s="57">
        <f t="shared" si="1148"/>
        <v>1</v>
      </c>
      <c r="Q6157" s="267">
        <f t="shared" si="1149"/>
        <v>99</v>
      </c>
      <c r="R6157" s="23">
        <f t="shared" si="1150"/>
        <v>1</v>
      </c>
      <c r="S6157" s="23">
        <f t="shared" si="1151"/>
        <v>0</v>
      </c>
      <c r="T6157" s="23" t="str">
        <f t="shared" si="1152"/>
        <v/>
      </c>
      <c r="U6157" t="str">
        <f t="shared" si="1153"/>
        <v/>
      </c>
      <c r="V6157" s="40"/>
      <c r="X6157" s="43"/>
      <c r="Y6157" s="53"/>
      <c r="Z6157" s="53"/>
      <c r="AA6157"/>
      <c r="AB6157"/>
      <c r="AC6157" s="23"/>
      <c r="AD6157" s="23"/>
      <c r="AF6157" s="22"/>
      <c r="AH6157" s="8"/>
      <c r="AL6157" s="23"/>
      <c r="AM6157" s="371"/>
      <c r="AN6157" s="372"/>
      <c r="AT6157" s="20"/>
      <c r="AU6157" s="29"/>
      <c r="AV6157"/>
      <c r="AW6157"/>
    </row>
    <row r="6158" spans="1:49">
      <c r="A6158" t="str">
        <f t="shared" si="1154"/>
        <v>PA_Alleg_2019p~Rep-supervisor fawn (vote for 1)</v>
      </c>
      <c r="B6158" s="55" t="s">
        <v>1291</v>
      </c>
      <c r="C6158">
        <v>1954</v>
      </c>
      <c r="D6158" s="55" t="s">
        <v>1087</v>
      </c>
      <c r="E6158" s="55" t="s">
        <v>15</v>
      </c>
      <c r="F6158" t="s">
        <v>1117</v>
      </c>
      <c r="G6158" s="62">
        <v>37</v>
      </c>
      <c r="H6158" s="25">
        <v>30.83</v>
      </c>
      <c r="I6158">
        <v>1476</v>
      </c>
      <c r="J6158">
        <v>295</v>
      </c>
      <c r="K6158">
        <v>2</v>
      </c>
      <c r="L6158">
        <v>2</v>
      </c>
      <c r="M6158">
        <v>0</v>
      </c>
      <c r="N6158" s="23">
        <v>0</v>
      </c>
      <c r="O6158">
        <f t="shared" si="1147"/>
        <v>-1</v>
      </c>
      <c r="P6158" s="57">
        <f t="shared" si="1148"/>
        <v>1</v>
      </c>
      <c r="Q6158" s="267">
        <f t="shared" si="1149"/>
        <v>37</v>
      </c>
      <c r="R6158" s="23">
        <f t="shared" si="1150"/>
        <v>1</v>
      </c>
      <c r="S6158" s="23">
        <f t="shared" si="1151"/>
        <v>0</v>
      </c>
      <c r="T6158" s="23" t="str">
        <f t="shared" si="1152"/>
        <v/>
      </c>
      <c r="U6158" t="str">
        <f t="shared" si="1153"/>
        <v/>
      </c>
      <c r="V6158" s="40"/>
      <c r="X6158" s="43"/>
      <c r="Y6158" s="53"/>
      <c r="Z6158" s="53"/>
      <c r="AA6158"/>
      <c r="AB6158"/>
      <c r="AC6158" s="23"/>
      <c r="AD6158" s="23"/>
      <c r="AF6158" s="22"/>
      <c r="AH6158" s="8"/>
      <c r="AL6158" s="23"/>
      <c r="AM6158" s="371"/>
      <c r="AN6158" s="372"/>
      <c r="AT6158" s="20"/>
      <c r="AU6158" s="29"/>
      <c r="AV6158"/>
      <c r="AW6158"/>
    </row>
    <row r="6159" spans="1:49">
      <c r="A6159" t="str">
        <f t="shared" si="1154"/>
        <v>PA_Alleg_2019p~Rep-supervisor findlay (vote for 1)</v>
      </c>
      <c r="B6159" s="55" t="s">
        <v>1291</v>
      </c>
      <c r="C6159">
        <v>1955</v>
      </c>
      <c r="D6159" s="55" t="s">
        <v>1090</v>
      </c>
      <c r="E6159" s="55" t="s">
        <v>15</v>
      </c>
      <c r="F6159" t="s">
        <v>1117</v>
      </c>
      <c r="G6159" s="62">
        <v>24</v>
      </c>
      <c r="H6159" s="25">
        <v>100</v>
      </c>
      <c r="I6159">
        <v>4351</v>
      </c>
      <c r="J6159">
        <v>539</v>
      </c>
      <c r="K6159">
        <v>3</v>
      </c>
      <c r="L6159">
        <v>3</v>
      </c>
      <c r="M6159">
        <v>0</v>
      </c>
      <c r="N6159" s="23">
        <v>0</v>
      </c>
      <c r="O6159">
        <f t="shared" si="1147"/>
        <v>0</v>
      </c>
      <c r="P6159" s="57">
        <f t="shared" si="1148"/>
        <v>1</v>
      </c>
      <c r="Q6159" s="267">
        <f t="shared" si="1149"/>
        <v>24</v>
      </c>
      <c r="R6159" s="23">
        <f t="shared" si="1150"/>
        <v>1</v>
      </c>
      <c r="S6159" s="23">
        <f t="shared" si="1151"/>
        <v>0</v>
      </c>
      <c r="T6159" s="23" t="str">
        <f t="shared" si="1152"/>
        <v/>
      </c>
      <c r="U6159" t="str">
        <f t="shared" si="1153"/>
        <v>PA_Alleg_2019p~Rep-supervisor findlay (vote for 1)</v>
      </c>
      <c r="V6159" s="40"/>
      <c r="X6159" s="43"/>
      <c r="Y6159" s="53"/>
      <c r="Z6159" s="53"/>
      <c r="AA6159"/>
      <c r="AB6159"/>
      <c r="AC6159" s="23"/>
      <c r="AD6159" s="23"/>
      <c r="AF6159" s="22"/>
      <c r="AH6159" s="8"/>
      <c r="AL6159" s="23"/>
      <c r="AM6159" s="371"/>
      <c r="AN6159" s="372"/>
      <c r="AT6159" s="20"/>
      <c r="AU6159" s="29"/>
      <c r="AV6159"/>
      <c r="AW6159"/>
    </row>
    <row r="6160" spans="1:49">
      <c r="A6160" t="str">
        <f t="shared" si="1154"/>
        <v>PA_Alleg_2019p~Rep-supervisor forward (vote for 1)</v>
      </c>
      <c r="B6160" s="55" t="s">
        <v>1291</v>
      </c>
      <c r="C6160">
        <v>1956</v>
      </c>
      <c r="D6160" s="55" t="s">
        <v>1092</v>
      </c>
      <c r="E6160" s="55" t="s">
        <v>15</v>
      </c>
      <c r="F6160" t="s">
        <v>1117</v>
      </c>
      <c r="G6160" s="62">
        <v>23</v>
      </c>
      <c r="H6160" s="25">
        <v>100</v>
      </c>
      <c r="I6160">
        <v>2091</v>
      </c>
      <c r="J6160">
        <v>333</v>
      </c>
      <c r="K6160">
        <v>4</v>
      </c>
      <c r="L6160">
        <v>4</v>
      </c>
      <c r="M6160">
        <v>0</v>
      </c>
      <c r="N6160" s="23">
        <v>0</v>
      </c>
      <c r="O6160">
        <f t="shared" si="1147"/>
        <v>0</v>
      </c>
      <c r="P6160" s="57">
        <f t="shared" si="1148"/>
        <v>1</v>
      </c>
      <c r="Q6160" s="267">
        <f t="shared" si="1149"/>
        <v>23</v>
      </c>
      <c r="R6160" s="23">
        <f t="shared" si="1150"/>
        <v>1</v>
      </c>
      <c r="S6160" s="23">
        <f t="shared" si="1151"/>
        <v>0</v>
      </c>
      <c r="T6160" s="23" t="str">
        <f t="shared" si="1152"/>
        <v/>
      </c>
      <c r="U6160" t="str">
        <f t="shared" si="1153"/>
        <v>PA_Alleg_2019p~Rep-supervisor forward (vote for 1)</v>
      </c>
      <c r="V6160" s="40"/>
      <c r="X6160" s="43"/>
      <c r="Y6160" s="53"/>
      <c r="Z6160" s="53"/>
      <c r="AA6160"/>
      <c r="AB6160"/>
      <c r="AC6160" s="23"/>
      <c r="AD6160" s="23"/>
      <c r="AF6160" s="22"/>
      <c r="AH6160" s="8"/>
      <c r="AL6160" s="23"/>
      <c r="AM6160" s="371"/>
      <c r="AN6160" s="372"/>
      <c r="AT6160" s="20"/>
      <c r="AU6160" s="29"/>
      <c r="AV6160"/>
      <c r="AW6160"/>
    </row>
    <row r="6161" spans="1:49">
      <c r="A6161" t="str">
        <f t="shared" si="1154"/>
        <v>PA_Alleg_2019p~Rep-supervisor frazer (vote for 1)</v>
      </c>
      <c r="B6161" s="55" t="s">
        <v>1291</v>
      </c>
      <c r="C6161">
        <v>1957</v>
      </c>
      <c r="D6161" s="55" t="s">
        <v>1094</v>
      </c>
      <c r="E6161" s="55" t="s">
        <v>15</v>
      </c>
      <c r="F6161" t="s">
        <v>1117</v>
      </c>
      <c r="G6161" s="62">
        <v>6</v>
      </c>
      <c r="H6161" s="25">
        <v>100</v>
      </c>
      <c r="I6161">
        <v>766</v>
      </c>
      <c r="J6161">
        <v>91</v>
      </c>
      <c r="K6161">
        <v>1</v>
      </c>
      <c r="L6161">
        <v>1</v>
      </c>
      <c r="M6161">
        <v>0</v>
      </c>
      <c r="N6161" s="23">
        <v>0</v>
      </c>
      <c r="O6161">
        <f t="shared" si="1147"/>
        <v>0</v>
      </c>
      <c r="P6161" s="57">
        <f t="shared" si="1148"/>
        <v>1</v>
      </c>
      <c r="Q6161" s="267">
        <f t="shared" si="1149"/>
        <v>6</v>
      </c>
      <c r="R6161" s="23">
        <f t="shared" si="1150"/>
        <v>1</v>
      </c>
      <c r="S6161" s="23">
        <f t="shared" si="1151"/>
        <v>0</v>
      </c>
      <c r="T6161" s="23" t="str">
        <f t="shared" si="1152"/>
        <v/>
      </c>
      <c r="U6161" t="str">
        <f t="shared" si="1153"/>
        <v>PA_Alleg_2019p~Rep-supervisor frazer (vote for 1)</v>
      </c>
      <c r="V6161" s="40"/>
      <c r="X6161" s="43"/>
      <c r="Y6161" s="53"/>
      <c r="Z6161" s="53"/>
      <c r="AA6161"/>
      <c r="AB6161"/>
      <c r="AC6161" s="23"/>
      <c r="AD6161" s="23"/>
      <c r="AF6161" s="22"/>
      <c r="AH6161" s="8"/>
      <c r="AL6161" s="23"/>
      <c r="AM6161" s="371"/>
      <c r="AN6161" s="372"/>
      <c r="AT6161" s="20"/>
      <c r="AU6161" s="29"/>
      <c r="AV6161"/>
      <c r="AW6161"/>
    </row>
    <row r="6162" spans="1:49">
      <c r="A6162" t="str">
        <f t="shared" si="1154"/>
        <v>PA_Alleg_2019p~Rep-supervisor harmar (vote for 1)</v>
      </c>
      <c r="B6162" s="55" t="s">
        <v>1291</v>
      </c>
      <c r="C6162">
        <v>1958</v>
      </c>
      <c r="D6162" s="55" t="s">
        <v>1096</v>
      </c>
      <c r="E6162" s="55" t="s">
        <v>15</v>
      </c>
      <c r="F6162" t="s">
        <v>1117</v>
      </c>
      <c r="G6162" s="62">
        <v>34</v>
      </c>
      <c r="H6162" s="25">
        <v>100</v>
      </c>
      <c r="I6162">
        <v>2438</v>
      </c>
      <c r="J6162">
        <v>373</v>
      </c>
      <c r="K6162">
        <v>3</v>
      </c>
      <c r="L6162">
        <v>3</v>
      </c>
      <c r="M6162">
        <v>0</v>
      </c>
      <c r="N6162" s="23">
        <v>0</v>
      </c>
      <c r="O6162">
        <f t="shared" si="1147"/>
        <v>0</v>
      </c>
      <c r="P6162" s="57">
        <f t="shared" si="1148"/>
        <v>1</v>
      </c>
      <c r="Q6162" s="267">
        <f t="shared" si="1149"/>
        <v>34</v>
      </c>
      <c r="R6162" s="23">
        <f t="shared" si="1150"/>
        <v>1</v>
      </c>
      <c r="S6162" s="23">
        <f t="shared" si="1151"/>
        <v>0</v>
      </c>
      <c r="T6162" s="23" t="str">
        <f t="shared" si="1152"/>
        <v/>
      </c>
      <c r="U6162" t="str">
        <f t="shared" si="1153"/>
        <v>PA_Alleg_2019p~Rep-supervisor harmar (vote for 1)</v>
      </c>
      <c r="V6162" s="40"/>
      <c r="X6162" s="43"/>
      <c r="Y6162" s="53"/>
      <c r="Z6162" s="53"/>
      <c r="AA6162"/>
      <c r="AB6162"/>
      <c r="AC6162" s="23"/>
      <c r="AD6162" s="23"/>
      <c r="AF6162" s="22"/>
      <c r="AH6162" s="8"/>
      <c r="AL6162" s="23"/>
      <c r="AM6162" s="371"/>
      <c r="AN6162" s="372"/>
      <c r="AT6162" s="20"/>
      <c r="AU6162" s="29"/>
      <c r="AV6162"/>
      <c r="AW6162"/>
    </row>
    <row r="6163" spans="1:49">
      <c r="A6163" t="str">
        <f t="shared" si="1154"/>
        <v>PA_Alleg_2019p~Rep-supervisor indiana district 1 (vote for 1)</v>
      </c>
      <c r="B6163" s="55" t="s">
        <v>1291</v>
      </c>
      <c r="C6163">
        <v>1975</v>
      </c>
      <c r="D6163" s="55" t="s">
        <v>1106</v>
      </c>
      <c r="E6163" s="55" t="s">
        <v>1278</v>
      </c>
      <c r="F6163" t="s">
        <v>1117</v>
      </c>
      <c r="G6163" s="62">
        <v>63</v>
      </c>
      <c r="H6163" s="25">
        <v>98.44</v>
      </c>
      <c r="I6163">
        <v>996</v>
      </c>
      <c r="J6163">
        <v>189</v>
      </c>
      <c r="K6163">
        <v>1</v>
      </c>
      <c r="L6163">
        <v>1</v>
      </c>
      <c r="M6163">
        <v>0</v>
      </c>
      <c r="N6163" s="23">
        <v>0</v>
      </c>
      <c r="O6163">
        <f t="shared" si="1147"/>
        <v>1</v>
      </c>
      <c r="P6163" s="57">
        <f t="shared" si="1148"/>
        <v>1</v>
      </c>
      <c r="Q6163" s="267">
        <f t="shared" si="1149"/>
        <v>64</v>
      </c>
      <c r="R6163" s="23">
        <f t="shared" si="1150"/>
        <v>63</v>
      </c>
      <c r="S6163" s="23">
        <f t="shared" si="1151"/>
        <v>0</v>
      </c>
      <c r="T6163" s="23" t="str">
        <f t="shared" si="1152"/>
        <v/>
      </c>
      <c r="U6163" t="str">
        <f t="shared" si="1153"/>
        <v>PA_Alleg_2019p~Rep-supervisor indiana district 1 (vote for 1)</v>
      </c>
      <c r="V6163" s="40"/>
      <c r="X6163" s="43"/>
      <c r="Y6163" s="53"/>
      <c r="Z6163" s="53"/>
      <c r="AA6163"/>
      <c r="AB6163"/>
      <c r="AC6163" s="23"/>
      <c r="AD6163" s="23"/>
      <c r="AF6163" s="22"/>
      <c r="AH6163" s="8"/>
      <c r="AL6163" s="23"/>
      <c r="AM6163" s="371"/>
      <c r="AN6163" s="372"/>
      <c r="AT6163" s="20"/>
      <c r="AU6163" s="29"/>
      <c r="AV6163"/>
      <c r="AW6163"/>
    </row>
    <row r="6164" spans="1:49">
      <c r="A6164" t="str">
        <f t="shared" si="1154"/>
        <v>PA_Alleg_2019p~Rep-supervisor indiana district 1 (vote for 1)</v>
      </c>
      <c r="B6164" s="55" t="s">
        <v>1291</v>
      </c>
      <c r="C6164">
        <v>1976</v>
      </c>
      <c r="D6164" s="55" t="s">
        <v>1106</v>
      </c>
      <c r="E6164" s="55" t="s">
        <v>15</v>
      </c>
      <c r="F6164" t="s">
        <v>1117</v>
      </c>
      <c r="G6164" s="62">
        <v>1</v>
      </c>
      <c r="H6164" s="25">
        <v>1.56</v>
      </c>
      <c r="I6164">
        <v>996</v>
      </c>
      <c r="J6164">
        <v>189</v>
      </c>
      <c r="K6164">
        <v>1</v>
      </c>
      <c r="L6164">
        <v>1</v>
      </c>
      <c r="M6164">
        <v>0</v>
      </c>
      <c r="N6164" s="23">
        <v>0</v>
      </c>
      <c r="O6164">
        <f t="shared" si="1147"/>
        <v>-1</v>
      </c>
      <c r="P6164" s="57">
        <f t="shared" si="1148"/>
        <v>1</v>
      </c>
      <c r="Q6164" s="267">
        <f t="shared" si="1149"/>
        <v>1</v>
      </c>
      <c r="R6164" s="23">
        <f t="shared" si="1150"/>
        <v>1</v>
      </c>
      <c r="S6164" s="23">
        <f t="shared" si="1151"/>
        <v>0</v>
      </c>
      <c r="T6164" s="23" t="str">
        <f t="shared" si="1152"/>
        <v/>
      </c>
      <c r="U6164" t="str">
        <f t="shared" si="1153"/>
        <v/>
      </c>
      <c r="V6164" s="40"/>
      <c r="X6164" s="43"/>
      <c r="Y6164" s="53"/>
      <c r="Z6164" s="53"/>
      <c r="AA6164"/>
      <c r="AB6164"/>
      <c r="AC6164" s="23"/>
      <c r="AD6164" s="23"/>
      <c r="AF6164" s="22"/>
      <c r="AH6164" s="8"/>
      <c r="AL6164" s="23"/>
      <c r="AM6164" s="371"/>
      <c r="AN6164" s="372"/>
      <c r="AT6164" s="20"/>
      <c r="AU6164" s="29"/>
      <c r="AV6164"/>
      <c r="AW6164"/>
    </row>
    <row r="6165" spans="1:49">
      <c r="A6165" t="str">
        <f t="shared" si="1154"/>
        <v>PA_Alleg_2019p~Rep-supervisor indiana district 2 (vote for 1)</v>
      </c>
      <c r="B6165" s="55" t="s">
        <v>1291</v>
      </c>
      <c r="C6165">
        <v>1977</v>
      </c>
      <c r="D6165" s="55" t="s">
        <v>1108</v>
      </c>
      <c r="E6165" s="55" t="s">
        <v>1279</v>
      </c>
      <c r="F6165" t="s">
        <v>1117</v>
      </c>
      <c r="G6165" s="62">
        <v>63</v>
      </c>
      <c r="H6165" s="25">
        <v>100</v>
      </c>
      <c r="I6165">
        <v>871</v>
      </c>
      <c r="J6165">
        <v>188</v>
      </c>
      <c r="K6165">
        <v>1</v>
      </c>
      <c r="L6165">
        <v>1</v>
      </c>
      <c r="M6165">
        <v>0</v>
      </c>
      <c r="N6165" s="23">
        <v>0</v>
      </c>
      <c r="O6165">
        <f t="shared" si="1147"/>
        <v>1</v>
      </c>
      <c r="P6165" s="57">
        <f t="shared" si="1148"/>
        <v>1</v>
      </c>
      <c r="Q6165" s="267">
        <f t="shared" si="1149"/>
        <v>63</v>
      </c>
      <c r="R6165" s="23">
        <f t="shared" si="1150"/>
        <v>63</v>
      </c>
      <c r="S6165" s="23">
        <f t="shared" si="1151"/>
        <v>0</v>
      </c>
      <c r="T6165" s="23" t="str">
        <f t="shared" si="1152"/>
        <v/>
      </c>
      <c r="U6165" t="str">
        <f t="shared" si="1153"/>
        <v>PA_Alleg_2019p~Rep-supervisor indiana district 2 (vote for 1)</v>
      </c>
      <c r="V6165" s="40"/>
      <c r="X6165" s="43"/>
      <c r="Y6165" s="53"/>
      <c r="Z6165" s="53"/>
      <c r="AA6165"/>
      <c r="AB6165"/>
      <c r="AC6165" s="23"/>
      <c r="AD6165" s="23"/>
      <c r="AF6165" s="22"/>
      <c r="AH6165" s="8"/>
      <c r="AL6165" s="23"/>
      <c r="AM6165" s="371"/>
      <c r="AN6165" s="372"/>
      <c r="AT6165" s="20"/>
      <c r="AU6165" s="29"/>
      <c r="AV6165"/>
      <c r="AW6165"/>
    </row>
    <row r="6166" spans="1:49">
      <c r="A6166" t="str">
        <f t="shared" si="1154"/>
        <v>PA_Alleg_2019p~Rep-supervisor indiana district 2 (vote for 1)</v>
      </c>
      <c r="B6166" s="55" t="s">
        <v>1291</v>
      </c>
      <c r="C6166">
        <v>1978</v>
      </c>
      <c r="D6166" s="55" t="s">
        <v>1108</v>
      </c>
      <c r="E6166" s="55" t="s">
        <v>15</v>
      </c>
      <c r="F6166" t="s">
        <v>1117</v>
      </c>
      <c r="G6166" s="62">
        <v>0</v>
      </c>
      <c r="H6166" s="25">
        <v>0</v>
      </c>
      <c r="I6166">
        <v>871</v>
      </c>
      <c r="J6166">
        <v>188</v>
      </c>
      <c r="K6166">
        <v>1</v>
      </c>
      <c r="L6166">
        <v>1</v>
      </c>
      <c r="M6166">
        <v>0</v>
      </c>
      <c r="N6166" s="23">
        <v>0</v>
      </c>
      <c r="O6166">
        <f t="shared" si="1147"/>
        <v>-1</v>
      </c>
      <c r="P6166" s="57">
        <f t="shared" si="1148"/>
        <v>1</v>
      </c>
      <c r="Q6166" s="267">
        <f t="shared" si="1149"/>
        <v>0</v>
      </c>
      <c r="R6166" s="23">
        <f t="shared" si="1150"/>
        <v>1</v>
      </c>
      <c r="S6166" s="23">
        <f t="shared" si="1151"/>
        <v>0</v>
      </c>
      <c r="T6166" s="23" t="str">
        <f t="shared" si="1152"/>
        <v/>
      </c>
      <c r="U6166" t="str">
        <f t="shared" si="1153"/>
        <v/>
      </c>
      <c r="V6166" s="40"/>
      <c r="X6166" s="43"/>
      <c r="Y6166" s="53"/>
      <c r="Z6166" s="53"/>
      <c r="AA6166"/>
      <c r="AB6166"/>
      <c r="AC6166" s="23"/>
      <c r="AD6166" s="23"/>
      <c r="AF6166" s="22"/>
      <c r="AH6166" s="8"/>
      <c r="AL6166" s="23"/>
      <c r="AM6166" s="371"/>
      <c r="AN6166" s="372"/>
      <c r="AT6166" s="20"/>
      <c r="AU6166" s="29"/>
      <c r="AV6166"/>
      <c r="AW6166"/>
    </row>
    <row r="6167" spans="1:49">
      <c r="A6167" t="str">
        <f t="shared" si="1154"/>
        <v>PA_Alleg_2019p~Rep-supervisor indiana district 3 (vote for 1)</v>
      </c>
      <c r="B6167" s="55" t="s">
        <v>1291</v>
      </c>
      <c r="C6167">
        <v>1979</v>
      </c>
      <c r="D6167" s="55" t="s">
        <v>1109</v>
      </c>
      <c r="E6167" s="55" t="s">
        <v>1280</v>
      </c>
      <c r="F6167" t="s">
        <v>1117</v>
      </c>
      <c r="G6167" s="62">
        <v>44</v>
      </c>
      <c r="H6167" s="25">
        <v>93.62</v>
      </c>
      <c r="I6167">
        <v>1236</v>
      </c>
      <c r="J6167">
        <v>134</v>
      </c>
      <c r="K6167">
        <v>1</v>
      </c>
      <c r="L6167">
        <v>1</v>
      </c>
      <c r="M6167">
        <v>0</v>
      </c>
      <c r="N6167" s="23">
        <v>0</v>
      </c>
      <c r="O6167">
        <f t="shared" si="1147"/>
        <v>1</v>
      </c>
      <c r="P6167" s="57">
        <f t="shared" si="1148"/>
        <v>1</v>
      </c>
      <c r="Q6167" s="267">
        <f t="shared" si="1149"/>
        <v>47</v>
      </c>
      <c r="R6167" s="23">
        <f t="shared" si="1150"/>
        <v>44</v>
      </c>
      <c r="S6167" s="23">
        <f t="shared" si="1151"/>
        <v>0</v>
      </c>
      <c r="T6167" s="23" t="str">
        <f t="shared" si="1152"/>
        <v/>
      </c>
      <c r="U6167" t="str">
        <f t="shared" si="1153"/>
        <v>PA_Alleg_2019p~Rep-supervisor indiana district 3 (vote for 1)</v>
      </c>
      <c r="V6167" s="40"/>
      <c r="X6167" s="43"/>
      <c r="Y6167" s="53"/>
      <c r="Z6167" s="53"/>
      <c r="AA6167"/>
      <c r="AB6167"/>
      <c r="AC6167" s="23"/>
      <c r="AD6167" s="23"/>
      <c r="AF6167" s="22"/>
      <c r="AH6167" s="8"/>
      <c r="AL6167" s="23"/>
      <c r="AM6167" s="371"/>
      <c r="AN6167" s="372"/>
      <c r="AT6167" s="20"/>
      <c r="AU6167" s="29"/>
      <c r="AV6167"/>
      <c r="AW6167"/>
    </row>
    <row r="6168" spans="1:49">
      <c r="A6168" t="str">
        <f t="shared" si="1154"/>
        <v>PA_Alleg_2019p~Rep-supervisor indiana district 3 (vote for 1)</v>
      </c>
      <c r="B6168" s="55" t="s">
        <v>1291</v>
      </c>
      <c r="C6168">
        <v>1980</v>
      </c>
      <c r="D6168" s="55" t="s">
        <v>1109</v>
      </c>
      <c r="E6168" s="55" t="s">
        <v>15</v>
      </c>
      <c r="F6168" t="s">
        <v>1117</v>
      </c>
      <c r="G6168" s="62">
        <v>3</v>
      </c>
      <c r="H6168" s="25">
        <v>6.38</v>
      </c>
      <c r="I6168">
        <v>1236</v>
      </c>
      <c r="J6168">
        <v>134</v>
      </c>
      <c r="K6168">
        <v>1</v>
      </c>
      <c r="L6168">
        <v>1</v>
      </c>
      <c r="M6168">
        <v>0</v>
      </c>
      <c r="N6168" s="23">
        <v>0</v>
      </c>
      <c r="O6168">
        <f t="shared" si="1147"/>
        <v>-1</v>
      </c>
      <c r="P6168" s="57">
        <f t="shared" si="1148"/>
        <v>1</v>
      </c>
      <c r="Q6168" s="267">
        <f t="shared" si="1149"/>
        <v>3</v>
      </c>
      <c r="R6168" s="23">
        <f t="shared" si="1150"/>
        <v>1</v>
      </c>
      <c r="S6168" s="23">
        <f t="shared" si="1151"/>
        <v>0</v>
      </c>
      <c r="T6168" s="23" t="str">
        <f t="shared" si="1152"/>
        <v/>
      </c>
      <c r="U6168" t="str">
        <f t="shared" si="1153"/>
        <v/>
      </c>
      <c r="V6168" s="40"/>
      <c r="X6168" s="43"/>
      <c r="Y6168" s="53"/>
      <c r="Z6168" s="53"/>
      <c r="AA6168"/>
      <c r="AB6168"/>
      <c r="AC6168" s="23"/>
      <c r="AD6168" s="23"/>
      <c r="AF6168" s="22"/>
      <c r="AH6168" s="8"/>
      <c r="AL6168" s="23"/>
      <c r="AM6168" s="371"/>
      <c r="AN6168" s="372"/>
      <c r="AT6168" s="20"/>
      <c r="AU6168" s="29"/>
      <c r="AV6168"/>
      <c r="AW6168"/>
    </row>
    <row r="6169" spans="1:49">
      <c r="A6169" t="str">
        <f t="shared" si="1154"/>
        <v>PA_Alleg_2019p~Rep-supervisor indiana district 4 (vote for 1)</v>
      </c>
      <c r="B6169" s="55" t="s">
        <v>1291</v>
      </c>
      <c r="C6169">
        <v>1981</v>
      </c>
      <c r="D6169" s="55" t="s">
        <v>1110</v>
      </c>
      <c r="E6169" s="55" t="s">
        <v>1281</v>
      </c>
      <c r="F6169" t="s">
        <v>1117</v>
      </c>
      <c r="G6169" s="62">
        <v>60</v>
      </c>
      <c r="H6169" s="25">
        <v>90.91</v>
      </c>
      <c r="I6169">
        <v>1139</v>
      </c>
      <c r="J6169">
        <v>228</v>
      </c>
      <c r="K6169">
        <v>1</v>
      </c>
      <c r="L6169">
        <v>1</v>
      </c>
      <c r="M6169">
        <v>0</v>
      </c>
      <c r="N6169" s="23">
        <v>0</v>
      </c>
      <c r="O6169">
        <f t="shared" si="1147"/>
        <v>1</v>
      </c>
      <c r="P6169" s="57">
        <f t="shared" si="1148"/>
        <v>1</v>
      </c>
      <c r="Q6169" s="267">
        <f t="shared" si="1149"/>
        <v>66</v>
      </c>
      <c r="R6169" s="23">
        <f t="shared" si="1150"/>
        <v>60</v>
      </c>
      <c r="S6169" s="23">
        <f t="shared" si="1151"/>
        <v>0</v>
      </c>
      <c r="T6169" s="23" t="str">
        <f t="shared" si="1152"/>
        <v/>
      </c>
      <c r="U6169" t="str">
        <f t="shared" si="1153"/>
        <v>PA_Alleg_2019p~Rep-supervisor indiana district 4 (vote for 1)</v>
      </c>
      <c r="V6169" s="40"/>
      <c r="X6169" s="43"/>
      <c r="Y6169" s="53"/>
      <c r="Z6169" s="53"/>
      <c r="AA6169"/>
      <c r="AB6169"/>
      <c r="AC6169" s="23"/>
      <c r="AD6169" s="23"/>
      <c r="AF6169" s="22"/>
      <c r="AH6169" s="8"/>
      <c r="AL6169" s="23"/>
      <c r="AM6169" s="371"/>
      <c r="AN6169" s="372"/>
      <c r="AT6169" s="20"/>
      <c r="AU6169" s="29"/>
      <c r="AV6169"/>
      <c r="AW6169"/>
    </row>
    <row r="6170" spans="1:49">
      <c r="A6170" t="str">
        <f t="shared" si="1154"/>
        <v>PA_Alleg_2019p~Rep-supervisor indiana district 4 (vote for 1)</v>
      </c>
      <c r="B6170" s="55" t="s">
        <v>1291</v>
      </c>
      <c r="C6170">
        <v>1982</v>
      </c>
      <c r="D6170" s="55" t="s">
        <v>1110</v>
      </c>
      <c r="E6170" s="55" t="s">
        <v>15</v>
      </c>
      <c r="F6170" t="s">
        <v>1117</v>
      </c>
      <c r="G6170" s="62">
        <v>6</v>
      </c>
      <c r="H6170" s="25">
        <v>9.09</v>
      </c>
      <c r="I6170">
        <v>1139</v>
      </c>
      <c r="J6170">
        <v>228</v>
      </c>
      <c r="K6170">
        <v>1</v>
      </c>
      <c r="L6170">
        <v>1</v>
      </c>
      <c r="M6170">
        <v>0</v>
      </c>
      <c r="N6170" s="23">
        <v>0</v>
      </c>
      <c r="O6170">
        <f t="shared" si="1147"/>
        <v>-1</v>
      </c>
      <c r="P6170" s="57">
        <f t="shared" si="1148"/>
        <v>1</v>
      </c>
      <c r="Q6170" s="267">
        <f t="shared" si="1149"/>
        <v>6</v>
      </c>
      <c r="R6170" s="23">
        <f t="shared" si="1150"/>
        <v>1</v>
      </c>
      <c r="S6170" s="23">
        <f t="shared" si="1151"/>
        <v>0</v>
      </c>
      <c r="T6170" s="23" t="str">
        <f t="shared" si="1152"/>
        <v/>
      </c>
      <c r="U6170" t="str">
        <f t="shared" si="1153"/>
        <v/>
      </c>
      <c r="V6170" s="40"/>
      <c r="X6170" s="43"/>
      <c r="Y6170" s="53"/>
      <c r="Z6170" s="53"/>
      <c r="AA6170"/>
      <c r="AB6170"/>
      <c r="AC6170" s="23"/>
      <c r="AD6170" s="23"/>
      <c r="AF6170" s="22"/>
      <c r="AH6170" s="8"/>
      <c r="AL6170" s="23"/>
      <c r="AM6170" s="371"/>
      <c r="AN6170" s="372"/>
      <c r="AT6170" s="20"/>
      <c r="AU6170" s="29"/>
      <c r="AV6170"/>
      <c r="AW6170"/>
    </row>
    <row r="6171" spans="1:49">
      <c r="A6171" t="str">
        <f t="shared" si="1154"/>
        <v>PA_Alleg_2019p~Rep-supervisor kilbuck (vote for 1)</v>
      </c>
      <c r="B6171" s="55" t="s">
        <v>1291</v>
      </c>
      <c r="C6171">
        <v>1959</v>
      </c>
      <c r="D6171" s="55" t="s">
        <v>1098</v>
      </c>
      <c r="E6171" s="55" t="s">
        <v>15</v>
      </c>
      <c r="F6171" t="s">
        <v>1117</v>
      </c>
      <c r="G6171" s="62">
        <v>23</v>
      </c>
      <c r="H6171" s="25">
        <v>100</v>
      </c>
      <c r="I6171">
        <v>608</v>
      </c>
      <c r="J6171">
        <v>116</v>
      </c>
      <c r="K6171">
        <v>1</v>
      </c>
      <c r="L6171">
        <v>1</v>
      </c>
      <c r="M6171">
        <v>0</v>
      </c>
      <c r="N6171" s="23">
        <v>0</v>
      </c>
      <c r="O6171">
        <f t="shared" si="1147"/>
        <v>0</v>
      </c>
      <c r="P6171" s="57">
        <f t="shared" si="1148"/>
        <v>1</v>
      </c>
      <c r="Q6171" s="267">
        <f t="shared" si="1149"/>
        <v>23</v>
      </c>
      <c r="R6171" s="23">
        <f t="shared" si="1150"/>
        <v>1</v>
      </c>
      <c r="S6171" s="23">
        <f t="shared" si="1151"/>
        <v>0</v>
      </c>
      <c r="T6171" s="23" t="str">
        <f t="shared" si="1152"/>
        <v/>
      </c>
      <c r="U6171" t="str">
        <f t="shared" si="1153"/>
        <v>PA_Alleg_2019p~Rep-supervisor kilbuck (vote for 1)</v>
      </c>
      <c r="V6171" s="40"/>
      <c r="X6171" s="43"/>
      <c r="Y6171" s="53"/>
      <c r="Z6171" s="53"/>
      <c r="AA6171"/>
      <c r="AB6171"/>
      <c r="AC6171" s="23"/>
      <c r="AD6171" s="23"/>
      <c r="AF6171" s="22"/>
      <c r="AH6171" s="8"/>
      <c r="AL6171" s="23"/>
      <c r="AM6171" s="371"/>
      <c r="AN6171" s="372"/>
      <c r="AT6171" s="20"/>
      <c r="AU6171" s="29"/>
      <c r="AV6171"/>
      <c r="AW6171"/>
    </row>
    <row r="6172" spans="1:49">
      <c r="A6172" t="str">
        <f t="shared" si="1154"/>
        <v>PA_Alleg_2019p~Rep-supervisor marshall (vote for 2)</v>
      </c>
      <c r="B6172" s="55" t="s">
        <v>1291</v>
      </c>
      <c r="C6172">
        <v>1947</v>
      </c>
      <c r="D6172" s="55" t="s">
        <v>1083</v>
      </c>
      <c r="E6172" s="55" t="s">
        <v>1263</v>
      </c>
      <c r="F6172" t="s">
        <v>1117</v>
      </c>
      <c r="G6172" s="62">
        <v>245</v>
      </c>
      <c r="H6172" s="25">
        <v>50.52</v>
      </c>
      <c r="I6172">
        <v>6810</v>
      </c>
      <c r="J6172">
        <v>683</v>
      </c>
      <c r="K6172">
        <v>6</v>
      </c>
      <c r="L6172">
        <v>6</v>
      </c>
      <c r="M6172">
        <v>0</v>
      </c>
      <c r="N6172" s="23">
        <v>0</v>
      </c>
      <c r="O6172">
        <f t="shared" si="1147"/>
        <v>1</v>
      </c>
      <c r="P6172" s="57">
        <f t="shared" si="1148"/>
        <v>2</v>
      </c>
      <c r="Q6172" s="267">
        <f t="shared" si="1149"/>
        <v>245</v>
      </c>
      <c r="R6172" s="23">
        <f t="shared" si="1150"/>
        <v>233</v>
      </c>
      <c r="S6172" s="23">
        <f t="shared" si="1151"/>
        <v>0</v>
      </c>
      <c r="T6172" s="23" t="str">
        <f t="shared" si="1152"/>
        <v/>
      </c>
      <c r="U6172" t="str">
        <f t="shared" si="1153"/>
        <v>PA_Alleg_2019p~Rep-supervisor marshall (vote for 2)</v>
      </c>
      <c r="V6172" s="40"/>
      <c r="X6172" s="43"/>
      <c r="Y6172" s="53"/>
      <c r="Z6172" s="53"/>
      <c r="AA6172"/>
      <c r="AB6172"/>
      <c r="AC6172" s="23"/>
      <c r="AD6172" s="23"/>
      <c r="AF6172" s="22"/>
      <c r="AH6172" s="8"/>
      <c r="AL6172" s="23"/>
      <c r="AM6172" s="371"/>
      <c r="AN6172" s="372"/>
      <c r="AT6172" s="20"/>
      <c r="AU6172" s="29"/>
      <c r="AV6172"/>
      <c r="AW6172"/>
    </row>
    <row r="6173" spans="1:49">
      <c r="A6173" t="str">
        <f t="shared" si="1154"/>
        <v>PA_Alleg_2019p~Rep-supervisor marshall (vote for 2)</v>
      </c>
      <c r="B6173" s="55" t="s">
        <v>1291</v>
      </c>
      <c r="C6173">
        <v>1948</v>
      </c>
      <c r="D6173" s="55" t="s">
        <v>1083</v>
      </c>
      <c r="E6173" s="55" t="s">
        <v>1264</v>
      </c>
      <c r="F6173" t="s">
        <v>1117</v>
      </c>
      <c r="G6173" s="62">
        <v>233</v>
      </c>
      <c r="H6173" s="25">
        <v>48.04</v>
      </c>
      <c r="I6173">
        <v>6810</v>
      </c>
      <c r="J6173">
        <v>683</v>
      </c>
      <c r="K6173">
        <v>6</v>
      </c>
      <c r="L6173">
        <v>6</v>
      </c>
      <c r="M6173">
        <v>0</v>
      </c>
      <c r="N6173" s="23">
        <v>0</v>
      </c>
      <c r="O6173">
        <f t="shared" si="1147"/>
        <v>2</v>
      </c>
      <c r="P6173" s="57">
        <f t="shared" si="1148"/>
        <v>2</v>
      </c>
      <c r="Q6173" s="267">
        <f t="shared" si="1149"/>
        <v>240</v>
      </c>
      <c r="R6173" s="23">
        <f t="shared" si="1150"/>
        <v>233</v>
      </c>
      <c r="S6173" s="23">
        <f t="shared" si="1151"/>
        <v>0</v>
      </c>
      <c r="T6173" s="23" t="str">
        <f t="shared" si="1152"/>
        <v/>
      </c>
      <c r="U6173" t="str">
        <f t="shared" si="1153"/>
        <v/>
      </c>
      <c r="V6173" s="40"/>
      <c r="X6173" s="43"/>
      <c r="Y6173" s="53"/>
      <c r="Z6173" s="53"/>
      <c r="AA6173"/>
      <c r="AB6173"/>
      <c r="AC6173" s="23"/>
      <c r="AD6173" s="23"/>
      <c r="AF6173" s="22"/>
      <c r="AH6173" s="8"/>
      <c r="AL6173" s="23"/>
      <c r="AM6173" s="371"/>
      <c r="AN6173" s="372"/>
      <c r="AT6173" s="20"/>
      <c r="AU6173" s="29"/>
      <c r="AV6173"/>
      <c r="AW6173"/>
    </row>
    <row r="6174" spans="1:49">
      <c r="A6174" t="str">
        <f t="shared" si="1154"/>
        <v>PA_Alleg_2019p~Rep-supervisor marshall (vote for 2)</v>
      </c>
      <c r="B6174" s="55" t="s">
        <v>1291</v>
      </c>
      <c r="C6174">
        <v>1949</v>
      </c>
      <c r="D6174" s="55" t="s">
        <v>1083</v>
      </c>
      <c r="E6174" s="55" t="s">
        <v>15</v>
      </c>
      <c r="F6174" t="s">
        <v>1117</v>
      </c>
      <c r="G6174" s="62">
        <v>7</v>
      </c>
      <c r="H6174" s="25">
        <v>1.44</v>
      </c>
      <c r="I6174">
        <v>6810</v>
      </c>
      <c r="J6174">
        <v>683</v>
      </c>
      <c r="K6174">
        <v>6</v>
      </c>
      <c r="L6174">
        <v>6</v>
      </c>
      <c r="M6174">
        <v>0</v>
      </c>
      <c r="N6174" s="23">
        <v>0</v>
      </c>
      <c r="O6174">
        <f t="shared" si="1147"/>
        <v>-2</v>
      </c>
      <c r="P6174" s="57">
        <f t="shared" si="1148"/>
        <v>2</v>
      </c>
      <c r="Q6174" s="267">
        <f t="shared" si="1149"/>
        <v>7</v>
      </c>
      <c r="R6174" s="23">
        <f t="shared" si="1150"/>
        <v>1</v>
      </c>
      <c r="S6174" s="23">
        <f t="shared" si="1151"/>
        <v>0</v>
      </c>
      <c r="T6174" s="23" t="str">
        <f t="shared" si="1152"/>
        <v/>
      </c>
      <c r="U6174" t="str">
        <f t="shared" si="1153"/>
        <v/>
      </c>
      <c r="V6174" s="40"/>
      <c r="X6174" s="43"/>
      <c r="Y6174" s="53"/>
      <c r="Z6174" s="53"/>
      <c r="AA6174"/>
      <c r="AB6174"/>
      <c r="AC6174" s="23"/>
      <c r="AD6174" s="23"/>
      <c r="AF6174" s="22"/>
      <c r="AH6174" s="8"/>
      <c r="AL6174" s="23"/>
      <c r="AM6174" s="371"/>
      <c r="AN6174" s="372"/>
      <c r="AT6174" s="20"/>
      <c r="AU6174" s="29"/>
      <c r="AV6174"/>
      <c r="AW6174"/>
    </row>
    <row r="6175" spans="1:49">
      <c r="A6175" t="str">
        <f t="shared" si="1154"/>
        <v>PA_Alleg_2019p~Rep-supervisor moon (vote for 2)</v>
      </c>
      <c r="B6175" s="55" t="s">
        <v>1291</v>
      </c>
      <c r="C6175">
        <v>1951</v>
      </c>
      <c r="D6175" s="55" t="s">
        <v>1084</v>
      </c>
      <c r="E6175" s="55" t="s">
        <v>1266</v>
      </c>
      <c r="F6175" t="s">
        <v>1117</v>
      </c>
      <c r="G6175" s="62">
        <v>819</v>
      </c>
      <c r="H6175" s="25">
        <v>55.87</v>
      </c>
      <c r="I6175">
        <v>19077</v>
      </c>
      <c r="J6175">
        <v>2966</v>
      </c>
      <c r="K6175">
        <v>13</v>
      </c>
      <c r="L6175">
        <v>13</v>
      </c>
      <c r="M6175">
        <v>0</v>
      </c>
      <c r="N6175" s="23">
        <v>0</v>
      </c>
      <c r="O6175">
        <f t="shared" si="1147"/>
        <v>1</v>
      </c>
      <c r="P6175" s="57">
        <f t="shared" si="1148"/>
        <v>2</v>
      </c>
      <c r="Q6175" s="267">
        <f t="shared" si="1149"/>
        <v>819</v>
      </c>
      <c r="R6175" s="23">
        <f t="shared" si="1150"/>
        <v>633</v>
      </c>
      <c r="S6175" s="23">
        <f t="shared" si="1151"/>
        <v>0</v>
      </c>
      <c r="T6175" s="23" t="str">
        <f t="shared" si="1152"/>
        <v/>
      </c>
      <c r="U6175" t="str">
        <f t="shared" si="1153"/>
        <v>PA_Alleg_2019p~Rep-supervisor moon (vote for 2)</v>
      </c>
      <c r="V6175" s="40"/>
      <c r="X6175" s="43"/>
      <c r="Y6175" s="53"/>
      <c r="Z6175" s="53"/>
      <c r="AA6175"/>
      <c r="AB6175"/>
      <c r="AC6175" s="23"/>
      <c r="AD6175" s="23"/>
      <c r="AF6175" s="22"/>
      <c r="AH6175" s="8"/>
      <c r="AL6175" s="23"/>
      <c r="AM6175" s="371"/>
      <c r="AN6175" s="372"/>
      <c r="AT6175" s="20"/>
      <c r="AU6175" s="29"/>
      <c r="AV6175"/>
      <c r="AW6175"/>
    </row>
    <row r="6176" spans="1:49">
      <c r="A6176" t="str">
        <f t="shared" si="1154"/>
        <v>PA_Alleg_2019p~Rep-supervisor moon (vote for 2)</v>
      </c>
      <c r="B6176" s="55" t="s">
        <v>1291</v>
      </c>
      <c r="C6176">
        <v>1950</v>
      </c>
      <c r="D6176" s="55" t="s">
        <v>1084</v>
      </c>
      <c r="E6176" s="55" t="s">
        <v>1265</v>
      </c>
      <c r="F6176" t="s">
        <v>1117</v>
      </c>
      <c r="G6176" s="62">
        <v>633</v>
      </c>
      <c r="H6176" s="25">
        <v>43.18</v>
      </c>
      <c r="I6176">
        <v>19077</v>
      </c>
      <c r="J6176">
        <v>2966</v>
      </c>
      <c r="K6176">
        <v>13</v>
      </c>
      <c r="L6176">
        <v>13</v>
      </c>
      <c r="M6176">
        <v>0</v>
      </c>
      <c r="N6176" s="23">
        <v>0</v>
      </c>
      <c r="O6176">
        <f t="shared" si="1147"/>
        <v>2</v>
      </c>
      <c r="P6176" s="57">
        <f t="shared" si="1148"/>
        <v>2</v>
      </c>
      <c r="Q6176" s="267">
        <f t="shared" si="1149"/>
        <v>647</v>
      </c>
      <c r="R6176" s="23">
        <f t="shared" si="1150"/>
        <v>633</v>
      </c>
      <c r="S6176" s="23">
        <f t="shared" si="1151"/>
        <v>0</v>
      </c>
      <c r="T6176" s="23" t="str">
        <f t="shared" si="1152"/>
        <v/>
      </c>
      <c r="U6176" t="str">
        <f t="shared" si="1153"/>
        <v/>
      </c>
      <c r="V6176" s="40"/>
      <c r="X6176" s="43"/>
      <c r="Y6176" s="53"/>
      <c r="Z6176" s="53"/>
      <c r="AA6176"/>
      <c r="AB6176"/>
      <c r="AC6176" s="23"/>
      <c r="AD6176" s="23"/>
      <c r="AF6176" s="22"/>
      <c r="AH6176" s="8"/>
      <c r="AL6176" s="23"/>
      <c r="AM6176" s="371"/>
      <c r="AN6176" s="372"/>
      <c r="AT6176" s="20"/>
      <c r="AU6176" s="29"/>
      <c r="AV6176"/>
      <c r="AW6176"/>
    </row>
    <row r="6177" spans="1:49">
      <c r="A6177" t="str">
        <f t="shared" si="1154"/>
        <v>PA_Alleg_2019p~Rep-supervisor moon (vote for 2)</v>
      </c>
      <c r="B6177" s="55" t="s">
        <v>1291</v>
      </c>
      <c r="C6177">
        <v>1952</v>
      </c>
      <c r="D6177" s="55" t="s">
        <v>1084</v>
      </c>
      <c r="E6177" s="55" t="s">
        <v>15</v>
      </c>
      <c r="F6177" t="s">
        <v>1117</v>
      </c>
      <c r="G6177" s="62">
        <v>14</v>
      </c>
      <c r="H6177" s="25">
        <v>0.95</v>
      </c>
      <c r="I6177">
        <v>19077</v>
      </c>
      <c r="J6177">
        <v>2966</v>
      </c>
      <c r="K6177">
        <v>13</v>
      </c>
      <c r="L6177">
        <v>13</v>
      </c>
      <c r="M6177">
        <v>0</v>
      </c>
      <c r="N6177" s="23">
        <v>0</v>
      </c>
      <c r="O6177">
        <f t="shared" si="1147"/>
        <v>-2</v>
      </c>
      <c r="P6177" s="57">
        <f t="shared" si="1148"/>
        <v>2</v>
      </c>
      <c r="Q6177" s="267">
        <f t="shared" si="1149"/>
        <v>14</v>
      </c>
      <c r="R6177" s="23">
        <f t="shared" si="1150"/>
        <v>1</v>
      </c>
      <c r="S6177" s="23">
        <f t="shared" si="1151"/>
        <v>0</v>
      </c>
      <c r="T6177" s="23" t="str">
        <f t="shared" si="1152"/>
        <v/>
      </c>
      <c r="U6177" t="str">
        <f t="shared" si="1153"/>
        <v/>
      </c>
      <c r="V6177" s="40"/>
      <c r="X6177" s="43"/>
      <c r="Y6177" s="53"/>
      <c r="Z6177" s="53"/>
      <c r="AA6177"/>
      <c r="AB6177"/>
      <c r="AC6177" s="23"/>
      <c r="AD6177" s="23"/>
      <c r="AF6177" s="22"/>
      <c r="AH6177" s="8"/>
      <c r="AL6177" s="23"/>
      <c r="AM6177" s="371"/>
      <c r="AN6177" s="372"/>
      <c r="AT6177" s="20"/>
      <c r="AU6177" s="29"/>
      <c r="AV6177"/>
      <c r="AW6177"/>
    </row>
    <row r="6178" spans="1:49">
      <c r="A6178" t="str">
        <f t="shared" si="1154"/>
        <v>PA_Alleg_2019p~Rep-supervisor north fayette (vote for 1)</v>
      </c>
      <c r="B6178" s="55" t="s">
        <v>1291</v>
      </c>
      <c r="C6178">
        <v>1960</v>
      </c>
      <c r="D6178" s="55" t="s">
        <v>1099</v>
      </c>
      <c r="E6178" s="55" t="s">
        <v>1268</v>
      </c>
      <c r="F6178" t="s">
        <v>1117</v>
      </c>
      <c r="G6178" s="62">
        <v>377</v>
      </c>
      <c r="H6178" s="25">
        <v>99.74</v>
      </c>
      <c r="I6178">
        <v>10857</v>
      </c>
      <c r="J6178">
        <v>1052</v>
      </c>
      <c r="K6178">
        <v>5</v>
      </c>
      <c r="L6178">
        <v>5</v>
      </c>
      <c r="M6178">
        <v>0</v>
      </c>
      <c r="N6178" s="23">
        <v>0</v>
      </c>
      <c r="O6178">
        <f t="shared" si="1147"/>
        <v>1</v>
      </c>
      <c r="P6178" s="57">
        <f t="shared" si="1148"/>
        <v>1</v>
      </c>
      <c r="Q6178" s="267">
        <f t="shared" si="1149"/>
        <v>378</v>
      </c>
      <c r="R6178" s="23">
        <f t="shared" si="1150"/>
        <v>377</v>
      </c>
      <c r="S6178" s="23">
        <f t="shared" si="1151"/>
        <v>0</v>
      </c>
      <c r="T6178" s="23" t="str">
        <f t="shared" si="1152"/>
        <v/>
      </c>
      <c r="U6178" t="str">
        <f t="shared" si="1153"/>
        <v>PA_Alleg_2019p~Rep-supervisor north fayette (vote for 1)</v>
      </c>
      <c r="V6178" s="40"/>
      <c r="X6178" s="43"/>
      <c r="Y6178" s="53"/>
      <c r="Z6178" s="53"/>
      <c r="AA6178"/>
      <c r="AB6178"/>
      <c r="AC6178" s="23"/>
      <c r="AD6178" s="23"/>
      <c r="AF6178" s="22"/>
      <c r="AH6178" s="8"/>
      <c r="AL6178" s="23"/>
      <c r="AM6178" s="371"/>
      <c r="AN6178" s="372"/>
      <c r="AT6178" s="20"/>
      <c r="AU6178" s="29"/>
      <c r="AV6178"/>
      <c r="AW6178"/>
    </row>
    <row r="6179" spans="1:49">
      <c r="A6179" t="str">
        <f t="shared" si="1154"/>
        <v>PA_Alleg_2019p~Rep-supervisor north fayette (vote for 1)</v>
      </c>
      <c r="B6179" s="55" t="s">
        <v>1291</v>
      </c>
      <c r="C6179">
        <v>1961</v>
      </c>
      <c r="D6179" s="55" t="s">
        <v>1099</v>
      </c>
      <c r="E6179" s="55" t="s">
        <v>15</v>
      </c>
      <c r="F6179" t="s">
        <v>1117</v>
      </c>
      <c r="G6179" s="62">
        <v>1</v>
      </c>
      <c r="H6179" s="25">
        <v>0.26</v>
      </c>
      <c r="I6179">
        <v>10857</v>
      </c>
      <c r="J6179">
        <v>1052</v>
      </c>
      <c r="K6179">
        <v>5</v>
      </c>
      <c r="L6179">
        <v>5</v>
      </c>
      <c r="M6179">
        <v>0</v>
      </c>
      <c r="N6179" s="23">
        <v>0</v>
      </c>
      <c r="O6179">
        <f t="shared" si="1147"/>
        <v>-1</v>
      </c>
      <c r="P6179" s="57">
        <f t="shared" si="1148"/>
        <v>1</v>
      </c>
      <c r="Q6179" s="267">
        <f t="shared" si="1149"/>
        <v>1</v>
      </c>
      <c r="R6179" s="23">
        <f t="shared" si="1150"/>
        <v>1</v>
      </c>
      <c r="S6179" s="23">
        <f t="shared" si="1151"/>
        <v>0</v>
      </c>
      <c r="T6179" s="23" t="str">
        <f t="shared" si="1152"/>
        <v/>
      </c>
      <c r="U6179" t="str">
        <f t="shared" si="1153"/>
        <v/>
      </c>
      <c r="V6179" s="40"/>
      <c r="X6179" s="43"/>
      <c r="Y6179" s="53"/>
      <c r="Z6179" s="53"/>
      <c r="AA6179"/>
      <c r="AB6179"/>
      <c r="AC6179" s="23"/>
      <c r="AD6179" s="23"/>
      <c r="AF6179" s="22"/>
      <c r="AH6179" s="8"/>
      <c r="AL6179" s="23"/>
      <c r="AM6179" s="371"/>
      <c r="AN6179" s="372"/>
      <c r="AT6179" s="20"/>
      <c r="AU6179" s="29"/>
      <c r="AV6179"/>
      <c r="AW6179"/>
    </row>
    <row r="6180" spans="1:49">
      <c r="A6180" t="str">
        <f t="shared" si="1154"/>
        <v>PA_Alleg_2019p~Rep-supervisor ohio (vote for 1)</v>
      </c>
      <c r="B6180" s="55" t="s">
        <v>1291</v>
      </c>
      <c r="C6180">
        <v>1962</v>
      </c>
      <c r="D6180" s="55" t="s">
        <v>1100</v>
      </c>
      <c r="E6180" s="55" t="s">
        <v>1269</v>
      </c>
      <c r="F6180" t="s">
        <v>1117</v>
      </c>
      <c r="G6180" s="62">
        <v>175</v>
      </c>
      <c r="H6180" s="25">
        <v>99.43</v>
      </c>
      <c r="I6180">
        <v>5149</v>
      </c>
      <c r="J6180">
        <v>538</v>
      </c>
      <c r="K6180">
        <v>3</v>
      </c>
      <c r="L6180">
        <v>3</v>
      </c>
      <c r="M6180">
        <v>0</v>
      </c>
      <c r="N6180" s="23">
        <v>0</v>
      </c>
      <c r="O6180">
        <f t="shared" si="1147"/>
        <v>1</v>
      </c>
      <c r="P6180" s="57">
        <f t="shared" si="1148"/>
        <v>1</v>
      </c>
      <c r="Q6180" s="267">
        <f t="shared" si="1149"/>
        <v>176</v>
      </c>
      <c r="R6180" s="23">
        <f t="shared" si="1150"/>
        <v>175</v>
      </c>
      <c r="S6180" s="23">
        <f t="shared" si="1151"/>
        <v>0</v>
      </c>
      <c r="T6180" s="23" t="str">
        <f t="shared" si="1152"/>
        <v/>
      </c>
      <c r="U6180" t="str">
        <f t="shared" si="1153"/>
        <v>PA_Alleg_2019p~Rep-supervisor ohio (vote for 1)</v>
      </c>
      <c r="V6180" s="40"/>
      <c r="X6180" s="43"/>
      <c r="Y6180" s="53"/>
      <c r="Z6180" s="53"/>
      <c r="AA6180"/>
      <c r="AB6180"/>
      <c r="AC6180" s="23"/>
      <c r="AD6180" s="23"/>
      <c r="AF6180" s="22"/>
      <c r="AH6180" s="8"/>
      <c r="AL6180" s="23"/>
      <c r="AM6180" s="371"/>
      <c r="AN6180" s="372"/>
      <c r="AT6180" s="20"/>
      <c r="AU6180" s="29"/>
      <c r="AV6180"/>
      <c r="AW6180"/>
    </row>
    <row r="6181" spans="1:49">
      <c r="A6181" t="str">
        <f t="shared" si="1154"/>
        <v>PA_Alleg_2019p~Rep-supervisor ohio (vote for 1)</v>
      </c>
      <c r="B6181" s="55" t="s">
        <v>1291</v>
      </c>
      <c r="C6181">
        <v>1963</v>
      </c>
      <c r="D6181" s="55" t="s">
        <v>1100</v>
      </c>
      <c r="E6181" s="55" t="s">
        <v>15</v>
      </c>
      <c r="F6181" t="s">
        <v>1117</v>
      </c>
      <c r="G6181" s="62">
        <v>1</v>
      </c>
      <c r="H6181" s="25">
        <v>0.56999999999999995</v>
      </c>
      <c r="I6181">
        <v>5149</v>
      </c>
      <c r="J6181">
        <v>538</v>
      </c>
      <c r="K6181">
        <v>3</v>
      </c>
      <c r="L6181">
        <v>3</v>
      </c>
      <c r="M6181">
        <v>0</v>
      </c>
      <c r="N6181" s="23">
        <v>0</v>
      </c>
      <c r="O6181">
        <f t="shared" si="1147"/>
        <v>-1</v>
      </c>
      <c r="P6181" s="57">
        <f t="shared" si="1148"/>
        <v>1</v>
      </c>
      <c r="Q6181" s="267">
        <f t="shared" si="1149"/>
        <v>1</v>
      </c>
      <c r="R6181" s="23">
        <f t="shared" si="1150"/>
        <v>1</v>
      </c>
      <c r="S6181" s="23">
        <f t="shared" si="1151"/>
        <v>0</v>
      </c>
      <c r="T6181" s="23" t="str">
        <f t="shared" si="1152"/>
        <v/>
      </c>
      <c r="U6181" t="str">
        <f t="shared" si="1153"/>
        <v/>
      </c>
      <c r="V6181" s="40"/>
      <c r="X6181" s="43"/>
      <c r="Y6181" s="53"/>
      <c r="Z6181" s="53"/>
      <c r="AA6181"/>
      <c r="AB6181"/>
      <c r="AC6181" s="23"/>
      <c r="AD6181" s="23"/>
      <c r="AF6181" s="22"/>
      <c r="AH6181" s="8"/>
      <c r="AL6181" s="23"/>
      <c r="AM6181" s="371"/>
      <c r="AN6181" s="372"/>
      <c r="AT6181" s="20"/>
      <c r="AU6181" s="29"/>
      <c r="AV6181"/>
      <c r="AW6181"/>
    </row>
    <row r="6182" spans="1:49">
      <c r="A6182" t="str">
        <f t="shared" si="1154"/>
        <v>PA_Alleg_2019p~Rep-supervisor pine (vote for 3)</v>
      </c>
      <c r="B6182" s="55" t="s">
        <v>1291</v>
      </c>
      <c r="C6182">
        <v>1972</v>
      </c>
      <c r="D6182" s="55" t="s">
        <v>1103</v>
      </c>
      <c r="E6182" s="55" t="s">
        <v>1277</v>
      </c>
      <c r="F6182" t="s">
        <v>1117</v>
      </c>
      <c r="G6182" s="62">
        <v>422</v>
      </c>
      <c r="H6182" s="25">
        <v>18.07</v>
      </c>
      <c r="I6182">
        <v>10118</v>
      </c>
      <c r="J6182">
        <v>1326</v>
      </c>
      <c r="K6182">
        <v>8</v>
      </c>
      <c r="L6182">
        <v>8</v>
      </c>
      <c r="M6182">
        <v>0</v>
      </c>
      <c r="N6182" s="23">
        <v>0</v>
      </c>
      <c r="O6182">
        <f t="shared" si="1147"/>
        <v>1</v>
      </c>
      <c r="P6182" s="57">
        <f t="shared" si="1148"/>
        <v>3</v>
      </c>
      <c r="Q6182" s="267">
        <f t="shared" si="1149"/>
        <v>778.33333333333337</v>
      </c>
      <c r="R6182" s="23">
        <f t="shared" si="1150"/>
        <v>334</v>
      </c>
      <c r="S6182" s="23">
        <f t="shared" si="1151"/>
        <v>334</v>
      </c>
      <c r="T6182" s="23">
        <f t="shared" si="1152"/>
        <v>0</v>
      </c>
      <c r="U6182" t="str">
        <f t="shared" si="1153"/>
        <v>PA_Alleg_2019p~Rep-supervisor pine (vote for 3)</v>
      </c>
      <c r="V6182" s="40"/>
      <c r="X6182" s="43"/>
      <c r="Y6182" s="53"/>
      <c r="Z6182" s="53"/>
      <c r="AA6182"/>
      <c r="AB6182"/>
      <c r="AC6182" s="23"/>
      <c r="AD6182" s="23"/>
      <c r="AF6182" s="22"/>
      <c r="AH6182" s="8"/>
      <c r="AL6182" s="23"/>
      <c r="AM6182" s="371"/>
      <c r="AN6182" s="372"/>
      <c r="AT6182" s="20"/>
      <c r="AU6182" s="29"/>
      <c r="AV6182"/>
      <c r="AW6182"/>
    </row>
    <row r="6183" spans="1:49">
      <c r="A6183" t="str">
        <f t="shared" si="1154"/>
        <v>PA_Alleg_2019p~Rep-supervisor pine (vote for 3)</v>
      </c>
      <c r="B6183" s="55" t="s">
        <v>1291</v>
      </c>
      <c r="C6183">
        <v>1966</v>
      </c>
      <c r="D6183" s="55" t="s">
        <v>1103</v>
      </c>
      <c r="E6183" s="55" t="s">
        <v>1271</v>
      </c>
      <c r="F6183" t="s">
        <v>1117</v>
      </c>
      <c r="G6183" s="62">
        <v>344</v>
      </c>
      <c r="H6183" s="25">
        <v>14.73</v>
      </c>
      <c r="I6183">
        <v>10118</v>
      </c>
      <c r="J6183">
        <v>1326</v>
      </c>
      <c r="K6183">
        <v>8</v>
      </c>
      <c r="L6183">
        <v>8</v>
      </c>
      <c r="M6183">
        <v>0</v>
      </c>
      <c r="N6183" s="23">
        <v>0</v>
      </c>
      <c r="O6183">
        <f t="shared" si="1147"/>
        <v>2</v>
      </c>
      <c r="P6183" s="57">
        <f t="shared" si="1148"/>
        <v>3</v>
      </c>
      <c r="Q6183" s="267">
        <f t="shared" si="1149"/>
        <v>1913</v>
      </c>
      <c r="R6183" s="23">
        <f t="shared" si="1150"/>
        <v>334</v>
      </c>
      <c r="S6183" s="23">
        <f t="shared" si="1151"/>
        <v>334</v>
      </c>
      <c r="T6183" s="23" t="str">
        <f t="shared" si="1152"/>
        <v/>
      </c>
      <c r="U6183" t="str">
        <f t="shared" si="1153"/>
        <v/>
      </c>
      <c r="V6183" s="40"/>
      <c r="X6183" s="43"/>
      <c r="Y6183" s="53"/>
      <c r="Z6183" s="53"/>
      <c r="AA6183"/>
      <c r="AB6183"/>
      <c r="AC6183" s="23"/>
      <c r="AD6183" s="23"/>
      <c r="AF6183" s="22"/>
      <c r="AH6183" s="8"/>
      <c r="AL6183" s="23"/>
      <c r="AM6183" s="371"/>
      <c r="AN6183" s="372"/>
      <c r="AT6183" s="20"/>
      <c r="AU6183" s="29"/>
      <c r="AV6183"/>
      <c r="AW6183"/>
    </row>
    <row r="6184" spans="1:49">
      <c r="A6184" t="str">
        <f t="shared" si="1154"/>
        <v>PA_Alleg_2019p~Rep-supervisor pine (vote for 3)</v>
      </c>
      <c r="B6184" s="55" t="s">
        <v>1291</v>
      </c>
      <c r="C6184">
        <v>1969</v>
      </c>
      <c r="D6184" s="55" t="s">
        <v>1103</v>
      </c>
      <c r="E6184" s="55" t="s">
        <v>1274</v>
      </c>
      <c r="F6184" t="s">
        <v>1117</v>
      </c>
      <c r="G6184" s="62">
        <v>334</v>
      </c>
      <c r="H6184" s="25">
        <v>14.3</v>
      </c>
      <c r="I6184">
        <v>10118</v>
      </c>
      <c r="J6184">
        <v>1326</v>
      </c>
      <c r="K6184">
        <v>8</v>
      </c>
      <c r="L6184">
        <v>8</v>
      </c>
      <c r="M6184">
        <v>0</v>
      </c>
      <c r="N6184" s="23">
        <v>0</v>
      </c>
      <c r="O6184">
        <f t="shared" si="1147"/>
        <v>3</v>
      </c>
      <c r="P6184" s="57">
        <f t="shared" si="1148"/>
        <v>3</v>
      </c>
      <c r="Q6184" s="267">
        <f t="shared" si="1149"/>
        <v>1569</v>
      </c>
      <c r="R6184" s="23">
        <f t="shared" si="1150"/>
        <v>334</v>
      </c>
      <c r="S6184" s="23">
        <f t="shared" si="1151"/>
        <v>334</v>
      </c>
      <c r="T6184" s="23" t="str">
        <f t="shared" si="1152"/>
        <v/>
      </c>
      <c r="U6184" t="str">
        <f t="shared" si="1153"/>
        <v/>
      </c>
      <c r="V6184" s="40"/>
      <c r="X6184" s="43"/>
      <c r="Y6184" s="53"/>
      <c r="Z6184" s="53"/>
      <c r="AA6184"/>
      <c r="AB6184"/>
      <c r="AC6184" s="23"/>
      <c r="AD6184" s="23"/>
      <c r="AF6184" s="22"/>
      <c r="AH6184" s="8"/>
      <c r="AL6184" s="23"/>
      <c r="AM6184" s="371"/>
      <c r="AN6184" s="372"/>
      <c r="AT6184" s="20"/>
      <c r="AU6184" s="29"/>
      <c r="AV6184"/>
      <c r="AW6184"/>
    </row>
    <row r="6185" spans="1:49">
      <c r="A6185" t="str">
        <f t="shared" si="1154"/>
        <v>PA_Alleg_2019p~Rep-supervisor pine (vote for 3)</v>
      </c>
      <c r="B6185" s="55" t="s">
        <v>1291</v>
      </c>
      <c r="C6185">
        <v>1971</v>
      </c>
      <c r="D6185" s="55" t="s">
        <v>1103</v>
      </c>
      <c r="E6185" s="55" t="s">
        <v>1276</v>
      </c>
      <c r="F6185" t="s">
        <v>1117</v>
      </c>
      <c r="G6185" s="62">
        <v>334</v>
      </c>
      <c r="H6185" s="25">
        <v>14.3</v>
      </c>
      <c r="I6185">
        <v>10118</v>
      </c>
      <c r="J6185">
        <v>1326</v>
      </c>
      <c r="K6185">
        <v>8</v>
      </c>
      <c r="L6185">
        <v>8</v>
      </c>
      <c r="M6185">
        <v>0</v>
      </c>
      <c r="N6185" s="23">
        <v>0</v>
      </c>
      <c r="O6185">
        <f t="shared" si="1147"/>
        <v>4</v>
      </c>
      <c r="P6185" s="57">
        <f t="shared" si="1148"/>
        <v>3</v>
      </c>
      <c r="Q6185" s="267">
        <f t="shared" si="1149"/>
        <v>1235</v>
      </c>
      <c r="R6185" s="23" t="str">
        <f t="shared" si="1150"/>
        <v/>
      </c>
      <c r="S6185" s="23">
        <f t="shared" si="1151"/>
        <v>334</v>
      </c>
      <c r="T6185" s="23" t="str">
        <f t="shared" si="1152"/>
        <v/>
      </c>
      <c r="U6185" t="str">
        <f t="shared" si="1153"/>
        <v/>
      </c>
      <c r="V6185" s="40"/>
      <c r="X6185" s="43"/>
      <c r="Y6185" s="53"/>
      <c r="Z6185" s="53"/>
      <c r="AA6185"/>
      <c r="AB6185"/>
      <c r="AC6185" s="23"/>
      <c r="AD6185" s="23"/>
      <c r="AF6185" s="22"/>
      <c r="AM6185" s="371"/>
      <c r="AN6185" s="372"/>
      <c r="AT6185" s="20"/>
      <c r="AU6185" s="29"/>
      <c r="AV6185"/>
      <c r="AW6185"/>
    </row>
    <row r="6186" spans="1:49">
      <c r="A6186" t="str">
        <f t="shared" si="1154"/>
        <v>PA_Alleg_2019p~Rep-supervisor pine (vote for 3)</v>
      </c>
      <c r="B6186" s="55" t="s">
        <v>1291</v>
      </c>
      <c r="C6186">
        <v>1970</v>
      </c>
      <c r="D6186" s="55" t="s">
        <v>1103</v>
      </c>
      <c r="E6186" s="55" t="s">
        <v>1275</v>
      </c>
      <c r="F6186" t="s">
        <v>1117</v>
      </c>
      <c r="G6186" s="62">
        <v>318</v>
      </c>
      <c r="H6186" s="25">
        <v>13.62</v>
      </c>
      <c r="I6186">
        <v>10118</v>
      </c>
      <c r="J6186">
        <v>1326</v>
      </c>
      <c r="K6186">
        <v>8</v>
      </c>
      <c r="L6186">
        <v>8</v>
      </c>
      <c r="M6186">
        <v>0</v>
      </c>
      <c r="N6186" s="23">
        <v>0</v>
      </c>
      <c r="O6186">
        <f t="shared" si="1147"/>
        <v>5</v>
      </c>
      <c r="P6186" s="57">
        <f t="shared" si="1148"/>
        <v>3</v>
      </c>
      <c r="Q6186" s="267">
        <f t="shared" si="1149"/>
        <v>901</v>
      </c>
      <c r="R6186" s="23" t="str">
        <f t="shared" si="1150"/>
        <v/>
      </c>
      <c r="S6186" s="23">
        <f t="shared" si="1151"/>
        <v>318</v>
      </c>
      <c r="T6186" s="23" t="str">
        <f t="shared" si="1152"/>
        <v/>
      </c>
      <c r="U6186" t="str">
        <f t="shared" si="1153"/>
        <v/>
      </c>
      <c r="V6186" s="40"/>
      <c r="X6186" s="43"/>
      <c r="Y6186" s="53"/>
      <c r="Z6186" s="53"/>
      <c r="AA6186"/>
      <c r="AB6186"/>
      <c r="AC6186" s="23"/>
      <c r="AD6186" s="23"/>
      <c r="AF6186" s="22"/>
      <c r="AM6186" s="371"/>
      <c r="AN6186" s="372"/>
      <c r="AT6186" s="20"/>
      <c r="AU6186" s="29"/>
      <c r="AV6186"/>
      <c r="AW6186"/>
    </row>
    <row r="6187" spans="1:49">
      <c r="A6187" t="str">
        <f t="shared" si="1154"/>
        <v>PA_Alleg_2019p~Rep-supervisor pine (vote for 3)</v>
      </c>
      <c r="B6187" s="55" t="s">
        <v>1291</v>
      </c>
      <c r="C6187">
        <v>1968</v>
      </c>
      <c r="D6187" s="55" t="s">
        <v>1103</v>
      </c>
      <c r="E6187" s="55" t="s">
        <v>1273</v>
      </c>
      <c r="F6187" t="s">
        <v>1117</v>
      </c>
      <c r="G6187" s="62">
        <v>292</v>
      </c>
      <c r="H6187" s="25">
        <v>12.51</v>
      </c>
      <c r="I6187">
        <v>10118</v>
      </c>
      <c r="J6187">
        <v>1326</v>
      </c>
      <c r="K6187">
        <v>8</v>
      </c>
      <c r="L6187">
        <v>8</v>
      </c>
      <c r="M6187">
        <v>0</v>
      </c>
      <c r="N6187" s="23">
        <v>0</v>
      </c>
      <c r="O6187">
        <f t="shared" si="1147"/>
        <v>6</v>
      </c>
      <c r="P6187" s="57">
        <f t="shared" si="1148"/>
        <v>3</v>
      </c>
      <c r="Q6187" s="267">
        <f t="shared" si="1149"/>
        <v>583</v>
      </c>
      <c r="R6187" s="23" t="str">
        <f t="shared" si="1150"/>
        <v/>
      </c>
      <c r="S6187" s="23">
        <f t="shared" si="1151"/>
        <v>292</v>
      </c>
      <c r="T6187" s="23" t="str">
        <f t="shared" si="1152"/>
        <v/>
      </c>
      <c r="U6187" t="str">
        <f t="shared" si="1153"/>
        <v/>
      </c>
      <c r="V6187" s="40"/>
      <c r="X6187" s="43"/>
      <c r="Y6187" s="53"/>
      <c r="Z6187" s="53"/>
      <c r="AA6187"/>
      <c r="AB6187"/>
      <c r="AC6187" s="23"/>
      <c r="AD6187" s="23"/>
      <c r="AF6187" s="22"/>
      <c r="AH6187" s="8"/>
      <c r="AM6187" s="371"/>
      <c r="AN6187" s="372"/>
      <c r="AT6187" s="20"/>
      <c r="AU6187" s="29"/>
      <c r="AV6187"/>
      <c r="AW6187"/>
    </row>
    <row r="6188" spans="1:49">
      <c r="A6188" t="str">
        <f t="shared" si="1154"/>
        <v>PA_Alleg_2019p~Rep-supervisor pine (vote for 3)</v>
      </c>
      <c r="B6188" s="55" t="s">
        <v>1291</v>
      </c>
      <c r="C6188">
        <v>1967</v>
      </c>
      <c r="D6188" s="55" t="s">
        <v>1103</v>
      </c>
      <c r="E6188" s="55" t="s">
        <v>1272</v>
      </c>
      <c r="F6188" t="s">
        <v>1117</v>
      </c>
      <c r="G6188" s="62">
        <v>276</v>
      </c>
      <c r="H6188" s="25">
        <v>11.82</v>
      </c>
      <c r="I6188">
        <v>10118</v>
      </c>
      <c r="J6188">
        <v>1326</v>
      </c>
      <c r="K6188">
        <v>8</v>
      </c>
      <c r="L6188">
        <v>8</v>
      </c>
      <c r="M6188">
        <v>0</v>
      </c>
      <c r="N6188" s="23">
        <v>0</v>
      </c>
      <c r="O6188">
        <f t="shared" si="1147"/>
        <v>7</v>
      </c>
      <c r="P6188" s="57">
        <f t="shared" si="1148"/>
        <v>3</v>
      </c>
      <c r="Q6188" s="267">
        <f t="shared" si="1149"/>
        <v>291</v>
      </c>
      <c r="R6188" s="23" t="str">
        <f t="shared" si="1150"/>
        <v/>
      </c>
      <c r="S6188" s="23">
        <f t="shared" si="1151"/>
        <v>276</v>
      </c>
      <c r="T6188" s="23" t="str">
        <f t="shared" si="1152"/>
        <v/>
      </c>
      <c r="U6188" t="str">
        <f t="shared" si="1153"/>
        <v/>
      </c>
      <c r="V6188" s="40"/>
      <c r="X6188" s="43"/>
      <c r="Y6188" s="53"/>
      <c r="Z6188" s="53"/>
      <c r="AA6188"/>
      <c r="AB6188"/>
      <c r="AC6188" s="23"/>
      <c r="AD6188" s="23"/>
      <c r="AF6188" s="22"/>
      <c r="AL6188" s="23"/>
      <c r="AM6188" s="371"/>
      <c r="AN6188" s="372"/>
      <c r="AT6188" s="20"/>
      <c r="AU6188" s="29"/>
      <c r="AV6188"/>
      <c r="AW6188"/>
    </row>
    <row r="6189" spans="1:49">
      <c r="A6189" t="str">
        <f t="shared" si="1154"/>
        <v>PA_Alleg_2019p~Rep-supervisor pine (vote for 3)</v>
      </c>
      <c r="B6189" s="55" t="s">
        <v>1291</v>
      </c>
      <c r="C6189">
        <v>1973</v>
      </c>
      <c r="D6189" s="55" t="s">
        <v>1103</v>
      </c>
      <c r="E6189" s="55" t="s">
        <v>15</v>
      </c>
      <c r="F6189" t="s">
        <v>1117</v>
      </c>
      <c r="G6189" s="62">
        <v>15</v>
      </c>
      <c r="H6189" s="25">
        <v>0.64</v>
      </c>
      <c r="I6189">
        <v>10118</v>
      </c>
      <c r="J6189">
        <v>1326</v>
      </c>
      <c r="K6189">
        <v>8</v>
      </c>
      <c r="L6189">
        <v>8</v>
      </c>
      <c r="M6189">
        <v>0</v>
      </c>
      <c r="N6189" s="23">
        <v>0</v>
      </c>
      <c r="O6189">
        <f t="shared" si="1147"/>
        <v>-7</v>
      </c>
      <c r="P6189" s="57">
        <f t="shared" si="1148"/>
        <v>3</v>
      </c>
      <c r="Q6189" s="267">
        <f t="shared" si="1149"/>
        <v>15</v>
      </c>
      <c r="R6189" s="23">
        <f t="shared" si="1150"/>
        <v>1</v>
      </c>
      <c r="S6189" s="23">
        <f t="shared" si="1151"/>
        <v>0</v>
      </c>
      <c r="T6189" s="23" t="str">
        <f t="shared" si="1152"/>
        <v/>
      </c>
      <c r="U6189" t="str">
        <f t="shared" si="1153"/>
        <v/>
      </c>
      <c r="V6189" s="40"/>
      <c r="X6189" s="43"/>
      <c r="Y6189" s="53"/>
      <c r="Z6189" s="53"/>
      <c r="AA6189"/>
      <c r="AB6189"/>
      <c r="AC6189" s="23"/>
      <c r="AD6189" s="23"/>
      <c r="AF6189" s="22"/>
      <c r="AM6189" s="371"/>
      <c r="AN6189" s="372"/>
      <c r="AT6189" s="20"/>
      <c r="AU6189" s="29"/>
      <c r="AV6189"/>
      <c r="AW6189"/>
    </row>
    <row r="6190" spans="1:49">
      <c r="A6190" t="str">
        <f t="shared" si="1154"/>
        <v>PA_Alleg_2019p~Rep-supervisor richland supervisor 3 (vote for 1)</v>
      </c>
      <c r="B6190" s="55" t="s">
        <v>1291</v>
      </c>
      <c r="C6190">
        <v>1983</v>
      </c>
      <c r="D6190" s="55" t="s">
        <v>1111</v>
      </c>
      <c r="E6190" s="55" t="s">
        <v>1282</v>
      </c>
      <c r="F6190" t="s">
        <v>1117</v>
      </c>
      <c r="G6190" s="62">
        <v>100</v>
      </c>
      <c r="H6190" s="25">
        <v>100</v>
      </c>
      <c r="I6190">
        <v>2110</v>
      </c>
      <c r="J6190">
        <v>232</v>
      </c>
      <c r="K6190">
        <v>2</v>
      </c>
      <c r="L6190">
        <v>2</v>
      </c>
      <c r="M6190">
        <v>0</v>
      </c>
      <c r="N6190" s="23">
        <v>0</v>
      </c>
      <c r="O6190">
        <f t="shared" si="1147"/>
        <v>1</v>
      </c>
      <c r="P6190" s="57">
        <f t="shared" si="1148"/>
        <v>1</v>
      </c>
      <c r="Q6190" s="267">
        <f t="shared" si="1149"/>
        <v>100</v>
      </c>
      <c r="R6190" s="23">
        <f t="shared" si="1150"/>
        <v>100</v>
      </c>
      <c r="S6190" s="23">
        <f t="shared" si="1151"/>
        <v>0</v>
      </c>
      <c r="T6190" s="23" t="str">
        <f t="shared" si="1152"/>
        <v/>
      </c>
      <c r="U6190" t="str">
        <f t="shared" si="1153"/>
        <v>PA_Alleg_2019p~Rep-supervisor richland supervisor 3 (vote for 1)</v>
      </c>
      <c r="V6190" s="40"/>
      <c r="X6190" s="43"/>
      <c r="Y6190" s="53"/>
      <c r="Z6190" s="53"/>
      <c r="AA6190"/>
      <c r="AB6190"/>
      <c r="AC6190" s="23"/>
      <c r="AD6190" s="23"/>
      <c r="AF6190" s="22"/>
      <c r="AL6190" s="23"/>
      <c r="AM6190" s="371"/>
      <c r="AN6190" s="372"/>
      <c r="AT6190" s="20"/>
      <c r="AU6190" s="29"/>
      <c r="AV6190"/>
      <c r="AW6190"/>
    </row>
    <row r="6191" spans="1:49">
      <c r="A6191" t="str">
        <f t="shared" si="1154"/>
        <v>PA_Alleg_2019p~Rep-supervisor richland supervisor 3 (vote for 1)</v>
      </c>
      <c r="B6191" s="55" t="s">
        <v>1291</v>
      </c>
      <c r="C6191">
        <v>1984</v>
      </c>
      <c r="D6191" s="55" t="s">
        <v>1111</v>
      </c>
      <c r="E6191" s="55" t="s">
        <v>15</v>
      </c>
      <c r="F6191" t="s">
        <v>1117</v>
      </c>
      <c r="G6191" s="62">
        <v>0</v>
      </c>
      <c r="H6191" s="25">
        <v>0</v>
      </c>
      <c r="I6191">
        <v>2110</v>
      </c>
      <c r="J6191">
        <v>232</v>
      </c>
      <c r="K6191">
        <v>2</v>
      </c>
      <c r="L6191">
        <v>2</v>
      </c>
      <c r="M6191">
        <v>0</v>
      </c>
      <c r="N6191" s="23">
        <v>0</v>
      </c>
      <c r="O6191">
        <f t="shared" si="1147"/>
        <v>-1</v>
      </c>
      <c r="P6191" s="57">
        <f t="shared" si="1148"/>
        <v>1</v>
      </c>
      <c r="Q6191" s="267">
        <f t="shared" si="1149"/>
        <v>0</v>
      </c>
      <c r="R6191" s="23">
        <f t="shared" si="1150"/>
        <v>1</v>
      </c>
      <c r="S6191" s="23">
        <f t="shared" si="1151"/>
        <v>0</v>
      </c>
      <c r="T6191" s="23" t="str">
        <f t="shared" si="1152"/>
        <v/>
      </c>
      <c r="U6191" t="str">
        <f t="shared" si="1153"/>
        <v/>
      </c>
      <c r="V6191" s="40"/>
      <c r="X6191" s="43"/>
      <c r="Y6191" s="53"/>
      <c r="Z6191" s="53"/>
      <c r="AA6191"/>
      <c r="AB6191"/>
      <c r="AC6191" s="23"/>
      <c r="AD6191" s="23"/>
      <c r="AF6191" s="22"/>
      <c r="AL6191" s="23"/>
      <c r="AM6191" s="371"/>
      <c r="AN6191" s="372"/>
      <c r="AT6191" s="20"/>
      <c r="AU6191" s="29"/>
      <c r="AV6191"/>
      <c r="AW6191"/>
    </row>
    <row r="6192" spans="1:49">
      <c r="A6192" t="str">
        <f t="shared" si="1154"/>
        <v>PA_Alleg_2019p~Rep-supervisor richland supervisor 4 (vote for 1)</v>
      </c>
      <c r="B6192" s="55" t="s">
        <v>1291</v>
      </c>
      <c r="C6192">
        <v>1985</v>
      </c>
      <c r="D6192" s="55" t="s">
        <v>1112</v>
      </c>
      <c r="E6192" s="55" t="s">
        <v>1283</v>
      </c>
      <c r="F6192" t="s">
        <v>1117</v>
      </c>
      <c r="G6192" s="62">
        <v>133</v>
      </c>
      <c r="H6192" s="25">
        <v>98.52</v>
      </c>
      <c r="I6192">
        <v>2036</v>
      </c>
      <c r="J6192">
        <v>282</v>
      </c>
      <c r="K6192">
        <v>2</v>
      </c>
      <c r="L6192">
        <v>2</v>
      </c>
      <c r="M6192">
        <v>0</v>
      </c>
      <c r="N6192" s="23">
        <v>0</v>
      </c>
      <c r="O6192">
        <f t="shared" si="1147"/>
        <v>1</v>
      </c>
      <c r="P6192" s="57">
        <f t="shared" si="1148"/>
        <v>1</v>
      </c>
      <c r="Q6192" s="267">
        <f t="shared" si="1149"/>
        <v>135</v>
      </c>
      <c r="R6192" s="23">
        <f t="shared" si="1150"/>
        <v>133</v>
      </c>
      <c r="S6192" s="23">
        <f t="shared" si="1151"/>
        <v>0</v>
      </c>
      <c r="T6192" s="23" t="str">
        <f t="shared" si="1152"/>
        <v/>
      </c>
      <c r="U6192" t="str">
        <f t="shared" si="1153"/>
        <v>PA_Alleg_2019p~Rep-supervisor richland supervisor 4 (vote for 1)</v>
      </c>
      <c r="V6192" s="40"/>
      <c r="X6192" s="43"/>
      <c r="Y6192" s="53"/>
      <c r="Z6192" s="53"/>
      <c r="AA6192"/>
      <c r="AB6192"/>
      <c r="AC6192" s="23"/>
      <c r="AD6192" s="23"/>
      <c r="AF6192" s="22"/>
      <c r="AG6192" s="89"/>
      <c r="AH6192" s="274"/>
      <c r="AI6192" s="279"/>
      <c r="AJ6192" s="280"/>
      <c r="AL6192" s="23"/>
      <c r="AM6192" s="371"/>
      <c r="AN6192" s="372"/>
      <c r="AT6192" s="20"/>
      <c r="AU6192" s="29"/>
      <c r="AV6192"/>
      <c r="AW6192"/>
    </row>
    <row r="6193" spans="1:49">
      <c r="A6193" t="str">
        <f t="shared" si="1154"/>
        <v>PA_Alleg_2019p~Rep-supervisor richland supervisor 4 (vote for 1)</v>
      </c>
      <c r="B6193" s="55" t="s">
        <v>1291</v>
      </c>
      <c r="C6193">
        <v>1986</v>
      </c>
      <c r="D6193" s="55" t="s">
        <v>1112</v>
      </c>
      <c r="E6193" s="55" t="s">
        <v>15</v>
      </c>
      <c r="F6193" t="s">
        <v>1117</v>
      </c>
      <c r="G6193" s="62">
        <v>2</v>
      </c>
      <c r="H6193" s="25">
        <v>1.48</v>
      </c>
      <c r="I6193">
        <v>2036</v>
      </c>
      <c r="J6193">
        <v>282</v>
      </c>
      <c r="K6193">
        <v>2</v>
      </c>
      <c r="L6193">
        <v>2</v>
      </c>
      <c r="M6193">
        <v>0</v>
      </c>
      <c r="N6193" s="23">
        <v>0</v>
      </c>
      <c r="O6193">
        <f t="shared" si="1147"/>
        <v>-1</v>
      </c>
      <c r="P6193" s="57">
        <f t="shared" si="1148"/>
        <v>1</v>
      </c>
      <c r="Q6193" s="267">
        <f t="shared" si="1149"/>
        <v>2</v>
      </c>
      <c r="R6193" s="23">
        <f t="shared" si="1150"/>
        <v>1</v>
      </c>
      <c r="S6193" s="23">
        <f t="shared" si="1151"/>
        <v>0</v>
      </c>
      <c r="T6193" s="23" t="str">
        <f t="shared" si="1152"/>
        <v/>
      </c>
      <c r="U6193" t="str">
        <f t="shared" si="1153"/>
        <v/>
      </c>
      <c r="V6193" s="40"/>
      <c r="X6193" s="43"/>
      <c r="Y6193" s="53"/>
      <c r="Z6193" s="53"/>
      <c r="AA6193"/>
      <c r="AB6193"/>
      <c r="AC6193" s="23"/>
      <c r="AD6193" s="23"/>
      <c r="AF6193" s="22"/>
      <c r="AG6193" s="89"/>
      <c r="AH6193" s="274"/>
      <c r="AI6193" s="279"/>
      <c r="AJ6193" s="280"/>
      <c r="AK6193" s="92"/>
      <c r="AL6193" s="23"/>
      <c r="AM6193" s="371"/>
      <c r="AN6193" s="372"/>
      <c r="AT6193" s="20"/>
      <c r="AU6193" s="29"/>
      <c r="AV6193"/>
      <c r="AW6193"/>
    </row>
    <row r="6194" spans="1:49">
      <c r="A6194" t="str">
        <f t="shared" si="1154"/>
        <v>PA_Alleg_2019p~Rep-supervisor south park (vote for 1)</v>
      </c>
      <c r="B6194" s="55" t="s">
        <v>1291</v>
      </c>
      <c r="C6194">
        <v>1964</v>
      </c>
      <c r="D6194" s="55" t="s">
        <v>1101</v>
      </c>
      <c r="E6194" s="55" t="s">
        <v>1270</v>
      </c>
      <c r="F6194" t="s">
        <v>1117</v>
      </c>
      <c r="G6194" s="62">
        <v>411</v>
      </c>
      <c r="H6194" s="25">
        <v>96.25</v>
      </c>
      <c r="I6194">
        <v>9810</v>
      </c>
      <c r="J6194">
        <v>1387</v>
      </c>
      <c r="K6194">
        <v>13</v>
      </c>
      <c r="L6194">
        <v>13</v>
      </c>
      <c r="M6194">
        <v>0</v>
      </c>
      <c r="N6194" s="23">
        <v>0</v>
      </c>
      <c r="O6194">
        <f t="shared" si="1147"/>
        <v>1</v>
      </c>
      <c r="P6194" s="57">
        <f t="shared" si="1148"/>
        <v>1</v>
      </c>
      <c r="Q6194" s="267">
        <f t="shared" si="1149"/>
        <v>427</v>
      </c>
      <c r="R6194" s="23">
        <f t="shared" si="1150"/>
        <v>411</v>
      </c>
      <c r="S6194" s="23">
        <f t="shared" si="1151"/>
        <v>0</v>
      </c>
      <c r="T6194" s="23" t="str">
        <f t="shared" si="1152"/>
        <v/>
      </c>
      <c r="U6194" t="str">
        <f t="shared" si="1153"/>
        <v>PA_Alleg_2019p~Rep-supervisor south park (vote for 1)</v>
      </c>
      <c r="V6194" s="40"/>
      <c r="X6194" s="43"/>
      <c r="Y6194" s="53"/>
      <c r="Z6194" s="53"/>
      <c r="AA6194"/>
      <c r="AB6194"/>
      <c r="AC6194" s="23"/>
      <c r="AD6194" s="23"/>
      <c r="AF6194" s="22"/>
      <c r="AG6194" s="89"/>
      <c r="AH6194" s="274"/>
      <c r="AI6194" s="279"/>
      <c r="AJ6194" s="280"/>
      <c r="AK6194" s="92"/>
      <c r="AL6194" s="23"/>
      <c r="AM6194" s="371"/>
      <c r="AN6194" s="372"/>
      <c r="AT6194" s="20"/>
      <c r="AU6194" s="29"/>
      <c r="AV6194"/>
      <c r="AW6194"/>
    </row>
    <row r="6195" spans="1:49">
      <c r="A6195" t="str">
        <f t="shared" si="1154"/>
        <v>PA_Alleg_2019p~Rep-supervisor south park (vote for 1)</v>
      </c>
      <c r="B6195" s="55" t="s">
        <v>1291</v>
      </c>
      <c r="C6195">
        <v>1965</v>
      </c>
      <c r="D6195" s="55" t="s">
        <v>1101</v>
      </c>
      <c r="E6195" s="55" t="s">
        <v>15</v>
      </c>
      <c r="F6195" t="s">
        <v>1117</v>
      </c>
      <c r="G6195" s="62">
        <v>16</v>
      </c>
      <c r="H6195" s="25">
        <v>3.75</v>
      </c>
      <c r="I6195">
        <v>9810</v>
      </c>
      <c r="J6195">
        <v>1387</v>
      </c>
      <c r="K6195">
        <v>13</v>
      </c>
      <c r="L6195">
        <v>13</v>
      </c>
      <c r="M6195">
        <v>0</v>
      </c>
      <c r="N6195" s="23">
        <v>0</v>
      </c>
      <c r="O6195">
        <f t="shared" si="1147"/>
        <v>-1</v>
      </c>
      <c r="P6195" s="57">
        <f t="shared" si="1148"/>
        <v>1</v>
      </c>
      <c r="Q6195" s="267">
        <f t="shared" si="1149"/>
        <v>16</v>
      </c>
      <c r="R6195" s="23">
        <f t="shared" si="1150"/>
        <v>1</v>
      </c>
      <c r="S6195" s="23">
        <f t="shared" si="1151"/>
        <v>0</v>
      </c>
      <c r="T6195" s="23" t="str">
        <f t="shared" si="1152"/>
        <v/>
      </c>
      <c r="U6195" t="str">
        <f t="shared" si="1153"/>
        <v/>
      </c>
      <c r="V6195" s="40"/>
      <c r="X6195" s="43"/>
      <c r="Y6195" s="53"/>
      <c r="Z6195" s="53"/>
      <c r="AA6195"/>
      <c r="AB6195"/>
      <c r="AC6195" s="23"/>
      <c r="AD6195" s="23"/>
      <c r="AF6195" s="22"/>
      <c r="AG6195" s="89"/>
      <c r="AH6195" s="274"/>
      <c r="AI6195" s="279"/>
      <c r="AJ6195" s="280"/>
      <c r="AK6195" s="92"/>
      <c r="AL6195" s="23"/>
      <c r="AM6195" s="371"/>
      <c r="AN6195" s="372"/>
      <c r="AT6195" s="20"/>
      <c r="AU6195" s="29"/>
      <c r="AV6195"/>
      <c r="AW6195"/>
    </row>
    <row r="6196" spans="1:49">
      <c r="A6196" t="str">
        <f t="shared" si="1154"/>
        <v>PA_Alleg_2019p~Rep-supervisor supervisor district 1 (vote for 1)</v>
      </c>
      <c r="B6196" s="55" t="s">
        <v>1291</v>
      </c>
      <c r="C6196">
        <v>1987</v>
      </c>
      <c r="D6196" s="55" t="s">
        <v>1113</v>
      </c>
      <c r="E6196" s="55" t="s">
        <v>15</v>
      </c>
      <c r="F6196" t="s">
        <v>1117</v>
      </c>
      <c r="G6196" s="62">
        <v>19</v>
      </c>
      <c r="H6196" s="25">
        <v>100</v>
      </c>
      <c r="I6196">
        <v>2001</v>
      </c>
      <c r="J6196">
        <v>234</v>
      </c>
      <c r="K6196">
        <v>2</v>
      </c>
      <c r="L6196">
        <v>2</v>
      </c>
      <c r="M6196">
        <v>0</v>
      </c>
      <c r="N6196" s="23">
        <v>0</v>
      </c>
      <c r="O6196">
        <f t="shared" si="1147"/>
        <v>0</v>
      </c>
      <c r="P6196" s="57">
        <f t="shared" si="1148"/>
        <v>1</v>
      </c>
      <c r="Q6196" s="267">
        <f t="shared" si="1149"/>
        <v>19</v>
      </c>
      <c r="R6196" s="23">
        <f t="shared" si="1150"/>
        <v>1</v>
      </c>
      <c r="S6196" s="23">
        <f t="shared" si="1151"/>
        <v>0</v>
      </c>
      <c r="T6196" s="23" t="str">
        <f t="shared" si="1152"/>
        <v/>
      </c>
      <c r="U6196" t="str">
        <f t="shared" si="1153"/>
        <v>PA_Alleg_2019p~Rep-supervisor supervisor district 1 (vote for 1)</v>
      </c>
      <c r="V6196" s="40"/>
      <c r="X6196" s="43"/>
      <c r="Y6196" s="53"/>
      <c r="Z6196" s="53"/>
      <c r="AA6196"/>
      <c r="AB6196"/>
      <c r="AC6196" s="23"/>
      <c r="AD6196" s="23"/>
      <c r="AF6196" s="22"/>
      <c r="AG6196" s="89"/>
      <c r="AH6196" s="274"/>
      <c r="AI6196" s="279"/>
      <c r="AJ6196" s="280"/>
      <c r="AK6196" s="92"/>
      <c r="AL6196" s="23"/>
      <c r="AM6196" s="371"/>
      <c r="AN6196" s="372"/>
      <c r="AT6196" s="20"/>
      <c r="AU6196" s="29"/>
      <c r="AV6196"/>
      <c r="AW6196"/>
    </row>
    <row r="6197" spans="1:49">
      <c r="A6197" t="str">
        <f t="shared" si="1154"/>
        <v>PA_Alleg_2019p~Rep-supervisor supervisor district 3 (vote for 1)</v>
      </c>
      <c r="B6197" s="55" t="s">
        <v>1291</v>
      </c>
      <c r="C6197">
        <v>1988</v>
      </c>
      <c r="D6197" s="55" t="s">
        <v>1115</v>
      </c>
      <c r="E6197" s="55" t="s">
        <v>1284</v>
      </c>
      <c r="F6197" t="s">
        <v>1117</v>
      </c>
      <c r="G6197" s="62">
        <v>130</v>
      </c>
      <c r="H6197" s="25">
        <v>97.01</v>
      </c>
      <c r="I6197">
        <v>2531</v>
      </c>
      <c r="J6197">
        <v>349</v>
      </c>
      <c r="K6197">
        <v>2</v>
      </c>
      <c r="L6197">
        <v>2</v>
      </c>
      <c r="M6197">
        <v>0</v>
      </c>
      <c r="N6197" s="23">
        <v>0</v>
      </c>
      <c r="O6197">
        <f t="shared" si="1147"/>
        <v>1</v>
      </c>
      <c r="P6197" s="57">
        <f t="shared" si="1148"/>
        <v>1</v>
      </c>
      <c r="Q6197" s="267">
        <f t="shared" si="1149"/>
        <v>134</v>
      </c>
      <c r="R6197" s="23">
        <f t="shared" si="1150"/>
        <v>130</v>
      </c>
      <c r="S6197" s="23">
        <f t="shared" si="1151"/>
        <v>0</v>
      </c>
      <c r="T6197" s="23" t="str">
        <f t="shared" si="1152"/>
        <v/>
      </c>
      <c r="U6197" t="str">
        <f t="shared" si="1153"/>
        <v>PA_Alleg_2019p~Rep-supervisor supervisor district 3 (vote for 1)</v>
      </c>
      <c r="V6197" s="40"/>
      <c r="X6197" s="43"/>
      <c r="Y6197" s="53"/>
      <c r="Z6197" s="53"/>
      <c r="AA6197"/>
      <c r="AB6197"/>
      <c r="AC6197" s="23"/>
      <c r="AD6197" s="23"/>
      <c r="AF6197" s="22"/>
      <c r="AG6197" s="89"/>
      <c r="AH6197" s="274"/>
      <c r="AI6197" s="279"/>
      <c r="AJ6197" s="280"/>
      <c r="AK6197" s="92"/>
      <c r="AL6197" s="23"/>
      <c r="AM6197" s="371"/>
      <c r="AN6197" s="372"/>
      <c r="AT6197" s="20"/>
      <c r="AU6197" s="29"/>
      <c r="AV6197"/>
      <c r="AW6197"/>
    </row>
    <row r="6198" spans="1:49">
      <c r="A6198" t="str">
        <f t="shared" si="1154"/>
        <v>PA_Alleg_2019p~Rep-supervisor supervisor district 3 (vote for 1)</v>
      </c>
      <c r="B6198" s="55" t="s">
        <v>1291</v>
      </c>
      <c r="C6198">
        <v>1989</v>
      </c>
      <c r="D6198" s="55" t="s">
        <v>1115</v>
      </c>
      <c r="E6198" s="55" t="s">
        <v>15</v>
      </c>
      <c r="F6198" t="s">
        <v>1117</v>
      </c>
      <c r="G6198" s="62">
        <v>4</v>
      </c>
      <c r="H6198" s="25">
        <v>2.99</v>
      </c>
      <c r="I6198">
        <v>2531</v>
      </c>
      <c r="J6198">
        <v>349</v>
      </c>
      <c r="K6198">
        <v>2</v>
      </c>
      <c r="L6198">
        <v>2</v>
      </c>
      <c r="M6198">
        <v>0</v>
      </c>
      <c r="N6198" s="23">
        <v>0</v>
      </c>
      <c r="O6198">
        <f t="shared" si="1147"/>
        <v>-1</v>
      </c>
      <c r="P6198" s="57">
        <f t="shared" si="1148"/>
        <v>1</v>
      </c>
      <c r="Q6198" s="267">
        <f t="shared" si="1149"/>
        <v>4</v>
      </c>
      <c r="R6198" s="23">
        <f t="shared" si="1150"/>
        <v>1</v>
      </c>
      <c r="S6198" s="23">
        <f t="shared" si="1151"/>
        <v>0</v>
      </c>
      <c r="T6198" s="23" t="str">
        <f t="shared" si="1152"/>
        <v/>
      </c>
      <c r="U6198" t="str">
        <f t="shared" si="1153"/>
        <v/>
      </c>
      <c r="V6198" s="40"/>
      <c r="X6198" s="43"/>
      <c r="Y6198" s="53"/>
      <c r="Z6198" s="53"/>
      <c r="AA6198"/>
      <c r="AB6198"/>
      <c r="AC6198" s="23"/>
      <c r="AD6198" s="23"/>
      <c r="AF6198" s="22"/>
      <c r="AG6198" s="89"/>
      <c r="AH6198" s="274"/>
      <c r="AI6198" s="279"/>
      <c r="AJ6198" s="280"/>
      <c r="AK6198" s="92"/>
      <c r="AL6198" s="23"/>
      <c r="AM6198" s="371"/>
      <c r="AN6198" s="372"/>
      <c r="AT6198" s="20"/>
      <c r="AU6198" s="29"/>
      <c r="AV6198"/>
      <c r="AW6198"/>
    </row>
    <row r="6199" spans="1:49">
      <c r="A6199" t="str">
        <f t="shared" si="1154"/>
        <v>PA_Alleg_2019p~Rep-tax collector avalon (vote for 1)</v>
      </c>
      <c r="B6199" s="55" t="s">
        <v>1291</v>
      </c>
      <c r="C6199">
        <v>1544</v>
      </c>
      <c r="D6199" s="55" t="s">
        <v>485</v>
      </c>
      <c r="E6199" s="55" t="s">
        <v>15</v>
      </c>
      <c r="F6199" t="s">
        <v>1117</v>
      </c>
      <c r="G6199" s="62">
        <v>17</v>
      </c>
      <c r="H6199" s="25">
        <v>100</v>
      </c>
      <c r="I6199">
        <v>3657</v>
      </c>
      <c r="J6199">
        <v>474</v>
      </c>
      <c r="K6199">
        <v>6</v>
      </c>
      <c r="L6199">
        <v>6</v>
      </c>
      <c r="M6199">
        <v>0</v>
      </c>
      <c r="N6199" s="23">
        <v>0</v>
      </c>
      <c r="O6199">
        <f t="shared" si="1147"/>
        <v>0</v>
      </c>
      <c r="P6199" s="57">
        <f t="shared" si="1148"/>
        <v>1</v>
      </c>
      <c r="Q6199" s="267">
        <f t="shared" si="1149"/>
        <v>17</v>
      </c>
      <c r="R6199" s="23">
        <f t="shared" si="1150"/>
        <v>1</v>
      </c>
      <c r="S6199" s="23">
        <f t="shared" si="1151"/>
        <v>0</v>
      </c>
      <c r="T6199" s="23" t="str">
        <f t="shared" si="1152"/>
        <v/>
      </c>
      <c r="U6199" t="str">
        <f t="shared" si="1153"/>
        <v>PA_Alleg_2019p~Rep-tax collector avalon (vote for 1)</v>
      </c>
      <c r="V6199" s="40"/>
      <c r="X6199" s="43"/>
      <c r="Y6199" s="53"/>
      <c r="Z6199" s="53"/>
      <c r="AA6199"/>
      <c r="AB6199"/>
      <c r="AC6199" s="23"/>
      <c r="AD6199" s="23"/>
      <c r="AF6199" s="22"/>
      <c r="AG6199" s="89"/>
      <c r="AH6199" s="274"/>
      <c r="AI6199" s="279"/>
      <c r="AJ6199" s="280"/>
      <c r="AK6199" s="92"/>
      <c r="AL6199" s="23"/>
      <c r="AM6199" s="371"/>
      <c r="AN6199" s="372"/>
      <c r="AT6199" s="20"/>
      <c r="AU6199" s="29"/>
      <c r="AV6199"/>
      <c r="AW6199"/>
    </row>
    <row r="6200" spans="1:49">
      <c r="A6200" t="str">
        <f t="shared" si="1154"/>
        <v>PA_Alleg_2019p~Rep-tax collector ben avon heights (vote for 1)</v>
      </c>
      <c r="B6200" s="55" t="s">
        <v>1291</v>
      </c>
      <c r="C6200">
        <v>1545</v>
      </c>
      <c r="D6200" s="55" t="s">
        <v>486</v>
      </c>
      <c r="E6200" s="55" t="s">
        <v>15</v>
      </c>
      <c r="F6200" t="s">
        <v>1117</v>
      </c>
      <c r="G6200" s="62">
        <v>10</v>
      </c>
      <c r="H6200" s="25">
        <v>100</v>
      </c>
      <c r="I6200">
        <v>324</v>
      </c>
      <c r="J6200">
        <v>74</v>
      </c>
      <c r="K6200">
        <v>1</v>
      </c>
      <c r="L6200">
        <v>1</v>
      </c>
      <c r="M6200">
        <v>0</v>
      </c>
      <c r="N6200" s="23">
        <v>0</v>
      </c>
      <c r="O6200">
        <f t="shared" si="1147"/>
        <v>0</v>
      </c>
      <c r="P6200" s="57">
        <f t="shared" si="1148"/>
        <v>1</v>
      </c>
      <c r="Q6200" s="267">
        <f t="shared" si="1149"/>
        <v>10</v>
      </c>
      <c r="R6200" s="23">
        <f t="shared" si="1150"/>
        <v>1</v>
      </c>
      <c r="S6200" s="23">
        <f t="shared" si="1151"/>
        <v>0</v>
      </c>
      <c r="T6200" s="23" t="str">
        <f t="shared" si="1152"/>
        <v/>
      </c>
      <c r="U6200" t="str">
        <f t="shared" si="1153"/>
        <v>PA_Alleg_2019p~Rep-tax collector ben avon heights (vote for 1)</v>
      </c>
      <c r="V6200" s="40"/>
      <c r="X6200" s="43"/>
      <c r="Y6200" s="53"/>
      <c r="Z6200" s="53"/>
      <c r="AA6200"/>
      <c r="AB6200"/>
      <c r="AC6200" s="23"/>
      <c r="AD6200" s="23"/>
      <c r="AF6200" s="22"/>
      <c r="AG6200" s="89"/>
      <c r="AH6200" s="274"/>
      <c r="AI6200" s="279"/>
      <c r="AJ6200" s="280"/>
      <c r="AK6200" s="92"/>
      <c r="AL6200" s="23"/>
      <c r="AM6200" s="371"/>
      <c r="AN6200" s="372"/>
      <c r="AT6200" s="20"/>
      <c r="AU6200" s="29"/>
      <c r="AV6200"/>
      <c r="AW6200"/>
    </row>
    <row r="6201" spans="1:49">
      <c r="A6201" t="str">
        <f t="shared" si="1154"/>
        <v>PA_Alleg_2019p~Rep-tax collector carnegie (vote for 1)</v>
      </c>
      <c r="B6201" s="55" t="s">
        <v>1291</v>
      </c>
      <c r="C6201">
        <v>1546</v>
      </c>
      <c r="D6201" s="55" t="s">
        <v>487</v>
      </c>
      <c r="E6201" s="55" t="s">
        <v>15</v>
      </c>
      <c r="F6201" t="s">
        <v>1117</v>
      </c>
      <c r="G6201" s="62">
        <v>7</v>
      </c>
      <c r="H6201" s="25">
        <v>100</v>
      </c>
      <c r="I6201">
        <v>5704</v>
      </c>
      <c r="J6201">
        <v>555</v>
      </c>
      <c r="K6201">
        <v>8</v>
      </c>
      <c r="L6201">
        <v>8</v>
      </c>
      <c r="M6201">
        <v>0</v>
      </c>
      <c r="N6201" s="23">
        <v>0</v>
      </c>
      <c r="O6201">
        <f t="shared" si="1147"/>
        <v>0</v>
      </c>
      <c r="P6201" s="57">
        <f t="shared" si="1148"/>
        <v>1</v>
      </c>
      <c r="Q6201" s="267">
        <f t="shared" si="1149"/>
        <v>7</v>
      </c>
      <c r="R6201" s="23">
        <f t="shared" si="1150"/>
        <v>1</v>
      </c>
      <c r="S6201" s="23">
        <f t="shared" si="1151"/>
        <v>0</v>
      </c>
      <c r="T6201" s="23" t="str">
        <f t="shared" si="1152"/>
        <v/>
      </c>
      <c r="U6201" t="str">
        <f t="shared" si="1153"/>
        <v>PA_Alleg_2019p~Rep-tax collector carnegie (vote for 1)</v>
      </c>
      <c r="V6201" s="40"/>
      <c r="X6201" s="43"/>
      <c r="Y6201" s="53"/>
      <c r="Z6201" s="53"/>
      <c r="AA6201"/>
      <c r="AB6201"/>
      <c r="AC6201" s="23"/>
      <c r="AD6201" s="23"/>
      <c r="AF6201" s="22"/>
      <c r="AG6201" s="89"/>
      <c r="AH6201" s="274"/>
      <c r="AI6201" s="279"/>
      <c r="AJ6201" s="280"/>
      <c r="AK6201" s="92"/>
      <c r="AL6201" s="23"/>
      <c r="AM6201" s="371"/>
      <c r="AN6201" s="372"/>
      <c r="AT6201" s="20"/>
      <c r="AU6201" s="29"/>
      <c r="AV6201"/>
      <c r="AW6201"/>
    </row>
    <row r="6202" spans="1:49">
      <c r="A6202" t="str">
        <f t="shared" si="1154"/>
        <v>PA_Alleg_2019p~Rep-tax collector chalfant (vote for 1)</v>
      </c>
      <c r="B6202" s="55" t="s">
        <v>1291</v>
      </c>
      <c r="C6202">
        <v>1547</v>
      </c>
      <c r="D6202" s="55" t="s">
        <v>488</v>
      </c>
      <c r="E6202" s="55" t="s">
        <v>1130</v>
      </c>
      <c r="F6202" t="s">
        <v>1117</v>
      </c>
      <c r="G6202" s="62">
        <v>22</v>
      </c>
      <c r="H6202" s="25">
        <v>100</v>
      </c>
      <c r="I6202">
        <v>593</v>
      </c>
      <c r="J6202">
        <v>96</v>
      </c>
      <c r="K6202">
        <v>1</v>
      </c>
      <c r="L6202">
        <v>1</v>
      </c>
      <c r="M6202">
        <v>0</v>
      </c>
      <c r="N6202" s="23">
        <v>0</v>
      </c>
      <c r="O6202">
        <f t="shared" si="1147"/>
        <v>1</v>
      </c>
      <c r="P6202" s="57">
        <f t="shared" si="1148"/>
        <v>1</v>
      </c>
      <c r="Q6202" s="267">
        <f t="shared" si="1149"/>
        <v>22</v>
      </c>
      <c r="R6202" s="23">
        <f t="shared" si="1150"/>
        <v>22</v>
      </c>
      <c r="S6202" s="23">
        <f t="shared" si="1151"/>
        <v>0</v>
      </c>
      <c r="T6202" s="23" t="str">
        <f t="shared" si="1152"/>
        <v/>
      </c>
      <c r="U6202" t="str">
        <f t="shared" si="1153"/>
        <v>PA_Alleg_2019p~Rep-tax collector chalfant (vote for 1)</v>
      </c>
      <c r="V6202" s="40"/>
      <c r="X6202" s="43"/>
      <c r="Y6202" s="53"/>
      <c r="Z6202" s="53"/>
      <c r="AA6202"/>
      <c r="AB6202"/>
      <c r="AC6202" s="23"/>
      <c r="AD6202" s="23"/>
      <c r="AF6202" s="22"/>
      <c r="AG6202" s="89"/>
      <c r="AH6202" s="274"/>
      <c r="AI6202" s="279"/>
      <c r="AJ6202" s="280"/>
      <c r="AK6202" s="92"/>
      <c r="AL6202" s="23"/>
      <c r="AM6202" s="371"/>
      <c r="AN6202" s="372"/>
      <c r="AT6202" s="20"/>
      <c r="AU6202" s="29"/>
      <c r="AV6202"/>
      <c r="AW6202"/>
    </row>
    <row r="6203" spans="1:49">
      <c r="A6203" t="str">
        <f t="shared" si="1154"/>
        <v>PA_Alleg_2019p~Rep-tax collector chalfant (vote for 1)</v>
      </c>
      <c r="B6203" s="55" t="s">
        <v>1291</v>
      </c>
      <c r="C6203">
        <v>1548</v>
      </c>
      <c r="D6203" s="55" t="s">
        <v>488</v>
      </c>
      <c r="E6203" s="55" t="s">
        <v>15</v>
      </c>
      <c r="F6203" t="s">
        <v>1117</v>
      </c>
      <c r="G6203" s="62">
        <v>0</v>
      </c>
      <c r="H6203" s="25">
        <v>0</v>
      </c>
      <c r="I6203">
        <v>593</v>
      </c>
      <c r="J6203">
        <v>96</v>
      </c>
      <c r="K6203">
        <v>1</v>
      </c>
      <c r="L6203">
        <v>1</v>
      </c>
      <c r="M6203">
        <v>0</v>
      </c>
      <c r="N6203" s="23">
        <v>0</v>
      </c>
      <c r="O6203">
        <f t="shared" si="1147"/>
        <v>-1</v>
      </c>
      <c r="P6203" s="57">
        <f t="shared" si="1148"/>
        <v>1</v>
      </c>
      <c r="Q6203" s="267">
        <f t="shared" si="1149"/>
        <v>0</v>
      </c>
      <c r="R6203" s="23">
        <f t="shared" si="1150"/>
        <v>1</v>
      </c>
      <c r="S6203" s="23">
        <f t="shared" si="1151"/>
        <v>0</v>
      </c>
      <c r="T6203" s="23" t="str">
        <f t="shared" si="1152"/>
        <v/>
      </c>
      <c r="U6203" t="str">
        <f t="shared" si="1153"/>
        <v/>
      </c>
      <c r="V6203" s="40"/>
      <c r="X6203" s="43"/>
      <c r="Y6203" s="53"/>
      <c r="Z6203" s="53"/>
      <c r="AA6203"/>
      <c r="AB6203"/>
      <c r="AC6203" s="23"/>
      <c r="AD6203" s="23"/>
      <c r="AF6203" s="22"/>
      <c r="AG6203" s="89"/>
      <c r="AH6203" s="274"/>
      <c r="AI6203" s="279"/>
      <c r="AJ6203" s="280"/>
      <c r="AK6203" s="92"/>
      <c r="AL6203" s="23"/>
      <c r="AM6203" s="371"/>
      <c r="AN6203" s="372"/>
      <c r="AT6203" s="20"/>
      <c r="AU6203" s="29"/>
      <c r="AV6203"/>
      <c r="AW6203"/>
    </row>
    <row r="6204" spans="1:49">
      <c r="A6204" t="str">
        <f t="shared" si="1154"/>
        <v>PA_Alleg_2019p~Rep-tax collector glenfield (vote for 1)</v>
      </c>
      <c r="B6204" s="55" t="s">
        <v>1291</v>
      </c>
      <c r="C6204">
        <v>1549</v>
      </c>
      <c r="D6204" s="55" t="s">
        <v>489</v>
      </c>
      <c r="E6204" s="55" t="s">
        <v>15</v>
      </c>
      <c r="F6204" t="s">
        <v>1117</v>
      </c>
      <c r="G6204" s="62">
        <v>1</v>
      </c>
      <c r="H6204" s="25">
        <v>100</v>
      </c>
      <c r="I6204">
        <v>153</v>
      </c>
      <c r="J6204">
        <v>26</v>
      </c>
      <c r="K6204">
        <v>1</v>
      </c>
      <c r="L6204">
        <v>1</v>
      </c>
      <c r="M6204">
        <v>0</v>
      </c>
      <c r="N6204" s="23">
        <v>0</v>
      </c>
      <c r="O6204">
        <f t="shared" si="1147"/>
        <v>0</v>
      </c>
      <c r="P6204" s="57">
        <f t="shared" si="1148"/>
        <v>1</v>
      </c>
      <c r="Q6204" s="267">
        <f t="shared" si="1149"/>
        <v>1</v>
      </c>
      <c r="R6204" s="23">
        <f t="shared" si="1150"/>
        <v>1</v>
      </c>
      <c r="S6204" s="23">
        <f t="shared" si="1151"/>
        <v>0</v>
      </c>
      <c r="T6204" s="23" t="str">
        <f t="shared" si="1152"/>
        <v/>
      </c>
      <c r="U6204" t="str">
        <f t="shared" si="1153"/>
        <v>PA_Alleg_2019p~Rep-tax collector glenfield (vote for 1)</v>
      </c>
      <c r="V6204" s="40"/>
      <c r="X6204" s="43"/>
      <c r="Y6204" s="53"/>
      <c r="Z6204" s="53"/>
      <c r="AA6204"/>
      <c r="AB6204"/>
      <c r="AC6204" s="23"/>
      <c r="AD6204" s="23"/>
      <c r="AF6204" s="22"/>
      <c r="AG6204" s="89"/>
      <c r="AH6204" s="274"/>
      <c r="AI6204" s="279"/>
      <c r="AJ6204" s="280"/>
      <c r="AK6204" s="92"/>
      <c r="AL6204" s="23"/>
      <c r="AM6204" s="371"/>
      <c r="AN6204" s="372"/>
      <c r="AT6204" s="20"/>
      <c r="AU6204" s="29"/>
      <c r="AV6204"/>
      <c r="AW6204"/>
    </row>
    <row r="6205" spans="1:49">
      <c r="A6205" t="str">
        <f t="shared" si="1154"/>
        <v>PA_Alleg_2019p~Rep-tax collector haysville (vote for 1)</v>
      </c>
      <c r="B6205" s="55" t="s">
        <v>1291</v>
      </c>
      <c r="C6205">
        <v>1550</v>
      </c>
      <c r="D6205" s="55" t="s">
        <v>490</v>
      </c>
      <c r="E6205" s="55" t="s">
        <v>15</v>
      </c>
      <c r="F6205" t="s">
        <v>1117</v>
      </c>
      <c r="G6205" s="62">
        <v>1</v>
      </c>
      <c r="H6205" s="25">
        <v>100</v>
      </c>
      <c r="I6205">
        <v>61</v>
      </c>
      <c r="J6205">
        <v>12</v>
      </c>
      <c r="K6205">
        <v>1</v>
      </c>
      <c r="L6205">
        <v>1</v>
      </c>
      <c r="M6205">
        <v>0</v>
      </c>
      <c r="N6205" s="23">
        <v>0</v>
      </c>
      <c r="O6205">
        <f t="shared" si="1147"/>
        <v>0</v>
      </c>
      <c r="P6205" s="57">
        <f t="shared" si="1148"/>
        <v>1</v>
      </c>
      <c r="Q6205" s="267">
        <f t="shared" si="1149"/>
        <v>1</v>
      </c>
      <c r="R6205" s="23">
        <f t="shared" si="1150"/>
        <v>1</v>
      </c>
      <c r="S6205" s="23">
        <f t="shared" si="1151"/>
        <v>0</v>
      </c>
      <c r="T6205" s="23" t="str">
        <f t="shared" si="1152"/>
        <v/>
      </c>
      <c r="U6205" t="str">
        <f t="shared" si="1153"/>
        <v>PA_Alleg_2019p~Rep-tax collector haysville (vote for 1)</v>
      </c>
      <c r="V6205" s="40"/>
      <c r="X6205" s="43"/>
      <c r="Y6205" s="53"/>
      <c r="Z6205" s="53"/>
      <c r="AA6205"/>
      <c r="AB6205"/>
      <c r="AC6205" s="23"/>
      <c r="AD6205" s="23"/>
      <c r="AF6205" s="22"/>
      <c r="AG6205" s="89"/>
      <c r="AH6205" s="274"/>
      <c r="AI6205" s="279"/>
      <c r="AJ6205" s="280"/>
      <c r="AK6205" s="92"/>
      <c r="AL6205" s="23"/>
      <c r="AM6205" s="371"/>
      <c r="AN6205" s="372"/>
      <c r="AT6205" s="20"/>
      <c r="AU6205" s="29"/>
      <c r="AV6205"/>
      <c r="AW6205"/>
    </row>
    <row r="6206" spans="1:49">
      <c r="A6206" t="str">
        <f t="shared" si="1154"/>
        <v>PA_Alleg_2019p~Rep-tax collector homestead (vote for 1)</v>
      </c>
      <c r="B6206" s="55" t="s">
        <v>1291</v>
      </c>
      <c r="C6206">
        <v>1551</v>
      </c>
      <c r="D6206" s="55" t="s">
        <v>491</v>
      </c>
      <c r="E6206" s="55" t="s">
        <v>15</v>
      </c>
      <c r="F6206" t="s">
        <v>1117</v>
      </c>
      <c r="G6206" s="62">
        <v>0</v>
      </c>
      <c r="H6206" s="25">
        <v>0</v>
      </c>
      <c r="I6206">
        <v>2633</v>
      </c>
      <c r="J6206">
        <v>465</v>
      </c>
      <c r="K6206">
        <v>6</v>
      </c>
      <c r="L6206">
        <v>6</v>
      </c>
      <c r="M6206">
        <v>0</v>
      </c>
      <c r="N6206" s="23">
        <v>0</v>
      </c>
      <c r="O6206">
        <f t="shared" si="1147"/>
        <v>0</v>
      </c>
      <c r="P6206" s="57">
        <f t="shared" si="1148"/>
        <v>1</v>
      </c>
      <c r="Q6206" s="267">
        <f t="shared" si="1149"/>
        <v>0</v>
      </c>
      <c r="R6206" s="23">
        <f t="shared" si="1150"/>
        <v>1</v>
      </c>
      <c r="S6206" s="23">
        <f t="shared" si="1151"/>
        <v>0</v>
      </c>
      <c r="T6206" s="23" t="str">
        <f t="shared" si="1152"/>
        <v/>
      </c>
      <c r="U6206" t="str">
        <f t="shared" si="1153"/>
        <v>PA_Alleg_2019p~Rep-tax collector homestead (vote for 1)</v>
      </c>
      <c r="V6206" s="40"/>
      <c r="X6206" s="43"/>
      <c r="Y6206" s="53"/>
      <c r="Z6206" s="53"/>
      <c r="AA6206"/>
      <c r="AB6206"/>
      <c r="AC6206" s="23"/>
      <c r="AD6206" s="23"/>
      <c r="AF6206" s="22"/>
      <c r="AG6206" s="89"/>
      <c r="AH6206" s="274"/>
      <c r="AI6206" s="279"/>
      <c r="AJ6206" s="280"/>
      <c r="AK6206" s="92"/>
      <c r="AL6206" s="23"/>
      <c r="AM6206" s="371"/>
      <c r="AN6206" s="372"/>
      <c r="AT6206" s="20"/>
      <c r="AU6206" s="29"/>
      <c r="AV6206"/>
      <c r="AW6206"/>
    </row>
    <row r="6207" spans="1:49">
      <c r="A6207" t="str">
        <f t="shared" si="1154"/>
        <v>PA_Alleg_2019p~Rep-tax collector ingram (vote for 1)</v>
      </c>
      <c r="B6207" s="55" t="s">
        <v>1291</v>
      </c>
      <c r="C6207">
        <v>1552</v>
      </c>
      <c r="D6207" s="55" t="s">
        <v>493</v>
      </c>
      <c r="E6207" s="55" t="s">
        <v>15</v>
      </c>
      <c r="F6207" t="s">
        <v>1117</v>
      </c>
      <c r="G6207" s="62">
        <v>6</v>
      </c>
      <c r="H6207" s="25">
        <v>100</v>
      </c>
      <c r="I6207">
        <v>2397</v>
      </c>
      <c r="J6207">
        <v>288</v>
      </c>
      <c r="K6207">
        <v>3</v>
      </c>
      <c r="L6207">
        <v>3</v>
      </c>
      <c r="M6207">
        <v>0</v>
      </c>
      <c r="N6207" s="23">
        <v>0</v>
      </c>
      <c r="O6207">
        <f t="shared" si="1147"/>
        <v>0</v>
      </c>
      <c r="P6207" s="57">
        <f t="shared" si="1148"/>
        <v>1</v>
      </c>
      <c r="Q6207" s="267">
        <f t="shared" si="1149"/>
        <v>6</v>
      </c>
      <c r="R6207" s="23">
        <f t="shared" si="1150"/>
        <v>1</v>
      </c>
      <c r="S6207" s="23">
        <f t="shared" si="1151"/>
        <v>0</v>
      </c>
      <c r="T6207" s="23" t="str">
        <f t="shared" si="1152"/>
        <v/>
      </c>
      <c r="U6207" t="str">
        <f t="shared" si="1153"/>
        <v>PA_Alleg_2019p~Rep-tax collector ingram (vote for 1)</v>
      </c>
      <c r="V6207" s="40"/>
      <c r="X6207" s="43"/>
      <c r="Y6207" s="53"/>
      <c r="Z6207" s="53"/>
      <c r="AA6207"/>
      <c r="AB6207"/>
      <c r="AC6207" s="23"/>
      <c r="AD6207" s="23"/>
      <c r="AF6207" s="22"/>
      <c r="AG6207" s="89"/>
      <c r="AH6207" s="274"/>
      <c r="AI6207" s="279"/>
      <c r="AJ6207" s="280"/>
      <c r="AK6207" s="92"/>
      <c r="AL6207" s="23"/>
      <c r="AM6207" s="371"/>
      <c r="AN6207" s="372"/>
      <c r="AT6207" s="20"/>
      <c r="AU6207" s="29"/>
      <c r="AV6207"/>
      <c r="AW6207"/>
    </row>
    <row r="6208" spans="1:49">
      <c r="A6208" t="str">
        <f t="shared" si="1154"/>
        <v>PA_Alleg_2019p~Rep-tax collector oakmont (vote for 1)</v>
      </c>
      <c r="B6208" s="55" t="s">
        <v>1291</v>
      </c>
      <c r="C6208">
        <v>1553</v>
      </c>
      <c r="D6208" s="55" t="s">
        <v>494</v>
      </c>
      <c r="E6208" s="55" t="s">
        <v>15</v>
      </c>
      <c r="F6208" t="s">
        <v>1117</v>
      </c>
      <c r="G6208" s="62">
        <v>9</v>
      </c>
      <c r="H6208" s="25">
        <v>100</v>
      </c>
      <c r="I6208">
        <v>5545</v>
      </c>
      <c r="J6208">
        <v>1102</v>
      </c>
      <c r="K6208">
        <v>6</v>
      </c>
      <c r="L6208">
        <v>6</v>
      </c>
      <c r="M6208">
        <v>0</v>
      </c>
      <c r="N6208" s="23">
        <v>0</v>
      </c>
      <c r="O6208">
        <f t="shared" si="1147"/>
        <v>0</v>
      </c>
      <c r="P6208" s="57">
        <f t="shared" si="1148"/>
        <v>1</v>
      </c>
      <c r="Q6208" s="267">
        <f t="shared" si="1149"/>
        <v>9</v>
      </c>
      <c r="R6208" s="23">
        <f t="shared" si="1150"/>
        <v>1</v>
      </c>
      <c r="S6208" s="23">
        <f t="shared" si="1151"/>
        <v>0</v>
      </c>
      <c r="T6208" s="23" t="str">
        <f t="shared" si="1152"/>
        <v/>
      </c>
      <c r="U6208" t="str">
        <f t="shared" si="1153"/>
        <v>PA_Alleg_2019p~Rep-tax collector oakmont (vote for 1)</v>
      </c>
      <c r="V6208" s="40"/>
      <c r="X6208" s="43"/>
      <c r="Y6208" s="53"/>
      <c r="Z6208" s="53"/>
      <c r="AA6208"/>
      <c r="AB6208"/>
      <c r="AC6208" s="23"/>
      <c r="AD6208" s="23"/>
      <c r="AF6208" s="22"/>
      <c r="AG6208" s="89"/>
      <c r="AH6208" s="274"/>
      <c r="AI6208" s="279"/>
      <c r="AJ6208" s="280"/>
      <c r="AK6208" s="92"/>
      <c r="AL6208" s="23"/>
      <c r="AM6208" s="371"/>
      <c r="AN6208" s="372"/>
      <c r="AT6208" s="20"/>
      <c r="AU6208" s="29"/>
      <c r="AV6208"/>
      <c r="AW6208"/>
    </row>
    <row r="6209" spans="1:49">
      <c r="A6209" t="str">
        <f t="shared" si="1154"/>
        <v>PA_Alleg_2019p~Rep-tax collector ross (vote for 1)</v>
      </c>
      <c r="B6209" s="55" t="s">
        <v>1291</v>
      </c>
      <c r="C6209">
        <v>1554</v>
      </c>
      <c r="D6209" s="55" t="s">
        <v>495</v>
      </c>
      <c r="E6209" s="55" t="s">
        <v>1131</v>
      </c>
      <c r="F6209" t="s">
        <v>1117</v>
      </c>
      <c r="G6209" s="62">
        <v>1270</v>
      </c>
      <c r="H6209" s="25">
        <v>98.37</v>
      </c>
      <c r="I6209">
        <v>24688</v>
      </c>
      <c r="J6209">
        <v>4450</v>
      </c>
      <c r="K6209">
        <v>33</v>
      </c>
      <c r="L6209">
        <v>33</v>
      </c>
      <c r="M6209">
        <v>0</v>
      </c>
      <c r="N6209" s="23">
        <v>0</v>
      </c>
      <c r="O6209">
        <f t="shared" si="1147"/>
        <v>1</v>
      </c>
      <c r="P6209" s="57">
        <f t="shared" si="1148"/>
        <v>1</v>
      </c>
      <c r="Q6209" s="267">
        <f t="shared" si="1149"/>
        <v>1291</v>
      </c>
      <c r="R6209" s="23">
        <f t="shared" si="1150"/>
        <v>1270</v>
      </c>
      <c r="S6209" s="23">
        <f t="shared" si="1151"/>
        <v>0</v>
      </c>
      <c r="T6209" s="23" t="str">
        <f t="shared" si="1152"/>
        <v/>
      </c>
      <c r="U6209" t="str">
        <f t="shared" si="1153"/>
        <v>PA_Alleg_2019p~Rep-tax collector ross (vote for 1)</v>
      </c>
      <c r="V6209" s="40"/>
      <c r="X6209" s="43"/>
      <c r="Y6209" s="53"/>
      <c r="Z6209" s="53"/>
      <c r="AA6209"/>
      <c r="AB6209"/>
      <c r="AC6209" s="23"/>
      <c r="AD6209" s="23"/>
      <c r="AF6209" s="22"/>
      <c r="AG6209" s="89"/>
      <c r="AH6209" s="274"/>
      <c r="AI6209" s="279"/>
      <c r="AJ6209" s="280"/>
      <c r="AK6209" s="92"/>
      <c r="AL6209" s="23"/>
      <c r="AM6209" s="371"/>
      <c r="AN6209" s="372"/>
      <c r="AT6209" s="20"/>
      <c r="AU6209" s="29"/>
      <c r="AV6209"/>
      <c r="AW6209"/>
    </row>
    <row r="6210" spans="1:49">
      <c r="A6210" t="str">
        <f t="shared" si="1154"/>
        <v>PA_Alleg_2019p~Rep-tax collector ross (vote for 1)</v>
      </c>
      <c r="B6210" s="55" t="s">
        <v>1291</v>
      </c>
      <c r="C6210">
        <v>1555</v>
      </c>
      <c r="D6210" s="55" t="s">
        <v>495</v>
      </c>
      <c r="E6210" s="55" t="s">
        <v>15</v>
      </c>
      <c r="F6210" t="s">
        <v>1117</v>
      </c>
      <c r="G6210" s="62">
        <v>21</v>
      </c>
      <c r="H6210" s="25">
        <v>1.63</v>
      </c>
      <c r="I6210">
        <v>24688</v>
      </c>
      <c r="J6210">
        <v>4450</v>
      </c>
      <c r="K6210">
        <v>33</v>
      </c>
      <c r="L6210">
        <v>33</v>
      </c>
      <c r="M6210">
        <v>0</v>
      </c>
      <c r="N6210" s="23">
        <v>0</v>
      </c>
      <c r="O6210">
        <f t="shared" ref="O6210:O6273" si="1155">IF(OR(LOWER(LEFT(E6210,8))="write-in",LOWER(LEFT(E6210,8))="not qual"),IF(A6210=A6209,-ABS(O6209),0),IF(A6210=A6209,ABS(O6209)+1,1))</f>
        <v>-1</v>
      </c>
      <c r="P6210" s="57">
        <f t="shared" ref="P6210:P6273" si="1156">1*LEFT(RIGHT(A6210,2),1)</f>
        <v>1</v>
      </c>
      <c r="Q6210" s="267">
        <f t="shared" ref="Q6210:Q6273" si="1157">IF(A6210&lt;&gt;A6211,G6210,IF(A6210=A6209,G6210+Q6211,MAX(G6210,(G6210+Q6211)/P6210)))</f>
        <v>21</v>
      </c>
      <c r="R6210" s="23">
        <f t="shared" ref="R6210:R6273" si="1158">IF(O6210&gt;P6210,"",IF(O6210=P6210,G6210,IF(A6210=A6211,R6211,IF(O6210&lt;=0,1,G6210))))</f>
        <v>1</v>
      </c>
      <c r="S6210" s="23">
        <f t="shared" ref="S6210:S6273" si="1159">IF(AND(O6210&gt;P6210,LOWER(LEFT(E6210,8))&lt;&gt;"write-in",LOWER(LEFT(E6210,8))&lt;&gt;"not qual"),G6210,IF(A6210=A6211,S6211,0))</f>
        <v>0</v>
      </c>
      <c r="T6210" s="23" t="str">
        <f t="shared" ref="T6210:T6273" si="1160">IF(OR(A6210=A6209,S6210=0),"",R6210-ABS(S6210))</f>
        <v/>
      </c>
      <c r="U6210" t="str">
        <f t="shared" ref="U6210:U6273" si="1161">IF(A6210=A6209,"",A6210)</f>
        <v/>
      </c>
      <c r="V6210" s="40"/>
      <c r="X6210" s="43"/>
      <c r="Y6210" s="53"/>
      <c r="Z6210" s="53"/>
      <c r="AA6210"/>
      <c r="AB6210"/>
      <c r="AC6210" s="23"/>
      <c r="AD6210" s="23"/>
      <c r="AF6210" s="22"/>
      <c r="AG6210" s="89"/>
      <c r="AH6210" s="274"/>
      <c r="AI6210" s="279"/>
      <c r="AJ6210" s="280"/>
      <c r="AK6210" s="92"/>
      <c r="AL6210" s="23"/>
      <c r="AM6210" s="371"/>
      <c r="AN6210" s="372"/>
      <c r="AT6210" s="20"/>
      <c r="AU6210" s="29"/>
      <c r="AV6210"/>
      <c r="AW6210"/>
    </row>
    <row r="6211" spans="1:49">
      <c r="A6211" t="str">
        <f t="shared" ref="A6211:A6215" si="1162">CONCATENATE(B6211,"~",F6211,"-",LOWER(D6211))</f>
        <v>PA_Alleg_2019p~Rep-tax collector rosslyn farms (vote for 1)</v>
      </c>
      <c r="B6211" s="55" t="s">
        <v>1291</v>
      </c>
      <c r="C6211">
        <v>1556</v>
      </c>
      <c r="D6211" s="55" t="s">
        <v>497</v>
      </c>
      <c r="E6211" s="55" t="s">
        <v>15</v>
      </c>
      <c r="F6211" t="s">
        <v>1117</v>
      </c>
      <c r="G6211" s="62">
        <v>0</v>
      </c>
      <c r="H6211" s="25">
        <v>0</v>
      </c>
      <c r="I6211">
        <v>402</v>
      </c>
      <c r="J6211">
        <v>112</v>
      </c>
      <c r="K6211">
        <v>1</v>
      </c>
      <c r="L6211">
        <v>1</v>
      </c>
      <c r="M6211">
        <v>0</v>
      </c>
      <c r="N6211" s="23">
        <v>0</v>
      </c>
      <c r="O6211">
        <f t="shared" si="1155"/>
        <v>0</v>
      </c>
      <c r="P6211" s="57">
        <f t="shared" si="1156"/>
        <v>1</v>
      </c>
      <c r="Q6211" s="267">
        <f t="shared" si="1157"/>
        <v>0</v>
      </c>
      <c r="R6211" s="23">
        <f t="shared" si="1158"/>
        <v>1</v>
      </c>
      <c r="S6211" s="23">
        <f t="shared" si="1159"/>
        <v>0</v>
      </c>
      <c r="T6211" s="23" t="str">
        <f t="shared" si="1160"/>
        <v/>
      </c>
      <c r="U6211" t="str">
        <f t="shared" si="1161"/>
        <v>PA_Alleg_2019p~Rep-tax collector rosslyn farms (vote for 1)</v>
      </c>
      <c r="V6211" s="40"/>
      <c r="X6211" s="43"/>
      <c r="Y6211" s="53"/>
      <c r="Z6211" s="53"/>
      <c r="AA6211"/>
      <c r="AB6211"/>
      <c r="AC6211" s="23"/>
      <c r="AD6211" s="23"/>
      <c r="AF6211" s="22"/>
      <c r="AG6211" s="89"/>
      <c r="AH6211" s="274"/>
      <c r="AI6211" s="279"/>
      <c r="AJ6211" s="280"/>
      <c r="AK6211" s="92"/>
      <c r="AL6211" s="23"/>
      <c r="AM6211" s="371"/>
      <c r="AN6211" s="372"/>
      <c r="AT6211" s="20"/>
      <c r="AU6211" s="29"/>
      <c r="AV6211"/>
      <c r="AW6211"/>
    </row>
    <row r="6212" spans="1:49">
      <c r="A6212" t="str">
        <f t="shared" si="1162"/>
        <v>PA_Alleg_2019p~Rep-tax collector sewickley heights (vote for 1)</v>
      </c>
      <c r="B6212" s="55" t="s">
        <v>1291</v>
      </c>
      <c r="C6212">
        <v>1557</v>
      </c>
      <c r="D6212" s="55" t="s">
        <v>498</v>
      </c>
      <c r="E6212" s="55" t="s">
        <v>15</v>
      </c>
      <c r="F6212" t="s">
        <v>1117</v>
      </c>
      <c r="G6212" s="62">
        <v>7</v>
      </c>
      <c r="H6212" s="25">
        <v>100</v>
      </c>
      <c r="I6212">
        <v>784</v>
      </c>
      <c r="J6212">
        <v>144</v>
      </c>
      <c r="K6212">
        <v>1</v>
      </c>
      <c r="L6212">
        <v>1</v>
      </c>
      <c r="M6212">
        <v>0</v>
      </c>
      <c r="N6212" s="23">
        <v>0</v>
      </c>
      <c r="O6212">
        <f t="shared" si="1155"/>
        <v>0</v>
      </c>
      <c r="P6212" s="57">
        <f t="shared" si="1156"/>
        <v>1</v>
      </c>
      <c r="Q6212" s="267">
        <f t="shared" si="1157"/>
        <v>7</v>
      </c>
      <c r="R6212" s="23">
        <f t="shared" si="1158"/>
        <v>1</v>
      </c>
      <c r="S6212" s="23">
        <f t="shared" si="1159"/>
        <v>0</v>
      </c>
      <c r="T6212" s="23" t="str">
        <f t="shared" si="1160"/>
        <v/>
      </c>
      <c r="U6212" t="str">
        <f t="shared" si="1161"/>
        <v>PA_Alleg_2019p~Rep-tax collector sewickley heights (vote for 1)</v>
      </c>
      <c r="V6212" s="40"/>
      <c r="X6212" s="43"/>
      <c r="Y6212" s="53"/>
      <c r="Z6212" s="53"/>
      <c r="AA6212"/>
      <c r="AB6212"/>
      <c r="AC6212" s="23"/>
      <c r="AD6212" s="23"/>
      <c r="AF6212" s="22"/>
      <c r="AG6212" s="89"/>
      <c r="AH6212" s="274"/>
      <c r="AI6212" s="279"/>
      <c r="AJ6212" s="280"/>
      <c r="AK6212" s="92"/>
      <c r="AL6212" s="23"/>
      <c r="AM6212" s="371"/>
      <c r="AN6212" s="372"/>
      <c r="AT6212" s="20"/>
      <c r="AU6212" s="29"/>
      <c r="AV6212"/>
      <c r="AW6212"/>
    </row>
    <row r="6213" spans="1:49">
      <c r="A6213" t="str">
        <f t="shared" si="1162"/>
        <v>PA_Alleg_2019p~Rep-tax collector stowe (vote for 1)</v>
      </c>
      <c r="B6213" s="55" t="s">
        <v>1291</v>
      </c>
      <c r="C6213">
        <v>1558</v>
      </c>
      <c r="D6213" s="55" t="s">
        <v>499</v>
      </c>
      <c r="E6213" s="55" t="s">
        <v>15</v>
      </c>
      <c r="F6213" t="s">
        <v>1117</v>
      </c>
      <c r="G6213" s="62">
        <v>5</v>
      </c>
      <c r="H6213" s="25">
        <v>100</v>
      </c>
      <c r="I6213">
        <v>4411</v>
      </c>
      <c r="J6213">
        <v>829</v>
      </c>
      <c r="K6213">
        <v>11</v>
      </c>
      <c r="L6213">
        <v>11</v>
      </c>
      <c r="M6213">
        <v>0</v>
      </c>
      <c r="N6213" s="23">
        <v>0</v>
      </c>
      <c r="O6213">
        <f t="shared" si="1155"/>
        <v>0</v>
      </c>
      <c r="P6213" s="57">
        <f t="shared" si="1156"/>
        <v>1</v>
      </c>
      <c r="Q6213" s="267">
        <f t="shared" si="1157"/>
        <v>5</v>
      </c>
      <c r="R6213" s="23">
        <f t="shared" si="1158"/>
        <v>1</v>
      </c>
      <c r="S6213" s="23">
        <f t="shared" si="1159"/>
        <v>0</v>
      </c>
      <c r="T6213" s="23" t="str">
        <f t="shared" si="1160"/>
        <v/>
      </c>
      <c r="U6213" t="str">
        <f t="shared" si="1161"/>
        <v>PA_Alleg_2019p~Rep-tax collector stowe (vote for 1)</v>
      </c>
      <c r="V6213" s="40"/>
      <c r="X6213" s="43"/>
      <c r="Y6213" s="53"/>
      <c r="Z6213" s="53"/>
      <c r="AA6213"/>
      <c r="AB6213"/>
      <c r="AC6213" s="23"/>
      <c r="AD6213" s="23"/>
      <c r="AF6213" s="22"/>
      <c r="AG6213" s="89"/>
      <c r="AH6213" s="274"/>
      <c r="AI6213" s="279"/>
      <c r="AJ6213" s="280"/>
      <c r="AK6213" s="92"/>
      <c r="AL6213" s="23"/>
      <c r="AM6213" s="371"/>
      <c r="AN6213" s="372"/>
      <c r="AT6213" s="20"/>
      <c r="AU6213" s="29"/>
      <c r="AV6213"/>
      <c r="AW6213"/>
    </row>
    <row r="6214" spans="1:49">
      <c r="A6214" t="str">
        <f t="shared" si="1162"/>
        <v>PA_Alleg_2019p~Rep-tax collector verona (vote for 1)</v>
      </c>
      <c r="B6214" s="55" t="s">
        <v>1291</v>
      </c>
      <c r="C6214">
        <v>1559</v>
      </c>
      <c r="D6214" s="55" t="s">
        <v>500</v>
      </c>
      <c r="E6214" s="55" t="s">
        <v>15</v>
      </c>
      <c r="F6214" t="s">
        <v>1117</v>
      </c>
      <c r="G6214" s="62">
        <v>4</v>
      </c>
      <c r="H6214" s="25">
        <v>100</v>
      </c>
      <c r="I6214">
        <v>1708</v>
      </c>
      <c r="J6214">
        <v>424</v>
      </c>
      <c r="K6214">
        <v>3</v>
      </c>
      <c r="L6214">
        <v>3</v>
      </c>
      <c r="M6214">
        <v>0</v>
      </c>
      <c r="N6214" s="23">
        <v>0</v>
      </c>
      <c r="O6214">
        <f t="shared" si="1155"/>
        <v>0</v>
      </c>
      <c r="P6214" s="57">
        <f t="shared" si="1156"/>
        <v>1</v>
      </c>
      <c r="Q6214" s="267">
        <f t="shared" si="1157"/>
        <v>4</v>
      </c>
      <c r="R6214" s="23">
        <f t="shared" si="1158"/>
        <v>1</v>
      </c>
      <c r="S6214" s="23">
        <f t="shared" si="1159"/>
        <v>0</v>
      </c>
      <c r="T6214" s="23" t="str">
        <f t="shared" si="1160"/>
        <v/>
      </c>
      <c r="U6214" t="str">
        <f t="shared" si="1161"/>
        <v>PA_Alleg_2019p~Rep-tax collector verona (vote for 1)</v>
      </c>
      <c r="V6214" s="40"/>
      <c r="X6214" s="43"/>
      <c r="Y6214" s="53"/>
      <c r="Z6214" s="53"/>
      <c r="AA6214"/>
      <c r="AB6214"/>
      <c r="AC6214" s="23"/>
      <c r="AD6214" s="23"/>
      <c r="AF6214" s="22"/>
      <c r="AG6214" s="89"/>
      <c r="AH6214" s="274"/>
      <c r="AI6214" s="279"/>
      <c r="AJ6214" s="280"/>
      <c r="AK6214" s="92"/>
      <c r="AL6214" s="23"/>
      <c r="AM6214" s="371"/>
      <c r="AN6214" s="372"/>
      <c r="AT6214" s="20"/>
      <c r="AU6214" s="29"/>
      <c r="AV6214"/>
      <c r="AW6214"/>
    </row>
    <row r="6215" spans="1:49">
      <c r="A6215" t="str">
        <f t="shared" si="1162"/>
        <v>PA_Alleg_2019p~Rep-treasurer duquesne (vote for 1)</v>
      </c>
      <c r="B6215" s="55" t="s">
        <v>1291</v>
      </c>
      <c r="C6215">
        <v>1560</v>
      </c>
      <c r="D6215" s="55" t="s">
        <v>501</v>
      </c>
      <c r="E6215" s="55" t="s">
        <v>15</v>
      </c>
      <c r="F6215" t="s">
        <v>1117</v>
      </c>
      <c r="G6215" s="62">
        <v>6</v>
      </c>
      <c r="H6215" s="25">
        <v>100</v>
      </c>
      <c r="I6215">
        <v>3901</v>
      </c>
      <c r="J6215">
        <v>641</v>
      </c>
      <c r="K6215">
        <v>10</v>
      </c>
      <c r="L6215">
        <v>10</v>
      </c>
      <c r="M6215">
        <v>0</v>
      </c>
      <c r="N6215" s="23">
        <v>0</v>
      </c>
      <c r="O6215">
        <f t="shared" si="1155"/>
        <v>0</v>
      </c>
      <c r="P6215" s="57">
        <f t="shared" si="1156"/>
        <v>1</v>
      </c>
      <c r="Q6215" s="267">
        <f t="shared" si="1157"/>
        <v>6</v>
      </c>
      <c r="R6215" s="23">
        <f t="shared" si="1158"/>
        <v>1</v>
      </c>
      <c r="S6215" s="23">
        <f t="shared" si="1159"/>
        <v>0</v>
      </c>
      <c r="T6215" s="23" t="str">
        <f t="shared" si="1160"/>
        <v/>
      </c>
      <c r="U6215" t="str">
        <f t="shared" si="1161"/>
        <v>PA_Alleg_2019p~Rep-treasurer duquesne (vote for 1)</v>
      </c>
      <c r="V6215" s="40"/>
      <c r="X6215" s="43"/>
      <c r="Y6215" s="53"/>
      <c r="Z6215" s="53"/>
      <c r="AA6215"/>
      <c r="AB6215"/>
      <c r="AC6215" s="23"/>
      <c r="AD6215" s="23"/>
      <c r="AF6215" s="22"/>
      <c r="AG6215" s="89"/>
      <c r="AH6215" s="274"/>
      <c r="AI6215" s="279"/>
      <c r="AJ6215" s="280"/>
      <c r="AK6215" s="92"/>
      <c r="AL6215" s="23"/>
      <c r="AM6215" s="371"/>
      <c r="AN6215" s="372"/>
      <c r="AT6215" s="20"/>
      <c r="AU6215" s="29"/>
      <c r="AV6215"/>
      <c r="AW6215"/>
    </row>
    <row r="6216" spans="1:49">
      <c r="A6216" t="str">
        <f t="shared" ref="A6216:A6247" si="1163">CONCATENATE(B6216,"~Gen-",LOWER(D6216))</f>
        <v>PA_Alleg_2020g~Gen-attorney general (vote for 1)</v>
      </c>
      <c r="B6216" s="55" t="s">
        <v>1395</v>
      </c>
      <c r="C6216">
        <v>5</v>
      </c>
      <c r="D6216" s="55" t="s">
        <v>1301</v>
      </c>
      <c r="E6216" s="55" t="s">
        <v>1302</v>
      </c>
      <c r="F6216" t="s">
        <v>1294</v>
      </c>
      <c r="G6216" s="62">
        <v>443166</v>
      </c>
      <c r="H6216">
        <v>62.18</v>
      </c>
      <c r="I6216">
        <v>942851</v>
      </c>
      <c r="J6216">
        <v>0</v>
      </c>
      <c r="K6216">
        <v>1323</v>
      </c>
      <c r="L6216">
        <v>1323</v>
      </c>
      <c r="M6216">
        <v>0</v>
      </c>
      <c r="N6216" s="23">
        <v>0</v>
      </c>
      <c r="O6216">
        <f t="shared" si="1155"/>
        <v>1</v>
      </c>
      <c r="P6216" s="57">
        <f t="shared" si="1156"/>
        <v>1</v>
      </c>
      <c r="Q6216" s="267">
        <f t="shared" si="1157"/>
        <v>712671</v>
      </c>
      <c r="R6216" s="23">
        <f t="shared" si="1158"/>
        <v>443166</v>
      </c>
      <c r="S6216" s="23">
        <f t="shared" si="1159"/>
        <v>246253</v>
      </c>
      <c r="T6216" s="23">
        <f t="shared" si="1160"/>
        <v>196913</v>
      </c>
      <c r="U6216" t="str">
        <f t="shared" si="1161"/>
        <v>PA_Alleg_2020g~Gen-attorney general (vote for 1)</v>
      </c>
      <c r="V6216" s="40"/>
      <c r="X6216" s="43"/>
      <c r="Y6216" s="53"/>
      <c r="Z6216" s="53"/>
      <c r="AA6216"/>
      <c r="AB6216"/>
      <c r="AC6216" s="23"/>
      <c r="AD6216" s="23"/>
      <c r="AF6216" s="22"/>
      <c r="AG6216" s="89"/>
      <c r="AH6216" s="274"/>
      <c r="AI6216" s="279"/>
      <c r="AJ6216" s="280"/>
      <c r="AK6216" s="92"/>
      <c r="AL6216" s="23"/>
      <c r="AM6216" s="371"/>
      <c r="AN6216" s="372"/>
      <c r="AT6216" s="20"/>
      <c r="AU6216" s="29"/>
      <c r="AV6216"/>
      <c r="AW6216"/>
    </row>
    <row r="6217" spans="1:49">
      <c r="A6217" t="str">
        <f t="shared" si="1163"/>
        <v>PA_Alleg_2020g~Gen-attorney general (vote for 1)</v>
      </c>
      <c r="B6217" s="55" t="s">
        <v>1395</v>
      </c>
      <c r="C6217">
        <v>6</v>
      </c>
      <c r="D6217" s="55" t="s">
        <v>1301</v>
      </c>
      <c r="E6217" s="55" t="s">
        <v>1303</v>
      </c>
      <c r="F6217" t="s">
        <v>1296</v>
      </c>
      <c r="G6217" s="62">
        <v>246253</v>
      </c>
      <c r="H6217">
        <v>34.549999999999997</v>
      </c>
      <c r="I6217">
        <v>942851</v>
      </c>
      <c r="J6217">
        <v>0</v>
      </c>
      <c r="K6217">
        <v>1323</v>
      </c>
      <c r="L6217">
        <v>1323</v>
      </c>
      <c r="M6217">
        <v>0</v>
      </c>
      <c r="N6217" s="23">
        <v>0</v>
      </c>
      <c r="O6217">
        <f t="shared" si="1155"/>
        <v>2</v>
      </c>
      <c r="P6217" s="57">
        <f t="shared" si="1156"/>
        <v>1</v>
      </c>
      <c r="Q6217" s="267">
        <f t="shared" si="1157"/>
        <v>269505</v>
      </c>
      <c r="R6217" s="23" t="str">
        <f t="shared" si="1158"/>
        <v/>
      </c>
      <c r="S6217" s="23">
        <f t="shared" si="1159"/>
        <v>246253</v>
      </c>
      <c r="T6217" s="23" t="str">
        <f t="shared" si="1160"/>
        <v/>
      </c>
      <c r="U6217" t="str">
        <f t="shared" si="1161"/>
        <v/>
      </c>
      <c r="V6217" s="40"/>
      <c r="X6217" s="43"/>
      <c r="Y6217" s="53"/>
      <c r="Z6217" s="53"/>
      <c r="AA6217"/>
      <c r="AB6217"/>
      <c r="AC6217" s="23"/>
      <c r="AD6217" s="23"/>
      <c r="AF6217" s="22"/>
      <c r="AG6217" s="89"/>
      <c r="AH6217" s="274"/>
      <c r="AI6217" s="279"/>
      <c r="AJ6217" s="280"/>
      <c r="AK6217" s="92"/>
      <c r="AL6217" s="23"/>
      <c r="AM6217" s="371"/>
      <c r="AN6217" s="372"/>
      <c r="AT6217" s="20"/>
      <c r="AU6217" s="29"/>
      <c r="AV6217"/>
      <c r="AW6217"/>
    </row>
    <row r="6218" spans="1:49">
      <c r="A6218" t="str">
        <f t="shared" si="1163"/>
        <v>PA_Alleg_2020g~Gen-attorney general (vote for 1)</v>
      </c>
      <c r="B6218" s="55" t="s">
        <v>1395</v>
      </c>
      <c r="C6218">
        <v>7</v>
      </c>
      <c r="D6218" s="55" t="s">
        <v>1301</v>
      </c>
      <c r="E6218" s="55" t="s">
        <v>1304</v>
      </c>
      <c r="F6218" t="s">
        <v>1298</v>
      </c>
      <c r="G6218" s="62">
        <v>13585</v>
      </c>
      <c r="H6218">
        <v>1.91</v>
      </c>
      <c r="I6218">
        <v>942851</v>
      </c>
      <c r="J6218">
        <v>0</v>
      </c>
      <c r="K6218">
        <v>1323</v>
      </c>
      <c r="L6218">
        <v>1323</v>
      </c>
      <c r="M6218">
        <v>0</v>
      </c>
      <c r="N6218" s="23">
        <v>0</v>
      </c>
      <c r="O6218">
        <f t="shared" si="1155"/>
        <v>3</v>
      </c>
      <c r="P6218" s="57">
        <f t="shared" si="1156"/>
        <v>1</v>
      </c>
      <c r="Q6218" s="267">
        <f t="shared" si="1157"/>
        <v>23252</v>
      </c>
      <c r="R6218" s="23" t="str">
        <f t="shared" si="1158"/>
        <v/>
      </c>
      <c r="S6218" s="23">
        <f t="shared" si="1159"/>
        <v>13585</v>
      </c>
      <c r="T6218" s="23" t="str">
        <f t="shared" si="1160"/>
        <v/>
      </c>
      <c r="U6218" t="str">
        <f t="shared" si="1161"/>
        <v/>
      </c>
      <c r="V6218" s="40"/>
      <c r="X6218" s="43"/>
      <c r="Y6218" s="53"/>
      <c r="Z6218" s="53"/>
      <c r="AA6218"/>
      <c r="AB6218"/>
      <c r="AC6218" s="23"/>
      <c r="AD6218" s="23"/>
      <c r="AF6218" s="22"/>
      <c r="AG6218" s="89"/>
      <c r="AH6218" s="274"/>
      <c r="AI6218" s="279"/>
      <c r="AJ6218" s="280"/>
      <c r="AK6218" s="92"/>
      <c r="AL6218" s="23"/>
      <c r="AM6218" s="371"/>
      <c r="AN6218" s="372"/>
      <c r="AT6218" s="20"/>
      <c r="AU6218" s="29"/>
      <c r="AV6218"/>
      <c r="AW6218"/>
    </row>
    <row r="6219" spans="1:49">
      <c r="A6219" t="str">
        <f t="shared" si="1163"/>
        <v>PA_Alleg_2020g~Gen-attorney general (vote for 1)</v>
      </c>
      <c r="B6219" s="55" t="s">
        <v>1395</v>
      </c>
      <c r="C6219">
        <v>8</v>
      </c>
      <c r="D6219" s="55" t="s">
        <v>1301</v>
      </c>
      <c r="E6219" s="55" t="s">
        <v>1305</v>
      </c>
      <c r="F6219" t="s">
        <v>1306</v>
      </c>
      <c r="G6219" s="62">
        <v>9220</v>
      </c>
      <c r="H6219">
        <v>1.29</v>
      </c>
      <c r="I6219">
        <v>942851</v>
      </c>
      <c r="J6219">
        <v>0</v>
      </c>
      <c r="K6219">
        <v>1323</v>
      </c>
      <c r="L6219">
        <v>1323</v>
      </c>
      <c r="M6219">
        <v>0</v>
      </c>
      <c r="N6219" s="23">
        <v>0</v>
      </c>
      <c r="O6219">
        <f t="shared" si="1155"/>
        <v>4</v>
      </c>
      <c r="P6219" s="57">
        <f t="shared" si="1156"/>
        <v>1</v>
      </c>
      <c r="Q6219" s="267">
        <f t="shared" si="1157"/>
        <v>9667</v>
      </c>
      <c r="R6219" s="23" t="str">
        <f t="shared" si="1158"/>
        <v/>
      </c>
      <c r="S6219" s="23">
        <f t="shared" si="1159"/>
        <v>9220</v>
      </c>
      <c r="T6219" s="23" t="str">
        <f t="shared" si="1160"/>
        <v/>
      </c>
      <c r="U6219" t="str">
        <f t="shared" si="1161"/>
        <v/>
      </c>
      <c r="V6219" s="40"/>
      <c r="X6219" s="43"/>
      <c r="Y6219" s="53"/>
      <c r="Z6219" s="53"/>
      <c r="AA6219"/>
      <c r="AB6219"/>
      <c r="AC6219" s="23"/>
      <c r="AD6219" s="23"/>
      <c r="AF6219" s="22"/>
      <c r="AG6219" s="89"/>
      <c r="AH6219" s="274"/>
      <c r="AI6219" s="279"/>
      <c r="AJ6219" s="280"/>
      <c r="AK6219" s="92"/>
      <c r="AL6219" s="23"/>
      <c r="AM6219" s="371"/>
      <c r="AN6219" s="372"/>
      <c r="AT6219" s="20"/>
      <c r="AU6219" s="29"/>
      <c r="AV6219"/>
      <c r="AW6219"/>
    </row>
    <row r="6220" spans="1:49">
      <c r="A6220" t="str">
        <f t="shared" si="1163"/>
        <v>PA_Alleg_2020g~Gen-attorney general (vote for 1)</v>
      </c>
      <c r="B6220" s="55" t="s">
        <v>1395</v>
      </c>
      <c r="C6220">
        <v>9</v>
      </c>
      <c r="D6220" s="55" t="s">
        <v>1301</v>
      </c>
      <c r="E6220" s="55" t="s">
        <v>1299</v>
      </c>
      <c r="F6220" t="s">
        <v>1300</v>
      </c>
      <c r="G6220" s="62">
        <v>447</v>
      </c>
      <c r="H6220">
        <v>0.06</v>
      </c>
      <c r="I6220">
        <v>942851</v>
      </c>
      <c r="J6220">
        <v>0</v>
      </c>
      <c r="K6220">
        <v>1323</v>
      </c>
      <c r="L6220">
        <v>1323</v>
      </c>
      <c r="M6220">
        <v>0</v>
      </c>
      <c r="N6220" s="23">
        <v>0</v>
      </c>
      <c r="O6220">
        <f t="shared" si="1155"/>
        <v>-4</v>
      </c>
      <c r="P6220" s="57">
        <f t="shared" si="1156"/>
        <v>1</v>
      </c>
      <c r="Q6220" s="267">
        <f t="shared" si="1157"/>
        <v>447</v>
      </c>
      <c r="R6220" s="23">
        <f t="shared" si="1158"/>
        <v>1</v>
      </c>
      <c r="S6220" s="23">
        <f t="shared" si="1159"/>
        <v>0</v>
      </c>
      <c r="T6220" s="23" t="str">
        <f t="shared" si="1160"/>
        <v/>
      </c>
      <c r="U6220" t="str">
        <f t="shared" si="1161"/>
        <v/>
      </c>
      <c r="V6220" s="40"/>
      <c r="X6220" s="43"/>
      <c r="Y6220" s="53"/>
      <c r="Z6220" s="53"/>
      <c r="AA6220"/>
      <c r="AB6220"/>
      <c r="AC6220" s="23"/>
      <c r="AD6220" s="23"/>
      <c r="AF6220" s="22"/>
      <c r="AG6220" s="89"/>
      <c r="AH6220" s="274"/>
      <c r="AI6220" s="279"/>
      <c r="AJ6220" s="280"/>
      <c r="AK6220" s="92"/>
      <c r="AL6220" s="23"/>
      <c r="AM6220" s="371"/>
      <c r="AN6220" s="372"/>
      <c r="AT6220" s="20"/>
      <c r="AU6220" s="29"/>
      <c r="AV6220"/>
      <c r="AW6220"/>
    </row>
    <row r="6221" spans="1:49">
      <c r="A6221" t="str">
        <f t="shared" si="1163"/>
        <v>PA_Alleg_2020g~Gen-auditor general (vote for 1)</v>
      </c>
      <c r="B6221" s="55" t="s">
        <v>1395</v>
      </c>
      <c r="C6221">
        <v>10</v>
      </c>
      <c r="D6221" s="55" t="s">
        <v>1307</v>
      </c>
      <c r="E6221" s="55" t="s">
        <v>1308</v>
      </c>
      <c r="F6221" t="s">
        <v>1294</v>
      </c>
      <c r="G6221" s="62">
        <v>396868</v>
      </c>
      <c r="H6221">
        <v>56.36</v>
      </c>
      <c r="I6221">
        <v>942851</v>
      </c>
      <c r="J6221">
        <v>0</v>
      </c>
      <c r="K6221">
        <v>1323</v>
      </c>
      <c r="L6221">
        <v>1323</v>
      </c>
      <c r="M6221">
        <v>0</v>
      </c>
      <c r="N6221" s="23">
        <v>0</v>
      </c>
      <c r="O6221">
        <f t="shared" si="1155"/>
        <v>1</v>
      </c>
      <c r="P6221" s="57">
        <f t="shared" si="1156"/>
        <v>1</v>
      </c>
      <c r="Q6221" s="267">
        <f t="shared" si="1157"/>
        <v>704148</v>
      </c>
      <c r="R6221" s="23">
        <f t="shared" si="1158"/>
        <v>396868</v>
      </c>
      <c r="S6221" s="23">
        <f t="shared" si="1159"/>
        <v>275577</v>
      </c>
      <c r="T6221" s="23">
        <f t="shared" si="1160"/>
        <v>121291</v>
      </c>
      <c r="U6221" t="str">
        <f t="shared" si="1161"/>
        <v>PA_Alleg_2020g~Gen-auditor general (vote for 1)</v>
      </c>
      <c r="V6221" s="40"/>
      <c r="X6221" s="43"/>
      <c r="Y6221" s="53"/>
      <c r="Z6221" s="53"/>
      <c r="AA6221"/>
      <c r="AB6221"/>
      <c r="AC6221" s="23"/>
      <c r="AD6221" s="23"/>
      <c r="AF6221" s="22"/>
      <c r="AG6221" s="89"/>
      <c r="AH6221" s="274"/>
      <c r="AI6221" s="279"/>
      <c r="AJ6221" s="280"/>
      <c r="AK6221" s="92"/>
      <c r="AL6221" s="23"/>
      <c r="AM6221" s="371"/>
      <c r="AN6221" s="372"/>
      <c r="AT6221" s="20"/>
      <c r="AU6221" s="29"/>
      <c r="AV6221"/>
      <c r="AW6221"/>
    </row>
    <row r="6222" spans="1:49">
      <c r="A6222" t="str">
        <f t="shared" si="1163"/>
        <v>PA_Alleg_2020g~Gen-auditor general (vote for 1)</v>
      </c>
      <c r="B6222" s="55" t="s">
        <v>1395</v>
      </c>
      <c r="C6222">
        <v>11</v>
      </c>
      <c r="D6222" s="55" t="s">
        <v>1307</v>
      </c>
      <c r="E6222" s="55" t="s">
        <v>1309</v>
      </c>
      <c r="F6222" t="s">
        <v>1296</v>
      </c>
      <c r="G6222" s="62">
        <v>275577</v>
      </c>
      <c r="H6222">
        <v>39.14</v>
      </c>
      <c r="I6222">
        <v>942851</v>
      </c>
      <c r="J6222">
        <v>0</v>
      </c>
      <c r="K6222">
        <v>1323</v>
      </c>
      <c r="L6222">
        <v>1323</v>
      </c>
      <c r="M6222">
        <v>0</v>
      </c>
      <c r="N6222" s="23">
        <v>0</v>
      </c>
      <c r="O6222">
        <f t="shared" si="1155"/>
        <v>2</v>
      </c>
      <c r="P6222" s="57">
        <f t="shared" si="1156"/>
        <v>1</v>
      </c>
      <c r="Q6222" s="267">
        <f t="shared" si="1157"/>
        <v>307280</v>
      </c>
      <c r="R6222" s="23" t="str">
        <f t="shared" si="1158"/>
        <v/>
      </c>
      <c r="S6222" s="23">
        <f t="shared" si="1159"/>
        <v>275577</v>
      </c>
      <c r="T6222" s="23" t="str">
        <f t="shared" si="1160"/>
        <v/>
      </c>
      <c r="U6222" t="str">
        <f t="shared" si="1161"/>
        <v/>
      </c>
      <c r="V6222" s="40"/>
      <c r="X6222" s="43"/>
      <c r="Y6222" s="53"/>
      <c r="Z6222" s="53"/>
      <c r="AA6222"/>
      <c r="AB6222"/>
      <c r="AC6222" s="23"/>
      <c r="AD6222" s="23"/>
      <c r="AF6222" s="22"/>
      <c r="AG6222" s="89"/>
      <c r="AH6222" s="274"/>
      <c r="AI6222" s="279"/>
      <c r="AJ6222" s="280"/>
      <c r="AK6222" s="92"/>
      <c r="AL6222" s="23"/>
      <c r="AM6222" s="371"/>
      <c r="AN6222" s="372"/>
      <c r="AT6222" s="20"/>
      <c r="AU6222" s="29"/>
      <c r="AV6222"/>
      <c r="AW6222"/>
    </row>
    <row r="6223" spans="1:49">
      <c r="A6223" t="str">
        <f t="shared" si="1163"/>
        <v>PA_Alleg_2020g~Gen-auditor general (vote for 1)</v>
      </c>
      <c r="B6223" s="55" t="s">
        <v>1395</v>
      </c>
      <c r="C6223">
        <v>12</v>
      </c>
      <c r="D6223" s="55" t="s">
        <v>1307</v>
      </c>
      <c r="E6223" s="55" t="s">
        <v>1310</v>
      </c>
      <c r="F6223" t="s">
        <v>1298</v>
      </c>
      <c r="G6223" s="62">
        <v>21129</v>
      </c>
      <c r="H6223">
        <v>3</v>
      </c>
      <c r="I6223">
        <v>942851</v>
      </c>
      <c r="J6223">
        <v>0</v>
      </c>
      <c r="K6223">
        <v>1323</v>
      </c>
      <c r="L6223">
        <v>1323</v>
      </c>
      <c r="M6223">
        <v>0</v>
      </c>
      <c r="N6223" s="23">
        <v>0</v>
      </c>
      <c r="O6223">
        <f t="shared" si="1155"/>
        <v>3</v>
      </c>
      <c r="P6223" s="57">
        <f t="shared" si="1156"/>
        <v>1</v>
      </c>
      <c r="Q6223" s="267">
        <f t="shared" si="1157"/>
        <v>31703</v>
      </c>
      <c r="R6223" s="23" t="str">
        <f t="shared" si="1158"/>
        <v/>
      </c>
      <c r="S6223" s="23">
        <f t="shared" si="1159"/>
        <v>21129</v>
      </c>
      <c r="T6223" s="23" t="str">
        <f t="shared" si="1160"/>
        <v/>
      </c>
      <c r="U6223" t="str">
        <f t="shared" si="1161"/>
        <v/>
      </c>
      <c r="V6223" s="40"/>
      <c r="X6223" s="43"/>
      <c r="Y6223" s="53"/>
      <c r="Z6223" s="53"/>
      <c r="AA6223"/>
      <c r="AB6223"/>
      <c r="AC6223" s="23"/>
      <c r="AD6223" s="23"/>
      <c r="AF6223" s="22"/>
      <c r="AG6223" s="89"/>
      <c r="AH6223" s="274"/>
      <c r="AI6223" s="279"/>
      <c r="AJ6223" s="280"/>
      <c r="AK6223" s="92"/>
      <c r="AL6223" s="23"/>
      <c r="AM6223" s="371"/>
      <c r="AN6223" s="372"/>
      <c r="AT6223" s="20"/>
      <c r="AU6223" s="29"/>
      <c r="AV6223"/>
      <c r="AW6223"/>
    </row>
    <row r="6224" spans="1:49">
      <c r="A6224" t="str">
        <f t="shared" si="1163"/>
        <v>PA_Alleg_2020g~Gen-auditor general (vote for 1)</v>
      </c>
      <c r="B6224" s="55" t="s">
        <v>1395</v>
      </c>
      <c r="C6224">
        <v>13</v>
      </c>
      <c r="D6224" s="55" t="s">
        <v>1307</v>
      </c>
      <c r="E6224" s="55" t="s">
        <v>1311</v>
      </c>
      <c r="F6224" t="s">
        <v>1306</v>
      </c>
      <c r="G6224" s="62">
        <v>9954</v>
      </c>
      <c r="H6224">
        <v>1.41</v>
      </c>
      <c r="I6224">
        <v>942851</v>
      </c>
      <c r="J6224">
        <v>0</v>
      </c>
      <c r="K6224">
        <v>1323</v>
      </c>
      <c r="L6224">
        <v>1323</v>
      </c>
      <c r="M6224">
        <v>0</v>
      </c>
      <c r="N6224" s="23">
        <v>0</v>
      </c>
      <c r="O6224">
        <f t="shared" si="1155"/>
        <v>4</v>
      </c>
      <c r="P6224" s="57">
        <f t="shared" si="1156"/>
        <v>1</v>
      </c>
      <c r="Q6224" s="267">
        <f t="shared" si="1157"/>
        <v>10574</v>
      </c>
      <c r="R6224" s="23" t="str">
        <f t="shared" si="1158"/>
        <v/>
      </c>
      <c r="S6224" s="23">
        <f t="shared" si="1159"/>
        <v>9954</v>
      </c>
      <c r="T6224" s="23" t="str">
        <f t="shared" si="1160"/>
        <v/>
      </c>
      <c r="U6224" t="str">
        <f t="shared" si="1161"/>
        <v/>
      </c>
      <c r="V6224" s="40"/>
      <c r="X6224" s="43"/>
      <c r="Y6224" s="53"/>
      <c r="Z6224" s="53"/>
      <c r="AA6224"/>
      <c r="AB6224"/>
      <c r="AC6224" s="23"/>
      <c r="AD6224" s="23"/>
      <c r="AF6224" s="22"/>
      <c r="AG6224" s="89"/>
      <c r="AH6224" s="274"/>
      <c r="AI6224" s="279"/>
      <c r="AJ6224" s="280"/>
      <c r="AK6224" s="92"/>
      <c r="AL6224" s="23"/>
      <c r="AM6224" s="371"/>
      <c r="AN6224" s="372"/>
      <c r="AT6224" s="20"/>
      <c r="AU6224" s="29"/>
      <c r="AV6224"/>
      <c r="AW6224"/>
    </row>
    <row r="6225" spans="1:49">
      <c r="A6225" t="str">
        <f t="shared" si="1163"/>
        <v>PA_Alleg_2020g~Gen-auditor general (vote for 1)</v>
      </c>
      <c r="B6225" s="55" t="s">
        <v>1395</v>
      </c>
      <c r="C6225">
        <v>14</v>
      </c>
      <c r="D6225" s="55" t="s">
        <v>1307</v>
      </c>
      <c r="E6225" s="55" t="s">
        <v>1299</v>
      </c>
      <c r="F6225" t="s">
        <v>1300</v>
      </c>
      <c r="G6225" s="62">
        <v>620</v>
      </c>
      <c r="H6225">
        <v>0.09</v>
      </c>
      <c r="I6225">
        <v>942851</v>
      </c>
      <c r="J6225">
        <v>0</v>
      </c>
      <c r="K6225">
        <v>1323</v>
      </c>
      <c r="L6225">
        <v>1323</v>
      </c>
      <c r="M6225">
        <v>0</v>
      </c>
      <c r="N6225" s="23">
        <v>0</v>
      </c>
      <c r="O6225">
        <f t="shared" si="1155"/>
        <v>-4</v>
      </c>
      <c r="P6225" s="57">
        <f t="shared" si="1156"/>
        <v>1</v>
      </c>
      <c r="Q6225" s="267">
        <f t="shared" si="1157"/>
        <v>620</v>
      </c>
      <c r="R6225" s="23">
        <f t="shared" si="1158"/>
        <v>1</v>
      </c>
      <c r="S6225" s="23">
        <f t="shared" si="1159"/>
        <v>0</v>
      </c>
      <c r="T6225" s="23" t="str">
        <f t="shared" si="1160"/>
        <v/>
      </c>
      <c r="U6225" t="str">
        <f t="shared" si="1161"/>
        <v/>
      </c>
      <c r="V6225" s="40"/>
      <c r="X6225" s="43"/>
      <c r="Y6225" s="53"/>
      <c r="Z6225" s="53"/>
      <c r="AA6225"/>
      <c r="AB6225"/>
      <c r="AC6225" s="23"/>
      <c r="AD6225" s="23"/>
      <c r="AF6225" s="22"/>
      <c r="AG6225" s="89"/>
      <c r="AH6225" s="274"/>
      <c r="AI6225" s="279"/>
      <c r="AJ6225" s="280"/>
      <c r="AK6225" s="92"/>
      <c r="AL6225" s="23"/>
      <c r="AM6225" s="371"/>
      <c r="AN6225" s="372"/>
      <c r="AT6225" s="20"/>
      <c r="AU6225" s="29"/>
      <c r="AV6225"/>
      <c r="AW6225"/>
    </row>
    <row r="6226" spans="1:49">
      <c r="A6226" t="str">
        <f t="shared" si="1163"/>
        <v>PA_Alleg_2020g~Gen-pittsburgh hrc amendment (vote for 1)</v>
      </c>
      <c r="B6226" s="55" t="s">
        <v>1395</v>
      </c>
      <c r="C6226">
        <v>95</v>
      </c>
      <c r="D6226" s="55" t="s">
        <v>1392</v>
      </c>
      <c r="E6226" s="55" t="s">
        <v>1393</v>
      </c>
      <c r="F6226" t="s">
        <v>1300</v>
      </c>
      <c r="G6226" s="62">
        <v>118479</v>
      </c>
      <c r="H6226">
        <v>78.33</v>
      </c>
      <c r="I6226">
        <v>239845</v>
      </c>
      <c r="J6226">
        <v>0</v>
      </c>
      <c r="K6226">
        <v>402</v>
      </c>
      <c r="L6226">
        <v>402</v>
      </c>
      <c r="M6226">
        <v>0</v>
      </c>
      <c r="N6226" s="23">
        <v>0</v>
      </c>
      <c r="O6226">
        <f t="shared" si="1155"/>
        <v>1</v>
      </c>
      <c r="P6226" s="57">
        <f t="shared" si="1156"/>
        <v>1</v>
      </c>
      <c r="Q6226" s="267">
        <f t="shared" si="1157"/>
        <v>151260</v>
      </c>
      <c r="R6226" s="23">
        <f t="shared" si="1158"/>
        <v>118479</v>
      </c>
      <c r="S6226" s="23">
        <f t="shared" si="1159"/>
        <v>32781</v>
      </c>
      <c r="T6226" s="23">
        <f t="shared" si="1160"/>
        <v>85698</v>
      </c>
      <c r="U6226" t="str">
        <f t="shared" si="1161"/>
        <v>PA_Alleg_2020g~Gen-pittsburgh hrc amendment (vote for 1)</v>
      </c>
      <c r="V6226" s="40"/>
      <c r="X6226" s="43"/>
      <c r="Y6226" s="53"/>
      <c r="Z6226" s="53"/>
      <c r="AA6226"/>
      <c r="AB6226"/>
      <c r="AC6226" s="23"/>
      <c r="AD6226" s="23"/>
      <c r="AF6226" s="22"/>
      <c r="AG6226" s="89"/>
      <c r="AH6226" s="274"/>
      <c r="AI6226" s="279"/>
      <c r="AJ6226" s="280"/>
      <c r="AK6226" s="92"/>
      <c r="AL6226" s="23"/>
      <c r="AM6226" s="371"/>
      <c r="AN6226" s="372"/>
      <c r="AT6226" s="20"/>
      <c r="AU6226" s="29"/>
      <c r="AV6226"/>
      <c r="AW6226"/>
    </row>
    <row r="6227" spans="1:49">
      <c r="A6227" t="str">
        <f t="shared" si="1163"/>
        <v>PA_Alleg_2020g~Gen-pittsburgh hrc amendment (vote for 1)</v>
      </c>
      <c r="B6227" s="55" t="s">
        <v>1395</v>
      </c>
      <c r="C6227">
        <v>96</v>
      </c>
      <c r="D6227" s="55" t="s">
        <v>1392</v>
      </c>
      <c r="E6227" s="55" t="s">
        <v>1394</v>
      </c>
      <c r="F6227" t="s">
        <v>1300</v>
      </c>
      <c r="G6227" s="62">
        <v>32781</v>
      </c>
      <c r="H6227">
        <v>21.67</v>
      </c>
      <c r="I6227">
        <v>239845</v>
      </c>
      <c r="J6227">
        <v>0</v>
      </c>
      <c r="K6227">
        <v>402</v>
      </c>
      <c r="L6227">
        <v>402</v>
      </c>
      <c r="M6227">
        <v>0</v>
      </c>
      <c r="N6227" s="23">
        <v>0</v>
      </c>
      <c r="O6227">
        <f t="shared" si="1155"/>
        <v>2</v>
      </c>
      <c r="P6227" s="57">
        <f t="shared" si="1156"/>
        <v>1</v>
      </c>
      <c r="Q6227" s="267">
        <f t="shared" si="1157"/>
        <v>32781</v>
      </c>
      <c r="R6227" s="23" t="str">
        <f t="shared" si="1158"/>
        <v/>
      </c>
      <c r="S6227" s="23">
        <f t="shared" si="1159"/>
        <v>32781</v>
      </c>
      <c r="T6227" s="23" t="str">
        <f t="shared" si="1160"/>
        <v/>
      </c>
      <c r="U6227" t="str">
        <f t="shared" si="1161"/>
        <v/>
      </c>
      <c r="V6227" s="40"/>
      <c r="X6227" s="43"/>
      <c r="Y6227" s="53"/>
      <c r="Z6227" s="53"/>
      <c r="AA6227"/>
      <c r="AB6227"/>
      <c r="AC6227" s="23"/>
      <c r="AD6227" s="23"/>
      <c r="AF6227" s="22"/>
      <c r="AG6227" s="89"/>
      <c r="AH6227" s="274"/>
      <c r="AI6227" s="279"/>
      <c r="AJ6227" s="280"/>
      <c r="AK6227" s="92"/>
      <c r="AL6227" s="23"/>
      <c r="AM6227" s="371"/>
      <c r="AN6227" s="372"/>
      <c r="AT6227" s="20"/>
      <c r="AU6227" s="29"/>
      <c r="AV6227"/>
      <c r="AW6227"/>
    </row>
    <row r="6228" spans="1:49">
      <c r="A6228" t="str">
        <f t="shared" si="1163"/>
        <v>PA_Alleg_2020g~Gen-presidential electors (vote for 1)</v>
      </c>
      <c r="B6228" s="55" t="s">
        <v>1395</v>
      </c>
      <c r="C6228">
        <v>1</v>
      </c>
      <c r="D6228" s="55" t="s">
        <v>1292</v>
      </c>
      <c r="E6228" s="55" t="s">
        <v>1293</v>
      </c>
      <c r="F6228" t="s">
        <v>1294</v>
      </c>
      <c r="G6228" s="62">
        <v>430759</v>
      </c>
      <c r="H6228">
        <v>59.43</v>
      </c>
      <c r="I6228">
        <v>942851</v>
      </c>
      <c r="J6228">
        <v>0</v>
      </c>
      <c r="K6228">
        <v>1323</v>
      </c>
      <c r="L6228">
        <v>1323</v>
      </c>
      <c r="M6228">
        <v>0</v>
      </c>
      <c r="N6228" s="23">
        <v>0</v>
      </c>
      <c r="O6228">
        <f t="shared" si="1155"/>
        <v>1</v>
      </c>
      <c r="P6228" s="57">
        <f t="shared" si="1156"/>
        <v>1</v>
      </c>
      <c r="Q6228" s="267">
        <f t="shared" si="1157"/>
        <v>724800</v>
      </c>
      <c r="R6228" s="23">
        <f t="shared" si="1158"/>
        <v>430759</v>
      </c>
      <c r="S6228" s="23">
        <f t="shared" si="1159"/>
        <v>282913</v>
      </c>
      <c r="T6228" s="23">
        <f t="shared" si="1160"/>
        <v>147846</v>
      </c>
      <c r="U6228" t="str">
        <f t="shared" si="1161"/>
        <v>PA_Alleg_2020g~Gen-presidential electors (vote for 1)</v>
      </c>
      <c r="V6228" s="40"/>
      <c r="X6228" s="43"/>
      <c r="Y6228" s="53"/>
      <c r="Z6228" s="53"/>
      <c r="AA6228"/>
      <c r="AB6228"/>
      <c r="AC6228" s="23"/>
      <c r="AD6228" s="23"/>
      <c r="AF6228" s="22"/>
      <c r="AG6228" s="89"/>
      <c r="AH6228" s="274"/>
      <c r="AI6228" s="279"/>
      <c r="AJ6228" s="280"/>
      <c r="AK6228" s="92"/>
      <c r="AL6228" s="23"/>
      <c r="AM6228" s="371"/>
      <c r="AN6228" s="372"/>
      <c r="AT6228" s="20"/>
      <c r="AU6228" s="29"/>
      <c r="AV6228"/>
      <c r="AW6228"/>
    </row>
    <row r="6229" spans="1:49">
      <c r="A6229" t="str">
        <f t="shared" si="1163"/>
        <v>PA_Alleg_2020g~Gen-presidential electors (vote for 1)</v>
      </c>
      <c r="B6229" s="55" t="s">
        <v>1395</v>
      </c>
      <c r="C6229">
        <v>2</v>
      </c>
      <c r="D6229" s="55" t="s">
        <v>1292</v>
      </c>
      <c r="E6229" s="55" t="s">
        <v>1295</v>
      </c>
      <c r="F6229" t="s">
        <v>1296</v>
      </c>
      <c r="G6229" s="62">
        <v>282913</v>
      </c>
      <c r="H6229">
        <v>39.03</v>
      </c>
      <c r="I6229">
        <v>942851</v>
      </c>
      <c r="J6229">
        <v>0</v>
      </c>
      <c r="K6229">
        <v>1323</v>
      </c>
      <c r="L6229">
        <v>1323</v>
      </c>
      <c r="M6229">
        <v>0</v>
      </c>
      <c r="N6229" s="23">
        <v>0</v>
      </c>
      <c r="O6229">
        <f t="shared" si="1155"/>
        <v>2</v>
      </c>
      <c r="P6229" s="57">
        <f t="shared" si="1156"/>
        <v>1</v>
      </c>
      <c r="Q6229" s="267">
        <f t="shared" si="1157"/>
        <v>294041</v>
      </c>
      <c r="R6229" s="23" t="str">
        <f t="shared" si="1158"/>
        <v/>
      </c>
      <c r="S6229" s="23">
        <f t="shared" si="1159"/>
        <v>282913</v>
      </c>
      <c r="T6229" s="23" t="str">
        <f t="shared" si="1160"/>
        <v/>
      </c>
      <c r="U6229" t="str">
        <f t="shared" si="1161"/>
        <v/>
      </c>
      <c r="V6229" s="40"/>
      <c r="X6229" s="43"/>
      <c r="Y6229" s="53"/>
      <c r="Z6229" s="53"/>
      <c r="AA6229"/>
      <c r="AB6229"/>
      <c r="AC6229" s="23"/>
      <c r="AD6229" s="23"/>
      <c r="AF6229" s="22"/>
      <c r="AG6229" s="89"/>
      <c r="AH6229" s="274"/>
      <c r="AI6229" s="279"/>
      <c r="AJ6229" s="280"/>
      <c r="AK6229" s="92"/>
      <c r="AL6229" s="23"/>
      <c r="AM6229" s="371"/>
      <c r="AN6229" s="372"/>
      <c r="AT6229" s="20"/>
      <c r="AU6229" s="29"/>
      <c r="AV6229"/>
      <c r="AW6229"/>
    </row>
    <row r="6230" spans="1:49">
      <c r="A6230" t="str">
        <f t="shared" si="1163"/>
        <v>PA_Alleg_2020g~Gen-presidential electors (vote for 1)</v>
      </c>
      <c r="B6230" s="55" t="s">
        <v>1395</v>
      </c>
      <c r="C6230">
        <v>3</v>
      </c>
      <c r="D6230" s="55" t="s">
        <v>1292</v>
      </c>
      <c r="E6230" s="55" t="s">
        <v>1297</v>
      </c>
      <c r="F6230" t="s">
        <v>1298</v>
      </c>
      <c r="G6230" s="62">
        <v>8361</v>
      </c>
      <c r="H6230">
        <v>1.1499999999999999</v>
      </c>
      <c r="I6230">
        <v>942851</v>
      </c>
      <c r="J6230">
        <v>0</v>
      </c>
      <c r="K6230">
        <v>1323</v>
      </c>
      <c r="L6230">
        <v>1323</v>
      </c>
      <c r="M6230">
        <v>0</v>
      </c>
      <c r="N6230" s="23">
        <v>0</v>
      </c>
      <c r="O6230">
        <f t="shared" si="1155"/>
        <v>3</v>
      </c>
      <c r="P6230" s="57">
        <f t="shared" si="1156"/>
        <v>1</v>
      </c>
      <c r="Q6230" s="267">
        <f t="shared" si="1157"/>
        <v>11128</v>
      </c>
      <c r="R6230" s="23" t="str">
        <f t="shared" si="1158"/>
        <v/>
      </c>
      <c r="S6230" s="23">
        <f t="shared" si="1159"/>
        <v>8361</v>
      </c>
      <c r="T6230" s="23" t="str">
        <f t="shared" si="1160"/>
        <v/>
      </c>
      <c r="U6230" t="str">
        <f t="shared" si="1161"/>
        <v/>
      </c>
      <c r="V6230" s="40"/>
      <c r="X6230" s="43"/>
      <c r="Y6230" s="53"/>
      <c r="Z6230" s="53"/>
      <c r="AA6230"/>
      <c r="AB6230"/>
      <c r="AC6230" s="23"/>
      <c r="AD6230" s="23"/>
      <c r="AF6230" s="22"/>
      <c r="AG6230" s="89"/>
      <c r="AH6230" s="274"/>
      <c r="AI6230" s="279"/>
      <c r="AJ6230" s="280"/>
      <c r="AK6230" s="92"/>
      <c r="AL6230" s="23"/>
      <c r="AM6230" s="371"/>
      <c r="AN6230" s="372"/>
      <c r="AT6230" s="20"/>
      <c r="AU6230" s="29"/>
      <c r="AV6230"/>
      <c r="AW6230"/>
    </row>
    <row r="6231" spans="1:49">
      <c r="A6231" t="str">
        <f t="shared" si="1163"/>
        <v>PA_Alleg_2020g~Gen-presidential electors (vote for 1)</v>
      </c>
      <c r="B6231" s="55" t="s">
        <v>1395</v>
      </c>
      <c r="C6231">
        <v>4</v>
      </c>
      <c r="D6231" s="55" t="s">
        <v>1292</v>
      </c>
      <c r="E6231" s="55" t="s">
        <v>1299</v>
      </c>
      <c r="F6231" t="s">
        <v>1300</v>
      </c>
      <c r="G6231" s="62">
        <v>2767</v>
      </c>
      <c r="H6231">
        <v>0.38</v>
      </c>
      <c r="I6231">
        <v>942851</v>
      </c>
      <c r="J6231">
        <v>0</v>
      </c>
      <c r="K6231">
        <v>1323</v>
      </c>
      <c r="L6231">
        <v>1323</v>
      </c>
      <c r="M6231">
        <v>0</v>
      </c>
      <c r="N6231" s="23">
        <v>0</v>
      </c>
      <c r="O6231">
        <f t="shared" si="1155"/>
        <v>-3</v>
      </c>
      <c r="P6231" s="57">
        <f t="shared" si="1156"/>
        <v>1</v>
      </c>
      <c r="Q6231" s="267">
        <f t="shared" si="1157"/>
        <v>2767</v>
      </c>
      <c r="R6231" s="23">
        <f t="shared" si="1158"/>
        <v>1</v>
      </c>
      <c r="S6231" s="23">
        <f t="shared" si="1159"/>
        <v>0</v>
      </c>
      <c r="T6231" s="23" t="str">
        <f t="shared" si="1160"/>
        <v/>
      </c>
      <c r="U6231" t="str">
        <f t="shared" si="1161"/>
        <v/>
      </c>
      <c r="V6231" s="40"/>
      <c r="X6231" s="43"/>
      <c r="Y6231" s="53"/>
      <c r="Z6231" s="53"/>
      <c r="AA6231"/>
      <c r="AB6231"/>
      <c r="AC6231" s="23"/>
      <c r="AD6231" s="23"/>
      <c r="AF6231" s="22"/>
      <c r="AG6231" s="89"/>
      <c r="AH6231" s="274"/>
      <c r="AI6231" s="279"/>
      <c r="AJ6231" s="280"/>
      <c r="AK6231" s="92"/>
      <c r="AL6231" s="23"/>
      <c r="AM6231" s="371"/>
      <c r="AN6231" s="372"/>
      <c r="AT6231" s="20"/>
      <c r="AU6231" s="29"/>
      <c r="AV6231"/>
      <c r="AW6231"/>
    </row>
    <row r="6232" spans="1:49">
      <c r="A6232" t="str">
        <f t="shared" si="1163"/>
        <v>PA_Alleg_2020g~Gen-representative in congress 17th district (vote for 1)</v>
      </c>
      <c r="B6232" s="55" t="s">
        <v>1395</v>
      </c>
      <c r="C6232">
        <v>20</v>
      </c>
      <c r="D6232" s="55" t="s">
        <v>1317</v>
      </c>
      <c r="E6232" s="55" t="s">
        <v>1318</v>
      </c>
      <c r="F6232" t="s">
        <v>1294</v>
      </c>
      <c r="G6232" s="62">
        <v>177474</v>
      </c>
      <c r="H6232">
        <v>54.03</v>
      </c>
      <c r="I6232">
        <v>407276</v>
      </c>
      <c r="J6232">
        <v>0</v>
      </c>
      <c r="K6232">
        <v>493</v>
      </c>
      <c r="L6232">
        <v>493</v>
      </c>
      <c r="M6232">
        <v>0</v>
      </c>
      <c r="N6232" s="23">
        <v>0</v>
      </c>
      <c r="O6232">
        <f t="shared" si="1155"/>
        <v>1</v>
      </c>
      <c r="P6232" s="57">
        <f t="shared" si="1156"/>
        <v>1</v>
      </c>
      <c r="Q6232" s="267">
        <f t="shared" si="1157"/>
        <v>328491</v>
      </c>
      <c r="R6232" s="23">
        <f t="shared" si="1158"/>
        <v>177474</v>
      </c>
      <c r="S6232" s="23">
        <f t="shared" si="1159"/>
        <v>150726</v>
      </c>
      <c r="T6232" s="23">
        <f t="shared" si="1160"/>
        <v>26748</v>
      </c>
      <c r="U6232" t="str">
        <f t="shared" si="1161"/>
        <v>PA_Alleg_2020g~Gen-representative in congress 17th district (vote for 1)</v>
      </c>
      <c r="V6232" s="40"/>
      <c r="X6232" s="43"/>
      <c r="Y6232" s="53"/>
      <c r="Z6232" s="53"/>
      <c r="AA6232"/>
      <c r="AB6232"/>
      <c r="AC6232" s="23"/>
      <c r="AD6232" s="23"/>
      <c r="AF6232" s="22"/>
      <c r="AG6232" s="89"/>
      <c r="AH6232" s="274"/>
      <c r="AI6232" s="279"/>
      <c r="AJ6232" s="280"/>
      <c r="AK6232" s="92"/>
      <c r="AL6232" s="23"/>
      <c r="AM6232" s="371"/>
      <c r="AN6232" s="372"/>
      <c r="AT6232" s="20"/>
      <c r="AU6232" s="29"/>
      <c r="AV6232"/>
      <c r="AW6232"/>
    </row>
    <row r="6233" spans="1:49">
      <c r="A6233" t="str">
        <f t="shared" si="1163"/>
        <v>PA_Alleg_2020g~Gen-representative in congress 17th district (vote for 1)</v>
      </c>
      <c r="B6233" s="55" t="s">
        <v>1395</v>
      </c>
      <c r="C6233">
        <v>21</v>
      </c>
      <c r="D6233" s="55" t="s">
        <v>1317</v>
      </c>
      <c r="E6233" s="55" t="s">
        <v>1319</v>
      </c>
      <c r="F6233" t="s">
        <v>1296</v>
      </c>
      <c r="G6233" s="62">
        <v>150726</v>
      </c>
      <c r="H6233">
        <v>45.88</v>
      </c>
      <c r="I6233">
        <v>407276</v>
      </c>
      <c r="J6233">
        <v>0</v>
      </c>
      <c r="K6233">
        <v>493</v>
      </c>
      <c r="L6233">
        <v>493</v>
      </c>
      <c r="M6233">
        <v>0</v>
      </c>
      <c r="N6233" s="23">
        <v>0</v>
      </c>
      <c r="O6233">
        <f t="shared" si="1155"/>
        <v>2</v>
      </c>
      <c r="P6233" s="57">
        <f t="shared" si="1156"/>
        <v>1</v>
      </c>
      <c r="Q6233" s="267">
        <f t="shared" si="1157"/>
        <v>151017</v>
      </c>
      <c r="R6233" s="23" t="str">
        <f t="shared" si="1158"/>
        <v/>
      </c>
      <c r="S6233" s="23">
        <f t="shared" si="1159"/>
        <v>150726</v>
      </c>
      <c r="T6233" s="23" t="str">
        <f t="shared" si="1160"/>
        <v/>
      </c>
      <c r="U6233" t="str">
        <f t="shared" si="1161"/>
        <v/>
      </c>
      <c r="V6233" s="40"/>
      <c r="X6233" s="43"/>
      <c r="Y6233" s="53"/>
      <c r="Z6233" s="53"/>
      <c r="AA6233"/>
      <c r="AB6233"/>
      <c r="AC6233" s="23"/>
      <c r="AD6233" s="23"/>
      <c r="AF6233" s="22"/>
      <c r="AG6233" s="89"/>
      <c r="AH6233" s="274"/>
      <c r="AI6233" s="279"/>
      <c r="AJ6233" s="280"/>
      <c r="AK6233" s="92"/>
      <c r="AL6233" s="23"/>
      <c r="AM6233" s="371"/>
      <c r="AN6233" s="372"/>
      <c r="AT6233" s="20"/>
      <c r="AU6233" s="29"/>
      <c r="AV6233"/>
      <c r="AW6233"/>
    </row>
    <row r="6234" spans="1:49">
      <c r="A6234" t="str">
        <f t="shared" si="1163"/>
        <v>PA_Alleg_2020g~Gen-representative in congress 17th district (vote for 1)</v>
      </c>
      <c r="B6234" s="55" t="s">
        <v>1395</v>
      </c>
      <c r="C6234">
        <v>22</v>
      </c>
      <c r="D6234" s="55" t="s">
        <v>1317</v>
      </c>
      <c r="E6234" s="55" t="s">
        <v>1299</v>
      </c>
      <c r="F6234" t="s">
        <v>1300</v>
      </c>
      <c r="G6234" s="62">
        <v>291</v>
      </c>
      <c r="H6234">
        <v>0.09</v>
      </c>
      <c r="I6234">
        <v>407276</v>
      </c>
      <c r="J6234">
        <v>0</v>
      </c>
      <c r="K6234">
        <v>493</v>
      </c>
      <c r="L6234">
        <v>493</v>
      </c>
      <c r="M6234">
        <v>0</v>
      </c>
      <c r="N6234" s="23">
        <v>0</v>
      </c>
      <c r="O6234">
        <f t="shared" si="1155"/>
        <v>-2</v>
      </c>
      <c r="P6234" s="57">
        <f t="shared" si="1156"/>
        <v>1</v>
      </c>
      <c r="Q6234" s="267">
        <f t="shared" si="1157"/>
        <v>291</v>
      </c>
      <c r="R6234" s="23">
        <f t="shared" si="1158"/>
        <v>1</v>
      </c>
      <c r="S6234" s="23">
        <f t="shared" si="1159"/>
        <v>0</v>
      </c>
      <c r="T6234" s="23" t="str">
        <f t="shared" si="1160"/>
        <v/>
      </c>
      <c r="U6234" t="str">
        <f t="shared" si="1161"/>
        <v/>
      </c>
      <c r="V6234" s="40"/>
      <c r="X6234" s="43"/>
      <c r="Y6234" s="53"/>
      <c r="Z6234" s="53"/>
      <c r="AA6234"/>
      <c r="AB6234"/>
      <c r="AC6234" s="23"/>
      <c r="AD6234" s="23"/>
      <c r="AF6234" s="22"/>
      <c r="AG6234" s="89"/>
      <c r="AH6234" s="274"/>
      <c r="AI6234" s="279"/>
      <c r="AJ6234" s="280"/>
      <c r="AK6234" s="92"/>
      <c r="AL6234" s="23"/>
      <c r="AM6234" s="371"/>
      <c r="AN6234" s="372"/>
      <c r="AT6234" s="20"/>
      <c r="AU6234" s="29"/>
      <c r="AV6234"/>
      <c r="AW6234"/>
    </row>
    <row r="6235" spans="1:49">
      <c r="A6235" t="str">
        <f t="shared" si="1163"/>
        <v>PA_Alleg_2020g~Gen-representative in congress 18th district (vote for 1)</v>
      </c>
      <c r="B6235" s="55" t="s">
        <v>1395</v>
      </c>
      <c r="C6235">
        <v>23</v>
      </c>
      <c r="D6235" s="55" t="s">
        <v>1320</v>
      </c>
      <c r="E6235" s="55" t="s">
        <v>1321</v>
      </c>
      <c r="F6235" t="s">
        <v>1294</v>
      </c>
      <c r="G6235" s="62">
        <v>266084</v>
      </c>
      <c r="H6235">
        <v>69.099999999999994</v>
      </c>
      <c r="I6235">
        <v>538277</v>
      </c>
      <c r="J6235">
        <v>0</v>
      </c>
      <c r="K6235">
        <v>832</v>
      </c>
      <c r="L6235">
        <v>832</v>
      </c>
      <c r="M6235">
        <v>0</v>
      </c>
      <c r="N6235" s="23">
        <v>0</v>
      </c>
      <c r="O6235">
        <f t="shared" si="1155"/>
        <v>1</v>
      </c>
      <c r="P6235" s="57">
        <f t="shared" si="1156"/>
        <v>1</v>
      </c>
      <c r="Q6235" s="267">
        <f t="shared" si="1157"/>
        <v>385060</v>
      </c>
      <c r="R6235" s="23">
        <f t="shared" si="1158"/>
        <v>266084</v>
      </c>
      <c r="S6235" s="23">
        <f t="shared" si="1159"/>
        <v>118163</v>
      </c>
      <c r="T6235" s="23">
        <f t="shared" si="1160"/>
        <v>147921</v>
      </c>
      <c r="U6235" t="str">
        <f t="shared" si="1161"/>
        <v>PA_Alleg_2020g~Gen-representative in congress 18th district (vote for 1)</v>
      </c>
      <c r="V6235" s="40"/>
      <c r="X6235" s="43"/>
      <c r="Y6235" s="53"/>
      <c r="Z6235" s="53"/>
      <c r="AA6235"/>
      <c r="AB6235"/>
      <c r="AC6235" s="23"/>
      <c r="AD6235" s="23"/>
      <c r="AF6235" s="22"/>
      <c r="AG6235" s="89"/>
      <c r="AH6235" s="274"/>
      <c r="AI6235" s="279"/>
      <c r="AJ6235" s="280"/>
      <c r="AK6235" s="92"/>
      <c r="AL6235" s="23"/>
      <c r="AM6235" s="371"/>
      <c r="AN6235" s="372"/>
      <c r="AT6235" s="20"/>
      <c r="AU6235" s="29"/>
      <c r="AV6235"/>
      <c r="AW6235"/>
    </row>
    <row r="6236" spans="1:49">
      <c r="A6236" t="str">
        <f t="shared" si="1163"/>
        <v>PA_Alleg_2020g~Gen-representative in congress 18th district (vote for 1)</v>
      </c>
      <c r="B6236" s="55" t="s">
        <v>1395</v>
      </c>
      <c r="C6236">
        <v>24</v>
      </c>
      <c r="D6236" s="55" t="s">
        <v>1320</v>
      </c>
      <c r="E6236" s="55" t="s">
        <v>1322</v>
      </c>
      <c r="F6236" t="s">
        <v>1296</v>
      </c>
      <c r="G6236" s="62">
        <v>118163</v>
      </c>
      <c r="H6236">
        <v>30.69</v>
      </c>
      <c r="I6236">
        <v>538277</v>
      </c>
      <c r="J6236">
        <v>0</v>
      </c>
      <c r="K6236">
        <v>832</v>
      </c>
      <c r="L6236">
        <v>832</v>
      </c>
      <c r="M6236">
        <v>0</v>
      </c>
      <c r="N6236" s="23">
        <v>0</v>
      </c>
      <c r="O6236">
        <f t="shared" si="1155"/>
        <v>2</v>
      </c>
      <c r="P6236" s="57">
        <f t="shared" si="1156"/>
        <v>1</v>
      </c>
      <c r="Q6236" s="267">
        <f t="shared" si="1157"/>
        <v>118976</v>
      </c>
      <c r="R6236" s="23" t="str">
        <f t="shared" si="1158"/>
        <v/>
      </c>
      <c r="S6236" s="23">
        <f t="shared" si="1159"/>
        <v>118163</v>
      </c>
      <c r="T6236" s="23" t="str">
        <f t="shared" si="1160"/>
        <v/>
      </c>
      <c r="U6236" t="str">
        <f t="shared" si="1161"/>
        <v/>
      </c>
      <c r="V6236" s="40"/>
      <c r="X6236" s="43"/>
      <c r="Y6236" s="53"/>
      <c r="Z6236" s="53"/>
      <c r="AA6236"/>
      <c r="AB6236"/>
      <c r="AC6236" s="23"/>
      <c r="AD6236" s="23"/>
      <c r="AF6236" s="22"/>
      <c r="AG6236" s="89"/>
      <c r="AH6236" s="274"/>
      <c r="AI6236" s="279"/>
      <c r="AJ6236" s="280"/>
      <c r="AK6236" s="92"/>
      <c r="AL6236" s="23"/>
      <c r="AM6236" s="371"/>
      <c r="AN6236" s="372"/>
      <c r="AT6236" s="20"/>
      <c r="AU6236" s="29"/>
      <c r="AV6236"/>
      <c r="AW6236"/>
    </row>
    <row r="6237" spans="1:49">
      <c r="A6237" t="str">
        <f t="shared" si="1163"/>
        <v>PA_Alleg_2020g~Gen-representative in congress 18th district (vote for 1)</v>
      </c>
      <c r="B6237" s="55" t="s">
        <v>1395</v>
      </c>
      <c r="C6237">
        <v>25</v>
      </c>
      <c r="D6237" s="55" t="s">
        <v>1320</v>
      </c>
      <c r="E6237" s="55" t="s">
        <v>1299</v>
      </c>
      <c r="F6237" t="s">
        <v>1300</v>
      </c>
      <c r="G6237" s="62">
        <v>813</v>
      </c>
      <c r="H6237">
        <v>0.21</v>
      </c>
      <c r="I6237">
        <v>538277</v>
      </c>
      <c r="J6237">
        <v>0</v>
      </c>
      <c r="K6237">
        <v>832</v>
      </c>
      <c r="L6237">
        <v>832</v>
      </c>
      <c r="M6237">
        <v>0</v>
      </c>
      <c r="N6237" s="23">
        <v>0</v>
      </c>
      <c r="O6237">
        <f t="shared" si="1155"/>
        <v>-2</v>
      </c>
      <c r="P6237" s="57">
        <f t="shared" si="1156"/>
        <v>1</v>
      </c>
      <c r="Q6237" s="267">
        <f t="shared" si="1157"/>
        <v>813</v>
      </c>
      <c r="R6237" s="23">
        <f t="shared" si="1158"/>
        <v>1</v>
      </c>
      <c r="S6237" s="23">
        <f t="shared" si="1159"/>
        <v>0</v>
      </c>
      <c r="T6237" s="23" t="str">
        <f t="shared" si="1160"/>
        <v/>
      </c>
      <c r="U6237" t="str">
        <f t="shared" si="1161"/>
        <v/>
      </c>
      <c r="V6237" s="40"/>
      <c r="X6237" s="43"/>
      <c r="Y6237" s="53"/>
      <c r="Z6237" s="53"/>
      <c r="AA6237"/>
      <c r="AB6237"/>
      <c r="AC6237" s="23"/>
      <c r="AD6237" s="23"/>
      <c r="AF6237" s="22"/>
      <c r="AG6237" s="89"/>
      <c r="AH6237" s="274"/>
      <c r="AI6237" s="279"/>
      <c r="AJ6237" s="280"/>
      <c r="AK6237" s="92"/>
      <c r="AL6237" s="23"/>
      <c r="AM6237" s="371"/>
      <c r="AN6237" s="372"/>
      <c r="AT6237" s="20"/>
      <c r="AU6237" s="29"/>
      <c r="AV6237"/>
      <c r="AW6237"/>
    </row>
    <row r="6238" spans="1:49">
      <c r="A6238" t="str">
        <f t="shared" si="1163"/>
        <v>PA_Alleg_2020g~Gen-representative in the general assembly 16th district (vote for 1)</v>
      </c>
      <c r="B6238" s="55" t="s">
        <v>1395</v>
      </c>
      <c r="C6238">
        <v>34</v>
      </c>
      <c r="D6238" s="55" t="s">
        <v>1331</v>
      </c>
      <c r="E6238" s="55" t="s">
        <v>1332</v>
      </c>
      <c r="F6238" t="s">
        <v>1294</v>
      </c>
      <c r="G6238" s="62">
        <v>1004</v>
      </c>
      <c r="H6238">
        <v>59.76</v>
      </c>
      <c r="I6238">
        <v>2100</v>
      </c>
      <c r="J6238">
        <v>0</v>
      </c>
      <c r="K6238">
        <v>3</v>
      </c>
      <c r="L6238">
        <v>3</v>
      </c>
      <c r="M6238">
        <v>0</v>
      </c>
      <c r="N6238" s="23">
        <v>0</v>
      </c>
      <c r="O6238">
        <f t="shared" si="1155"/>
        <v>1</v>
      </c>
      <c r="P6238" s="57">
        <f t="shared" si="1156"/>
        <v>1</v>
      </c>
      <c r="Q6238" s="267">
        <f t="shared" si="1157"/>
        <v>1680</v>
      </c>
      <c r="R6238" s="23">
        <f t="shared" si="1158"/>
        <v>1004</v>
      </c>
      <c r="S6238" s="23">
        <f t="shared" si="1159"/>
        <v>673</v>
      </c>
      <c r="T6238" s="23">
        <f t="shared" si="1160"/>
        <v>331</v>
      </c>
      <c r="U6238" t="str">
        <f t="shared" si="1161"/>
        <v>PA_Alleg_2020g~Gen-representative in the general assembly 16th district (vote for 1)</v>
      </c>
      <c r="V6238" s="40"/>
      <c r="X6238" s="43"/>
      <c r="Y6238" s="53"/>
      <c r="Z6238" s="53"/>
      <c r="AA6238"/>
      <c r="AB6238"/>
      <c r="AC6238" s="23"/>
      <c r="AD6238" s="23"/>
      <c r="AF6238" s="22"/>
      <c r="AG6238" s="89"/>
      <c r="AH6238" s="274"/>
      <c r="AI6238" s="279"/>
      <c r="AJ6238" s="280"/>
      <c r="AK6238" s="92"/>
      <c r="AL6238" s="23"/>
      <c r="AM6238" s="371"/>
      <c r="AN6238" s="372"/>
      <c r="AT6238" s="20"/>
      <c r="AU6238" s="29"/>
      <c r="AV6238"/>
      <c r="AW6238"/>
    </row>
    <row r="6239" spans="1:49">
      <c r="A6239" t="str">
        <f t="shared" si="1163"/>
        <v>PA_Alleg_2020g~Gen-representative in the general assembly 16th district (vote for 1)</v>
      </c>
      <c r="B6239" s="55" t="s">
        <v>1395</v>
      </c>
      <c r="C6239">
        <v>35</v>
      </c>
      <c r="D6239" s="55" t="s">
        <v>1331</v>
      </c>
      <c r="E6239" s="55" t="s">
        <v>1333</v>
      </c>
      <c r="F6239" t="s">
        <v>1296</v>
      </c>
      <c r="G6239" s="62">
        <v>673</v>
      </c>
      <c r="H6239">
        <v>40.06</v>
      </c>
      <c r="I6239">
        <v>2100</v>
      </c>
      <c r="J6239">
        <v>0</v>
      </c>
      <c r="K6239">
        <v>3</v>
      </c>
      <c r="L6239">
        <v>3</v>
      </c>
      <c r="M6239">
        <v>0</v>
      </c>
      <c r="N6239" s="23">
        <v>0</v>
      </c>
      <c r="O6239">
        <f t="shared" si="1155"/>
        <v>2</v>
      </c>
      <c r="P6239" s="57">
        <f t="shared" si="1156"/>
        <v>1</v>
      </c>
      <c r="Q6239" s="267">
        <f t="shared" si="1157"/>
        <v>676</v>
      </c>
      <c r="R6239" s="23" t="str">
        <f t="shared" si="1158"/>
        <v/>
      </c>
      <c r="S6239" s="23">
        <f t="shared" si="1159"/>
        <v>673</v>
      </c>
      <c r="T6239" s="23" t="str">
        <f t="shared" si="1160"/>
        <v/>
      </c>
      <c r="U6239" t="str">
        <f t="shared" si="1161"/>
        <v/>
      </c>
      <c r="V6239" s="40"/>
      <c r="X6239" s="43"/>
      <c r="Y6239" s="53"/>
      <c r="Z6239" s="53"/>
      <c r="AA6239"/>
      <c r="AB6239"/>
      <c r="AC6239" s="23"/>
      <c r="AD6239" s="23"/>
      <c r="AF6239" s="22"/>
      <c r="AG6239" s="89"/>
      <c r="AH6239" s="274"/>
      <c r="AI6239" s="279"/>
      <c r="AJ6239" s="280"/>
      <c r="AK6239" s="92"/>
      <c r="AL6239" s="23"/>
      <c r="AM6239" s="371"/>
      <c r="AN6239" s="372"/>
      <c r="AT6239" s="20"/>
      <c r="AU6239" s="29"/>
      <c r="AV6239"/>
      <c r="AW6239"/>
    </row>
    <row r="6240" spans="1:49">
      <c r="A6240" t="str">
        <f t="shared" si="1163"/>
        <v>PA_Alleg_2020g~Gen-representative in the general assembly 16th district (vote for 1)</v>
      </c>
      <c r="B6240" s="55" t="s">
        <v>1395</v>
      </c>
      <c r="C6240">
        <v>36</v>
      </c>
      <c r="D6240" s="55" t="s">
        <v>1331</v>
      </c>
      <c r="E6240" s="55" t="s">
        <v>1299</v>
      </c>
      <c r="F6240" t="s">
        <v>1300</v>
      </c>
      <c r="G6240" s="62">
        <v>3</v>
      </c>
      <c r="H6240">
        <v>0.18</v>
      </c>
      <c r="I6240">
        <v>2100</v>
      </c>
      <c r="J6240">
        <v>0</v>
      </c>
      <c r="K6240">
        <v>3</v>
      </c>
      <c r="L6240">
        <v>3</v>
      </c>
      <c r="M6240">
        <v>0</v>
      </c>
      <c r="N6240" s="23">
        <v>0</v>
      </c>
      <c r="O6240">
        <f t="shared" si="1155"/>
        <v>-2</v>
      </c>
      <c r="P6240" s="57">
        <f t="shared" si="1156"/>
        <v>1</v>
      </c>
      <c r="Q6240" s="267">
        <f t="shared" si="1157"/>
        <v>3</v>
      </c>
      <c r="R6240" s="23">
        <f t="shared" si="1158"/>
        <v>1</v>
      </c>
      <c r="S6240" s="23">
        <f t="shared" si="1159"/>
        <v>0</v>
      </c>
      <c r="T6240" s="23" t="str">
        <f t="shared" si="1160"/>
        <v/>
      </c>
      <c r="U6240" t="str">
        <f t="shared" si="1161"/>
        <v/>
      </c>
      <c r="V6240" s="40"/>
      <c r="X6240" s="43"/>
      <c r="Y6240" s="53"/>
      <c r="Z6240" s="53"/>
      <c r="AA6240"/>
      <c r="AB6240"/>
      <c r="AC6240" s="23"/>
      <c r="AD6240" s="23"/>
      <c r="AF6240" s="22"/>
      <c r="AG6240" s="89"/>
      <c r="AH6240" s="274"/>
      <c r="AI6240" s="279"/>
      <c r="AJ6240" s="280"/>
      <c r="AK6240" s="92"/>
      <c r="AL6240" s="23"/>
      <c r="AM6240" s="371"/>
      <c r="AN6240" s="372"/>
      <c r="AT6240" s="20"/>
      <c r="AU6240" s="29"/>
      <c r="AV6240"/>
      <c r="AW6240"/>
    </row>
    <row r="6241" spans="1:49">
      <c r="A6241" t="str">
        <f t="shared" si="1163"/>
        <v>PA_Alleg_2020g~Gen-representative in the general assembly 19th district (vote for 1)</v>
      </c>
      <c r="B6241" s="55" t="s">
        <v>1395</v>
      </c>
      <c r="C6241">
        <v>37</v>
      </c>
      <c r="D6241" s="55" t="s">
        <v>1334</v>
      </c>
      <c r="E6241" s="55" t="s">
        <v>1335</v>
      </c>
      <c r="F6241" t="s">
        <v>1294</v>
      </c>
      <c r="G6241" s="62">
        <v>22679</v>
      </c>
      <c r="H6241">
        <v>97.33</v>
      </c>
      <c r="I6241">
        <v>43353</v>
      </c>
      <c r="J6241">
        <v>0</v>
      </c>
      <c r="K6241">
        <v>86</v>
      </c>
      <c r="L6241">
        <v>86</v>
      </c>
      <c r="M6241">
        <v>0</v>
      </c>
      <c r="N6241" s="23">
        <v>0</v>
      </c>
      <c r="O6241">
        <f t="shared" si="1155"/>
        <v>1</v>
      </c>
      <c r="P6241" s="57">
        <f t="shared" si="1156"/>
        <v>1</v>
      </c>
      <c r="Q6241" s="267">
        <f t="shared" si="1157"/>
        <v>23300</v>
      </c>
      <c r="R6241" s="23">
        <f t="shared" si="1158"/>
        <v>22679</v>
      </c>
      <c r="S6241" s="23">
        <f t="shared" si="1159"/>
        <v>0</v>
      </c>
      <c r="T6241" s="23" t="str">
        <f t="shared" si="1160"/>
        <v/>
      </c>
      <c r="U6241" t="str">
        <f t="shared" si="1161"/>
        <v>PA_Alleg_2020g~Gen-representative in the general assembly 19th district (vote for 1)</v>
      </c>
      <c r="V6241" s="40"/>
      <c r="X6241" s="43"/>
      <c r="Y6241" s="53"/>
      <c r="Z6241" s="53"/>
      <c r="AA6241"/>
      <c r="AB6241"/>
      <c r="AC6241" s="23"/>
      <c r="AD6241" s="23"/>
      <c r="AF6241" s="22"/>
      <c r="AG6241" s="89"/>
      <c r="AH6241" s="274"/>
      <c r="AI6241" s="279"/>
      <c r="AJ6241" s="280"/>
      <c r="AK6241" s="92"/>
      <c r="AL6241" s="23"/>
      <c r="AM6241" s="371"/>
      <c r="AN6241" s="372"/>
      <c r="AT6241" s="20"/>
      <c r="AU6241" s="29"/>
      <c r="AV6241"/>
      <c r="AW6241"/>
    </row>
    <row r="6242" spans="1:49">
      <c r="A6242" t="str">
        <f t="shared" si="1163"/>
        <v>PA_Alleg_2020g~Gen-representative in the general assembly 19th district (vote for 1)</v>
      </c>
      <c r="B6242" s="55" t="s">
        <v>1395</v>
      </c>
      <c r="C6242">
        <v>38</v>
      </c>
      <c r="D6242" s="55" t="s">
        <v>1334</v>
      </c>
      <c r="E6242" s="55" t="s">
        <v>1299</v>
      </c>
      <c r="F6242" t="s">
        <v>1300</v>
      </c>
      <c r="G6242" s="62">
        <v>621</v>
      </c>
      <c r="H6242">
        <v>2.67</v>
      </c>
      <c r="I6242">
        <v>43353</v>
      </c>
      <c r="J6242">
        <v>0</v>
      </c>
      <c r="K6242">
        <v>86</v>
      </c>
      <c r="L6242">
        <v>86</v>
      </c>
      <c r="M6242">
        <v>0</v>
      </c>
      <c r="N6242" s="23">
        <v>0</v>
      </c>
      <c r="O6242">
        <f t="shared" si="1155"/>
        <v>-1</v>
      </c>
      <c r="P6242" s="57">
        <f t="shared" si="1156"/>
        <v>1</v>
      </c>
      <c r="Q6242" s="267">
        <f t="shared" si="1157"/>
        <v>621</v>
      </c>
      <c r="R6242" s="23">
        <f t="shared" si="1158"/>
        <v>1</v>
      </c>
      <c r="S6242" s="23">
        <f t="shared" si="1159"/>
        <v>0</v>
      </c>
      <c r="T6242" s="23" t="str">
        <f t="shared" si="1160"/>
        <v/>
      </c>
      <c r="U6242" t="str">
        <f t="shared" si="1161"/>
        <v/>
      </c>
      <c r="V6242" s="40"/>
      <c r="X6242" s="43"/>
      <c r="Y6242" s="53"/>
      <c r="Z6242" s="53"/>
      <c r="AA6242"/>
      <c r="AB6242"/>
      <c r="AC6242" s="23"/>
      <c r="AD6242" s="23"/>
      <c r="AF6242" s="22"/>
      <c r="AG6242" s="89"/>
      <c r="AH6242" s="274"/>
      <c r="AI6242" s="279"/>
      <c r="AJ6242" s="280"/>
      <c r="AK6242" s="92"/>
      <c r="AL6242" s="23"/>
      <c r="AM6242" s="371"/>
      <c r="AN6242" s="372"/>
      <c r="AT6242" s="20"/>
      <c r="AU6242" s="29"/>
      <c r="AV6242"/>
      <c r="AW6242"/>
    </row>
    <row r="6243" spans="1:49">
      <c r="A6243" t="str">
        <f t="shared" si="1163"/>
        <v>PA_Alleg_2020g~Gen-representative in the general assembly 20th district (vote for 1)</v>
      </c>
      <c r="B6243" s="55" t="s">
        <v>1395</v>
      </c>
      <c r="C6243">
        <v>39</v>
      </c>
      <c r="D6243" s="55" t="s">
        <v>1336</v>
      </c>
      <c r="E6243" s="55" t="s">
        <v>1337</v>
      </c>
      <c r="F6243" t="s">
        <v>1294</v>
      </c>
      <c r="G6243" s="62">
        <v>27657</v>
      </c>
      <c r="H6243">
        <v>94.55</v>
      </c>
      <c r="I6243">
        <v>48002</v>
      </c>
      <c r="J6243">
        <v>0</v>
      </c>
      <c r="K6243">
        <v>70</v>
      </c>
      <c r="L6243">
        <v>70</v>
      </c>
      <c r="M6243">
        <v>0</v>
      </c>
      <c r="N6243" s="23">
        <v>0</v>
      </c>
      <c r="O6243">
        <f t="shared" si="1155"/>
        <v>1</v>
      </c>
      <c r="P6243" s="57">
        <f t="shared" si="1156"/>
        <v>1</v>
      </c>
      <c r="Q6243" s="267">
        <f t="shared" si="1157"/>
        <v>29251</v>
      </c>
      <c r="R6243" s="23">
        <f t="shared" si="1158"/>
        <v>27657</v>
      </c>
      <c r="S6243" s="23">
        <f t="shared" si="1159"/>
        <v>0</v>
      </c>
      <c r="T6243" s="23" t="str">
        <f t="shared" si="1160"/>
        <v/>
      </c>
      <c r="U6243" t="str">
        <f t="shared" si="1161"/>
        <v>PA_Alleg_2020g~Gen-representative in the general assembly 20th district (vote for 1)</v>
      </c>
      <c r="V6243" s="40"/>
      <c r="X6243" s="43"/>
      <c r="Y6243" s="53"/>
      <c r="Z6243" s="53"/>
      <c r="AA6243"/>
      <c r="AB6243"/>
      <c r="AC6243" s="23"/>
      <c r="AD6243" s="23"/>
      <c r="AF6243" s="22"/>
      <c r="AG6243" s="89"/>
      <c r="AH6243" s="274"/>
      <c r="AI6243" s="279"/>
      <c r="AJ6243" s="280"/>
      <c r="AK6243" s="92"/>
      <c r="AL6243" s="23"/>
      <c r="AM6243" s="371"/>
      <c r="AN6243" s="372"/>
      <c r="AT6243" s="20"/>
      <c r="AU6243" s="29"/>
      <c r="AV6243"/>
      <c r="AW6243"/>
    </row>
    <row r="6244" spans="1:49">
      <c r="A6244" t="str">
        <f t="shared" si="1163"/>
        <v>PA_Alleg_2020g~Gen-representative in the general assembly 20th district (vote for 1)</v>
      </c>
      <c r="B6244" s="55" t="s">
        <v>1395</v>
      </c>
      <c r="C6244">
        <v>40</v>
      </c>
      <c r="D6244" s="55" t="s">
        <v>1336</v>
      </c>
      <c r="E6244" s="55" t="s">
        <v>1299</v>
      </c>
      <c r="F6244" t="s">
        <v>1300</v>
      </c>
      <c r="G6244" s="62">
        <v>1594</v>
      </c>
      <c r="H6244">
        <v>5.45</v>
      </c>
      <c r="I6244">
        <v>48002</v>
      </c>
      <c r="J6244">
        <v>0</v>
      </c>
      <c r="K6244">
        <v>70</v>
      </c>
      <c r="L6244">
        <v>70</v>
      </c>
      <c r="M6244">
        <v>0</v>
      </c>
      <c r="N6244" s="23">
        <v>0</v>
      </c>
      <c r="O6244">
        <f t="shared" si="1155"/>
        <v>-1</v>
      </c>
      <c r="P6244" s="57">
        <f t="shared" si="1156"/>
        <v>1</v>
      </c>
      <c r="Q6244" s="267">
        <f t="shared" si="1157"/>
        <v>1594</v>
      </c>
      <c r="R6244" s="23">
        <f t="shared" si="1158"/>
        <v>1</v>
      </c>
      <c r="S6244" s="23">
        <f t="shared" si="1159"/>
        <v>0</v>
      </c>
      <c r="T6244" s="23" t="str">
        <f t="shared" si="1160"/>
        <v/>
      </c>
      <c r="U6244" t="str">
        <f t="shared" si="1161"/>
        <v/>
      </c>
      <c r="V6244" s="40"/>
      <c r="X6244" s="43"/>
      <c r="Y6244" s="53"/>
      <c r="Z6244" s="53"/>
      <c r="AA6244"/>
      <c r="AB6244"/>
      <c r="AC6244" s="23"/>
      <c r="AD6244" s="23"/>
      <c r="AF6244" s="22"/>
      <c r="AG6244" s="89"/>
      <c r="AH6244" s="274"/>
      <c r="AI6244" s="279"/>
      <c r="AJ6244" s="280"/>
      <c r="AK6244" s="92"/>
      <c r="AL6244" s="23"/>
      <c r="AM6244" s="371"/>
      <c r="AN6244" s="372"/>
      <c r="AT6244" s="20"/>
      <c r="AU6244" s="29"/>
      <c r="AV6244"/>
      <c r="AW6244"/>
    </row>
    <row r="6245" spans="1:49">
      <c r="A6245" t="str">
        <f t="shared" si="1163"/>
        <v>PA_Alleg_2020g~Gen-representative in the general assembly 21st district (vote for 1)</v>
      </c>
      <c r="B6245" s="55" t="s">
        <v>1395</v>
      </c>
      <c r="C6245">
        <v>41</v>
      </c>
      <c r="D6245" s="55" t="s">
        <v>1338</v>
      </c>
      <c r="E6245" s="55" t="s">
        <v>1339</v>
      </c>
      <c r="F6245" t="s">
        <v>1294</v>
      </c>
      <c r="G6245" s="62">
        <v>24035</v>
      </c>
      <c r="H6245">
        <v>66.239999999999995</v>
      </c>
      <c r="I6245">
        <v>47469</v>
      </c>
      <c r="J6245">
        <v>0</v>
      </c>
      <c r="K6245">
        <v>69</v>
      </c>
      <c r="L6245">
        <v>69</v>
      </c>
      <c r="M6245">
        <v>0</v>
      </c>
      <c r="N6245" s="23">
        <v>0</v>
      </c>
      <c r="O6245">
        <f t="shared" si="1155"/>
        <v>1</v>
      </c>
      <c r="P6245" s="57">
        <f t="shared" si="1156"/>
        <v>1</v>
      </c>
      <c r="Q6245" s="267">
        <f t="shared" si="1157"/>
        <v>36284</v>
      </c>
      <c r="R6245" s="23">
        <f t="shared" si="1158"/>
        <v>24035</v>
      </c>
      <c r="S6245" s="23">
        <f t="shared" si="1159"/>
        <v>12170</v>
      </c>
      <c r="T6245" s="23">
        <f t="shared" si="1160"/>
        <v>11865</v>
      </c>
      <c r="U6245" t="str">
        <f t="shared" si="1161"/>
        <v>PA_Alleg_2020g~Gen-representative in the general assembly 21st district (vote for 1)</v>
      </c>
      <c r="V6245" s="40"/>
      <c r="X6245" s="43"/>
      <c r="Y6245" s="53"/>
      <c r="Z6245" s="53"/>
      <c r="AA6245"/>
      <c r="AB6245"/>
      <c r="AC6245" s="23"/>
      <c r="AD6245" s="23"/>
      <c r="AF6245" s="22"/>
      <c r="AG6245" s="89"/>
      <c r="AH6245" s="274"/>
      <c r="AI6245" s="279"/>
      <c r="AJ6245" s="280"/>
      <c r="AK6245" s="92"/>
      <c r="AL6245" s="23"/>
      <c r="AM6245" s="371"/>
      <c r="AN6245" s="372"/>
      <c r="AT6245" s="20"/>
      <c r="AU6245" s="29"/>
      <c r="AV6245"/>
      <c r="AW6245"/>
    </row>
    <row r="6246" spans="1:49">
      <c r="A6246" t="str">
        <f t="shared" si="1163"/>
        <v>PA_Alleg_2020g~Gen-representative in the general assembly 21st district (vote for 1)</v>
      </c>
      <c r="B6246" s="55" t="s">
        <v>1395</v>
      </c>
      <c r="C6246">
        <v>42</v>
      </c>
      <c r="D6246" s="55" t="s">
        <v>1338</v>
      </c>
      <c r="E6246" s="55" t="s">
        <v>1340</v>
      </c>
      <c r="F6246" t="s">
        <v>1296</v>
      </c>
      <c r="G6246" s="62">
        <v>12170</v>
      </c>
      <c r="H6246">
        <v>33.54</v>
      </c>
      <c r="I6246">
        <v>47469</v>
      </c>
      <c r="J6246">
        <v>0</v>
      </c>
      <c r="K6246">
        <v>69</v>
      </c>
      <c r="L6246">
        <v>69</v>
      </c>
      <c r="M6246">
        <v>0</v>
      </c>
      <c r="N6246" s="23">
        <v>0</v>
      </c>
      <c r="O6246">
        <f t="shared" si="1155"/>
        <v>2</v>
      </c>
      <c r="P6246" s="57">
        <f t="shared" si="1156"/>
        <v>1</v>
      </c>
      <c r="Q6246" s="267">
        <f t="shared" si="1157"/>
        <v>12249</v>
      </c>
      <c r="R6246" s="23" t="str">
        <f t="shared" si="1158"/>
        <v/>
      </c>
      <c r="S6246" s="23">
        <f t="shared" si="1159"/>
        <v>12170</v>
      </c>
      <c r="T6246" s="23" t="str">
        <f t="shared" si="1160"/>
        <v/>
      </c>
      <c r="U6246" t="str">
        <f t="shared" si="1161"/>
        <v/>
      </c>
      <c r="V6246" s="40"/>
      <c r="X6246" s="43"/>
      <c r="Y6246" s="53"/>
      <c r="Z6246" s="53"/>
      <c r="AA6246"/>
      <c r="AB6246"/>
      <c r="AC6246" s="23"/>
      <c r="AD6246" s="23"/>
      <c r="AF6246" s="22"/>
      <c r="AG6246" s="89"/>
      <c r="AH6246" s="274"/>
      <c r="AI6246" s="279"/>
      <c r="AJ6246" s="280"/>
      <c r="AK6246" s="92"/>
      <c r="AL6246" s="23"/>
      <c r="AM6246" s="371"/>
      <c r="AN6246" s="372"/>
      <c r="AT6246" s="20"/>
      <c r="AU6246" s="29"/>
      <c r="AV6246"/>
      <c r="AW6246"/>
    </row>
    <row r="6247" spans="1:49">
      <c r="A6247" t="str">
        <f t="shared" si="1163"/>
        <v>PA_Alleg_2020g~Gen-representative in the general assembly 21st district (vote for 1)</v>
      </c>
      <c r="B6247" s="55" t="s">
        <v>1395</v>
      </c>
      <c r="C6247">
        <v>43</v>
      </c>
      <c r="D6247" s="55" t="s">
        <v>1338</v>
      </c>
      <c r="E6247" s="55" t="s">
        <v>1299</v>
      </c>
      <c r="F6247" t="s">
        <v>1300</v>
      </c>
      <c r="G6247" s="62">
        <v>79</v>
      </c>
      <c r="H6247">
        <v>0.22</v>
      </c>
      <c r="I6247">
        <v>47469</v>
      </c>
      <c r="J6247">
        <v>0</v>
      </c>
      <c r="K6247">
        <v>69</v>
      </c>
      <c r="L6247">
        <v>69</v>
      </c>
      <c r="M6247">
        <v>0</v>
      </c>
      <c r="N6247" s="23">
        <v>0</v>
      </c>
      <c r="O6247">
        <f t="shared" si="1155"/>
        <v>-2</v>
      </c>
      <c r="P6247" s="57">
        <f t="shared" si="1156"/>
        <v>1</v>
      </c>
      <c r="Q6247" s="267">
        <f t="shared" si="1157"/>
        <v>79</v>
      </c>
      <c r="R6247" s="23">
        <f t="shared" si="1158"/>
        <v>1</v>
      </c>
      <c r="S6247" s="23">
        <f t="shared" si="1159"/>
        <v>0</v>
      </c>
      <c r="T6247" s="23" t="str">
        <f t="shared" si="1160"/>
        <v/>
      </c>
      <c r="U6247" t="str">
        <f t="shared" si="1161"/>
        <v/>
      </c>
      <c r="V6247" s="40"/>
      <c r="X6247" s="43"/>
      <c r="Y6247" s="53"/>
      <c r="Z6247" s="53"/>
      <c r="AA6247"/>
      <c r="AB6247"/>
      <c r="AC6247" s="23"/>
      <c r="AD6247" s="23"/>
      <c r="AF6247" s="22"/>
      <c r="AG6247" s="89"/>
      <c r="AH6247" s="274"/>
      <c r="AI6247" s="279"/>
      <c r="AJ6247" s="280"/>
      <c r="AK6247" s="92"/>
      <c r="AL6247" s="23"/>
      <c r="AM6247" s="371"/>
      <c r="AN6247" s="372"/>
      <c r="AT6247" s="20"/>
      <c r="AU6247" s="29"/>
      <c r="AV6247"/>
      <c r="AW6247"/>
    </row>
    <row r="6248" spans="1:49">
      <c r="A6248" t="str">
        <f t="shared" ref="A6248:A6279" si="1164">CONCATENATE(B6248,"~Gen-",LOWER(D6248))</f>
        <v>PA_Alleg_2020g~Gen-representative in the general assembly 23rd district (vote for 1)</v>
      </c>
      <c r="B6248" s="55" t="s">
        <v>1395</v>
      </c>
      <c r="C6248">
        <v>44</v>
      </c>
      <c r="D6248" s="55" t="s">
        <v>1341</v>
      </c>
      <c r="E6248" s="55" t="s">
        <v>1342</v>
      </c>
      <c r="F6248" t="s">
        <v>1294</v>
      </c>
      <c r="G6248" s="62">
        <v>24642</v>
      </c>
      <c r="H6248">
        <v>84.53</v>
      </c>
      <c r="I6248">
        <v>51748</v>
      </c>
      <c r="J6248">
        <v>0</v>
      </c>
      <c r="K6248">
        <v>62</v>
      </c>
      <c r="L6248">
        <v>62</v>
      </c>
      <c r="M6248">
        <v>0</v>
      </c>
      <c r="N6248" s="23">
        <v>0</v>
      </c>
      <c r="O6248">
        <f t="shared" si="1155"/>
        <v>1</v>
      </c>
      <c r="P6248" s="57">
        <f t="shared" si="1156"/>
        <v>1</v>
      </c>
      <c r="Q6248" s="267">
        <f t="shared" si="1157"/>
        <v>29153</v>
      </c>
      <c r="R6248" s="23">
        <f t="shared" si="1158"/>
        <v>24642</v>
      </c>
      <c r="S6248" s="23">
        <f t="shared" si="1159"/>
        <v>4197</v>
      </c>
      <c r="T6248" s="23">
        <f t="shared" si="1160"/>
        <v>20445</v>
      </c>
      <c r="U6248" t="str">
        <f t="shared" si="1161"/>
        <v>PA_Alleg_2020g~Gen-representative in the general assembly 23rd district (vote for 1)</v>
      </c>
      <c r="V6248" s="40"/>
      <c r="X6248" s="43"/>
      <c r="Y6248" s="53"/>
      <c r="Z6248" s="53"/>
      <c r="AA6248"/>
      <c r="AB6248"/>
      <c r="AC6248" s="23"/>
      <c r="AD6248" s="23"/>
      <c r="AF6248" s="22"/>
      <c r="AG6248" s="89"/>
      <c r="AH6248" s="274"/>
      <c r="AI6248" s="279"/>
      <c r="AJ6248" s="280"/>
      <c r="AK6248" s="92"/>
      <c r="AL6248" s="23"/>
      <c r="AM6248" s="371"/>
      <c r="AN6248" s="372"/>
      <c r="AT6248" s="20"/>
      <c r="AU6248" s="29"/>
      <c r="AV6248"/>
      <c r="AW6248"/>
    </row>
    <row r="6249" spans="1:49">
      <c r="A6249" t="str">
        <f t="shared" si="1164"/>
        <v>PA_Alleg_2020g~Gen-representative in the general assembly 23rd district (vote for 1)</v>
      </c>
      <c r="B6249" s="55" t="s">
        <v>1395</v>
      </c>
      <c r="C6249">
        <v>45</v>
      </c>
      <c r="D6249" s="55" t="s">
        <v>1341</v>
      </c>
      <c r="E6249" s="55" t="s">
        <v>1343</v>
      </c>
      <c r="F6249" t="s">
        <v>1306</v>
      </c>
      <c r="G6249" s="62">
        <v>4197</v>
      </c>
      <c r="H6249">
        <v>14.4</v>
      </c>
      <c r="I6249">
        <v>51748</v>
      </c>
      <c r="J6249">
        <v>0</v>
      </c>
      <c r="K6249">
        <v>62</v>
      </c>
      <c r="L6249">
        <v>62</v>
      </c>
      <c r="M6249">
        <v>0</v>
      </c>
      <c r="N6249" s="23">
        <v>0</v>
      </c>
      <c r="O6249">
        <f t="shared" si="1155"/>
        <v>2</v>
      </c>
      <c r="P6249" s="57">
        <f t="shared" si="1156"/>
        <v>1</v>
      </c>
      <c r="Q6249" s="267">
        <f t="shared" si="1157"/>
        <v>4511</v>
      </c>
      <c r="R6249" s="23" t="str">
        <f t="shared" si="1158"/>
        <v/>
      </c>
      <c r="S6249" s="23">
        <f t="shared" si="1159"/>
        <v>4197</v>
      </c>
      <c r="T6249" s="23" t="str">
        <f t="shared" si="1160"/>
        <v/>
      </c>
      <c r="U6249" t="str">
        <f t="shared" si="1161"/>
        <v/>
      </c>
      <c r="V6249" s="40"/>
      <c r="X6249" s="43"/>
      <c r="Y6249" s="53"/>
      <c r="Z6249" s="53"/>
      <c r="AA6249"/>
      <c r="AB6249"/>
      <c r="AC6249" s="23"/>
      <c r="AD6249" s="23"/>
      <c r="AF6249" s="22"/>
      <c r="AG6249" s="89"/>
      <c r="AH6249" s="274"/>
      <c r="AI6249" s="279"/>
      <c r="AJ6249" s="280"/>
      <c r="AK6249" s="92"/>
      <c r="AL6249" s="23"/>
      <c r="AM6249" s="371"/>
      <c r="AN6249" s="372"/>
      <c r="AT6249" s="20"/>
      <c r="AU6249" s="29"/>
      <c r="AV6249"/>
      <c r="AW6249"/>
    </row>
    <row r="6250" spans="1:49">
      <c r="A6250" t="str">
        <f t="shared" si="1164"/>
        <v>PA_Alleg_2020g~Gen-representative in the general assembly 23rd district (vote for 1)</v>
      </c>
      <c r="B6250" s="55" t="s">
        <v>1395</v>
      </c>
      <c r="C6250">
        <v>46</v>
      </c>
      <c r="D6250" s="55" t="s">
        <v>1341</v>
      </c>
      <c r="E6250" s="55" t="s">
        <v>1299</v>
      </c>
      <c r="F6250" t="s">
        <v>1300</v>
      </c>
      <c r="G6250" s="62">
        <v>314</v>
      </c>
      <c r="H6250">
        <v>1.08</v>
      </c>
      <c r="I6250">
        <v>51748</v>
      </c>
      <c r="J6250">
        <v>0</v>
      </c>
      <c r="K6250">
        <v>62</v>
      </c>
      <c r="L6250">
        <v>62</v>
      </c>
      <c r="M6250">
        <v>0</v>
      </c>
      <c r="N6250" s="23">
        <v>0</v>
      </c>
      <c r="O6250">
        <f t="shared" si="1155"/>
        <v>-2</v>
      </c>
      <c r="P6250" s="57">
        <f t="shared" si="1156"/>
        <v>1</v>
      </c>
      <c r="Q6250" s="267">
        <f t="shared" si="1157"/>
        <v>314</v>
      </c>
      <c r="R6250" s="23">
        <f t="shared" si="1158"/>
        <v>1</v>
      </c>
      <c r="S6250" s="23">
        <f t="shared" si="1159"/>
        <v>0</v>
      </c>
      <c r="T6250" s="23" t="str">
        <f t="shared" si="1160"/>
        <v/>
      </c>
      <c r="U6250" t="str">
        <f t="shared" si="1161"/>
        <v/>
      </c>
      <c r="V6250" s="40"/>
      <c r="X6250" s="43"/>
      <c r="Y6250" s="53"/>
      <c r="Z6250" s="53"/>
      <c r="AA6250"/>
      <c r="AB6250"/>
      <c r="AC6250" s="23"/>
      <c r="AD6250" s="23"/>
      <c r="AF6250" s="22"/>
      <c r="AG6250" s="89"/>
      <c r="AH6250" s="274"/>
      <c r="AI6250" s="279"/>
      <c r="AJ6250" s="280"/>
      <c r="AK6250" s="92"/>
      <c r="AL6250" s="23"/>
      <c r="AM6250" s="371"/>
      <c r="AN6250" s="372"/>
      <c r="AT6250" s="20"/>
      <c r="AU6250" s="29"/>
      <c r="AV6250"/>
      <c r="AW6250"/>
    </row>
    <row r="6251" spans="1:49">
      <c r="A6251" t="str">
        <f t="shared" si="1164"/>
        <v>PA_Alleg_2020g~Gen-representative in the general assembly 24th district (vote for 1)</v>
      </c>
      <c r="B6251" s="55" t="s">
        <v>1395</v>
      </c>
      <c r="C6251">
        <v>47</v>
      </c>
      <c r="D6251" s="55" t="s">
        <v>1344</v>
      </c>
      <c r="E6251" s="55" t="s">
        <v>1345</v>
      </c>
      <c r="F6251" t="s">
        <v>1294</v>
      </c>
      <c r="G6251" s="62">
        <v>29894</v>
      </c>
      <c r="H6251">
        <v>98.83</v>
      </c>
      <c r="I6251">
        <v>50301</v>
      </c>
      <c r="J6251">
        <v>0</v>
      </c>
      <c r="K6251">
        <v>90</v>
      </c>
      <c r="L6251">
        <v>90</v>
      </c>
      <c r="M6251">
        <v>0</v>
      </c>
      <c r="N6251" s="23">
        <v>0</v>
      </c>
      <c r="O6251">
        <f t="shared" si="1155"/>
        <v>1</v>
      </c>
      <c r="P6251" s="57">
        <f t="shared" si="1156"/>
        <v>1</v>
      </c>
      <c r="Q6251" s="267">
        <f t="shared" si="1157"/>
        <v>30247</v>
      </c>
      <c r="R6251" s="23">
        <f t="shared" si="1158"/>
        <v>29894</v>
      </c>
      <c r="S6251" s="23">
        <f t="shared" si="1159"/>
        <v>0</v>
      </c>
      <c r="T6251" s="23" t="str">
        <f t="shared" si="1160"/>
        <v/>
      </c>
      <c r="U6251" t="str">
        <f t="shared" si="1161"/>
        <v>PA_Alleg_2020g~Gen-representative in the general assembly 24th district (vote for 1)</v>
      </c>
      <c r="V6251" s="40"/>
      <c r="X6251" s="43"/>
      <c r="Y6251" s="53"/>
      <c r="Z6251" s="53"/>
      <c r="AA6251"/>
      <c r="AB6251"/>
      <c r="AC6251" s="23"/>
      <c r="AD6251" s="23"/>
      <c r="AF6251" s="22"/>
      <c r="AG6251" s="89"/>
      <c r="AH6251" s="274"/>
      <c r="AI6251" s="279"/>
      <c r="AJ6251" s="280"/>
      <c r="AK6251" s="92"/>
      <c r="AL6251" s="23"/>
      <c r="AM6251" s="371"/>
      <c r="AN6251" s="372"/>
      <c r="AT6251" s="20"/>
      <c r="AU6251" s="29"/>
      <c r="AV6251"/>
      <c r="AW6251"/>
    </row>
    <row r="6252" spans="1:49">
      <c r="A6252" t="str">
        <f t="shared" si="1164"/>
        <v>PA_Alleg_2020g~Gen-representative in the general assembly 24th district (vote for 1)</v>
      </c>
      <c r="B6252" s="55" t="s">
        <v>1395</v>
      </c>
      <c r="C6252">
        <v>48</v>
      </c>
      <c r="D6252" s="55" t="s">
        <v>1344</v>
      </c>
      <c r="E6252" s="55" t="s">
        <v>1299</v>
      </c>
      <c r="F6252" t="s">
        <v>1300</v>
      </c>
      <c r="G6252" s="62">
        <v>353</v>
      </c>
      <c r="H6252">
        <v>1.17</v>
      </c>
      <c r="I6252">
        <v>50301</v>
      </c>
      <c r="J6252">
        <v>0</v>
      </c>
      <c r="K6252">
        <v>90</v>
      </c>
      <c r="L6252">
        <v>90</v>
      </c>
      <c r="M6252">
        <v>0</v>
      </c>
      <c r="N6252" s="23">
        <v>0</v>
      </c>
      <c r="O6252">
        <f t="shared" si="1155"/>
        <v>-1</v>
      </c>
      <c r="P6252" s="57">
        <f t="shared" si="1156"/>
        <v>1</v>
      </c>
      <c r="Q6252" s="267">
        <f t="shared" si="1157"/>
        <v>353</v>
      </c>
      <c r="R6252" s="23">
        <f t="shared" si="1158"/>
        <v>1</v>
      </c>
      <c r="S6252" s="23">
        <f t="shared" si="1159"/>
        <v>0</v>
      </c>
      <c r="T6252" s="23" t="str">
        <f t="shared" si="1160"/>
        <v/>
      </c>
      <c r="U6252" t="str">
        <f t="shared" si="1161"/>
        <v/>
      </c>
      <c r="V6252" s="40"/>
      <c r="X6252" s="43"/>
      <c r="Y6252" s="53"/>
      <c r="Z6252" s="53"/>
      <c r="AA6252"/>
      <c r="AB6252"/>
      <c r="AC6252" s="23"/>
      <c r="AD6252" s="23"/>
      <c r="AF6252" s="22"/>
      <c r="AG6252" s="89"/>
      <c r="AH6252" s="274"/>
      <c r="AI6252" s="279"/>
      <c r="AJ6252" s="280"/>
      <c r="AK6252" s="92"/>
      <c r="AL6252" s="23"/>
      <c r="AM6252" s="371"/>
      <c r="AN6252" s="372"/>
      <c r="AT6252" s="20"/>
      <c r="AU6252" s="29"/>
      <c r="AV6252"/>
      <c r="AW6252"/>
    </row>
    <row r="6253" spans="1:49">
      <c r="A6253" t="str">
        <f t="shared" si="1164"/>
        <v>PA_Alleg_2020g~Gen-representative in the general assembly 25th district (vote for 1)</v>
      </c>
      <c r="B6253" s="55" t="s">
        <v>1395</v>
      </c>
      <c r="C6253">
        <v>49</v>
      </c>
      <c r="D6253" s="55" t="s">
        <v>1346</v>
      </c>
      <c r="E6253" s="55" t="s">
        <v>1347</v>
      </c>
      <c r="F6253" t="s">
        <v>1294</v>
      </c>
      <c r="G6253" s="62">
        <v>19445</v>
      </c>
      <c r="H6253">
        <v>58.21</v>
      </c>
      <c r="I6253">
        <v>43994</v>
      </c>
      <c r="J6253">
        <v>0</v>
      </c>
      <c r="K6253">
        <v>62</v>
      </c>
      <c r="L6253">
        <v>62</v>
      </c>
      <c r="M6253">
        <v>0</v>
      </c>
      <c r="N6253" s="23">
        <v>0</v>
      </c>
      <c r="O6253">
        <f t="shared" si="1155"/>
        <v>1</v>
      </c>
      <c r="P6253" s="57">
        <f t="shared" si="1156"/>
        <v>1</v>
      </c>
      <c r="Q6253" s="267">
        <f t="shared" si="1157"/>
        <v>33405</v>
      </c>
      <c r="R6253" s="23">
        <f t="shared" si="1158"/>
        <v>19445</v>
      </c>
      <c r="S6253" s="23">
        <f t="shared" si="1159"/>
        <v>13896</v>
      </c>
      <c r="T6253" s="23">
        <f t="shared" si="1160"/>
        <v>5549</v>
      </c>
      <c r="U6253" t="str">
        <f t="shared" si="1161"/>
        <v>PA_Alleg_2020g~Gen-representative in the general assembly 25th district (vote for 1)</v>
      </c>
      <c r="V6253" s="40"/>
      <c r="X6253" s="43"/>
      <c r="Y6253" s="53"/>
      <c r="Z6253" s="53"/>
      <c r="AA6253"/>
      <c r="AB6253"/>
      <c r="AC6253" s="23"/>
      <c r="AD6253" s="23"/>
      <c r="AF6253" s="22"/>
      <c r="AG6253" s="89"/>
      <c r="AH6253" s="274"/>
      <c r="AI6253" s="279"/>
      <c r="AJ6253" s="280"/>
      <c r="AK6253" s="92"/>
      <c r="AL6253" s="23"/>
      <c r="AM6253" s="371"/>
      <c r="AN6253" s="372"/>
      <c r="AT6253" s="20"/>
      <c r="AU6253" s="29"/>
      <c r="AV6253"/>
      <c r="AW6253"/>
    </row>
    <row r="6254" spans="1:49">
      <c r="A6254" t="str">
        <f t="shared" si="1164"/>
        <v>PA_Alleg_2020g~Gen-representative in the general assembly 25th district (vote for 1)</v>
      </c>
      <c r="B6254" s="55" t="s">
        <v>1395</v>
      </c>
      <c r="C6254">
        <v>50</v>
      </c>
      <c r="D6254" s="55" t="s">
        <v>1346</v>
      </c>
      <c r="E6254" s="55" t="s">
        <v>1348</v>
      </c>
      <c r="F6254" t="s">
        <v>1296</v>
      </c>
      <c r="G6254" s="62">
        <v>13896</v>
      </c>
      <c r="H6254">
        <v>41.6</v>
      </c>
      <c r="I6254">
        <v>43994</v>
      </c>
      <c r="J6254">
        <v>0</v>
      </c>
      <c r="K6254">
        <v>62</v>
      </c>
      <c r="L6254">
        <v>62</v>
      </c>
      <c r="M6254">
        <v>0</v>
      </c>
      <c r="N6254" s="23">
        <v>0</v>
      </c>
      <c r="O6254">
        <f t="shared" si="1155"/>
        <v>2</v>
      </c>
      <c r="P6254" s="57">
        <f t="shared" si="1156"/>
        <v>1</v>
      </c>
      <c r="Q6254" s="267">
        <f t="shared" si="1157"/>
        <v>13960</v>
      </c>
      <c r="R6254" s="23" t="str">
        <f t="shared" si="1158"/>
        <v/>
      </c>
      <c r="S6254" s="23">
        <f t="shared" si="1159"/>
        <v>13896</v>
      </c>
      <c r="T6254" s="23" t="str">
        <f t="shared" si="1160"/>
        <v/>
      </c>
      <c r="U6254" t="str">
        <f t="shared" si="1161"/>
        <v/>
      </c>
      <c r="V6254" s="40"/>
      <c r="X6254" s="43"/>
      <c r="Y6254" s="53"/>
      <c r="Z6254" s="53"/>
      <c r="AA6254"/>
      <c r="AB6254"/>
      <c r="AC6254" s="23"/>
      <c r="AD6254" s="23"/>
      <c r="AF6254" s="22"/>
      <c r="AG6254" s="89"/>
      <c r="AH6254" s="274"/>
      <c r="AI6254" s="279"/>
      <c r="AJ6254" s="280"/>
      <c r="AK6254" s="92"/>
      <c r="AL6254" s="23"/>
      <c r="AM6254" s="371"/>
      <c r="AN6254" s="372"/>
      <c r="AT6254" s="20"/>
      <c r="AU6254" s="29"/>
      <c r="AV6254"/>
      <c r="AW6254"/>
    </row>
    <row r="6255" spans="1:49">
      <c r="A6255" t="str">
        <f t="shared" si="1164"/>
        <v>PA_Alleg_2020g~Gen-representative in the general assembly 25th district (vote for 1)</v>
      </c>
      <c r="B6255" s="55" t="s">
        <v>1395</v>
      </c>
      <c r="C6255">
        <v>51</v>
      </c>
      <c r="D6255" s="55" t="s">
        <v>1346</v>
      </c>
      <c r="E6255" s="55" t="s">
        <v>1299</v>
      </c>
      <c r="F6255" t="s">
        <v>1300</v>
      </c>
      <c r="G6255" s="62">
        <v>64</v>
      </c>
      <c r="H6255">
        <v>0.19</v>
      </c>
      <c r="I6255">
        <v>43994</v>
      </c>
      <c r="J6255">
        <v>0</v>
      </c>
      <c r="K6255">
        <v>62</v>
      </c>
      <c r="L6255">
        <v>62</v>
      </c>
      <c r="M6255">
        <v>0</v>
      </c>
      <c r="N6255" s="23">
        <v>0</v>
      </c>
      <c r="O6255">
        <f t="shared" si="1155"/>
        <v>-2</v>
      </c>
      <c r="P6255" s="57">
        <f t="shared" si="1156"/>
        <v>1</v>
      </c>
      <c r="Q6255" s="267">
        <f t="shared" si="1157"/>
        <v>64</v>
      </c>
      <c r="R6255" s="23">
        <f t="shared" si="1158"/>
        <v>1</v>
      </c>
      <c r="S6255" s="23">
        <f t="shared" si="1159"/>
        <v>0</v>
      </c>
      <c r="T6255" s="23" t="str">
        <f t="shared" si="1160"/>
        <v/>
      </c>
      <c r="U6255" t="str">
        <f t="shared" si="1161"/>
        <v/>
      </c>
      <c r="V6255" s="40"/>
      <c r="X6255" s="43"/>
      <c r="Y6255" s="53"/>
      <c r="Z6255" s="53"/>
      <c r="AA6255"/>
      <c r="AB6255"/>
      <c r="AC6255" s="23"/>
      <c r="AD6255" s="23"/>
      <c r="AF6255" s="22"/>
      <c r="AG6255" s="89"/>
      <c r="AH6255" s="274"/>
      <c r="AI6255" s="279"/>
      <c r="AJ6255" s="280"/>
      <c r="AK6255" s="92"/>
      <c r="AL6255" s="23"/>
      <c r="AM6255" s="371"/>
      <c r="AN6255" s="372"/>
      <c r="AT6255" s="20"/>
      <c r="AU6255" s="29"/>
      <c r="AV6255"/>
      <c r="AW6255"/>
    </row>
    <row r="6256" spans="1:49">
      <c r="A6256" t="str">
        <f t="shared" si="1164"/>
        <v>PA_Alleg_2020g~Gen-representative in the general assembly 27th district (vote for 1)</v>
      </c>
      <c r="B6256" s="55" t="s">
        <v>1395</v>
      </c>
      <c r="C6256">
        <v>52</v>
      </c>
      <c r="D6256" s="55" t="s">
        <v>1349</v>
      </c>
      <c r="E6256" s="55" t="s">
        <v>1350</v>
      </c>
      <c r="F6256" t="s">
        <v>1294</v>
      </c>
      <c r="G6256" s="62">
        <v>26094</v>
      </c>
      <c r="H6256">
        <v>96.08</v>
      </c>
      <c r="I6256">
        <v>43821</v>
      </c>
      <c r="J6256">
        <v>0</v>
      </c>
      <c r="K6256">
        <v>71</v>
      </c>
      <c r="L6256">
        <v>71</v>
      </c>
      <c r="M6256">
        <v>0</v>
      </c>
      <c r="N6256" s="23">
        <v>0</v>
      </c>
      <c r="O6256">
        <f t="shared" si="1155"/>
        <v>1</v>
      </c>
      <c r="P6256" s="57">
        <f t="shared" si="1156"/>
        <v>1</v>
      </c>
      <c r="Q6256" s="267">
        <f t="shared" si="1157"/>
        <v>27158</v>
      </c>
      <c r="R6256" s="23">
        <f t="shared" si="1158"/>
        <v>26094</v>
      </c>
      <c r="S6256" s="23">
        <f t="shared" si="1159"/>
        <v>0</v>
      </c>
      <c r="T6256" s="23" t="str">
        <f t="shared" si="1160"/>
        <v/>
      </c>
      <c r="U6256" t="str">
        <f t="shared" si="1161"/>
        <v>PA_Alleg_2020g~Gen-representative in the general assembly 27th district (vote for 1)</v>
      </c>
      <c r="V6256" s="40"/>
      <c r="X6256" s="43"/>
      <c r="Y6256" s="53"/>
      <c r="Z6256" s="53"/>
      <c r="AA6256"/>
      <c r="AB6256"/>
      <c r="AC6256" s="23"/>
      <c r="AD6256" s="23"/>
      <c r="AF6256" s="22"/>
      <c r="AG6256" s="89"/>
      <c r="AH6256" s="274"/>
      <c r="AI6256" s="279"/>
      <c r="AJ6256" s="280"/>
      <c r="AK6256" s="92"/>
      <c r="AL6256" s="23"/>
      <c r="AM6256" s="371"/>
      <c r="AN6256" s="372"/>
      <c r="AT6256" s="20"/>
      <c r="AU6256" s="29"/>
      <c r="AV6256"/>
      <c r="AW6256"/>
    </row>
    <row r="6257" spans="1:49">
      <c r="A6257" t="str">
        <f t="shared" si="1164"/>
        <v>PA_Alleg_2020g~Gen-representative in the general assembly 27th district (vote for 1)</v>
      </c>
      <c r="B6257" s="55" t="s">
        <v>1395</v>
      </c>
      <c r="C6257">
        <v>53</v>
      </c>
      <c r="D6257" s="55" t="s">
        <v>1349</v>
      </c>
      <c r="E6257" s="55" t="s">
        <v>1299</v>
      </c>
      <c r="F6257" t="s">
        <v>1300</v>
      </c>
      <c r="G6257" s="62">
        <v>1064</v>
      </c>
      <c r="H6257">
        <v>3.92</v>
      </c>
      <c r="I6257">
        <v>43821</v>
      </c>
      <c r="J6257">
        <v>0</v>
      </c>
      <c r="K6257">
        <v>71</v>
      </c>
      <c r="L6257">
        <v>71</v>
      </c>
      <c r="M6257">
        <v>0</v>
      </c>
      <c r="N6257" s="23">
        <v>0</v>
      </c>
      <c r="O6257">
        <f t="shared" si="1155"/>
        <v>-1</v>
      </c>
      <c r="P6257" s="57">
        <f t="shared" si="1156"/>
        <v>1</v>
      </c>
      <c r="Q6257" s="267">
        <f t="shared" si="1157"/>
        <v>1064</v>
      </c>
      <c r="R6257" s="23">
        <f t="shared" si="1158"/>
        <v>1</v>
      </c>
      <c r="S6257" s="23">
        <f t="shared" si="1159"/>
        <v>0</v>
      </c>
      <c r="T6257" s="23" t="str">
        <f t="shared" si="1160"/>
        <v/>
      </c>
      <c r="U6257" t="str">
        <f t="shared" si="1161"/>
        <v/>
      </c>
      <c r="V6257" s="40"/>
      <c r="X6257" s="43"/>
      <c r="Y6257" s="53"/>
      <c r="Z6257" s="53"/>
      <c r="AA6257"/>
      <c r="AB6257"/>
      <c r="AC6257" s="23"/>
      <c r="AD6257" s="23"/>
      <c r="AF6257" s="22"/>
      <c r="AG6257" s="89"/>
      <c r="AH6257" s="274"/>
      <c r="AI6257" s="279"/>
      <c r="AJ6257" s="280"/>
      <c r="AK6257" s="92"/>
      <c r="AL6257" s="23"/>
      <c r="AM6257" s="371"/>
      <c r="AN6257" s="372"/>
      <c r="AT6257" s="20"/>
      <c r="AU6257" s="29"/>
      <c r="AV6257"/>
      <c r="AW6257"/>
    </row>
    <row r="6258" spans="1:49">
      <c r="A6258" t="str">
        <f t="shared" si="1164"/>
        <v>PA_Alleg_2020g~Gen-representative in the general assembly 28th district (vote for 1)</v>
      </c>
      <c r="B6258" s="55" t="s">
        <v>1395</v>
      </c>
      <c r="C6258">
        <v>55</v>
      </c>
      <c r="D6258" s="55" t="s">
        <v>1351</v>
      </c>
      <c r="E6258" s="55" t="s">
        <v>1353</v>
      </c>
      <c r="F6258" t="s">
        <v>1296</v>
      </c>
      <c r="G6258" s="62">
        <v>23770</v>
      </c>
      <c r="H6258">
        <v>53.67</v>
      </c>
      <c r="I6258">
        <v>53284</v>
      </c>
      <c r="J6258">
        <v>0</v>
      </c>
      <c r="K6258">
        <v>46</v>
      </c>
      <c r="L6258">
        <v>46</v>
      </c>
      <c r="M6258">
        <v>0</v>
      </c>
      <c r="N6258" s="23">
        <v>0</v>
      </c>
      <c r="O6258">
        <f t="shared" si="1155"/>
        <v>1</v>
      </c>
      <c r="P6258" s="57">
        <f t="shared" si="1156"/>
        <v>1</v>
      </c>
      <c r="Q6258" s="267">
        <f t="shared" si="1157"/>
        <v>44287</v>
      </c>
      <c r="R6258" s="23">
        <f t="shared" si="1158"/>
        <v>23770</v>
      </c>
      <c r="S6258" s="23">
        <f t="shared" si="1159"/>
        <v>20477</v>
      </c>
      <c r="T6258" s="23">
        <f t="shared" si="1160"/>
        <v>3293</v>
      </c>
      <c r="U6258" t="str">
        <f t="shared" si="1161"/>
        <v>PA_Alleg_2020g~Gen-representative in the general assembly 28th district (vote for 1)</v>
      </c>
      <c r="V6258" s="40"/>
      <c r="X6258" s="43"/>
      <c r="Y6258" s="53"/>
      <c r="Z6258" s="53"/>
      <c r="AA6258"/>
      <c r="AB6258"/>
      <c r="AC6258" s="23"/>
      <c r="AD6258" s="23"/>
      <c r="AF6258" s="22"/>
      <c r="AG6258" s="89"/>
      <c r="AH6258" s="274"/>
      <c r="AI6258" s="279"/>
      <c r="AJ6258" s="280"/>
      <c r="AK6258" s="92"/>
      <c r="AL6258" s="23"/>
      <c r="AM6258" s="371"/>
      <c r="AN6258" s="372"/>
      <c r="AT6258" s="20"/>
      <c r="AU6258" s="29"/>
      <c r="AV6258"/>
      <c r="AW6258"/>
    </row>
    <row r="6259" spans="1:49">
      <c r="A6259" t="str">
        <f t="shared" si="1164"/>
        <v>PA_Alleg_2020g~Gen-representative in the general assembly 28th district (vote for 1)</v>
      </c>
      <c r="B6259" s="55" t="s">
        <v>1395</v>
      </c>
      <c r="C6259">
        <v>54</v>
      </c>
      <c r="D6259" s="55" t="s">
        <v>1351</v>
      </c>
      <c r="E6259" s="55" t="s">
        <v>1352</v>
      </c>
      <c r="F6259" t="s">
        <v>1294</v>
      </c>
      <c r="G6259" s="62">
        <v>20477</v>
      </c>
      <c r="H6259">
        <v>46.24</v>
      </c>
      <c r="I6259">
        <v>53284</v>
      </c>
      <c r="J6259">
        <v>0</v>
      </c>
      <c r="K6259">
        <v>46</v>
      </c>
      <c r="L6259">
        <v>46</v>
      </c>
      <c r="M6259">
        <v>0</v>
      </c>
      <c r="N6259" s="23">
        <v>0</v>
      </c>
      <c r="O6259">
        <f t="shared" si="1155"/>
        <v>2</v>
      </c>
      <c r="P6259" s="57">
        <f t="shared" si="1156"/>
        <v>1</v>
      </c>
      <c r="Q6259" s="267">
        <f t="shared" si="1157"/>
        <v>20517</v>
      </c>
      <c r="R6259" s="23" t="str">
        <f t="shared" si="1158"/>
        <v/>
      </c>
      <c r="S6259" s="23">
        <f t="shared" si="1159"/>
        <v>20477</v>
      </c>
      <c r="T6259" s="23" t="str">
        <f t="shared" si="1160"/>
        <v/>
      </c>
      <c r="U6259" t="str">
        <f t="shared" si="1161"/>
        <v/>
      </c>
      <c r="V6259" s="40"/>
      <c r="X6259" s="43"/>
      <c r="Y6259" s="53"/>
      <c r="Z6259" s="53"/>
      <c r="AA6259"/>
      <c r="AB6259"/>
      <c r="AC6259" s="23"/>
      <c r="AD6259" s="23"/>
      <c r="AF6259" s="22"/>
      <c r="AG6259" s="89"/>
      <c r="AH6259" s="274"/>
      <c r="AI6259" s="279"/>
      <c r="AJ6259" s="280"/>
      <c r="AK6259" s="92"/>
      <c r="AL6259" s="23"/>
      <c r="AM6259" s="371"/>
      <c r="AN6259" s="372"/>
      <c r="AT6259" s="20"/>
      <c r="AU6259" s="29"/>
      <c r="AV6259"/>
      <c r="AW6259"/>
    </row>
    <row r="6260" spans="1:49">
      <c r="A6260" t="str">
        <f t="shared" si="1164"/>
        <v>PA_Alleg_2020g~Gen-representative in the general assembly 28th district (vote for 1)</v>
      </c>
      <c r="B6260" s="55" t="s">
        <v>1395</v>
      </c>
      <c r="C6260">
        <v>56</v>
      </c>
      <c r="D6260" s="55" t="s">
        <v>1351</v>
      </c>
      <c r="E6260" s="55" t="s">
        <v>1299</v>
      </c>
      <c r="F6260" t="s">
        <v>1300</v>
      </c>
      <c r="G6260" s="62">
        <v>40</v>
      </c>
      <c r="H6260">
        <v>0.09</v>
      </c>
      <c r="I6260">
        <v>53284</v>
      </c>
      <c r="J6260">
        <v>0</v>
      </c>
      <c r="K6260">
        <v>46</v>
      </c>
      <c r="L6260">
        <v>46</v>
      </c>
      <c r="M6260">
        <v>0</v>
      </c>
      <c r="N6260" s="23">
        <v>0</v>
      </c>
      <c r="O6260">
        <f t="shared" si="1155"/>
        <v>-2</v>
      </c>
      <c r="P6260" s="57">
        <f t="shared" si="1156"/>
        <v>1</v>
      </c>
      <c r="Q6260" s="267">
        <f t="shared" si="1157"/>
        <v>40</v>
      </c>
      <c r="R6260" s="23">
        <f t="shared" si="1158"/>
        <v>1</v>
      </c>
      <c r="S6260" s="23">
        <f t="shared" si="1159"/>
        <v>0</v>
      </c>
      <c r="T6260" s="23" t="str">
        <f t="shared" si="1160"/>
        <v/>
      </c>
      <c r="U6260" t="str">
        <f t="shared" si="1161"/>
        <v/>
      </c>
      <c r="V6260" s="40"/>
      <c r="X6260" s="43"/>
      <c r="Y6260" s="53"/>
      <c r="Z6260" s="53"/>
      <c r="AA6260"/>
      <c r="AB6260"/>
      <c r="AC6260" s="23"/>
      <c r="AD6260" s="23"/>
      <c r="AF6260" s="22"/>
      <c r="AG6260" s="89"/>
      <c r="AH6260" s="274"/>
      <c r="AI6260" s="279"/>
      <c r="AJ6260" s="280"/>
      <c r="AK6260" s="92"/>
      <c r="AL6260" s="23"/>
      <c r="AM6260" s="371"/>
      <c r="AN6260" s="372"/>
      <c r="AT6260" s="20"/>
      <c r="AU6260" s="29"/>
      <c r="AV6260"/>
      <c r="AW6260"/>
    </row>
    <row r="6261" spans="1:49">
      <c r="A6261" t="str">
        <f t="shared" si="1164"/>
        <v>PA_Alleg_2020g~Gen-representative in the general assembly 30th district (vote for 1)</v>
      </c>
      <c r="B6261" s="55" t="s">
        <v>1395</v>
      </c>
      <c r="C6261">
        <v>58</v>
      </c>
      <c r="D6261" s="55" t="s">
        <v>1354</v>
      </c>
      <c r="E6261" s="55" t="s">
        <v>1356</v>
      </c>
      <c r="F6261" t="s">
        <v>1296</v>
      </c>
      <c r="G6261" s="62">
        <v>23309</v>
      </c>
      <c r="H6261">
        <v>54.75</v>
      </c>
      <c r="I6261">
        <v>50709</v>
      </c>
      <c r="J6261">
        <v>0</v>
      </c>
      <c r="K6261">
        <v>60</v>
      </c>
      <c r="L6261">
        <v>60</v>
      </c>
      <c r="M6261">
        <v>0</v>
      </c>
      <c r="N6261" s="23">
        <v>0</v>
      </c>
      <c r="O6261">
        <f t="shared" si="1155"/>
        <v>1</v>
      </c>
      <c r="P6261" s="57">
        <f t="shared" si="1156"/>
        <v>1</v>
      </c>
      <c r="Q6261" s="267">
        <f t="shared" si="1157"/>
        <v>42570</v>
      </c>
      <c r="R6261" s="23">
        <f t="shared" si="1158"/>
        <v>23309</v>
      </c>
      <c r="S6261" s="23">
        <f t="shared" si="1159"/>
        <v>19217</v>
      </c>
      <c r="T6261" s="23">
        <f t="shared" si="1160"/>
        <v>4092</v>
      </c>
      <c r="U6261" t="str">
        <f t="shared" si="1161"/>
        <v>PA_Alleg_2020g~Gen-representative in the general assembly 30th district (vote for 1)</v>
      </c>
      <c r="V6261" s="40"/>
      <c r="X6261" s="43"/>
      <c r="Y6261" s="53"/>
      <c r="Z6261" s="53"/>
      <c r="AA6261"/>
      <c r="AB6261"/>
      <c r="AC6261" s="23"/>
      <c r="AD6261" s="23"/>
      <c r="AF6261" s="22"/>
      <c r="AG6261" s="89"/>
      <c r="AH6261" s="274"/>
      <c r="AI6261" s="279"/>
      <c r="AJ6261" s="280"/>
      <c r="AK6261" s="92"/>
      <c r="AL6261" s="23"/>
      <c r="AM6261" s="371"/>
      <c r="AN6261" s="372"/>
      <c r="AT6261" s="20"/>
      <c r="AU6261" s="29"/>
      <c r="AV6261"/>
      <c r="AW6261"/>
    </row>
    <row r="6262" spans="1:49">
      <c r="A6262" t="str">
        <f t="shared" si="1164"/>
        <v>PA_Alleg_2020g~Gen-representative in the general assembly 30th district (vote for 1)</v>
      </c>
      <c r="B6262" s="55" t="s">
        <v>1395</v>
      </c>
      <c r="C6262">
        <v>57</v>
      </c>
      <c r="D6262" s="55" t="s">
        <v>1354</v>
      </c>
      <c r="E6262" s="55" t="s">
        <v>1355</v>
      </c>
      <c r="F6262" t="s">
        <v>1294</v>
      </c>
      <c r="G6262" s="62">
        <v>19217</v>
      </c>
      <c r="H6262">
        <v>45.14</v>
      </c>
      <c r="I6262">
        <v>50709</v>
      </c>
      <c r="J6262">
        <v>0</v>
      </c>
      <c r="K6262">
        <v>60</v>
      </c>
      <c r="L6262">
        <v>60</v>
      </c>
      <c r="M6262">
        <v>0</v>
      </c>
      <c r="N6262" s="23">
        <v>0</v>
      </c>
      <c r="O6262">
        <f t="shared" si="1155"/>
        <v>2</v>
      </c>
      <c r="P6262" s="57">
        <f t="shared" si="1156"/>
        <v>1</v>
      </c>
      <c r="Q6262" s="267">
        <f t="shared" si="1157"/>
        <v>19261</v>
      </c>
      <c r="R6262" s="23" t="str">
        <f t="shared" si="1158"/>
        <v/>
      </c>
      <c r="S6262" s="23">
        <f t="shared" si="1159"/>
        <v>19217</v>
      </c>
      <c r="T6262" s="23" t="str">
        <f t="shared" si="1160"/>
        <v/>
      </c>
      <c r="U6262" t="str">
        <f t="shared" si="1161"/>
        <v/>
      </c>
      <c r="V6262" s="40"/>
      <c r="X6262" s="43"/>
      <c r="Y6262" s="53"/>
      <c r="Z6262" s="53"/>
      <c r="AA6262"/>
      <c r="AB6262"/>
      <c r="AC6262" s="23"/>
      <c r="AD6262" s="23"/>
      <c r="AF6262" s="22"/>
      <c r="AG6262" s="89"/>
      <c r="AH6262" s="274"/>
      <c r="AI6262" s="279"/>
      <c r="AJ6262" s="280"/>
      <c r="AK6262" s="92"/>
      <c r="AL6262" s="23"/>
      <c r="AM6262" s="371"/>
      <c r="AN6262" s="372"/>
      <c r="AT6262" s="20"/>
      <c r="AU6262" s="29"/>
      <c r="AV6262"/>
      <c r="AW6262"/>
    </row>
    <row r="6263" spans="1:49">
      <c r="A6263" t="str">
        <f t="shared" si="1164"/>
        <v>PA_Alleg_2020g~Gen-representative in the general assembly 30th district (vote for 1)</v>
      </c>
      <c r="B6263" s="55" t="s">
        <v>1395</v>
      </c>
      <c r="C6263">
        <v>59</v>
      </c>
      <c r="D6263" s="55" t="s">
        <v>1354</v>
      </c>
      <c r="E6263" s="55" t="s">
        <v>1299</v>
      </c>
      <c r="F6263" t="s">
        <v>1300</v>
      </c>
      <c r="G6263" s="62">
        <v>44</v>
      </c>
      <c r="H6263">
        <v>0.1</v>
      </c>
      <c r="I6263">
        <v>50709</v>
      </c>
      <c r="J6263">
        <v>0</v>
      </c>
      <c r="K6263">
        <v>60</v>
      </c>
      <c r="L6263">
        <v>60</v>
      </c>
      <c r="M6263">
        <v>0</v>
      </c>
      <c r="N6263" s="23">
        <v>0</v>
      </c>
      <c r="O6263">
        <f t="shared" si="1155"/>
        <v>-2</v>
      </c>
      <c r="P6263" s="57">
        <f t="shared" si="1156"/>
        <v>1</v>
      </c>
      <c r="Q6263" s="267">
        <f t="shared" si="1157"/>
        <v>44</v>
      </c>
      <c r="R6263" s="23">
        <f t="shared" si="1158"/>
        <v>1</v>
      </c>
      <c r="S6263" s="23">
        <f t="shared" si="1159"/>
        <v>0</v>
      </c>
      <c r="T6263" s="23" t="str">
        <f t="shared" si="1160"/>
        <v/>
      </c>
      <c r="U6263" t="str">
        <f t="shared" si="1161"/>
        <v/>
      </c>
      <c r="V6263" s="40"/>
      <c r="X6263" s="43"/>
      <c r="Y6263" s="53"/>
      <c r="Z6263" s="53"/>
      <c r="AA6263"/>
      <c r="AB6263"/>
      <c r="AC6263" s="23"/>
      <c r="AD6263" s="23"/>
      <c r="AF6263" s="22"/>
      <c r="AG6263" s="89"/>
      <c r="AH6263" s="274"/>
      <c r="AI6263" s="279"/>
      <c r="AJ6263" s="280"/>
      <c r="AK6263" s="92"/>
      <c r="AL6263" s="23"/>
      <c r="AM6263" s="371"/>
      <c r="AN6263" s="372"/>
      <c r="AT6263" s="20"/>
      <c r="AU6263" s="29"/>
      <c r="AV6263"/>
      <c r="AW6263"/>
    </row>
    <row r="6264" spans="1:49">
      <c r="A6264" t="str">
        <f t="shared" si="1164"/>
        <v>PA_Alleg_2020g~Gen-representative in the general assembly 32nd district (vote for 1)</v>
      </c>
      <c r="B6264" s="55" t="s">
        <v>1395</v>
      </c>
      <c r="C6264">
        <v>60</v>
      </c>
      <c r="D6264" s="55" t="s">
        <v>1357</v>
      </c>
      <c r="E6264" s="55" t="s">
        <v>1358</v>
      </c>
      <c r="F6264" t="s">
        <v>1294</v>
      </c>
      <c r="G6264" s="62">
        <v>30311</v>
      </c>
      <c r="H6264">
        <v>96.15</v>
      </c>
      <c r="I6264">
        <v>48348</v>
      </c>
      <c r="J6264">
        <v>0</v>
      </c>
      <c r="K6264">
        <v>68</v>
      </c>
      <c r="L6264">
        <v>68</v>
      </c>
      <c r="M6264">
        <v>0</v>
      </c>
      <c r="N6264" s="23">
        <v>0</v>
      </c>
      <c r="O6264">
        <f t="shared" si="1155"/>
        <v>1</v>
      </c>
      <c r="P6264" s="57">
        <f t="shared" si="1156"/>
        <v>1</v>
      </c>
      <c r="Q6264" s="267">
        <f t="shared" si="1157"/>
        <v>31525</v>
      </c>
      <c r="R6264" s="23">
        <f t="shared" si="1158"/>
        <v>30311</v>
      </c>
      <c r="S6264" s="23">
        <f t="shared" si="1159"/>
        <v>0</v>
      </c>
      <c r="T6264" s="23" t="str">
        <f t="shared" si="1160"/>
        <v/>
      </c>
      <c r="U6264" t="str">
        <f t="shared" si="1161"/>
        <v>PA_Alleg_2020g~Gen-representative in the general assembly 32nd district (vote for 1)</v>
      </c>
      <c r="V6264" s="40"/>
      <c r="X6264" s="43"/>
      <c r="Y6264" s="53"/>
      <c r="Z6264" s="53"/>
      <c r="AA6264"/>
      <c r="AB6264"/>
      <c r="AC6264" s="23"/>
      <c r="AD6264" s="23"/>
      <c r="AF6264" s="22"/>
      <c r="AG6264" s="89"/>
      <c r="AH6264" s="274"/>
      <c r="AI6264" s="279"/>
      <c r="AJ6264" s="280"/>
      <c r="AK6264" s="92"/>
      <c r="AL6264" s="23"/>
      <c r="AM6264" s="371"/>
      <c r="AN6264" s="372"/>
      <c r="AT6264" s="20"/>
      <c r="AU6264" s="29"/>
      <c r="AV6264"/>
      <c r="AW6264"/>
    </row>
    <row r="6265" spans="1:49">
      <c r="A6265" t="str">
        <f t="shared" si="1164"/>
        <v>PA_Alleg_2020g~Gen-representative in the general assembly 32nd district (vote for 1)</v>
      </c>
      <c r="B6265" s="55" t="s">
        <v>1395</v>
      </c>
      <c r="C6265">
        <v>61</v>
      </c>
      <c r="D6265" s="55" t="s">
        <v>1357</v>
      </c>
      <c r="E6265" s="55" t="s">
        <v>1299</v>
      </c>
      <c r="F6265" t="s">
        <v>1300</v>
      </c>
      <c r="G6265" s="62">
        <v>1214</v>
      </c>
      <c r="H6265">
        <v>3.85</v>
      </c>
      <c r="I6265">
        <v>48348</v>
      </c>
      <c r="J6265">
        <v>0</v>
      </c>
      <c r="K6265">
        <v>68</v>
      </c>
      <c r="L6265">
        <v>68</v>
      </c>
      <c r="M6265">
        <v>0</v>
      </c>
      <c r="N6265" s="23">
        <v>0</v>
      </c>
      <c r="O6265">
        <f t="shared" si="1155"/>
        <v>-1</v>
      </c>
      <c r="P6265" s="57">
        <f t="shared" si="1156"/>
        <v>1</v>
      </c>
      <c r="Q6265" s="267">
        <f t="shared" si="1157"/>
        <v>1214</v>
      </c>
      <c r="R6265" s="23">
        <f t="shared" si="1158"/>
        <v>1</v>
      </c>
      <c r="S6265" s="23">
        <f t="shared" si="1159"/>
        <v>0</v>
      </c>
      <c r="T6265" s="23" t="str">
        <f t="shared" si="1160"/>
        <v/>
      </c>
      <c r="U6265" t="str">
        <f t="shared" si="1161"/>
        <v/>
      </c>
      <c r="V6265" s="40"/>
      <c r="X6265" s="43"/>
      <c r="Y6265" s="53"/>
      <c r="Z6265" s="53"/>
      <c r="AA6265"/>
      <c r="AB6265"/>
      <c r="AC6265" s="23"/>
      <c r="AD6265" s="23"/>
      <c r="AF6265" s="22"/>
      <c r="AG6265" s="89"/>
      <c r="AH6265" s="274"/>
      <c r="AI6265" s="279"/>
      <c r="AJ6265" s="280"/>
      <c r="AK6265" s="92"/>
      <c r="AL6265" s="23"/>
      <c r="AM6265" s="371"/>
      <c r="AN6265" s="372"/>
      <c r="AT6265" s="20"/>
      <c r="AU6265" s="29"/>
      <c r="AV6265"/>
      <c r="AW6265"/>
    </row>
    <row r="6266" spans="1:49">
      <c r="A6266" t="str">
        <f t="shared" si="1164"/>
        <v>PA_Alleg_2020g~Gen-representative in the general assembly 33rd district (vote for 1)</v>
      </c>
      <c r="B6266" s="55" t="s">
        <v>1395</v>
      </c>
      <c r="C6266">
        <v>63</v>
      </c>
      <c r="D6266" s="55" t="s">
        <v>1359</v>
      </c>
      <c r="E6266" s="55" t="s">
        <v>1361</v>
      </c>
      <c r="F6266" t="s">
        <v>1296</v>
      </c>
      <c r="G6266" s="62">
        <v>12359</v>
      </c>
      <c r="H6266">
        <v>51.88</v>
      </c>
      <c r="I6266">
        <v>30171</v>
      </c>
      <c r="J6266">
        <v>0</v>
      </c>
      <c r="K6266">
        <v>42</v>
      </c>
      <c r="L6266">
        <v>42</v>
      </c>
      <c r="M6266">
        <v>0</v>
      </c>
      <c r="N6266" s="23">
        <v>0</v>
      </c>
      <c r="O6266">
        <f t="shared" si="1155"/>
        <v>1</v>
      </c>
      <c r="P6266" s="57">
        <f t="shared" si="1156"/>
        <v>1</v>
      </c>
      <c r="Q6266" s="267">
        <f t="shared" si="1157"/>
        <v>23822</v>
      </c>
      <c r="R6266" s="23">
        <f t="shared" si="1158"/>
        <v>12359</v>
      </c>
      <c r="S6266" s="23">
        <f t="shared" si="1159"/>
        <v>11421</v>
      </c>
      <c r="T6266" s="23">
        <f t="shared" si="1160"/>
        <v>938</v>
      </c>
      <c r="U6266" t="str">
        <f t="shared" si="1161"/>
        <v>PA_Alleg_2020g~Gen-representative in the general assembly 33rd district (vote for 1)</v>
      </c>
      <c r="V6266" s="40"/>
      <c r="X6266" s="43"/>
      <c r="Y6266" s="53"/>
      <c r="Z6266" s="53"/>
      <c r="AA6266"/>
      <c r="AB6266"/>
      <c r="AC6266" s="23"/>
      <c r="AD6266" s="23"/>
      <c r="AF6266" s="22"/>
      <c r="AG6266" s="89"/>
      <c r="AH6266" s="274"/>
      <c r="AI6266" s="279"/>
      <c r="AJ6266" s="280"/>
      <c r="AK6266" s="92"/>
      <c r="AL6266" s="23"/>
      <c r="AM6266" s="371"/>
      <c r="AN6266" s="372"/>
      <c r="AT6266" s="20"/>
      <c r="AU6266" s="29"/>
      <c r="AV6266"/>
      <c r="AW6266"/>
    </row>
    <row r="6267" spans="1:49">
      <c r="A6267" t="str">
        <f t="shared" si="1164"/>
        <v>PA_Alleg_2020g~Gen-representative in the general assembly 33rd district (vote for 1)</v>
      </c>
      <c r="B6267" s="55" t="s">
        <v>1395</v>
      </c>
      <c r="C6267">
        <v>62</v>
      </c>
      <c r="D6267" s="55" t="s">
        <v>1359</v>
      </c>
      <c r="E6267" s="55" t="s">
        <v>1360</v>
      </c>
      <c r="F6267" t="s">
        <v>1294</v>
      </c>
      <c r="G6267" s="62">
        <v>11421</v>
      </c>
      <c r="H6267">
        <v>47.94</v>
      </c>
      <c r="I6267">
        <v>30171</v>
      </c>
      <c r="J6267">
        <v>0</v>
      </c>
      <c r="K6267">
        <v>42</v>
      </c>
      <c r="L6267">
        <v>42</v>
      </c>
      <c r="M6267">
        <v>0</v>
      </c>
      <c r="N6267" s="23">
        <v>0</v>
      </c>
      <c r="O6267">
        <f t="shared" si="1155"/>
        <v>2</v>
      </c>
      <c r="P6267" s="57">
        <f t="shared" si="1156"/>
        <v>1</v>
      </c>
      <c r="Q6267" s="267">
        <f t="shared" si="1157"/>
        <v>11463</v>
      </c>
      <c r="R6267" s="23" t="str">
        <f t="shared" si="1158"/>
        <v/>
      </c>
      <c r="S6267" s="23">
        <f t="shared" si="1159"/>
        <v>11421</v>
      </c>
      <c r="T6267" s="23" t="str">
        <f t="shared" si="1160"/>
        <v/>
      </c>
      <c r="U6267" t="str">
        <f t="shared" si="1161"/>
        <v/>
      </c>
      <c r="V6267" s="40"/>
      <c r="X6267" s="43"/>
      <c r="Y6267" s="53"/>
      <c r="Z6267" s="53"/>
      <c r="AA6267"/>
      <c r="AB6267"/>
      <c r="AC6267" s="23"/>
      <c r="AD6267" s="23"/>
      <c r="AF6267" s="22"/>
      <c r="AG6267" s="89"/>
      <c r="AH6267" s="274"/>
      <c r="AI6267" s="279"/>
      <c r="AJ6267" s="280"/>
      <c r="AK6267" s="92"/>
      <c r="AL6267" s="23"/>
      <c r="AM6267" s="371"/>
      <c r="AN6267" s="372"/>
      <c r="AT6267" s="20"/>
      <c r="AU6267" s="29"/>
      <c r="AV6267"/>
      <c r="AW6267"/>
    </row>
    <row r="6268" spans="1:49">
      <c r="A6268" t="str">
        <f t="shared" si="1164"/>
        <v>PA_Alleg_2020g~Gen-representative in the general assembly 33rd district (vote for 1)</v>
      </c>
      <c r="B6268" s="55" t="s">
        <v>1395</v>
      </c>
      <c r="C6268">
        <v>64</v>
      </c>
      <c r="D6268" s="55" t="s">
        <v>1359</v>
      </c>
      <c r="E6268" s="55" t="s">
        <v>1299</v>
      </c>
      <c r="F6268" t="s">
        <v>1300</v>
      </c>
      <c r="G6268" s="62">
        <v>42</v>
      </c>
      <c r="H6268">
        <v>0.18</v>
      </c>
      <c r="I6268">
        <v>30171</v>
      </c>
      <c r="J6268">
        <v>0</v>
      </c>
      <c r="K6268">
        <v>42</v>
      </c>
      <c r="L6268">
        <v>42</v>
      </c>
      <c r="M6268">
        <v>0</v>
      </c>
      <c r="N6268" s="23">
        <v>0</v>
      </c>
      <c r="O6268">
        <f t="shared" si="1155"/>
        <v>-2</v>
      </c>
      <c r="P6268" s="57">
        <f t="shared" si="1156"/>
        <v>1</v>
      </c>
      <c r="Q6268" s="267">
        <f t="shared" si="1157"/>
        <v>42</v>
      </c>
      <c r="R6268" s="23">
        <f t="shared" si="1158"/>
        <v>1</v>
      </c>
      <c r="S6268" s="23">
        <f t="shared" si="1159"/>
        <v>0</v>
      </c>
      <c r="T6268" s="23" t="str">
        <f t="shared" si="1160"/>
        <v/>
      </c>
      <c r="U6268" t="str">
        <f t="shared" si="1161"/>
        <v/>
      </c>
      <c r="V6268" s="40"/>
      <c r="X6268" s="43"/>
      <c r="Y6268" s="53"/>
      <c r="Z6268" s="53"/>
      <c r="AA6268"/>
      <c r="AB6268"/>
      <c r="AC6268" s="23"/>
      <c r="AD6268" s="23"/>
      <c r="AF6268" s="22"/>
      <c r="AG6268" s="89"/>
      <c r="AH6268" s="274"/>
      <c r="AI6268" s="279"/>
      <c r="AJ6268" s="280"/>
      <c r="AK6268" s="92"/>
      <c r="AL6268" s="23"/>
      <c r="AM6268" s="371"/>
      <c r="AN6268" s="372"/>
      <c r="AT6268" s="20"/>
      <c r="AU6268" s="29"/>
      <c r="AV6268"/>
      <c r="AW6268"/>
    </row>
    <row r="6269" spans="1:49">
      <c r="A6269" t="str">
        <f t="shared" si="1164"/>
        <v>PA_Alleg_2020g~Gen-representative in the general assembly 34th district (vote for 1)</v>
      </c>
      <c r="B6269" s="55" t="s">
        <v>1395</v>
      </c>
      <c r="C6269">
        <v>65</v>
      </c>
      <c r="D6269" s="55" t="s">
        <v>1362</v>
      </c>
      <c r="E6269" s="55" t="s">
        <v>1363</v>
      </c>
      <c r="F6269" t="s">
        <v>1294</v>
      </c>
      <c r="G6269" s="62">
        <v>27112</v>
      </c>
      <c r="H6269">
        <v>95.57</v>
      </c>
      <c r="I6269">
        <v>46353</v>
      </c>
      <c r="J6269">
        <v>0</v>
      </c>
      <c r="K6269">
        <v>78</v>
      </c>
      <c r="L6269">
        <v>78</v>
      </c>
      <c r="M6269">
        <v>0</v>
      </c>
      <c r="N6269" s="23">
        <v>0</v>
      </c>
      <c r="O6269">
        <f t="shared" si="1155"/>
        <v>1</v>
      </c>
      <c r="P6269" s="57">
        <f t="shared" si="1156"/>
        <v>1</v>
      </c>
      <c r="Q6269" s="267">
        <f t="shared" si="1157"/>
        <v>28370</v>
      </c>
      <c r="R6269" s="23">
        <f t="shared" si="1158"/>
        <v>27112</v>
      </c>
      <c r="S6269" s="23">
        <f t="shared" si="1159"/>
        <v>0</v>
      </c>
      <c r="T6269" s="23" t="str">
        <f t="shared" si="1160"/>
        <v/>
      </c>
      <c r="U6269" t="str">
        <f t="shared" si="1161"/>
        <v>PA_Alleg_2020g~Gen-representative in the general assembly 34th district (vote for 1)</v>
      </c>
      <c r="V6269" s="40"/>
      <c r="X6269" s="43"/>
      <c r="Y6269" s="53"/>
      <c r="Z6269" s="53"/>
      <c r="AA6269"/>
      <c r="AB6269"/>
      <c r="AC6269" s="23"/>
      <c r="AD6269" s="23"/>
      <c r="AF6269" s="22"/>
      <c r="AG6269" s="89"/>
      <c r="AH6269" s="274"/>
      <c r="AI6269" s="279"/>
      <c r="AJ6269" s="280"/>
      <c r="AK6269" s="92"/>
      <c r="AL6269" s="23"/>
      <c r="AM6269" s="371"/>
      <c r="AN6269" s="372"/>
      <c r="AT6269" s="20"/>
      <c r="AU6269" s="29"/>
      <c r="AV6269"/>
      <c r="AW6269"/>
    </row>
    <row r="6270" spans="1:49">
      <c r="A6270" t="str">
        <f t="shared" si="1164"/>
        <v>PA_Alleg_2020g~Gen-representative in the general assembly 34th district (vote for 1)</v>
      </c>
      <c r="B6270" s="55" t="s">
        <v>1395</v>
      </c>
      <c r="C6270">
        <v>66</v>
      </c>
      <c r="D6270" s="55" t="s">
        <v>1362</v>
      </c>
      <c r="E6270" s="55" t="s">
        <v>1299</v>
      </c>
      <c r="F6270" t="s">
        <v>1300</v>
      </c>
      <c r="G6270" s="62">
        <v>1258</v>
      </c>
      <c r="H6270">
        <v>4.43</v>
      </c>
      <c r="I6270">
        <v>46353</v>
      </c>
      <c r="J6270">
        <v>0</v>
      </c>
      <c r="K6270">
        <v>78</v>
      </c>
      <c r="L6270">
        <v>78</v>
      </c>
      <c r="M6270">
        <v>0</v>
      </c>
      <c r="N6270" s="23">
        <v>0</v>
      </c>
      <c r="O6270">
        <f t="shared" si="1155"/>
        <v>-1</v>
      </c>
      <c r="P6270" s="57">
        <f t="shared" si="1156"/>
        <v>1</v>
      </c>
      <c r="Q6270" s="267">
        <f t="shared" si="1157"/>
        <v>1258</v>
      </c>
      <c r="R6270" s="23">
        <f t="shared" si="1158"/>
        <v>1</v>
      </c>
      <c r="S6270" s="23">
        <f t="shared" si="1159"/>
        <v>0</v>
      </c>
      <c r="T6270" s="23" t="str">
        <f t="shared" si="1160"/>
        <v/>
      </c>
      <c r="U6270" t="str">
        <f t="shared" si="1161"/>
        <v/>
      </c>
      <c r="V6270" s="40"/>
      <c r="X6270" s="43"/>
      <c r="Y6270" s="53"/>
      <c r="Z6270" s="53"/>
      <c r="AA6270"/>
      <c r="AB6270"/>
      <c r="AC6270" s="23"/>
      <c r="AD6270" s="23"/>
      <c r="AF6270" s="22"/>
      <c r="AG6270" s="89"/>
      <c r="AH6270" s="274"/>
      <c r="AI6270" s="279"/>
      <c r="AJ6270" s="280"/>
      <c r="AK6270" s="92"/>
      <c r="AL6270" s="23"/>
      <c r="AM6270" s="371"/>
      <c r="AN6270" s="372"/>
      <c r="AT6270" s="20"/>
      <c r="AU6270" s="29"/>
      <c r="AV6270"/>
      <c r="AW6270"/>
    </row>
    <row r="6271" spans="1:49">
      <c r="A6271" t="str">
        <f t="shared" si="1164"/>
        <v>PA_Alleg_2020g~Gen-representative in the general assembly 35th district (vote for 1)</v>
      </c>
      <c r="B6271" s="55" t="s">
        <v>1395</v>
      </c>
      <c r="C6271">
        <v>67</v>
      </c>
      <c r="D6271" s="55" t="s">
        <v>1364</v>
      </c>
      <c r="E6271" s="55" t="s">
        <v>1365</v>
      </c>
      <c r="F6271" t="s">
        <v>1294</v>
      </c>
      <c r="G6271" s="62">
        <v>21327</v>
      </c>
      <c r="H6271">
        <v>92.52</v>
      </c>
      <c r="I6271">
        <v>40330</v>
      </c>
      <c r="J6271">
        <v>0</v>
      </c>
      <c r="K6271">
        <v>84</v>
      </c>
      <c r="L6271">
        <v>84</v>
      </c>
      <c r="M6271">
        <v>0</v>
      </c>
      <c r="N6271" s="23">
        <v>0</v>
      </c>
      <c r="O6271">
        <f t="shared" si="1155"/>
        <v>1</v>
      </c>
      <c r="P6271" s="57">
        <f t="shared" si="1156"/>
        <v>1</v>
      </c>
      <c r="Q6271" s="267">
        <f t="shared" si="1157"/>
        <v>23052</v>
      </c>
      <c r="R6271" s="23">
        <f t="shared" si="1158"/>
        <v>21327</v>
      </c>
      <c r="S6271" s="23">
        <f t="shared" si="1159"/>
        <v>0</v>
      </c>
      <c r="T6271" s="23" t="str">
        <f t="shared" si="1160"/>
        <v/>
      </c>
      <c r="U6271" t="str">
        <f t="shared" si="1161"/>
        <v>PA_Alleg_2020g~Gen-representative in the general assembly 35th district (vote for 1)</v>
      </c>
      <c r="V6271" s="40"/>
      <c r="X6271" s="43"/>
      <c r="Y6271" s="53"/>
      <c r="Z6271" s="53"/>
      <c r="AA6271"/>
      <c r="AB6271"/>
      <c r="AC6271" s="23"/>
      <c r="AD6271" s="23"/>
      <c r="AF6271" s="22"/>
      <c r="AG6271" s="89"/>
      <c r="AH6271" s="274"/>
      <c r="AI6271" s="279"/>
      <c r="AJ6271" s="280"/>
      <c r="AK6271" s="92"/>
      <c r="AL6271" s="23"/>
      <c r="AM6271" s="371"/>
      <c r="AN6271" s="372"/>
      <c r="AT6271" s="20"/>
      <c r="AU6271" s="29"/>
      <c r="AV6271"/>
      <c r="AW6271"/>
    </row>
    <row r="6272" spans="1:49">
      <c r="A6272" t="str">
        <f t="shared" si="1164"/>
        <v>PA_Alleg_2020g~Gen-representative in the general assembly 35th district (vote for 1)</v>
      </c>
      <c r="B6272" s="55" t="s">
        <v>1395</v>
      </c>
      <c r="C6272">
        <v>68</v>
      </c>
      <c r="D6272" s="55" t="s">
        <v>1364</v>
      </c>
      <c r="E6272" s="55" t="s">
        <v>1299</v>
      </c>
      <c r="F6272" t="s">
        <v>1300</v>
      </c>
      <c r="G6272" s="62">
        <v>1725</v>
      </c>
      <c r="H6272">
        <v>7.48</v>
      </c>
      <c r="I6272">
        <v>40330</v>
      </c>
      <c r="J6272">
        <v>0</v>
      </c>
      <c r="K6272">
        <v>84</v>
      </c>
      <c r="L6272">
        <v>84</v>
      </c>
      <c r="M6272">
        <v>0</v>
      </c>
      <c r="N6272" s="23">
        <v>0</v>
      </c>
      <c r="O6272">
        <f t="shared" si="1155"/>
        <v>-1</v>
      </c>
      <c r="P6272" s="57">
        <f t="shared" si="1156"/>
        <v>1</v>
      </c>
      <c r="Q6272" s="267">
        <f t="shared" si="1157"/>
        <v>1725</v>
      </c>
      <c r="R6272" s="23">
        <f t="shared" si="1158"/>
        <v>1</v>
      </c>
      <c r="S6272" s="23">
        <f t="shared" si="1159"/>
        <v>0</v>
      </c>
      <c r="T6272" s="23" t="str">
        <f t="shared" si="1160"/>
        <v/>
      </c>
      <c r="U6272" t="str">
        <f t="shared" si="1161"/>
        <v/>
      </c>
      <c r="V6272" s="40"/>
      <c r="X6272" s="43"/>
      <c r="Y6272" s="53"/>
      <c r="Z6272" s="53"/>
      <c r="AA6272"/>
      <c r="AB6272"/>
      <c r="AC6272" s="23"/>
      <c r="AD6272" s="23"/>
      <c r="AF6272" s="22"/>
      <c r="AG6272" s="89"/>
      <c r="AH6272" s="274"/>
      <c r="AI6272" s="279"/>
      <c r="AJ6272" s="280"/>
      <c r="AK6272" s="92"/>
      <c r="AL6272" s="23"/>
      <c r="AM6272" s="371"/>
      <c r="AN6272" s="372"/>
      <c r="AT6272" s="20"/>
      <c r="AU6272" s="29"/>
      <c r="AV6272"/>
      <c r="AW6272"/>
    </row>
    <row r="6273" spans="1:49">
      <c r="A6273" t="str">
        <f t="shared" si="1164"/>
        <v>PA_Alleg_2020g~Gen-representative in the general assembly 36th district (vote for 1)</v>
      </c>
      <c r="B6273" s="55" t="s">
        <v>1395</v>
      </c>
      <c r="C6273">
        <v>69</v>
      </c>
      <c r="D6273" s="55" t="s">
        <v>1366</v>
      </c>
      <c r="E6273" s="55" t="s">
        <v>1367</v>
      </c>
      <c r="F6273" t="s">
        <v>1294</v>
      </c>
      <c r="G6273" s="62">
        <v>20064</v>
      </c>
      <c r="H6273">
        <v>62.5</v>
      </c>
      <c r="I6273">
        <v>44661</v>
      </c>
      <c r="J6273">
        <v>0</v>
      </c>
      <c r="K6273">
        <v>72</v>
      </c>
      <c r="L6273">
        <v>72</v>
      </c>
      <c r="M6273">
        <v>0</v>
      </c>
      <c r="N6273" s="23">
        <v>0</v>
      </c>
      <c r="O6273">
        <f t="shared" si="1155"/>
        <v>1</v>
      </c>
      <c r="P6273" s="57">
        <f t="shared" si="1156"/>
        <v>1</v>
      </c>
      <c r="Q6273" s="267">
        <f t="shared" si="1157"/>
        <v>32102</v>
      </c>
      <c r="R6273" s="23">
        <f t="shared" si="1158"/>
        <v>20064</v>
      </c>
      <c r="S6273" s="23">
        <f t="shared" si="1159"/>
        <v>11980</v>
      </c>
      <c r="T6273" s="23">
        <f t="shared" si="1160"/>
        <v>8084</v>
      </c>
      <c r="U6273" t="str">
        <f t="shared" si="1161"/>
        <v>PA_Alleg_2020g~Gen-representative in the general assembly 36th district (vote for 1)</v>
      </c>
      <c r="V6273" s="40"/>
      <c r="X6273" s="43"/>
      <c r="Y6273" s="53"/>
      <c r="Z6273" s="53"/>
      <c r="AA6273"/>
      <c r="AB6273"/>
      <c r="AC6273" s="23"/>
      <c r="AD6273" s="23"/>
      <c r="AF6273" s="22"/>
      <c r="AG6273" s="89"/>
      <c r="AH6273" s="274"/>
      <c r="AI6273" s="279"/>
      <c r="AJ6273" s="280"/>
      <c r="AK6273" s="92"/>
      <c r="AL6273" s="23"/>
      <c r="AM6273" s="371"/>
      <c r="AN6273" s="372"/>
      <c r="AT6273" s="20"/>
      <c r="AU6273" s="29"/>
      <c r="AV6273"/>
      <c r="AW6273"/>
    </row>
    <row r="6274" spans="1:49">
      <c r="A6274" t="str">
        <f t="shared" si="1164"/>
        <v>PA_Alleg_2020g~Gen-representative in the general assembly 36th district (vote for 1)</v>
      </c>
      <c r="B6274" s="55" t="s">
        <v>1395</v>
      </c>
      <c r="C6274">
        <v>70</v>
      </c>
      <c r="D6274" s="55" t="s">
        <v>1366</v>
      </c>
      <c r="E6274" s="55" t="s">
        <v>1368</v>
      </c>
      <c r="F6274" t="s">
        <v>1296</v>
      </c>
      <c r="G6274" s="62">
        <v>11980</v>
      </c>
      <c r="H6274">
        <v>37.32</v>
      </c>
      <c r="I6274">
        <v>44661</v>
      </c>
      <c r="J6274">
        <v>0</v>
      </c>
      <c r="K6274">
        <v>72</v>
      </c>
      <c r="L6274">
        <v>72</v>
      </c>
      <c r="M6274">
        <v>0</v>
      </c>
      <c r="N6274" s="23">
        <v>0</v>
      </c>
      <c r="O6274">
        <f t="shared" ref="O6274:O6337" si="1165">IF(OR(LOWER(LEFT(E6274,8))="write-in",LOWER(LEFT(E6274,8))="not qual"),IF(A6274=A6273,-ABS(O6273),0),IF(A6274=A6273,ABS(O6273)+1,1))</f>
        <v>2</v>
      </c>
      <c r="P6274" s="57">
        <f t="shared" ref="P6274:P6337" si="1166">1*LEFT(RIGHT(A6274,2),1)</f>
        <v>1</v>
      </c>
      <c r="Q6274" s="267">
        <f t="shared" ref="Q6274:Q6337" si="1167">IF(A6274&lt;&gt;A6275,G6274,IF(A6274=A6273,G6274+Q6275,MAX(G6274,(G6274+Q6275)/P6274)))</f>
        <v>12038</v>
      </c>
      <c r="R6274" s="23" t="str">
        <f t="shared" ref="R6274:R6337" si="1168">IF(O6274&gt;P6274,"",IF(O6274=P6274,G6274,IF(A6274=A6275,R6275,IF(O6274&lt;=0,1,G6274))))</f>
        <v/>
      </c>
      <c r="S6274" s="23">
        <f t="shared" ref="S6274:S6337" si="1169">IF(AND(O6274&gt;P6274,LOWER(LEFT(E6274,8))&lt;&gt;"write-in",LOWER(LEFT(E6274,8))&lt;&gt;"not qual"),G6274,IF(A6274=A6275,S6275,0))</f>
        <v>11980</v>
      </c>
      <c r="T6274" s="23" t="str">
        <f t="shared" ref="T6274:T6337" si="1170">IF(OR(A6274=A6273,S6274=0),"",R6274-ABS(S6274))</f>
        <v/>
      </c>
      <c r="U6274" t="str">
        <f t="shared" ref="U6274:U6337" si="1171">IF(A6274=A6273,"",A6274)</f>
        <v/>
      </c>
      <c r="V6274" s="40"/>
      <c r="X6274" s="43"/>
      <c r="Y6274" s="53"/>
      <c r="Z6274" s="53"/>
      <c r="AA6274"/>
      <c r="AB6274"/>
      <c r="AC6274" s="23"/>
      <c r="AD6274" s="23"/>
      <c r="AF6274" s="22"/>
      <c r="AG6274" s="89"/>
      <c r="AH6274" s="274"/>
      <c r="AI6274" s="279"/>
      <c r="AJ6274" s="280"/>
      <c r="AK6274" s="92"/>
      <c r="AL6274" s="23"/>
      <c r="AM6274" s="371"/>
      <c r="AN6274" s="372"/>
      <c r="AT6274" s="20"/>
      <c r="AU6274" s="29"/>
      <c r="AV6274"/>
      <c r="AW6274"/>
    </row>
    <row r="6275" spans="1:49">
      <c r="A6275" t="str">
        <f t="shared" si="1164"/>
        <v>PA_Alleg_2020g~Gen-representative in the general assembly 36th district (vote for 1)</v>
      </c>
      <c r="B6275" s="55" t="s">
        <v>1395</v>
      </c>
      <c r="C6275">
        <v>71</v>
      </c>
      <c r="D6275" s="55" t="s">
        <v>1366</v>
      </c>
      <c r="E6275" s="55" t="s">
        <v>1299</v>
      </c>
      <c r="F6275" t="s">
        <v>1300</v>
      </c>
      <c r="G6275" s="62">
        <v>58</v>
      </c>
      <c r="H6275">
        <v>0.18</v>
      </c>
      <c r="I6275">
        <v>44661</v>
      </c>
      <c r="J6275">
        <v>0</v>
      </c>
      <c r="K6275">
        <v>72</v>
      </c>
      <c r="L6275">
        <v>72</v>
      </c>
      <c r="M6275">
        <v>0</v>
      </c>
      <c r="N6275" s="23">
        <v>0</v>
      </c>
      <c r="O6275">
        <f t="shared" si="1165"/>
        <v>-2</v>
      </c>
      <c r="P6275" s="57">
        <f t="shared" si="1166"/>
        <v>1</v>
      </c>
      <c r="Q6275" s="267">
        <f t="shared" si="1167"/>
        <v>58</v>
      </c>
      <c r="R6275" s="23">
        <f t="shared" si="1168"/>
        <v>1</v>
      </c>
      <c r="S6275" s="23">
        <f t="shared" si="1169"/>
        <v>0</v>
      </c>
      <c r="T6275" s="23" t="str">
        <f t="shared" si="1170"/>
        <v/>
      </c>
      <c r="U6275" t="str">
        <f t="shared" si="1171"/>
        <v/>
      </c>
      <c r="V6275" s="40"/>
      <c r="X6275" s="43"/>
      <c r="Y6275" s="53"/>
      <c r="Z6275" s="53"/>
      <c r="AA6275"/>
      <c r="AB6275"/>
      <c r="AC6275" s="23"/>
      <c r="AD6275" s="23"/>
      <c r="AF6275" s="22"/>
      <c r="AG6275" s="89"/>
      <c r="AH6275" s="274"/>
      <c r="AI6275" s="279"/>
      <c r="AJ6275" s="280"/>
      <c r="AK6275" s="92"/>
      <c r="AL6275" s="23"/>
      <c r="AM6275" s="371"/>
      <c r="AN6275" s="372"/>
      <c r="AT6275" s="20"/>
      <c r="AU6275" s="29"/>
      <c r="AV6275"/>
      <c r="AW6275"/>
    </row>
    <row r="6276" spans="1:49">
      <c r="A6276" t="str">
        <f t="shared" si="1164"/>
        <v>PA_Alleg_2020g~Gen-representative in the general assembly 38th district (vote for 1)</v>
      </c>
      <c r="B6276" s="55" t="s">
        <v>1395</v>
      </c>
      <c r="C6276">
        <v>72</v>
      </c>
      <c r="D6276" s="55" t="s">
        <v>1369</v>
      </c>
      <c r="E6276" s="55" t="s">
        <v>1370</v>
      </c>
      <c r="F6276" t="s">
        <v>1294</v>
      </c>
      <c r="G6276" s="62">
        <v>20352</v>
      </c>
      <c r="H6276">
        <v>55.98</v>
      </c>
      <c r="I6276">
        <v>46507</v>
      </c>
      <c r="J6276">
        <v>0</v>
      </c>
      <c r="K6276">
        <v>71</v>
      </c>
      <c r="L6276">
        <v>71</v>
      </c>
      <c r="M6276">
        <v>0</v>
      </c>
      <c r="N6276" s="23">
        <v>0</v>
      </c>
      <c r="O6276">
        <f t="shared" si="1165"/>
        <v>1</v>
      </c>
      <c r="P6276" s="57">
        <f t="shared" si="1166"/>
        <v>1</v>
      </c>
      <c r="Q6276" s="267">
        <f t="shared" si="1167"/>
        <v>36357</v>
      </c>
      <c r="R6276" s="23">
        <f t="shared" si="1168"/>
        <v>20352</v>
      </c>
      <c r="S6276" s="23">
        <f t="shared" si="1169"/>
        <v>15930</v>
      </c>
      <c r="T6276" s="23">
        <f t="shared" si="1170"/>
        <v>4422</v>
      </c>
      <c r="U6276" t="str">
        <f t="shared" si="1171"/>
        <v>PA_Alleg_2020g~Gen-representative in the general assembly 38th district (vote for 1)</v>
      </c>
      <c r="V6276" s="40"/>
      <c r="X6276" s="43"/>
      <c r="Y6276" s="53"/>
      <c r="Z6276" s="53"/>
      <c r="AA6276"/>
      <c r="AB6276"/>
      <c r="AC6276" s="23"/>
      <c r="AD6276" s="23"/>
      <c r="AF6276" s="22"/>
      <c r="AG6276" s="89"/>
      <c r="AH6276" s="274"/>
      <c r="AI6276" s="279"/>
      <c r="AJ6276" s="280"/>
      <c r="AK6276" s="92"/>
      <c r="AL6276" s="23"/>
      <c r="AM6276" s="371"/>
      <c r="AN6276" s="372"/>
      <c r="AT6276" s="20"/>
      <c r="AU6276" s="29"/>
      <c r="AV6276"/>
      <c r="AW6276"/>
    </row>
    <row r="6277" spans="1:49">
      <c r="A6277" t="str">
        <f t="shared" si="1164"/>
        <v>PA_Alleg_2020g~Gen-representative in the general assembly 38th district (vote for 1)</v>
      </c>
      <c r="B6277" s="55" t="s">
        <v>1395</v>
      </c>
      <c r="C6277">
        <v>73</v>
      </c>
      <c r="D6277" s="55" t="s">
        <v>1369</v>
      </c>
      <c r="E6277" s="55" t="s">
        <v>1371</v>
      </c>
      <c r="F6277" t="s">
        <v>1296</v>
      </c>
      <c r="G6277" s="62">
        <v>15930</v>
      </c>
      <c r="H6277">
        <v>43.82</v>
      </c>
      <c r="I6277">
        <v>46507</v>
      </c>
      <c r="J6277">
        <v>0</v>
      </c>
      <c r="K6277">
        <v>71</v>
      </c>
      <c r="L6277">
        <v>71</v>
      </c>
      <c r="M6277">
        <v>0</v>
      </c>
      <c r="N6277" s="23">
        <v>0</v>
      </c>
      <c r="O6277">
        <f t="shared" si="1165"/>
        <v>2</v>
      </c>
      <c r="P6277" s="57">
        <f t="shared" si="1166"/>
        <v>1</v>
      </c>
      <c r="Q6277" s="267">
        <f t="shared" si="1167"/>
        <v>16005</v>
      </c>
      <c r="R6277" s="23" t="str">
        <f t="shared" si="1168"/>
        <v/>
      </c>
      <c r="S6277" s="23">
        <f t="shared" si="1169"/>
        <v>15930</v>
      </c>
      <c r="T6277" s="23" t="str">
        <f t="shared" si="1170"/>
        <v/>
      </c>
      <c r="U6277" t="str">
        <f t="shared" si="1171"/>
        <v/>
      </c>
      <c r="V6277" s="40"/>
      <c r="X6277" s="43"/>
      <c r="Y6277" s="53"/>
      <c r="Z6277" s="53"/>
      <c r="AA6277"/>
      <c r="AB6277"/>
      <c r="AC6277" s="23"/>
      <c r="AD6277" s="23"/>
      <c r="AF6277" s="22"/>
      <c r="AG6277" s="89"/>
      <c r="AH6277" s="274"/>
      <c r="AI6277" s="279"/>
      <c r="AJ6277" s="280"/>
      <c r="AK6277" s="92"/>
      <c r="AL6277" s="23"/>
      <c r="AM6277" s="371"/>
      <c r="AN6277" s="372"/>
      <c r="AT6277" s="20"/>
      <c r="AU6277" s="29"/>
      <c r="AV6277"/>
      <c r="AW6277"/>
    </row>
    <row r="6278" spans="1:49">
      <c r="A6278" t="str">
        <f t="shared" si="1164"/>
        <v>PA_Alleg_2020g~Gen-representative in the general assembly 38th district (vote for 1)</v>
      </c>
      <c r="B6278" s="55" t="s">
        <v>1395</v>
      </c>
      <c r="C6278">
        <v>74</v>
      </c>
      <c r="D6278" s="55" t="s">
        <v>1369</v>
      </c>
      <c r="E6278" s="55" t="s">
        <v>1299</v>
      </c>
      <c r="F6278" t="s">
        <v>1300</v>
      </c>
      <c r="G6278" s="62">
        <v>75</v>
      </c>
      <c r="H6278">
        <v>0.21</v>
      </c>
      <c r="I6278">
        <v>46507</v>
      </c>
      <c r="J6278">
        <v>0</v>
      </c>
      <c r="K6278">
        <v>71</v>
      </c>
      <c r="L6278">
        <v>71</v>
      </c>
      <c r="M6278">
        <v>0</v>
      </c>
      <c r="N6278" s="23">
        <v>0</v>
      </c>
      <c r="O6278">
        <f t="shared" si="1165"/>
        <v>-2</v>
      </c>
      <c r="P6278" s="57">
        <f t="shared" si="1166"/>
        <v>1</v>
      </c>
      <c r="Q6278" s="267">
        <f t="shared" si="1167"/>
        <v>75</v>
      </c>
      <c r="R6278" s="23">
        <f t="shared" si="1168"/>
        <v>1</v>
      </c>
      <c r="S6278" s="23">
        <f t="shared" si="1169"/>
        <v>0</v>
      </c>
      <c r="T6278" s="23" t="str">
        <f t="shared" si="1170"/>
        <v/>
      </c>
      <c r="U6278" t="str">
        <f t="shared" si="1171"/>
        <v/>
      </c>
      <c r="V6278" s="40"/>
      <c r="X6278" s="43"/>
      <c r="Y6278" s="53"/>
      <c r="Z6278" s="53"/>
      <c r="AA6278"/>
      <c r="AB6278"/>
      <c r="AC6278" s="23"/>
      <c r="AD6278" s="23"/>
      <c r="AF6278" s="22"/>
      <c r="AG6278" s="89"/>
      <c r="AH6278" s="274"/>
      <c r="AI6278" s="279"/>
      <c r="AJ6278" s="280"/>
      <c r="AK6278" s="92"/>
      <c r="AL6278" s="23"/>
      <c r="AM6278" s="371"/>
      <c r="AN6278" s="372"/>
      <c r="AT6278" s="20"/>
      <c r="AU6278" s="29"/>
      <c r="AV6278"/>
      <c r="AW6278"/>
    </row>
    <row r="6279" spans="1:49">
      <c r="A6279" t="str">
        <f t="shared" si="1164"/>
        <v>PA_Alleg_2020g~Gen-representative in the general assembly 39th district (vote for 1)</v>
      </c>
      <c r="B6279" s="55" t="s">
        <v>1395</v>
      </c>
      <c r="C6279">
        <v>76</v>
      </c>
      <c r="D6279" s="55" t="s">
        <v>1372</v>
      </c>
      <c r="E6279" s="55" t="s">
        <v>1374</v>
      </c>
      <c r="F6279" t="s">
        <v>1296</v>
      </c>
      <c r="G6279" s="62">
        <v>18218</v>
      </c>
      <c r="H6279">
        <v>61.56</v>
      </c>
      <c r="I6279">
        <v>35995</v>
      </c>
      <c r="J6279">
        <v>0</v>
      </c>
      <c r="K6279">
        <v>41</v>
      </c>
      <c r="L6279">
        <v>41</v>
      </c>
      <c r="M6279">
        <v>0</v>
      </c>
      <c r="N6279" s="23">
        <v>0</v>
      </c>
      <c r="O6279">
        <f t="shared" si="1165"/>
        <v>1</v>
      </c>
      <c r="P6279" s="57">
        <f t="shared" si="1166"/>
        <v>1</v>
      </c>
      <c r="Q6279" s="267">
        <f t="shared" si="1167"/>
        <v>29593</v>
      </c>
      <c r="R6279" s="23">
        <f t="shared" si="1168"/>
        <v>18218</v>
      </c>
      <c r="S6279" s="23">
        <f t="shared" si="1169"/>
        <v>11335</v>
      </c>
      <c r="T6279" s="23">
        <f t="shared" si="1170"/>
        <v>6883</v>
      </c>
      <c r="U6279" t="str">
        <f t="shared" si="1171"/>
        <v>PA_Alleg_2020g~Gen-representative in the general assembly 39th district (vote for 1)</v>
      </c>
      <c r="V6279" s="40"/>
      <c r="X6279" s="43"/>
      <c r="Y6279" s="53"/>
      <c r="Z6279" s="53"/>
      <c r="AA6279"/>
      <c r="AB6279"/>
      <c r="AC6279" s="23"/>
      <c r="AD6279" s="23"/>
      <c r="AF6279" s="22"/>
      <c r="AG6279" s="89"/>
      <c r="AH6279" s="274"/>
      <c r="AI6279" s="279"/>
      <c r="AJ6279" s="280"/>
      <c r="AK6279" s="92"/>
      <c r="AL6279" s="23"/>
      <c r="AM6279" s="371"/>
      <c r="AN6279" s="372"/>
      <c r="AT6279" s="20"/>
      <c r="AU6279" s="29"/>
      <c r="AV6279"/>
      <c r="AW6279"/>
    </row>
    <row r="6280" spans="1:49">
      <c r="A6280" t="str">
        <f t="shared" ref="A6280:A6311" si="1172">CONCATENATE(B6280,"~Gen-",LOWER(D6280))</f>
        <v>PA_Alleg_2020g~Gen-representative in the general assembly 39th district (vote for 1)</v>
      </c>
      <c r="B6280" s="55" t="s">
        <v>1395</v>
      </c>
      <c r="C6280">
        <v>75</v>
      </c>
      <c r="D6280" s="55" t="s">
        <v>1372</v>
      </c>
      <c r="E6280" s="55" t="s">
        <v>1373</v>
      </c>
      <c r="F6280" t="s">
        <v>1294</v>
      </c>
      <c r="G6280" s="62">
        <v>11335</v>
      </c>
      <c r="H6280">
        <v>38.299999999999997</v>
      </c>
      <c r="I6280">
        <v>35995</v>
      </c>
      <c r="J6280">
        <v>0</v>
      </c>
      <c r="K6280">
        <v>41</v>
      </c>
      <c r="L6280">
        <v>41</v>
      </c>
      <c r="M6280">
        <v>0</v>
      </c>
      <c r="N6280" s="23">
        <v>0</v>
      </c>
      <c r="O6280">
        <f t="shared" si="1165"/>
        <v>2</v>
      </c>
      <c r="P6280" s="57">
        <f t="shared" si="1166"/>
        <v>1</v>
      </c>
      <c r="Q6280" s="267">
        <f t="shared" si="1167"/>
        <v>11375</v>
      </c>
      <c r="R6280" s="23" t="str">
        <f t="shared" si="1168"/>
        <v/>
      </c>
      <c r="S6280" s="23">
        <f t="shared" si="1169"/>
        <v>11335</v>
      </c>
      <c r="T6280" s="23" t="str">
        <f t="shared" si="1170"/>
        <v/>
      </c>
      <c r="U6280" t="str">
        <f t="shared" si="1171"/>
        <v/>
      </c>
      <c r="V6280" s="40"/>
      <c r="X6280" s="43"/>
      <c r="Y6280" s="53"/>
      <c r="Z6280" s="53"/>
      <c r="AA6280"/>
      <c r="AB6280"/>
      <c r="AC6280" s="23"/>
      <c r="AD6280" s="23"/>
      <c r="AF6280" s="22"/>
      <c r="AG6280" s="89"/>
      <c r="AH6280" s="274"/>
      <c r="AI6280" s="279"/>
      <c r="AJ6280" s="280"/>
      <c r="AK6280" s="92"/>
      <c r="AL6280" s="23"/>
      <c r="AM6280" s="371"/>
      <c r="AN6280" s="372"/>
      <c r="AT6280" s="20"/>
      <c r="AU6280" s="29"/>
      <c r="AV6280"/>
      <c r="AW6280"/>
    </row>
    <row r="6281" spans="1:49">
      <c r="A6281" t="str">
        <f t="shared" si="1172"/>
        <v>PA_Alleg_2020g~Gen-representative in the general assembly 39th district (vote for 1)</v>
      </c>
      <c r="B6281" s="55" t="s">
        <v>1395</v>
      </c>
      <c r="C6281">
        <v>77</v>
      </c>
      <c r="D6281" s="55" t="s">
        <v>1372</v>
      </c>
      <c r="E6281" s="55" t="s">
        <v>1299</v>
      </c>
      <c r="F6281" t="s">
        <v>1300</v>
      </c>
      <c r="G6281" s="62">
        <v>40</v>
      </c>
      <c r="H6281">
        <v>0.14000000000000001</v>
      </c>
      <c r="I6281">
        <v>35995</v>
      </c>
      <c r="J6281">
        <v>0</v>
      </c>
      <c r="K6281">
        <v>41</v>
      </c>
      <c r="L6281">
        <v>41</v>
      </c>
      <c r="M6281">
        <v>0</v>
      </c>
      <c r="N6281" s="23">
        <v>0</v>
      </c>
      <c r="O6281">
        <f t="shared" si="1165"/>
        <v>-2</v>
      </c>
      <c r="P6281" s="57">
        <f t="shared" si="1166"/>
        <v>1</v>
      </c>
      <c r="Q6281" s="267">
        <f t="shared" si="1167"/>
        <v>40</v>
      </c>
      <c r="R6281" s="23">
        <f t="shared" si="1168"/>
        <v>1</v>
      </c>
      <c r="S6281" s="23">
        <f t="shared" si="1169"/>
        <v>0</v>
      </c>
      <c r="T6281" s="23" t="str">
        <f t="shared" si="1170"/>
        <v/>
      </c>
      <c r="U6281" t="str">
        <f t="shared" si="1171"/>
        <v/>
      </c>
      <c r="V6281" s="40"/>
      <c r="X6281" s="43"/>
      <c r="Y6281" s="53"/>
      <c r="Z6281" s="53"/>
      <c r="AA6281"/>
      <c r="AB6281"/>
      <c r="AC6281" s="23"/>
      <c r="AD6281" s="23"/>
      <c r="AF6281" s="22"/>
      <c r="AG6281" s="89"/>
      <c r="AH6281" s="274"/>
      <c r="AI6281" s="279"/>
      <c r="AJ6281" s="280"/>
      <c r="AK6281" s="92"/>
      <c r="AL6281" s="23"/>
      <c r="AM6281" s="371"/>
      <c r="AN6281" s="372"/>
      <c r="AT6281" s="20"/>
      <c r="AU6281" s="29"/>
      <c r="AV6281"/>
      <c r="AW6281"/>
    </row>
    <row r="6282" spans="1:49">
      <c r="A6282" t="str">
        <f t="shared" si="1172"/>
        <v>PA_Alleg_2020g~Gen-representative in the general assembly 40th district (vote for 1)</v>
      </c>
      <c r="B6282" s="55" t="s">
        <v>1395</v>
      </c>
      <c r="C6282">
        <v>79</v>
      </c>
      <c r="D6282" s="55" t="s">
        <v>1375</v>
      </c>
      <c r="E6282" s="55" t="s">
        <v>1377</v>
      </c>
      <c r="F6282" t="s">
        <v>1296</v>
      </c>
      <c r="G6282" s="62">
        <v>16062</v>
      </c>
      <c r="H6282">
        <v>56.84</v>
      </c>
      <c r="I6282">
        <v>34163</v>
      </c>
      <c r="J6282">
        <v>0</v>
      </c>
      <c r="K6282">
        <v>37</v>
      </c>
      <c r="L6282">
        <v>37</v>
      </c>
      <c r="M6282">
        <v>0</v>
      </c>
      <c r="N6282" s="23">
        <v>0</v>
      </c>
      <c r="O6282">
        <f t="shared" si="1165"/>
        <v>1</v>
      </c>
      <c r="P6282" s="57">
        <f t="shared" si="1166"/>
        <v>1</v>
      </c>
      <c r="Q6282" s="267">
        <f t="shared" si="1167"/>
        <v>28258</v>
      </c>
      <c r="R6282" s="23">
        <f t="shared" si="1168"/>
        <v>16062</v>
      </c>
      <c r="S6282" s="23">
        <f t="shared" si="1169"/>
        <v>12180</v>
      </c>
      <c r="T6282" s="23">
        <f t="shared" si="1170"/>
        <v>3882</v>
      </c>
      <c r="U6282" t="str">
        <f t="shared" si="1171"/>
        <v>PA_Alleg_2020g~Gen-representative in the general assembly 40th district (vote for 1)</v>
      </c>
      <c r="V6282" s="40"/>
      <c r="X6282" s="43"/>
      <c r="Y6282" s="53"/>
      <c r="Z6282" s="53"/>
      <c r="AA6282"/>
      <c r="AB6282"/>
      <c r="AC6282" s="23"/>
      <c r="AD6282" s="23"/>
      <c r="AF6282" s="22"/>
      <c r="AG6282" s="89"/>
      <c r="AH6282" s="274"/>
      <c r="AI6282" s="279"/>
      <c r="AJ6282" s="280"/>
      <c r="AK6282" s="92"/>
      <c r="AL6282" s="23"/>
      <c r="AM6282" s="371"/>
      <c r="AN6282" s="372"/>
      <c r="AT6282" s="20"/>
      <c r="AU6282" s="29"/>
      <c r="AV6282"/>
      <c r="AW6282"/>
    </row>
    <row r="6283" spans="1:49">
      <c r="A6283" t="str">
        <f t="shared" si="1172"/>
        <v>PA_Alleg_2020g~Gen-representative in the general assembly 40th district (vote for 1)</v>
      </c>
      <c r="B6283" s="55" t="s">
        <v>1395</v>
      </c>
      <c r="C6283">
        <v>78</v>
      </c>
      <c r="D6283" s="55" t="s">
        <v>1375</v>
      </c>
      <c r="E6283" s="55" t="s">
        <v>1376</v>
      </c>
      <c r="F6283" t="s">
        <v>1294</v>
      </c>
      <c r="G6283" s="62">
        <v>12180</v>
      </c>
      <c r="H6283">
        <v>43.1</v>
      </c>
      <c r="I6283">
        <v>34163</v>
      </c>
      <c r="J6283">
        <v>0</v>
      </c>
      <c r="K6283">
        <v>37</v>
      </c>
      <c r="L6283">
        <v>37</v>
      </c>
      <c r="M6283">
        <v>0</v>
      </c>
      <c r="N6283" s="23">
        <v>0</v>
      </c>
      <c r="O6283">
        <f t="shared" si="1165"/>
        <v>2</v>
      </c>
      <c r="P6283" s="57">
        <f t="shared" si="1166"/>
        <v>1</v>
      </c>
      <c r="Q6283" s="267">
        <f t="shared" si="1167"/>
        <v>12196</v>
      </c>
      <c r="R6283" s="23" t="str">
        <f t="shared" si="1168"/>
        <v/>
      </c>
      <c r="S6283" s="23">
        <f t="shared" si="1169"/>
        <v>12180</v>
      </c>
      <c r="T6283" s="23" t="str">
        <f t="shared" si="1170"/>
        <v/>
      </c>
      <c r="U6283" t="str">
        <f t="shared" si="1171"/>
        <v/>
      </c>
      <c r="V6283" s="40"/>
      <c r="X6283" s="43"/>
      <c r="Y6283" s="53"/>
      <c r="Z6283" s="53"/>
      <c r="AA6283"/>
      <c r="AB6283"/>
      <c r="AC6283" s="23"/>
      <c r="AD6283" s="23"/>
      <c r="AF6283" s="22"/>
      <c r="AG6283" s="89"/>
      <c r="AH6283" s="274"/>
      <c r="AI6283" s="279"/>
      <c r="AJ6283" s="280"/>
      <c r="AK6283" s="92"/>
      <c r="AL6283" s="23"/>
      <c r="AM6283" s="371"/>
      <c r="AN6283" s="372"/>
      <c r="AT6283" s="20"/>
      <c r="AU6283" s="29"/>
      <c r="AV6283"/>
      <c r="AW6283"/>
    </row>
    <row r="6284" spans="1:49">
      <c r="A6284" t="str">
        <f t="shared" si="1172"/>
        <v>PA_Alleg_2020g~Gen-representative in the general assembly 40th district (vote for 1)</v>
      </c>
      <c r="B6284" s="55" t="s">
        <v>1395</v>
      </c>
      <c r="C6284">
        <v>80</v>
      </c>
      <c r="D6284" s="55" t="s">
        <v>1375</v>
      </c>
      <c r="E6284" s="55" t="s">
        <v>1299</v>
      </c>
      <c r="F6284" t="s">
        <v>1300</v>
      </c>
      <c r="G6284" s="62">
        <v>16</v>
      </c>
      <c r="H6284">
        <v>0.06</v>
      </c>
      <c r="I6284">
        <v>34163</v>
      </c>
      <c r="J6284">
        <v>0</v>
      </c>
      <c r="K6284">
        <v>37</v>
      </c>
      <c r="L6284">
        <v>37</v>
      </c>
      <c r="M6284">
        <v>0</v>
      </c>
      <c r="N6284" s="23">
        <v>0</v>
      </c>
      <c r="O6284">
        <f t="shared" si="1165"/>
        <v>-2</v>
      </c>
      <c r="P6284" s="57">
        <f t="shared" si="1166"/>
        <v>1</v>
      </c>
      <c r="Q6284" s="267">
        <f t="shared" si="1167"/>
        <v>16</v>
      </c>
      <c r="R6284" s="23">
        <f t="shared" si="1168"/>
        <v>1</v>
      </c>
      <c r="S6284" s="23">
        <f t="shared" si="1169"/>
        <v>0</v>
      </c>
      <c r="T6284" s="23" t="str">
        <f t="shared" si="1170"/>
        <v/>
      </c>
      <c r="U6284" t="str">
        <f t="shared" si="1171"/>
        <v/>
      </c>
      <c r="V6284" s="40"/>
      <c r="X6284" s="43"/>
      <c r="Y6284" s="53"/>
      <c r="Z6284" s="53"/>
      <c r="AA6284"/>
      <c r="AB6284"/>
      <c r="AC6284" s="23"/>
      <c r="AD6284" s="23"/>
      <c r="AF6284" s="22"/>
      <c r="AG6284" s="89"/>
      <c r="AH6284" s="274"/>
      <c r="AI6284" s="279"/>
      <c r="AJ6284" s="280"/>
      <c r="AK6284" s="92"/>
      <c r="AL6284" s="23"/>
      <c r="AM6284" s="371"/>
      <c r="AN6284" s="372"/>
      <c r="AT6284" s="20"/>
      <c r="AU6284" s="29"/>
      <c r="AV6284"/>
      <c r="AW6284"/>
    </row>
    <row r="6285" spans="1:49">
      <c r="A6285" t="str">
        <f t="shared" si="1172"/>
        <v>PA_Alleg_2020g~Gen-representative in the general assembly 42nd district (vote for 1)</v>
      </c>
      <c r="B6285" s="55" t="s">
        <v>1395</v>
      </c>
      <c r="C6285">
        <v>81</v>
      </c>
      <c r="D6285" s="55" t="s">
        <v>1378</v>
      </c>
      <c r="E6285" s="55" t="s">
        <v>1379</v>
      </c>
      <c r="F6285" t="s">
        <v>1294</v>
      </c>
      <c r="G6285" s="62">
        <v>25552</v>
      </c>
      <c r="H6285">
        <v>68.36</v>
      </c>
      <c r="I6285">
        <v>46781</v>
      </c>
      <c r="J6285">
        <v>0</v>
      </c>
      <c r="K6285">
        <v>68</v>
      </c>
      <c r="L6285">
        <v>68</v>
      </c>
      <c r="M6285">
        <v>0</v>
      </c>
      <c r="N6285" s="23">
        <v>0</v>
      </c>
      <c r="O6285">
        <f t="shared" si="1165"/>
        <v>1</v>
      </c>
      <c r="P6285" s="57">
        <f t="shared" si="1166"/>
        <v>1</v>
      </c>
      <c r="Q6285" s="267">
        <f t="shared" si="1167"/>
        <v>37379</v>
      </c>
      <c r="R6285" s="23">
        <f t="shared" si="1168"/>
        <v>25552</v>
      </c>
      <c r="S6285" s="23">
        <f t="shared" si="1169"/>
        <v>11762</v>
      </c>
      <c r="T6285" s="23">
        <f t="shared" si="1170"/>
        <v>13790</v>
      </c>
      <c r="U6285" t="str">
        <f t="shared" si="1171"/>
        <v>PA_Alleg_2020g~Gen-representative in the general assembly 42nd district (vote for 1)</v>
      </c>
      <c r="V6285" s="40"/>
      <c r="X6285" s="43"/>
      <c r="Y6285" s="53"/>
      <c r="Z6285" s="53"/>
      <c r="AA6285"/>
      <c r="AB6285"/>
      <c r="AC6285" s="23"/>
      <c r="AD6285" s="23"/>
      <c r="AF6285" s="22"/>
      <c r="AG6285" s="89"/>
      <c r="AH6285" s="274"/>
      <c r="AI6285" s="279"/>
      <c r="AJ6285" s="280"/>
      <c r="AK6285" s="92"/>
      <c r="AL6285" s="23"/>
      <c r="AM6285" s="371"/>
      <c r="AN6285" s="372"/>
      <c r="AT6285" s="20"/>
      <c r="AU6285" s="29"/>
      <c r="AV6285"/>
      <c r="AW6285"/>
    </row>
    <row r="6286" spans="1:49">
      <c r="A6286" t="str">
        <f t="shared" si="1172"/>
        <v>PA_Alleg_2020g~Gen-representative in the general assembly 42nd district (vote for 1)</v>
      </c>
      <c r="B6286" s="55" t="s">
        <v>1395</v>
      </c>
      <c r="C6286">
        <v>82</v>
      </c>
      <c r="D6286" s="55" t="s">
        <v>1378</v>
      </c>
      <c r="E6286" s="55" t="s">
        <v>1380</v>
      </c>
      <c r="F6286" t="s">
        <v>1296</v>
      </c>
      <c r="G6286" s="62">
        <v>11762</v>
      </c>
      <c r="H6286">
        <v>31.47</v>
      </c>
      <c r="I6286">
        <v>46781</v>
      </c>
      <c r="J6286">
        <v>0</v>
      </c>
      <c r="K6286">
        <v>68</v>
      </c>
      <c r="L6286">
        <v>68</v>
      </c>
      <c r="M6286">
        <v>0</v>
      </c>
      <c r="N6286" s="23">
        <v>0</v>
      </c>
      <c r="O6286">
        <f t="shared" si="1165"/>
        <v>2</v>
      </c>
      <c r="P6286" s="57">
        <f t="shared" si="1166"/>
        <v>1</v>
      </c>
      <c r="Q6286" s="267">
        <f t="shared" si="1167"/>
        <v>11827</v>
      </c>
      <c r="R6286" s="23" t="str">
        <f t="shared" si="1168"/>
        <v/>
      </c>
      <c r="S6286" s="23">
        <f t="shared" si="1169"/>
        <v>11762</v>
      </c>
      <c r="T6286" s="23" t="str">
        <f t="shared" si="1170"/>
        <v/>
      </c>
      <c r="U6286" t="str">
        <f t="shared" si="1171"/>
        <v/>
      </c>
      <c r="V6286" s="40"/>
      <c r="X6286" s="43"/>
      <c r="Y6286" s="53"/>
      <c r="Z6286" s="53"/>
      <c r="AA6286"/>
      <c r="AB6286"/>
      <c r="AC6286" s="23"/>
      <c r="AD6286" s="23"/>
      <c r="AF6286" s="22"/>
      <c r="AG6286" s="89"/>
      <c r="AH6286" s="274"/>
      <c r="AI6286" s="279"/>
      <c r="AJ6286" s="280"/>
      <c r="AK6286" s="92"/>
      <c r="AL6286" s="23"/>
      <c r="AM6286" s="371"/>
      <c r="AN6286" s="372"/>
      <c r="AT6286" s="20"/>
      <c r="AU6286" s="29"/>
      <c r="AV6286"/>
      <c r="AW6286"/>
    </row>
    <row r="6287" spans="1:49">
      <c r="A6287" t="str">
        <f t="shared" si="1172"/>
        <v>PA_Alleg_2020g~Gen-representative in the general assembly 42nd district (vote for 1)</v>
      </c>
      <c r="B6287" s="55" t="s">
        <v>1395</v>
      </c>
      <c r="C6287">
        <v>83</v>
      </c>
      <c r="D6287" s="55" t="s">
        <v>1378</v>
      </c>
      <c r="E6287" s="55" t="s">
        <v>1299</v>
      </c>
      <c r="F6287" t="s">
        <v>1300</v>
      </c>
      <c r="G6287" s="62">
        <v>65</v>
      </c>
      <c r="H6287">
        <v>0.17</v>
      </c>
      <c r="I6287">
        <v>46781</v>
      </c>
      <c r="J6287">
        <v>0</v>
      </c>
      <c r="K6287">
        <v>68</v>
      </c>
      <c r="L6287">
        <v>68</v>
      </c>
      <c r="M6287">
        <v>0</v>
      </c>
      <c r="N6287" s="23">
        <v>0</v>
      </c>
      <c r="O6287">
        <f t="shared" si="1165"/>
        <v>-2</v>
      </c>
      <c r="P6287" s="57">
        <f t="shared" si="1166"/>
        <v>1</v>
      </c>
      <c r="Q6287" s="267">
        <f t="shared" si="1167"/>
        <v>65</v>
      </c>
      <c r="R6287" s="23">
        <f t="shared" si="1168"/>
        <v>1</v>
      </c>
      <c r="S6287" s="23">
        <f t="shared" si="1169"/>
        <v>0</v>
      </c>
      <c r="T6287" s="23" t="str">
        <f t="shared" si="1170"/>
        <v/>
      </c>
      <c r="U6287" t="str">
        <f t="shared" si="1171"/>
        <v/>
      </c>
      <c r="V6287" s="40"/>
      <c r="X6287" s="43"/>
      <c r="Y6287" s="53"/>
      <c r="Z6287" s="53"/>
      <c r="AA6287"/>
      <c r="AB6287"/>
      <c r="AC6287" s="23"/>
      <c r="AD6287" s="23"/>
      <c r="AF6287" s="22"/>
      <c r="AG6287" s="89"/>
      <c r="AH6287" s="274"/>
      <c r="AI6287" s="279"/>
      <c r="AJ6287" s="280"/>
      <c r="AK6287" s="92"/>
      <c r="AL6287" s="23"/>
      <c r="AM6287" s="371"/>
      <c r="AN6287" s="372"/>
      <c r="AT6287" s="20"/>
      <c r="AU6287" s="29"/>
      <c r="AV6287"/>
      <c r="AW6287"/>
    </row>
    <row r="6288" spans="1:49">
      <c r="A6288" t="str">
        <f t="shared" si="1172"/>
        <v>PA_Alleg_2020g~Gen-representative in the general assembly 44th district (vote for 1)</v>
      </c>
      <c r="B6288" s="55" t="s">
        <v>1395</v>
      </c>
      <c r="C6288">
        <v>85</v>
      </c>
      <c r="D6288" s="55" t="s">
        <v>1381</v>
      </c>
      <c r="E6288" s="55" t="s">
        <v>1383</v>
      </c>
      <c r="F6288" t="s">
        <v>1296</v>
      </c>
      <c r="G6288" s="62">
        <v>22106</v>
      </c>
      <c r="H6288">
        <v>54.87</v>
      </c>
      <c r="I6288">
        <v>51011</v>
      </c>
      <c r="J6288">
        <v>0</v>
      </c>
      <c r="K6288">
        <v>39</v>
      </c>
      <c r="L6288">
        <v>39</v>
      </c>
      <c r="M6288">
        <v>0</v>
      </c>
      <c r="N6288" s="23">
        <v>0</v>
      </c>
      <c r="O6288">
        <f t="shared" si="1165"/>
        <v>1</v>
      </c>
      <c r="P6288" s="57">
        <f t="shared" si="1166"/>
        <v>1</v>
      </c>
      <c r="Q6288" s="267">
        <f t="shared" si="1167"/>
        <v>40286</v>
      </c>
      <c r="R6288" s="23">
        <f t="shared" si="1168"/>
        <v>22106</v>
      </c>
      <c r="S6288" s="23">
        <f t="shared" si="1169"/>
        <v>18126</v>
      </c>
      <c r="T6288" s="23">
        <f t="shared" si="1170"/>
        <v>3980</v>
      </c>
      <c r="U6288" t="str">
        <f t="shared" si="1171"/>
        <v>PA_Alleg_2020g~Gen-representative in the general assembly 44th district (vote for 1)</v>
      </c>
      <c r="V6288" s="40"/>
      <c r="X6288" s="43"/>
      <c r="Y6288" s="53"/>
      <c r="Z6288" s="53"/>
      <c r="AA6288"/>
      <c r="AB6288"/>
      <c r="AC6288" s="23"/>
      <c r="AD6288" s="23"/>
      <c r="AF6288" s="22"/>
      <c r="AG6288" s="89"/>
      <c r="AH6288" s="274"/>
      <c r="AI6288" s="279"/>
      <c r="AJ6288" s="280"/>
      <c r="AK6288" s="92"/>
      <c r="AL6288" s="23"/>
      <c r="AM6288" s="371"/>
      <c r="AN6288" s="372"/>
      <c r="AT6288" s="20"/>
      <c r="AU6288" s="29"/>
      <c r="AV6288"/>
      <c r="AW6288"/>
    </row>
    <row r="6289" spans="1:49">
      <c r="A6289" t="str">
        <f t="shared" si="1172"/>
        <v>PA_Alleg_2020g~Gen-representative in the general assembly 44th district (vote for 1)</v>
      </c>
      <c r="B6289" s="55" t="s">
        <v>1395</v>
      </c>
      <c r="C6289">
        <v>84</v>
      </c>
      <c r="D6289" s="55" t="s">
        <v>1381</v>
      </c>
      <c r="E6289" s="55" t="s">
        <v>1382</v>
      </c>
      <c r="F6289" t="s">
        <v>1294</v>
      </c>
      <c r="G6289" s="62">
        <v>18126</v>
      </c>
      <c r="H6289">
        <v>44.99</v>
      </c>
      <c r="I6289">
        <v>51011</v>
      </c>
      <c r="J6289">
        <v>0</v>
      </c>
      <c r="K6289">
        <v>39</v>
      </c>
      <c r="L6289">
        <v>39</v>
      </c>
      <c r="M6289">
        <v>0</v>
      </c>
      <c r="N6289" s="23">
        <v>0</v>
      </c>
      <c r="O6289">
        <f t="shared" si="1165"/>
        <v>2</v>
      </c>
      <c r="P6289" s="57">
        <f t="shared" si="1166"/>
        <v>1</v>
      </c>
      <c r="Q6289" s="267">
        <f t="shared" si="1167"/>
        <v>18180</v>
      </c>
      <c r="R6289" s="23" t="str">
        <f t="shared" si="1168"/>
        <v/>
      </c>
      <c r="S6289" s="23">
        <f t="shared" si="1169"/>
        <v>18126</v>
      </c>
      <c r="T6289" s="23" t="str">
        <f t="shared" si="1170"/>
        <v/>
      </c>
      <c r="U6289" t="str">
        <f t="shared" si="1171"/>
        <v/>
      </c>
      <c r="V6289" s="40"/>
      <c r="X6289" s="43"/>
      <c r="Y6289" s="53"/>
      <c r="Z6289" s="53"/>
      <c r="AA6289"/>
      <c r="AB6289"/>
      <c r="AC6289" s="23"/>
      <c r="AD6289" s="23"/>
      <c r="AF6289" s="22"/>
      <c r="AG6289" s="89"/>
      <c r="AH6289" s="274"/>
      <c r="AI6289" s="279"/>
      <c r="AJ6289" s="280"/>
      <c r="AK6289" s="92"/>
      <c r="AL6289" s="23"/>
      <c r="AM6289" s="371"/>
      <c r="AN6289" s="372"/>
      <c r="AT6289" s="20"/>
      <c r="AU6289" s="29"/>
      <c r="AV6289"/>
      <c r="AW6289"/>
    </row>
    <row r="6290" spans="1:49">
      <c r="A6290" t="str">
        <f t="shared" si="1172"/>
        <v>PA_Alleg_2020g~Gen-representative in the general assembly 44th district (vote for 1)</v>
      </c>
      <c r="B6290" s="55" t="s">
        <v>1395</v>
      </c>
      <c r="C6290">
        <v>86</v>
      </c>
      <c r="D6290" s="55" t="s">
        <v>1381</v>
      </c>
      <c r="E6290" s="55" t="s">
        <v>1299</v>
      </c>
      <c r="F6290" t="s">
        <v>1300</v>
      </c>
      <c r="G6290" s="62">
        <v>54</v>
      </c>
      <c r="H6290">
        <v>0.13</v>
      </c>
      <c r="I6290">
        <v>51011</v>
      </c>
      <c r="J6290">
        <v>0</v>
      </c>
      <c r="K6290">
        <v>39</v>
      </c>
      <c r="L6290">
        <v>39</v>
      </c>
      <c r="M6290">
        <v>0</v>
      </c>
      <c r="N6290" s="23">
        <v>0</v>
      </c>
      <c r="O6290">
        <f t="shared" si="1165"/>
        <v>-2</v>
      </c>
      <c r="P6290" s="57">
        <f t="shared" si="1166"/>
        <v>1</v>
      </c>
      <c r="Q6290" s="267">
        <f t="shared" si="1167"/>
        <v>54</v>
      </c>
      <c r="R6290" s="23">
        <f t="shared" si="1168"/>
        <v>1</v>
      </c>
      <c r="S6290" s="23">
        <f t="shared" si="1169"/>
        <v>0</v>
      </c>
      <c r="T6290" s="23" t="str">
        <f t="shared" si="1170"/>
        <v/>
      </c>
      <c r="U6290" t="str">
        <f t="shared" si="1171"/>
        <v/>
      </c>
      <c r="V6290" s="40"/>
      <c r="X6290" s="43"/>
      <c r="Y6290" s="53"/>
      <c r="Z6290" s="53"/>
      <c r="AA6290"/>
      <c r="AB6290"/>
      <c r="AC6290" s="23"/>
      <c r="AD6290" s="23"/>
      <c r="AF6290" s="22"/>
      <c r="AG6290" s="89"/>
      <c r="AH6290" s="274"/>
      <c r="AI6290" s="279"/>
      <c r="AJ6290" s="280"/>
      <c r="AK6290" s="92"/>
      <c r="AL6290" s="23"/>
      <c r="AM6290" s="371"/>
      <c r="AN6290" s="372"/>
      <c r="AT6290" s="20"/>
      <c r="AU6290" s="29"/>
      <c r="AV6290"/>
      <c r="AW6290"/>
    </row>
    <row r="6291" spans="1:49">
      <c r="A6291" t="str">
        <f t="shared" si="1172"/>
        <v>PA_Alleg_2020g~Gen-representative in the general assembly 45th district (vote for 1)</v>
      </c>
      <c r="B6291" s="55" t="s">
        <v>1395</v>
      </c>
      <c r="C6291">
        <v>87</v>
      </c>
      <c r="D6291" s="55" t="s">
        <v>1384</v>
      </c>
      <c r="E6291" s="55" t="s">
        <v>1385</v>
      </c>
      <c r="F6291" t="s">
        <v>1294</v>
      </c>
      <c r="G6291" s="62">
        <v>22833</v>
      </c>
      <c r="H6291">
        <v>61.6</v>
      </c>
      <c r="I6291">
        <v>47645</v>
      </c>
      <c r="J6291">
        <v>0</v>
      </c>
      <c r="K6291">
        <v>67</v>
      </c>
      <c r="L6291">
        <v>67</v>
      </c>
      <c r="M6291">
        <v>0</v>
      </c>
      <c r="N6291" s="23">
        <v>0</v>
      </c>
      <c r="O6291">
        <f t="shared" si="1165"/>
        <v>1</v>
      </c>
      <c r="P6291" s="57">
        <f t="shared" si="1166"/>
        <v>1</v>
      </c>
      <c r="Q6291" s="267">
        <f t="shared" si="1167"/>
        <v>37065</v>
      </c>
      <c r="R6291" s="23">
        <f t="shared" si="1168"/>
        <v>22833</v>
      </c>
      <c r="S6291" s="23">
        <f t="shared" si="1169"/>
        <v>14165</v>
      </c>
      <c r="T6291" s="23">
        <f t="shared" si="1170"/>
        <v>8668</v>
      </c>
      <c r="U6291" t="str">
        <f t="shared" si="1171"/>
        <v>PA_Alleg_2020g~Gen-representative in the general assembly 45th district (vote for 1)</v>
      </c>
      <c r="V6291" s="40"/>
      <c r="X6291" s="43"/>
      <c r="Y6291" s="53"/>
      <c r="Z6291" s="53"/>
      <c r="AA6291"/>
      <c r="AB6291"/>
      <c r="AC6291" s="23"/>
      <c r="AD6291" s="23"/>
      <c r="AF6291" s="22"/>
      <c r="AG6291" s="89"/>
      <c r="AH6291" s="274"/>
      <c r="AI6291" s="279"/>
      <c r="AJ6291" s="280"/>
      <c r="AK6291" s="92"/>
      <c r="AL6291" s="23"/>
      <c r="AM6291" s="371"/>
      <c r="AN6291" s="372"/>
      <c r="AT6291" s="20"/>
      <c r="AU6291" s="29"/>
      <c r="AV6291"/>
      <c r="AW6291"/>
    </row>
    <row r="6292" spans="1:49">
      <c r="A6292" t="str">
        <f t="shared" si="1172"/>
        <v>PA_Alleg_2020g~Gen-representative in the general assembly 45th district (vote for 1)</v>
      </c>
      <c r="B6292" s="55" t="s">
        <v>1395</v>
      </c>
      <c r="C6292">
        <v>88</v>
      </c>
      <c r="D6292" s="55" t="s">
        <v>1384</v>
      </c>
      <c r="E6292" s="55" t="s">
        <v>1386</v>
      </c>
      <c r="F6292" t="s">
        <v>1296</v>
      </c>
      <c r="G6292" s="62">
        <v>14165</v>
      </c>
      <c r="H6292">
        <v>38.22</v>
      </c>
      <c r="I6292">
        <v>47645</v>
      </c>
      <c r="J6292">
        <v>0</v>
      </c>
      <c r="K6292">
        <v>67</v>
      </c>
      <c r="L6292">
        <v>67</v>
      </c>
      <c r="M6292">
        <v>0</v>
      </c>
      <c r="N6292" s="23">
        <v>0</v>
      </c>
      <c r="O6292">
        <f t="shared" si="1165"/>
        <v>2</v>
      </c>
      <c r="P6292" s="57">
        <f t="shared" si="1166"/>
        <v>1</v>
      </c>
      <c r="Q6292" s="267">
        <f t="shared" si="1167"/>
        <v>14232</v>
      </c>
      <c r="R6292" s="23" t="str">
        <f t="shared" si="1168"/>
        <v/>
      </c>
      <c r="S6292" s="23">
        <f t="shared" si="1169"/>
        <v>14165</v>
      </c>
      <c r="T6292" s="23" t="str">
        <f t="shared" si="1170"/>
        <v/>
      </c>
      <c r="U6292" t="str">
        <f t="shared" si="1171"/>
        <v/>
      </c>
      <c r="V6292" s="40"/>
      <c r="X6292" s="43"/>
      <c r="Y6292" s="53"/>
      <c r="Z6292" s="53"/>
      <c r="AA6292"/>
      <c r="AB6292"/>
      <c r="AC6292" s="23"/>
      <c r="AD6292" s="23"/>
      <c r="AF6292" s="22"/>
      <c r="AG6292" s="89"/>
      <c r="AH6292" s="274"/>
      <c r="AI6292" s="279"/>
      <c r="AJ6292" s="280"/>
      <c r="AK6292" s="92"/>
      <c r="AL6292" s="23"/>
      <c r="AM6292" s="371"/>
      <c r="AN6292" s="372"/>
      <c r="AT6292" s="20"/>
      <c r="AU6292" s="29"/>
      <c r="AV6292"/>
      <c r="AW6292"/>
    </row>
    <row r="6293" spans="1:49">
      <c r="A6293" t="str">
        <f t="shared" si="1172"/>
        <v>PA_Alleg_2020g~Gen-representative in the general assembly 45th district (vote for 1)</v>
      </c>
      <c r="B6293" s="55" t="s">
        <v>1395</v>
      </c>
      <c r="C6293">
        <v>89</v>
      </c>
      <c r="D6293" s="55" t="s">
        <v>1384</v>
      </c>
      <c r="E6293" s="55" t="s">
        <v>1299</v>
      </c>
      <c r="F6293" t="s">
        <v>1300</v>
      </c>
      <c r="G6293" s="62">
        <v>67</v>
      </c>
      <c r="H6293">
        <v>0.18</v>
      </c>
      <c r="I6293">
        <v>47645</v>
      </c>
      <c r="J6293">
        <v>0</v>
      </c>
      <c r="K6293">
        <v>67</v>
      </c>
      <c r="L6293">
        <v>67</v>
      </c>
      <c r="M6293">
        <v>0</v>
      </c>
      <c r="N6293" s="23">
        <v>0</v>
      </c>
      <c r="O6293">
        <f t="shared" si="1165"/>
        <v>-2</v>
      </c>
      <c r="P6293" s="57">
        <f t="shared" si="1166"/>
        <v>1</v>
      </c>
      <c r="Q6293" s="267">
        <f t="shared" si="1167"/>
        <v>67</v>
      </c>
      <c r="R6293" s="23">
        <f t="shared" si="1168"/>
        <v>1</v>
      </c>
      <c r="S6293" s="23">
        <f t="shared" si="1169"/>
        <v>0</v>
      </c>
      <c r="T6293" s="23" t="str">
        <f t="shared" si="1170"/>
        <v/>
      </c>
      <c r="U6293" t="str">
        <f t="shared" si="1171"/>
        <v/>
      </c>
      <c r="V6293" s="40"/>
      <c r="X6293" s="43"/>
      <c r="Y6293" s="53"/>
      <c r="Z6293" s="53"/>
      <c r="AA6293"/>
      <c r="AB6293"/>
      <c r="AC6293" s="23"/>
      <c r="AD6293" s="23"/>
      <c r="AF6293" s="22"/>
      <c r="AG6293" s="89"/>
      <c r="AH6293" s="274"/>
      <c r="AI6293" s="279"/>
      <c r="AJ6293" s="280"/>
      <c r="AK6293" s="92"/>
      <c r="AL6293" s="23"/>
      <c r="AM6293" s="371"/>
      <c r="AN6293" s="372"/>
      <c r="AT6293" s="20"/>
      <c r="AU6293" s="29"/>
      <c r="AV6293"/>
      <c r="AW6293"/>
    </row>
    <row r="6294" spans="1:49">
      <c r="A6294" t="str">
        <f t="shared" si="1172"/>
        <v>PA_Alleg_2020g~Gen-representative in the general assembly 46th district (vote for 1)</v>
      </c>
      <c r="B6294" s="55" t="s">
        <v>1395</v>
      </c>
      <c r="C6294">
        <v>91</v>
      </c>
      <c r="D6294" s="55" t="s">
        <v>1387</v>
      </c>
      <c r="E6294" s="55" t="s">
        <v>1389</v>
      </c>
      <c r="F6294" t="s">
        <v>1296</v>
      </c>
      <c r="G6294" s="62">
        <v>11694</v>
      </c>
      <c r="H6294">
        <v>58.23</v>
      </c>
      <c r="I6294">
        <v>24721</v>
      </c>
      <c r="J6294">
        <v>0</v>
      </c>
      <c r="K6294">
        <v>26</v>
      </c>
      <c r="L6294">
        <v>26</v>
      </c>
      <c r="M6294">
        <v>0</v>
      </c>
      <c r="N6294" s="23">
        <v>0</v>
      </c>
      <c r="O6294">
        <f t="shared" si="1165"/>
        <v>1</v>
      </c>
      <c r="P6294" s="57">
        <f t="shared" si="1166"/>
        <v>1</v>
      </c>
      <c r="Q6294" s="267">
        <f t="shared" si="1167"/>
        <v>20082</v>
      </c>
      <c r="R6294" s="23">
        <f t="shared" si="1168"/>
        <v>11694</v>
      </c>
      <c r="S6294" s="23">
        <f t="shared" si="1169"/>
        <v>8365</v>
      </c>
      <c r="T6294" s="23">
        <f t="shared" si="1170"/>
        <v>3329</v>
      </c>
      <c r="U6294" t="str">
        <f t="shared" si="1171"/>
        <v>PA_Alleg_2020g~Gen-representative in the general assembly 46th district (vote for 1)</v>
      </c>
      <c r="V6294" s="40"/>
      <c r="X6294" s="43"/>
      <c r="Y6294" s="53"/>
      <c r="Z6294" s="53"/>
      <c r="AA6294"/>
      <c r="AB6294"/>
      <c r="AC6294" s="23"/>
      <c r="AD6294" s="23"/>
      <c r="AF6294" s="22"/>
      <c r="AG6294" s="89"/>
      <c r="AH6294" s="274"/>
      <c r="AI6294" s="279"/>
      <c r="AJ6294" s="280"/>
      <c r="AK6294" s="92"/>
      <c r="AL6294" s="23"/>
      <c r="AM6294" s="371"/>
      <c r="AN6294" s="372"/>
      <c r="AT6294" s="20"/>
      <c r="AU6294" s="29"/>
      <c r="AV6294"/>
      <c r="AW6294"/>
    </row>
    <row r="6295" spans="1:49">
      <c r="A6295" t="str">
        <f t="shared" si="1172"/>
        <v>PA_Alleg_2020g~Gen-representative in the general assembly 46th district (vote for 1)</v>
      </c>
      <c r="B6295" s="55" t="s">
        <v>1395</v>
      </c>
      <c r="C6295">
        <v>90</v>
      </c>
      <c r="D6295" s="55" t="s">
        <v>1387</v>
      </c>
      <c r="E6295" s="55" t="s">
        <v>1388</v>
      </c>
      <c r="F6295" t="s">
        <v>1294</v>
      </c>
      <c r="G6295" s="62">
        <v>8365</v>
      </c>
      <c r="H6295">
        <v>41.65</v>
      </c>
      <c r="I6295">
        <v>24721</v>
      </c>
      <c r="J6295">
        <v>0</v>
      </c>
      <c r="K6295">
        <v>26</v>
      </c>
      <c r="L6295">
        <v>26</v>
      </c>
      <c r="M6295">
        <v>0</v>
      </c>
      <c r="N6295" s="23">
        <v>0</v>
      </c>
      <c r="O6295">
        <f t="shared" si="1165"/>
        <v>2</v>
      </c>
      <c r="P6295" s="57">
        <f t="shared" si="1166"/>
        <v>1</v>
      </c>
      <c r="Q6295" s="267">
        <f t="shared" si="1167"/>
        <v>8388</v>
      </c>
      <c r="R6295" s="23" t="str">
        <f t="shared" si="1168"/>
        <v/>
      </c>
      <c r="S6295" s="23">
        <f t="shared" si="1169"/>
        <v>8365</v>
      </c>
      <c r="T6295" s="23" t="str">
        <f t="shared" si="1170"/>
        <v/>
      </c>
      <c r="U6295" t="str">
        <f t="shared" si="1171"/>
        <v/>
      </c>
      <c r="V6295" s="40"/>
      <c r="X6295" s="43"/>
      <c r="Y6295" s="53"/>
      <c r="Z6295" s="53"/>
      <c r="AA6295"/>
      <c r="AB6295"/>
      <c r="AC6295" s="23"/>
      <c r="AD6295" s="23"/>
      <c r="AF6295" s="22"/>
      <c r="AG6295" s="89"/>
      <c r="AH6295" s="274"/>
      <c r="AI6295" s="279"/>
      <c r="AJ6295" s="280"/>
      <c r="AK6295" s="92"/>
      <c r="AL6295" s="23"/>
      <c r="AM6295" s="371"/>
      <c r="AN6295" s="372"/>
      <c r="AT6295" s="20"/>
      <c r="AU6295" s="29"/>
      <c r="AV6295"/>
      <c r="AW6295"/>
    </row>
    <row r="6296" spans="1:49">
      <c r="A6296" t="str">
        <f t="shared" si="1172"/>
        <v>PA_Alleg_2020g~Gen-representative in the general assembly 46th district (vote for 1)</v>
      </c>
      <c r="B6296" s="55" t="s">
        <v>1395</v>
      </c>
      <c r="C6296">
        <v>92</v>
      </c>
      <c r="D6296" s="55" t="s">
        <v>1387</v>
      </c>
      <c r="E6296" s="55" t="s">
        <v>1299</v>
      </c>
      <c r="F6296" t="s">
        <v>1300</v>
      </c>
      <c r="G6296" s="62">
        <v>23</v>
      </c>
      <c r="H6296">
        <v>0.11</v>
      </c>
      <c r="I6296">
        <v>24721</v>
      </c>
      <c r="J6296">
        <v>0</v>
      </c>
      <c r="K6296">
        <v>26</v>
      </c>
      <c r="L6296">
        <v>26</v>
      </c>
      <c r="M6296">
        <v>0</v>
      </c>
      <c r="N6296" s="23">
        <v>0</v>
      </c>
      <c r="O6296">
        <f t="shared" si="1165"/>
        <v>-2</v>
      </c>
      <c r="P6296" s="57">
        <f t="shared" si="1166"/>
        <v>1</v>
      </c>
      <c r="Q6296" s="267">
        <f t="shared" si="1167"/>
        <v>23</v>
      </c>
      <c r="R6296" s="23">
        <f t="shared" si="1168"/>
        <v>1</v>
      </c>
      <c r="S6296" s="23">
        <f t="shared" si="1169"/>
        <v>0</v>
      </c>
      <c r="T6296" s="23" t="str">
        <f t="shared" si="1170"/>
        <v/>
      </c>
      <c r="U6296" t="str">
        <f t="shared" si="1171"/>
        <v/>
      </c>
      <c r="V6296" s="40"/>
      <c r="X6296" s="43"/>
      <c r="Y6296" s="53"/>
      <c r="Z6296" s="53"/>
      <c r="AA6296"/>
      <c r="AB6296"/>
      <c r="AC6296" s="23"/>
      <c r="AD6296" s="23"/>
      <c r="AF6296" s="22"/>
      <c r="AG6296" s="89"/>
      <c r="AH6296" s="274"/>
      <c r="AI6296" s="279"/>
      <c r="AJ6296" s="280"/>
      <c r="AK6296" s="92"/>
      <c r="AL6296" s="23"/>
      <c r="AM6296" s="371"/>
      <c r="AN6296" s="372"/>
      <c r="AT6296" s="20"/>
      <c r="AU6296" s="29"/>
      <c r="AV6296"/>
      <c r="AW6296"/>
    </row>
    <row r="6297" spans="1:49">
      <c r="A6297" t="str">
        <f t="shared" si="1172"/>
        <v>PA_Alleg_2020g~Gen-representative in the general assembly 54th district (vote for 1)</v>
      </c>
      <c r="B6297" s="55" t="s">
        <v>1395</v>
      </c>
      <c r="C6297">
        <v>93</v>
      </c>
      <c r="D6297" s="55" t="s">
        <v>1390</v>
      </c>
      <c r="E6297" s="55" t="s">
        <v>1391</v>
      </c>
      <c r="F6297" t="s">
        <v>1296</v>
      </c>
      <c r="G6297" s="62">
        <v>7206</v>
      </c>
      <c r="H6297">
        <v>95.96</v>
      </c>
      <c r="I6297">
        <v>11384</v>
      </c>
      <c r="J6297">
        <v>0</v>
      </c>
      <c r="K6297">
        <v>11</v>
      </c>
      <c r="L6297">
        <v>11</v>
      </c>
      <c r="M6297">
        <v>0</v>
      </c>
      <c r="N6297" s="23">
        <v>0</v>
      </c>
      <c r="O6297">
        <f t="shared" si="1165"/>
        <v>1</v>
      </c>
      <c r="P6297" s="57">
        <f t="shared" si="1166"/>
        <v>1</v>
      </c>
      <c r="Q6297" s="267">
        <f t="shared" si="1167"/>
        <v>7509</v>
      </c>
      <c r="R6297" s="23">
        <f t="shared" si="1168"/>
        <v>7206</v>
      </c>
      <c r="S6297" s="23">
        <f t="shared" si="1169"/>
        <v>0</v>
      </c>
      <c r="T6297" s="23" t="str">
        <f t="shared" si="1170"/>
        <v/>
      </c>
      <c r="U6297" t="str">
        <f t="shared" si="1171"/>
        <v>PA_Alleg_2020g~Gen-representative in the general assembly 54th district (vote for 1)</v>
      </c>
      <c r="V6297" s="40"/>
      <c r="X6297" s="43"/>
      <c r="Y6297" s="53"/>
      <c r="Z6297" s="53"/>
      <c r="AA6297"/>
      <c r="AB6297"/>
      <c r="AC6297" s="23"/>
      <c r="AD6297" s="23"/>
      <c r="AF6297" s="22"/>
      <c r="AG6297" s="89"/>
      <c r="AH6297" s="274"/>
      <c r="AI6297" s="279"/>
      <c r="AJ6297" s="280"/>
      <c r="AK6297" s="92"/>
      <c r="AL6297" s="23"/>
      <c r="AM6297" s="371"/>
      <c r="AN6297" s="372"/>
      <c r="AT6297" s="20"/>
      <c r="AU6297" s="29"/>
      <c r="AV6297"/>
      <c r="AW6297"/>
    </row>
    <row r="6298" spans="1:49">
      <c r="A6298" t="str">
        <f t="shared" si="1172"/>
        <v>PA_Alleg_2020g~Gen-representative in the general assembly 54th district (vote for 1)</v>
      </c>
      <c r="B6298" s="55" t="s">
        <v>1395</v>
      </c>
      <c r="C6298">
        <v>94</v>
      </c>
      <c r="D6298" s="55" t="s">
        <v>1390</v>
      </c>
      <c r="E6298" s="55" t="s">
        <v>1299</v>
      </c>
      <c r="F6298" t="s">
        <v>1300</v>
      </c>
      <c r="G6298" s="62">
        <v>303</v>
      </c>
      <c r="H6298">
        <v>4.04</v>
      </c>
      <c r="I6298">
        <v>11384</v>
      </c>
      <c r="J6298">
        <v>0</v>
      </c>
      <c r="K6298">
        <v>11</v>
      </c>
      <c r="L6298">
        <v>11</v>
      </c>
      <c r="M6298">
        <v>0</v>
      </c>
      <c r="N6298" s="23">
        <v>0</v>
      </c>
      <c r="O6298">
        <f t="shared" si="1165"/>
        <v>-1</v>
      </c>
      <c r="P6298" s="57">
        <f t="shared" si="1166"/>
        <v>1</v>
      </c>
      <c r="Q6298" s="267">
        <f t="shared" si="1167"/>
        <v>303</v>
      </c>
      <c r="R6298" s="23">
        <f t="shared" si="1168"/>
        <v>1</v>
      </c>
      <c r="S6298" s="23">
        <f t="shared" si="1169"/>
        <v>0</v>
      </c>
      <c r="T6298" s="23" t="str">
        <f t="shared" si="1170"/>
        <v/>
      </c>
      <c r="U6298" t="str">
        <f t="shared" si="1171"/>
        <v/>
      </c>
      <c r="V6298" s="40"/>
      <c r="X6298" s="43"/>
      <c r="Y6298" s="53"/>
      <c r="Z6298" s="53"/>
      <c r="AA6298"/>
      <c r="AB6298"/>
      <c r="AC6298" s="23"/>
      <c r="AD6298" s="23"/>
      <c r="AF6298" s="22"/>
      <c r="AG6298" s="89"/>
      <c r="AH6298" s="274"/>
      <c r="AI6298" s="279"/>
      <c r="AJ6298" s="280"/>
      <c r="AK6298" s="92"/>
      <c r="AL6298" s="23"/>
      <c r="AM6298" s="371"/>
      <c r="AN6298" s="372"/>
      <c r="AT6298" s="20"/>
      <c r="AU6298" s="29"/>
      <c r="AV6298"/>
      <c r="AW6298"/>
    </row>
    <row r="6299" spans="1:49">
      <c r="A6299" t="str">
        <f t="shared" si="1172"/>
        <v>PA_Alleg_2020g~Gen-senator in the general assembly 37th district (vote for 1)</v>
      </c>
      <c r="B6299" s="55" t="s">
        <v>1395</v>
      </c>
      <c r="C6299">
        <v>27</v>
      </c>
      <c r="D6299" s="55" t="s">
        <v>1323</v>
      </c>
      <c r="E6299" s="55" t="s">
        <v>1325</v>
      </c>
      <c r="F6299" t="s">
        <v>1296</v>
      </c>
      <c r="G6299" s="62">
        <v>82022</v>
      </c>
      <c r="H6299">
        <v>50.83</v>
      </c>
      <c r="I6299">
        <v>198472</v>
      </c>
      <c r="J6299">
        <v>0</v>
      </c>
      <c r="K6299">
        <v>214</v>
      </c>
      <c r="L6299">
        <v>214</v>
      </c>
      <c r="M6299">
        <v>0</v>
      </c>
      <c r="N6299" s="23">
        <v>0</v>
      </c>
      <c r="O6299">
        <f t="shared" si="1165"/>
        <v>1</v>
      </c>
      <c r="P6299" s="57">
        <f t="shared" si="1166"/>
        <v>1</v>
      </c>
      <c r="Q6299" s="267">
        <f t="shared" si="1167"/>
        <v>161377</v>
      </c>
      <c r="R6299" s="23">
        <f t="shared" si="1168"/>
        <v>82022</v>
      </c>
      <c r="S6299" s="23">
        <f t="shared" si="1169"/>
        <v>79220</v>
      </c>
      <c r="T6299" s="23">
        <f t="shared" si="1170"/>
        <v>2802</v>
      </c>
      <c r="U6299" t="str">
        <f t="shared" si="1171"/>
        <v>PA_Alleg_2020g~Gen-senator in the general assembly 37th district (vote for 1)</v>
      </c>
      <c r="V6299" s="40"/>
      <c r="X6299" s="43"/>
      <c r="Y6299" s="53"/>
      <c r="Z6299" s="53"/>
      <c r="AA6299"/>
      <c r="AB6299"/>
      <c r="AC6299" s="23"/>
      <c r="AD6299" s="23"/>
      <c r="AF6299" s="22"/>
      <c r="AG6299" s="89"/>
      <c r="AH6299" s="274"/>
      <c r="AI6299" s="279"/>
      <c r="AJ6299" s="280"/>
      <c r="AK6299" s="92"/>
      <c r="AL6299" s="23"/>
      <c r="AM6299" s="371"/>
      <c r="AN6299" s="372"/>
      <c r="AT6299" s="20"/>
      <c r="AU6299" s="29"/>
      <c r="AV6299"/>
      <c r="AW6299"/>
    </row>
    <row r="6300" spans="1:49">
      <c r="A6300" t="str">
        <f t="shared" si="1172"/>
        <v>PA_Alleg_2020g~Gen-senator in the general assembly 37th district (vote for 1)</v>
      </c>
      <c r="B6300" s="55" t="s">
        <v>1395</v>
      </c>
      <c r="C6300">
        <v>26</v>
      </c>
      <c r="D6300" s="55" t="s">
        <v>1323</v>
      </c>
      <c r="E6300" s="55" t="s">
        <v>1324</v>
      </c>
      <c r="F6300" t="s">
        <v>1294</v>
      </c>
      <c r="G6300" s="62">
        <v>79220</v>
      </c>
      <c r="H6300">
        <v>49.09</v>
      </c>
      <c r="I6300">
        <v>198472</v>
      </c>
      <c r="J6300">
        <v>0</v>
      </c>
      <c r="K6300">
        <v>214</v>
      </c>
      <c r="L6300">
        <v>214</v>
      </c>
      <c r="M6300">
        <v>0</v>
      </c>
      <c r="N6300" s="23">
        <v>0</v>
      </c>
      <c r="O6300">
        <f t="shared" si="1165"/>
        <v>2</v>
      </c>
      <c r="P6300" s="57">
        <f t="shared" si="1166"/>
        <v>1</v>
      </c>
      <c r="Q6300" s="267">
        <f t="shared" si="1167"/>
        <v>79355</v>
      </c>
      <c r="R6300" s="23" t="str">
        <f t="shared" si="1168"/>
        <v/>
      </c>
      <c r="S6300" s="23">
        <f t="shared" si="1169"/>
        <v>79220</v>
      </c>
      <c r="T6300" s="23" t="str">
        <f t="shared" si="1170"/>
        <v/>
      </c>
      <c r="U6300" t="str">
        <f t="shared" si="1171"/>
        <v/>
      </c>
      <c r="V6300" s="40"/>
      <c r="X6300" s="43"/>
      <c r="Y6300" s="53"/>
      <c r="Z6300" s="53"/>
      <c r="AA6300"/>
      <c r="AB6300"/>
      <c r="AC6300" s="23"/>
      <c r="AD6300" s="23"/>
      <c r="AF6300" s="22"/>
      <c r="AG6300" s="89"/>
      <c r="AH6300" s="274"/>
      <c r="AI6300" s="279"/>
      <c r="AJ6300" s="280"/>
      <c r="AK6300" s="92"/>
      <c r="AL6300" s="23"/>
      <c r="AM6300" s="371"/>
      <c r="AN6300" s="372"/>
      <c r="AT6300" s="20"/>
      <c r="AU6300" s="29"/>
      <c r="AV6300"/>
      <c r="AW6300"/>
    </row>
    <row r="6301" spans="1:49">
      <c r="A6301" t="str">
        <f t="shared" si="1172"/>
        <v>PA_Alleg_2020g~Gen-senator in the general assembly 37th district (vote for 1)</v>
      </c>
      <c r="B6301" s="55" t="s">
        <v>1395</v>
      </c>
      <c r="C6301">
        <v>28</v>
      </c>
      <c r="D6301" s="55" t="s">
        <v>1323</v>
      </c>
      <c r="E6301" s="55" t="s">
        <v>1299</v>
      </c>
      <c r="F6301" t="s">
        <v>1300</v>
      </c>
      <c r="G6301" s="62">
        <v>135</v>
      </c>
      <c r="H6301">
        <v>0.08</v>
      </c>
      <c r="I6301">
        <v>198472</v>
      </c>
      <c r="J6301">
        <v>0</v>
      </c>
      <c r="K6301">
        <v>214</v>
      </c>
      <c r="L6301">
        <v>214</v>
      </c>
      <c r="M6301">
        <v>0</v>
      </c>
      <c r="N6301" s="23">
        <v>0</v>
      </c>
      <c r="O6301">
        <f t="shared" si="1165"/>
        <v>-2</v>
      </c>
      <c r="P6301" s="57">
        <f t="shared" si="1166"/>
        <v>1</v>
      </c>
      <c r="Q6301" s="267">
        <f t="shared" si="1167"/>
        <v>135</v>
      </c>
      <c r="R6301" s="23">
        <f t="shared" si="1168"/>
        <v>1</v>
      </c>
      <c r="S6301" s="23">
        <f t="shared" si="1169"/>
        <v>0</v>
      </c>
      <c r="T6301" s="23" t="str">
        <f t="shared" si="1170"/>
        <v/>
      </c>
      <c r="U6301" t="str">
        <f t="shared" si="1171"/>
        <v/>
      </c>
      <c r="V6301" s="40"/>
      <c r="X6301" s="43"/>
      <c r="Y6301" s="53"/>
      <c r="Z6301" s="53"/>
      <c r="AA6301"/>
      <c r="AB6301"/>
      <c r="AC6301" s="23"/>
      <c r="AD6301" s="23"/>
      <c r="AF6301" s="22"/>
      <c r="AG6301" s="89"/>
      <c r="AH6301" s="274"/>
      <c r="AI6301" s="279"/>
      <c r="AJ6301" s="280"/>
      <c r="AK6301" s="92"/>
      <c r="AL6301" s="23"/>
      <c r="AM6301" s="371"/>
      <c r="AN6301" s="372"/>
      <c r="AT6301" s="20"/>
      <c r="AU6301" s="29"/>
      <c r="AV6301"/>
      <c r="AW6301"/>
    </row>
    <row r="6302" spans="1:49">
      <c r="A6302" t="str">
        <f t="shared" si="1172"/>
        <v>PA_Alleg_2020g~Gen-senator in the general assembly 43rd district (vote for 1)</v>
      </c>
      <c r="B6302" s="55" t="s">
        <v>1395</v>
      </c>
      <c r="C6302">
        <v>29</v>
      </c>
      <c r="D6302" s="55" t="s">
        <v>1326</v>
      </c>
      <c r="E6302" s="55" t="s">
        <v>1327</v>
      </c>
      <c r="F6302" t="s">
        <v>1294</v>
      </c>
      <c r="G6302" s="62">
        <v>117770</v>
      </c>
      <c r="H6302">
        <v>97.44</v>
      </c>
      <c r="I6302">
        <v>201361</v>
      </c>
      <c r="J6302">
        <v>0</v>
      </c>
      <c r="K6302">
        <v>305</v>
      </c>
      <c r="L6302">
        <v>305</v>
      </c>
      <c r="M6302">
        <v>0</v>
      </c>
      <c r="N6302" s="23">
        <v>0</v>
      </c>
      <c r="O6302">
        <f t="shared" si="1165"/>
        <v>1</v>
      </c>
      <c r="P6302" s="57">
        <f t="shared" si="1166"/>
        <v>1</v>
      </c>
      <c r="Q6302" s="267">
        <f t="shared" si="1167"/>
        <v>120862</v>
      </c>
      <c r="R6302" s="23">
        <f t="shared" si="1168"/>
        <v>117770</v>
      </c>
      <c r="S6302" s="23">
        <f t="shared" si="1169"/>
        <v>0</v>
      </c>
      <c r="T6302" s="23" t="str">
        <f t="shared" si="1170"/>
        <v/>
      </c>
      <c r="U6302" t="str">
        <f t="shared" si="1171"/>
        <v>PA_Alleg_2020g~Gen-senator in the general assembly 43rd district (vote for 1)</v>
      </c>
      <c r="V6302" s="40"/>
      <c r="X6302" s="43"/>
      <c r="Y6302" s="53"/>
      <c r="Z6302" s="53"/>
      <c r="AA6302"/>
      <c r="AB6302"/>
      <c r="AC6302" s="23"/>
      <c r="AD6302" s="23"/>
      <c r="AF6302" s="22"/>
      <c r="AG6302" s="89"/>
      <c r="AH6302" s="274"/>
      <c r="AI6302" s="279"/>
      <c r="AJ6302" s="280"/>
      <c r="AK6302" s="92"/>
      <c r="AL6302" s="23"/>
      <c r="AM6302" s="371"/>
      <c r="AN6302" s="372"/>
      <c r="AT6302" s="20"/>
      <c r="AU6302" s="29"/>
      <c r="AV6302"/>
      <c r="AW6302"/>
    </row>
    <row r="6303" spans="1:49">
      <c r="A6303" t="str">
        <f t="shared" si="1172"/>
        <v>PA_Alleg_2020g~Gen-senator in the general assembly 43rd district (vote for 1)</v>
      </c>
      <c r="B6303" s="55" t="s">
        <v>1395</v>
      </c>
      <c r="C6303">
        <v>30</v>
      </c>
      <c r="D6303" s="55" t="s">
        <v>1326</v>
      </c>
      <c r="E6303" s="55" t="s">
        <v>1299</v>
      </c>
      <c r="F6303" t="s">
        <v>1300</v>
      </c>
      <c r="G6303" s="62">
        <v>3092</v>
      </c>
      <c r="H6303">
        <v>2.56</v>
      </c>
      <c r="I6303">
        <v>201361</v>
      </c>
      <c r="J6303">
        <v>0</v>
      </c>
      <c r="K6303">
        <v>305</v>
      </c>
      <c r="L6303">
        <v>305</v>
      </c>
      <c r="M6303">
        <v>0</v>
      </c>
      <c r="N6303" s="23">
        <v>0</v>
      </c>
      <c r="O6303">
        <f t="shared" si="1165"/>
        <v>-1</v>
      </c>
      <c r="P6303" s="57">
        <f t="shared" si="1166"/>
        <v>1</v>
      </c>
      <c r="Q6303" s="267">
        <f t="shared" si="1167"/>
        <v>3092</v>
      </c>
      <c r="R6303" s="23">
        <f t="shared" si="1168"/>
        <v>1</v>
      </c>
      <c r="S6303" s="23">
        <f t="shared" si="1169"/>
        <v>0</v>
      </c>
      <c r="T6303" s="23" t="str">
        <f t="shared" si="1170"/>
        <v/>
      </c>
      <c r="U6303" t="str">
        <f t="shared" si="1171"/>
        <v/>
      </c>
      <c r="V6303" s="40"/>
      <c r="X6303" s="43"/>
      <c r="Y6303" s="53"/>
      <c r="Z6303" s="53"/>
      <c r="AA6303"/>
      <c r="AB6303"/>
      <c r="AC6303" s="23"/>
      <c r="AD6303" s="23"/>
      <c r="AF6303" s="22"/>
      <c r="AG6303" s="89"/>
      <c r="AH6303" s="274"/>
      <c r="AI6303" s="279"/>
      <c r="AJ6303" s="280"/>
      <c r="AK6303" s="92"/>
      <c r="AL6303" s="23"/>
      <c r="AM6303" s="371"/>
      <c r="AN6303" s="372"/>
      <c r="AT6303" s="20"/>
      <c r="AU6303" s="29"/>
      <c r="AV6303"/>
      <c r="AW6303"/>
    </row>
    <row r="6304" spans="1:49">
      <c r="A6304" t="str">
        <f t="shared" si="1172"/>
        <v>PA_Alleg_2020g~Gen-senator in the general assembly 45th district (vote for 1)</v>
      </c>
      <c r="B6304" s="55" t="s">
        <v>1395</v>
      </c>
      <c r="C6304">
        <v>31</v>
      </c>
      <c r="D6304" s="55" t="s">
        <v>1328</v>
      </c>
      <c r="E6304" s="55" t="s">
        <v>1329</v>
      </c>
      <c r="F6304" t="s">
        <v>1294</v>
      </c>
      <c r="G6304" s="62">
        <v>57782</v>
      </c>
      <c r="H6304">
        <v>52.78</v>
      </c>
      <c r="I6304">
        <v>146937</v>
      </c>
      <c r="J6304">
        <v>0</v>
      </c>
      <c r="K6304">
        <v>234</v>
      </c>
      <c r="L6304">
        <v>234</v>
      </c>
      <c r="M6304">
        <v>0</v>
      </c>
      <c r="N6304" s="23">
        <v>0</v>
      </c>
      <c r="O6304">
        <f t="shared" si="1165"/>
        <v>1</v>
      </c>
      <c r="P6304" s="57">
        <f t="shared" si="1166"/>
        <v>1</v>
      </c>
      <c r="Q6304" s="267">
        <f t="shared" si="1167"/>
        <v>109478</v>
      </c>
      <c r="R6304" s="23">
        <f t="shared" si="1168"/>
        <v>57782</v>
      </c>
      <c r="S6304" s="23">
        <f t="shared" si="1169"/>
        <v>51561</v>
      </c>
      <c r="T6304" s="23">
        <f t="shared" si="1170"/>
        <v>6221</v>
      </c>
      <c r="U6304" t="str">
        <f t="shared" si="1171"/>
        <v>PA_Alleg_2020g~Gen-senator in the general assembly 45th district (vote for 1)</v>
      </c>
      <c r="V6304" s="40"/>
      <c r="X6304" s="43"/>
      <c r="Y6304" s="53"/>
      <c r="Z6304" s="53"/>
      <c r="AA6304"/>
      <c r="AB6304"/>
      <c r="AC6304" s="23"/>
      <c r="AD6304" s="23"/>
      <c r="AF6304" s="22"/>
      <c r="AG6304" s="89"/>
      <c r="AH6304" s="274"/>
      <c r="AI6304" s="279"/>
      <c r="AJ6304" s="280"/>
      <c r="AK6304" s="92"/>
      <c r="AL6304" s="23"/>
      <c r="AM6304" s="371"/>
      <c r="AN6304" s="372"/>
      <c r="AT6304" s="20"/>
      <c r="AU6304" s="29"/>
      <c r="AV6304"/>
      <c r="AW6304"/>
    </row>
    <row r="6305" spans="1:49">
      <c r="A6305" t="str">
        <f t="shared" si="1172"/>
        <v>PA_Alleg_2020g~Gen-senator in the general assembly 45th district (vote for 1)</v>
      </c>
      <c r="B6305" s="55" t="s">
        <v>1395</v>
      </c>
      <c r="C6305">
        <v>32</v>
      </c>
      <c r="D6305" s="55" t="s">
        <v>1328</v>
      </c>
      <c r="E6305" s="55" t="s">
        <v>1330</v>
      </c>
      <c r="F6305" t="s">
        <v>1296</v>
      </c>
      <c r="G6305" s="62">
        <v>51561</v>
      </c>
      <c r="H6305">
        <v>47.1</v>
      </c>
      <c r="I6305">
        <v>146937</v>
      </c>
      <c r="J6305">
        <v>0</v>
      </c>
      <c r="K6305">
        <v>234</v>
      </c>
      <c r="L6305">
        <v>234</v>
      </c>
      <c r="M6305">
        <v>0</v>
      </c>
      <c r="N6305" s="23">
        <v>0</v>
      </c>
      <c r="O6305">
        <f t="shared" si="1165"/>
        <v>2</v>
      </c>
      <c r="P6305" s="57">
        <f t="shared" si="1166"/>
        <v>1</v>
      </c>
      <c r="Q6305" s="267">
        <f t="shared" si="1167"/>
        <v>51696</v>
      </c>
      <c r="R6305" s="23" t="str">
        <f t="shared" si="1168"/>
        <v/>
      </c>
      <c r="S6305" s="23">
        <f t="shared" si="1169"/>
        <v>51561</v>
      </c>
      <c r="T6305" s="23" t="str">
        <f t="shared" si="1170"/>
        <v/>
      </c>
      <c r="U6305" t="str">
        <f t="shared" si="1171"/>
        <v/>
      </c>
      <c r="V6305" s="40"/>
      <c r="X6305" s="43"/>
      <c r="Y6305" s="53"/>
      <c r="Z6305" s="53"/>
      <c r="AA6305"/>
      <c r="AB6305"/>
      <c r="AC6305" s="23"/>
      <c r="AD6305" s="23"/>
      <c r="AF6305" s="22"/>
      <c r="AG6305" s="89"/>
      <c r="AH6305" s="274"/>
      <c r="AI6305" s="279"/>
      <c r="AJ6305" s="280"/>
      <c r="AK6305" s="92"/>
      <c r="AL6305" s="23"/>
      <c r="AM6305" s="371"/>
      <c r="AN6305" s="372"/>
      <c r="AT6305" s="20"/>
      <c r="AU6305" s="29"/>
      <c r="AV6305"/>
      <c r="AW6305"/>
    </row>
    <row r="6306" spans="1:49">
      <c r="A6306" t="str">
        <f t="shared" si="1172"/>
        <v>PA_Alleg_2020g~Gen-senator in the general assembly 45th district (vote for 1)</v>
      </c>
      <c r="B6306" s="55" t="s">
        <v>1395</v>
      </c>
      <c r="C6306">
        <v>33</v>
      </c>
      <c r="D6306" s="55" t="s">
        <v>1328</v>
      </c>
      <c r="E6306" s="55" t="s">
        <v>1299</v>
      </c>
      <c r="F6306" t="s">
        <v>1300</v>
      </c>
      <c r="G6306" s="62">
        <v>135</v>
      </c>
      <c r="H6306">
        <v>0.12</v>
      </c>
      <c r="I6306">
        <v>146937</v>
      </c>
      <c r="J6306">
        <v>0</v>
      </c>
      <c r="K6306">
        <v>234</v>
      </c>
      <c r="L6306">
        <v>234</v>
      </c>
      <c r="M6306">
        <v>0</v>
      </c>
      <c r="N6306" s="23">
        <v>0</v>
      </c>
      <c r="O6306">
        <f t="shared" si="1165"/>
        <v>-2</v>
      </c>
      <c r="P6306" s="57">
        <f t="shared" si="1166"/>
        <v>1</v>
      </c>
      <c r="Q6306" s="267">
        <f t="shared" si="1167"/>
        <v>135</v>
      </c>
      <c r="R6306" s="23">
        <f t="shared" si="1168"/>
        <v>1</v>
      </c>
      <c r="S6306" s="23">
        <f t="shared" si="1169"/>
        <v>0</v>
      </c>
      <c r="T6306" s="23" t="str">
        <f t="shared" si="1170"/>
        <v/>
      </c>
      <c r="U6306" t="str">
        <f t="shared" si="1171"/>
        <v/>
      </c>
      <c r="V6306" s="40"/>
      <c r="X6306" s="43"/>
      <c r="Y6306" s="53"/>
      <c r="Z6306" s="53"/>
      <c r="AA6306"/>
      <c r="AB6306"/>
      <c r="AC6306" s="23"/>
      <c r="AD6306" s="23"/>
      <c r="AF6306" s="22"/>
      <c r="AG6306" s="89"/>
      <c r="AH6306" s="274"/>
      <c r="AI6306" s="279"/>
      <c r="AJ6306" s="280"/>
      <c r="AK6306" s="92"/>
      <c r="AL6306" s="23"/>
      <c r="AM6306" s="371"/>
      <c r="AN6306" s="372"/>
      <c r="AT6306" s="20"/>
      <c r="AU6306" s="29"/>
      <c r="AV6306"/>
      <c r="AW6306"/>
    </row>
    <row r="6307" spans="1:49">
      <c r="A6307" t="str">
        <f t="shared" si="1172"/>
        <v>PA_Alleg_2020g~Gen-state treasurer (vote for 1)</v>
      </c>
      <c r="B6307" s="55" t="s">
        <v>1395</v>
      </c>
      <c r="C6307">
        <v>15</v>
      </c>
      <c r="D6307" s="55" t="s">
        <v>1312</v>
      </c>
      <c r="E6307" s="55" t="s">
        <v>1313</v>
      </c>
      <c r="F6307" t="s">
        <v>1294</v>
      </c>
      <c r="G6307" s="62">
        <v>403803</v>
      </c>
      <c r="H6307">
        <v>57.45</v>
      </c>
      <c r="I6307">
        <v>942851</v>
      </c>
      <c r="J6307">
        <v>0</v>
      </c>
      <c r="K6307">
        <v>1323</v>
      </c>
      <c r="L6307">
        <v>1323</v>
      </c>
      <c r="M6307">
        <v>0</v>
      </c>
      <c r="N6307" s="23">
        <v>0</v>
      </c>
      <c r="O6307">
        <f t="shared" si="1165"/>
        <v>1</v>
      </c>
      <c r="P6307" s="57">
        <f t="shared" si="1166"/>
        <v>1</v>
      </c>
      <c r="Q6307" s="267">
        <f t="shared" si="1167"/>
        <v>702887</v>
      </c>
      <c r="R6307" s="23">
        <f t="shared" si="1168"/>
        <v>403803</v>
      </c>
      <c r="S6307" s="23">
        <f t="shared" si="1169"/>
        <v>270679</v>
      </c>
      <c r="T6307" s="23">
        <f t="shared" si="1170"/>
        <v>133124</v>
      </c>
      <c r="U6307" t="str">
        <f t="shared" si="1171"/>
        <v>PA_Alleg_2020g~Gen-state treasurer (vote for 1)</v>
      </c>
      <c r="V6307" s="40"/>
      <c r="X6307" s="43"/>
      <c r="Y6307" s="53"/>
      <c r="Z6307" s="53"/>
      <c r="AA6307"/>
      <c r="AB6307"/>
      <c r="AC6307" s="23"/>
      <c r="AD6307" s="23"/>
      <c r="AF6307" s="22"/>
      <c r="AG6307" s="89"/>
      <c r="AH6307" s="274"/>
      <c r="AI6307" s="279"/>
      <c r="AJ6307" s="280"/>
      <c r="AK6307" s="92"/>
      <c r="AL6307" s="23"/>
      <c r="AM6307" s="371"/>
      <c r="AN6307" s="372"/>
      <c r="AT6307" s="20"/>
      <c r="AU6307" s="29"/>
      <c r="AV6307"/>
      <c r="AW6307"/>
    </row>
    <row r="6308" spans="1:49">
      <c r="A6308" t="str">
        <f t="shared" si="1172"/>
        <v>PA_Alleg_2020g~Gen-state treasurer (vote for 1)</v>
      </c>
      <c r="B6308" s="55" t="s">
        <v>1395</v>
      </c>
      <c r="C6308">
        <v>16</v>
      </c>
      <c r="D6308" s="55" t="s">
        <v>1312</v>
      </c>
      <c r="E6308" s="55" t="s">
        <v>1314</v>
      </c>
      <c r="F6308" t="s">
        <v>1296</v>
      </c>
      <c r="G6308" s="62">
        <v>270679</v>
      </c>
      <c r="H6308">
        <v>38.51</v>
      </c>
      <c r="I6308">
        <v>942851</v>
      </c>
      <c r="J6308">
        <v>0</v>
      </c>
      <c r="K6308">
        <v>1323</v>
      </c>
      <c r="L6308">
        <v>1323</v>
      </c>
      <c r="M6308">
        <v>0</v>
      </c>
      <c r="N6308" s="23">
        <v>0</v>
      </c>
      <c r="O6308">
        <f t="shared" si="1165"/>
        <v>2</v>
      </c>
      <c r="P6308" s="57">
        <f t="shared" si="1166"/>
        <v>1</v>
      </c>
      <c r="Q6308" s="267">
        <f t="shared" si="1167"/>
        <v>299084</v>
      </c>
      <c r="R6308" s="23" t="str">
        <f t="shared" si="1168"/>
        <v/>
      </c>
      <c r="S6308" s="23">
        <f t="shared" si="1169"/>
        <v>270679</v>
      </c>
      <c r="T6308" s="23" t="str">
        <f t="shared" si="1170"/>
        <v/>
      </c>
      <c r="U6308" t="str">
        <f t="shared" si="1171"/>
        <v/>
      </c>
      <c r="V6308" s="40"/>
      <c r="X6308" s="43"/>
      <c r="Y6308" s="53"/>
      <c r="Z6308" s="53"/>
      <c r="AA6308"/>
      <c r="AB6308"/>
      <c r="AC6308" s="23"/>
      <c r="AD6308" s="23"/>
      <c r="AF6308" s="22"/>
      <c r="AG6308" s="89"/>
      <c r="AH6308" s="274"/>
      <c r="AI6308" s="279"/>
      <c r="AJ6308" s="280"/>
      <c r="AK6308" s="92"/>
      <c r="AL6308" s="23"/>
      <c r="AM6308" s="371"/>
      <c r="AN6308" s="372"/>
      <c r="AT6308" s="20"/>
      <c r="AU6308" s="29"/>
      <c r="AV6308"/>
      <c r="AW6308"/>
    </row>
    <row r="6309" spans="1:49">
      <c r="A6309" t="str">
        <f t="shared" si="1172"/>
        <v>PA_Alleg_2020g~Gen-state treasurer (vote for 1)</v>
      </c>
      <c r="B6309" s="55" t="s">
        <v>1395</v>
      </c>
      <c r="C6309">
        <v>17</v>
      </c>
      <c r="D6309" s="55" t="s">
        <v>1312</v>
      </c>
      <c r="E6309" s="55" t="s">
        <v>1315</v>
      </c>
      <c r="F6309" t="s">
        <v>1298</v>
      </c>
      <c r="G6309" s="62">
        <v>17136</v>
      </c>
      <c r="H6309">
        <v>2.44</v>
      </c>
      <c r="I6309">
        <v>942851</v>
      </c>
      <c r="J6309">
        <v>0</v>
      </c>
      <c r="K6309">
        <v>1323</v>
      </c>
      <c r="L6309">
        <v>1323</v>
      </c>
      <c r="M6309">
        <v>0</v>
      </c>
      <c r="N6309" s="23">
        <v>0</v>
      </c>
      <c r="O6309">
        <f t="shared" si="1165"/>
        <v>3</v>
      </c>
      <c r="P6309" s="57">
        <f t="shared" si="1166"/>
        <v>1</v>
      </c>
      <c r="Q6309" s="267">
        <f t="shared" si="1167"/>
        <v>28405</v>
      </c>
      <c r="R6309" s="23" t="str">
        <f t="shared" si="1168"/>
        <v/>
      </c>
      <c r="S6309" s="23">
        <f t="shared" si="1169"/>
        <v>17136</v>
      </c>
      <c r="T6309" s="23" t="str">
        <f t="shared" si="1170"/>
        <v/>
      </c>
      <c r="U6309" t="str">
        <f t="shared" si="1171"/>
        <v/>
      </c>
      <c r="V6309" s="40"/>
      <c r="X6309" s="43"/>
      <c r="Y6309" s="53"/>
      <c r="Z6309" s="53"/>
      <c r="AA6309"/>
      <c r="AB6309"/>
      <c r="AC6309" s="23"/>
      <c r="AD6309" s="23"/>
      <c r="AF6309" s="22"/>
      <c r="AG6309" s="89"/>
      <c r="AH6309" s="274"/>
      <c r="AI6309" s="279"/>
      <c r="AJ6309" s="280"/>
      <c r="AK6309" s="92"/>
      <c r="AL6309" s="23"/>
      <c r="AM6309" s="371"/>
      <c r="AN6309" s="372"/>
      <c r="AT6309" s="20"/>
      <c r="AU6309" s="29"/>
      <c r="AV6309"/>
      <c r="AW6309"/>
    </row>
    <row r="6310" spans="1:49">
      <c r="A6310" t="str">
        <f t="shared" si="1172"/>
        <v>PA_Alleg_2020g~Gen-state treasurer (vote for 1)</v>
      </c>
      <c r="B6310" s="55" t="s">
        <v>1395</v>
      </c>
      <c r="C6310">
        <v>18</v>
      </c>
      <c r="D6310" s="55" t="s">
        <v>1312</v>
      </c>
      <c r="E6310" s="55" t="s">
        <v>1316</v>
      </c>
      <c r="F6310" t="s">
        <v>1306</v>
      </c>
      <c r="G6310" s="62">
        <v>10696</v>
      </c>
      <c r="H6310">
        <v>1.52</v>
      </c>
      <c r="I6310">
        <v>942851</v>
      </c>
      <c r="J6310">
        <v>0</v>
      </c>
      <c r="K6310">
        <v>1323</v>
      </c>
      <c r="L6310">
        <v>1323</v>
      </c>
      <c r="M6310">
        <v>0</v>
      </c>
      <c r="N6310" s="23">
        <v>0</v>
      </c>
      <c r="O6310">
        <f t="shared" si="1165"/>
        <v>4</v>
      </c>
      <c r="P6310" s="57">
        <f t="shared" si="1166"/>
        <v>1</v>
      </c>
      <c r="Q6310" s="267">
        <f t="shared" si="1167"/>
        <v>11269</v>
      </c>
      <c r="R6310" s="23" t="str">
        <f t="shared" si="1168"/>
        <v/>
      </c>
      <c r="S6310" s="23">
        <f t="shared" si="1169"/>
        <v>10696</v>
      </c>
      <c r="T6310" s="23" t="str">
        <f t="shared" si="1170"/>
        <v/>
      </c>
      <c r="U6310" t="str">
        <f t="shared" si="1171"/>
        <v/>
      </c>
      <c r="V6310" s="40"/>
      <c r="X6310" s="43"/>
      <c r="Y6310" s="53"/>
      <c r="Z6310" s="53"/>
      <c r="AA6310"/>
      <c r="AB6310"/>
      <c r="AC6310" s="23"/>
      <c r="AD6310" s="23"/>
      <c r="AF6310" s="22"/>
      <c r="AG6310" s="89"/>
      <c r="AH6310" s="274"/>
      <c r="AI6310" s="279"/>
      <c r="AJ6310" s="280"/>
      <c r="AK6310" s="92"/>
      <c r="AL6310" s="23"/>
      <c r="AM6310" s="371"/>
      <c r="AN6310" s="372"/>
      <c r="AT6310" s="20"/>
      <c r="AU6310" s="29"/>
      <c r="AV6310"/>
      <c r="AW6310"/>
    </row>
    <row r="6311" spans="1:49">
      <c r="A6311" t="str">
        <f t="shared" si="1172"/>
        <v>PA_Alleg_2020g~Gen-state treasurer (vote for 1)</v>
      </c>
      <c r="B6311" s="55" t="s">
        <v>1395</v>
      </c>
      <c r="C6311">
        <v>19</v>
      </c>
      <c r="D6311" s="55" t="s">
        <v>1312</v>
      </c>
      <c r="E6311" s="55" t="s">
        <v>1299</v>
      </c>
      <c r="F6311" t="s">
        <v>1300</v>
      </c>
      <c r="G6311" s="62">
        <v>573</v>
      </c>
      <c r="H6311">
        <v>0.08</v>
      </c>
      <c r="I6311">
        <v>942851</v>
      </c>
      <c r="J6311">
        <v>0</v>
      </c>
      <c r="K6311">
        <v>1323</v>
      </c>
      <c r="L6311">
        <v>1323</v>
      </c>
      <c r="M6311">
        <v>0</v>
      </c>
      <c r="N6311" s="23">
        <v>0</v>
      </c>
      <c r="O6311">
        <f t="shared" si="1165"/>
        <v>-4</v>
      </c>
      <c r="P6311" s="57">
        <f t="shared" si="1166"/>
        <v>1</v>
      </c>
      <c r="Q6311" s="267">
        <f t="shared" si="1167"/>
        <v>573</v>
      </c>
      <c r="R6311" s="23">
        <f t="shared" si="1168"/>
        <v>1</v>
      </c>
      <c r="S6311" s="23">
        <f t="shared" si="1169"/>
        <v>0</v>
      </c>
      <c r="T6311" s="23" t="str">
        <f t="shared" si="1170"/>
        <v/>
      </c>
      <c r="U6311" t="str">
        <f t="shared" si="1171"/>
        <v/>
      </c>
      <c r="V6311" s="40"/>
      <c r="X6311" s="43"/>
      <c r="Y6311" s="53"/>
      <c r="Z6311" s="53"/>
      <c r="AA6311"/>
      <c r="AB6311"/>
      <c r="AC6311" s="23"/>
      <c r="AD6311" s="23"/>
      <c r="AF6311" s="22"/>
      <c r="AG6311" s="89"/>
      <c r="AH6311" s="274"/>
      <c r="AI6311" s="279"/>
      <c r="AJ6311" s="280"/>
      <c r="AK6311" s="92"/>
      <c r="AL6311" s="23"/>
      <c r="AM6311" s="371"/>
      <c r="AN6311" s="372"/>
      <c r="AT6311" s="20"/>
      <c r="AU6311" s="29"/>
      <c r="AV6311"/>
      <c r="AW6311"/>
    </row>
    <row r="6312" spans="1:49">
      <c r="A6312" s="30" t="s">
        <v>2566</v>
      </c>
      <c r="B6312" s="55" t="str">
        <f t="shared" ref="B6312:B6375" si="1173">LEFT(A6312,14)</f>
        <v>PA_Merce_2018g</v>
      </c>
      <c r="D6312" s="55" t="str">
        <f t="shared" ref="D6312:D6375" si="1174">MID(A6312,16,99)</f>
        <v>Gen-government study commission referendum,(vote for not more than  1)</v>
      </c>
      <c r="E6312" s="55" t="s">
        <v>2567</v>
      </c>
      <c r="G6312" s="60">
        <v>137</v>
      </c>
      <c r="H6312"/>
      <c r="J6312" s="7"/>
      <c r="K6312" s="2"/>
      <c r="O6312">
        <f t="shared" si="1165"/>
        <v>1</v>
      </c>
      <c r="P6312" s="57">
        <f t="shared" si="1166"/>
        <v>1</v>
      </c>
      <c r="Q6312" s="267">
        <f t="shared" si="1167"/>
        <v>210</v>
      </c>
      <c r="R6312" s="23">
        <f t="shared" si="1168"/>
        <v>137</v>
      </c>
      <c r="S6312" s="23">
        <f t="shared" si="1169"/>
        <v>73</v>
      </c>
      <c r="T6312" s="23">
        <f t="shared" si="1170"/>
        <v>64</v>
      </c>
      <c r="U6312" t="str">
        <f t="shared" si="1171"/>
        <v>PA_Merce_2018g~Gen-government study commission referendum,(vote for not more than  1)</v>
      </c>
      <c r="V6312" s="40"/>
      <c r="X6312" s="43"/>
      <c r="Y6312" s="53"/>
      <c r="Z6312" s="53"/>
      <c r="AA6312"/>
      <c r="AB6312"/>
      <c r="AC6312" s="23"/>
      <c r="AD6312" s="23"/>
      <c r="AF6312" s="22"/>
      <c r="AG6312" s="89"/>
      <c r="AH6312" s="274"/>
      <c r="AI6312" s="279"/>
      <c r="AJ6312" s="280"/>
      <c r="AK6312" s="92"/>
      <c r="AL6312" s="23"/>
      <c r="AM6312" s="371"/>
      <c r="AN6312" s="372"/>
      <c r="AT6312" s="20"/>
      <c r="AU6312" s="29"/>
      <c r="AV6312"/>
      <c r="AW6312"/>
    </row>
    <row r="6313" spans="1:49">
      <c r="A6313" s="30" t="s">
        <v>2566</v>
      </c>
      <c r="B6313" s="55" t="str">
        <f t="shared" si="1173"/>
        <v>PA_Merce_2018g</v>
      </c>
      <c r="D6313" s="55" t="str">
        <f t="shared" si="1174"/>
        <v>Gen-government study commission referendum,(vote for not more than  1)</v>
      </c>
      <c r="E6313" s="55" t="s">
        <v>2568</v>
      </c>
      <c r="G6313" s="60">
        <v>73</v>
      </c>
      <c r="H6313"/>
      <c r="J6313" s="7"/>
      <c r="K6313" s="2"/>
      <c r="O6313">
        <f t="shared" si="1165"/>
        <v>2</v>
      </c>
      <c r="P6313" s="57">
        <f t="shared" si="1166"/>
        <v>1</v>
      </c>
      <c r="Q6313" s="267">
        <f t="shared" si="1167"/>
        <v>73</v>
      </c>
      <c r="R6313" s="23" t="str">
        <f t="shared" si="1168"/>
        <v/>
      </c>
      <c r="S6313" s="23">
        <f t="shared" si="1169"/>
        <v>73</v>
      </c>
      <c r="T6313" s="23" t="str">
        <f t="shared" si="1170"/>
        <v/>
      </c>
      <c r="U6313" t="str">
        <f t="shared" si="1171"/>
        <v/>
      </c>
      <c r="V6313" s="40"/>
      <c r="X6313" s="43"/>
      <c r="Y6313" s="53"/>
      <c r="Z6313" s="53"/>
      <c r="AA6313"/>
      <c r="AB6313"/>
      <c r="AC6313" s="23"/>
      <c r="AD6313" s="23"/>
      <c r="AF6313" s="22"/>
      <c r="AG6313" s="89"/>
      <c r="AH6313" s="274"/>
      <c r="AI6313" s="279"/>
      <c r="AJ6313" s="280"/>
      <c r="AK6313" s="92"/>
      <c r="AL6313" s="23"/>
      <c r="AM6313" s="371"/>
      <c r="AN6313" s="372"/>
      <c r="AT6313" s="20"/>
      <c r="AU6313" s="29"/>
      <c r="AV6313"/>
      <c r="AW6313"/>
    </row>
    <row r="6314" spans="1:49">
      <c r="A6314" s="30" t="s">
        <v>2569</v>
      </c>
      <c r="B6314" s="55" t="str">
        <f t="shared" si="1173"/>
        <v>PA_Merce_2018g</v>
      </c>
      <c r="D6314" s="55" t="str">
        <f t="shared" si="1174"/>
        <v>Gen-government study commissioner,(vote for not more than  7)</v>
      </c>
      <c r="E6314" s="55" t="s">
        <v>2570</v>
      </c>
      <c r="G6314" s="60">
        <v>100</v>
      </c>
      <c r="H6314"/>
      <c r="J6314" s="7"/>
      <c r="K6314" s="2"/>
      <c r="O6314">
        <f t="shared" si="1165"/>
        <v>1</v>
      </c>
      <c r="P6314" s="57">
        <f t="shared" si="1166"/>
        <v>7</v>
      </c>
      <c r="Q6314" s="267">
        <f t="shared" si="1167"/>
        <v>100</v>
      </c>
      <c r="R6314" s="23">
        <f t="shared" si="1168"/>
        <v>1</v>
      </c>
      <c r="S6314" s="23">
        <f t="shared" si="1169"/>
        <v>0</v>
      </c>
      <c r="T6314" s="23" t="str">
        <f t="shared" si="1170"/>
        <v/>
      </c>
      <c r="U6314" t="str">
        <f t="shared" si="1171"/>
        <v>PA_Merce_2018g~Gen-government study commissioner,(vote for not more than  7)</v>
      </c>
      <c r="V6314" s="40"/>
      <c r="X6314" s="43"/>
      <c r="Y6314" s="53"/>
      <c r="Z6314" s="53"/>
      <c r="AA6314"/>
      <c r="AB6314"/>
      <c r="AC6314" s="23"/>
      <c r="AD6314" s="23"/>
      <c r="AF6314" s="22"/>
      <c r="AG6314" s="89"/>
      <c r="AH6314" s="274"/>
      <c r="AI6314" s="279"/>
      <c r="AJ6314" s="280"/>
      <c r="AK6314" s="92"/>
      <c r="AL6314" s="23"/>
      <c r="AM6314" s="371"/>
      <c r="AN6314" s="372"/>
      <c r="AT6314" s="20"/>
      <c r="AU6314" s="29"/>
      <c r="AV6314"/>
      <c r="AW6314"/>
    </row>
    <row r="6315" spans="1:49">
      <c r="A6315" s="30" t="s">
        <v>2569</v>
      </c>
      <c r="B6315" s="55" t="str">
        <f t="shared" si="1173"/>
        <v>PA_Merce_2018g</v>
      </c>
      <c r="D6315" s="55" t="str">
        <f t="shared" si="1174"/>
        <v>Gen-government study commissioner,(vote for not more than  7)</v>
      </c>
      <c r="E6315" s="55" t="s">
        <v>2571</v>
      </c>
      <c r="G6315" s="60">
        <v>95</v>
      </c>
      <c r="H6315"/>
      <c r="J6315" s="7"/>
      <c r="K6315" s="2"/>
      <c r="O6315">
        <f t="shared" si="1165"/>
        <v>2</v>
      </c>
      <c r="P6315" s="57">
        <f t="shared" si="1166"/>
        <v>7</v>
      </c>
      <c r="Q6315" s="267">
        <f t="shared" si="1167"/>
        <v>352</v>
      </c>
      <c r="R6315" s="23">
        <f t="shared" si="1168"/>
        <v>1</v>
      </c>
      <c r="S6315" s="23">
        <f t="shared" si="1169"/>
        <v>0</v>
      </c>
      <c r="T6315" s="23" t="str">
        <f t="shared" si="1170"/>
        <v/>
      </c>
      <c r="U6315" t="str">
        <f t="shared" si="1171"/>
        <v/>
      </c>
      <c r="V6315" s="40"/>
      <c r="X6315" s="43"/>
      <c r="Y6315" s="53"/>
      <c r="Z6315" s="53"/>
      <c r="AA6315"/>
      <c r="AB6315"/>
      <c r="AC6315" s="23"/>
      <c r="AD6315" s="23"/>
      <c r="AF6315" s="22"/>
      <c r="AG6315" s="89"/>
      <c r="AH6315" s="274"/>
      <c r="AI6315" s="279"/>
      <c r="AJ6315" s="280"/>
      <c r="AK6315" s="92"/>
      <c r="AL6315" s="23"/>
      <c r="AM6315" s="371"/>
      <c r="AN6315" s="372"/>
      <c r="AT6315" s="20"/>
      <c r="AU6315" s="29"/>
      <c r="AV6315"/>
      <c r="AW6315"/>
    </row>
    <row r="6316" spans="1:49">
      <c r="A6316" s="30" t="s">
        <v>2569</v>
      </c>
      <c r="B6316" s="55" t="str">
        <f t="shared" si="1173"/>
        <v>PA_Merce_2018g</v>
      </c>
      <c r="D6316" s="55" t="str">
        <f t="shared" si="1174"/>
        <v>Gen-government study commissioner,(vote for not more than  7)</v>
      </c>
      <c r="E6316" s="55" t="s">
        <v>2572</v>
      </c>
      <c r="G6316" s="60">
        <v>90</v>
      </c>
      <c r="H6316"/>
      <c r="J6316" s="7"/>
      <c r="K6316" s="2"/>
      <c r="O6316">
        <f t="shared" si="1165"/>
        <v>3</v>
      </c>
      <c r="P6316" s="57">
        <f t="shared" si="1166"/>
        <v>7</v>
      </c>
      <c r="Q6316" s="267">
        <f t="shared" si="1167"/>
        <v>257</v>
      </c>
      <c r="R6316" s="23">
        <f t="shared" si="1168"/>
        <v>1</v>
      </c>
      <c r="S6316" s="23">
        <f t="shared" si="1169"/>
        <v>0</v>
      </c>
      <c r="T6316" s="23" t="str">
        <f t="shared" si="1170"/>
        <v/>
      </c>
      <c r="U6316" t="str">
        <f t="shared" si="1171"/>
        <v/>
      </c>
      <c r="V6316" s="40"/>
      <c r="X6316" s="43"/>
      <c r="Y6316" s="53"/>
      <c r="Z6316" s="53"/>
      <c r="AA6316"/>
      <c r="AB6316"/>
      <c r="AC6316" s="23"/>
      <c r="AD6316" s="23"/>
      <c r="AF6316" s="22"/>
      <c r="AG6316" s="89"/>
      <c r="AH6316" s="274"/>
      <c r="AI6316" s="279"/>
      <c r="AJ6316" s="280"/>
      <c r="AK6316" s="92"/>
      <c r="AL6316" s="23"/>
      <c r="AM6316" s="371"/>
      <c r="AN6316" s="372"/>
      <c r="AT6316" s="20"/>
      <c r="AU6316" s="29"/>
      <c r="AV6316"/>
      <c r="AW6316"/>
    </row>
    <row r="6317" spans="1:49">
      <c r="A6317" s="30" t="s">
        <v>2569</v>
      </c>
      <c r="B6317" s="55" t="str">
        <f t="shared" si="1173"/>
        <v>PA_Merce_2018g</v>
      </c>
      <c r="D6317" s="55" t="str">
        <f t="shared" si="1174"/>
        <v>Gen-government study commissioner,(vote for not more than  7)</v>
      </c>
      <c r="E6317" s="55" t="s">
        <v>2573</v>
      </c>
      <c r="G6317" s="60">
        <v>88</v>
      </c>
      <c r="H6317"/>
      <c r="J6317" s="7"/>
      <c r="K6317" s="2"/>
      <c r="O6317">
        <f t="shared" si="1165"/>
        <v>4</v>
      </c>
      <c r="P6317" s="57">
        <f t="shared" si="1166"/>
        <v>7</v>
      </c>
      <c r="Q6317" s="267">
        <f t="shared" si="1167"/>
        <v>167</v>
      </c>
      <c r="R6317" s="23">
        <f t="shared" si="1168"/>
        <v>1</v>
      </c>
      <c r="S6317" s="23">
        <f t="shared" si="1169"/>
        <v>0</v>
      </c>
      <c r="T6317" s="23" t="str">
        <f t="shared" si="1170"/>
        <v/>
      </c>
      <c r="U6317" t="str">
        <f t="shared" si="1171"/>
        <v/>
      </c>
      <c r="V6317" s="40"/>
      <c r="X6317" s="43"/>
      <c r="Y6317" s="53"/>
      <c r="Z6317" s="53"/>
      <c r="AA6317"/>
      <c r="AB6317"/>
      <c r="AC6317" s="23"/>
      <c r="AD6317" s="23"/>
      <c r="AF6317" s="22"/>
      <c r="AG6317" s="89"/>
      <c r="AH6317" s="274"/>
      <c r="AI6317" s="279"/>
      <c r="AJ6317" s="280"/>
      <c r="AK6317" s="92"/>
      <c r="AL6317" s="23"/>
      <c r="AM6317" s="371"/>
      <c r="AN6317" s="372"/>
      <c r="AT6317" s="20"/>
      <c r="AU6317" s="29"/>
      <c r="AV6317"/>
      <c r="AW6317"/>
    </row>
    <row r="6318" spans="1:49">
      <c r="A6318" s="30" t="s">
        <v>2569</v>
      </c>
      <c r="B6318" s="55" t="str">
        <f t="shared" si="1173"/>
        <v>PA_Merce_2018g</v>
      </c>
      <c r="D6318" s="55" t="str">
        <f t="shared" si="1174"/>
        <v>Gen-government study commissioner,(vote for not more than  7)</v>
      </c>
      <c r="E6318" s="55" t="s">
        <v>2574</v>
      </c>
      <c r="G6318" s="60">
        <v>79</v>
      </c>
      <c r="H6318"/>
      <c r="J6318" s="7"/>
      <c r="K6318" s="2"/>
      <c r="O6318">
        <f t="shared" si="1165"/>
        <v>-4</v>
      </c>
      <c r="P6318" s="57">
        <f t="shared" si="1166"/>
        <v>7</v>
      </c>
      <c r="Q6318" s="267">
        <f t="shared" si="1167"/>
        <v>79</v>
      </c>
      <c r="R6318" s="23">
        <f t="shared" si="1168"/>
        <v>1</v>
      </c>
      <c r="S6318" s="23">
        <f t="shared" si="1169"/>
        <v>0</v>
      </c>
      <c r="T6318" s="23" t="str">
        <f t="shared" si="1170"/>
        <v/>
      </c>
      <c r="U6318" t="str">
        <f t="shared" si="1171"/>
        <v/>
      </c>
      <c r="V6318" s="40"/>
      <c r="X6318" s="43"/>
      <c r="Y6318" s="53"/>
      <c r="Z6318" s="53"/>
      <c r="AA6318"/>
      <c r="AB6318"/>
      <c r="AC6318" s="23"/>
      <c r="AD6318" s="23"/>
      <c r="AF6318" s="22"/>
      <c r="AG6318" s="89"/>
      <c r="AH6318" s="274"/>
      <c r="AI6318" s="279"/>
      <c r="AJ6318" s="280"/>
      <c r="AK6318" s="92"/>
      <c r="AL6318" s="23"/>
      <c r="AM6318" s="371"/>
      <c r="AN6318" s="372"/>
      <c r="AT6318" s="20"/>
      <c r="AU6318" s="29"/>
      <c r="AV6318"/>
      <c r="AW6318"/>
    </row>
    <row r="6319" spans="1:49">
      <c r="A6319" s="30" t="s">
        <v>2575</v>
      </c>
      <c r="B6319" s="55" t="str">
        <f t="shared" si="1173"/>
        <v>PA_Merce_2018g</v>
      </c>
      <c r="D6319" s="55" t="str">
        <f t="shared" si="1174"/>
        <v>Gen-governor and lieutenant governor,(vote for not more than  1)</v>
      </c>
      <c r="E6319" s="55" t="s">
        <v>2576</v>
      </c>
      <c r="G6319" s="60">
        <v>22211</v>
      </c>
      <c r="H6319"/>
      <c r="J6319" s="7"/>
      <c r="K6319" s="2"/>
      <c r="O6319">
        <f t="shared" si="1165"/>
        <v>1</v>
      </c>
      <c r="P6319" s="57">
        <f t="shared" si="1166"/>
        <v>1</v>
      </c>
      <c r="Q6319" s="267">
        <f t="shared" si="1167"/>
        <v>41122</v>
      </c>
      <c r="R6319" s="23">
        <f t="shared" si="1168"/>
        <v>22211</v>
      </c>
      <c r="S6319" s="23">
        <f t="shared" si="1169"/>
        <v>18200</v>
      </c>
      <c r="T6319" s="23">
        <f t="shared" si="1170"/>
        <v>4011</v>
      </c>
      <c r="U6319" t="str">
        <f t="shared" si="1171"/>
        <v>PA_Merce_2018g~Gen-governor and lieutenant governor,(vote for not more than  1)</v>
      </c>
      <c r="V6319" s="40"/>
      <c r="X6319" s="43"/>
      <c r="Y6319" s="53"/>
      <c r="Z6319" s="53"/>
      <c r="AA6319"/>
      <c r="AB6319"/>
      <c r="AC6319" s="23"/>
      <c r="AD6319" s="23"/>
      <c r="AF6319" s="22"/>
      <c r="AG6319" s="89"/>
      <c r="AH6319" s="274"/>
      <c r="AI6319" s="279"/>
      <c r="AJ6319" s="280"/>
      <c r="AK6319" s="92"/>
      <c r="AL6319" s="23"/>
      <c r="AM6319" s="371"/>
      <c r="AN6319" s="372"/>
      <c r="AT6319" s="20"/>
      <c r="AU6319" s="29"/>
      <c r="AV6319"/>
      <c r="AW6319"/>
    </row>
    <row r="6320" spans="1:49">
      <c r="A6320" s="30" t="s">
        <v>2575</v>
      </c>
      <c r="B6320" s="55" t="str">
        <f t="shared" si="1173"/>
        <v>PA_Merce_2018g</v>
      </c>
      <c r="D6320" s="55" t="str">
        <f t="shared" si="1174"/>
        <v>Gen-governor and lieutenant governor,(vote for not more than  1)</v>
      </c>
      <c r="E6320" s="55" t="s">
        <v>2577</v>
      </c>
      <c r="G6320" s="60">
        <v>18200</v>
      </c>
      <c r="H6320"/>
      <c r="J6320" s="7"/>
      <c r="K6320" s="2"/>
      <c r="O6320">
        <f t="shared" si="1165"/>
        <v>2</v>
      </c>
      <c r="P6320" s="57">
        <f t="shared" si="1166"/>
        <v>1</v>
      </c>
      <c r="Q6320" s="267">
        <f t="shared" si="1167"/>
        <v>18911</v>
      </c>
      <c r="R6320" s="23" t="str">
        <f t="shared" si="1168"/>
        <v/>
      </c>
      <c r="S6320" s="23">
        <f t="shared" si="1169"/>
        <v>18200</v>
      </c>
      <c r="T6320" s="23" t="str">
        <f t="shared" si="1170"/>
        <v/>
      </c>
      <c r="U6320" t="str">
        <f t="shared" si="1171"/>
        <v/>
      </c>
      <c r="V6320" s="40"/>
      <c r="X6320" s="43"/>
      <c r="Y6320" s="53"/>
      <c r="Z6320" s="53"/>
      <c r="AA6320"/>
      <c r="AB6320"/>
      <c r="AC6320" s="23"/>
      <c r="AD6320" s="23"/>
      <c r="AF6320" s="22"/>
      <c r="AG6320" s="89"/>
      <c r="AH6320" s="274"/>
      <c r="AI6320" s="279"/>
      <c r="AJ6320" s="280"/>
      <c r="AK6320" s="92"/>
      <c r="AL6320" s="23"/>
      <c r="AM6320" s="371"/>
      <c r="AN6320" s="372"/>
      <c r="AT6320" s="20"/>
      <c r="AU6320" s="29"/>
      <c r="AV6320"/>
      <c r="AW6320"/>
    </row>
    <row r="6321" spans="1:49">
      <c r="A6321" s="30" t="s">
        <v>2575</v>
      </c>
      <c r="B6321" s="55" t="str">
        <f t="shared" si="1173"/>
        <v>PA_Merce_2018g</v>
      </c>
      <c r="D6321" s="55" t="str">
        <f t="shared" si="1174"/>
        <v>Gen-governor and lieutenant governor,(vote for not more than  1)</v>
      </c>
      <c r="E6321" s="55" t="s">
        <v>2578</v>
      </c>
      <c r="G6321" s="60">
        <v>413</v>
      </c>
      <c r="H6321"/>
      <c r="J6321" s="7"/>
      <c r="K6321" s="2"/>
      <c r="O6321">
        <f t="shared" si="1165"/>
        <v>3</v>
      </c>
      <c r="P6321" s="57">
        <f t="shared" si="1166"/>
        <v>1</v>
      </c>
      <c r="Q6321" s="267">
        <f t="shared" si="1167"/>
        <v>711</v>
      </c>
      <c r="R6321" s="23" t="str">
        <f t="shared" si="1168"/>
        <v/>
      </c>
      <c r="S6321" s="23">
        <f t="shared" si="1169"/>
        <v>413</v>
      </c>
      <c r="T6321" s="23" t="str">
        <f t="shared" si="1170"/>
        <v/>
      </c>
      <c r="U6321" t="str">
        <f t="shared" si="1171"/>
        <v/>
      </c>
      <c r="V6321" s="40"/>
      <c r="X6321" s="43"/>
      <c r="Y6321" s="53"/>
      <c r="Z6321" s="53"/>
      <c r="AA6321"/>
      <c r="AB6321"/>
      <c r="AC6321" s="23"/>
      <c r="AD6321" s="23"/>
      <c r="AF6321" s="22"/>
      <c r="AG6321" s="89"/>
      <c r="AH6321" s="274"/>
      <c r="AI6321" s="279"/>
      <c r="AJ6321" s="280"/>
      <c r="AK6321" s="92"/>
      <c r="AL6321" s="23"/>
      <c r="AM6321" s="371"/>
      <c r="AN6321" s="372"/>
      <c r="AT6321" s="20"/>
      <c r="AU6321" s="29"/>
      <c r="AV6321"/>
      <c r="AW6321"/>
    </row>
    <row r="6322" spans="1:49">
      <c r="A6322" s="30" t="s">
        <v>2575</v>
      </c>
      <c r="B6322" s="55" t="str">
        <f t="shared" si="1173"/>
        <v>PA_Merce_2018g</v>
      </c>
      <c r="D6322" s="55" t="str">
        <f t="shared" si="1174"/>
        <v>Gen-governor and lieutenant governor,(vote for not more than  1)</v>
      </c>
      <c r="E6322" s="55" t="s">
        <v>2579</v>
      </c>
      <c r="G6322" s="60">
        <v>276</v>
      </c>
      <c r="H6322"/>
      <c r="J6322" s="7"/>
      <c r="K6322" s="2"/>
      <c r="O6322">
        <f t="shared" si="1165"/>
        <v>4</v>
      </c>
      <c r="P6322" s="57">
        <f t="shared" si="1166"/>
        <v>1</v>
      </c>
      <c r="Q6322" s="267">
        <f t="shared" si="1167"/>
        <v>298</v>
      </c>
      <c r="R6322" s="23" t="str">
        <f t="shared" si="1168"/>
        <v/>
      </c>
      <c r="S6322" s="23">
        <f t="shared" si="1169"/>
        <v>276</v>
      </c>
      <c r="T6322" s="23" t="str">
        <f t="shared" si="1170"/>
        <v/>
      </c>
      <c r="U6322" t="str">
        <f t="shared" si="1171"/>
        <v/>
      </c>
      <c r="V6322" s="40"/>
      <c r="X6322" s="43"/>
      <c r="Y6322" s="53"/>
      <c r="Z6322" s="53"/>
      <c r="AA6322"/>
      <c r="AB6322"/>
      <c r="AC6322" s="23"/>
      <c r="AD6322" s="23"/>
      <c r="AF6322" s="22"/>
      <c r="AG6322" s="89"/>
      <c r="AH6322" s="274"/>
      <c r="AI6322" s="279"/>
      <c r="AJ6322" s="280"/>
      <c r="AK6322" s="92"/>
      <c r="AL6322" s="23"/>
      <c r="AM6322" s="371"/>
      <c r="AN6322" s="372"/>
      <c r="AT6322" s="20"/>
      <c r="AU6322" s="29"/>
      <c r="AV6322"/>
      <c r="AW6322"/>
    </row>
    <row r="6323" spans="1:49">
      <c r="A6323" s="30" t="s">
        <v>2575</v>
      </c>
      <c r="B6323" s="55" t="str">
        <f t="shared" si="1173"/>
        <v>PA_Merce_2018g</v>
      </c>
      <c r="D6323" s="55" t="str">
        <f t="shared" si="1174"/>
        <v>Gen-governor and lieutenant governor,(vote for not more than  1)</v>
      </c>
      <c r="E6323" s="55" t="s">
        <v>2574</v>
      </c>
      <c r="G6323" s="60">
        <v>22</v>
      </c>
      <c r="H6323"/>
      <c r="J6323" s="7"/>
      <c r="K6323" s="2"/>
      <c r="O6323">
        <f t="shared" si="1165"/>
        <v>-4</v>
      </c>
      <c r="P6323" s="57">
        <f t="shared" si="1166"/>
        <v>1</v>
      </c>
      <c r="Q6323" s="267">
        <f t="shared" si="1167"/>
        <v>22</v>
      </c>
      <c r="R6323" s="23">
        <f t="shared" si="1168"/>
        <v>1</v>
      </c>
      <c r="S6323" s="23">
        <f t="shared" si="1169"/>
        <v>0</v>
      </c>
      <c r="T6323" s="23" t="str">
        <f t="shared" si="1170"/>
        <v/>
      </c>
      <c r="U6323" t="str">
        <f t="shared" si="1171"/>
        <v/>
      </c>
      <c r="V6323" s="40"/>
      <c r="X6323" s="43"/>
      <c r="Y6323" s="53"/>
      <c r="Z6323" s="53"/>
      <c r="AA6323"/>
      <c r="AB6323"/>
      <c r="AC6323" s="23"/>
      <c r="AD6323" s="23"/>
      <c r="AF6323" s="22"/>
      <c r="AG6323" s="89"/>
      <c r="AH6323" s="274"/>
      <c r="AI6323" s="279"/>
      <c r="AJ6323" s="280"/>
      <c r="AK6323" s="92"/>
      <c r="AL6323" s="23"/>
      <c r="AM6323" s="371"/>
      <c r="AN6323" s="372"/>
      <c r="AT6323" s="20"/>
      <c r="AU6323" s="29"/>
      <c r="AV6323"/>
      <c r="AW6323"/>
    </row>
    <row r="6324" spans="1:49">
      <c r="A6324" s="30" t="s">
        <v>2580</v>
      </c>
      <c r="B6324" s="55" t="str">
        <f t="shared" si="1173"/>
        <v>PA_Merce_2018g</v>
      </c>
      <c r="D6324" s="55" t="str">
        <f t="shared" si="1174"/>
        <v>Gen-state rep, 17th district,(vote for not more than  1)</v>
      </c>
      <c r="E6324" s="55" t="s">
        <v>2581</v>
      </c>
      <c r="G6324" s="60">
        <v>4951</v>
      </c>
      <c r="H6324"/>
      <c r="J6324" s="7"/>
      <c r="K6324" s="2"/>
      <c r="O6324">
        <f t="shared" si="1165"/>
        <v>1</v>
      </c>
      <c r="P6324" s="57">
        <f t="shared" si="1166"/>
        <v>1</v>
      </c>
      <c r="Q6324" s="267">
        <f t="shared" si="1167"/>
        <v>5034</v>
      </c>
      <c r="R6324" s="23">
        <f t="shared" si="1168"/>
        <v>4951</v>
      </c>
      <c r="S6324" s="23">
        <f t="shared" si="1169"/>
        <v>0</v>
      </c>
      <c r="T6324" s="23" t="str">
        <f t="shared" si="1170"/>
        <v/>
      </c>
      <c r="U6324" t="str">
        <f t="shared" si="1171"/>
        <v>PA_Merce_2018g~Gen-state rep, 17th district,(vote for not more than  1)</v>
      </c>
      <c r="V6324" s="40"/>
      <c r="X6324" s="43"/>
      <c r="Y6324" s="53"/>
      <c r="Z6324" s="53"/>
      <c r="AA6324"/>
      <c r="AB6324"/>
      <c r="AC6324" s="23"/>
      <c r="AD6324" s="23"/>
      <c r="AF6324" s="22"/>
      <c r="AG6324" s="89"/>
      <c r="AH6324" s="274"/>
      <c r="AI6324" s="279"/>
      <c r="AJ6324" s="280"/>
      <c r="AK6324" s="92"/>
      <c r="AL6324" s="23"/>
      <c r="AM6324" s="371"/>
      <c r="AN6324" s="372"/>
      <c r="AT6324" s="20"/>
      <c r="AU6324" s="29"/>
      <c r="AV6324"/>
      <c r="AW6324"/>
    </row>
    <row r="6325" spans="1:49">
      <c r="A6325" s="30" t="s">
        <v>2580</v>
      </c>
      <c r="B6325" s="55" t="str">
        <f t="shared" si="1173"/>
        <v>PA_Merce_2018g</v>
      </c>
      <c r="D6325" s="55" t="str">
        <f t="shared" si="1174"/>
        <v>Gen-state rep, 17th district,(vote for not more than  1)</v>
      </c>
      <c r="E6325" s="55" t="s">
        <v>2574</v>
      </c>
      <c r="G6325" s="60">
        <v>83</v>
      </c>
      <c r="H6325"/>
      <c r="J6325" s="7"/>
      <c r="K6325" s="2"/>
      <c r="O6325">
        <f t="shared" si="1165"/>
        <v>-1</v>
      </c>
      <c r="P6325" s="57">
        <f t="shared" si="1166"/>
        <v>1</v>
      </c>
      <c r="Q6325" s="267">
        <f t="shared" si="1167"/>
        <v>83</v>
      </c>
      <c r="R6325" s="23">
        <f t="shared" si="1168"/>
        <v>1</v>
      </c>
      <c r="S6325" s="23">
        <f t="shared" si="1169"/>
        <v>0</v>
      </c>
      <c r="T6325" s="23" t="str">
        <f t="shared" si="1170"/>
        <v/>
      </c>
      <c r="U6325" t="str">
        <f t="shared" si="1171"/>
        <v/>
      </c>
      <c r="V6325" s="40"/>
      <c r="X6325" s="43"/>
      <c r="Y6325" s="53"/>
      <c r="Z6325" s="53"/>
      <c r="AA6325"/>
      <c r="AB6325"/>
      <c r="AC6325" s="23"/>
      <c r="AD6325" s="23"/>
      <c r="AF6325" s="22"/>
      <c r="AG6325" s="89"/>
      <c r="AH6325" s="274"/>
      <c r="AI6325" s="279"/>
      <c r="AJ6325" s="280"/>
      <c r="AK6325" s="92"/>
      <c r="AL6325" s="23"/>
      <c r="AM6325" s="371"/>
      <c r="AN6325" s="372"/>
      <c r="AT6325" s="20"/>
      <c r="AU6325" s="29"/>
      <c r="AV6325"/>
      <c r="AW6325"/>
    </row>
    <row r="6326" spans="1:49">
      <c r="A6326" s="30" t="s">
        <v>2582</v>
      </c>
      <c r="B6326" s="55" t="str">
        <f t="shared" si="1173"/>
        <v>PA_Merce_2018g</v>
      </c>
      <c r="D6326" s="55" t="str">
        <f t="shared" si="1174"/>
        <v>Gen-state rep, 7th district,(vote for not more than  1)</v>
      </c>
      <c r="E6326" s="55" t="s">
        <v>2583</v>
      </c>
      <c r="G6326" s="60">
        <v>21573</v>
      </c>
      <c r="H6326"/>
      <c r="J6326" s="7"/>
      <c r="K6326" s="2"/>
      <c r="O6326">
        <f t="shared" si="1165"/>
        <v>1</v>
      </c>
      <c r="P6326" s="57">
        <f t="shared" si="1166"/>
        <v>1</v>
      </c>
      <c r="Q6326" s="267">
        <f t="shared" si="1167"/>
        <v>21720</v>
      </c>
      <c r="R6326" s="23">
        <f t="shared" si="1168"/>
        <v>21573</v>
      </c>
      <c r="S6326" s="23">
        <f t="shared" si="1169"/>
        <v>0</v>
      </c>
      <c r="T6326" s="23" t="str">
        <f t="shared" si="1170"/>
        <v/>
      </c>
      <c r="U6326" t="str">
        <f t="shared" si="1171"/>
        <v>PA_Merce_2018g~Gen-state rep, 7th district,(vote for not more than  1)</v>
      </c>
      <c r="V6326" s="40"/>
      <c r="X6326" s="43"/>
      <c r="Y6326" s="53"/>
      <c r="Z6326" s="53"/>
      <c r="AA6326"/>
      <c r="AB6326"/>
      <c r="AC6326" s="23"/>
      <c r="AD6326" s="23"/>
      <c r="AF6326" s="22"/>
      <c r="AG6326" s="89"/>
      <c r="AH6326" s="274"/>
      <c r="AI6326" s="279"/>
      <c r="AJ6326" s="280"/>
      <c r="AK6326" s="92"/>
      <c r="AL6326" s="23"/>
      <c r="AM6326" s="371"/>
      <c r="AN6326" s="372"/>
      <c r="AT6326" s="20"/>
      <c r="AU6326" s="29"/>
      <c r="AV6326"/>
      <c r="AW6326"/>
    </row>
    <row r="6327" spans="1:49">
      <c r="A6327" s="30" t="s">
        <v>2582</v>
      </c>
      <c r="B6327" s="55" t="str">
        <f t="shared" si="1173"/>
        <v>PA_Merce_2018g</v>
      </c>
      <c r="D6327" s="55" t="str">
        <f t="shared" si="1174"/>
        <v>Gen-state rep, 7th district,(vote for not more than  1)</v>
      </c>
      <c r="E6327" s="55" t="s">
        <v>2574</v>
      </c>
      <c r="G6327" s="60">
        <v>147</v>
      </c>
      <c r="H6327"/>
      <c r="J6327" s="7"/>
      <c r="K6327" s="2"/>
      <c r="O6327">
        <f t="shared" si="1165"/>
        <v>-1</v>
      </c>
      <c r="P6327" s="57">
        <f t="shared" si="1166"/>
        <v>1</v>
      </c>
      <c r="Q6327" s="267">
        <f t="shared" si="1167"/>
        <v>147</v>
      </c>
      <c r="R6327" s="23">
        <f t="shared" si="1168"/>
        <v>1</v>
      </c>
      <c r="S6327" s="23">
        <f t="shared" si="1169"/>
        <v>0</v>
      </c>
      <c r="T6327" s="23" t="str">
        <f t="shared" si="1170"/>
        <v/>
      </c>
      <c r="U6327" t="str">
        <f t="shared" si="1171"/>
        <v/>
      </c>
      <c r="V6327" s="40"/>
      <c r="X6327" s="43"/>
      <c r="Y6327" s="53"/>
      <c r="Z6327" s="53"/>
      <c r="AA6327"/>
      <c r="AB6327"/>
      <c r="AC6327" s="23"/>
      <c r="AD6327" s="23"/>
      <c r="AF6327" s="22"/>
      <c r="AG6327" s="89"/>
      <c r="AH6327" s="274"/>
      <c r="AI6327" s="279"/>
      <c r="AJ6327" s="280"/>
      <c r="AK6327" s="92"/>
      <c r="AL6327" s="23"/>
      <c r="AM6327" s="371"/>
      <c r="AN6327" s="372"/>
      <c r="AT6327" s="20"/>
      <c r="AU6327" s="29"/>
      <c r="AV6327"/>
      <c r="AW6327"/>
    </row>
    <row r="6328" spans="1:49">
      <c r="A6328" s="30" t="s">
        <v>2584</v>
      </c>
      <c r="B6328" s="55" t="str">
        <f t="shared" si="1173"/>
        <v>PA_Merce_2018g</v>
      </c>
      <c r="D6328" s="55" t="str">
        <f t="shared" si="1174"/>
        <v>Gen-state rep, 8th district,(vote for not more than  1)</v>
      </c>
      <c r="E6328" s="55" t="s">
        <v>2585</v>
      </c>
      <c r="G6328" s="60">
        <v>9282</v>
      </c>
      <c r="H6328"/>
      <c r="J6328" s="7"/>
      <c r="K6328" s="2"/>
      <c r="O6328">
        <f t="shared" si="1165"/>
        <v>1</v>
      </c>
      <c r="P6328" s="57">
        <f t="shared" si="1166"/>
        <v>1</v>
      </c>
      <c r="Q6328" s="267">
        <f t="shared" si="1167"/>
        <v>13006</v>
      </c>
      <c r="R6328" s="23">
        <f t="shared" si="1168"/>
        <v>9282</v>
      </c>
      <c r="S6328" s="23">
        <f t="shared" si="1169"/>
        <v>3708</v>
      </c>
      <c r="T6328" s="23">
        <f t="shared" si="1170"/>
        <v>5574</v>
      </c>
      <c r="U6328" t="str">
        <f t="shared" si="1171"/>
        <v>PA_Merce_2018g~Gen-state rep, 8th district,(vote for not more than  1)</v>
      </c>
      <c r="V6328" s="40"/>
      <c r="X6328" s="43"/>
      <c r="Y6328" s="53"/>
      <c r="Z6328" s="53"/>
      <c r="AA6328"/>
      <c r="AB6328"/>
      <c r="AC6328" s="23"/>
      <c r="AD6328" s="23"/>
      <c r="AF6328" s="22"/>
      <c r="AG6328" s="89"/>
      <c r="AH6328" s="274"/>
      <c r="AI6328" s="279"/>
      <c r="AJ6328" s="280"/>
      <c r="AK6328" s="92"/>
      <c r="AL6328" s="23"/>
      <c r="AM6328" s="371"/>
      <c r="AN6328" s="372"/>
      <c r="AT6328" s="20"/>
      <c r="AU6328" s="29"/>
      <c r="AV6328"/>
      <c r="AW6328"/>
    </row>
    <row r="6329" spans="1:49">
      <c r="A6329" s="30" t="s">
        <v>2584</v>
      </c>
      <c r="B6329" s="55" t="str">
        <f t="shared" si="1173"/>
        <v>PA_Merce_2018g</v>
      </c>
      <c r="D6329" s="55" t="str">
        <f t="shared" si="1174"/>
        <v>Gen-state rep, 8th district,(vote for not more than  1)</v>
      </c>
      <c r="E6329" s="55" t="s">
        <v>2586</v>
      </c>
      <c r="G6329" s="60">
        <v>3708</v>
      </c>
      <c r="H6329"/>
      <c r="J6329" s="7"/>
      <c r="K6329" s="2"/>
      <c r="O6329">
        <f t="shared" si="1165"/>
        <v>2</v>
      </c>
      <c r="P6329" s="57">
        <f t="shared" si="1166"/>
        <v>1</v>
      </c>
      <c r="Q6329" s="267">
        <f t="shared" si="1167"/>
        <v>3724</v>
      </c>
      <c r="R6329" s="23" t="str">
        <f t="shared" si="1168"/>
        <v/>
      </c>
      <c r="S6329" s="23">
        <f t="shared" si="1169"/>
        <v>3708</v>
      </c>
      <c r="T6329" s="23" t="str">
        <f t="shared" si="1170"/>
        <v/>
      </c>
      <c r="U6329" t="str">
        <f t="shared" si="1171"/>
        <v/>
      </c>
      <c r="V6329" s="40"/>
      <c r="X6329" s="43"/>
      <c r="Y6329" s="53"/>
      <c r="Z6329" s="53"/>
      <c r="AA6329"/>
      <c r="AB6329"/>
      <c r="AC6329" s="23"/>
      <c r="AD6329" s="23"/>
      <c r="AF6329" s="22"/>
      <c r="AM6329" s="371"/>
      <c r="AN6329" s="372"/>
      <c r="AT6329" s="20"/>
      <c r="AU6329" s="29"/>
      <c r="AV6329"/>
      <c r="AW6329"/>
    </row>
    <row r="6330" spans="1:49">
      <c r="A6330" s="30" t="s">
        <v>2584</v>
      </c>
      <c r="B6330" s="55" t="str">
        <f t="shared" si="1173"/>
        <v>PA_Merce_2018g</v>
      </c>
      <c r="D6330" s="55" t="str">
        <f t="shared" si="1174"/>
        <v>Gen-state rep, 8th district,(vote for not more than  1)</v>
      </c>
      <c r="E6330" s="55" t="s">
        <v>2574</v>
      </c>
      <c r="G6330" s="60">
        <v>16</v>
      </c>
      <c r="H6330"/>
      <c r="J6330" s="7"/>
      <c r="K6330" s="2"/>
      <c r="O6330">
        <f t="shared" si="1165"/>
        <v>-2</v>
      </c>
      <c r="P6330" s="57">
        <f t="shared" si="1166"/>
        <v>1</v>
      </c>
      <c r="Q6330" s="267">
        <f t="shared" si="1167"/>
        <v>16</v>
      </c>
      <c r="R6330" s="23">
        <f t="shared" si="1168"/>
        <v>1</v>
      </c>
      <c r="S6330" s="23">
        <f t="shared" si="1169"/>
        <v>0</v>
      </c>
      <c r="T6330" s="23" t="str">
        <f t="shared" si="1170"/>
        <v/>
      </c>
      <c r="U6330" t="str">
        <f t="shared" si="1171"/>
        <v/>
      </c>
      <c r="V6330" s="40"/>
      <c r="X6330" s="43"/>
      <c r="Y6330" s="53"/>
      <c r="Z6330" s="53"/>
      <c r="AA6330"/>
      <c r="AB6330"/>
      <c r="AC6330" s="23"/>
      <c r="AD6330" s="23"/>
      <c r="AF6330" s="22"/>
      <c r="AM6330" s="371"/>
      <c r="AN6330" s="372"/>
      <c r="AT6330" s="20"/>
      <c r="AU6330" s="29"/>
      <c r="AV6330"/>
      <c r="AW6330"/>
    </row>
    <row r="6331" spans="1:49">
      <c r="A6331" s="30" t="s">
        <v>2587</v>
      </c>
      <c r="B6331" s="55" t="str">
        <f t="shared" si="1173"/>
        <v>PA_Merce_2018g</v>
      </c>
      <c r="D6331" s="55" t="str">
        <f t="shared" si="1174"/>
        <v>Gen-state sen, 50th district,(vote for not more than  1)</v>
      </c>
      <c r="E6331" s="55" t="s">
        <v>2588</v>
      </c>
      <c r="G6331" s="60">
        <v>25980</v>
      </c>
      <c r="H6331"/>
      <c r="J6331" s="7"/>
      <c r="K6331" s="2"/>
      <c r="O6331">
        <f t="shared" si="1165"/>
        <v>1</v>
      </c>
      <c r="P6331" s="57">
        <f t="shared" si="1166"/>
        <v>1</v>
      </c>
      <c r="Q6331" s="267">
        <f t="shared" si="1167"/>
        <v>41082</v>
      </c>
      <c r="R6331" s="23">
        <f t="shared" si="1168"/>
        <v>25980</v>
      </c>
      <c r="S6331" s="23">
        <f t="shared" si="1169"/>
        <v>15069</v>
      </c>
      <c r="T6331" s="23">
        <f t="shared" si="1170"/>
        <v>10911</v>
      </c>
      <c r="U6331" t="str">
        <f t="shared" si="1171"/>
        <v>PA_Merce_2018g~Gen-state sen, 50th district,(vote for not more than  1)</v>
      </c>
      <c r="V6331" s="40"/>
      <c r="X6331" s="43"/>
      <c r="Y6331" s="53"/>
      <c r="Z6331" s="53"/>
      <c r="AA6331"/>
      <c r="AB6331"/>
      <c r="AC6331" s="23"/>
      <c r="AD6331" s="23"/>
      <c r="AF6331" s="22"/>
      <c r="AM6331" s="371"/>
      <c r="AN6331" s="372"/>
      <c r="AT6331" s="20"/>
      <c r="AU6331" s="29"/>
      <c r="AV6331"/>
      <c r="AW6331"/>
    </row>
    <row r="6332" spans="1:49">
      <c r="A6332" s="30" t="s">
        <v>2587</v>
      </c>
      <c r="B6332" s="55" t="str">
        <f t="shared" si="1173"/>
        <v>PA_Merce_2018g</v>
      </c>
      <c r="D6332" s="55" t="str">
        <f t="shared" si="1174"/>
        <v>Gen-state sen, 50th district,(vote for not more than  1)</v>
      </c>
      <c r="E6332" s="55" t="s">
        <v>2589</v>
      </c>
      <c r="G6332" s="60">
        <v>15069</v>
      </c>
      <c r="H6332"/>
      <c r="J6332" s="7"/>
      <c r="K6332" s="2"/>
      <c r="O6332">
        <f t="shared" si="1165"/>
        <v>2</v>
      </c>
      <c r="P6332" s="57">
        <f t="shared" si="1166"/>
        <v>1</v>
      </c>
      <c r="Q6332" s="267">
        <f t="shared" si="1167"/>
        <v>15102</v>
      </c>
      <c r="R6332" s="23" t="str">
        <f t="shared" si="1168"/>
        <v/>
      </c>
      <c r="S6332" s="23">
        <f t="shared" si="1169"/>
        <v>15069</v>
      </c>
      <c r="T6332" s="23" t="str">
        <f t="shared" si="1170"/>
        <v/>
      </c>
      <c r="U6332" t="str">
        <f t="shared" si="1171"/>
        <v/>
      </c>
      <c r="V6332" s="40"/>
      <c r="X6332" s="43"/>
      <c r="Y6332" s="53"/>
      <c r="Z6332" s="53"/>
      <c r="AA6332"/>
      <c r="AB6332"/>
      <c r="AC6332" s="23"/>
      <c r="AD6332" s="23"/>
      <c r="AF6332" s="22"/>
      <c r="AG6332" s="89"/>
      <c r="AH6332" s="274"/>
      <c r="AI6332" s="279"/>
      <c r="AJ6332" s="280"/>
      <c r="AK6332" s="92"/>
      <c r="AL6332" s="23"/>
      <c r="AM6332" s="371"/>
      <c r="AN6332" s="372"/>
      <c r="AT6332" s="20"/>
      <c r="AU6332" s="29"/>
      <c r="AV6332"/>
      <c r="AW6332"/>
    </row>
    <row r="6333" spans="1:49">
      <c r="A6333" s="30" t="s">
        <v>2587</v>
      </c>
      <c r="B6333" s="55" t="str">
        <f t="shared" si="1173"/>
        <v>PA_Merce_2018g</v>
      </c>
      <c r="D6333" s="55" t="str">
        <f t="shared" si="1174"/>
        <v>Gen-state sen, 50th district,(vote for not more than  1)</v>
      </c>
      <c r="E6333" s="55" t="s">
        <v>2574</v>
      </c>
      <c r="G6333" s="60">
        <v>33</v>
      </c>
      <c r="H6333"/>
      <c r="J6333" s="7"/>
      <c r="K6333" s="2"/>
      <c r="O6333">
        <f t="shared" si="1165"/>
        <v>-2</v>
      </c>
      <c r="P6333" s="57">
        <f t="shared" si="1166"/>
        <v>1</v>
      </c>
      <c r="Q6333" s="267">
        <f t="shared" si="1167"/>
        <v>33</v>
      </c>
      <c r="R6333" s="23">
        <f t="shared" si="1168"/>
        <v>1</v>
      </c>
      <c r="S6333" s="23">
        <f t="shared" si="1169"/>
        <v>0</v>
      </c>
      <c r="T6333" s="23" t="str">
        <f t="shared" si="1170"/>
        <v/>
      </c>
      <c r="U6333" t="str">
        <f t="shared" si="1171"/>
        <v/>
      </c>
      <c r="V6333" s="40"/>
      <c r="X6333" s="43"/>
      <c r="Y6333" s="53"/>
      <c r="Z6333" s="53"/>
      <c r="AA6333"/>
      <c r="AB6333"/>
      <c r="AC6333" s="23"/>
      <c r="AD6333" s="23"/>
      <c r="AF6333" s="22"/>
      <c r="AG6333" s="89"/>
      <c r="AH6333" s="274"/>
      <c r="AI6333" s="279"/>
      <c r="AJ6333" s="280"/>
      <c r="AK6333" s="92"/>
      <c r="AM6333" s="371"/>
      <c r="AN6333" s="372"/>
      <c r="AT6333" s="20"/>
      <c r="AU6333" s="29"/>
      <c r="AV6333"/>
      <c r="AW6333"/>
    </row>
    <row r="6334" spans="1:49">
      <c r="A6334" s="30" t="s">
        <v>2590</v>
      </c>
      <c r="B6334" s="55" t="str">
        <f t="shared" si="1173"/>
        <v>PA_Merce_2018g</v>
      </c>
      <c r="D6334" s="55" t="str">
        <f t="shared" si="1174"/>
        <v>Gen-u.s. rep, 16th district,(vote for not more than  1)</v>
      </c>
      <c r="E6334" s="55" t="s">
        <v>2591</v>
      </c>
      <c r="G6334" s="60">
        <v>22799</v>
      </c>
      <c r="H6334"/>
      <c r="J6334" s="7"/>
      <c r="K6334" s="2"/>
      <c r="O6334">
        <f t="shared" si="1165"/>
        <v>1</v>
      </c>
      <c r="P6334" s="57">
        <f t="shared" si="1166"/>
        <v>1</v>
      </c>
      <c r="Q6334" s="267">
        <f t="shared" si="1167"/>
        <v>41179</v>
      </c>
      <c r="R6334" s="23">
        <f t="shared" si="1168"/>
        <v>22799</v>
      </c>
      <c r="S6334" s="23">
        <f t="shared" si="1169"/>
        <v>17842</v>
      </c>
      <c r="T6334" s="23">
        <f t="shared" si="1170"/>
        <v>4957</v>
      </c>
      <c r="U6334" t="str">
        <f t="shared" si="1171"/>
        <v>PA_Merce_2018g~Gen-u.s. rep, 16th district,(vote for not more than  1)</v>
      </c>
      <c r="V6334" s="40"/>
      <c r="X6334" s="43"/>
      <c r="Y6334" s="53"/>
      <c r="Z6334" s="53"/>
      <c r="AA6334"/>
      <c r="AB6334"/>
      <c r="AC6334" s="23"/>
      <c r="AD6334" s="23"/>
      <c r="AF6334" s="22"/>
      <c r="AM6334" s="371"/>
      <c r="AN6334" s="372"/>
      <c r="AT6334" s="20"/>
      <c r="AU6334" s="29"/>
      <c r="AV6334"/>
      <c r="AW6334"/>
    </row>
    <row r="6335" spans="1:49">
      <c r="A6335" s="30" t="s">
        <v>2590</v>
      </c>
      <c r="B6335" s="55" t="str">
        <f t="shared" si="1173"/>
        <v>PA_Merce_2018g</v>
      </c>
      <c r="D6335" s="55" t="str">
        <f t="shared" si="1174"/>
        <v>Gen-u.s. rep, 16th district,(vote for not more than  1)</v>
      </c>
      <c r="E6335" s="55" t="s">
        <v>2592</v>
      </c>
      <c r="G6335" s="60">
        <v>17842</v>
      </c>
      <c r="H6335"/>
      <c r="J6335" s="7"/>
      <c r="K6335" s="2"/>
      <c r="O6335">
        <f t="shared" si="1165"/>
        <v>2</v>
      </c>
      <c r="P6335" s="57">
        <f t="shared" si="1166"/>
        <v>1</v>
      </c>
      <c r="Q6335" s="267">
        <f t="shared" si="1167"/>
        <v>18380</v>
      </c>
      <c r="R6335" s="23" t="str">
        <f t="shared" si="1168"/>
        <v/>
      </c>
      <c r="S6335" s="23">
        <f t="shared" si="1169"/>
        <v>17842</v>
      </c>
      <c r="T6335" s="23" t="str">
        <f t="shared" si="1170"/>
        <v/>
      </c>
      <c r="U6335" t="str">
        <f t="shared" si="1171"/>
        <v/>
      </c>
      <c r="V6335" s="40"/>
      <c r="X6335" s="43"/>
      <c r="Y6335" s="53"/>
      <c r="Z6335" s="53"/>
      <c r="AA6335"/>
      <c r="AB6335"/>
      <c r="AC6335" s="23"/>
      <c r="AD6335" s="23"/>
      <c r="AF6335" s="22"/>
      <c r="AM6335" s="371"/>
      <c r="AN6335" s="372"/>
      <c r="AT6335" s="20"/>
      <c r="AU6335" s="29"/>
      <c r="AV6335"/>
      <c r="AW6335"/>
    </row>
    <row r="6336" spans="1:49">
      <c r="A6336" s="30" t="s">
        <v>2590</v>
      </c>
      <c r="B6336" s="55" t="str">
        <f t="shared" si="1173"/>
        <v>PA_Merce_2018g</v>
      </c>
      <c r="D6336" s="55" t="str">
        <f t="shared" si="1174"/>
        <v>Gen-u.s. rep, 16th district,(vote for not more than  1)</v>
      </c>
      <c r="E6336" s="55" t="s">
        <v>2593</v>
      </c>
      <c r="G6336" s="60">
        <v>521</v>
      </c>
      <c r="H6336"/>
      <c r="J6336" s="7"/>
      <c r="K6336" s="2"/>
      <c r="O6336">
        <f t="shared" si="1165"/>
        <v>3</v>
      </c>
      <c r="P6336" s="57">
        <f t="shared" si="1166"/>
        <v>1</v>
      </c>
      <c r="Q6336" s="267">
        <f t="shared" si="1167"/>
        <v>538</v>
      </c>
      <c r="R6336" s="23" t="str">
        <f t="shared" si="1168"/>
        <v/>
      </c>
      <c r="S6336" s="23">
        <f t="shared" si="1169"/>
        <v>521</v>
      </c>
      <c r="T6336" s="23" t="str">
        <f t="shared" si="1170"/>
        <v/>
      </c>
      <c r="U6336" t="str">
        <f t="shared" si="1171"/>
        <v/>
      </c>
      <c r="V6336" s="40"/>
      <c r="X6336" s="43"/>
      <c r="Y6336" s="53"/>
      <c r="Z6336" s="53"/>
      <c r="AA6336"/>
      <c r="AB6336"/>
      <c r="AC6336" s="23"/>
      <c r="AD6336" s="23"/>
      <c r="AF6336" s="22"/>
      <c r="AM6336" s="371"/>
      <c r="AN6336" s="372"/>
      <c r="AT6336" s="20"/>
      <c r="AU6336" s="29"/>
      <c r="AV6336"/>
      <c r="AW6336"/>
    </row>
    <row r="6337" spans="1:49">
      <c r="A6337" s="30" t="s">
        <v>2590</v>
      </c>
      <c r="B6337" s="55" t="str">
        <f t="shared" si="1173"/>
        <v>PA_Merce_2018g</v>
      </c>
      <c r="D6337" s="55" t="str">
        <f t="shared" si="1174"/>
        <v>Gen-u.s. rep, 16th district,(vote for not more than  1)</v>
      </c>
      <c r="E6337" s="55" t="s">
        <v>2574</v>
      </c>
      <c r="G6337" s="60">
        <v>17</v>
      </c>
      <c r="H6337"/>
      <c r="J6337" s="7"/>
      <c r="K6337" s="2"/>
      <c r="O6337">
        <f t="shared" si="1165"/>
        <v>-3</v>
      </c>
      <c r="P6337" s="57">
        <f t="shared" si="1166"/>
        <v>1</v>
      </c>
      <c r="Q6337" s="267">
        <f t="shared" si="1167"/>
        <v>17</v>
      </c>
      <c r="R6337" s="23">
        <f t="shared" si="1168"/>
        <v>1</v>
      </c>
      <c r="S6337" s="23">
        <f t="shared" si="1169"/>
        <v>0</v>
      </c>
      <c r="T6337" s="23" t="str">
        <f t="shared" si="1170"/>
        <v/>
      </c>
      <c r="U6337" t="str">
        <f t="shared" si="1171"/>
        <v/>
      </c>
      <c r="V6337" s="40"/>
      <c r="X6337" s="43"/>
      <c r="Y6337" s="53"/>
      <c r="Z6337" s="53"/>
      <c r="AA6337"/>
      <c r="AB6337"/>
      <c r="AC6337" s="23"/>
      <c r="AD6337" s="23"/>
      <c r="AF6337" s="22"/>
      <c r="AM6337" s="371"/>
      <c r="AN6337" s="372"/>
      <c r="AT6337" s="20"/>
      <c r="AU6337" s="29"/>
      <c r="AV6337"/>
      <c r="AW6337"/>
    </row>
    <row r="6338" spans="1:49">
      <c r="A6338" s="30" t="s">
        <v>2594</v>
      </c>
      <c r="B6338" s="55" t="str">
        <f t="shared" si="1173"/>
        <v>PA_Merce_2018g</v>
      </c>
      <c r="D6338" s="55" t="str">
        <f t="shared" si="1174"/>
        <v>Gen-united states senator,(vote for not more than  1)</v>
      </c>
      <c r="E6338" s="55" t="s">
        <v>2595</v>
      </c>
      <c r="G6338" s="60">
        <v>22290</v>
      </c>
      <c r="H6338"/>
      <c r="J6338" s="7"/>
      <c r="K6338" s="2"/>
      <c r="O6338">
        <f t="shared" ref="O6338:O6401" si="1175">IF(OR(LOWER(LEFT(E6338,8))="write-in",LOWER(LEFT(E6338,8))="not qual"),IF(A6338=A6337,-ABS(O6337),0),IF(A6338=A6337,ABS(O6337)+1,1))</f>
        <v>1</v>
      </c>
      <c r="P6338" s="57">
        <f t="shared" ref="P6338:P6401" si="1176">1*LEFT(RIGHT(A6338,2),1)</f>
        <v>1</v>
      </c>
      <c r="Q6338" s="267">
        <f t="shared" ref="Q6338:Q6401" si="1177">IF(A6338&lt;&gt;A6339,G6338,IF(A6338=A6337,G6338+Q6339,MAX(G6338,(G6338+Q6339)/P6338)))</f>
        <v>41111</v>
      </c>
      <c r="R6338" s="23">
        <f t="shared" ref="R6338:R6401" si="1178">IF(O6338&gt;P6338,"",IF(O6338=P6338,G6338,IF(A6338=A6339,R6339,IF(O6338&lt;=0,1,G6338))))</f>
        <v>22290</v>
      </c>
      <c r="S6338" s="23">
        <f t="shared" ref="S6338:S6401" si="1179">IF(AND(O6338&gt;P6338,LOWER(LEFT(E6338,8))&lt;&gt;"write-in",LOWER(LEFT(E6338,8))&lt;&gt;"not qual"),G6338,IF(A6338=A6339,S6339,0))</f>
        <v>18136</v>
      </c>
      <c r="T6338" s="23">
        <f t="shared" ref="T6338:T6401" si="1180">IF(OR(A6338=A6337,S6338=0),"",R6338-ABS(S6338))</f>
        <v>4154</v>
      </c>
      <c r="U6338" t="str">
        <f t="shared" ref="U6338:U6401" si="1181">IF(A6338=A6337,"",A6338)</f>
        <v>PA_Merce_2018g~Gen-united states senator,(vote for not more than  1)</v>
      </c>
      <c r="V6338" s="40"/>
      <c r="X6338" s="43"/>
      <c r="Y6338" s="53"/>
      <c r="Z6338" s="53"/>
      <c r="AA6338"/>
      <c r="AB6338"/>
      <c r="AC6338" s="23"/>
      <c r="AD6338" s="23"/>
      <c r="AF6338" s="22"/>
      <c r="AM6338" s="371"/>
      <c r="AN6338" s="372"/>
      <c r="AT6338" s="20"/>
      <c r="AU6338" s="29"/>
      <c r="AV6338"/>
      <c r="AW6338"/>
    </row>
    <row r="6339" spans="1:49">
      <c r="A6339" s="30" t="s">
        <v>2594</v>
      </c>
      <c r="B6339" s="55" t="str">
        <f t="shared" si="1173"/>
        <v>PA_Merce_2018g</v>
      </c>
      <c r="D6339" s="55" t="str">
        <f t="shared" si="1174"/>
        <v>Gen-united states senator,(vote for not more than  1)</v>
      </c>
      <c r="E6339" s="55" t="s">
        <v>2596</v>
      </c>
      <c r="G6339" s="60">
        <v>18136</v>
      </c>
      <c r="H6339"/>
      <c r="J6339" s="7"/>
      <c r="K6339" s="2"/>
      <c r="O6339">
        <f t="shared" si="1175"/>
        <v>2</v>
      </c>
      <c r="P6339" s="57">
        <f t="shared" si="1176"/>
        <v>1</v>
      </c>
      <c r="Q6339" s="267">
        <f t="shared" si="1177"/>
        <v>18821</v>
      </c>
      <c r="R6339" s="23" t="str">
        <f t="shared" si="1178"/>
        <v/>
      </c>
      <c r="S6339" s="23">
        <f t="shared" si="1179"/>
        <v>18136</v>
      </c>
      <c r="T6339" s="23" t="str">
        <f t="shared" si="1180"/>
        <v/>
      </c>
      <c r="U6339" t="str">
        <f t="shared" si="1181"/>
        <v/>
      </c>
      <c r="V6339" s="40"/>
      <c r="X6339" s="43"/>
      <c r="Y6339" s="53"/>
      <c r="Z6339" s="53"/>
      <c r="AA6339"/>
      <c r="AB6339"/>
      <c r="AC6339" s="23"/>
      <c r="AD6339" s="23"/>
      <c r="AF6339" s="22"/>
      <c r="AM6339" s="371"/>
      <c r="AN6339" s="372"/>
      <c r="AT6339" s="20"/>
      <c r="AU6339" s="29"/>
      <c r="AV6339"/>
      <c r="AW6339"/>
    </row>
    <row r="6340" spans="1:49">
      <c r="A6340" s="30" t="s">
        <v>2594</v>
      </c>
      <c r="B6340" s="55" t="str">
        <f t="shared" si="1173"/>
        <v>PA_Merce_2018g</v>
      </c>
      <c r="D6340" s="55" t="str">
        <f t="shared" si="1174"/>
        <v>Gen-united states senator,(vote for not more than  1)</v>
      </c>
      <c r="E6340" s="55" t="s">
        <v>2597</v>
      </c>
      <c r="G6340" s="60">
        <v>439</v>
      </c>
      <c r="H6340"/>
      <c r="J6340" s="7"/>
      <c r="K6340" s="2"/>
      <c r="O6340">
        <f t="shared" si="1175"/>
        <v>3</v>
      </c>
      <c r="P6340" s="57">
        <f t="shared" si="1176"/>
        <v>1</v>
      </c>
      <c r="Q6340" s="267">
        <f t="shared" si="1177"/>
        <v>685</v>
      </c>
      <c r="R6340" s="23" t="str">
        <f t="shared" si="1178"/>
        <v/>
      </c>
      <c r="S6340" s="23">
        <f t="shared" si="1179"/>
        <v>439</v>
      </c>
      <c r="T6340" s="23" t="str">
        <f t="shared" si="1180"/>
        <v/>
      </c>
      <c r="U6340" t="str">
        <f t="shared" si="1181"/>
        <v/>
      </c>
      <c r="V6340" s="40"/>
      <c r="X6340" s="43"/>
      <c r="Y6340" s="53"/>
      <c r="Z6340" s="53"/>
      <c r="AA6340"/>
      <c r="AB6340"/>
      <c r="AC6340" s="23"/>
      <c r="AD6340" s="23"/>
      <c r="AF6340" s="22"/>
      <c r="AM6340" s="371"/>
      <c r="AN6340" s="372"/>
      <c r="AT6340" s="20"/>
      <c r="AU6340" s="29"/>
      <c r="AV6340"/>
      <c r="AW6340"/>
    </row>
    <row r="6341" spans="1:49">
      <c r="A6341" s="30" t="s">
        <v>2594</v>
      </c>
      <c r="B6341" s="55" t="str">
        <f t="shared" si="1173"/>
        <v>PA_Merce_2018g</v>
      </c>
      <c r="D6341" s="55" t="str">
        <f t="shared" si="1174"/>
        <v>Gen-united states senator,(vote for not more than  1)</v>
      </c>
      <c r="E6341" s="55" t="s">
        <v>2598</v>
      </c>
      <c r="G6341" s="60">
        <v>232</v>
      </c>
      <c r="H6341"/>
      <c r="J6341" s="7"/>
      <c r="K6341" s="2"/>
      <c r="O6341">
        <f t="shared" si="1175"/>
        <v>4</v>
      </c>
      <c r="P6341" s="57">
        <f t="shared" si="1176"/>
        <v>1</v>
      </c>
      <c r="Q6341" s="267">
        <f t="shared" si="1177"/>
        <v>246</v>
      </c>
      <c r="R6341" s="23" t="str">
        <f t="shared" si="1178"/>
        <v/>
      </c>
      <c r="S6341" s="23">
        <f t="shared" si="1179"/>
        <v>232</v>
      </c>
      <c r="T6341" s="23" t="str">
        <f t="shared" si="1180"/>
        <v/>
      </c>
      <c r="U6341" t="str">
        <f t="shared" si="1181"/>
        <v/>
      </c>
      <c r="V6341" s="40"/>
      <c r="X6341" s="43"/>
      <c r="Y6341" s="53"/>
      <c r="Z6341" s="53"/>
      <c r="AA6341"/>
      <c r="AB6341"/>
      <c r="AC6341" s="23"/>
      <c r="AD6341" s="23"/>
      <c r="AF6341" s="22"/>
      <c r="AM6341" s="371"/>
      <c r="AN6341" s="372"/>
      <c r="AT6341" s="20"/>
      <c r="AU6341" s="29"/>
      <c r="AV6341"/>
      <c r="AW6341"/>
    </row>
    <row r="6342" spans="1:49">
      <c r="A6342" s="30" t="s">
        <v>2594</v>
      </c>
      <c r="B6342" s="55" t="str">
        <f t="shared" si="1173"/>
        <v>PA_Merce_2018g</v>
      </c>
      <c r="D6342" s="55" t="str">
        <f t="shared" si="1174"/>
        <v>Gen-united states senator,(vote for not more than  1)</v>
      </c>
      <c r="E6342" s="55" t="s">
        <v>2574</v>
      </c>
      <c r="G6342" s="60">
        <v>14</v>
      </c>
      <c r="H6342"/>
      <c r="J6342" s="7"/>
      <c r="K6342" s="2"/>
      <c r="O6342">
        <f t="shared" si="1175"/>
        <v>-4</v>
      </c>
      <c r="P6342" s="57">
        <f t="shared" si="1176"/>
        <v>1</v>
      </c>
      <c r="Q6342" s="267">
        <f t="shared" si="1177"/>
        <v>14</v>
      </c>
      <c r="R6342" s="23" t="str">
        <f t="shared" si="1178"/>
        <v/>
      </c>
      <c r="S6342" s="23">
        <f t="shared" si="1179"/>
        <v>0</v>
      </c>
      <c r="T6342" s="23" t="str">
        <f t="shared" si="1180"/>
        <v/>
      </c>
      <c r="U6342" t="str">
        <f t="shared" si="1181"/>
        <v/>
      </c>
      <c r="V6342" s="40"/>
      <c r="X6342" s="43"/>
      <c r="Y6342" s="53"/>
      <c r="Z6342" s="53"/>
      <c r="AA6342"/>
      <c r="AB6342"/>
      <c r="AC6342" s="23"/>
      <c r="AD6342" s="23"/>
      <c r="AF6342" s="22"/>
      <c r="AM6342" s="371"/>
      <c r="AN6342" s="372"/>
      <c r="AT6342" s="20"/>
      <c r="AU6342" s="29"/>
      <c r="AV6342"/>
      <c r="AW6342"/>
    </row>
    <row r="6343" spans="1:49">
      <c r="A6343" s="30" t="s">
        <v>2594</v>
      </c>
      <c r="B6343" s="55" t="str">
        <f t="shared" si="1173"/>
        <v>PA_Merce_2018g</v>
      </c>
      <c r="D6343" s="55" t="str">
        <f t="shared" si="1174"/>
        <v>Gen-united states senator,(vote for not more than  1)</v>
      </c>
      <c r="E6343" s="55" t="s">
        <v>2565</v>
      </c>
      <c r="G6343" s="60"/>
      <c r="H6343"/>
      <c r="J6343" s="7"/>
      <c r="K6343" s="2"/>
      <c r="O6343">
        <f t="shared" si="1175"/>
        <v>5</v>
      </c>
      <c r="P6343" s="57">
        <f t="shared" si="1176"/>
        <v>1</v>
      </c>
      <c r="Q6343" s="267">
        <f t="shared" si="1177"/>
        <v>0</v>
      </c>
      <c r="R6343" s="23" t="str">
        <f t="shared" si="1178"/>
        <v/>
      </c>
      <c r="S6343" s="23">
        <f t="shared" si="1179"/>
        <v>0</v>
      </c>
      <c r="T6343" s="23" t="str">
        <f t="shared" si="1180"/>
        <v/>
      </c>
      <c r="U6343" t="str">
        <f t="shared" si="1181"/>
        <v/>
      </c>
      <c r="V6343" s="40"/>
      <c r="X6343" s="43"/>
      <c r="Y6343" s="53"/>
      <c r="Z6343" s="53"/>
      <c r="AA6343"/>
      <c r="AB6343"/>
      <c r="AC6343" s="23"/>
      <c r="AD6343" s="23"/>
      <c r="AF6343" s="22"/>
      <c r="AM6343" s="371"/>
      <c r="AN6343" s="372"/>
      <c r="AT6343" s="20"/>
      <c r="AU6343" s="29"/>
      <c r="AV6343"/>
      <c r="AW6343"/>
    </row>
    <row r="6344" spans="1:49">
      <c r="A6344" s="30" t="s">
        <v>2599</v>
      </c>
      <c r="B6344" s="55" t="str">
        <f t="shared" si="1173"/>
        <v>PA_Merce_2018p</v>
      </c>
      <c r="D6344" s="55" t="str">
        <f t="shared" si="1174"/>
        <v>Dem-governor,(vote for not more than  1)</v>
      </c>
      <c r="E6344" s="55" t="s">
        <v>2600</v>
      </c>
      <c r="G6344" s="60">
        <v>5041</v>
      </c>
      <c r="H6344"/>
      <c r="J6344" s="7"/>
      <c r="K6344" s="2"/>
      <c r="O6344">
        <f t="shared" si="1175"/>
        <v>1</v>
      </c>
      <c r="P6344" s="57">
        <f t="shared" si="1176"/>
        <v>1</v>
      </c>
      <c r="Q6344" s="267">
        <f t="shared" si="1177"/>
        <v>5142</v>
      </c>
      <c r="R6344" s="23">
        <f t="shared" si="1178"/>
        <v>5041</v>
      </c>
      <c r="S6344" s="23">
        <f t="shared" si="1179"/>
        <v>0</v>
      </c>
      <c r="T6344" s="23" t="str">
        <f t="shared" si="1180"/>
        <v/>
      </c>
      <c r="U6344" t="str">
        <f t="shared" si="1181"/>
        <v>PA_Merce_2018p~Dem-governor,(vote for not more than  1)</v>
      </c>
      <c r="V6344" s="40"/>
      <c r="X6344" s="43"/>
      <c r="Y6344" s="53"/>
      <c r="Z6344" s="53"/>
      <c r="AA6344"/>
      <c r="AB6344"/>
      <c r="AC6344" s="23"/>
      <c r="AD6344" s="23"/>
      <c r="AF6344" s="22"/>
      <c r="AM6344" s="371"/>
      <c r="AN6344" s="372"/>
      <c r="AT6344" s="20"/>
      <c r="AU6344" s="29"/>
      <c r="AV6344"/>
      <c r="AW6344"/>
    </row>
    <row r="6345" spans="1:49">
      <c r="A6345" s="30" t="s">
        <v>2599</v>
      </c>
      <c r="B6345" s="55" t="str">
        <f t="shared" si="1173"/>
        <v>PA_Merce_2018p</v>
      </c>
      <c r="D6345" s="55" t="str">
        <f t="shared" si="1174"/>
        <v>Dem-governor,(vote for not more than  1)</v>
      </c>
      <c r="E6345" s="55" t="s">
        <v>2574</v>
      </c>
      <c r="G6345" s="60">
        <v>101</v>
      </c>
      <c r="H6345"/>
      <c r="J6345" s="7"/>
      <c r="K6345" s="2"/>
      <c r="O6345">
        <f t="shared" si="1175"/>
        <v>-1</v>
      </c>
      <c r="P6345" s="57">
        <f t="shared" si="1176"/>
        <v>1</v>
      </c>
      <c r="Q6345" s="267">
        <f t="shared" si="1177"/>
        <v>101</v>
      </c>
      <c r="R6345" s="23">
        <f t="shared" si="1178"/>
        <v>1</v>
      </c>
      <c r="S6345" s="23">
        <f t="shared" si="1179"/>
        <v>0</v>
      </c>
      <c r="T6345" s="23" t="str">
        <f t="shared" si="1180"/>
        <v/>
      </c>
      <c r="U6345" t="str">
        <f t="shared" si="1181"/>
        <v/>
      </c>
      <c r="V6345" s="40"/>
      <c r="X6345" s="43"/>
      <c r="Y6345" s="53"/>
      <c r="Z6345" s="53"/>
      <c r="AA6345"/>
      <c r="AB6345"/>
      <c r="AC6345" s="23"/>
      <c r="AD6345" s="23"/>
      <c r="AF6345" s="22"/>
      <c r="AM6345" s="371"/>
      <c r="AN6345" s="372"/>
      <c r="AT6345" s="20"/>
      <c r="AU6345" s="29"/>
      <c r="AV6345"/>
      <c r="AW6345"/>
    </row>
    <row r="6346" spans="1:49">
      <c r="A6346" s="30" t="s">
        <v>2601</v>
      </c>
      <c r="B6346" s="55" t="str">
        <f t="shared" si="1173"/>
        <v>PA_Merce_2018p</v>
      </c>
      <c r="D6346" s="55" t="str">
        <f t="shared" si="1174"/>
        <v>Dem-lieutenant governor,(vote for not more than  1)</v>
      </c>
      <c r="E6346" s="55" t="s">
        <v>2602</v>
      </c>
      <c r="G6346" s="60">
        <v>3512</v>
      </c>
      <c r="H6346"/>
      <c r="J6346" s="7"/>
      <c r="K6346" s="2"/>
      <c r="O6346">
        <f t="shared" si="1175"/>
        <v>1</v>
      </c>
      <c r="P6346" s="57">
        <f t="shared" si="1176"/>
        <v>1</v>
      </c>
      <c r="Q6346" s="267">
        <f t="shared" si="1177"/>
        <v>5459</v>
      </c>
      <c r="R6346" s="23">
        <f t="shared" si="1178"/>
        <v>3512</v>
      </c>
      <c r="S6346" s="23">
        <f t="shared" si="1179"/>
        <v>1033</v>
      </c>
      <c r="T6346" s="23">
        <f t="shared" si="1180"/>
        <v>2479</v>
      </c>
      <c r="U6346" t="str">
        <f t="shared" si="1181"/>
        <v>PA_Merce_2018p~Dem-lieutenant governor,(vote for not more than  1)</v>
      </c>
      <c r="V6346" s="40"/>
      <c r="X6346" s="43"/>
      <c r="Y6346" s="53"/>
      <c r="Z6346" s="53"/>
      <c r="AA6346"/>
      <c r="AB6346"/>
      <c r="AC6346" s="23"/>
      <c r="AD6346" s="23"/>
      <c r="AF6346" s="22"/>
      <c r="AM6346" s="371"/>
      <c r="AN6346" s="372"/>
      <c r="AT6346" s="20"/>
      <c r="AU6346" s="29"/>
      <c r="AV6346"/>
      <c r="AW6346"/>
    </row>
    <row r="6347" spans="1:49">
      <c r="A6347" s="30" t="s">
        <v>2601</v>
      </c>
      <c r="B6347" s="55" t="str">
        <f t="shared" si="1173"/>
        <v>PA_Merce_2018p</v>
      </c>
      <c r="D6347" s="55" t="str">
        <f t="shared" si="1174"/>
        <v>Dem-lieutenant governor,(vote for not more than  1)</v>
      </c>
      <c r="E6347" s="55" t="s">
        <v>2603</v>
      </c>
      <c r="G6347" s="60">
        <v>1033</v>
      </c>
      <c r="H6347"/>
      <c r="J6347" s="7"/>
      <c r="K6347" s="2"/>
      <c r="O6347">
        <f t="shared" si="1175"/>
        <v>2</v>
      </c>
      <c r="P6347" s="57">
        <f t="shared" si="1176"/>
        <v>1</v>
      </c>
      <c r="Q6347" s="267">
        <f t="shared" si="1177"/>
        <v>1947</v>
      </c>
      <c r="R6347" s="23" t="str">
        <f t="shared" si="1178"/>
        <v/>
      </c>
      <c r="S6347" s="23">
        <f t="shared" si="1179"/>
        <v>1033</v>
      </c>
      <c r="T6347" s="23" t="str">
        <f t="shared" si="1180"/>
        <v/>
      </c>
      <c r="U6347" t="str">
        <f t="shared" si="1181"/>
        <v/>
      </c>
      <c r="V6347" s="40"/>
      <c r="X6347" s="43"/>
      <c r="Y6347" s="53"/>
      <c r="Z6347" s="53"/>
      <c r="AA6347"/>
      <c r="AB6347"/>
      <c r="AC6347" s="23"/>
      <c r="AD6347" s="23"/>
      <c r="AF6347" s="22"/>
      <c r="AM6347" s="371"/>
      <c r="AN6347" s="372"/>
      <c r="AT6347" s="20"/>
      <c r="AU6347" s="29"/>
      <c r="AV6347"/>
      <c r="AW6347"/>
    </row>
    <row r="6348" spans="1:49">
      <c r="A6348" s="30" t="s">
        <v>2601</v>
      </c>
      <c r="B6348" s="55" t="str">
        <f t="shared" si="1173"/>
        <v>PA_Merce_2018p</v>
      </c>
      <c r="D6348" s="55" t="str">
        <f t="shared" si="1174"/>
        <v>Dem-lieutenant governor,(vote for not more than  1)</v>
      </c>
      <c r="E6348" s="55" t="s">
        <v>2604</v>
      </c>
      <c r="G6348" s="60">
        <v>437</v>
      </c>
      <c r="H6348"/>
      <c r="J6348" s="7"/>
      <c r="K6348" s="2"/>
      <c r="O6348">
        <f t="shared" si="1175"/>
        <v>3</v>
      </c>
      <c r="P6348" s="57">
        <f t="shared" si="1176"/>
        <v>1</v>
      </c>
      <c r="Q6348" s="267">
        <f t="shared" si="1177"/>
        <v>914</v>
      </c>
      <c r="R6348" s="23" t="str">
        <f t="shared" si="1178"/>
        <v/>
      </c>
      <c r="S6348" s="23">
        <f t="shared" si="1179"/>
        <v>437</v>
      </c>
      <c r="T6348" s="23" t="str">
        <f t="shared" si="1180"/>
        <v/>
      </c>
      <c r="U6348" t="str">
        <f t="shared" si="1181"/>
        <v/>
      </c>
      <c r="V6348" s="40"/>
      <c r="X6348" s="43"/>
      <c r="Y6348" s="53"/>
      <c r="Z6348" s="53"/>
      <c r="AA6348"/>
      <c r="AB6348"/>
      <c r="AC6348" s="23"/>
      <c r="AD6348" s="23"/>
      <c r="AF6348" s="22"/>
      <c r="AM6348" s="371"/>
      <c r="AN6348" s="372"/>
      <c r="AT6348" s="20"/>
      <c r="AU6348" s="29"/>
      <c r="AV6348"/>
      <c r="AW6348"/>
    </row>
    <row r="6349" spans="1:49">
      <c r="A6349" s="30" t="s">
        <v>2601</v>
      </c>
      <c r="B6349" s="55" t="str">
        <f t="shared" si="1173"/>
        <v>PA_Merce_2018p</v>
      </c>
      <c r="D6349" s="55" t="str">
        <f t="shared" si="1174"/>
        <v>Dem-lieutenant governor,(vote for not more than  1)</v>
      </c>
      <c r="E6349" s="55" t="s">
        <v>2605</v>
      </c>
      <c r="G6349" s="60">
        <v>286</v>
      </c>
      <c r="H6349"/>
      <c r="J6349" s="7"/>
      <c r="K6349" s="2"/>
      <c r="O6349">
        <f t="shared" si="1175"/>
        <v>4</v>
      </c>
      <c r="P6349" s="57">
        <f t="shared" si="1176"/>
        <v>1</v>
      </c>
      <c r="Q6349" s="267">
        <f t="shared" si="1177"/>
        <v>477</v>
      </c>
      <c r="R6349" s="23" t="str">
        <f t="shared" si="1178"/>
        <v/>
      </c>
      <c r="S6349" s="23">
        <f t="shared" si="1179"/>
        <v>286</v>
      </c>
      <c r="T6349" s="23" t="str">
        <f t="shared" si="1180"/>
        <v/>
      </c>
      <c r="U6349" t="str">
        <f t="shared" si="1181"/>
        <v/>
      </c>
      <c r="V6349" s="40"/>
      <c r="X6349" s="43"/>
      <c r="Y6349" s="53"/>
      <c r="Z6349" s="53"/>
      <c r="AA6349"/>
      <c r="AB6349"/>
      <c r="AC6349" s="23"/>
      <c r="AD6349" s="23"/>
      <c r="AF6349" s="22"/>
      <c r="AM6349" s="371"/>
      <c r="AN6349" s="372"/>
      <c r="AT6349" s="20"/>
      <c r="AU6349" s="29"/>
      <c r="AV6349"/>
      <c r="AW6349"/>
    </row>
    <row r="6350" spans="1:49">
      <c r="A6350" s="30" t="s">
        <v>2601</v>
      </c>
      <c r="B6350" s="55" t="str">
        <f t="shared" si="1173"/>
        <v>PA_Merce_2018p</v>
      </c>
      <c r="D6350" s="55" t="str">
        <f t="shared" si="1174"/>
        <v>Dem-lieutenant governor,(vote for not more than  1)</v>
      </c>
      <c r="E6350" s="55" t="s">
        <v>2606</v>
      </c>
      <c r="G6350" s="60">
        <v>175</v>
      </c>
      <c r="H6350"/>
      <c r="J6350" s="7"/>
      <c r="K6350" s="2"/>
      <c r="O6350">
        <f t="shared" si="1175"/>
        <v>5</v>
      </c>
      <c r="P6350" s="57">
        <f t="shared" si="1176"/>
        <v>1</v>
      </c>
      <c r="Q6350" s="267">
        <f t="shared" si="1177"/>
        <v>191</v>
      </c>
      <c r="R6350" s="23" t="str">
        <f t="shared" si="1178"/>
        <v/>
      </c>
      <c r="S6350" s="23">
        <f t="shared" si="1179"/>
        <v>175</v>
      </c>
      <c r="T6350" s="23" t="str">
        <f t="shared" si="1180"/>
        <v/>
      </c>
      <c r="U6350" t="str">
        <f t="shared" si="1181"/>
        <v/>
      </c>
      <c r="V6350" s="40"/>
      <c r="X6350" s="43"/>
      <c r="Y6350" s="53"/>
      <c r="Z6350" s="53"/>
      <c r="AA6350"/>
      <c r="AB6350"/>
      <c r="AC6350" s="23"/>
      <c r="AD6350" s="23"/>
      <c r="AF6350" s="22"/>
      <c r="AM6350" s="371"/>
      <c r="AN6350" s="372"/>
      <c r="AT6350" s="20"/>
      <c r="AU6350" s="29"/>
      <c r="AV6350"/>
      <c r="AW6350"/>
    </row>
    <row r="6351" spans="1:49">
      <c r="A6351" s="30" t="s">
        <v>2601</v>
      </c>
      <c r="B6351" s="55" t="str">
        <f t="shared" si="1173"/>
        <v>PA_Merce_2018p</v>
      </c>
      <c r="D6351" s="55" t="str">
        <f t="shared" si="1174"/>
        <v>Dem-lieutenant governor,(vote for not more than  1)</v>
      </c>
      <c r="E6351" s="55" t="s">
        <v>2574</v>
      </c>
      <c r="G6351" s="60">
        <v>16</v>
      </c>
      <c r="H6351"/>
      <c r="J6351" s="7"/>
      <c r="K6351" s="2"/>
      <c r="O6351">
        <f t="shared" si="1175"/>
        <v>-5</v>
      </c>
      <c r="P6351" s="57">
        <f t="shared" si="1176"/>
        <v>1</v>
      </c>
      <c r="Q6351" s="267">
        <f t="shared" si="1177"/>
        <v>16</v>
      </c>
      <c r="R6351" s="23">
        <f t="shared" si="1178"/>
        <v>1</v>
      </c>
      <c r="S6351" s="23">
        <f t="shared" si="1179"/>
        <v>0</v>
      </c>
      <c r="T6351" s="23" t="str">
        <f t="shared" si="1180"/>
        <v/>
      </c>
      <c r="U6351" t="str">
        <f t="shared" si="1181"/>
        <v/>
      </c>
      <c r="V6351" s="40"/>
      <c r="X6351" s="43"/>
      <c r="Y6351" s="53"/>
      <c r="Z6351" s="53"/>
      <c r="AA6351"/>
      <c r="AB6351"/>
      <c r="AC6351" s="23"/>
      <c r="AD6351" s="23"/>
      <c r="AF6351" s="22"/>
      <c r="AM6351" s="371"/>
      <c r="AN6351" s="372"/>
      <c r="AT6351" s="20"/>
      <c r="AU6351" s="29"/>
      <c r="AV6351"/>
      <c r="AW6351"/>
    </row>
    <row r="6352" spans="1:49">
      <c r="A6352" s="30" t="s">
        <v>2607</v>
      </c>
      <c r="B6352" s="55" t="str">
        <f t="shared" si="1173"/>
        <v>PA_Merce_2018p</v>
      </c>
      <c r="D6352" s="55" t="str">
        <f t="shared" si="1174"/>
        <v>Dem-precinct committeeman clark,(vote for not more than  1)</v>
      </c>
      <c r="E6352" s="55" t="s">
        <v>2608</v>
      </c>
      <c r="G6352" s="60">
        <v>41</v>
      </c>
      <c r="H6352"/>
      <c r="J6352" s="7"/>
      <c r="K6352" s="2"/>
      <c r="O6352">
        <f t="shared" si="1175"/>
        <v>1</v>
      </c>
      <c r="P6352" s="57">
        <f t="shared" si="1176"/>
        <v>1</v>
      </c>
      <c r="Q6352" s="267">
        <f t="shared" si="1177"/>
        <v>41</v>
      </c>
      <c r="R6352" s="23">
        <f t="shared" si="1178"/>
        <v>41</v>
      </c>
      <c r="S6352" s="23">
        <f t="shared" si="1179"/>
        <v>0</v>
      </c>
      <c r="T6352" s="23" t="str">
        <f t="shared" si="1180"/>
        <v/>
      </c>
      <c r="U6352" t="str">
        <f t="shared" si="1181"/>
        <v>PA_Merce_2018p~Dem-precinct committeeman clark,(vote for not more than  1)</v>
      </c>
      <c r="V6352" s="40"/>
      <c r="X6352" s="43"/>
      <c r="Y6352" s="53"/>
      <c r="Z6352" s="53"/>
      <c r="AA6352"/>
      <c r="AB6352"/>
      <c r="AC6352" s="23"/>
      <c r="AD6352" s="23"/>
      <c r="AF6352" s="22"/>
      <c r="AM6352" s="371"/>
      <c r="AN6352" s="372"/>
      <c r="AT6352" s="20"/>
      <c r="AU6352" s="29"/>
      <c r="AV6352"/>
      <c r="AW6352"/>
    </row>
    <row r="6353" spans="1:49">
      <c r="A6353" s="30" t="s">
        <v>2607</v>
      </c>
      <c r="B6353" s="55" t="str">
        <f t="shared" si="1173"/>
        <v>PA_Merce_2018p</v>
      </c>
      <c r="D6353" s="55" t="str">
        <f t="shared" si="1174"/>
        <v>Dem-precinct committeeman clark,(vote for not more than  1)</v>
      </c>
      <c r="E6353" s="55" t="s">
        <v>2574</v>
      </c>
      <c r="G6353" s="60">
        <v>0</v>
      </c>
      <c r="H6353"/>
      <c r="J6353" s="7"/>
      <c r="K6353" s="2"/>
      <c r="O6353">
        <f t="shared" si="1175"/>
        <v>-1</v>
      </c>
      <c r="P6353" s="57">
        <f t="shared" si="1176"/>
        <v>1</v>
      </c>
      <c r="Q6353" s="267">
        <f t="shared" si="1177"/>
        <v>0</v>
      </c>
      <c r="R6353" s="23">
        <f t="shared" si="1178"/>
        <v>1</v>
      </c>
      <c r="S6353" s="23">
        <f t="shared" si="1179"/>
        <v>0</v>
      </c>
      <c r="T6353" s="23" t="str">
        <f t="shared" si="1180"/>
        <v/>
      </c>
      <c r="U6353" t="str">
        <f t="shared" si="1181"/>
        <v/>
      </c>
      <c r="V6353" s="40"/>
      <c r="X6353" s="43"/>
      <c r="Y6353" s="53"/>
      <c r="Z6353" s="53"/>
      <c r="AA6353"/>
      <c r="AB6353"/>
      <c r="AC6353" s="23"/>
      <c r="AD6353" s="23"/>
      <c r="AF6353" s="22"/>
      <c r="AM6353" s="371"/>
      <c r="AN6353" s="372"/>
      <c r="AT6353" s="20"/>
      <c r="AU6353" s="29"/>
      <c r="AV6353"/>
      <c r="AW6353"/>
    </row>
    <row r="6354" spans="1:49">
      <c r="A6354" s="30" t="s">
        <v>2609</v>
      </c>
      <c r="B6354" s="55" t="str">
        <f t="shared" si="1173"/>
        <v>PA_Merce_2018p</v>
      </c>
      <c r="D6354" s="55" t="str">
        <f t="shared" si="1174"/>
        <v>Dem-precinct committeeman coolspring,(vote for not more than  1)</v>
      </c>
      <c r="E6354" s="55" t="s">
        <v>2574</v>
      </c>
      <c r="G6354" s="60">
        <v>10</v>
      </c>
      <c r="H6354"/>
      <c r="J6354" s="7"/>
      <c r="K6354" s="2"/>
      <c r="O6354">
        <f t="shared" si="1175"/>
        <v>0</v>
      </c>
      <c r="P6354" s="57">
        <f t="shared" si="1176"/>
        <v>1</v>
      </c>
      <c r="Q6354" s="267">
        <f t="shared" si="1177"/>
        <v>10</v>
      </c>
      <c r="R6354" s="23">
        <f t="shared" si="1178"/>
        <v>1</v>
      </c>
      <c r="S6354" s="23">
        <f t="shared" si="1179"/>
        <v>0</v>
      </c>
      <c r="T6354" s="23" t="str">
        <f t="shared" si="1180"/>
        <v/>
      </c>
      <c r="U6354" t="str">
        <f t="shared" si="1181"/>
        <v>PA_Merce_2018p~Dem-precinct committeeman coolspring,(vote for not more than  1)</v>
      </c>
      <c r="V6354" s="40"/>
      <c r="X6354" s="43"/>
      <c r="Y6354" s="53"/>
      <c r="Z6354" s="53"/>
      <c r="AA6354"/>
      <c r="AB6354"/>
      <c r="AC6354" s="23"/>
      <c r="AD6354" s="23"/>
      <c r="AF6354" s="22"/>
      <c r="AM6354" s="371"/>
      <c r="AN6354" s="372"/>
      <c r="AT6354" s="20"/>
      <c r="AU6354" s="29"/>
      <c r="AV6354"/>
      <c r="AW6354"/>
    </row>
    <row r="6355" spans="1:49">
      <c r="A6355" s="30" t="s">
        <v>2610</v>
      </c>
      <c r="B6355" s="55" t="str">
        <f t="shared" si="1173"/>
        <v>PA_Merce_2018p</v>
      </c>
      <c r="D6355" s="55" t="str">
        <f t="shared" si="1174"/>
        <v>Dem-precinct committeeman deer creek,(vote for not more than  1)</v>
      </c>
      <c r="E6355" s="55" t="s">
        <v>2574</v>
      </c>
      <c r="G6355" s="60">
        <v>2</v>
      </c>
      <c r="H6355"/>
      <c r="J6355" s="7"/>
      <c r="K6355" s="2"/>
      <c r="O6355">
        <f t="shared" si="1175"/>
        <v>0</v>
      </c>
      <c r="P6355" s="57">
        <f t="shared" si="1176"/>
        <v>1</v>
      </c>
      <c r="Q6355" s="267">
        <f t="shared" si="1177"/>
        <v>2</v>
      </c>
      <c r="R6355" s="23">
        <f t="shared" si="1178"/>
        <v>1</v>
      </c>
      <c r="S6355" s="23">
        <f t="shared" si="1179"/>
        <v>0</v>
      </c>
      <c r="T6355" s="23" t="str">
        <f t="shared" si="1180"/>
        <v/>
      </c>
      <c r="U6355" t="str">
        <f t="shared" si="1181"/>
        <v>PA_Merce_2018p~Dem-precinct committeeman deer creek,(vote for not more than  1)</v>
      </c>
      <c r="V6355" s="40"/>
      <c r="X6355" s="43"/>
      <c r="Y6355" s="53"/>
      <c r="Z6355" s="53"/>
      <c r="AA6355"/>
      <c r="AB6355"/>
      <c r="AC6355" s="23"/>
      <c r="AD6355" s="23"/>
      <c r="AF6355" s="22"/>
      <c r="AM6355" s="371"/>
      <c r="AN6355" s="372"/>
      <c r="AT6355" s="20"/>
      <c r="AU6355" s="29"/>
      <c r="AV6355"/>
      <c r="AW6355"/>
    </row>
    <row r="6356" spans="1:49">
      <c r="A6356" s="30" t="s">
        <v>2611</v>
      </c>
      <c r="B6356" s="55" t="str">
        <f t="shared" si="1173"/>
        <v>PA_Merce_2018p</v>
      </c>
      <c r="D6356" s="55" t="str">
        <f t="shared" si="1174"/>
        <v>Dem-precinct committeeman delaware,(vote for not more than  1)</v>
      </c>
      <c r="E6356" s="55" t="s">
        <v>2574</v>
      </c>
      <c r="G6356" s="60">
        <v>3</v>
      </c>
      <c r="H6356"/>
      <c r="J6356" s="7"/>
      <c r="K6356" s="2"/>
      <c r="O6356">
        <f t="shared" si="1175"/>
        <v>0</v>
      </c>
      <c r="P6356" s="57">
        <f t="shared" si="1176"/>
        <v>1</v>
      </c>
      <c r="Q6356" s="267">
        <f t="shared" si="1177"/>
        <v>3</v>
      </c>
      <c r="R6356" s="23">
        <f t="shared" si="1178"/>
        <v>1</v>
      </c>
      <c r="S6356" s="23">
        <f t="shared" si="1179"/>
        <v>0</v>
      </c>
      <c r="T6356" s="23" t="str">
        <f t="shared" si="1180"/>
        <v/>
      </c>
      <c r="U6356" t="str">
        <f t="shared" si="1181"/>
        <v>PA_Merce_2018p~Dem-precinct committeeman delaware,(vote for not more than  1)</v>
      </c>
      <c r="V6356" s="40"/>
      <c r="X6356" s="43"/>
      <c r="Y6356" s="53"/>
      <c r="Z6356" s="53"/>
      <c r="AA6356"/>
      <c r="AB6356"/>
      <c r="AC6356" s="23"/>
      <c r="AD6356" s="23"/>
      <c r="AF6356" s="22"/>
      <c r="AM6356" s="371"/>
      <c r="AN6356" s="372"/>
      <c r="AT6356" s="20"/>
      <c r="AU6356" s="29"/>
      <c r="AV6356"/>
      <c r="AW6356"/>
    </row>
    <row r="6357" spans="1:49">
      <c r="A6357" s="30" t="s">
        <v>2612</v>
      </c>
      <c r="B6357" s="55" t="str">
        <f t="shared" si="1173"/>
        <v>PA_Merce_2018p</v>
      </c>
      <c r="D6357" s="55" t="str">
        <f t="shared" si="1174"/>
        <v>Dem-precinct committeeman east lackawannock,(vote for not more than  1)</v>
      </c>
      <c r="E6357" s="55" t="s">
        <v>2574</v>
      </c>
      <c r="G6357" s="60">
        <v>1</v>
      </c>
      <c r="H6357"/>
      <c r="J6357" s="7"/>
      <c r="K6357" s="2"/>
      <c r="O6357">
        <f t="shared" si="1175"/>
        <v>0</v>
      </c>
      <c r="P6357" s="57">
        <f t="shared" si="1176"/>
        <v>1</v>
      </c>
      <c r="Q6357" s="267">
        <f t="shared" si="1177"/>
        <v>1</v>
      </c>
      <c r="R6357" s="23">
        <f t="shared" si="1178"/>
        <v>1</v>
      </c>
      <c r="S6357" s="23">
        <f t="shared" si="1179"/>
        <v>0</v>
      </c>
      <c r="T6357" s="23" t="str">
        <f t="shared" si="1180"/>
        <v/>
      </c>
      <c r="U6357" t="str">
        <f t="shared" si="1181"/>
        <v>PA_Merce_2018p~Dem-precinct committeeman east lackawannock,(vote for not more than  1)</v>
      </c>
      <c r="V6357" s="40"/>
      <c r="X6357" s="43"/>
      <c r="Y6357" s="53"/>
      <c r="Z6357" s="53"/>
      <c r="AA6357"/>
      <c r="AB6357"/>
      <c r="AC6357" s="23"/>
      <c r="AD6357" s="23"/>
      <c r="AF6357" s="22"/>
      <c r="AM6357" s="371"/>
      <c r="AN6357" s="372"/>
      <c r="AT6357" s="20"/>
      <c r="AU6357" s="29"/>
      <c r="AV6357"/>
      <c r="AW6357"/>
    </row>
    <row r="6358" spans="1:49">
      <c r="A6358" s="30" t="s">
        <v>2613</v>
      </c>
      <c r="B6358" s="55" t="str">
        <f t="shared" si="1173"/>
        <v>PA_Merce_2018p</v>
      </c>
      <c r="D6358" s="55" t="str">
        <f t="shared" si="1174"/>
        <v>Dem-precinct committeeman fairview,(vote for not more than  1)</v>
      </c>
      <c r="E6358" s="55" t="s">
        <v>2614</v>
      </c>
      <c r="G6358" s="60">
        <v>19</v>
      </c>
      <c r="H6358"/>
      <c r="J6358" s="7"/>
      <c r="K6358" s="2"/>
      <c r="O6358">
        <f t="shared" si="1175"/>
        <v>1</v>
      </c>
      <c r="P6358" s="57">
        <f t="shared" si="1176"/>
        <v>1</v>
      </c>
      <c r="Q6358" s="267">
        <f t="shared" si="1177"/>
        <v>32</v>
      </c>
      <c r="R6358" s="23">
        <f t="shared" si="1178"/>
        <v>19</v>
      </c>
      <c r="S6358" s="23">
        <f t="shared" si="1179"/>
        <v>13</v>
      </c>
      <c r="T6358" s="23">
        <f t="shared" si="1180"/>
        <v>6</v>
      </c>
      <c r="U6358" t="str">
        <f t="shared" si="1181"/>
        <v>PA_Merce_2018p~Dem-precinct committeeman fairview,(vote for not more than  1)</v>
      </c>
      <c r="V6358" s="40"/>
      <c r="X6358" s="43"/>
      <c r="Y6358" s="53"/>
      <c r="Z6358" s="53"/>
      <c r="AA6358"/>
      <c r="AB6358"/>
      <c r="AC6358" s="23"/>
      <c r="AD6358" s="23"/>
      <c r="AF6358" s="22"/>
      <c r="AM6358" s="371"/>
      <c r="AN6358" s="372"/>
      <c r="AT6358" s="20"/>
      <c r="AU6358" s="29"/>
      <c r="AV6358"/>
      <c r="AW6358"/>
    </row>
    <row r="6359" spans="1:49">
      <c r="A6359" s="30" t="s">
        <v>2613</v>
      </c>
      <c r="B6359" s="55" t="str">
        <f t="shared" si="1173"/>
        <v>PA_Merce_2018p</v>
      </c>
      <c r="D6359" s="55" t="str">
        <f t="shared" si="1174"/>
        <v>Dem-precinct committeeman fairview,(vote for not more than  1)</v>
      </c>
      <c r="E6359" s="55" t="s">
        <v>2615</v>
      </c>
      <c r="G6359" s="60">
        <v>13</v>
      </c>
      <c r="H6359"/>
      <c r="J6359" s="7"/>
      <c r="K6359" s="2"/>
      <c r="O6359">
        <f t="shared" si="1175"/>
        <v>2</v>
      </c>
      <c r="P6359" s="57">
        <f t="shared" si="1176"/>
        <v>1</v>
      </c>
      <c r="Q6359" s="267">
        <f t="shared" si="1177"/>
        <v>13</v>
      </c>
      <c r="R6359" s="23" t="str">
        <f t="shared" si="1178"/>
        <v/>
      </c>
      <c r="S6359" s="23">
        <f t="shared" si="1179"/>
        <v>13</v>
      </c>
      <c r="T6359" s="23" t="str">
        <f t="shared" si="1180"/>
        <v/>
      </c>
      <c r="U6359" t="str">
        <f t="shared" si="1181"/>
        <v/>
      </c>
      <c r="V6359" s="40"/>
      <c r="X6359" s="43"/>
      <c r="Y6359" s="53"/>
      <c r="Z6359" s="53"/>
      <c r="AA6359"/>
      <c r="AB6359"/>
      <c r="AC6359" s="23"/>
      <c r="AD6359" s="23"/>
      <c r="AF6359" s="22"/>
      <c r="AM6359" s="371"/>
      <c r="AN6359" s="372"/>
      <c r="AT6359" s="20"/>
      <c r="AU6359" s="29"/>
      <c r="AV6359"/>
      <c r="AW6359"/>
    </row>
    <row r="6360" spans="1:49">
      <c r="A6360" s="30" t="s">
        <v>2613</v>
      </c>
      <c r="B6360" s="55" t="str">
        <f t="shared" si="1173"/>
        <v>PA_Merce_2018p</v>
      </c>
      <c r="D6360" s="55" t="str">
        <f t="shared" si="1174"/>
        <v>Dem-precinct committeeman fairview,(vote for not more than  1)</v>
      </c>
      <c r="E6360" s="55" t="s">
        <v>2574</v>
      </c>
      <c r="G6360" s="60">
        <v>0</v>
      </c>
      <c r="H6360"/>
      <c r="J6360" s="7"/>
      <c r="K6360" s="2"/>
      <c r="O6360">
        <f t="shared" si="1175"/>
        <v>-2</v>
      </c>
      <c r="P6360" s="57">
        <f t="shared" si="1176"/>
        <v>1</v>
      </c>
      <c r="Q6360" s="267">
        <f t="shared" si="1177"/>
        <v>0</v>
      </c>
      <c r="R6360" s="23">
        <f t="shared" si="1178"/>
        <v>1</v>
      </c>
      <c r="S6360" s="23">
        <f t="shared" si="1179"/>
        <v>0</v>
      </c>
      <c r="T6360" s="23" t="str">
        <f t="shared" si="1180"/>
        <v/>
      </c>
      <c r="U6360" t="str">
        <f t="shared" si="1181"/>
        <v/>
      </c>
      <c r="V6360" s="40"/>
      <c r="X6360" s="43"/>
      <c r="Y6360" s="53"/>
      <c r="Z6360" s="53"/>
      <c r="AA6360"/>
      <c r="AB6360"/>
      <c r="AC6360" s="23"/>
      <c r="AD6360" s="23"/>
      <c r="AF6360" s="22"/>
      <c r="AM6360" s="371"/>
      <c r="AN6360" s="372"/>
      <c r="AT6360" s="20"/>
      <c r="AU6360" s="29"/>
      <c r="AV6360"/>
      <c r="AW6360"/>
    </row>
    <row r="6361" spans="1:49">
      <c r="A6361" s="30" t="s">
        <v>2616</v>
      </c>
      <c r="B6361" s="55" t="str">
        <f t="shared" si="1173"/>
        <v>PA_Merce_2018p</v>
      </c>
      <c r="D6361" s="55" t="str">
        <f t="shared" si="1174"/>
        <v>Dem-precinct committeeman farrell 1-1,(vote for not more than  1)</v>
      </c>
      <c r="E6361" s="55" t="s">
        <v>2574</v>
      </c>
      <c r="G6361" s="60">
        <v>0</v>
      </c>
      <c r="H6361"/>
      <c r="J6361" s="7"/>
      <c r="K6361" s="2"/>
      <c r="O6361">
        <f t="shared" si="1175"/>
        <v>0</v>
      </c>
      <c r="P6361" s="57">
        <f t="shared" si="1176"/>
        <v>1</v>
      </c>
      <c r="Q6361" s="267">
        <f t="shared" si="1177"/>
        <v>0</v>
      </c>
      <c r="R6361" s="23">
        <f t="shared" si="1178"/>
        <v>1</v>
      </c>
      <c r="S6361" s="23">
        <f t="shared" si="1179"/>
        <v>0</v>
      </c>
      <c r="T6361" s="23" t="str">
        <f t="shared" si="1180"/>
        <v/>
      </c>
      <c r="U6361" t="str">
        <f t="shared" si="1181"/>
        <v>PA_Merce_2018p~Dem-precinct committeeman farrell 1-1,(vote for not more than  1)</v>
      </c>
      <c r="V6361" s="40"/>
      <c r="X6361" s="43"/>
      <c r="Y6361" s="53"/>
      <c r="Z6361" s="53"/>
      <c r="AA6361"/>
      <c r="AB6361"/>
      <c r="AC6361" s="23"/>
      <c r="AD6361" s="23"/>
      <c r="AF6361" s="22"/>
      <c r="AM6361" s="371"/>
      <c r="AN6361" s="372"/>
      <c r="AT6361" s="20"/>
      <c r="AU6361" s="29"/>
      <c r="AV6361"/>
      <c r="AW6361"/>
    </row>
    <row r="6362" spans="1:49">
      <c r="A6362" s="30" t="s">
        <v>2617</v>
      </c>
      <c r="B6362" s="55" t="str">
        <f t="shared" si="1173"/>
        <v>PA_Merce_2018p</v>
      </c>
      <c r="D6362" s="55" t="str">
        <f t="shared" si="1174"/>
        <v>Dem-precinct committeeman farrell 1-2,(vote for not more than  1)</v>
      </c>
      <c r="E6362" s="55" t="s">
        <v>2574</v>
      </c>
      <c r="G6362" s="60">
        <v>1</v>
      </c>
      <c r="H6362"/>
      <c r="J6362" s="7"/>
      <c r="K6362" s="2"/>
      <c r="O6362">
        <f t="shared" si="1175"/>
        <v>0</v>
      </c>
      <c r="P6362" s="57">
        <f t="shared" si="1176"/>
        <v>1</v>
      </c>
      <c r="Q6362" s="267">
        <f t="shared" si="1177"/>
        <v>1</v>
      </c>
      <c r="R6362" s="23">
        <f t="shared" si="1178"/>
        <v>1</v>
      </c>
      <c r="S6362" s="23">
        <f t="shared" si="1179"/>
        <v>0</v>
      </c>
      <c r="T6362" s="23" t="str">
        <f t="shared" si="1180"/>
        <v/>
      </c>
      <c r="U6362" t="str">
        <f t="shared" si="1181"/>
        <v>PA_Merce_2018p~Dem-precinct committeeman farrell 1-2,(vote for not more than  1)</v>
      </c>
      <c r="V6362" s="40"/>
      <c r="X6362" s="43"/>
      <c r="Y6362" s="53"/>
      <c r="Z6362" s="53"/>
      <c r="AA6362"/>
      <c r="AB6362"/>
      <c r="AC6362" s="23"/>
      <c r="AD6362" s="23"/>
      <c r="AF6362" s="22"/>
      <c r="AM6362" s="371"/>
      <c r="AN6362" s="372"/>
      <c r="AT6362" s="20"/>
      <c r="AU6362" s="29"/>
      <c r="AV6362"/>
      <c r="AW6362"/>
    </row>
    <row r="6363" spans="1:49">
      <c r="A6363" s="30" t="s">
        <v>2618</v>
      </c>
      <c r="B6363" s="55" t="str">
        <f t="shared" si="1173"/>
        <v>PA_Merce_2018p</v>
      </c>
      <c r="D6363" s="55" t="str">
        <f t="shared" si="1174"/>
        <v>Dem-precinct committeeman farrell 1-3,(vote for not more than  1)</v>
      </c>
      <c r="E6363" s="55" t="s">
        <v>2619</v>
      </c>
      <c r="G6363" s="60">
        <v>48</v>
      </c>
      <c r="H6363"/>
      <c r="J6363" s="7"/>
      <c r="K6363" s="2"/>
      <c r="O6363">
        <f t="shared" si="1175"/>
        <v>1</v>
      </c>
      <c r="P6363" s="57">
        <f t="shared" si="1176"/>
        <v>1</v>
      </c>
      <c r="Q6363" s="267">
        <f t="shared" si="1177"/>
        <v>49</v>
      </c>
      <c r="R6363" s="23">
        <f t="shared" si="1178"/>
        <v>48</v>
      </c>
      <c r="S6363" s="23">
        <f t="shared" si="1179"/>
        <v>0</v>
      </c>
      <c r="T6363" s="23" t="str">
        <f t="shared" si="1180"/>
        <v/>
      </c>
      <c r="U6363" t="str">
        <f t="shared" si="1181"/>
        <v>PA_Merce_2018p~Dem-precinct committeeman farrell 1-3,(vote for not more than  1)</v>
      </c>
      <c r="V6363" s="40"/>
      <c r="X6363" s="43"/>
      <c r="Y6363" s="53"/>
      <c r="Z6363" s="53"/>
      <c r="AA6363"/>
      <c r="AB6363"/>
      <c r="AC6363" s="23"/>
      <c r="AD6363" s="23"/>
      <c r="AF6363" s="22"/>
      <c r="AM6363" s="371"/>
      <c r="AN6363" s="372"/>
      <c r="AT6363" s="20"/>
      <c r="AU6363" s="29"/>
      <c r="AV6363"/>
      <c r="AW6363"/>
    </row>
    <row r="6364" spans="1:49">
      <c r="A6364" s="30" t="s">
        <v>2618</v>
      </c>
      <c r="B6364" s="55" t="str">
        <f t="shared" si="1173"/>
        <v>PA_Merce_2018p</v>
      </c>
      <c r="D6364" s="55" t="str">
        <f t="shared" si="1174"/>
        <v>Dem-precinct committeeman farrell 1-3,(vote for not more than  1)</v>
      </c>
      <c r="E6364" s="55" t="s">
        <v>2574</v>
      </c>
      <c r="G6364" s="60">
        <v>1</v>
      </c>
      <c r="H6364"/>
      <c r="J6364" s="7"/>
      <c r="K6364" s="2"/>
      <c r="O6364">
        <f t="shared" si="1175"/>
        <v>-1</v>
      </c>
      <c r="P6364" s="57">
        <f t="shared" si="1176"/>
        <v>1</v>
      </c>
      <c r="Q6364" s="267">
        <f t="shared" si="1177"/>
        <v>1</v>
      </c>
      <c r="R6364" s="23">
        <f t="shared" si="1178"/>
        <v>1</v>
      </c>
      <c r="S6364" s="23">
        <f t="shared" si="1179"/>
        <v>0</v>
      </c>
      <c r="T6364" s="23" t="str">
        <f t="shared" si="1180"/>
        <v/>
      </c>
      <c r="U6364" t="str">
        <f t="shared" si="1181"/>
        <v/>
      </c>
      <c r="V6364" s="40"/>
      <c r="X6364" s="43"/>
      <c r="Y6364" s="53"/>
      <c r="Z6364" s="53"/>
      <c r="AA6364"/>
      <c r="AB6364"/>
      <c r="AC6364" s="23"/>
      <c r="AD6364" s="23"/>
      <c r="AF6364" s="22"/>
      <c r="AM6364" s="371"/>
      <c r="AN6364" s="372"/>
      <c r="AT6364" s="20"/>
      <c r="AU6364" s="29"/>
      <c r="AV6364"/>
      <c r="AW6364"/>
    </row>
    <row r="6365" spans="1:49">
      <c r="A6365" s="30" t="s">
        <v>2620</v>
      </c>
      <c r="B6365" s="55" t="str">
        <f t="shared" si="1173"/>
        <v>PA_Merce_2018p</v>
      </c>
      <c r="D6365" s="55" t="str">
        <f t="shared" si="1174"/>
        <v>Dem-precinct committeeman farrell 2-1,(vote for not more than  1)</v>
      </c>
      <c r="E6365" s="55" t="s">
        <v>2621</v>
      </c>
      <c r="G6365" s="60">
        <v>28</v>
      </c>
      <c r="H6365"/>
      <c r="J6365" s="7"/>
      <c r="K6365" s="2"/>
      <c r="O6365">
        <f t="shared" si="1175"/>
        <v>1</v>
      </c>
      <c r="P6365" s="57">
        <f t="shared" si="1176"/>
        <v>1</v>
      </c>
      <c r="Q6365" s="267">
        <f t="shared" si="1177"/>
        <v>28</v>
      </c>
      <c r="R6365" s="23">
        <f t="shared" si="1178"/>
        <v>28</v>
      </c>
      <c r="S6365" s="23">
        <f t="shared" si="1179"/>
        <v>0</v>
      </c>
      <c r="T6365" s="23" t="str">
        <f t="shared" si="1180"/>
        <v/>
      </c>
      <c r="U6365" t="str">
        <f t="shared" si="1181"/>
        <v>PA_Merce_2018p~Dem-precinct committeeman farrell 2-1,(vote for not more than  1)</v>
      </c>
      <c r="V6365" s="40"/>
      <c r="X6365" s="43"/>
      <c r="Y6365" s="53"/>
      <c r="Z6365" s="53"/>
      <c r="AA6365"/>
      <c r="AB6365"/>
      <c r="AC6365" s="23"/>
      <c r="AD6365" s="23"/>
      <c r="AF6365" s="22"/>
      <c r="AM6365" s="371"/>
      <c r="AN6365" s="372"/>
      <c r="AT6365" s="20"/>
      <c r="AU6365" s="29"/>
      <c r="AV6365"/>
      <c r="AW6365"/>
    </row>
    <row r="6366" spans="1:49">
      <c r="A6366" s="30" t="s">
        <v>2620</v>
      </c>
      <c r="B6366" s="55" t="str">
        <f t="shared" si="1173"/>
        <v>PA_Merce_2018p</v>
      </c>
      <c r="D6366" s="55" t="str">
        <f t="shared" si="1174"/>
        <v>Dem-precinct committeeman farrell 2-1,(vote for not more than  1)</v>
      </c>
      <c r="E6366" s="55" t="s">
        <v>2574</v>
      </c>
      <c r="G6366" s="60">
        <v>0</v>
      </c>
      <c r="H6366"/>
      <c r="J6366" s="7"/>
      <c r="K6366" s="2"/>
      <c r="O6366">
        <f t="shared" si="1175"/>
        <v>-1</v>
      </c>
      <c r="P6366" s="57">
        <f t="shared" si="1176"/>
        <v>1</v>
      </c>
      <c r="Q6366" s="267">
        <f t="shared" si="1177"/>
        <v>0</v>
      </c>
      <c r="R6366" s="23">
        <f t="shared" si="1178"/>
        <v>1</v>
      </c>
      <c r="S6366" s="23">
        <f t="shared" si="1179"/>
        <v>0</v>
      </c>
      <c r="T6366" s="23" t="str">
        <f t="shared" si="1180"/>
        <v/>
      </c>
      <c r="U6366" t="str">
        <f t="shared" si="1181"/>
        <v/>
      </c>
      <c r="V6366" s="40"/>
      <c r="X6366" s="43"/>
      <c r="Y6366" s="53"/>
      <c r="Z6366" s="53"/>
      <c r="AA6366"/>
      <c r="AB6366"/>
      <c r="AC6366" s="23"/>
      <c r="AD6366" s="23"/>
      <c r="AF6366" s="22"/>
      <c r="AM6366" s="371"/>
      <c r="AN6366" s="372"/>
      <c r="AT6366" s="20"/>
      <c r="AU6366" s="29"/>
      <c r="AV6366"/>
      <c r="AW6366"/>
    </row>
    <row r="6367" spans="1:49">
      <c r="A6367" s="30" t="s">
        <v>2622</v>
      </c>
      <c r="B6367" s="55" t="str">
        <f t="shared" si="1173"/>
        <v>PA_Merce_2018p</v>
      </c>
      <c r="D6367" s="55" t="str">
        <f t="shared" si="1174"/>
        <v>Dem-precinct committeeman farrell 2-2,(vote for not more than  1)</v>
      </c>
      <c r="E6367" s="55" t="s">
        <v>2574</v>
      </c>
      <c r="G6367" s="60">
        <v>2</v>
      </c>
      <c r="H6367"/>
      <c r="J6367" s="7"/>
      <c r="K6367" s="2"/>
      <c r="O6367">
        <f t="shared" si="1175"/>
        <v>0</v>
      </c>
      <c r="P6367" s="57">
        <f t="shared" si="1176"/>
        <v>1</v>
      </c>
      <c r="Q6367" s="267">
        <f t="shared" si="1177"/>
        <v>2</v>
      </c>
      <c r="R6367" s="23">
        <f t="shared" si="1178"/>
        <v>1</v>
      </c>
      <c r="S6367" s="23">
        <f t="shared" si="1179"/>
        <v>0</v>
      </c>
      <c r="T6367" s="23" t="str">
        <f t="shared" si="1180"/>
        <v/>
      </c>
      <c r="U6367" t="str">
        <f t="shared" si="1181"/>
        <v>PA_Merce_2018p~Dem-precinct committeeman farrell 2-2,(vote for not more than  1)</v>
      </c>
      <c r="V6367" s="40"/>
      <c r="X6367" s="43"/>
      <c r="Y6367" s="53"/>
      <c r="Z6367" s="53"/>
      <c r="AA6367"/>
      <c r="AB6367"/>
      <c r="AC6367" s="23"/>
      <c r="AD6367" s="23"/>
      <c r="AF6367" s="22"/>
      <c r="AM6367" s="371"/>
      <c r="AN6367" s="372"/>
      <c r="AT6367" s="20"/>
      <c r="AU6367" s="29"/>
      <c r="AV6367"/>
      <c r="AW6367"/>
    </row>
    <row r="6368" spans="1:49">
      <c r="A6368" s="30" t="s">
        <v>2623</v>
      </c>
      <c r="B6368" s="55" t="str">
        <f t="shared" si="1173"/>
        <v>PA_Merce_2018p</v>
      </c>
      <c r="D6368" s="55" t="str">
        <f t="shared" si="1174"/>
        <v>Dem-precinct committeeman farrell 2-3,(vote for not more than  1)</v>
      </c>
      <c r="E6368" s="55" t="s">
        <v>2574</v>
      </c>
      <c r="G6368" s="60">
        <v>6</v>
      </c>
      <c r="H6368"/>
      <c r="J6368" s="7"/>
      <c r="K6368" s="2"/>
      <c r="O6368">
        <f t="shared" si="1175"/>
        <v>0</v>
      </c>
      <c r="P6368" s="57">
        <f t="shared" si="1176"/>
        <v>1</v>
      </c>
      <c r="Q6368" s="267">
        <f t="shared" si="1177"/>
        <v>6</v>
      </c>
      <c r="R6368" s="23">
        <f t="shared" si="1178"/>
        <v>1</v>
      </c>
      <c r="S6368" s="23">
        <f t="shared" si="1179"/>
        <v>0</v>
      </c>
      <c r="T6368" s="23" t="str">
        <f t="shared" si="1180"/>
        <v/>
      </c>
      <c r="U6368" t="str">
        <f t="shared" si="1181"/>
        <v>PA_Merce_2018p~Dem-precinct committeeman farrell 2-3,(vote for not more than  1)</v>
      </c>
      <c r="V6368" s="40"/>
      <c r="X6368" s="43"/>
      <c r="Y6368" s="53"/>
      <c r="Z6368" s="53"/>
      <c r="AA6368"/>
      <c r="AB6368"/>
      <c r="AC6368" s="23"/>
      <c r="AD6368" s="23"/>
      <c r="AF6368" s="22"/>
      <c r="AM6368" s="371"/>
      <c r="AN6368" s="372"/>
      <c r="AT6368" s="20"/>
      <c r="AU6368" s="29"/>
      <c r="AV6368"/>
      <c r="AW6368"/>
    </row>
    <row r="6369" spans="1:49">
      <c r="A6369" s="30" t="s">
        <v>2624</v>
      </c>
      <c r="B6369" s="55" t="str">
        <f t="shared" si="1173"/>
        <v>PA_Merce_2018p</v>
      </c>
      <c r="D6369" s="55" t="str">
        <f t="shared" si="1174"/>
        <v>Dem-precinct committeeman farrell 2-4,(vote for not more than  1)</v>
      </c>
      <c r="E6369" s="55" t="s">
        <v>2625</v>
      </c>
      <c r="G6369" s="60">
        <v>155</v>
      </c>
      <c r="H6369"/>
      <c r="J6369" s="7"/>
      <c r="K6369" s="2"/>
      <c r="O6369">
        <f t="shared" si="1175"/>
        <v>1</v>
      </c>
      <c r="P6369" s="57">
        <f t="shared" si="1176"/>
        <v>1</v>
      </c>
      <c r="Q6369" s="267">
        <f t="shared" si="1177"/>
        <v>155</v>
      </c>
      <c r="R6369" s="23">
        <f t="shared" si="1178"/>
        <v>155</v>
      </c>
      <c r="S6369" s="23">
        <f t="shared" si="1179"/>
        <v>0</v>
      </c>
      <c r="T6369" s="23" t="str">
        <f t="shared" si="1180"/>
        <v/>
      </c>
      <c r="U6369" t="str">
        <f t="shared" si="1181"/>
        <v>PA_Merce_2018p~Dem-precinct committeeman farrell 2-4,(vote for not more than  1)</v>
      </c>
      <c r="V6369" s="40"/>
      <c r="X6369" s="43"/>
      <c r="Y6369" s="53"/>
      <c r="Z6369" s="53"/>
      <c r="AA6369"/>
      <c r="AB6369"/>
      <c r="AC6369" s="23"/>
      <c r="AD6369" s="23"/>
      <c r="AF6369" s="22"/>
      <c r="AM6369" s="371"/>
      <c r="AN6369" s="372"/>
      <c r="AT6369" s="20"/>
      <c r="AU6369" s="29"/>
      <c r="AV6369"/>
      <c r="AW6369"/>
    </row>
    <row r="6370" spans="1:49">
      <c r="A6370" s="30" t="s">
        <v>2624</v>
      </c>
      <c r="B6370" s="55" t="str">
        <f t="shared" si="1173"/>
        <v>PA_Merce_2018p</v>
      </c>
      <c r="D6370" s="55" t="str">
        <f t="shared" si="1174"/>
        <v>Dem-precinct committeeman farrell 2-4,(vote for not more than  1)</v>
      </c>
      <c r="E6370" s="55" t="s">
        <v>2574</v>
      </c>
      <c r="G6370" s="60">
        <v>0</v>
      </c>
      <c r="H6370"/>
      <c r="J6370" s="7"/>
      <c r="K6370" s="2"/>
      <c r="O6370">
        <f t="shared" si="1175"/>
        <v>-1</v>
      </c>
      <c r="P6370" s="57">
        <f t="shared" si="1176"/>
        <v>1</v>
      </c>
      <c r="Q6370" s="267">
        <f t="shared" si="1177"/>
        <v>0</v>
      </c>
      <c r="R6370" s="23">
        <f t="shared" si="1178"/>
        <v>1</v>
      </c>
      <c r="S6370" s="23">
        <f t="shared" si="1179"/>
        <v>0</v>
      </c>
      <c r="T6370" s="23" t="str">
        <f t="shared" si="1180"/>
        <v/>
      </c>
      <c r="U6370" t="str">
        <f t="shared" si="1181"/>
        <v/>
      </c>
      <c r="V6370" s="40"/>
      <c r="X6370" s="43"/>
      <c r="Y6370" s="53"/>
      <c r="Z6370" s="53"/>
      <c r="AA6370"/>
      <c r="AB6370"/>
      <c r="AC6370" s="23"/>
      <c r="AD6370" s="23"/>
      <c r="AF6370" s="22"/>
      <c r="AM6370" s="371"/>
      <c r="AN6370" s="372"/>
      <c r="AT6370" s="20"/>
      <c r="AU6370" s="29"/>
      <c r="AV6370"/>
      <c r="AW6370"/>
    </row>
    <row r="6371" spans="1:49">
      <c r="A6371" s="30" t="s">
        <v>2626</v>
      </c>
      <c r="B6371" s="55" t="str">
        <f t="shared" si="1173"/>
        <v>PA_Merce_2018p</v>
      </c>
      <c r="D6371" s="55" t="str">
        <f t="shared" si="1174"/>
        <v>Dem-precinct committeeman findley,(vote for not more than  1)</v>
      </c>
      <c r="E6371" s="55" t="s">
        <v>2574</v>
      </c>
      <c r="G6371" s="60">
        <v>4</v>
      </c>
      <c r="H6371"/>
      <c r="J6371" s="7"/>
      <c r="K6371" s="2"/>
      <c r="O6371">
        <f t="shared" si="1175"/>
        <v>0</v>
      </c>
      <c r="P6371" s="57">
        <f t="shared" si="1176"/>
        <v>1</v>
      </c>
      <c r="Q6371" s="267">
        <f t="shared" si="1177"/>
        <v>4</v>
      </c>
      <c r="R6371" s="23">
        <f t="shared" si="1178"/>
        <v>1</v>
      </c>
      <c r="S6371" s="23">
        <f t="shared" si="1179"/>
        <v>0</v>
      </c>
      <c r="T6371" s="23" t="str">
        <f t="shared" si="1180"/>
        <v/>
      </c>
      <c r="U6371" t="str">
        <f t="shared" si="1181"/>
        <v>PA_Merce_2018p~Dem-precinct committeeman findley,(vote for not more than  1)</v>
      </c>
      <c r="V6371" s="40"/>
      <c r="X6371" s="43"/>
      <c r="Y6371" s="53"/>
      <c r="Z6371" s="53"/>
      <c r="AA6371"/>
      <c r="AB6371"/>
      <c r="AC6371" s="23"/>
      <c r="AD6371" s="23"/>
      <c r="AF6371" s="22"/>
      <c r="AM6371" s="371"/>
      <c r="AN6371" s="372"/>
      <c r="AT6371" s="20"/>
      <c r="AU6371" s="29"/>
      <c r="AV6371"/>
      <c r="AW6371"/>
    </row>
    <row r="6372" spans="1:49">
      <c r="A6372" s="30" t="s">
        <v>2627</v>
      </c>
      <c r="B6372" s="55" t="str">
        <f t="shared" si="1173"/>
        <v>PA_Merce_2018p</v>
      </c>
      <c r="D6372" s="55" t="str">
        <f t="shared" si="1174"/>
        <v>Dem-precinct committeeman fredonia,(vote for not more than  1)</v>
      </c>
      <c r="E6372" s="55" t="s">
        <v>2574</v>
      </c>
      <c r="G6372" s="60">
        <v>2</v>
      </c>
      <c r="H6372"/>
      <c r="J6372" s="7"/>
      <c r="K6372" s="2"/>
      <c r="O6372">
        <f t="shared" si="1175"/>
        <v>0</v>
      </c>
      <c r="P6372" s="57">
        <f t="shared" si="1176"/>
        <v>1</v>
      </c>
      <c r="Q6372" s="267">
        <f t="shared" si="1177"/>
        <v>2</v>
      </c>
      <c r="R6372" s="23">
        <f t="shared" si="1178"/>
        <v>1</v>
      </c>
      <c r="S6372" s="23">
        <f t="shared" si="1179"/>
        <v>0</v>
      </c>
      <c r="T6372" s="23" t="str">
        <f t="shared" si="1180"/>
        <v/>
      </c>
      <c r="U6372" t="str">
        <f t="shared" si="1181"/>
        <v>PA_Merce_2018p~Dem-precinct committeeman fredonia,(vote for not more than  1)</v>
      </c>
      <c r="V6372" s="40"/>
      <c r="X6372" s="43"/>
      <c r="Y6372" s="53"/>
      <c r="Z6372" s="53"/>
      <c r="AA6372"/>
      <c r="AB6372"/>
      <c r="AC6372" s="23"/>
      <c r="AD6372" s="23"/>
      <c r="AF6372" s="22"/>
      <c r="AM6372" s="371"/>
      <c r="AN6372" s="372"/>
      <c r="AT6372" s="20"/>
      <c r="AU6372" s="29"/>
      <c r="AV6372"/>
      <c r="AW6372"/>
    </row>
    <row r="6373" spans="1:49">
      <c r="A6373" s="30" t="s">
        <v>2628</v>
      </c>
      <c r="B6373" s="55" t="str">
        <f t="shared" si="1173"/>
        <v>PA_Merce_2018p</v>
      </c>
      <c r="D6373" s="55" t="str">
        <f t="shared" si="1174"/>
        <v>Dem-precinct committeeman french creek,(vote for not more than  1)</v>
      </c>
      <c r="E6373" s="55" t="s">
        <v>2574</v>
      </c>
      <c r="G6373" s="60">
        <v>1</v>
      </c>
      <c r="H6373"/>
      <c r="J6373" s="7"/>
      <c r="K6373" s="2"/>
      <c r="O6373">
        <f t="shared" si="1175"/>
        <v>0</v>
      </c>
      <c r="P6373" s="57">
        <f t="shared" si="1176"/>
        <v>1</v>
      </c>
      <c r="Q6373" s="267">
        <f t="shared" si="1177"/>
        <v>1</v>
      </c>
      <c r="R6373" s="23">
        <f t="shared" si="1178"/>
        <v>1</v>
      </c>
      <c r="S6373" s="23">
        <f t="shared" si="1179"/>
        <v>0</v>
      </c>
      <c r="T6373" s="23" t="str">
        <f t="shared" si="1180"/>
        <v/>
      </c>
      <c r="U6373" t="str">
        <f t="shared" si="1181"/>
        <v>PA_Merce_2018p~Dem-precinct committeeman french creek,(vote for not more than  1)</v>
      </c>
      <c r="V6373" s="40"/>
      <c r="X6373" s="43"/>
      <c r="Y6373" s="53"/>
      <c r="Z6373" s="53"/>
      <c r="AA6373"/>
      <c r="AB6373"/>
      <c r="AC6373" s="23"/>
      <c r="AD6373" s="23"/>
      <c r="AF6373" s="22"/>
      <c r="AM6373" s="371"/>
      <c r="AN6373" s="372"/>
      <c r="AT6373" s="20"/>
      <c r="AU6373" s="29"/>
      <c r="AV6373"/>
      <c r="AW6373"/>
    </row>
    <row r="6374" spans="1:49">
      <c r="A6374" s="30" t="s">
        <v>2629</v>
      </c>
      <c r="B6374" s="55" t="str">
        <f t="shared" si="1173"/>
        <v>PA_Merce_2018p</v>
      </c>
      <c r="D6374" s="55" t="str">
        <f t="shared" si="1174"/>
        <v>Dem-precinct committeeman greene,(vote for not more than  1)</v>
      </c>
      <c r="E6374" s="55" t="s">
        <v>2574</v>
      </c>
      <c r="G6374" s="60">
        <v>8</v>
      </c>
      <c r="H6374"/>
      <c r="J6374" s="7"/>
      <c r="K6374" s="2"/>
      <c r="O6374">
        <f t="shared" si="1175"/>
        <v>0</v>
      </c>
      <c r="P6374" s="57">
        <f t="shared" si="1176"/>
        <v>1</v>
      </c>
      <c r="Q6374" s="267">
        <f t="shared" si="1177"/>
        <v>8</v>
      </c>
      <c r="R6374" s="23">
        <f t="shared" si="1178"/>
        <v>1</v>
      </c>
      <c r="S6374" s="23">
        <f t="shared" si="1179"/>
        <v>0</v>
      </c>
      <c r="T6374" s="23" t="str">
        <f t="shared" si="1180"/>
        <v/>
      </c>
      <c r="U6374" t="str">
        <f t="shared" si="1181"/>
        <v>PA_Merce_2018p~Dem-precinct committeeman greene,(vote for not more than  1)</v>
      </c>
      <c r="V6374" s="40"/>
      <c r="X6374" s="43"/>
      <c r="Y6374" s="53"/>
      <c r="Z6374" s="53"/>
      <c r="AA6374"/>
      <c r="AB6374"/>
      <c r="AC6374" s="23"/>
      <c r="AD6374" s="23"/>
      <c r="AF6374" s="22"/>
      <c r="AM6374" s="371"/>
      <c r="AN6374" s="372"/>
      <c r="AT6374" s="20"/>
      <c r="AU6374" s="29"/>
      <c r="AV6374"/>
      <c r="AW6374"/>
    </row>
    <row r="6375" spans="1:49">
      <c r="A6375" s="30" t="s">
        <v>2630</v>
      </c>
      <c r="B6375" s="55" t="str">
        <f t="shared" si="1173"/>
        <v>PA_Merce_2018p</v>
      </c>
      <c r="D6375" s="55" t="str">
        <f t="shared" si="1174"/>
        <v>Dem-precinct committeeman greenville 1,(vote for not more than  1)</v>
      </c>
      <c r="E6375" s="55" t="s">
        <v>2574</v>
      </c>
      <c r="G6375" s="60">
        <v>0</v>
      </c>
      <c r="H6375"/>
      <c r="J6375" s="7"/>
      <c r="K6375" s="2"/>
      <c r="O6375">
        <f t="shared" si="1175"/>
        <v>0</v>
      </c>
      <c r="P6375" s="57">
        <f t="shared" si="1176"/>
        <v>1</v>
      </c>
      <c r="Q6375" s="267">
        <f t="shared" si="1177"/>
        <v>0</v>
      </c>
      <c r="R6375" s="23">
        <f t="shared" si="1178"/>
        <v>1</v>
      </c>
      <c r="S6375" s="23">
        <f t="shared" si="1179"/>
        <v>0</v>
      </c>
      <c r="T6375" s="23" t="str">
        <f t="shared" si="1180"/>
        <v/>
      </c>
      <c r="U6375" t="str">
        <f t="shared" si="1181"/>
        <v>PA_Merce_2018p~Dem-precinct committeeman greenville 1,(vote for not more than  1)</v>
      </c>
      <c r="V6375" s="40"/>
      <c r="X6375" s="43"/>
      <c r="Y6375" s="53"/>
      <c r="Z6375" s="53"/>
      <c r="AA6375"/>
      <c r="AB6375"/>
      <c r="AC6375" s="23"/>
      <c r="AD6375" s="23"/>
      <c r="AF6375" s="22"/>
      <c r="AM6375" s="371"/>
      <c r="AN6375" s="372"/>
      <c r="AT6375" s="20"/>
      <c r="AU6375" s="29"/>
      <c r="AV6375"/>
      <c r="AW6375"/>
    </row>
    <row r="6376" spans="1:49">
      <c r="A6376" s="30" t="s">
        <v>2631</v>
      </c>
      <c r="B6376" s="55" t="str">
        <f t="shared" ref="B6376:B6439" si="1182">LEFT(A6376,14)</f>
        <v>PA_Merce_2018p</v>
      </c>
      <c r="D6376" s="55" t="str">
        <f t="shared" ref="D6376:D6439" si="1183">MID(A6376,16,99)</f>
        <v>Dem-precinct committeeman greenville 2,(vote for not more than  1)</v>
      </c>
      <c r="E6376" s="55" t="s">
        <v>2574</v>
      </c>
      <c r="G6376" s="60">
        <v>1</v>
      </c>
      <c r="H6376"/>
      <c r="J6376" s="7"/>
      <c r="K6376" s="2"/>
      <c r="O6376">
        <f t="shared" si="1175"/>
        <v>0</v>
      </c>
      <c r="P6376" s="57">
        <f t="shared" si="1176"/>
        <v>1</v>
      </c>
      <c r="Q6376" s="267">
        <f t="shared" si="1177"/>
        <v>1</v>
      </c>
      <c r="R6376" s="23">
        <f t="shared" si="1178"/>
        <v>1</v>
      </c>
      <c r="S6376" s="23">
        <f t="shared" si="1179"/>
        <v>0</v>
      </c>
      <c r="T6376" s="23" t="str">
        <f t="shared" si="1180"/>
        <v/>
      </c>
      <c r="U6376" t="str">
        <f t="shared" si="1181"/>
        <v>PA_Merce_2018p~Dem-precinct committeeman greenville 2,(vote for not more than  1)</v>
      </c>
      <c r="V6376" s="40"/>
      <c r="X6376" s="43"/>
      <c r="Y6376" s="53"/>
      <c r="Z6376" s="53"/>
      <c r="AA6376"/>
      <c r="AB6376"/>
      <c r="AC6376" s="23"/>
      <c r="AD6376" s="23"/>
      <c r="AF6376" s="22"/>
      <c r="AM6376" s="371"/>
      <c r="AN6376" s="372"/>
      <c r="AT6376" s="20"/>
      <c r="AU6376" s="29"/>
      <c r="AV6376"/>
      <c r="AW6376"/>
    </row>
    <row r="6377" spans="1:49">
      <c r="A6377" s="30" t="s">
        <v>2632</v>
      </c>
      <c r="B6377" s="55" t="str">
        <f t="shared" si="1182"/>
        <v>PA_Merce_2018p</v>
      </c>
      <c r="D6377" s="55" t="str">
        <f t="shared" si="1183"/>
        <v>Dem-precinct committeeman greenville 3,(vote for not more than  1)</v>
      </c>
      <c r="E6377" s="55" t="s">
        <v>2574</v>
      </c>
      <c r="G6377" s="60">
        <v>3</v>
      </c>
      <c r="H6377"/>
      <c r="J6377" s="7"/>
      <c r="K6377" s="2"/>
      <c r="O6377">
        <f t="shared" si="1175"/>
        <v>0</v>
      </c>
      <c r="P6377" s="57">
        <f t="shared" si="1176"/>
        <v>1</v>
      </c>
      <c r="Q6377" s="267">
        <f t="shared" si="1177"/>
        <v>3</v>
      </c>
      <c r="R6377" s="23">
        <f t="shared" si="1178"/>
        <v>1</v>
      </c>
      <c r="S6377" s="23">
        <f t="shared" si="1179"/>
        <v>0</v>
      </c>
      <c r="T6377" s="23" t="str">
        <f t="shared" si="1180"/>
        <v/>
      </c>
      <c r="U6377" t="str">
        <f t="shared" si="1181"/>
        <v>PA_Merce_2018p~Dem-precinct committeeman greenville 3,(vote for not more than  1)</v>
      </c>
      <c r="V6377" s="40"/>
      <c r="X6377" s="43"/>
      <c r="Y6377" s="53"/>
      <c r="Z6377" s="53"/>
      <c r="AA6377"/>
      <c r="AB6377"/>
      <c r="AC6377" s="23"/>
      <c r="AD6377" s="23"/>
      <c r="AF6377" s="22"/>
      <c r="AM6377" s="371"/>
      <c r="AN6377" s="372"/>
      <c r="AT6377" s="20"/>
      <c r="AU6377" s="29"/>
      <c r="AV6377"/>
      <c r="AW6377"/>
    </row>
    <row r="6378" spans="1:49">
      <c r="A6378" s="30" t="s">
        <v>2633</v>
      </c>
      <c r="B6378" s="55" t="str">
        <f t="shared" si="1182"/>
        <v>PA_Merce_2018p</v>
      </c>
      <c r="D6378" s="55" t="str">
        <f t="shared" si="1183"/>
        <v>Dem-precinct committeeman greenville 4,(vote for not more than  1)</v>
      </c>
      <c r="E6378" s="55" t="s">
        <v>2574</v>
      </c>
      <c r="G6378" s="60">
        <v>2</v>
      </c>
      <c r="H6378"/>
      <c r="J6378" s="7"/>
      <c r="K6378" s="2"/>
      <c r="O6378">
        <f t="shared" si="1175"/>
        <v>0</v>
      </c>
      <c r="P6378" s="57">
        <f t="shared" si="1176"/>
        <v>1</v>
      </c>
      <c r="Q6378" s="267">
        <f t="shared" si="1177"/>
        <v>2</v>
      </c>
      <c r="R6378" s="23">
        <f t="shared" si="1178"/>
        <v>1</v>
      </c>
      <c r="S6378" s="23">
        <f t="shared" si="1179"/>
        <v>0</v>
      </c>
      <c r="T6378" s="23" t="str">
        <f t="shared" si="1180"/>
        <v/>
      </c>
      <c r="U6378" t="str">
        <f t="shared" si="1181"/>
        <v>PA_Merce_2018p~Dem-precinct committeeman greenville 4,(vote for not more than  1)</v>
      </c>
      <c r="V6378" s="40"/>
      <c r="X6378" s="43"/>
      <c r="Y6378" s="53"/>
      <c r="Z6378" s="53"/>
      <c r="AA6378"/>
      <c r="AB6378"/>
      <c r="AC6378" s="23"/>
      <c r="AD6378" s="23"/>
      <c r="AF6378" s="22"/>
      <c r="AM6378" s="371"/>
      <c r="AN6378" s="372"/>
      <c r="AT6378" s="20"/>
      <c r="AU6378" s="29"/>
      <c r="AV6378"/>
      <c r="AW6378"/>
    </row>
    <row r="6379" spans="1:49">
      <c r="A6379" s="30" t="s">
        <v>2634</v>
      </c>
      <c r="B6379" s="55" t="str">
        <f t="shared" si="1182"/>
        <v>PA_Merce_2018p</v>
      </c>
      <c r="D6379" s="55" t="str">
        <f t="shared" si="1183"/>
        <v>Dem-precinct committeeman grove city 1,(vote for not more than  1)</v>
      </c>
      <c r="E6379" s="55" t="s">
        <v>2574</v>
      </c>
      <c r="G6379" s="60">
        <v>3</v>
      </c>
      <c r="H6379"/>
      <c r="J6379" s="7"/>
      <c r="K6379" s="2"/>
      <c r="O6379">
        <f t="shared" si="1175"/>
        <v>0</v>
      </c>
      <c r="P6379" s="57">
        <f t="shared" si="1176"/>
        <v>1</v>
      </c>
      <c r="Q6379" s="267">
        <f t="shared" si="1177"/>
        <v>3</v>
      </c>
      <c r="R6379" s="23">
        <f t="shared" si="1178"/>
        <v>1</v>
      </c>
      <c r="S6379" s="23">
        <f t="shared" si="1179"/>
        <v>0</v>
      </c>
      <c r="T6379" s="23" t="str">
        <f t="shared" si="1180"/>
        <v/>
      </c>
      <c r="U6379" t="str">
        <f t="shared" si="1181"/>
        <v>PA_Merce_2018p~Dem-precinct committeeman grove city 1,(vote for not more than  1)</v>
      </c>
      <c r="V6379" s="40"/>
      <c r="X6379" s="43"/>
      <c r="Y6379" s="53"/>
      <c r="Z6379" s="53"/>
      <c r="AA6379"/>
      <c r="AB6379"/>
      <c r="AC6379" s="23"/>
      <c r="AD6379" s="23"/>
      <c r="AF6379" s="22"/>
      <c r="AM6379" s="371"/>
      <c r="AN6379" s="372"/>
      <c r="AT6379" s="20"/>
      <c r="AU6379" s="29"/>
      <c r="AV6379"/>
      <c r="AW6379"/>
    </row>
    <row r="6380" spans="1:49">
      <c r="A6380" s="30" t="s">
        <v>2635</v>
      </c>
      <c r="B6380" s="55" t="str">
        <f t="shared" si="1182"/>
        <v>PA_Merce_2018p</v>
      </c>
      <c r="D6380" s="55" t="str">
        <f t="shared" si="1183"/>
        <v>Dem-precinct committeeman grove city 2,(vote for not more than  1)</v>
      </c>
      <c r="E6380" s="55" t="s">
        <v>2574</v>
      </c>
      <c r="G6380" s="60">
        <v>1</v>
      </c>
      <c r="H6380"/>
      <c r="J6380" s="7"/>
      <c r="K6380" s="2"/>
      <c r="O6380">
        <f t="shared" si="1175"/>
        <v>0</v>
      </c>
      <c r="P6380" s="57">
        <f t="shared" si="1176"/>
        <v>1</v>
      </c>
      <c r="Q6380" s="267">
        <f t="shared" si="1177"/>
        <v>1</v>
      </c>
      <c r="R6380" s="23">
        <f t="shared" si="1178"/>
        <v>1</v>
      </c>
      <c r="S6380" s="23">
        <f t="shared" si="1179"/>
        <v>0</v>
      </c>
      <c r="T6380" s="23" t="str">
        <f t="shared" si="1180"/>
        <v/>
      </c>
      <c r="U6380" t="str">
        <f t="shared" si="1181"/>
        <v>PA_Merce_2018p~Dem-precinct committeeman grove city 2,(vote for not more than  1)</v>
      </c>
      <c r="V6380" s="40"/>
      <c r="X6380" s="43"/>
      <c r="Y6380" s="53"/>
      <c r="Z6380" s="53"/>
      <c r="AA6380"/>
      <c r="AB6380"/>
      <c r="AC6380" s="23"/>
      <c r="AD6380" s="23"/>
      <c r="AF6380" s="22"/>
      <c r="AM6380" s="371"/>
      <c r="AN6380" s="372"/>
      <c r="AT6380" s="20"/>
      <c r="AU6380" s="29"/>
      <c r="AV6380"/>
      <c r="AW6380"/>
    </row>
    <row r="6381" spans="1:49">
      <c r="A6381" s="30" t="s">
        <v>2636</v>
      </c>
      <c r="B6381" s="55" t="str">
        <f t="shared" si="1182"/>
        <v>PA_Merce_2018p</v>
      </c>
      <c r="D6381" s="55" t="str">
        <f t="shared" si="1183"/>
        <v>Dem-precinct committeeman grove city 3,(vote for not more than  1)</v>
      </c>
      <c r="E6381" s="55" t="s">
        <v>2637</v>
      </c>
      <c r="G6381" s="60">
        <v>46</v>
      </c>
      <c r="H6381"/>
      <c r="J6381" s="7"/>
      <c r="K6381" s="2"/>
      <c r="O6381">
        <f t="shared" si="1175"/>
        <v>1</v>
      </c>
      <c r="P6381" s="57">
        <f t="shared" si="1176"/>
        <v>1</v>
      </c>
      <c r="Q6381" s="267">
        <f t="shared" si="1177"/>
        <v>46</v>
      </c>
      <c r="R6381" s="23">
        <f t="shared" si="1178"/>
        <v>46</v>
      </c>
      <c r="S6381" s="23">
        <f t="shared" si="1179"/>
        <v>0</v>
      </c>
      <c r="T6381" s="23" t="str">
        <f t="shared" si="1180"/>
        <v/>
      </c>
      <c r="U6381" t="str">
        <f t="shared" si="1181"/>
        <v>PA_Merce_2018p~Dem-precinct committeeman grove city 3,(vote for not more than  1)</v>
      </c>
      <c r="V6381" s="40"/>
      <c r="X6381" s="43"/>
      <c r="Y6381" s="53"/>
      <c r="Z6381" s="53"/>
      <c r="AA6381"/>
      <c r="AB6381"/>
      <c r="AC6381" s="23"/>
      <c r="AD6381" s="23"/>
      <c r="AF6381" s="22"/>
      <c r="AM6381" s="371"/>
      <c r="AN6381" s="372"/>
      <c r="AT6381" s="20"/>
      <c r="AU6381" s="29"/>
      <c r="AV6381"/>
      <c r="AW6381"/>
    </row>
    <row r="6382" spans="1:49">
      <c r="A6382" s="30" t="s">
        <v>2636</v>
      </c>
      <c r="B6382" s="55" t="str">
        <f t="shared" si="1182"/>
        <v>PA_Merce_2018p</v>
      </c>
      <c r="D6382" s="55" t="str">
        <f t="shared" si="1183"/>
        <v>Dem-precinct committeeman grove city 3,(vote for not more than  1)</v>
      </c>
      <c r="E6382" s="55" t="s">
        <v>2574</v>
      </c>
      <c r="G6382" s="60">
        <v>0</v>
      </c>
      <c r="H6382"/>
      <c r="J6382" s="7"/>
      <c r="K6382" s="2"/>
      <c r="O6382">
        <f t="shared" si="1175"/>
        <v>-1</v>
      </c>
      <c r="P6382" s="57">
        <f t="shared" si="1176"/>
        <v>1</v>
      </c>
      <c r="Q6382" s="267">
        <f t="shared" si="1177"/>
        <v>0</v>
      </c>
      <c r="R6382" s="23">
        <f t="shared" si="1178"/>
        <v>1</v>
      </c>
      <c r="S6382" s="23">
        <f t="shared" si="1179"/>
        <v>0</v>
      </c>
      <c r="T6382" s="23" t="str">
        <f t="shared" si="1180"/>
        <v/>
      </c>
      <c r="U6382" t="str">
        <f t="shared" si="1181"/>
        <v/>
      </c>
      <c r="V6382" s="40"/>
      <c r="X6382" s="43"/>
      <c r="Y6382" s="53"/>
      <c r="Z6382" s="53"/>
      <c r="AA6382"/>
      <c r="AB6382"/>
      <c r="AC6382" s="23"/>
      <c r="AD6382" s="23"/>
      <c r="AF6382" s="22"/>
      <c r="AM6382" s="371"/>
      <c r="AN6382" s="372"/>
      <c r="AT6382" s="20"/>
      <c r="AU6382" s="29"/>
      <c r="AV6382"/>
      <c r="AW6382"/>
    </row>
    <row r="6383" spans="1:49">
      <c r="A6383" s="30" t="s">
        <v>2638</v>
      </c>
      <c r="B6383" s="55" t="str">
        <f t="shared" si="1182"/>
        <v>PA_Merce_2018p</v>
      </c>
      <c r="D6383" s="55" t="str">
        <f t="shared" si="1183"/>
        <v>Dem-precinct committeeman grove city 4,(vote for not more than  1)</v>
      </c>
      <c r="E6383" s="55" t="s">
        <v>2574</v>
      </c>
      <c r="G6383" s="60">
        <v>6</v>
      </c>
      <c r="H6383"/>
      <c r="J6383" s="7"/>
      <c r="K6383" s="2"/>
      <c r="O6383">
        <f t="shared" si="1175"/>
        <v>0</v>
      </c>
      <c r="P6383" s="57">
        <f t="shared" si="1176"/>
        <v>1</v>
      </c>
      <c r="Q6383" s="267">
        <f t="shared" si="1177"/>
        <v>6</v>
      </c>
      <c r="R6383" s="23">
        <f t="shared" si="1178"/>
        <v>1</v>
      </c>
      <c r="S6383" s="23">
        <f t="shared" si="1179"/>
        <v>0</v>
      </c>
      <c r="T6383" s="23" t="str">
        <f t="shared" si="1180"/>
        <v/>
      </c>
      <c r="U6383" t="str">
        <f t="shared" si="1181"/>
        <v>PA_Merce_2018p~Dem-precinct committeeman grove city 4,(vote for not more than  1)</v>
      </c>
      <c r="V6383" s="40"/>
      <c r="X6383" s="43"/>
      <c r="Y6383" s="53"/>
      <c r="Z6383" s="53"/>
      <c r="AA6383"/>
      <c r="AB6383"/>
      <c r="AC6383" s="23"/>
      <c r="AD6383" s="23"/>
      <c r="AF6383" s="22"/>
      <c r="AM6383" s="371"/>
      <c r="AN6383" s="372"/>
      <c r="AT6383" s="20"/>
      <c r="AU6383" s="29"/>
      <c r="AV6383"/>
      <c r="AW6383"/>
    </row>
    <row r="6384" spans="1:49">
      <c r="A6384" s="30" t="s">
        <v>2639</v>
      </c>
      <c r="B6384" s="55" t="str">
        <f t="shared" si="1182"/>
        <v>PA_Merce_2018p</v>
      </c>
      <c r="D6384" s="55" t="str">
        <f t="shared" si="1183"/>
        <v>Dem-precinct committeeman grove city 5,(vote for not more than  1)</v>
      </c>
      <c r="E6384" s="55" t="s">
        <v>2640</v>
      </c>
      <c r="G6384" s="60">
        <v>62</v>
      </c>
      <c r="H6384"/>
      <c r="J6384" s="7"/>
      <c r="K6384" s="2"/>
      <c r="O6384">
        <f t="shared" si="1175"/>
        <v>1</v>
      </c>
      <c r="P6384" s="57">
        <f t="shared" si="1176"/>
        <v>1</v>
      </c>
      <c r="Q6384" s="267">
        <f t="shared" si="1177"/>
        <v>62</v>
      </c>
      <c r="R6384" s="23">
        <f t="shared" si="1178"/>
        <v>62</v>
      </c>
      <c r="S6384" s="23">
        <f t="shared" si="1179"/>
        <v>0</v>
      </c>
      <c r="T6384" s="23" t="str">
        <f t="shared" si="1180"/>
        <v/>
      </c>
      <c r="U6384" t="str">
        <f t="shared" si="1181"/>
        <v>PA_Merce_2018p~Dem-precinct committeeman grove city 5,(vote for not more than  1)</v>
      </c>
      <c r="V6384" s="40"/>
      <c r="X6384" s="43"/>
      <c r="Y6384" s="53"/>
      <c r="Z6384" s="53"/>
      <c r="AA6384"/>
      <c r="AB6384"/>
      <c r="AC6384" s="23"/>
      <c r="AD6384" s="23"/>
      <c r="AF6384" s="22"/>
      <c r="AM6384" s="371"/>
      <c r="AN6384" s="372"/>
      <c r="AT6384" s="20"/>
      <c r="AU6384" s="29"/>
      <c r="AV6384"/>
      <c r="AW6384"/>
    </row>
    <row r="6385" spans="1:49">
      <c r="A6385" s="30" t="s">
        <v>2639</v>
      </c>
      <c r="B6385" s="55" t="str">
        <f t="shared" si="1182"/>
        <v>PA_Merce_2018p</v>
      </c>
      <c r="D6385" s="55" t="str">
        <f t="shared" si="1183"/>
        <v>Dem-precinct committeeman grove city 5,(vote for not more than  1)</v>
      </c>
      <c r="E6385" s="55" t="s">
        <v>2574</v>
      </c>
      <c r="G6385" s="60">
        <v>0</v>
      </c>
      <c r="H6385"/>
      <c r="J6385" s="7"/>
      <c r="K6385" s="2"/>
      <c r="O6385">
        <f t="shared" si="1175"/>
        <v>-1</v>
      </c>
      <c r="P6385" s="57">
        <f t="shared" si="1176"/>
        <v>1</v>
      </c>
      <c r="Q6385" s="267">
        <f t="shared" si="1177"/>
        <v>0</v>
      </c>
      <c r="R6385" s="23">
        <f t="shared" si="1178"/>
        <v>1</v>
      </c>
      <c r="S6385" s="23">
        <f t="shared" si="1179"/>
        <v>0</v>
      </c>
      <c r="T6385" s="23" t="str">
        <f t="shared" si="1180"/>
        <v/>
      </c>
      <c r="U6385" t="str">
        <f t="shared" si="1181"/>
        <v/>
      </c>
      <c r="V6385" s="40"/>
      <c r="X6385" s="43"/>
      <c r="Y6385" s="53"/>
      <c r="Z6385" s="53"/>
      <c r="AA6385"/>
      <c r="AB6385"/>
      <c r="AC6385" s="23"/>
      <c r="AD6385" s="23"/>
      <c r="AF6385" s="22"/>
      <c r="AM6385" s="371"/>
      <c r="AN6385" s="372"/>
      <c r="AT6385" s="20"/>
      <c r="AU6385" s="29"/>
      <c r="AV6385"/>
      <c r="AW6385"/>
    </row>
    <row r="6386" spans="1:49">
      <c r="A6386" s="30" t="s">
        <v>2641</v>
      </c>
      <c r="B6386" s="55" t="str">
        <f t="shared" si="1182"/>
        <v>PA_Merce_2018p</v>
      </c>
      <c r="D6386" s="55" t="str">
        <f t="shared" si="1183"/>
        <v>Dem-precinct committeeman hempfield 1,(vote for not more than  1)</v>
      </c>
      <c r="E6386" s="55" t="s">
        <v>2642</v>
      </c>
      <c r="G6386" s="60">
        <v>26</v>
      </c>
      <c r="H6386"/>
      <c r="J6386" s="7"/>
      <c r="K6386" s="2"/>
      <c r="O6386">
        <f t="shared" si="1175"/>
        <v>1</v>
      </c>
      <c r="P6386" s="57">
        <f t="shared" si="1176"/>
        <v>1</v>
      </c>
      <c r="Q6386" s="267">
        <f t="shared" si="1177"/>
        <v>26</v>
      </c>
      <c r="R6386" s="23">
        <f t="shared" si="1178"/>
        <v>26</v>
      </c>
      <c r="S6386" s="23">
        <f t="shared" si="1179"/>
        <v>0</v>
      </c>
      <c r="T6386" s="23" t="str">
        <f t="shared" si="1180"/>
        <v/>
      </c>
      <c r="U6386" t="str">
        <f t="shared" si="1181"/>
        <v>PA_Merce_2018p~Dem-precinct committeeman hempfield 1,(vote for not more than  1)</v>
      </c>
      <c r="V6386" s="40"/>
      <c r="X6386" s="43"/>
      <c r="Y6386" s="53"/>
      <c r="Z6386" s="53"/>
      <c r="AA6386"/>
      <c r="AB6386"/>
      <c r="AC6386" s="23"/>
      <c r="AD6386" s="23"/>
      <c r="AF6386" s="22"/>
      <c r="AM6386" s="371"/>
      <c r="AN6386" s="372"/>
      <c r="AT6386" s="20"/>
      <c r="AU6386" s="29"/>
      <c r="AV6386"/>
      <c r="AW6386"/>
    </row>
    <row r="6387" spans="1:49">
      <c r="A6387" s="30" t="s">
        <v>2641</v>
      </c>
      <c r="B6387" s="55" t="str">
        <f t="shared" si="1182"/>
        <v>PA_Merce_2018p</v>
      </c>
      <c r="D6387" s="55" t="str">
        <f t="shared" si="1183"/>
        <v>Dem-precinct committeeman hempfield 1,(vote for not more than  1)</v>
      </c>
      <c r="E6387" s="55" t="s">
        <v>2574</v>
      </c>
      <c r="G6387" s="60">
        <v>0</v>
      </c>
      <c r="H6387"/>
      <c r="J6387" s="7"/>
      <c r="K6387" s="2"/>
      <c r="O6387">
        <f t="shared" si="1175"/>
        <v>-1</v>
      </c>
      <c r="P6387" s="57">
        <f t="shared" si="1176"/>
        <v>1</v>
      </c>
      <c r="Q6387" s="267">
        <f t="shared" si="1177"/>
        <v>0</v>
      </c>
      <c r="R6387" s="23">
        <f t="shared" si="1178"/>
        <v>1</v>
      </c>
      <c r="S6387" s="23">
        <f t="shared" si="1179"/>
        <v>0</v>
      </c>
      <c r="T6387" s="23" t="str">
        <f t="shared" si="1180"/>
        <v/>
      </c>
      <c r="U6387" t="str">
        <f t="shared" si="1181"/>
        <v/>
      </c>
      <c r="V6387" s="40"/>
      <c r="X6387" s="43"/>
      <c r="Y6387" s="53"/>
      <c r="Z6387" s="53"/>
      <c r="AA6387"/>
      <c r="AB6387"/>
      <c r="AC6387" s="23"/>
      <c r="AD6387" s="23"/>
      <c r="AF6387" s="22"/>
      <c r="AM6387" s="371"/>
      <c r="AN6387" s="372"/>
      <c r="AT6387" s="20"/>
      <c r="AU6387" s="29"/>
      <c r="AV6387"/>
      <c r="AW6387"/>
    </row>
    <row r="6388" spans="1:49">
      <c r="A6388" s="30" t="s">
        <v>2643</v>
      </c>
      <c r="B6388" s="55" t="str">
        <f t="shared" si="1182"/>
        <v>PA_Merce_2018p</v>
      </c>
      <c r="D6388" s="55" t="str">
        <f t="shared" si="1183"/>
        <v>Dem-precinct committeeman hempfield 2,(vote for not more than  1)</v>
      </c>
      <c r="E6388" s="55" t="s">
        <v>2574</v>
      </c>
      <c r="G6388" s="60">
        <v>1</v>
      </c>
      <c r="H6388"/>
      <c r="J6388" s="7"/>
      <c r="K6388" s="2"/>
      <c r="O6388">
        <f t="shared" si="1175"/>
        <v>0</v>
      </c>
      <c r="P6388" s="57">
        <f t="shared" si="1176"/>
        <v>1</v>
      </c>
      <c r="Q6388" s="267">
        <f t="shared" si="1177"/>
        <v>1</v>
      </c>
      <c r="R6388" s="23">
        <f t="shared" si="1178"/>
        <v>1</v>
      </c>
      <c r="S6388" s="23">
        <f t="shared" si="1179"/>
        <v>0</v>
      </c>
      <c r="T6388" s="23" t="str">
        <f t="shared" si="1180"/>
        <v/>
      </c>
      <c r="U6388" t="str">
        <f t="shared" si="1181"/>
        <v>PA_Merce_2018p~Dem-precinct committeeman hempfield 2,(vote for not more than  1)</v>
      </c>
      <c r="V6388" s="40"/>
      <c r="X6388" s="43"/>
      <c r="Y6388" s="53"/>
      <c r="Z6388" s="53"/>
      <c r="AA6388"/>
      <c r="AB6388"/>
      <c r="AC6388" s="23"/>
      <c r="AD6388" s="23"/>
      <c r="AF6388" s="22"/>
      <c r="AM6388" s="371"/>
      <c r="AN6388" s="372"/>
      <c r="AT6388" s="20"/>
      <c r="AU6388" s="29"/>
      <c r="AV6388"/>
      <c r="AW6388"/>
    </row>
    <row r="6389" spans="1:49">
      <c r="A6389" s="30" t="s">
        <v>2644</v>
      </c>
      <c r="B6389" s="55" t="str">
        <f t="shared" si="1182"/>
        <v>PA_Merce_2018p</v>
      </c>
      <c r="D6389" s="55" t="str">
        <f t="shared" si="1183"/>
        <v>Dem-precinct committeeman hempfield 3,(vote for not more than  1)</v>
      </c>
      <c r="E6389" s="55" t="s">
        <v>2574</v>
      </c>
      <c r="G6389" s="60">
        <v>0</v>
      </c>
      <c r="H6389"/>
      <c r="J6389" s="7"/>
      <c r="K6389" s="2"/>
      <c r="O6389">
        <f t="shared" si="1175"/>
        <v>0</v>
      </c>
      <c r="P6389" s="57">
        <f t="shared" si="1176"/>
        <v>1</v>
      </c>
      <c r="Q6389" s="267">
        <f t="shared" si="1177"/>
        <v>0</v>
      </c>
      <c r="R6389" s="23">
        <f t="shared" si="1178"/>
        <v>1</v>
      </c>
      <c r="S6389" s="23">
        <f t="shared" si="1179"/>
        <v>0</v>
      </c>
      <c r="T6389" s="23" t="str">
        <f t="shared" si="1180"/>
        <v/>
      </c>
      <c r="U6389" t="str">
        <f t="shared" si="1181"/>
        <v>PA_Merce_2018p~Dem-precinct committeeman hempfield 3,(vote for not more than  1)</v>
      </c>
      <c r="V6389" s="40"/>
      <c r="X6389" s="43"/>
      <c r="Y6389" s="53"/>
      <c r="Z6389" s="53"/>
      <c r="AA6389"/>
      <c r="AB6389"/>
      <c r="AC6389" s="23"/>
      <c r="AD6389" s="23"/>
      <c r="AF6389" s="22"/>
      <c r="AM6389" s="371"/>
      <c r="AN6389" s="372"/>
      <c r="AT6389" s="20"/>
      <c r="AU6389" s="29"/>
      <c r="AV6389"/>
      <c r="AW6389"/>
    </row>
    <row r="6390" spans="1:49">
      <c r="A6390" s="30" t="s">
        <v>2645</v>
      </c>
      <c r="B6390" s="55" t="str">
        <f t="shared" si="1182"/>
        <v>PA_Merce_2018p</v>
      </c>
      <c r="D6390" s="55" t="str">
        <f t="shared" si="1183"/>
        <v>Dem-precinct committeeman hermitage ne-1,(vote for not more than  1)</v>
      </c>
      <c r="E6390" s="55" t="s">
        <v>2646</v>
      </c>
      <c r="G6390" s="60">
        <v>73</v>
      </c>
      <c r="H6390"/>
      <c r="J6390" s="7"/>
      <c r="K6390" s="2"/>
      <c r="O6390">
        <f t="shared" si="1175"/>
        <v>1</v>
      </c>
      <c r="P6390" s="57">
        <f t="shared" si="1176"/>
        <v>1</v>
      </c>
      <c r="Q6390" s="267">
        <f t="shared" si="1177"/>
        <v>73</v>
      </c>
      <c r="R6390" s="23">
        <f t="shared" si="1178"/>
        <v>73</v>
      </c>
      <c r="S6390" s="23">
        <f t="shared" si="1179"/>
        <v>0</v>
      </c>
      <c r="T6390" s="23" t="str">
        <f t="shared" si="1180"/>
        <v/>
      </c>
      <c r="U6390" t="str">
        <f t="shared" si="1181"/>
        <v>PA_Merce_2018p~Dem-precinct committeeman hermitage ne-1,(vote for not more than  1)</v>
      </c>
      <c r="V6390" s="40"/>
      <c r="X6390" s="43"/>
      <c r="Y6390" s="53"/>
      <c r="Z6390" s="53"/>
      <c r="AA6390"/>
      <c r="AB6390"/>
      <c r="AC6390" s="23"/>
      <c r="AD6390" s="23"/>
      <c r="AF6390" s="22"/>
      <c r="AM6390" s="371"/>
      <c r="AN6390" s="372"/>
      <c r="AT6390" s="20"/>
      <c r="AU6390" s="29"/>
      <c r="AV6390"/>
      <c r="AW6390"/>
    </row>
    <row r="6391" spans="1:49">
      <c r="A6391" s="30" t="s">
        <v>2645</v>
      </c>
      <c r="B6391" s="55" t="str">
        <f t="shared" si="1182"/>
        <v>PA_Merce_2018p</v>
      </c>
      <c r="D6391" s="55" t="str">
        <f t="shared" si="1183"/>
        <v>Dem-precinct committeeman hermitage ne-1,(vote for not more than  1)</v>
      </c>
      <c r="E6391" s="55" t="s">
        <v>2574</v>
      </c>
      <c r="G6391" s="60">
        <v>0</v>
      </c>
      <c r="H6391"/>
      <c r="J6391" s="7"/>
      <c r="K6391" s="2"/>
      <c r="O6391">
        <f t="shared" si="1175"/>
        <v>-1</v>
      </c>
      <c r="P6391" s="57">
        <f t="shared" si="1176"/>
        <v>1</v>
      </c>
      <c r="Q6391" s="267">
        <f t="shared" si="1177"/>
        <v>0</v>
      </c>
      <c r="R6391" s="23">
        <f t="shared" si="1178"/>
        <v>1</v>
      </c>
      <c r="S6391" s="23">
        <f t="shared" si="1179"/>
        <v>0</v>
      </c>
      <c r="T6391" s="23" t="str">
        <f t="shared" si="1180"/>
        <v/>
      </c>
      <c r="U6391" t="str">
        <f t="shared" si="1181"/>
        <v/>
      </c>
      <c r="V6391" s="40"/>
      <c r="X6391" s="43"/>
      <c r="Y6391" s="53"/>
      <c r="Z6391" s="53"/>
      <c r="AA6391"/>
      <c r="AB6391"/>
      <c r="AC6391" s="23"/>
      <c r="AD6391" s="23"/>
      <c r="AF6391" s="22"/>
      <c r="AM6391" s="371"/>
      <c r="AN6391" s="372"/>
      <c r="AT6391" s="20"/>
      <c r="AU6391" s="29"/>
      <c r="AV6391"/>
      <c r="AW6391"/>
    </row>
    <row r="6392" spans="1:49">
      <c r="A6392" s="30" t="s">
        <v>2647</v>
      </c>
      <c r="B6392" s="55" t="str">
        <f t="shared" si="1182"/>
        <v>PA_Merce_2018p</v>
      </c>
      <c r="D6392" s="55" t="str">
        <f t="shared" si="1183"/>
        <v>Dem-precinct committeeman hermitage ne-2,(vote for not more than  1)</v>
      </c>
      <c r="E6392" s="55" t="s">
        <v>2574</v>
      </c>
      <c r="G6392" s="60">
        <v>2</v>
      </c>
      <c r="H6392"/>
      <c r="J6392" s="7"/>
      <c r="K6392" s="2"/>
      <c r="O6392">
        <f t="shared" si="1175"/>
        <v>0</v>
      </c>
      <c r="P6392" s="57">
        <f t="shared" si="1176"/>
        <v>1</v>
      </c>
      <c r="Q6392" s="267">
        <f t="shared" si="1177"/>
        <v>2</v>
      </c>
      <c r="R6392" s="23">
        <f t="shared" si="1178"/>
        <v>1</v>
      </c>
      <c r="S6392" s="23">
        <f t="shared" si="1179"/>
        <v>0</v>
      </c>
      <c r="T6392" s="23" t="str">
        <f t="shared" si="1180"/>
        <v/>
      </c>
      <c r="U6392" t="str">
        <f t="shared" si="1181"/>
        <v>PA_Merce_2018p~Dem-precinct committeeman hermitage ne-2,(vote for not more than  1)</v>
      </c>
      <c r="V6392" s="40"/>
      <c r="X6392" s="43"/>
      <c r="Y6392" s="53"/>
      <c r="Z6392" s="53"/>
      <c r="AA6392"/>
      <c r="AB6392"/>
      <c r="AC6392" s="23"/>
      <c r="AD6392" s="23"/>
      <c r="AF6392" s="22"/>
      <c r="AM6392" s="371"/>
      <c r="AN6392" s="372"/>
      <c r="AT6392" s="20"/>
      <c r="AU6392" s="29"/>
      <c r="AV6392"/>
      <c r="AW6392"/>
    </row>
    <row r="6393" spans="1:49">
      <c r="A6393" s="30" t="s">
        <v>2648</v>
      </c>
      <c r="B6393" s="55" t="str">
        <f t="shared" si="1182"/>
        <v>PA_Merce_2018p</v>
      </c>
      <c r="D6393" s="55" t="str">
        <f t="shared" si="1183"/>
        <v>Dem-precinct committeeman hermitage nw-1,(vote for not more than  1)</v>
      </c>
      <c r="E6393" s="55" t="s">
        <v>2574</v>
      </c>
      <c r="G6393" s="60">
        <v>4</v>
      </c>
      <c r="H6393"/>
      <c r="J6393" s="7"/>
      <c r="K6393" s="2"/>
      <c r="O6393">
        <f t="shared" si="1175"/>
        <v>0</v>
      </c>
      <c r="P6393" s="57">
        <f t="shared" si="1176"/>
        <v>1</v>
      </c>
      <c r="Q6393" s="267">
        <f t="shared" si="1177"/>
        <v>4</v>
      </c>
      <c r="R6393" s="23">
        <f t="shared" si="1178"/>
        <v>1</v>
      </c>
      <c r="S6393" s="23">
        <f t="shared" si="1179"/>
        <v>0</v>
      </c>
      <c r="T6393" s="23" t="str">
        <f t="shared" si="1180"/>
        <v/>
      </c>
      <c r="U6393" t="str">
        <f t="shared" si="1181"/>
        <v>PA_Merce_2018p~Dem-precinct committeeman hermitage nw-1,(vote for not more than  1)</v>
      </c>
      <c r="V6393" s="40"/>
      <c r="X6393" s="43"/>
      <c r="Y6393" s="53"/>
      <c r="Z6393" s="53"/>
      <c r="AA6393"/>
      <c r="AB6393"/>
      <c r="AC6393" s="23"/>
      <c r="AD6393" s="23"/>
      <c r="AF6393" s="22"/>
      <c r="AM6393" s="371"/>
      <c r="AN6393" s="372"/>
      <c r="AT6393" s="20"/>
      <c r="AU6393" s="29"/>
      <c r="AV6393"/>
      <c r="AW6393"/>
    </row>
    <row r="6394" spans="1:49">
      <c r="A6394" s="30" t="s">
        <v>2649</v>
      </c>
      <c r="B6394" s="55" t="str">
        <f t="shared" si="1182"/>
        <v>PA_Merce_2018p</v>
      </c>
      <c r="D6394" s="55" t="str">
        <f t="shared" si="1183"/>
        <v>Dem-precinct committeeman hermitage nw-2,(vote for not more than  1)</v>
      </c>
      <c r="E6394" s="55" t="s">
        <v>2650</v>
      </c>
      <c r="G6394" s="60">
        <v>105</v>
      </c>
      <c r="H6394"/>
      <c r="J6394" s="7"/>
      <c r="K6394" s="2"/>
      <c r="O6394">
        <f t="shared" si="1175"/>
        <v>1</v>
      </c>
      <c r="P6394" s="57">
        <f t="shared" si="1176"/>
        <v>1</v>
      </c>
      <c r="Q6394" s="267">
        <f t="shared" si="1177"/>
        <v>105</v>
      </c>
      <c r="R6394" s="23">
        <f t="shared" si="1178"/>
        <v>105</v>
      </c>
      <c r="S6394" s="23">
        <f t="shared" si="1179"/>
        <v>0</v>
      </c>
      <c r="T6394" s="23" t="str">
        <f t="shared" si="1180"/>
        <v/>
      </c>
      <c r="U6394" t="str">
        <f t="shared" si="1181"/>
        <v>PA_Merce_2018p~Dem-precinct committeeman hermitage nw-2,(vote for not more than  1)</v>
      </c>
      <c r="V6394" s="40"/>
      <c r="X6394" s="43"/>
      <c r="Y6394" s="53"/>
      <c r="Z6394" s="53"/>
      <c r="AA6394"/>
      <c r="AB6394"/>
      <c r="AC6394" s="23"/>
      <c r="AD6394" s="23"/>
      <c r="AF6394" s="22"/>
      <c r="AG6394" s="339"/>
      <c r="AH6394" s="340"/>
      <c r="AI6394" s="353"/>
      <c r="AJ6394" s="357"/>
      <c r="AK6394" s="355"/>
      <c r="AL6394" s="20"/>
      <c r="AM6394" s="371"/>
      <c r="AN6394" s="372"/>
      <c r="AT6394" s="20"/>
      <c r="AU6394" s="29"/>
      <c r="AV6394"/>
      <c r="AW6394"/>
    </row>
    <row r="6395" spans="1:49">
      <c r="A6395" s="30" t="s">
        <v>2649</v>
      </c>
      <c r="B6395" s="55" t="str">
        <f t="shared" si="1182"/>
        <v>PA_Merce_2018p</v>
      </c>
      <c r="D6395" s="55" t="str">
        <f t="shared" si="1183"/>
        <v>Dem-precinct committeeman hermitage nw-2,(vote for not more than  1)</v>
      </c>
      <c r="E6395" s="55" t="s">
        <v>2574</v>
      </c>
      <c r="G6395" s="60">
        <v>0</v>
      </c>
      <c r="H6395"/>
      <c r="J6395" s="7"/>
      <c r="K6395" s="2"/>
      <c r="O6395">
        <f t="shared" si="1175"/>
        <v>-1</v>
      </c>
      <c r="P6395" s="57">
        <f t="shared" si="1176"/>
        <v>1</v>
      </c>
      <c r="Q6395" s="267">
        <f t="shared" si="1177"/>
        <v>0</v>
      </c>
      <c r="R6395" s="23">
        <f t="shared" si="1178"/>
        <v>1</v>
      </c>
      <c r="S6395" s="23">
        <f t="shared" si="1179"/>
        <v>0</v>
      </c>
      <c r="T6395" s="23" t="str">
        <f t="shared" si="1180"/>
        <v/>
      </c>
      <c r="U6395" t="str">
        <f t="shared" si="1181"/>
        <v/>
      </c>
      <c r="V6395" s="40"/>
      <c r="X6395" s="43"/>
      <c r="Y6395" s="53"/>
      <c r="Z6395" s="53"/>
      <c r="AA6395"/>
      <c r="AB6395"/>
      <c r="AC6395" s="23"/>
      <c r="AD6395" s="23"/>
      <c r="AF6395" s="22"/>
      <c r="AG6395" s="339"/>
      <c r="AH6395" s="340"/>
      <c r="AI6395" s="353"/>
      <c r="AJ6395" s="357"/>
      <c r="AK6395" s="355"/>
      <c r="AL6395" s="20"/>
      <c r="AM6395" s="371"/>
      <c r="AN6395" s="372"/>
      <c r="AT6395" s="20"/>
      <c r="AU6395" s="29"/>
      <c r="AV6395"/>
      <c r="AW6395"/>
    </row>
    <row r="6396" spans="1:49">
      <c r="A6396" s="30" t="s">
        <v>2651</v>
      </c>
      <c r="B6396" s="55" t="str">
        <f t="shared" si="1182"/>
        <v>PA_Merce_2018p</v>
      </c>
      <c r="D6396" s="55" t="str">
        <f t="shared" si="1183"/>
        <v>Dem-precinct committeeman hermitage nw-3,(vote for not more than  1)</v>
      </c>
      <c r="E6396" s="55" t="s">
        <v>2652</v>
      </c>
      <c r="G6396" s="60">
        <v>54</v>
      </c>
      <c r="H6396"/>
      <c r="J6396" s="7"/>
      <c r="K6396" s="2"/>
      <c r="O6396">
        <f t="shared" si="1175"/>
        <v>1</v>
      </c>
      <c r="P6396" s="57">
        <f t="shared" si="1176"/>
        <v>1</v>
      </c>
      <c r="Q6396" s="267">
        <f t="shared" si="1177"/>
        <v>55</v>
      </c>
      <c r="R6396" s="23">
        <f t="shared" si="1178"/>
        <v>54</v>
      </c>
      <c r="S6396" s="23">
        <f t="shared" si="1179"/>
        <v>0</v>
      </c>
      <c r="T6396" s="23" t="str">
        <f t="shared" si="1180"/>
        <v/>
      </c>
      <c r="U6396" t="str">
        <f t="shared" si="1181"/>
        <v>PA_Merce_2018p~Dem-precinct committeeman hermitage nw-3,(vote for not more than  1)</v>
      </c>
      <c r="V6396" s="40"/>
      <c r="X6396" s="43"/>
      <c r="Y6396" s="53"/>
      <c r="Z6396" s="53"/>
      <c r="AA6396"/>
      <c r="AB6396"/>
      <c r="AC6396" s="23"/>
      <c r="AD6396" s="23"/>
      <c r="AF6396" s="22"/>
      <c r="AG6396" s="339"/>
      <c r="AH6396" s="340"/>
      <c r="AI6396" s="353"/>
      <c r="AJ6396" s="357"/>
      <c r="AK6396" s="355"/>
      <c r="AL6396" s="20"/>
      <c r="AM6396" s="371"/>
      <c r="AN6396" s="372"/>
      <c r="AT6396" s="20"/>
      <c r="AU6396" s="29"/>
      <c r="AV6396"/>
      <c r="AW6396"/>
    </row>
    <row r="6397" spans="1:49">
      <c r="A6397" s="30" t="s">
        <v>2651</v>
      </c>
      <c r="B6397" s="55" t="str">
        <f t="shared" si="1182"/>
        <v>PA_Merce_2018p</v>
      </c>
      <c r="D6397" s="55" t="str">
        <f t="shared" si="1183"/>
        <v>Dem-precinct committeeman hermitage nw-3,(vote for not more than  1)</v>
      </c>
      <c r="E6397" s="55" t="s">
        <v>2574</v>
      </c>
      <c r="G6397" s="60">
        <v>1</v>
      </c>
      <c r="H6397"/>
      <c r="J6397" s="7"/>
      <c r="K6397" s="2"/>
      <c r="O6397">
        <f t="shared" si="1175"/>
        <v>-1</v>
      </c>
      <c r="P6397" s="57">
        <f t="shared" si="1176"/>
        <v>1</v>
      </c>
      <c r="Q6397" s="267">
        <f t="shared" si="1177"/>
        <v>1</v>
      </c>
      <c r="R6397" s="23">
        <f t="shared" si="1178"/>
        <v>1</v>
      </c>
      <c r="S6397" s="23">
        <f t="shared" si="1179"/>
        <v>0</v>
      </c>
      <c r="T6397" s="23" t="str">
        <f t="shared" si="1180"/>
        <v/>
      </c>
      <c r="U6397" t="str">
        <f t="shared" si="1181"/>
        <v/>
      </c>
      <c r="V6397" s="40"/>
      <c r="X6397" s="43"/>
      <c r="Y6397" s="53"/>
      <c r="Z6397" s="53"/>
      <c r="AA6397"/>
      <c r="AB6397"/>
      <c r="AC6397" s="23"/>
      <c r="AD6397" s="23"/>
      <c r="AF6397" s="22"/>
      <c r="AG6397" s="339"/>
      <c r="AH6397" s="340"/>
      <c r="AI6397" s="353"/>
      <c r="AJ6397" s="357"/>
      <c r="AK6397" s="355"/>
      <c r="AL6397" s="20"/>
      <c r="AM6397" s="371"/>
      <c r="AN6397" s="372"/>
      <c r="AT6397" s="20"/>
      <c r="AU6397" s="29"/>
      <c r="AV6397"/>
      <c r="AW6397"/>
    </row>
    <row r="6398" spans="1:49">
      <c r="A6398" s="30" t="s">
        <v>2653</v>
      </c>
      <c r="B6398" s="55" t="str">
        <f t="shared" si="1182"/>
        <v>PA_Merce_2018p</v>
      </c>
      <c r="D6398" s="55" t="str">
        <f t="shared" si="1183"/>
        <v>Dem-precinct committeeman hermitage nw-4,(vote for not more than  1)</v>
      </c>
      <c r="E6398" s="55" t="s">
        <v>2654</v>
      </c>
      <c r="G6398" s="60">
        <v>85</v>
      </c>
      <c r="H6398"/>
      <c r="J6398" s="7"/>
      <c r="K6398" s="2"/>
      <c r="O6398">
        <f t="shared" si="1175"/>
        <v>1</v>
      </c>
      <c r="P6398" s="57">
        <f t="shared" si="1176"/>
        <v>1</v>
      </c>
      <c r="Q6398" s="267">
        <f t="shared" si="1177"/>
        <v>128</v>
      </c>
      <c r="R6398" s="23">
        <f t="shared" si="1178"/>
        <v>85</v>
      </c>
      <c r="S6398" s="23">
        <f t="shared" si="1179"/>
        <v>43</v>
      </c>
      <c r="T6398" s="23">
        <f t="shared" si="1180"/>
        <v>42</v>
      </c>
      <c r="U6398" t="str">
        <f t="shared" si="1181"/>
        <v>PA_Merce_2018p~Dem-precinct committeeman hermitage nw-4,(vote for not more than  1)</v>
      </c>
      <c r="V6398" s="40"/>
      <c r="X6398" s="43"/>
      <c r="Y6398" s="53"/>
      <c r="Z6398" s="53"/>
      <c r="AA6398"/>
      <c r="AB6398"/>
      <c r="AC6398" s="23"/>
      <c r="AD6398" s="23"/>
      <c r="AF6398" s="22"/>
      <c r="AG6398" s="339"/>
      <c r="AH6398" s="340"/>
      <c r="AI6398" s="353"/>
      <c r="AJ6398" s="357"/>
      <c r="AK6398" s="355"/>
      <c r="AL6398" s="20"/>
      <c r="AM6398" s="371"/>
      <c r="AN6398" s="372"/>
      <c r="AT6398" s="20"/>
      <c r="AU6398" s="29"/>
      <c r="AV6398"/>
      <c r="AW6398"/>
    </row>
    <row r="6399" spans="1:49">
      <c r="A6399" s="30" t="s">
        <v>2653</v>
      </c>
      <c r="B6399" s="55" t="str">
        <f t="shared" si="1182"/>
        <v>PA_Merce_2018p</v>
      </c>
      <c r="D6399" s="55" t="str">
        <f t="shared" si="1183"/>
        <v>Dem-precinct committeeman hermitage nw-4,(vote for not more than  1)</v>
      </c>
      <c r="E6399" s="55" t="s">
        <v>2655</v>
      </c>
      <c r="G6399" s="60">
        <v>43</v>
      </c>
      <c r="H6399"/>
      <c r="J6399" s="7"/>
      <c r="K6399" s="2"/>
      <c r="O6399">
        <f t="shared" si="1175"/>
        <v>2</v>
      </c>
      <c r="P6399" s="57">
        <f t="shared" si="1176"/>
        <v>1</v>
      </c>
      <c r="Q6399" s="267">
        <f t="shared" si="1177"/>
        <v>43</v>
      </c>
      <c r="R6399" s="23" t="str">
        <f t="shared" si="1178"/>
        <v/>
      </c>
      <c r="S6399" s="23">
        <f t="shared" si="1179"/>
        <v>43</v>
      </c>
      <c r="T6399" s="23" t="str">
        <f t="shared" si="1180"/>
        <v/>
      </c>
      <c r="U6399" t="str">
        <f t="shared" si="1181"/>
        <v/>
      </c>
      <c r="V6399" s="40"/>
      <c r="X6399" s="43"/>
      <c r="Y6399" s="53"/>
      <c r="Z6399" s="53"/>
      <c r="AA6399"/>
      <c r="AB6399"/>
      <c r="AC6399" s="23"/>
      <c r="AD6399" s="23"/>
      <c r="AF6399" s="22"/>
      <c r="AG6399" s="339"/>
      <c r="AH6399" s="340"/>
      <c r="AI6399" s="353"/>
      <c r="AJ6399" s="357"/>
      <c r="AK6399" s="355"/>
      <c r="AL6399" s="20"/>
      <c r="AM6399" s="371"/>
      <c r="AN6399" s="372"/>
      <c r="AT6399" s="20"/>
      <c r="AU6399" s="29"/>
      <c r="AV6399"/>
      <c r="AW6399"/>
    </row>
    <row r="6400" spans="1:49">
      <c r="A6400" s="30" t="s">
        <v>2653</v>
      </c>
      <c r="B6400" s="55" t="str">
        <f t="shared" si="1182"/>
        <v>PA_Merce_2018p</v>
      </c>
      <c r="D6400" s="55" t="str">
        <f t="shared" si="1183"/>
        <v>Dem-precinct committeeman hermitage nw-4,(vote for not more than  1)</v>
      </c>
      <c r="E6400" s="55" t="s">
        <v>2574</v>
      </c>
      <c r="G6400" s="60">
        <v>0</v>
      </c>
      <c r="H6400"/>
      <c r="J6400" s="7"/>
      <c r="K6400" s="2"/>
      <c r="O6400">
        <f t="shared" si="1175"/>
        <v>-2</v>
      </c>
      <c r="P6400" s="57">
        <f t="shared" si="1176"/>
        <v>1</v>
      </c>
      <c r="Q6400" s="267">
        <f t="shared" si="1177"/>
        <v>0</v>
      </c>
      <c r="R6400" s="23">
        <f t="shared" si="1178"/>
        <v>1</v>
      </c>
      <c r="S6400" s="23">
        <f t="shared" si="1179"/>
        <v>0</v>
      </c>
      <c r="T6400" s="23" t="str">
        <f t="shared" si="1180"/>
        <v/>
      </c>
      <c r="U6400" t="str">
        <f t="shared" si="1181"/>
        <v/>
      </c>
      <c r="V6400" s="40"/>
      <c r="X6400" s="43"/>
      <c r="Y6400" s="53"/>
      <c r="Z6400" s="53"/>
      <c r="AA6400"/>
      <c r="AB6400"/>
      <c r="AC6400" s="23"/>
      <c r="AD6400" s="23"/>
      <c r="AF6400" s="22"/>
      <c r="AG6400" s="339"/>
      <c r="AH6400" s="340"/>
      <c r="AI6400" s="353"/>
      <c r="AJ6400" s="357"/>
      <c r="AK6400" s="355"/>
      <c r="AL6400" s="20"/>
      <c r="AM6400" s="371"/>
      <c r="AN6400" s="372"/>
      <c r="AT6400" s="20"/>
      <c r="AU6400" s="29"/>
      <c r="AV6400"/>
      <c r="AW6400"/>
    </row>
    <row r="6401" spans="1:49">
      <c r="A6401" s="30" t="s">
        <v>2656</v>
      </c>
      <c r="B6401" s="55" t="str">
        <f t="shared" si="1182"/>
        <v>PA_Merce_2018p</v>
      </c>
      <c r="D6401" s="55" t="str">
        <f t="shared" si="1183"/>
        <v>Dem-precinct committeeman hermitage se-1,(vote for not more than  1)</v>
      </c>
      <c r="E6401" s="55" t="s">
        <v>2657</v>
      </c>
      <c r="G6401" s="60">
        <v>77</v>
      </c>
      <c r="H6401"/>
      <c r="J6401" s="7"/>
      <c r="K6401" s="2"/>
      <c r="O6401">
        <f t="shared" si="1175"/>
        <v>1</v>
      </c>
      <c r="P6401" s="57">
        <f t="shared" si="1176"/>
        <v>1</v>
      </c>
      <c r="Q6401" s="267">
        <f t="shared" si="1177"/>
        <v>77</v>
      </c>
      <c r="R6401" s="23">
        <f t="shared" si="1178"/>
        <v>77</v>
      </c>
      <c r="S6401" s="23">
        <f t="shared" si="1179"/>
        <v>0</v>
      </c>
      <c r="T6401" s="23" t="str">
        <f t="shared" si="1180"/>
        <v/>
      </c>
      <c r="U6401" t="str">
        <f t="shared" si="1181"/>
        <v>PA_Merce_2018p~Dem-precinct committeeman hermitage se-1,(vote for not more than  1)</v>
      </c>
      <c r="V6401" s="40"/>
      <c r="X6401" s="43"/>
      <c r="Y6401" s="53"/>
      <c r="Z6401" s="53"/>
      <c r="AA6401"/>
      <c r="AB6401"/>
      <c r="AC6401" s="23"/>
      <c r="AD6401" s="23"/>
      <c r="AF6401" s="22"/>
      <c r="AG6401" s="339"/>
      <c r="AH6401" s="340"/>
      <c r="AI6401" s="353"/>
      <c r="AJ6401" s="357"/>
      <c r="AK6401" s="355"/>
      <c r="AL6401" s="20"/>
      <c r="AM6401" s="371"/>
      <c r="AN6401" s="372"/>
      <c r="AT6401" s="20"/>
      <c r="AU6401" s="29"/>
      <c r="AV6401"/>
      <c r="AW6401"/>
    </row>
    <row r="6402" spans="1:49">
      <c r="A6402" s="30" t="s">
        <v>2656</v>
      </c>
      <c r="B6402" s="55" t="str">
        <f t="shared" si="1182"/>
        <v>PA_Merce_2018p</v>
      </c>
      <c r="D6402" s="55" t="str">
        <f t="shared" si="1183"/>
        <v>Dem-precinct committeeman hermitage se-1,(vote for not more than  1)</v>
      </c>
      <c r="E6402" s="55" t="s">
        <v>2574</v>
      </c>
      <c r="G6402" s="60">
        <v>0</v>
      </c>
      <c r="H6402"/>
      <c r="J6402" s="7"/>
      <c r="K6402" s="2"/>
      <c r="O6402">
        <f t="shared" ref="O6402:O6465" si="1184">IF(OR(LOWER(LEFT(E6402,8))="write-in",LOWER(LEFT(E6402,8))="not qual"),IF(A6402=A6401,-ABS(O6401),0),IF(A6402=A6401,ABS(O6401)+1,1))</f>
        <v>-1</v>
      </c>
      <c r="P6402" s="57">
        <f t="shared" ref="P6402:P6465" si="1185">1*LEFT(RIGHT(A6402,2),1)</f>
        <v>1</v>
      </c>
      <c r="Q6402" s="267">
        <f t="shared" ref="Q6402:Q6465" si="1186">IF(A6402&lt;&gt;A6403,G6402,IF(A6402=A6401,G6402+Q6403,MAX(G6402,(G6402+Q6403)/P6402)))</f>
        <v>0</v>
      </c>
      <c r="R6402" s="23">
        <f t="shared" ref="R6402:R6465" si="1187">IF(O6402&gt;P6402,"",IF(O6402=P6402,G6402,IF(A6402=A6403,R6403,IF(O6402&lt;=0,1,G6402))))</f>
        <v>1</v>
      </c>
      <c r="S6402" s="23">
        <f t="shared" ref="S6402:S6465" si="1188">IF(AND(O6402&gt;P6402,LOWER(LEFT(E6402,8))&lt;&gt;"write-in",LOWER(LEFT(E6402,8))&lt;&gt;"not qual"),G6402,IF(A6402=A6403,S6403,0))</f>
        <v>0</v>
      </c>
      <c r="T6402" s="23" t="str">
        <f t="shared" ref="T6402:T6465" si="1189">IF(OR(A6402=A6401,S6402=0),"",R6402-ABS(S6402))</f>
        <v/>
      </c>
      <c r="U6402" t="str">
        <f t="shared" ref="U6402:U6465" si="1190">IF(A6402=A6401,"",A6402)</f>
        <v/>
      </c>
      <c r="V6402" s="40"/>
      <c r="X6402" s="43"/>
      <c r="Y6402" s="53"/>
      <c r="Z6402" s="53"/>
      <c r="AA6402"/>
      <c r="AB6402"/>
      <c r="AC6402" s="23"/>
      <c r="AD6402" s="23"/>
      <c r="AF6402" s="22"/>
      <c r="AG6402" s="339"/>
      <c r="AH6402" s="340"/>
      <c r="AI6402" s="353"/>
      <c r="AJ6402" s="357"/>
      <c r="AK6402" s="355"/>
      <c r="AL6402" s="20"/>
      <c r="AM6402" s="371"/>
      <c r="AN6402" s="372"/>
      <c r="AT6402" s="20"/>
      <c r="AU6402" s="29"/>
      <c r="AV6402"/>
      <c r="AW6402"/>
    </row>
    <row r="6403" spans="1:49">
      <c r="A6403" s="30" t="s">
        <v>2658</v>
      </c>
      <c r="B6403" s="55" t="str">
        <f t="shared" si="1182"/>
        <v>PA_Merce_2018p</v>
      </c>
      <c r="D6403" s="55" t="str">
        <f t="shared" si="1183"/>
        <v>Dem-precinct committeeman hermitage se-2,(vote for not more than  1)</v>
      </c>
      <c r="E6403" s="55" t="s">
        <v>2659</v>
      </c>
      <c r="G6403" s="60">
        <v>129</v>
      </c>
      <c r="H6403"/>
      <c r="J6403" s="7"/>
      <c r="K6403" s="2"/>
      <c r="O6403">
        <f t="shared" si="1184"/>
        <v>1</v>
      </c>
      <c r="P6403" s="57">
        <f t="shared" si="1185"/>
        <v>1</v>
      </c>
      <c r="Q6403" s="267">
        <f t="shared" si="1186"/>
        <v>129</v>
      </c>
      <c r="R6403" s="23">
        <f t="shared" si="1187"/>
        <v>129</v>
      </c>
      <c r="S6403" s="23">
        <f t="shared" si="1188"/>
        <v>0</v>
      </c>
      <c r="T6403" s="23" t="str">
        <f t="shared" si="1189"/>
        <v/>
      </c>
      <c r="U6403" t="str">
        <f t="shared" si="1190"/>
        <v>PA_Merce_2018p~Dem-precinct committeeman hermitage se-2,(vote for not more than  1)</v>
      </c>
      <c r="V6403" s="40"/>
      <c r="X6403" s="43"/>
      <c r="Y6403" s="53"/>
      <c r="Z6403" s="53"/>
      <c r="AA6403"/>
      <c r="AB6403"/>
      <c r="AC6403" s="23"/>
      <c r="AD6403" s="23"/>
      <c r="AF6403" s="22"/>
      <c r="AG6403" s="339"/>
      <c r="AH6403" s="340"/>
      <c r="AI6403" s="353"/>
      <c r="AJ6403" s="357"/>
      <c r="AK6403" s="355"/>
      <c r="AL6403" s="20"/>
      <c r="AM6403" s="371"/>
      <c r="AN6403" s="372"/>
      <c r="AT6403" s="20"/>
      <c r="AU6403" s="29"/>
      <c r="AV6403"/>
      <c r="AW6403"/>
    </row>
    <row r="6404" spans="1:49">
      <c r="A6404" s="30" t="s">
        <v>2658</v>
      </c>
      <c r="B6404" s="55" t="str">
        <f t="shared" si="1182"/>
        <v>PA_Merce_2018p</v>
      </c>
      <c r="D6404" s="55" t="str">
        <f t="shared" si="1183"/>
        <v>Dem-precinct committeeman hermitage se-2,(vote for not more than  1)</v>
      </c>
      <c r="E6404" s="55" t="s">
        <v>2574</v>
      </c>
      <c r="G6404" s="60">
        <v>0</v>
      </c>
      <c r="H6404"/>
      <c r="J6404" s="7"/>
      <c r="K6404" s="2"/>
      <c r="O6404">
        <f t="shared" si="1184"/>
        <v>-1</v>
      </c>
      <c r="P6404" s="57">
        <f t="shared" si="1185"/>
        <v>1</v>
      </c>
      <c r="Q6404" s="267">
        <f t="shared" si="1186"/>
        <v>0</v>
      </c>
      <c r="R6404" s="23">
        <f t="shared" si="1187"/>
        <v>1</v>
      </c>
      <c r="S6404" s="23">
        <f t="shared" si="1188"/>
        <v>0</v>
      </c>
      <c r="T6404" s="23" t="str">
        <f t="shared" si="1189"/>
        <v/>
      </c>
      <c r="U6404" t="str">
        <f t="shared" si="1190"/>
        <v/>
      </c>
      <c r="V6404" s="40"/>
      <c r="X6404" s="43"/>
      <c r="Y6404" s="53"/>
      <c r="Z6404" s="53"/>
      <c r="AA6404"/>
      <c r="AB6404"/>
      <c r="AC6404" s="23"/>
      <c r="AD6404" s="23"/>
      <c r="AF6404" s="22"/>
      <c r="AG6404" s="339"/>
      <c r="AH6404" s="340"/>
      <c r="AI6404" s="353"/>
      <c r="AJ6404" s="357"/>
      <c r="AK6404" s="355"/>
      <c r="AL6404" s="20"/>
      <c r="AM6404" s="371"/>
      <c r="AN6404" s="372"/>
      <c r="AT6404" s="20"/>
      <c r="AU6404" s="29"/>
      <c r="AV6404"/>
      <c r="AW6404"/>
    </row>
    <row r="6405" spans="1:49">
      <c r="A6405" s="30" t="s">
        <v>2660</v>
      </c>
      <c r="B6405" s="55" t="str">
        <f t="shared" si="1182"/>
        <v>PA_Merce_2018p</v>
      </c>
      <c r="D6405" s="55" t="str">
        <f t="shared" si="1183"/>
        <v>Dem-precinct committeeman hermitage se-3,(vote for not more than  1)</v>
      </c>
      <c r="E6405" s="55" t="s">
        <v>2661</v>
      </c>
      <c r="G6405" s="60">
        <v>105</v>
      </c>
      <c r="H6405"/>
      <c r="J6405" s="7"/>
      <c r="K6405" s="2"/>
      <c r="O6405">
        <f t="shared" si="1184"/>
        <v>1</v>
      </c>
      <c r="P6405" s="57">
        <f t="shared" si="1185"/>
        <v>1</v>
      </c>
      <c r="Q6405" s="267">
        <f t="shared" si="1186"/>
        <v>105</v>
      </c>
      <c r="R6405" s="23">
        <f t="shared" si="1187"/>
        <v>105</v>
      </c>
      <c r="S6405" s="23">
        <f t="shared" si="1188"/>
        <v>0</v>
      </c>
      <c r="T6405" s="23" t="str">
        <f t="shared" si="1189"/>
        <v/>
      </c>
      <c r="U6405" t="str">
        <f t="shared" si="1190"/>
        <v>PA_Merce_2018p~Dem-precinct committeeman hermitage se-3,(vote for not more than  1)</v>
      </c>
      <c r="V6405" s="40"/>
      <c r="X6405" s="43"/>
      <c r="Y6405" s="53"/>
      <c r="Z6405" s="53"/>
      <c r="AA6405"/>
      <c r="AB6405"/>
      <c r="AC6405" s="23"/>
      <c r="AD6405" s="23"/>
      <c r="AF6405" s="22"/>
      <c r="AG6405" s="339"/>
      <c r="AH6405" s="340"/>
      <c r="AI6405" s="353"/>
      <c r="AJ6405" s="357"/>
      <c r="AK6405" s="355"/>
      <c r="AL6405" s="20"/>
      <c r="AM6405" s="371"/>
      <c r="AN6405" s="372"/>
      <c r="AT6405" s="20"/>
      <c r="AU6405" s="29"/>
      <c r="AV6405"/>
      <c r="AW6405"/>
    </row>
    <row r="6406" spans="1:49">
      <c r="A6406" s="30" t="s">
        <v>2660</v>
      </c>
      <c r="B6406" s="55" t="str">
        <f t="shared" si="1182"/>
        <v>PA_Merce_2018p</v>
      </c>
      <c r="D6406" s="55" t="str">
        <f t="shared" si="1183"/>
        <v>Dem-precinct committeeman hermitage se-3,(vote for not more than  1)</v>
      </c>
      <c r="E6406" s="55" t="s">
        <v>2574</v>
      </c>
      <c r="G6406" s="60">
        <v>0</v>
      </c>
      <c r="H6406"/>
      <c r="J6406" s="7"/>
      <c r="K6406" s="2"/>
      <c r="O6406">
        <f t="shared" si="1184"/>
        <v>-1</v>
      </c>
      <c r="P6406" s="57">
        <f t="shared" si="1185"/>
        <v>1</v>
      </c>
      <c r="Q6406" s="267">
        <f t="shared" si="1186"/>
        <v>0</v>
      </c>
      <c r="R6406" s="23">
        <f t="shared" si="1187"/>
        <v>1</v>
      </c>
      <c r="S6406" s="23">
        <f t="shared" si="1188"/>
        <v>0</v>
      </c>
      <c r="T6406" s="23" t="str">
        <f t="shared" si="1189"/>
        <v/>
      </c>
      <c r="U6406" t="str">
        <f t="shared" si="1190"/>
        <v/>
      </c>
      <c r="V6406" s="40"/>
      <c r="X6406" s="43"/>
      <c r="Y6406" s="53"/>
      <c r="Z6406" s="53"/>
      <c r="AA6406"/>
      <c r="AB6406"/>
      <c r="AC6406" s="23"/>
      <c r="AD6406" s="23"/>
      <c r="AF6406" s="22"/>
      <c r="AG6406" s="339"/>
      <c r="AH6406" s="340"/>
      <c r="AI6406" s="353"/>
      <c r="AJ6406" s="357"/>
      <c r="AK6406" s="355"/>
      <c r="AL6406" s="20"/>
      <c r="AM6406" s="371"/>
      <c r="AN6406" s="372"/>
      <c r="AT6406" s="20"/>
      <c r="AU6406" s="29"/>
      <c r="AV6406"/>
      <c r="AW6406"/>
    </row>
    <row r="6407" spans="1:49">
      <c r="A6407" s="30" t="s">
        <v>2662</v>
      </c>
      <c r="B6407" s="55" t="str">
        <f t="shared" si="1182"/>
        <v>PA_Merce_2018p</v>
      </c>
      <c r="D6407" s="55" t="str">
        <f t="shared" si="1183"/>
        <v>Dem-precinct committeeman hermitage se-4,(vote for not more than  1)</v>
      </c>
      <c r="E6407" s="55" t="s">
        <v>2574</v>
      </c>
      <c r="G6407" s="60">
        <v>2</v>
      </c>
      <c r="H6407"/>
      <c r="J6407" s="7"/>
      <c r="K6407" s="2"/>
      <c r="O6407">
        <f t="shared" si="1184"/>
        <v>0</v>
      </c>
      <c r="P6407" s="57">
        <f t="shared" si="1185"/>
        <v>1</v>
      </c>
      <c r="Q6407" s="267">
        <f t="shared" si="1186"/>
        <v>2</v>
      </c>
      <c r="R6407" s="23">
        <f t="shared" si="1187"/>
        <v>1</v>
      </c>
      <c r="S6407" s="23">
        <f t="shared" si="1188"/>
        <v>0</v>
      </c>
      <c r="T6407" s="23" t="str">
        <f t="shared" si="1189"/>
        <v/>
      </c>
      <c r="U6407" t="str">
        <f t="shared" si="1190"/>
        <v>PA_Merce_2018p~Dem-precinct committeeman hermitage se-4,(vote for not more than  1)</v>
      </c>
      <c r="V6407" s="40"/>
      <c r="X6407" s="43"/>
      <c r="Y6407" s="53"/>
      <c r="Z6407" s="53"/>
      <c r="AA6407"/>
      <c r="AB6407"/>
      <c r="AC6407" s="23"/>
      <c r="AD6407" s="23"/>
      <c r="AF6407" s="22"/>
      <c r="AG6407" s="339"/>
      <c r="AH6407" s="340"/>
      <c r="AI6407" s="353"/>
      <c r="AJ6407" s="357"/>
      <c r="AK6407" s="355"/>
      <c r="AL6407" s="20"/>
      <c r="AM6407" s="371"/>
      <c r="AN6407" s="372"/>
      <c r="AT6407" s="20"/>
      <c r="AU6407" s="29"/>
      <c r="AV6407"/>
      <c r="AW6407"/>
    </row>
    <row r="6408" spans="1:49">
      <c r="A6408" s="30" t="s">
        <v>2663</v>
      </c>
      <c r="B6408" s="55" t="str">
        <f t="shared" si="1182"/>
        <v>PA_Merce_2018p</v>
      </c>
      <c r="D6408" s="55" t="str">
        <f t="shared" si="1183"/>
        <v>Dem-precinct committeeman hermitage sw-1,(vote for not more than  1)</v>
      </c>
      <c r="E6408" s="55" t="s">
        <v>2664</v>
      </c>
      <c r="G6408" s="60">
        <v>109</v>
      </c>
      <c r="H6408"/>
      <c r="J6408" s="7"/>
      <c r="K6408" s="2"/>
      <c r="O6408">
        <f t="shared" si="1184"/>
        <v>1</v>
      </c>
      <c r="P6408" s="57">
        <f t="shared" si="1185"/>
        <v>1</v>
      </c>
      <c r="Q6408" s="267">
        <f t="shared" si="1186"/>
        <v>110</v>
      </c>
      <c r="R6408" s="23">
        <f t="shared" si="1187"/>
        <v>109</v>
      </c>
      <c r="S6408" s="23">
        <f t="shared" si="1188"/>
        <v>0</v>
      </c>
      <c r="T6408" s="23" t="str">
        <f t="shared" si="1189"/>
        <v/>
      </c>
      <c r="U6408" t="str">
        <f t="shared" si="1190"/>
        <v>PA_Merce_2018p~Dem-precinct committeeman hermitage sw-1,(vote for not more than  1)</v>
      </c>
      <c r="V6408" s="40"/>
      <c r="X6408" s="43"/>
      <c r="Y6408" s="53"/>
      <c r="Z6408" s="53"/>
      <c r="AA6408"/>
      <c r="AB6408"/>
      <c r="AC6408" s="23"/>
      <c r="AD6408" s="23"/>
      <c r="AF6408" s="22"/>
      <c r="AG6408" s="339"/>
      <c r="AH6408" s="340"/>
      <c r="AI6408" s="353"/>
      <c r="AJ6408" s="357"/>
      <c r="AK6408" s="355"/>
      <c r="AL6408" s="20"/>
      <c r="AM6408" s="371"/>
      <c r="AN6408" s="372"/>
      <c r="AT6408" s="20"/>
      <c r="AU6408" s="29"/>
      <c r="AV6408"/>
      <c r="AW6408"/>
    </row>
    <row r="6409" spans="1:49">
      <c r="A6409" s="30" t="s">
        <v>2663</v>
      </c>
      <c r="B6409" s="55" t="str">
        <f t="shared" si="1182"/>
        <v>PA_Merce_2018p</v>
      </c>
      <c r="D6409" s="55" t="str">
        <f t="shared" si="1183"/>
        <v>Dem-precinct committeeman hermitage sw-1,(vote for not more than  1)</v>
      </c>
      <c r="E6409" s="55" t="s">
        <v>2574</v>
      </c>
      <c r="G6409" s="60">
        <v>1</v>
      </c>
      <c r="H6409"/>
      <c r="J6409" s="7"/>
      <c r="K6409" s="2"/>
      <c r="O6409">
        <f t="shared" si="1184"/>
        <v>-1</v>
      </c>
      <c r="P6409" s="57">
        <f t="shared" si="1185"/>
        <v>1</v>
      </c>
      <c r="Q6409" s="267">
        <f t="shared" si="1186"/>
        <v>1</v>
      </c>
      <c r="R6409" s="23">
        <f t="shared" si="1187"/>
        <v>1</v>
      </c>
      <c r="S6409" s="23">
        <f t="shared" si="1188"/>
        <v>0</v>
      </c>
      <c r="T6409" s="23" t="str">
        <f t="shared" si="1189"/>
        <v/>
      </c>
      <c r="U6409" t="str">
        <f t="shared" si="1190"/>
        <v/>
      </c>
      <c r="V6409" s="40"/>
      <c r="X6409" s="43"/>
      <c r="Y6409" s="53"/>
      <c r="Z6409" s="53"/>
      <c r="AA6409"/>
      <c r="AB6409"/>
      <c r="AC6409" s="23"/>
      <c r="AD6409" s="23"/>
      <c r="AF6409" s="22"/>
      <c r="AG6409" s="339"/>
      <c r="AH6409" s="340"/>
      <c r="AI6409" s="353"/>
      <c r="AJ6409" s="357"/>
      <c r="AK6409" s="355"/>
      <c r="AL6409" s="20"/>
      <c r="AM6409" s="371"/>
      <c r="AN6409" s="372"/>
      <c r="AT6409" s="20"/>
      <c r="AU6409" s="29"/>
      <c r="AV6409"/>
      <c r="AW6409"/>
    </row>
    <row r="6410" spans="1:49">
      <c r="A6410" s="30" t="s">
        <v>2665</v>
      </c>
      <c r="B6410" s="55" t="str">
        <f t="shared" si="1182"/>
        <v>PA_Merce_2018p</v>
      </c>
      <c r="D6410" s="55" t="str">
        <f t="shared" si="1183"/>
        <v>Dem-precinct committeeman hermitage sw-2,(vote for not more than  1)</v>
      </c>
      <c r="E6410" s="55" t="s">
        <v>2574</v>
      </c>
      <c r="G6410" s="60">
        <v>3</v>
      </c>
      <c r="H6410"/>
      <c r="J6410" s="7"/>
      <c r="K6410" s="2"/>
      <c r="O6410">
        <f t="shared" si="1184"/>
        <v>0</v>
      </c>
      <c r="P6410" s="57">
        <f t="shared" si="1185"/>
        <v>1</v>
      </c>
      <c r="Q6410" s="267">
        <f t="shared" si="1186"/>
        <v>3</v>
      </c>
      <c r="R6410" s="23">
        <f t="shared" si="1187"/>
        <v>1</v>
      </c>
      <c r="S6410" s="23">
        <f t="shared" si="1188"/>
        <v>0</v>
      </c>
      <c r="T6410" s="23" t="str">
        <f t="shared" si="1189"/>
        <v/>
      </c>
      <c r="U6410" t="str">
        <f t="shared" si="1190"/>
        <v>PA_Merce_2018p~Dem-precinct committeeman hermitage sw-2,(vote for not more than  1)</v>
      </c>
      <c r="V6410" s="40"/>
      <c r="X6410" s="43"/>
      <c r="Y6410" s="53"/>
      <c r="Z6410" s="53"/>
      <c r="AA6410"/>
      <c r="AB6410"/>
      <c r="AC6410" s="23"/>
      <c r="AD6410" s="23"/>
      <c r="AF6410" s="22"/>
      <c r="AG6410" s="339"/>
      <c r="AH6410" s="340"/>
      <c r="AI6410" s="353"/>
      <c r="AJ6410" s="357"/>
      <c r="AK6410" s="355"/>
      <c r="AL6410" s="20"/>
      <c r="AM6410" s="371"/>
      <c r="AN6410" s="372"/>
      <c r="AT6410" s="20"/>
      <c r="AU6410" s="29"/>
      <c r="AV6410"/>
      <c r="AW6410"/>
    </row>
    <row r="6411" spans="1:49">
      <c r="A6411" s="30" t="s">
        <v>2666</v>
      </c>
      <c r="B6411" s="55" t="str">
        <f t="shared" si="1182"/>
        <v>PA_Merce_2018p</v>
      </c>
      <c r="D6411" s="55" t="str">
        <f t="shared" si="1183"/>
        <v>Dem-precinct committeeman hermitage sw-3,(vote for not more than  1)</v>
      </c>
      <c r="E6411" s="55" t="s">
        <v>2574</v>
      </c>
      <c r="G6411" s="60">
        <v>5</v>
      </c>
      <c r="H6411"/>
      <c r="J6411" s="7"/>
      <c r="K6411" s="2"/>
      <c r="O6411">
        <f t="shared" si="1184"/>
        <v>0</v>
      </c>
      <c r="P6411" s="57">
        <f t="shared" si="1185"/>
        <v>1</v>
      </c>
      <c r="Q6411" s="267">
        <f t="shared" si="1186"/>
        <v>5</v>
      </c>
      <c r="R6411" s="23">
        <f t="shared" si="1187"/>
        <v>1</v>
      </c>
      <c r="S6411" s="23">
        <f t="shared" si="1188"/>
        <v>0</v>
      </c>
      <c r="T6411" s="23" t="str">
        <f t="shared" si="1189"/>
        <v/>
      </c>
      <c r="U6411" t="str">
        <f t="shared" si="1190"/>
        <v>PA_Merce_2018p~Dem-precinct committeeman hermitage sw-3,(vote for not more than  1)</v>
      </c>
      <c r="V6411" s="40"/>
      <c r="X6411" s="43"/>
      <c r="Y6411" s="53"/>
      <c r="Z6411" s="53"/>
      <c r="AA6411"/>
      <c r="AB6411"/>
      <c r="AC6411" s="23"/>
      <c r="AD6411" s="23"/>
      <c r="AF6411" s="22"/>
      <c r="AG6411" s="339"/>
      <c r="AH6411" s="340"/>
      <c r="AI6411" s="353"/>
      <c r="AJ6411" s="357"/>
      <c r="AK6411" s="355"/>
      <c r="AL6411" s="20"/>
      <c r="AM6411" s="371"/>
      <c r="AN6411" s="372"/>
      <c r="AT6411" s="20"/>
      <c r="AU6411" s="29"/>
      <c r="AV6411"/>
      <c r="AW6411"/>
    </row>
    <row r="6412" spans="1:49">
      <c r="A6412" s="30" t="s">
        <v>2667</v>
      </c>
      <c r="B6412" s="55" t="str">
        <f t="shared" si="1182"/>
        <v>PA_Merce_2018p</v>
      </c>
      <c r="D6412" s="55" t="str">
        <f t="shared" si="1183"/>
        <v>Dem-precinct committeeman jackson center,(vote for not more than  1)</v>
      </c>
      <c r="E6412" s="55" t="s">
        <v>2668</v>
      </c>
      <c r="G6412" s="60">
        <v>23</v>
      </c>
      <c r="H6412"/>
      <c r="J6412" s="7"/>
      <c r="K6412" s="2"/>
      <c r="O6412">
        <f t="shared" si="1184"/>
        <v>1</v>
      </c>
      <c r="P6412" s="57">
        <f t="shared" si="1185"/>
        <v>1</v>
      </c>
      <c r="Q6412" s="267">
        <f t="shared" si="1186"/>
        <v>23</v>
      </c>
      <c r="R6412" s="23">
        <f t="shared" si="1187"/>
        <v>23</v>
      </c>
      <c r="S6412" s="23">
        <f t="shared" si="1188"/>
        <v>0</v>
      </c>
      <c r="T6412" s="23" t="str">
        <f t="shared" si="1189"/>
        <v/>
      </c>
      <c r="U6412" t="str">
        <f t="shared" si="1190"/>
        <v>PA_Merce_2018p~Dem-precinct committeeman jackson center,(vote for not more than  1)</v>
      </c>
      <c r="V6412" s="40"/>
      <c r="X6412" s="43"/>
      <c r="Y6412" s="53"/>
      <c r="Z6412" s="53"/>
      <c r="AA6412"/>
      <c r="AB6412"/>
      <c r="AC6412" s="23"/>
      <c r="AD6412" s="23"/>
      <c r="AF6412" s="22"/>
      <c r="AG6412" s="339"/>
      <c r="AH6412" s="340"/>
      <c r="AI6412" s="353"/>
      <c r="AJ6412" s="357"/>
      <c r="AK6412" s="355"/>
      <c r="AL6412" s="20"/>
      <c r="AM6412" s="371"/>
      <c r="AN6412" s="372"/>
      <c r="AT6412" s="20"/>
      <c r="AU6412" s="29"/>
      <c r="AV6412"/>
      <c r="AW6412"/>
    </row>
    <row r="6413" spans="1:49">
      <c r="A6413" s="30" t="s">
        <v>2667</v>
      </c>
      <c r="B6413" s="55" t="str">
        <f t="shared" si="1182"/>
        <v>PA_Merce_2018p</v>
      </c>
      <c r="D6413" s="55" t="str">
        <f t="shared" si="1183"/>
        <v>Dem-precinct committeeman jackson center,(vote for not more than  1)</v>
      </c>
      <c r="E6413" s="55" t="s">
        <v>2574</v>
      </c>
      <c r="G6413" s="60">
        <v>0</v>
      </c>
      <c r="H6413"/>
      <c r="J6413" s="7"/>
      <c r="K6413" s="2"/>
      <c r="O6413">
        <f t="shared" si="1184"/>
        <v>-1</v>
      </c>
      <c r="P6413" s="57">
        <f t="shared" si="1185"/>
        <v>1</v>
      </c>
      <c r="Q6413" s="267">
        <f t="shared" si="1186"/>
        <v>0</v>
      </c>
      <c r="R6413" s="23">
        <f t="shared" si="1187"/>
        <v>1</v>
      </c>
      <c r="S6413" s="23">
        <f t="shared" si="1188"/>
        <v>0</v>
      </c>
      <c r="T6413" s="23" t="str">
        <f t="shared" si="1189"/>
        <v/>
      </c>
      <c r="U6413" t="str">
        <f t="shared" si="1190"/>
        <v/>
      </c>
      <c r="V6413" s="40"/>
      <c r="X6413" s="43"/>
      <c r="Y6413" s="53"/>
      <c r="Z6413" s="53"/>
      <c r="AA6413"/>
      <c r="AB6413"/>
      <c r="AC6413" s="23"/>
      <c r="AD6413" s="23"/>
      <c r="AF6413" s="22"/>
      <c r="AG6413" s="339"/>
      <c r="AH6413" s="340"/>
      <c r="AI6413" s="353"/>
      <c r="AJ6413" s="357"/>
      <c r="AK6413" s="355"/>
      <c r="AL6413" s="20"/>
      <c r="AM6413" s="371"/>
      <c r="AN6413" s="372"/>
      <c r="AT6413" s="20"/>
      <c r="AU6413" s="29"/>
      <c r="AV6413"/>
      <c r="AW6413"/>
    </row>
    <row r="6414" spans="1:49">
      <c r="A6414" s="30" t="s">
        <v>2669</v>
      </c>
      <c r="B6414" s="55" t="str">
        <f t="shared" si="1182"/>
        <v>PA_Merce_2018p</v>
      </c>
      <c r="D6414" s="55" t="str">
        <f t="shared" si="1183"/>
        <v>Dem-precinct committeeman jackson township,(vote for not more than  1)</v>
      </c>
      <c r="E6414" s="55" t="s">
        <v>2670</v>
      </c>
      <c r="G6414" s="60">
        <v>46</v>
      </c>
      <c r="H6414"/>
      <c r="J6414" s="7"/>
      <c r="K6414" s="2"/>
      <c r="O6414">
        <f t="shared" si="1184"/>
        <v>1</v>
      </c>
      <c r="P6414" s="57">
        <f t="shared" si="1185"/>
        <v>1</v>
      </c>
      <c r="Q6414" s="267">
        <f t="shared" si="1186"/>
        <v>46</v>
      </c>
      <c r="R6414" s="23">
        <f t="shared" si="1187"/>
        <v>46</v>
      </c>
      <c r="S6414" s="23">
        <f t="shared" si="1188"/>
        <v>0</v>
      </c>
      <c r="T6414" s="23" t="str">
        <f t="shared" si="1189"/>
        <v/>
      </c>
      <c r="U6414" t="str">
        <f t="shared" si="1190"/>
        <v>PA_Merce_2018p~Dem-precinct committeeman jackson township,(vote for not more than  1)</v>
      </c>
      <c r="V6414" s="40"/>
      <c r="X6414" s="43"/>
      <c r="Y6414" s="53"/>
      <c r="Z6414" s="53"/>
      <c r="AA6414"/>
      <c r="AB6414"/>
      <c r="AC6414" s="23"/>
      <c r="AD6414" s="23"/>
      <c r="AF6414" s="22"/>
      <c r="AG6414" s="339"/>
      <c r="AH6414" s="340"/>
      <c r="AI6414" s="353"/>
      <c r="AJ6414" s="357"/>
      <c r="AK6414" s="355"/>
      <c r="AL6414" s="20"/>
      <c r="AM6414" s="371"/>
      <c r="AN6414" s="372"/>
      <c r="AT6414" s="20"/>
      <c r="AU6414" s="29"/>
      <c r="AV6414"/>
      <c r="AW6414"/>
    </row>
    <row r="6415" spans="1:49">
      <c r="A6415" s="30" t="s">
        <v>2669</v>
      </c>
      <c r="B6415" s="55" t="str">
        <f t="shared" si="1182"/>
        <v>PA_Merce_2018p</v>
      </c>
      <c r="D6415" s="55" t="str">
        <f t="shared" si="1183"/>
        <v>Dem-precinct committeeman jackson township,(vote for not more than  1)</v>
      </c>
      <c r="E6415" s="55" t="s">
        <v>2574</v>
      </c>
      <c r="G6415" s="60">
        <v>0</v>
      </c>
      <c r="H6415"/>
      <c r="J6415" s="7"/>
      <c r="K6415" s="2"/>
      <c r="O6415">
        <f t="shared" si="1184"/>
        <v>-1</v>
      </c>
      <c r="P6415" s="57">
        <f t="shared" si="1185"/>
        <v>1</v>
      </c>
      <c r="Q6415" s="267">
        <f t="shared" si="1186"/>
        <v>0</v>
      </c>
      <c r="R6415" s="23">
        <f t="shared" si="1187"/>
        <v>1</v>
      </c>
      <c r="S6415" s="23">
        <f t="shared" si="1188"/>
        <v>0</v>
      </c>
      <c r="T6415" s="23" t="str">
        <f t="shared" si="1189"/>
        <v/>
      </c>
      <c r="U6415" t="str">
        <f t="shared" si="1190"/>
        <v/>
      </c>
      <c r="V6415" s="40"/>
      <c r="X6415" s="43"/>
      <c r="Y6415" s="53"/>
      <c r="Z6415" s="53"/>
      <c r="AA6415"/>
      <c r="AB6415"/>
      <c r="AC6415" s="23"/>
      <c r="AD6415" s="23"/>
      <c r="AF6415" s="22"/>
      <c r="AG6415" s="339"/>
      <c r="AH6415" s="340"/>
      <c r="AI6415" s="353"/>
      <c r="AJ6415" s="357"/>
      <c r="AK6415" s="355"/>
      <c r="AL6415" s="20"/>
      <c r="AM6415" s="371"/>
      <c r="AN6415" s="372"/>
      <c r="AT6415" s="20"/>
      <c r="AU6415" s="29"/>
      <c r="AV6415"/>
      <c r="AW6415"/>
    </row>
    <row r="6416" spans="1:49">
      <c r="A6416" s="30" t="s">
        <v>2671</v>
      </c>
      <c r="B6416" s="55" t="str">
        <f t="shared" si="1182"/>
        <v>PA_Merce_2018p</v>
      </c>
      <c r="D6416" s="55" t="str">
        <f t="shared" si="1183"/>
        <v>Dem-precinct committeeman jamestown,(vote for not more than  1)</v>
      </c>
      <c r="E6416" s="55" t="s">
        <v>2574</v>
      </c>
      <c r="G6416" s="60">
        <v>2</v>
      </c>
      <c r="H6416"/>
      <c r="J6416" s="7"/>
      <c r="K6416" s="2"/>
      <c r="O6416">
        <f t="shared" si="1184"/>
        <v>0</v>
      </c>
      <c r="P6416" s="57">
        <f t="shared" si="1185"/>
        <v>1</v>
      </c>
      <c r="Q6416" s="267">
        <f t="shared" si="1186"/>
        <v>2</v>
      </c>
      <c r="R6416" s="23">
        <f t="shared" si="1187"/>
        <v>1</v>
      </c>
      <c r="S6416" s="23">
        <f t="shared" si="1188"/>
        <v>0</v>
      </c>
      <c r="T6416" s="23" t="str">
        <f t="shared" si="1189"/>
        <v/>
      </c>
      <c r="U6416" t="str">
        <f t="shared" si="1190"/>
        <v>PA_Merce_2018p~Dem-precinct committeeman jamestown,(vote for not more than  1)</v>
      </c>
      <c r="V6416" s="40"/>
      <c r="X6416" s="43"/>
      <c r="Y6416" s="53"/>
      <c r="Z6416" s="53"/>
      <c r="AA6416"/>
      <c r="AB6416"/>
      <c r="AC6416" s="23"/>
      <c r="AD6416" s="23"/>
      <c r="AF6416" s="22"/>
      <c r="AG6416" s="339"/>
      <c r="AH6416" s="340"/>
      <c r="AI6416" s="353"/>
      <c r="AJ6416" s="357"/>
      <c r="AK6416" s="355"/>
      <c r="AL6416" s="20"/>
      <c r="AM6416" s="371"/>
      <c r="AN6416" s="372"/>
      <c r="AT6416" s="20"/>
      <c r="AU6416" s="29"/>
      <c r="AV6416"/>
      <c r="AW6416"/>
    </row>
    <row r="6417" spans="1:49">
      <c r="A6417" s="30" t="s">
        <v>2672</v>
      </c>
      <c r="B6417" s="55" t="str">
        <f t="shared" si="1182"/>
        <v>PA_Merce_2018p</v>
      </c>
      <c r="D6417" s="55" t="str">
        <f t="shared" si="1183"/>
        <v>Dem-precinct committeeman jefferson east,(vote for not more than  1)</v>
      </c>
      <c r="E6417" s="55" t="s">
        <v>2574</v>
      </c>
      <c r="G6417" s="60">
        <v>2</v>
      </c>
      <c r="H6417"/>
      <c r="J6417" s="7"/>
      <c r="K6417" s="2"/>
      <c r="O6417">
        <f t="shared" si="1184"/>
        <v>0</v>
      </c>
      <c r="P6417" s="57">
        <f t="shared" si="1185"/>
        <v>1</v>
      </c>
      <c r="Q6417" s="267">
        <f t="shared" si="1186"/>
        <v>2</v>
      </c>
      <c r="R6417" s="23">
        <f t="shared" si="1187"/>
        <v>1</v>
      </c>
      <c r="S6417" s="23">
        <f t="shared" si="1188"/>
        <v>0</v>
      </c>
      <c r="T6417" s="23" t="str">
        <f t="shared" si="1189"/>
        <v/>
      </c>
      <c r="U6417" t="str">
        <f t="shared" si="1190"/>
        <v>PA_Merce_2018p~Dem-precinct committeeman jefferson east,(vote for not more than  1)</v>
      </c>
      <c r="V6417" s="40"/>
      <c r="X6417" s="43"/>
      <c r="Y6417" s="53"/>
      <c r="Z6417" s="53"/>
      <c r="AA6417"/>
      <c r="AB6417"/>
      <c r="AC6417" s="23"/>
      <c r="AD6417" s="23"/>
      <c r="AF6417" s="22"/>
      <c r="AG6417" s="339"/>
      <c r="AH6417" s="340"/>
      <c r="AI6417" s="353"/>
      <c r="AJ6417" s="357"/>
      <c r="AK6417" s="355"/>
      <c r="AL6417" s="20"/>
      <c r="AM6417" s="371"/>
      <c r="AN6417" s="372"/>
      <c r="AT6417" s="20"/>
      <c r="AU6417" s="29"/>
      <c r="AV6417"/>
      <c r="AW6417"/>
    </row>
    <row r="6418" spans="1:49">
      <c r="A6418" s="30" t="s">
        <v>2673</v>
      </c>
      <c r="B6418" s="55" t="str">
        <f t="shared" si="1182"/>
        <v>PA_Merce_2018p</v>
      </c>
      <c r="D6418" s="55" t="str">
        <f t="shared" si="1183"/>
        <v>Dem-precinct committeeman jefferson west,(vote for not more than  1)</v>
      </c>
      <c r="E6418" s="55" t="s">
        <v>2574</v>
      </c>
      <c r="G6418" s="60">
        <v>0</v>
      </c>
      <c r="H6418"/>
      <c r="J6418" s="7"/>
      <c r="K6418" s="2"/>
      <c r="O6418">
        <f t="shared" si="1184"/>
        <v>0</v>
      </c>
      <c r="P6418" s="57">
        <f t="shared" si="1185"/>
        <v>1</v>
      </c>
      <c r="Q6418" s="267">
        <f t="shared" si="1186"/>
        <v>0</v>
      </c>
      <c r="R6418" s="23">
        <f t="shared" si="1187"/>
        <v>1</v>
      </c>
      <c r="S6418" s="23">
        <f t="shared" si="1188"/>
        <v>0</v>
      </c>
      <c r="T6418" s="23" t="str">
        <f t="shared" si="1189"/>
        <v/>
      </c>
      <c r="U6418" t="str">
        <f t="shared" si="1190"/>
        <v>PA_Merce_2018p~Dem-precinct committeeman jefferson west,(vote for not more than  1)</v>
      </c>
      <c r="V6418" s="40"/>
      <c r="X6418" s="43"/>
      <c r="Y6418" s="53"/>
      <c r="Z6418" s="53"/>
      <c r="AA6418"/>
      <c r="AB6418"/>
      <c r="AC6418" s="23"/>
      <c r="AD6418" s="23"/>
      <c r="AF6418" s="22"/>
      <c r="AG6418" s="339"/>
      <c r="AH6418" s="340"/>
      <c r="AI6418" s="353"/>
      <c r="AJ6418" s="357"/>
      <c r="AK6418" s="355"/>
      <c r="AL6418" s="20"/>
      <c r="AM6418" s="371"/>
      <c r="AN6418" s="372"/>
      <c r="AT6418" s="20"/>
      <c r="AU6418" s="29"/>
      <c r="AV6418"/>
      <c r="AW6418"/>
    </row>
    <row r="6419" spans="1:49">
      <c r="A6419" s="30" t="s">
        <v>2674</v>
      </c>
      <c r="B6419" s="55" t="str">
        <f t="shared" si="1182"/>
        <v>PA_Merce_2018p</v>
      </c>
      <c r="D6419" s="55" t="str">
        <f t="shared" si="1183"/>
        <v>Dem-precinct committeeman lackawannock,(vote for not more than  1)</v>
      </c>
      <c r="E6419" s="55" t="s">
        <v>2574</v>
      </c>
      <c r="G6419" s="60">
        <v>5</v>
      </c>
      <c r="H6419"/>
      <c r="J6419" s="7"/>
      <c r="K6419" s="2"/>
      <c r="O6419">
        <f t="shared" si="1184"/>
        <v>0</v>
      </c>
      <c r="P6419" s="57">
        <f t="shared" si="1185"/>
        <v>1</v>
      </c>
      <c r="Q6419" s="267">
        <f t="shared" si="1186"/>
        <v>5</v>
      </c>
      <c r="R6419" s="23">
        <f t="shared" si="1187"/>
        <v>1</v>
      </c>
      <c r="S6419" s="23">
        <f t="shared" si="1188"/>
        <v>0</v>
      </c>
      <c r="T6419" s="23" t="str">
        <f t="shared" si="1189"/>
        <v/>
      </c>
      <c r="U6419" t="str">
        <f t="shared" si="1190"/>
        <v>PA_Merce_2018p~Dem-precinct committeeman lackawannock,(vote for not more than  1)</v>
      </c>
      <c r="V6419" s="40"/>
      <c r="X6419" s="43"/>
      <c r="Y6419" s="53"/>
      <c r="Z6419" s="53"/>
      <c r="AA6419"/>
      <c r="AB6419"/>
      <c r="AC6419" s="23"/>
      <c r="AD6419" s="23"/>
      <c r="AF6419" s="22"/>
      <c r="AG6419" s="339"/>
      <c r="AH6419" s="340"/>
      <c r="AI6419" s="353"/>
      <c r="AJ6419" s="357"/>
      <c r="AK6419" s="355"/>
      <c r="AL6419" s="20"/>
      <c r="AM6419" s="371"/>
      <c r="AN6419" s="372"/>
      <c r="AT6419" s="20"/>
      <c r="AU6419" s="29"/>
      <c r="AV6419"/>
      <c r="AW6419"/>
    </row>
    <row r="6420" spans="1:49">
      <c r="A6420" s="30" t="s">
        <v>2675</v>
      </c>
      <c r="B6420" s="55" t="str">
        <f t="shared" si="1182"/>
        <v>PA_Merce_2018p</v>
      </c>
      <c r="D6420" s="55" t="str">
        <f t="shared" si="1183"/>
        <v>Dem-precinct committeeman lake,(vote for not more than  1)</v>
      </c>
      <c r="E6420" s="55" t="s">
        <v>2574</v>
      </c>
      <c r="G6420" s="60">
        <v>0</v>
      </c>
      <c r="H6420"/>
      <c r="J6420" s="7"/>
      <c r="K6420" s="2"/>
      <c r="O6420">
        <f t="shared" si="1184"/>
        <v>0</v>
      </c>
      <c r="P6420" s="57">
        <f t="shared" si="1185"/>
        <v>1</v>
      </c>
      <c r="Q6420" s="267">
        <f t="shared" si="1186"/>
        <v>0</v>
      </c>
      <c r="R6420" s="23">
        <f t="shared" si="1187"/>
        <v>1</v>
      </c>
      <c r="S6420" s="23">
        <f t="shared" si="1188"/>
        <v>0</v>
      </c>
      <c r="T6420" s="23" t="str">
        <f t="shared" si="1189"/>
        <v/>
      </c>
      <c r="U6420" t="str">
        <f t="shared" si="1190"/>
        <v>PA_Merce_2018p~Dem-precinct committeeman lake,(vote for not more than  1)</v>
      </c>
      <c r="V6420" s="40"/>
      <c r="X6420" s="43"/>
      <c r="Y6420" s="53"/>
      <c r="Z6420" s="53"/>
      <c r="AA6420"/>
      <c r="AB6420"/>
      <c r="AC6420" s="23"/>
      <c r="AD6420" s="23"/>
      <c r="AF6420" s="22"/>
      <c r="AG6420" s="339"/>
      <c r="AH6420" s="340"/>
      <c r="AI6420" s="353"/>
      <c r="AJ6420" s="357"/>
      <c r="AK6420" s="355"/>
      <c r="AL6420" s="20"/>
      <c r="AM6420" s="371"/>
      <c r="AN6420" s="372"/>
      <c r="AT6420" s="20"/>
      <c r="AU6420" s="29"/>
      <c r="AV6420"/>
      <c r="AW6420"/>
    </row>
    <row r="6421" spans="1:49">
      <c r="A6421" s="30" t="s">
        <v>2676</v>
      </c>
      <c r="B6421" s="55" t="str">
        <f t="shared" si="1182"/>
        <v>PA_Merce_2018p</v>
      </c>
      <c r="D6421" s="55" t="str">
        <f t="shared" si="1183"/>
        <v>Dem-precinct committeeman liberty,(vote for not more than  1)</v>
      </c>
      <c r="E6421" s="55" t="s">
        <v>2574</v>
      </c>
      <c r="G6421" s="60">
        <v>4</v>
      </c>
      <c r="H6421"/>
      <c r="J6421" s="7"/>
      <c r="K6421" s="2"/>
      <c r="O6421">
        <f t="shared" si="1184"/>
        <v>0</v>
      </c>
      <c r="P6421" s="57">
        <f t="shared" si="1185"/>
        <v>1</v>
      </c>
      <c r="Q6421" s="267">
        <f t="shared" si="1186"/>
        <v>4</v>
      </c>
      <c r="R6421" s="23">
        <f t="shared" si="1187"/>
        <v>1</v>
      </c>
      <c r="S6421" s="23">
        <f t="shared" si="1188"/>
        <v>0</v>
      </c>
      <c r="T6421" s="23" t="str">
        <f t="shared" si="1189"/>
        <v/>
      </c>
      <c r="U6421" t="str">
        <f t="shared" si="1190"/>
        <v>PA_Merce_2018p~Dem-precinct committeeman liberty,(vote for not more than  1)</v>
      </c>
      <c r="V6421" s="40"/>
      <c r="X6421" s="43"/>
      <c r="Y6421" s="53"/>
      <c r="Z6421" s="53"/>
      <c r="AA6421"/>
      <c r="AB6421"/>
      <c r="AC6421" s="23"/>
      <c r="AD6421" s="23"/>
      <c r="AF6421" s="22"/>
      <c r="AG6421" s="339"/>
      <c r="AH6421" s="340"/>
      <c r="AI6421" s="353"/>
      <c r="AJ6421" s="357"/>
      <c r="AK6421" s="355"/>
      <c r="AL6421" s="20"/>
      <c r="AM6421" s="371"/>
      <c r="AN6421" s="372"/>
      <c r="AT6421" s="20"/>
      <c r="AU6421" s="29"/>
      <c r="AV6421"/>
      <c r="AW6421"/>
    </row>
    <row r="6422" spans="1:49">
      <c r="A6422" s="30" t="s">
        <v>2677</v>
      </c>
      <c r="B6422" s="55" t="str">
        <f t="shared" si="1182"/>
        <v>PA_Merce_2018p</v>
      </c>
      <c r="D6422" s="55" t="str">
        <f t="shared" si="1183"/>
        <v>Dem-precinct committeeman mercer north,(vote for not more than  1)</v>
      </c>
      <c r="E6422" s="55" t="s">
        <v>2678</v>
      </c>
      <c r="G6422" s="60">
        <v>38</v>
      </c>
      <c r="H6422"/>
      <c r="J6422" s="7"/>
      <c r="K6422" s="2"/>
      <c r="O6422">
        <f t="shared" si="1184"/>
        <v>1</v>
      </c>
      <c r="P6422" s="57">
        <f t="shared" si="1185"/>
        <v>1</v>
      </c>
      <c r="Q6422" s="267">
        <f t="shared" si="1186"/>
        <v>38</v>
      </c>
      <c r="R6422" s="23">
        <f t="shared" si="1187"/>
        <v>38</v>
      </c>
      <c r="S6422" s="23">
        <f t="shared" si="1188"/>
        <v>0</v>
      </c>
      <c r="T6422" s="23" t="str">
        <f t="shared" si="1189"/>
        <v/>
      </c>
      <c r="U6422" t="str">
        <f t="shared" si="1190"/>
        <v>PA_Merce_2018p~Dem-precinct committeeman mercer north,(vote for not more than  1)</v>
      </c>
      <c r="V6422" s="40"/>
      <c r="X6422" s="43"/>
      <c r="Y6422" s="53"/>
      <c r="Z6422" s="53"/>
      <c r="AA6422"/>
      <c r="AB6422"/>
      <c r="AC6422" s="23"/>
      <c r="AD6422" s="23"/>
      <c r="AF6422" s="22"/>
      <c r="AG6422" s="339"/>
      <c r="AH6422" s="340"/>
      <c r="AI6422" s="353"/>
      <c r="AJ6422" s="357"/>
      <c r="AK6422" s="355"/>
      <c r="AL6422" s="20"/>
      <c r="AM6422" s="371"/>
      <c r="AN6422" s="372"/>
      <c r="AT6422" s="20"/>
      <c r="AU6422" s="29"/>
      <c r="AV6422"/>
      <c r="AW6422"/>
    </row>
    <row r="6423" spans="1:49">
      <c r="A6423" s="30" t="s">
        <v>2677</v>
      </c>
      <c r="B6423" s="55" t="str">
        <f t="shared" si="1182"/>
        <v>PA_Merce_2018p</v>
      </c>
      <c r="D6423" s="55" t="str">
        <f t="shared" si="1183"/>
        <v>Dem-precinct committeeman mercer north,(vote for not more than  1)</v>
      </c>
      <c r="E6423" s="55" t="s">
        <v>2574</v>
      </c>
      <c r="G6423" s="60">
        <v>0</v>
      </c>
      <c r="H6423"/>
      <c r="J6423" s="7"/>
      <c r="K6423" s="2"/>
      <c r="O6423">
        <f t="shared" si="1184"/>
        <v>-1</v>
      </c>
      <c r="P6423" s="57">
        <f t="shared" si="1185"/>
        <v>1</v>
      </c>
      <c r="Q6423" s="267">
        <f t="shared" si="1186"/>
        <v>0</v>
      </c>
      <c r="R6423" s="23">
        <f t="shared" si="1187"/>
        <v>1</v>
      </c>
      <c r="S6423" s="23">
        <f t="shared" si="1188"/>
        <v>0</v>
      </c>
      <c r="T6423" s="23" t="str">
        <f t="shared" si="1189"/>
        <v/>
      </c>
      <c r="U6423" t="str">
        <f t="shared" si="1190"/>
        <v/>
      </c>
      <c r="V6423" s="40"/>
      <c r="X6423" s="43"/>
      <c r="Y6423" s="53"/>
      <c r="Z6423" s="53"/>
      <c r="AA6423"/>
      <c r="AB6423"/>
      <c r="AC6423" s="23"/>
      <c r="AD6423" s="23"/>
      <c r="AF6423" s="22"/>
      <c r="AG6423" s="339"/>
      <c r="AH6423" s="340"/>
      <c r="AI6423" s="353"/>
      <c r="AJ6423" s="357"/>
      <c r="AK6423" s="355"/>
      <c r="AL6423" s="20"/>
      <c r="AM6423" s="371"/>
      <c r="AN6423" s="372"/>
      <c r="AT6423" s="20"/>
      <c r="AU6423" s="29"/>
      <c r="AV6423"/>
      <c r="AW6423"/>
    </row>
    <row r="6424" spans="1:49">
      <c r="A6424" s="30" t="s">
        <v>2679</v>
      </c>
      <c r="B6424" s="55" t="str">
        <f t="shared" si="1182"/>
        <v>PA_Merce_2018p</v>
      </c>
      <c r="D6424" s="55" t="str">
        <f t="shared" si="1183"/>
        <v>Dem-precinct committeeman mercer south,(vote for not more than  1)</v>
      </c>
      <c r="E6424" s="55" t="s">
        <v>2680</v>
      </c>
      <c r="G6424" s="60">
        <v>43</v>
      </c>
      <c r="H6424"/>
      <c r="J6424" s="7"/>
      <c r="K6424" s="2"/>
      <c r="O6424">
        <f t="shared" si="1184"/>
        <v>1</v>
      </c>
      <c r="P6424" s="57">
        <f t="shared" si="1185"/>
        <v>1</v>
      </c>
      <c r="Q6424" s="267">
        <f t="shared" si="1186"/>
        <v>43</v>
      </c>
      <c r="R6424" s="23">
        <f t="shared" si="1187"/>
        <v>43</v>
      </c>
      <c r="S6424" s="23">
        <f t="shared" si="1188"/>
        <v>0</v>
      </c>
      <c r="T6424" s="23" t="str">
        <f t="shared" si="1189"/>
        <v/>
      </c>
      <c r="U6424" t="str">
        <f t="shared" si="1190"/>
        <v>PA_Merce_2018p~Dem-precinct committeeman mercer south,(vote for not more than  1)</v>
      </c>
      <c r="V6424" s="40"/>
      <c r="X6424" s="43"/>
      <c r="Y6424" s="53"/>
      <c r="Z6424" s="53"/>
      <c r="AA6424"/>
      <c r="AB6424"/>
      <c r="AC6424" s="23"/>
      <c r="AD6424" s="23"/>
      <c r="AF6424" s="22"/>
      <c r="AG6424" s="339"/>
      <c r="AH6424" s="340"/>
      <c r="AI6424" s="353"/>
      <c r="AJ6424" s="357"/>
      <c r="AK6424" s="355"/>
      <c r="AL6424" s="20"/>
      <c r="AM6424" s="371"/>
      <c r="AN6424" s="372"/>
      <c r="AT6424" s="20"/>
      <c r="AU6424" s="29"/>
      <c r="AV6424"/>
      <c r="AW6424"/>
    </row>
    <row r="6425" spans="1:49">
      <c r="A6425" s="30" t="s">
        <v>2679</v>
      </c>
      <c r="B6425" s="55" t="str">
        <f t="shared" si="1182"/>
        <v>PA_Merce_2018p</v>
      </c>
      <c r="D6425" s="55" t="str">
        <f t="shared" si="1183"/>
        <v>Dem-precinct committeeman mercer south,(vote for not more than  1)</v>
      </c>
      <c r="E6425" s="55" t="s">
        <v>2574</v>
      </c>
      <c r="G6425" s="60">
        <v>0</v>
      </c>
      <c r="H6425"/>
      <c r="J6425" s="7"/>
      <c r="K6425" s="2"/>
      <c r="O6425">
        <f t="shared" si="1184"/>
        <v>-1</v>
      </c>
      <c r="P6425" s="57">
        <f t="shared" si="1185"/>
        <v>1</v>
      </c>
      <c r="Q6425" s="267">
        <f t="shared" si="1186"/>
        <v>0</v>
      </c>
      <c r="R6425" s="23">
        <f t="shared" si="1187"/>
        <v>1</v>
      </c>
      <c r="S6425" s="23">
        <f t="shared" si="1188"/>
        <v>0</v>
      </c>
      <c r="T6425" s="23" t="str">
        <f t="shared" si="1189"/>
        <v/>
      </c>
      <c r="U6425" t="str">
        <f t="shared" si="1190"/>
        <v/>
      </c>
      <c r="V6425" s="40"/>
      <c r="X6425" s="43"/>
      <c r="Y6425" s="53"/>
      <c r="Z6425" s="53"/>
      <c r="AA6425"/>
      <c r="AB6425"/>
      <c r="AC6425" s="23"/>
      <c r="AD6425" s="23"/>
      <c r="AF6425" s="22"/>
      <c r="AG6425" s="339"/>
      <c r="AH6425" s="340"/>
      <c r="AI6425" s="353"/>
      <c r="AJ6425" s="357"/>
      <c r="AK6425" s="355"/>
      <c r="AL6425" s="20"/>
      <c r="AM6425" s="371"/>
      <c r="AN6425" s="372"/>
      <c r="AT6425" s="20"/>
      <c r="AU6425" s="29"/>
      <c r="AV6425"/>
      <c r="AW6425"/>
    </row>
    <row r="6426" spans="1:49">
      <c r="A6426" s="30" t="s">
        <v>2681</v>
      </c>
      <c r="B6426" s="55" t="str">
        <f t="shared" si="1182"/>
        <v>PA_Merce_2018p</v>
      </c>
      <c r="D6426" s="55" t="str">
        <f t="shared" si="1183"/>
        <v>Dem-precinct committeeman mill creek,(vote for not more than  1)</v>
      </c>
      <c r="E6426" s="55" t="s">
        <v>2574</v>
      </c>
      <c r="G6426" s="60">
        <v>0</v>
      </c>
      <c r="H6426"/>
      <c r="J6426" s="7"/>
      <c r="K6426" s="2"/>
      <c r="O6426">
        <f t="shared" si="1184"/>
        <v>0</v>
      </c>
      <c r="P6426" s="57">
        <f t="shared" si="1185"/>
        <v>1</v>
      </c>
      <c r="Q6426" s="267">
        <f t="shared" si="1186"/>
        <v>0</v>
      </c>
      <c r="R6426" s="23">
        <f t="shared" si="1187"/>
        <v>1</v>
      </c>
      <c r="S6426" s="23">
        <f t="shared" si="1188"/>
        <v>0</v>
      </c>
      <c r="T6426" s="23" t="str">
        <f t="shared" si="1189"/>
        <v/>
      </c>
      <c r="U6426" t="str">
        <f t="shared" si="1190"/>
        <v>PA_Merce_2018p~Dem-precinct committeeman mill creek,(vote for not more than  1)</v>
      </c>
      <c r="V6426" s="40"/>
      <c r="X6426" s="43"/>
      <c r="Y6426" s="53"/>
      <c r="Z6426" s="53"/>
      <c r="AA6426"/>
      <c r="AB6426"/>
      <c r="AC6426" s="23"/>
      <c r="AD6426" s="23"/>
      <c r="AF6426" s="22"/>
      <c r="AG6426" s="339"/>
      <c r="AH6426" s="340"/>
      <c r="AI6426" s="353"/>
      <c r="AJ6426" s="357"/>
      <c r="AK6426" s="355"/>
      <c r="AL6426" s="20"/>
      <c r="AM6426" s="371"/>
      <c r="AN6426" s="372"/>
      <c r="AT6426" s="20"/>
      <c r="AU6426" s="29"/>
      <c r="AV6426"/>
      <c r="AW6426"/>
    </row>
    <row r="6427" spans="1:49">
      <c r="A6427" s="30" t="s">
        <v>2682</v>
      </c>
      <c r="B6427" s="55" t="str">
        <f t="shared" si="1182"/>
        <v>PA_Merce_2018p</v>
      </c>
      <c r="D6427" s="55" t="str">
        <f t="shared" si="1183"/>
        <v>Dem-precinct committeeman new lebanon,(vote for not more than  1)</v>
      </c>
      <c r="E6427" s="55" t="s">
        <v>2574</v>
      </c>
      <c r="G6427" s="60">
        <v>0</v>
      </c>
      <c r="H6427"/>
      <c r="J6427" s="7"/>
      <c r="K6427" s="2"/>
      <c r="O6427">
        <f t="shared" si="1184"/>
        <v>0</v>
      </c>
      <c r="P6427" s="57">
        <f t="shared" si="1185"/>
        <v>1</v>
      </c>
      <c r="Q6427" s="267">
        <f t="shared" si="1186"/>
        <v>0</v>
      </c>
      <c r="R6427" s="23">
        <f t="shared" si="1187"/>
        <v>1</v>
      </c>
      <c r="S6427" s="23">
        <f t="shared" si="1188"/>
        <v>0</v>
      </c>
      <c r="T6427" s="23" t="str">
        <f t="shared" si="1189"/>
        <v/>
      </c>
      <c r="U6427" t="str">
        <f t="shared" si="1190"/>
        <v>PA_Merce_2018p~Dem-precinct committeeman new lebanon,(vote for not more than  1)</v>
      </c>
      <c r="V6427" s="40"/>
      <c r="X6427" s="43"/>
      <c r="Y6427" s="53"/>
      <c r="Z6427" s="53"/>
      <c r="AA6427"/>
      <c r="AB6427"/>
      <c r="AC6427" s="23"/>
      <c r="AD6427" s="23"/>
      <c r="AF6427" s="22"/>
      <c r="AG6427" s="339"/>
      <c r="AH6427" s="340"/>
      <c r="AI6427" s="353"/>
      <c r="AJ6427" s="357"/>
      <c r="AK6427" s="355"/>
      <c r="AL6427" s="20"/>
      <c r="AM6427" s="371"/>
      <c r="AN6427" s="372"/>
      <c r="AT6427" s="20"/>
      <c r="AU6427" s="29"/>
      <c r="AV6427"/>
      <c r="AW6427"/>
    </row>
    <row r="6428" spans="1:49">
      <c r="A6428" s="30" t="s">
        <v>2683</v>
      </c>
      <c r="B6428" s="55" t="str">
        <f t="shared" si="1182"/>
        <v>PA_Merce_2018p</v>
      </c>
      <c r="D6428" s="55" t="str">
        <f t="shared" si="1183"/>
        <v>Dem-precinct committeeman new vernon,(vote for not more than  1)</v>
      </c>
      <c r="E6428" s="55" t="s">
        <v>2684</v>
      </c>
      <c r="G6428" s="60">
        <v>17</v>
      </c>
      <c r="H6428"/>
      <c r="J6428" s="7"/>
      <c r="K6428" s="2"/>
      <c r="O6428">
        <f t="shared" si="1184"/>
        <v>1</v>
      </c>
      <c r="P6428" s="57">
        <f t="shared" si="1185"/>
        <v>1</v>
      </c>
      <c r="Q6428" s="267">
        <f t="shared" si="1186"/>
        <v>17</v>
      </c>
      <c r="R6428" s="23">
        <f t="shared" si="1187"/>
        <v>17</v>
      </c>
      <c r="S6428" s="23">
        <f t="shared" si="1188"/>
        <v>0</v>
      </c>
      <c r="T6428" s="23" t="str">
        <f t="shared" si="1189"/>
        <v/>
      </c>
      <c r="U6428" t="str">
        <f t="shared" si="1190"/>
        <v>PA_Merce_2018p~Dem-precinct committeeman new vernon,(vote for not more than  1)</v>
      </c>
      <c r="V6428" s="40"/>
      <c r="X6428" s="43"/>
      <c r="Y6428" s="53"/>
      <c r="Z6428" s="53"/>
      <c r="AA6428"/>
      <c r="AB6428"/>
      <c r="AC6428" s="23"/>
      <c r="AD6428" s="23"/>
      <c r="AF6428" s="22"/>
      <c r="AG6428" s="339"/>
      <c r="AH6428" s="340"/>
      <c r="AI6428" s="353"/>
      <c r="AJ6428" s="357"/>
      <c r="AK6428" s="355"/>
      <c r="AL6428" s="20"/>
      <c r="AM6428" s="371"/>
      <c r="AN6428" s="372"/>
      <c r="AT6428" s="20"/>
      <c r="AU6428" s="29"/>
      <c r="AV6428"/>
      <c r="AW6428"/>
    </row>
    <row r="6429" spans="1:49">
      <c r="A6429" s="30" t="s">
        <v>2683</v>
      </c>
      <c r="B6429" s="55" t="str">
        <f t="shared" si="1182"/>
        <v>PA_Merce_2018p</v>
      </c>
      <c r="D6429" s="55" t="str">
        <f t="shared" si="1183"/>
        <v>Dem-precinct committeeman new vernon,(vote for not more than  1)</v>
      </c>
      <c r="E6429" s="55" t="s">
        <v>2574</v>
      </c>
      <c r="G6429" s="60">
        <v>0</v>
      </c>
      <c r="H6429"/>
      <c r="J6429" s="7"/>
      <c r="K6429" s="2"/>
      <c r="O6429">
        <f t="shared" si="1184"/>
        <v>-1</v>
      </c>
      <c r="P6429" s="57">
        <f t="shared" si="1185"/>
        <v>1</v>
      </c>
      <c r="Q6429" s="267">
        <f t="shared" si="1186"/>
        <v>0</v>
      </c>
      <c r="R6429" s="23">
        <f t="shared" si="1187"/>
        <v>1</v>
      </c>
      <c r="S6429" s="23">
        <f t="shared" si="1188"/>
        <v>0</v>
      </c>
      <c r="T6429" s="23" t="str">
        <f t="shared" si="1189"/>
        <v/>
      </c>
      <c r="U6429" t="str">
        <f t="shared" si="1190"/>
        <v/>
      </c>
      <c r="V6429" s="40"/>
      <c r="X6429" s="43"/>
      <c r="Y6429" s="53"/>
      <c r="Z6429" s="53"/>
      <c r="AA6429"/>
      <c r="AB6429"/>
      <c r="AC6429" s="23"/>
      <c r="AD6429" s="23"/>
      <c r="AF6429" s="22"/>
      <c r="AG6429" s="339"/>
      <c r="AH6429" s="340"/>
      <c r="AI6429" s="353"/>
      <c r="AJ6429" s="357"/>
      <c r="AK6429" s="355"/>
      <c r="AL6429" s="20"/>
      <c r="AM6429" s="371"/>
      <c r="AN6429" s="372"/>
      <c r="AT6429" s="20"/>
      <c r="AU6429" s="29"/>
      <c r="AV6429"/>
      <c r="AW6429"/>
    </row>
    <row r="6430" spans="1:49">
      <c r="A6430" s="30" t="s">
        <v>2685</v>
      </c>
      <c r="B6430" s="55" t="str">
        <f t="shared" si="1182"/>
        <v>PA_Merce_2018p</v>
      </c>
      <c r="D6430" s="55" t="str">
        <f t="shared" si="1183"/>
        <v>Dem-precinct committeeman otter creek,(vote for not more than  1)</v>
      </c>
      <c r="E6430" s="55" t="s">
        <v>2574</v>
      </c>
      <c r="G6430" s="60">
        <v>0</v>
      </c>
      <c r="H6430"/>
      <c r="J6430" s="7"/>
      <c r="K6430" s="2"/>
      <c r="O6430">
        <f t="shared" si="1184"/>
        <v>0</v>
      </c>
      <c r="P6430" s="57">
        <f t="shared" si="1185"/>
        <v>1</v>
      </c>
      <c r="Q6430" s="267">
        <f t="shared" si="1186"/>
        <v>0</v>
      </c>
      <c r="R6430" s="23">
        <f t="shared" si="1187"/>
        <v>1</v>
      </c>
      <c r="S6430" s="23">
        <f t="shared" si="1188"/>
        <v>0</v>
      </c>
      <c r="T6430" s="23" t="str">
        <f t="shared" si="1189"/>
        <v/>
      </c>
      <c r="U6430" t="str">
        <f t="shared" si="1190"/>
        <v>PA_Merce_2018p~Dem-precinct committeeman otter creek,(vote for not more than  1)</v>
      </c>
      <c r="V6430" s="40"/>
      <c r="X6430" s="43"/>
      <c r="Y6430" s="53"/>
      <c r="Z6430" s="53"/>
      <c r="AA6430"/>
      <c r="AB6430"/>
      <c r="AC6430" s="23"/>
      <c r="AD6430" s="23"/>
      <c r="AF6430" s="22"/>
      <c r="AG6430" s="339"/>
      <c r="AH6430" s="340"/>
      <c r="AI6430" s="353"/>
      <c r="AJ6430" s="357"/>
      <c r="AK6430" s="355"/>
      <c r="AL6430" s="20"/>
      <c r="AM6430" s="371"/>
      <c r="AN6430" s="372"/>
      <c r="AT6430" s="20"/>
      <c r="AU6430" s="29"/>
      <c r="AV6430"/>
      <c r="AW6430"/>
    </row>
    <row r="6431" spans="1:49">
      <c r="A6431" s="30" t="s">
        <v>2686</v>
      </c>
      <c r="B6431" s="55" t="str">
        <f t="shared" si="1182"/>
        <v>PA_Merce_2018p</v>
      </c>
      <c r="D6431" s="55" t="str">
        <f t="shared" si="1183"/>
        <v>Dem-precinct committeeman perry,(vote for not more than  1)</v>
      </c>
      <c r="E6431" s="55" t="s">
        <v>2574</v>
      </c>
      <c r="G6431" s="60">
        <v>1</v>
      </c>
      <c r="H6431"/>
      <c r="J6431" s="7"/>
      <c r="K6431" s="2"/>
      <c r="O6431">
        <f t="shared" si="1184"/>
        <v>0</v>
      </c>
      <c r="P6431" s="57">
        <f t="shared" si="1185"/>
        <v>1</v>
      </c>
      <c r="Q6431" s="267">
        <f t="shared" si="1186"/>
        <v>1</v>
      </c>
      <c r="R6431" s="23">
        <f t="shared" si="1187"/>
        <v>1</v>
      </c>
      <c r="S6431" s="23">
        <f t="shared" si="1188"/>
        <v>0</v>
      </c>
      <c r="T6431" s="23" t="str">
        <f t="shared" si="1189"/>
        <v/>
      </c>
      <c r="U6431" t="str">
        <f t="shared" si="1190"/>
        <v>PA_Merce_2018p~Dem-precinct committeeman perry,(vote for not more than  1)</v>
      </c>
      <c r="V6431" s="40"/>
      <c r="X6431" s="43"/>
      <c r="Y6431" s="53"/>
      <c r="Z6431" s="53"/>
      <c r="AA6431"/>
      <c r="AB6431"/>
      <c r="AC6431" s="23"/>
      <c r="AD6431" s="23"/>
      <c r="AF6431" s="22"/>
      <c r="AG6431" s="339"/>
      <c r="AH6431" s="340"/>
      <c r="AI6431" s="353"/>
      <c r="AJ6431" s="357"/>
      <c r="AK6431" s="355"/>
      <c r="AL6431" s="20"/>
      <c r="AM6431" s="371"/>
      <c r="AN6431" s="372"/>
      <c r="AT6431" s="20"/>
      <c r="AU6431" s="29"/>
      <c r="AV6431"/>
      <c r="AW6431"/>
    </row>
    <row r="6432" spans="1:49">
      <c r="A6432" s="30" t="s">
        <v>2687</v>
      </c>
      <c r="B6432" s="55" t="str">
        <f t="shared" si="1182"/>
        <v>PA_Merce_2018p</v>
      </c>
      <c r="D6432" s="55" t="str">
        <f t="shared" si="1183"/>
        <v>Dem-precinct committeeman pine 1,(vote for not more than  1)</v>
      </c>
      <c r="E6432" s="55" t="s">
        <v>2574</v>
      </c>
      <c r="G6432" s="60">
        <v>3</v>
      </c>
      <c r="H6432"/>
      <c r="J6432" s="7"/>
      <c r="K6432" s="2"/>
      <c r="O6432">
        <f t="shared" si="1184"/>
        <v>0</v>
      </c>
      <c r="P6432" s="57">
        <f t="shared" si="1185"/>
        <v>1</v>
      </c>
      <c r="Q6432" s="267">
        <f t="shared" si="1186"/>
        <v>3</v>
      </c>
      <c r="R6432" s="23">
        <f t="shared" si="1187"/>
        <v>1</v>
      </c>
      <c r="S6432" s="23">
        <f t="shared" si="1188"/>
        <v>0</v>
      </c>
      <c r="T6432" s="23" t="str">
        <f t="shared" si="1189"/>
        <v/>
      </c>
      <c r="U6432" t="str">
        <f t="shared" si="1190"/>
        <v>PA_Merce_2018p~Dem-precinct committeeman pine 1,(vote for not more than  1)</v>
      </c>
      <c r="V6432" s="40"/>
      <c r="X6432" s="43"/>
      <c r="Y6432" s="53"/>
      <c r="Z6432" s="53"/>
      <c r="AA6432"/>
      <c r="AB6432"/>
      <c r="AC6432" s="23"/>
      <c r="AD6432" s="23"/>
      <c r="AF6432" s="22"/>
      <c r="AG6432" s="339"/>
      <c r="AH6432" s="340"/>
      <c r="AI6432" s="353"/>
      <c r="AJ6432" s="357"/>
      <c r="AK6432" s="355"/>
      <c r="AL6432" s="20"/>
      <c r="AM6432" s="371"/>
      <c r="AN6432" s="372"/>
      <c r="AT6432" s="20"/>
      <c r="AU6432" s="29"/>
      <c r="AV6432"/>
      <c r="AW6432"/>
    </row>
    <row r="6433" spans="1:49">
      <c r="A6433" s="30" t="s">
        <v>2688</v>
      </c>
      <c r="B6433" s="55" t="str">
        <f t="shared" si="1182"/>
        <v>PA_Merce_2018p</v>
      </c>
      <c r="D6433" s="55" t="str">
        <f t="shared" si="1183"/>
        <v>Dem-precinct committeeman pine 2,(vote for not more than  1)</v>
      </c>
      <c r="E6433" s="55" t="s">
        <v>2574</v>
      </c>
      <c r="G6433" s="60">
        <v>2</v>
      </c>
      <c r="H6433"/>
      <c r="J6433" s="7"/>
      <c r="K6433" s="2"/>
      <c r="O6433">
        <f t="shared" si="1184"/>
        <v>0</v>
      </c>
      <c r="P6433" s="57">
        <f t="shared" si="1185"/>
        <v>1</v>
      </c>
      <c r="Q6433" s="267">
        <f t="shared" si="1186"/>
        <v>2</v>
      </c>
      <c r="R6433" s="23">
        <f t="shared" si="1187"/>
        <v>1</v>
      </c>
      <c r="S6433" s="23">
        <f t="shared" si="1188"/>
        <v>0</v>
      </c>
      <c r="T6433" s="23" t="str">
        <f t="shared" si="1189"/>
        <v/>
      </c>
      <c r="U6433" t="str">
        <f t="shared" si="1190"/>
        <v>PA_Merce_2018p~Dem-precinct committeeman pine 2,(vote for not more than  1)</v>
      </c>
      <c r="V6433" s="40"/>
      <c r="X6433" s="43"/>
      <c r="Y6433" s="53"/>
      <c r="Z6433" s="53"/>
      <c r="AA6433"/>
      <c r="AB6433"/>
      <c r="AC6433" s="23"/>
      <c r="AD6433" s="23"/>
      <c r="AF6433" s="22"/>
      <c r="AG6433" s="339"/>
      <c r="AH6433" s="340"/>
      <c r="AI6433" s="353"/>
      <c r="AJ6433" s="357"/>
      <c r="AK6433" s="355"/>
      <c r="AL6433" s="20"/>
      <c r="AM6433" s="371"/>
      <c r="AN6433" s="372"/>
      <c r="AT6433" s="20"/>
      <c r="AU6433" s="29"/>
      <c r="AV6433"/>
      <c r="AW6433"/>
    </row>
    <row r="6434" spans="1:49">
      <c r="A6434" s="30" t="s">
        <v>2689</v>
      </c>
      <c r="B6434" s="55" t="str">
        <f t="shared" si="1182"/>
        <v>PA_Merce_2018p</v>
      </c>
      <c r="D6434" s="55" t="str">
        <f t="shared" si="1183"/>
        <v>Dem-precinct committeeman pymatuning 1,(vote for not more than  1)</v>
      </c>
      <c r="E6434" s="55" t="s">
        <v>2574</v>
      </c>
      <c r="G6434" s="60">
        <v>4</v>
      </c>
      <c r="H6434"/>
      <c r="J6434" s="7"/>
      <c r="K6434" s="2"/>
      <c r="O6434">
        <f t="shared" si="1184"/>
        <v>0</v>
      </c>
      <c r="P6434" s="57">
        <f t="shared" si="1185"/>
        <v>1</v>
      </c>
      <c r="Q6434" s="267">
        <f t="shared" si="1186"/>
        <v>4</v>
      </c>
      <c r="R6434" s="23">
        <f t="shared" si="1187"/>
        <v>1</v>
      </c>
      <c r="S6434" s="23">
        <f t="shared" si="1188"/>
        <v>0</v>
      </c>
      <c r="T6434" s="23" t="str">
        <f t="shared" si="1189"/>
        <v/>
      </c>
      <c r="U6434" t="str">
        <f t="shared" si="1190"/>
        <v>PA_Merce_2018p~Dem-precinct committeeman pymatuning 1,(vote for not more than  1)</v>
      </c>
      <c r="V6434" s="40"/>
      <c r="X6434" s="43"/>
      <c r="Y6434" s="53"/>
      <c r="Z6434" s="53"/>
      <c r="AA6434"/>
      <c r="AB6434"/>
      <c r="AC6434" s="23"/>
      <c r="AD6434" s="23"/>
      <c r="AF6434" s="22"/>
      <c r="AG6434" s="339"/>
      <c r="AH6434" s="340"/>
      <c r="AI6434" s="353"/>
      <c r="AJ6434" s="357"/>
      <c r="AK6434" s="355"/>
      <c r="AL6434" s="20"/>
      <c r="AM6434" s="371"/>
      <c r="AN6434" s="372"/>
      <c r="AT6434" s="20"/>
      <c r="AU6434" s="29"/>
      <c r="AV6434"/>
      <c r="AW6434"/>
    </row>
    <row r="6435" spans="1:49">
      <c r="A6435" s="30" t="s">
        <v>2690</v>
      </c>
      <c r="B6435" s="55" t="str">
        <f t="shared" si="1182"/>
        <v>PA_Merce_2018p</v>
      </c>
      <c r="D6435" s="55" t="str">
        <f t="shared" si="1183"/>
        <v>Dem-precinct committeeman pymatuning 2,(vote for not more than  1)</v>
      </c>
      <c r="E6435" s="55" t="s">
        <v>2574</v>
      </c>
      <c r="G6435" s="60">
        <v>2</v>
      </c>
      <c r="H6435"/>
      <c r="J6435" s="7"/>
      <c r="K6435" s="2"/>
      <c r="O6435">
        <f t="shared" si="1184"/>
        <v>0</v>
      </c>
      <c r="P6435" s="57">
        <f t="shared" si="1185"/>
        <v>1</v>
      </c>
      <c r="Q6435" s="267">
        <f t="shared" si="1186"/>
        <v>2</v>
      </c>
      <c r="R6435" s="23">
        <f t="shared" si="1187"/>
        <v>1</v>
      </c>
      <c r="S6435" s="23">
        <f t="shared" si="1188"/>
        <v>0</v>
      </c>
      <c r="T6435" s="23" t="str">
        <f t="shared" si="1189"/>
        <v/>
      </c>
      <c r="U6435" t="str">
        <f t="shared" si="1190"/>
        <v>PA_Merce_2018p~Dem-precinct committeeman pymatuning 2,(vote for not more than  1)</v>
      </c>
      <c r="V6435" s="40"/>
      <c r="X6435" s="43"/>
      <c r="Y6435" s="53"/>
      <c r="Z6435" s="53"/>
      <c r="AA6435"/>
      <c r="AB6435"/>
      <c r="AC6435" s="23"/>
      <c r="AD6435" s="23"/>
      <c r="AF6435" s="22"/>
      <c r="AG6435" s="339"/>
      <c r="AH6435" s="340"/>
      <c r="AI6435" s="353"/>
      <c r="AJ6435" s="357"/>
      <c r="AK6435" s="355"/>
      <c r="AL6435" s="20"/>
      <c r="AM6435" s="371"/>
      <c r="AN6435" s="372"/>
      <c r="AT6435" s="20"/>
      <c r="AU6435" s="29"/>
      <c r="AV6435"/>
      <c r="AW6435"/>
    </row>
    <row r="6436" spans="1:49">
      <c r="A6436" s="30" t="s">
        <v>2691</v>
      </c>
      <c r="B6436" s="55" t="str">
        <f t="shared" si="1182"/>
        <v>PA_Merce_2018p</v>
      </c>
      <c r="D6436" s="55" t="str">
        <f t="shared" si="1183"/>
        <v>Dem-precinct committeeman salem,(vote for not more than  1)</v>
      </c>
      <c r="E6436" s="55" t="s">
        <v>2574</v>
      </c>
      <c r="G6436" s="60">
        <v>1</v>
      </c>
      <c r="H6436"/>
      <c r="J6436" s="7"/>
      <c r="K6436" s="2"/>
      <c r="O6436">
        <f t="shared" si="1184"/>
        <v>0</v>
      </c>
      <c r="P6436" s="57">
        <f t="shared" si="1185"/>
        <v>1</v>
      </c>
      <c r="Q6436" s="267">
        <f t="shared" si="1186"/>
        <v>1</v>
      </c>
      <c r="R6436" s="23">
        <f t="shared" si="1187"/>
        <v>1</v>
      </c>
      <c r="S6436" s="23">
        <f t="shared" si="1188"/>
        <v>0</v>
      </c>
      <c r="T6436" s="23" t="str">
        <f t="shared" si="1189"/>
        <v/>
      </c>
      <c r="U6436" t="str">
        <f t="shared" si="1190"/>
        <v>PA_Merce_2018p~Dem-precinct committeeman salem,(vote for not more than  1)</v>
      </c>
      <c r="V6436" s="40"/>
      <c r="X6436" s="43"/>
      <c r="Y6436" s="53"/>
      <c r="Z6436" s="53"/>
      <c r="AA6436"/>
      <c r="AB6436"/>
      <c r="AC6436" s="23"/>
      <c r="AD6436" s="23"/>
      <c r="AF6436" s="22"/>
      <c r="AG6436" s="339"/>
      <c r="AH6436" s="340"/>
      <c r="AI6436" s="353"/>
      <c r="AJ6436" s="357"/>
      <c r="AK6436" s="355"/>
      <c r="AL6436" s="20"/>
      <c r="AM6436" s="371"/>
      <c r="AN6436" s="372"/>
      <c r="AT6436" s="20"/>
      <c r="AU6436" s="29"/>
      <c r="AV6436"/>
      <c r="AW6436"/>
    </row>
    <row r="6437" spans="1:49">
      <c r="A6437" s="30" t="s">
        <v>2692</v>
      </c>
      <c r="B6437" s="55" t="str">
        <f t="shared" si="1182"/>
        <v>PA_Merce_2018p</v>
      </c>
      <c r="D6437" s="55" t="str">
        <f t="shared" si="1183"/>
        <v>Dem-precinct committeeman sandy creek,(vote for not more than  1)</v>
      </c>
      <c r="E6437" s="55" t="s">
        <v>2574</v>
      </c>
      <c r="G6437" s="60">
        <v>0</v>
      </c>
      <c r="H6437"/>
      <c r="J6437" s="7"/>
      <c r="K6437" s="2"/>
      <c r="O6437">
        <f t="shared" si="1184"/>
        <v>0</v>
      </c>
      <c r="P6437" s="57">
        <f t="shared" si="1185"/>
        <v>1</v>
      </c>
      <c r="Q6437" s="267">
        <f t="shared" si="1186"/>
        <v>0</v>
      </c>
      <c r="R6437" s="23">
        <f t="shared" si="1187"/>
        <v>1</v>
      </c>
      <c r="S6437" s="23">
        <f t="shared" si="1188"/>
        <v>0</v>
      </c>
      <c r="T6437" s="23" t="str">
        <f t="shared" si="1189"/>
        <v/>
      </c>
      <c r="U6437" t="str">
        <f t="shared" si="1190"/>
        <v>PA_Merce_2018p~Dem-precinct committeeman sandy creek,(vote for not more than  1)</v>
      </c>
      <c r="V6437" s="40"/>
      <c r="X6437" s="43"/>
      <c r="Y6437" s="53"/>
      <c r="Z6437" s="53"/>
      <c r="AA6437"/>
      <c r="AB6437"/>
      <c r="AC6437" s="23"/>
      <c r="AD6437" s="23"/>
      <c r="AF6437" s="22"/>
      <c r="AG6437" s="339"/>
      <c r="AH6437" s="340"/>
      <c r="AI6437" s="353"/>
      <c r="AJ6437" s="357"/>
      <c r="AK6437" s="355"/>
      <c r="AL6437" s="20"/>
      <c r="AM6437" s="371"/>
      <c r="AN6437" s="372"/>
      <c r="AT6437" s="20"/>
      <c r="AU6437" s="29"/>
      <c r="AV6437"/>
      <c r="AW6437"/>
    </row>
    <row r="6438" spans="1:49">
      <c r="A6438" s="30" t="s">
        <v>2693</v>
      </c>
      <c r="B6438" s="55" t="str">
        <f t="shared" si="1182"/>
        <v>PA_Merce_2018p</v>
      </c>
      <c r="D6438" s="55" t="str">
        <f t="shared" si="1183"/>
        <v>Dem-precinct committeeman sandy lake borough,(vote for not more than  1)</v>
      </c>
      <c r="E6438" s="55" t="s">
        <v>2574</v>
      </c>
      <c r="G6438" s="60">
        <v>1</v>
      </c>
      <c r="H6438"/>
      <c r="J6438" s="7"/>
      <c r="K6438" s="2"/>
      <c r="O6438">
        <f t="shared" si="1184"/>
        <v>0</v>
      </c>
      <c r="P6438" s="57">
        <f t="shared" si="1185"/>
        <v>1</v>
      </c>
      <c r="Q6438" s="267">
        <f t="shared" si="1186"/>
        <v>1</v>
      </c>
      <c r="R6438" s="23">
        <f t="shared" si="1187"/>
        <v>1</v>
      </c>
      <c r="S6438" s="23">
        <f t="shared" si="1188"/>
        <v>0</v>
      </c>
      <c r="T6438" s="23" t="str">
        <f t="shared" si="1189"/>
        <v/>
      </c>
      <c r="U6438" t="str">
        <f t="shared" si="1190"/>
        <v>PA_Merce_2018p~Dem-precinct committeeman sandy lake borough,(vote for not more than  1)</v>
      </c>
      <c r="V6438" s="40"/>
      <c r="X6438" s="43"/>
      <c r="Y6438" s="53"/>
      <c r="Z6438" s="53"/>
      <c r="AA6438"/>
      <c r="AB6438"/>
      <c r="AC6438" s="23"/>
      <c r="AD6438" s="23"/>
      <c r="AF6438" s="22"/>
      <c r="AG6438" s="339"/>
      <c r="AH6438" s="340"/>
      <c r="AI6438" s="353"/>
      <c r="AJ6438" s="357"/>
      <c r="AK6438" s="355"/>
      <c r="AL6438" s="20"/>
      <c r="AM6438" s="371"/>
      <c r="AN6438" s="372"/>
      <c r="AT6438" s="20"/>
      <c r="AU6438" s="29"/>
      <c r="AV6438"/>
      <c r="AW6438"/>
    </row>
    <row r="6439" spans="1:49">
      <c r="A6439" s="30" t="s">
        <v>2694</v>
      </c>
      <c r="B6439" s="55" t="str">
        <f t="shared" si="1182"/>
        <v>PA_Merce_2018p</v>
      </c>
      <c r="D6439" s="55" t="str">
        <f t="shared" si="1183"/>
        <v>Dem-precinct committeeman sandy lake townshi,(vote for not more than  1)</v>
      </c>
      <c r="E6439" s="55" t="s">
        <v>2574</v>
      </c>
      <c r="G6439" s="60">
        <v>2</v>
      </c>
      <c r="H6439"/>
      <c r="J6439" s="7"/>
      <c r="K6439" s="2"/>
      <c r="O6439">
        <f t="shared" si="1184"/>
        <v>0</v>
      </c>
      <c r="P6439" s="57">
        <f t="shared" si="1185"/>
        <v>1</v>
      </c>
      <c r="Q6439" s="267">
        <f t="shared" si="1186"/>
        <v>2</v>
      </c>
      <c r="R6439" s="23">
        <f t="shared" si="1187"/>
        <v>1</v>
      </c>
      <c r="S6439" s="23">
        <f t="shared" si="1188"/>
        <v>0</v>
      </c>
      <c r="T6439" s="23" t="str">
        <f t="shared" si="1189"/>
        <v/>
      </c>
      <c r="U6439" t="str">
        <f t="shared" si="1190"/>
        <v>PA_Merce_2018p~Dem-precinct committeeman sandy lake townshi,(vote for not more than  1)</v>
      </c>
      <c r="V6439" s="40"/>
      <c r="X6439" s="43"/>
      <c r="Y6439" s="53"/>
      <c r="Z6439" s="53"/>
      <c r="AA6439"/>
      <c r="AB6439"/>
      <c r="AC6439" s="23"/>
      <c r="AD6439" s="23"/>
      <c r="AF6439" s="22"/>
      <c r="AG6439" s="339"/>
      <c r="AH6439" s="340"/>
      <c r="AI6439" s="353"/>
      <c r="AJ6439" s="357"/>
      <c r="AK6439" s="355"/>
      <c r="AL6439" s="20"/>
      <c r="AM6439" s="371"/>
      <c r="AN6439" s="372"/>
      <c r="AT6439" s="20"/>
      <c r="AU6439" s="29"/>
      <c r="AV6439"/>
      <c r="AW6439"/>
    </row>
    <row r="6440" spans="1:49">
      <c r="A6440" s="30" t="s">
        <v>2695</v>
      </c>
      <c r="B6440" s="55" t="str">
        <f t="shared" ref="B6440:B6503" si="1191">LEFT(A6440,14)</f>
        <v>PA_Merce_2018p</v>
      </c>
      <c r="D6440" s="55" t="str">
        <f t="shared" ref="D6440:D6503" si="1192">MID(A6440,16,99)</f>
        <v>Dem-precinct committeeman sharon 1-1,(vote for not more than  1)</v>
      </c>
      <c r="E6440" s="55" t="s">
        <v>2574</v>
      </c>
      <c r="G6440" s="60">
        <v>2</v>
      </c>
      <c r="H6440"/>
      <c r="J6440" s="7"/>
      <c r="K6440" s="2"/>
      <c r="O6440">
        <f t="shared" si="1184"/>
        <v>0</v>
      </c>
      <c r="P6440" s="57">
        <f t="shared" si="1185"/>
        <v>1</v>
      </c>
      <c r="Q6440" s="267">
        <f t="shared" si="1186"/>
        <v>2</v>
      </c>
      <c r="R6440" s="23">
        <f t="shared" si="1187"/>
        <v>1</v>
      </c>
      <c r="S6440" s="23">
        <f t="shared" si="1188"/>
        <v>0</v>
      </c>
      <c r="T6440" s="23" t="str">
        <f t="shared" si="1189"/>
        <v/>
      </c>
      <c r="U6440" t="str">
        <f t="shared" si="1190"/>
        <v>PA_Merce_2018p~Dem-precinct committeeman sharon 1-1,(vote for not more than  1)</v>
      </c>
      <c r="V6440" s="40"/>
      <c r="X6440" s="43"/>
      <c r="Y6440" s="53"/>
      <c r="Z6440" s="53"/>
      <c r="AA6440"/>
      <c r="AB6440"/>
      <c r="AC6440" s="23"/>
      <c r="AD6440" s="23"/>
      <c r="AF6440" s="22"/>
      <c r="AG6440" s="339"/>
      <c r="AH6440" s="340"/>
      <c r="AI6440" s="353"/>
      <c r="AJ6440" s="357"/>
      <c r="AK6440" s="355"/>
      <c r="AL6440" s="20"/>
      <c r="AM6440" s="371"/>
      <c r="AN6440" s="372"/>
      <c r="AT6440" s="20"/>
      <c r="AU6440" s="29"/>
      <c r="AV6440"/>
      <c r="AW6440"/>
    </row>
    <row r="6441" spans="1:49">
      <c r="A6441" s="30" t="s">
        <v>2696</v>
      </c>
      <c r="B6441" s="55" t="str">
        <f t="shared" si="1191"/>
        <v>PA_Merce_2018p</v>
      </c>
      <c r="D6441" s="55" t="str">
        <f t="shared" si="1192"/>
        <v>Dem-precinct committeeman sharon 2-1,(vote for not more than  1)</v>
      </c>
      <c r="E6441" s="55" t="s">
        <v>2697</v>
      </c>
      <c r="G6441" s="60">
        <v>22</v>
      </c>
      <c r="H6441"/>
      <c r="J6441" s="7"/>
      <c r="K6441" s="2"/>
      <c r="O6441">
        <f t="shared" si="1184"/>
        <v>1</v>
      </c>
      <c r="P6441" s="57">
        <f t="shared" si="1185"/>
        <v>1</v>
      </c>
      <c r="Q6441" s="267">
        <f t="shared" si="1186"/>
        <v>24</v>
      </c>
      <c r="R6441" s="23">
        <f t="shared" si="1187"/>
        <v>22</v>
      </c>
      <c r="S6441" s="23">
        <f t="shared" si="1188"/>
        <v>0</v>
      </c>
      <c r="T6441" s="23" t="str">
        <f t="shared" si="1189"/>
        <v/>
      </c>
      <c r="U6441" t="str">
        <f t="shared" si="1190"/>
        <v>PA_Merce_2018p~Dem-precinct committeeman sharon 2-1,(vote for not more than  1)</v>
      </c>
      <c r="V6441" s="40"/>
      <c r="X6441" s="43"/>
      <c r="Y6441" s="53"/>
      <c r="Z6441" s="53"/>
      <c r="AA6441"/>
      <c r="AB6441"/>
      <c r="AC6441" s="23"/>
      <c r="AD6441" s="23"/>
      <c r="AF6441" s="22"/>
      <c r="AG6441" s="339"/>
      <c r="AH6441" s="340"/>
      <c r="AI6441" s="353"/>
      <c r="AJ6441" s="357"/>
      <c r="AK6441" s="355"/>
      <c r="AL6441" s="20"/>
      <c r="AM6441" s="371"/>
      <c r="AN6441" s="372"/>
      <c r="AT6441" s="20"/>
      <c r="AU6441" s="29"/>
      <c r="AV6441"/>
      <c r="AW6441"/>
    </row>
    <row r="6442" spans="1:49">
      <c r="A6442" s="30" t="s">
        <v>2696</v>
      </c>
      <c r="B6442" s="55" t="str">
        <f t="shared" si="1191"/>
        <v>PA_Merce_2018p</v>
      </c>
      <c r="D6442" s="55" t="str">
        <f t="shared" si="1192"/>
        <v>Dem-precinct committeeman sharon 2-1,(vote for not more than  1)</v>
      </c>
      <c r="E6442" s="55" t="s">
        <v>2574</v>
      </c>
      <c r="G6442" s="60">
        <v>2</v>
      </c>
      <c r="H6442"/>
      <c r="J6442" s="7"/>
      <c r="K6442" s="2"/>
      <c r="O6442">
        <f t="shared" si="1184"/>
        <v>-1</v>
      </c>
      <c r="P6442" s="57">
        <f t="shared" si="1185"/>
        <v>1</v>
      </c>
      <c r="Q6442" s="267">
        <f t="shared" si="1186"/>
        <v>2</v>
      </c>
      <c r="R6442" s="23">
        <f t="shared" si="1187"/>
        <v>1</v>
      </c>
      <c r="S6442" s="23">
        <f t="shared" si="1188"/>
        <v>0</v>
      </c>
      <c r="T6442" s="23" t="str">
        <f t="shared" si="1189"/>
        <v/>
      </c>
      <c r="U6442" t="str">
        <f t="shared" si="1190"/>
        <v/>
      </c>
      <c r="V6442" s="40"/>
      <c r="X6442" s="43"/>
      <c r="Y6442" s="53"/>
      <c r="Z6442" s="53"/>
      <c r="AA6442"/>
      <c r="AB6442"/>
      <c r="AC6442" s="23"/>
      <c r="AD6442" s="23"/>
      <c r="AF6442" s="22"/>
      <c r="AG6442" s="339"/>
      <c r="AH6442" s="340"/>
      <c r="AI6442" s="353"/>
      <c r="AJ6442" s="357"/>
      <c r="AK6442" s="355"/>
      <c r="AL6442" s="20"/>
      <c r="AM6442" s="371"/>
      <c r="AN6442" s="372"/>
      <c r="AT6442" s="20"/>
      <c r="AU6442" s="29"/>
      <c r="AV6442"/>
      <c r="AW6442"/>
    </row>
    <row r="6443" spans="1:49">
      <c r="A6443" s="30" t="s">
        <v>2698</v>
      </c>
      <c r="B6443" s="55" t="str">
        <f t="shared" si="1191"/>
        <v>PA_Merce_2018p</v>
      </c>
      <c r="D6443" s="55" t="str">
        <f t="shared" si="1192"/>
        <v>Dem-precinct committeeman sharon 2-2,(vote for not more than  1)</v>
      </c>
      <c r="E6443" s="55" t="s">
        <v>2574</v>
      </c>
      <c r="G6443" s="60">
        <v>3</v>
      </c>
      <c r="H6443"/>
      <c r="J6443" s="7"/>
      <c r="K6443" s="2"/>
      <c r="O6443">
        <f t="shared" si="1184"/>
        <v>0</v>
      </c>
      <c r="P6443" s="57">
        <f t="shared" si="1185"/>
        <v>1</v>
      </c>
      <c r="Q6443" s="267">
        <f t="shared" si="1186"/>
        <v>3</v>
      </c>
      <c r="R6443" s="23">
        <f t="shared" si="1187"/>
        <v>1</v>
      </c>
      <c r="S6443" s="23">
        <f t="shared" si="1188"/>
        <v>0</v>
      </c>
      <c r="T6443" s="23" t="str">
        <f t="shared" si="1189"/>
        <v/>
      </c>
      <c r="U6443" t="str">
        <f t="shared" si="1190"/>
        <v>PA_Merce_2018p~Dem-precinct committeeman sharon 2-2,(vote for not more than  1)</v>
      </c>
      <c r="V6443" s="40"/>
      <c r="X6443" s="43"/>
      <c r="Y6443" s="53"/>
      <c r="Z6443" s="53"/>
      <c r="AA6443"/>
      <c r="AB6443"/>
      <c r="AC6443" s="23"/>
      <c r="AD6443" s="23"/>
      <c r="AF6443" s="22"/>
      <c r="AG6443" s="339"/>
      <c r="AH6443" s="340"/>
      <c r="AI6443" s="353"/>
      <c r="AJ6443" s="357"/>
      <c r="AK6443" s="355"/>
      <c r="AL6443" s="20"/>
      <c r="AM6443" s="371"/>
      <c r="AN6443" s="372"/>
      <c r="AT6443" s="20"/>
      <c r="AU6443" s="29"/>
      <c r="AV6443"/>
      <c r="AW6443"/>
    </row>
    <row r="6444" spans="1:49">
      <c r="A6444" s="30" t="s">
        <v>2699</v>
      </c>
      <c r="B6444" s="55" t="str">
        <f t="shared" si="1191"/>
        <v>PA_Merce_2018p</v>
      </c>
      <c r="D6444" s="55" t="str">
        <f t="shared" si="1192"/>
        <v>Dem-precinct committeeman sharon 2-3,(vote for not more than  1)</v>
      </c>
      <c r="E6444" s="55" t="s">
        <v>2574</v>
      </c>
      <c r="G6444" s="60">
        <v>9</v>
      </c>
      <c r="H6444"/>
      <c r="J6444" s="7"/>
      <c r="K6444" s="2"/>
      <c r="O6444">
        <f t="shared" si="1184"/>
        <v>0</v>
      </c>
      <c r="P6444" s="57">
        <f t="shared" si="1185"/>
        <v>1</v>
      </c>
      <c r="Q6444" s="267">
        <f t="shared" si="1186"/>
        <v>9</v>
      </c>
      <c r="R6444" s="23">
        <f t="shared" si="1187"/>
        <v>1</v>
      </c>
      <c r="S6444" s="23">
        <f t="shared" si="1188"/>
        <v>0</v>
      </c>
      <c r="T6444" s="23" t="str">
        <f t="shared" si="1189"/>
        <v/>
      </c>
      <c r="U6444" t="str">
        <f t="shared" si="1190"/>
        <v>PA_Merce_2018p~Dem-precinct committeeman sharon 2-3,(vote for not more than  1)</v>
      </c>
      <c r="V6444" s="40"/>
      <c r="X6444" s="43"/>
      <c r="Y6444" s="53"/>
      <c r="Z6444" s="53"/>
      <c r="AA6444"/>
      <c r="AB6444"/>
      <c r="AC6444" s="23"/>
      <c r="AD6444" s="23"/>
      <c r="AF6444" s="22"/>
      <c r="AG6444" s="339"/>
      <c r="AH6444" s="340"/>
      <c r="AI6444" s="353"/>
      <c r="AJ6444" s="357"/>
      <c r="AK6444" s="355"/>
      <c r="AL6444" s="20"/>
      <c r="AM6444" s="371"/>
      <c r="AN6444" s="372"/>
      <c r="AT6444" s="20"/>
      <c r="AU6444" s="29"/>
      <c r="AV6444"/>
      <c r="AW6444"/>
    </row>
    <row r="6445" spans="1:49">
      <c r="A6445" s="30" t="s">
        <v>2700</v>
      </c>
      <c r="B6445" s="55" t="str">
        <f t="shared" si="1191"/>
        <v>PA_Merce_2018p</v>
      </c>
      <c r="D6445" s="55" t="str">
        <f t="shared" si="1192"/>
        <v>Dem-precinct committeeman sharon 2-4,(vote for not more than  1)</v>
      </c>
      <c r="E6445" s="55" t="s">
        <v>2701</v>
      </c>
      <c r="G6445" s="60">
        <v>79</v>
      </c>
      <c r="H6445"/>
      <c r="J6445" s="7"/>
      <c r="K6445" s="2"/>
      <c r="O6445">
        <f t="shared" si="1184"/>
        <v>1</v>
      </c>
      <c r="P6445" s="57">
        <f t="shared" si="1185"/>
        <v>1</v>
      </c>
      <c r="Q6445" s="267">
        <f t="shared" si="1186"/>
        <v>82</v>
      </c>
      <c r="R6445" s="23">
        <f t="shared" si="1187"/>
        <v>79</v>
      </c>
      <c r="S6445" s="23">
        <f t="shared" si="1188"/>
        <v>0</v>
      </c>
      <c r="T6445" s="23" t="str">
        <f t="shared" si="1189"/>
        <v/>
      </c>
      <c r="U6445" t="str">
        <f t="shared" si="1190"/>
        <v>PA_Merce_2018p~Dem-precinct committeeman sharon 2-4,(vote for not more than  1)</v>
      </c>
      <c r="V6445" s="40"/>
      <c r="X6445" s="43"/>
      <c r="Y6445" s="53"/>
      <c r="Z6445" s="53"/>
      <c r="AA6445"/>
      <c r="AB6445"/>
      <c r="AC6445" s="23"/>
      <c r="AD6445" s="23"/>
      <c r="AF6445" s="22"/>
      <c r="AG6445" s="339"/>
      <c r="AH6445" s="340"/>
      <c r="AI6445" s="353"/>
      <c r="AJ6445" s="357"/>
      <c r="AK6445" s="355"/>
      <c r="AL6445" s="20"/>
      <c r="AM6445" s="371"/>
      <c r="AN6445" s="372"/>
      <c r="AT6445" s="20"/>
      <c r="AU6445" s="29"/>
      <c r="AV6445"/>
      <c r="AW6445"/>
    </row>
    <row r="6446" spans="1:49">
      <c r="A6446" s="30" t="s">
        <v>2700</v>
      </c>
      <c r="B6446" s="55" t="str">
        <f t="shared" si="1191"/>
        <v>PA_Merce_2018p</v>
      </c>
      <c r="D6446" s="55" t="str">
        <f t="shared" si="1192"/>
        <v>Dem-precinct committeeman sharon 2-4,(vote for not more than  1)</v>
      </c>
      <c r="E6446" s="55" t="s">
        <v>2574</v>
      </c>
      <c r="G6446" s="60">
        <v>3</v>
      </c>
      <c r="H6446"/>
      <c r="J6446" s="7"/>
      <c r="K6446" s="2"/>
      <c r="O6446">
        <f t="shared" si="1184"/>
        <v>-1</v>
      </c>
      <c r="P6446" s="57">
        <f t="shared" si="1185"/>
        <v>1</v>
      </c>
      <c r="Q6446" s="267">
        <f t="shared" si="1186"/>
        <v>3</v>
      </c>
      <c r="R6446" s="23">
        <f t="shared" si="1187"/>
        <v>1</v>
      </c>
      <c r="S6446" s="23">
        <f t="shared" si="1188"/>
        <v>0</v>
      </c>
      <c r="T6446" s="23" t="str">
        <f t="shared" si="1189"/>
        <v/>
      </c>
      <c r="U6446" t="str">
        <f t="shared" si="1190"/>
        <v/>
      </c>
      <c r="V6446" s="40"/>
      <c r="X6446" s="43"/>
      <c r="Y6446" s="53"/>
      <c r="Z6446" s="53"/>
      <c r="AA6446"/>
      <c r="AB6446"/>
      <c r="AC6446" s="23"/>
      <c r="AD6446" s="23"/>
      <c r="AF6446" s="22"/>
      <c r="AG6446" s="339"/>
      <c r="AH6446" s="340"/>
      <c r="AI6446" s="353"/>
      <c r="AJ6446" s="357"/>
      <c r="AK6446" s="355"/>
      <c r="AL6446" s="20"/>
      <c r="AM6446" s="371"/>
      <c r="AN6446" s="372"/>
      <c r="AT6446" s="20"/>
      <c r="AU6446" s="29"/>
      <c r="AV6446"/>
      <c r="AW6446"/>
    </row>
    <row r="6447" spans="1:49">
      <c r="A6447" s="30" t="s">
        <v>2702</v>
      </c>
      <c r="B6447" s="55" t="str">
        <f t="shared" si="1191"/>
        <v>PA_Merce_2018p</v>
      </c>
      <c r="D6447" s="55" t="str">
        <f t="shared" si="1192"/>
        <v>Dem-precinct committeeman sharon 2-5,(vote for not more than  1)</v>
      </c>
      <c r="E6447" s="55" t="s">
        <v>2574</v>
      </c>
      <c r="G6447" s="60">
        <v>2</v>
      </c>
      <c r="H6447"/>
      <c r="J6447" s="7"/>
      <c r="K6447" s="2"/>
      <c r="O6447">
        <f t="shared" si="1184"/>
        <v>0</v>
      </c>
      <c r="P6447" s="57">
        <f t="shared" si="1185"/>
        <v>1</v>
      </c>
      <c r="Q6447" s="267">
        <f t="shared" si="1186"/>
        <v>2</v>
      </c>
      <c r="R6447" s="23">
        <f t="shared" si="1187"/>
        <v>1</v>
      </c>
      <c r="S6447" s="23">
        <f t="shared" si="1188"/>
        <v>0</v>
      </c>
      <c r="T6447" s="23" t="str">
        <f t="shared" si="1189"/>
        <v/>
      </c>
      <c r="U6447" t="str">
        <f t="shared" si="1190"/>
        <v>PA_Merce_2018p~Dem-precinct committeeman sharon 2-5,(vote for not more than  1)</v>
      </c>
      <c r="V6447" s="40"/>
      <c r="X6447" s="43"/>
      <c r="Y6447" s="53"/>
      <c r="Z6447" s="53"/>
      <c r="AA6447"/>
      <c r="AB6447"/>
      <c r="AC6447" s="23"/>
      <c r="AD6447" s="23"/>
      <c r="AF6447" s="22"/>
      <c r="AG6447" s="339"/>
      <c r="AH6447" s="340"/>
      <c r="AI6447" s="353"/>
      <c r="AJ6447" s="357"/>
      <c r="AK6447" s="355"/>
      <c r="AL6447" s="20"/>
      <c r="AM6447" s="371"/>
      <c r="AN6447" s="372"/>
      <c r="AT6447" s="20"/>
      <c r="AU6447" s="29"/>
      <c r="AV6447"/>
      <c r="AW6447"/>
    </row>
    <row r="6448" spans="1:49">
      <c r="A6448" s="30" t="s">
        <v>2703</v>
      </c>
      <c r="B6448" s="55" t="str">
        <f t="shared" si="1191"/>
        <v>PA_Merce_2018p</v>
      </c>
      <c r="D6448" s="55" t="str">
        <f t="shared" si="1192"/>
        <v>Dem-precinct committeeman sharon 3-1,(vote for not more than  1)</v>
      </c>
      <c r="E6448" s="55" t="s">
        <v>2574</v>
      </c>
      <c r="G6448" s="60">
        <v>0</v>
      </c>
      <c r="H6448"/>
      <c r="J6448" s="7"/>
      <c r="K6448" s="2"/>
      <c r="O6448">
        <f t="shared" si="1184"/>
        <v>0</v>
      </c>
      <c r="P6448" s="57">
        <f t="shared" si="1185"/>
        <v>1</v>
      </c>
      <c r="Q6448" s="267">
        <f t="shared" si="1186"/>
        <v>0</v>
      </c>
      <c r="R6448" s="23">
        <f t="shared" si="1187"/>
        <v>1</v>
      </c>
      <c r="S6448" s="23">
        <f t="shared" si="1188"/>
        <v>0</v>
      </c>
      <c r="T6448" s="23" t="str">
        <f t="shared" si="1189"/>
        <v/>
      </c>
      <c r="U6448" t="str">
        <f t="shared" si="1190"/>
        <v>PA_Merce_2018p~Dem-precinct committeeman sharon 3-1,(vote for not more than  1)</v>
      </c>
      <c r="V6448" s="40"/>
      <c r="X6448" s="43"/>
      <c r="Y6448" s="53"/>
      <c r="Z6448" s="53"/>
      <c r="AA6448"/>
      <c r="AB6448"/>
      <c r="AC6448" s="23"/>
      <c r="AD6448" s="23"/>
      <c r="AF6448" s="22"/>
      <c r="AG6448" s="339"/>
      <c r="AH6448" s="340"/>
      <c r="AI6448" s="353"/>
      <c r="AJ6448" s="357"/>
      <c r="AK6448" s="355"/>
      <c r="AL6448" s="20"/>
      <c r="AM6448" s="371"/>
      <c r="AN6448" s="372"/>
      <c r="AT6448" s="20"/>
      <c r="AU6448" s="29"/>
      <c r="AV6448"/>
      <c r="AW6448"/>
    </row>
    <row r="6449" spans="1:49">
      <c r="A6449" s="30" t="s">
        <v>2704</v>
      </c>
      <c r="B6449" s="55" t="str">
        <f t="shared" si="1191"/>
        <v>PA_Merce_2018p</v>
      </c>
      <c r="D6449" s="55" t="str">
        <f t="shared" si="1192"/>
        <v>Dem-precinct committeeman sharon 3-2,(vote for not more than  1)</v>
      </c>
      <c r="E6449" s="55" t="s">
        <v>2574</v>
      </c>
      <c r="G6449" s="60">
        <v>2</v>
      </c>
      <c r="H6449"/>
      <c r="J6449" s="7"/>
      <c r="K6449" s="2"/>
      <c r="O6449">
        <f t="shared" si="1184"/>
        <v>0</v>
      </c>
      <c r="P6449" s="57">
        <f t="shared" si="1185"/>
        <v>1</v>
      </c>
      <c r="Q6449" s="267">
        <f t="shared" si="1186"/>
        <v>2</v>
      </c>
      <c r="R6449" s="23">
        <f t="shared" si="1187"/>
        <v>1</v>
      </c>
      <c r="S6449" s="23">
        <f t="shared" si="1188"/>
        <v>0</v>
      </c>
      <c r="T6449" s="23" t="str">
        <f t="shared" si="1189"/>
        <v/>
      </c>
      <c r="U6449" t="str">
        <f t="shared" si="1190"/>
        <v>PA_Merce_2018p~Dem-precinct committeeman sharon 3-2,(vote for not more than  1)</v>
      </c>
      <c r="V6449" s="40"/>
      <c r="X6449" s="43"/>
      <c r="Y6449" s="53"/>
      <c r="Z6449" s="53"/>
      <c r="AA6449"/>
      <c r="AB6449"/>
      <c r="AC6449" s="23"/>
      <c r="AD6449" s="23"/>
      <c r="AF6449" s="22"/>
      <c r="AG6449" s="339"/>
      <c r="AH6449" s="340"/>
      <c r="AI6449" s="353"/>
      <c r="AJ6449" s="357"/>
      <c r="AK6449" s="355"/>
      <c r="AL6449" s="20"/>
      <c r="AM6449" s="371"/>
      <c r="AN6449" s="372"/>
      <c r="AT6449" s="20"/>
      <c r="AU6449" s="29"/>
      <c r="AV6449"/>
      <c r="AW6449"/>
    </row>
    <row r="6450" spans="1:49">
      <c r="A6450" s="30" t="s">
        <v>2705</v>
      </c>
      <c r="B6450" s="55" t="str">
        <f t="shared" si="1191"/>
        <v>PA_Merce_2018p</v>
      </c>
      <c r="D6450" s="55" t="str">
        <f t="shared" si="1192"/>
        <v>Dem-precinct committeeman sharon 4-1,(vote for not more than  1)</v>
      </c>
      <c r="E6450" s="55" t="s">
        <v>2574</v>
      </c>
      <c r="G6450" s="60">
        <v>3</v>
      </c>
      <c r="H6450"/>
      <c r="J6450" s="7"/>
      <c r="K6450" s="2"/>
      <c r="O6450">
        <f t="shared" si="1184"/>
        <v>0</v>
      </c>
      <c r="P6450" s="57">
        <f t="shared" si="1185"/>
        <v>1</v>
      </c>
      <c r="Q6450" s="267">
        <f t="shared" si="1186"/>
        <v>3</v>
      </c>
      <c r="R6450" s="23">
        <f t="shared" si="1187"/>
        <v>1</v>
      </c>
      <c r="S6450" s="23">
        <f t="shared" si="1188"/>
        <v>0</v>
      </c>
      <c r="T6450" s="23" t="str">
        <f t="shared" si="1189"/>
        <v/>
      </c>
      <c r="U6450" t="str">
        <f t="shared" si="1190"/>
        <v>PA_Merce_2018p~Dem-precinct committeeman sharon 4-1,(vote for not more than  1)</v>
      </c>
      <c r="V6450" s="40"/>
      <c r="X6450" s="43"/>
      <c r="Y6450" s="53"/>
      <c r="Z6450" s="53"/>
      <c r="AA6450"/>
      <c r="AB6450"/>
      <c r="AC6450" s="23"/>
      <c r="AD6450" s="23"/>
      <c r="AF6450" s="22"/>
      <c r="AG6450" s="339"/>
      <c r="AH6450" s="340"/>
      <c r="AI6450" s="353"/>
      <c r="AJ6450" s="357"/>
      <c r="AK6450" s="355"/>
      <c r="AL6450" s="20"/>
      <c r="AM6450" s="371"/>
      <c r="AN6450" s="372"/>
      <c r="AT6450" s="20"/>
      <c r="AU6450" s="29"/>
      <c r="AV6450"/>
      <c r="AW6450"/>
    </row>
    <row r="6451" spans="1:49">
      <c r="A6451" s="30" t="s">
        <v>2706</v>
      </c>
      <c r="B6451" s="55" t="str">
        <f t="shared" si="1191"/>
        <v>PA_Merce_2018p</v>
      </c>
      <c r="D6451" s="55" t="str">
        <f t="shared" si="1192"/>
        <v>Dem-precinct committeeman sharon 4-2,(vote for not more than  1)</v>
      </c>
      <c r="E6451" s="55" t="s">
        <v>2707</v>
      </c>
      <c r="G6451" s="60">
        <v>57</v>
      </c>
      <c r="H6451"/>
      <c r="J6451" s="7"/>
      <c r="K6451" s="2"/>
      <c r="O6451">
        <f t="shared" si="1184"/>
        <v>1</v>
      </c>
      <c r="P6451" s="57">
        <f t="shared" si="1185"/>
        <v>1</v>
      </c>
      <c r="Q6451" s="267">
        <f t="shared" si="1186"/>
        <v>57</v>
      </c>
      <c r="R6451" s="23">
        <f t="shared" si="1187"/>
        <v>57</v>
      </c>
      <c r="S6451" s="23">
        <f t="shared" si="1188"/>
        <v>0</v>
      </c>
      <c r="T6451" s="23" t="str">
        <f t="shared" si="1189"/>
        <v/>
      </c>
      <c r="U6451" t="str">
        <f t="shared" si="1190"/>
        <v>PA_Merce_2018p~Dem-precinct committeeman sharon 4-2,(vote for not more than  1)</v>
      </c>
      <c r="V6451" s="40"/>
      <c r="X6451" s="43"/>
      <c r="Y6451" s="53"/>
      <c r="Z6451" s="53"/>
      <c r="AA6451"/>
      <c r="AB6451"/>
      <c r="AC6451" s="23"/>
      <c r="AD6451" s="23"/>
      <c r="AF6451" s="22"/>
      <c r="AG6451" s="339"/>
      <c r="AH6451" s="340"/>
      <c r="AI6451" s="353"/>
      <c r="AJ6451" s="357"/>
      <c r="AK6451" s="355"/>
      <c r="AL6451" s="20"/>
      <c r="AM6451" s="371"/>
      <c r="AN6451" s="372"/>
      <c r="AT6451" s="20"/>
      <c r="AU6451" s="29"/>
      <c r="AV6451"/>
      <c r="AW6451"/>
    </row>
    <row r="6452" spans="1:49">
      <c r="A6452" s="30" t="s">
        <v>2706</v>
      </c>
      <c r="B6452" s="55" t="str">
        <f t="shared" si="1191"/>
        <v>PA_Merce_2018p</v>
      </c>
      <c r="D6452" s="55" t="str">
        <f t="shared" si="1192"/>
        <v>Dem-precinct committeeman sharon 4-2,(vote for not more than  1)</v>
      </c>
      <c r="E6452" s="55" t="s">
        <v>2574</v>
      </c>
      <c r="G6452" s="60">
        <v>0</v>
      </c>
      <c r="H6452"/>
      <c r="J6452" s="7"/>
      <c r="K6452" s="2"/>
      <c r="O6452">
        <f t="shared" si="1184"/>
        <v>-1</v>
      </c>
      <c r="P6452" s="57">
        <f t="shared" si="1185"/>
        <v>1</v>
      </c>
      <c r="Q6452" s="267">
        <f t="shared" si="1186"/>
        <v>0</v>
      </c>
      <c r="R6452" s="23">
        <f t="shared" si="1187"/>
        <v>1</v>
      </c>
      <c r="S6452" s="23">
        <f t="shared" si="1188"/>
        <v>0</v>
      </c>
      <c r="T6452" s="23" t="str">
        <f t="shared" si="1189"/>
        <v/>
      </c>
      <c r="U6452" t="str">
        <f t="shared" si="1190"/>
        <v/>
      </c>
      <c r="V6452" s="40"/>
      <c r="X6452" s="43"/>
      <c r="Y6452" s="53"/>
      <c r="Z6452" s="53"/>
      <c r="AA6452"/>
      <c r="AB6452"/>
      <c r="AC6452" s="23"/>
      <c r="AD6452" s="23"/>
      <c r="AF6452" s="22"/>
      <c r="AG6452" s="339"/>
      <c r="AH6452" s="340"/>
      <c r="AI6452" s="353"/>
      <c r="AJ6452" s="357"/>
      <c r="AK6452" s="355"/>
      <c r="AL6452" s="20"/>
      <c r="AM6452" s="371"/>
      <c r="AN6452" s="372"/>
      <c r="AT6452" s="20"/>
      <c r="AU6452" s="29"/>
      <c r="AV6452"/>
      <c r="AW6452"/>
    </row>
    <row r="6453" spans="1:49">
      <c r="A6453" s="30" t="s">
        <v>2708</v>
      </c>
      <c r="B6453" s="55" t="str">
        <f t="shared" si="1191"/>
        <v>PA_Merce_2018p</v>
      </c>
      <c r="D6453" s="55" t="str">
        <f t="shared" si="1192"/>
        <v>Dem-precinct committeeman sharon 4-3,(vote for not more than  1)</v>
      </c>
      <c r="E6453" s="55" t="s">
        <v>2574</v>
      </c>
      <c r="G6453" s="60">
        <v>1</v>
      </c>
      <c r="H6453"/>
      <c r="J6453" s="7"/>
      <c r="K6453" s="2"/>
      <c r="O6453">
        <f t="shared" si="1184"/>
        <v>0</v>
      </c>
      <c r="P6453" s="57">
        <f t="shared" si="1185"/>
        <v>1</v>
      </c>
      <c r="Q6453" s="267">
        <f t="shared" si="1186"/>
        <v>1</v>
      </c>
      <c r="R6453" s="23">
        <f t="shared" si="1187"/>
        <v>1</v>
      </c>
      <c r="S6453" s="23">
        <f t="shared" si="1188"/>
        <v>0</v>
      </c>
      <c r="T6453" s="23" t="str">
        <f t="shared" si="1189"/>
        <v/>
      </c>
      <c r="U6453" t="str">
        <f t="shared" si="1190"/>
        <v>PA_Merce_2018p~Dem-precinct committeeman sharon 4-3,(vote for not more than  1)</v>
      </c>
      <c r="V6453" s="40"/>
      <c r="X6453" s="43"/>
      <c r="Y6453" s="53"/>
      <c r="Z6453" s="53"/>
      <c r="AA6453"/>
      <c r="AB6453"/>
      <c r="AC6453" s="23"/>
      <c r="AD6453" s="23"/>
      <c r="AF6453" s="22"/>
      <c r="AG6453" s="339"/>
      <c r="AH6453" s="340"/>
      <c r="AI6453" s="353"/>
      <c r="AJ6453" s="357"/>
      <c r="AK6453" s="355"/>
      <c r="AL6453" s="20"/>
      <c r="AM6453" s="371"/>
      <c r="AN6453" s="372"/>
      <c r="AT6453" s="20"/>
      <c r="AU6453" s="29"/>
      <c r="AV6453"/>
      <c r="AW6453"/>
    </row>
    <row r="6454" spans="1:49">
      <c r="A6454" s="30" t="s">
        <v>2709</v>
      </c>
      <c r="B6454" s="55" t="str">
        <f t="shared" si="1191"/>
        <v>PA_Merce_2018p</v>
      </c>
      <c r="D6454" s="55" t="str">
        <f t="shared" si="1192"/>
        <v>Dem-precinct committeeman sharon 4-4,(vote for not more than  1)</v>
      </c>
      <c r="E6454" s="55" t="s">
        <v>2574</v>
      </c>
      <c r="G6454" s="60">
        <v>0</v>
      </c>
      <c r="H6454"/>
      <c r="J6454" s="7"/>
      <c r="K6454" s="2"/>
      <c r="O6454">
        <f t="shared" si="1184"/>
        <v>0</v>
      </c>
      <c r="P6454" s="57">
        <f t="shared" si="1185"/>
        <v>1</v>
      </c>
      <c r="Q6454" s="267">
        <f t="shared" si="1186"/>
        <v>0</v>
      </c>
      <c r="R6454" s="23">
        <f t="shared" si="1187"/>
        <v>1</v>
      </c>
      <c r="S6454" s="23">
        <f t="shared" si="1188"/>
        <v>0</v>
      </c>
      <c r="T6454" s="23" t="str">
        <f t="shared" si="1189"/>
        <v/>
      </c>
      <c r="U6454" t="str">
        <f t="shared" si="1190"/>
        <v>PA_Merce_2018p~Dem-precinct committeeman sharon 4-4,(vote for not more than  1)</v>
      </c>
      <c r="V6454" s="40"/>
      <c r="X6454" s="43"/>
      <c r="Y6454" s="53"/>
      <c r="Z6454" s="53"/>
      <c r="AA6454"/>
      <c r="AB6454"/>
      <c r="AC6454" s="23"/>
      <c r="AD6454" s="23"/>
      <c r="AF6454" s="22"/>
      <c r="AG6454" s="339"/>
      <c r="AH6454" s="340"/>
      <c r="AI6454" s="353"/>
      <c r="AJ6454" s="357"/>
      <c r="AK6454" s="355"/>
      <c r="AL6454" s="20"/>
      <c r="AM6454" s="371"/>
      <c r="AN6454" s="372"/>
      <c r="AT6454" s="20"/>
      <c r="AU6454" s="29"/>
      <c r="AV6454"/>
      <c r="AW6454"/>
    </row>
    <row r="6455" spans="1:49">
      <c r="A6455" s="30" t="s">
        <v>2710</v>
      </c>
      <c r="B6455" s="55" t="str">
        <f t="shared" si="1191"/>
        <v>PA_Merce_2018p</v>
      </c>
      <c r="D6455" s="55" t="str">
        <f t="shared" si="1192"/>
        <v>Dem-precinct committeeman sharon 4-5,(vote for not more than  1)</v>
      </c>
      <c r="E6455" s="55" t="s">
        <v>2711</v>
      </c>
      <c r="G6455" s="60">
        <v>45</v>
      </c>
      <c r="H6455"/>
      <c r="J6455" s="7"/>
      <c r="K6455" s="2"/>
      <c r="O6455">
        <f t="shared" si="1184"/>
        <v>1</v>
      </c>
      <c r="P6455" s="57">
        <f t="shared" si="1185"/>
        <v>1</v>
      </c>
      <c r="Q6455" s="267">
        <f t="shared" si="1186"/>
        <v>47</v>
      </c>
      <c r="R6455" s="23">
        <f t="shared" si="1187"/>
        <v>45</v>
      </c>
      <c r="S6455" s="23">
        <f t="shared" si="1188"/>
        <v>0</v>
      </c>
      <c r="T6455" s="23" t="str">
        <f t="shared" si="1189"/>
        <v/>
      </c>
      <c r="U6455" t="str">
        <f t="shared" si="1190"/>
        <v>PA_Merce_2018p~Dem-precinct committeeman sharon 4-5,(vote for not more than  1)</v>
      </c>
      <c r="V6455" s="40"/>
      <c r="X6455" s="43"/>
      <c r="Y6455" s="53"/>
      <c r="Z6455" s="53"/>
      <c r="AA6455"/>
      <c r="AB6455"/>
      <c r="AC6455" s="23"/>
      <c r="AD6455" s="23"/>
      <c r="AF6455" s="22"/>
      <c r="AG6455" s="339"/>
      <c r="AH6455" s="340"/>
      <c r="AI6455" s="353"/>
      <c r="AJ6455" s="357"/>
      <c r="AK6455" s="355"/>
      <c r="AL6455" s="20"/>
      <c r="AM6455" s="371"/>
      <c r="AN6455" s="372"/>
      <c r="AT6455" s="20"/>
      <c r="AU6455" s="29"/>
      <c r="AV6455"/>
      <c r="AW6455"/>
    </row>
    <row r="6456" spans="1:49">
      <c r="A6456" s="30" t="s">
        <v>2710</v>
      </c>
      <c r="B6456" s="55" t="str">
        <f t="shared" si="1191"/>
        <v>PA_Merce_2018p</v>
      </c>
      <c r="D6456" s="55" t="str">
        <f t="shared" si="1192"/>
        <v>Dem-precinct committeeman sharon 4-5,(vote for not more than  1)</v>
      </c>
      <c r="E6456" s="55" t="s">
        <v>2574</v>
      </c>
      <c r="G6456" s="60">
        <v>2</v>
      </c>
      <c r="H6456"/>
      <c r="J6456" s="7"/>
      <c r="K6456" s="2"/>
      <c r="O6456">
        <f t="shared" si="1184"/>
        <v>-1</v>
      </c>
      <c r="P6456" s="57">
        <f t="shared" si="1185"/>
        <v>1</v>
      </c>
      <c r="Q6456" s="267">
        <f t="shared" si="1186"/>
        <v>2</v>
      </c>
      <c r="R6456" s="23">
        <f t="shared" si="1187"/>
        <v>1</v>
      </c>
      <c r="S6456" s="23">
        <f t="shared" si="1188"/>
        <v>0</v>
      </c>
      <c r="T6456" s="23" t="str">
        <f t="shared" si="1189"/>
        <v/>
      </c>
      <c r="U6456" t="str">
        <f t="shared" si="1190"/>
        <v/>
      </c>
      <c r="V6456" s="40"/>
      <c r="X6456" s="43"/>
      <c r="Y6456" s="53"/>
      <c r="Z6456" s="53"/>
      <c r="AA6456"/>
      <c r="AB6456"/>
      <c r="AC6456" s="23"/>
      <c r="AD6456" s="23"/>
      <c r="AF6456" s="22"/>
      <c r="AG6456" s="339"/>
      <c r="AH6456" s="340"/>
      <c r="AI6456" s="353"/>
      <c r="AJ6456" s="357"/>
      <c r="AK6456" s="355"/>
      <c r="AL6456" s="20"/>
      <c r="AM6456" s="371"/>
      <c r="AN6456" s="372"/>
      <c r="AT6456" s="20"/>
      <c r="AU6456" s="29"/>
      <c r="AV6456"/>
      <c r="AW6456"/>
    </row>
    <row r="6457" spans="1:49">
      <c r="A6457" s="30" t="s">
        <v>2712</v>
      </c>
      <c r="B6457" s="55" t="str">
        <f t="shared" si="1191"/>
        <v>PA_Merce_2018p</v>
      </c>
      <c r="D6457" s="55" t="str">
        <f t="shared" si="1192"/>
        <v>Dem-precinct committeeman sharon 4-6,(vote for not more than  1)</v>
      </c>
      <c r="E6457" s="55" t="s">
        <v>2574</v>
      </c>
      <c r="G6457" s="60">
        <v>9</v>
      </c>
      <c r="H6457"/>
      <c r="J6457" s="7"/>
      <c r="K6457" s="2"/>
      <c r="O6457">
        <f t="shared" si="1184"/>
        <v>0</v>
      </c>
      <c r="P6457" s="57">
        <f t="shared" si="1185"/>
        <v>1</v>
      </c>
      <c r="Q6457" s="267">
        <f t="shared" si="1186"/>
        <v>9</v>
      </c>
      <c r="R6457" s="23">
        <f t="shared" si="1187"/>
        <v>1</v>
      </c>
      <c r="S6457" s="23">
        <f t="shared" si="1188"/>
        <v>0</v>
      </c>
      <c r="T6457" s="23" t="str">
        <f t="shared" si="1189"/>
        <v/>
      </c>
      <c r="U6457" t="str">
        <f t="shared" si="1190"/>
        <v>PA_Merce_2018p~Dem-precinct committeeman sharon 4-6,(vote for not more than  1)</v>
      </c>
      <c r="V6457" s="40"/>
      <c r="X6457" s="43"/>
      <c r="Y6457" s="53"/>
      <c r="Z6457" s="53"/>
      <c r="AA6457"/>
      <c r="AB6457"/>
      <c r="AC6457" s="23"/>
      <c r="AD6457" s="23"/>
      <c r="AF6457" s="22"/>
      <c r="AG6457" s="339"/>
      <c r="AH6457" s="340"/>
      <c r="AI6457" s="353"/>
      <c r="AJ6457" s="357"/>
      <c r="AK6457" s="355"/>
      <c r="AL6457" s="20"/>
      <c r="AM6457" s="371"/>
      <c r="AN6457" s="372"/>
      <c r="AT6457" s="20"/>
      <c r="AU6457" s="29"/>
      <c r="AV6457"/>
      <c r="AW6457"/>
    </row>
    <row r="6458" spans="1:49">
      <c r="A6458" s="30" t="s">
        <v>2713</v>
      </c>
      <c r="B6458" s="55" t="str">
        <f t="shared" si="1191"/>
        <v>PA_Merce_2018p</v>
      </c>
      <c r="D6458" s="55" t="str">
        <f t="shared" si="1192"/>
        <v>Dem-precinct committeeman sharpsville 1,(vote for not more than  1)</v>
      </c>
      <c r="E6458" s="55" t="s">
        <v>2574</v>
      </c>
      <c r="G6458" s="60">
        <v>1</v>
      </c>
      <c r="H6458"/>
      <c r="J6458" s="7"/>
      <c r="K6458" s="2"/>
      <c r="O6458">
        <f t="shared" si="1184"/>
        <v>0</v>
      </c>
      <c r="P6458" s="57">
        <f t="shared" si="1185"/>
        <v>1</v>
      </c>
      <c r="Q6458" s="267">
        <f t="shared" si="1186"/>
        <v>1</v>
      </c>
      <c r="R6458" s="23">
        <f t="shared" si="1187"/>
        <v>1</v>
      </c>
      <c r="S6458" s="23">
        <f t="shared" si="1188"/>
        <v>0</v>
      </c>
      <c r="T6458" s="23" t="str">
        <f t="shared" si="1189"/>
        <v/>
      </c>
      <c r="U6458" t="str">
        <f t="shared" si="1190"/>
        <v>PA_Merce_2018p~Dem-precinct committeeman sharpsville 1,(vote for not more than  1)</v>
      </c>
      <c r="V6458" s="40"/>
      <c r="X6458" s="43"/>
      <c r="Y6458" s="53"/>
      <c r="Z6458" s="53"/>
      <c r="AA6458"/>
      <c r="AB6458"/>
      <c r="AC6458" s="23"/>
      <c r="AD6458" s="23"/>
      <c r="AF6458" s="22"/>
      <c r="AG6458" s="339"/>
      <c r="AH6458" s="340"/>
      <c r="AI6458" s="353"/>
      <c r="AJ6458" s="357"/>
      <c r="AK6458" s="355"/>
      <c r="AL6458" s="20"/>
      <c r="AM6458" s="371"/>
      <c r="AN6458" s="372"/>
      <c r="AT6458" s="20"/>
      <c r="AU6458" s="29"/>
      <c r="AV6458"/>
      <c r="AW6458"/>
    </row>
    <row r="6459" spans="1:49">
      <c r="A6459" s="30" t="s">
        <v>2714</v>
      </c>
      <c r="B6459" s="55" t="str">
        <f t="shared" si="1191"/>
        <v>PA_Merce_2018p</v>
      </c>
      <c r="D6459" s="55" t="str">
        <f t="shared" si="1192"/>
        <v>Dem-precinct committeeman sharpsville 2,(vote for not more than  1)</v>
      </c>
      <c r="E6459" s="55" t="s">
        <v>2574</v>
      </c>
      <c r="G6459" s="60">
        <v>6</v>
      </c>
      <c r="H6459"/>
      <c r="J6459" s="7"/>
      <c r="K6459" s="2"/>
      <c r="O6459">
        <f t="shared" si="1184"/>
        <v>0</v>
      </c>
      <c r="P6459" s="57">
        <f t="shared" si="1185"/>
        <v>1</v>
      </c>
      <c r="Q6459" s="267">
        <f t="shared" si="1186"/>
        <v>6</v>
      </c>
      <c r="R6459" s="23">
        <f t="shared" si="1187"/>
        <v>1</v>
      </c>
      <c r="S6459" s="23">
        <f t="shared" si="1188"/>
        <v>0</v>
      </c>
      <c r="T6459" s="23" t="str">
        <f t="shared" si="1189"/>
        <v/>
      </c>
      <c r="U6459" t="str">
        <f t="shared" si="1190"/>
        <v>PA_Merce_2018p~Dem-precinct committeeman sharpsville 2,(vote for not more than  1)</v>
      </c>
      <c r="V6459" s="40"/>
      <c r="X6459" s="43"/>
      <c r="Y6459" s="53"/>
      <c r="Z6459" s="53"/>
      <c r="AA6459"/>
      <c r="AB6459"/>
      <c r="AC6459" s="23"/>
      <c r="AD6459" s="23"/>
      <c r="AF6459" s="22"/>
      <c r="AG6459" s="339"/>
      <c r="AH6459" s="340"/>
      <c r="AI6459" s="353"/>
      <c r="AJ6459" s="357"/>
      <c r="AK6459" s="355"/>
      <c r="AL6459" s="20"/>
      <c r="AM6459" s="371"/>
      <c r="AN6459" s="372"/>
      <c r="AT6459" s="20"/>
      <c r="AU6459" s="29"/>
      <c r="AV6459"/>
      <c r="AW6459"/>
    </row>
    <row r="6460" spans="1:49">
      <c r="A6460" s="30" t="s">
        <v>2715</v>
      </c>
      <c r="B6460" s="55" t="str">
        <f t="shared" si="1191"/>
        <v>PA_Merce_2018p</v>
      </c>
      <c r="D6460" s="55" t="str">
        <f t="shared" si="1192"/>
        <v>Dem-precinct committeeman sharpsville 3,(vote for not more than  1)</v>
      </c>
      <c r="E6460" s="55" t="s">
        <v>2574</v>
      </c>
      <c r="G6460" s="60">
        <v>5</v>
      </c>
      <c r="H6460"/>
      <c r="J6460" s="7"/>
      <c r="K6460" s="2"/>
      <c r="O6460">
        <f t="shared" si="1184"/>
        <v>0</v>
      </c>
      <c r="P6460" s="57">
        <f t="shared" si="1185"/>
        <v>1</v>
      </c>
      <c r="Q6460" s="267">
        <f t="shared" si="1186"/>
        <v>5</v>
      </c>
      <c r="R6460" s="23">
        <f t="shared" si="1187"/>
        <v>1</v>
      </c>
      <c r="S6460" s="23">
        <f t="shared" si="1188"/>
        <v>0</v>
      </c>
      <c r="T6460" s="23" t="str">
        <f t="shared" si="1189"/>
        <v/>
      </c>
      <c r="U6460" t="str">
        <f t="shared" si="1190"/>
        <v>PA_Merce_2018p~Dem-precinct committeeman sharpsville 3,(vote for not more than  1)</v>
      </c>
      <c r="V6460" s="40"/>
      <c r="X6460" s="43"/>
      <c r="Y6460" s="53"/>
      <c r="Z6460" s="53"/>
      <c r="AA6460"/>
      <c r="AB6460"/>
      <c r="AC6460" s="23"/>
      <c r="AD6460" s="23"/>
      <c r="AF6460" s="22"/>
      <c r="AG6460" s="339"/>
      <c r="AH6460" s="340"/>
      <c r="AI6460" s="353"/>
      <c r="AJ6460" s="357"/>
      <c r="AK6460" s="355"/>
      <c r="AL6460" s="20"/>
      <c r="AM6460" s="371"/>
      <c r="AN6460" s="372"/>
      <c r="AT6460" s="20"/>
      <c r="AU6460" s="29"/>
      <c r="AV6460"/>
      <c r="AW6460"/>
    </row>
    <row r="6461" spans="1:49">
      <c r="A6461" s="30" t="s">
        <v>2716</v>
      </c>
      <c r="B6461" s="55" t="str">
        <f t="shared" si="1191"/>
        <v>PA_Merce_2018p</v>
      </c>
      <c r="D6461" s="55" t="str">
        <f t="shared" si="1192"/>
        <v>Dem-precinct committeeman sharpsville 4,(vote for not more than  1)</v>
      </c>
      <c r="E6461" s="55" t="s">
        <v>2574</v>
      </c>
      <c r="G6461" s="60">
        <v>0</v>
      </c>
      <c r="H6461"/>
      <c r="J6461" s="7"/>
      <c r="K6461" s="2"/>
      <c r="O6461">
        <f t="shared" si="1184"/>
        <v>0</v>
      </c>
      <c r="P6461" s="57">
        <f t="shared" si="1185"/>
        <v>1</v>
      </c>
      <c r="Q6461" s="267">
        <f t="shared" si="1186"/>
        <v>0</v>
      </c>
      <c r="R6461" s="23">
        <f t="shared" si="1187"/>
        <v>1</v>
      </c>
      <c r="S6461" s="23">
        <f t="shared" si="1188"/>
        <v>0</v>
      </c>
      <c r="T6461" s="23" t="str">
        <f t="shared" si="1189"/>
        <v/>
      </c>
      <c r="U6461" t="str">
        <f t="shared" si="1190"/>
        <v>PA_Merce_2018p~Dem-precinct committeeman sharpsville 4,(vote for not more than  1)</v>
      </c>
      <c r="V6461" s="40"/>
      <c r="X6461" s="43"/>
      <c r="Y6461" s="53"/>
      <c r="Z6461" s="53"/>
      <c r="AA6461"/>
      <c r="AB6461"/>
      <c r="AC6461" s="23"/>
      <c r="AD6461" s="23"/>
      <c r="AF6461" s="22"/>
      <c r="AG6461" s="339"/>
      <c r="AH6461" s="340"/>
      <c r="AI6461" s="353"/>
      <c r="AJ6461" s="357"/>
      <c r="AK6461" s="355"/>
      <c r="AL6461" s="20"/>
      <c r="AM6461" s="371"/>
      <c r="AN6461" s="372"/>
      <c r="AT6461" s="20"/>
      <c r="AU6461" s="29"/>
      <c r="AV6461"/>
      <c r="AW6461"/>
    </row>
    <row r="6462" spans="1:49">
      <c r="A6462" s="30" t="s">
        <v>2717</v>
      </c>
      <c r="B6462" s="55" t="str">
        <f t="shared" si="1191"/>
        <v>PA_Merce_2018p</v>
      </c>
      <c r="D6462" s="55" t="str">
        <f t="shared" si="1192"/>
        <v>Dem-precinct committeeman sheakleyville,(vote for not more than  1)</v>
      </c>
      <c r="E6462" s="55" t="s">
        <v>2574</v>
      </c>
      <c r="G6462" s="60">
        <v>0</v>
      </c>
      <c r="H6462"/>
      <c r="J6462" s="7"/>
      <c r="K6462" s="2"/>
      <c r="O6462">
        <f t="shared" si="1184"/>
        <v>0</v>
      </c>
      <c r="P6462" s="57">
        <f t="shared" si="1185"/>
        <v>1</v>
      </c>
      <c r="Q6462" s="267">
        <f t="shared" si="1186"/>
        <v>0</v>
      </c>
      <c r="R6462" s="23">
        <f t="shared" si="1187"/>
        <v>1</v>
      </c>
      <c r="S6462" s="23">
        <f t="shared" si="1188"/>
        <v>0</v>
      </c>
      <c r="T6462" s="23" t="str">
        <f t="shared" si="1189"/>
        <v/>
      </c>
      <c r="U6462" t="str">
        <f t="shared" si="1190"/>
        <v>PA_Merce_2018p~Dem-precinct committeeman sheakleyville,(vote for not more than  1)</v>
      </c>
      <c r="V6462" s="40"/>
      <c r="X6462" s="43"/>
      <c r="Y6462" s="53"/>
      <c r="Z6462" s="53"/>
      <c r="AA6462"/>
      <c r="AB6462"/>
      <c r="AC6462" s="23"/>
      <c r="AD6462" s="23"/>
      <c r="AF6462" s="22"/>
      <c r="AG6462" s="339"/>
      <c r="AH6462" s="340"/>
      <c r="AI6462" s="353"/>
      <c r="AJ6462" s="357"/>
      <c r="AK6462" s="355"/>
      <c r="AL6462" s="20"/>
      <c r="AM6462" s="371"/>
      <c r="AN6462" s="372"/>
      <c r="AT6462" s="20"/>
      <c r="AU6462" s="29"/>
      <c r="AV6462"/>
      <c r="AW6462"/>
    </row>
    <row r="6463" spans="1:49">
      <c r="A6463" s="30" t="s">
        <v>2718</v>
      </c>
      <c r="B6463" s="55" t="str">
        <f t="shared" si="1191"/>
        <v>PA_Merce_2018p</v>
      </c>
      <c r="D6463" s="55" t="str">
        <f t="shared" si="1192"/>
        <v>Dem-precinct committeeman shenango east,(vote for not more than  1)</v>
      </c>
      <c r="E6463" s="55" t="s">
        <v>2574</v>
      </c>
      <c r="G6463" s="60">
        <v>5</v>
      </c>
      <c r="H6463"/>
      <c r="J6463" s="7"/>
      <c r="K6463" s="2"/>
      <c r="O6463">
        <f t="shared" si="1184"/>
        <v>0</v>
      </c>
      <c r="P6463" s="57">
        <f t="shared" si="1185"/>
        <v>1</v>
      </c>
      <c r="Q6463" s="267">
        <f t="shared" si="1186"/>
        <v>5</v>
      </c>
      <c r="R6463" s="23">
        <f t="shared" si="1187"/>
        <v>1</v>
      </c>
      <c r="S6463" s="23">
        <f t="shared" si="1188"/>
        <v>0</v>
      </c>
      <c r="T6463" s="23" t="str">
        <f t="shared" si="1189"/>
        <v/>
      </c>
      <c r="U6463" t="str">
        <f t="shared" si="1190"/>
        <v>PA_Merce_2018p~Dem-precinct committeeman shenango east,(vote for not more than  1)</v>
      </c>
      <c r="V6463" s="40"/>
      <c r="X6463" s="43"/>
      <c r="Y6463" s="53"/>
      <c r="Z6463" s="53"/>
      <c r="AA6463"/>
      <c r="AB6463"/>
      <c r="AC6463" s="23"/>
      <c r="AD6463" s="23"/>
      <c r="AF6463" s="88"/>
      <c r="AG6463" s="339"/>
      <c r="AH6463" s="340"/>
      <c r="AI6463" s="353"/>
      <c r="AJ6463" s="357"/>
      <c r="AK6463" s="355"/>
      <c r="AL6463" s="20"/>
      <c r="AM6463" s="371"/>
      <c r="AN6463" s="372"/>
      <c r="AT6463" s="20"/>
      <c r="AU6463" s="29"/>
      <c r="AV6463"/>
      <c r="AW6463"/>
    </row>
    <row r="6464" spans="1:49">
      <c r="A6464" s="30" t="s">
        <v>2719</v>
      </c>
      <c r="B6464" s="55" t="str">
        <f t="shared" si="1191"/>
        <v>PA_Merce_2018p</v>
      </c>
      <c r="D6464" s="55" t="str">
        <f t="shared" si="1192"/>
        <v>Dem-precinct committeeman shenango west,(vote for not more than  1)</v>
      </c>
      <c r="E6464" s="55" t="s">
        <v>2574</v>
      </c>
      <c r="G6464" s="60">
        <v>9</v>
      </c>
      <c r="H6464"/>
      <c r="J6464" s="7"/>
      <c r="K6464" s="2"/>
      <c r="O6464">
        <f t="shared" si="1184"/>
        <v>0</v>
      </c>
      <c r="P6464" s="57">
        <f t="shared" si="1185"/>
        <v>1</v>
      </c>
      <c r="Q6464" s="267">
        <f t="shared" si="1186"/>
        <v>9</v>
      </c>
      <c r="R6464" s="23">
        <f t="shared" si="1187"/>
        <v>1</v>
      </c>
      <c r="S6464" s="23">
        <f t="shared" si="1188"/>
        <v>0</v>
      </c>
      <c r="T6464" s="23" t="str">
        <f t="shared" si="1189"/>
        <v/>
      </c>
      <c r="U6464" t="str">
        <f t="shared" si="1190"/>
        <v>PA_Merce_2018p~Dem-precinct committeeman shenango west,(vote for not more than  1)</v>
      </c>
      <c r="V6464" s="40"/>
      <c r="X6464" s="43"/>
      <c r="Y6464" s="53"/>
      <c r="Z6464" s="53"/>
      <c r="AA6464"/>
      <c r="AB6464"/>
      <c r="AC6464" s="23"/>
      <c r="AD6464" s="23"/>
      <c r="AF6464" s="88"/>
      <c r="AG6464" s="339"/>
      <c r="AH6464" s="340"/>
      <c r="AI6464" s="353"/>
      <c r="AJ6464" s="357"/>
      <c r="AK6464" s="355"/>
      <c r="AL6464" s="20"/>
      <c r="AM6464" s="371"/>
      <c r="AN6464" s="372"/>
      <c r="AT6464" s="20"/>
      <c r="AU6464" s="29"/>
      <c r="AV6464"/>
      <c r="AW6464"/>
    </row>
    <row r="6465" spans="1:49">
      <c r="A6465" s="30" t="s">
        <v>2720</v>
      </c>
      <c r="B6465" s="55" t="str">
        <f t="shared" si="1191"/>
        <v>PA_Merce_2018p</v>
      </c>
      <c r="D6465" s="55" t="str">
        <f t="shared" si="1192"/>
        <v>Dem-precinct committeeman south pymatuning 1,(vote for not more than  1)</v>
      </c>
      <c r="E6465" s="55" t="s">
        <v>2574</v>
      </c>
      <c r="G6465" s="60">
        <v>0</v>
      </c>
      <c r="H6465"/>
      <c r="J6465" s="7"/>
      <c r="K6465" s="2"/>
      <c r="O6465">
        <f t="shared" si="1184"/>
        <v>0</v>
      </c>
      <c r="P6465" s="57">
        <f t="shared" si="1185"/>
        <v>1</v>
      </c>
      <c r="Q6465" s="267">
        <f t="shared" si="1186"/>
        <v>0</v>
      </c>
      <c r="R6465" s="23">
        <f t="shared" si="1187"/>
        <v>1</v>
      </c>
      <c r="S6465" s="23">
        <f t="shared" si="1188"/>
        <v>0</v>
      </c>
      <c r="T6465" s="23" t="str">
        <f t="shared" si="1189"/>
        <v/>
      </c>
      <c r="U6465" t="str">
        <f t="shared" si="1190"/>
        <v>PA_Merce_2018p~Dem-precinct committeeman south pymatuning 1,(vote for not more than  1)</v>
      </c>
      <c r="V6465" s="40"/>
      <c r="X6465" s="43"/>
      <c r="Y6465" s="53"/>
      <c r="Z6465" s="53"/>
      <c r="AA6465"/>
      <c r="AB6465"/>
      <c r="AC6465" s="23"/>
      <c r="AD6465" s="23"/>
      <c r="AF6465" s="88"/>
      <c r="AG6465" s="339"/>
      <c r="AH6465" s="340"/>
      <c r="AI6465" s="353"/>
      <c r="AJ6465" s="357"/>
      <c r="AK6465" s="355"/>
      <c r="AL6465" s="20"/>
      <c r="AM6465" s="371"/>
      <c r="AN6465" s="372"/>
      <c r="AT6465" s="20"/>
      <c r="AU6465" s="29"/>
      <c r="AV6465"/>
      <c r="AW6465"/>
    </row>
    <row r="6466" spans="1:49">
      <c r="A6466" s="30" t="s">
        <v>2721</v>
      </c>
      <c r="B6466" s="55" t="str">
        <f t="shared" si="1191"/>
        <v>PA_Merce_2018p</v>
      </c>
      <c r="D6466" s="55" t="str">
        <f t="shared" si="1192"/>
        <v>Dem-precinct committeeman south pymatuning 2,(vote for not more than  1)</v>
      </c>
      <c r="E6466" s="55" t="s">
        <v>2722</v>
      </c>
      <c r="G6466" s="60">
        <v>90</v>
      </c>
      <c r="H6466"/>
      <c r="J6466" s="7"/>
      <c r="K6466" s="2"/>
      <c r="O6466">
        <f t="shared" ref="O6466:O6529" si="1193">IF(OR(LOWER(LEFT(E6466,8))="write-in",LOWER(LEFT(E6466,8))="not qual"),IF(A6466=A6465,-ABS(O6465),0),IF(A6466=A6465,ABS(O6465)+1,1))</f>
        <v>1</v>
      </c>
      <c r="P6466" s="57">
        <f t="shared" ref="P6466:P6529" si="1194">1*LEFT(RIGHT(A6466,2),1)</f>
        <v>1</v>
      </c>
      <c r="Q6466" s="267">
        <f t="shared" ref="Q6466:Q6529" si="1195">IF(A6466&lt;&gt;A6467,G6466,IF(A6466=A6465,G6466+Q6467,MAX(G6466,(G6466+Q6467)/P6466)))</f>
        <v>90</v>
      </c>
      <c r="R6466" s="23">
        <f t="shared" ref="R6466:R6529" si="1196">IF(O6466&gt;P6466,"",IF(O6466=P6466,G6466,IF(A6466=A6467,R6467,IF(O6466&lt;=0,1,G6466))))</f>
        <v>90</v>
      </c>
      <c r="S6466" s="23">
        <f t="shared" ref="S6466:S6529" si="1197">IF(AND(O6466&gt;P6466,LOWER(LEFT(E6466,8))&lt;&gt;"write-in",LOWER(LEFT(E6466,8))&lt;&gt;"not qual"),G6466,IF(A6466=A6467,S6467,0))</f>
        <v>0</v>
      </c>
      <c r="T6466" s="23" t="str">
        <f t="shared" ref="T6466:T6529" si="1198">IF(OR(A6466=A6465,S6466=0),"",R6466-ABS(S6466))</f>
        <v/>
      </c>
      <c r="U6466" t="str">
        <f t="shared" ref="U6466:U6529" si="1199">IF(A6466=A6465,"",A6466)</f>
        <v>PA_Merce_2018p~Dem-precinct committeeman south pymatuning 2,(vote for not more than  1)</v>
      </c>
      <c r="V6466" s="40"/>
      <c r="X6466" s="43"/>
      <c r="Y6466" s="53"/>
      <c r="Z6466" s="53"/>
      <c r="AA6466"/>
      <c r="AB6466"/>
      <c r="AC6466" s="23"/>
      <c r="AD6466" s="23"/>
      <c r="AF6466" s="88"/>
      <c r="AG6466" s="339"/>
      <c r="AH6466" s="340"/>
      <c r="AI6466" s="353"/>
      <c r="AJ6466" s="357"/>
      <c r="AK6466" s="355"/>
      <c r="AL6466" s="20"/>
      <c r="AM6466" s="371"/>
      <c r="AN6466" s="372"/>
      <c r="AT6466" s="20"/>
      <c r="AU6466" s="29"/>
      <c r="AV6466"/>
      <c r="AW6466"/>
    </row>
    <row r="6467" spans="1:49">
      <c r="A6467" s="30" t="s">
        <v>2721</v>
      </c>
      <c r="B6467" s="55" t="str">
        <f t="shared" si="1191"/>
        <v>PA_Merce_2018p</v>
      </c>
      <c r="D6467" s="55" t="str">
        <f t="shared" si="1192"/>
        <v>Dem-precinct committeeman south pymatuning 2,(vote for not more than  1)</v>
      </c>
      <c r="E6467" s="55" t="s">
        <v>2574</v>
      </c>
      <c r="G6467" s="60">
        <v>0</v>
      </c>
      <c r="H6467"/>
      <c r="J6467" s="7"/>
      <c r="K6467" s="2"/>
      <c r="O6467">
        <f t="shared" si="1193"/>
        <v>-1</v>
      </c>
      <c r="P6467" s="57">
        <f t="shared" si="1194"/>
        <v>1</v>
      </c>
      <c r="Q6467" s="267">
        <f t="shared" si="1195"/>
        <v>0</v>
      </c>
      <c r="R6467" s="23">
        <f t="shared" si="1196"/>
        <v>1</v>
      </c>
      <c r="S6467" s="23">
        <f t="shared" si="1197"/>
        <v>0</v>
      </c>
      <c r="T6467" s="23" t="str">
        <f t="shared" si="1198"/>
        <v/>
      </c>
      <c r="U6467" t="str">
        <f t="shared" si="1199"/>
        <v/>
      </c>
      <c r="V6467" s="40"/>
      <c r="X6467" s="43"/>
      <c r="Y6467" s="53"/>
      <c r="Z6467" s="53"/>
      <c r="AA6467"/>
      <c r="AB6467"/>
      <c r="AC6467" s="23"/>
      <c r="AD6467" s="23"/>
      <c r="AF6467" s="88"/>
      <c r="AG6467" s="339"/>
      <c r="AH6467" s="340"/>
      <c r="AI6467" s="353"/>
      <c r="AJ6467" s="357"/>
      <c r="AK6467" s="355"/>
      <c r="AL6467" s="20"/>
      <c r="AM6467" s="371"/>
      <c r="AN6467" s="372"/>
      <c r="AT6467" s="20"/>
      <c r="AU6467" s="29"/>
      <c r="AV6467"/>
      <c r="AW6467"/>
    </row>
    <row r="6468" spans="1:49">
      <c r="A6468" s="30" t="s">
        <v>2723</v>
      </c>
      <c r="B6468" s="55" t="str">
        <f t="shared" si="1191"/>
        <v>PA_Merce_2018p</v>
      </c>
      <c r="D6468" s="55" t="str">
        <f t="shared" si="1192"/>
        <v>Dem-precinct committeeman south pymatuning 3,(vote for not more than  1)</v>
      </c>
      <c r="E6468" s="55" t="s">
        <v>2724</v>
      </c>
      <c r="G6468" s="60">
        <v>39</v>
      </c>
      <c r="H6468"/>
      <c r="J6468" s="7"/>
      <c r="K6468" s="2"/>
      <c r="O6468">
        <f t="shared" si="1193"/>
        <v>1</v>
      </c>
      <c r="P6468" s="57">
        <f t="shared" si="1194"/>
        <v>1</v>
      </c>
      <c r="Q6468" s="267">
        <f t="shared" si="1195"/>
        <v>39</v>
      </c>
      <c r="R6468" s="23">
        <f t="shared" si="1196"/>
        <v>39</v>
      </c>
      <c r="S6468" s="23">
        <f t="shared" si="1197"/>
        <v>0</v>
      </c>
      <c r="T6468" s="23" t="str">
        <f t="shared" si="1198"/>
        <v/>
      </c>
      <c r="U6468" t="str">
        <f t="shared" si="1199"/>
        <v>PA_Merce_2018p~Dem-precinct committeeman south pymatuning 3,(vote for not more than  1)</v>
      </c>
      <c r="V6468" s="40"/>
      <c r="X6468" s="43"/>
      <c r="Y6468" s="53"/>
      <c r="Z6468" s="53"/>
      <c r="AA6468"/>
      <c r="AB6468"/>
      <c r="AC6468" s="23"/>
      <c r="AD6468" s="23"/>
      <c r="AF6468" s="88"/>
      <c r="AG6468" s="339"/>
      <c r="AH6468" s="340"/>
      <c r="AI6468" s="353"/>
      <c r="AJ6468" s="357"/>
      <c r="AK6468" s="355"/>
      <c r="AL6468" s="20"/>
      <c r="AM6468" s="371"/>
      <c r="AN6468" s="372"/>
      <c r="AT6468" s="20"/>
      <c r="AU6468" s="29"/>
      <c r="AV6468"/>
      <c r="AW6468"/>
    </row>
    <row r="6469" spans="1:49">
      <c r="A6469" s="30" t="s">
        <v>2723</v>
      </c>
      <c r="B6469" s="55" t="str">
        <f t="shared" si="1191"/>
        <v>PA_Merce_2018p</v>
      </c>
      <c r="D6469" s="55" t="str">
        <f t="shared" si="1192"/>
        <v>Dem-precinct committeeman south pymatuning 3,(vote for not more than  1)</v>
      </c>
      <c r="E6469" s="55" t="s">
        <v>2574</v>
      </c>
      <c r="G6469" s="60">
        <v>0</v>
      </c>
      <c r="H6469"/>
      <c r="J6469" s="7"/>
      <c r="K6469" s="2"/>
      <c r="O6469">
        <f t="shared" si="1193"/>
        <v>-1</v>
      </c>
      <c r="P6469" s="57">
        <f t="shared" si="1194"/>
        <v>1</v>
      </c>
      <c r="Q6469" s="267">
        <f t="shared" si="1195"/>
        <v>0</v>
      </c>
      <c r="R6469" s="23">
        <f t="shared" si="1196"/>
        <v>1</v>
      </c>
      <c r="S6469" s="23">
        <f t="shared" si="1197"/>
        <v>0</v>
      </c>
      <c r="T6469" s="23" t="str">
        <f t="shared" si="1198"/>
        <v/>
      </c>
      <c r="U6469" t="str">
        <f t="shared" si="1199"/>
        <v/>
      </c>
      <c r="V6469" s="40"/>
      <c r="X6469" s="43"/>
      <c r="Y6469" s="53"/>
      <c r="Z6469" s="53"/>
      <c r="AA6469"/>
      <c r="AB6469"/>
      <c r="AC6469" s="23"/>
      <c r="AD6469" s="23"/>
      <c r="AF6469" s="88"/>
      <c r="AG6469" s="339"/>
      <c r="AH6469" s="340"/>
      <c r="AI6469" s="353"/>
      <c r="AJ6469" s="357"/>
      <c r="AK6469" s="355"/>
      <c r="AL6469" s="20"/>
      <c r="AM6469" s="371"/>
      <c r="AN6469" s="372"/>
      <c r="AT6469" s="20"/>
      <c r="AU6469" s="29"/>
      <c r="AV6469"/>
      <c r="AW6469"/>
    </row>
    <row r="6470" spans="1:49">
      <c r="A6470" s="30" t="s">
        <v>2725</v>
      </c>
      <c r="B6470" s="55" t="str">
        <f t="shared" si="1191"/>
        <v>PA_Merce_2018p</v>
      </c>
      <c r="D6470" s="55" t="str">
        <f t="shared" si="1192"/>
        <v>Dem-precinct committeeman springfield east,(vote for not more than  1)</v>
      </c>
      <c r="E6470" s="55" t="s">
        <v>2574</v>
      </c>
      <c r="G6470" s="60">
        <v>2</v>
      </c>
      <c r="H6470"/>
      <c r="J6470" s="7"/>
      <c r="K6470" s="2"/>
      <c r="O6470">
        <f t="shared" si="1193"/>
        <v>0</v>
      </c>
      <c r="P6470" s="57">
        <f t="shared" si="1194"/>
        <v>1</v>
      </c>
      <c r="Q6470" s="267">
        <f t="shared" si="1195"/>
        <v>2</v>
      </c>
      <c r="R6470" s="23">
        <f t="shared" si="1196"/>
        <v>1</v>
      </c>
      <c r="S6470" s="23">
        <f t="shared" si="1197"/>
        <v>0</v>
      </c>
      <c r="T6470" s="23" t="str">
        <f t="shared" si="1198"/>
        <v/>
      </c>
      <c r="U6470" t="str">
        <f t="shared" si="1199"/>
        <v>PA_Merce_2018p~Dem-precinct committeeman springfield east,(vote for not more than  1)</v>
      </c>
      <c r="V6470" s="40"/>
      <c r="X6470" s="43"/>
      <c r="Y6470" s="53"/>
      <c r="Z6470" s="53"/>
      <c r="AA6470"/>
      <c r="AB6470"/>
      <c r="AC6470" s="23"/>
      <c r="AD6470" s="23"/>
      <c r="AF6470" s="88"/>
      <c r="AG6470" s="339"/>
      <c r="AH6470" s="340"/>
      <c r="AI6470" s="353"/>
      <c r="AJ6470" s="357"/>
      <c r="AK6470" s="355"/>
      <c r="AL6470" s="20"/>
      <c r="AM6470" s="371"/>
      <c r="AN6470" s="372"/>
      <c r="AT6470" s="20"/>
      <c r="AU6470" s="29"/>
      <c r="AV6470"/>
      <c r="AW6470"/>
    </row>
    <row r="6471" spans="1:49">
      <c r="A6471" s="30" t="s">
        <v>2726</v>
      </c>
      <c r="B6471" s="55" t="str">
        <f t="shared" si="1191"/>
        <v>PA_Merce_2018p</v>
      </c>
      <c r="D6471" s="55" t="str">
        <f t="shared" si="1192"/>
        <v>Dem-precinct committeeman springfield west,(vote for not more than  1)</v>
      </c>
      <c r="E6471" s="55" t="s">
        <v>2727</v>
      </c>
      <c r="G6471" s="60">
        <v>40</v>
      </c>
      <c r="H6471"/>
      <c r="J6471" s="7"/>
      <c r="K6471" s="2"/>
      <c r="O6471">
        <f t="shared" si="1193"/>
        <v>1</v>
      </c>
      <c r="P6471" s="57">
        <f t="shared" si="1194"/>
        <v>1</v>
      </c>
      <c r="Q6471" s="267">
        <f t="shared" si="1195"/>
        <v>40</v>
      </c>
      <c r="R6471" s="23">
        <f t="shared" si="1196"/>
        <v>40</v>
      </c>
      <c r="S6471" s="23">
        <f t="shared" si="1197"/>
        <v>0</v>
      </c>
      <c r="T6471" s="23" t="str">
        <f t="shared" si="1198"/>
        <v/>
      </c>
      <c r="U6471" t="str">
        <f t="shared" si="1199"/>
        <v>PA_Merce_2018p~Dem-precinct committeeman springfield west,(vote for not more than  1)</v>
      </c>
      <c r="V6471" s="40"/>
      <c r="X6471" s="43"/>
      <c r="Y6471" s="53"/>
      <c r="Z6471" s="53"/>
      <c r="AA6471"/>
      <c r="AB6471"/>
      <c r="AC6471" s="23"/>
      <c r="AD6471" s="23"/>
      <c r="AF6471" s="88"/>
      <c r="AG6471" s="339"/>
      <c r="AH6471" s="340"/>
      <c r="AI6471" s="353"/>
      <c r="AJ6471" s="357"/>
      <c r="AK6471" s="355"/>
      <c r="AL6471" s="20"/>
      <c r="AM6471" s="371"/>
      <c r="AN6471" s="372"/>
      <c r="AT6471" s="20"/>
      <c r="AU6471" s="29"/>
      <c r="AV6471"/>
      <c r="AW6471"/>
    </row>
    <row r="6472" spans="1:49">
      <c r="A6472" s="30" t="s">
        <v>2726</v>
      </c>
      <c r="B6472" s="55" t="str">
        <f t="shared" si="1191"/>
        <v>PA_Merce_2018p</v>
      </c>
      <c r="D6472" s="55" t="str">
        <f t="shared" si="1192"/>
        <v>Dem-precinct committeeman springfield west,(vote for not more than  1)</v>
      </c>
      <c r="E6472" s="55" t="s">
        <v>2574</v>
      </c>
      <c r="G6472" s="60">
        <v>0</v>
      </c>
      <c r="H6472"/>
      <c r="J6472" s="7"/>
      <c r="K6472" s="2"/>
      <c r="O6472">
        <f t="shared" si="1193"/>
        <v>-1</v>
      </c>
      <c r="P6472" s="57">
        <f t="shared" si="1194"/>
        <v>1</v>
      </c>
      <c r="Q6472" s="267">
        <f t="shared" si="1195"/>
        <v>0</v>
      </c>
      <c r="R6472" s="23">
        <f t="shared" si="1196"/>
        <v>1</v>
      </c>
      <c r="S6472" s="23">
        <f t="shared" si="1197"/>
        <v>0</v>
      </c>
      <c r="T6472" s="23" t="str">
        <f t="shared" si="1198"/>
        <v/>
      </c>
      <c r="U6472" t="str">
        <f t="shared" si="1199"/>
        <v/>
      </c>
      <c r="V6472" s="40"/>
      <c r="X6472" s="43"/>
      <c r="Y6472" s="53"/>
      <c r="Z6472" s="53"/>
      <c r="AA6472"/>
      <c r="AB6472"/>
      <c r="AC6472" s="23"/>
      <c r="AD6472" s="23"/>
      <c r="AF6472" s="88"/>
      <c r="AG6472" s="339"/>
      <c r="AH6472" s="340"/>
      <c r="AI6472" s="353"/>
      <c r="AJ6472" s="357"/>
      <c r="AK6472" s="355"/>
      <c r="AL6472" s="20"/>
      <c r="AM6472" s="371"/>
      <c r="AN6472" s="372"/>
      <c r="AT6472" s="20"/>
      <c r="AU6472" s="29"/>
      <c r="AV6472"/>
      <c r="AW6472"/>
    </row>
    <row r="6473" spans="1:49">
      <c r="A6473" s="30" t="s">
        <v>2728</v>
      </c>
      <c r="B6473" s="55" t="str">
        <f t="shared" si="1191"/>
        <v>PA_Merce_2018p</v>
      </c>
      <c r="D6473" s="55" t="str">
        <f t="shared" si="1192"/>
        <v>Dem-precinct committeeman stoneboro,(vote for not more than  1)</v>
      </c>
      <c r="E6473" s="55" t="s">
        <v>2729</v>
      </c>
      <c r="G6473" s="60">
        <v>44</v>
      </c>
      <c r="H6473"/>
      <c r="J6473" s="7"/>
      <c r="K6473" s="2"/>
      <c r="O6473">
        <f t="shared" si="1193"/>
        <v>1</v>
      </c>
      <c r="P6473" s="57">
        <f t="shared" si="1194"/>
        <v>1</v>
      </c>
      <c r="Q6473" s="267">
        <f t="shared" si="1195"/>
        <v>46</v>
      </c>
      <c r="R6473" s="23">
        <f t="shared" si="1196"/>
        <v>44</v>
      </c>
      <c r="S6473" s="23">
        <f t="shared" si="1197"/>
        <v>0</v>
      </c>
      <c r="T6473" s="23" t="str">
        <f t="shared" si="1198"/>
        <v/>
      </c>
      <c r="U6473" t="str">
        <f t="shared" si="1199"/>
        <v>PA_Merce_2018p~Dem-precinct committeeman stoneboro,(vote for not more than  1)</v>
      </c>
      <c r="V6473" s="40"/>
      <c r="X6473" s="43"/>
      <c r="Y6473" s="53"/>
      <c r="Z6473" s="53"/>
      <c r="AA6473"/>
      <c r="AB6473"/>
      <c r="AC6473" s="23"/>
      <c r="AD6473" s="23"/>
      <c r="AF6473" s="88"/>
      <c r="AG6473" s="339"/>
      <c r="AH6473" s="340"/>
      <c r="AI6473" s="353"/>
      <c r="AJ6473" s="357"/>
      <c r="AK6473" s="355"/>
      <c r="AL6473" s="20"/>
      <c r="AM6473" s="371"/>
      <c r="AN6473" s="372"/>
      <c r="AT6473" s="20"/>
      <c r="AU6473" s="29"/>
      <c r="AV6473"/>
      <c r="AW6473"/>
    </row>
    <row r="6474" spans="1:49">
      <c r="A6474" s="30" t="s">
        <v>2728</v>
      </c>
      <c r="B6474" s="55" t="str">
        <f t="shared" si="1191"/>
        <v>PA_Merce_2018p</v>
      </c>
      <c r="D6474" s="55" t="str">
        <f t="shared" si="1192"/>
        <v>Dem-precinct committeeman stoneboro,(vote for not more than  1)</v>
      </c>
      <c r="E6474" s="55" t="s">
        <v>2574</v>
      </c>
      <c r="G6474" s="60">
        <v>2</v>
      </c>
      <c r="H6474"/>
      <c r="J6474" s="7"/>
      <c r="K6474" s="2"/>
      <c r="O6474">
        <f t="shared" si="1193"/>
        <v>-1</v>
      </c>
      <c r="P6474" s="57">
        <f t="shared" si="1194"/>
        <v>1</v>
      </c>
      <c r="Q6474" s="267">
        <f t="shared" si="1195"/>
        <v>2</v>
      </c>
      <c r="R6474" s="23">
        <f t="shared" si="1196"/>
        <v>1</v>
      </c>
      <c r="S6474" s="23">
        <f t="shared" si="1197"/>
        <v>0</v>
      </c>
      <c r="T6474" s="23" t="str">
        <f t="shared" si="1198"/>
        <v/>
      </c>
      <c r="U6474" t="str">
        <f t="shared" si="1199"/>
        <v/>
      </c>
      <c r="V6474" s="40"/>
      <c r="X6474" s="43"/>
      <c r="Y6474" s="53"/>
      <c r="Z6474" s="53"/>
      <c r="AA6474"/>
      <c r="AB6474"/>
      <c r="AC6474" s="23"/>
      <c r="AD6474" s="23"/>
      <c r="AF6474" s="88"/>
      <c r="AG6474" s="339"/>
      <c r="AH6474" s="340"/>
      <c r="AI6474" s="353"/>
      <c r="AJ6474" s="357"/>
      <c r="AK6474" s="355"/>
      <c r="AL6474" s="20"/>
      <c r="AM6474" s="371"/>
      <c r="AN6474" s="372"/>
      <c r="AT6474" s="20"/>
      <c r="AU6474" s="29"/>
      <c r="AV6474"/>
      <c r="AW6474"/>
    </row>
    <row r="6475" spans="1:49">
      <c r="A6475" s="30" t="s">
        <v>2730</v>
      </c>
      <c r="B6475" s="55" t="str">
        <f t="shared" si="1191"/>
        <v>PA_Merce_2018p</v>
      </c>
      <c r="D6475" s="55" t="str">
        <f t="shared" si="1192"/>
        <v>Dem-precinct committeeman sugar grove,(vote for not more than  1)</v>
      </c>
      <c r="E6475" s="55" t="s">
        <v>2731</v>
      </c>
      <c r="G6475" s="60">
        <v>34</v>
      </c>
      <c r="H6475"/>
      <c r="J6475" s="7"/>
      <c r="K6475" s="2"/>
      <c r="O6475">
        <f t="shared" si="1193"/>
        <v>1</v>
      </c>
      <c r="P6475" s="57">
        <f t="shared" si="1194"/>
        <v>1</v>
      </c>
      <c r="Q6475" s="267">
        <f t="shared" si="1195"/>
        <v>35</v>
      </c>
      <c r="R6475" s="23">
        <f t="shared" si="1196"/>
        <v>34</v>
      </c>
      <c r="S6475" s="23">
        <f t="shared" si="1197"/>
        <v>0</v>
      </c>
      <c r="T6475" s="23" t="str">
        <f t="shared" si="1198"/>
        <v/>
      </c>
      <c r="U6475" t="str">
        <f t="shared" si="1199"/>
        <v>PA_Merce_2018p~Dem-precinct committeeman sugar grove,(vote for not more than  1)</v>
      </c>
      <c r="V6475" s="40"/>
      <c r="X6475" s="43"/>
      <c r="Y6475" s="53"/>
      <c r="Z6475" s="53"/>
      <c r="AA6475"/>
      <c r="AB6475"/>
      <c r="AC6475" s="23"/>
      <c r="AD6475" s="23"/>
      <c r="AF6475" s="88"/>
      <c r="AG6475" s="339"/>
      <c r="AH6475" s="340"/>
      <c r="AI6475" s="353"/>
      <c r="AJ6475" s="357"/>
      <c r="AK6475" s="355"/>
      <c r="AL6475" s="20"/>
      <c r="AM6475" s="371"/>
      <c r="AN6475" s="372"/>
      <c r="AT6475" s="20"/>
      <c r="AU6475" s="29"/>
      <c r="AV6475"/>
      <c r="AW6475"/>
    </row>
    <row r="6476" spans="1:49">
      <c r="A6476" s="30" t="s">
        <v>2730</v>
      </c>
      <c r="B6476" s="55" t="str">
        <f t="shared" si="1191"/>
        <v>PA_Merce_2018p</v>
      </c>
      <c r="D6476" s="55" t="str">
        <f t="shared" si="1192"/>
        <v>Dem-precinct committeeman sugar grove,(vote for not more than  1)</v>
      </c>
      <c r="E6476" s="55" t="s">
        <v>2574</v>
      </c>
      <c r="G6476" s="60">
        <v>1</v>
      </c>
      <c r="H6476"/>
      <c r="J6476" s="7"/>
      <c r="K6476" s="2"/>
      <c r="O6476">
        <f t="shared" si="1193"/>
        <v>-1</v>
      </c>
      <c r="P6476" s="57">
        <f t="shared" si="1194"/>
        <v>1</v>
      </c>
      <c r="Q6476" s="267">
        <f t="shared" si="1195"/>
        <v>1</v>
      </c>
      <c r="R6476" s="23">
        <f t="shared" si="1196"/>
        <v>1</v>
      </c>
      <c r="S6476" s="23">
        <f t="shared" si="1197"/>
        <v>0</v>
      </c>
      <c r="T6476" s="23" t="str">
        <f t="shared" si="1198"/>
        <v/>
      </c>
      <c r="U6476" t="str">
        <f t="shared" si="1199"/>
        <v/>
      </c>
      <c r="V6476" s="40"/>
      <c r="X6476" s="43"/>
      <c r="Y6476" s="53"/>
      <c r="Z6476" s="53"/>
      <c r="AA6476"/>
      <c r="AB6476"/>
      <c r="AC6476" s="23"/>
      <c r="AD6476" s="23"/>
      <c r="AF6476" s="88"/>
      <c r="AG6476" s="339"/>
      <c r="AH6476" s="340"/>
      <c r="AI6476" s="353"/>
      <c r="AJ6476" s="357"/>
      <c r="AK6476" s="355"/>
      <c r="AL6476" s="20"/>
      <c r="AM6476" s="371"/>
      <c r="AN6476" s="372"/>
      <c r="AT6476" s="20"/>
      <c r="AU6476" s="29"/>
      <c r="AV6476"/>
      <c r="AW6476"/>
    </row>
    <row r="6477" spans="1:49">
      <c r="A6477" s="30" t="s">
        <v>2732</v>
      </c>
      <c r="B6477" s="55" t="str">
        <f t="shared" si="1191"/>
        <v>PA_Merce_2018p</v>
      </c>
      <c r="D6477" s="55" t="str">
        <f t="shared" si="1192"/>
        <v>Dem-precinct committeeman west middlesex,(vote for not more than  1)</v>
      </c>
      <c r="E6477" s="55" t="s">
        <v>2733</v>
      </c>
      <c r="G6477" s="60">
        <v>53</v>
      </c>
      <c r="H6477"/>
      <c r="J6477" s="7"/>
      <c r="K6477" s="2"/>
      <c r="O6477">
        <f t="shared" si="1193"/>
        <v>1</v>
      </c>
      <c r="P6477" s="57">
        <f t="shared" si="1194"/>
        <v>1</v>
      </c>
      <c r="Q6477" s="267">
        <f t="shared" si="1195"/>
        <v>53</v>
      </c>
      <c r="R6477" s="23">
        <f t="shared" si="1196"/>
        <v>53</v>
      </c>
      <c r="S6477" s="23">
        <f t="shared" si="1197"/>
        <v>0</v>
      </c>
      <c r="T6477" s="23" t="str">
        <f t="shared" si="1198"/>
        <v/>
      </c>
      <c r="U6477" t="str">
        <f t="shared" si="1199"/>
        <v>PA_Merce_2018p~Dem-precinct committeeman west middlesex,(vote for not more than  1)</v>
      </c>
      <c r="V6477" s="40"/>
      <c r="X6477" s="43"/>
      <c r="Y6477" s="53"/>
      <c r="Z6477" s="53"/>
      <c r="AA6477"/>
      <c r="AB6477"/>
      <c r="AC6477" s="23"/>
      <c r="AD6477" s="23"/>
      <c r="AF6477" s="88"/>
      <c r="AG6477" s="339"/>
      <c r="AH6477" s="340"/>
      <c r="AI6477" s="353"/>
      <c r="AJ6477" s="357"/>
      <c r="AK6477" s="355"/>
      <c r="AL6477" s="20"/>
      <c r="AM6477" s="371"/>
      <c r="AN6477" s="372"/>
      <c r="AT6477" s="20"/>
      <c r="AU6477" s="29"/>
      <c r="AV6477"/>
      <c r="AW6477"/>
    </row>
    <row r="6478" spans="1:49">
      <c r="A6478" s="30" t="s">
        <v>2732</v>
      </c>
      <c r="B6478" s="55" t="str">
        <f t="shared" si="1191"/>
        <v>PA_Merce_2018p</v>
      </c>
      <c r="D6478" s="55" t="str">
        <f t="shared" si="1192"/>
        <v>Dem-precinct committeeman west middlesex,(vote for not more than  1)</v>
      </c>
      <c r="E6478" s="55" t="s">
        <v>2574</v>
      </c>
      <c r="G6478" s="60">
        <v>0</v>
      </c>
      <c r="H6478"/>
      <c r="J6478" s="7"/>
      <c r="K6478" s="2"/>
      <c r="O6478">
        <f t="shared" si="1193"/>
        <v>-1</v>
      </c>
      <c r="P6478" s="57">
        <f t="shared" si="1194"/>
        <v>1</v>
      </c>
      <c r="Q6478" s="267">
        <f t="shared" si="1195"/>
        <v>0</v>
      </c>
      <c r="R6478" s="23">
        <f t="shared" si="1196"/>
        <v>1</v>
      </c>
      <c r="S6478" s="23">
        <f t="shared" si="1197"/>
        <v>0</v>
      </c>
      <c r="T6478" s="23" t="str">
        <f t="shared" si="1198"/>
        <v/>
      </c>
      <c r="U6478" t="str">
        <f t="shared" si="1199"/>
        <v/>
      </c>
      <c r="V6478" s="40"/>
      <c r="X6478" s="43"/>
      <c r="Y6478" s="53"/>
      <c r="Z6478" s="53"/>
      <c r="AA6478"/>
      <c r="AB6478"/>
      <c r="AC6478" s="23"/>
      <c r="AD6478" s="23"/>
      <c r="AF6478" s="88"/>
      <c r="AG6478" s="339"/>
      <c r="AH6478" s="340"/>
      <c r="AI6478" s="353"/>
      <c r="AJ6478" s="357"/>
      <c r="AK6478" s="355"/>
      <c r="AL6478" s="20"/>
      <c r="AM6478" s="371"/>
      <c r="AN6478" s="372"/>
      <c r="AT6478" s="20"/>
      <c r="AU6478" s="29"/>
      <c r="AV6478"/>
      <c r="AW6478"/>
    </row>
    <row r="6479" spans="1:49">
      <c r="A6479" s="30" t="s">
        <v>2734</v>
      </c>
      <c r="B6479" s="55" t="str">
        <f t="shared" si="1191"/>
        <v>PA_Merce_2018p</v>
      </c>
      <c r="D6479" s="55" t="str">
        <f t="shared" si="1192"/>
        <v>Dem-precinct committeeman west salem east,(vote for not more than  1)</v>
      </c>
      <c r="E6479" s="55" t="s">
        <v>2574</v>
      </c>
      <c r="G6479" s="60">
        <v>1</v>
      </c>
      <c r="H6479"/>
      <c r="J6479" s="7"/>
      <c r="K6479" s="2"/>
      <c r="O6479">
        <f t="shared" si="1193"/>
        <v>0</v>
      </c>
      <c r="P6479" s="57">
        <f t="shared" si="1194"/>
        <v>1</v>
      </c>
      <c r="Q6479" s="267">
        <f t="shared" si="1195"/>
        <v>1</v>
      </c>
      <c r="R6479" s="23">
        <f t="shared" si="1196"/>
        <v>1</v>
      </c>
      <c r="S6479" s="23">
        <f t="shared" si="1197"/>
        <v>0</v>
      </c>
      <c r="T6479" s="23" t="str">
        <f t="shared" si="1198"/>
        <v/>
      </c>
      <c r="U6479" t="str">
        <f t="shared" si="1199"/>
        <v>PA_Merce_2018p~Dem-precinct committeeman west salem east,(vote for not more than  1)</v>
      </c>
      <c r="V6479" s="40"/>
      <c r="X6479" s="43"/>
      <c r="Y6479" s="53"/>
      <c r="Z6479" s="53"/>
      <c r="AA6479"/>
      <c r="AB6479"/>
      <c r="AC6479" s="23"/>
      <c r="AD6479" s="23"/>
      <c r="AF6479" s="88"/>
      <c r="AG6479" s="339"/>
      <c r="AH6479" s="340"/>
      <c r="AI6479" s="353"/>
      <c r="AJ6479" s="357"/>
      <c r="AK6479" s="355"/>
      <c r="AL6479" s="20"/>
      <c r="AM6479" s="371"/>
      <c r="AN6479" s="372"/>
      <c r="AT6479" s="20"/>
      <c r="AU6479" s="29"/>
      <c r="AV6479"/>
      <c r="AW6479"/>
    </row>
    <row r="6480" spans="1:49">
      <c r="A6480" s="30" t="s">
        <v>2735</v>
      </c>
      <c r="B6480" s="55" t="str">
        <f t="shared" si="1191"/>
        <v>PA_Merce_2018p</v>
      </c>
      <c r="D6480" s="55" t="str">
        <f t="shared" si="1192"/>
        <v>Dem-precinct committeeman west salem west,(vote for not more than  1)</v>
      </c>
      <c r="E6480" s="55" t="s">
        <v>2574</v>
      </c>
      <c r="G6480" s="60">
        <v>2</v>
      </c>
      <c r="H6480"/>
      <c r="J6480" s="7"/>
      <c r="K6480" s="2"/>
      <c r="O6480">
        <f t="shared" si="1193"/>
        <v>0</v>
      </c>
      <c r="P6480" s="57">
        <f t="shared" si="1194"/>
        <v>1</v>
      </c>
      <c r="Q6480" s="267">
        <f t="shared" si="1195"/>
        <v>2</v>
      </c>
      <c r="R6480" s="23">
        <f t="shared" si="1196"/>
        <v>1</v>
      </c>
      <c r="S6480" s="23">
        <f t="shared" si="1197"/>
        <v>0</v>
      </c>
      <c r="T6480" s="23" t="str">
        <f t="shared" si="1198"/>
        <v/>
      </c>
      <c r="U6480" t="str">
        <f t="shared" si="1199"/>
        <v>PA_Merce_2018p~Dem-precinct committeeman west salem west,(vote for not more than  1)</v>
      </c>
      <c r="V6480" s="40"/>
      <c r="X6480" s="43"/>
      <c r="Y6480" s="53"/>
      <c r="Z6480" s="53"/>
      <c r="AA6480"/>
      <c r="AB6480"/>
      <c r="AC6480" s="23"/>
      <c r="AD6480" s="23"/>
      <c r="AF6480" s="88"/>
      <c r="AG6480" s="339"/>
      <c r="AH6480" s="340"/>
      <c r="AI6480" s="353"/>
      <c r="AJ6480" s="357"/>
      <c r="AK6480" s="355"/>
      <c r="AL6480" s="20"/>
      <c r="AM6480" s="371"/>
      <c r="AN6480" s="372"/>
      <c r="AT6480" s="20"/>
      <c r="AU6480" s="29"/>
      <c r="AV6480"/>
      <c r="AW6480"/>
    </row>
    <row r="6481" spans="1:49">
      <c r="A6481" s="30" t="s">
        <v>2736</v>
      </c>
      <c r="B6481" s="55" t="str">
        <f t="shared" si="1191"/>
        <v>PA_Merce_2018p</v>
      </c>
      <c r="D6481" s="55" t="str">
        <f t="shared" si="1192"/>
        <v>Dem-precinct committeeman wheatland,(vote for not more than  1)</v>
      </c>
      <c r="E6481" s="55" t="s">
        <v>2574</v>
      </c>
      <c r="G6481" s="60">
        <v>1</v>
      </c>
      <c r="H6481"/>
      <c r="J6481" s="7"/>
      <c r="K6481" s="2"/>
      <c r="O6481">
        <f t="shared" si="1193"/>
        <v>0</v>
      </c>
      <c r="P6481" s="57">
        <f t="shared" si="1194"/>
        <v>1</v>
      </c>
      <c r="Q6481" s="267">
        <f t="shared" si="1195"/>
        <v>1</v>
      </c>
      <c r="R6481" s="23">
        <f t="shared" si="1196"/>
        <v>1</v>
      </c>
      <c r="S6481" s="23">
        <f t="shared" si="1197"/>
        <v>0</v>
      </c>
      <c r="T6481" s="23" t="str">
        <f t="shared" si="1198"/>
        <v/>
      </c>
      <c r="U6481" t="str">
        <f t="shared" si="1199"/>
        <v>PA_Merce_2018p~Dem-precinct committeeman wheatland,(vote for not more than  1)</v>
      </c>
      <c r="V6481" s="40"/>
      <c r="X6481" s="43"/>
      <c r="Y6481" s="53"/>
      <c r="Z6481" s="53"/>
      <c r="AA6481"/>
      <c r="AB6481"/>
      <c r="AC6481" s="23"/>
      <c r="AD6481" s="23"/>
      <c r="AF6481" s="88"/>
      <c r="AG6481" s="339"/>
      <c r="AH6481" s="340"/>
      <c r="AI6481" s="353"/>
      <c r="AJ6481" s="357"/>
      <c r="AK6481" s="355"/>
      <c r="AL6481" s="20"/>
      <c r="AM6481" s="371"/>
      <c r="AN6481" s="372"/>
      <c r="AT6481" s="20"/>
      <c r="AU6481" s="29"/>
      <c r="AV6481"/>
      <c r="AW6481"/>
    </row>
    <row r="6482" spans="1:49">
      <c r="A6482" s="30" t="s">
        <v>2737</v>
      </c>
      <c r="B6482" s="55" t="str">
        <f t="shared" si="1191"/>
        <v>PA_Merce_2018p</v>
      </c>
      <c r="D6482" s="55" t="str">
        <f t="shared" si="1192"/>
        <v>Dem-precinct committeeman wilmington,(vote for not more than  1)</v>
      </c>
      <c r="E6482" s="55" t="s">
        <v>2574</v>
      </c>
      <c r="G6482" s="60">
        <v>0</v>
      </c>
      <c r="H6482"/>
      <c r="J6482" s="7"/>
      <c r="K6482" s="2"/>
      <c r="O6482">
        <f t="shared" si="1193"/>
        <v>0</v>
      </c>
      <c r="P6482" s="57">
        <f t="shared" si="1194"/>
        <v>1</v>
      </c>
      <c r="Q6482" s="267">
        <f t="shared" si="1195"/>
        <v>0</v>
      </c>
      <c r="R6482" s="23">
        <f t="shared" si="1196"/>
        <v>1</v>
      </c>
      <c r="S6482" s="23">
        <f t="shared" si="1197"/>
        <v>0</v>
      </c>
      <c r="T6482" s="23" t="str">
        <f t="shared" si="1198"/>
        <v/>
      </c>
      <c r="U6482" t="str">
        <f t="shared" si="1199"/>
        <v>PA_Merce_2018p~Dem-precinct committeeman wilmington,(vote for not more than  1)</v>
      </c>
      <c r="V6482" s="40"/>
      <c r="X6482" s="43"/>
      <c r="Y6482" s="53"/>
      <c r="Z6482" s="53"/>
      <c r="AA6482"/>
      <c r="AB6482"/>
      <c r="AC6482" s="23"/>
      <c r="AD6482" s="23"/>
      <c r="AF6482" s="88"/>
      <c r="AG6482" s="339"/>
      <c r="AH6482" s="340"/>
      <c r="AI6482" s="353"/>
      <c r="AJ6482" s="357"/>
      <c r="AK6482" s="355"/>
      <c r="AL6482" s="20"/>
      <c r="AM6482" s="371"/>
      <c r="AN6482" s="372"/>
      <c r="AT6482" s="20"/>
      <c r="AU6482" s="29"/>
      <c r="AV6482"/>
      <c r="AW6482"/>
    </row>
    <row r="6483" spans="1:49">
      <c r="A6483" s="30" t="s">
        <v>2738</v>
      </c>
      <c r="B6483" s="55" t="str">
        <f t="shared" si="1191"/>
        <v>PA_Merce_2018p</v>
      </c>
      <c r="D6483" s="55" t="str">
        <f t="shared" si="1192"/>
        <v>Dem-precinct committeeman wolf creek,(vote for not more than  1)</v>
      </c>
      <c r="E6483" s="55" t="s">
        <v>2574</v>
      </c>
      <c r="G6483" s="60">
        <v>0</v>
      </c>
      <c r="H6483"/>
      <c r="J6483" s="7"/>
      <c r="K6483" s="2"/>
      <c r="O6483">
        <f t="shared" si="1193"/>
        <v>0</v>
      </c>
      <c r="P6483" s="57">
        <f t="shared" si="1194"/>
        <v>1</v>
      </c>
      <c r="Q6483" s="267">
        <f t="shared" si="1195"/>
        <v>0</v>
      </c>
      <c r="R6483" s="23">
        <f t="shared" si="1196"/>
        <v>1</v>
      </c>
      <c r="S6483" s="23">
        <f t="shared" si="1197"/>
        <v>0</v>
      </c>
      <c r="T6483" s="23" t="str">
        <f t="shared" si="1198"/>
        <v/>
      </c>
      <c r="U6483" t="str">
        <f t="shared" si="1199"/>
        <v>PA_Merce_2018p~Dem-precinct committeeman wolf creek,(vote for not more than  1)</v>
      </c>
      <c r="V6483" s="40"/>
      <c r="X6483" s="43"/>
      <c r="Y6483" s="53"/>
      <c r="Z6483" s="53"/>
      <c r="AA6483"/>
      <c r="AB6483"/>
      <c r="AC6483" s="23"/>
      <c r="AD6483" s="23"/>
      <c r="AF6483" s="88"/>
      <c r="AG6483" s="339"/>
      <c r="AH6483" s="340"/>
      <c r="AI6483" s="353"/>
      <c r="AJ6483" s="357"/>
      <c r="AK6483" s="355"/>
      <c r="AL6483" s="20"/>
      <c r="AM6483" s="371"/>
      <c r="AN6483" s="372"/>
      <c r="AT6483" s="20"/>
      <c r="AU6483" s="29"/>
      <c r="AV6483"/>
      <c r="AW6483"/>
    </row>
    <row r="6484" spans="1:49">
      <c r="A6484" s="30" t="s">
        <v>2739</v>
      </c>
      <c r="B6484" s="55" t="str">
        <f t="shared" si="1191"/>
        <v>PA_Merce_2018p</v>
      </c>
      <c r="D6484" s="55" t="str">
        <f t="shared" si="1192"/>
        <v>Dem-precinct committeeman worth,(vote for not more than  1)</v>
      </c>
      <c r="E6484" s="55" t="s">
        <v>2574</v>
      </c>
      <c r="G6484" s="60">
        <v>0</v>
      </c>
      <c r="H6484"/>
      <c r="J6484" s="7"/>
      <c r="K6484" s="2"/>
      <c r="O6484">
        <f t="shared" si="1193"/>
        <v>0</v>
      </c>
      <c r="P6484" s="57">
        <f t="shared" si="1194"/>
        <v>1</v>
      </c>
      <c r="Q6484" s="267">
        <f t="shared" si="1195"/>
        <v>0</v>
      </c>
      <c r="R6484" s="23">
        <f t="shared" si="1196"/>
        <v>1</v>
      </c>
      <c r="S6484" s="23">
        <f t="shared" si="1197"/>
        <v>0</v>
      </c>
      <c r="T6484" s="23" t="str">
        <f t="shared" si="1198"/>
        <v/>
      </c>
      <c r="U6484" t="str">
        <f t="shared" si="1199"/>
        <v>PA_Merce_2018p~Dem-precinct committeeman worth,(vote for not more than  1)</v>
      </c>
      <c r="V6484" s="40"/>
      <c r="X6484" s="43"/>
      <c r="Y6484" s="53"/>
      <c r="Z6484" s="53"/>
      <c r="AA6484"/>
      <c r="AB6484"/>
      <c r="AC6484" s="23"/>
      <c r="AD6484" s="23"/>
      <c r="AF6484" s="88"/>
      <c r="AG6484" s="339"/>
      <c r="AH6484" s="340"/>
      <c r="AI6484" s="353"/>
      <c r="AJ6484" s="357"/>
      <c r="AK6484" s="355"/>
      <c r="AL6484" s="20"/>
      <c r="AM6484" s="371"/>
      <c r="AN6484" s="372"/>
      <c r="AT6484" s="20"/>
      <c r="AU6484" s="29"/>
      <c r="AV6484"/>
      <c r="AW6484"/>
    </row>
    <row r="6485" spans="1:49">
      <c r="A6485" s="30" t="s">
        <v>2740</v>
      </c>
      <c r="B6485" s="55" t="str">
        <f t="shared" si="1191"/>
        <v>PA_Merce_2018p</v>
      </c>
      <c r="D6485" s="55" t="str">
        <f t="shared" si="1192"/>
        <v>Dem-precinct committeewoman clark,(vote for not more than  1)</v>
      </c>
      <c r="E6485" s="55" t="s">
        <v>2574</v>
      </c>
      <c r="G6485" s="60">
        <v>1</v>
      </c>
      <c r="H6485"/>
      <c r="J6485" s="7"/>
      <c r="K6485" s="2"/>
      <c r="O6485">
        <f t="shared" si="1193"/>
        <v>0</v>
      </c>
      <c r="P6485" s="57">
        <f t="shared" si="1194"/>
        <v>1</v>
      </c>
      <c r="Q6485" s="267">
        <f t="shared" si="1195"/>
        <v>1</v>
      </c>
      <c r="R6485" s="23">
        <f t="shared" si="1196"/>
        <v>1</v>
      </c>
      <c r="S6485" s="23">
        <f t="shared" si="1197"/>
        <v>0</v>
      </c>
      <c r="T6485" s="23" t="str">
        <f t="shared" si="1198"/>
        <v/>
      </c>
      <c r="U6485" t="str">
        <f t="shared" si="1199"/>
        <v>PA_Merce_2018p~Dem-precinct committeewoman clark,(vote for not more than  1)</v>
      </c>
      <c r="V6485" s="40"/>
      <c r="X6485" s="43"/>
      <c r="Y6485" s="53"/>
      <c r="Z6485" s="53"/>
      <c r="AA6485"/>
      <c r="AB6485"/>
      <c r="AC6485" s="23"/>
      <c r="AD6485" s="23"/>
      <c r="AF6485" s="88"/>
      <c r="AG6485" s="339"/>
      <c r="AH6485" s="340"/>
      <c r="AI6485" s="353"/>
      <c r="AJ6485" s="357"/>
      <c r="AK6485" s="355"/>
      <c r="AL6485" s="20"/>
      <c r="AM6485" s="371"/>
      <c r="AN6485" s="372"/>
      <c r="AT6485" s="20"/>
      <c r="AU6485" s="29"/>
      <c r="AV6485"/>
      <c r="AW6485"/>
    </row>
    <row r="6486" spans="1:49">
      <c r="A6486" s="30" t="s">
        <v>2741</v>
      </c>
      <c r="B6486" s="55" t="str">
        <f t="shared" si="1191"/>
        <v>PA_Merce_2018p</v>
      </c>
      <c r="D6486" s="55" t="str">
        <f t="shared" si="1192"/>
        <v>Dem-precinct committeewoman coolspring,(vote for not more than  1)</v>
      </c>
      <c r="E6486" s="55" t="s">
        <v>2742</v>
      </c>
      <c r="G6486" s="60">
        <v>82</v>
      </c>
      <c r="H6486"/>
      <c r="J6486" s="7"/>
      <c r="K6486" s="2"/>
      <c r="O6486">
        <f t="shared" si="1193"/>
        <v>1</v>
      </c>
      <c r="P6486" s="57">
        <f t="shared" si="1194"/>
        <v>1</v>
      </c>
      <c r="Q6486" s="267">
        <f t="shared" si="1195"/>
        <v>83</v>
      </c>
      <c r="R6486" s="23">
        <f t="shared" si="1196"/>
        <v>82</v>
      </c>
      <c r="S6486" s="23">
        <f t="shared" si="1197"/>
        <v>0</v>
      </c>
      <c r="T6486" s="23" t="str">
        <f t="shared" si="1198"/>
        <v/>
      </c>
      <c r="U6486" t="str">
        <f t="shared" si="1199"/>
        <v>PA_Merce_2018p~Dem-precinct committeewoman coolspring,(vote for not more than  1)</v>
      </c>
      <c r="V6486" s="40"/>
      <c r="X6486" s="43"/>
      <c r="Y6486" s="53"/>
      <c r="Z6486" s="53"/>
      <c r="AA6486"/>
      <c r="AB6486"/>
      <c r="AC6486" s="23"/>
      <c r="AD6486" s="23"/>
      <c r="AF6486" s="88"/>
      <c r="AG6486" s="339"/>
      <c r="AH6486" s="340"/>
      <c r="AI6486" s="353"/>
      <c r="AJ6486" s="357"/>
      <c r="AK6486" s="355"/>
      <c r="AL6486" s="20"/>
      <c r="AM6486" s="371"/>
      <c r="AN6486" s="372"/>
      <c r="AT6486" s="20"/>
      <c r="AU6486" s="29"/>
      <c r="AV6486"/>
      <c r="AW6486"/>
    </row>
    <row r="6487" spans="1:49">
      <c r="A6487" s="30" t="s">
        <v>2741</v>
      </c>
      <c r="B6487" s="55" t="str">
        <f t="shared" si="1191"/>
        <v>PA_Merce_2018p</v>
      </c>
      <c r="D6487" s="55" t="str">
        <f t="shared" si="1192"/>
        <v>Dem-precinct committeewoman coolspring,(vote for not more than  1)</v>
      </c>
      <c r="E6487" s="55" t="s">
        <v>2574</v>
      </c>
      <c r="G6487" s="60">
        <v>1</v>
      </c>
      <c r="H6487"/>
      <c r="J6487" s="7"/>
      <c r="K6487" s="2"/>
      <c r="O6487">
        <f t="shared" si="1193"/>
        <v>-1</v>
      </c>
      <c r="P6487" s="57">
        <f t="shared" si="1194"/>
        <v>1</v>
      </c>
      <c r="Q6487" s="267">
        <f t="shared" si="1195"/>
        <v>1</v>
      </c>
      <c r="R6487" s="23">
        <f t="shared" si="1196"/>
        <v>1</v>
      </c>
      <c r="S6487" s="23">
        <f t="shared" si="1197"/>
        <v>0</v>
      </c>
      <c r="T6487" s="23" t="str">
        <f t="shared" si="1198"/>
        <v/>
      </c>
      <c r="U6487" t="str">
        <f t="shared" si="1199"/>
        <v/>
      </c>
      <c r="V6487" s="40"/>
      <c r="X6487" s="43"/>
      <c r="Y6487" s="53"/>
      <c r="Z6487" s="53"/>
      <c r="AA6487"/>
      <c r="AB6487"/>
      <c r="AC6487" s="23"/>
      <c r="AD6487" s="23"/>
      <c r="AF6487" s="88"/>
      <c r="AG6487" s="339"/>
      <c r="AH6487" s="340"/>
      <c r="AI6487" s="353"/>
      <c r="AJ6487" s="357"/>
      <c r="AK6487" s="355"/>
      <c r="AL6487" s="20"/>
      <c r="AM6487" s="371"/>
      <c r="AN6487" s="372"/>
      <c r="AT6487" s="20"/>
      <c r="AU6487" s="29"/>
      <c r="AV6487"/>
      <c r="AW6487"/>
    </row>
    <row r="6488" spans="1:49">
      <c r="A6488" s="30" t="s">
        <v>2743</v>
      </c>
      <c r="B6488" s="55" t="str">
        <f t="shared" si="1191"/>
        <v>PA_Merce_2018p</v>
      </c>
      <c r="D6488" s="55" t="str">
        <f t="shared" si="1192"/>
        <v>Dem-precinct committeewoman deer creek,(vote for not more than  1)</v>
      </c>
      <c r="E6488" s="55" t="s">
        <v>2574</v>
      </c>
      <c r="G6488" s="60">
        <v>2</v>
      </c>
      <c r="H6488"/>
      <c r="J6488" s="7"/>
      <c r="K6488" s="2"/>
      <c r="O6488">
        <f t="shared" si="1193"/>
        <v>0</v>
      </c>
      <c r="P6488" s="57">
        <f t="shared" si="1194"/>
        <v>1</v>
      </c>
      <c r="Q6488" s="267">
        <f t="shared" si="1195"/>
        <v>2</v>
      </c>
      <c r="R6488" s="23">
        <f t="shared" si="1196"/>
        <v>1</v>
      </c>
      <c r="S6488" s="23">
        <f t="shared" si="1197"/>
        <v>0</v>
      </c>
      <c r="T6488" s="23" t="str">
        <f t="shared" si="1198"/>
        <v/>
      </c>
      <c r="U6488" t="str">
        <f t="shared" si="1199"/>
        <v>PA_Merce_2018p~Dem-precinct committeewoman deer creek,(vote for not more than  1)</v>
      </c>
      <c r="V6488" s="40"/>
      <c r="X6488" s="43"/>
      <c r="Y6488" s="53"/>
      <c r="Z6488" s="53"/>
      <c r="AA6488"/>
      <c r="AB6488"/>
      <c r="AC6488" s="23"/>
      <c r="AD6488" s="23"/>
      <c r="AF6488" s="88"/>
      <c r="AG6488" s="339"/>
      <c r="AH6488" s="340"/>
      <c r="AI6488" s="353"/>
      <c r="AJ6488" s="357"/>
      <c r="AK6488" s="355"/>
      <c r="AL6488" s="20"/>
      <c r="AM6488" s="371"/>
      <c r="AN6488" s="372"/>
      <c r="AT6488" s="20"/>
      <c r="AU6488" s="29"/>
      <c r="AV6488"/>
      <c r="AW6488"/>
    </row>
    <row r="6489" spans="1:49">
      <c r="A6489" s="30" t="s">
        <v>2744</v>
      </c>
      <c r="B6489" s="55" t="str">
        <f t="shared" si="1191"/>
        <v>PA_Merce_2018p</v>
      </c>
      <c r="D6489" s="55" t="str">
        <f t="shared" si="1192"/>
        <v>Dem-precinct committeewoman delaware,(vote for not more than  1)</v>
      </c>
      <c r="E6489" s="55" t="s">
        <v>2574</v>
      </c>
      <c r="G6489" s="60">
        <v>2</v>
      </c>
      <c r="H6489"/>
      <c r="J6489" s="7"/>
      <c r="K6489" s="2"/>
      <c r="O6489">
        <f t="shared" si="1193"/>
        <v>0</v>
      </c>
      <c r="P6489" s="57">
        <f t="shared" si="1194"/>
        <v>1</v>
      </c>
      <c r="Q6489" s="267">
        <f t="shared" si="1195"/>
        <v>2</v>
      </c>
      <c r="R6489" s="23">
        <f t="shared" si="1196"/>
        <v>1</v>
      </c>
      <c r="S6489" s="23">
        <f t="shared" si="1197"/>
        <v>0</v>
      </c>
      <c r="T6489" s="23" t="str">
        <f t="shared" si="1198"/>
        <v/>
      </c>
      <c r="U6489" t="str">
        <f t="shared" si="1199"/>
        <v>PA_Merce_2018p~Dem-precinct committeewoman delaware,(vote for not more than  1)</v>
      </c>
      <c r="V6489" s="40"/>
      <c r="X6489" s="43"/>
      <c r="Y6489" s="53"/>
      <c r="Z6489" s="53"/>
      <c r="AA6489"/>
      <c r="AB6489"/>
      <c r="AC6489" s="23"/>
      <c r="AD6489" s="23"/>
      <c r="AF6489" s="88"/>
      <c r="AG6489" s="339"/>
      <c r="AH6489" s="340"/>
      <c r="AI6489" s="353"/>
      <c r="AJ6489" s="357"/>
      <c r="AK6489" s="355"/>
      <c r="AL6489" s="20"/>
      <c r="AM6489" s="371"/>
      <c r="AN6489" s="372"/>
      <c r="AT6489" s="20"/>
      <c r="AU6489" s="29"/>
      <c r="AV6489"/>
      <c r="AW6489"/>
    </row>
    <row r="6490" spans="1:49">
      <c r="A6490" s="30" t="s">
        <v>2745</v>
      </c>
      <c r="B6490" s="55" t="str">
        <f t="shared" si="1191"/>
        <v>PA_Merce_2018p</v>
      </c>
      <c r="D6490" s="55" t="str">
        <f t="shared" si="1192"/>
        <v>Dem-precinct committeewoman east lackawannoc,(vote for not more than  1)</v>
      </c>
      <c r="E6490" s="55" t="s">
        <v>2574</v>
      </c>
      <c r="G6490" s="60">
        <v>0</v>
      </c>
      <c r="H6490"/>
      <c r="J6490" s="7"/>
      <c r="K6490" s="2"/>
      <c r="O6490">
        <f t="shared" si="1193"/>
        <v>0</v>
      </c>
      <c r="P6490" s="57">
        <f t="shared" si="1194"/>
        <v>1</v>
      </c>
      <c r="Q6490" s="267">
        <f t="shared" si="1195"/>
        <v>0</v>
      </c>
      <c r="R6490" s="23">
        <f t="shared" si="1196"/>
        <v>1</v>
      </c>
      <c r="S6490" s="23">
        <f t="shared" si="1197"/>
        <v>0</v>
      </c>
      <c r="T6490" s="23" t="str">
        <f t="shared" si="1198"/>
        <v/>
      </c>
      <c r="U6490" t="str">
        <f t="shared" si="1199"/>
        <v>PA_Merce_2018p~Dem-precinct committeewoman east lackawannoc,(vote for not more than  1)</v>
      </c>
      <c r="V6490" s="40"/>
      <c r="X6490" s="43"/>
      <c r="Y6490" s="53"/>
      <c r="Z6490" s="53"/>
      <c r="AA6490"/>
      <c r="AB6490"/>
      <c r="AC6490" s="23"/>
      <c r="AD6490" s="23"/>
      <c r="AF6490" s="88"/>
      <c r="AG6490" s="339"/>
      <c r="AH6490" s="340"/>
      <c r="AI6490" s="353"/>
      <c r="AJ6490" s="357"/>
      <c r="AK6490" s="355"/>
      <c r="AL6490" s="20"/>
      <c r="AM6490" s="371"/>
      <c r="AN6490" s="372"/>
      <c r="AT6490" s="20"/>
      <c r="AU6490" s="29"/>
      <c r="AV6490"/>
      <c r="AW6490"/>
    </row>
    <row r="6491" spans="1:49">
      <c r="A6491" s="30" t="s">
        <v>2746</v>
      </c>
      <c r="B6491" s="55" t="str">
        <f t="shared" si="1191"/>
        <v>PA_Merce_2018p</v>
      </c>
      <c r="D6491" s="55" t="str">
        <f t="shared" si="1192"/>
        <v>Dem-precinct committeewoman fairview,(vote for not more than  1)</v>
      </c>
      <c r="E6491" s="55" t="s">
        <v>2747</v>
      </c>
      <c r="G6491" s="60">
        <v>16</v>
      </c>
      <c r="H6491"/>
      <c r="J6491" s="7"/>
      <c r="K6491" s="2"/>
      <c r="O6491">
        <f t="shared" si="1193"/>
        <v>1</v>
      </c>
      <c r="P6491" s="57">
        <f t="shared" si="1194"/>
        <v>1</v>
      </c>
      <c r="Q6491" s="267">
        <f t="shared" si="1195"/>
        <v>32</v>
      </c>
      <c r="R6491" s="23">
        <f t="shared" si="1196"/>
        <v>16</v>
      </c>
      <c r="S6491" s="23">
        <f t="shared" si="1197"/>
        <v>16</v>
      </c>
      <c r="T6491" s="23">
        <f t="shared" si="1198"/>
        <v>0</v>
      </c>
      <c r="U6491" t="str">
        <f t="shared" si="1199"/>
        <v>PA_Merce_2018p~Dem-precinct committeewoman fairview,(vote for not more than  1)</v>
      </c>
      <c r="V6491" s="40"/>
      <c r="X6491" s="43"/>
      <c r="Y6491" s="53"/>
      <c r="Z6491" s="53"/>
      <c r="AA6491"/>
      <c r="AB6491"/>
      <c r="AC6491" s="23"/>
      <c r="AD6491" s="23"/>
      <c r="AF6491" s="88"/>
      <c r="AG6491" s="339"/>
      <c r="AH6491" s="340"/>
      <c r="AI6491" s="353"/>
      <c r="AJ6491" s="357"/>
      <c r="AK6491" s="355"/>
      <c r="AL6491" s="20"/>
      <c r="AM6491" s="371"/>
      <c r="AN6491" s="372"/>
      <c r="AT6491" s="20"/>
      <c r="AU6491" s="29"/>
      <c r="AV6491"/>
      <c r="AW6491"/>
    </row>
    <row r="6492" spans="1:49">
      <c r="A6492" s="30" t="s">
        <v>2746</v>
      </c>
      <c r="B6492" s="55" t="str">
        <f t="shared" si="1191"/>
        <v>PA_Merce_2018p</v>
      </c>
      <c r="D6492" s="55" t="str">
        <f t="shared" si="1192"/>
        <v>Dem-precinct committeewoman fairview,(vote for not more than  1)</v>
      </c>
      <c r="E6492" s="55" t="s">
        <v>2748</v>
      </c>
      <c r="G6492" s="60">
        <v>16</v>
      </c>
      <c r="H6492"/>
      <c r="J6492" s="7"/>
      <c r="K6492" s="2"/>
      <c r="O6492">
        <f t="shared" si="1193"/>
        <v>2</v>
      </c>
      <c r="P6492" s="57">
        <f t="shared" si="1194"/>
        <v>1</v>
      </c>
      <c r="Q6492" s="267">
        <f t="shared" si="1195"/>
        <v>16</v>
      </c>
      <c r="R6492" s="23" t="str">
        <f t="shared" si="1196"/>
        <v/>
      </c>
      <c r="S6492" s="23">
        <f t="shared" si="1197"/>
        <v>16</v>
      </c>
      <c r="T6492" s="23" t="str">
        <f t="shared" si="1198"/>
        <v/>
      </c>
      <c r="U6492" t="str">
        <f t="shared" si="1199"/>
        <v/>
      </c>
      <c r="V6492" s="40"/>
      <c r="X6492" s="43"/>
      <c r="Y6492" s="53"/>
      <c r="Z6492" s="53"/>
      <c r="AA6492"/>
      <c r="AB6492"/>
      <c r="AC6492" s="23"/>
      <c r="AD6492" s="23"/>
      <c r="AF6492" s="88"/>
      <c r="AG6492" s="339"/>
      <c r="AH6492" s="340"/>
      <c r="AI6492" s="353"/>
      <c r="AJ6492" s="357"/>
      <c r="AK6492" s="355"/>
      <c r="AL6492" s="20"/>
      <c r="AM6492" s="371"/>
      <c r="AN6492" s="372"/>
      <c r="AT6492" s="20"/>
      <c r="AU6492" s="29"/>
      <c r="AV6492"/>
      <c r="AW6492"/>
    </row>
    <row r="6493" spans="1:49">
      <c r="A6493" s="30" t="s">
        <v>2746</v>
      </c>
      <c r="B6493" s="55" t="str">
        <f t="shared" si="1191"/>
        <v>PA_Merce_2018p</v>
      </c>
      <c r="D6493" s="55" t="str">
        <f t="shared" si="1192"/>
        <v>Dem-precinct committeewoman fairview,(vote for not more than  1)</v>
      </c>
      <c r="E6493" s="55" t="s">
        <v>2574</v>
      </c>
      <c r="G6493" s="60">
        <v>0</v>
      </c>
      <c r="H6493"/>
      <c r="J6493" s="7"/>
      <c r="K6493" s="2"/>
      <c r="O6493">
        <f t="shared" si="1193"/>
        <v>-2</v>
      </c>
      <c r="P6493" s="57">
        <f t="shared" si="1194"/>
        <v>1</v>
      </c>
      <c r="Q6493" s="267">
        <f t="shared" si="1195"/>
        <v>0</v>
      </c>
      <c r="R6493" s="23">
        <f t="shared" si="1196"/>
        <v>1</v>
      </c>
      <c r="S6493" s="23">
        <f t="shared" si="1197"/>
        <v>0</v>
      </c>
      <c r="T6493" s="23" t="str">
        <f t="shared" si="1198"/>
        <v/>
      </c>
      <c r="U6493" t="str">
        <f t="shared" si="1199"/>
        <v/>
      </c>
      <c r="V6493" s="40"/>
      <c r="X6493" s="43"/>
      <c r="Y6493" s="53"/>
      <c r="Z6493" s="53"/>
      <c r="AA6493"/>
      <c r="AB6493"/>
      <c r="AC6493" s="23"/>
      <c r="AD6493" s="23"/>
      <c r="AF6493" s="88"/>
      <c r="AG6493" s="339"/>
      <c r="AH6493" s="340"/>
      <c r="AI6493" s="353"/>
      <c r="AJ6493" s="357"/>
      <c r="AK6493" s="355"/>
      <c r="AL6493" s="20"/>
      <c r="AM6493" s="371"/>
      <c r="AN6493" s="372"/>
      <c r="AT6493" s="20"/>
      <c r="AU6493" s="29"/>
      <c r="AV6493"/>
      <c r="AW6493"/>
    </row>
    <row r="6494" spans="1:49">
      <c r="A6494" s="30" t="s">
        <v>2749</v>
      </c>
      <c r="B6494" s="55" t="str">
        <f t="shared" si="1191"/>
        <v>PA_Merce_2018p</v>
      </c>
      <c r="D6494" s="55" t="str">
        <f t="shared" si="1192"/>
        <v>Dem-precinct committeewoman farrell 1-1,(vote for not more than  1)</v>
      </c>
      <c r="E6494" s="55" t="s">
        <v>2574</v>
      </c>
      <c r="G6494" s="60">
        <v>0</v>
      </c>
      <c r="H6494"/>
      <c r="J6494" s="7"/>
      <c r="K6494" s="2"/>
      <c r="O6494">
        <f t="shared" si="1193"/>
        <v>0</v>
      </c>
      <c r="P6494" s="57">
        <f t="shared" si="1194"/>
        <v>1</v>
      </c>
      <c r="Q6494" s="267">
        <f t="shared" si="1195"/>
        <v>0</v>
      </c>
      <c r="R6494" s="23">
        <f t="shared" si="1196"/>
        <v>1</v>
      </c>
      <c r="S6494" s="23">
        <f t="shared" si="1197"/>
        <v>0</v>
      </c>
      <c r="T6494" s="23" t="str">
        <f t="shared" si="1198"/>
        <v/>
      </c>
      <c r="U6494" t="str">
        <f t="shared" si="1199"/>
        <v>PA_Merce_2018p~Dem-precinct committeewoman farrell 1-1,(vote for not more than  1)</v>
      </c>
      <c r="V6494" s="40"/>
      <c r="X6494" s="43"/>
      <c r="Y6494" s="53"/>
      <c r="Z6494" s="53"/>
      <c r="AA6494"/>
      <c r="AB6494"/>
      <c r="AC6494" s="23"/>
      <c r="AD6494" s="23"/>
      <c r="AF6494" s="88"/>
      <c r="AG6494" s="339"/>
      <c r="AH6494" s="340"/>
      <c r="AI6494" s="353"/>
      <c r="AJ6494" s="357"/>
      <c r="AK6494" s="355"/>
      <c r="AL6494" s="20"/>
      <c r="AM6494" s="371"/>
      <c r="AN6494" s="372"/>
      <c r="AT6494" s="20"/>
      <c r="AU6494" s="29"/>
      <c r="AV6494"/>
      <c r="AW6494"/>
    </row>
    <row r="6495" spans="1:49">
      <c r="A6495" s="30" t="s">
        <v>2750</v>
      </c>
      <c r="B6495" s="55" t="str">
        <f t="shared" si="1191"/>
        <v>PA_Merce_2018p</v>
      </c>
      <c r="D6495" s="55" t="str">
        <f t="shared" si="1192"/>
        <v>Dem-precinct committeewoman farrell 1-2,(vote for not more than  1)</v>
      </c>
      <c r="E6495" s="55" t="s">
        <v>2574</v>
      </c>
      <c r="G6495" s="60">
        <v>1</v>
      </c>
      <c r="H6495"/>
      <c r="J6495" s="7"/>
      <c r="K6495" s="2"/>
      <c r="O6495">
        <f t="shared" si="1193"/>
        <v>0</v>
      </c>
      <c r="P6495" s="57">
        <f t="shared" si="1194"/>
        <v>1</v>
      </c>
      <c r="Q6495" s="267">
        <f t="shared" si="1195"/>
        <v>1</v>
      </c>
      <c r="R6495" s="23">
        <f t="shared" si="1196"/>
        <v>1</v>
      </c>
      <c r="S6495" s="23">
        <f t="shared" si="1197"/>
        <v>0</v>
      </c>
      <c r="T6495" s="23" t="str">
        <f t="shared" si="1198"/>
        <v/>
      </c>
      <c r="U6495" t="str">
        <f t="shared" si="1199"/>
        <v>PA_Merce_2018p~Dem-precinct committeewoman farrell 1-2,(vote for not more than  1)</v>
      </c>
      <c r="V6495" s="40"/>
      <c r="X6495" s="43"/>
      <c r="Y6495" s="53"/>
      <c r="Z6495" s="53"/>
      <c r="AA6495"/>
      <c r="AB6495"/>
      <c r="AC6495" s="23"/>
      <c r="AD6495" s="23"/>
      <c r="AF6495" s="88"/>
      <c r="AG6495" s="339"/>
      <c r="AH6495" s="340"/>
      <c r="AI6495" s="353"/>
      <c r="AJ6495" s="357"/>
      <c r="AK6495" s="355"/>
      <c r="AL6495" s="20"/>
      <c r="AM6495" s="371"/>
      <c r="AN6495" s="372"/>
      <c r="AT6495" s="20"/>
      <c r="AU6495" s="29"/>
      <c r="AV6495"/>
      <c r="AW6495"/>
    </row>
    <row r="6496" spans="1:49">
      <c r="A6496" s="30" t="s">
        <v>2751</v>
      </c>
      <c r="B6496" s="55" t="str">
        <f t="shared" si="1191"/>
        <v>PA_Merce_2018p</v>
      </c>
      <c r="D6496" s="55" t="str">
        <f t="shared" si="1192"/>
        <v>Dem-precinct committeewoman farrell 1-3,(vote for not more than  1)</v>
      </c>
      <c r="E6496" s="55" t="s">
        <v>2752</v>
      </c>
      <c r="G6496" s="60">
        <v>51</v>
      </c>
      <c r="H6496"/>
      <c r="J6496" s="7"/>
      <c r="K6496" s="2"/>
      <c r="O6496">
        <f t="shared" si="1193"/>
        <v>1</v>
      </c>
      <c r="P6496" s="57">
        <f t="shared" si="1194"/>
        <v>1</v>
      </c>
      <c r="Q6496" s="267">
        <f t="shared" si="1195"/>
        <v>52</v>
      </c>
      <c r="R6496" s="23">
        <f t="shared" si="1196"/>
        <v>51</v>
      </c>
      <c r="S6496" s="23">
        <f t="shared" si="1197"/>
        <v>0</v>
      </c>
      <c r="T6496" s="23" t="str">
        <f t="shared" si="1198"/>
        <v/>
      </c>
      <c r="U6496" t="str">
        <f t="shared" si="1199"/>
        <v>PA_Merce_2018p~Dem-precinct committeewoman farrell 1-3,(vote for not more than  1)</v>
      </c>
      <c r="V6496" s="40"/>
      <c r="X6496" s="43"/>
      <c r="Y6496" s="53"/>
      <c r="Z6496" s="53"/>
      <c r="AA6496"/>
      <c r="AB6496"/>
      <c r="AC6496" s="23"/>
      <c r="AD6496" s="23"/>
      <c r="AF6496" s="88"/>
      <c r="AG6496" s="339"/>
      <c r="AH6496" s="340"/>
      <c r="AI6496" s="353"/>
      <c r="AJ6496" s="357"/>
      <c r="AK6496" s="355"/>
      <c r="AL6496" s="20"/>
      <c r="AM6496" s="371"/>
      <c r="AN6496" s="372"/>
      <c r="AT6496" s="20"/>
      <c r="AU6496" s="29"/>
      <c r="AV6496"/>
      <c r="AW6496"/>
    </row>
    <row r="6497" spans="1:49">
      <c r="A6497" s="30" t="s">
        <v>2751</v>
      </c>
      <c r="B6497" s="55" t="str">
        <f t="shared" si="1191"/>
        <v>PA_Merce_2018p</v>
      </c>
      <c r="D6497" s="55" t="str">
        <f t="shared" si="1192"/>
        <v>Dem-precinct committeewoman farrell 1-3,(vote for not more than  1)</v>
      </c>
      <c r="E6497" s="55" t="s">
        <v>2574</v>
      </c>
      <c r="G6497" s="60">
        <v>1</v>
      </c>
      <c r="H6497"/>
      <c r="J6497" s="7"/>
      <c r="K6497" s="2"/>
      <c r="O6497">
        <f t="shared" si="1193"/>
        <v>-1</v>
      </c>
      <c r="P6497" s="57">
        <f t="shared" si="1194"/>
        <v>1</v>
      </c>
      <c r="Q6497" s="267">
        <f t="shared" si="1195"/>
        <v>1</v>
      </c>
      <c r="R6497" s="23">
        <f t="shared" si="1196"/>
        <v>1</v>
      </c>
      <c r="S6497" s="23">
        <f t="shared" si="1197"/>
        <v>0</v>
      </c>
      <c r="T6497" s="23" t="str">
        <f t="shared" si="1198"/>
        <v/>
      </c>
      <c r="U6497" t="str">
        <f t="shared" si="1199"/>
        <v/>
      </c>
      <c r="V6497" s="40"/>
      <c r="X6497" s="43"/>
      <c r="Y6497" s="53"/>
      <c r="Z6497" s="53"/>
      <c r="AA6497"/>
      <c r="AB6497"/>
      <c r="AC6497" s="23"/>
      <c r="AD6497" s="23"/>
      <c r="AF6497" s="88"/>
      <c r="AG6497" s="339"/>
      <c r="AH6497" s="340"/>
      <c r="AI6497" s="353"/>
      <c r="AJ6497" s="357"/>
      <c r="AK6497" s="355"/>
      <c r="AL6497" s="20"/>
      <c r="AM6497" s="371"/>
      <c r="AN6497" s="372"/>
      <c r="AT6497" s="20"/>
      <c r="AU6497" s="29"/>
      <c r="AV6497"/>
      <c r="AW6497"/>
    </row>
    <row r="6498" spans="1:49">
      <c r="A6498" s="30" t="s">
        <v>2753</v>
      </c>
      <c r="B6498" s="55" t="str">
        <f t="shared" si="1191"/>
        <v>PA_Merce_2018p</v>
      </c>
      <c r="D6498" s="55" t="str">
        <f t="shared" si="1192"/>
        <v>Dem-precinct committeewoman farrell 2-1,(vote for not more than  1)</v>
      </c>
      <c r="E6498" s="55" t="s">
        <v>2754</v>
      </c>
      <c r="G6498" s="60">
        <v>28</v>
      </c>
      <c r="H6498"/>
      <c r="J6498" s="7"/>
      <c r="K6498" s="2"/>
      <c r="O6498">
        <f t="shared" si="1193"/>
        <v>1</v>
      </c>
      <c r="P6498" s="57">
        <f t="shared" si="1194"/>
        <v>1</v>
      </c>
      <c r="Q6498" s="267">
        <f t="shared" si="1195"/>
        <v>28</v>
      </c>
      <c r="R6498" s="23">
        <f t="shared" si="1196"/>
        <v>28</v>
      </c>
      <c r="S6498" s="23">
        <f t="shared" si="1197"/>
        <v>0</v>
      </c>
      <c r="T6498" s="23" t="str">
        <f t="shared" si="1198"/>
        <v/>
      </c>
      <c r="U6498" t="str">
        <f t="shared" si="1199"/>
        <v>PA_Merce_2018p~Dem-precinct committeewoman farrell 2-1,(vote for not more than  1)</v>
      </c>
      <c r="V6498" s="40"/>
      <c r="X6498" s="43"/>
      <c r="Y6498" s="53"/>
      <c r="Z6498" s="53"/>
      <c r="AA6498"/>
      <c r="AB6498"/>
      <c r="AC6498" s="23"/>
      <c r="AD6498" s="23"/>
      <c r="AF6498" s="88"/>
      <c r="AG6498" s="339"/>
      <c r="AH6498" s="340"/>
      <c r="AI6498" s="353"/>
      <c r="AJ6498" s="357"/>
      <c r="AK6498" s="355"/>
      <c r="AL6498" s="20"/>
      <c r="AM6498" s="371"/>
      <c r="AN6498" s="372"/>
      <c r="AT6498" s="20"/>
      <c r="AU6498" s="29"/>
      <c r="AV6498"/>
      <c r="AW6498"/>
    </row>
    <row r="6499" spans="1:49">
      <c r="A6499" s="30" t="s">
        <v>2753</v>
      </c>
      <c r="B6499" s="55" t="str">
        <f t="shared" si="1191"/>
        <v>PA_Merce_2018p</v>
      </c>
      <c r="D6499" s="55" t="str">
        <f t="shared" si="1192"/>
        <v>Dem-precinct committeewoman farrell 2-1,(vote for not more than  1)</v>
      </c>
      <c r="E6499" s="55" t="s">
        <v>2574</v>
      </c>
      <c r="G6499" s="60">
        <v>0</v>
      </c>
      <c r="H6499"/>
      <c r="J6499" s="7"/>
      <c r="K6499" s="2"/>
      <c r="O6499">
        <f t="shared" si="1193"/>
        <v>-1</v>
      </c>
      <c r="P6499" s="57">
        <f t="shared" si="1194"/>
        <v>1</v>
      </c>
      <c r="Q6499" s="267">
        <f t="shared" si="1195"/>
        <v>0</v>
      </c>
      <c r="R6499" s="23">
        <f t="shared" si="1196"/>
        <v>1</v>
      </c>
      <c r="S6499" s="23">
        <f t="shared" si="1197"/>
        <v>0</v>
      </c>
      <c r="T6499" s="23" t="str">
        <f t="shared" si="1198"/>
        <v/>
      </c>
      <c r="U6499" t="str">
        <f t="shared" si="1199"/>
        <v/>
      </c>
      <c r="V6499" s="40"/>
      <c r="X6499" s="43"/>
      <c r="Y6499" s="53"/>
      <c r="Z6499" s="53"/>
      <c r="AA6499"/>
      <c r="AB6499"/>
      <c r="AC6499" s="23"/>
      <c r="AD6499" s="23"/>
      <c r="AF6499" s="88"/>
      <c r="AG6499" s="339"/>
      <c r="AH6499" s="340"/>
      <c r="AI6499" s="353"/>
      <c r="AJ6499" s="357"/>
      <c r="AK6499" s="355"/>
      <c r="AL6499" s="20"/>
      <c r="AM6499" s="371"/>
      <c r="AN6499" s="372"/>
      <c r="AT6499" s="20"/>
      <c r="AU6499" s="29"/>
      <c r="AV6499"/>
      <c r="AW6499"/>
    </row>
    <row r="6500" spans="1:49">
      <c r="A6500" s="30" t="s">
        <v>2755</v>
      </c>
      <c r="B6500" s="55" t="str">
        <f t="shared" si="1191"/>
        <v>PA_Merce_2018p</v>
      </c>
      <c r="D6500" s="55" t="str">
        <f t="shared" si="1192"/>
        <v>Dem-precinct committeewoman farrell 2-2,(vote for not more than  1)</v>
      </c>
      <c r="E6500" s="55" t="s">
        <v>2574</v>
      </c>
      <c r="G6500" s="60">
        <v>2</v>
      </c>
      <c r="H6500"/>
      <c r="J6500" s="7"/>
      <c r="K6500" s="2"/>
      <c r="O6500">
        <f t="shared" si="1193"/>
        <v>0</v>
      </c>
      <c r="P6500" s="57">
        <f t="shared" si="1194"/>
        <v>1</v>
      </c>
      <c r="Q6500" s="267">
        <f t="shared" si="1195"/>
        <v>2</v>
      </c>
      <c r="R6500" s="23">
        <f t="shared" si="1196"/>
        <v>1</v>
      </c>
      <c r="S6500" s="23">
        <f t="shared" si="1197"/>
        <v>0</v>
      </c>
      <c r="T6500" s="23" t="str">
        <f t="shared" si="1198"/>
        <v/>
      </c>
      <c r="U6500" t="str">
        <f t="shared" si="1199"/>
        <v>PA_Merce_2018p~Dem-precinct committeewoman farrell 2-2,(vote for not more than  1)</v>
      </c>
      <c r="V6500" s="40"/>
      <c r="X6500" s="43"/>
      <c r="Y6500" s="53"/>
      <c r="Z6500" s="53"/>
      <c r="AA6500"/>
      <c r="AB6500"/>
      <c r="AC6500" s="23"/>
      <c r="AD6500" s="23"/>
      <c r="AF6500" s="88"/>
      <c r="AG6500" s="339"/>
      <c r="AH6500" s="340"/>
      <c r="AI6500" s="353"/>
      <c r="AJ6500" s="357"/>
      <c r="AK6500" s="355"/>
      <c r="AL6500" s="20"/>
      <c r="AM6500" s="371"/>
      <c r="AN6500" s="372"/>
      <c r="AT6500" s="20"/>
      <c r="AU6500" s="29"/>
      <c r="AV6500"/>
      <c r="AW6500"/>
    </row>
    <row r="6501" spans="1:49">
      <c r="A6501" s="30" t="s">
        <v>2756</v>
      </c>
      <c r="B6501" s="55" t="str">
        <f t="shared" si="1191"/>
        <v>PA_Merce_2018p</v>
      </c>
      <c r="D6501" s="55" t="str">
        <f t="shared" si="1192"/>
        <v>Dem-precinct committeewoman farrell 2-3,(vote for not more than  1)</v>
      </c>
      <c r="E6501" s="55" t="s">
        <v>2757</v>
      </c>
      <c r="G6501" s="60">
        <v>93</v>
      </c>
      <c r="H6501"/>
      <c r="J6501" s="7"/>
      <c r="K6501" s="2"/>
      <c r="O6501">
        <f t="shared" si="1193"/>
        <v>1</v>
      </c>
      <c r="P6501" s="57">
        <f t="shared" si="1194"/>
        <v>1</v>
      </c>
      <c r="Q6501" s="267">
        <f t="shared" si="1195"/>
        <v>93</v>
      </c>
      <c r="R6501" s="23">
        <f t="shared" si="1196"/>
        <v>93</v>
      </c>
      <c r="S6501" s="23">
        <f t="shared" si="1197"/>
        <v>0</v>
      </c>
      <c r="T6501" s="23" t="str">
        <f t="shared" si="1198"/>
        <v/>
      </c>
      <c r="U6501" t="str">
        <f t="shared" si="1199"/>
        <v>PA_Merce_2018p~Dem-precinct committeewoman farrell 2-3,(vote for not more than  1)</v>
      </c>
      <c r="V6501" s="40"/>
      <c r="X6501" s="43"/>
      <c r="Y6501" s="53"/>
      <c r="Z6501" s="53"/>
      <c r="AA6501"/>
      <c r="AB6501"/>
      <c r="AC6501" s="23"/>
      <c r="AD6501" s="23"/>
      <c r="AF6501" s="88"/>
      <c r="AG6501" s="339"/>
      <c r="AH6501" s="340"/>
      <c r="AI6501" s="353"/>
      <c r="AJ6501" s="357"/>
      <c r="AK6501" s="355"/>
      <c r="AL6501" s="20"/>
      <c r="AM6501" s="371"/>
      <c r="AN6501" s="372"/>
      <c r="AT6501" s="20"/>
      <c r="AU6501" s="29"/>
      <c r="AV6501"/>
      <c r="AW6501"/>
    </row>
    <row r="6502" spans="1:49">
      <c r="A6502" s="30" t="s">
        <v>2756</v>
      </c>
      <c r="B6502" s="55" t="str">
        <f t="shared" si="1191"/>
        <v>PA_Merce_2018p</v>
      </c>
      <c r="D6502" s="55" t="str">
        <f t="shared" si="1192"/>
        <v>Dem-precinct committeewoman farrell 2-3,(vote for not more than  1)</v>
      </c>
      <c r="E6502" s="55" t="s">
        <v>2574</v>
      </c>
      <c r="G6502" s="60">
        <v>0</v>
      </c>
      <c r="H6502"/>
      <c r="J6502" s="7"/>
      <c r="K6502" s="2"/>
      <c r="O6502">
        <f t="shared" si="1193"/>
        <v>-1</v>
      </c>
      <c r="P6502" s="57">
        <f t="shared" si="1194"/>
        <v>1</v>
      </c>
      <c r="Q6502" s="267">
        <f t="shared" si="1195"/>
        <v>0</v>
      </c>
      <c r="R6502" s="23">
        <f t="shared" si="1196"/>
        <v>1</v>
      </c>
      <c r="S6502" s="23">
        <f t="shared" si="1197"/>
        <v>0</v>
      </c>
      <c r="T6502" s="23" t="str">
        <f t="shared" si="1198"/>
        <v/>
      </c>
      <c r="U6502" t="str">
        <f t="shared" si="1199"/>
        <v/>
      </c>
      <c r="V6502" s="40"/>
      <c r="X6502" s="43"/>
      <c r="Y6502" s="53"/>
      <c r="Z6502" s="53"/>
      <c r="AA6502"/>
      <c r="AB6502"/>
      <c r="AC6502" s="23"/>
      <c r="AD6502" s="23"/>
      <c r="AF6502" s="88"/>
      <c r="AG6502" s="339"/>
      <c r="AH6502" s="340"/>
      <c r="AI6502" s="353"/>
      <c r="AJ6502" s="357"/>
      <c r="AK6502" s="355"/>
      <c r="AL6502" s="20"/>
      <c r="AM6502" s="371"/>
      <c r="AN6502" s="372"/>
      <c r="AT6502" s="20"/>
      <c r="AU6502" s="29"/>
      <c r="AV6502"/>
      <c r="AW6502"/>
    </row>
    <row r="6503" spans="1:49">
      <c r="A6503" s="30" t="s">
        <v>2758</v>
      </c>
      <c r="B6503" s="55" t="str">
        <f t="shared" si="1191"/>
        <v>PA_Merce_2018p</v>
      </c>
      <c r="D6503" s="55" t="str">
        <f t="shared" si="1192"/>
        <v>Dem-precinct committeewoman farrell 2-4,(vote for not more than  1)</v>
      </c>
      <c r="E6503" s="55" t="s">
        <v>2759</v>
      </c>
      <c r="G6503" s="60">
        <v>152</v>
      </c>
      <c r="H6503"/>
      <c r="J6503" s="7"/>
      <c r="K6503" s="2"/>
      <c r="O6503">
        <f t="shared" si="1193"/>
        <v>1</v>
      </c>
      <c r="P6503" s="57">
        <f t="shared" si="1194"/>
        <v>1</v>
      </c>
      <c r="Q6503" s="267">
        <f t="shared" si="1195"/>
        <v>152</v>
      </c>
      <c r="R6503" s="23">
        <f t="shared" si="1196"/>
        <v>152</v>
      </c>
      <c r="S6503" s="23">
        <f t="shared" si="1197"/>
        <v>0</v>
      </c>
      <c r="T6503" s="23" t="str">
        <f t="shared" si="1198"/>
        <v/>
      </c>
      <c r="U6503" t="str">
        <f t="shared" si="1199"/>
        <v>PA_Merce_2018p~Dem-precinct committeewoman farrell 2-4,(vote for not more than  1)</v>
      </c>
      <c r="V6503" s="40"/>
      <c r="X6503" s="43"/>
      <c r="Y6503" s="53"/>
      <c r="Z6503" s="53"/>
      <c r="AA6503"/>
      <c r="AB6503"/>
      <c r="AC6503" s="23"/>
      <c r="AD6503" s="23"/>
      <c r="AF6503" s="88"/>
      <c r="AG6503" s="339"/>
      <c r="AH6503" s="340"/>
      <c r="AI6503" s="353"/>
      <c r="AJ6503" s="357"/>
      <c r="AK6503" s="355"/>
      <c r="AL6503" s="20"/>
      <c r="AM6503" s="371"/>
      <c r="AN6503" s="372"/>
      <c r="AT6503" s="20"/>
      <c r="AU6503" s="29"/>
      <c r="AV6503"/>
      <c r="AW6503"/>
    </row>
    <row r="6504" spans="1:49">
      <c r="A6504" s="30" t="s">
        <v>2758</v>
      </c>
      <c r="B6504" s="55" t="str">
        <f t="shared" ref="B6504:B6567" si="1200">LEFT(A6504,14)</f>
        <v>PA_Merce_2018p</v>
      </c>
      <c r="D6504" s="55" t="str">
        <f t="shared" ref="D6504:D6567" si="1201">MID(A6504,16,99)</f>
        <v>Dem-precinct committeewoman farrell 2-4,(vote for not more than  1)</v>
      </c>
      <c r="E6504" s="55" t="s">
        <v>2574</v>
      </c>
      <c r="G6504" s="60">
        <v>0</v>
      </c>
      <c r="H6504"/>
      <c r="J6504" s="7"/>
      <c r="K6504" s="2"/>
      <c r="O6504">
        <f t="shared" si="1193"/>
        <v>-1</v>
      </c>
      <c r="P6504" s="57">
        <f t="shared" si="1194"/>
        <v>1</v>
      </c>
      <c r="Q6504" s="267">
        <f t="shared" si="1195"/>
        <v>0</v>
      </c>
      <c r="R6504" s="23">
        <f t="shared" si="1196"/>
        <v>1</v>
      </c>
      <c r="S6504" s="23">
        <f t="shared" si="1197"/>
        <v>0</v>
      </c>
      <c r="T6504" s="23" t="str">
        <f t="shared" si="1198"/>
        <v/>
      </c>
      <c r="U6504" t="str">
        <f t="shared" si="1199"/>
        <v/>
      </c>
      <c r="V6504" s="40"/>
      <c r="X6504" s="43"/>
      <c r="Y6504" s="53"/>
      <c r="Z6504" s="53"/>
      <c r="AA6504"/>
      <c r="AB6504"/>
      <c r="AC6504" s="23"/>
      <c r="AD6504" s="23"/>
      <c r="AF6504" s="88"/>
      <c r="AG6504" s="339"/>
      <c r="AH6504" s="340"/>
      <c r="AI6504" s="353"/>
      <c r="AJ6504" s="357"/>
      <c r="AK6504" s="355"/>
      <c r="AL6504" s="20"/>
      <c r="AM6504" s="371"/>
      <c r="AN6504" s="372"/>
      <c r="AT6504" s="20"/>
      <c r="AU6504" s="29"/>
      <c r="AV6504"/>
      <c r="AW6504"/>
    </row>
    <row r="6505" spans="1:49">
      <c r="A6505" s="30" t="s">
        <v>2760</v>
      </c>
      <c r="B6505" s="55" t="str">
        <f t="shared" si="1200"/>
        <v>PA_Merce_2018p</v>
      </c>
      <c r="D6505" s="55" t="str">
        <f t="shared" si="1201"/>
        <v>Dem-precinct committeewoman findley,(vote for not more than  1)</v>
      </c>
      <c r="E6505" s="55" t="s">
        <v>2761</v>
      </c>
      <c r="G6505" s="60">
        <v>53</v>
      </c>
      <c r="H6505"/>
      <c r="J6505" s="7"/>
      <c r="K6505" s="2"/>
      <c r="O6505">
        <f t="shared" si="1193"/>
        <v>1</v>
      </c>
      <c r="P6505" s="57">
        <f t="shared" si="1194"/>
        <v>1</v>
      </c>
      <c r="Q6505" s="267">
        <f t="shared" si="1195"/>
        <v>54</v>
      </c>
      <c r="R6505" s="23">
        <f t="shared" si="1196"/>
        <v>53</v>
      </c>
      <c r="S6505" s="23">
        <f t="shared" si="1197"/>
        <v>0</v>
      </c>
      <c r="T6505" s="23" t="str">
        <f t="shared" si="1198"/>
        <v/>
      </c>
      <c r="U6505" t="str">
        <f t="shared" si="1199"/>
        <v>PA_Merce_2018p~Dem-precinct committeewoman findley,(vote for not more than  1)</v>
      </c>
      <c r="V6505" s="40"/>
      <c r="X6505" s="43"/>
      <c r="Y6505" s="53"/>
      <c r="Z6505" s="53"/>
      <c r="AA6505"/>
      <c r="AB6505"/>
      <c r="AC6505" s="23"/>
      <c r="AD6505" s="23"/>
      <c r="AF6505" s="88"/>
      <c r="AG6505" s="339"/>
      <c r="AH6505" s="340"/>
      <c r="AI6505" s="353"/>
      <c r="AJ6505" s="357"/>
      <c r="AK6505" s="355"/>
      <c r="AL6505" s="20"/>
      <c r="AM6505" s="371"/>
      <c r="AN6505" s="372"/>
      <c r="AT6505" s="20"/>
      <c r="AU6505" s="29"/>
      <c r="AV6505"/>
      <c r="AW6505"/>
    </row>
    <row r="6506" spans="1:49">
      <c r="A6506" s="30" t="s">
        <v>2760</v>
      </c>
      <c r="B6506" s="55" t="str">
        <f t="shared" si="1200"/>
        <v>PA_Merce_2018p</v>
      </c>
      <c r="D6506" s="55" t="str">
        <f t="shared" si="1201"/>
        <v>Dem-precinct committeewoman findley,(vote for not more than  1)</v>
      </c>
      <c r="E6506" s="55" t="s">
        <v>2574</v>
      </c>
      <c r="G6506" s="60">
        <v>1</v>
      </c>
      <c r="H6506"/>
      <c r="J6506" s="7"/>
      <c r="K6506" s="2"/>
      <c r="O6506">
        <f t="shared" si="1193"/>
        <v>-1</v>
      </c>
      <c r="P6506" s="57">
        <f t="shared" si="1194"/>
        <v>1</v>
      </c>
      <c r="Q6506" s="267">
        <f t="shared" si="1195"/>
        <v>1</v>
      </c>
      <c r="R6506" s="23">
        <f t="shared" si="1196"/>
        <v>1</v>
      </c>
      <c r="S6506" s="23">
        <f t="shared" si="1197"/>
        <v>0</v>
      </c>
      <c r="T6506" s="23" t="str">
        <f t="shared" si="1198"/>
        <v/>
      </c>
      <c r="U6506" t="str">
        <f t="shared" si="1199"/>
        <v/>
      </c>
      <c r="V6506" s="40"/>
      <c r="X6506" s="43"/>
      <c r="Y6506" s="53"/>
      <c r="Z6506" s="53"/>
      <c r="AA6506"/>
      <c r="AB6506"/>
      <c r="AC6506" s="23"/>
      <c r="AD6506" s="23"/>
      <c r="AF6506" s="88"/>
      <c r="AG6506" s="339"/>
      <c r="AH6506" s="340"/>
      <c r="AI6506" s="353"/>
      <c r="AJ6506" s="357"/>
      <c r="AK6506" s="355"/>
      <c r="AL6506" s="20"/>
      <c r="AM6506" s="371"/>
      <c r="AN6506" s="372"/>
      <c r="AT6506" s="20"/>
      <c r="AU6506" s="29"/>
      <c r="AV6506"/>
      <c r="AW6506"/>
    </row>
    <row r="6507" spans="1:49">
      <c r="A6507" s="30" t="s">
        <v>2762</v>
      </c>
      <c r="B6507" s="55" t="str">
        <f t="shared" si="1200"/>
        <v>PA_Merce_2018p</v>
      </c>
      <c r="D6507" s="55" t="str">
        <f t="shared" si="1201"/>
        <v>Dem-precinct committeewoman fredonia,(vote for not more than  1)</v>
      </c>
      <c r="E6507" s="55" t="s">
        <v>2574</v>
      </c>
      <c r="G6507" s="60">
        <v>0</v>
      </c>
      <c r="H6507"/>
      <c r="J6507" s="7"/>
      <c r="K6507" s="2"/>
      <c r="O6507">
        <f t="shared" si="1193"/>
        <v>0</v>
      </c>
      <c r="P6507" s="57">
        <f t="shared" si="1194"/>
        <v>1</v>
      </c>
      <c r="Q6507" s="267">
        <f t="shared" si="1195"/>
        <v>0</v>
      </c>
      <c r="R6507" s="23">
        <f t="shared" si="1196"/>
        <v>1</v>
      </c>
      <c r="S6507" s="23">
        <f t="shared" si="1197"/>
        <v>0</v>
      </c>
      <c r="T6507" s="23" t="str">
        <f t="shared" si="1198"/>
        <v/>
      </c>
      <c r="U6507" t="str">
        <f t="shared" si="1199"/>
        <v>PA_Merce_2018p~Dem-precinct committeewoman fredonia,(vote for not more than  1)</v>
      </c>
      <c r="V6507" s="40"/>
      <c r="X6507" s="43"/>
      <c r="Y6507" s="53"/>
      <c r="Z6507" s="53"/>
      <c r="AA6507"/>
      <c r="AB6507"/>
      <c r="AC6507" s="23"/>
      <c r="AD6507" s="23"/>
      <c r="AF6507" s="88"/>
      <c r="AG6507" s="339"/>
      <c r="AH6507" s="340"/>
      <c r="AI6507" s="353"/>
      <c r="AJ6507" s="357"/>
      <c r="AK6507" s="355"/>
      <c r="AL6507" s="20"/>
      <c r="AM6507" s="371"/>
      <c r="AN6507" s="372"/>
      <c r="AT6507" s="20"/>
      <c r="AU6507" s="29"/>
      <c r="AV6507"/>
      <c r="AW6507"/>
    </row>
    <row r="6508" spans="1:49">
      <c r="A6508" s="30" t="s">
        <v>2763</v>
      </c>
      <c r="B6508" s="55" t="str">
        <f t="shared" si="1200"/>
        <v>PA_Merce_2018p</v>
      </c>
      <c r="D6508" s="55" t="str">
        <f t="shared" si="1201"/>
        <v>Dem-precinct committeewoman french creek,(vote for not more than  1)</v>
      </c>
      <c r="E6508" s="55" t="s">
        <v>2574</v>
      </c>
      <c r="G6508" s="60">
        <v>0</v>
      </c>
      <c r="H6508"/>
      <c r="J6508" s="7"/>
      <c r="K6508" s="2"/>
      <c r="O6508">
        <f t="shared" si="1193"/>
        <v>0</v>
      </c>
      <c r="P6508" s="57">
        <f t="shared" si="1194"/>
        <v>1</v>
      </c>
      <c r="Q6508" s="267">
        <f t="shared" si="1195"/>
        <v>0</v>
      </c>
      <c r="R6508" s="23">
        <f t="shared" si="1196"/>
        <v>1</v>
      </c>
      <c r="S6508" s="23">
        <f t="shared" si="1197"/>
        <v>0</v>
      </c>
      <c r="T6508" s="23" t="str">
        <f t="shared" si="1198"/>
        <v/>
      </c>
      <c r="U6508" t="str">
        <f t="shared" si="1199"/>
        <v>PA_Merce_2018p~Dem-precinct committeewoman french creek,(vote for not more than  1)</v>
      </c>
      <c r="V6508" s="40"/>
      <c r="X6508" s="43"/>
      <c r="Y6508" s="53"/>
      <c r="Z6508" s="53"/>
      <c r="AA6508"/>
      <c r="AB6508"/>
      <c r="AC6508" s="23"/>
      <c r="AD6508" s="23"/>
      <c r="AF6508" s="88"/>
      <c r="AG6508" s="339"/>
      <c r="AH6508" s="340"/>
      <c r="AI6508" s="353"/>
      <c r="AJ6508" s="357"/>
      <c r="AK6508" s="355"/>
      <c r="AL6508" s="20"/>
      <c r="AM6508" s="371"/>
      <c r="AN6508" s="372"/>
      <c r="AT6508" s="20"/>
      <c r="AU6508" s="29"/>
      <c r="AV6508"/>
      <c r="AW6508"/>
    </row>
    <row r="6509" spans="1:49">
      <c r="A6509" s="30" t="s">
        <v>2764</v>
      </c>
      <c r="B6509" s="55" t="str">
        <f t="shared" si="1200"/>
        <v>PA_Merce_2018p</v>
      </c>
      <c r="D6509" s="55" t="str">
        <f t="shared" si="1201"/>
        <v>Dem-precinct committeewoman greene,(vote for not more than  1)</v>
      </c>
      <c r="E6509" s="55" t="s">
        <v>2765</v>
      </c>
      <c r="G6509" s="60">
        <v>42</v>
      </c>
      <c r="H6509"/>
      <c r="J6509" s="7"/>
      <c r="K6509" s="2"/>
      <c r="O6509">
        <f t="shared" si="1193"/>
        <v>1</v>
      </c>
      <c r="P6509" s="57">
        <f t="shared" si="1194"/>
        <v>1</v>
      </c>
      <c r="Q6509" s="267">
        <f t="shared" si="1195"/>
        <v>43</v>
      </c>
      <c r="R6509" s="23">
        <f t="shared" si="1196"/>
        <v>42</v>
      </c>
      <c r="S6509" s="23">
        <f t="shared" si="1197"/>
        <v>0</v>
      </c>
      <c r="T6509" s="23" t="str">
        <f t="shared" si="1198"/>
        <v/>
      </c>
      <c r="U6509" t="str">
        <f t="shared" si="1199"/>
        <v>PA_Merce_2018p~Dem-precinct committeewoman greene,(vote for not more than  1)</v>
      </c>
      <c r="V6509" s="40"/>
      <c r="X6509" s="43"/>
      <c r="Y6509" s="53"/>
      <c r="Z6509" s="53"/>
      <c r="AA6509"/>
      <c r="AB6509"/>
      <c r="AC6509" s="23"/>
      <c r="AD6509" s="23"/>
      <c r="AF6509" s="88"/>
      <c r="AG6509" s="339"/>
      <c r="AH6509" s="340"/>
      <c r="AI6509" s="353"/>
      <c r="AJ6509" s="357"/>
      <c r="AK6509" s="355"/>
      <c r="AL6509" s="20"/>
      <c r="AM6509" s="371"/>
      <c r="AN6509" s="372"/>
      <c r="AT6509" s="20"/>
      <c r="AU6509" s="29"/>
      <c r="AV6509"/>
      <c r="AW6509"/>
    </row>
    <row r="6510" spans="1:49">
      <c r="A6510" s="30" t="s">
        <v>2764</v>
      </c>
      <c r="B6510" s="55" t="str">
        <f t="shared" si="1200"/>
        <v>PA_Merce_2018p</v>
      </c>
      <c r="D6510" s="55" t="str">
        <f t="shared" si="1201"/>
        <v>Dem-precinct committeewoman greene,(vote for not more than  1)</v>
      </c>
      <c r="E6510" s="55" t="s">
        <v>2574</v>
      </c>
      <c r="G6510" s="60">
        <v>1</v>
      </c>
      <c r="H6510"/>
      <c r="J6510" s="7"/>
      <c r="K6510" s="2"/>
      <c r="O6510">
        <f t="shared" si="1193"/>
        <v>-1</v>
      </c>
      <c r="P6510" s="57">
        <f t="shared" si="1194"/>
        <v>1</v>
      </c>
      <c r="Q6510" s="267">
        <f t="shared" si="1195"/>
        <v>1</v>
      </c>
      <c r="R6510" s="23">
        <f t="shared" si="1196"/>
        <v>1</v>
      </c>
      <c r="S6510" s="23">
        <f t="shared" si="1197"/>
        <v>0</v>
      </c>
      <c r="T6510" s="23" t="str">
        <f t="shared" si="1198"/>
        <v/>
      </c>
      <c r="U6510" t="str">
        <f t="shared" si="1199"/>
        <v/>
      </c>
      <c r="V6510" s="40"/>
      <c r="X6510" s="43"/>
      <c r="Y6510" s="53"/>
      <c r="Z6510" s="53"/>
      <c r="AA6510"/>
      <c r="AB6510"/>
      <c r="AC6510" s="23"/>
      <c r="AD6510" s="23"/>
      <c r="AF6510" s="88"/>
      <c r="AG6510" s="339"/>
      <c r="AH6510" s="340"/>
      <c r="AI6510" s="353"/>
      <c r="AJ6510" s="357"/>
      <c r="AK6510" s="355"/>
      <c r="AL6510" s="20"/>
      <c r="AM6510" s="371"/>
      <c r="AN6510" s="372"/>
      <c r="AT6510" s="20"/>
      <c r="AU6510" s="29"/>
      <c r="AV6510"/>
      <c r="AW6510"/>
    </row>
    <row r="6511" spans="1:49">
      <c r="A6511" s="30" t="s">
        <v>2766</v>
      </c>
      <c r="B6511" s="55" t="str">
        <f t="shared" si="1200"/>
        <v>PA_Merce_2018p</v>
      </c>
      <c r="D6511" s="55" t="str">
        <f t="shared" si="1201"/>
        <v>Dem-precinct committeewoman greenville 1,(vote for not more than  1)</v>
      </c>
      <c r="E6511" s="55" t="s">
        <v>2574</v>
      </c>
      <c r="G6511" s="60">
        <v>0</v>
      </c>
      <c r="H6511"/>
      <c r="J6511" s="7"/>
      <c r="K6511" s="2"/>
      <c r="O6511">
        <f t="shared" si="1193"/>
        <v>0</v>
      </c>
      <c r="P6511" s="57">
        <f t="shared" si="1194"/>
        <v>1</v>
      </c>
      <c r="Q6511" s="267">
        <f t="shared" si="1195"/>
        <v>0</v>
      </c>
      <c r="R6511" s="23">
        <f t="shared" si="1196"/>
        <v>1</v>
      </c>
      <c r="S6511" s="23">
        <f t="shared" si="1197"/>
        <v>0</v>
      </c>
      <c r="T6511" s="23" t="str">
        <f t="shared" si="1198"/>
        <v/>
      </c>
      <c r="U6511" t="str">
        <f t="shared" si="1199"/>
        <v>PA_Merce_2018p~Dem-precinct committeewoman greenville 1,(vote for not more than  1)</v>
      </c>
      <c r="V6511" s="40"/>
      <c r="X6511" s="43"/>
      <c r="Y6511" s="53"/>
      <c r="Z6511" s="53"/>
      <c r="AA6511"/>
      <c r="AB6511"/>
      <c r="AC6511" s="23"/>
      <c r="AD6511" s="23"/>
      <c r="AF6511" s="88"/>
      <c r="AG6511" s="339"/>
      <c r="AH6511" s="340"/>
      <c r="AI6511" s="353"/>
      <c r="AJ6511" s="357"/>
      <c r="AK6511" s="355"/>
      <c r="AL6511" s="20"/>
      <c r="AM6511" s="371"/>
      <c r="AN6511" s="372"/>
      <c r="AT6511" s="20"/>
      <c r="AU6511" s="29"/>
      <c r="AV6511"/>
      <c r="AW6511"/>
    </row>
    <row r="6512" spans="1:49">
      <c r="A6512" s="30" t="s">
        <v>2767</v>
      </c>
      <c r="B6512" s="55" t="str">
        <f t="shared" si="1200"/>
        <v>PA_Merce_2018p</v>
      </c>
      <c r="D6512" s="55" t="str">
        <f t="shared" si="1201"/>
        <v>Dem-precinct committeewoman greenville 2,(vote for not more than  1)</v>
      </c>
      <c r="E6512" s="55" t="s">
        <v>2574</v>
      </c>
      <c r="G6512" s="60">
        <v>1</v>
      </c>
      <c r="H6512"/>
      <c r="J6512" s="7"/>
      <c r="K6512" s="2"/>
      <c r="O6512">
        <f t="shared" si="1193"/>
        <v>0</v>
      </c>
      <c r="P6512" s="57">
        <f t="shared" si="1194"/>
        <v>1</v>
      </c>
      <c r="Q6512" s="267">
        <f t="shared" si="1195"/>
        <v>1</v>
      </c>
      <c r="R6512" s="23">
        <f t="shared" si="1196"/>
        <v>1</v>
      </c>
      <c r="S6512" s="23">
        <f t="shared" si="1197"/>
        <v>0</v>
      </c>
      <c r="T6512" s="23" t="str">
        <f t="shared" si="1198"/>
        <v/>
      </c>
      <c r="U6512" t="str">
        <f t="shared" si="1199"/>
        <v>PA_Merce_2018p~Dem-precinct committeewoman greenville 2,(vote for not more than  1)</v>
      </c>
      <c r="V6512" s="40"/>
      <c r="X6512" s="43"/>
      <c r="Y6512" s="53"/>
      <c r="Z6512" s="53"/>
      <c r="AA6512"/>
      <c r="AB6512"/>
      <c r="AC6512" s="23"/>
      <c r="AD6512" s="23"/>
      <c r="AF6512" s="88"/>
      <c r="AG6512" s="339"/>
      <c r="AH6512" s="340"/>
      <c r="AI6512" s="353"/>
      <c r="AJ6512" s="357"/>
      <c r="AK6512" s="355"/>
      <c r="AL6512" s="20"/>
      <c r="AM6512" s="371"/>
      <c r="AN6512" s="372"/>
      <c r="AT6512" s="20"/>
      <c r="AU6512" s="29"/>
      <c r="AV6512"/>
      <c r="AW6512"/>
    </row>
    <row r="6513" spans="1:49">
      <c r="A6513" s="30" t="s">
        <v>2768</v>
      </c>
      <c r="B6513" s="55" t="str">
        <f t="shared" si="1200"/>
        <v>PA_Merce_2018p</v>
      </c>
      <c r="D6513" s="55" t="str">
        <f t="shared" si="1201"/>
        <v>Dem-precinct committeewoman greenville 3,(vote for not more than  1)</v>
      </c>
      <c r="E6513" s="55" t="s">
        <v>2574</v>
      </c>
      <c r="G6513" s="60">
        <v>4</v>
      </c>
      <c r="H6513"/>
      <c r="J6513" s="7"/>
      <c r="K6513" s="2"/>
      <c r="O6513">
        <f t="shared" si="1193"/>
        <v>0</v>
      </c>
      <c r="P6513" s="57">
        <f t="shared" si="1194"/>
        <v>1</v>
      </c>
      <c r="Q6513" s="267">
        <f t="shared" si="1195"/>
        <v>4</v>
      </c>
      <c r="R6513" s="23">
        <f t="shared" si="1196"/>
        <v>1</v>
      </c>
      <c r="S6513" s="23">
        <f t="shared" si="1197"/>
        <v>0</v>
      </c>
      <c r="T6513" s="23" t="str">
        <f t="shared" si="1198"/>
        <v/>
      </c>
      <c r="U6513" t="str">
        <f t="shared" si="1199"/>
        <v>PA_Merce_2018p~Dem-precinct committeewoman greenville 3,(vote for not more than  1)</v>
      </c>
      <c r="V6513" s="40"/>
      <c r="X6513" s="43"/>
      <c r="Y6513" s="53"/>
      <c r="Z6513" s="53"/>
      <c r="AA6513"/>
      <c r="AB6513"/>
      <c r="AC6513" s="23"/>
      <c r="AD6513" s="23"/>
      <c r="AF6513" s="88"/>
      <c r="AG6513" s="339"/>
      <c r="AH6513" s="340"/>
      <c r="AI6513" s="353"/>
      <c r="AJ6513" s="357"/>
      <c r="AK6513" s="355"/>
      <c r="AL6513" s="20"/>
      <c r="AM6513" s="371"/>
      <c r="AN6513" s="372"/>
      <c r="AT6513" s="20"/>
      <c r="AU6513" s="29"/>
      <c r="AV6513"/>
      <c r="AW6513"/>
    </row>
    <row r="6514" spans="1:49">
      <c r="A6514" s="30" t="s">
        <v>2769</v>
      </c>
      <c r="B6514" s="55" t="str">
        <f t="shared" si="1200"/>
        <v>PA_Merce_2018p</v>
      </c>
      <c r="D6514" s="55" t="str">
        <f t="shared" si="1201"/>
        <v>Dem-precinct committeewoman greenville 4,(vote for not more than  1)</v>
      </c>
      <c r="E6514" s="55" t="s">
        <v>2770</v>
      </c>
      <c r="G6514" s="60">
        <v>68</v>
      </c>
      <c r="H6514"/>
      <c r="J6514" s="7"/>
      <c r="K6514" s="2"/>
      <c r="O6514">
        <f t="shared" si="1193"/>
        <v>1</v>
      </c>
      <c r="P6514" s="57">
        <f t="shared" si="1194"/>
        <v>1</v>
      </c>
      <c r="Q6514" s="267">
        <f t="shared" si="1195"/>
        <v>68</v>
      </c>
      <c r="R6514" s="23">
        <f t="shared" si="1196"/>
        <v>68</v>
      </c>
      <c r="S6514" s="23">
        <f t="shared" si="1197"/>
        <v>0</v>
      </c>
      <c r="T6514" s="23" t="str">
        <f t="shared" si="1198"/>
        <v/>
      </c>
      <c r="U6514" t="str">
        <f t="shared" si="1199"/>
        <v>PA_Merce_2018p~Dem-precinct committeewoman greenville 4,(vote for not more than  1)</v>
      </c>
      <c r="V6514" s="40"/>
      <c r="X6514" s="43"/>
      <c r="Y6514" s="53"/>
      <c r="Z6514" s="53"/>
      <c r="AA6514"/>
      <c r="AB6514"/>
      <c r="AC6514" s="23"/>
      <c r="AD6514" s="23"/>
      <c r="AF6514" s="88"/>
      <c r="AG6514" s="339"/>
      <c r="AH6514" s="340"/>
      <c r="AI6514" s="353"/>
      <c r="AJ6514" s="357"/>
      <c r="AK6514" s="355"/>
      <c r="AL6514" s="20"/>
      <c r="AM6514" s="371"/>
      <c r="AN6514" s="372"/>
      <c r="AT6514" s="20"/>
      <c r="AU6514" s="29"/>
      <c r="AV6514"/>
      <c r="AW6514"/>
    </row>
    <row r="6515" spans="1:49">
      <c r="A6515" s="30" t="s">
        <v>2769</v>
      </c>
      <c r="B6515" s="55" t="str">
        <f t="shared" si="1200"/>
        <v>PA_Merce_2018p</v>
      </c>
      <c r="D6515" s="55" t="str">
        <f t="shared" si="1201"/>
        <v>Dem-precinct committeewoman greenville 4,(vote for not more than  1)</v>
      </c>
      <c r="E6515" s="55" t="s">
        <v>2574</v>
      </c>
      <c r="G6515" s="60">
        <v>0</v>
      </c>
      <c r="H6515"/>
      <c r="J6515" s="7"/>
      <c r="K6515" s="2"/>
      <c r="O6515">
        <f t="shared" si="1193"/>
        <v>-1</v>
      </c>
      <c r="P6515" s="57">
        <f t="shared" si="1194"/>
        <v>1</v>
      </c>
      <c r="Q6515" s="267">
        <f t="shared" si="1195"/>
        <v>0</v>
      </c>
      <c r="R6515" s="23">
        <f t="shared" si="1196"/>
        <v>1</v>
      </c>
      <c r="S6515" s="23">
        <f t="shared" si="1197"/>
        <v>0</v>
      </c>
      <c r="T6515" s="23" t="str">
        <f t="shared" si="1198"/>
        <v/>
      </c>
      <c r="U6515" t="str">
        <f t="shared" si="1199"/>
        <v/>
      </c>
      <c r="V6515" s="40"/>
      <c r="X6515" s="43"/>
      <c r="Y6515" s="53"/>
      <c r="Z6515" s="53"/>
      <c r="AA6515"/>
      <c r="AB6515"/>
      <c r="AC6515" s="23"/>
      <c r="AD6515" s="23"/>
      <c r="AF6515" s="88"/>
      <c r="AG6515" s="339"/>
      <c r="AH6515" s="340"/>
      <c r="AI6515" s="353"/>
      <c r="AJ6515" s="357"/>
      <c r="AK6515" s="355"/>
      <c r="AL6515" s="20"/>
      <c r="AM6515" s="371"/>
      <c r="AN6515" s="372"/>
      <c r="AT6515" s="20"/>
      <c r="AU6515" s="29"/>
      <c r="AV6515"/>
      <c r="AW6515"/>
    </row>
    <row r="6516" spans="1:49">
      <c r="A6516" s="30" t="s">
        <v>2771</v>
      </c>
      <c r="B6516" s="55" t="str">
        <f t="shared" si="1200"/>
        <v>PA_Merce_2018p</v>
      </c>
      <c r="D6516" s="55" t="str">
        <f t="shared" si="1201"/>
        <v>Dem-precinct committeewoman grove city 1,(vote for not more than  1)</v>
      </c>
      <c r="E6516" s="55" t="s">
        <v>2574</v>
      </c>
      <c r="G6516" s="60">
        <v>3</v>
      </c>
      <c r="H6516"/>
      <c r="J6516" s="7"/>
      <c r="K6516" s="2"/>
      <c r="O6516">
        <f t="shared" si="1193"/>
        <v>0</v>
      </c>
      <c r="P6516" s="57">
        <f t="shared" si="1194"/>
        <v>1</v>
      </c>
      <c r="Q6516" s="267">
        <f t="shared" si="1195"/>
        <v>3</v>
      </c>
      <c r="R6516" s="23">
        <f t="shared" si="1196"/>
        <v>1</v>
      </c>
      <c r="S6516" s="23">
        <f t="shared" si="1197"/>
        <v>0</v>
      </c>
      <c r="T6516" s="23" t="str">
        <f t="shared" si="1198"/>
        <v/>
      </c>
      <c r="U6516" t="str">
        <f t="shared" si="1199"/>
        <v>PA_Merce_2018p~Dem-precinct committeewoman grove city 1,(vote for not more than  1)</v>
      </c>
      <c r="V6516" s="40"/>
      <c r="X6516" s="43"/>
      <c r="Y6516" s="53"/>
      <c r="Z6516" s="53"/>
      <c r="AA6516"/>
      <c r="AB6516"/>
      <c r="AC6516" s="23"/>
      <c r="AD6516" s="23"/>
      <c r="AF6516" s="88"/>
      <c r="AG6516" s="339"/>
      <c r="AH6516" s="340"/>
      <c r="AI6516" s="353"/>
      <c r="AJ6516" s="357"/>
      <c r="AK6516" s="355"/>
      <c r="AL6516" s="20"/>
      <c r="AM6516" s="371"/>
      <c r="AN6516" s="372"/>
      <c r="AT6516" s="20"/>
      <c r="AU6516" s="29"/>
      <c r="AV6516"/>
      <c r="AW6516"/>
    </row>
    <row r="6517" spans="1:49">
      <c r="A6517" s="30" t="s">
        <v>2772</v>
      </c>
      <c r="B6517" s="55" t="str">
        <f t="shared" si="1200"/>
        <v>PA_Merce_2018p</v>
      </c>
      <c r="D6517" s="55" t="str">
        <f t="shared" si="1201"/>
        <v>Dem-precinct committeewoman grove city 2,(vote for not more than  1)</v>
      </c>
      <c r="E6517" s="55" t="s">
        <v>2574</v>
      </c>
      <c r="G6517" s="60">
        <v>0</v>
      </c>
      <c r="H6517"/>
      <c r="J6517" s="7"/>
      <c r="K6517" s="2"/>
      <c r="O6517">
        <f t="shared" si="1193"/>
        <v>0</v>
      </c>
      <c r="P6517" s="57">
        <f t="shared" si="1194"/>
        <v>1</v>
      </c>
      <c r="Q6517" s="267">
        <f t="shared" si="1195"/>
        <v>0</v>
      </c>
      <c r="R6517" s="23">
        <f t="shared" si="1196"/>
        <v>1</v>
      </c>
      <c r="S6517" s="23">
        <f t="shared" si="1197"/>
        <v>0</v>
      </c>
      <c r="T6517" s="23" t="str">
        <f t="shared" si="1198"/>
        <v/>
      </c>
      <c r="U6517" t="str">
        <f t="shared" si="1199"/>
        <v>PA_Merce_2018p~Dem-precinct committeewoman grove city 2,(vote for not more than  1)</v>
      </c>
      <c r="V6517" s="40"/>
      <c r="X6517" s="43"/>
      <c r="Y6517" s="53"/>
      <c r="Z6517" s="53"/>
      <c r="AA6517"/>
      <c r="AB6517"/>
      <c r="AC6517" s="23"/>
      <c r="AD6517" s="23"/>
      <c r="AF6517" s="88"/>
      <c r="AG6517" s="339"/>
      <c r="AH6517" s="340"/>
      <c r="AI6517" s="353"/>
      <c r="AJ6517" s="357"/>
      <c r="AK6517" s="355"/>
      <c r="AL6517" s="20"/>
      <c r="AM6517" s="371"/>
      <c r="AN6517" s="372"/>
      <c r="AT6517" s="20"/>
      <c r="AU6517" s="29"/>
      <c r="AV6517"/>
      <c r="AW6517"/>
    </row>
    <row r="6518" spans="1:49">
      <c r="A6518" s="30" t="s">
        <v>2773</v>
      </c>
      <c r="B6518" s="55" t="str">
        <f t="shared" si="1200"/>
        <v>PA_Merce_2018p</v>
      </c>
      <c r="D6518" s="55" t="str">
        <f t="shared" si="1201"/>
        <v>Dem-precinct committeewoman grove city 3,(vote for not more than  1)</v>
      </c>
      <c r="E6518" s="55" t="s">
        <v>2574</v>
      </c>
      <c r="G6518" s="60">
        <v>6</v>
      </c>
      <c r="H6518"/>
      <c r="J6518" s="7"/>
      <c r="K6518" s="2"/>
      <c r="O6518">
        <f t="shared" si="1193"/>
        <v>0</v>
      </c>
      <c r="P6518" s="57">
        <f t="shared" si="1194"/>
        <v>1</v>
      </c>
      <c r="Q6518" s="267">
        <f t="shared" si="1195"/>
        <v>6</v>
      </c>
      <c r="R6518" s="23">
        <f t="shared" si="1196"/>
        <v>1</v>
      </c>
      <c r="S6518" s="23">
        <f t="shared" si="1197"/>
        <v>0</v>
      </c>
      <c r="T6518" s="23" t="str">
        <f t="shared" si="1198"/>
        <v/>
      </c>
      <c r="U6518" t="str">
        <f t="shared" si="1199"/>
        <v>PA_Merce_2018p~Dem-precinct committeewoman grove city 3,(vote for not more than  1)</v>
      </c>
      <c r="V6518" s="40"/>
      <c r="X6518" s="43"/>
      <c r="Y6518" s="53"/>
      <c r="Z6518" s="53"/>
      <c r="AA6518"/>
      <c r="AB6518"/>
      <c r="AC6518" s="23"/>
      <c r="AD6518" s="23"/>
      <c r="AF6518" s="88"/>
      <c r="AG6518" s="339"/>
      <c r="AH6518" s="340"/>
      <c r="AI6518" s="353"/>
      <c r="AJ6518" s="357"/>
      <c r="AK6518" s="355"/>
      <c r="AL6518" s="20"/>
      <c r="AM6518" s="371"/>
      <c r="AN6518" s="372"/>
      <c r="AT6518" s="20"/>
      <c r="AU6518" s="29"/>
      <c r="AV6518"/>
      <c r="AW6518"/>
    </row>
    <row r="6519" spans="1:49">
      <c r="A6519" s="30" t="s">
        <v>2774</v>
      </c>
      <c r="B6519" s="55" t="str">
        <f t="shared" si="1200"/>
        <v>PA_Merce_2018p</v>
      </c>
      <c r="D6519" s="55" t="str">
        <f t="shared" si="1201"/>
        <v>Dem-precinct committeewoman grove city 4,(vote for not more than  1)</v>
      </c>
      <c r="E6519" s="55" t="s">
        <v>2574</v>
      </c>
      <c r="G6519" s="60">
        <v>6</v>
      </c>
      <c r="H6519"/>
      <c r="J6519" s="7"/>
      <c r="K6519" s="2"/>
      <c r="O6519">
        <f t="shared" si="1193"/>
        <v>0</v>
      </c>
      <c r="P6519" s="57">
        <f t="shared" si="1194"/>
        <v>1</v>
      </c>
      <c r="Q6519" s="267">
        <f t="shared" si="1195"/>
        <v>6</v>
      </c>
      <c r="R6519" s="23">
        <f t="shared" si="1196"/>
        <v>1</v>
      </c>
      <c r="S6519" s="23">
        <f t="shared" si="1197"/>
        <v>0</v>
      </c>
      <c r="T6519" s="23" t="str">
        <f t="shared" si="1198"/>
        <v/>
      </c>
      <c r="U6519" t="str">
        <f t="shared" si="1199"/>
        <v>PA_Merce_2018p~Dem-precinct committeewoman grove city 4,(vote for not more than  1)</v>
      </c>
      <c r="V6519" s="40"/>
      <c r="X6519" s="43"/>
      <c r="Y6519" s="53"/>
      <c r="Z6519" s="53"/>
      <c r="AA6519"/>
      <c r="AB6519"/>
      <c r="AC6519" s="23"/>
      <c r="AD6519" s="23"/>
      <c r="AF6519" s="88"/>
      <c r="AG6519" s="339"/>
      <c r="AH6519" s="340"/>
      <c r="AI6519" s="353"/>
      <c r="AJ6519" s="357"/>
      <c r="AK6519" s="355"/>
      <c r="AL6519" s="20"/>
      <c r="AM6519" s="371"/>
      <c r="AN6519" s="372"/>
      <c r="AT6519" s="20"/>
      <c r="AU6519" s="29"/>
      <c r="AV6519"/>
      <c r="AW6519"/>
    </row>
    <row r="6520" spans="1:49">
      <c r="A6520" s="30" t="s">
        <v>2775</v>
      </c>
      <c r="B6520" s="55" t="str">
        <f t="shared" si="1200"/>
        <v>PA_Merce_2018p</v>
      </c>
      <c r="D6520" s="55" t="str">
        <f t="shared" si="1201"/>
        <v>Dem-precinct committeewoman grove city 5,(vote for not more than  1)</v>
      </c>
      <c r="E6520" s="55" t="s">
        <v>2574</v>
      </c>
      <c r="G6520" s="60">
        <v>7</v>
      </c>
      <c r="H6520"/>
      <c r="J6520" s="7"/>
      <c r="K6520" s="2"/>
      <c r="O6520">
        <f t="shared" si="1193"/>
        <v>0</v>
      </c>
      <c r="P6520" s="57">
        <f t="shared" si="1194"/>
        <v>1</v>
      </c>
      <c r="Q6520" s="267">
        <f t="shared" si="1195"/>
        <v>7</v>
      </c>
      <c r="R6520" s="23">
        <f t="shared" si="1196"/>
        <v>1</v>
      </c>
      <c r="S6520" s="23">
        <f t="shared" si="1197"/>
        <v>0</v>
      </c>
      <c r="T6520" s="23" t="str">
        <f t="shared" si="1198"/>
        <v/>
      </c>
      <c r="U6520" t="str">
        <f t="shared" si="1199"/>
        <v>PA_Merce_2018p~Dem-precinct committeewoman grove city 5,(vote for not more than  1)</v>
      </c>
      <c r="V6520" s="40"/>
      <c r="X6520" s="43"/>
      <c r="Y6520" s="53"/>
      <c r="Z6520" s="53"/>
      <c r="AA6520"/>
      <c r="AB6520"/>
      <c r="AC6520" s="23"/>
      <c r="AD6520" s="23"/>
      <c r="AF6520" s="88"/>
      <c r="AG6520" s="339"/>
      <c r="AH6520" s="340"/>
      <c r="AI6520" s="353"/>
      <c r="AJ6520" s="357"/>
      <c r="AK6520" s="355"/>
      <c r="AL6520" s="20"/>
      <c r="AM6520" s="371"/>
      <c r="AN6520" s="372"/>
      <c r="AT6520" s="20"/>
      <c r="AU6520" s="29"/>
      <c r="AV6520"/>
      <c r="AW6520"/>
    </row>
    <row r="6521" spans="1:49">
      <c r="A6521" s="30" t="s">
        <v>2776</v>
      </c>
      <c r="B6521" s="55" t="str">
        <f t="shared" si="1200"/>
        <v>PA_Merce_2018p</v>
      </c>
      <c r="D6521" s="55" t="str">
        <f t="shared" si="1201"/>
        <v>Dem-precinct committeewoman hempfield 1,(vote for not more than  1)</v>
      </c>
      <c r="E6521" s="55" t="s">
        <v>2777</v>
      </c>
      <c r="G6521" s="60">
        <v>26</v>
      </c>
      <c r="H6521"/>
      <c r="J6521" s="7"/>
      <c r="K6521" s="2"/>
      <c r="O6521">
        <f t="shared" si="1193"/>
        <v>1</v>
      </c>
      <c r="P6521" s="57">
        <f t="shared" si="1194"/>
        <v>1</v>
      </c>
      <c r="Q6521" s="267">
        <f t="shared" si="1195"/>
        <v>27</v>
      </c>
      <c r="R6521" s="23">
        <f t="shared" si="1196"/>
        <v>26</v>
      </c>
      <c r="S6521" s="23">
        <f t="shared" si="1197"/>
        <v>0</v>
      </c>
      <c r="T6521" s="23" t="str">
        <f t="shared" si="1198"/>
        <v/>
      </c>
      <c r="U6521" t="str">
        <f t="shared" si="1199"/>
        <v>PA_Merce_2018p~Dem-precinct committeewoman hempfield 1,(vote for not more than  1)</v>
      </c>
      <c r="V6521" s="40"/>
      <c r="X6521" s="43"/>
      <c r="Y6521" s="53"/>
      <c r="Z6521" s="53"/>
      <c r="AA6521"/>
      <c r="AB6521"/>
      <c r="AC6521" s="23"/>
      <c r="AD6521" s="23"/>
      <c r="AF6521" s="88"/>
      <c r="AG6521" s="339"/>
      <c r="AH6521" s="340"/>
      <c r="AI6521" s="353"/>
      <c r="AJ6521" s="357"/>
      <c r="AK6521" s="355"/>
      <c r="AL6521" s="20"/>
      <c r="AM6521" s="371"/>
      <c r="AN6521" s="372"/>
      <c r="AT6521" s="20"/>
      <c r="AU6521" s="29"/>
      <c r="AV6521"/>
      <c r="AW6521"/>
    </row>
    <row r="6522" spans="1:49">
      <c r="A6522" s="30" t="s">
        <v>2776</v>
      </c>
      <c r="B6522" s="55" t="str">
        <f t="shared" si="1200"/>
        <v>PA_Merce_2018p</v>
      </c>
      <c r="D6522" s="55" t="str">
        <f t="shared" si="1201"/>
        <v>Dem-precinct committeewoman hempfield 1,(vote for not more than  1)</v>
      </c>
      <c r="E6522" s="55" t="s">
        <v>2574</v>
      </c>
      <c r="G6522" s="60">
        <v>1</v>
      </c>
      <c r="H6522"/>
      <c r="J6522" s="7"/>
      <c r="K6522" s="2"/>
      <c r="O6522">
        <f t="shared" si="1193"/>
        <v>-1</v>
      </c>
      <c r="P6522" s="57">
        <f t="shared" si="1194"/>
        <v>1</v>
      </c>
      <c r="Q6522" s="267">
        <f t="shared" si="1195"/>
        <v>1</v>
      </c>
      <c r="R6522" s="23">
        <f t="shared" si="1196"/>
        <v>1</v>
      </c>
      <c r="S6522" s="23">
        <f t="shared" si="1197"/>
        <v>0</v>
      </c>
      <c r="T6522" s="23" t="str">
        <f t="shared" si="1198"/>
        <v/>
      </c>
      <c r="U6522" t="str">
        <f t="shared" si="1199"/>
        <v/>
      </c>
      <c r="V6522" s="40"/>
      <c r="X6522" s="43"/>
      <c r="Y6522" s="53"/>
      <c r="Z6522" s="53"/>
      <c r="AA6522"/>
      <c r="AB6522"/>
      <c r="AC6522" s="23"/>
      <c r="AD6522" s="23"/>
      <c r="AF6522" s="88"/>
      <c r="AG6522" s="339"/>
      <c r="AH6522" s="340"/>
      <c r="AI6522" s="353"/>
      <c r="AJ6522" s="357"/>
      <c r="AK6522" s="355"/>
      <c r="AL6522" s="20"/>
      <c r="AM6522" s="371"/>
      <c r="AN6522" s="372"/>
      <c r="AT6522" s="20"/>
      <c r="AU6522" s="29"/>
      <c r="AV6522"/>
      <c r="AW6522"/>
    </row>
    <row r="6523" spans="1:49">
      <c r="A6523" s="30" t="s">
        <v>2778</v>
      </c>
      <c r="B6523" s="55" t="str">
        <f t="shared" si="1200"/>
        <v>PA_Merce_2018p</v>
      </c>
      <c r="D6523" s="55" t="str">
        <f t="shared" si="1201"/>
        <v>Dem-precinct committeewoman hempfield 2,(vote for not more than  1)</v>
      </c>
      <c r="E6523" s="55" t="s">
        <v>2574</v>
      </c>
      <c r="G6523" s="60">
        <v>2</v>
      </c>
      <c r="H6523"/>
      <c r="J6523" s="7"/>
      <c r="K6523" s="2"/>
      <c r="O6523">
        <f t="shared" si="1193"/>
        <v>0</v>
      </c>
      <c r="P6523" s="57">
        <f t="shared" si="1194"/>
        <v>1</v>
      </c>
      <c r="Q6523" s="267">
        <f t="shared" si="1195"/>
        <v>2</v>
      </c>
      <c r="R6523" s="23">
        <f t="shared" si="1196"/>
        <v>1</v>
      </c>
      <c r="S6523" s="23">
        <f t="shared" si="1197"/>
        <v>0</v>
      </c>
      <c r="T6523" s="23" t="str">
        <f t="shared" si="1198"/>
        <v/>
      </c>
      <c r="U6523" t="str">
        <f t="shared" si="1199"/>
        <v>PA_Merce_2018p~Dem-precinct committeewoman hempfield 2,(vote for not more than  1)</v>
      </c>
      <c r="V6523" s="40"/>
      <c r="X6523" s="43"/>
      <c r="Y6523" s="53"/>
      <c r="Z6523" s="53"/>
      <c r="AA6523"/>
      <c r="AB6523"/>
      <c r="AC6523" s="23"/>
      <c r="AD6523" s="23"/>
      <c r="AF6523" s="88"/>
      <c r="AG6523" s="339"/>
      <c r="AH6523" s="340"/>
      <c r="AI6523" s="353"/>
      <c r="AJ6523" s="357"/>
      <c r="AK6523" s="355"/>
      <c r="AL6523" s="20"/>
      <c r="AM6523" s="371"/>
      <c r="AN6523" s="372"/>
      <c r="AT6523" s="20"/>
      <c r="AU6523" s="29"/>
      <c r="AV6523"/>
      <c r="AW6523"/>
    </row>
    <row r="6524" spans="1:49">
      <c r="A6524" s="30" t="s">
        <v>2779</v>
      </c>
      <c r="B6524" s="55" t="str">
        <f t="shared" si="1200"/>
        <v>PA_Merce_2018p</v>
      </c>
      <c r="D6524" s="55" t="str">
        <f t="shared" si="1201"/>
        <v>Dem-precinct committeewoman hempfield 3,(vote for not more than  1)</v>
      </c>
      <c r="E6524" s="55" t="s">
        <v>2574</v>
      </c>
      <c r="G6524" s="60">
        <v>0</v>
      </c>
      <c r="H6524"/>
      <c r="J6524" s="7"/>
      <c r="K6524" s="2"/>
      <c r="O6524">
        <f t="shared" si="1193"/>
        <v>0</v>
      </c>
      <c r="P6524" s="57">
        <f t="shared" si="1194"/>
        <v>1</v>
      </c>
      <c r="Q6524" s="267">
        <f t="shared" si="1195"/>
        <v>0</v>
      </c>
      <c r="R6524" s="23">
        <f t="shared" si="1196"/>
        <v>1</v>
      </c>
      <c r="S6524" s="23">
        <f t="shared" si="1197"/>
        <v>0</v>
      </c>
      <c r="T6524" s="23" t="str">
        <f t="shared" si="1198"/>
        <v/>
      </c>
      <c r="U6524" t="str">
        <f t="shared" si="1199"/>
        <v>PA_Merce_2018p~Dem-precinct committeewoman hempfield 3,(vote for not more than  1)</v>
      </c>
      <c r="V6524" s="40"/>
      <c r="X6524" s="43"/>
      <c r="Y6524" s="53"/>
      <c r="Z6524" s="53"/>
      <c r="AA6524"/>
      <c r="AB6524"/>
      <c r="AC6524" s="23"/>
      <c r="AD6524" s="23"/>
      <c r="AF6524" s="88"/>
      <c r="AG6524" s="339"/>
      <c r="AH6524" s="340"/>
      <c r="AI6524" s="353"/>
      <c r="AJ6524" s="357"/>
      <c r="AK6524" s="355"/>
      <c r="AL6524" s="20"/>
      <c r="AM6524" s="371"/>
      <c r="AN6524" s="372"/>
      <c r="AT6524" s="20"/>
      <c r="AU6524" s="29"/>
      <c r="AV6524"/>
      <c r="AW6524"/>
    </row>
    <row r="6525" spans="1:49">
      <c r="A6525" s="30" t="s">
        <v>2780</v>
      </c>
      <c r="B6525" s="55" t="str">
        <f t="shared" si="1200"/>
        <v>PA_Merce_2018p</v>
      </c>
      <c r="D6525" s="55" t="str">
        <f t="shared" si="1201"/>
        <v>Dem-precinct committeewoman hermitage ne-1,(vote for not more than  1)</v>
      </c>
      <c r="E6525" s="55" t="s">
        <v>2781</v>
      </c>
      <c r="G6525" s="60">
        <v>75</v>
      </c>
      <c r="H6525"/>
      <c r="J6525" s="7"/>
      <c r="K6525" s="2"/>
      <c r="O6525">
        <f t="shared" si="1193"/>
        <v>1</v>
      </c>
      <c r="P6525" s="57">
        <f t="shared" si="1194"/>
        <v>1</v>
      </c>
      <c r="Q6525" s="267">
        <f t="shared" si="1195"/>
        <v>75</v>
      </c>
      <c r="R6525" s="23">
        <f t="shared" si="1196"/>
        <v>75</v>
      </c>
      <c r="S6525" s="23">
        <f t="shared" si="1197"/>
        <v>0</v>
      </c>
      <c r="T6525" s="23" t="str">
        <f t="shared" si="1198"/>
        <v/>
      </c>
      <c r="U6525" t="str">
        <f t="shared" si="1199"/>
        <v>PA_Merce_2018p~Dem-precinct committeewoman hermitage ne-1,(vote for not more than  1)</v>
      </c>
      <c r="V6525" s="40"/>
      <c r="X6525" s="43"/>
      <c r="Y6525" s="53"/>
      <c r="Z6525" s="53"/>
      <c r="AA6525"/>
      <c r="AB6525"/>
      <c r="AC6525" s="23"/>
      <c r="AD6525" s="23"/>
      <c r="AF6525" s="88"/>
      <c r="AG6525" s="339"/>
      <c r="AH6525" s="340"/>
      <c r="AI6525" s="353"/>
      <c r="AJ6525" s="357"/>
      <c r="AK6525" s="355"/>
      <c r="AL6525" s="20"/>
      <c r="AM6525" s="371"/>
      <c r="AN6525" s="372"/>
      <c r="AT6525" s="20"/>
      <c r="AU6525" s="29"/>
      <c r="AV6525"/>
      <c r="AW6525"/>
    </row>
    <row r="6526" spans="1:49">
      <c r="A6526" s="30" t="s">
        <v>2780</v>
      </c>
      <c r="B6526" s="55" t="str">
        <f t="shared" si="1200"/>
        <v>PA_Merce_2018p</v>
      </c>
      <c r="D6526" s="55" t="str">
        <f t="shared" si="1201"/>
        <v>Dem-precinct committeewoman hermitage ne-1,(vote for not more than  1)</v>
      </c>
      <c r="E6526" s="55" t="s">
        <v>2574</v>
      </c>
      <c r="G6526" s="60">
        <v>0</v>
      </c>
      <c r="H6526"/>
      <c r="J6526" s="7"/>
      <c r="K6526" s="2"/>
      <c r="O6526">
        <f t="shared" si="1193"/>
        <v>-1</v>
      </c>
      <c r="P6526" s="57">
        <f t="shared" si="1194"/>
        <v>1</v>
      </c>
      <c r="Q6526" s="267">
        <f t="shared" si="1195"/>
        <v>0</v>
      </c>
      <c r="R6526" s="23">
        <f t="shared" si="1196"/>
        <v>1</v>
      </c>
      <c r="S6526" s="23">
        <f t="shared" si="1197"/>
        <v>0</v>
      </c>
      <c r="T6526" s="23" t="str">
        <f t="shared" si="1198"/>
        <v/>
      </c>
      <c r="U6526" t="str">
        <f t="shared" si="1199"/>
        <v/>
      </c>
      <c r="V6526" s="40"/>
      <c r="X6526" s="43"/>
      <c r="Y6526" s="53"/>
      <c r="Z6526" s="53"/>
      <c r="AA6526"/>
      <c r="AB6526"/>
      <c r="AC6526" s="23"/>
      <c r="AD6526" s="23"/>
      <c r="AF6526" s="88"/>
      <c r="AG6526" s="339"/>
      <c r="AH6526" s="340"/>
      <c r="AI6526" s="353"/>
      <c r="AJ6526" s="357"/>
      <c r="AK6526" s="355"/>
      <c r="AL6526" s="20"/>
      <c r="AM6526" s="371"/>
      <c r="AN6526" s="372"/>
      <c r="AT6526" s="20"/>
      <c r="AU6526" s="29"/>
      <c r="AV6526"/>
      <c r="AW6526"/>
    </row>
    <row r="6527" spans="1:49">
      <c r="A6527" s="30" t="s">
        <v>2782</v>
      </c>
      <c r="B6527" s="55" t="str">
        <f t="shared" si="1200"/>
        <v>PA_Merce_2018p</v>
      </c>
      <c r="D6527" s="55" t="str">
        <f t="shared" si="1201"/>
        <v>Dem-precinct committeewoman hermitage ne-2,(vote for not more than  1)</v>
      </c>
      <c r="E6527" s="55" t="s">
        <v>2574</v>
      </c>
      <c r="G6527" s="60">
        <v>3</v>
      </c>
      <c r="H6527"/>
      <c r="J6527" s="7"/>
      <c r="K6527" s="2"/>
      <c r="O6527">
        <f t="shared" si="1193"/>
        <v>0</v>
      </c>
      <c r="P6527" s="57">
        <f t="shared" si="1194"/>
        <v>1</v>
      </c>
      <c r="Q6527" s="267">
        <f t="shared" si="1195"/>
        <v>3</v>
      </c>
      <c r="R6527" s="23">
        <f t="shared" si="1196"/>
        <v>1</v>
      </c>
      <c r="S6527" s="23">
        <f t="shared" si="1197"/>
        <v>0</v>
      </c>
      <c r="T6527" s="23" t="str">
        <f t="shared" si="1198"/>
        <v/>
      </c>
      <c r="U6527" t="str">
        <f t="shared" si="1199"/>
        <v>PA_Merce_2018p~Dem-precinct committeewoman hermitage ne-2,(vote for not more than  1)</v>
      </c>
      <c r="V6527" s="40"/>
      <c r="X6527" s="43"/>
      <c r="Y6527" s="53"/>
      <c r="Z6527" s="53"/>
      <c r="AA6527"/>
      <c r="AB6527"/>
      <c r="AC6527" s="23"/>
      <c r="AD6527" s="23"/>
      <c r="AF6527" s="88"/>
      <c r="AG6527" s="339"/>
      <c r="AH6527" s="340"/>
      <c r="AI6527" s="353"/>
      <c r="AJ6527" s="357"/>
      <c r="AK6527" s="355"/>
      <c r="AL6527" s="20"/>
      <c r="AM6527" s="371"/>
      <c r="AN6527" s="372"/>
      <c r="AT6527" s="20"/>
      <c r="AU6527" s="29"/>
      <c r="AV6527"/>
      <c r="AW6527"/>
    </row>
    <row r="6528" spans="1:49">
      <c r="A6528" s="30" t="s">
        <v>2783</v>
      </c>
      <c r="B6528" s="55" t="str">
        <f t="shared" si="1200"/>
        <v>PA_Merce_2018p</v>
      </c>
      <c r="D6528" s="55" t="str">
        <f t="shared" si="1201"/>
        <v>Dem-precinct committeewoman hermitage nw-1,(vote for not more than  1)</v>
      </c>
      <c r="E6528" s="55" t="s">
        <v>2574</v>
      </c>
      <c r="G6528" s="60">
        <v>4</v>
      </c>
      <c r="H6528"/>
      <c r="J6528" s="7"/>
      <c r="K6528" s="2"/>
      <c r="O6528">
        <f t="shared" si="1193"/>
        <v>0</v>
      </c>
      <c r="P6528" s="57">
        <f t="shared" si="1194"/>
        <v>1</v>
      </c>
      <c r="Q6528" s="267">
        <f t="shared" si="1195"/>
        <v>4</v>
      </c>
      <c r="R6528" s="23">
        <f t="shared" si="1196"/>
        <v>1</v>
      </c>
      <c r="S6528" s="23">
        <f t="shared" si="1197"/>
        <v>0</v>
      </c>
      <c r="T6528" s="23" t="str">
        <f t="shared" si="1198"/>
        <v/>
      </c>
      <c r="U6528" t="str">
        <f t="shared" si="1199"/>
        <v>PA_Merce_2018p~Dem-precinct committeewoman hermitage nw-1,(vote for not more than  1)</v>
      </c>
      <c r="V6528" s="40"/>
      <c r="X6528" s="43"/>
      <c r="Y6528" s="53"/>
      <c r="Z6528" s="53"/>
      <c r="AA6528"/>
      <c r="AB6528"/>
      <c r="AC6528" s="23"/>
      <c r="AD6528" s="23"/>
      <c r="AF6528" s="88"/>
      <c r="AG6528" s="339"/>
      <c r="AH6528" s="340"/>
      <c r="AI6528" s="353"/>
      <c r="AJ6528" s="357"/>
      <c r="AK6528" s="355"/>
      <c r="AL6528" s="20"/>
      <c r="AM6528" s="371"/>
      <c r="AN6528" s="372"/>
      <c r="AT6528" s="20"/>
      <c r="AU6528" s="29"/>
      <c r="AV6528"/>
      <c r="AW6528"/>
    </row>
    <row r="6529" spans="1:49">
      <c r="A6529" s="30" t="s">
        <v>2784</v>
      </c>
      <c r="B6529" s="55" t="str">
        <f t="shared" si="1200"/>
        <v>PA_Merce_2018p</v>
      </c>
      <c r="D6529" s="55" t="str">
        <f t="shared" si="1201"/>
        <v>Dem-precinct committeewoman hermitage nw-2,(vote for not more than  1)</v>
      </c>
      <c r="E6529" s="55" t="s">
        <v>2574</v>
      </c>
      <c r="G6529" s="60">
        <v>5</v>
      </c>
      <c r="H6529"/>
      <c r="J6529" s="7"/>
      <c r="K6529" s="2"/>
      <c r="O6529">
        <f t="shared" si="1193"/>
        <v>0</v>
      </c>
      <c r="P6529" s="57">
        <f t="shared" si="1194"/>
        <v>1</v>
      </c>
      <c r="Q6529" s="267">
        <f t="shared" si="1195"/>
        <v>5</v>
      </c>
      <c r="R6529" s="23">
        <f t="shared" si="1196"/>
        <v>1</v>
      </c>
      <c r="S6529" s="23">
        <f t="shared" si="1197"/>
        <v>0</v>
      </c>
      <c r="T6529" s="23" t="str">
        <f t="shared" si="1198"/>
        <v/>
      </c>
      <c r="U6529" t="str">
        <f t="shared" si="1199"/>
        <v>PA_Merce_2018p~Dem-precinct committeewoman hermitage nw-2,(vote for not more than  1)</v>
      </c>
      <c r="V6529" s="40"/>
      <c r="X6529" s="43"/>
      <c r="Y6529" s="53"/>
      <c r="Z6529" s="53"/>
      <c r="AA6529"/>
      <c r="AB6529"/>
      <c r="AC6529" s="23"/>
      <c r="AD6529" s="23"/>
      <c r="AF6529" s="88"/>
      <c r="AG6529" s="339"/>
      <c r="AH6529" s="340"/>
      <c r="AI6529" s="353"/>
      <c r="AJ6529" s="357"/>
      <c r="AK6529" s="355"/>
      <c r="AL6529" s="20"/>
      <c r="AM6529" s="371"/>
      <c r="AN6529" s="372"/>
      <c r="AT6529" s="20"/>
      <c r="AU6529" s="29"/>
      <c r="AV6529"/>
      <c r="AW6529"/>
    </row>
    <row r="6530" spans="1:49">
      <c r="A6530" s="30" t="s">
        <v>2785</v>
      </c>
      <c r="B6530" s="55" t="str">
        <f t="shared" si="1200"/>
        <v>PA_Merce_2018p</v>
      </c>
      <c r="D6530" s="55" t="str">
        <f t="shared" si="1201"/>
        <v>Dem-precinct committeewoman hermitage nw-3,(vote for not more than  1)</v>
      </c>
      <c r="E6530" s="55" t="s">
        <v>2786</v>
      </c>
      <c r="G6530" s="60">
        <v>38</v>
      </c>
      <c r="H6530"/>
      <c r="J6530" s="7"/>
      <c r="K6530" s="2"/>
      <c r="O6530">
        <f t="shared" ref="O6530:O6593" si="1202">IF(OR(LOWER(LEFT(E6530,8))="write-in",LOWER(LEFT(E6530,8))="not qual"),IF(A6530=A6529,-ABS(O6529),0),IF(A6530=A6529,ABS(O6529)+1,1))</f>
        <v>1</v>
      </c>
      <c r="P6530" s="57">
        <f t="shared" ref="P6530:P6593" si="1203">1*LEFT(RIGHT(A6530,2),1)</f>
        <v>1</v>
      </c>
      <c r="Q6530" s="267">
        <f t="shared" ref="Q6530:Q6593" si="1204">IF(A6530&lt;&gt;A6531,G6530,IF(A6530=A6529,G6530+Q6531,MAX(G6530,(G6530+Q6531)/P6530)))</f>
        <v>60</v>
      </c>
      <c r="R6530" s="23">
        <f t="shared" ref="R6530:R6593" si="1205">IF(O6530&gt;P6530,"",IF(O6530=P6530,G6530,IF(A6530=A6531,R6531,IF(O6530&lt;=0,1,G6530))))</f>
        <v>38</v>
      </c>
      <c r="S6530" s="23">
        <f t="shared" ref="S6530:S6593" si="1206">IF(AND(O6530&gt;P6530,LOWER(LEFT(E6530,8))&lt;&gt;"write-in",LOWER(LEFT(E6530,8))&lt;&gt;"not qual"),G6530,IF(A6530=A6531,S6531,0))</f>
        <v>22</v>
      </c>
      <c r="T6530" s="23">
        <f t="shared" ref="T6530:T6593" si="1207">IF(OR(A6530=A6529,S6530=0),"",R6530-ABS(S6530))</f>
        <v>16</v>
      </c>
      <c r="U6530" t="str">
        <f t="shared" ref="U6530:U6593" si="1208">IF(A6530=A6529,"",A6530)</f>
        <v>PA_Merce_2018p~Dem-precinct committeewoman hermitage nw-3,(vote for not more than  1)</v>
      </c>
      <c r="V6530" s="40"/>
      <c r="X6530" s="43"/>
      <c r="Y6530" s="53"/>
      <c r="Z6530" s="53"/>
      <c r="AA6530"/>
      <c r="AB6530"/>
      <c r="AC6530" s="23"/>
      <c r="AD6530" s="23"/>
      <c r="AF6530" s="88"/>
      <c r="AG6530" s="339"/>
      <c r="AH6530" s="340"/>
      <c r="AI6530" s="353"/>
      <c r="AJ6530" s="357"/>
      <c r="AK6530" s="355"/>
      <c r="AL6530" s="20"/>
      <c r="AM6530" s="371"/>
      <c r="AN6530" s="372"/>
      <c r="AT6530" s="20"/>
      <c r="AU6530" s="29"/>
      <c r="AV6530"/>
      <c r="AW6530"/>
    </row>
    <row r="6531" spans="1:49">
      <c r="A6531" s="30" t="s">
        <v>2785</v>
      </c>
      <c r="B6531" s="55" t="str">
        <f t="shared" si="1200"/>
        <v>PA_Merce_2018p</v>
      </c>
      <c r="D6531" s="55" t="str">
        <f t="shared" si="1201"/>
        <v>Dem-precinct committeewoman hermitage nw-3,(vote for not more than  1)</v>
      </c>
      <c r="E6531" s="55" t="s">
        <v>2787</v>
      </c>
      <c r="G6531" s="60">
        <v>22</v>
      </c>
      <c r="H6531"/>
      <c r="J6531" s="7"/>
      <c r="K6531" s="2"/>
      <c r="O6531">
        <f t="shared" si="1202"/>
        <v>2</v>
      </c>
      <c r="P6531" s="57">
        <f t="shared" si="1203"/>
        <v>1</v>
      </c>
      <c r="Q6531" s="267">
        <f t="shared" si="1204"/>
        <v>22</v>
      </c>
      <c r="R6531" s="23" t="str">
        <f t="shared" si="1205"/>
        <v/>
      </c>
      <c r="S6531" s="23">
        <f t="shared" si="1206"/>
        <v>22</v>
      </c>
      <c r="T6531" s="23" t="str">
        <f t="shared" si="1207"/>
        <v/>
      </c>
      <c r="U6531" t="str">
        <f t="shared" si="1208"/>
        <v/>
      </c>
      <c r="V6531" s="40"/>
      <c r="X6531" s="43"/>
      <c r="Y6531" s="53"/>
      <c r="Z6531" s="53"/>
      <c r="AA6531"/>
      <c r="AB6531"/>
      <c r="AC6531" s="23"/>
      <c r="AD6531" s="23"/>
      <c r="AF6531" s="88"/>
      <c r="AG6531" s="339"/>
      <c r="AH6531" s="340"/>
      <c r="AI6531" s="353"/>
      <c r="AJ6531" s="357"/>
      <c r="AK6531" s="355"/>
      <c r="AL6531" s="20"/>
      <c r="AM6531" s="371"/>
      <c r="AN6531" s="372"/>
      <c r="AT6531" s="20"/>
      <c r="AU6531" s="29"/>
      <c r="AV6531"/>
      <c r="AW6531"/>
    </row>
    <row r="6532" spans="1:49">
      <c r="A6532" s="30" t="s">
        <v>2785</v>
      </c>
      <c r="B6532" s="55" t="str">
        <f t="shared" si="1200"/>
        <v>PA_Merce_2018p</v>
      </c>
      <c r="D6532" s="55" t="str">
        <f t="shared" si="1201"/>
        <v>Dem-precinct committeewoman hermitage nw-3,(vote for not more than  1)</v>
      </c>
      <c r="E6532" s="55" t="s">
        <v>2574</v>
      </c>
      <c r="G6532" s="60">
        <v>0</v>
      </c>
      <c r="H6532"/>
      <c r="J6532" s="7"/>
      <c r="K6532" s="2"/>
      <c r="O6532">
        <f t="shared" si="1202"/>
        <v>-2</v>
      </c>
      <c r="P6532" s="57">
        <f t="shared" si="1203"/>
        <v>1</v>
      </c>
      <c r="Q6532" s="267">
        <f t="shared" si="1204"/>
        <v>0</v>
      </c>
      <c r="R6532" s="23">
        <f t="shared" si="1205"/>
        <v>1</v>
      </c>
      <c r="S6532" s="23">
        <f t="shared" si="1206"/>
        <v>0</v>
      </c>
      <c r="T6532" s="23" t="str">
        <f t="shared" si="1207"/>
        <v/>
      </c>
      <c r="U6532" t="str">
        <f t="shared" si="1208"/>
        <v/>
      </c>
      <c r="V6532" s="40"/>
      <c r="X6532" s="43"/>
      <c r="Y6532" s="53"/>
      <c r="Z6532" s="53"/>
      <c r="AA6532"/>
      <c r="AB6532"/>
      <c r="AC6532" s="23"/>
      <c r="AD6532" s="23"/>
      <c r="AF6532" s="88"/>
      <c r="AG6532" s="339"/>
      <c r="AH6532" s="340"/>
      <c r="AI6532" s="353"/>
      <c r="AJ6532" s="357"/>
      <c r="AK6532" s="355"/>
      <c r="AL6532" s="20"/>
      <c r="AM6532" s="371"/>
      <c r="AN6532" s="372"/>
      <c r="AT6532" s="20"/>
      <c r="AU6532" s="29"/>
      <c r="AV6532"/>
      <c r="AW6532"/>
    </row>
    <row r="6533" spans="1:49">
      <c r="A6533" s="30" t="s">
        <v>2788</v>
      </c>
      <c r="B6533" s="55" t="str">
        <f t="shared" si="1200"/>
        <v>PA_Merce_2018p</v>
      </c>
      <c r="D6533" s="55" t="str">
        <f t="shared" si="1201"/>
        <v>Dem-precinct committeewoman hermitage nw-4,(vote for not more than  1)</v>
      </c>
      <c r="E6533" s="55" t="s">
        <v>2789</v>
      </c>
      <c r="G6533" s="60">
        <v>123</v>
      </c>
      <c r="H6533"/>
      <c r="J6533" s="7"/>
      <c r="K6533" s="2"/>
      <c r="O6533">
        <f t="shared" si="1202"/>
        <v>1</v>
      </c>
      <c r="P6533" s="57">
        <f t="shared" si="1203"/>
        <v>1</v>
      </c>
      <c r="Q6533" s="267">
        <f t="shared" si="1204"/>
        <v>125</v>
      </c>
      <c r="R6533" s="23">
        <f t="shared" si="1205"/>
        <v>123</v>
      </c>
      <c r="S6533" s="23">
        <f t="shared" si="1206"/>
        <v>0</v>
      </c>
      <c r="T6533" s="23" t="str">
        <f t="shared" si="1207"/>
        <v/>
      </c>
      <c r="U6533" t="str">
        <f t="shared" si="1208"/>
        <v>PA_Merce_2018p~Dem-precinct committeewoman hermitage nw-4,(vote for not more than  1)</v>
      </c>
      <c r="V6533" s="40"/>
      <c r="X6533" s="43"/>
      <c r="Y6533" s="53"/>
      <c r="Z6533" s="53"/>
      <c r="AA6533"/>
      <c r="AB6533"/>
      <c r="AC6533" s="23"/>
      <c r="AD6533" s="23"/>
      <c r="AF6533" s="88"/>
      <c r="AG6533" s="339"/>
      <c r="AH6533" s="340"/>
      <c r="AI6533" s="353"/>
      <c r="AJ6533" s="357"/>
      <c r="AK6533" s="355"/>
      <c r="AL6533" s="20"/>
      <c r="AM6533" s="371"/>
      <c r="AN6533" s="372"/>
      <c r="AT6533" s="20"/>
      <c r="AU6533" s="29"/>
      <c r="AV6533"/>
      <c r="AW6533"/>
    </row>
    <row r="6534" spans="1:49">
      <c r="A6534" s="30" t="s">
        <v>2788</v>
      </c>
      <c r="B6534" s="55" t="str">
        <f t="shared" si="1200"/>
        <v>PA_Merce_2018p</v>
      </c>
      <c r="D6534" s="55" t="str">
        <f t="shared" si="1201"/>
        <v>Dem-precinct committeewoman hermitage nw-4,(vote for not more than  1)</v>
      </c>
      <c r="E6534" s="55" t="s">
        <v>2574</v>
      </c>
      <c r="G6534" s="60">
        <v>2</v>
      </c>
      <c r="H6534"/>
      <c r="J6534" s="7"/>
      <c r="K6534" s="2"/>
      <c r="O6534">
        <f t="shared" si="1202"/>
        <v>-1</v>
      </c>
      <c r="P6534" s="57">
        <f t="shared" si="1203"/>
        <v>1</v>
      </c>
      <c r="Q6534" s="267">
        <f t="shared" si="1204"/>
        <v>2</v>
      </c>
      <c r="R6534" s="23">
        <f t="shared" si="1205"/>
        <v>1</v>
      </c>
      <c r="S6534" s="23">
        <f t="shared" si="1206"/>
        <v>0</v>
      </c>
      <c r="T6534" s="23" t="str">
        <f t="shared" si="1207"/>
        <v/>
      </c>
      <c r="U6534" t="str">
        <f t="shared" si="1208"/>
        <v/>
      </c>
      <c r="V6534" s="40"/>
      <c r="X6534" s="43"/>
      <c r="Y6534" s="53"/>
      <c r="Z6534" s="53"/>
      <c r="AA6534"/>
      <c r="AB6534"/>
      <c r="AC6534" s="23"/>
      <c r="AD6534" s="23"/>
      <c r="AF6534" s="88"/>
      <c r="AG6534" s="339"/>
      <c r="AH6534" s="340"/>
      <c r="AI6534" s="353"/>
      <c r="AJ6534" s="357"/>
      <c r="AK6534" s="355"/>
      <c r="AL6534" s="20"/>
      <c r="AM6534" s="371"/>
      <c r="AN6534" s="372"/>
      <c r="AT6534" s="20"/>
      <c r="AU6534" s="29"/>
      <c r="AV6534"/>
      <c r="AW6534"/>
    </row>
    <row r="6535" spans="1:49">
      <c r="A6535" s="30" t="s">
        <v>2790</v>
      </c>
      <c r="B6535" s="55" t="str">
        <f t="shared" si="1200"/>
        <v>PA_Merce_2018p</v>
      </c>
      <c r="D6535" s="55" t="str">
        <f t="shared" si="1201"/>
        <v>Dem-precinct committeewoman hermitage se-1,(vote for not more than  1)</v>
      </c>
      <c r="E6535" s="55" t="s">
        <v>2574</v>
      </c>
      <c r="G6535" s="60">
        <v>5</v>
      </c>
      <c r="H6535"/>
      <c r="J6535" s="7"/>
      <c r="K6535" s="2"/>
      <c r="O6535">
        <f t="shared" si="1202"/>
        <v>0</v>
      </c>
      <c r="P6535" s="57">
        <f t="shared" si="1203"/>
        <v>1</v>
      </c>
      <c r="Q6535" s="267">
        <f t="shared" si="1204"/>
        <v>5</v>
      </c>
      <c r="R6535" s="23">
        <f t="shared" si="1205"/>
        <v>1</v>
      </c>
      <c r="S6535" s="23">
        <f t="shared" si="1206"/>
        <v>0</v>
      </c>
      <c r="T6535" s="23" t="str">
        <f t="shared" si="1207"/>
        <v/>
      </c>
      <c r="U6535" t="str">
        <f t="shared" si="1208"/>
        <v>PA_Merce_2018p~Dem-precinct committeewoman hermitage se-1,(vote for not more than  1)</v>
      </c>
      <c r="V6535" s="40"/>
      <c r="X6535" s="43"/>
      <c r="Y6535" s="53"/>
      <c r="Z6535" s="53"/>
      <c r="AA6535"/>
      <c r="AB6535"/>
      <c r="AC6535" s="23"/>
      <c r="AD6535" s="23"/>
      <c r="AF6535" s="88"/>
      <c r="AG6535" s="339"/>
      <c r="AH6535" s="340"/>
      <c r="AI6535" s="353"/>
      <c r="AJ6535" s="357"/>
      <c r="AK6535" s="355"/>
      <c r="AL6535" s="20"/>
      <c r="AM6535" s="371"/>
      <c r="AN6535" s="372"/>
      <c r="AT6535" s="20"/>
      <c r="AU6535" s="29"/>
      <c r="AV6535"/>
      <c r="AW6535"/>
    </row>
    <row r="6536" spans="1:49">
      <c r="A6536" s="30" t="s">
        <v>2791</v>
      </c>
      <c r="B6536" s="55" t="str">
        <f t="shared" si="1200"/>
        <v>PA_Merce_2018p</v>
      </c>
      <c r="D6536" s="55" t="str">
        <f t="shared" si="1201"/>
        <v>Dem-precinct committeewoman hermitage se-2,(vote for not more than  1)</v>
      </c>
      <c r="E6536" s="55" t="s">
        <v>2792</v>
      </c>
      <c r="G6536" s="60">
        <v>130</v>
      </c>
      <c r="H6536"/>
      <c r="J6536" s="7"/>
      <c r="K6536" s="2"/>
      <c r="O6536">
        <f t="shared" si="1202"/>
        <v>1</v>
      </c>
      <c r="P6536" s="57">
        <f t="shared" si="1203"/>
        <v>1</v>
      </c>
      <c r="Q6536" s="267">
        <f t="shared" si="1204"/>
        <v>130</v>
      </c>
      <c r="R6536" s="23">
        <f t="shared" si="1205"/>
        <v>130</v>
      </c>
      <c r="S6536" s="23">
        <f t="shared" si="1206"/>
        <v>0</v>
      </c>
      <c r="T6536" s="23" t="str">
        <f t="shared" si="1207"/>
        <v/>
      </c>
      <c r="U6536" t="str">
        <f t="shared" si="1208"/>
        <v>PA_Merce_2018p~Dem-precinct committeewoman hermitage se-2,(vote for not more than  1)</v>
      </c>
      <c r="V6536" s="40"/>
      <c r="X6536" s="43"/>
      <c r="Y6536" s="53"/>
      <c r="Z6536" s="53"/>
      <c r="AA6536"/>
      <c r="AB6536"/>
      <c r="AC6536" s="23"/>
      <c r="AD6536" s="23"/>
      <c r="AF6536" s="88"/>
      <c r="AG6536" s="339"/>
      <c r="AH6536" s="340"/>
      <c r="AI6536" s="353"/>
      <c r="AJ6536" s="357"/>
      <c r="AK6536" s="355"/>
      <c r="AL6536" s="20"/>
      <c r="AM6536" s="371"/>
      <c r="AN6536" s="372"/>
      <c r="AT6536" s="20"/>
      <c r="AU6536" s="29"/>
      <c r="AV6536"/>
      <c r="AW6536"/>
    </row>
    <row r="6537" spans="1:49">
      <c r="A6537" s="30" t="s">
        <v>2791</v>
      </c>
      <c r="B6537" s="55" t="str">
        <f t="shared" si="1200"/>
        <v>PA_Merce_2018p</v>
      </c>
      <c r="D6537" s="55" t="str">
        <f t="shared" si="1201"/>
        <v>Dem-precinct committeewoman hermitage se-2,(vote for not more than  1)</v>
      </c>
      <c r="E6537" s="55" t="s">
        <v>2574</v>
      </c>
      <c r="G6537" s="60">
        <v>0</v>
      </c>
      <c r="H6537"/>
      <c r="J6537" s="7"/>
      <c r="K6537" s="2"/>
      <c r="O6537">
        <f t="shared" si="1202"/>
        <v>-1</v>
      </c>
      <c r="P6537" s="57">
        <f t="shared" si="1203"/>
        <v>1</v>
      </c>
      <c r="Q6537" s="267">
        <f t="shared" si="1204"/>
        <v>0</v>
      </c>
      <c r="R6537" s="23">
        <f t="shared" si="1205"/>
        <v>1</v>
      </c>
      <c r="S6537" s="23">
        <f t="shared" si="1206"/>
        <v>0</v>
      </c>
      <c r="T6537" s="23" t="str">
        <f t="shared" si="1207"/>
        <v/>
      </c>
      <c r="U6537" t="str">
        <f t="shared" si="1208"/>
        <v/>
      </c>
      <c r="V6537" s="40"/>
      <c r="X6537" s="43"/>
      <c r="Y6537" s="53"/>
      <c r="Z6537" s="53"/>
      <c r="AA6537"/>
      <c r="AB6537"/>
      <c r="AC6537" s="23"/>
      <c r="AD6537" s="23"/>
      <c r="AF6537" s="88"/>
      <c r="AG6537" s="339"/>
      <c r="AH6537" s="340"/>
      <c r="AI6537" s="353"/>
      <c r="AJ6537" s="357"/>
      <c r="AK6537" s="355"/>
      <c r="AL6537" s="20"/>
      <c r="AM6537" s="371"/>
      <c r="AN6537" s="372"/>
      <c r="AT6537" s="20"/>
      <c r="AU6537" s="29"/>
      <c r="AV6537"/>
      <c r="AW6537"/>
    </row>
    <row r="6538" spans="1:49">
      <c r="A6538" s="30" t="s">
        <v>2793</v>
      </c>
      <c r="B6538" s="55" t="str">
        <f t="shared" si="1200"/>
        <v>PA_Merce_2018p</v>
      </c>
      <c r="D6538" s="55" t="str">
        <f t="shared" si="1201"/>
        <v>Dem-precinct committeewoman hermitage se-3,(vote for not more than  1)</v>
      </c>
      <c r="E6538" s="55" t="s">
        <v>2794</v>
      </c>
      <c r="G6538" s="60">
        <v>107</v>
      </c>
      <c r="H6538"/>
      <c r="J6538" s="7"/>
      <c r="K6538" s="2"/>
      <c r="O6538">
        <f t="shared" si="1202"/>
        <v>1</v>
      </c>
      <c r="P6538" s="57">
        <f t="shared" si="1203"/>
        <v>1</v>
      </c>
      <c r="Q6538" s="267">
        <f t="shared" si="1204"/>
        <v>107</v>
      </c>
      <c r="R6538" s="23">
        <f t="shared" si="1205"/>
        <v>107</v>
      </c>
      <c r="S6538" s="23">
        <f t="shared" si="1206"/>
        <v>0</v>
      </c>
      <c r="T6538" s="23" t="str">
        <f t="shared" si="1207"/>
        <v/>
      </c>
      <c r="U6538" t="str">
        <f t="shared" si="1208"/>
        <v>PA_Merce_2018p~Dem-precinct committeewoman hermitage se-3,(vote for not more than  1)</v>
      </c>
      <c r="V6538" s="40"/>
      <c r="X6538" s="43"/>
      <c r="Y6538" s="53"/>
      <c r="Z6538" s="53"/>
      <c r="AA6538"/>
      <c r="AB6538"/>
      <c r="AC6538" s="23"/>
      <c r="AD6538" s="23"/>
      <c r="AF6538" s="88"/>
      <c r="AG6538" s="339"/>
      <c r="AH6538" s="340"/>
      <c r="AI6538" s="353"/>
      <c r="AJ6538" s="357"/>
      <c r="AK6538" s="355"/>
      <c r="AL6538" s="20"/>
      <c r="AM6538" s="371"/>
      <c r="AN6538" s="372"/>
      <c r="AT6538" s="20"/>
      <c r="AU6538" s="29"/>
      <c r="AV6538"/>
      <c r="AW6538"/>
    </row>
    <row r="6539" spans="1:49">
      <c r="A6539" s="30" t="s">
        <v>2793</v>
      </c>
      <c r="B6539" s="55" t="str">
        <f t="shared" si="1200"/>
        <v>PA_Merce_2018p</v>
      </c>
      <c r="D6539" s="55" t="str">
        <f t="shared" si="1201"/>
        <v>Dem-precinct committeewoman hermitage se-3,(vote for not more than  1)</v>
      </c>
      <c r="E6539" s="55" t="s">
        <v>2574</v>
      </c>
      <c r="G6539" s="60">
        <v>0</v>
      </c>
      <c r="H6539"/>
      <c r="J6539" s="7"/>
      <c r="K6539" s="2"/>
      <c r="O6539">
        <f t="shared" si="1202"/>
        <v>-1</v>
      </c>
      <c r="P6539" s="57">
        <f t="shared" si="1203"/>
        <v>1</v>
      </c>
      <c r="Q6539" s="267">
        <f t="shared" si="1204"/>
        <v>0</v>
      </c>
      <c r="R6539" s="23">
        <f t="shared" si="1205"/>
        <v>1</v>
      </c>
      <c r="S6539" s="23">
        <f t="shared" si="1206"/>
        <v>0</v>
      </c>
      <c r="T6539" s="23" t="str">
        <f t="shared" si="1207"/>
        <v/>
      </c>
      <c r="U6539" t="str">
        <f t="shared" si="1208"/>
        <v/>
      </c>
      <c r="V6539" s="40"/>
      <c r="X6539" s="43"/>
      <c r="Y6539" s="53"/>
      <c r="Z6539" s="53"/>
      <c r="AA6539"/>
      <c r="AB6539"/>
      <c r="AC6539" s="23"/>
      <c r="AD6539" s="23"/>
      <c r="AF6539" s="88"/>
      <c r="AG6539" s="339"/>
      <c r="AH6539" s="340"/>
      <c r="AI6539" s="353"/>
      <c r="AJ6539" s="357"/>
      <c r="AK6539" s="355"/>
      <c r="AL6539" s="20"/>
      <c r="AM6539" s="371"/>
      <c r="AN6539" s="372"/>
      <c r="AT6539" s="20"/>
      <c r="AU6539" s="29"/>
      <c r="AV6539"/>
      <c r="AW6539"/>
    </row>
    <row r="6540" spans="1:49">
      <c r="A6540" s="30" t="s">
        <v>2795</v>
      </c>
      <c r="B6540" s="55" t="str">
        <f t="shared" si="1200"/>
        <v>PA_Merce_2018p</v>
      </c>
      <c r="D6540" s="55" t="str">
        <f t="shared" si="1201"/>
        <v>Dem-precinct committeewoman hermitage se-4,(vote for not more than  1)</v>
      </c>
      <c r="E6540" s="55" t="s">
        <v>2574</v>
      </c>
      <c r="G6540" s="60">
        <v>4</v>
      </c>
      <c r="H6540"/>
      <c r="J6540" s="7"/>
      <c r="K6540" s="2"/>
      <c r="O6540">
        <f t="shared" si="1202"/>
        <v>0</v>
      </c>
      <c r="P6540" s="57">
        <f t="shared" si="1203"/>
        <v>1</v>
      </c>
      <c r="Q6540" s="267">
        <f t="shared" si="1204"/>
        <v>4</v>
      </c>
      <c r="R6540" s="23">
        <f t="shared" si="1205"/>
        <v>1</v>
      </c>
      <c r="S6540" s="23">
        <f t="shared" si="1206"/>
        <v>0</v>
      </c>
      <c r="T6540" s="23" t="str">
        <f t="shared" si="1207"/>
        <v/>
      </c>
      <c r="U6540" t="str">
        <f t="shared" si="1208"/>
        <v>PA_Merce_2018p~Dem-precinct committeewoman hermitage se-4,(vote for not more than  1)</v>
      </c>
      <c r="V6540" s="40"/>
      <c r="X6540" s="43"/>
      <c r="Y6540" s="53"/>
      <c r="Z6540" s="53"/>
      <c r="AA6540"/>
      <c r="AB6540"/>
      <c r="AC6540" s="23"/>
      <c r="AD6540" s="23"/>
      <c r="AF6540" s="88"/>
      <c r="AG6540" s="339"/>
      <c r="AH6540" s="340"/>
      <c r="AI6540" s="353"/>
      <c r="AJ6540" s="357"/>
      <c r="AK6540" s="355"/>
      <c r="AL6540" s="20"/>
      <c r="AM6540" s="371"/>
      <c r="AN6540" s="372"/>
      <c r="AT6540" s="20"/>
      <c r="AU6540" s="29"/>
      <c r="AV6540"/>
      <c r="AW6540"/>
    </row>
    <row r="6541" spans="1:49">
      <c r="A6541" s="30" t="s">
        <v>2796</v>
      </c>
      <c r="B6541" s="55" t="str">
        <f t="shared" si="1200"/>
        <v>PA_Merce_2018p</v>
      </c>
      <c r="D6541" s="55" t="str">
        <f t="shared" si="1201"/>
        <v>Dem-precinct committeewoman hermitage sw-1,(vote for not more than  1)</v>
      </c>
      <c r="E6541" s="55" t="s">
        <v>2797</v>
      </c>
      <c r="G6541" s="60">
        <v>107</v>
      </c>
      <c r="H6541"/>
      <c r="J6541" s="7"/>
      <c r="K6541" s="2"/>
      <c r="O6541">
        <f t="shared" si="1202"/>
        <v>1</v>
      </c>
      <c r="P6541" s="57">
        <f t="shared" si="1203"/>
        <v>1</v>
      </c>
      <c r="Q6541" s="267">
        <f t="shared" si="1204"/>
        <v>107</v>
      </c>
      <c r="R6541" s="23">
        <f t="shared" si="1205"/>
        <v>107</v>
      </c>
      <c r="S6541" s="23">
        <f t="shared" si="1206"/>
        <v>0</v>
      </c>
      <c r="T6541" s="23" t="str">
        <f t="shared" si="1207"/>
        <v/>
      </c>
      <c r="U6541" t="str">
        <f t="shared" si="1208"/>
        <v>PA_Merce_2018p~Dem-precinct committeewoman hermitage sw-1,(vote for not more than  1)</v>
      </c>
      <c r="V6541" s="40"/>
      <c r="X6541" s="43"/>
      <c r="Y6541" s="53"/>
      <c r="Z6541" s="53"/>
      <c r="AA6541"/>
      <c r="AB6541"/>
      <c r="AC6541" s="23"/>
      <c r="AD6541" s="23"/>
      <c r="AF6541" s="88"/>
      <c r="AG6541" s="339"/>
      <c r="AH6541" s="340"/>
      <c r="AI6541" s="353"/>
      <c r="AJ6541" s="357"/>
      <c r="AK6541" s="355"/>
      <c r="AL6541" s="20"/>
      <c r="AM6541" s="371"/>
      <c r="AN6541" s="372"/>
      <c r="AT6541" s="20"/>
      <c r="AU6541" s="29"/>
      <c r="AV6541"/>
      <c r="AW6541"/>
    </row>
    <row r="6542" spans="1:49">
      <c r="A6542" s="30" t="s">
        <v>2796</v>
      </c>
      <c r="B6542" s="55" t="str">
        <f t="shared" si="1200"/>
        <v>PA_Merce_2018p</v>
      </c>
      <c r="D6542" s="55" t="str">
        <f t="shared" si="1201"/>
        <v>Dem-precinct committeewoman hermitage sw-1,(vote for not more than  1)</v>
      </c>
      <c r="E6542" s="55" t="s">
        <v>2574</v>
      </c>
      <c r="G6542" s="60">
        <v>0</v>
      </c>
      <c r="H6542"/>
      <c r="J6542" s="7"/>
      <c r="K6542" s="2"/>
      <c r="O6542">
        <f t="shared" si="1202"/>
        <v>-1</v>
      </c>
      <c r="P6542" s="57">
        <f t="shared" si="1203"/>
        <v>1</v>
      </c>
      <c r="Q6542" s="267">
        <f t="shared" si="1204"/>
        <v>0</v>
      </c>
      <c r="R6542" s="23">
        <f t="shared" si="1205"/>
        <v>1</v>
      </c>
      <c r="S6542" s="23">
        <f t="shared" si="1206"/>
        <v>0</v>
      </c>
      <c r="T6542" s="23" t="str">
        <f t="shared" si="1207"/>
        <v/>
      </c>
      <c r="U6542" t="str">
        <f t="shared" si="1208"/>
        <v/>
      </c>
      <c r="V6542" s="40"/>
      <c r="X6542" s="43"/>
      <c r="Y6542" s="53"/>
      <c r="Z6542" s="53"/>
      <c r="AA6542"/>
      <c r="AB6542"/>
      <c r="AC6542" s="23"/>
      <c r="AD6542" s="23"/>
      <c r="AF6542" s="88"/>
      <c r="AG6542" s="339"/>
      <c r="AH6542" s="340"/>
      <c r="AI6542" s="353"/>
      <c r="AJ6542" s="357"/>
      <c r="AK6542" s="355"/>
      <c r="AL6542" s="20"/>
      <c r="AM6542" s="371"/>
      <c r="AN6542" s="372"/>
      <c r="AT6542" s="20"/>
      <c r="AU6542" s="29"/>
      <c r="AV6542"/>
      <c r="AW6542"/>
    </row>
    <row r="6543" spans="1:49">
      <c r="A6543" s="30" t="s">
        <v>2798</v>
      </c>
      <c r="B6543" s="55" t="str">
        <f t="shared" si="1200"/>
        <v>PA_Merce_2018p</v>
      </c>
      <c r="D6543" s="55" t="str">
        <f t="shared" si="1201"/>
        <v>Dem-precinct committeewoman hermitage sw-2,(vote for not more than  1)</v>
      </c>
      <c r="E6543" s="55" t="s">
        <v>2799</v>
      </c>
      <c r="G6543" s="60">
        <v>74</v>
      </c>
      <c r="H6543"/>
      <c r="J6543" s="7"/>
      <c r="K6543" s="2"/>
      <c r="O6543">
        <f t="shared" si="1202"/>
        <v>1</v>
      </c>
      <c r="P6543" s="57">
        <f t="shared" si="1203"/>
        <v>1</v>
      </c>
      <c r="Q6543" s="267">
        <f t="shared" si="1204"/>
        <v>74</v>
      </c>
      <c r="R6543" s="23">
        <f t="shared" si="1205"/>
        <v>74</v>
      </c>
      <c r="S6543" s="23">
        <f t="shared" si="1206"/>
        <v>0</v>
      </c>
      <c r="T6543" s="23" t="str">
        <f t="shared" si="1207"/>
        <v/>
      </c>
      <c r="U6543" t="str">
        <f t="shared" si="1208"/>
        <v>PA_Merce_2018p~Dem-precinct committeewoman hermitage sw-2,(vote for not more than  1)</v>
      </c>
      <c r="V6543" s="40"/>
      <c r="X6543" s="43"/>
      <c r="Y6543" s="53"/>
      <c r="Z6543" s="53"/>
      <c r="AA6543"/>
      <c r="AB6543"/>
      <c r="AC6543" s="23"/>
      <c r="AD6543" s="23"/>
      <c r="AF6543" s="88"/>
      <c r="AG6543" s="339"/>
      <c r="AH6543" s="340"/>
      <c r="AI6543" s="353"/>
      <c r="AJ6543" s="357"/>
      <c r="AK6543" s="355"/>
      <c r="AL6543" s="20"/>
      <c r="AM6543" s="371"/>
      <c r="AN6543" s="372"/>
      <c r="AT6543" s="20"/>
      <c r="AU6543" s="29"/>
      <c r="AV6543"/>
      <c r="AW6543"/>
    </row>
    <row r="6544" spans="1:49">
      <c r="A6544" s="30" t="s">
        <v>2798</v>
      </c>
      <c r="B6544" s="55" t="str">
        <f t="shared" si="1200"/>
        <v>PA_Merce_2018p</v>
      </c>
      <c r="D6544" s="55" t="str">
        <f t="shared" si="1201"/>
        <v>Dem-precinct committeewoman hermitage sw-2,(vote for not more than  1)</v>
      </c>
      <c r="E6544" s="55" t="s">
        <v>2574</v>
      </c>
      <c r="G6544" s="60">
        <v>0</v>
      </c>
      <c r="H6544"/>
      <c r="J6544" s="7"/>
      <c r="K6544" s="2"/>
      <c r="O6544">
        <f t="shared" si="1202"/>
        <v>-1</v>
      </c>
      <c r="P6544" s="57">
        <f t="shared" si="1203"/>
        <v>1</v>
      </c>
      <c r="Q6544" s="267">
        <f t="shared" si="1204"/>
        <v>0</v>
      </c>
      <c r="R6544" s="23">
        <f t="shared" si="1205"/>
        <v>1</v>
      </c>
      <c r="S6544" s="23">
        <f t="shared" si="1206"/>
        <v>0</v>
      </c>
      <c r="T6544" s="23" t="str">
        <f t="shared" si="1207"/>
        <v/>
      </c>
      <c r="U6544" t="str">
        <f t="shared" si="1208"/>
        <v/>
      </c>
      <c r="V6544" s="40"/>
      <c r="X6544" s="43"/>
      <c r="Y6544" s="53"/>
      <c r="Z6544" s="53"/>
      <c r="AA6544"/>
      <c r="AB6544"/>
      <c r="AC6544" s="23"/>
      <c r="AD6544" s="23"/>
      <c r="AF6544" s="88"/>
      <c r="AG6544" s="339"/>
      <c r="AH6544" s="340"/>
      <c r="AI6544" s="353"/>
      <c r="AJ6544" s="357"/>
      <c r="AK6544" s="355"/>
      <c r="AL6544" s="20"/>
      <c r="AM6544" s="371"/>
      <c r="AN6544" s="372"/>
      <c r="AT6544" s="20"/>
      <c r="AU6544" s="29"/>
      <c r="AV6544"/>
      <c r="AW6544"/>
    </row>
    <row r="6545" spans="1:49">
      <c r="A6545" s="30" t="s">
        <v>2800</v>
      </c>
      <c r="B6545" s="55" t="str">
        <f t="shared" si="1200"/>
        <v>PA_Merce_2018p</v>
      </c>
      <c r="D6545" s="55" t="str">
        <f t="shared" si="1201"/>
        <v>Dem-precinct committeewoman hermitage sw-3,(vote for not more than  1)</v>
      </c>
      <c r="E6545" s="55" t="s">
        <v>2801</v>
      </c>
      <c r="G6545" s="60">
        <v>63</v>
      </c>
      <c r="H6545"/>
      <c r="J6545" s="7"/>
      <c r="K6545" s="2"/>
      <c r="O6545">
        <f t="shared" si="1202"/>
        <v>1</v>
      </c>
      <c r="P6545" s="57">
        <f t="shared" si="1203"/>
        <v>1</v>
      </c>
      <c r="Q6545" s="267">
        <f t="shared" si="1204"/>
        <v>64</v>
      </c>
      <c r="R6545" s="23">
        <f t="shared" si="1205"/>
        <v>63</v>
      </c>
      <c r="S6545" s="23">
        <f t="shared" si="1206"/>
        <v>0</v>
      </c>
      <c r="T6545" s="23" t="str">
        <f t="shared" si="1207"/>
        <v/>
      </c>
      <c r="U6545" t="str">
        <f t="shared" si="1208"/>
        <v>PA_Merce_2018p~Dem-precinct committeewoman hermitage sw-3,(vote for not more than  1)</v>
      </c>
      <c r="V6545" s="40"/>
      <c r="AB6545"/>
      <c r="AC6545" s="23"/>
      <c r="AD6545" s="23"/>
      <c r="AF6545" s="88"/>
      <c r="AG6545" s="339"/>
      <c r="AH6545" s="340"/>
      <c r="AI6545" s="353"/>
      <c r="AJ6545" s="357"/>
      <c r="AK6545" s="355"/>
      <c r="AL6545" s="20"/>
      <c r="AM6545" s="371"/>
      <c r="AN6545" s="372"/>
      <c r="AT6545" s="20"/>
      <c r="AU6545" s="29"/>
      <c r="AV6545"/>
      <c r="AW6545"/>
    </row>
    <row r="6546" spans="1:49">
      <c r="A6546" s="30" t="s">
        <v>2800</v>
      </c>
      <c r="B6546" s="55" t="str">
        <f t="shared" si="1200"/>
        <v>PA_Merce_2018p</v>
      </c>
      <c r="D6546" s="55" t="str">
        <f t="shared" si="1201"/>
        <v>Dem-precinct committeewoman hermitage sw-3,(vote for not more than  1)</v>
      </c>
      <c r="E6546" s="55" t="s">
        <v>2574</v>
      </c>
      <c r="G6546" s="60">
        <v>1</v>
      </c>
      <c r="H6546"/>
      <c r="J6546" s="7"/>
      <c r="K6546" s="2"/>
      <c r="O6546">
        <f t="shared" si="1202"/>
        <v>-1</v>
      </c>
      <c r="P6546" s="57">
        <f t="shared" si="1203"/>
        <v>1</v>
      </c>
      <c r="Q6546" s="267">
        <f t="shared" si="1204"/>
        <v>1</v>
      </c>
      <c r="R6546" s="23">
        <f t="shared" si="1205"/>
        <v>1</v>
      </c>
      <c r="S6546" s="23">
        <f t="shared" si="1206"/>
        <v>0</v>
      </c>
      <c r="T6546" s="23" t="str">
        <f t="shared" si="1207"/>
        <v/>
      </c>
      <c r="U6546" t="str">
        <f t="shared" si="1208"/>
        <v/>
      </c>
      <c r="V6546" s="40"/>
      <c r="AB6546"/>
      <c r="AC6546" s="23"/>
      <c r="AD6546" s="23"/>
      <c r="AF6546" s="88"/>
      <c r="AG6546" s="339"/>
      <c r="AH6546" s="340"/>
      <c r="AI6546" s="353"/>
      <c r="AJ6546" s="357"/>
      <c r="AK6546" s="355"/>
      <c r="AL6546" s="20"/>
      <c r="AM6546" s="371"/>
      <c r="AN6546" s="372"/>
      <c r="AT6546" s="20"/>
      <c r="AU6546" s="29"/>
      <c r="AV6546"/>
      <c r="AW6546"/>
    </row>
    <row r="6547" spans="1:49">
      <c r="A6547" s="30" t="s">
        <v>2802</v>
      </c>
      <c r="B6547" s="55" t="str">
        <f t="shared" si="1200"/>
        <v>PA_Merce_2018p</v>
      </c>
      <c r="D6547" s="55" t="str">
        <f t="shared" si="1201"/>
        <v>Dem-precinct committeewoman jackson center,(vote for not more than  1)</v>
      </c>
      <c r="E6547" s="55" t="s">
        <v>2803</v>
      </c>
      <c r="G6547" s="60">
        <v>24</v>
      </c>
      <c r="H6547"/>
      <c r="J6547" s="7"/>
      <c r="K6547" s="2"/>
      <c r="O6547">
        <f t="shared" si="1202"/>
        <v>1</v>
      </c>
      <c r="P6547" s="57">
        <f t="shared" si="1203"/>
        <v>1</v>
      </c>
      <c r="Q6547" s="267">
        <f t="shared" si="1204"/>
        <v>24</v>
      </c>
      <c r="R6547" s="23">
        <f t="shared" si="1205"/>
        <v>24</v>
      </c>
      <c r="S6547" s="23">
        <f t="shared" si="1206"/>
        <v>0</v>
      </c>
      <c r="T6547" s="23" t="str">
        <f t="shared" si="1207"/>
        <v/>
      </c>
      <c r="U6547" t="str">
        <f t="shared" si="1208"/>
        <v>PA_Merce_2018p~Dem-precinct committeewoman jackson center,(vote for not more than  1)</v>
      </c>
      <c r="V6547" s="40"/>
      <c r="AB6547"/>
      <c r="AC6547" s="23"/>
      <c r="AD6547" s="23"/>
      <c r="AF6547" s="88"/>
      <c r="AG6547" s="339"/>
      <c r="AH6547" s="340"/>
      <c r="AI6547" s="353"/>
      <c r="AJ6547" s="357"/>
      <c r="AK6547" s="355"/>
      <c r="AL6547" s="20"/>
      <c r="AM6547" s="371"/>
      <c r="AN6547" s="372"/>
      <c r="AT6547" s="20"/>
      <c r="AU6547" s="29"/>
      <c r="AV6547"/>
      <c r="AW6547"/>
    </row>
    <row r="6548" spans="1:49">
      <c r="A6548" s="30" t="s">
        <v>2802</v>
      </c>
      <c r="B6548" s="55" t="str">
        <f t="shared" si="1200"/>
        <v>PA_Merce_2018p</v>
      </c>
      <c r="D6548" s="55" t="str">
        <f t="shared" si="1201"/>
        <v>Dem-precinct committeewoman jackson center,(vote for not more than  1)</v>
      </c>
      <c r="E6548" s="55" t="s">
        <v>2574</v>
      </c>
      <c r="G6548" s="60">
        <v>0</v>
      </c>
      <c r="H6548"/>
      <c r="J6548" s="7"/>
      <c r="K6548" s="2"/>
      <c r="O6548">
        <f t="shared" si="1202"/>
        <v>-1</v>
      </c>
      <c r="P6548" s="57">
        <f t="shared" si="1203"/>
        <v>1</v>
      </c>
      <c r="Q6548" s="267">
        <f t="shared" si="1204"/>
        <v>0</v>
      </c>
      <c r="R6548" s="23">
        <f t="shared" si="1205"/>
        <v>1</v>
      </c>
      <c r="S6548" s="23">
        <f t="shared" si="1206"/>
        <v>0</v>
      </c>
      <c r="T6548" s="23" t="str">
        <f t="shared" si="1207"/>
        <v/>
      </c>
      <c r="U6548" t="str">
        <f t="shared" si="1208"/>
        <v/>
      </c>
      <c r="V6548" s="40"/>
      <c r="AF6548" s="88"/>
      <c r="AG6548" s="339"/>
      <c r="AH6548" s="340"/>
      <c r="AI6548" s="353"/>
      <c r="AJ6548" s="357"/>
      <c r="AK6548" s="355"/>
      <c r="AL6548" s="20"/>
      <c r="AM6548" s="371"/>
      <c r="AN6548" s="372"/>
      <c r="AT6548" s="20"/>
      <c r="AU6548" s="29"/>
      <c r="AV6548"/>
      <c r="AW6548"/>
    </row>
    <row r="6549" spans="1:49">
      <c r="A6549" s="30" t="s">
        <v>2804</v>
      </c>
      <c r="B6549" s="55" t="str">
        <f t="shared" si="1200"/>
        <v>PA_Merce_2018p</v>
      </c>
      <c r="D6549" s="55" t="str">
        <f t="shared" si="1201"/>
        <v>Dem-precinct committeewoman jackson township,(vote for not more than  1)</v>
      </c>
      <c r="E6549" s="55" t="s">
        <v>2805</v>
      </c>
      <c r="G6549" s="60">
        <v>46</v>
      </c>
      <c r="H6549"/>
      <c r="J6549" s="7"/>
      <c r="K6549" s="2"/>
      <c r="O6549">
        <f t="shared" si="1202"/>
        <v>1</v>
      </c>
      <c r="P6549" s="57">
        <f t="shared" si="1203"/>
        <v>1</v>
      </c>
      <c r="Q6549" s="267">
        <f t="shared" si="1204"/>
        <v>47</v>
      </c>
      <c r="R6549" s="23">
        <f t="shared" si="1205"/>
        <v>46</v>
      </c>
      <c r="S6549" s="23">
        <f t="shared" si="1206"/>
        <v>0</v>
      </c>
      <c r="T6549" s="23" t="str">
        <f t="shared" si="1207"/>
        <v/>
      </c>
      <c r="U6549" t="str">
        <f t="shared" si="1208"/>
        <v>PA_Merce_2018p~Dem-precinct committeewoman jackson township,(vote for not more than  1)</v>
      </c>
      <c r="V6549" s="40"/>
      <c r="AF6549" s="88"/>
      <c r="AG6549" s="339"/>
      <c r="AH6549" s="340"/>
      <c r="AI6549" s="353"/>
      <c r="AJ6549" s="357"/>
      <c r="AK6549" s="355"/>
      <c r="AL6549" s="20"/>
      <c r="AM6549" s="371"/>
      <c r="AN6549" s="372"/>
      <c r="AT6549" s="20"/>
      <c r="AU6549" s="29"/>
      <c r="AV6549"/>
      <c r="AW6549"/>
    </row>
    <row r="6550" spans="1:49">
      <c r="A6550" s="30" t="s">
        <v>2804</v>
      </c>
      <c r="B6550" s="55" t="str">
        <f t="shared" si="1200"/>
        <v>PA_Merce_2018p</v>
      </c>
      <c r="D6550" s="55" t="str">
        <f t="shared" si="1201"/>
        <v>Dem-precinct committeewoman jackson township,(vote for not more than  1)</v>
      </c>
      <c r="E6550" s="55" t="s">
        <v>2574</v>
      </c>
      <c r="G6550" s="60">
        <v>1</v>
      </c>
      <c r="H6550"/>
      <c r="J6550" s="7"/>
      <c r="K6550" s="2"/>
      <c r="O6550">
        <f t="shared" si="1202"/>
        <v>-1</v>
      </c>
      <c r="P6550" s="57">
        <f t="shared" si="1203"/>
        <v>1</v>
      </c>
      <c r="Q6550" s="267">
        <f t="shared" si="1204"/>
        <v>1</v>
      </c>
      <c r="R6550" s="23">
        <f t="shared" si="1205"/>
        <v>1</v>
      </c>
      <c r="S6550" s="23">
        <f t="shared" si="1206"/>
        <v>0</v>
      </c>
      <c r="T6550" s="23" t="str">
        <f t="shared" si="1207"/>
        <v/>
      </c>
      <c r="U6550" t="str">
        <f t="shared" si="1208"/>
        <v/>
      </c>
      <c r="V6550" s="40"/>
      <c r="AF6550" s="88"/>
      <c r="AG6550" s="339"/>
      <c r="AH6550" s="340"/>
      <c r="AI6550" s="353"/>
      <c r="AJ6550" s="357"/>
      <c r="AK6550" s="355"/>
      <c r="AL6550" s="20"/>
      <c r="AT6550" s="20"/>
      <c r="AU6550" s="29"/>
      <c r="AV6550"/>
      <c r="AW6550"/>
    </row>
    <row r="6551" spans="1:49">
      <c r="A6551" s="30" t="s">
        <v>2806</v>
      </c>
      <c r="B6551" s="55" t="str">
        <f t="shared" si="1200"/>
        <v>PA_Merce_2018p</v>
      </c>
      <c r="D6551" s="55" t="str">
        <f t="shared" si="1201"/>
        <v>Dem-precinct committeewoman jamestown,(vote for not more than  1)</v>
      </c>
      <c r="E6551" s="55" t="s">
        <v>2574</v>
      </c>
      <c r="G6551" s="60">
        <v>2</v>
      </c>
      <c r="H6551"/>
      <c r="J6551" s="7"/>
      <c r="K6551" s="2"/>
      <c r="O6551">
        <f t="shared" si="1202"/>
        <v>0</v>
      </c>
      <c r="P6551" s="57">
        <f t="shared" si="1203"/>
        <v>1</v>
      </c>
      <c r="Q6551" s="267">
        <f t="shared" si="1204"/>
        <v>2</v>
      </c>
      <c r="R6551" s="23">
        <f t="shared" si="1205"/>
        <v>1</v>
      </c>
      <c r="S6551" s="23">
        <f t="shared" si="1206"/>
        <v>0</v>
      </c>
      <c r="T6551" s="23" t="str">
        <f t="shared" si="1207"/>
        <v/>
      </c>
      <c r="U6551" t="str">
        <f t="shared" si="1208"/>
        <v>PA_Merce_2018p~Dem-precinct committeewoman jamestown,(vote for not more than  1)</v>
      </c>
      <c r="V6551" s="40"/>
      <c r="AF6551" s="88"/>
      <c r="AG6551" s="339"/>
      <c r="AH6551" s="340"/>
      <c r="AI6551" s="353"/>
      <c r="AJ6551" s="357"/>
      <c r="AK6551" s="355"/>
      <c r="AL6551" s="20"/>
      <c r="AT6551" s="20"/>
      <c r="AU6551" s="29"/>
      <c r="AV6551"/>
      <c r="AW6551"/>
    </row>
    <row r="6552" spans="1:49">
      <c r="A6552" s="30" t="s">
        <v>2807</v>
      </c>
      <c r="B6552" s="55" t="str">
        <f t="shared" si="1200"/>
        <v>PA_Merce_2018p</v>
      </c>
      <c r="D6552" s="55" t="str">
        <f t="shared" si="1201"/>
        <v>Dem-precinct committeewoman jefferson east,(vote for not more than  1)</v>
      </c>
      <c r="E6552" s="55" t="s">
        <v>2574</v>
      </c>
      <c r="G6552" s="60">
        <v>2</v>
      </c>
      <c r="H6552"/>
      <c r="J6552" s="7"/>
      <c r="K6552" s="2"/>
      <c r="O6552">
        <f t="shared" si="1202"/>
        <v>0</v>
      </c>
      <c r="P6552" s="57">
        <f t="shared" si="1203"/>
        <v>1</v>
      </c>
      <c r="Q6552" s="267">
        <f t="shared" si="1204"/>
        <v>2</v>
      </c>
      <c r="R6552" s="23">
        <f t="shared" si="1205"/>
        <v>1</v>
      </c>
      <c r="S6552" s="23">
        <f t="shared" si="1206"/>
        <v>0</v>
      </c>
      <c r="T6552" s="23" t="str">
        <f t="shared" si="1207"/>
        <v/>
      </c>
      <c r="U6552" t="str">
        <f t="shared" si="1208"/>
        <v>PA_Merce_2018p~Dem-precinct committeewoman jefferson east,(vote for not more than  1)</v>
      </c>
      <c r="V6552" s="40"/>
      <c r="AF6552" s="88"/>
      <c r="AG6552" s="339"/>
      <c r="AH6552" s="340"/>
      <c r="AI6552" s="353"/>
      <c r="AJ6552" s="357"/>
      <c r="AK6552" s="355"/>
      <c r="AL6552" s="20"/>
      <c r="AT6552" s="20"/>
      <c r="AU6552" s="29"/>
      <c r="AV6552"/>
      <c r="AW6552"/>
    </row>
    <row r="6553" spans="1:49">
      <c r="A6553" s="30" t="s">
        <v>2808</v>
      </c>
      <c r="B6553" s="55" t="str">
        <f t="shared" si="1200"/>
        <v>PA_Merce_2018p</v>
      </c>
      <c r="D6553" s="55" t="str">
        <f t="shared" si="1201"/>
        <v>Dem-precinct committeewoman jefferson west,(vote for not more than  1)</v>
      </c>
      <c r="E6553" s="55" t="s">
        <v>2574</v>
      </c>
      <c r="G6553" s="60">
        <v>0</v>
      </c>
      <c r="H6553"/>
      <c r="J6553" s="7"/>
      <c r="K6553" s="2"/>
      <c r="O6553">
        <f t="shared" si="1202"/>
        <v>0</v>
      </c>
      <c r="P6553" s="57">
        <f t="shared" si="1203"/>
        <v>1</v>
      </c>
      <c r="Q6553" s="267">
        <f t="shared" si="1204"/>
        <v>0</v>
      </c>
      <c r="R6553" s="23">
        <f t="shared" si="1205"/>
        <v>1</v>
      </c>
      <c r="S6553" s="23">
        <f t="shared" si="1206"/>
        <v>0</v>
      </c>
      <c r="T6553" s="23" t="str">
        <f t="shared" si="1207"/>
        <v/>
      </c>
      <c r="U6553" t="str">
        <f t="shared" si="1208"/>
        <v>PA_Merce_2018p~Dem-precinct committeewoman jefferson west,(vote for not more than  1)</v>
      </c>
      <c r="V6553" s="40"/>
      <c r="AF6553" s="88"/>
      <c r="AG6553" s="339"/>
      <c r="AH6553" s="340"/>
      <c r="AI6553" s="353"/>
      <c r="AJ6553" s="357"/>
      <c r="AK6553" s="355"/>
      <c r="AL6553" s="20"/>
      <c r="AT6553" s="20"/>
      <c r="AU6553" s="29"/>
      <c r="AV6553"/>
      <c r="AW6553"/>
    </row>
    <row r="6554" spans="1:49">
      <c r="A6554" s="30" t="s">
        <v>2809</v>
      </c>
      <c r="B6554" s="55" t="str">
        <f t="shared" si="1200"/>
        <v>PA_Merce_2018p</v>
      </c>
      <c r="D6554" s="55" t="str">
        <f t="shared" si="1201"/>
        <v>Dem-precinct committeewoman lackawannock,(vote for not more than  1)</v>
      </c>
      <c r="E6554" s="55" t="s">
        <v>2810</v>
      </c>
      <c r="G6554" s="60">
        <v>88</v>
      </c>
      <c r="H6554"/>
      <c r="J6554" s="7"/>
      <c r="K6554" s="2"/>
      <c r="O6554">
        <f t="shared" si="1202"/>
        <v>1</v>
      </c>
      <c r="P6554" s="57">
        <f t="shared" si="1203"/>
        <v>1</v>
      </c>
      <c r="Q6554" s="267">
        <f t="shared" si="1204"/>
        <v>88</v>
      </c>
      <c r="R6554" s="23">
        <f t="shared" si="1205"/>
        <v>88</v>
      </c>
      <c r="S6554" s="23">
        <f t="shared" si="1206"/>
        <v>0</v>
      </c>
      <c r="T6554" s="23" t="str">
        <f t="shared" si="1207"/>
        <v/>
      </c>
      <c r="U6554" t="str">
        <f t="shared" si="1208"/>
        <v>PA_Merce_2018p~Dem-precinct committeewoman lackawannock,(vote for not more than  1)</v>
      </c>
      <c r="V6554" s="40"/>
      <c r="AF6554" s="88"/>
      <c r="AG6554" s="339"/>
      <c r="AH6554" s="340"/>
      <c r="AI6554" s="353"/>
      <c r="AJ6554" s="357"/>
      <c r="AK6554" s="355"/>
      <c r="AL6554" s="20"/>
      <c r="AT6554" s="20"/>
      <c r="AU6554" s="29"/>
      <c r="AV6554"/>
      <c r="AW6554"/>
    </row>
    <row r="6555" spans="1:49">
      <c r="A6555" s="30" t="s">
        <v>2809</v>
      </c>
      <c r="B6555" s="55" t="str">
        <f t="shared" si="1200"/>
        <v>PA_Merce_2018p</v>
      </c>
      <c r="D6555" s="55" t="str">
        <f t="shared" si="1201"/>
        <v>Dem-precinct committeewoman lackawannock,(vote for not more than  1)</v>
      </c>
      <c r="E6555" s="55" t="s">
        <v>2574</v>
      </c>
      <c r="G6555" s="60">
        <v>0</v>
      </c>
      <c r="H6555"/>
      <c r="J6555" s="7"/>
      <c r="K6555" s="2"/>
      <c r="O6555">
        <f t="shared" si="1202"/>
        <v>-1</v>
      </c>
      <c r="P6555" s="57">
        <f t="shared" si="1203"/>
        <v>1</v>
      </c>
      <c r="Q6555" s="267">
        <f t="shared" si="1204"/>
        <v>0</v>
      </c>
      <c r="R6555" s="23">
        <f t="shared" si="1205"/>
        <v>1</v>
      </c>
      <c r="S6555" s="23">
        <f t="shared" si="1206"/>
        <v>0</v>
      </c>
      <c r="T6555" s="23" t="str">
        <f t="shared" si="1207"/>
        <v/>
      </c>
      <c r="U6555" t="str">
        <f t="shared" si="1208"/>
        <v/>
      </c>
      <c r="V6555" s="40"/>
      <c r="AF6555" s="88"/>
      <c r="AG6555" s="339"/>
      <c r="AH6555" s="340"/>
      <c r="AI6555" s="353"/>
      <c r="AJ6555" s="357"/>
      <c r="AK6555" s="355"/>
      <c r="AL6555" s="20"/>
      <c r="AT6555" s="20"/>
      <c r="AU6555" s="29"/>
      <c r="AV6555"/>
      <c r="AW6555"/>
    </row>
    <row r="6556" spans="1:49">
      <c r="A6556" s="30" t="s">
        <v>2811</v>
      </c>
      <c r="B6556" s="55" t="str">
        <f t="shared" si="1200"/>
        <v>PA_Merce_2018p</v>
      </c>
      <c r="D6556" s="55" t="str">
        <f t="shared" si="1201"/>
        <v>Dem-precinct committeewoman lake,(vote for not more than  1)</v>
      </c>
      <c r="E6556" s="55" t="s">
        <v>2574</v>
      </c>
      <c r="G6556" s="60">
        <v>0</v>
      </c>
      <c r="H6556"/>
      <c r="J6556" s="7"/>
      <c r="K6556" s="2"/>
      <c r="O6556">
        <f t="shared" si="1202"/>
        <v>0</v>
      </c>
      <c r="P6556" s="57">
        <f t="shared" si="1203"/>
        <v>1</v>
      </c>
      <c r="Q6556" s="267">
        <f t="shared" si="1204"/>
        <v>0</v>
      </c>
      <c r="R6556" s="23">
        <f t="shared" si="1205"/>
        <v>1</v>
      </c>
      <c r="S6556" s="23">
        <f t="shared" si="1206"/>
        <v>0</v>
      </c>
      <c r="T6556" s="23" t="str">
        <f t="shared" si="1207"/>
        <v/>
      </c>
      <c r="U6556" t="str">
        <f t="shared" si="1208"/>
        <v>PA_Merce_2018p~Dem-precinct committeewoman lake,(vote for not more than  1)</v>
      </c>
      <c r="V6556" s="40"/>
      <c r="AF6556" s="88"/>
      <c r="AG6556" s="339"/>
      <c r="AH6556" s="340"/>
      <c r="AI6556" s="353"/>
      <c r="AJ6556" s="357"/>
      <c r="AK6556" s="355"/>
      <c r="AL6556" s="20"/>
      <c r="AT6556" s="20"/>
      <c r="AU6556" s="29"/>
      <c r="AV6556"/>
      <c r="AW6556"/>
    </row>
    <row r="6557" spans="1:49">
      <c r="A6557" s="30" t="s">
        <v>2812</v>
      </c>
      <c r="B6557" s="55" t="str">
        <f t="shared" si="1200"/>
        <v>PA_Merce_2018p</v>
      </c>
      <c r="D6557" s="55" t="str">
        <f t="shared" si="1201"/>
        <v>Dem-precinct committeewoman liberty,(vote for not more than  1)</v>
      </c>
      <c r="E6557" s="55" t="s">
        <v>2813</v>
      </c>
      <c r="G6557" s="60">
        <v>38</v>
      </c>
      <c r="H6557"/>
      <c r="J6557" s="7"/>
      <c r="K6557" s="2"/>
      <c r="O6557">
        <f t="shared" si="1202"/>
        <v>1</v>
      </c>
      <c r="P6557" s="57">
        <f t="shared" si="1203"/>
        <v>1</v>
      </c>
      <c r="Q6557" s="267">
        <f t="shared" si="1204"/>
        <v>38</v>
      </c>
      <c r="R6557" s="23">
        <f t="shared" si="1205"/>
        <v>38</v>
      </c>
      <c r="S6557" s="23">
        <f t="shared" si="1206"/>
        <v>0</v>
      </c>
      <c r="T6557" s="23" t="str">
        <f t="shared" si="1207"/>
        <v/>
      </c>
      <c r="U6557" t="str">
        <f t="shared" si="1208"/>
        <v>PA_Merce_2018p~Dem-precinct committeewoman liberty,(vote for not more than  1)</v>
      </c>
      <c r="V6557" s="40"/>
      <c r="AF6557" s="88"/>
      <c r="AG6557" s="339"/>
      <c r="AH6557" s="340"/>
      <c r="AI6557" s="353"/>
      <c r="AJ6557" s="357"/>
      <c r="AK6557" s="355"/>
      <c r="AL6557" s="20"/>
      <c r="AT6557" s="20"/>
      <c r="AU6557" s="29"/>
      <c r="AV6557"/>
      <c r="AW6557"/>
    </row>
    <row r="6558" spans="1:49">
      <c r="A6558" s="30" t="s">
        <v>2812</v>
      </c>
      <c r="B6558" s="55" t="str">
        <f t="shared" si="1200"/>
        <v>PA_Merce_2018p</v>
      </c>
      <c r="D6558" s="55" t="str">
        <f t="shared" si="1201"/>
        <v>Dem-precinct committeewoman liberty,(vote for not more than  1)</v>
      </c>
      <c r="E6558" s="55" t="s">
        <v>2574</v>
      </c>
      <c r="G6558" s="60">
        <v>0</v>
      </c>
      <c r="H6558"/>
      <c r="J6558" s="7"/>
      <c r="K6558" s="2"/>
      <c r="O6558">
        <f t="shared" si="1202"/>
        <v>-1</v>
      </c>
      <c r="P6558" s="57">
        <f t="shared" si="1203"/>
        <v>1</v>
      </c>
      <c r="Q6558" s="267">
        <f t="shared" si="1204"/>
        <v>0</v>
      </c>
      <c r="R6558" s="23">
        <f t="shared" si="1205"/>
        <v>1</v>
      </c>
      <c r="S6558" s="23">
        <f t="shared" si="1206"/>
        <v>0</v>
      </c>
      <c r="T6558" s="23" t="str">
        <f t="shared" si="1207"/>
        <v/>
      </c>
      <c r="U6558" t="str">
        <f t="shared" si="1208"/>
        <v/>
      </c>
      <c r="V6558" s="40"/>
      <c r="AF6558" s="88"/>
      <c r="AG6558" s="339"/>
      <c r="AH6558" s="340"/>
      <c r="AI6558" s="353"/>
      <c r="AJ6558" s="357"/>
      <c r="AK6558" s="355"/>
      <c r="AL6558" s="20"/>
      <c r="AT6558" s="20"/>
      <c r="AU6558" s="29"/>
      <c r="AV6558"/>
      <c r="AW6558"/>
    </row>
    <row r="6559" spans="1:49">
      <c r="A6559" s="30" t="s">
        <v>2814</v>
      </c>
      <c r="B6559" s="55" t="str">
        <f t="shared" si="1200"/>
        <v>PA_Merce_2018p</v>
      </c>
      <c r="D6559" s="55" t="str">
        <f t="shared" si="1201"/>
        <v>Dem-precinct committeewoman mercer north,(vote for not more than  1)</v>
      </c>
      <c r="E6559" s="55" t="s">
        <v>2815</v>
      </c>
      <c r="G6559" s="60">
        <v>38</v>
      </c>
      <c r="H6559"/>
      <c r="J6559" s="7"/>
      <c r="K6559" s="2"/>
      <c r="O6559">
        <f t="shared" si="1202"/>
        <v>1</v>
      </c>
      <c r="P6559" s="57">
        <f t="shared" si="1203"/>
        <v>1</v>
      </c>
      <c r="Q6559" s="267">
        <f t="shared" si="1204"/>
        <v>39</v>
      </c>
      <c r="R6559" s="23">
        <f t="shared" si="1205"/>
        <v>38</v>
      </c>
      <c r="S6559" s="23">
        <f t="shared" si="1206"/>
        <v>0</v>
      </c>
      <c r="T6559" s="23" t="str">
        <f t="shared" si="1207"/>
        <v/>
      </c>
      <c r="U6559" t="str">
        <f t="shared" si="1208"/>
        <v>PA_Merce_2018p~Dem-precinct committeewoman mercer north,(vote for not more than  1)</v>
      </c>
      <c r="V6559" s="40"/>
      <c r="AF6559" s="88"/>
      <c r="AG6559" s="339"/>
      <c r="AH6559" s="340"/>
      <c r="AI6559" s="353"/>
      <c r="AJ6559" s="357"/>
      <c r="AK6559" s="355"/>
      <c r="AL6559" s="20"/>
      <c r="AT6559" s="20"/>
      <c r="AU6559" s="29"/>
      <c r="AV6559"/>
      <c r="AW6559"/>
    </row>
    <row r="6560" spans="1:49">
      <c r="A6560" s="30" t="s">
        <v>2814</v>
      </c>
      <c r="B6560" s="55" t="str">
        <f t="shared" si="1200"/>
        <v>PA_Merce_2018p</v>
      </c>
      <c r="D6560" s="55" t="str">
        <f t="shared" si="1201"/>
        <v>Dem-precinct committeewoman mercer north,(vote for not more than  1)</v>
      </c>
      <c r="E6560" s="55" t="s">
        <v>2574</v>
      </c>
      <c r="G6560" s="60">
        <v>1</v>
      </c>
      <c r="H6560"/>
      <c r="J6560" s="7"/>
      <c r="K6560" s="2"/>
      <c r="O6560">
        <f t="shared" si="1202"/>
        <v>-1</v>
      </c>
      <c r="P6560" s="57">
        <f t="shared" si="1203"/>
        <v>1</v>
      </c>
      <c r="Q6560" s="267">
        <f t="shared" si="1204"/>
        <v>1</v>
      </c>
      <c r="R6560" s="23">
        <f t="shared" si="1205"/>
        <v>1</v>
      </c>
      <c r="S6560" s="23">
        <f t="shared" si="1206"/>
        <v>0</v>
      </c>
      <c r="T6560" s="23" t="str">
        <f t="shared" si="1207"/>
        <v/>
      </c>
      <c r="U6560" t="str">
        <f t="shared" si="1208"/>
        <v/>
      </c>
      <c r="V6560" s="40"/>
      <c r="AF6560" s="88"/>
      <c r="AG6560" s="339"/>
      <c r="AH6560" s="340"/>
      <c r="AI6560" s="353"/>
      <c r="AJ6560" s="357"/>
      <c r="AK6560" s="355"/>
      <c r="AL6560" s="20"/>
      <c r="AT6560" s="20"/>
      <c r="AU6560" s="29"/>
      <c r="AV6560"/>
      <c r="AW6560"/>
    </row>
    <row r="6561" spans="1:49">
      <c r="A6561" s="30" t="s">
        <v>2816</v>
      </c>
      <c r="B6561" s="55" t="str">
        <f t="shared" si="1200"/>
        <v>PA_Merce_2018p</v>
      </c>
      <c r="D6561" s="55" t="str">
        <f t="shared" si="1201"/>
        <v>Dem-precinct committeewoman mercer south,(vote for not more than  1)</v>
      </c>
      <c r="E6561" s="55" t="s">
        <v>2817</v>
      </c>
      <c r="G6561" s="60">
        <v>45</v>
      </c>
      <c r="H6561"/>
      <c r="J6561" s="7"/>
      <c r="K6561" s="2"/>
      <c r="O6561">
        <f t="shared" si="1202"/>
        <v>1</v>
      </c>
      <c r="P6561" s="57">
        <f t="shared" si="1203"/>
        <v>1</v>
      </c>
      <c r="Q6561" s="267">
        <f t="shared" si="1204"/>
        <v>45</v>
      </c>
      <c r="R6561" s="23">
        <f t="shared" si="1205"/>
        <v>45</v>
      </c>
      <c r="S6561" s="23">
        <f t="shared" si="1206"/>
        <v>0</v>
      </c>
      <c r="T6561" s="23" t="str">
        <f t="shared" si="1207"/>
        <v/>
      </c>
      <c r="U6561" t="str">
        <f t="shared" si="1208"/>
        <v>PA_Merce_2018p~Dem-precinct committeewoman mercer south,(vote for not more than  1)</v>
      </c>
      <c r="V6561" s="40"/>
      <c r="AF6561" s="88"/>
      <c r="AG6561" s="339"/>
      <c r="AH6561" s="340"/>
      <c r="AI6561" s="353"/>
      <c r="AJ6561" s="357"/>
      <c r="AK6561" s="355"/>
      <c r="AL6561" s="20"/>
      <c r="AT6561" s="20"/>
      <c r="AU6561" s="29"/>
      <c r="AV6561"/>
      <c r="AW6561"/>
    </row>
    <row r="6562" spans="1:49">
      <c r="A6562" s="30" t="s">
        <v>2816</v>
      </c>
      <c r="B6562" s="55" t="str">
        <f t="shared" si="1200"/>
        <v>PA_Merce_2018p</v>
      </c>
      <c r="D6562" s="55" t="str">
        <f t="shared" si="1201"/>
        <v>Dem-precinct committeewoman mercer south,(vote for not more than  1)</v>
      </c>
      <c r="E6562" s="55" t="s">
        <v>2574</v>
      </c>
      <c r="G6562" s="60">
        <v>0</v>
      </c>
      <c r="H6562"/>
      <c r="J6562" s="7"/>
      <c r="K6562" s="2"/>
      <c r="O6562">
        <f t="shared" si="1202"/>
        <v>-1</v>
      </c>
      <c r="P6562" s="57">
        <f t="shared" si="1203"/>
        <v>1</v>
      </c>
      <c r="Q6562" s="267">
        <f t="shared" si="1204"/>
        <v>0</v>
      </c>
      <c r="R6562" s="23">
        <f t="shared" si="1205"/>
        <v>1</v>
      </c>
      <c r="S6562" s="23">
        <f t="shared" si="1206"/>
        <v>0</v>
      </c>
      <c r="T6562" s="23" t="str">
        <f t="shared" si="1207"/>
        <v/>
      </c>
      <c r="U6562" t="str">
        <f t="shared" si="1208"/>
        <v/>
      </c>
      <c r="V6562" s="40"/>
      <c r="AF6562" s="88"/>
      <c r="AG6562" s="339"/>
      <c r="AH6562" s="340"/>
      <c r="AI6562" s="353"/>
      <c r="AJ6562" s="357"/>
      <c r="AK6562" s="355"/>
      <c r="AL6562" s="20"/>
      <c r="AT6562" s="20"/>
      <c r="AU6562" s="29"/>
      <c r="AV6562"/>
      <c r="AW6562"/>
    </row>
    <row r="6563" spans="1:49">
      <c r="A6563" s="30" t="s">
        <v>2818</v>
      </c>
      <c r="B6563" s="55" t="str">
        <f t="shared" si="1200"/>
        <v>PA_Merce_2018p</v>
      </c>
      <c r="D6563" s="55" t="str">
        <f t="shared" si="1201"/>
        <v>Dem-precinct committeewoman mill creek,(vote for not more than  1)</v>
      </c>
      <c r="E6563" s="55" t="s">
        <v>2574</v>
      </c>
      <c r="G6563" s="60">
        <v>1</v>
      </c>
      <c r="H6563"/>
      <c r="J6563" s="7"/>
      <c r="K6563" s="2"/>
      <c r="O6563">
        <f t="shared" si="1202"/>
        <v>0</v>
      </c>
      <c r="P6563" s="57">
        <f t="shared" si="1203"/>
        <v>1</v>
      </c>
      <c r="Q6563" s="267">
        <f t="shared" si="1204"/>
        <v>1</v>
      </c>
      <c r="R6563" s="23">
        <f t="shared" si="1205"/>
        <v>1</v>
      </c>
      <c r="S6563" s="23">
        <f t="shared" si="1206"/>
        <v>0</v>
      </c>
      <c r="T6563" s="23" t="str">
        <f t="shared" si="1207"/>
        <v/>
      </c>
      <c r="U6563" t="str">
        <f t="shared" si="1208"/>
        <v>PA_Merce_2018p~Dem-precinct committeewoman mill creek,(vote for not more than  1)</v>
      </c>
      <c r="V6563" s="40"/>
      <c r="AF6563" s="88"/>
      <c r="AG6563" s="339"/>
      <c r="AH6563" s="340"/>
      <c r="AI6563" s="353"/>
      <c r="AJ6563" s="357"/>
      <c r="AK6563" s="355"/>
      <c r="AL6563" s="20"/>
      <c r="AT6563" s="20"/>
      <c r="AU6563" s="29"/>
      <c r="AV6563"/>
      <c r="AW6563"/>
    </row>
    <row r="6564" spans="1:49">
      <c r="A6564" s="30" t="s">
        <v>2819</v>
      </c>
      <c r="B6564" s="55" t="str">
        <f t="shared" si="1200"/>
        <v>PA_Merce_2018p</v>
      </c>
      <c r="D6564" s="55" t="str">
        <f t="shared" si="1201"/>
        <v>Dem-precinct committeewoman new lebanon,(vote for not more than  1)</v>
      </c>
      <c r="E6564" s="55" t="s">
        <v>2574</v>
      </c>
      <c r="G6564" s="60">
        <v>0</v>
      </c>
      <c r="H6564"/>
      <c r="J6564" s="7"/>
      <c r="K6564" s="2"/>
      <c r="O6564">
        <f t="shared" si="1202"/>
        <v>0</v>
      </c>
      <c r="P6564" s="57">
        <f t="shared" si="1203"/>
        <v>1</v>
      </c>
      <c r="Q6564" s="267">
        <f t="shared" si="1204"/>
        <v>0</v>
      </c>
      <c r="R6564" s="23">
        <f t="shared" si="1205"/>
        <v>1</v>
      </c>
      <c r="S6564" s="23">
        <f t="shared" si="1206"/>
        <v>0</v>
      </c>
      <c r="T6564" s="23" t="str">
        <f t="shared" si="1207"/>
        <v/>
      </c>
      <c r="U6564" t="str">
        <f t="shared" si="1208"/>
        <v>PA_Merce_2018p~Dem-precinct committeewoman new lebanon,(vote for not more than  1)</v>
      </c>
      <c r="V6564" s="40"/>
      <c r="AF6564" s="88"/>
      <c r="AG6564" s="339"/>
      <c r="AH6564" s="340"/>
      <c r="AI6564" s="353"/>
      <c r="AJ6564" s="357"/>
      <c r="AK6564" s="355"/>
      <c r="AL6564" s="20"/>
      <c r="AT6564" s="20"/>
      <c r="AU6564" s="29"/>
      <c r="AV6564"/>
      <c r="AW6564"/>
    </row>
    <row r="6565" spans="1:49">
      <c r="A6565" s="30" t="s">
        <v>2820</v>
      </c>
      <c r="B6565" s="55" t="str">
        <f t="shared" si="1200"/>
        <v>PA_Merce_2018p</v>
      </c>
      <c r="D6565" s="55" t="str">
        <f t="shared" si="1201"/>
        <v>Dem-precinct committeewoman new vernon,(vote for not more than  1)</v>
      </c>
      <c r="E6565" s="55" t="s">
        <v>2821</v>
      </c>
      <c r="G6565" s="60">
        <v>18</v>
      </c>
      <c r="H6565"/>
      <c r="J6565" s="7"/>
      <c r="K6565" s="2"/>
      <c r="O6565">
        <f t="shared" si="1202"/>
        <v>1</v>
      </c>
      <c r="P6565" s="57">
        <f t="shared" si="1203"/>
        <v>1</v>
      </c>
      <c r="Q6565" s="267">
        <f t="shared" si="1204"/>
        <v>18</v>
      </c>
      <c r="R6565" s="23">
        <f t="shared" si="1205"/>
        <v>18</v>
      </c>
      <c r="S6565" s="23">
        <f t="shared" si="1206"/>
        <v>0</v>
      </c>
      <c r="T6565" s="23" t="str">
        <f t="shared" si="1207"/>
        <v/>
      </c>
      <c r="U6565" t="str">
        <f t="shared" si="1208"/>
        <v>PA_Merce_2018p~Dem-precinct committeewoman new vernon,(vote for not more than  1)</v>
      </c>
      <c r="V6565" s="40"/>
      <c r="AF6565" s="88"/>
      <c r="AG6565" s="339"/>
      <c r="AH6565" s="340"/>
      <c r="AI6565" s="353"/>
      <c r="AJ6565" s="357"/>
      <c r="AK6565" s="355"/>
      <c r="AL6565" s="20"/>
      <c r="AT6565" s="20"/>
      <c r="AU6565" s="29"/>
      <c r="AV6565"/>
      <c r="AW6565"/>
    </row>
    <row r="6566" spans="1:49">
      <c r="A6566" s="30" t="s">
        <v>2820</v>
      </c>
      <c r="B6566" s="55" t="str">
        <f t="shared" si="1200"/>
        <v>PA_Merce_2018p</v>
      </c>
      <c r="D6566" s="55" t="str">
        <f t="shared" si="1201"/>
        <v>Dem-precinct committeewoman new vernon,(vote for not more than  1)</v>
      </c>
      <c r="E6566" s="55" t="s">
        <v>2574</v>
      </c>
      <c r="G6566" s="60">
        <v>0</v>
      </c>
      <c r="H6566"/>
      <c r="J6566" s="7"/>
      <c r="K6566" s="2"/>
      <c r="O6566">
        <f t="shared" si="1202"/>
        <v>-1</v>
      </c>
      <c r="P6566" s="57">
        <f t="shared" si="1203"/>
        <v>1</v>
      </c>
      <c r="Q6566" s="267">
        <f t="shared" si="1204"/>
        <v>0</v>
      </c>
      <c r="R6566" s="23">
        <f t="shared" si="1205"/>
        <v>1</v>
      </c>
      <c r="S6566" s="23">
        <f t="shared" si="1206"/>
        <v>0</v>
      </c>
      <c r="T6566" s="23" t="str">
        <f t="shared" si="1207"/>
        <v/>
      </c>
      <c r="U6566" t="str">
        <f t="shared" si="1208"/>
        <v/>
      </c>
      <c r="V6566" s="40"/>
      <c r="AF6566" s="88"/>
      <c r="AG6566" s="339"/>
      <c r="AH6566" s="340"/>
      <c r="AI6566" s="353"/>
      <c r="AJ6566" s="357"/>
      <c r="AK6566" s="355"/>
      <c r="AL6566" s="20"/>
      <c r="AT6566" s="20"/>
      <c r="AU6566" s="29"/>
      <c r="AV6566"/>
      <c r="AW6566"/>
    </row>
    <row r="6567" spans="1:49">
      <c r="A6567" s="30" t="s">
        <v>2822</v>
      </c>
      <c r="B6567" s="55" t="str">
        <f t="shared" si="1200"/>
        <v>PA_Merce_2018p</v>
      </c>
      <c r="D6567" s="55" t="str">
        <f t="shared" si="1201"/>
        <v>Dem-precinct committeewoman otter creek,(vote for not more than  1)</v>
      </c>
      <c r="E6567" s="55" t="s">
        <v>2574</v>
      </c>
      <c r="G6567" s="60">
        <v>0</v>
      </c>
      <c r="H6567"/>
      <c r="J6567" s="7"/>
      <c r="K6567" s="2"/>
      <c r="O6567">
        <f t="shared" si="1202"/>
        <v>0</v>
      </c>
      <c r="P6567" s="57">
        <f t="shared" si="1203"/>
        <v>1</v>
      </c>
      <c r="Q6567" s="267">
        <f t="shared" si="1204"/>
        <v>0</v>
      </c>
      <c r="R6567" s="23">
        <f t="shared" si="1205"/>
        <v>1</v>
      </c>
      <c r="S6567" s="23">
        <f t="shared" si="1206"/>
        <v>0</v>
      </c>
      <c r="T6567" s="23" t="str">
        <f t="shared" si="1207"/>
        <v/>
      </c>
      <c r="U6567" t="str">
        <f t="shared" si="1208"/>
        <v>PA_Merce_2018p~Dem-precinct committeewoman otter creek,(vote for not more than  1)</v>
      </c>
      <c r="V6567" s="40"/>
      <c r="AF6567" s="88"/>
      <c r="AG6567" s="339"/>
      <c r="AH6567" s="340"/>
      <c r="AI6567" s="353"/>
      <c r="AJ6567" s="357"/>
      <c r="AK6567" s="355"/>
      <c r="AL6567" s="20"/>
      <c r="AT6567" s="20"/>
      <c r="AU6567" s="29"/>
      <c r="AV6567"/>
      <c r="AW6567"/>
    </row>
    <row r="6568" spans="1:49">
      <c r="A6568" s="30" t="s">
        <v>2823</v>
      </c>
      <c r="B6568" s="55" t="str">
        <f t="shared" ref="B6568:B6631" si="1209">LEFT(A6568,14)</f>
        <v>PA_Merce_2018p</v>
      </c>
      <c r="D6568" s="55" t="str">
        <f t="shared" ref="D6568:D6631" si="1210">MID(A6568,16,99)</f>
        <v>Dem-precinct committeewoman perry,(vote for not more than  1)</v>
      </c>
      <c r="E6568" s="55" t="s">
        <v>2574</v>
      </c>
      <c r="G6568" s="60">
        <v>2</v>
      </c>
      <c r="H6568"/>
      <c r="J6568" s="7"/>
      <c r="K6568" s="2"/>
      <c r="O6568">
        <f t="shared" si="1202"/>
        <v>0</v>
      </c>
      <c r="P6568" s="57">
        <f t="shared" si="1203"/>
        <v>1</v>
      </c>
      <c r="Q6568" s="267">
        <f t="shared" si="1204"/>
        <v>2</v>
      </c>
      <c r="R6568" s="23">
        <f t="shared" si="1205"/>
        <v>1</v>
      </c>
      <c r="S6568" s="23">
        <f t="shared" si="1206"/>
        <v>0</v>
      </c>
      <c r="T6568" s="23" t="str">
        <f t="shared" si="1207"/>
        <v/>
      </c>
      <c r="U6568" t="str">
        <f t="shared" si="1208"/>
        <v>PA_Merce_2018p~Dem-precinct committeewoman perry,(vote for not more than  1)</v>
      </c>
      <c r="V6568" s="40"/>
      <c r="AF6568" s="88"/>
      <c r="AG6568" s="339"/>
      <c r="AH6568" s="340"/>
      <c r="AI6568" s="353"/>
      <c r="AJ6568" s="357"/>
      <c r="AK6568" s="355"/>
      <c r="AL6568" s="20"/>
      <c r="AT6568" s="20"/>
      <c r="AU6568" s="29"/>
      <c r="AV6568"/>
      <c r="AW6568"/>
    </row>
    <row r="6569" spans="1:49">
      <c r="A6569" s="30" t="s">
        <v>2824</v>
      </c>
      <c r="B6569" s="55" t="str">
        <f t="shared" si="1209"/>
        <v>PA_Merce_2018p</v>
      </c>
      <c r="D6569" s="55" t="str">
        <f t="shared" si="1210"/>
        <v>Dem-precinct committeewoman pine 1,(vote for not more than  1)</v>
      </c>
      <c r="E6569" s="55" t="s">
        <v>2825</v>
      </c>
      <c r="G6569" s="60">
        <v>49</v>
      </c>
      <c r="H6569"/>
      <c r="J6569" s="7"/>
      <c r="K6569" s="2"/>
      <c r="O6569">
        <f t="shared" si="1202"/>
        <v>1</v>
      </c>
      <c r="P6569" s="57">
        <f t="shared" si="1203"/>
        <v>1</v>
      </c>
      <c r="Q6569" s="267">
        <f t="shared" si="1204"/>
        <v>49</v>
      </c>
      <c r="R6569" s="23">
        <f t="shared" si="1205"/>
        <v>49</v>
      </c>
      <c r="S6569" s="23">
        <f t="shared" si="1206"/>
        <v>0</v>
      </c>
      <c r="T6569" s="23" t="str">
        <f t="shared" si="1207"/>
        <v/>
      </c>
      <c r="U6569" t="str">
        <f t="shared" si="1208"/>
        <v>PA_Merce_2018p~Dem-precinct committeewoman pine 1,(vote for not more than  1)</v>
      </c>
      <c r="V6569" s="40"/>
      <c r="AF6569" s="88"/>
      <c r="AG6569" s="339"/>
      <c r="AH6569" s="340"/>
      <c r="AI6569" s="353"/>
      <c r="AJ6569" s="357"/>
      <c r="AK6569" s="355"/>
      <c r="AL6569" s="20"/>
      <c r="AT6569" s="20"/>
      <c r="AU6569" s="29"/>
      <c r="AV6569"/>
      <c r="AW6569"/>
    </row>
    <row r="6570" spans="1:49">
      <c r="A6570" s="30" t="s">
        <v>2824</v>
      </c>
      <c r="B6570" s="55" t="str">
        <f t="shared" si="1209"/>
        <v>PA_Merce_2018p</v>
      </c>
      <c r="D6570" s="55" t="str">
        <f t="shared" si="1210"/>
        <v>Dem-precinct committeewoman pine 1,(vote for not more than  1)</v>
      </c>
      <c r="E6570" s="55" t="s">
        <v>2574</v>
      </c>
      <c r="G6570" s="60">
        <v>0</v>
      </c>
      <c r="H6570"/>
      <c r="J6570" s="7"/>
      <c r="K6570" s="2"/>
      <c r="O6570">
        <f t="shared" si="1202"/>
        <v>-1</v>
      </c>
      <c r="P6570" s="57">
        <f t="shared" si="1203"/>
        <v>1</v>
      </c>
      <c r="Q6570" s="267">
        <f t="shared" si="1204"/>
        <v>0</v>
      </c>
      <c r="R6570" s="23">
        <f t="shared" si="1205"/>
        <v>1</v>
      </c>
      <c r="S6570" s="23">
        <f t="shared" si="1206"/>
        <v>0</v>
      </c>
      <c r="T6570" s="23" t="str">
        <f t="shared" si="1207"/>
        <v/>
      </c>
      <c r="U6570" t="str">
        <f t="shared" si="1208"/>
        <v/>
      </c>
      <c r="V6570" s="40"/>
      <c r="AF6570" s="88"/>
      <c r="AG6570" s="339"/>
      <c r="AH6570" s="340"/>
      <c r="AI6570" s="353"/>
      <c r="AJ6570" s="357"/>
      <c r="AK6570" s="355"/>
      <c r="AL6570" s="20"/>
      <c r="AT6570" s="20"/>
      <c r="AU6570" s="29"/>
      <c r="AV6570"/>
      <c r="AW6570"/>
    </row>
    <row r="6571" spans="1:49">
      <c r="A6571" s="30" t="s">
        <v>2826</v>
      </c>
      <c r="B6571" s="55" t="str">
        <f t="shared" si="1209"/>
        <v>PA_Merce_2018p</v>
      </c>
      <c r="D6571" s="55" t="str">
        <f t="shared" si="1210"/>
        <v>Dem-precinct committeewoman pine 2,(vote for not more than  1)</v>
      </c>
      <c r="E6571" s="55" t="s">
        <v>2574</v>
      </c>
      <c r="G6571" s="60">
        <v>2</v>
      </c>
      <c r="H6571"/>
      <c r="J6571" s="7"/>
      <c r="K6571" s="2"/>
      <c r="O6571">
        <f t="shared" si="1202"/>
        <v>0</v>
      </c>
      <c r="P6571" s="57">
        <f t="shared" si="1203"/>
        <v>1</v>
      </c>
      <c r="Q6571" s="267">
        <f t="shared" si="1204"/>
        <v>2</v>
      </c>
      <c r="R6571" s="23">
        <f t="shared" si="1205"/>
        <v>1</v>
      </c>
      <c r="S6571" s="23">
        <f t="shared" si="1206"/>
        <v>0</v>
      </c>
      <c r="T6571" s="23" t="str">
        <f t="shared" si="1207"/>
        <v/>
      </c>
      <c r="U6571" t="str">
        <f t="shared" si="1208"/>
        <v>PA_Merce_2018p~Dem-precinct committeewoman pine 2,(vote for not more than  1)</v>
      </c>
      <c r="V6571" s="40"/>
      <c r="AF6571" s="88"/>
      <c r="AG6571" s="339"/>
      <c r="AH6571" s="340"/>
      <c r="AI6571" s="353"/>
      <c r="AJ6571" s="357"/>
      <c r="AK6571" s="355"/>
      <c r="AL6571" s="20"/>
      <c r="AT6571" s="20"/>
      <c r="AU6571" s="29"/>
      <c r="AV6571"/>
      <c r="AW6571"/>
    </row>
    <row r="6572" spans="1:49">
      <c r="A6572" s="30" t="s">
        <v>2827</v>
      </c>
      <c r="B6572" s="55" t="str">
        <f t="shared" si="1209"/>
        <v>PA_Merce_2018p</v>
      </c>
      <c r="D6572" s="55" t="str">
        <f t="shared" si="1210"/>
        <v>Dem-precinct committeewoman pymatuning 1,(vote for not more than  1)</v>
      </c>
      <c r="E6572" s="55" t="s">
        <v>2574</v>
      </c>
      <c r="G6572" s="60">
        <v>4</v>
      </c>
      <c r="H6572"/>
      <c r="J6572" s="7"/>
      <c r="K6572" s="2"/>
      <c r="O6572">
        <f t="shared" si="1202"/>
        <v>0</v>
      </c>
      <c r="P6572" s="57">
        <f t="shared" si="1203"/>
        <v>1</v>
      </c>
      <c r="Q6572" s="267">
        <f t="shared" si="1204"/>
        <v>4</v>
      </c>
      <c r="R6572" s="23">
        <f t="shared" si="1205"/>
        <v>1</v>
      </c>
      <c r="S6572" s="23">
        <f t="shared" si="1206"/>
        <v>0</v>
      </c>
      <c r="T6572" s="23" t="str">
        <f t="shared" si="1207"/>
        <v/>
      </c>
      <c r="U6572" t="str">
        <f t="shared" si="1208"/>
        <v>PA_Merce_2018p~Dem-precinct committeewoman pymatuning 1,(vote for not more than  1)</v>
      </c>
      <c r="V6572" s="40"/>
      <c r="AF6572" s="88"/>
      <c r="AG6572" s="339"/>
      <c r="AH6572" s="340"/>
      <c r="AI6572" s="353"/>
      <c r="AJ6572" s="357"/>
      <c r="AK6572" s="355"/>
      <c r="AL6572" s="20"/>
      <c r="AT6572" s="20"/>
      <c r="AU6572" s="29"/>
      <c r="AV6572"/>
      <c r="AW6572"/>
    </row>
    <row r="6573" spans="1:49">
      <c r="A6573" s="30" t="s">
        <v>2828</v>
      </c>
      <c r="B6573" s="55" t="str">
        <f t="shared" si="1209"/>
        <v>PA_Merce_2018p</v>
      </c>
      <c r="D6573" s="55" t="str">
        <f t="shared" si="1210"/>
        <v>Dem-precinct committeewoman pymatuning 2,(vote for not more than  1)</v>
      </c>
      <c r="E6573" s="55" t="s">
        <v>2574</v>
      </c>
      <c r="G6573" s="60">
        <v>1</v>
      </c>
      <c r="H6573"/>
      <c r="J6573" s="7"/>
      <c r="K6573" s="2"/>
      <c r="O6573">
        <f t="shared" si="1202"/>
        <v>0</v>
      </c>
      <c r="P6573" s="57">
        <f t="shared" si="1203"/>
        <v>1</v>
      </c>
      <c r="Q6573" s="267">
        <f t="shared" si="1204"/>
        <v>1</v>
      </c>
      <c r="R6573" s="23">
        <f t="shared" si="1205"/>
        <v>1</v>
      </c>
      <c r="S6573" s="23">
        <f t="shared" si="1206"/>
        <v>0</v>
      </c>
      <c r="T6573" s="23" t="str">
        <f t="shared" si="1207"/>
        <v/>
      </c>
      <c r="U6573" t="str">
        <f t="shared" si="1208"/>
        <v>PA_Merce_2018p~Dem-precinct committeewoman pymatuning 2,(vote for not more than  1)</v>
      </c>
      <c r="V6573" s="40"/>
      <c r="AF6573" s="88"/>
      <c r="AG6573" s="339"/>
      <c r="AH6573" s="340"/>
      <c r="AI6573" s="353"/>
      <c r="AJ6573" s="357"/>
      <c r="AK6573" s="355"/>
      <c r="AL6573" s="20"/>
      <c r="AT6573" s="20"/>
      <c r="AU6573" s="29"/>
      <c r="AV6573"/>
      <c r="AW6573"/>
    </row>
    <row r="6574" spans="1:49">
      <c r="A6574" s="30" t="s">
        <v>2829</v>
      </c>
      <c r="B6574" s="55" t="str">
        <f t="shared" si="1209"/>
        <v>PA_Merce_2018p</v>
      </c>
      <c r="D6574" s="55" t="str">
        <f t="shared" si="1210"/>
        <v>Dem-precinct committeewoman salem,(vote for not more than  1)</v>
      </c>
      <c r="E6574" s="55" t="s">
        <v>2574</v>
      </c>
      <c r="G6574" s="60">
        <v>0</v>
      </c>
      <c r="H6574"/>
      <c r="J6574" s="7"/>
      <c r="K6574" s="2"/>
      <c r="O6574">
        <f t="shared" si="1202"/>
        <v>0</v>
      </c>
      <c r="P6574" s="57">
        <f t="shared" si="1203"/>
        <v>1</v>
      </c>
      <c r="Q6574" s="267">
        <f t="shared" si="1204"/>
        <v>0</v>
      </c>
      <c r="R6574" s="23">
        <f t="shared" si="1205"/>
        <v>1</v>
      </c>
      <c r="S6574" s="23">
        <f t="shared" si="1206"/>
        <v>0</v>
      </c>
      <c r="T6574" s="23" t="str">
        <f t="shared" si="1207"/>
        <v/>
      </c>
      <c r="U6574" t="str">
        <f t="shared" si="1208"/>
        <v>PA_Merce_2018p~Dem-precinct committeewoman salem,(vote for not more than  1)</v>
      </c>
      <c r="V6574" s="40"/>
      <c r="AF6574" s="88"/>
      <c r="AG6574" s="339"/>
      <c r="AH6574" s="340"/>
      <c r="AI6574" s="353"/>
      <c r="AJ6574" s="357"/>
      <c r="AK6574" s="355"/>
      <c r="AL6574" s="20"/>
      <c r="AT6574" s="20"/>
      <c r="AU6574" s="29"/>
      <c r="AV6574"/>
      <c r="AW6574"/>
    </row>
    <row r="6575" spans="1:49">
      <c r="A6575" s="30" t="s">
        <v>2830</v>
      </c>
      <c r="B6575" s="55" t="str">
        <f t="shared" si="1209"/>
        <v>PA_Merce_2018p</v>
      </c>
      <c r="D6575" s="55" t="str">
        <f t="shared" si="1210"/>
        <v>Dem-precinct committeewoman sandy creek,(vote for not more than  1)</v>
      </c>
      <c r="E6575" s="55" t="s">
        <v>2574</v>
      </c>
      <c r="G6575" s="60">
        <v>0</v>
      </c>
      <c r="H6575"/>
      <c r="J6575" s="7"/>
      <c r="K6575" s="2"/>
      <c r="O6575">
        <f t="shared" si="1202"/>
        <v>0</v>
      </c>
      <c r="P6575" s="57">
        <f t="shared" si="1203"/>
        <v>1</v>
      </c>
      <c r="Q6575" s="267">
        <f t="shared" si="1204"/>
        <v>0</v>
      </c>
      <c r="R6575" s="23">
        <f t="shared" si="1205"/>
        <v>1</v>
      </c>
      <c r="S6575" s="23">
        <f t="shared" si="1206"/>
        <v>0</v>
      </c>
      <c r="T6575" s="23" t="str">
        <f t="shared" si="1207"/>
        <v/>
      </c>
      <c r="U6575" t="str">
        <f t="shared" si="1208"/>
        <v>PA_Merce_2018p~Dem-precinct committeewoman sandy creek,(vote for not more than  1)</v>
      </c>
      <c r="V6575" s="40"/>
      <c r="AF6575" s="88"/>
      <c r="AG6575" s="339"/>
      <c r="AH6575" s="340"/>
      <c r="AI6575" s="353"/>
      <c r="AJ6575" s="357"/>
      <c r="AK6575" s="355"/>
      <c r="AL6575" s="20"/>
      <c r="AT6575" s="20"/>
      <c r="AU6575" s="29"/>
      <c r="AV6575"/>
      <c r="AW6575"/>
    </row>
    <row r="6576" spans="1:49">
      <c r="A6576" s="30" t="s">
        <v>2831</v>
      </c>
      <c r="B6576" s="55" t="str">
        <f t="shared" si="1209"/>
        <v>PA_Merce_2018p</v>
      </c>
      <c r="D6576" s="55" t="str">
        <f t="shared" si="1210"/>
        <v>Dem-precinct committeewoman sandy lake borou,(vote for not more than  1)</v>
      </c>
      <c r="E6576" s="55" t="s">
        <v>2574</v>
      </c>
      <c r="G6576" s="60">
        <v>2</v>
      </c>
      <c r="H6576"/>
      <c r="J6576" s="7"/>
      <c r="K6576" s="2"/>
      <c r="O6576">
        <f t="shared" si="1202"/>
        <v>0</v>
      </c>
      <c r="P6576" s="57">
        <f t="shared" si="1203"/>
        <v>1</v>
      </c>
      <c r="Q6576" s="267">
        <f t="shared" si="1204"/>
        <v>2</v>
      </c>
      <c r="R6576" s="23">
        <f t="shared" si="1205"/>
        <v>1</v>
      </c>
      <c r="S6576" s="23">
        <f t="shared" si="1206"/>
        <v>0</v>
      </c>
      <c r="T6576" s="23" t="str">
        <f t="shared" si="1207"/>
        <v/>
      </c>
      <c r="U6576" t="str">
        <f t="shared" si="1208"/>
        <v>PA_Merce_2018p~Dem-precinct committeewoman sandy lake borou,(vote for not more than  1)</v>
      </c>
      <c r="V6576" s="40"/>
      <c r="AF6576" s="88"/>
      <c r="AG6576" s="339"/>
      <c r="AH6576" s="340"/>
      <c r="AI6576" s="353"/>
      <c r="AJ6576" s="357"/>
      <c r="AK6576" s="355"/>
      <c r="AL6576" s="20"/>
      <c r="AT6576" s="20"/>
      <c r="AU6576" s="29"/>
      <c r="AV6576"/>
      <c r="AW6576"/>
    </row>
    <row r="6577" spans="1:49">
      <c r="A6577" s="30" t="s">
        <v>2832</v>
      </c>
      <c r="B6577" s="55" t="str">
        <f t="shared" si="1209"/>
        <v>PA_Merce_2018p</v>
      </c>
      <c r="D6577" s="55" t="str">
        <f t="shared" si="1210"/>
        <v>Dem-precinct committeewoman sandy lake towns,(vote for not more than  1)</v>
      </c>
      <c r="E6577" s="55" t="s">
        <v>2833</v>
      </c>
      <c r="G6577" s="60">
        <v>39</v>
      </c>
      <c r="H6577"/>
      <c r="J6577" s="7"/>
      <c r="K6577" s="2"/>
      <c r="O6577">
        <f t="shared" si="1202"/>
        <v>1</v>
      </c>
      <c r="P6577" s="57">
        <f t="shared" si="1203"/>
        <v>1</v>
      </c>
      <c r="Q6577" s="267">
        <f t="shared" si="1204"/>
        <v>40</v>
      </c>
      <c r="R6577" s="23">
        <f t="shared" si="1205"/>
        <v>39</v>
      </c>
      <c r="S6577" s="23">
        <f t="shared" si="1206"/>
        <v>0</v>
      </c>
      <c r="T6577" s="23" t="str">
        <f t="shared" si="1207"/>
        <v/>
      </c>
      <c r="U6577" t="str">
        <f t="shared" si="1208"/>
        <v>PA_Merce_2018p~Dem-precinct committeewoman sandy lake towns,(vote for not more than  1)</v>
      </c>
      <c r="V6577" s="40"/>
      <c r="AF6577" s="88"/>
      <c r="AG6577" s="339"/>
      <c r="AH6577" s="340"/>
      <c r="AI6577" s="353"/>
      <c r="AJ6577" s="357"/>
      <c r="AK6577" s="355"/>
      <c r="AL6577" s="20"/>
      <c r="AT6577" s="20"/>
      <c r="AU6577" s="29"/>
      <c r="AV6577"/>
      <c r="AW6577"/>
    </row>
    <row r="6578" spans="1:49">
      <c r="A6578" s="30" t="s">
        <v>2832</v>
      </c>
      <c r="B6578" s="55" t="str">
        <f t="shared" si="1209"/>
        <v>PA_Merce_2018p</v>
      </c>
      <c r="D6578" s="55" t="str">
        <f t="shared" si="1210"/>
        <v>Dem-precinct committeewoman sandy lake towns,(vote for not more than  1)</v>
      </c>
      <c r="E6578" s="55" t="s">
        <v>2574</v>
      </c>
      <c r="G6578" s="60">
        <v>1</v>
      </c>
      <c r="H6578"/>
      <c r="J6578" s="7"/>
      <c r="K6578" s="2"/>
      <c r="O6578">
        <f t="shared" si="1202"/>
        <v>-1</v>
      </c>
      <c r="P6578" s="57">
        <f t="shared" si="1203"/>
        <v>1</v>
      </c>
      <c r="Q6578" s="267">
        <f t="shared" si="1204"/>
        <v>1</v>
      </c>
      <c r="R6578" s="23">
        <f t="shared" si="1205"/>
        <v>1</v>
      </c>
      <c r="S6578" s="23">
        <f t="shared" si="1206"/>
        <v>0</v>
      </c>
      <c r="T6578" s="23" t="str">
        <f t="shared" si="1207"/>
        <v/>
      </c>
      <c r="U6578" t="str">
        <f t="shared" si="1208"/>
        <v/>
      </c>
      <c r="V6578" s="40"/>
      <c r="AF6578" s="88"/>
      <c r="AG6578" s="339"/>
      <c r="AH6578" s="340"/>
      <c r="AI6578" s="353"/>
      <c r="AJ6578" s="357"/>
      <c r="AK6578" s="355"/>
      <c r="AL6578" s="20"/>
      <c r="AT6578" s="20"/>
      <c r="AU6578" s="29"/>
      <c r="AV6578"/>
      <c r="AW6578"/>
    </row>
    <row r="6579" spans="1:49">
      <c r="A6579" s="30" t="s">
        <v>2834</v>
      </c>
      <c r="B6579" s="55" t="str">
        <f t="shared" si="1209"/>
        <v>PA_Merce_2018p</v>
      </c>
      <c r="D6579" s="55" t="str">
        <f t="shared" si="1210"/>
        <v>Dem-precinct committeewoman sharon 1-1,(vote for not more than  1)</v>
      </c>
      <c r="E6579" s="55" t="s">
        <v>2574</v>
      </c>
      <c r="G6579" s="60">
        <v>1</v>
      </c>
      <c r="H6579"/>
      <c r="J6579" s="7"/>
      <c r="K6579" s="2"/>
      <c r="O6579">
        <f t="shared" si="1202"/>
        <v>0</v>
      </c>
      <c r="P6579" s="57">
        <f t="shared" si="1203"/>
        <v>1</v>
      </c>
      <c r="Q6579" s="267">
        <f t="shared" si="1204"/>
        <v>1</v>
      </c>
      <c r="R6579" s="23">
        <f t="shared" si="1205"/>
        <v>1</v>
      </c>
      <c r="S6579" s="23">
        <f t="shared" si="1206"/>
        <v>0</v>
      </c>
      <c r="T6579" s="23" t="str">
        <f t="shared" si="1207"/>
        <v/>
      </c>
      <c r="U6579" t="str">
        <f t="shared" si="1208"/>
        <v>PA_Merce_2018p~Dem-precinct committeewoman sharon 1-1,(vote for not more than  1)</v>
      </c>
      <c r="V6579" s="40"/>
      <c r="AF6579" s="88"/>
      <c r="AG6579" s="339"/>
      <c r="AH6579" s="340"/>
      <c r="AI6579" s="353"/>
      <c r="AJ6579" s="357"/>
      <c r="AK6579" s="355"/>
      <c r="AL6579" s="20"/>
      <c r="AT6579" s="20"/>
      <c r="AU6579" s="29"/>
      <c r="AV6579"/>
      <c r="AW6579"/>
    </row>
    <row r="6580" spans="1:49">
      <c r="A6580" s="30" t="s">
        <v>2835</v>
      </c>
      <c r="B6580" s="55" t="str">
        <f t="shared" si="1209"/>
        <v>PA_Merce_2018p</v>
      </c>
      <c r="D6580" s="55" t="str">
        <f t="shared" si="1210"/>
        <v>Dem-precinct committeewoman sharon 2-1,(vote for not more than  1)</v>
      </c>
      <c r="E6580" s="55" t="s">
        <v>2574</v>
      </c>
      <c r="G6580" s="60">
        <v>12</v>
      </c>
      <c r="H6580"/>
      <c r="J6580" s="7"/>
      <c r="K6580" s="2"/>
      <c r="O6580">
        <f t="shared" si="1202"/>
        <v>0</v>
      </c>
      <c r="P6580" s="57">
        <f t="shared" si="1203"/>
        <v>1</v>
      </c>
      <c r="Q6580" s="267">
        <f t="shared" si="1204"/>
        <v>12</v>
      </c>
      <c r="R6580" s="23">
        <f t="shared" si="1205"/>
        <v>1</v>
      </c>
      <c r="S6580" s="23">
        <f t="shared" si="1206"/>
        <v>0</v>
      </c>
      <c r="T6580" s="23" t="str">
        <f t="shared" si="1207"/>
        <v/>
      </c>
      <c r="U6580" t="str">
        <f t="shared" si="1208"/>
        <v>PA_Merce_2018p~Dem-precinct committeewoman sharon 2-1,(vote for not more than  1)</v>
      </c>
      <c r="V6580" s="40"/>
      <c r="AF6580" s="88"/>
      <c r="AG6580" s="339"/>
      <c r="AH6580" s="340"/>
      <c r="AI6580" s="353"/>
      <c r="AJ6580" s="357"/>
      <c r="AK6580" s="355"/>
      <c r="AL6580" s="20"/>
      <c r="AT6580" s="20"/>
      <c r="AU6580" s="29"/>
      <c r="AV6580"/>
      <c r="AW6580"/>
    </row>
    <row r="6581" spans="1:49">
      <c r="A6581" s="30" t="s">
        <v>2836</v>
      </c>
      <c r="B6581" s="55" t="str">
        <f t="shared" si="1209"/>
        <v>PA_Merce_2018p</v>
      </c>
      <c r="D6581" s="55" t="str">
        <f t="shared" si="1210"/>
        <v>Dem-precinct committeewoman sharon 2-2,(vote for not more than  1)</v>
      </c>
      <c r="E6581" s="55" t="s">
        <v>2574</v>
      </c>
      <c r="G6581" s="60">
        <v>8</v>
      </c>
      <c r="H6581"/>
      <c r="J6581" s="7"/>
      <c r="K6581" s="2"/>
      <c r="O6581">
        <f t="shared" si="1202"/>
        <v>0</v>
      </c>
      <c r="P6581" s="57">
        <f t="shared" si="1203"/>
        <v>1</v>
      </c>
      <c r="Q6581" s="267">
        <f t="shared" si="1204"/>
        <v>8</v>
      </c>
      <c r="R6581" s="23">
        <f t="shared" si="1205"/>
        <v>1</v>
      </c>
      <c r="S6581" s="23">
        <f t="shared" si="1206"/>
        <v>0</v>
      </c>
      <c r="T6581" s="23" t="str">
        <f t="shared" si="1207"/>
        <v/>
      </c>
      <c r="U6581" t="str">
        <f t="shared" si="1208"/>
        <v>PA_Merce_2018p~Dem-precinct committeewoman sharon 2-2,(vote for not more than  1)</v>
      </c>
      <c r="V6581" s="40"/>
      <c r="AF6581" s="88"/>
      <c r="AG6581" s="339"/>
      <c r="AH6581" s="340"/>
      <c r="AI6581" s="353"/>
      <c r="AJ6581" s="357"/>
      <c r="AK6581" s="355"/>
      <c r="AL6581" s="20"/>
      <c r="AT6581" s="20"/>
      <c r="AU6581" s="29"/>
      <c r="AV6581"/>
      <c r="AW6581"/>
    </row>
    <row r="6582" spans="1:49">
      <c r="A6582" s="30" t="s">
        <v>2837</v>
      </c>
      <c r="B6582" s="55" t="str">
        <f t="shared" si="1209"/>
        <v>PA_Merce_2018p</v>
      </c>
      <c r="D6582" s="55" t="str">
        <f t="shared" si="1210"/>
        <v>Dem-precinct committeewoman sharon 2-3,(vote for not more than  1)</v>
      </c>
      <c r="E6582" s="55" t="s">
        <v>2838</v>
      </c>
      <c r="G6582" s="60">
        <v>82</v>
      </c>
      <c r="H6582"/>
      <c r="J6582" s="7"/>
      <c r="K6582" s="2"/>
      <c r="O6582">
        <f t="shared" si="1202"/>
        <v>1</v>
      </c>
      <c r="P6582" s="57">
        <f t="shared" si="1203"/>
        <v>1</v>
      </c>
      <c r="Q6582" s="267">
        <f t="shared" si="1204"/>
        <v>82</v>
      </c>
      <c r="R6582" s="23">
        <f t="shared" si="1205"/>
        <v>82</v>
      </c>
      <c r="S6582" s="23">
        <f t="shared" si="1206"/>
        <v>0</v>
      </c>
      <c r="T6582" s="23" t="str">
        <f t="shared" si="1207"/>
        <v/>
      </c>
      <c r="U6582" t="str">
        <f t="shared" si="1208"/>
        <v>PA_Merce_2018p~Dem-precinct committeewoman sharon 2-3,(vote for not more than  1)</v>
      </c>
      <c r="V6582" s="40"/>
      <c r="AF6582" s="88"/>
      <c r="AG6582" s="339"/>
      <c r="AH6582" s="340"/>
      <c r="AI6582" s="353"/>
      <c r="AJ6582" s="357"/>
      <c r="AK6582" s="355"/>
      <c r="AL6582" s="20"/>
      <c r="AT6582" s="20"/>
      <c r="AU6582" s="29"/>
      <c r="AV6582"/>
      <c r="AW6582"/>
    </row>
    <row r="6583" spans="1:49">
      <c r="A6583" s="30" t="s">
        <v>2837</v>
      </c>
      <c r="B6583" s="55" t="str">
        <f t="shared" si="1209"/>
        <v>PA_Merce_2018p</v>
      </c>
      <c r="D6583" s="55" t="str">
        <f t="shared" si="1210"/>
        <v>Dem-precinct committeewoman sharon 2-3,(vote for not more than  1)</v>
      </c>
      <c r="E6583" s="55" t="s">
        <v>2574</v>
      </c>
      <c r="G6583" s="60">
        <v>0</v>
      </c>
      <c r="H6583"/>
      <c r="J6583" s="7"/>
      <c r="K6583" s="2"/>
      <c r="O6583">
        <f t="shared" si="1202"/>
        <v>-1</v>
      </c>
      <c r="P6583" s="57">
        <f t="shared" si="1203"/>
        <v>1</v>
      </c>
      <c r="Q6583" s="267">
        <f t="shared" si="1204"/>
        <v>0</v>
      </c>
      <c r="R6583" s="23">
        <f t="shared" si="1205"/>
        <v>1</v>
      </c>
      <c r="S6583" s="23">
        <f t="shared" si="1206"/>
        <v>0</v>
      </c>
      <c r="T6583" s="23" t="str">
        <f t="shared" si="1207"/>
        <v/>
      </c>
      <c r="U6583" t="str">
        <f t="shared" si="1208"/>
        <v/>
      </c>
      <c r="V6583" s="40"/>
      <c r="AF6583" s="88"/>
      <c r="AG6583" s="339"/>
      <c r="AH6583" s="340"/>
      <c r="AI6583" s="353"/>
      <c r="AJ6583" s="357"/>
      <c r="AK6583" s="355"/>
      <c r="AL6583" s="20"/>
      <c r="AT6583" s="20"/>
      <c r="AU6583" s="29"/>
      <c r="AV6583"/>
      <c r="AW6583"/>
    </row>
    <row r="6584" spans="1:49">
      <c r="A6584" s="30" t="s">
        <v>2839</v>
      </c>
      <c r="B6584" s="55" t="str">
        <f t="shared" si="1209"/>
        <v>PA_Merce_2018p</v>
      </c>
      <c r="D6584" s="55" t="str">
        <f t="shared" si="1210"/>
        <v>Dem-precinct committeewoman sharon 2-4,(vote for not more than  1)</v>
      </c>
      <c r="E6584" s="55" t="s">
        <v>2840</v>
      </c>
      <c r="G6584" s="60">
        <v>82</v>
      </c>
      <c r="H6584"/>
      <c r="J6584" s="7"/>
      <c r="K6584" s="2"/>
      <c r="O6584">
        <f t="shared" si="1202"/>
        <v>1</v>
      </c>
      <c r="P6584" s="57">
        <f t="shared" si="1203"/>
        <v>1</v>
      </c>
      <c r="Q6584" s="267">
        <f t="shared" si="1204"/>
        <v>84</v>
      </c>
      <c r="R6584" s="23">
        <f t="shared" si="1205"/>
        <v>82</v>
      </c>
      <c r="S6584" s="23">
        <f t="shared" si="1206"/>
        <v>0</v>
      </c>
      <c r="T6584" s="23" t="str">
        <f t="shared" si="1207"/>
        <v/>
      </c>
      <c r="U6584" t="str">
        <f t="shared" si="1208"/>
        <v>PA_Merce_2018p~Dem-precinct committeewoman sharon 2-4,(vote for not more than  1)</v>
      </c>
      <c r="V6584" s="40"/>
      <c r="AF6584" s="88"/>
      <c r="AG6584" s="339"/>
      <c r="AH6584" s="340"/>
      <c r="AI6584" s="353"/>
      <c r="AJ6584" s="357"/>
      <c r="AK6584" s="355"/>
      <c r="AL6584" s="20"/>
      <c r="AT6584" s="20"/>
      <c r="AU6584" s="29"/>
      <c r="AV6584"/>
      <c r="AW6584"/>
    </row>
    <row r="6585" spans="1:49">
      <c r="A6585" s="30" t="s">
        <v>2839</v>
      </c>
      <c r="B6585" s="55" t="str">
        <f t="shared" si="1209"/>
        <v>PA_Merce_2018p</v>
      </c>
      <c r="D6585" s="55" t="str">
        <f t="shared" si="1210"/>
        <v>Dem-precinct committeewoman sharon 2-4,(vote for not more than  1)</v>
      </c>
      <c r="E6585" s="55" t="s">
        <v>2574</v>
      </c>
      <c r="G6585" s="60">
        <v>2</v>
      </c>
      <c r="H6585"/>
      <c r="J6585" s="7"/>
      <c r="K6585" s="2"/>
      <c r="O6585">
        <f t="shared" si="1202"/>
        <v>-1</v>
      </c>
      <c r="P6585" s="57">
        <f t="shared" si="1203"/>
        <v>1</v>
      </c>
      <c r="Q6585" s="267">
        <f t="shared" si="1204"/>
        <v>2</v>
      </c>
      <c r="R6585" s="23">
        <f t="shared" si="1205"/>
        <v>1</v>
      </c>
      <c r="S6585" s="23">
        <f t="shared" si="1206"/>
        <v>0</v>
      </c>
      <c r="T6585" s="23" t="str">
        <f t="shared" si="1207"/>
        <v/>
      </c>
      <c r="U6585" t="str">
        <f t="shared" si="1208"/>
        <v/>
      </c>
      <c r="V6585" s="40"/>
      <c r="AF6585" s="88"/>
      <c r="AG6585" s="339"/>
      <c r="AH6585" s="340"/>
      <c r="AI6585" s="353"/>
      <c r="AJ6585" s="357"/>
      <c r="AK6585" s="355"/>
      <c r="AL6585" s="20"/>
      <c r="AT6585" s="20"/>
      <c r="AU6585" s="29"/>
      <c r="AV6585"/>
      <c r="AW6585"/>
    </row>
    <row r="6586" spans="1:49">
      <c r="A6586" s="30" t="s">
        <v>2841</v>
      </c>
      <c r="B6586" s="55" t="str">
        <f t="shared" si="1209"/>
        <v>PA_Merce_2018p</v>
      </c>
      <c r="D6586" s="55" t="str">
        <f t="shared" si="1210"/>
        <v>Dem-precinct committeewoman sharon 2-5,(vote for not more than  1)</v>
      </c>
      <c r="E6586" s="55" t="s">
        <v>2574</v>
      </c>
      <c r="G6586" s="60">
        <v>5</v>
      </c>
      <c r="H6586"/>
      <c r="J6586" s="7"/>
      <c r="K6586" s="2"/>
      <c r="O6586">
        <f t="shared" si="1202"/>
        <v>0</v>
      </c>
      <c r="P6586" s="57">
        <f t="shared" si="1203"/>
        <v>1</v>
      </c>
      <c r="Q6586" s="267">
        <f t="shared" si="1204"/>
        <v>5</v>
      </c>
      <c r="R6586" s="23">
        <f t="shared" si="1205"/>
        <v>1</v>
      </c>
      <c r="S6586" s="23">
        <f t="shared" si="1206"/>
        <v>0</v>
      </c>
      <c r="T6586" s="23" t="str">
        <f t="shared" si="1207"/>
        <v/>
      </c>
      <c r="U6586" t="str">
        <f t="shared" si="1208"/>
        <v>PA_Merce_2018p~Dem-precinct committeewoman sharon 2-5,(vote for not more than  1)</v>
      </c>
      <c r="V6586" s="40"/>
      <c r="AF6586" s="88"/>
      <c r="AG6586" s="339"/>
      <c r="AH6586" s="340"/>
      <c r="AI6586" s="353"/>
      <c r="AJ6586" s="357"/>
      <c r="AK6586" s="355"/>
      <c r="AL6586" s="20"/>
      <c r="AT6586" s="20"/>
      <c r="AU6586" s="29"/>
      <c r="AV6586"/>
      <c r="AW6586"/>
    </row>
    <row r="6587" spans="1:49">
      <c r="A6587" s="30" t="s">
        <v>2842</v>
      </c>
      <c r="B6587" s="55" t="str">
        <f t="shared" si="1209"/>
        <v>PA_Merce_2018p</v>
      </c>
      <c r="D6587" s="55" t="str">
        <f t="shared" si="1210"/>
        <v>Dem-precinct committeewoman sharon 3-1,(vote for not more than  1)</v>
      </c>
      <c r="E6587" s="55" t="s">
        <v>2574</v>
      </c>
      <c r="G6587" s="60">
        <v>0</v>
      </c>
      <c r="H6587"/>
      <c r="J6587" s="7"/>
      <c r="K6587" s="2"/>
      <c r="O6587">
        <f t="shared" si="1202"/>
        <v>0</v>
      </c>
      <c r="P6587" s="57">
        <f t="shared" si="1203"/>
        <v>1</v>
      </c>
      <c r="Q6587" s="267">
        <f t="shared" si="1204"/>
        <v>0</v>
      </c>
      <c r="R6587" s="23">
        <f t="shared" si="1205"/>
        <v>1</v>
      </c>
      <c r="S6587" s="23">
        <f t="shared" si="1206"/>
        <v>0</v>
      </c>
      <c r="T6587" s="23" t="str">
        <f t="shared" si="1207"/>
        <v/>
      </c>
      <c r="U6587" t="str">
        <f t="shared" si="1208"/>
        <v>PA_Merce_2018p~Dem-precinct committeewoman sharon 3-1,(vote for not more than  1)</v>
      </c>
      <c r="V6587" s="40"/>
      <c r="AF6587" s="88"/>
      <c r="AG6587" s="339"/>
      <c r="AH6587" s="340"/>
      <c r="AI6587" s="353"/>
      <c r="AJ6587" s="357"/>
      <c r="AK6587" s="355"/>
      <c r="AL6587" s="20"/>
      <c r="AT6587" s="20"/>
      <c r="AU6587" s="29"/>
      <c r="AV6587"/>
      <c r="AW6587"/>
    </row>
    <row r="6588" spans="1:49">
      <c r="A6588" s="30" t="s">
        <v>2843</v>
      </c>
      <c r="B6588" s="55" t="str">
        <f t="shared" si="1209"/>
        <v>PA_Merce_2018p</v>
      </c>
      <c r="D6588" s="55" t="str">
        <f t="shared" si="1210"/>
        <v>Dem-precinct committeewoman sharon 3-2,(vote for not more than  1)</v>
      </c>
      <c r="E6588" s="55" t="s">
        <v>2574</v>
      </c>
      <c r="G6588" s="60">
        <v>2</v>
      </c>
      <c r="H6588"/>
      <c r="J6588" s="7"/>
      <c r="K6588" s="2"/>
      <c r="O6588">
        <f t="shared" si="1202"/>
        <v>0</v>
      </c>
      <c r="P6588" s="57">
        <f t="shared" si="1203"/>
        <v>1</v>
      </c>
      <c r="Q6588" s="267">
        <f t="shared" si="1204"/>
        <v>2</v>
      </c>
      <c r="R6588" s="23">
        <f t="shared" si="1205"/>
        <v>1</v>
      </c>
      <c r="S6588" s="23">
        <f t="shared" si="1206"/>
        <v>0</v>
      </c>
      <c r="T6588" s="23" t="str">
        <f t="shared" si="1207"/>
        <v/>
      </c>
      <c r="U6588" t="str">
        <f t="shared" si="1208"/>
        <v>PA_Merce_2018p~Dem-precinct committeewoman sharon 3-2,(vote for not more than  1)</v>
      </c>
      <c r="V6588" s="40"/>
      <c r="AF6588" s="88"/>
      <c r="AG6588" s="339"/>
      <c r="AH6588" s="340"/>
      <c r="AI6588" s="353"/>
      <c r="AJ6588" s="357"/>
      <c r="AK6588" s="355"/>
      <c r="AL6588" s="20"/>
      <c r="AT6588" s="20"/>
      <c r="AU6588" s="29"/>
      <c r="AV6588"/>
      <c r="AW6588"/>
    </row>
    <row r="6589" spans="1:49">
      <c r="A6589" s="30" t="s">
        <v>2844</v>
      </c>
      <c r="B6589" s="55" t="str">
        <f t="shared" si="1209"/>
        <v>PA_Merce_2018p</v>
      </c>
      <c r="D6589" s="55" t="str">
        <f t="shared" si="1210"/>
        <v>Dem-precinct committeewoman sharon 4-1,(vote for not more than  1)</v>
      </c>
      <c r="E6589" s="55" t="s">
        <v>2574</v>
      </c>
      <c r="G6589" s="60">
        <v>4</v>
      </c>
      <c r="H6589"/>
      <c r="J6589" s="7"/>
      <c r="K6589" s="2"/>
      <c r="O6589">
        <f t="shared" si="1202"/>
        <v>0</v>
      </c>
      <c r="P6589" s="57">
        <f t="shared" si="1203"/>
        <v>1</v>
      </c>
      <c r="Q6589" s="267">
        <f t="shared" si="1204"/>
        <v>4</v>
      </c>
      <c r="R6589" s="23">
        <f t="shared" si="1205"/>
        <v>1</v>
      </c>
      <c r="S6589" s="23">
        <f t="shared" si="1206"/>
        <v>0</v>
      </c>
      <c r="T6589" s="23" t="str">
        <f t="shared" si="1207"/>
        <v/>
      </c>
      <c r="U6589" t="str">
        <f t="shared" si="1208"/>
        <v>PA_Merce_2018p~Dem-precinct committeewoman sharon 4-1,(vote for not more than  1)</v>
      </c>
      <c r="V6589" s="40"/>
      <c r="AF6589" s="88"/>
      <c r="AG6589" s="339"/>
      <c r="AH6589" s="340"/>
      <c r="AI6589" s="353"/>
      <c r="AJ6589" s="357"/>
      <c r="AK6589" s="355"/>
      <c r="AL6589" s="20"/>
      <c r="AT6589" s="20"/>
      <c r="AU6589" s="29"/>
      <c r="AV6589"/>
      <c r="AW6589"/>
    </row>
    <row r="6590" spans="1:49">
      <c r="A6590" s="30" t="s">
        <v>2845</v>
      </c>
      <c r="B6590" s="55" t="str">
        <f t="shared" si="1209"/>
        <v>PA_Merce_2018p</v>
      </c>
      <c r="D6590" s="55" t="str">
        <f t="shared" si="1210"/>
        <v>Dem-precinct committeewoman sharon 4-2,(vote for not more than  1)</v>
      </c>
      <c r="E6590" s="55" t="s">
        <v>2846</v>
      </c>
      <c r="G6590" s="60">
        <v>56</v>
      </c>
      <c r="H6590"/>
      <c r="J6590" s="7"/>
      <c r="K6590" s="2"/>
      <c r="O6590">
        <f t="shared" si="1202"/>
        <v>1</v>
      </c>
      <c r="P6590" s="57">
        <f t="shared" si="1203"/>
        <v>1</v>
      </c>
      <c r="Q6590" s="267">
        <f t="shared" si="1204"/>
        <v>56</v>
      </c>
      <c r="R6590" s="23">
        <f t="shared" si="1205"/>
        <v>56</v>
      </c>
      <c r="S6590" s="23">
        <f t="shared" si="1206"/>
        <v>0</v>
      </c>
      <c r="T6590" s="23" t="str">
        <f t="shared" si="1207"/>
        <v/>
      </c>
      <c r="U6590" t="str">
        <f t="shared" si="1208"/>
        <v>PA_Merce_2018p~Dem-precinct committeewoman sharon 4-2,(vote for not more than  1)</v>
      </c>
      <c r="V6590" s="40"/>
      <c r="AF6590" s="88"/>
      <c r="AG6590" s="339"/>
      <c r="AH6590" s="340"/>
      <c r="AI6590" s="353"/>
      <c r="AJ6590" s="357"/>
      <c r="AK6590" s="355"/>
      <c r="AL6590" s="20"/>
      <c r="AT6590" s="20"/>
      <c r="AU6590" s="29"/>
      <c r="AV6590"/>
      <c r="AW6590"/>
    </row>
    <row r="6591" spans="1:49">
      <c r="A6591" s="30" t="s">
        <v>2845</v>
      </c>
      <c r="B6591" s="55" t="str">
        <f t="shared" si="1209"/>
        <v>PA_Merce_2018p</v>
      </c>
      <c r="D6591" s="55" t="str">
        <f t="shared" si="1210"/>
        <v>Dem-precinct committeewoman sharon 4-2,(vote for not more than  1)</v>
      </c>
      <c r="E6591" s="55" t="s">
        <v>2574</v>
      </c>
      <c r="G6591" s="60">
        <v>0</v>
      </c>
      <c r="H6591"/>
      <c r="J6591" s="7"/>
      <c r="K6591" s="2"/>
      <c r="O6591">
        <f t="shared" si="1202"/>
        <v>-1</v>
      </c>
      <c r="P6591" s="57">
        <f t="shared" si="1203"/>
        <v>1</v>
      </c>
      <c r="Q6591" s="267">
        <f t="shared" si="1204"/>
        <v>0</v>
      </c>
      <c r="R6591" s="23">
        <f t="shared" si="1205"/>
        <v>1</v>
      </c>
      <c r="S6591" s="23">
        <f t="shared" si="1206"/>
        <v>0</v>
      </c>
      <c r="T6591" s="23" t="str">
        <f t="shared" si="1207"/>
        <v/>
      </c>
      <c r="U6591" t="str">
        <f t="shared" si="1208"/>
        <v/>
      </c>
      <c r="V6591" s="40"/>
      <c r="AF6591" s="88"/>
      <c r="AG6591" s="339"/>
      <c r="AH6591" s="340"/>
      <c r="AI6591" s="353"/>
      <c r="AJ6591" s="357"/>
      <c r="AK6591" s="355"/>
      <c r="AL6591" s="20"/>
      <c r="AT6591" s="20"/>
      <c r="AU6591" s="29"/>
      <c r="AV6591"/>
      <c r="AW6591"/>
    </row>
    <row r="6592" spans="1:49">
      <c r="A6592" s="30" t="s">
        <v>2847</v>
      </c>
      <c r="B6592" s="55" t="str">
        <f t="shared" si="1209"/>
        <v>PA_Merce_2018p</v>
      </c>
      <c r="D6592" s="55" t="str">
        <f t="shared" si="1210"/>
        <v>Dem-precinct committeewoman sharon 4-3,(vote for not more than  1)</v>
      </c>
      <c r="E6592" s="55" t="s">
        <v>2848</v>
      </c>
      <c r="G6592" s="60">
        <v>63</v>
      </c>
      <c r="H6592"/>
      <c r="J6592" s="7"/>
      <c r="K6592" s="2"/>
      <c r="O6592">
        <f t="shared" si="1202"/>
        <v>1</v>
      </c>
      <c r="P6592" s="57">
        <f t="shared" si="1203"/>
        <v>1</v>
      </c>
      <c r="Q6592" s="267">
        <f t="shared" si="1204"/>
        <v>63</v>
      </c>
      <c r="R6592" s="23">
        <f t="shared" si="1205"/>
        <v>63</v>
      </c>
      <c r="S6592" s="23">
        <f t="shared" si="1206"/>
        <v>0</v>
      </c>
      <c r="T6592" s="23" t="str">
        <f t="shared" si="1207"/>
        <v/>
      </c>
      <c r="U6592" t="str">
        <f t="shared" si="1208"/>
        <v>PA_Merce_2018p~Dem-precinct committeewoman sharon 4-3,(vote for not more than  1)</v>
      </c>
      <c r="V6592" s="40"/>
      <c r="AF6592" s="88"/>
      <c r="AG6592" s="339"/>
      <c r="AH6592" s="340"/>
      <c r="AI6592" s="353"/>
      <c r="AJ6592" s="357"/>
      <c r="AK6592" s="355"/>
      <c r="AL6592" s="20"/>
      <c r="AT6592" s="20"/>
      <c r="AU6592" s="29"/>
      <c r="AV6592"/>
      <c r="AW6592"/>
    </row>
    <row r="6593" spans="1:49">
      <c r="A6593" s="30" t="s">
        <v>2847</v>
      </c>
      <c r="B6593" s="55" t="str">
        <f t="shared" si="1209"/>
        <v>PA_Merce_2018p</v>
      </c>
      <c r="D6593" s="55" t="str">
        <f t="shared" si="1210"/>
        <v>Dem-precinct committeewoman sharon 4-3,(vote for not more than  1)</v>
      </c>
      <c r="E6593" s="55" t="s">
        <v>2574</v>
      </c>
      <c r="G6593" s="60">
        <v>0</v>
      </c>
      <c r="H6593"/>
      <c r="J6593" s="7"/>
      <c r="K6593" s="2"/>
      <c r="O6593">
        <f t="shared" si="1202"/>
        <v>-1</v>
      </c>
      <c r="P6593" s="57">
        <f t="shared" si="1203"/>
        <v>1</v>
      </c>
      <c r="Q6593" s="267">
        <f t="shared" si="1204"/>
        <v>0</v>
      </c>
      <c r="R6593" s="23">
        <f t="shared" si="1205"/>
        <v>1</v>
      </c>
      <c r="S6593" s="23">
        <f t="shared" si="1206"/>
        <v>0</v>
      </c>
      <c r="T6593" s="23" t="str">
        <f t="shared" si="1207"/>
        <v/>
      </c>
      <c r="U6593" t="str">
        <f t="shared" si="1208"/>
        <v/>
      </c>
      <c r="V6593" s="40"/>
      <c r="AF6593" s="88"/>
      <c r="AG6593" s="339"/>
      <c r="AH6593" s="340"/>
      <c r="AI6593" s="353"/>
      <c r="AJ6593" s="357"/>
      <c r="AK6593" s="355"/>
      <c r="AL6593" s="20"/>
      <c r="AT6593" s="20"/>
      <c r="AU6593" s="29"/>
      <c r="AV6593"/>
      <c r="AW6593"/>
    </row>
    <row r="6594" spans="1:49">
      <c r="A6594" s="30" t="s">
        <v>2849</v>
      </c>
      <c r="B6594" s="55" t="str">
        <f t="shared" si="1209"/>
        <v>PA_Merce_2018p</v>
      </c>
      <c r="D6594" s="55" t="str">
        <f t="shared" si="1210"/>
        <v>Dem-precinct committeewoman sharon 4-4,(vote for not more than  1)</v>
      </c>
      <c r="E6594" s="55" t="s">
        <v>2574</v>
      </c>
      <c r="G6594" s="60">
        <v>0</v>
      </c>
      <c r="H6594"/>
      <c r="J6594" s="7"/>
      <c r="K6594" s="2"/>
      <c r="O6594">
        <f t="shared" ref="O6594:O6657" si="1211">IF(OR(LOWER(LEFT(E6594,8))="write-in",LOWER(LEFT(E6594,8))="not qual"),IF(A6594=A6593,-ABS(O6593),0),IF(A6594=A6593,ABS(O6593)+1,1))</f>
        <v>0</v>
      </c>
      <c r="P6594" s="57">
        <f t="shared" ref="P6594:P6657" si="1212">1*LEFT(RIGHT(A6594,2),1)</f>
        <v>1</v>
      </c>
      <c r="Q6594" s="267">
        <f t="shared" ref="Q6594:Q6657" si="1213">IF(A6594&lt;&gt;A6595,G6594,IF(A6594=A6593,G6594+Q6595,MAX(G6594,(G6594+Q6595)/P6594)))</f>
        <v>0</v>
      </c>
      <c r="R6594" s="23">
        <f t="shared" ref="R6594:R6657" si="1214">IF(O6594&gt;P6594,"",IF(O6594=P6594,G6594,IF(A6594=A6595,R6595,IF(O6594&lt;=0,1,G6594))))</f>
        <v>1</v>
      </c>
      <c r="S6594" s="23">
        <f t="shared" ref="S6594:S6657" si="1215">IF(AND(O6594&gt;P6594,LOWER(LEFT(E6594,8))&lt;&gt;"write-in",LOWER(LEFT(E6594,8))&lt;&gt;"not qual"),G6594,IF(A6594=A6595,S6595,0))</f>
        <v>0</v>
      </c>
      <c r="T6594" s="23" t="str">
        <f t="shared" ref="T6594:T6657" si="1216">IF(OR(A6594=A6593,S6594=0),"",R6594-ABS(S6594))</f>
        <v/>
      </c>
      <c r="U6594" t="str">
        <f t="shared" ref="U6594:U6657" si="1217">IF(A6594=A6593,"",A6594)</f>
        <v>PA_Merce_2018p~Dem-precinct committeewoman sharon 4-4,(vote for not more than  1)</v>
      </c>
      <c r="V6594" s="40"/>
      <c r="AF6594" s="88"/>
      <c r="AG6594" s="339"/>
      <c r="AH6594" s="340"/>
      <c r="AI6594" s="353"/>
      <c r="AJ6594" s="357"/>
      <c r="AK6594" s="355"/>
      <c r="AL6594" s="20"/>
      <c r="AT6594" s="20"/>
      <c r="AU6594" s="29"/>
      <c r="AV6594"/>
      <c r="AW6594"/>
    </row>
    <row r="6595" spans="1:49">
      <c r="A6595" s="30" t="s">
        <v>2850</v>
      </c>
      <c r="B6595" s="55" t="str">
        <f t="shared" si="1209"/>
        <v>PA_Merce_2018p</v>
      </c>
      <c r="D6595" s="55" t="str">
        <f t="shared" si="1210"/>
        <v>Dem-precinct committeewoman sharon 4-5,(vote for not more than  1)</v>
      </c>
      <c r="E6595" s="55" t="s">
        <v>2574</v>
      </c>
      <c r="G6595" s="60">
        <v>4</v>
      </c>
      <c r="H6595"/>
      <c r="J6595" s="7"/>
      <c r="K6595" s="2"/>
      <c r="O6595">
        <f t="shared" si="1211"/>
        <v>0</v>
      </c>
      <c r="P6595" s="57">
        <f t="shared" si="1212"/>
        <v>1</v>
      </c>
      <c r="Q6595" s="267">
        <f t="shared" si="1213"/>
        <v>4</v>
      </c>
      <c r="R6595" s="23">
        <f t="shared" si="1214"/>
        <v>1</v>
      </c>
      <c r="S6595" s="23">
        <f t="shared" si="1215"/>
        <v>0</v>
      </c>
      <c r="T6595" s="23" t="str">
        <f t="shared" si="1216"/>
        <v/>
      </c>
      <c r="U6595" t="str">
        <f t="shared" si="1217"/>
        <v>PA_Merce_2018p~Dem-precinct committeewoman sharon 4-5,(vote for not more than  1)</v>
      </c>
      <c r="V6595" s="40"/>
      <c r="AF6595" s="88"/>
      <c r="AG6595" s="339"/>
      <c r="AH6595" s="340"/>
      <c r="AI6595" s="353"/>
      <c r="AJ6595" s="357"/>
      <c r="AK6595" s="355"/>
      <c r="AL6595" s="20"/>
      <c r="AT6595" s="20"/>
      <c r="AU6595" s="29"/>
      <c r="AV6595"/>
      <c r="AW6595"/>
    </row>
    <row r="6596" spans="1:49">
      <c r="A6596" s="30" t="s">
        <v>2851</v>
      </c>
      <c r="B6596" s="55" t="str">
        <f t="shared" si="1209"/>
        <v>PA_Merce_2018p</v>
      </c>
      <c r="D6596" s="55" t="str">
        <f t="shared" si="1210"/>
        <v>Dem-precinct committeewoman sharon 4-6,(vote for not more than  1)</v>
      </c>
      <c r="E6596" s="55" t="s">
        <v>2852</v>
      </c>
      <c r="G6596" s="60">
        <v>95</v>
      </c>
      <c r="H6596"/>
      <c r="J6596" s="7"/>
      <c r="K6596" s="2"/>
      <c r="O6596">
        <f t="shared" si="1211"/>
        <v>1</v>
      </c>
      <c r="P6596" s="57">
        <f t="shared" si="1212"/>
        <v>1</v>
      </c>
      <c r="Q6596" s="267">
        <f t="shared" si="1213"/>
        <v>95</v>
      </c>
      <c r="R6596" s="23">
        <f t="shared" si="1214"/>
        <v>95</v>
      </c>
      <c r="S6596" s="23">
        <f t="shared" si="1215"/>
        <v>0</v>
      </c>
      <c r="T6596" s="23" t="str">
        <f t="shared" si="1216"/>
        <v/>
      </c>
      <c r="U6596" t="str">
        <f t="shared" si="1217"/>
        <v>PA_Merce_2018p~Dem-precinct committeewoman sharon 4-6,(vote for not more than  1)</v>
      </c>
      <c r="V6596" s="40"/>
      <c r="AF6596" s="88"/>
      <c r="AG6596" s="339"/>
      <c r="AH6596" s="340"/>
      <c r="AI6596" s="353"/>
      <c r="AJ6596" s="357"/>
      <c r="AK6596" s="355"/>
      <c r="AL6596" s="20"/>
      <c r="AT6596" s="20"/>
      <c r="AU6596" s="29"/>
      <c r="AV6596"/>
      <c r="AW6596"/>
    </row>
    <row r="6597" spans="1:49">
      <c r="A6597" s="30" t="s">
        <v>2851</v>
      </c>
      <c r="B6597" s="55" t="str">
        <f t="shared" si="1209"/>
        <v>PA_Merce_2018p</v>
      </c>
      <c r="D6597" s="55" t="str">
        <f t="shared" si="1210"/>
        <v>Dem-precinct committeewoman sharon 4-6,(vote for not more than  1)</v>
      </c>
      <c r="E6597" s="55" t="s">
        <v>2574</v>
      </c>
      <c r="G6597" s="60">
        <v>0</v>
      </c>
      <c r="H6597"/>
      <c r="J6597" s="7"/>
      <c r="K6597" s="2"/>
      <c r="O6597">
        <f t="shared" si="1211"/>
        <v>-1</v>
      </c>
      <c r="P6597" s="57">
        <f t="shared" si="1212"/>
        <v>1</v>
      </c>
      <c r="Q6597" s="267">
        <f t="shared" si="1213"/>
        <v>0</v>
      </c>
      <c r="R6597" s="23">
        <f t="shared" si="1214"/>
        <v>1</v>
      </c>
      <c r="S6597" s="23">
        <f t="shared" si="1215"/>
        <v>0</v>
      </c>
      <c r="T6597" s="23" t="str">
        <f t="shared" si="1216"/>
        <v/>
      </c>
      <c r="U6597" t="str">
        <f t="shared" si="1217"/>
        <v/>
      </c>
      <c r="V6597" s="40"/>
      <c r="AF6597" s="88"/>
      <c r="AG6597" s="339"/>
      <c r="AH6597" s="340"/>
      <c r="AI6597" s="353"/>
      <c r="AJ6597" s="357"/>
      <c r="AK6597" s="355"/>
      <c r="AL6597" s="20"/>
      <c r="AT6597" s="20"/>
      <c r="AU6597" s="29"/>
      <c r="AV6597"/>
      <c r="AW6597"/>
    </row>
    <row r="6598" spans="1:49">
      <c r="A6598" s="30" t="s">
        <v>2853</v>
      </c>
      <c r="B6598" s="55" t="str">
        <f t="shared" si="1209"/>
        <v>PA_Merce_2018p</v>
      </c>
      <c r="D6598" s="55" t="str">
        <f t="shared" si="1210"/>
        <v>Dem-precinct committeewoman sharpsville 1,(vote for not more than  1)</v>
      </c>
      <c r="E6598" s="55" t="s">
        <v>2574</v>
      </c>
      <c r="G6598" s="60">
        <v>0</v>
      </c>
      <c r="H6598"/>
      <c r="J6598" s="7"/>
      <c r="K6598" s="2"/>
      <c r="O6598">
        <f t="shared" si="1211"/>
        <v>0</v>
      </c>
      <c r="P6598" s="57">
        <f t="shared" si="1212"/>
        <v>1</v>
      </c>
      <c r="Q6598" s="267">
        <f t="shared" si="1213"/>
        <v>0</v>
      </c>
      <c r="R6598" s="23">
        <f t="shared" si="1214"/>
        <v>1</v>
      </c>
      <c r="S6598" s="23">
        <f t="shared" si="1215"/>
        <v>0</v>
      </c>
      <c r="T6598" s="23" t="str">
        <f t="shared" si="1216"/>
        <v/>
      </c>
      <c r="U6598" t="str">
        <f t="shared" si="1217"/>
        <v>PA_Merce_2018p~Dem-precinct committeewoman sharpsville 1,(vote for not more than  1)</v>
      </c>
      <c r="V6598" s="40"/>
      <c r="AF6598" s="88"/>
      <c r="AG6598" s="339"/>
      <c r="AH6598" s="340"/>
      <c r="AI6598" s="353"/>
      <c r="AJ6598" s="357"/>
      <c r="AK6598" s="355"/>
      <c r="AL6598" s="20"/>
      <c r="AT6598" s="20"/>
      <c r="AU6598" s="29"/>
      <c r="AV6598"/>
      <c r="AW6598"/>
    </row>
    <row r="6599" spans="1:49">
      <c r="A6599" s="30" t="s">
        <v>2854</v>
      </c>
      <c r="B6599" s="55" t="str">
        <f t="shared" si="1209"/>
        <v>PA_Merce_2018p</v>
      </c>
      <c r="D6599" s="55" t="str">
        <f t="shared" si="1210"/>
        <v>Dem-precinct committeewoman sharpsville 2,(vote for not more than  1)</v>
      </c>
      <c r="E6599" s="55" t="s">
        <v>2574</v>
      </c>
      <c r="G6599" s="60">
        <v>5</v>
      </c>
      <c r="H6599"/>
      <c r="J6599" s="7"/>
      <c r="K6599" s="2"/>
      <c r="O6599">
        <f t="shared" si="1211"/>
        <v>0</v>
      </c>
      <c r="P6599" s="57">
        <f t="shared" si="1212"/>
        <v>1</v>
      </c>
      <c r="Q6599" s="267">
        <f t="shared" si="1213"/>
        <v>5</v>
      </c>
      <c r="R6599" s="23">
        <f t="shared" si="1214"/>
        <v>1</v>
      </c>
      <c r="S6599" s="23">
        <f t="shared" si="1215"/>
        <v>0</v>
      </c>
      <c r="T6599" s="23" t="str">
        <f t="shared" si="1216"/>
        <v/>
      </c>
      <c r="U6599" t="str">
        <f t="shared" si="1217"/>
        <v>PA_Merce_2018p~Dem-precinct committeewoman sharpsville 2,(vote for not more than  1)</v>
      </c>
      <c r="V6599" s="40"/>
      <c r="AF6599" s="88"/>
      <c r="AG6599" s="339"/>
      <c r="AH6599" s="340"/>
      <c r="AI6599" s="353"/>
      <c r="AJ6599" s="357"/>
      <c r="AK6599" s="355"/>
      <c r="AL6599" s="20"/>
      <c r="AT6599" s="20"/>
      <c r="AU6599" s="29"/>
      <c r="AV6599"/>
      <c r="AW6599"/>
    </row>
    <row r="6600" spans="1:49">
      <c r="A6600" s="30" t="s">
        <v>2855</v>
      </c>
      <c r="B6600" s="55" t="str">
        <f t="shared" si="1209"/>
        <v>PA_Merce_2018p</v>
      </c>
      <c r="D6600" s="55" t="str">
        <f t="shared" si="1210"/>
        <v>Dem-precinct committeewoman sharpsville 3,(vote for not more than  1)</v>
      </c>
      <c r="E6600" s="55" t="s">
        <v>2856</v>
      </c>
      <c r="G6600" s="60">
        <v>56</v>
      </c>
      <c r="H6600"/>
      <c r="J6600" s="7"/>
      <c r="K6600" s="2"/>
      <c r="O6600">
        <f t="shared" si="1211"/>
        <v>1</v>
      </c>
      <c r="P6600" s="57">
        <f t="shared" si="1212"/>
        <v>1</v>
      </c>
      <c r="Q6600" s="267">
        <f t="shared" si="1213"/>
        <v>58</v>
      </c>
      <c r="R6600" s="23">
        <f t="shared" si="1214"/>
        <v>56</v>
      </c>
      <c r="S6600" s="23">
        <f t="shared" si="1215"/>
        <v>0</v>
      </c>
      <c r="T6600" s="23" t="str">
        <f t="shared" si="1216"/>
        <v/>
      </c>
      <c r="U6600" t="str">
        <f t="shared" si="1217"/>
        <v>PA_Merce_2018p~Dem-precinct committeewoman sharpsville 3,(vote for not more than  1)</v>
      </c>
      <c r="V6600" s="40"/>
      <c r="AG6600" s="339"/>
      <c r="AH6600" s="340"/>
      <c r="AI6600" s="353"/>
      <c r="AJ6600" s="357"/>
      <c r="AK6600" s="355"/>
      <c r="AL6600" s="20"/>
      <c r="AT6600" s="20"/>
      <c r="AU6600" s="29"/>
      <c r="AV6600"/>
      <c r="AW6600"/>
    </row>
    <row r="6601" spans="1:49">
      <c r="A6601" s="30" t="s">
        <v>2855</v>
      </c>
      <c r="B6601" s="55" t="str">
        <f t="shared" si="1209"/>
        <v>PA_Merce_2018p</v>
      </c>
      <c r="D6601" s="55" t="str">
        <f t="shared" si="1210"/>
        <v>Dem-precinct committeewoman sharpsville 3,(vote for not more than  1)</v>
      </c>
      <c r="E6601" s="55" t="s">
        <v>2574</v>
      </c>
      <c r="G6601" s="60">
        <v>2</v>
      </c>
      <c r="H6601"/>
      <c r="J6601" s="7"/>
      <c r="K6601" s="2"/>
      <c r="O6601">
        <f t="shared" si="1211"/>
        <v>-1</v>
      </c>
      <c r="P6601" s="57">
        <f t="shared" si="1212"/>
        <v>1</v>
      </c>
      <c r="Q6601" s="267">
        <f t="shared" si="1213"/>
        <v>2</v>
      </c>
      <c r="R6601" s="23">
        <f t="shared" si="1214"/>
        <v>1</v>
      </c>
      <c r="S6601" s="23">
        <f t="shared" si="1215"/>
        <v>0</v>
      </c>
      <c r="T6601" s="23" t="str">
        <f t="shared" si="1216"/>
        <v/>
      </c>
      <c r="U6601" t="str">
        <f t="shared" si="1217"/>
        <v/>
      </c>
      <c r="V6601" s="40"/>
      <c r="AG6601" s="339"/>
      <c r="AH6601" s="340"/>
      <c r="AI6601" s="353"/>
      <c r="AJ6601" s="357"/>
      <c r="AK6601" s="355"/>
      <c r="AL6601" s="20"/>
      <c r="AT6601" s="20"/>
      <c r="AU6601" s="29"/>
      <c r="AV6601"/>
      <c r="AW6601"/>
    </row>
    <row r="6602" spans="1:49">
      <c r="A6602" s="30" t="s">
        <v>2857</v>
      </c>
      <c r="B6602" s="55" t="str">
        <f t="shared" si="1209"/>
        <v>PA_Merce_2018p</v>
      </c>
      <c r="D6602" s="55" t="str">
        <f t="shared" si="1210"/>
        <v>Dem-precinct committeewoman sharpsville 4,(vote for not more than  1)</v>
      </c>
      <c r="E6602" s="55" t="s">
        <v>2574</v>
      </c>
      <c r="G6602" s="60">
        <v>1</v>
      </c>
      <c r="H6602"/>
      <c r="J6602" s="7"/>
      <c r="K6602" s="2"/>
      <c r="O6602">
        <f t="shared" si="1211"/>
        <v>0</v>
      </c>
      <c r="P6602" s="57">
        <f t="shared" si="1212"/>
        <v>1</v>
      </c>
      <c r="Q6602" s="267">
        <f t="shared" si="1213"/>
        <v>1</v>
      </c>
      <c r="R6602" s="23">
        <f t="shared" si="1214"/>
        <v>1</v>
      </c>
      <c r="S6602" s="23">
        <f t="shared" si="1215"/>
        <v>0</v>
      </c>
      <c r="T6602" s="23" t="str">
        <f t="shared" si="1216"/>
        <v/>
      </c>
      <c r="U6602" t="str">
        <f t="shared" si="1217"/>
        <v>PA_Merce_2018p~Dem-precinct committeewoman sharpsville 4,(vote for not more than  1)</v>
      </c>
      <c r="V6602" s="40"/>
      <c r="AG6602" s="339"/>
      <c r="AH6602" s="340"/>
      <c r="AI6602" s="353"/>
      <c r="AJ6602" s="357"/>
      <c r="AK6602" s="355"/>
      <c r="AL6602" s="20"/>
      <c r="AT6602" s="20"/>
      <c r="AU6602" s="29"/>
      <c r="AV6602"/>
      <c r="AW6602"/>
    </row>
    <row r="6603" spans="1:49">
      <c r="A6603" s="30" t="s">
        <v>2858</v>
      </c>
      <c r="B6603" s="55" t="str">
        <f t="shared" si="1209"/>
        <v>PA_Merce_2018p</v>
      </c>
      <c r="D6603" s="55" t="str">
        <f t="shared" si="1210"/>
        <v>Dem-precinct committeewoman sheakleyville,(vote for not more than  1)</v>
      </c>
      <c r="E6603" s="55" t="s">
        <v>2574</v>
      </c>
      <c r="G6603" s="60">
        <v>0</v>
      </c>
      <c r="H6603"/>
      <c r="J6603" s="7"/>
      <c r="K6603" s="2"/>
      <c r="O6603">
        <f t="shared" si="1211"/>
        <v>0</v>
      </c>
      <c r="P6603" s="57">
        <f t="shared" si="1212"/>
        <v>1</v>
      </c>
      <c r="Q6603" s="267">
        <f t="shared" si="1213"/>
        <v>0</v>
      </c>
      <c r="R6603" s="23">
        <f t="shared" si="1214"/>
        <v>1</v>
      </c>
      <c r="S6603" s="23">
        <f t="shared" si="1215"/>
        <v>0</v>
      </c>
      <c r="T6603" s="23" t="str">
        <f t="shared" si="1216"/>
        <v/>
      </c>
      <c r="U6603" t="str">
        <f t="shared" si="1217"/>
        <v>PA_Merce_2018p~Dem-precinct committeewoman sheakleyville,(vote for not more than  1)</v>
      </c>
      <c r="V6603" s="40"/>
      <c r="AF6603" s="88"/>
      <c r="AG6603" s="339"/>
      <c r="AH6603" s="340"/>
      <c r="AI6603" s="353"/>
      <c r="AJ6603" s="357"/>
      <c r="AK6603" s="355"/>
      <c r="AL6603" s="20"/>
      <c r="AT6603" s="20"/>
      <c r="AU6603" s="29"/>
      <c r="AV6603"/>
      <c r="AW6603"/>
    </row>
    <row r="6604" spans="1:49">
      <c r="A6604" s="30" t="s">
        <v>2859</v>
      </c>
      <c r="B6604" s="55" t="str">
        <f t="shared" si="1209"/>
        <v>PA_Merce_2018p</v>
      </c>
      <c r="D6604" s="55" t="str">
        <f t="shared" si="1210"/>
        <v>Dem-precinct committeewoman shenango east,(vote for not more than  1)</v>
      </c>
      <c r="E6604" s="55" t="s">
        <v>2574</v>
      </c>
      <c r="G6604" s="60">
        <v>4</v>
      </c>
      <c r="H6604"/>
      <c r="J6604" s="7"/>
      <c r="K6604" s="2"/>
      <c r="O6604">
        <f t="shared" si="1211"/>
        <v>0</v>
      </c>
      <c r="P6604" s="57">
        <f t="shared" si="1212"/>
        <v>1</v>
      </c>
      <c r="Q6604" s="267">
        <f t="shared" si="1213"/>
        <v>4</v>
      </c>
      <c r="R6604" s="23">
        <f t="shared" si="1214"/>
        <v>1</v>
      </c>
      <c r="S6604" s="23">
        <f t="shared" si="1215"/>
        <v>0</v>
      </c>
      <c r="T6604" s="23" t="str">
        <f t="shared" si="1216"/>
        <v/>
      </c>
      <c r="U6604" t="str">
        <f t="shared" si="1217"/>
        <v>PA_Merce_2018p~Dem-precinct committeewoman shenango east,(vote for not more than  1)</v>
      </c>
      <c r="V6604" s="40"/>
      <c r="AF6604" s="88"/>
      <c r="AG6604" s="339"/>
      <c r="AH6604" s="340"/>
      <c r="AI6604" s="353"/>
      <c r="AJ6604" s="357"/>
      <c r="AK6604" s="355"/>
      <c r="AL6604" s="20"/>
      <c r="AT6604" s="20"/>
      <c r="AU6604" s="29"/>
      <c r="AV6604"/>
      <c r="AW6604"/>
    </row>
    <row r="6605" spans="1:49">
      <c r="A6605" s="30" t="s">
        <v>2860</v>
      </c>
      <c r="B6605" s="55" t="str">
        <f t="shared" si="1209"/>
        <v>PA_Merce_2018p</v>
      </c>
      <c r="D6605" s="55" t="str">
        <f t="shared" si="1210"/>
        <v>Dem-precinct committeewoman shenango west,(vote for not more than  1)</v>
      </c>
      <c r="E6605" s="55" t="s">
        <v>2861</v>
      </c>
      <c r="G6605" s="60">
        <v>104</v>
      </c>
      <c r="H6605"/>
      <c r="J6605" s="7"/>
      <c r="K6605" s="2"/>
      <c r="O6605">
        <f t="shared" si="1211"/>
        <v>1</v>
      </c>
      <c r="P6605" s="57">
        <f t="shared" si="1212"/>
        <v>1</v>
      </c>
      <c r="Q6605" s="267">
        <f t="shared" si="1213"/>
        <v>104</v>
      </c>
      <c r="R6605" s="23">
        <f t="shared" si="1214"/>
        <v>104</v>
      </c>
      <c r="S6605" s="23">
        <f t="shared" si="1215"/>
        <v>0</v>
      </c>
      <c r="T6605" s="23" t="str">
        <f t="shared" si="1216"/>
        <v/>
      </c>
      <c r="U6605" t="str">
        <f t="shared" si="1217"/>
        <v>PA_Merce_2018p~Dem-precinct committeewoman shenango west,(vote for not more than  1)</v>
      </c>
      <c r="V6605" s="40"/>
      <c r="AG6605" s="339"/>
      <c r="AH6605" s="340"/>
      <c r="AI6605" s="353"/>
      <c r="AJ6605" s="357"/>
      <c r="AK6605" s="355"/>
      <c r="AL6605" s="20"/>
      <c r="AT6605" s="20"/>
      <c r="AU6605" s="29"/>
      <c r="AV6605"/>
      <c r="AW6605"/>
    </row>
    <row r="6606" spans="1:49">
      <c r="A6606" s="30" t="s">
        <v>2860</v>
      </c>
      <c r="B6606" s="55" t="str">
        <f t="shared" si="1209"/>
        <v>PA_Merce_2018p</v>
      </c>
      <c r="D6606" s="55" t="str">
        <f t="shared" si="1210"/>
        <v>Dem-precinct committeewoman shenango west,(vote for not more than  1)</v>
      </c>
      <c r="E6606" s="55" t="s">
        <v>2574</v>
      </c>
      <c r="G6606" s="60">
        <v>0</v>
      </c>
      <c r="H6606"/>
      <c r="J6606" s="7"/>
      <c r="K6606" s="2"/>
      <c r="O6606">
        <f t="shared" si="1211"/>
        <v>-1</v>
      </c>
      <c r="P6606" s="57">
        <f t="shared" si="1212"/>
        <v>1</v>
      </c>
      <c r="Q6606" s="267">
        <f t="shared" si="1213"/>
        <v>0</v>
      </c>
      <c r="R6606" s="23">
        <f t="shared" si="1214"/>
        <v>1</v>
      </c>
      <c r="S6606" s="23">
        <f t="shared" si="1215"/>
        <v>0</v>
      </c>
      <c r="T6606" s="23" t="str">
        <f t="shared" si="1216"/>
        <v/>
      </c>
      <c r="U6606" t="str">
        <f t="shared" si="1217"/>
        <v/>
      </c>
      <c r="V6606" s="40"/>
      <c r="AG6606" s="339"/>
      <c r="AH6606" s="340"/>
      <c r="AI6606" s="353"/>
      <c r="AJ6606" s="357"/>
      <c r="AK6606" s="355"/>
      <c r="AL6606" s="20"/>
      <c r="AT6606" s="20"/>
      <c r="AU6606" s="29"/>
      <c r="AV6606"/>
      <c r="AW6606"/>
    </row>
    <row r="6607" spans="1:49">
      <c r="A6607" s="30" t="s">
        <v>2862</v>
      </c>
      <c r="B6607" s="55" t="str">
        <f t="shared" si="1209"/>
        <v>PA_Merce_2018p</v>
      </c>
      <c r="D6607" s="55" t="str">
        <f t="shared" si="1210"/>
        <v>Dem-precinct committeewoman south pymatuning,(vote for not more than  1)</v>
      </c>
      <c r="E6607" s="55" t="s">
        <v>2863</v>
      </c>
      <c r="G6607" s="60">
        <v>88</v>
      </c>
      <c r="H6607"/>
      <c r="J6607" s="7"/>
      <c r="K6607" s="2"/>
      <c r="O6607">
        <f t="shared" si="1211"/>
        <v>1</v>
      </c>
      <c r="P6607" s="57">
        <f t="shared" si="1212"/>
        <v>1</v>
      </c>
      <c r="Q6607" s="267">
        <f t="shared" si="1213"/>
        <v>129</v>
      </c>
      <c r="R6607" s="23">
        <f t="shared" si="1214"/>
        <v>88</v>
      </c>
      <c r="S6607" s="23">
        <f t="shared" si="1215"/>
        <v>40</v>
      </c>
      <c r="T6607" s="23">
        <f t="shared" si="1216"/>
        <v>48</v>
      </c>
      <c r="U6607" t="str">
        <f t="shared" si="1217"/>
        <v>PA_Merce_2018p~Dem-precinct committeewoman south pymatuning,(vote for not more than  1)</v>
      </c>
      <c r="V6607" s="40"/>
      <c r="AG6607" s="339"/>
      <c r="AH6607" s="340"/>
      <c r="AI6607" s="353"/>
      <c r="AJ6607" s="357"/>
      <c r="AK6607" s="355"/>
      <c r="AL6607" s="20"/>
      <c r="AT6607" s="20"/>
      <c r="AU6607" s="29"/>
      <c r="AV6607"/>
      <c r="AW6607"/>
    </row>
    <row r="6608" spans="1:49">
      <c r="A6608" s="30" t="s">
        <v>2862</v>
      </c>
      <c r="B6608" s="55" t="str">
        <f t="shared" si="1209"/>
        <v>PA_Merce_2018p</v>
      </c>
      <c r="D6608" s="55" t="str">
        <f t="shared" si="1210"/>
        <v>Dem-precinct committeewoman south pymatuning,(vote for not more than  1)</v>
      </c>
      <c r="E6608" s="55" t="s">
        <v>2864</v>
      </c>
      <c r="G6608" s="60">
        <v>40</v>
      </c>
      <c r="H6608"/>
      <c r="J6608" s="7"/>
      <c r="K6608" s="2"/>
      <c r="O6608">
        <f t="shared" si="1211"/>
        <v>2</v>
      </c>
      <c r="P6608" s="57">
        <f t="shared" si="1212"/>
        <v>1</v>
      </c>
      <c r="Q6608" s="267">
        <f t="shared" si="1213"/>
        <v>41</v>
      </c>
      <c r="R6608" s="23" t="str">
        <f t="shared" si="1214"/>
        <v/>
      </c>
      <c r="S6608" s="23">
        <f t="shared" si="1215"/>
        <v>40</v>
      </c>
      <c r="T6608" s="23" t="str">
        <f t="shared" si="1216"/>
        <v/>
      </c>
      <c r="U6608" t="str">
        <f t="shared" si="1217"/>
        <v/>
      </c>
      <c r="V6608" s="40"/>
      <c r="AG6608" s="339"/>
      <c r="AH6608" s="340"/>
      <c r="AI6608" s="353"/>
      <c r="AJ6608" s="357"/>
      <c r="AK6608" s="355"/>
      <c r="AL6608" s="20"/>
      <c r="AT6608" s="20"/>
      <c r="AU6608" s="29"/>
      <c r="AV6608"/>
      <c r="AW6608"/>
    </row>
    <row r="6609" spans="1:49">
      <c r="A6609" s="30" t="s">
        <v>2862</v>
      </c>
      <c r="B6609" s="55" t="str">
        <f t="shared" si="1209"/>
        <v>PA_Merce_2018p</v>
      </c>
      <c r="D6609" s="55" t="str">
        <f t="shared" si="1210"/>
        <v>Dem-precinct committeewoman south pymatuning,(vote for not more than  1)</v>
      </c>
      <c r="E6609" s="55" t="s">
        <v>2574</v>
      </c>
      <c r="G6609" s="60">
        <v>1</v>
      </c>
      <c r="H6609"/>
      <c r="J6609" s="7"/>
      <c r="K6609" s="2"/>
      <c r="O6609">
        <f t="shared" si="1211"/>
        <v>-2</v>
      </c>
      <c r="P6609" s="57">
        <f t="shared" si="1212"/>
        <v>1</v>
      </c>
      <c r="Q6609" s="267">
        <f t="shared" si="1213"/>
        <v>1</v>
      </c>
      <c r="R6609" s="23">
        <f t="shared" si="1214"/>
        <v>1</v>
      </c>
      <c r="S6609" s="23">
        <f t="shared" si="1215"/>
        <v>0</v>
      </c>
      <c r="T6609" s="23" t="str">
        <f t="shared" si="1216"/>
        <v/>
      </c>
      <c r="U6609" t="str">
        <f t="shared" si="1217"/>
        <v/>
      </c>
      <c r="V6609" s="40"/>
      <c r="AG6609" s="339"/>
      <c r="AH6609" s="340"/>
      <c r="AI6609" s="353"/>
      <c r="AJ6609" s="357"/>
      <c r="AK6609" s="355"/>
      <c r="AL6609" s="20"/>
      <c r="AT6609" s="20"/>
      <c r="AU6609" s="29"/>
      <c r="AV6609"/>
      <c r="AW6609"/>
    </row>
    <row r="6610" spans="1:49">
      <c r="A6610" s="30" t="s">
        <v>2862</v>
      </c>
      <c r="B6610" s="55" t="str">
        <f t="shared" si="1209"/>
        <v>PA_Merce_2018p</v>
      </c>
      <c r="D6610" s="55" t="str">
        <f t="shared" si="1210"/>
        <v>Dem-precinct committeewoman south pymatuning,(vote for not more than  1)</v>
      </c>
      <c r="E6610" s="55" t="s">
        <v>2574</v>
      </c>
      <c r="G6610" s="60">
        <v>0</v>
      </c>
      <c r="H6610"/>
      <c r="J6610" s="7"/>
      <c r="K6610" s="2"/>
      <c r="O6610">
        <f t="shared" si="1211"/>
        <v>-2</v>
      </c>
      <c r="P6610" s="57">
        <f t="shared" si="1212"/>
        <v>1</v>
      </c>
      <c r="Q6610" s="267">
        <f t="shared" si="1213"/>
        <v>0</v>
      </c>
      <c r="R6610" s="23">
        <f t="shared" si="1214"/>
        <v>1</v>
      </c>
      <c r="S6610" s="23">
        <f t="shared" si="1215"/>
        <v>0</v>
      </c>
      <c r="T6610" s="23" t="str">
        <f t="shared" si="1216"/>
        <v/>
      </c>
      <c r="U6610" t="str">
        <f t="shared" si="1217"/>
        <v/>
      </c>
      <c r="V6610" s="40"/>
      <c r="AG6610" s="339"/>
      <c r="AH6610" s="340"/>
      <c r="AI6610" s="353"/>
      <c r="AJ6610" s="357"/>
      <c r="AK6610" s="355"/>
      <c r="AL6610" s="20"/>
      <c r="AT6610" s="20"/>
      <c r="AU6610" s="29"/>
      <c r="AV6610"/>
      <c r="AW6610"/>
    </row>
    <row r="6611" spans="1:49">
      <c r="A6611" s="30" t="s">
        <v>2862</v>
      </c>
      <c r="B6611" s="55" t="str">
        <f t="shared" si="1209"/>
        <v>PA_Merce_2018p</v>
      </c>
      <c r="D6611" s="55" t="str">
        <f t="shared" si="1210"/>
        <v>Dem-precinct committeewoman south pymatuning,(vote for not more than  1)</v>
      </c>
      <c r="E6611" s="55" t="s">
        <v>2574</v>
      </c>
      <c r="G6611" s="60">
        <v>0</v>
      </c>
      <c r="H6611"/>
      <c r="J6611" s="7"/>
      <c r="K6611" s="2"/>
      <c r="O6611">
        <f t="shared" si="1211"/>
        <v>-2</v>
      </c>
      <c r="P6611" s="57">
        <f t="shared" si="1212"/>
        <v>1</v>
      </c>
      <c r="Q6611" s="267">
        <f t="shared" si="1213"/>
        <v>0</v>
      </c>
      <c r="R6611" s="23">
        <f t="shared" si="1214"/>
        <v>1</v>
      </c>
      <c r="S6611" s="23">
        <f t="shared" si="1215"/>
        <v>0</v>
      </c>
      <c r="T6611" s="23" t="str">
        <f t="shared" si="1216"/>
        <v/>
      </c>
      <c r="U6611" t="str">
        <f t="shared" si="1217"/>
        <v/>
      </c>
      <c r="V6611" s="40"/>
      <c r="AG6611" s="339"/>
      <c r="AH6611" s="340"/>
      <c r="AI6611" s="353"/>
      <c r="AJ6611" s="357"/>
      <c r="AK6611" s="355"/>
      <c r="AL6611" s="20"/>
      <c r="AT6611" s="20"/>
      <c r="AU6611" s="29"/>
      <c r="AV6611"/>
      <c r="AW6611"/>
    </row>
    <row r="6612" spans="1:49">
      <c r="A6612" s="30" t="s">
        <v>2865</v>
      </c>
      <c r="B6612" s="55" t="str">
        <f t="shared" si="1209"/>
        <v>PA_Merce_2018p</v>
      </c>
      <c r="D6612" s="55" t="str">
        <f t="shared" si="1210"/>
        <v>Dem-precinct committeewoman springfield east,(vote for not more than  1)</v>
      </c>
      <c r="E6612" s="55" t="s">
        <v>2574</v>
      </c>
      <c r="G6612" s="60">
        <v>3</v>
      </c>
      <c r="H6612"/>
      <c r="J6612" s="7"/>
      <c r="K6612" s="2"/>
      <c r="O6612">
        <f t="shared" si="1211"/>
        <v>0</v>
      </c>
      <c r="P6612" s="57">
        <f t="shared" si="1212"/>
        <v>1</v>
      </c>
      <c r="Q6612" s="267">
        <f t="shared" si="1213"/>
        <v>3</v>
      </c>
      <c r="R6612" s="23">
        <f t="shared" si="1214"/>
        <v>1</v>
      </c>
      <c r="S6612" s="23">
        <f t="shared" si="1215"/>
        <v>0</v>
      </c>
      <c r="T6612" s="23" t="str">
        <f t="shared" si="1216"/>
        <v/>
      </c>
      <c r="U6612" t="str">
        <f t="shared" si="1217"/>
        <v>PA_Merce_2018p~Dem-precinct committeewoman springfield east,(vote for not more than  1)</v>
      </c>
      <c r="V6612" s="40"/>
      <c r="AG6612" s="339"/>
      <c r="AH6612" s="340"/>
      <c r="AI6612" s="353"/>
      <c r="AJ6612" s="357"/>
      <c r="AK6612" s="355"/>
      <c r="AL6612" s="20"/>
      <c r="AT6612" s="20"/>
      <c r="AU6612" s="29"/>
      <c r="AV6612"/>
      <c r="AW6612"/>
    </row>
    <row r="6613" spans="1:49">
      <c r="A6613" s="30" t="s">
        <v>2866</v>
      </c>
      <c r="B6613" s="55" t="str">
        <f t="shared" si="1209"/>
        <v>PA_Merce_2018p</v>
      </c>
      <c r="D6613" s="55" t="str">
        <f t="shared" si="1210"/>
        <v>Dem-precinct committeewoman springfield west,(vote for not more than  1)</v>
      </c>
      <c r="E6613" s="55" t="s">
        <v>2867</v>
      </c>
      <c r="G6613" s="60">
        <v>42</v>
      </c>
      <c r="H6613"/>
      <c r="J6613" s="7"/>
      <c r="K6613" s="2"/>
      <c r="O6613">
        <f t="shared" si="1211"/>
        <v>1</v>
      </c>
      <c r="P6613" s="57">
        <f t="shared" si="1212"/>
        <v>1</v>
      </c>
      <c r="Q6613" s="267">
        <f t="shared" si="1213"/>
        <v>42</v>
      </c>
      <c r="R6613" s="23">
        <f t="shared" si="1214"/>
        <v>42</v>
      </c>
      <c r="S6613" s="23">
        <f t="shared" si="1215"/>
        <v>0</v>
      </c>
      <c r="T6613" s="23" t="str">
        <f t="shared" si="1216"/>
        <v/>
      </c>
      <c r="U6613" t="str">
        <f t="shared" si="1217"/>
        <v>PA_Merce_2018p~Dem-precinct committeewoman springfield west,(vote for not more than  1)</v>
      </c>
      <c r="V6613" s="40"/>
      <c r="AG6613" s="339"/>
      <c r="AH6613" s="340"/>
      <c r="AI6613" s="353"/>
      <c r="AJ6613" s="357"/>
      <c r="AK6613" s="355"/>
      <c r="AL6613" s="20"/>
      <c r="AT6613" s="20"/>
      <c r="AU6613" s="29"/>
      <c r="AV6613"/>
      <c r="AW6613"/>
    </row>
    <row r="6614" spans="1:49">
      <c r="A6614" s="30" t="s">
        <v>2866</v>
      </c>
      <c r="B6614" s="55" t="str">
        <f t="shared" si="1209"/>
        <v>PA_Merce_2018p</v>
      </c>
      <c r="D6614" s="55" t="str">
        <f t="shared" si="1210"/>
        <v>Dem-precinct committeewoman springfield west,(vote for not more than  1)</v>
      </c>
      <c r="E6614" s="55" t="s">
        <v>2574</v>
      </c>
      <c r="G6614" s="60">
        <v>0</v>
      </c>
      <c r="H6614"/>
      <c r="J6614" s="7"/>
      <c r="K6614" s="2"/>
      <c r="O6614">
        <f t="shared" si="1211"/>
        <v>-1</v>
      </c>
      <c r="P6614" s="57">
        <f t="shared" si="1212"/>
        <v>1</v>
      </c>
      <c r="Q6614" s="267">
        <f t="shared" si="1213"/>
        <v>0</v>
      </c>
      <c r="R6614" s="23">
        <f t="shared" si="1214"/>
        <v>1</v>
      </c>
      <c r="S6614" s="23">
        <f t="shared" si="1215"/>
        <v>0</v>
      </c>
      <c r="T6614" s="23" t="str">
        <f t="shared" si="1216"/>
        <v/>
      </c>
      <c r="U6614" t="str">
        <f t="shared" si="1217"/>
        <v/>
      </c>
      <c r="V6614" s="40"/>
      <c r="AG6614" s="339"/>
      <c r="AH6614" s="340"/>
      <c r="AI6614" s="353"/>
      <c r="AJ6614" s="357"/>
      <c r="AK6614" s="355"/>
      <c r="AL6614" s="20"/>
      <c r="AT6614" s="20"/>
      <c r="AU6614" s="29"/>
      <c r="AV6614"/>
      <c r="AW6614"/>
    </row>
    <row r="6615" spans="1:49">
      <c r="A6615" s="30" t="s">
        <v>2868</v>
      </c>
      <c r="B6615" s="55" t="str">
        <f t="shared" si="1209"/>
        <v>PA_Merce_2018p</v>
      </c>
      <c r="D6615" s="55" t="str">
        <f t="shared" si="1210"/>
        <v>Dem-precinct committeewoman stoneboro,(vote for not more than  1)</v>
      </c>
      <c r="E6615" s="55" t="s">
        <v>2574</v>
      </c>
      <c r="G6615" s="60">
        <v>7</v>
      </c>
      <c r="H6615"/>
      <c r="J6615" s="7"/>
      <c r="K6615" s="2"/>
      <c r="O6615">
        <f t="shared" si="1211"/>
        <v>0</v>
      </c>
      <c r="P6615" s="57">
        <f t="shared" si="1212"/>
        <v>1</v>
      </c>
      <c r="Q6615" s="267">
        <f t="shared" si="1213"/>
        <v>7</v>
      </c>
      <c r="R6615" s="23">
        <f t="shared" si="1214"/>
        <v>1</v>
      </c>
      <c r="S6615" s="23">
        <f t="shared" si="1215"/>
        <v>0</v>
      </c>
      <c r="T6615" s="23" t="str">
        <f t="shared" si="1216"/>
        <v/>
      </c>
      <c r="U6615" t="str">
        <f t="shared" si="1217"/>
        <v>PA_Merce_2018p~Dem-precinct committeewoman stoneboro,(vote for not more than  1)</v>
      </c>
      <c r="V6615" s="40"/>
      <c r="AG6615" s="339"/>
      <c r="AH6615" s="340"/>
      <c r="AI6615" s="353"/>
      <c r="AJ6615" s="357"/>
      <c r="AK6615" s="355"/>
      <c r="AL6615" s="20"/>
      <c r="AT6615" s="20"/>
      <c r="AU6615" s="29"/>
      <c r="AV6615"/>
      <c r="AW6615"/>
    </row>
    <row r="6616" spans="1:49">
      <c r="A6616" s="30" t="s">
        <v>2869</v>
      </c>
      <c r="B6616" s="55" t="str">
        <f t="shared" si="1209"/>
        <v>PA_Merce_2018p</v>
      </c>
      <c r="D6616" s="55" t="str">
        <f t="shared" si="1210"/>
        <v>Dem-precinct committeewoman sugar grove,(vote for not more than  1)</v>
      </c>
      <c r="E6616" s="55" t="s">
        <v>2870</v>
      </c>
      <c r="G6616" s="60">
        <v>36</v>
      </c>
      <c r="H6616"/>
      <c r="J6616" s="7"/>
      <c r="K6616" s="2"/>
      <c r="O6616">
        <f t="shared" si="1211"/>
        <v>1</v>
      </c>
      <c r="P6616" s="57">
        <f t="shared" si="1212"/>
        <v>1</v>
      </c>
      <c r="Q6616" s="267">
        <f t="shared" si="1213"/>
        <v>36</v>
      </c>
      <c r="R6616" s="23">
        <f t="shared" si="1214"/>
        <v>36</v>
      </c>
      <c r="S6616" s="23">
        <f t="shared" si="1215"/>
        <v>0</v>
      </c>
      <c r="T6616" s="23" t="str">
        <f t="shared" si="1216"/>
        <v/>
      </c>
      <c r="U6616" t="str">
        <f t="shared" si="1217"/>
        <v>PA_Merce_2018p~Dem-precinct committeewoman sugar grove,(vote for not more than  1)</v>
      </c>
      <c r="V6616" s="40"/>
      <c r="AG6616" s="339"/>
      <c r="AH6616" s="340"/>
      <c r="AI6616" s="353"/>
      <c r="AJ6616" s="357"/>
      <c r="AK6616" s="355"/>
      <c r="AL6616" s="20"/>
      <c r="AT6616" s="20"/>
      <c r="AU6616" s="29"/>
      <c r="AV6616"/>
      <c r="AW6616"/>
    </row>
    <row r="6617" spans="1:49">
      <c r="A6617" s="30" t="s">
        <v>2869</v>
      </c>
      <c r="B6617" s="55" t="str">
        <f t="shared" si="1209"/>
        <v>PA_Merce_2018p</v>
      </c>
      <c r="D6617" s="55" t="str">
        <f t="shared" si="1210"/>
        <v>Dem-precinct committeewoman sugar grove,(vote for not more than  1)</v>
      </c>
      <c r="E6617" s="55" t="s">
        <v>2574</v>
      </c>
      <c r="G6617" s="60">
        <v>0</v>
      </c>
      <c r="H6617"/>
      <c r="J6617" s="7"/>
      <c r="K6617" s="2"/>
      <c r="O6617">
        <f t="shared" si="1211"/>
        <v>-1</v>
      </c>
      <c r="P6617" s="57">
        <f t="shared" si="1212"/>
        <v>1</v>
      </c>
      <c r="Q6617" s="267">
        <f t="shared" si="1213"/>
        <v>0</v>
      </c>
      <c r="R6617" s="23">
        <f t="shared" si="1214"/>
        <v>1</v>
      </c>
      <c r="S6617" s="23">
        <f t="shared" si="1215"/>
        <v>0</v>
      </c>
      <c r="T6617" s="23" t="str">
        <f t="shared" si="1216"/>
        <v/>
      </c>
      <c r="U6617" t="str">
        <f t="shared" si="1217"/>
        <v/>
      </c>
      <c r="V6617" s="40"/>
      <c r="AG6617" s="339"/>
      <c r="AH6617" s="340"/>
      <c r="AI6617" s="353"/>
      <c r="AJ6617" s="357"/>
      <c r="AK6617" s="355"/>
      <c r="AL6617" s="20"/>
      <c r="AT6617" s="20"/>
      <c r="AU6617" s="29"/>
      <c r="AV6617"/>
      <c r="AW6617"/>
    </row>
    <row r="6618" spans="1:49">
      <c r="A6618" s="30" t="s">
        <v>2871</v>
      </c>
      <c r="B6618" s="55" t="str">
        <f t="shared" si="1209"/>
        <v>PA_Merce_2018p</v>
      </c>
      <c r="D6618" s="55" t="str">
        <f t="shared" si="1210"/>
        <v>Dem-precinct committeewoman west middlesex,(vote for not more than  1)</v>
      </c>
      <c r="E6618" s="55" t="s">
        <v>2574</v>
      </c>
      <c r="G6618" s="60">
        <v>4</v>
      </c>
      <c r="H6618"/>
      <c r="J6618" s="7"/>
      <c r="K6618" s="2"/>
      <c r="O6618">
        <f t="shared" si="1211"/>
        <v>0</v>
      </c>
      <c r="P6618" s="57">
        <f t="shared" si="1212"/>
        <v>1</v>
      </c>
      <c r="Q6618" s="267">
        <f t="shared" si="1213"/>
        <v>4</v>
      </c>
      <c r="R6618" s="23">
        <f t="shared" si="1214"/>
        <v>1</v>
      </c>
      <c r="S6618" s="23">
        <f t="shared" si="1215"/>
        <v>0</v>
      </c>
      <c r="T6618" s="23" t="str">
        <f t="shared" si="1216"/>
        <v/>
      </c>
      <c r="U6618" t="str">
        <f t="shared" si="1217"/>
        <v>PA_Merce_2018p~Dem-precinct committeewoman west middlesex,(vote for not more than  1)</v>
      </c>
      <c r="V6618" s="40"/>
      <c r="AG6618" s="339"/>
      <c r="AH6618" s="340"/>
      <c r="AI6618" s="353"/>
      <c r="AJ6618" s="357"/>
      <c r="AK6618" s="355"/>
      <c r="AL6618" s="20"/>
      <c r="AT6618" s="20"/>
      <c r="AU6618" s="29"/>
      <c r="AV6618"/>
      <c r="AW6618"/>
    </row>
    <row r="6619" spans="1:49">
      <c r="A6619" s="30" t="s">
        <v>2872</v>
      </c>
      <c r="B6619" s="55" t="str">
        <f t="shared" si="1209"/>
        <v>PA_Merce_2018p</v>
      </c>
      <c r="D6619" s="55" t="str">
        <f t="shared" si="1210"/>
        <v>Dem-precinct committeewoman west salem east,(vote for not more than  1)</v>
      </c>
      <c r="E6619" s="55" t="s">
        <v>2574</v>
      </c>
      <c r="G6619" s="60">
        <v>0</v>
      </c>
      <c r="H6619"/>
      <c r="J6619" s="7"/>
      <c r="K6619" s="2"/>
      <c r="O6619">
        <f t="shared" si="1211"/>
        <v>0</v>
      </c>
      <c r="P6619" s="57">
        <f t="shared" si="1212"/>
        <v>1</v>
      </c>
      <c r="Q6619" s="267">
        <f t="shared" si="1213"/>
        <v>0</v>
      </c>
      <c r="R6619" s="23">
        <f t="shared" si="1214"/>
        <v>1</v>
      </c>
      <c r="S6619" s="23">
        <f t="shared" si="1215"/>
        <v>0</v>
      </c>
      <c r="T6619" s="23" t="str">
        <f t="shared" si="1216"/>
        <v/>
      </c>
      <c r="U6619" t="str">
        <f t="shared" si="1217"/>
        <v>PA_Merce_2018p~Dem-precinct committeewoman west salem east,(vote for not more than  1)</v>
      </c>
      <c r="V6619" s="40"/>
      <c r="AG6619" s="339"/>
      <c r="AH6619" s="340"/>
      <c r="AI6619" s="353"/>
      <c r="AJ6619" s="357"/>
      <c r="AK6619" s="355"/>
      <c r="AL6619" s="20"/>
      <c r="AT6619" s="20"/>
      <c r="AU6619" s="29"/>
      <c r="AV6619"/>
      <c r="AW6619"/>
    </row>
    <row r="6620" spans="1:49">
      <c r="A6620" s="30" t="s">
        <v>2873</v>
      </c>
      <c r="B6620" s="55" t="str">
        <f t="shared" si="1209"/>
        <v>PA_Merce_2018p</v>
      </c>
      <c r="D6620" s="55" t="str">
        <f t="shared" si="1210"/>
        <v>Dem-precinct committeewoman west salem west,(vote for not more than  1)</v>
      </c>
      <c r="E6620" s="55" t="s">
        <v>2574</v>
      </c>
      <c r="G6620" s="60">
        <v>8</v>
      </c>
      <c r="H6620"/>
      <c r="J6620" s="7"/>
      <c r="K6620" s="2"/>
      <c r="O6620">
        <f t="shared" si="1211"/>
        <v>0</v>
      </c>
      <c r="P6620" s="57">
        <f t="shared" si="1212"/>
        <v>1</v>
      </c>
      <c r="Q6620" s="267">
        <f t="shared" si="1213"/>
        <v>8</v>
      </c>
      <c r="R6620" s="23">
        <f t="shared" si="1214"/>
        <v>1</v>
      </c>
      <c r="S6620" s="23">
        <f t="shared" si="1215"/>
        <v>0</v>
      </c>
      <c r="T6620" s="23" t="str">
        <f t="shared" si="1216"/>
        <v/>
      </c>
      <c r="U6620" t="str">
        <f t="shared" si="1217"/>
        <v>PA_Merce_2018p~Dem-precinct committeewoman west salem west,(vote for not more than  1)</v>
      </c>
      <c r="V6620" s="40"/>
      <c r="AG6620" s="339"/>
      <c r="AH6620" s="340"/>
      <c r="AI6620" s="353"/>
      <c r="AJ6620" s="357"/>
      <c r="AK6620" s="355"/>
      <c r="AL6620" s="20"/>
      <c r="AT6620" s="20"/>
      <c r="AU6620" s="29"/>
      <c r="AV6620"/>
      <c r="AW6620"/>
    </row>
    <row r="6621" spans="1:49">
      <c r="A6621" s="30" t="s">
        <v>2874</v>
      </c>
      <c r="B6621" s="55" t="str">
        <f t="shared" si="1209"/>
        <v>PA_Merce_2018p</v>
      </c>
      <c r="D6621" s="55" t="str">
        <f t="shared" si="1210"/>
        <v>Dem-precinct committeewoman wheatland,(vote for not more than  1)</v>
      </c>
      <c r="E6621" s="55" t="s">
        <v>2574</v>
      </c>
      <c r="G6621" s="60">
        <v>1</v>
      </c>
      <c r="H6621"/>
      <c r="J6621" s="7"/>
      <c r="K6621" s="2"/>
      <c r="O6621">
        <f t="shared" si="1211"/>
        <v>0</v>
      </c>
      <c r="P6621" s="57">
        <f t="shared" si="1212"/>
        <v>1</v>
      </c>
      <c r="Q6621" s="267">
        <f t="shared" si="1213"/>
        <v>1</v>
      </c>
      <c r="R6621" s="23">
        <f t="shared" si="1214"/>
        <v>1</v>
      </c>
      <c r="S6621" s="23">
        <f t="shared" si="1215"/>
        <v>0</v>
      </c>
      <c r="T6621" s="23" t="str">
        <f t="shared" si="1216"/>
        <v/>
      </c>
      <c r="U6621" t="str">
        <f t="shared" si="1217"/>
        <v>PA_Merce_2018p~Dem-precinct committeewoman wheatland,(vote for not more than  1)</v>
      </c>
      <c r="V6621" s="40"/>
      <c r="AG6621" s="339"/>
      <c r="AH6621" s="340"/>
      <c r="AI6621" s="353"/>
      <c r="AJ6621" s="357"/>
      <c r="AK6621" s="355"/>
      <c r="AL6621" s="20"/>
      <c r="AT6621" s="20"/>
      <c r="AU6621" s="29"/>
      <c r="AV6621"/>
      <c r="AW6621"/>
    </row>
    <row r="6622" spans="1:49">
      <c r="A6622" s="30" t="s">
        <v>2875</v>
      </c>
      <c r="B6622" s="55" t="str">
        <f t="shared" si="1209"/>
        <v>PA_Merce_2018p</v>
      </c>
      <c r="D6622" s="55" t="str">
        <f t="shared" si="1210"/>
        <v>Dem-precinct committeewoman wilmington,(vote for not more than  1)</v>
      </c>
      <c r="E6622" s="55" t="s">
        <v>2574</v>
      </c>
      <c r="G6622" s="60">
        <v>0</v>
      </c>
      <c r="H6622"/>
      <c r="J6622" s="7"/>
      <c r="K6622" s="2"/>
      <c r="O6622">
        <f t="shared" si="1211"/>
        <v>0</v>
      </c>
      <c r="P6622" s="57">
        <f t="shared" si="1212"/>
        <v>1</v>
      </c>
      <c r="Q6622" s="267">
        <f t="shared" si="1213"/>
        <v>0</v>
      </c>
      <c r="R6622" s="23">
        <f t="shared" si="1214"/>
        <v>1</v>
      </c>
      <c r="S6622" s="23">
        <f t="shared" si="1215"/>
        <v>0</v>
      </c>
      <c r="T6622" s="23" t="str">
        <f t="shared" si="1216"/>
        <v/>
      </c>
      <c r="U6622" t="str">
        <f t="shared" si="1217"/>
        <v>PA_Merce_2018p~Dem-precinct committeewoman wilmington,(vote for not more than  1)</v>
      </c>
      <c r="V6622" s="40"/>
      <c r="AG6622" s="339"/>
      <c r="AH6622" s="340"/>
      <c r="AI6622" s="353"/>
      <c r="AJ6622" s="357"/>
      <c r="AK6622" s="355"/>
      <c r="AL6622" s="20"/>
      <c r="AT6622" s="20"/>
      <c r="AU6622" s="29"/>
      <c r="AV6622"/>
      <c r="AW6622"/>
    </row>
    <row r="6623" spans="1:49">
      <c r="A6623" s="30" t="s">
        <v>2876</v>
      </c>
      <c r="B6623" s="55" t="str">
        <f t="shared" si="1209"/>
        <v>PA_Merce_2018p</v>
      </c>
      <c r="D6623" s="55" t="str">
        <f t="shared" si="1210"/>
        <v>Dem-precinct committeewoman wolf creek,(vote for not more than  1)</v>
      </c>
      <c r="E6623" s="55" t="s">
        <v>2574</v>
      </c>
      <c r="G6623" s="60">
        <v>0</v>
      </c>
      <c r="H6623"/>
      <c r="J6623" s="7"/>
      <c r="K6623" s="2"/>
      <c r="O6623">
        <f t="shared" si="1211"/>
        <v>0</v>
      </c>
      <c r="P6623" s="57">
        <f t="shared" si="1212"/>
        <v>1</v>
      </c>
      <c r="Q6623" s="267">
        <f t="shared" si="1213"/>
        <v>0</v>
      </c>
      <c r="R6623" s="23">
        <f t="shared" si="1214"/>
        <v>1</v>
      </c>
      <c r="S6623" s="23">
        <f t="shared" si="1215"/>
        <v>0</v>
      </c>
      <c r="T6623" s="23" t="str">
        <f t="shared" si="1216"/>
        <v/>
      </c>
      <c r="U6623" t="str">
        <f t="shared" si="1217"/>
        <v>PA_Merce_2018p~Dem-precinct committeewoman wolf creek,(vote for not more than  1)</v>
      </c>
      <c r="V6623" s="40"/>
      <c r="AG6623" s="339"/>
      <c r="AH6623" s="340"/>
      <c r="AI6623" s="353"/>
      <c r="AJ6623" s="357"/>
      <c r="AK6623" s="355"/>
      <c r="AL6623" s="20"/>
      <c r="AT6623" s="20"/>
      <c r="AU6623" s="29"/>
      <c r="AV6623"/>
      <c r="AW6623"/>
    </row>
    <row r="6624" spans="1:49">
      <c r="A6624" s="30" t="s">
        <v>2877</v>
      </c>
      <c r="B6624" s="55" t="str">
        <f t="shared" si="1209"/>
        <v>PA_Merce_2018p</v>
      </c>
      <c r="D6624" s="55" t="str">
        <f t="shared" si="1210"/>
        <v>Dem-precinct committeewoman worth,(vote for not more than  1)</v>
      </c>
      <c r="E6624" s="55" t="s">
        <v>2878</v>
      </c>
      <c r="G6624" s="60">
        <v>33</v>
      </c>
      <c r="H6624"/>
      <c r="J6624" s="7"/>
      <c r="K6624" s="2"/>
      <c r="O6624">
        <f t="shared" si="1211"/>
        <v>1</v>
      </c>
      <c r="P6624" s="57">
        <f t="shared" si="1212"/>
        <v>1</v>
      </c>
      <c r="Q6624" s="267">
        <f t="shared" si="1213"/>
        <v>33</v>
      </c>
      <c r="R6624" s="23">
        <f t="shared" si="1214"/>
        <v>33</v>
      </c>
      <c r="S6624" s="23">
        <f t="shared" si="1215"/>
        <v>0</v>
      </c>
      <c r="T6624" s="23" t="str">
        <f t="shared" si="1216"/>
        <v/>
      </c>
      <c r="U6624" t="str">
        <f t="shared" si="1217"/>
        <v>PA_Merce_2018p~Dem-precinct committeewoman worth,(vote for not more than  1)</v>
      </c>
      <c r="V6624" s="40"/>
      <c r="AG6624" s="339"/>
      <c r="AH6624" s="340"/>
      <c r="AI6624" s="353"/>
      <c r="AJ6624" s="357"/>
      <c r="AK6624" s="355"/>
      <c r="AL6624" s="20"/>
      <c r="AT6624" s="20"/>
      <c r="AU6624" s="29"/>
      <c r="AV6624"/>
      <c r="AW6624"/>
    </row>
    <row r="6625" spans="1:49">
      <c r="A6625" s="30" t="s">
        <v>2877</v>
      </c>
      <c r="B6625" s="55" t="str">
        <f t="shared" si="1209"/>
        <v>PA_Merce_2018p</v>
      </c>
      <c r="D6625" s="55" t="str">
        <f t="shared" si="1210"/>
        <v>Dem-precinct committeewoman worth,(vote for not more than  1)</v>
      </c>
      <c r="E6625" s="55" t="s">
        <v>2574</v>
      </c>
      <c r="G6625" s="60">
        <v>0</v>
      </c>
      <c r="H6625"/>
      <c r="J6625" s="7"/>
      <c r="K6625" s="2"/>
      <c r="O6625">
        <f t="shared" si="1211"/>
        <v>-1</v>
      </c>
      <c r="P6625" s="57">
        <f t="shared" si="1212"/>
        <v>1</v>
      </c>
      <c r="Q6625" s="267">
        <f t="shared" si="1213"/>
        <v>0</v>
      </c>
      <c r="R6625" s="23">
        <f t="shared" si="1214"/>
        <v>1</v>
      </c>
      <c r="S6625" s="23">
        <f t="shared" si="1215"/>
        <v>0</v>
      </c>
      <c r="T6625" s="23" t="str">
        <f t="shared" si="1216"/>
        <v/>
      </c>
      <c r="U6625" t="str">
        <f t="shared" si="1217"/>
        <v/>
      </c>
      <c r="V6625" s="40"/>
      <c r="AG6625" s="339"/>
      <c r="AH6625" s="340"/>
      <c r="AI6625" s="353"/>
      <c r="AJ6625" s="357"/>
      <c r="AK6625" s="355"/>
      <c r="AL6625" s="20"/>
      <c r="AT6625" s="20"/>
      <c r="AU6625" s="29"/>
      <c r="AV6625"/>
      <c r="AW6625"/>
    </row>
    <row r="6626" spans="1:49">
      <c r="A6626" s="30" t="s">
        <v>2879</v>
      </c>
      <c r="B6626" s="55" t="str">
        <f t="shared" si="1209"/>
        <v>PA_Merce_2018p</v>
      </c>
      <c r="D6626" s="55" t="str">
        <f t="shared" si="1210"/>
        <v>Dem-state committee,(vote for not more than  2)</v>
      </c>
      <c r="E6626" s="55" t="s">
        <v>2880</v>
      </c>
      <c r="G6626" s="60">
        <v>4371</v>
      </c>
      <c r="H6626"/>
      <c r="J6626" s="7"/>
      <c r="K6626" s="2"/>
      <c r="O6626">
        <f t="shared" si="1211"/>
        <v>1</v>
      </c>
      <c r="P6626" s="57">
        <f t="shared" si="1212"/>
        <v>2</v>
      </c>
      <c r="Q6626" s="267">
        <f t="shared" si="1213"/>
        <v>4789.5</v>
      </c>
      <c r="R6626" s="23">
        <f t="shared" si="1214"/>
        <v>2922</v>
      </c>
      <c r="S6626" s="23">
        <f t="shared" si="1215"/>
        <v>2249</v>
      </c>
      <c r="T6626" s="23">
        <f t="shared" si="1216"/>
        <v>673</v>
      </c>
      <c r="U6626" t="str">
        <f t="shared" si="1217"/>
        <v>PA_Merce_2018p~Dem-state committee,(vote for not more than  2)</v>
      </c>
      <c r="V6626" s="40"/>
      <c r="AG6626" s="339"/>
      <c r="AH6626" s="340"/>
      <c r="AI6626" s="353"/>
      <c r="AJ6626" s="357"/>
      <c r="AK6626" s="355"/>
      <c r="AL6626" s="20"/>
      <c r="AT6626" s="20"/>
      <c r="AU6626" s="29"/>
      <c r="AV6626"/>
      <c r="AW6626"/>
    </row>
    <row r="6627" spans="1:49">
      <c r="A6627" s="30" t="s">
        <v>2879</v>
      </c>
      <c r="B6627" s="55" t="str">
        <f t="shared" si="1209"/>
        <v>PA_Merce_2018p</v>
      </c>
      <c r="D6627" s="55" t="str">
        <f t="shared" si="1210"/>
        <v>Dem-state committee,(vote for not more than  2)</v>
      </c>
      <c r="E6627" s="55" t="s">
        <v>2799</v>
      </c>
      <c r="G6627" s="60">
        <v>2922</v>
      </c>
      <c r="H6627"/>
      <c r="J6627" s="7"/>
      <c r="K6627" s="2"/>
      <c r="O6627">
        <f t="shared" si="1211"/>
        <v>2</v>
      </c>
      <c r="P6627" s="57">
        <f t="shared" si="1212"/>
        <v>2</v>
      </c>
      <c r="Q6627" s="267">
        <f t="shared" si="1213"/>
        <v>5208</v>
      </c>
      <c r="R6627" s="23">
        <f t="shared" si="1214"/>
        <v>2922</v>
      </c>
      <c r="S6627" s="23">
        <f t="shared" si="1215"/>
        <v>2249</v>
      </c>
      <c r="T6627" s="23" t="str">
        <f t="shared" si="1216"/>
        <v/>
      </c>
      <c r="U6627" t="str">
        <f t="shared" si="1217"/>
        <v/>
      </c>
      <c r="V6627" s="40"/>
      <c r="AG6627" s="339"/>
      <c r="AH6627" s="340"/>
      <c r="AI6627" s="353"/>
      <c r="AJ6627" s="357"/>
      <c r="AK6627" s="355"/>
      <c r="AL6627" s="20"/>
      <c r="AT6627" s="20"/>
      <c r="AU6627" s="29"/>
      <c r="AV6627"/>
      <c r="AW6627"/>
    </row>
    <row r="6628" spans="1:49">
      <c r="A6628" s="30" t="s">
        <v>2879</v>
      </c>
      <c r="B6628" s="55" t="str">
        <f t="shared" si="1209"/>
        <v>PA_Merce_2018p</v>
      </c>
      <c r="D6628" s="55" t="str">
        <f t="shared" si="1210"/>
        <v>Dem-state committee,(vote for not more than  2)</v>
      </c>
      <c r="E6628" s="55" t="s">
        <v>2838</v>
      </c>
      <c r="G6628" s="60">
        <v>2249</v>
      </c>
      <c r="H6628"/>
      <c r="J6628" s="7"/>
      <c r="K6628" s="2"/>
      <c r="O6628">
        <f t="shared" si="1211"/>
        <v>3</v>
      </c>
      <c r="P6628" s="57">
        <f t="shared" si="1212"/>
        <v>2</v>
      </c>
      <c r="Q6628" s="267">
        <f t="shared" si="1213"/>
        <v>2286</v>
      </c>
      <c r="R6628" s="23" t="str">
        <f t="shared" si="1214"/>
        <v/>
      </c>
      <c r="S6628" s="23">
        <f t="shared" si="1215"/>
        <v>2249</v>
      </c>
      <c r="T6628" s="23" t="str">
        <f t="shared" si="1216"/>
        <v/>
      </c>
      <c r="U6628" t="str">
        <f t="shared" si="1217"/>
        <v/>
      </c>
      <c r="V6628" s="40"/>
      <c r="AG6628" s="339"/>
      <c r="AH6628" s="340"/>
      <c r="AI6628" s="353"/>
      <c r="AJ6628" s="357"/>
      <c r="AK6628" s="355"/>
      <c r="AL6628" s="20"/>
      <c r="AT6628" s="20"/>
      <c r="AU6628" s="29"/>
      <c r="AV6628"/>
      <c r="AW6628"/>
    </row>
    <row r="6629" spans="1:49">
      <c r="A6629" s="30" t="s">
        <v>2879</v>
      </c>
      <c r="B6629" s="55" t="str">
        <f t="shared" si="1209"/>
        <v>PA_Merce_2018p</v>
      </c>
      <c r="D6629" s="55" t="str">
        <f t="shared" si="1210"/>
        <v>Dem-state committee,(vote for not more than  2)</v>
      </c>
      <c r="E6629" s="55" t="s">
        <v>2574</v>
      </c>
      <c r="G6629" s="60">
        <v>37</v>
      </c>
      <c r="H6629"/>
      <c r="J6629" s="7"/>
      <c r="K6629" s="2"/>
      <c r="O6629">
        <f t="shared" si="1211"/>
        <v>-3</v>
      </c>
      <c r="P6629" s="57">
        <f t="shared" si="1212"/>
        <v>2</v>
      </c>
      <c r="Q6629" s="267">
        <f t="shared" si="1213"/>
        <v>37</v>
      </c>
      <c r="R6629" s="23">
        <f t="shared" si="1214"/>
        <v>1</v>
      </c>
      <c r="S6629" s="23">
        <f t="shared" si="1215"/>
        <v>0</v>
      </c>
      <c r="T6629" s="23" t="str">
        <f t="shared" si="1216"/>
        <v/>
      </c>
      <c r="U6629" t="str">
        <f t="shared" si="1217"/>
        <v/>
      </c>
      <c r="V6629" s="40"/>
      <c r="AG6629" s="339"/>
      <c r="AH6629" s="340"/>
      <c r="AI6629" s="353"/>
      <c r="AJ6629" s="357"/>
      <c r="AK6629" s="355"/>
      <c r="AL6629" s="20"/>
      <c r="AT6629" s="20"/>
      <c r="AU6629" s="29"/>
      <c r="AV6629"/>
      <c r="AW6629"/>
    </row>
    <row r="6630" spans="1:49">
      <c r="A6630" s="30" t="s">
        <v>2881</v>
      </c>
      <c r="B6630" s="55" t="str">
        <f t="shared" si="1209"/>
        <v>PA_Merce_2018p</v>
      </c>
      <c r="D6630" s="55" t="str">
        <f t="shared" si="1210"/>
        <v>Dem-state rep, 17th district,(vote for not more than  1)</v>
      </c>
      <c r="E6630" s="55" t="s">
        <v>2574</v>
      </c>
      <c r="G6630" s="60">
        <v>18</v>
      </c>
      <c r="H6630"/>
      <c r="J6630" s="7"/>
      <c r="K6630" s="2"/>
      <c r="O6630">
        <f t="shared" si="1211"/>
        <v>0</v>
      </c>
      <c r="P6630" s="57">
        <f t="shared" si="1212"/>
        <v>1</v>
      </c>
      <c r="Q6630" s="267">
        <f t="shared" si="1213"/>
        <v>18</v>
      </c>
      <c r="R6630" s="23">
        <f t="shared" si="1214"/>
        <v>1</v>
      </c>
      <c r="S6630" s="23">
        <f t="shared" si="1215"/>
        <v>0</v>
      </c>
      <c r="T6630" s="23" t="str">
        <f t="shared" si="1216"/>
        <v/>
      </c>
      <c r="U6630" t="str">
        <f t="shared" si="1217"/>
        <v>PA_Merce_2018p~Dem-state rep, 17th district,(vote for not more than  1)</v>
      </c>
      <c r="V6630" s="40"/>
      <c r="AG6630" s="339"/>
      <c r="AH6630" s="340"/>
      <c r="AI6630" s="353"/>
      <c r="AJ6630" s="357"/>
      <c r="AK6630" s="355"/>
      <c r="AL6630" s="20"/>
      <c r="AT6630" s="20"/>
      <c r="AU6630" s="29"/>
      <c r="AV6630"/>
      <c r="AW6630"/>
    </row>
    <row r="6631" spans="1:49">
      <c r="A6631" s="30" t="s">
        <v>2882</v>
      </c>
      <c r="B6631" s="55" t="str">
        <f t="shared" si="1209"/>
        <v>PA_Merce_2018p</v>
      </c>
      <c r="D6631" s="55" t="str">
        <f t="shared" si="1210"/>
        <v>Dem-state rep, 7th district,(vote for not more than  1)</v>
      </c>
      <c r="E6631" s="55" t="s">
        <v>2883</v>
      </c>
      <c r="G6631" s="60">
        <v>4152</v>
      </c>
      <c r="H6631"/>
      <c r="J6631" s="7"/>
      <c r="K6631" s="2"/>
      <c r="O6631">
        <f t="shared" si="1211"/>
        <v>1</v>
      </c>
      <c r="P6631" s="57">
        <f t="shared" si="1212"/>
        <v>1</v>
      </c>
      <c r="Q6631" s="267">
        <f t="shared" si="1213"/>
        <v>4170</v>
      </c>
      <c r="R6631" s="23">
        <f t="shared" si="1214"/>
        <v>4152</v>
      </c>
      <c r="S6631" s="23">
        <f t="shared" si="1215"/>
        <v>0</v>
      </c>
      <c r="T6631" s="23" t="str">
        <f t="shared" si="1216"/>
        <v/>
      </c>
      <c r="U6631" t="str">
        <f t="shared" si="1217"/>
        <v>PA_Merce_2018p~Dem-state rep, 7th district,(vote for not more than  1)</v>
      </c>
      <c r="V6631" s="40"/>
      <c r="AG6631" s="339"/>
      <c r="AH6631" s="340"/>
      <c r="AI6631" s="353"/>
      <c r="AJ6631" s="357"/>
      <c r="AK6631" s="355"/>
      <c r="AL6631" s="20"/>
      <c r="AT6631" s="20"/>
      <c r="AU6631" s="29"/>
      <c r="AV6631"/>
      <c r="AW6631"/>
    </row>
    <row r="6632" spans="1:49">
      <c r="A6632" s="30" t="s">
        <v>2882</v>
      </c>
      <c r="B6632" s="55" t="str">
        <f t="shared" ref="B6632:B6695" si="1218">LEFT(A6632,14)</f>
        <v>PA_Merce_2018p</v>
      </c>
      <c r="D6632" s="55" t="str">
        <f t="shared" ref="D6632:D6695" si="1219">MID(A6632,16,99)</f>
        <v>Dem-state rep, 7th district,(vote for not more than  1)</v>
      </c>
      <c r="E6632" s="55" t="s">
        <v>2574</v>
      </c>
      <c r="G6632" s="60">
        <v>18</v>
      </c>
      <c r="H6632"/>
      <c r="J6632" s="7"/>
      <c r="K6632" s="2"/>
      <c r="O6632">
        <f t="shared" si="1211"/>
        <v>-1</v>
      </c>
      <c r="P6632" s="57">
        <f t="shared" si="1212"/>
        <v>1</v>
      </c>
      <c r="Q6632" s="267">
        <f t="shared" si="1213"/>
        <v>18</v>
      </c>
      <c r="R6632" s="23">
        <f t="shared" si="1214"/>
        <v>1</v>
      </c>
      <c r="S6632" s="23">
        <f t="shared" si="1215"/>
        <v>0</v>
      </c>
      <c r="T6632" s="23" t="str">
        <f t="shared" si="1216"/>
        <v/>
      </c>
      <c r="U6632" t="str">
        <f t="shared" si="1217"/>
        <v/>
      </c>
      <c r="V6632" s="40"/>
      <c r="AG6632" s="339"/>
      <c r="AH6632" s="340"/>
      <c r="AI6632" s="353"/>
      <c r="AJ6632" s="357"/>
      <c r="AK6632" s="355"/>
      <c r="AL6632" s="20"/>
      <c r="AT6632" s="20"/>
      <c r="AU6632" s="29"/>
      <c r="AV6632"/>
      <c r="AW6632"/>
    </row>
    <row r="6633" spans="1:49">
      <c r="A6633" s="30" t="s">
        <v>2884</v>
      </c>
      <c r="B6633" s="55" t="str">
        <f t="shared" si="1218"/>
        <v>PA_Merce_2018p</v>
      </c>
      <c r="D6633" s="55" t="str">
        <f t="shared" si="1219"/>
        <v>Dem-state rep, 8th district,(vote for not more than  1)</v>
      </c>
      <c r="E6633" s="55" t="s">
        <v>2878</v>
      </c>
      <c r="G6633" s="60">
        <v>1121</v>
      </c>
      <c r="H6633"/>
      <c r="J6633" s="7"/>
      <c r="K6633" s="2"/>
      <c r="O6633">
        <f t="shared" si="1211"/>
        <v>1</v>
      </c>
      <c r="P6633" s="57">
        <f t="shared" si="1212"/>
        <v>1</v>
      </c>
      <c r="Q6633" s="267">
        <f t="shared" si="1213"/>
        <v>1131</v>
      </c>
      <c r="R6633" s="23">
        <f t="shared" si="1214"/>
        <v>1121</v>
      </c>
      <c r="S6633" s="23">
        <f t="shared" si="1215"/>
        <v>0</v>
      </c>
      <c r="T6633" s="23" t="str">
        <f t="shared" si="1216"/>
        <v/>
      </c>
      <c r="U6633" t="str">
        <f t="shared" si="1217"/>
        <v>PA_Merce_2018p~Dem-state rep, 8th district,(vote for not more than  1)</v>
      </c>
      <c r="V6633" s="40"/>
      <c r="AG6633" s="339"/>
      <c r="AH6633" s="340"/>
      <c r="AI6633" s="353"/>
      <c r="AJ6633" s="357"/>
      <c r="AK6633" s="355"/>
      <c r="AL6633" s="20"/>
      <c r="AT6633" s="20"/>
      <c r="AU6633" s="29"/>
      <c r="AV6633"/>
      <c r="AW6633"/>
    </row>
    <row r="6634" spans="1:49">
      <c r="A6634" s="30" t="s">
        <v>2884</v>
      </c>
      <c r="B6634" s="55" t="str">
        <f t="shared" si="1218"/>
        <v>PA_Merce_2018p</v>
      </c>
      <c r="D6634" s="55" t="str">
        <f t="shared" si="1219"/>
        <v>Dem-state rep, 8th district,(vote for not more than  1)</v>
      </c>
      <c r="E6634" s="55" t="s">
        <v>2574</v>
      </c>
      <c r="G6634" s="60">
        <v>10</v>
      </c>
      <c r="H6634"/>
      <c r="J6634" s="7"/>
      <c r="K6634" s="2"/>
      <c r="O6634">
        <f t="shared" si="1211"/>
        <v>-1</v>
      </c>
      <c r="P6634" s="57">
        <f t="shared" si="1212"/>
        <v>1</v>
      </c>
      <c r="Q6634" s="267">
        <f t="shared" si="1213"/>
        <v>10</v>
      </c>
      <c r="R6634" s="23">
        <f t="shared" si="1214"/>
        <v>1</v>
      </c>
      <c r="S6634" s="23">
        <f t="shared" si="1215"/>
        <v>0</v>
      </c>
      <c r="T6634" s="23" t="str">
        <f t="shared" si="1216"/>
        <v/>
      </c>
      <c r="U6634" t="str">
        <f t="shared" si="1217"/>
        <v/>
      </c>
      <c r="V6634" s="40"/>
      <c r="AG6634" s="339"/>
      <c r="AH6634" s="340"/>
      <c r="AI6634" s="353"/>
      <c r="AJ6634" s="357"/>
      <c r="AK6634" s="355"/>
      <c r="AL6634" s="20"/>
      <c r="AT6634" s="20"/>
      <c r="AU6634" s="29"/>
      <c r="AV6634"/>
      <c r="AW6634"/>
    </row>
    <row r="6635" spans="1:49">
      <c r="A6635" s="30" t="s">
        <v>2885</v>
      </c>
      <c r="B6635" s="55" t="str">
        <f t="shared" si="1218"/>
        <v>PA_Merce_2018p</v>
      </c>
      <c r="D6635" s="55" t="str">
        <f t="shared" si="1219"/>
        <v>Dem-state sen, 50th district,(vote for not more than  1)</v>
      </c>
      <c r="E6635" s="55" t="s">
        <v>2886</v>
      </c>
      <c r="G6635" s="60">
        <v>5281</v>
      </c>
      <c r="H6635"/>
      <c r="J6635" s="7"/>
      <c r="K6635" s="2"/>
      <c r="O6635">
        <f t="shared" si="1211"/>
        <v>1</v>
      </c>
      <c r="P6635" s="57">
        <f t="shared" si="1212"/>
        <v>1</v>
      </c>
      <c r="Q6635" s="267">
        <f t="shared" si="1213"/>
        <v>5325</v>
      </c>
      <c r="R6635" s="23">
        <f t="shared" si="1214"/>
        <v>5281</v>
      </c>
      <c r="S6635" s="23">
        <f t="shared" si="1215"/>
        <v>0</v>
      </c>
      <c r="T6635" s="23" t="str">
        <f t="shared" si="1216"/>
        <v/>
      </c>
      <c r="U6635" t="str">
        <f t="shared" si="1217"/>
        <v>PA_Merce_2018p~Dem-state sen, 50th district,(vote for not more than  1)</v>
      </c>
      <c r="V6635" s="40"/>
      <c r="AG6635" s="339"/>
      <c r="AH6635" s="340"/>
      <c r="AI6635" s="353"/>
      <c r="AJ6635" s="357"/>
      <c r="AK6635" s="355"/>
      <c r="AL6635" s="20"/>
      <c r="AT6635" s="20"/>
      <c r="AU6635" s="29"/>
      <c r="AV6635"/>
      <c r="AW6635"/>
    </row>
    <row r="6636" spans="1:49">
      <c r="A6636" s="30" t="s">
        <v>2885</v>
      </c>
      <c r="B6636" s="55" t="str">
        <f t="shared" si="1218"/>
        <v>PA_Merce_2018p</v>
      </c>
      <c r="D6636" s="55" t="str">
        <f t="shared" si="1219"/>
        <v>Dem-state sen, 50th district,(vote for not more than  1)</v>
      </c>
      <c r="E6636" s="55" t="s">
        <v>2574</v>
      </c>
      <c r="G6636" s="60">
        <v>44</v>
      </c>
      <c r="H6636"/>
      <c r="J6636" s="7"/>
      <c r="K6636" s="2"/>
      <c r="O6636">
        <f t="shared" si="1211"/>
        <v>-1</v>
      </c>
      <c r="P6636" s="57">
        <f t="shared" si="1212"/>
        <v>1</v>
      </c>
      <c r="Q6636" s="267">
        <f t="shared" si="1213"/>
        <v>44</v>
      </c>
      <c r="R6636" s="23">
        <f t="shared" si="1214"/>
        <v>1</v>
      </c>
      <c r="S6636" s="23">
        <f t="shared" si="1215"/>
        <v>0</v>
      </c>
      <c r="T6636" s="23" t="str">
        <f t="shared" si="1216"/>
        <v/>
      </c>
      <c r="U6636" t="str">
        <f t="shared" si="1217"/>
        <v/>
      </c>
      <c r="V6636" s="40"/>
      <c r="AG6636" s="339"/>
      <c r="AH6636" s="340"/>
      <c r="AI6636" s="353"/>
      <c r="AJ6636" s="357"/>
      <c r="AK6636" s="355"/>
      <c r="AL6636" s="20"/>
      <c r="AT6636" s="20"/>
      <c r="AU6636" s="29"/>
      <c r="AV6636"/>
      <c r="AW6636"/>
    </row>
    <row r="6637" spans="1:49">
      <c r="A6637" s="30" t="s">
        <v>2887</v>
      </c>
      <c r="B6637" s="55" t="str">
        <f t="shared" si="1218"/>
        <v>PA_Merce_2018p</v>
      </c>
      <c r="D6637" s="55" t="str">
        <f t="shared" si="1219"/>
        <v>Dem-u.s. rep, 16th district,(vote for not more than  1)</v>
      </c>
      <c r="E6637" s="55" t="s">
        <v>2888</v>
      </c>
      <c r="G6637" s="60">
        <v>3386</v>
      </c>
      <c r="H6637"/>
      <c r="J6637" s="7"/>
      <c r="K6637" s="2"/>
      <c r="O6637">
        <f t="shared" si="1211"/>
        <v>1</v>
      </c>
      <c r="P6637" s="57">
        <f t="shared" si="1212"/>
        <v>1</v>
      </c>
      <c r="Q6637" s="267">
        <f t="shared" si="1213"/>
        <v>5983</v>
      </c>
      <c r="R6637" s="23">
        <f t="shared" si="1214"/>
        <v>3386</v>
      </c>
      <c r="S6637" s="23">
        <f t="shared" si="1215"/>
        <v>1326</v>
      </c>
      <c r="T6637" s="23">
        <f t="shared" si="1216"/>
        <v>2060</v>
      </c>
      <c r="U6637" t="str">
        <f t="shared" si="1217"/>
        <v>PA_Merce_2018p~Dem-u.s. rep, 16th district,(vote for not more than  1)</v>
      </c>
      <c r="V6637" s="40"/>
      <c r="AG6637" s="339"/>
      <c r="AH6637" s="340"/>
      <c r="AI6637" s="353"/>
      <c r="AJ6637" s="357"/>
      <c r="AK6637" s="355"/>
      <c r="AL6637" s="20"/>
      <c r="AT6637" s="20"/>
      <c r="AU6637" s="29"/>
      <c r="AV6637"/>
      <c r="AW6637"/>
    </row>
    <row r="6638" spans="1:49">
      <c r="A6638" s="30" t="s">
        <v>2887</v>
      </c>
      <c r="B6638" s="55" t="str">
        <f t="shared" si="1218"/>
        <v>PA_Merce_2018p</v>
      </c>
      <c r="D6638" s="55" t="str">
        <f t="shared" si="1219"/>
        <v>Dem-u.s. rep, 16th district,(vote for not more than  1)</v>
      </c>
      <c r="E6638" s="55" t="s">
        <v>2889</v>
      </c>
      <c r="G6638" s="60">
        <v>1326</v>
      </c>
      <c r="H6638"/>
      <c r="J6638" s="7"/>
      <c r="K6638" s="2"/>
      <c r="O6638">
        <f t="shared" si="1211"/>
        <v>2</v>
      </c>
      <c r="P6638" s="57">
        <f t="shared" si="1212"/>
        <v>1</v>
      </c>
      <c r="Q6638" s="267">
        <f t="shared" si="1213"/>
        <v>2597</v>
      </c>
      <c r="R6638" s="23" t="str">
        <f t="shared" si="1214"/>
        <v/>
      </c>
      <c r="S6638" s="23">
        <f t="shared" si="1215"/>
        <v>1326</v>
      </c>
      <c r="T6638" s="23" t="str">
        <f t="shared" si="1216"/>
        <v/>
      </c>
      <c r="U6638" t="str">
        <f t="shared" si="1217"/>
        <v/>
      </c>
      <c r="V6638" s="40"/>
      <c r="AG6638" s="339"/>
      <c r="AH6638" s="340"/>
      <c r="AI6638" s="353"/>
      <c r="AJ6638" s="357"/>
      <c r="AK6638" s="355"/>
      <c r="AL6638" s="20"/>
      <c r="AT6638" s="20"/>
      <c r="AU6638" s="29"/>
      <c r="AV6638"/>
      <c r="AW6638"/>
    </row>
    <row r="6639" spans="1:49">
      <c r="A6639" s="30" t="s">
        <v>2887</v>
      </c>
      <c r="B6639" s="55" t="str">
        <f t="shared" si="1218"/>
        <v>PA_Merce_2018p</v>
      </c>
      <c r="D6639" s="55" t="str">
        <f t="shared" si="1219"/>
        <v>Dem-u.s. rep, 16th district,(vote for not more than  1)</v>
      </c>
      <c r="E6639" s="55" t="s">
        <v>2890</v>
      </c>
      <c r="G6639" s="60">
        <v>1246</v>
      </c>
      <c r="H6639"/>
      <c r="J6639" s="7"/>
      <c r="K6639" s="2"/>
      <c r="O6639">
        <f t="shared" si="1211"/>
        <v>3</v>
      </c>
      <c r="P6639" s="57">
        <f t="shared" si="1212"/>
        <v>1</v>
      </c>
      <c r="Q6639" s="267">
        <f t="shared" si="1213"/>
        <v>1271</v>
      </c>
      <c r="R6639" s="23" t="str">
        <f t="shared" si="1214"/>
        <v/>
      </c>
      <c r="S6639" s="23">
        <f t="shared" si="1215"/>
        <v>1246</v>
      </c>
      <c r="T6639" s="23" t="str">
        <f t="shared" si="1216"/>
        <v/>
      </c>
      <c r="U6639" t="str">
        <f t="shared" si="1217"/>
        <v/>
      </c>
      <c r="V6639" s="40"/>
      <c r="AG6639" s="339"/>
      <c r="AH6639" s="340"/>
      <c r="AI6639" s="353"/>
      <c r="AJ6639" s="357"/>
      <c r="AK6639" s="355"/>
      <c r="AL6639" s="20"/>
      <c r="AT6639" s="20"/>
      <c r="AU6639" s="29"/>
      <c r="AV6639"/>
      <c r="AW6639"/>
    </row>
    <row r="6640" spans="1:49">
      <c r="A6640" s="30" t="s">
        <v>2887</v>
      </c>
      <c r="B6640" s="55" t="str">
        <f t="shared" si="1218"/>
        <v>PA_Merce_2018p</v>
      </c>
      <c r="D6640" s="55" t="str">
        <f t="shared" si="1219"/>
        <v>Dem-u.s. rep, 16th district,(vote for not more than  1)</v>
      </c>
      <c r="E6640" s="55" t="s">
        <v>2574</v>
      </c>
      <c r="G6640" s="60">
        <v>25</v>
      </c>
      <c r="H6640"/>
      <c r="J6640" s="7"/>
      <c r="K6640" s="2"/>
      <c r="O6640">
        <f t="shared" si="1211"/>
        <v>-3</v>
      </c>
      <c r="P6640" s="57">
        <f t="shared" si="1212"/>
        <v>1</v>
      </c>
      <c r="Q6640" s="267">
        <f t="shared" si="1213"/>
        <v>25</v>
      </c>
      <c r="R6640" s="23">
        <f t="shared" si="1214"/>
        <v>1</v>
      </c>
      <c r="S6640" s="23">
        <f t="shared" si="1215"/>
        <v>0</v>
      </c>
      <c r="T6640" s="23" t="str">
        <f t="shared" si="1216"/>
        <v/>
      </c>
      <c r="U6640" t="str">
        <f t="shared" si="1217"/>
        <v/>
      </c>
      <c r="V6640" s="40"/>
      <c r="AG6640" s="339"/>
      <c r="AH6640" s="340"/>
      <c r="AI6640" s="353"/>
      <c r="AJ6640" s="357"/>
      <c r="AK6640" s="355"/>
      <c r="AL6640" s="20"/>
      <c r="AT6640" s="20"/>
      <c r="AU6640" s="29"/>
      <c r="AV6640"/>
      <c r="AW6640"/>
    </row>
    <row r="6641" spans="1:49">
      <c r="A6641" s="30" t="s">
        <v>2891</v>
      </c>
      <c r="B6641" s="55" t="str">
        <f t="shared" si="1218"/>
        <v>PA_Merce_2018p</v>
      </c>
      <c r="D6641" s="55" t="str">
        <f t="shared" si="1219"/>
        <v>Dem-united states senator,(vote for not more than  1)</v>
      </c>
      <c r="E6641" s="55" t="s">
        <v>2892</v>
      </c>
      <c r="G6641" s="60">
        <v>5322</v>
      </c>
      <c r="H6641"/>
      <c r="J6641" s="7"/>
      <c r="K6641" s="2"/>
      <c r="O6641">
        <f t="shared" si="1211"/>
        <v>1</v>
      </c>
      <c r="P6641" s="57">
        <f t="shared" si="1212"/>
        <v>1</v>
      </c>
      <c r="Q6641" s="267">
        <f t="shared" si="1213"/>
        <v>5377</v>
      </c>
      <c r="R6641" s="23">
        <f t="shared" si="1214"/>
        <v>5322</v>
      </c>
      <c r="S6641" s="23">
        <f t="shared" si="1215"/>
        <v>0</v>
      </c>
      <c r="T6641" s="23" t="str">
        <f t="shared" si="1216"/>
        <v/>
      </c>
      <c r="U6641" t="str">
        <f t="shared" si="1217"/>
        <v>PA_Merce_2018p~Dem-united states senator,(vote for not more than  1)</v>
      </c>
      <c r="V6641" s="40"/>
      <c r="AG6641" s="339"/>
      <c r="AH6641" s="340"/>
      <c r="AI6641" s="353"/>
      <c r="AJ6641" s="357"/>
      <c r="AK6641" s="355"/>
      <c r="AL6641" s="20"/>
      <c r="AT6641" s="20"/>
      <c r="AU6641" s="29"/>
      <c r="AV6641"/>
      <c r="AW6641"/>
    </row>
    <row r="6642" spans="1:49">
      <c r="A6642" s="30" t="s">
        <v>2891</v>
      </c>
      <c r="B6642" s="55" t="str">
        <f t="shared" si="1218"/>
        <v>PA_Merce_2018p</v>
      </c>
      <c r="D6642" s="55" t="str">
        <f t="shared" si="1219"/>
        <v>Dem-united states senator,(vote for not more than  1)</v>
      </c>
      <c r="E6642" s="55" t="s">
        <v>2574</v>
      </c>
      <c r="G6642" s="60">
        <v>55</v>
      </c>
      <c r="H6642"/>
      <c r="J6642" s="7"/>
      <c r="K6642" s="2"/>
      <c r="O6642">
        <f t="shared" si="1211"/>
        <v>-1</v>
      </c>
      <c r="P6642" s="57">
        <f t="shared" si="1212"/>
        <v>1</v>
      </c>
      <c r="Q6642" s="267">
        <f t="shared" si="1213"/>
        <v>55</v>
      </c>
      <c r="R6642" s="23">
        <f t="shared" si="1214"/>
        <v>1</v>
      </c>
      <c r="S6642" s="23">
        <f t="shared" si="1215"/>
        <v>0</v>
      </c>
      <c r="T6642" s="23" t="str">
        <f t="shared" si="1216"/>
        <v/>
      </c>
      <c r="U6642" t="str">
        <f t="shared" si="1217"/>
        <v/>
      </c>
      <c r="V6642" s="40"/>
      <c r="AG6642" s="339"/>
      <c r="AH6642" s="340"/>
      <c r="AI6642" s="353"/>
      <c r="AJ6642" s="357"/>
      <c r="AK6642" s="355"/>
      <c r="AL6642" s="20"/>
      <c r="AT6642" s="20"/>
      <c r="AU6642" s="29"/>
      <c r="AV6642"/>
      <c r="AW6642"/>
    </row>
    <row r="6643" spans="1:49">
      <c r="A6643" s="30" t="s">
        <v>2893</v>
      </c>
      <c r="B6643" s="55" t="str">
        <f t="shared" si="1218"/>
        <v>PA_Merce_2018p</v>
      </c>
      <c r="D6643" s="55" t="str">
        <f t="shared" si="1219"/>
        <v>Non-government study commission referendum,(vote for not more than  1)</v>
      </c>
      <c r="E6643" s="55" t="s">
        <v>2567</v>
      </c>
      <c r="G6643" s="60">
        <v>460</v>
      </c>
      <c r="H6643"/>
      <c r="J6643" s="7"/>
      <c r="K6643" s="2"/>
      <c r="O6643">
        <f t="shared" si="1211"/>
        <v>1</v>
      </c>
      <c r="P6643" s="57">
        <f t="shared" si="1212"/>
        <v>1</v>
      </c>
      <c r="Q6643" s="267">
        <f t="shared" si="1213"/>
        <v>600</v>
      </c>
      <c r="R6643" s="23">
        <f t="shared" si="1214"/>
        <v>460</v>
      </c>
      <c r="S6643" s="23">
        <f t="shared" si="1215"/>
        <v>140</v>
      </c>
      <c r="T6643" s="23">
        <f t="shared" si="1216"/>
        <v>320</v>
      </c>
      <c r="U6643" t="str">
        <f t="shared" si="1217"/>
        <v>PA_Merce_2018p~Non-government study commission referendum,(vote for not more than  1)</v>
      </c>
      <c r="V6643" s="40"/>
      <c r="AG6643" s="339"/>
      <c r="AH6643" s="340"/>
      <c r="AI6643" s="353"/>
      <c r="AJ6643" s="357"/>
      <c r="AK6643" s="355"/>
      <c r="AL6643" s="20"/>
      <c r="AT6643" s="20"/>
      <c r="AU6643" s="29"/>
      <c r="AV6643"/>
      <c r="AW6643"/>
    </row>
    <row r="6644" spans="1:49">
      <c r="A6644" s="30" t="s">
        <v>2893</v>
      </c>
      <c r="B6644" s="55" t="str">
        <f t="shared" si="1218"/>
        <v>PA_Merce_2018p</v>
      </c>
      <c r="D6644" s="55" t="str">
        <f t="shared" si="1219"/>
        <v>Non-government study commission referendum,(vote for not more than  1)</v>
      </c>
      <c r="E6644" s="55" t="s">
        <v>2568</v>
      </c>
      <c r="G6644" s="60">
        <v>140</v>
      </c>
      <c r="H6644"/>
      <c r="J6644" s="7"/>
      <c r="K6644" s="2"/>
      <c r="O6644">
        <f t="shared" si="1211"/>
        <v>2</v>
      </c>
      <c r="P6644" s="57">
        <f t="shared" si="1212"/>
        <v>1</v>
      </c>
      <c r="Q6644" s="267">
        <f t="shared" si="1213"/>
        <v>140</v>
      </c>
      <c r="R6644" s="23" t="str">
        <f t="shared" si="1214"/>
        <v/>
      </c>
      <c r="S6644" s="23">
        <f t="shared" si="1215"/>
        <v>140</v>
      </c>
      <c r="T6644" s="23" t="str">
        <f t="shared" si="1216"/>
        <v/>
      </c>
      <c r="U6644" t="str">
        <f t="shared" si="1217"/>
        <v/>
      </c>
      <c r="V6644" s="40"/>
      <c r="AG6644" s="339"/>
      <c r="AH6644" s="340"/>
      <c r="AI6644" s="353"/>
      <c r="AJ6644" s="357"/>
      <c r="AK6644" s="355"/>
      <c r="AL6644" s="20"/>
      <c r="AT6644" s="20"/>
      <c r="AU6644" s="29"/>
      <c r="AV6644"/>
      <c r="AW6644"/>
    </row>
    <row r="6645" spans="1:49">
      <c r="A6645" s="30" t="s">
        <v>2894</v>
      </c>
      <c r="B6645" s="55" t="str">
        <f t="shared" si="1218"/>
        <v>PA_Merce_2018p</v>
      </c>
      <c r="D6645" s="55" t="str">
        <f t="shared" si="1219"/>
        <v>Non-government study commissioner,(vote for not more than  7)</v>
      </c>
      <c r="E6645" s="55" t="s">
        <v>2895</v>
      </c>
      <c r="G6645" s="60">
        <v>426</v>
      </c>
      <c r="H6645"/>
      <c r="J6645" s="7"/>
      <c r="K6645" s="2"/>
      <c r="O6645">
        <f t="shared" si="1211"/>
        <v>1</v>
      </c>
      <c r="P6645" s="57">
        <f t="shared" si="1212"/>
        <v>7</v>
      </c>
      <c r="Q6645" s="267">
        <f t="shared" si="1213"/>
        <v>482.42857142857144</v>
      </c>
      <c r="R6645" s="23">
        <f t="shared" si="1214"/>
        <v>264</v>
      </c>
      <c r="S6645" s="23">
        <f t="shared" si="1215"/>
        <v>261</v>
      </c>
      <c r="T6645" s="23">
        <f t="shared" si="1216"/>
        <v>3</v>
      </c>
      <c r="U6645" t="str">
        <f t="shared" si="1217"/>
        <v>PA_Merce_2018p~Non-government study commissioner,(vote for not more than  7)</v>
      </c>
      <c r="V6645" s="40"/>
      <c r="AG6645" s="339"/>
      <c r="AH6645" s="340"/>
      <c r="AI6645" s="353"/>
      <c r="AJ6645" s="357"/>
      <c r="AK6645" s="355"/>
      <c r="AL6645" s="20"/>
      <c r="AT6645" s="20"/>
      <c r="AU6645" s="29"/>
      <c r="AV6645"/>
      <c r="AW6645"/>
    </row>
    <row r="6646" spans="1:49">
      <c r="A6646" s="30" t="s">
        <v>2894</v>
      </c>
      <c r="B6646" s="55" t="str">
        <f t="shared" si="1218"/>
        <v>PA_Merce_2018p</v>
      </c>
      <c r="D6646" s="55" t="str">
        <f t="shared" si="1219"/>
        <v>Non-government study commissioner,(vote for not more than  7)</v>
      </c>
      <c r="E6646" s="55" t="s">
        <v>2896</v>
      </c>
      <c r="G6646" s="60">
        <v>400</v>
      </c>
      <c r="H6646"/>
      <c r="J6646" s="7"/>
      <c r="K6646" s="2"/>
      <c r="O6646">
        <f t="shared" si="1211"/>
        <v>2</v>
      </c>
      <c r="P6646" s="57">
        <f t="shared" si="1212"/>
        <v>7</v>
      </c>
      <c r="Q6646" s="267">
        <f t="shared" si="1213"/>
        <v>2951</v>
      </c>
      <c r="R6646" s="23">
        <f t="shared" si="1214"/>
        <v>264</v>
      </c>
      <c r="S6646" s="23">
        <f t="shared" si="1215"/>
        <v>261</v>
      </c>
      <c r="T6646" s="23" t="str">
        <f t="shared" si="1216"/>
        <v/>
      </c>
      <c r="U6646" t="str">
        <f t="shared" si="1217"/>
        <v/>
      </c>
      <c r="V6646" s="40"/>
      <c r="AG6646" s="339"/>
      <c r="AH6646" s="340"/>
      <c r="AI6646" s="353"/>
      <c r="AJ6646" s="357"/>
      <c r="AK6646" s="355"/>
      <c r="AL6646" s="20"/>
      <c r="AT6646" s="20"/>
      <c r="AU6646" s="29"/>
      <c r="AV6646"/>
      <c r="AW6646"/>
    </row>
    <row r="6647" spans="1:49">
      <c r="A6647" s="30" t="s">
        <v>2894</v>
      </c>
      <c r="B6647" s="55" t="str">
        <f t="shared" si="1218"/>
        <v>PA_Merce_2018p</v>
      </c>
      <c r="D6647" s="55" t="str">
        <f t="shared" si="1219"/>
        <v>Non-government study commissioner,(vote for not more than  7)</v>
      </c>
      <c r="E6647" s="55" t="s">
        <v>2897</v>
      </c>
      <c r="G6647" s="60">
        <v>390</v>
      </c>
      <c r="H6647"/>
      <c r="J6647" s="7"/>
      <c r="K6647" s="2"/>
      <c r="O6647">
        <f t="shared" si="1211"/>
        <v>3</v>
      </c>
      <c r="P6647" s="57">
        <f t="shared" si="1212"/>
        <v>7</v>
      </c>
      <c r="Q6647" s="267">
        <f t="shared" si="1213"/>
        <v>2551</v>
      </c>
      <c r="R6647" s="23">
        <f t="shared" si="1214"/>
        <v>264</v>
      </c>
      <c r="S6647" s="23">
        <f t="shared" si="1215"/>
        <v>261</v>
      </c>
      <c r="T6647" s="23" t="str">
        <f t="shared" si="1216"/>
        <v/>
      </c>
      <c r="U6647" t="str">
        <f t="shared" si="1217"/>
        <v/>
      </c>
      <c r="V6647" s="40"/>
      <c r="AG6647" s="339"/>
      <c r="AH6647" s="340"/>
      <c r="AI6647" s="353"/>
      <c r="AJ6647" s="357"/>
      <c r="AK6647" s="355"/>
      <c r="AL6647" s="20"/>
      <c r="AT6647" s="20"/>
      <c r="AU6647" s="29"/>
      <c r="AV6647"/>
      <c r="AW6647"/>
    </row>
    <row r="6648" spans="1:49">
      <c r="A6648" s="30" t="s">
        <v>2894</v>
      </c>
      <c r="B6648" s="55" t="str">
        <f t="shared" si="1218"/>
        <v>PA_Merce_2018p</v>
      </c>
      <c r="D6648" s="55" t="str">
        <f t="shared" si="1219"/>
        <v>Non-government study commissioner,(vote for not more than  7)</v>
      </c>
      <c r="E6648" s="55" t="s">
        <v>2898</v>
      </c>
      <c r="G6648" s="60">
        <v>363</v>
      </c>
      <c r="H6648"/>
      <c r="J6648" s="7"/>
      <c r="K6648" s="2"/>
      <c r="O6648">
        <f t="shared" si="1211"/>
        <v>4</v>
      </c>
      <c r="P6648" s="57">
        <f t="shared" si="1212"/>
        <v>7</v>
      </c>
      <c r="Q6648" s="267">
        <f t="shared" si="1213"/>
        <v>2161</v>
      </c>
      <c r="R6648" s="23">
        <f t="shared" si="1214"/>
        <v>264</v>
      </c>
      <c r="S6648" s="23">
        <f t="shared" si="1215"/>
        <v>261</v>
      </c>
      <c r="T6648" s="23" t="str">
        <f t="shared" si="1216"/>
        <v/>
      </c>
      <c r="U6648" t="str">
        <f t="shared" si="1217"/>
        <v/>
      </c>
      <c r="V6648" s="40"/>
      <c r="AG6648" s="339"/>
      <c r="AH6648" s="340"/>
      <c r="AI6648" s="353"/>
      <c r="AJ6648" s="357"/>
      <c r="AK6648" s="355"/>
      <c r="AL6648" s="20"/>
      <c r="AT6648" s="20"/>
      <c r="AU6648" s="29"/>
      <c r="AV6648"/>
      <c r="AW6648"/>
    </row>
    <row r="6649" spans="1:49">
      <c r="A6649" s="30" t="s">
        <v>2894</v>
      </c>
      <c r="B6649" s="55" t="str">
        <f t="shared" si="1218"/>
        <v>PA_Merce_2018p</v>
      </c>
      <c r="D6649" s="55" t="str">
        <f t="shared" si="1219"/>
        <v>Non-government study commissioner,(vote for not more than  7)</v>
      </c>
      <c r="E6649" s="55" t="s">
        <v>2899</v>
      </c>
      <c r="G6649" s="60">
        <v>354</v>
      </c>
      <c r="H6649"/>
      <c r="J6649" s="7"/>
      <c r="K6649" s="2"/>
      <c r="O6649">
        <f t="shared" si="1211"/>
        <v>5</v>
      </c>
      <c r="P6649" s="57">
        <f t="shared" si="1212"/>
        <v>7</v>
      </c>
      <c r="Q6649" s="267">
        <f t="shared" si="1213"/>
        <v>1798</v>
      </c>
      <c r="R6649" s="23">
        <f t="shared" si="1214"/>
        <v>264</v>
      </c>
      <c r="S6649" s="23">
        <f t="shared" si="1215"/>
        <v>261</v>
      </c>
      <c r="T6649" s="23" t="str">
        <f t="shared" si="1216"/>
        <v/>
      </c>
      <c r="U6649" t="str">
        <f t="shared" si="1217"/>
        <v/>
      </c>
      <c r="V6649" s="40"/>
      <c r="AG6649" s="339"/>
      <c r="AH6649" s="340"/>
      <c r="AI6649" s="353"/>
      <c r="AJ6649" s="357"/>
      <c r="AK6649" s="355"/>
      <c r="AL6649" s="20"/>
      <c r="AT6649" s="20"/>
      <c r="AU6649" s="29"/>
      <c r="AV6649"/>
      <c r="AW6649"/>
    </row>
    <row r="6650" spans="1:49">
      <c r="A6650" s="30" t="s">
        <v>2894</v>
      </c>
      <c r="B6650" s="55" t="str">
        <f t="shared" si="1218"/>
        <v>PA_Merce_2018p</v>
      </c>
      <c r="D6650" s="55" t="str">
        <f t="shared" si="1219"/>
        <v>Non-government study commissioner,(vote for not more than  7)</v>
      </c>
      <c r="E6650" s="55" t="s">
        <v>2900</v>
      </c>
      <c r="G6650" s="60">
        <v>264</v>
      </c>
      <c r="H6650"/>
      <c r="J6650" s="7"/>
      <c r="K6650" s="2"/>
      <c r="O6650">
        <f t="shared" si="1211"/>
        <v>6</v>
      </c>
      <c r="P6650" s="57">
        <f t="shared" si="1212"/>
        <v>7</v>
      </c>
      <c r="Q6650" s="267">
        <f t="shared" si="1213"/>
        <v>1444</v>
      </c>
      <c r="R6650" s="23">
        <f t="shared" si="1214"/>
        <v>264</v>
      </c>
      <c r="S6650" s="23">
        <f t="shared" si="1215"/>
        <v>261</v>
      </c>
      <c r="T6650" s="23" t="str">
        <f t="shared" si="1216"/>
        <v/>
      </c>
      <c r="U6650" t="str">
        <f t="shared" si="1217"/>
        <v/>
      </c>
      <c r="V6650" s="40"/>
      <c r="AG6650" s="339"/>
      <c r="AH6650" s="340"/>
      <c r="AI6650" s="353"/>
      <c r="AJ6650" s="357"/>
      <c r="AK6650" s="355"/>
      <c r="AL6650" s="20"/>
      <c r="AT6650" s="20"/>
      <c r="AU6650" s="29"/>
      <c r="AV6650"/>
      <c r="AW6650"/>
    </row>
    <row r="6651" spans="1:49">
      <c r="A6651" s="30" t="s">
        <v>2894</v>
      </c>
      <c r="B6651" s="55" t="str">
        <f t="shared" si="1218"/>
        <v>PA_Merce_2018p</v>
      </c>
      <c r="D6651" s="55" t="str">
        <f t="shared" si="1219"/>
        <v>Non-government study commissioner,(vote for not more than  7)</v>
      </c>
      <c r="E6651" s="55" t="s">
        <v>2901</v>
      </c>
      <c r="G6651" s="60">
        <v>264</v>
      </c>
      <c r="H6651"/>
      <c r="J6651" s="7"/>
      <c r="K6651" s="2"/>
      <c r="O6651">
        <f t="shared" si="1211"/>
        <v>7</v>
      </c>
      <c r="P6651" s="57">
        <f t="shared" si="1212"/>
        <v>7</v>
      </c>
      <c r="Q6651" s="267">
        <f t="shared" si="1213"/>
        <v>1180</v>
      </c>
      <c r="R6651" s="23">
        <f t="shared" si="1214"/>
        <v>264</v>
      </c>
      <c r="S6651" s="23">
        <f t="shared" si="1215"/>
        <v>261</v>
      </c>
      <c r="T6651" s="23" t="str">
        <f t="shared" si="1216"/>
        <v/>
      </c>
      <c r="U6651" t="str">
        <f t="shared" si="1217"/>
        <v/>
      </c>
      <c r="V6651" s="40"/>
      <c r="AG6651" s="339"/>
      <c r="AH6651" s="340"/>
      <c r="AI6651" s="353"/>
      <c r="AJ6651" s="357"/>
      <c r="AK6651" s="355"/>
      <c r="AL6651" s="20"/>
      <c r="AT6651" s="20"/>
      <c r="AU6651" s="29"/>
      <c r="AV6651"/>
      <c r="AW6651"/>
    </row>
    <row r="6652" spans="1:49">
      <c r="A6652" s="30" t="s">
        <v>2894</v>
      </c>
      <c r="B6652" s="55" t="str">
        <f t="shared" si="1218"/>
        <v>PA_Merce_2018p</v>
      </c>
      <c r="D6652" s="55" t="str">
        <f t="shared" si="1219"/>
        <v>Non-government study commissioner,(vote for not more than  7)</v>
      </c>
      <c r="E6652" s="55" t="s">
        <v>2902</v>
      </c>
      <c r="G6652" s="60">
        <v>261</v>
      </c>
      <c r="H6652"/>
      <c r="J6652" s="7"/>
      <c r="K6652" s="2"/>
      <c r="O6652">
        <f t="shared" si="1211"/>
        <v>8</v>
      </c>
      <c r="P6652" s="57">
        <f t="shared" si="1212"/>
        <v>7</v>
      </c>
      <c r="Q6652" s="267">
        <f t="shared" si="1213"/>
        <v>916</v>
      </c>
      <c r="R6652" s="23" t="str">
        <f t="shared" si="1214"/>
        <v/>
      </c>
      <c r="S6652" s="23">
        <f t="shared" si="1215"/>
        <v>261</v>
      </c>
      <c r="T6652" s="23" t="str">
        <f t="shared" si="1216"/>
        <v/>
      </c>
      <c r="U6652" t="str">
        <f t="shared" si="1217"/>
        <v/>
      </c>
      <c r="V6652" s="40"/>
      <c r="AG6652" s="339"/>
      <c r="AH6652" s="340"/>
      <c r="AI6652" s="353"/>
      <c r="AJ6652" s="357"/>
      <c r="AK6652" s="355"/>
      <c r="AL6652" s="20"/>
      <c r="AT6652" s="20"/>
      <c r="AU6652" s="29"/>
      <c r="AV6652"/>
      <c r="AW6652"/>
    </row>
    <row r="6653" spans="1:49">
      <c r="A6653" s="30" t="s">
        <v>2894</v>
      </c>
      <c r="B6653" s="55" t="str">
        <f t="shared" si="1218"/>
        <v>PA_Merce_2018p</v>
      </c>
      <c r="D6653" s="55" t="str">
        <f t="shared" si="1219"/>
        <v>Non-government study commissioner,(vote for not more than  7)</v>
      </c>
      <c r="E6653" s="55" t="s">
        <v>2903</v>
      </c>
      <c r="G6653" s="60">
        <v>227</v>
      </c>
      <c r="H6653"/>
      <c r="J6653" s="7"/>
      <c r="K6653" s="2"/>
      <c r="O6653">
        <f t="shared" si="1211"/>
        <v>9</v>
      </c>
      <c r="P6653" s="57">
        <f t="shared" si="1212"/>
        <v>7</v>
      </c>
      <c r="Q6653" s="267">
        <f t="shared" si="1213"/>
        <v>655</v>
      </c>
      <c r="R6653" s="23" t="str">
        <f t="shared" si="1214"/>
        <v/>
      </c>
      <c r="S6653" s="23">
        <f t="shared" si="1215"/>
        <v>227</v>
      </c>
      <c r="T6653" s="23" t="str">
        <f t="shared" si="1216"/>
        <v/>
      </c>
      <c r="U6653" t="str">
        <f t="shared" si="1217"/>
        <v/>
      </c>
      <c r="V6653" s="40"/>
      <c r="AG6653" s="339"/>
      <c r="AH6653" s="340"/>
      <c r="AI6653" s="353"/>
      <c r="AJ6653" s="357"/>
      <c r="AK6653" s="355"/>
      <c r="AL6653" s="20"/>
      <c r="AT6653" s="20"/>
      <c r="AU6653" s="29"/>
      <c r="AV6653"/>
      <c r="AW6653"/>
    </row>
    <row r="6654" spans="1:49">
      <c r="A6654" s="30" t="s">
        <v>2894</v>
      </c>
      <c r="B6654" s="55" t="str">
        <f t="shared" si="1218"/>
        <v>PA_Merce_2018p</v>
      </c>
      <c r="D6654" s="55" t="str">
        <f t="shared" si="1219"/>
        <v>Non-government study commissioner,(vote for not more than  7)</v>
      </c>
      <c r="E6654" s="55" t="s">
        <v>2904</v>
      </c>
      <c r="G6654" s="60">
        <v>214</v>
      </c>
      <c r="H6654"/>
      <c r="J6654" s="7"/>
      <c r="K6654" s="2"/>
      <c r="O6654">
        <f t="shared" si="1211"/>
        <v>10</v>
      </c>
      <c r="P6654" s="57">
        <f t="shared" si="1212"/>
        <v>7</v>
      </c>
      <c r="Q6654" s="267">
        <f t="shared" si="1213"/>
        <v>428</v>
      </c>
      <c r="R6654" s="23" t="str">
        <f t="shared" si="1214"/>
        <v/>
      </c>
      <c r="S6654" s="23">
        <f t="shared" si="1215"/>
        <v>214</v>
      </c>
      <c r="T6654" s="23" t="str">
        <f t="shared" si="1216"/>
        <v/>
      </c>
      <c r="U6654" t="str">
        <f t="shared" si="1217"/>
        <v/>
      </c>
      <c r="V6654" s="40"/>
      <c r="AG6654" s="339"/>
      <c r="AH6654" s="340"/>
      <c r="AI6654" s="353"/>
      <c r="AJ6654" s="357"/>
      <c r="AK6654" s="355"/>
      <c r="AL6654" s="20"/>
      <c r="AT6654" s="20"/>
      <c r="AU6654" s="29"/>
      <c r="AV6654"/>
      <c r="AW6654"/>
    </row>
    <row r="6655" spans="1:49">
      <c r="A6655" s="30" t="s">
        <v>2894</v>
      </c>
      <c r="B6655" s="55" t="str">
        <f t="shared" si="1218"/>
        <v>PA_Merce_2018p</v>
      </c>
      <c r="D6655" s="55" t="str">
        <f t="shared" si="1219"/>
        <v>Non-government study commissioner,(vote for not more than  7)</v>
      </c>
      <c r="E6655" s="55" t="s">
        <v>2905</v>
      </c>
      <c r="G6655" s="60">
        <v>195</v>
      </c>
      <c r="H6655"/>
      <c r="J6655" s="7"/>
      <c r="K6655" s="2"/>
      <c r="O6655">
        <f t="shared" si="1211"/>
        <v>11</v>
      </c>
      <c r="P6655" s="57">
        <f t="shared" si="1212"/>
        <v>7</v>
      </c>
      <c r="Q6655" s="267">
        <f t="shared" si="1213"/>
        <v>214</v>
      </c>
      <c r="R6655" s="23" t="str">
        <f t="shared" si="1214"/>
        <v/>
      </c>
      <c r="S6655" s="23">
        <f t="shared" si="1215"/>
        <v>195</v>
      </c>
      <c r="T6655" s="23" t="str">
        <f t="shared" si="1216"/>
        <v/>
      </c>
      <c r="U6655" t="str">
        <f t="shared" si="1217"/>
        <v/>
      </c>
      <c r="V6655" s="40"/>
      <c r="AG6655" s="339"/>
      <c r="AH6655" s="340"/>
      <c r="AI6655" s="353"/>
      <c r="AJ6655" s="357"/>
      <c r="AK6655" s="355"/>
      <c r="AL6655" s="20"/>
      <c r="AT6655" s="20"/>
      <c r="AU6655" s="29"/>
      <c r="AV6655"/>
      <c r="AW6655"/>
    </row>
    <row r="6656" spans="1:49">
      <c r="A6656" s="30" t="s">
        <v>2894</v>
      </c>
      <c r="B6656" s="55" t="str">
        <f t="shared" si="1218"/>
        <v>PA_Merce_2018p</v>
      </c>
      <c r="D6656" s="55" t="str">
        <f t="shared" si="1219"/>
        <v>Non-government study commissioner,(vote for not more than  7)</v>
      </c>
      <c r="E6656" s="55" t="s">
        <v>2574</v>
      </c>
      <c r="G6656" s="60">
        <v>19</v>
      </c>
      <c r="H6656"/>
      <c r="J6656" s="7"/>
      <c r="K6656" s="2"/>
      <c r="O6656">
        <f t="shared" si="1211"/>
        <v>-11</v>
      </c>
      <c r="P6656" s="57">
        <f t="shared" si="1212"/>
        <v>7</v>
      </c>
      <c r="Q6656" s="267">
        <f t="shared" si="1213"/>
        <v>19</v>
      </c>
      <c r="R6656" s="23">
        <f t="shared" si="1214"/>
        <v>1</v>
      </c>
      <c r="S6656" s="23">
        <f t="shared" si="1215"/>
        <v>0</v>
      </c>
      <c r="T6656" s="23" t="str">
        <f t="shared" si="1216"/>
        <v/>
      </c>
      <c r="U6656" t="str">
        <f t="shared" si="1217"/>
        <v/>
      </c>
      <c r="V6656" s="40"/>
      <c r="AG6656" s="339"/>
      <c r="AH6656" s="340"/>
      <c r="AI6656" s="353"/>
      <c r="AJ6656" s="357"/>
      <c r="AK6656" s="355"/>
      <c r="AL6656" s="20"/>
      <c r="AT6656" s="20"/>
      <c r="AU6656" s="29"/>
      <c r="AV6656"/>
      <c r="AW6656"/>
    </row>
    <row r="6657" spans="1:49">
      <c r="A6657" s="30" t="s">
        <v>2906</v>
      </c>
      <c r="B6657" s="55" t="str">
        <f t="shared" si="1218"/>
        <v>PA_Merce_2018p</v>
      </c>
      <c r="D6657" s="55" t="str">
        <f t="shared" si="1219"/>
        <v>Rep-governor,(vote for not more than  1)</v>
      </c>
      <c r="E6657" s="55" t="s">
        <v>2907</v>
      </c>
      <c r="G6657" s="60">
        <v>3833</v>
      </c>
      <c r="H6657"/>
      <c r="J6657" s="7"/>
      <c r="K6657" s="2"/>
      <c r="O6657">
        <f t="shared" si="1211"/>
        <v>1</v>
      </c>
      <c r="P6657" s="57">
        <f t="shared" si="1212"/>
        <v>1</v>
      </c>
      <c r="Q6657" s="267">
        <f t="shared" si="1213"/>
        <v>6975</v>
      </c>
      <c r="R6657" s="23">
        <f t="shared" si="1214"/>
        <v>3833</v>
      </c>
      <c r="S6657" s="23">
        <f t="shared" si="1215"/>
        <v>2090</v>
      </c>
      <c r="T6657" s="23">
        <f t="shared" si="1216"/>
        <v>1743</v>
      </c>
      <c r="U6657" t="str">
        <f t="shared" si="1217"/>
        <v>PA_Merce_2018p~Rep-governor,(vote for not more than  1)</v>
      </c>
      <c r="V6657" s="40"/>
      <c r="AG6657" s="339"/>
      <c r="AH6657" s="340"/>
      <c r="AI6657" s="353"/>
      <c r="AJ6657" s="357"/>
      <c r="AK6657" s="355"/>
      <c r="AL6657" s="20"/>
      <c r="AT6657" s="20"/>
      <c r="AU6657" s="29"/>
      <c r="AV6657"/>
      <c r="AW6657"/>
    </row>
    <row r="6658" spans="1:49">
      <c r="A6658" s="30" t="s">
        <v>2906</v>
      </c>
      <c r="B6658" s="55" t="str">
        <f t="shared" si="1218"/>
        <v>PA_Merce_2018p</v>
      </c>
      <c r="D6658" s="55" t="str">
        <f t="shared" si="1219"/>
        <v>Rep-governor,(vote for not more than  1)</v>
      </c>
      <c r="E6658" s="55" t="s">
        <v>2908</v>
      </c>
      <c r="G6658" s="60">
        <v>2090</v>
      </c>
      <c r="H6658"/>
      <c r="J6658" s="7"/>
      <c r="K6658" s="2"/>
      <c r="O6658">
        <f t="shared" ref="O6658:O6721" si="1220">IF(OR(LOWER(LEFT(E6658,8))="write-in",LOWER(LEFT(E6658,8))="not qual"),IF(A6658=A6657,-ABS(O6657),0),IF(A6658=A6657,ABS(O6657)+1,1))</f>
        <v>2</v>
      </c>
      <c r="P6658" s="57">
        <f t="shared" ref="P6658:P6721" si="1221">1*LEFT(RIGHT(A6658,2),1)</f>
        <v>1</v>
      </c>
      <c r="Q6658" s="267">
        <f t="shared" ref="Q6658:Q6721" si="1222">IF(A6658&lt;&gt;A6659,G6658,IF(A6658=A6657,G6658+Q6659,MAX(G6658,(G6658+Q6659)/P6658)))</f>
        <v>3142</v>
      </c>
      <c r="R6658" s="23" t="str">
        <f t="shared" ref="R6658:R6721" si="1223">IF(O6658&gt;P6658,"",IF(O6658=P6658,G6658,IF(A6658=A6659,R6659,IF(O6658&lt;=0,1,G6658))))</f>
        <v/>
      </c>
      <c r="S6658" s="23">
        <f t="shared" ref="S6658:S6721" si="1224">IF(AND(O6658&gt;P6658,LOWER(LEFT(E6658,8))&lt;&gt;"write-in",LOWER(LEFT(E6658,8))&lt;&gt;"not qual"),G6658,IF(A6658=A6659,S6659,0))</f>
        <v>2090</v>
      </c>
      <c r="T6658" s="23" t="str">
        <f t="shared" ref="T6658:T6721" si="1225">IF(OR(A6658=A6657,S6658=0),"",R6658-ABS(S6658))</f>
        <v/>
      </c>
      <c r="U6658" t="str">
        <f t="shared" ref="U6658:U6721" si="1226">IF(A6658=A6657,"",A6658)</f>
        <v/>
      </c>
      <c r="V6658" s="40"/>
      <c r="AG6658" s="339"/>
      <c r="AH6658" s="340"/>
      <c r="AI6658" s="353"/>
      <c r="AJ6658" s="357"/>
      <c r="AK6658" s="355"/>
      <c r="AL6658" s="20"/>
      <c r="AT6658" s="20"/>
      <c r="AU6658" s="29"/>
      <c r="AV6658"/>
      <c r="AW6658"/>
    </row>
    <row r="6659" spans="1:49">
      <c r="A6659" s="30" t="s">
        <v>2906</v>
      </c>
      <c r="B6659" s="55" t="str">
        <f t="shared" si="1218"/>
        <v>PA_Merce_2018p</v>
      </c>
      <c r="D6659" s="55" t="str">
        <f t="shared" si="1219"/>
        <v>Rep-governor,(vote for not more than  1)</v>
      </c>
      <c r="E6659" s="55" t="s">
        <v>2909</v>
      </c>
      <c r="G6659" s="60">
        <v>1029</v>
      </c>
      <c r="H6659"/>
      <c r="J6659" s="7"/>
      <c r="K6659" s="2"/>
      <c r="O6659">
        <f t="shared" si="1220"/>
        <v>3</v>
      </c>
      <c r="P6659" s="57">
        <f t="shared" si="1221"/>
        <v>1</v>
      </c>
      <c r="Q6659" s="267">
        <f t="shared" si="1222"/>
        <v>1052</v>
      </c>
      <c r="R6659" s="23" t="str">
        <f t="shared" si="1223"/>
        <v/>
      </c>
      <c r="S6659" s="23">
        <f t="shared" si="1224"/>
        <v>1029</v>
      </c>
      <c r="T6659" s="23" t="str">
        <f t="shared" si="1225"/>
        <v/>
      </c>
      <c r="U6659" t="str">
        <f t="shared" si="1226"/>
        <v/>
      </c>
      <c r="V6659" s="40"/>
      <c r="AG6659" s="339"/>
      <c r="AH6659" s="340"/>
      <c r="AI6659" s="353"/>
      <c r="AJ6659" s="357"/>
      <c r="AK6659" s="355"/>
      <c r="AL6659" s="20"/>
      <c r="AT6659" s="20"/>
      <c r="AU6659" s="29"/>
      <c r="AV6659"/>
      <c r="AW6659"/>
    </row>
    <row r="6660" spans="1:49">
      <c r="A6660" s="30" t="s">
        <v>2906</v>
      </c>
      <c r="B6660" s="55" t="str">
        <f t="shared" si="1218"/>
        <v>PA_Merce_2018p</v>
      </c>
      <c r="D6660" s="55" t="str">
        <f t="shared" si="1219"/>
        <v>Rep-governor,(vote for not more than  1)</v>
      </c>
      <c r="E6660" s="55" t="s">
        <v>2574</v>
      </c>
      <c r="G6660" s="60">
        <v>23</v>
      </c>
      <c r="H6660"/>
      <c r="J6660" s="7"/>
      <c r="K6660" s="2"/>
      <c r="O6660">
        <f t="shared" si="1220"/>
        <v>-3</v>
      </c>
      <c r="P6660" s="57">
        <f t="shared" si="1221"/>
        <v>1</v>
      </c>
      <c r="Q6660" s="267">
        <f t="shared" si="1222"/>
        <v>23</v>
      </c>
      <c r="R6660" s="23">
        <f t="shared" si="1223"/>
        <v>1</v>
      </c>
      <c r="S6660" s="23">
        <f t="shared" si="1224"/>
        <v>0</v>
      </c>
      <c r="T6660" s="23" t="str">
        <f t="shared" si="1225"/>
        <v/>
      </c>
      <c r="U6660" t="str">
        <f t="shared" si="1226"/>
        <v/>
      </c>
      <c r="V6660" s="40"/>
      <c r="AG6660" s="339"/>
      <c r="AH6660" s="340"/>
      <c r="AI6660" s="353"/>
      <c r="AJ6660" s="357"/>
      <c r="AK6660" s="355"/>
      <c r="AL6660" s="20"/>
      <c r="AT6660" s="20"/>
      <c r="AU6660" s="29"/>
      <c r="AV6660"/>
      <c r="AW6660"/>
    </row>
    <row r="6661" spans="1:49">
      <c r="A6661" s="30" t="s">
        <v>2910</v>
      </c>
      <c r="B6661" s="55" t="str">
        <f t="shared" si="1218"/>
        <v>PA_Merce_2018p</v>
      </c>
      <c r="D6661" s="55" t="str">
        <f t="shared" si="1219"/>
        <v>Rep-lieutenant governor,(vote for not more than  1)</v>
      </c>
      <c r="E6661" s="55" t="s">
        <v>2911</v>
      </c>
      <c r="G6661" s="60">
        <v>2280</v>
      </c>
      <c r="H6661"/>
      <c r="J6661" s="7"/>
      <c r="K6661" s="2"/>
      <c r="O6661">
        <f t="shared" si="1220"/>
        <v>1</v>
      </c>
      <c r="P6661" s="57">
        <f t="shared" si="1221"/>
        <v>1</v>
      </c>
      <c r="Q6661" s="267">
        <f t="shared" si="1222"/>
        <v>6474</v>
      </c>
      <c r="R6661" s="23">
        <f t="shared" si="1223"/>
        <v>2280</v>
      </c>
      <c r="S6661" s="23">
        <f t="shared" si="1224"/>
        <v>2205</v>
      </c>
      <c r="T6661" s="23">
        <f t="shared" si="1225"/>
        <v>75</v>
      </c>
      <c r="U6661" t="str">
        <f t="shared" si="1226"/>
        <v>PA_Merce_2018p~Rep-lieutenant governor,(vote for not more than  1)</v>
      </c>
      <c r="V6661" s="40"/>
      <c r="AG6661" s="339"/>
      <c r="AH6661" s="340"/>
      <c r="AI6661" s="353"/>
      <c r="AJ6661" s="357"/>
      <c r="AK6661" s="355"/>
      <c r="AL6661" s="20"/>
      <c r="AT6661" s="20"/>
      <c r="AU6661" s="29"/>
      <c r="AV6661"/>
      <c r="AW6661"/>
    </row>
    <row r="6662" spans="1:49">
      <c r="A6662" s="30" t="s">
        <v>2910</v>
      </c>
      <c r="B6662" s="55" t="str">
        <f t="shared" si="1218"/>
        <v>PA_Merce_2018p</v>
      </c>
      <c r="D6662" s="55" t="str">
        <f t="shared" si="1219"/>
        <v>Rep-lieutenant governor,(vote for not more than  1)</v>
      </c>
      <c r="E6662" s="55" t="s">
        <v>2912</v>
      </c>
      <c r="G6662" s="60">
        <v>2205</v>
      </c>
      <c r="H6662"/>
      <c r="J6662" s="7"/>
      <c r="K6662" s="2"/>
      <c r="O6662">
        <f t="shared" si="1220"/>
        <v>2</v>
      </c>
      <c r="P6662" s="57">
        <f t="shared" si="1221"/>
        <v>1</v>
      </c>
      <c r="Q6662" s="267">
        <f t="shared" si="1222"/>
        <v>4194</v>
      </c>
      <c r="R6662" s="23" t="str">
        <f t="shared" si="1223"/>
        <v/>
      </c>
      <c r="S6662" s="23">
        <f t="shared" si="1224"/>
        <v>2205</v>
      </c>
      <c r="T6662" s="23" t="str">
        <f t="shared" si="1225"/>
        <v/>
      </c>
      <c r="U6662" t="str">
        <f t="shared" si="1226"/>
        <v/>
      </c>
      <c r="V6662" s="40"/>
      <c r="AG6662" s="339"/>
      <c r="AH6662" s="340"/>
      <c r="AI6662" s="353"/>
      <c r="AJ6662" s="357"/>
      <c r="AK6662" s="355"/>
      <c r="AL6662" s="20"/>
      <c r="AT6662" s="20"/>
      <c r="AU6662" s="29"/>
      <c r="AV6662"/>
      <c r="AW6662"/>
    </row>
    <row r="6663" spans="1:49">
      <c r="A6663" s="30" t="s">
        <v>2910</v>
      </c>
      <c r="B6663" s="55" t="str">
        <f t="shared" si="1218"/>
        <v>PA_Merce_2018p</v>
      </c>
      <c r="D6663" s="55" t="str">
        <f t="shared" si="1219"/>
        <v>Rep-lieutenant governor,(vote for not more than  1)</v>
      </c>
      <c r="E6663" s="55" t="s">
        <v>2913</v>
      </c>
      <c r="G6663" s="60">
        <v>1339</v>
      </c>
      <c r="H6663"/>
      <c r="J6663" s="7"/>
      <c r="K6663" s="2"/>
      <c r="O6663">
        <f t="shared" si="1220"/>
        <v>3</v>
      </c>
      <c r="P6663" s="57">
        <f t="shared" si="1221"/>
        <v>1</v>
      </c>
      <c r="Q6663" s="267">
        <f t="shared" si="1222"/>
        <v>1989</v>
      </c>
      <c r="R6663" s="23" t="str">
        <f t="shared" si="1223"/>
        <v/>
      </c>
      <c r="S6663" s="23">
        <f t="shared" si="1224"/>
        <v>1339</v>
      </c>
      <c r="T6663" s="23" t="str">
        <f t="shared" si="1225"/>
        <v/>
      </c>
      <c r="U6663" t="str">
        <f t="shared" si="1226"/>
        <v/>
      </c>
      <c r="V6663" s="40"/>
      <c r="AG6663" s="339"/>
      <c r="AH6663" s="340"/>
      <c r="AI6663" s="353"/>
      <c r="AJ6663" s="357"/>
      <c r="AK6663" s="355"/>
      <c r="AL6663" s="20"/>
      <c r="AT6663" s="20"/>
      <c r="AU6663" s="29"/>
      <c r="AV6663"/>
      <c r="AW6663"/>
    </row>
    <row r="6664" spans="1:49">
      <c r="A6664" s="30" t="s">
        <v>2910</v>
      </c>
      <c r="B6664" s="55" t="str">
        <f t="shared" si="1218"/>
        <v>PA_Merce_2018p</v>
      </c>
      <c r="D6664" s="55" t="str">
        <f t="shared" si="1219"/>
        <v>Rep-lieutenant governor,(vote for not more than  1)</v>
      </c>
      <c r="E6664" s="55" t="s">
        <v>2914</v>
      </c>
      <c r="G6664" s="60">
        <v>634</v>
      </c>
      <c r="H6664"/>
      <c r="J6664" s="7"/>
      <c r="K6664" s="2"/>
      <c r="O6664">
        <f t="shared" si="1220"/>
        <v>4</v>
      </c>
      <c r="P6664" s="57">
        <f t="shared" si="1221"/>
        <v>1</v>
      </c>
      <c r="Q6664" s="267">
        <f t="shared" si="1222"/>
        <v>650</v>
      </c>
      <c r="R6664" s="23" t="str">
        <f t="shared" si="1223"/>
        <v/>
      </c>
      <c r="S6664" s="23">
        <f t="shared" si="1224"/>
        <v>634</v>
      </c>
      <c r="T6664" s="23" t="str">
        <f t="shared" si="1225"/>
        <v/>
      </c>
      <c r="U6664" t="str">
        <f t="shared" si="1226"/>
        <v/>
      </c>
      <c r="V6664" s="40"/>
      <c r="AG6664" s="339"/>
      <c r="AH6664" s="340"/>
      <c r="AI6664" s="353"/>
      <c r="AJ6664" s="357"/>
      <c r="AK6664" s="355"/>
      <c r="AL6664" s="20"/>
      <c r="AT6664" s="20"/>
      <c r="AU6664" s="29"/>
      <c r="AV6664"/>
      <c r="AW6664"/>
    </row>
    <row r="6665" spans="1:49">
      <c r="A6665" s="30" t="s">
        <v>2910</v>
      </c>
      <c r="B6665" s="55" t="str">
        <f t="shared" si="1218"/>
        <v>PA_Merce_2018p</v>
      </c>
      <c r="D6665" s="55" t="str">
        <f t="shared" si="1219"/>
        <v>Rep-lieutenant governor,(vote for not more than  1)</v>
      </c>
      <c r="E6665" s="55" t="s">
        <v>2574</v>
      </c>
      <c r="G6665" s="60">
        <v>16</v>
      </c>
      <c r="H6665"/>
      <c r="J6665" s="7"/>
      <c r="K6665" s="2"/>
      <c r="O6665">
        <f t="shared" si="1220"/>
        <v>-4</v>
      </c>
      <c r="P6665" s="57">
        <f t="shared" si="1221"/>
        <v>1</v>
      </c>
      <c r="Q6665" s="267">
        <f t="shared" si="1222"/>
        <v>16</v>
      </c>
      <c r="R6665" s="23">
        <f t="shared" si="1223"/>
        <v>1</v>
      </c>
      <c r="S6665" s="23">
        <f t="shared" si="1224"/>
        <v>0</v>
      </c>
      <c r="T6665" s="23" t="str">
        <f t="shared" si="1225"/>
        <v/>
      </c>
      <c r="U6665" t="str">
        <f t="shared" si="1226"/>
        <v/>
      </c>
      <c r="V6665" s="40"/>
      <c r="AF6665" s="274"/>
      <c r="AG6665" s="339"/>
      <c r="AH6665" s="340"/>
      <c r="AI6665" s="353"/>
      <c r="AJ6665" s="357"/>
      <c r="AK6665" s="355"/>
      <c r="AL6665" s="20"/>
      <c r="AT6665" s="20"/>
      <c r="AU6665" s="29"/>
      <c r="AV6665"/>
      <c r="AW6665"/>
    </row>
    <row r="6666" spans="1:49">
      <c r="A6666" s="30" t="s">
        <v>2915</v>
      </c>
      <c r="B6666" s="55" t="str">
        <f t="shared" si="1218"/>
        <v>PA_Merce_2018p</v>
      </c>
      <c r="D6666" s="55" t="str">
        <f t="shared" si="1219"/>
        <v>Rep-precinct committeeman clark,(vote for not more than  1)</v>
      </c>
      <c r="E6666" s="55" t="s">
        <v>2574</v>
      </c>
      <c r="G6666" s="60">
        <v>2</v>
      </c>
      <c r="H6666"/>
      <c r="J6666" s="7"/>
      <c r="K6666" s="2"/>
      <c r="O6666">
        <f t="shared" si="1220"/>
        <v>0</v>
      </c>
      <c r="P6666" s="57">
        <f t="shared" si="1221"/>
        <v>1</v>
      </c>
      <c r="Q6666" s="267">
        <f t="shared" si="1222"/>
        <v>2</v>
      </c>
      <c r="R6666" s="23">
        <f t="shared" si="1223"/>
        <v>1</v>
      </c>
      <c r="S6666" s="23">
        <f t="shared" si="1224"/>
        <v>0</v>
      </c>
      <c r="T6666" s="23" t="str">
        <f t="shared" si="1225"/>
        <v/>
      </c>
      <c r="U6666" t="str">
        <f t="shared" si="1226"/>
        <v>PA_Merce_2018p~Rep-precinct committeeman clark,(vote for not more than  1)</v>
      </c>
      <c r="V6666" s="40"/>
      <c r="AF6666" s="274"/>
      <c r="AG6666" s="339"/>
      <c r="AH6666" s="340"/>
      <c r="AI6666" s="353"/>
      <c r="AJ6666" s="357"/>
      <c r="AK6666" s="355"/>
      <c r="AL6666" s="20"/>
      <c r="AT6666" s="20"/>
      <c r="AU6666" s="29"/>
      <c r="AV6666"/>
      <c r="AW6666"/>
    </row>
    <row r="6667" spans="1:49">
      <c r="A6667" s="30" t="s">
        <v>2916</v>
      </c>
      <c r="B6667" s="55" t="str">
        <f t="shared" si="1218"/>
        <v>PA_Merce_2018p</v>
      </c>
      <c r="D6667" s="55" t="str">
        <f t="shared" si="1219"/>
        <v>Rep-precinct committeeman coolspring,(vote for not more than  1)</v>
      </c>
      <c r="E6667" s="55" t="s">
        <v>2917</v>
      </c>
      <c r="G6667" s="60">
        <v>155</v>
      </c>
      <c r="H6667"/>
      <c r="J6667" s="7"/>
      <c r="K6667" s="2"/>
      <c r="O6667">
        <f t="shared" si="1220"/>
        <v>1</v>
      </c>
      <c r="P6667" s="57">
        <f t="shared" si="1221"/>
        <v>1</v>
      </c>
      <c r="Q6667" s="267">
        <f t="shared" si="1222"/>
        <v>156</v>
      </c>
      <c r="R6667" s="23">
        <f t="shared" si="1223"/>
        <v>155</v>
      </c>
      <c r="S6667" s="23">
        <f t="shared" si="1224"/>
        <v>0</v>
      </c>
      <c r="T6667" s="23" t="str">
        <f t="shared" si="1225"/>
        <v/>
      </c>
      <c r="U6667" t="str">
        <f t="shared" si="1226"/>
        <v>PA_Merce_2018p~Rep-precinct committeeman coolspring,(vote for not more than  1)</v>
      </c>
      <c r="V6667" s="40"/>
      <c r="AF6667" s="274"/>
      <c r="AG6667" s="339"/>
      <c r="AH6667" s="340"/>
      <c r="AI6667" s="353"/>
      <c r="AJ6667" s="357"/>
      <c r="AK6667" s="355"/>
      <c r="AL6667" s="20"/>
      <c r="AT6667" s="20"/>
      <c r="AU6667" s="29"/>
      <c r="AV6667"/>
      <c r="AW6667"/>
    </row>
    <row r="6668" spans="1:49">
      <c r="A6668" s="30" t="s">
        <v>2916</v>
      </c>
      <c r="B6668" s="55" t="str">
        <f t="shared" si="1218"/>
        <v>PA_Merce_2018p</v>
      </c>
      <c r="D6668" s="55" t="str">
        <f t="shared" si="1219"/>
        <v>Rep-precinct committeeman coolspring,(vote for not more than  1)</v>
      </c>
      <c r="E6668" s="55" t="s">
        <v>2574</v>
      </c>
      <c r="G6668" s="60">
        <v>1</v>
      </c>
      <c r="H6668"/>
      <c r="J6668" s="7"/>
      <c r="K6668" s="2"/>
      <c r="O6668">
        <f t="shared" si="1220"/>
        <v>-1</v>
      </c>
      <c r="P6668" s="57">
        <f t="shared" si="1221"/>
        <v>1</v>
      </c>
      <c r="Q6668" s="267">
        <f t="shared" si="1222"/>
        <v>1</v>
      </c>
      <c r="R6668" s="23">
        <f t="shared" si="1223"/>
        <v>1</v>
      </c>
      <c r="S6668" s="23">
        <f t="shared" si="1224"/>
        <v>0</v>
      </c>
      <c r="T6668" s="23" t="str">
        <f t="shared" si="1225"/>
        <v/>
      </c>
      <c r="U6668" t="str">
        <f t="shared" si="1226"/>
        <v/>
      </c>
      <c r="V6668" s="40"/>
      <c r="AF6668" s="274"/>
      <c r="AG6668" s="339"/>
      <c r="AH6668" s="340"/>
      <c r="AI6668" s="353"/>
      <c r="AJ6668" s="357"/>
      <c r="AK6668" s="355"/>
      <c r="AL6668" s="20"/>
      <c r="AT6668" s="20"/>
      <c r="AU6668" s="29"/>
      <c r="AV6668"/>
      <c r="AW6668"/>
    </row>
    <row r="6669" spans="1:49">
      <c r="A6669" s="30" t="s">
        <v>2918</v>
      </c>
      <c r="B6669" s="55" t="str">
        <f t="shared" si="1218"/>
        <v>PA_Merce_2018p</v>
      </c>
      <c r="D6669" s="55" t="str">
        <f t="shared" si="1219"/>
        <v>Rep-precinct committeeman deer creek,(vote for not more than  1)</v>
      </c>
      <c r="E6669" s="55" t="s">
        <v>2574</v>
      </c>
      <c r="G6669" s="60">
        <v>1</v>
      </c>
      <c r="H6669"/>
      <c r="J6669" s="7"/>
      <c r="K6669" s="2"/>
      <c r="O6669">
        <f t="shared" si="1220"/>
        <v>0</v>
      </c>
      <c r="P6669" s="57">
        <f t="shared" si="1221"/>
        <v>1</v>
      </c>
      <c r="Q6669" s="267">
        <f t="shared" si="1222"/>
        <v>1</v>
      </c>
      <c r="R6669" s="23">
        <f t="shared" si="1223"/>
        <v>1</v>
      </c>
      <c r="S6669" s="23">
        <f t="shared" si="1224"/>
        <v>0</v>
      </c>
      <c r="T6669" s="23" t="str">
        <f t="shared" si="1225"/>
        <v/>
      </c>
      <c r="U6669" t="str">
        <f t="shared" si="1226"/>
        <v>PA_Merce_2018p~Rep-precinct committeeman deer creek,(vote for not more than  1)</v>
      </c>
      <c r="V6669" s="40"/>
      <c r="AF6669" s="274"/>
      <c r="AG6669" s="339"/>
      <c r="AH6669" s="340"/>
      <c r="AI6669" s="353"/>
      <c r="AJ6669" s="357"/>
      <c r="AK6669" s="355"/>
      <c r="AL6669" s="20"/>
      <c r="AT6669" s="20"/>
      <c r="AU6669" s="29"/>
      <c r="AV6669"/>
      <c r="AW6669"/>
    </row>
    <row r="6670" spans="1:49">
      <c r="A6670" s="30" t="s">
        <v>2919</v>
      </c>
      <c r="B6670" s="55" t="str">
        <f t="shared" si="1218"/>
        <v>PA_Merce_2018p</v>
      </c>
      <c r="D6670" s="55" t="str">
        <f t="shared" si="1219"/>
        <v>Rep-precinct committeeman delaware,(vote for not more than  1)</v>
      </c>
      <c r="E6670" s="55" t="s">
        <v>2920</v>
      </c>
      <c r="G6670" s="60">
        <v>142</v>
      </c>
      <c r="H6670"/>
      <c r="J6670" s="7"/>
      <c r="K6670" s="2"/>
      <c r="O6670">
        <f t="shared" si="1220"/>
        <v>1</v>
      </c>
      <c r="P6670" s="57">
        <f t="shared" si="1221"/>
        <v>1</v>
      </c>
      <c r="Q6670" s="267">
        <f t="shared" si="1222"/>
        <v>143</v>
      </c>
      <c r="R6670" s="23">
        <f t="shared" si="1223"/>
        <v>142</v>
      </c>
      <c r="S6670" s="23">
        <f t="shared" si="1224"/>
        <v>0</v>
      </c>
      <c r="T6670" s="23" t="str">
        <f t="shared" si="1225"/>
        <v/>
      </c>
      <c r="U6670" t="str">
        <f t="shared" si="1226"/>
        <v>PA_Merce_2018p~Rep-precinct committeeman delaware,(vote for not more than  1)</v>
      </c>
      <c r="V6670" s="40"/>
      <c r="AF6670" s="274"/>
      <c r="AG6670" s="339"/>
      <c r="AH6670" s="340"/>
      <c r="AI6670" s="353"/>
      <c r="AJ6670" s="357"/>
      <c r="AK6670" s="355"/>
      <c r="AL6670" s="20"/>
      <c r="AT6670" s="20"/>
      <c r="AU6670" s="29"/>
      <c r="AV6670"/>
      <c r="AW6670"/>
    </row>
    <row r="6671" spans="1:49">
      <c r="A6671" s="30" t="s">
        <v>2919</v>
      </c>
      <c r="B6671" s="55" t="str">
        <f t="shared" si="1218"/>
        <v>PA_Merce_2018p</v>
      </c>
      <c r="D6671" s="55" t="str">
        <f t="shared" si="1219"/>
        <v>Rep-precinct committeeman delaware,(vote for not more than  1)</v>
      </c>
      <c r="E6671" s="55" t="s">
        <v>2574</v>
      </c>
      <c r="G6671" s="60">
        <v>1</v>
      </c>
      <c r="H6671"/>
      <c r="J6671" s="7"/>
      <c r="K6671" s="2"/>
      <c r="O6671">
        <f t="shared" si="1220"/>
        <v>-1</v>
      </c>
      <c r="P6671" s="57">
        <f t="shared" si="1221"/>
        <v>1</v>
      </c>
      <c r="Q6671" s="267">
        <f t="shared" si="1222"/>
        <v>1</v>
      </c>
      <c r="R6671" s="23">
        <f t="shared" si="1223"/>
        <v>1</v>
      </c>
      <c r="S6671" s="23">
        <f t="shared" si="1224"/>
        <v>0</v>
      </c>
      <c r="T6671" s="23" t="str">
        <f t="shared" si="1225"/>
        <v/>
      </c>
      <c r="U6671" t="str">
        <f t="shared" si="1226"/>
        <v/>
      </c>
      <c r="V6671" s="40"/>
      <c r="AF6671" s="274"/>
      <c r="AG6671" s="339"/>
      <c r="AH6671" s="340"/>
      <c r="AI6671" s="353"/>
      <c r="AJ6671" s="357"/>
      <c r="AK6671" s="355"/>
      <c r="AL6671" s="20"/>
      <c r="AT6671" s="20"/>
      <c r="AU6671" s="29"/>
      <c r="AV6671"/>
      <c r="AW6671"/>
    </row>
    <row r="6672" spans="1:49">
      <c r="A6672" s="30" t="s">
        <v>2921</v>
      </c>
      <c r="B6672" s="55" t="str">
        <f t="shared" si="1218"/>
        <v>PA_Merce_2018p</v>
      </c>
      <c r="D6672" s="55" t="str">
        <f t="shared" si="1219"/>
        <v>Rep-precinct committeeman east lackawannock,(vote for not more than  1)</v>
      </c>
      <c r="E6672" s="55" t="s">
        <v>2574</v>
      </c>
      <c r="G6672" s="60">
        <v>4</v>
      </c>
      <c r="H6672"/>
      <c r="J6672" s="7"/>
      <c r="K6672" s="2"/>
      <c r="O6672">
        <f t="shared" si="1220"/>
        <v>0</v>
      </c>
      <c r="P6672" s="57">
        <f t="shared" si="1221"/>
        <v>1</v>
      </c>
      <c r="Q6672" s="267">
        <f t="shared" si="1222"/>
        <v>4</v>
      </c>
      <c r="R6672" s="23">
        <f t="shared" si="1223"/>
        <v>1</v>
      </c>
      <c r="S6672" s="23">
        <f t="shared" si="1224"/>
        <v>0</v>
      </c>
      <c r="T6672" s="23" t="str">
        <f t="shared" si="1225"/>
        <v/>
      </c>
      <c r="U6672" t="str">
        <f t="shared" si="1226"/>
        <v>PA_Merce_2018p~Rep-precinct committeeman east lackawannock,(vote for not more than  1)</v>
      </c>
      <c r="V6672" s="40"/>
      <c r="AF6672" s="274"/>
      <c r="AG6672" s="339"/>
      <c r="AH6672" s="340"/>
      <c r="AI6672" s="353"/>
      <c r="AJ6672" s="357"/>
      <c r="AK6672" s="355"/>
      <c r="AL6672" s="20"/>
      <c r="AT6672" s="20"/>
      <c r="AU6672" s="29"/>
      <c r="AV6672"/>
      <c r="AW6672"/>
    </row>
    <row r="6673" spans="1:49">
      <c r="A6673" s="30" t="s">
        <v>2922</v>
      </c>
      <c r="B6673" s="55" t="str">
        <f t="shared" si="1218"/>
        <v>PA_Merce_2018p</v>
      </c>
      <c r="D6673" s="55" t="str">
        <f t="shared" si="1219"/>
        <v>Rep-precinct committeeman fairview,(vote for not more than  1)</v>
      </c>
      <c r="E6673" s="55" t="s">
        <v>2923</v>
      </c>
      <c r="G6673" s="60">
        <v>74</v>
      </c>
      <c r="H6673"/>
      <c r="J6673" s="7"/>
      <c r="K6673" s="2"/>
      <c r="O6673">
        <f t="shared" si="1220"/>
        <v>1</v>
      </c>
      <c r="P6673" s="57">
        <f t="shared" si="1221"/>
        <v>1</v>
      </c>
      <c r="Q6673" s="267">
        <f t="shared" si="1222"/>
        <v>74</v>
      </c>
      <c r="R6673" s="23">
        <f t="shared" si="1223"/>
        <v>74</v>
      </c>
      <c r="S6673" s="23">
        <f t="shared" si="1224"/>
        <v>0</v>
      </c>
      <c r="T6673" s="23" t="str">
        <f t="shared" si="1225"/>
        <v/>
      </c>
      <c r="U6673" t="str">
        <f t="shared" si="1226"/>
        <v>PA_Merce_2018p~Rep-precinct committeeman fairview,(vote for not more than  1)</v>
      </c>
      <c r="V6673" s="40"/>
      <c r="AF6673" s="274"/>
      <c r="AG6673" s="339"/>
      <c r="AH6673" s="340"/>
      <c r="AI6673" s="353"/>
      <c r="AJ6673" s="357"/>
      <c r="AK6673" s="355"/>
      <c r="AL6673" s="20"/>
      <c r="AT6673" s="20"/>
      <c r="AU6673" s="29"/>
      <c r="AV6673"/>
      <c r="AW6673"/>
    </row>
    <row r="6674" spans="1:49">
      <c r="A6674" s="30" t="s">
        <v>2922</v>
      </c>
      <c r="B6674" s="55" t="str">
        <f t="shared" si="1218"/>
        <v>PA_Merce_2018p</v>
      </c>
      <c r="D6674" s="55" t="str">
        <f t="shared" si="1219"/>
        <v>Rep-precinct committeeman fairview,(vote for not more than  1)</v>
      </c>
      <c r="E6674" s="55" t="s">
        <v>2574</v>
      </c>
      <c r="G6674" s="60">
        <v>0</v>
      </c>
      <c r="H6674"/>
      <c r="J6674" s="7"/>
      <c r="K6674" s="2"/>
      <c r="O6674">
        <f t="shared" si="1220"/>
        <v>-1</v>
      </c>
      <c r="P6674" s="57">
        <f t="shared" si="1221"/>
        <v>1</v>
      </c>
      <c r="Q6674" s="267">
        <f t="shared" si="1222"/>
        <v>0</v>
      </c>
      <c r="R6674" s="23">
        <f t="shared" si="1223"/>
        <v>1</v>
      </c>
      <c r="S6674" s="23">
        <f t="shared" si="1224"/>
        <v>0</v>
      </c>
      <c r="T6674" s="23" t="str">
        <f t="shared" si="1225"/>
        <v/>
      </c>
      <c r="U6674" t="str">
        <f t="shared" si="1226"/>
        <v/>
      </c>
      <c r="V6674" s="40"/>
      <c r="AF6674" s="274"/>
      <c r="AG6674" s="339"/>
      <c r="AH6674" s="340"/>
      <c r="AI6674" s="353"/>
      <c r="AJ6674" s="357"/>
      <c r="AK6674" s="355"/>
      <c r="AL6674" s="20"/>
      <c r="AT6674" s="20"/>
      <c r="AU6674" s="29"/>
      <c r="AV6674"/>
      <c r="AW6674"/>
    </row>
    <row r="6675" spans="1:49">
      <c r="A6675" s="30" t="s">
        <v>2924</v>
      </c>
      <c r="B6675" s="55" t="str">
        <f t="shared" si="1218"/>
        <v>PA_Merce_2018p</v>
      </c>
      <c r="D6675" s="55" t="str">
        <f t="shared" si="1219"/>
        <v>Rep-precinct committeeman farrell 1-1,(vote for not more than  1)</v>
      </c>
      <c r="E6675" s="55" t="s">
        <v>2574</v>
      </c>
      <c r="G6675" s="60">
        <v>0</v>
      </c>
      <c r="H6675"/>
      <c r="J6675" s="7"/>
      <c r="K6675" s="2"/>
      <c r="O6675">
        <f t="shared" si="1220"/>
        <v>0</v>
      </c>
      <c r="P6675" s="57">
        <f t="shared" si="1221"/>
        <v>1</v>
      </c>
      <c r="Q6675" s="267">
        <f t="shared" si="1222"/>
        <v>0</v>
      </c>
      <c r="R6675" s="23">
        <f t="shared" si="1223"/>
        <v>1</v>
      </c>
      <c r="S6675" s="23">
        <f t="shared" si="1224"/>
        <v>0</v>
      </c>
      <c r="T6675" s="23" t="str">
        <f t="shared" si="1225"/>
        <v/>
      </c>
      <c r="U6675" t="str">
        <f t="shared" si="1226"/>
        <v>PA_Merce_2018p~Rep-precinct committeeman farrell 1-1,(vote for not more than  1)</v>
      </c>
      <c r="V6675" s="40"/>
      <c r="AF6675" s="274"/>
      <c r="AG6675" s="339"/>
      <c r="AH6675" s="340"/>
      <c r="AI6675" s="353"/>
      <c r="AJ6675" s="357"/>
      <c r="AK6675" s="355"/>
      <c r="AL6675" s="20"/>
      <c r="AT6675" s="20"/>
      <c r="AU6675" s="29"/>
      <c r="AV6675"/>
      <c r="AW6675"/>
    </row>
    <row r="6676" spans="1:49">
      <c r="A6676" s="30" t="s">
        <v>2925</v>
      </c>
      <c r="B6676" s="55" t="str">
        <f t="shared" si="1218"/>
        <v>PA_Merce_2018p</v>
      </c>
      <c r="D6676" s="55" t="str">
        <f t="shared" si="1219"/>
        <v>Rep-precinct committeeman farrell 1-2,(vote for not more than  1)</v>
      </c>
      <c r="E6676" s="55" t="s">
        <v>2574</v>
      </c>
      <c r="G6676" s="60">
        <v>0</v>
      </c>
      <c r="H6676"/>
      <c r="J6676" s="7"/>
      <c r="K6676" s="2"/>
      <c r="O6676">
        <f t="shared" si="1220"/>
        <v>0</v>
      </c>
      <c r="P6676" s="57">
        <f t="shared" si="1221"/>
        <v>1</v>
      </c>
      <c r="Q6676" s="267">
        <f t="shared" si="1222"/>
        <v>0</v>
      </c>
      <c r="R6676" s="23">
        <f t="shared" si="1223"/>
        <v>1</v>
      </c>
      <c r="S6676" s="23">
        <f t="shared" si="1224"/>
        <v>0</v>
      </c>
      <c r="T6676" s="23" t="str">
        <f t="shared" si="1225"/>
        <v/>
      </c>
      <c r="U6676" t="str">
        <f t="shared" si="1226"/>
        <v>PA_Merce_2018p~Rep-precinct committeeman farrell 1-2,(vote for not more than  1)</v>
      </c>
      <c r="V6676" s="40"/>
      <c r="AF6676" s="274"/>
      <c r="AG6676" s="339"/>
      <c r="AH6676" s="340"/>
      <c r="AI6676" s="353"/>
      <c r="AJ6676" s="357"/>
      <c r="AK6676" s="355"/>
      <c r="AL6676" s="20"/>
      <c r="AT6676" s="20"/>
      <c r="AU6676" s="29"/>
      <c r="AV6676"/>
      <c r="AW6676"/>
    </row>
    <row r="6677" spans="1:49">
      <c r="A6677" s="30" t="s">
        <v>2926</v>
      </c>
      <c r="B6677" s="55" t="str">
        <f t="shared" si="1218"/>
        <v>PA_Merce_2018p</v>
      </c>
      <c r="D6677" s="55" t="str">
        <f t="shared" si="1219"/>
        <v>Rep-precinct committeeman farrell 1-3,(vote for not more than  1)</v>
      </c>
      <c r="E6677" s="55" t="s">
        <v>2574</v>
      </c>
      <c r="G6677" s="60">
        <v>0</v>
      </c>
      <c r="H6677"/>
      <c r="J6677" s="7"/>
      <c r="K6677" s="2"/>
      <c r="O6677">
        <f t="shared" si="1220"/>
        <v>0</v>
      </c>
      <c r="P6677" s="57">
        <f t="shared" si="1221"/>
        <v>1</v>
      </c>
      <c r="Q6677" s="267">
        <f t="shared" si="1222"/>
        <v>0</v>
      </c>
      <c r="R6677" s="23">
        <f t="shared" si="1223"/>
        <v>1</v>
      </c>
      <c r="S6677" s="23">
        <f t="shared" si="1224"/>
        <v>0</v>
      </c>
      <c r="T6677" s="23" t="str">
        <f t="shared" si="1225"/>
        <v/>
      </c>
      <c r="U6677" t="str">
        <f t="shared" si="1226"/>
        <v>PA_Merce_2018p~Rep-precinct committeeman farrell 1-3,(vote for not more than  1)</v>
      </c>
      <c r="V6677" s="40"/>
      <c r="AF6677" s="274"/>
      <c r="AG6677" s="339"/>
      <c r="AH6677" s="340"/>
      <c r="AI6677" s="353"/>
      <c r="AJ6677" s="357"/>
      <c r="AK6677" s="355"/>
      <c r="AL6677" s="20"/>
      <c r="AT6677" s="20"/>
      <c r="AU6677" s="29"/>
      <c r="AV6677"/>
      <c r="AW6677"/>
    </row>
    <row r="6678" spans="1:49">
      <c r="A6678" s="30" t="s">
        <v>2927</v>
      </c>
      <c r="B6678" s="55" t="str">
        <f t="shared" si="1218"/>
        <v>PA_Merce_2018p</v>
      </c>
      <c r="D6678" s="55" t="str">
        <f t="shared" si="1219"/>
        <v>Rep-precinct committeeman farrell 2-1,(vote for not more than  1)</v>
      </c>
      <c r="E6678" s="55" t="s">
        <v>2574</v>
      </c>
      <c r="G6678" s="60">
        <v>0</v>
      </c>
      <c r="H6678"/>
      <c r="J6678" s="7"/>
      <c r="K6678" s="2"/>
      <c r="O6678">
        <f t="shared" si="1220"/>
        <v>0</v>
      </c>
      <c r="P6678" s="57">
        <f t="shared" si="1221"/>
        <v>1</v>
      </c>
      <c r="Q6678" s="267">
        <f t="shared" si="1222"/>
        <v>0</v>
      </c>
      <c r="R6678" s="23">
        <f t="shared" si="1223"/>
        <v>1</v>
      </c>
      <c r="S6678" s="23">
        <f t="shared" si="1224"/>
        <v>0</v>
      </c>
      <c r="T6678" s="23" t="str">
        <f t="shared" si="1225"/>
        <v/>
      </c>
      <c r="U6678" t="str">
        <f t="shared" si="1226"/>
        <v>PA_Merce_2018p~Rep-precinct committeeman farrell 2-1,(vote for not more than  1)</v>
      </c>
      <c r="V6678" s="40"/>
      <c r="AF6678" s="274"/>
      <c r="AG6678" s="339"/>
      <c r="AH6678" s="340"/>
      <c r="AI6678" s="353"/>
      <c r="AJ6678" s="357"/>
      <c r="AK6678" s="355"/>
      <c r="AL6678" s="20"/>
      <c r="AT6678" s="20"/>
      <c r="AU6678" s="29"/>
      <c r="AV6678"/>
      <c r="AW6678"/>
    </row>
    <row r="6679" spans="1:49">
      <c r="A6679" s="30" t="s">
        <v>2928</v>
      </c>
      <c r="B6679" s="55" t="str">
        <f t="shared" si="1218"/>
        <v>PA_Merce_2018p</v>
      </c>
      <c r="D6679" s="55" t="str">
        <f t="shared" si="1219"/>
        <v>Rep-precinct committeeman farrell 2-2,(vote for not more than  1)</v>
      </c>
      <c r="E6679" s="55" t="s">
        <v>2574</v>
      </c>
      <c r="G6679" s="60">
        <v>2</v>
      </c>
      <c r="H6679"/>
      <c r="J6679" s="7"/>
      <c r="K6679" s="2"/>
      <c r="O6679">
        <f t="shared" si="1220"/>
        <v>0</v>
      </c>
      <c r="P6679" s="57">
        <f t="shared" si="1221"/>
        <v>1</v>
      </c>
      <c r="Q6679" s="267">
        <f t="shared" si="1222"/>
        <v>2</v>
      </c>
      <c r="R6679" s="23">
        <f t="shared" si="1223"/>
        <v>1</v>
      </c>
      <c r="S6679" s="23">
        <f t="shared" si="1224"/>
        <v>0</v>
      </c>
      <c r="T6679" s="23" t="str">
        <f t="shared" si="1225"/>
        <v/>
      </c>
      <c r="U6679" t="str">
        <f t="shared" si="1226"/>
        <v>PA_Merce_2018p~Rep-precinct committeeman farrell 2-2,(vote for not more than  1)</v>
      </c>
      <c r="V6679" s="40"/>
      <c r="AF6679" s="274"/>
      <c r="AG6679" s="339"/>
      <c r="AH6679" s="340"/>
      <c r="AI6679" s="353"/>
      <c r="AJ6679" s="357"/>
      <c r="AK6679" s="355"/>
      <c r="AL6679" s="20"/>
      <c r="AT6679" s="20"/>
      <c r="AU6679" s="29"/>
      <c r="AV6679"/>
      <c r="AW6679"/>
    </row>
    <row r="6680" spans="1:49">
      <c r="A6680" s="30" t="s">
        <v>2929</v>
      </c>
      <c r="B6680" s="55" t="str">
        <f t="shared" si="1218"/>
        <v>PA_Merce_2018p</v>
      </c>
      <c r="D6680" s="55" t="str">
        <f t="shared" si="1219"/>
        <v>Rep-precinct committeeman farrell 2-3,(vote for not more than  1)</v>
      </c>
      <c r="E6680" s="55" t="s">
        <v>2574</v>
      </c>
      <c r="G6680" s="60">
        <v>0</v>
      </c>
      <c r="H6680"/>
      <c r="J6680" s="7"/>
      <c r="K6680" s="2"/>
      <c r="O6680">
        <f t="shared" si="1220"/>
        <v>0</v>
      </c>
      <c r="P6680" s="57">
        <f t="shared" si="1221"/>
        <v>1</v>
      </c>
      <c r="Q6680" s="267">
        <f t="shared" si="1222"/>
        <v>0</v>
      </c>
      <c r="R6680" s="23">
        <f t="shared" si="1223"/>
        <v>1</v>
      </c>
      <c r="S6680" s="23">
        <f t="shared" si="1224"/>
        <v>0</v>
      </c>
      <c r="T6680" s="23" t="str">
        <f t="shared" si="1225"/>
        <v/>
      </c>
      <c r="U6680" t="str">
        <f t="shared" si="1226"/>
        <v>PA_Merce_2018p~Rep-precinct committeeman farrell 2-3,(vote for not more than  1)</v>
      </c>
      <c r="V6680" s="40"/>
      <c r="AF6680" s="274"/>
      <c r="AG6680" s="339"/>
      <c r="AH6680" s="340"/>
      <c r="AI6680" s="353"/>
      <c r="AJ6680" s="357"/>
      <c r="AK6680" s="355"/>
      <c r="AL6680" s="20"/>
      <c r="AT6680" s="20"/>
      <c r="AU6680" s="29"/>
      <c r="AV6680"/>
      <c r="AW6680"/>
    </row>
    <row r="6681" spans="1:49">
      <c r="A6681" s="30" t="s">
        <v>2930</v>
      </c>
      <c r="B6681" s="55" t="str">
        <f t="shared" si="1218"/>
        <v>PA_Merce_2018p</v>
      </c>
      <c r="D6681" s="55" t="str">
        <f t="shared" si="1219"/>
        <v>Rep-precinct committeeman farrell 2-4,(vote for not more than  1)</v>
      </c>
      <c r="E6681" s="55" t="s">
        <v>2574</v>
      </c>
      <c r="G6681" s="60">
        <v>0</v>
      </c>
      <c r="H6681"/>
      <c r="J6681" s="7"/>
      <c r="K6681" s="2"/>
      <c r="O6681">
        <f t="shared" si="1220"/>
        <v>0</v>
      </c>
      <c r="P6681" s="57">
        <f t="shared" si="1221"/>
        <v>1</v>
      </c>
      <c r="Q6681" s="267">
        <f t="shared" si="1222"/>
        <v>0</v>
      </c>
      <c r="R6681" s="23">
        <f t="shared" si="1223"/>
        <v>1</v>
      </c>
      <c r="S6681" s="23">
        <f t="shared" si="1224"/>
        <v>0</v>
      </c>
      <c r="T6681" s="23" t="str">
        <f t="shared" si="1225"/>
        <v/>
      </c>
      <c r="U6681" t="str">
        <f t="shared" si="1226"/>
        <v>PA_Merce_2018p~Rep-precinct committeeman farrell 2-4,(vote for not more than  1)</v>
      </c>
      <c r="V6681" s="40"/>
      <c r="AF6681" s="274"/>
      <c r="AG6681" s="339"/>
      <c r="AH6681" s="340"/>
      <c r="AI6681" s="353"/>
      <c r="AJ6681" s="357"/>
      <c r="AK6681" s="355"/>
      <c r="AL6681" s="20"/>
      <c r="AT6681" s="20"/>
      <c r="AU6681" s="29"/>
      <c r="AV6681"/>
      <c r="AW6681"/>
    </row>
    <row r="6682" spans="1:49">
      <c r="A6682" s="30" t="s">
        <v>2931</v>
      </c>
      <c r="B6682" s="55" t="str">
        <f t="shared" si="1218"/>
        <v>PA_Merce_2018p</v>
      </c>
      <c r="D6682" s="55" t="str">
        <f t="shared" si="1219"/>
        <v>Rep-precinct committeeman findley,(vote for not more than  1)</v>
      </c>
      <c r="E6682" s="55" t="s">
        <v>2932</v>
      </c>
      <c r="G6682" s="60">
        <v>119</v>
      </c>
      <c r="H6682"/>
      <c r="J6682" s="7"/>
      <c r="K6682" s="2"/>
      <c r="O6682">
        <f t="shared" si="1220"/>
        <v>1</v>
      </c>
      <c r="P6682" s="57">
        <f t="shared" si="1221"/>
        <v>1</v>
      </c>
      <c r="Q6682" s="267">
        <f t="shared" si="1222"/>
        <v>119</v>
      </c>
      <c r="R6682" s="23">
        <f t="shared" si="1223"/>
        <v>119</v>
      </c>
      <c r="S6682" s="23">
        <f t="shared" si="1224"/>
        <v>0</v>
      </c>
      <c r="T6682" s="23" t="str">
        <f t="shared" si="1225"/>
        <v/>
      </c>
      <c r="U6682" t="str">
        <f t="shared" si="1226"/>
        <v>PA_Merce_2018p~Rep-precinct committeeman findley,(vote for not more than  1)</v>
      </c>
      <c r="V6682" s="40"/>
      <c r="AF6682" s="274"/>
      <c r="AG6682" s="339"/>
      <c r="AH6682" s="340"/>
      <c r="AI6682" s="353"/>
      <c r="AJ6682" s="357"/>
      <c r="AK6682" s="355"/>
      <c r="AL6682" s="20"/>
      <c r="AT6682" s="20"/>
      <c r="AU6682" s="29"/>
      <c r="AV6682"/>
      <c r="AW6682"/>
    </row>
    <row r="6683" spans="1:49">
      <c r="A6683" s="30" t="s">
        <v>2931</v>
      </c>
      <c r="B6683" s="55" t="str">
        <f t="shared" si="1218"/>
        <v>PA_Merce_2018p</v>
      </c>
      <c r="D6683" s="55" t="str">
        <f t="shared" si="1219"/>
        <v>Rep-precinct committeeman findley,(vote for not more than  1)</v>
      </c>
      <c r="E6683" s="55" t="s">
        <v>2574</v>
      </c>
      <c r="G6683" s="60">
        <v>0</v>
      </c>
      <c r="H6683"/>
      <c r="J6683" s="7"/>
      <c r="K6683" s="2"/>
      <c r="O6683">
        <f t="shared" si="1220"/>
        <v>-1</v>
      </c>
      <c r="P6683" s="57">
        <f t="shared" si="1221"/>
        <v>1</v>
      </c>
      <c r="Q6683" s="267">
        <f t="shared" si="1222"/>
        <v>0</v>
      </c>
      <c r="R6683" s="23">
        <f t="shared" si="1223"/>
        <v>1</v>
      </c>
      <c r="S6683" s="23">
        <f t="shared" si="1224"/>
        <v>0</v>
      </c>
      <c r="T6683" s="23" t="str">
        <f t="shared" si="1225"/>
        <v/>
      </c>
      <c r="U6683" t="str">
        <f t="shared" si="1226"/>
        <v/>
      </c>
      <c r="V6683" s="40"/>
      <c r="AF6683" s="274"/>
      <c r="AG6683" s="339"/>
      <c r="AH6683" s="340"/>
      <c r="AI6683" s="353"/>
      <c r="AJ6683" s="357"/>
      <c r="AK6683" s="355"/>
      <c r="AL6683" s="20"/>
      <c r="AT6683" s="20"/>
      <c r="AU6683" s="29"/>
      <c r="AV6683"/>
      <c r="AW6683"/>
    </row>
    <row r="6684" spans="1:49">
      <c r="A6684" s="30" t="s">
        <v>2933</v>
      </c>
      <c r="B6684" s="55" t="str">
        <f t="shared" si="1218"/>
        <v>PA_Merce_2018p</v>
      </c>
      <c r="D6684" s="55" t="str">
        <f t="shared" si="1219"/>
        <v>Rep-precinct committeeman fredonia,(vote for not more than  1)</v>
      </c>
      <c r="E6684" s="55" t="s">
        <v>2574</v>
      </c>
      <c r="G6684" s="60">
        <v>0</v>
      </c>
      <c r="H6684"/>
      <c r="J6684" s="7"/>
      <c r="K6684" s="2"/>
      <c r="O6684">
        <f t="shared" si="1220"/>
        <v>0</v>
      </c>
      <c r="P6684" s="57">
        <f t="shared" si="1221"/>
        <v>1</v>
      </c>
      <c r="Q6684" s="267">
        <f t="shared" si="1222"/>
        <v>0</v>
      </c>
      <c r="R6684" s="23">
        <f t="shared" si="1223"/>
        <v>1</v>
      </c>
      <c r="S6684" s="23">
        <f t="shared" si="1224"/>
        <v>0</v>
      </c>
      <c r="T6684" s="23" t="str">
        <f t="shared" si="1225"/>
        <v/>
      </c>
      <c r="U6684" t="str">
        <f t="shared" si="1226"/>
        <v>PA_Merce_2018p~Rep-precinct committeeman fredonia,(vote for not more than  1)</v>
      </c>
      <c r="V6684" s="40"/>
      <c r="AF6684" s="274"/>
      <c r="AG6684" s="339"/>
      <c r="AH6684" s="340"/>
      <c r="AI6684" s="353"/>
      <c r="AJ6684" s="357"/>
      <c r="AK6684" s="355"/>
      <c r="AL6684" s="20"/>
      <c r="AT6684" s="20"/>
      <c r="AU6684" s="29"/>
      <c r="AV6684"/>
      <c r="AW6684"/>
    </row>
    <row r="6685" spans="1:49">
      <c r="A6685" s="30" t="s">
        <v>2934</v>
      </c>
      <c r="B6685" s="55" t="str">
        <f t="shared" si="1218"/>
        <v>PA_Merce_2018p</v>
      </c>
      <c r="D6685" s="55" t="str">
        <f t="shared" si="1219"/>
        <v>Rep-precinct committeeman french creek,(vote for not more than  1)</v>
      </c>
      <c r="E6685" s="55" t="s">
        <v>2574</v>
      </c>
      <c r="G6685" s="60">
        <v>3</v>
      </c>
      <c r="H6685"/>
      <c r="J6685" s="7"/>
      <c r="K6685" s="2"/>
      <c r="O6685">
        <f t="shared" si="1220"/>
        <v>0</v>
      </c>
      <c r="P6685" s="57">
        <f t="shared" si="1221"/>
        <v>1</v>
      </c>
      <c r="Q6685" s="267">
        <f t="shared" si="1222"/>
        <v>3</v>
      </c>
      <c r="R6685" s="23">
        <f t="shared" si="1223"/>
        <v>1</v>
      </c>
      <c r="S6685" s="23">
        <f t="shared" si="1224"/>
        <v>0</v>
      </c>
      <c r="T6685" s="23" t="str">
        <f t="shared" si="1225"/>
        <v/>
      </c>
      <c r="U6685" t="str">
        <f t="shared" si="1226"/>
        <v>PA_Merce_2018p~Rep-precinct committeeman french creek,(vote for not more than  1)</v>
      </c>
      <c r="V6685" s="40"/>
      <c r="AF6685" s="274"/>
      <c r="AG6685" s="339"/>
      <c r="AH6685" s="340"/>
      <c r="AI6685" s="353"/>
      <c r="AJ6685" s="357"/>
      <c r="AK6685" s="355"/>
      <c r="AL6685" s="20"/>
      <c r="AT6685" s="20"/>
      <c r="AU6685" s="29"/>
      <c r="AV6685"/>
      <c r="AW6685"/>
    </row>
    <row r="6686" spans="1:49">
      <c r="A6686" s="30" t="s">
        <v>2935</v>
      </c>
      <c r="B6686" s="55" t="str">
        <f t="shared" si="1218"/>
        <v>PA_Merce_2018p</v>
      </c>
      <c r="D6686" s="55" t="str">
        <f t="shared" si="1219"/>
        <v>Rep-precinct committeeman greene,(vote for not more than  1)</v>
      </c>
      <c r="E6686" s="55" t="s">
        <v>2574</v>
      </c>
      <c r="G6686" s="60">
        <v>0</v>
      </c>
      <c r="H6686"/>
      <c r="J6686" s="7"/>
      <c r="K6686" s="2"/>
      <c r="O6686">
        <f t="shared" si="1220"/>
        <v>0</v>
      </c>
      <c r="P6686" s="57">
        <f t="shared" si="1221"/>
        <v>1</v>
      </c>
      <c r="Q6686" s="267">
        <f t="shared" si="1222"/>
        <v>0</v>
      </c>
      <c r="R6686" s="23">
        <f t="shared" si="1223"/>
        <v>1</v>
      </c>
      <c r="S6686" s="23">
        <f t="shared" si="1224"/>
        <v>0</v>
      </c>
      <c r="T6686" s="23" t="str">
        <f t="shared" si="1225"/>
        <v/>
      </c>
      <c r="U6686" t="str">
        <f t="shared" si="1226"/>
        <v>PA_Merce_2018p~Rep-precinct committeeman greene,(vote for not more than  1)</v>
      </c>
      <c r="V6686" s="40"/>
      <c r="AF6686" s="274"/>
      <c r="AG6686" s="339"/>
      <c r="AH6686" s="340"/>
      <c r="AI6686" s="353"/>
      <c r="AJ6686" s="357"/>
      <c r="AK6686" s="355"/>
      <c r="AL6686" s="20"/>
      <c r="AT6686" s="20"/>
      <c r="AU6686" s="29"/>
      <c r="AV6686"/>
      <c r="AW6686"/>
    </row>
    <row r="6687" spans="1:49">
      <c r="A6687" s="30" t="s">
        <v>2936</v>
      </c>
      <c r="B6687" s="55" t="str">
        <f t="shared" si="1218"/>
        <v>PA_Merce_2018p</v>
      </c>
      <c r="D6687" s="55" t="str">
        <f t="shared" si="1219"/>
        <v>Rep-precinct committeeman greenville 1,(vote for not more than  1)</v>
      </c>
      <c r="E6687" s="55" t="s">
        <v>2574</v>
      </c>
      <c r="G6687" s="60">
        <v>1</v>
      </c>
      <c r="H6687"/>
      <c r="J6687" s="7"/>
      <c r="K6687" s="2"/>
      <c r="O6687">
        <f t="shared" si="1220"/>
        <v>0</v>
      </c>
      <c r="P6687" s="57">
        <f t="shared" si="1221"/>
        <v>1</v>
      </c>
      <c r="Q6687" s="267">
        <f t="shared" si="1222"/>
        <v>1</v>
      </c>
      <c r="R6687" s="23">
        <f t="shared" si="1223"/>
        <v>1</v>
      </c>
      <c r="S6687" s="23">
        <f t="shared" si="1224"/>
        <v>0</v>
      </c>
      <c r="T6687" s="23" t="str">
        <f t="shared" si="1225"/>
        <v/>
      </c>
      <c r="U6687" t="str">
        <f t="shared" si="1226"/>
        <v>PA_Merce_2018p~Rep-precinct committeeman greenville 1,(vote for not more than  1)</v>
      </c>
      <c r="V6687" s="40"/>
      <c r="AF6687" s="274"/>
      <c r="AG6687" s="339"/>
      <c r="AH6687" s="340"/>
      <c r="AI6687" s="353"/>
      <c r="AJ6687" s="357"/>
      <c r="AK6687" s="355"/>
      <c r="AL6687" s="20"/>
      <c r="AT6687" s="20"/>
      <c r="AU6687" s="29"/>
      <c r="AV6687"/>
      <c r="AW6687"/>
    </row>
    <row r="6688" spans="1:49">
      <c r="A6688" s="30" t="s">
        <v>2937</v>
      </c>
      <c r="B6688" s="55" t="str">
        <f t="shared" si="1218"/>
        <v>PA_Merce_2018p</v>
      </c>
      <c r="D6688" s="55" t="str">
        <f t="shared" si="1219"/>
        <v>Rep-precinct committeeman greenville 2,(vote for not more than  1)</v>
      </c>
      <c r="E6688" s="55" t="s">
        <v>2938</v>
      </c>
      <c r="G6688" s="60">
        <v>49</v>
      </c>
      <c r="H6688"/>
      <c r="J6688" s="7"/>
      <c r="K6688" s="2"/>
      <c r="O6688">
        <f t="shared" si="1220"/>
        <v>1</v>
      </c>
      <c r="P6688" s="57">
        <f t="shared" si="1221"/>
        <v>1</v>
      </c>
      <c r="Q6688" s="267">
        <f t="shared" si="1222"/>
        <v>49</v>
      </c>
      <c r="R6688" s="23">
        <f t="shared" si="1223"/>
        <v>49</v>
      </c>
      <c r="S6688" s="23">
        <f t="shared" si="1224"/>
        <v>0</v>
      </c>
      <c r="T6688" s="23" t="str">
        <f t="shared" si="1225"/>
        <v/>
      </c>
      <c r="U6688" t="str">
        <f t="shared" si="1226"/>
        <v>PA_Merce_2018p~Rep-precinct committeeman greenville 2,(vote for not more than  1)</v>
      </c>
      <c r="V6688" s="40"/>
      <c r="AF6688" s="274"/>
      <c r="AG6688" s="339"/>
      <c r="AH6688" s="340"/>
      <c r="AI6688" s="353"/>
      <c r="AJ6688" s="357"/>
      <c r="AK6688" s="355"/>
      <c r="AL6688" s="20"/>
      <c r="AT6688" s="20"/>
      <c r="AU6688" s="29"/>
      <c r="AV6688"/>
      <c r="AW6688"/>
    </row>
    <row r="6689" spans="1:49">
      <c r="A6689" s="30" t="s">
        <v>2937</v>
      </c>
      <c r="B6689" s="55" t="str">
        <f t="shared" si="1218"/>
        <v>PA_Merce_2018p</v>
      </c>
      <c r="D6689" s="55" t="str">
        <f t="shared" si="1219"/>
        <v>Rep-precinct committeeman greenville 2,(vote for not more than  1)</v>
      </c>
      <c r="E6689" s="55" t="s">
        <v>2574</v>
      </c>
      <c r="G6689" s="60">
        <v>0</v>
      </c>
      <c r="H6689"/>
      <c r="J6689" s="7"/>
      <c r="K6689" s="2"/>
      <c r="O6689">
        <f t="shared" si="1220"/>
        <v>-1</v>
      </c>
      <c r="P6689" s="57">
        <f t="shared" si="1221"/>
        <v>1</v>
      </c>
      <c r="Q6689" s="267">
        <f t="shared" si="1222"/>
        <v>0</v>
      </c>
      <c r="R6689" s="23">
        <f t="shared" si="1223"/>
        <v>1</v>
      </c>
      <c r="S6689" s="23">
        <f t="shared" si="1224"/>
        <v>0</v>
      </c>
      <c r="T6689" s="23" t="str">
        <f t="shared" si="1225"/>
        <v/>
      </c>
      <c r="U6689" t="str">
        <f t="shared" si="1226"/>
        <v/>
      </c>
      <c r="V6689" s="40"/>
      <c r="AF6689" s="274"/>
      <c r="AG6689" s="339"/>
      <c r="AH6689" s="340"/>
      <c r="AI6689" s="353"/>
      <c r="AJ6689" s="357"/>
      <c r="AK6689" s="355"/>
      <c r="AL6689" s="20"/>
      <c r="AT6689" s="20"/>
      <c r="AU6689" s="29"/>
      <c r="AV6689"/>
      <c r="AW6689"/>
    </row>
    <row r="6690" spans="1:49">
      <c r="A6690" s="30" t="s">
        <v>2939</v>
      </c>
      <c r="B6690" s="55" t="str">
        <f t="shared" si="1218"/>
        <v>PA_Merce_2018p</v>
      </c>
      <c r="D6690" s="55" t="str">
        <f t="shared" si="1219"/>
        <v>Rep-precinct committeeman greenville 3,(vote for not more than  1)</v>
      </c>
      <c r="E6690" s="55" t="s">
        <v>2574</v>
      </c>
      <c r="G6690" s="60">
        <v>3</v>
      </c>
      <c r="H6690"/>
      <c r="J6690" s="7"/>
      <c r="K6690" s="2"/>
      <c r="O6690">
        <f t="shared" si="1220"/>
        <v>0</v>
      </c>
      <c r="P6690" s="57">
        <f t="shared" si="1221"/>
        <v>1</v>
      </c>
      <c r="Q6690" s="267">
        <f t="shared" si="1222"/>
        <v>3</v>
      </c>
      <c r="R6690" s="23">
        <f t="shared" si="1223"/>
        <v>1</v>
      </c>
      <c r="S6690" s="23">
        <f t="shared" si="1224"/>
        <v>0</v>
      </c>
      <c r="T6690" s="23" t="str">
        <f t="shared" si="1225"/>
        <v/>
      </c>
      <c r="U6690" t="str">
        <f t="shared" si="1226"/>
        <v>PA_Merce_2018p~Rep-precinct committeeman greenville 3,(vote for not more than  1)</v>
      </c>
      <c r="V6690" s="40"/>
      <c r="AF6690" s="274"/>
      <c r="AG6690" s="339"/>
      <c r="AH6690" s="340"/>
      <c r="AI6690" s="353"/>
      <c r="AJ6690" s="357"/>
      <c r="AK6690" s="355"/>
      <c r="AL6690" s="20"/>
      <c r="AT6690" s="20"/>
      <c r="AU6690" s="29"/>
      <c r="AV6690"/>
      <c r="AW6690"/>
    </row>
    <row r="6691" spans="1:49">
      <c r="A6691" s="30" t="s">
        <v>2940</v>
      </c>
      <c r="B6691" s="55" t="str">
        <f t="shared" si="1218"/>
        <v>PA_Merce_2018p</v>
      </c>
      <c r="D6691" s="55" t="str">
        <f t="shared" si="1219"/>
        <v>Rep-precinct committeeman greenville 4,(vote for not more than  1)</v>
      </c>
      <c r="E6691" s="55" t="s">
        <v>2574</v>
      </c>
      <c r="G6691" s="60">
        <v>2</v>
      </c>
      <c r="H6691"/>
      <c r="J6691" s="7"/>
      <c r="K6691" s="2"/>
      <c r="O6691">
        <f t="shared" si="1220"/>
        <v>0</v>
      </c>
      <c r="P6691" s="57">
        <f t="shared" si="1221"/>
        <v>1</v>
      </c>
      <c r="Q6691" s="267">
        <f t="shared" si="1222"/>
        <v>2</v>
      </c>
      <c r="R6691" s="23">
        <f t="shared" si="1223"/>
        <v>1</v>
      </c>
      <c r="S6691" s="23">
        <f t="shared" si="1224"/>
        <v>0</v>
      </c>
      <c r="T6691" s="23" t="str">
        <f t="shared" si="1225"/>
        <v/>
      </c>
      <c r="U6691" t="str">
        <f t="shared" si="1226"/>
        <v>PA_Merce_2018p~Rep-precinct committeeman greenville 4,(vote for not more than  1)</v>
      </c>
      <c r="V6691" s="40"/>
      <c r="AF6691" s="274"/>
      <c r="AG6691" s="339"/>
      <c r="AH6691" s="340"/>
      <c r="AI6691" s="353"/>
      <c r="AJ6691" s="357"/>
      <c r="AK6691" s="355"/>
      <c r="AL6691" s="20"/>
      <c r="AT6691" s="20"/>
      <c r="AU6691" s="29"/>
      <c r="AV6691"/>
      <c r="AW6691"/>
    </row>
    <row r="6692" spans="1:49">
      <c r="A6692" s="30" t="s">
        <v>2941</v>
      </c>
      <c r="B6692" s="55" t="str">
        <f t="shared" si="1218"/>
        <v>PA_Merce_2018p</v>
      </c>
      <c r="D6692" s="55" t="str">
        <f t="shared" si="1219"/>
        <v>Rep-precinct committeeman grove city 1,(vote for not more than  1)</v>
      </c>
      <c r="E6692" s="55" t="s">
        <v>2942</v>
      </c>
      <c r="G6692" s="60">
        <v>57</v>
      </c>
      <c r="H6692"/>
      <c r="J6692" s="7"/>
      <c r="K6692" s="2"/>
      <c r="O6692">
        <f t="shared" si="1220"/>
        <v>1</v>
      </c>
      <c r="P6692" s="57">
        <f t="shared" si="1221"/>
        <v>1</v>
      </c>
      <c r="Q6692" s="267">
        <f t="shared" si="1222"/>
        <v>58</v>
      </c>
      <c r="R6692" s="23">
        <f t="shared" si="1223"/>
        <v>57</v>
      </c>
      <c r="S6692" s="23">
        <f t="shared" si="1224"/>
        <v>0</v>
      </c>
      <c r="T6692" s="23" t="str">
        <f t="shared" si="1225"/>
        <v/>
      </c>
      <c r="U6692" t="str">
        <f t="shared" si="1226"/>
        <v>PA_Merce_2018p~Rep-precinct committeeman grove city 1,(vote for not more than  1)</v>
      </c>
      <c r="V6692" s="40"/>
      <c r="AF6692" s="274"/>
      <c r="AG6692" s="339"/>
      <c r="AH6692" s="340"/>
      <c r="AI6692" s="353"/>
      <c r="AJ6692" s="357"/>
      <c r="AK6692" s="355"/>
      <c r="AL6692" s="20"/>
      <c r="AT6692" s="20"/>
      <c r="AU6692" s="29"/>
      <c r="AV6692"/>
      <c r="AW6692"/>
    </row>
    <row r="6693" spans="1:49">
      <c r="A6693" s="30" t="s">
        <v>2941</v>
      </c>
      <c r="B6693" s="55" t="str">
        <f t="shared" si="1218"/>
        <v>PA_Merce_2018p</v>
      </c>
      <c r="D6693" s="55" t="str">
        <f t="shared" si="1219"/>
        <v>Rep-precinct committeeman grove city 1,(vote for not more than  1)</v>
      </c>
      <c r="E6693" s="55" t="s">
        <v>2574</v>
      </c>
      <c r="G6693" s="60">
        <v>1</v>
      </c>
      <c r="H6693"/>
      <c r="J6693" s="7"/>
      <c r="K6693" s="2"/>
      <c r="O6693">
        <f t="shared" si="1220"/>
        <v>-1</v>
      </c>
      <c r="P6693" s="57">
        <f t="shared" si="1221"/>
        <v>1</v>
      </c>
      <c r="Q6693" s="267">
        <f t="shared" si="1222"/>
        <v>1</v>
      </c>
      <c r="R6693" s="23">
        <f t="shared" si="1223"/>
        <v>1</v>
      </c>
      <c r="S6693" s="23">
        <f t="shared" si="1224"/>
        <v>0</v>
      </c>
      <c r="T6693" s="23" t="str">
        <f t="shared" si="1225"/>
        <v/>
      </c>
      <c r="U6693" t="str">
        <f t="shared" si="1226"/>
        <v/>
      </c>
      <c r="V6693" s="40"/>
      <c r="AF6693" s="274"/>
      <c r="AG6693" s="339"/>
      <c r="AH6693" s="340"/>
      <c r="AI6693" s="353"/>
      <c r="AJ6693" s="357"/>
      <c r="AK6693" s="355"/>
      <c r="AL6693" s="20"/>
      <c r="AT6693" s="20"/>
      <c r="AU6693" s="29"/>
      <c r="AV6693"/>
      <c r="AW6693"/>
    </row>
    <row r="6694" spans="1:49">
      <c r="A6694" s="30" t="s">
        <v>2943</v>
      </c>
      <c r="B6694" s="55" t="str">
        <f t="shared" si="1218"/>
        <v>PA_Merce_2018p</v>
      </c>
      <c r="D6694" s="55" t="str">
        <f t="shared" si="1219"/>
        <v>Rep-precinct committeeman grove city 2,(vote for not more than  1)</v>
      </c>
      <c r="E6694" s="55" t="s">
        <v>2574</v>
      </c>
      <c r="G6694" s="60">
        <v>8</v>
      </c>
      <c r="H6694"/>
      <c r="J6694" s="7"/>
      <c r="K6694" s="2"/>
      <c r="O6694">
        <f t="shared" si="1220"/>
        <v>0</v>
      </c>
      <c r="P6694" s="57">
        <f t="shared" si="1221"/>
        <v>1</v>
      </c>
      <c r="Q6694" s="267">
        <f t="shared" si="1222"/>
        <v>8</v>
      </c>
      <c r="R6694" s="23">
        <f t="shared" si="1223"/>
        <v>1</v>
      </c>
      <c r="S6694" s="23">
        <f t="shared" si="1224"/>
        <v>0</v>
      </c>
      <c r="T6694" s="23" t="str">
        <f t="shared" si="1225"/>
        <v/>
      </c>
      <c r="U6694" t="str">
        <f t="shared" si="1226"/>
        <v>PA_Merce_2018p~Rep-precinct committeeman grove city 2,(vote for not more than  1)</v>
      </c>
      <c r="V6694" s="40"/>
      <c r="AF6694" s="274"/>
      <c r="AG6694" s="339"/>
      <c r="AH6694" s="340"/>
      <c r="AI6694" s="353"/>
      <c r="AJ6694" s="357"/>
      <c r="AK6694" s="355"/>
      <c r="AL6694" s="20"/>
      <c r="AT6694" s="20"/>
      <c r="AU6694" s="29"/>
      <c r="AV6694"/>
      <c r="AW6694"/>
    </row>
    <row r="6695" spans="1:49">
      <c r="A6695" s="30" t="s">
        <v>2944</v>
      </c>
      <c r="B6695" s="55" t="str">
        <f t="shared" si="1218"/>
        <v>PA_Merce_2018p</v>
      </c>
      <c r="D6695" s="55" t="str">
        <f t="shared" si="1219"/>
        <v>Rep-precinct committeeman grove city 3,(vote for not more than  1)</v>
      </c>
      <c r="E6695" s="55" t="s">
        <v>2574</v>
      </c>
      <c r="G6695" s="60">
        <v>0</v>
      </c>
      <c r="H6695"/>
      <c r="J6695" s="7"/>
      <c r="K6695" s="2"/>
      <c r="O6695">
        <f t="shared" si="1220"/>
        <v>0</v>
      </c>
      <c r="P6695" s="57">
        <f t="shared" si="1221"/>
        <v>1</v>
      </c>
      <c r="Q6695" s="267">
        <f t="shared" si="1222"/>
        <v>0</v>
      </c>
      <c r="R6695" s="23">
        <f t="shared" si="1223"/>
        <v>1</v>
      </c>
      <c r="S6695" s="23">
        <f t="shared" si="1224"/>
        <v>0</v>
      </c>
      <c r="T6695" s="23" t="str">
        <f t="shared" si="1225"/>
        <v/>
      </c>
      <c r="U6695" t="str">
        <f t="shared" si="1226"/>
        <v>PA_Merce_2018p~Rep-precinct committeeman grove city 3,(vote for not more than  1)</v>
      </c>
      <c r="V6695" s="40"/>
      <c r="AF6695" s="274"/>
      <c r="AG6695" s="339"/>
      <c r="AH6695" s="340"/>
      <c r="AI6695" s="353"/>
      <c r="AJ6695" s="357"/>
      <c r="AK6695" s="355"/>
      <c r="AL6695" s="20"/>
      <c r="AT6695" s="20"/>
      <c r="AU6695" s="29"/>
      <c r="AV6695"/>
      <c r="AW6695"/>
    </row>
    <row r="6696" spans="1:49">
      <c r="A6696" s="30" t="s">
        <v>2945</v>
      </c>
      <c r="B6696" s="55" t="str">
        <f t="shared" ref="B6696:B6759" si="1227">LEFT(A6696,14)</f>
        <v>PA_Merce_2018p</v>
      </c>
      <c r="D6696" s="55" t="str">
        <f t="shared" ref="D6696:D6759" si="1228">MID(A6696,16,99)</f>
        <v>Rep-precinct committeeman grove city 4,(vote for not more than  1)</v>
      </c>
      <c r="E6696" s="55" t="s">
        <v>2574</v>
      </c>
      <c r="G6696" s="60">
        <v>8</v>
      </c>
      <c r="H6696"/>
      <c r="J6696" s="7"/>
      <c r="K6696" s="2"/>
      <c r="O6696">
        <f t="shared" si="1220"/>
        <v>0</v>
      </c>
      <c r="P6696" s="57">
        <f t="shared" si="1221"/>
        <v>1</v>
      </c>
      <c r="Q6696" s="267">
        <f t="shared" si="1222"/>
        <v>8</v>
      </c>
      <c r="R6696" s="23">
        <f t="shared" si="1223"/>
        <v>1</v>
      </c>
      <c r="S6696" s="23">
        <f t="shared" si="1224"/>
        <v>0</v>
      </c>
      <c r="T6696" s="23" t="str">
        <f t="shared" si="1225"/>
        <v/>
      </c>
      <c r="U6696" t="str">
        <f t="shared" si="1226"/>
        <v>PA_Merce_2018p~Rep-precinct committeeman grove city 4,(vote for not more than  1)</v>
      </c>
      <c r="V6696" s="40"/>
      <c r="AF6696" s="274"/>
      <c r="AG6696" s="339"/>
      <c r="AH6696" s="340"/>
      <c r="AI6696" s="353"/>
      <c r="AJ6696" s="357"/>
      <c r="AK6696" s="355"/>
      <c r="AL6696" s="20"/>
      <c r="AT6696" s="20"/>
      <c r="AU6696" s="29"/>
      <c r="AV6696"/>
      <c r="AW6696"/>
    </row>
    <row r="6697" spans="1:49">
      <c r="A6697" s="30" t="s">
        <v>2946</v>
      </c>
      <c r="B6697" s="55" t="str">
        <f t="shared" si="1227"/>
        <v>PA_Merce_2018p</v>
      </c>
      <c r="D6697" s="55" t="str">
        <f t="shared" si="1228"/>
        <v>Rep-precinct committeeman grove city 5,(vote for not more than  1)</v>
      </c>
      <c r="E6697" s="55" t="s">
        <v>2574</v>
      </c>
      <c r="G6697" s="60">
        <v>9</v>
      </c>
      <c r="H6697"/>
      <c r="J6697" s="7"/>
      <c r="K6697" s="2"/>
      <c r="O6697">
        <f t="shared" si="1220"/>
        <v>0</v>
      </c>
      <c r="P6697" s="57">
        <f t="shared" si="1221"/>
        <v>1</v>
      </c>
      <c r="Q6697" s="267">
        <f t="shared" si="1222"/>
        <v>9</v>
      </c>
      <c r="R6697" s="23">
        <f t="shared" si="1223"/>
        <v>1</v>
      </c>
      <c r="S6697" s="23">
        <f t="shared" si="1224"/>
        <v>0</v>
      </c>
      <c r="T6697" s="23" t="str">
        <f t="shared" si="1225"/>
        <v/>
      </c>
      <c r="U6697" t="str">
        <f t="shared" si="1226"/>
        <v>PA_Merce_2018p~Rep-precinct committeeman grove city 5,(vote for not more than  1)</v>
      </c>
      <c r="V6697" s="40"/>
      <c r="AF6697" s="274"/>
      <c r="AG6697" s="339"/>
      <c r="AH6697" s="340"/>
      <c r="AI6697" s="353"/>
      <c r="AJ6697" s="357"/>
      <c r="AK6697" s="355"/>
      <c r="AL6697" s="20"/>
      <c r="AT6697" s="20"/>
      <c r="AU6697" s="29"/>
      <c r="AV6697"/>
      <c r="AW6697"/>
    </row>
    <row r="6698" spans="1:49">
      <c r="A6698" s="30" t="s">
        <v>2947</v>
      </c>
      <c r="B6698" s="55" t="str">
        <f t="shared" si="1227"/>
        <v>PA_Merce_2018p</v>
      </c>
      <c r="D6698" s="55" t="str">
        <f t="shared" si="1228"/>
        <v>Rep-precinct committeeman hempfield 1,(vote for not more than  1)</v>
      </c>
      <c r="E6698" s="55" t="s">
        <v>2574</v>
      </c>
      <c r="G6698" s="60">
        <v>4</v>
      </c>
      <c r="H6698"/>
      <c r="J6698" s="7"/>
      <c r="K6698" s="2"/>
      <c r="O6698">
        <f t="shared" si="1220"/>
        <v>0</v>
      </c>
      <c r="P6698" s="57">
        <f t="shared" si="1221"/>
        <v>1</v>
      </c>
      <c r="Q6698" s="267">
        <f t="shared" si="1222"/>
        <v>4</v>
      </c>
      <c r="R6698" s="23">
        <f t="shared" si="1223"/>
        <v>1</v>
      </c>
      <c r="S6698" s="23">
        <f t="shared" si="1224"/>
        <v>0</v>
      </c>
      <c r="T6698" s="23" t="str">
        <f t="shared" si="1225"/>
        <v/>
      </c>
      <c r="U6698" t="str">
        <f t="shared" si="1226"/>
        <v>PA_Merce_2018p~Rep-precinct committeeman hempfield 1,(vote for not more than  1)</v>
      </c>
      <c r="V6698" s="40"/>
      <c r="AF6698" s="274"/>
      <c r="AG6698" s="339"/>
      <c r="AH6698" s="340"/>
      <c r="AI6698" s="353"/>
      <c r="AJ6698" s="357"/>
      <c r="AK6698" s="355"/>
      <c r="AL6698" s="20"/>
      <c r="AT6698" s="20"/>
      <c r="AU6698" s="29"/>
      <c r="AV6698"/>
      <c r="AW6698"/>
    </row>
    <row r="6699" spans="1:49">
      <c r="A6699" s="30" t="s">
        <v>2948</v>
      </c>
      <c r="B6699" s="55" t="str">
        <f t="shared" si="1227"/>
        <v>PA_Merce_2018p</v>
      </c>
      <c r="D6699" s="55" t="str">
        <f t="shared" si="1228"/>
        <v>Rep-precinct committeeman hempfield 2,(vote for not more than  1)</v>
      </c>
      <c r="E6699" s="55" t="s">
        <v>2574</v>
      </c>
      <c r="G6699" s="60">
        <v>4</v>
      </c>
      <c r="H6699"/>
      <c r="J6699" s="7"/>
      <c r="K6699" s="2"/>
      <c r="O6699">
        <f t="shared" si="1220"/>
        <v>0</v>
      </c>
      <c r="P6699" s="57">
        <f t="shared" si="1221"/>
        <v>1</v>
      </c>
      <c r="Q6699" s="267">
        <f t="shared" si="1222"/>
        <v>4</v>
      </c>
      <c r="R6699" s="23">
        <f t="shared" si="1223"/>
        <v>1</v>
      </c>
      <c r="S6699" s="23">
        <f t="shared" si="1224"/>
        <v>0</v>
      </c>
      <c r="T6699" s="23" t="str">
        <f t="shared" si="1225"/>
        <v/>
      </c>
      <c r="U6699" t="str">
        <f t="shared" si="1226"/>
        <v>PA_Merce_2018p~Rep-precinct committeeman hempfield 2,(vote for not more than  1)</v>
      </c>
      <c r="V6699" s="40"/>
      <c r="AF6699" s="274"/>
      <c r="AG6699" s="339"/>
      <c r="AH6699" s="340"/>
      <c r="AI6699" s="353"/>
      <c r="AJ6699" s="357"/>
      <c r="AK6699" s="355"/>
      <c r="AL6699" s="20"/>
      <c r="AT6699" s="20"/>
      <c r="AU6699" s="29"/>
      <c r="AV6699"/>
      <c r="AW6699"/>
    </row>
    <row r="6700" spans="1:49">
      <c r="A6700" s="30" t="s">
        <v>2949</v>
      </c>
      <c r="B6700" s="55" t="str">
        <f t="shared" si="1227"/>
        <v>PA_Merce_2018p</v>
      </c>
      <c r="D6700" s="55" t="str">
        <f t="shared" si="1228"/>
        <v>Rep-precinct committeeman hempfield 3,(vote for not more than  1)</v>
      </c>
      <c r="E6700" s="55" t="s">
        <v>2950</v>
      </c>
      <c r="G6700" s="60">
        <v>165</v>
      </c>
      <c r="H6700"/>
      <c r="J6700" s="7"/>
      <c r="K6700" s="2"/>
      <c r="O6700">
        <f t="shared" si="1220"/>
        <v>1</v>
      </c>
      <c r="P6700" s="57">
        <f t="shared" si="1221"/>
        <v>1</v>
      </c>
      <c r="Q6700" s="267">
        <f t="shared" si="1222"/>
        <v>166</v>
      </c>
      <c r="R6700" s="23">
        <f t="shared" si="1223"/>
        <v>165</v>
      </c>
      <c r="S6700" s="23">
        <f t="shared" si="1224"/>
        <v>0</v>
      </c>
      <c r="T6700" s="23" t="str">
        <f t="shared" si="1225"/>
        <v/>
      </c>
      <c r="U6700" t="str">
        <f t="shared" si="1226"/>
        <v>PA_Merce_2018p~Rep-precinct committeeman hempfield 3,(vote for not more than  1)</v>
      </c>
      <c r="V6700" s="40"/>
      <c r="AF6700" s="274"/>
      <c r="AG6700" s="339"/>
      <c r="AH6700" s="340"/>
      <c r="AI6700" s="353"/>
      <c r="AJ6700" s="357"/>
      <c r="AK6700" s="355"/>
      <c r="AL6700" s="20"/>
      <c r="AT6700" s="20"/>
      <c r="AU6700" s="29"/>
      <c r="AV6700"/>
      <c r="AW6700"/>
    </row>
    <row r="6701" spans="1:49">
      <c r="A6701" s="30" t="s">
        <v>2949</v>
      </c>
      <c r="B6701" s="55" t="str">
        <f t="shared" si="1227"/>
        <v>PA_Merce_2018p</v>
      </c>
      <c r="D6701" s="55" t="str">
        <f t="shared" si="1228"/>
        <v>Rep-precinct committeeman hempfield 3,(vote for not more than  1)</v>
      </c>
      <c r="E6701" s="55" t="s">
        <v>2574</v>
      </c>
      <c r="G6701" s="60">
        <v>1</v>
      </c>
      <c r="H6701"/>
      <c r="J6701" s="7"/>
      <c r="K6701" s="2"/>
      <c r="O6701">
        <f t="shared" si="1220"/>
        <v>-1</v>
      </c>
      <c r="P6701" s="57">
        <f t="shared" si="1221"/>
        <v>1</v>
      </c>
      <c r="Q6701" s="267">
        <f t="shared" si="1222"/>
        <v>1</v>
      </c>
      <c r="R6701" s="23">
        <f t="shared" si="1223"/>
        <v>1</v>
      </c>
      <c r="S6701" s="23">
        <f t="shared" si="1224"/>
        <v>0</v>
      </c>
      <c r="T6701" s="23" t="str">
        <f t="shared" si="1225"/>
        <v/>
      </c>
      <c r="U6701" t="str">
        <f t="shared" si="1226"/>
        <v/>
      </c>
      <c r="V6701" s="40"/>
      <c r="AF6701" s="274"/>
      <c r="AG6701" s="339"/>
      <c r="AH6701" s="340"/>
      <c r="AI6701" s="353"/>
      <c r="AJ6701" s="357"/>
      <c r="AK6701" s="355"/>
      <c r="AL6701" s="20"/>
      <c r="AT6701" s="20"/>
      <c r="AU6701" s="29"/>
      <c r="AV6701"/>
      <c r="AW6701"/>
    </row>
    <row r="6702" spans="1:49">
      <c r="A6702" s="30" t="s">
        <v>2951</v>
      </c>
      <c r="B6702" s="55" t="str">
        <f t="shared" si="1227"/>
        <v>PA_Merce_2018p</v>
      </c>
      <c r="D6702" s="55" t="str">
        <f t="shared" si="1228"/>
        <v>Rep-precinct committeeman hermitage ne-1,(vote for not more than  1)</v>
      </c>
      <c r="E6702" s="55" t="s">
        <v>2952</v>
      </c>
      <c r="G6702" s="60">
        <v>97</v>
      </c>
      <c r="H6702"/>
      <c r="J6702" s="7"/>
      <c r="K6702" s="2"/>
      <c r="O6702">
        <f t="shared" si="1220"/>
        <v>1</v>
      </c>
      <c r="P6702" s="57">
        <f t="shared" si="1221"/>
        <v>1</v>
      </c>
      <c r="Q6702" s="267">
        <f t="shared" si="1222"/>
        <v>97</v>
      </c>
      <c r="R6702" s="23">
        <f t="shared" si="1223"/>
        <v>97</v>
      </c>
      <c r="S6702" s="23">
        <f t="shared" si="1224"/>
        <v>0</v>
      </c>
      <c r="T6702" s="23" t="str">
        <f t="shared" si="1225"/>
        <v/>
      </c>
      <c r="U6702" t="str">
        <f t="shared" si="1226"/>
        <v>PA_Merce_2018p~Rep-precinct committeeman hermitage ne-1,(vote for not more than  1)</v>
      </c>
      <c r="V6702" s="40"/>
      <c r="AF6702" s="274"/>
      <c r="AG6702" s="339"/>
      <c r="AH6702" s="340"/>
      <c r="AI6702" s="353"/>
      <c r="AJ6702" s="357"/>
      <c r="AK6702" s="355"/>
      <c r="AL6702" s="20"/>
      <c r="AT6702" s="20"/>
      <c r="AU6702" s="29"/>
      <c r="AV6702"/>
      <c r="AW6702"/>
    </row>
    <row r="6703" spans="1:49">
      <c r="A6703" s="30" t="s">
        <v>2951</v>
      </c>
      <c r="B6703" s="55" t="str">
        <f t="shared" si="1227"/>
        <v>PA_Merce_2018p</v>
      </c>
      <c r="D6703" s="55" t="str">
        <f t="shared" si="1228"/>
        <v>Rep-precinct committeeman hermitage ne-1,(vote for not more than  1)</v>
      </c>
      <c r="E6703" s="55" t="s">
        <v>2574</v>
      </c>
      <c r="G6703" s="60">
        <v>0</v>
      </c>
      <c r="H6703"/>
      <c r="J6703" s="7"/>
      <c r="K6703" s="2"/>
      <c r="O6703">
        <f t="shared" si="1220"/>
        <v>-1</v>
      </c>
      <c r="P6703" s="57">
        <f t="shared" si="1221"/>
        <v>1</v>
      </c>
      <c r="Q6703" s="267">
        <f t="shared" si="1222"/>
        <v>0</v>
      </c>
      <c r="R6703" s="23">
        <f t="shared" si="1223"/>
        <v>1</v>
      </c>
      <c r="S6703" s="23">
        <f t="shared" si="1224"/>
        <v>0</v>
      </c>
      <c r="T6703" s="23" t="str">
        <f t="shared" si="1225"/>
        <v/>
      </c>
      <c r="U6703" t="str">
        <f t="shared" si="1226"/>
        <v/>
      </c>
      <c r="V6703" s="40"/>
      <c r="AF6703" s="274"/>
      <c r="AG6703" s="339"/>
      <c r="AH6703" s="340"/>
      <c r="AI6703" s="353"/>
      <c r="AJ6703" s="357"/>
      <c r="AK6703" s="355"/>
      <c r="AL6703" s="20"/>
      <c r="AT6703" s="20"/>
      <c r="AU6703" s="29"/>
      <c r="AV6703"/>
      <c r="AW6703"/>
    </row>
    <row r="6704" spans="1:49">
      <c r="A6704" s="30" t="s">
        <v>2953</v>
      </c>
      <c r="B6704" s="55" t="str">
        <f t="shared" si="1227"/>
        <v>PA_Merce_2018p</v>
      </c>
      <c r="D6704" s="55" t="str">
        <f t="shared" si="1228"/>
        <v>Rep-precinct committeeman hermitage ne-2,(vote for not more than  1)</v>
      </c>
      <c r="E6704" s="55" t="s">
        <v>2574</v>
      </c>
      <c r="G6704" s="60">
        <v>2</v>
      </c>
      <c r="H6704"/>
      <c r="J6704" s="7"/>
      <c r="K6704" s="2"/>
      <c r="O6704">
        <f t="shared" si="1220"/>
        <v>0</v>
      </c>
      <c r="P6704" s="57">
        <f t="shared" si="1221"/>
        <v>1</v>
      </c>
      <c r="Q6704" s="267">
        <f t="shared" si="1222"/>
        <v>2</v>
      </c>
      <c r="R6704" s="23">
        <f t="shared" si="1223"/>
        <v>1</v>
      </c>
      <c r="S6704" s="23">
        <f t="shared" si="1224"/>
        <v>0</v>
      </c>
      <c r="T6704" s="23" t="str">
        <f t="shared" si="1225"/>
        <v/>
      </c>
      <c r="U6704" t="str">
        <f t="shared" si="1226"/>
        <v>PA_Merce_2018p~Rep-precinct committeeman hermitage ne-2,(vote for not more than  1)</v>
      </c>
      <c r="V6704" s="40"/>
      <c r="AF6704" s="274"/>
      <c r="AG6704" s="339"/>
      <c r="AH6704" s="340"/>
      <c r="AI6704" s="353"/>
      <c r="AJ6704" s="357"/>
      <c r="AK6704" s="355"/>
      <c r="AL6704" s="20"/>
      <c r="AT6704" s="20"/>
      <c r="AU6704" s="29"/>
      <c r="AV6704"/>
      <c r="AW6704"/>
    </row>
    <row r="6705" spans="1:49">
      <c r="A6705" s="30" t="s">
        <v>2954</v>
      </c>
      <c r="B6705" s="55" t="str">
        <f t="shared" si="1227"/>
        <v>PA_Merce_2018p</v>
      </c>
      <c r="D6705" s="55" t="str">
        <f t="shared" si="1228"/>
        <v>Rep-precinct committeeman hermitage nw-1,(vote for not more than  1)</v>
      </c>
      <c r="E6705" s="55" t="s">
        <v>2574</v>
      </c>
      <c r="G6705" s="60">
        <v>1</v>
      </c>
      <c r="H6705"/>
      <c r="J6705" s="7"/>
      <c r="K6705" s="2"/>
      <c r="O6705">
        <f t="shared" si="1220"/>
        <v>0</v>
      </c>
      <c r="P6705" s="57">
        <f t="shared" si="1221"/>
        <v>1</v>
      </c>
      <c r="Q6705" s="267">
        <f t="shared" si="1222"/>
        <v>1</v>
      </c>
      <c r="R6705" s="23">
        <f t="shared" si="1223"/>
        <v>1</v>
      </c>
      <c r="S6705" s="23">
        <f t="shared" si="1224"/>
        <v>0</v>
      </c>
      <c r="T6705" s="23" t="str">
        <f t="shared" si="1225"/>
        <v/>
      </c>
      <c r="U6705" t="str">
        <f t="shared" si="1226"/>
        <v>PA_Merce_2018p~Rep-precinct committeeman hermitage nw-1,(vote for not more than  1)</v>
      </c>
      <c r="V6705" s="40"/>
      <c r="AF6705" s="274"/>
      <c r="AG6705" s="339"/>
      <c r="AH6705" s="340"/>
      <c r="AI6705" s="353"/>
      <c r="AJ6705" s="357"/>
      <c r="AK6705" s="355"/>
      <c r="AL6705" s="20"/>
      <c r="AT6705" s="20"/>
      <c r="AU6705" s="29"/>
      <c r="AV6705"/>
      <c r="AW6705"/>
    </row>
    <row r="6706" spans="1:49">
      <c r="A6706" s="30" t="s">
        <v>2955</v>
      </c>
      <c r="B6706" s="55" t="str">
        <f t="shared" si="1227"/>
        <v>PA_Merce_2018p</v>
      </c>
      <c r="D6706" s="55" t="str">
        <f t="shared" si="1228"/>
        <v>Rep-precinct committeeman hermitage nw-2,(vote for not more than  1)</v>
      </c>
      <c r="E6706" s="55" t="s">
        <v>2574</v>
      </c>
      <c r="G6706" s="60">
        <v>4</v>
      </c>
      <c r="H6706"/>
      <c r="J6706" s="7"/>
      <c r="K6706" s="2"/>
      <c r="O6706">
        <f t="shared" si="1220"/>
        <v>0</v>
      </c>
      <c r="P6706" s="57">
        <f t="shared" si="1221"/>
        <v>1</v>
      </c>
      <c r="Q6706" s="267">
        <f t="shared" si="1222"/>
        <v>4</v>
      </c>
      <c r="R6706" s="23">
        <f t="shared" si="1223"/>
        <v>1</v>
      </c>
      <c r="S6706" s="23">
        <f t="shared" si="1224"/>
        <v>0</v>
      </c>
      <c r="T6706" s="23" t="str">
        <f t="shared" si="1225"/>
        <v/>
      </c>
      <c r="U6706" t="str">
        <f t="shared" si="1226"/>
        <v>PA_Merce_2018p~Rep-precinct committeeman hermitage nw-2,(vote for not more than  1)</v>
      </c>
      <c r="V6706" s="40"/>
      <c r="AF6706" s="274"/>
      <c r="AG6706" s="339"/>
      <c r="AH6706" s="340"/>
      <c r="AI6706" s="353"/>
      <c r="AJ6706" s="357"/>
      <c r="AK6706" s="355"/>
      <c r="AL6706" s="20"/>
      <c r="AT6706" s="20"/>
      <c r="AU6706" s="29"/>
      <c r="AV6706"/>
      <c r="AW6706"/>
    </row>
    <row r="6707" spans="1:49">
      <c r="A6707" s="30" t="s">
        <v>2956</v>
      </c>
      <c r="B6707" s="55" t="str">
        <f t="shared" si="1227"/>
        <v>PA_Merce_2018p</v>
      </c>
      <c r="D6707" s="55" t="str">
        <f t="shared" si="1228"/>
        <v>Rep-precinct committeeman hermitage nw-3,(vote for not more than  1)</v>
      </c>
      <c r="E6707" s="55" t="s">
        <v>2574</v>
      </c>
      <c r="G6707" s="60">
        <v>2</v>
      </c>
      <c r="H6707"/>
      <c r="J6707" s="7"/>
      <c r="K6707" s="2"/>
      <c r="O6707">
        <f t="shared" si="1220"/>
        <v>0</v>
      </c>
      <c r="P6707" s="57">
        <f t="shared" si="1221"/>
        <v>1</v>
      </c>
      <c r="Q6707" s="267">
        <f t="shared" si="1222"/>
        <v>2</v>
      </c>
      <c r="R6707" s="23">
        <f t="shared" si="1223"/>
        <v>1</v>
      </c>
      <c r="S6707" s="23">
        <f t="shared" si="1224"/>
        <v>0</v>
      </c>
      <c r="T6707" s="23" t="str">
        <f t="shared" si="1225"/>
        <v/>
      </c>
      <c r="U6707" t="str">
        <f t="shared" si="1226"/>
        <v>PA_Merce_2018p~Rep-precinct committeeman hermitage nw-3,(vote for not more than  1)</v>
      </c>
      <c r="V6707" s="40"/>
      <c r="AF6707" s="274"/>
      <c r="AG6707" s="339"/>
      <c r="AH6707" s="340"/>
      <c r="AI6707" s="353"/>
      <c r="AJ6707" s="357"/>
      <c r="AK6707" s="355"/>
      <c r="AL6707" s="20"/>
      <c r="AT6707" s="20"/>
      <c r="AU6707" s="29"/>
      <c r="AV6707"/>
      <c r="AW6707"/>
    </row>
    <row r="6708" spans="1:49">
      <c r="A6708" s="30" t="s">
        <v>2957</v>
      </c>
      <c r="B6708" s="55" t="str">
        <f t="shared" si="1227"/>
        <v>PA_Merce_2018p</v>
      </c>
      <c r="D6708" s="55" t="str">
        <f t="shared" si="1228"/>
        <v>Rep-precinct committeeman hermitage nw-4,(vote for not more than  1)</v>
      </c>
      <c r="E6708" s="55" t="s">
        <v>2958</v>
      </c>
      <c r="G6708" s="60">
        <v>68</v>
      </c>
      <c r="H6708"/>
      <c r="J6708" s="7"/>
      <c r="K6708" s="2"/>
      <c r="O6708">
        <f t="shared" si="1220"/>
        <v>1</v>
      </c>
      <c r="P6708" s="57">
        <f t="shared" si="1221"/>
        <v>1</v>
      </c>
      <c r="Q6708" s="267">
        <f t="shared" si="1222"/>
        <v>69</v>
      </c>
      <c r="R6708" s="23">
        <f t="shared" si="1223"/>
        <v>68</v>
      </c>
      <c r="S6708" s="23">
        <f t="shared" si="1224"/>
        <v>0</v>
      </c>
      <c r="T6708" s="23" t="str">
        <f t="shared" si="1225"/>
        <v/>
      </c>
      <c r="U6708" t="str">
        <f t="shared" si="1226"/>
        <v>PA_Merce_2018p~Rep-precinct committeeman hermitage nw-4,(vote for not more than  1)</v>
      </c>
      <c r="V6708" s="40"/>
      <c r="AF6708" s="274"/>
      <c r="AG6708" s="339"/>
      <c r="AH6708" s="340"/>
      <c r="AI6708" s="353"/>
      <c r="AJ6708" s="357"/>
      <c r="AK6708" s="355"/>
      <c r="AL6708" s="20"/>
      <c r="AT6708" s="20"/>
      <c r="AU6708" s="29"/>
      <c r="AV6708"/>
      <c r="AW6708"/>
    </row>
    <row r="6709" spans="1:49">
      <c r="A6709" s="30" t="s">
        <v>2957</v>
      </c>
      <c r="B6709" s="55" t="str">
        <f t="shared" si="1227"/>
        <v>PA_Merce_2018p</v>
      </c>
      <c r="D6709" s="55" t="str">
        <f t="shared" si="1228"/>
        <v>Rep-precinct committeeman hermitage nw-4,(vote for not more than  1)</v>
      </c>
      <c r="E6709" s="55" t="s">
        <v>2574</v>
      </c>
      <c r="G6709" s="60">
        <v>1</v>
      </c>
      <c r="H6709"/>
      <c r="J6709" s="7"/>
      <c r="K6709" s="2"/>
      <c r="O6709">
        <f t="shared" si="1220"/>
        <v>-1</v>
      </c>
      <c r="P6709" s="57">
        <f t="shared" si="1221"/>
        <v>1</v>
      </c>
      <c r="Q6709" s="267">
        <f t="shared" si="1222"/>
        <v>1</v>
      </c>
      <c r="R6709" s="23">
        <f t="shared" si="1223"/>
        <v>1</v>
      </c>
      <c r="S6709" s="23">
        <f t="shared" si="1224"/>
        <v>0</v>
      </c>
      <c r="T6709" s="23" t="str">
        <f t="shared" si="1225"/>
        <v/>
      </c>
      <c r="U6709" t="str">
        <f t="shared" si="1226"/>
        <v/>
      </c>
      <c r="V6709" s="40"/>
      <c r="AF6709" s="274"/>
      <c r="AG6709" s="339"/>
      <c r="AH6709" s="340"/>
      <c r="AI6709" s="353"/>
      <c r="AJ6709" s="357"/>
      <c r="AK6709" s="355"/>
      <c r="AL6709" s="20"/>
      <c r="AT6709" s="20"/>
      <c r="AU6709" s="29"/>
      <c r="AV6709"/>
      <c r="AW6709"/>
    </row>
    <row r="6710" spans="1:49">
      <c r="A6710" s="30" t="s">
        <v>2959</v>
      </c>
      <c r="B6710" s="55" t="str">
        <f t="shared" si="1227"/>
        <v>PA_Merce_2018p</v>
      </c>
      <c r="D6710" s="55" t="str">
        <f t="shared" si="1228"/>
        <v>Rep-precinct committeeman hermitage se-1,(vote for not more than  1)</v>
      </c>
      <c r="E6710" s="55" t="s">
        <v>2574</v>
      </c>
      <c r="G6710" s="60">
        <v>2</v>
      </c>
      <c r="H6710"/>
      <c r="J6710" s="7"/>
      <c r="K6710" s="2"/>
      <c r="O6710">
        <f t="shared" si="1220"/>
        <v>0</v>
      </c>
      <c r="P6710" s="57">
        <f t="shared" si="1221"/>
        <v>1</v>
      </c>
      <c r="Q6710" s="267">
        <f t="shared" si="1222"/>
        <v>2</v>
      </c>
      <c r="R6710" s="23">
        <f t="shared" si="1223"/>
        <v>1</v>
      </c>
      <c r="S6710" s="23">
        <f t="shared" si="1224"/>
        <v>0</v>
      </c>
      <c r="T6710" s="23" t="str">
        <f t="shared" si="1225"/>
        <v/>
      </c>
      <c r="U6710" t="str">
        <f t="shared" si="1226"/>
        <v>PA_Merce_2018p~Rep-precinct committeeman hermitage se-1,(vote for not more than  1)</v>
      </c>
      <c r="V6710" s="40"/>
      <c r="AF6710" s="274"/>
      <c r="AG6710" s="339"/>
      <c r="AH6710" s="340"/>
      <c r="AI6710" s="353"/>
      <c r="AJ6710" s="357"/>
      <c r="AK6710" s="355"/>
      <c r="AL6710" s="20"/>
      <c r="AT6710" s="20"/>
      <c r="AU6710" s="29"/>
      <c r="AV6710"/>
      <c r="AW6710"/>
    </row>
    <row r="6711" spans="1:49">
      <c r="A6711" s="30" t="s">
        <v>2960</v>
      </c>
      <c r="B6711" s="55" t="str">
        <f t="shared" si="1227"/>
        <v>PA_Merce_2018p</v>
      </c>
      <c r="D6711" s="55" t="str">
        <f t="shared" si="1228"/>
        <v>Rep-precinct committeeman hermitage se-2,(vote for not more than  1)</v>
      </c>
      <c r="E6711" s="55" t="s">
        <v>2574</v>
      </c>
      <c r="G6711" s="60">
        <v>2</v>
      </c>
      <c r="H6711"/>
      <c r="J6711" s="7"/>
      <c r="K6711" s="2"/>
      <c r="O6711">
        <f t="shared" si="1220"/>
        <v>0</v>
      </c>
      <c r="P6711" s="57">
        <f t="shared" si="1221"/>
        <v>1</v>
      </c>
      <c r="Q6711" s="267">
        <f t="shared" si="1222"/>
        <v>2</v>
      </c>
      <c r="R6711" s="23">
        <f t="shared" si="1223"/>
        <v>1</v>
      </c>
      <c r="S6711" s="23">
        <f t="shared" si="1224"/>
        <v>0</v>
      </c>
      <c r="T6711" s="23" t="str">
        <f t="shared" si="1225"/>
        <v/>
      </c>
      <c r="U6711" t="str">
        <f t="shared" si="1226"/>
        <v>PA_Merce_2018p~Rep-precinct committeeman hermitage se-2,(vote for not more than  1)</v>
      </c>
      <c r="V6711" s="40"/>
      <c r="AF6711" s="274"/>
      <c r="AG6711" s="339"/>
      <c r="AH6711" s="340"/>
      <c r="AI6711" s="353"/>
      <c r="AJ6711" s="357"/>
      <c r="AK6711" s="355"/>
      <c r="AL6711" s="20"/>
      <c r="AT6711" s="20"/>
      <c r="AU6711" s="29"/>
      <c r="AV6711"/>
      <c r="AW6711"/>
    </row>
    <row r="6712" spans="1:49">
      <c r="A6712" s="30" t="s">
        <v>2961</v>
      </c>
      <c r="B6712" s="55" t="str">
        <f t="shared" si="1227"/>
        <v>PA_Merce_2018p</v>
      </c>
      <c r="D6712" s="55" t="str">
        <f t="shared" si="1228"/>
        <v>Rep-precinct committeeman hermitage se-3,(vote for not more than  1)</v>
      </c>
      <c r="E6712" s="55" t="s">
        <v>2574</v>
      </c>
      <c r="G6712" s="60">
        <v>6</v>
      </c>
      <c r="H6712"/>
      <c r="J6712" s="7"/>
      <c r="K6712" s="2"/>
      <c r="O6712">
        <f t="shared" si="1220"/>
        <v>0</v>
      </c>
      <c r="P6712" s="57">
        <f t="shared" si="1221"/>
        <v>1</v>
      </c>
      <c r="Q6712" s="267">
        <f t="shared" si="1222"/>
        <v>6</v>
      </c>
      <c r="R6712" s="23">
        <f t="shared" si="1223"/>
        <v>1</v>
      </c>
      <c r="S6712" s="23">
        <f t="shared" si="1224"/>
        <v>0</v>
      </c>
      <c r="T6712" s="23" t="str">
        <f t="shared" si="1225"/>
        <v/>
      </c>
      <c r="U6712" t="str">
        <f t="shared" si="1226"/>
        <v>PA_Merce_2018p~Rep-precinct committeeman hermitage se-3,(vote for not more than  1)</v>
      </c>
      <c r="V6712" s="40"/>
      <c r="AF6712" s="274"/>
      <c r="AG6712" s="339"/>
      <c r="AH6712" s="340"/>
      <c r="AI6712" s="353"/>
      <c r="AJ6712" s="357"/>
      <c r="AK6712" s="355"/>
      <c r="AL6712" s="20"/>
      <c r="AT6712" s="20"/>
      <c r="AU6712" s="29"/>
      <c r="AV6712"/>
      <c r="AW6712"/>
    </row>
    <row r="6713" spans="1:49">
      <c r="A6713" s="30" t="s">
        <v>2962</v>
      </c>
      <c r="B6713" s="55" t="str">
        <f t="shared" si="1227"/>
        <v>PA_Merce_2018p</v>
      </c>
      <c r="D6713" s="55" t="str">
        <f t="shared" si="1228"/>
        <v>Rep-precinct committeeman hermitage se-4,(vote for not more than  1)</v>
      </c>
      <c r="E6713" s="55" t="s">
        <v>2574</v>
      </c>
      <c r="G6713" s="60">
        <v>5</v>
      </c>
      <c r="H6713"/>
      <c r="J6713" s="7"/>
      <c r="K6713" s="2"/>
      <c r="O6713">
        <f t="shared" si="1220"/>
        <v>0</v>
      </c>
      <c r="P6713" s="57">
        <f t="shared" si="1221"/>
        <v>1</v>
      </c>
      <c r="Q6713" s="267">
        <f t="shared" si="1222"/>
        <v>5</v>
      </c>
      <c r="R6713" s="23">
        <f t="shared" si="1223"/>
        <v>1</v>
      </c>
      <c r="S6713" s="23">
        <f t="shared" si="1224"/>
        <v>0</v>
      </c>
      <c r="T6713" s="23" t="str">
        <f t="shared" si="1225"/>
        <v/>
      </c>
      <c r="U6713" t="str">
        <f t="shared" si="1226"/>
        <v>PA_Merce_2018p~Rep-precinct committeeman hermitage se-4,(vote for not more than  1)</v>
      </c>
      <c r="V6713" s="40"/>
      <c r="AF6713" s="274"/>
      <c r="AG6713" s="339"/>
      <c r="AH6713" s="340"/>
      <c r="AI6713" s="353"/>
      <c r="AJ6713" s="357"/>
      <c r="AK6713" s="355"/>
      <c r="AL6713" s="20"/>
      <c r="AT6713" s="20"/>
      <c r="AU6713" s="29"/>
      <c r="AV6713"/>
      <c r="AW6713"/>
    </row>
    <row r="6714" spans="1:49">
      <c r="A6714" s="30" t="s">
        <v>2963</v>
      </c>
      <c r="B6714" s="55" t="str">
        <f t="shared" si="1227"/>
        <v>PA_Merce_2018p</v>
      </c>
      <c r="D6714" s="55" t="str">
        <f t="shared" si="1228"/>
        <v>Rep-precinct committeeman hermitage sw-1,(vote for not more than  1)</v>
      </c>
      <c r="E6714" s="55" t="s">
        <v>2574</v>
      </c>
      <c r="G6714" s="60">
        <v>4</v>
      </c>
      <c r="H6714"/>
      <c r="J6714" s="7"/>
      <c r="K6714" s="2"/>
      <c r="O6714">
        <f t="shared" si="1220"/>
        <v>0</v>
      </c>
      <c r="P6714" s="57">
        <f t="shared" si="1221"/>
        <v>1</v>
      </c>
      <c r="Q6714" s="267">
        <f t="shared" si="1222"/>
        <v>4</v>
      </c>
      <c r="R6714" s="23">
        <f t="shared" si="1223"/>
        <v>1</v>
      </c>
      <c r="S6714" s="23">
        <f t="shared" si="1224"/>
        <v>0</v>
      </c>
      <c r="T6714" s="23" t="str">
        <f t="shared" si="1225"/>
        <v/>
      </c>
      <c r="U6714" t="str">
        <f t="shared" si="1226"/>
        <v>PA_Merce_2018p~Rep-precinct committeeman hermitage sw-1,(vote for not more than  1)</v>
      </c>
      <c r="V6714" s="40"/>
      <c r="AF6714" s="274"/>
      <c r="AG6714" s="339"/>
      <c r="AH6714" s="340"/>
      <c r="AI6714" s="353"/>
      <c r="AJ6714" s="357"/>
      <c r="AK6714" s="355"/>
      <c r="AL6714" s="20"/>
      <c r="AT6714" s="20"/>
      <c r="AU6714" s="29"/>
      <c r="AV6714"/>
      <c r="AW6714"/>
    </row>
    <row r="6715" spans="1:49">
      <c r="A6715" s="30" t="s">
        <v>2964</v>
      </c>
      <c r="B6715" s="55" t="str">
        <f t="shared" si="1227"/>
        <v>PA_Merce_2018p</v>
      </c>
      <c r="D6715" s="55" t="str">
        <f t="shared" si="1228"/>
        <v>Rep-precinct committeeman hermitage sw-2,(vote for not more than  1)</v>
      </c>
      <c r="E6715" s="55" t="s">
        <v>2574</v>
      </c>
      <c r="G6715" s="60">
        <v>0</v>
      </c>
      <c r="H6715"/>
      <c r="J6715" s="7"/>
      <c r="K6715" s="2"/>
      <c r="O6715">
        <f t="shared" si="1220"/>
        <v>0</v>
      </c>
      <c r="P6715" s="57">
        <f t="shared" si="1221"/>
        <v>1</v>
      </c>
      <c r="Q6715" s="267">
        <f t="shared" si="1222"/>
        <v>0</v>
      </c>
      <c r="R6715" s="23">
        <f t="shared" si="1223"/>
        <v>1</v>
      </c>
      <c r="S6715" s="23">
        <f t="shared" si="1224"/>
        <v>0</v>
      </c>
      <c r="T6715" s="23" t="str">
        <f t="shared" si="1225"/>
        <v/>
      </c>
      <c r="U6715" t="str">
        <f t="shared" si="1226"/>
        <v>PA_Merce_2018p~Rep-precinct committeeman hermitage sw-2,(vote for not more than  1)</v>
      </c>
      <c r="V6715" s="40"/>
      <c r="AF6715" s="274"/>
      <c r="AG6715" s="339"/>
      <c r="AH6715" s="340"/>
      <c r="AI6715" s="353"/>
      <c r="AJ6715" s="357"/>
      <c r="AK6715" s="355"/>
      <c r="AL6715" s="20"/>
      <c r="AT6715" s="20"/>
      <c r="AU6715" s="29"/>
      <c r="AV6715"/>
      <c r="AW6715"/>
    </row>
    <row r="6716" spans="1:49">
      <c r="A6716" s="30" t="s">
        <v>2965</v>
      </c>
      <c r="B6716" s="55" t="str">
        <f t="shared" si="1227"/>
        <v>PA_Merce_2018p</v>
      </c>
      <c r="D6716" s="55" t="str">
        <f t="shared" si="1228"/>
        <v>Rep-precinct committeeman hermitage sw-3,(vote for not more than  1)</v>
      </c>
      <c r="E6716" s="55" t="s">
        <v>2574</v>
      </c>
      <c r="G6716" s="60">
        <v>1</v>
      </c>
      <c r="H6716"/>
      <c r="J6716" s="7"/>
      <c r="K6716" s="2"/>
      <c r="O6716">
        <f t="shared" si="1220"/>
        <v>0</v>
      </c>
      <c r="P6716" s="57">
        <f t="shared" si="1221"/>
        <v>1</v>
      </c>
      <c r="Q6716" s="267">
        <f t="shared" si="1222"/>
        <v>1</v>
      </c>
      <c r="R6716" s="23">
        <f t="shared" si="1223"/>
        <v>1</v>
      </c>
      <c r="S6716" s="23">
        <f t="shared" si="1224"/>
        <v>0</v>
      </c>
      <c r="T6716" s="23" t="str">
        <f t="shared" si="1225"/>
        <v/>
      </c>
      <c r="U6716" t="str">
        <f t="shared" si="1226"/>
        <v>PA_Merce_2018p~Rep-precinct committeeman hermitage sw-3,(vote for not more than  1)</v>
      </c>
      <c r="V6716" s="40"/>
      <c r="AF6716" s="274"/>
      <c r="AG6716" s="339"/>
      <c r="AH6716" s="340"/>
      <c r="AI6716" s="353"/>
      <c r="AJ6716" s="357"/>
      <c r="AK6716" s="355"/>
      <c r="AL6716" s="20"/>
      <c r="AT6716" s="20"/>
      <c r="AU6716" s="29"/>
      <c r="AV6716"/>
      <c r="AW6716"/>
    </row>
    <row r="6717" spans="1:49">
      <c r="A6717" s="30" t="s">
        <v>2966</v>
      </c>
      <c r="B6717" s="55" t="str">
        <f t="shared" si="1227"/>
        <v>PA_Merce_2018p</v>
      </c>
      <c r="D6717" s="55" t="str">
        <f t="shared" si="1228"/>
        <v>Rep-precinct committeeman jackson center,(vote for not more than  1)</v>
      </c>
      <c r="E6717" s="55" t="s">
        <v>2967</v>
      </c>
      <c r="G6717" s="60">
        <v>16</v>
      </c>
      <c r="H6717"/>
      <c r="J6717" s="7"/>
      <c r="K6717" s="2"/>
      <c r="O6717">
        <f t="shared" si="1220"/>
        <v>1</v>
      </c>
      <c r="P6717" s="57">
        <f t="shared" si="1221"/>
        <v>1</v>
      </c>
      <c r="Q6717" s="267">
        <f t="shared" si="1222"/>
        <v>16</v>
      </c>
      <c r="R6717" s="23">
        <f t="shared" si="1223"/>
        <v>16</v>
      </c>
      <c r="S6717" s="23">
        <f t="shared" si="1224"/>
        <v>0</v>
      </c>
      <c r="T6717" s="23" t="str">
        <f t="shared" si="1225"/>
        <v/>
      </c>
      <c r="U6717" t="str">
        <f t="shared" si="1226"/>
        <v>PA_Merce_2018p~Rep-precinct committeeman jackson center,(vote for not more than  1)</v>
      </c>
      <c r="V6717" s="40"/>
      <c r="AF6717" s="274"/>
      <c r="AG6717" s="339"/>
      <c r="AH6717" s="340"/>
      <c r="AI6717" s="353"/>
      <c r="AJ6717" s="357"/>
      <c r="AK6717" s="355"/>
      <c r="AL6717" s="20"/>
      <c r="AT6717" s="20"/>
      <c r="AU6717" s="29"/>
      <c r="AV6717"/>
      <c r="AW6717"/>
    </row>
    <row r="6718" spans="1:49">
      <c r="A6718" s="30" t="s">
        <v>2966</v>
      </c>
      <c r="B6718" s="55" t="str">
        <f t="shared" si="1227"/>
        <v>PA_Merce_2018p</v>
      </c>
      <c r="D6718" s="55" t="str">
        <f t="shared" si="1228"/>
        <v>Rep-precinct committeeman jackson center,(vote for not more than  1)</v>
      </c>
      <c r="E6718" s="55" t="s">
        <v>2574</v>
      </c>
      <c r="G6718" s="60">
        <v>0</v>
      </c>
      <c r="H6718"/>
      <c r="J6718" s="7"/>
      <c r="K6718" s="2"/>
      <c r="O6718">
        <f t="shared" si="1220"/>
        <v>-1</v>
      </c>
      <c r="P6718" s="57">
        <f t="shared" si="1221"/>
        <v>1</v>
      </c>
      <c r="Q6718" s="267">
        <f t="shared" si="1222"/>
        <v>0</v>
      </c>
      <c r="R6718" s="23">
        <f t="shared" si="1223"/>
        <v>1</v>
      </c>
      <c r="S6718" s="23">
        <f t="shared" si="1224"/>
        <v>0</v>
      </c>
      <c r="T6718" s="23" t="str">
        <f t="shared" si="1225"/>
        <v/>
      </c>
      <c r="U6718" t="str">
        <f t="shared" si="1226"/>
        <v/>
      </c>
      <c r="V6718" s="40"/>
      <c r="AF6718" s="274"/>
      <c r="AG6718" s="339"/>
      <c r="AH6718" s="340"/>
      <c r="AI6718" s="353"/>
      <c r="AJ6718" s="357"/>
      <c r="AK6718" s="355"/>
      <c r="AL6718" s="20"/>
      <c r="AT6718" s="20"/>
      <c r="AU6718" s="29"/>
      <c r="AV6718"/>
      <c r="AW6718"/>
    </row>
    <row r="6719" spans="1:49">
      <c r="A6719" s="30" t="s">
        <v>2968</v>
      </c>
      <c r="B6719" s="55" t="str">
        <f t="shared" si="1227"/>
        <v>PA_Merce_2018p</v>
      </c>
      <c r="D6719" s="55" t="str">
        <f t="shared" si="1228"/>
        <v>Rep-precinct committeeman jackson township,(vote for not more than  1)</v>
      </c>
      <c r="E6719" s="55" t="s">
        <v>2969</v>
      </c>
      <c r="G6719" s="60">
        <v>100</v>
      </c>
      <c r="H6719"/>
      <c r="J6719" s="7"/>
      <c r="K6719" s="2"/>
      <c r="O6719">
        <f t="shared" si="1220"/>
        <v>1</v>
      </c>
      <c r="P6719" s="57">
        <f t="shared" si="1221"/>
        <v>1</v>
      </c>
      <c r="Q6719" s="267">
        <f t="shared" si="1222"/>
        <v>100</v>
      </c>
      <c r="R6719" s="23">
        <f t="shared" si="1223"/>
        <v>100</v>
      </c>
      <c r="S6719" s="23">
        <f t="shared" si="1224"/>
        <v>0</v>
      </c>
      <c r="T6719" s="23" t="str">
        <f t="shared" si="1225"/>
        <v/>
      </c>
      <c r="U6719" t="str">
        <f t="shared" si="1226"/>
        <v>PA_Merce_2018p~Rep-precinct committeeman jackson township,(vote for not more than  1)</v>
      </c>
      <c r="V6719" s="40"/>
      <c r="AF6719" s="274"/>
      <c r="AG6719" s="339"/>
      <c r="AH6719" s="340"/>
      <c r="AI6719" s="353"/>
      <c r="AJ6719" s="357"/>
      <c r="AK6719" s="355"/>
      <c r="AL6719" s="20"/>
      <c r="AT6719" s="20"/>
      <c r="AU6719" s="29"/>
      <c r="AV6719"/>
      <c r="AW6719"/>
    </row>
    <row r="6720" spans="1:49">
      <c r="A6720" s="30" t="s">
        <v>2968</v>
      </c>
      <c r="B6720" s="55" t="str">
        <f t="shared" si="1227"/>
        <v>PA_Merce_2018p</v>
      </c>
      <c r="D6720" s="55" t="str">
        <f t="shared" si="1228"/>
        <v>Rep-precinct committeeman jackson township,(vote for not more than  1)</v>
      </c>
      <c r="E6720" s="55" t="s">
        <v>2574</v>
      </c>
      <c r="G6720" s="60">
        <v>0</v>
      </c>
      <c r="H6720"/>
      <c r="J6720" s="7"/>
      <c r="K6720" s="2"/>
      <c r="O6720">
        <f t="shared" si="1220"/>
        <v>-1</v>
      </c>
      <c r="P6720" s="57">
        <f t="shared" si="1221"/>
        <v>1</v>
      </c>
      <c r="Q6720" s="267">
        <f t="shared" si="1222"/>
        <v>0</v>
      </c>
      <c r="R6720" s="23">
        <f t="shared" si="1223"/>
        <v>1</v>
      </c>
      <c r="S6720" s="23">
        <f t="shared" si="1224"/>
        <v>0</v>
      </c>
      <c r="T6720" s="23" t="str">
        <f t="shared" si="1225"/>
        <v/>
      </c>
      <c r="U6720" t="str">
        <f t="shared" si="1226"/>
        <v/>
      </c>
      <c r="V6720" s="40"/>
      <c r="AF6720" s="274"/>
      <c r="AG6720" s="339"/>
      <c r="AH6720" s="340"/>
      <c r="AI6720" s="353"/>
      <c r="AJ6720" s="357"/>
      <c r="AK6720" s="355"/>
      <c r="AL6720" s="20"/>
      <c r="AT6720" s="20"/>
      <c r="AU6720" s="29"/>
      <c r="AV6720"/>
      <c r="AW6720"/>
    </row>
    <row r="6721" spans="1:49">
      <c r="A6721" s="30" t="s">
        <v>2970</v>
      </c>
      <c r="B6721" s="55" t="str">
        <f t="shared" si="1227"/>
        <v>PA_Merce_2018p</v>
      </c>
      <c r="D6721" s="55" t="str">
        <f t="shared" si="1228"/>
        <v>Rep-precinct committeeman jamestown,(vote for not more than  1)</v>
      </c>
      <c r="E6721" s="55" t="s">
        <v>2971</v>
      </c>
      <c r="G6721" s="60">
        <v>52</v>
      </c>
      <c r="H6721"/>
      <c r="J6721" s="7"/>
      <c r="K6721" s="2"/>
      <c r="O6721">
        <f t="shared" si="1220"/>
        <v>1</v>
      </c>
      <c r="P6721" s="57">
        <f t="shared" si="1221"/>
        <v>1</v>
      </c>
      <c r="Q6721" s="267">
        <f t="shared" si="1222"/>
        <v>53</v>
      </c>
      <c r="R6721" s="23">
        <f t="shared" si="1223"/>
        <v>52</v>
      </c>
      <c r="S6721" s="23">
        <f t="shared" si="1224"/>
        <v>0</v>
      </c>
      <c r="T6721" s="23" t="str">
        <f t="shared" si="1225"/>
        <v/>
      </c>
      <c r="U6721" t="str">
        <f t="shared" si="1226"/>
        <v>PA_Merce_2018p~Rep-precinct committeeman jamestown,(vote for not more than  1)</v>
      </c>
      <c r="V6721" s="40"/>
      <c r="AF6721" s="274"/>
      <c r="AG6721" s="339"/>
      <c r="AH6721" s="340"/>
      <c r="AI6721" s="353"/>
      <c r="AJ6721" s="357"/>
      <c r="AK6721" s="355"/>
      <c r="AL6721" s="20"/>
      <c r="AT6721" s="20"/>
      <c r="AU6721" s="29"/>
      <c r="AV6721"/>
      <c r="AW6721"/>
    </row>
    <row r="6722" spans="1:49">
      <c r="A6722" s="30" t="s">
        <v>2970</v>
      </c>
      <c r="B6722" s="55" t="str">
        <f t="shared" si="1227"/>
        <v>PA_Merce_2018p</v>
      </c>
      <c r="D6722" s="55" t="str">
        <f t="shared" si="1228"/>
        <v>Rep-precinct committeeman jamestown,(vote for not more than  1)</v>
      </c>
      <c r="E6722" s="55" t="s">
        <v>2574</v>
      </c>
      <c r="G6722" s="60">
        <v>1</v>
      </c>
      <c r="H6722"/>
      <c r="J6722" s="7"/>
      <c r="K6722" s="2"/>
      <c r="O6722">
        <f t="shared" ref="O6722:O6785" si="1229">IF(OR(LOWER(LEFT(E6722,8))="write-in",LOWER(LEFT(E6722,8))="not qual"),IF(A6722=A6721,-ABS(O6721),0),IF(A6722=A6721,ABS(O6721)+1,1))</f>
        <v>-1</v>
      </c>
      <c r="P6722" s="57">
        <f t="shared" ref="P6722:P6785" si="1230">1*LEFT(RIGHT(A6722,2),1)</f>
        <v>1</v>
      </c>
      <c r="Q6722" s="267">
        <f t="shared" ref="Q6722:Q6785" si="1231">IF(A6722&lt;&gt;A6723,G6722,IF(A6722=A6721,G6722+Q6723,MAX(G6722,(G6722+Q6723)/P6722)))</f>
        <v>1</v>
      </c>
      <c r="R6722" s="23">
        <f t="shared" ref="R6722:R6785" si="1232">IF(O6722&gt;P6722,"",IF(O6722=P6722,G6722,IF(A6722=A6723,R6723,IF(O6722&lt;=0,1,G6722))))</f>
        <v>1</v>
      </c>
      <c r="S6722" s="23">
        <f t="shared" ref="S6722:S6785" si="1233">IF(AND(O6722&gt;P6722,LOWER(LEFT(E6722,8))&lt;&gt;"write-in",LOWER(LEFT(E6722,8))&lt;&gt;"not qual"),G6722,IF(A6722=A6723,S6723,0))</f>
        <v>0</v>
      </c>
      <c r="T6722" s="23" t="str">
        <f t="shared" ref="T6722:T6785" si="1234">IF(OR(A6722=A6721,S6722=0),"",R6722-ABS(S6722))</f>
        <v/>
      </c>
      <c r="U6722" t="str">
        <f t="shared" ref="U6722:U6785" si="1235">IF(A6722=A6721,"",A6722)</f>
        <v/>
      </c>
      <c r="V6722" s="40"/>
      <c r="AF6722" s="274"/>
      <c r="AG6722" s="339"/>
      <c r="AH6722" s="340"/>
      <c r="AI6722" s="353"/>
      <c r="AJ6722" s="357"/>
      <c r="AK6722" s="355"/>
      <c r="AL6722" s="20"/>
      <c r="AT6722" s="20"/>
      <c r="AU6722" s="29"/>
      <c r="AV6722"/>
      <c r="AW6722"/>
    </row>
    <row r="6723" spans="1:49">
      <c r="A6723" s="30" t="s">
        <v>2972</v>
      </c>
      <c r="B6723" s="55" t="str">
        <f t="shared" si="1227"/>
        <v>PA_Merce_2018p</v>
      </c>
      <c r="D6723" s="55" t="str">
        <f t="shared" si="1228"/>
        <v>Rep-precinct committeeman jefferson east,(vote for not more than  1)</v>
      </c>
      <c r="E6723" s="55" t="s">
        <v>2574</v>
      </c>
      <c r="G6723" s="60">
        <v>10</v>
      </c>
      <c r="H6723"/>
      <c r="J6723" s="7"/>
      <c r="K6723" s="2"/>
      <c r="O6723">
        <f t="shared" si="1229"/>
        <v>0</v>
      </c>
      <c r="P6723" s="57">
        <f t="shared" si="1230"/>
        <v>1</v>
      </c>
      <c r="Q6723" s="267">
        <f t="shared" si="1231"/>
        <v>10</v>
      </c>
      <c r="R6723" s="23">
        <f t="shared" si="1232"/>
        <v>1</v>
      </c>
      <c r="S6723" s="23">
        <f t="shared" si="1233"/>
        <v>0</v>
      </c>
      <c r="T6723" s="23" t="str">
        <f t="shared" si="1234"/>
        <v/>
      </c>
      <c r="U6723" t="str">
        <f t="shared" si="1235"/>
        <v>PA_Merce_2018p~Rep-precinct committeeman jefferson east,(vote for not more than  1)</v>
      </c>
      <c r="V6723" s="40"/>
      <c r="AF6723" s="274"/>
      <c r="AG6723" s="339"/>
      <c r="AH6723" s="340"/>
      <c r="AI6723" s="353"/>
      <c r="AJ6723" s="357"/>
      <c r="AK6723" s="355"/>
      <c r="AL6723" s="20"/>
      <c r="AT6723" s="20"/>
      <c r="AU6723" s="29"/>
      <c r="AV6723"/>
      <c r="AW6723"/>
    </row>
    <row r="6724" spans="1:49">
      <c r="A6724" s="30" t="s">
        <v>2973</v>
      </c>
      <c r="B6724" s="55" t="str">
        <f t="shared" si="1227"/>
        <v>PA_Merce_2018p</v>
      </c>
      <c r="D6724" s="55" t="str">
        <f t="shared" si="1228"/>
        <v>Rep-precinct committeeman jefferson west,(vote for not more than  1)</v>
      </c>
      <c r="E6724" s="55" t="s">
        <v>2574</v>
      </c>
      <c r="G6724" s="60">
        <v>0</v>
      </c>
      <c r="H6724"/>
      <c r="J6724" s="7"/>
      <c r="K6724" s="2"/>
      <c r="O6724">
        <f t="shared" si="1229"/>
        <v>0</v>
      </c>
      <c r="P6724" s="57">
        <f t="shared" si="1230"/>
        <v>1</v>
      </c>
      <c r="Q6724" s="267">
        <f t="shared" si="1231"/>
        <v>0</v>
      </c>
      <c r="R6724" s="23">
        <f t="shared" si="1232"/>
        <v>1</v>
      </c>
      <c r="S6724" s="23">
        <f t="shared" si="1233"/>
        <v>0</v>
      </c>
      <c r="T6724" s="23" t="str">
        <f t="shared" si="1234"/>
        <v/>
      </c>
      <c r="U6724" t="str">
        <f t="shared" si="1235"/>
        <v>PA_Merce_2018p~Rep-precinct committeeman jefferson west,(vote for not more than  1)</v>
      </c>
      <c r="V6724" s="40"/>
      <c r="AF6724" s="274"/>
      <c r="AG6724" s="339"/>
      <c r="AH6724" s="340"/>
      <c r="AI6724" s="353"/>
      <c r="AJ6724" s="357"/>
      <c r="AK6724" s="355"/>
      <c r="AL6724" s="20"/>
      <c r="AT6724" s="20"/>
      <c r="AU6724" s="29"/>
      <c r="AV6724"/>
      <c r="AW6724"/>
    </row>
    <row r="6725" spans="1:49">
      <c r="A6725" s="30" t="s">
        <v>2974</v>
      </c>
      <c r="B6725" s="55" t="str">
        <f t="shared" si="1227"/>
        <v>PA_Merce_2018p</v>
      </c>
      <c r="D6725" s="55" t="str">
        <f t="shared" si="1228"/>
        <v>Rep-precinct committeeman lackawannock,(vote for not more than  1)</v>
      </c>
      <c r="E6725" s="55" t="s">
        <v>2574</v>
      </c>
      <c r="G6725" s="60">
        <v>1</v>
      </c>
      <c r="H6725"/>
      <c r="J6725" s="7"/>
      <c r="K6725" s="2"/>
      <c r="O6725">
        <f t="shared" si="1229"/>
        <v>0</v>
      </c>
      <c r="P6725" s="57">
        <f t="shared" si="1230"/>
        <v>1</v>
      </c>
      <c r="Q6725" s="267">
        <f t="shared" si="1231"/>
        <v>1</v>
      </c>
      <c r="R6725" s="23">
        <f t="shared" si="1232"/>
        <v>1</v>
      </c>
      <c r="S6725" s="23">
        <f t="shared" si="1233"/>
        <v>0</v>
      </c>
      <c r="T6725" s="23" t="str">
        <f t="shared" si="1234"/>
        <v/>
      </c>
      <c r="U6725" t="str">
        <f t="shared" si="1235"/>
        <v>PA_Merce_2018p~Rep-precinct committeeman lackawannock,(vote for not more than  1)</v>
      </c>
      <c r="V6725" s="40"/>
      <c r="AF6725" s="274"/>
      <c r="AG6725" s="339"/>
      <c r="AH6725" s="340"/>
      <c r="AI6725" s="353"/>
      <c r="AJ6725" s="357"/>
      <c r="AK6725" s="355"/>
      <c r="AL6725" s="20"/>
      <c r="AT6725" s="20"/>
      <c r="AU6725" s="29"/>
      <c r="AV6725"/>
      <c r="AW6725"/>
    </row>
    <row r="6726" spans="1:49">
      <c r="A6726" s="30" t="s">
        <v>2975</v>
      </c>
      <c r="B6726" s="55" t="str">
        <f t="shared" si="1227"/>
        <v>PA_Merce_2018p</v>
      </c>
      <c r="D6726" s="55" t="str">
        <f t="shared" si="1228"/>
        <v>Rep-precinct committeeman lake,(vote for not more than  1)</v>
      </c>
      <c r="E6726" s="55" t="s">
        <v>2574</v>
      </c>
      <c r="G6726" s="60">
        <v>4</v>
      </c>
      <c r="H6726"/>
      <c r="J6726" s="7"/>
      <c r="K6726" s="2"/>
      <c r="O6726">
        <f t="shared" si="1229"/>
        <v>0</v>
      </c>
      <c r="P6726" s="57">
        <f t="shared" si="1230"/>
        <v>1</v>
      </c>
      <c r="Q6726" s="267">
        <f t="shared" si="1231"/>
        <v>4</v>
      </c>
      <c r="R6726" s="23">
        <f t="shared" si="1232"/>
        <v>1</v>
      </c>
      <c r="S6726" s="23">
        <f t="shared" si="1233"/>
        <v>0</v>
      </c>
      <c r="T6726" s="23" t="str">
        <f t="shared" si="1234"/>
        <v/>
      </c>
      <c r="U6726" t="str">
        <f t="shared" si="1235"/>
        <v>PA_Merce_2018p~Rep-precinct committeeman lake,(vote for not more than  1)</v>
      </c>
      <c r="V6726" s="40"/>
      <c r="AF6726" s="274"/>
      <c r="AG6726" s="339"/>
      <c r="AH6726" s="340"/>
      <c r="AI6726" s="353"/>
      <c r="AJ6726" s="357"/>
      <c r="AK6726" s="355"/>
      <c r="AL6726" s="20"/>
      <c r="AT6726" s="20"/>
      <c r="AU6726" s="29"/>
      <c r="AV6726"/>
      <c r="AW6726"/>
    </row>
    <row r="6727" spans="1:49">
      <c r="A6727" s="30" t="s">
        <v>2976</v>
      </c>
      <c r="B6727" s="55" t="str">
        <f t="shared" si="1227"/>
        <v>PA_Merce_2018p</v>
      </c>
      <c r="D6727" s="55" t="str">
        <f t="shared" si="1228"/>
        <v>Rep-precinct committeeman liberty,(vote for not more than  1)</v>
      </c>
      <c r="E6727" s="55" t="s">
        <v>2977</v>
      </c>
      <c r="G6727" s="60">
        <v>136</v>
      </c>
      <c r="H6727"/>
      <c r="J6727" s="7"/>
      <c r="K6727" s="2"/>
      <c r="O6727">
        <f t="shared" si="1229"/>
        <v>1</v>
      </c>
      <c r="P6727" s="57">
        <f t="shared" si="1230"/>
        <v>1</v>
      </c>
      <c r="Q6727" s="267">
        <f t="shared" si="1231"/>
        <v>136</v>
      </c>
      <c r="R6727" s="23">
        <f t="shared" si="1232"/>
        <v>136</v>
      </c>
      <c r="S6727" s="23">
        <f t="shared" si="1233"/>
        <v>0</v>
      </c>
      <c r="T6727" s="23" t="str">
        <f t="shared" si="1234"/>
        <v/>
      </c>
      <c r="U6727" t="str">
        <f t="shared" si="1235"/>
        <v>PA_Merce_2018p~Rep-precinct committeeman liberty,(vote for not more than  1)</v>
      </c>
      <c r="V6727" s="40"/>
      <c r="AF6727" s="274"/>
      <c r="AG6727" s="339"/>
      <c r="AH6727" s="340"/>
      <c r="AI6727" s="353"/>
      <c r="AJ6727" s="357"/>
      <c r="AK6727" s="355"/>
      <c r="AL6727" s="20"/>
      <c r="AT6727" s="20"/>
      <c r="AU6727" s="29"/>
      <c r="AV6727"/>
      <c r="AW6727"/>
    </row>
    <row r="6728" spans="1:49">
      <c r="A6728" s="30" t="s">
        <v>2976</v>
      </c>
      <c r="B6728" s="55" t="str">
        <f t="shared" si="1227"/>
        <v>PA_Merce_2018p</v>
      </c>
      <c r="D6728" s="55" t="str">
        <f t="shared" si="1228"/>
        <v>Rep-precinct committeeman liberty,(vote for not more than  1)</v>
      </c>
      <c r="E6728" s="55" t="s">
        <v>2574</v>
      </c>
      <c r="G6728" s="60">
        <v>0</v>
      </c>
      <c r="H6728"/>
      <c r="J6728" s="7"/>
      <c r="K6728" s="2"/>
      <c r="O6728">
        <f t="shared" si="1229"/>
        <v>-1</v>
      </c>
      <c r="P6728" s="57">
        <f t="shared" si="1230"/>
        <v>1</v>
      </c>
      <c r="Q6728" s="267">
        <f t="shared" si="1231"/>
        <v>0</v>
      </c>
      <c r="R6728" s="23">
        <f t="shared" si="1232"/>
        <v>1</v>
      </c>
      <c r="S6728" s="23">
        <f t="shared" si="1233"/>
        <v>0</v>
      </c>
      <c r="T6728" s="23" t="str">
        <f t="shared" si="1234"/>
        <v/>
      </c>
      <c r="U6728" t="str">
        <f t="shared" si="1235"/>
        <v/>
      </c>
      <c r="V6728" s="40"/>
      <c r="AF6728" s="274"/>
      <c r="AG6728" s="339"/>
      <c r="AH6728" s="340"/>
      <c r="AI6728" s="353"/>
      <c r="AJ6728" s="357"/>
      <c r="AK6728" s="355"/>
      <c r="AL6728" s="20"/>
      <c r="AT6728" s="20"/>
      <c r="AU6728" s="29"/>
      <c r="AV6728"/>
      <c r="AW6728"/>
    </row>
    <row r="6729" spans="1:49">
      <c r="A6729" s="30" t="s">
        <v>2978</v>
      </c>
      <c r="B6729" s="55" t="str">
        <f t="shared" si="1227"/>
        <v>PA_Merce_2018p</v>
      </c>
      <c r="D6729" s="55" t="str">
        <f t="shared" si="1228"/>
        <v>Rep-precinct committeeman mercer north,(vote for not more than  1)</v>
      </c>
      <c r="E6729" s="55" t="s">
        <v>2979</v>
      </c>
      <c r="G6729" s="60">
        <v>58</v>
      </c>
      <c r="H6729"/>
      <c r="J6729" s="7"/>
      <c r="K6729" s="2"/>
      <c r="O6729">
        <f t="shared" si="1229"/>
        <v>1</v>
      </c>
      <c r="P6729" s="57">
        <f t="shared" si="1230"/>
        <v>1</v>
      </c>
      <c r="Q6729" s="267">
        <f t="shared" si="1231"/>
        <v>58</v>
      </c>
      <c r="R6729" s="23">
        <f t="shared" si="1232"/>
        <v>58</v>
      </c>
      <c r="S6729" s="23">
        <f t="shared" si="1233"/>
        <v>0</v>
      </c>
      <c r="T6729" s="23" t="str">
        <f t="shared" si="1234"/>
        <v/>
      </c>
      <c r="U6729" t="str">
        <f t="shared" si="1235"/>
        <v>PA_Merce_2018p~Rep-precinct committeeman mercer north,(vote for not more than  1)</v>
      </c>
      <c r="V6729" s="40"/>
      <c r="AF6729" s="274"/>
      <c r="AG6729" s="339"/>
      <c r="AH6729" s="340"/>
      <c r="AI6729" s="353"/>
      <c r="AJ6729" s="357"/>
      <c r="AK6729" s="355"/>
      <c r="AL6729" s="20"/>
      <c r="AT6729" s="20"/>
      <c r="AU6729" s="29"/>
      <c r="AV6729"/>
      <c r="AW6729"/>
    </row>
    <row r="6730" spans="1:49">
      <c r="A6730" s="30" t="s">
        <v>2978</v>
      </c>
      <c r="B6730" s="55" t="str">
        <f t="shared" si="1227"/>
        <v>PA_Merce_2018p</v>
      </c>
      <c r="D6730" s="55" t="str">
        <f t="shared" si="1228"/>
        <v>Rep-precinct committeeman mercer north,(vote for not more than  1)</v>
      </c>
      <c r="E6730" s="55" t="s">
        <v>2574</v>
      </c>
      <c r="G6730" s="60">
        <v>0</v>
      </c>
      <c r="H6730"/>
      <c r="J6730" s="7"/>
      <c r="K6730" s="2"/>
      <c r="O6730">
        <f t="shared" si="1229"/>
        <v>-1</v>
      </c>
      <c r="P6730" s="57">
        <f t="shared" si="1230"/>
        <v>1</v>
      </c>
      <c r="Q6730" s="267">
        <f t="shared" si="1231"/>
        <v>0</v>
      </c>
      <c r="R6730" s="23">
        <f t="shared" si="1232"/>
        <v>1</v>
      </c>
      <c r="S6730" s="23">
        <f t="shared" si="1233"/>
        <v>0</v>
      </c>
      <c r="T6730" s="23" t="str">
        <f t="shared" si="1234"/>
        <v/>
      </c>
      <c r="U6730" t="str">
        <f t="shared" si="1235"/>
        <v/>
      </c>
      <c r="V6730" s="40"/>
      <c r="AF6730" s="274"/>
      <c r="AG6730" s="339"/>
      <c r="AH6730" s="340"/>
      <c r="AI6730" s="353"/>
      <c r="AJ6730" s="357"/>
      <c r="AK6730" s="355"/>
      <c r="AL6730" s="20"/>
      <c r="AT6730" s="20"/>
      <c r="AU6730" s="29"/>
      <c r="AV6730"/>
      <c r="AW6730"/>
    </row>
    <row r="6731" spans="1:49">
      <c r="A6731" s="30" t="s">
        <v>2980</v>
      </c>
      <c r="B6731" s="55" t="str">
        <f t="shared" si="1227"/>
        <v>PA_Merce_2018p</v>
      </c>
      <c r="D6731" s="55" t="str">
        <f t="shared" si="1228"/>
        <v>Rep-precinct committeeman mercer south,(vote for not more than  1)</v>
      </c>
      <c r="E6731" s="55" t="s">
        <v>2574</v>
      </c>
      <c r="G6731" s="60">
        <v>2</v>
      </c>
      <c r="H6731"/>
      <c r="J6731" s="7"/>
      <c r="K6731" s="2"/>
      <c r="O6731">
        <f t="shared" si="1229"/>
        <v>0</v>
      </c>
      <c r="P6731" s="57">
        <f t="shared" si="1230"/>
        <v>1</v>
      </c>
      <c r="Q6731" s="267">
        <f t="shared" si="1231"/>
        <v>2</v>
      </c>
      <c r="R6731" s="23">
        <f t="shared" si="1232"/>
        <v>1</v>
      </c>
      <c r="S6731" s="23">
        <f t="shared" si="1233"/>
        <v>0</v>
      </c>
      <c r="T6731" s="23" t="str">
        <f t="shared" si="1234"/>
        <v/>
      </c>
      <c r="U6731" t="str">
        <f t="shared" si="1235"/>
        <v>PA_Merce_2018p~Rep-precinct committeeman mercer south,(vote for not more than  1)</v>
      </c>
      <c r="V6731" s="40"/>
      <c r="AF6731" s="274"/>
      <c r="AG6731" s="339"/>
      <c r="AH6731" s="340"/>
      <c r="AI6731" s="353"/>
      <c r="AJ6731" s="357"/>
      <c r="AK6731" s="355"/>
      <c r="AL6731" s="20"/>
      <c r="AT6731" s="20"/>
      <c r="AU6731" s="29"/>
      <c r="AV6731"/>
      <c r="AW6731"/>
    </row>
    <row r="6732" spans="1:49">
      <c r="A6732" s="30" t="s">
        <v>2981</v>
      </c>
      <c r="B6732" s="55" t="str">
        <f t="shared" si="1227"/>
        <v>PA_Merce_2018p</v>
      </c>
      <c r="D6732" s="55" t="str">
        <f t="shared" si="1228"/>
        <v>Rep-precinct committeeman mill creek,(vote for not more than  1)</v>
      </c>
      <c r="E6732" s="55" t="s">
        <v>2574</v>
      </c>
      <c r="G6732" s="60">
        <v>2</v>
      </c>
      <c r="H6732"/>
      <c r="J6732" s="7"/>
      <c r="K6732" s="2"/>
      <c r="O6732">
        <f t="shared" si="1229"/>
        <v>0</v>
      </c>
      <c r="P6732" s="57">
        <f t="shared" si="1230"/>
        <v>1</v>
      </c>
      <c r="Q6732" s="267">
        <f t="shared" si="1231"/>
        <v>2</v>
      </c>
      <c r="R6732" s="23">
        <f t="shared" si="1232"/>
        <v>1</v>
      </c>
      <c r="S6732" s="23">
        <f t="shared" si="1233"/>
        <v>0</v>
      </c>
      <c r="T6732" s="23" t="str">
        <f t="shared" si="1234"/>
        <v/>
      </c>
      <c r="U6732" t="str">
        <f t="shared" si="1235"/>
        <v>PA_Merce_2018p~Rep-precinct committeeman mill creek,(vote for not more than  1)</v>
      </c>
      <c r="V6732" s="40"/>
      <c r="AF6732" s="274"/>
      <c r="AG6732" s="339"/>
      <c r="AH6732" s="340"/>
      <c r="AI6732" s="353"/>
      <c r="AJ6732" s="357"/>
      <c r="AK6732" s="355"/>
      <c r="AL6732" s="20"/>
      <c r="AT6732" s="20"/>
      <c r="AU6732" s="29"/>
      <c r="AV6732"/>
      <c r="AW6732"/>
    </row>
    <row r="6733" spans="1:49">
      <c r="A6733" s="30" t="s">
        <v>2982</v>
      </c>
      <c r="B6733" s="55" t="str">
        <f t="shared" si="1227"/>
        <v>PA_Merce_2018p</v>
      </c>
      <c r="D6733" s="55" t="str">
        <f t="shared" si="1228"/>
        <v>Rep-precinct committeeman new lebanon,(vote for not more than  1)</v>
      </c>
      <c r="E6733" s="55" t="s">
        <v>2574</v>
      </c>
      <c r="G6733" s="60">
        <v>1</v>
      </c>
      <c r="H6733"/>
      <c r="J6733" s="7"/>
      <c r="K6733" s="2"/>
      <c r="O6733">
        <f t="shared" si="1229"/>
        <v>0</v>
      </c>
      <c r="P6733" s="57">
        <f t="shared" si="1230"/>
        <v>1</v>
      </c>
      <c r="Q6733" s="267">
        <f t="shared" si="1231"/>
        <v>1</v>
      </c>
      <c r="R6733" s="23">
        <f t="shared" si="1232"/>
        <v>1</v>
      </c>
      <c r="S6733" s="23">
        <f t="shared" si="1233"/>
        <v>0</v>
      </c>
      <c r="T6733" s="23" t="str">
        <f t="shared" si="1234"/>
        <v/>
      </c>
      <c r="U6733" t="str">
        <f t="shared" si="1235"/>
        <v>PA_Merce_2018p~Rep-precinct committeeman new lebanon,(vote for not more than  1)</v>
      </c>
      <c r="V6733" s="40"/>
      <c r="AF6733" s="274"/>
      <c r="AG6733" s="339"/>
      <c r="AH6733" s="340"/>
      <c r="AI6733" s="353"/>
      <c r="AJ6733" s="357"/>
      <c r="AK6733" s="355"/>
      <c r="AL6733" s="20"/>
      <c r="AT6733" s="20"/>
      <c r="AU6733" s="29"/>
      <c r="AV6733"/>
      <c r="AW6733"/>
    </row>
    <row r="6734" spans="1:49">
      <c r="A6734" s="30" t="s">
        <v>2983</v>
      </c>
      <c r="B6734" s="55" t="str">
        <f t="shared" si="1227"/>
        <v>PA_Merce_2018p</v>
      </c>
      <c r="D6734" s="55" t="str">
        <f t="shared" si="1228"/>
        <v>Rep-precinct committeeman new vernon,(vote for not more than  1)</v>
      </c>
      <c r="E6734" s="55" t="s">
        <v>2984</v>
      </c>
      <c r="G6734" s="60">
        <v>80</v>
      </c>
      <c r="H6734"/>
      <c r="J6734" s="7"/>
      <c r="K6734" s="2"/>
      <c r="O6734">
        <f t="shared" si="1229"/>
        <v>1</v>
      </c>
      <c r="P6734" s="57">
        <f t="shared" si="1230"/>
        <v>1</v>
      </c>
      <c r="Q6734" s="267">
        <f t="shared" si="1231"/>
        <v>82</v>
      </c>
      <c r="R6734" s="23">
        <f t="shared" si="1232"/>
        <v>80</v>
      </c>
      <c r="S6734" s="23">
        <f t="shared" si="1233"/>
        <v>0</v>
      </c>
      <c r="T6734" s="23" t="str">
        <f t="shared" si="1234"/>
        <v/>
      </c>
      <c r="U6734" t="str">
        <f t="shared" si="1235"/>
        <v>PA_Merce_2018p~Rep-precinct committeeman new vernon,(vote for not more than  1)</v>
      </c>
      <c r="V6734" s="40"/>
      <c r="AF6734" s="274"/>
      <c r="AG6734" s="339"/>
      <c r="AH6734" s="340"/>
      <c r="AI6734" s="353"/>
      <c r="AJ6734" s="357"/>
      <c r="AK6734" s="355"/>
      <c r="AL6734" s="20"/>
      <c r="AT6734" s="20"/>
      <c r="AU6734" s="29"/>
      <c r="AV6734"/>
      <c r="AW6734"/>
    </row>
    <row r="6735" spans="1:49">
      <c r="A6735" s="30" t="s">
        <v>2983</v>
      </c>
      <c r="B6735" s="55" t="str">
        <f t="shared" si="1227"/>
        <v>PA_Merce_2018p</v>
      </c>
      <c r="D6735" s="55" t="str">
        <f t="shared" si="1228"/>
        <v>Rep-precinct committeeman new vernon,(vote for not more than  1)</v>
      </c>
      <c r="E6735" s="55" t="s">
        <v>2574</v>
      </c>
      <c r="G6735" s="60">
        <v>2</v>
      </c>
      <c r="H6735"/>
      <c r="J6735" s="7"/>
      <c r="K6735" s="2"/>
      <c r="O6735">
        <f t="shared" si="1229"/>
        <v>-1</v>
      </c>
      <c r="P6735" s="57">
        <f t="shared" si="1230"/>
        <v>1</v>
      </c>
      <c r="Q6735" s="267">
        <f t="shared" si="1231"/>
        <v>2</v>
      </c>
      <c r="R6735" s="23">
        <f t="shared" si="1232"/>
        <v>1</v>
      </c>
      <c r="S6735" s="23">
        <f t="shared" si="1233"/>
        <v>0</v>
      </c>
      <c r="T6735" s="23" t="str">
        <f t="shared" si="1234"/>
        <v/>
      </c>
      <c r="U6735" t="str">
        <f t="shared" si="1235"/>
        <v/>
      </c>
      <c r="V6735" s="40"/>
      <c r="AF6735" s="274"/>
      <c r="AG6735" s="339"/>
      <c r="AH6735" s="340"/>
      <c r="AI6735" s="353"/>
      <c r="AJ6735" s="357"/>
      <c r="AK6735" s="355"/>
      <c r="AL6735" s="20"/>
      <c r="AT6735" s="20"/>
      <c r="AU6735" s="29"/>
      <c r="AV6735"/>
      <c r="AW6735"/>
    </row>
    <row r="6736" spans="1:49">
      <c r="A6736" s="30" t="s">
        <v>2985</v>
      </c>
      <c r="B6736" s="55" t="str">
        <f t="shared" si="1227"/>
        <v>PA_Merce_2018p</v>
      </c>
      <c r="D6736" s="55" t="str">
        <f t="shared" si="1228"/>
        <v>Rep-precinct committeeman otter creek,(vote for not more than  1)</v>
      </c>
      <c r="E6736" s="55" t="s">
        <v>2574</v>
      </c>
      <c r="G6736" s="60">
        <v>2</v>
      </c>
      <c r="H6736"/>
      <c r="J6736" s="7"/>
      <c r="K6736" s="2"/>
      <c r="O6736">
        <f t="shared" si="1229"/>
        <v>0</v>
      </c>
      <c r="P6736" s="57">
        <f t="shared" si="1230"/>
        <v>1</v>
      </c>
      <c r="Q6736" s="267">
        <f t="shared" si="1231"/>
        <v>2</v>
      </c>
      <c r="R6736" s="23">
        <f t="shared" si="1232"/>
        <v>1</v>
      </c>
      <c r="S6736" s="23">
        <f t="shared" si="1233"/>
        <v>0</v>
      </c>
      <c r="T6736" s="23" t="str">
        <f t="shared" si="1234"/>
        <v/>
      </c>
      <c r="U6736" t="str">
        <f t="shared" si="1235"/>
        <v>PA_Merce_2018p~Rep-precinct committeeman otter creek,(vote for not more than  1)</v>
      </c>
      <c r="V6736" s="40"/>
      <c r="AF6736" s="274"/>
      <c r="AG6736" s="339"/>
      <c r="AH6736" s="340"/>
      <c r="AI6736" s="353"/>
      <c r="AJ6736" s="357"/>
      <c r="AK6736" s="355"/>
      <c r="AL6736" s="20"/>
      <c r="AT6736" s="20"/>
      <c r="AU6736" s="29"/>
      <c r="AV6736"/>
      <c r="AW6736"/>
    </row>
    <row r="6737" spans="1:49">
      <c r="A6737" s="30" t="s">
        <v>2986</v>
      </c>
      <c r="B6737" s="55" t="str">
        <f t="shared" si="1227"/>
        <v>PA_Merce_2018p</v>
      </c>
      <c r="D6737" s="55" t="str">
        <f t="shared" si="1228"/>
        <v>Rep-precinct committeeman perry,(vote for not more than  1)</v>
      </c>
      <c r="E6737" s="55" t="s">
        <v>2574</v>
      </c>
      <c r="G6737" s="60">
        <v>6</v>
      </c>
      <c r="H6737"/>
      <c r="J6737" s="7"/>
      <c r="K6737" s="2"/>
      <c r="O6737">
        <f t="shared" si="1229"/>
        <v>0</v>
      </c>
      <c r="P6737" s="57">
        <f t="shared" si="1230"/>
        <v>1</v>
      </c>
      <c r="Q6737" s="267">
        <f t="shared" si="1231"/>
        <v>6</v>
      </c>
      <c r="R6737" s="23">
        <f t="shared" si="1232"/>
        <v>1</v>
      </c>
      <c r="S6737" s="23">
        <f t="shared" si="1233"/>
        <v>0</v>
      </c>
      <c r="T6737" s="23" t="str">
        <f t="shared" si="1234"/>
        <v/>
      </c>
      <c r="U6737" t="str">
        <f t="shared" si="1235"/>
        <v>PA_Merce_2018p~Rep-precinct committeeman perry,(vote for not more than  1)</v>
      </c>
      <c r="V6737" s="40"/>
      <c r="AF6737" s="274"/>
      <c r="AG6737" s="339"/>
      <c r="AH6737" s="340"/>
      <c r="AI6737" s="353"/>
      <c r="AJ6737" s="357"/>
      <c r="AK6737" s="355"/>
      <c r="AL6737" s="20"/>
      <c r="AT6737" s="20"/>
      <c r="AU6737" s="29"/>
      <c r="AV6737"/>
      <c r="AW6737"/>
    </row>
    <row r="6738" spans="1:49">
      <c r="A6738" s="30" t="s">
        <v>2987</v>
      </c>
      <c r="B6738" s="55" t="str">
        <f t="shared" si="1227"/>
        <v>PA_Merce_2018p</v>
      </c>
      <c r="D6738" s="55" t="str">
        <f t="shared" si="1228"/>
        <v>Rep-precinct committeeman pine 1,(vote for not more than  1)</v>
      </c>
      <c r="E6738" s="55" t="s">
        <v>2988</v>
      </c>
      <c r="G6738" s="60">
        <v>187</v>
      </c>
      <c r="H6738"/>
      <c r="J6738" s="7"/>
      <c r="K6738" s="2"/>
      <c r="O6738">
        <f t="shared" si="1229"/>
        <v>1</v>
      </c>
      <c r="P6738" s="57">
        <f t="shared" si="1230"/>
        <v>1</v>
      </c>
      <c r="Q6738" s="267">
        <f t="shared" si="1231"/>
        <v>188</v>
      </c>
      <c r="R6738" s="23">
        <f t="shared" si="1232"/>
        <v>187</v>
      </c>
      <c r="S6738" s="23">
        <f t="shared" si="1233"/>
        <v>0</v>
      </c>
      <c r="T6738" s="23" t="str">
        <f t="shared" si="1234"/>
        <v/>
      </c>
      <c r="U6738" t="str">
        <f t="shared" si="1235"/>
        <v>PA_Merce_2018p~Rep-precinct committeeman pine 1,(vote for not more than  1)</v>
      </c>
      <c r="V6738" s="40"/>
      <c r="AF6738" s="274"/>
      <c r="AG6738" s="339"/>
      <c r="AH6738" s="340"/>
      <c r="AI6738" s="353"/>
      <c r="AJ6738" s="357"/>
      <c r="AK6738" s="355"/>
      <c r="AL6738" s="20"/>
      <c r="AT6738" s="20"/>
      <c r="AU6738" s="29"/>
      <c r="AV6738"/>
      <c r="AW6738"/>
    </row>
    <row r="6739" spans="1:49">
      <c r="A6739" s="30" t="s">
        <v>2987</v>
      </c>
      <c r="B6739" s="55" t="str">
        <f t="shared" si="1227"/>
        <v>PA_Merce_2018p</v>
      </c>
      <c r="D6739" s="55" t="str">
        <f t="shared" si="1228"/>
        <v>Rep-precinct committeeman pine 1,(vote for not more than  1)</v>
      </c>
      <c r="E6739" s="55" t="s">
        <v>2574</v>
      </c>
      <c r="G6739" s="60">
        <v>1</v>
      </c>
      <c r="H6739"/>
      <c r="J6739" s="7"/>
      <c r="K6739" s="2"/>
      <c r="O6739">
        <f t="shared" si="1229"/>
        <v>-1</v>
      </c>
      <c r="P6739" s="57">
        <f t="shared" si="1230"/>
        <v>1</v>
      </c>
      <c r="Q6739" s="267">
        <f t="shared" si="1231"/>
        <v>1</v>
      </c>
      <c r="R6739" s="23">
        <f t="shared" si="1232"/>
        <v>1</v>
      </c>
      <c r="S6739" s="23">
        <f t="shared" si="1233"/>
        <v>0</v>
      </c>
      <c r="T6739" s="23" t="str">
        <f t="shared" si="1234"/>
        <v/>
      </c>
      <c r="U6739" t="str">
        <f t="shared" si="1235"/>
        <v/>
      </c>
      <c r="V6739" s="40"/>
      <c r="AF6739" s="274"/>
      <c r="AG6739" s="339"/>
      <c r="AH6739" s="340"/>
      <c r="AI6739" s="353"/>
      <c r="AJ6739" s="357"/>
      <c r="AK6739" s="355"/>
      <c r="AL6739" s="20"/>
      <c r="AT6739" s="20"/>
      <c r="AU6739" s="29"/>
      <c r="AV6739"/>
      <c r="AW6739"/>
    </row>
    <row r="6740" spans="1:49">
      <c r="A6740" s="30" t="s">
        <v>2989</v>
      </c>
      <c r="B6740" s="55" t="str">
        <f t="shared" si="1227"/>
        <v>PA_Merce_2018p</v>
      </c>
      <c r="D6740" s="55" t="str">
        <f t="shared" si="1228"/>
        <v>Rep-precinct committeeman pine 2,(vote for not more than  1)</v>
      </c>
      <c r="E6740" s="55" t="s">
        <v>2574</v>
      </c>
      <c r="G6740" s="60">
        <v>9</v>
      </c>
      <c r="H6740"/>
      <c r="J6740" s="7"/>
      <c r="K6740" s="2"/>
      <c r="O6740">
        <f t="shared" si="1229"/>
        <v>0</v>
      </c>
      <c r="P6740" s="57">
        <f t="shared" si="1230"/>
        <v>1</v>
      </c>
      <c r="Q6740" s="267">
        <f t="shared" si="1231"/>
        <v>9</v>
      </c>
      <c r="R6740" s="23">
        <f t="shared" si="1232"/>
        <v>1</v>
      </c>
      <c r="S6740" s="23">
        <f t="shared" si="1233"/>
        <v>0</v>
      </c>
      <c r="T6740" s="23" t="str">
        <f t="shared" si="1234"/>
        <v/>
      </c>
      <c r="U6740" t="str">
        <f t="shared" si="1235"/>
        <v>PA_Merce_2018p~Rep-precinct committeeman pine 2,(vote for not more than  1)</v>
      </c>
      <c r="V6740" s="40"/>
      <c r="AF6740" s="274"/>
      <c r="AG6740" s="339"/>
      <c r="AH6740" s="340"/>
      <c r="AI6740" s="353"/>
      <c r="AJ6740" s="357"/>
      <c r="AK6740" s="355"/>
      <c r="AL6740" s="20"/>
      <c r="AT6740" s="20"/>
      <c r="AU6740" s="29"/>
      <c r="AV6740"/>
      <c r="AW6740"/>
    </row>
    <row r="6741" spans="1:49">
      <c r="A6741" s="30" t="s">
        <v>2990</v>
      </c>
      <c r="B6741" s="55" t="str">
        <f t="shared" si="1227"/>
        <v>PA_Merce_2018p</v>
      </c>
      <c r="D6741" s="55" t="str">
        <f t="shared" si="1228"/>
        <v>Rep-precinct committeeman pymatuning 1,(vote for not more than  1)</v>
      </c>
      <c r="E6741" s="55" t="s">
        <v>2574</v>
      </c>
      <c r="G6741" s="60">
        <v>1</v>
      </c>
      <c r="H6741"/>
      <c r="J6741" s="7"/>
      <c r="K6741" s="2"/>
      <c r="O6741">
        <f t="shared" si="1229"/>
        <v>0</v>
      </c>
      <c r="P6741" s="57">
        <f t="shared" si="1230"/>
        <v>1</v>
      </c>
      <c r="Q6741" s="267">
        <f t="shared" si="1231"/>
        <v>1</v>
      </c>
      <c r="R6741" s="23">
        <f t="shared" si="1232"/>
        <v>1</v>
      </c>
      <c r="S6741" s="23">
        <f t="shared" si="1233"/>
        <v>0</v>
      </c>
      <c r="T6741" s="23" t="str">
        <f t="shared" si="1234"/>
        <v/>
      </c>
      <c r="U6741" t="str">
        <f t="shared" si="1235"/>
        <v>PA_Merce_2018p~Rep-precinct committeeman pymatuning 1,(vote for not more than  1)</v>
      </c>
      <c r="V6741" s="40"/>
      <c r="AF6741" s="274"/>
      <c r="AG6741" s="339"/>
      <c r="AH6741" s="340"/>
      <c r="AI6741" s="353"/>
      <c r="AJ6741" s="357"/>
      <c r="AK6741" s="355"/>
      <c r="AL6741" s="20"/>
      <c r="AT6741" s="20"/>
      <c r="AU6741" s="29"/>
      <c r="AV6741"/>
      <c r="AW6741"/>
    </row>
    <row r="6742" spans="1:49">
      <c r="A6742" s="30" t="s">
        <v>2991</v>
      </c>
      <c r="B6742" s="55" t="str">
        <f t="shared" si="1227"/>
        <v>PA_Merce_2018p</v>
      </c>
      <c r="D6742" s="55" t="str">
        <f t="shared" si="1228"/>
        <v>Rep-precinct committeeman pymatuning 2,(vote for not more than  1)</v>
      </c>
      <c r="E6742" s="55" t="s">
        <v>2574</v>
      </c>
      <c r="G6742" s="60">
        <v>4</v>
      </c>
      <c r="H6742"/>
      <c r="J6742" s="7"/>
      <c r="K6742" s="2"/>
      <c r="O6742">
        <f t="shared" si="1229"/>
        <v>0</v>
      </c>
      <c r="P6742" s="57">
        <f t="shared" si="1230"/>
        <v>1</v>
      </c>
      <c r="Q6742" s="267">
        <f t="shared" si="1231"/>
        <v>4</v>
      </c>
      <c r="R6742" s="23">
        <f t="shared" si="1232"/>
        <v>1</v>
      </c>
      <c r="S6742" s="23">
        <f t="shared" si="1233"/>
        <v>0</v>
      </c>
      <c r="T6742" s="23" t="str">
        <f t="shared" si="1234"/>
        <v/>
      </c>
      <c r="U6742" t="str">
        <f t="shared" si="1235"/>
        <v>PA_Merce_2018p~Rep-precinct committeeman pymatuning 2,(vote for not more than  1)</v>
      </c>
      <c r="V6742" s="40"/>
      <c r="AF6742" s="274"/>
      <c r="AG6742" s="339"/>
      <c r="AH6742" s="340"/>
      <c r="AI6742" s="353"/>
      <c r="AJ6742" s="357"/>
      <c r="AK6742" s="355"/>
      <c r="AL6742" s="20"/>
      <c r="AT6742" s="20"/>
      <c r="AU6742" s="29"/>
      <c r="AV6742"/>
      <c r="AW6742"/>
    </row>
    <row r="6743" spans="1:49">
      <c r="A6743" s="30" t="s">
        <v>2992</v>
      </c>
      <c r="B6743" s="55" t="str">
        <f t="shared" si="1227"/>
        <v>PA_Merce_2018p</v>
      </c>
      <c r="D6743" s="55" t="str">
        <f t="shared" si="1228"/>
        <v>Rep-precinct committeeman salem,(vote for not more than  1)</v>
      </c>
      <c r="E6743" s="55" t="s">
        <v>2993</v>
      </c>
      <c r="G6743" s="60">
        <v>81</v>
      </c>
      <c r="H6743"/>
      <c r="J6743" s="7"/>
      <c r="K6743" s="2"/>
      <c r="O6743">
        <f t="shared" si="1229"/>
        <v>1</v>
      </c>
      <c r="P6743" s="57">
        <f t="shared" si="1230"/>
        <v>1</v>
      </c>
      <c r="Q6743" s="267">
        <f t="shared" si="1231"/>
        <v>81</v>
      </c>
      <c r="R6743" s="23">
        <f t="shared" si="1232"/>
        <v>81</v>
      </c>
      <c r="S6743" s="23">
        <f t="shared" si="1233"/>
        <v>0</v>
      </c>
      <c r="T6743" s="23" t="str">
        <f t="shared" si="1234"/>
        <v/>
      </c>
      <c r="U6743" t="str">
        <f t="shared" si="1235"/>
        <v>PA_Merce_2018p~Rep-precinct committeeman salem,(vote for not more than  1)</v>
      </c>
      <c r="V6743" s="40"/>
      <c r="AF6743" s="274"/>
      <c r="AG6743" s="339"/>
      <c r="AH6743" s="340"/>
      <c r="AI6743" s="353"/>
      <c r="AJ6743" s="357"/>
      <c r="AK6743" s="355"/>
      <c r="AL6743" s="20"/>
      <c r="AT6743" s="20"/>
      <c r="AU6743" s="29"/>
      <c r="AV6743"/>
      <c r="AW6743"/>
    </row>
    <row r="6744" spans="1:49">
      <c r="A6744" s="30" t="s">
        <v>2992</v>
      </c>
      <c r="B6744" s="55" t="str">
        <f t="shared" si="1227"/>
        <v>PA_Merce_2018p</v>
      </c>
      <c r="D6744" s="55" t="str">
        <f t="shared" si="1228"/>
        <v>Rep-precinct committeeman salem,(vote for not more than  1)</v>
      </c>
      <c r="E6744" s="55" t="s">
        <v>2574</v>
      </c>
      <c r="G6744" s="60">
        <v>0</v>
      </c>
      <c r="H6744"/>
      <c r="J6744" s="7"/>
      <c r="K6744" s="2"/>
      <c r="O6744">
        <f t="shared" si="1229"/>
        <v>-1</v>
      </c>
      <c r="P6744" s="57">
        <f t="shared" si="1230"/>
        <v>1</v>
      </c>
      <c r="Q6744" s="267">
        <f t="shared" si="1231"/>
        <v>0</v>
      </c>
      <c r="R6744" s="23">
        <f t="shared" si="1232"/>
        <v>1</v>
      </c>
      <c r="S6744" s="23">
        <f t="shared" si="1233"/>
        <v>0</v>
      </c>
      <c r="T6744" s="23" t="str">
        <f t="shared" si="1234"/>
        <v/>
      </c>
      <c r="U6744" t="str">
        <f t="shared" si="1235"/>
        <v/>
      </c>
      <c r="V6744" s="40"/>
      <c r="AF6744" s="274"/>
      <c r="AG6744" s="339"/>
      <c r="AH6744" s="340"/>
      <c r="AI6744" s="353"/>
      <c r="AJ6744" s="357"/>
      <c r="AK6744" s="355"/>
      <c r="AL6744" s="20"/>
      <c r="AT6744" s="20"/>
      <c r="AU6744" s="29"/>
      <c r="AV6744"/>
      <c r="AW6744"/>
    </row>
    <row r="6745" spans="1:49">
      <c r="A6745" s="30" t="s">
        <v>2994</v>
      </c>
      <c r="B6745" s="55" t="str">
        <f t="shared" si="1227"/>
        <v>PA_Merce_2018p</v>
      </c>
      <c r="D6745" s="55" t="str">
        <f t="shared" si="1228"/>
        <v>Rep-precinct committeeman sandy creek,(vote for not more than  1)</v>
      </c>
      <c r="E6745" s="55" t="s">
        <v>2574</v>
      </c>
      <c r="G6745" s="60">
        <v>0</v>
      </c>
      <c r="H6745"/>
      <c r="J6745" s="7"/>
      <c r="K6745" s="2"/>
      <c r="O6745">
        <f t="shared" si="1229"/>
        <v>0</v>
      </c>
      <c r="P6745" s="57">
        <f t="shared" si="1230"/>
        <v>1</v>
      </c>
      <c r="Q6745" s="267">
        <f t="shared" si="1231"/>
        <v>0</v>
      </c>
      <c r="R6745" s="23">
        <f t="shared" si="1232"/>
        <v>1</v>
      </c>
      <c r="S6745" s="23">
        <f t="shared" si="1233"/>
        <v>0</v>
      </c>
      <c r="T6745" s="23" t="str">
        <f t="shared" si="1234"/>
        <v/>
      </c>
      <c r="U6745" t="str">
        <f t="shared" si="1235"/>
        <v>PA_Merce_2018p~Rep-precinct committeeman sandy creek,(vote for not more than  1)</v>
      </c>
      <c r="V6745" s="40"/>
      <c r="AF6745" s="274"/>
      <c r="AG6745" s="339"/>
      <c r="AH6745" s="340"/>
      <c r="AI6745" s="353"/>
      <c r="AJ6745" s="357"/>
      <c r="AK6745" s="355"/>
      <c r="AL6745" s="20"/>
      <c r="AT6745" s="20"/>
      <c r="AU6745" s="29"/>
      <c r="AV6745"/>
      <c r="AW6745"/>
    </row>
    <row r="6746" spans="1:49">
      <c r="A6746" s="30" t="s">
        <v>2995</v>
      </c>
      <c r="B6746" s="55" t="str">
        <f t="shared" si="1227"/>
        <v>PA_Merce_2018p</v>
      </c>
      <c r="D6746" s="55" t="str">
        <f t="shared" si="1228"/>
        <v>Rep-precinct committeeman sandy lake borough,(vote for not more than  1)</v>
      </c>
      <c r="E6746" s="55" t="s">
        <v>2574</v>
      </c>
      <c r="G6746" s="60">
        <v>2</v>
      </c>
      <c r="H6746"/>
      <c r="J6746" s="7"/>
      <c r="K6746" s="2"/>
      <c r="O6746">
        <f t="shared" si="1229"/>
        <v>0</v>
      </c>
      <c r="P6746" s="57">
        <f t="shared" si="1230"/>
        <v>1</v>
      </c>
      <c r="Q6746" s="267">
        <f t="shared" si="1231"/>
        <v>2</v>
      </c>
      <c r="R6746" s="23">
        <f t="shared" si="1232"/>
        <v>1</v>
      </c>
      <c r="S6746" s="23">
        <f t="shared" si="1233"/>
        <v>0</v>
      </c>
      <c r="T6746" s="23" t="str">
        <f t="shared" si="1234"/>
        <v/>
      </c>
      <c r="U6746" t="str">
        <f t="shared" si="1235"/>
        <v>PA_Merce_2018p~Rep-precinct committeeman sandy lake borough,(vote for not more than  1)</v>
      </c>
      <c r="V6746" s="40"/>
      <c r="AF6746" s="274"/>
      <c r="AG6746" s="339"/>
      <c r="AH6746" s="340"/>
      <c r="AI6746" s="353"/>
      <c r="AJ6746" s="357"/>
      <c r="AK6746" s="355"/>
      <c r="AL6746" s="20"/>
      <c r="AT6746" s="20"/>
      <c r="AU6746" s="29"/>
      <c r="AV6746"/>
      <c r="AW6746"/>
    </row>
    <row r="6747" spans="1:49">
      <c r="A6747" s="30" t="s">
        <v>2996</v>
      </c>
      <c r="B6747" s="55" t="str">
        <f t="shared" si="1227"/>
        <v>PA_Merce_2018p</v>
      </c>
      <c r="D6747" s="55" t="str">
        <f t="shared" si="1228"/>
        <v>Rep-precinct committeeman sandy lake townshi,(vote for not more than  1)</v>
      </c>
      <c r="E6747" s="55" t="s">
        <v>2997</v>
      </c>
      <c r="G6747" s="60">
        <v>135</v>
      </c>
      <c r="H6747"/>
      <c r="J6747" s="7"/>
      <c r="K6747" s="2"/>
      <c r="O6747">
        <f t="shared" si="1229"/>
        <v>1</v>
      </c>
      <c r="P6747" s="57">
        <f t="shared" si="1230"/>
        <v>1</v>
      </c>
      <c r="Q6747" s="267">
        <f t="shared" si="1231"/>
        <v>136</v>
      </c>
      <c r="R6747" s="23">
        <f t="shared" si="1232"/>
        <v>135</v>
      </c>
      <c r="S6747" s="23">
        <f t="shared" si="1233"/>
        <v>0</v>
      </c>
      <c r="T6747" s="23" t="str">
        <f t="shared" si="1234"/>
        <v/>
      </c>
      <c r="U6747" t="str">
        <f t="shared" si="1235"/>
        <v>PA_Merce_2018p~Rep-precinct committeeman sandy lake townshi,(vote for not more than  1)</v>
      </c>
      <c r="V6747" s="40"/>
      <c r="AF6747" s="274"/>
      <c r="AG6747" s="339"/>
      <c r="AH6747" s="340"/>
      <c r="AI6747" s="353"/>
      <c r="AJ6747" s="357"/>
      <c r="AK6747" s="355"/>
      <c r="AL6747" s="20"/>
      <c r="AT6747" s="20"/>
      <c r="AU6747" s="29"/>
      <c r="AV6747"/>
      <c r="AW6747"/>
    </row>
    <row r="6748" spans="1:49">
      <c r="A6748" s="30" t="s">
        <v>2996</v>
      </c>
      <c r="B6748" s="55" t="str">
        <f t="shared" si="1227"/>
        <v>PA_Merce_2018p</v>
      </c>
      <c r="D6748" s="55" t="str">
        <f t="shared" si="1228"/>
        <v>Rep-precinct committeeman sandy lake townshi,(vote for not more than  1)</v>
      </c>
      <c r="E6748" s="55" t="s">
        <v>2574</v>
      </c>
      <c r="G6748" s="60">
        <v>1</v>
      </c>
      <c r="H6748"/>
      <c r="J6748" s="7"/>
      <c r="K6748" s="2"/>
      <c r="O6748">
        <f t="shared" si="1229"/>
        <v>-1</v>
      </c>
      <c r="P6748" s="57">
        <f t="shared" si="1230"/>
        <v>1</v>
      </c>
      <c r="Q6748" s="267">
        <f t="shared" si="1231"/>
        <v>1</v>
      </c>
      <c r="R6748" s="23">
        <f t="shared" si="1232"/>
        <v>1</v>
      </c>
      <c r="S6748" s="23">
        <f t="shared" si="1233"/>
        <v>0</v>
      </c>
      <c r="T6748" s="23" t="str">
        <f t="shared" si="1234"/>
        <v/>
      </c>
      <c r="U6748" t="str">
        <f t="shared" si="1235"/>
        <v/>
      </c>
      <c r="V6748" s="40"/>
      <c r="AF6748" s="274"/>
      <c r="AG6748" s="339"/>
      <c r="AH6748" s="340"/>
      <c r="AI6748" s="353"/>
      <c r="AJ6748" s="357"/>
      <c r="AK6748" s="355"/>
      <c r="AL6748" s="20"/>
      <c r="AT6748" s="20"/>
      <c r="AU6748" s="29"/>
      <c r="AV6748"/>
      <c r="AW6748"/>
    </row>
    <row r="6749" spans="1:49">
      <c r="A6749" s="30" t="s">
        <v>2998</v>
      </c>
      <c r="B6749" s="55" t="str">
        <f t="shared" si="1227"/>
        <v>PA_Merce_2018p</v>
      </c>
      <c r="D6749" s="55" t="str">
        <f t="shared" si="1228"/>
        <v>Rep-precinct committeeman sharon 1-1,(vote for not more than  1)</v>
      </c>
      <c r="E6749" s="55" t="s">
        <v>2574</v>
      </c>
      <c r="G6749" s="60">
        <v>0</v>
      </c>
      <c r="H6749"/>
      <c r="J6749" s="7"/>
      <c r="K6749" s="2"/>
      <c r="O6749">
        <f t="shared" si="1229"/>
        <v>0</v>
      </c>
      <c r="P6749" s="57">
        <f t="shared" si="1230"/>
        <v>1</v>
      </c>
      <c r="Q6749" s="267">
        <f t="shared" si="1231"/>
        <v>0</v>
      </c>
      <c r="R6749" s="23">
        <f t="shared" si="1232"/>
        <v>1</v>
      </c>
      <c r="S6749" s="23">
        <f t="shared" si="1233"/>
        <v>0</v>
      </c>
      <c r="T6749" s="23" t="str">
        <f t="shared" si="1234"/>
        <v/>
      </c>
      <c r="U6749" t="str">
        <f t="shared" si="1235"/>
        <v>PA_Merce_2018p~Rep-precinct committeeman sharon 1-1,(vote for not more than  1)</v>
      </c>
      <c r="V6749" s="40"/>
      <c r="AF6749" s="274"/>
      <c r="AG6749" s="339"/>
      <c r="AH6749" s="340"/>
      <c r="AI6749" s="353"/>
      <c r="AJ6749" s="357"/>
      <c r="AK6749" s="355"/>
      <c r="AL6749" s="20"/>
      <c r="AT6749" s="20"/>
      <c r="AU6749" s="29"/>
      <c r="AV6749"/>
      <c r="AW6749"/>
    </row>
    <row r="6750" spans="1:49">
      <c r="A6750" s="30" t="s">
        <v>2999</v>
      </c>
      <c r="B6750" s="55" t="str">
        <f t="shared" si="1227"/>
        <v>PA_Merce_2018p</v>
      </c>
      <c r="D6750" s="55" t="str">
        <f t="shared" si="1228"/>
        <v>Rep-precinct committeeman sharon 2-1,(vote for not more than  1)</v>
      </c>
      <c r="E6750" s="55" t="s">
        <v>2574</v>
      </c>
      <c r="G6750" s="60">
        <v>2</v>
      </c>
      <c r="H6750"/>
      <c r="J6750" s="7"/>
      <c r="K6750" s="2"/>
      <c r="O6750">
        <f t="shared" si="1229"/>
        <v>0</v>
      </c>
      <c r="P6750" s="57">
        <f t="shared" si="1230"/>
        <v>1</v>
      </c>
      <c r="Q6750" s="267">
        <f t="shared" si="1231"/>
        <v>2</v>
      </c>
      <c r="R6750" s="23">
        <f t="shared" si="1232"/>
        <v>1</v>
      </c>
      <c r="S6750" s="23">
        <f t="shared" si="1233"/>
        <v>0</v>
      </c>
      <c r="T6750" s="23" t="str">
        <f t="shared" si="1234"/>
        <v/>
      </c>
      <c r="U6750" t="str">
        <f t="shared" si="1235"/>
        <v>PA_Merce_2018p~Rep-precinct committeeman sharon 2-1,(vote for not more than  1)</v>
      </c>
      <c r="V6750" s="40"/>
      <c r="AF6750" s="274"/>
      <c r="AG6750" s="339"/>
      <c r="AH6750" s="340"/>
      <c r="AI6750" s="353"/>
      <c r="AJ6750" s="357"/>
      <c r="AK6750" s="355"/>
      <c r="AL6750" s="20"/>
      <c r="AT6750" s="20"/>
      <c r="AU6750" s="29"/>
      <c r="AV6750"/>
      <c r="AW6750"/>
    </row>
    <row r="6751" spans="1:49">
      <c r="A6751" s="30" t="s">
        <v>3000</v>
      </c>
      <c r="B6751" s="55" t="str">
        <f t="shared" si="1227"/>
        <v>PA_Merce_2018p</v>
      </c>
      <c r="D6751" s="55" t="str">
        <f t="shared" si="1228"/>
        <v>Rep-precinct committeeman sharon 2-2,(vote for not more than  1)</v>
      </c>
      <c r="E6751" s="55" t="s">
        <v>2574</v>
      </c>
      <c r="G6751" s="60">
        <v>0</v>
      </c>
      <c r="H6751"/>
      <c r="J6751" s="7"/>
      <c r="K6751" s="2"/>
      <c r="O6751">
        <f t="shared" si="1229"/>
        <v>0</v>
      </c>
      <c r="P6751" s="57">
        <f t="shared" si="1230"/>
        <v>1</v>
      </c>
      <c r="Q6751" s="267">
        <f t="shared" si="1231"/>
        <v>0</v>
      </c>
      <c r="R6751" s="23">
        <f t="shared" si="1232"/>
        <v>1</v>
      </c>
      <c r="S6751" s="23">
        <f t="shared" si="1233"/>
        <v>0</v>
      </c>
      <c r="T6751" s="23" t="str">
        <f t="shared" si="1234"/>
        <v/>
      </c>
      <c r="U6751" t="str">
        <f t="shared" si="1235"/>
        <v>PA_Merce_2018p~Rep-precinct committeeman sharon 2-2,(vote for not more than  1)</v>
      </c>
      <c r="V6751" s="40"/>
      <c r="AF6751" s="274"/>
      <c r="AT6751" s="20"/>
      <c r="AU6751" s="29"/>
      <c r="AV6751"/>
      <c r="AW6751"/>
    </row>
    <row r="6752" spans="1:49">
      <c r="A6752" s="30" t="s">
        <v>3001</v>
      </c>
      <c r="B6752" s="55" t="str">
        <f t="shared" si="1227"/>
        <v>PA_Merce_2018p</v>
      </c>
      <c r="D6752" s="55" t="str">
        <f t="shared" si="1228"/>
        <v>Rep-precinct committeeman sharon 2-3,(vote for not more than  1)</v>
      </c>
      <c r="E6752" s="55" t="s">
        <v>2574</v>
      </c>
      <c r="G6752" s="60">
        <v>0</v>
      </c>
      <c r="H6752"/>
      <c r="J6752" s="7"/>
      <c r="K6752" s="2"/>
      <c r="O6752">
        <f t="shared" si="1229"/>
        <v>0</v>
      </c>
      <c r="P6752" s="57">
        <f t="shared" si="1230"/>
        <v>1</v>
      </c>
      <c r="Q6752" s="267">
        <f t="shared" si="1231"/>
        <v>0</v>
      </c>
      <c r="R6752" s="23">
        <f t="shared" si="1232"/>
        <v>1</v>
      </c>
      <c r="S6752" s="23">
        <f t="shared" si="1233"/>
        <v>0</v>
      </c>
      <c r="T6752" s="23" t="str">
        <f t="shared" si="1234"/>
        <v/>
      </c>
      <c r="U6752" t="str">
        <f t="shared" si="1235"/>
        <v>PA_Merce_2018p~Rep-precinct committeeman sharon 2-3,(vote for not more than  1)</v>
      </c>
      <c r="V6752" s="40"/>
      <c r="AF6752" s="274"/>
      <c r="AT6752" s="20"/>
      <c r="AU6752" s="29"/>
      <c r="AV6752"/>
      <c r="AW6752"/>
    </row>
    <row r="6753" spans="1:49">
      <c r="A6753" s="30" t="s">
        <v>3002</v>
      </c>
      <c r="B6753" s="55" t="str">
        <f t="shared" si="1227"/>
        <v>PA_Merce_2018p</v>
      </c>
      <c r="D6753" s="55" t="str">
        <f t="shared" si="1228"/>
        <v>Rep-precinct committeeman sharon 2-4,(vote for not more than  1)</v>
      </c>
      <c r="E6753" s="55" t="s">
        <v>3003</v>
      </c>
      <c r="G6753" s="60">
        <v>58</v>
      </c>
      <c r="H6753"/>
      <c r="J6753" s="7"/>
      <c r="K6753" s="2"/>
      <c r="O6753">
        <f t="shared" si="1229"/>
        <v>1</v>
      </c>
      <c r="P6753" s="57">
        <f t="shared" si="1230"/>
        <v>1</v>
      </c>
      <c r="Q6753" s="267">
        <f t="shared" si="1231"/>
        <v>59</v>
      </c>
      <c r="R6753" s="23">
        <f t="shared" si="1232"/>
        <v>58</v>
      </c>
      <c r="S6753" s="23">
        <f t="shared" si="1233"/>
        <v>0</v>
      </c>
      <c r="T6753" s="23" t="str">
        <f t="shared" si="1234"/>
        <v/>
      </c>
      <c r="U6753" t="str">
        <f t="shared" si="1235"/>
        <v>PA_Merce_2018p~Rep-precinct committeeman sharon 2-4,(vote for not more than  1)</v>
      </c>
      <c r="V6753" s="40"/>
      <c r="AF6753" s="274"/>
      <c r="AT6753" s="20"/>
      <c r="AU6753" s="29"/>
      <c r="AV6753"/>
      <c r="AW6753"/>
    </row>
    <row r="6754" spans="1:49">
      <c r="A6754" s="30" t="s">
        <v>3002</v>
      </c>
      <c r="B6754" s="55" t="str">
        <f t="shared" si="1227"/>
        <v>PA_Merce_2018p</v>
      </c>
      <c r="D6754" s="55" t="str">
        <f t="shared" si="1228"/>
        <v>Rep-precinct committeeman sharon 2-4,(vote for not more than  1)</v>
      </c>
      <c r="E6754" s="55" t="s">
        <v>2574</v>
      </c>
      <c r="G6754" s="60">
        <v>1</v>
      </c>
      <c r="H6754"/>
      <c r="J6754" s="7"/>
      <c r="K6754" s="2"/>
      <c r="O6754">
        <f t="shared" si="1229"/>
        <v>-1</v>
      </c>
      <c r="P6754" s="57">
        <f t="shared" si="1230"/>
        <v>1</v>
      </c>
      <c r="Q6754" s="267">
        <f t="shared" si="1231"/>
        <v>1</v>
      </c>
      <c r="R6754" s="23">
        <f t="shared" si="1232"/>
        <v>1</v>
      </c>
      <c r="S6754" s="23">
        <f t="shared" si="1233"/>
        <v>0</v>
      </c>
      <c r="T6754" s="23" t="str">
        <f t="shared" si="1234"/>
        <v/>
      </c>
      <c r="U6754" t="str">
        <f t="shared" si="1235"/>
        <v/>
      </c>
      <c r="V6754" s="40"/>
      <c r="AF6754" s="274"/>
      <c r="AT6754" s="20"/>
      <c r="AU6754" s="29"/>
      <c r="AV6754"/>
      <c r="AW6754"/>
    </row>
    <row r="6755" spans="1:49">
      <c r="A6755" s="30" t="s">
        <v>3004</v>
      </c>
      <c r="B6755" s="55" t="str">
        <f t="shared" si="1227"/>
        <v>PA_Merce_2018p</v>
      </c>
      <c r="D6755" s="55" t="str">
        <f t="shared" si="1228"/>
        <v>Rep-precinct committeeman sharon 2-5,(vote for not more than  1)</v>
      </c>
      <c r="E6755" s="55" t="s">
        <v>2574</v>
      </c>
      <c r="G6755" s="60">
        <v>3</v>
      </c>
      <c r="H6755"/>
      <c r="J6755" s="7"/>
      <c r="K6755" s="2"/>
      <c r="O6755">
        <f t="shared" si="1229"/>
        <v>0</v>
      </c>
      <c r="P6755" s="57">
        <f t="shared" si="1230"/>
        <v>1</v>
      </c>
      <c r="Q6755" s="267">
        <f t="shared" si="1231"/>
        <v>3</v>
      </c>
      <c r="R6755" s="23">
        <f t="shared" si="1232"/>
        <v>1</v>
      </c>
      <c r="S6755" s="23">
        <f t="shared" si="1233"/>
        <v>0</v>
      </c>
      <c r="T6755" s="23" t="str">
        <f t="shared" si="1234"/>
        <v/>
      </c>
      <c r="U6755" t="str">
        <f t="shared" si="1235"/>
        <v>PA_Merce_2018p~Rep-precinct committeeman sharon 2-5,(vote for not more than  1)</v>
      </c>
      <c r="V6755" s="40"/>
      <c r="AF6755" s="274"/>
      <c r="AT6755" s="20"/>
      <c r="AU6755" s="29"/>
      <c r="AV6755"/>
      <c r="AW6755"/>
    </row>
    <row r="6756" spans="1:49">
      <c r="A6756" s="30" t="s">
        <v>3005</v>
      </c>
      <c r="B6756" s="55" t="str">
        <f t="shared" si="1227"/>
        <v>PA_Merce_2018p</v>
      </c>
      <c r="D6756" s="55" t="str">
        <f t="shared" si="1228"/>
        <v>Rep-precinct committeeman sharon 3-1,(vote for not more than  1)</v>
      </c>
      <c r="E6756" s="55" t="s">
        <v>2574</v>
      </c>
      <c r="G6756" s="60">
        <v>0</v>
      </c>
      <c r="H6756"/>
      <c r="J6756" s="7"/>
      <c r="K6756" s="2"/>
      <c r="O6756">
        <f t="shared" si="1229"/>
        <v>0</v>
      </c>
      <c r="P6756" s="57">
        <f t="shared" si="1230"/>
        <v>1</v>
      </c>
      <c r="Q6756" s="267">
        <f t="shared" si="1231"/>
        <v>0</v>
      </c>
      <c r="R6756" s="23">
        <f t="shared" si="1232"/>
        <v>1</v>
      </c>
      <c r="S6756" s="23">
        <f t="shared" si="1233"/>
        <v>0</v>
      </c>
      <c r="T6756" s="23" t="str">
        <f t="shared" si="1234"/>
        <v/>
      </c>
      <c r="U6756" t="str">
        <f t="shared" si="1235"/>
        <v>PA_Merce_2018p~Rep-precinct committeeman sharon 3-1,(vote for not more than  1)</v>
      </c>
      <c r="V6756" s="40"/>
      <c r="AF6756" s="274"/>
      <c r="AT6756" s="20"/>
      <c r="AU6756" s="29"/>
      <c r="AV6756"/>
      <c r="AW6756"/>
    </row>
    <row r="6757" spans="1:49">
      <c r="A6757" s="30" t="s">
        <v>3006</v>
      </c>
      <c r="B6757" s="55" t="str">
        <f t="shared" si="1227"/>
        <v>PA_Merce_2018p</v>
      </c>
      <c r="D6757" s="55" t="str">
        <f t="shared" si="1228"/>
        <v>Rep-precinct committeeman sharon 3-2,(vote for not more than  1)</v>
      </c>
      <c r="E6757" s="55" t="s">
        <v>2574</v>
      </c>
      <c r="G6757" s="60">
        <v>0</v>
      </c>
      <c r="H6757"/>
      <c r="J6757" s="7"/>
      <c r="K6757" s="2"/>
      <c r="O6757">
        <f t="shared" si="1229"/>
        <v>0</v>
      </c>
      <c r="P6757" s="57">
        <f t="shared" si="1230"/>
        <v>1</v>
      </c>
      <c r="Q6757" s="267">
        <f t="shared" si="1231"/>
        <v>0</v>
      </c>
      <c r="R6757" s="23">
        <f t="shared" si="1232"/>
        <v>1</v>
      </c>
      <c r="S6757" s="23">
        <f t="shared" si="1233"/>
        <v>0</v>
      </c>
      <c r="T6757" s="23" t="str">
        <f t="shared" si="1234"/>
        <v/>
      </c>
      <c r="U6757" t="str">
        <f t="shared" si="1235"/>
        <v>PA_Merce_2018p~Rep-precinct committeeman sharon 3-2,(vote for not more than  1)</v>
      </c>
      <c r="V6757" s="40"/>
      <c r="AF6757" s="274"/>
      <c r="AT6757" s="20"/>
      <c r="AU6757" s="29"/>
      <c r="AV6757"/>
      <c r="AW6757"/>
    </row>
    <row r="6758" spans="1:49">
      <c r="A6758" s="30" t="s">
        <v>3007</v>
      </c>
      <c r="B6758" s="55" t="str">
        <f t="shared" si="1227"/>
        <v>PA_Merce_2018p</v>
      </c>
      <c r="D6758" s="55" t="str">
        <f t="shared" si="1228"/>
        <v>Rep-precinct committeeman sharon 4-1,(vote for not more than  1)</v>
      </c>
      <c r="E6758" s="55" t="s">
        <v>2574</v>
      </c>
      <c r="G6758" s="60">
        <v>1</v>
      </c>
      <c r="H6758"/>
      <c r="J6758" s="7"/>
      <c r="K6758" s="2"/>
      <c r="O6758">
        <f t="shared" si="1229"/>
        <v>0</v>
      </c>
      <c r="P6758" s="57">
        <f t="shared" si="1230"/>
        <v>1</v>
      </c>
      <c r="Q6758" s="267">
        <f t="shared" si="1231"/>
        <v>1</v>
      </c>
      <c r="R6758" s="23">
        <f t="shared" si="1232"/>
        <v>1</v>
      </c>
      <c r="S6758" s="23">
        <f t="shared" si="1233"/>
        <v>0</v>
      </c>
      <c r="T6758" s="23" t="str">
        <f t="shared" si="1234"/>
        <v/>
      </c>
      <c r="U6758" t="str">
        <f t="shared" si="1235"/>
        <v>PA_Merce_2018p~Rep-precinct committeeman sharon 4-1,(vote for not more than  1)</v>
      </c>
      <c r="V6758" s="40"/>
      <c r="AF6758" s="274"/>
      <c r="AT6758" s="20"/>
      <c r="AU6758" s="29"/>
      <c r="AV6758"/>
      <c r="AW6758"/>
    </row>
    <row r="6759" spans="1:49">
      <c r="A6759" s="30" t="s">
        <v>3008</v>
      </c>
      <c r="B6759" s="55" t="str">
        <f t="shared" si="1227"/>
        <v>PA_Merce_2018p</v>
      </c>
      <c r="D6759" s="55" t="str">
        <f t="shared" si="1228"/>
        <v>Rep-precinct committeeman sharon 4-2,(vote for not more than  1)</v>
      </c>
      <c r="E6759" s="55" t="s">
        <v>2574</v>
      </c>
      <c r="G6759" s="60">
        <v>2</v>
      </c>
      <c r="H6759"/>
      <c r="J6759" s="7"/>
      <c r="K6759" s="2"/>
      <c r="O6759">
        <f t="shared" si="1229"/>
        <v>0</v>
      </c>
      <c r="P6759" s="57">
        <f t="shared" si="1230"/>
        <v>1</v>
      </c>
      <c r="Q6759" s="267">
        <f t="shared" si="1231"/>
        <v>2</v>
      </c>
      <c r="R6759" s="23">
        <f t="shared" si="1232"/>
        <v>1</v>
      </c>
      <c r="S6759" s="23">
        <f t="shared" si="1233"/>
        <v>0</v>
      </c>
      <c r="T6759" s="23" t="str">
        <f t="shared" si="1234"/>
        <v/>
      </c>
      <c r="U6759" t="str">
        <f t="shared" si="1235"/>
        <v>PA_Merce_2018p~Rep-precinct committeeman sharon 4-2,(vote for not more than  1)</v>
      </c>
      <c r="V6759" s="40"/>
      <c r="AF6759" s="274"/>
      <c r="AT6759" s="20"/>
      <c r="AU6759" s="29"/>
      <c r="AV6759"/>
      <c r="AW6759"/>
    </row>
    <row r="6760" spans="1:49">
      <c r="A6760" s="30" t="s">
        <v>3009</v>
      </c>
      <c r="B6760" s="55" t="str">
        <f t="shared" ref="B6760:B6823" si="1236">LEFT(A6760,14)</f>
        <v>PA_Merce_2018p</v>
      </c>
      <c r="D6760" s="55" t="str">
        <f t="shared" ref="D6760:D6823" si="1237">MID(A6760,16,99)</f>
        <v>Rep-precinct committeeman sharon 4-3,(vote for not more than  1)</v>
      </c>
      <c r="E6760" s="55" t="s">
        <v>2574</v>
      </c>
      <c r="G6760" s="60">
        <v>1</v>
      </c>
      <c r="H6760"/>
      <c r="J6760" s="7"/>
      <c r="K6760" s="2"/>
      <c r="O6760">
        <f t="shared" si="1229"/>
        <v>0</v>
      </c>
      <c r="P6760" s="57">
        <f t="shared" si="1230"/>
        <v>1</v>
      </c>
      <c r="Q6760" s="267">
        <f t="shared" si="1231"/>
        <v>1</v>
      </c>
      <c r="R6760" s="23">
        <f t="shared" si="1232"/>
        <v>1</v>
      </c>
      <c r="S6760" s="23">
        <f t="shared" si="1233"/>
        <v>0</v>
      </c>
      <c r="T6760" s="23" t="str">
        <f t="shared" si="1234"/>
        <v/>
      </c>
      <c r="U6760" t="str">
        <f t="shared" si="1235"/>
        <v>PA_Merce_2018p~Rep-precinct committeeman sharon 4-3,(vote for not more than  1)</v>
      </c>
      <c r="V6760" s="40"/>
      <c r="AF6760" s="274"/>
      <c r="AT6760" s="20"/>
      <c r="AU6760" s="29"/>
      <c r="AV6760"/>
      <c r="AW6760"/>
    </row>
    <row r="6761" spans="1:49">
      <c r="A6761" s="30" t="s">
        <v>3010</v>
      </c>
      <c r="B6761" s="55" t="str">
        <f t="shared" si="1236"/>
        <v>PA_Merce_2018p</v>
      </c>
      <c r="D6761" s="55" t="str">
        <f t="shared" si="1237"/>
        <v>Rep-precinct committeeman sharon 4-4,(vote for not more than  1)</v>
      </c>
      <c r="E6761" s="55" t="s">
        <v>2574</v>
      </c>
      <c r="G6761" s="60">
        <v>0</v>
      </c>
      <c r="H6761"/>
      <c r="J6761" s="7"/>
      <c r="K6761" s="2"/>
      <c r="O6761">
        <f t="shared" si="1229"/>
        <v>0</v>
      </c>
      <c r="P6761" s="57">
        <f t="shared" si="1230"/>
        <v>1</v>
      </c>
      <c r="Q6761" s="267">
        <f t="shared" si="1231"/>
        <v>0</v>
      </c>
      <c r="R6761" s="23">
        <f t="shared" si="1232"/>
        <v>1</v>
      </c>
      <c r="S6761" s="23">
        <f t="shared" si="1233"/>
        <v>0</v>
      </c>
      <c r="T6761" s="23" t="str">
        <f t="shared" si="1234"/>
        <v/>
      </c>
      <c r="U6761" t="str">
        <f t="shared" si="1235"/>
        <v>PA_Merce_2018p~Rep-precinct committeeman sharon 4-4,(vote for not more than  1)</v>
      </c>
      <c r="V6761" s="40"/>
      <c r="AF6761" s="274"/>
      <c r="AT6761" s="20"/>
      <c r="AU6761" s="29"/>
      <c r="AV6761"/>
      <c r="AW6761"/>
    </row>
    <row r="6762" spans="1:49">
      <c r="A6762" s="30" t="s">
        <v>3011</v>
      </c>
      <c r="B6762" s="55" t="str">
        <f t="shared" si="1236"/>
        <v>PA_Merce_2018p</v>
      </c>
      <c r="D6762" s="55" t="str">
        <f t="shared" si="1237"/>
        <v>Rep-precinct committeeman sharon 4-5,(vote for not more than  1)</v>
      </c>
      <c r="E6762" s="55" t="s">
        <v>2574</v>
      </c>
      <c r="G6762" s="60">
        <v>1</v>
      </c>
      <c r="H6762"/>
      <c r="J6762" s="7"/>
      <c r="K6762" s="2"/>
      <c r="O6762">
        <f t="shared" si="1229"/>
        <v>0</v>
      </c>
      <c r="P6762" s="57">
        <f t="shared" si="1230"/>
        <v>1</v>
      </c>
      <c r="Q6762" s="267">
        <f t="shared" si="1231"/>
        <v>1</v>
      </c>
      <c r="R6762" s="23">
        <f t="shared" si="1232"/>
        <v>1</v>
      </c>
      <c r="S6762" s="23">
        <f t="shared" si="1233"/>
        <v>0</v>
      </c>
      <c r="T6762" s="23" t="str">
        <f t="shared" si="1234"/>
        <v/>
      </c>
      <c r="U6762" t="str">
        <f t="shared" si="1235"/>
        <v>PA_Merce_2018p~Rep-precinct committeeman sharon 4-5,(vote for not more than  1)</v>
      </c>
      <c r="V6762" s="40"/>
      <c r="AF6762" s="274"/>
      <c r="AT6762" s="20"/>
      <c r="AU6762" s="29"/>
      <c r="AV6762"/>
      <c r="AW6762"/>
    </row>
    <row r="6763" spans="1:49">
      <c r="A6763" s="30" t="s">
        <v>3012</v>
      </c>
      <c r="B6763" s="55" t="str">
        <f t="shared" si="1236"/>
        <v>PA_Merce_2018p</v>
      </c>
      <c r="D6763" s="55" t="str">
        <f t="shared" si="1237"/>
        <v>Rep-precinct committeeman sharon 4-6,(vote for not more than  1)</v>
      </c>
      <c r="E6763" s="55" t="s">
        <v>2574</v>
      </c>
      <c r="G6763" s="60">
        <v>0</v>
      </c>
      <c r="H6763"/>
      <c r="J6763" s="7"/>
      <c r="K6763" s="2"/>
      <c r="O6763">
        <f t="shared" si="1229"/>
        <v>0</v>
      </c>
      <c r="P6763" s="57">
        <f t="shared" si="1230"/>
        <v>1</v>
      </c>
      <c r="Q6763" s="267">
        <f t="shared" si="1231"/>
        <v>0</v>
      </c>
      <c r="R6763" s="23">
        <f t="shared" si="1232"/>
        <v>1</v>
      </c>
      <c r="S6763" s="23">
        <f t="shared" si="1233"/>
        <v>0</v>
      </c>
      <c r="T6763" s="23" t="str">
        <f t="shared" si="1234"/>
        <v/>
      </c>
      <c r="U6763" t="str">
        <f t="shared" si="1235"/>
        <v>PA_Merce_2018p~Rep-precinct committeeman sharon 4-6,(vote for not more than  1)</v>
      </c>
      <c r="V6763" s="40"/>
      <c r="AF6763" s="274"/>
      <c r="AT6763" s="20"/>
      <c r="AU6763" s="29"/>
      <c r="AV6763"/>
      <c r="AW6763"/>
    </row>
    <row r="6764" spans="1:49">
      <c r="A6764" s="30" t="s">
        <v>3013</v>
      </c>
      <c r="B6764" s="55" t="str">
        <f t="shared" si="1236"/>
        <v>PA_Merce_2018p</v>
      </c>
      <c r="D6764" s="55" t="str">
        <f t="shared" si="1237"/>
        <v>Rep-precinct committeeman sharpsville 1,(vote for not more than  1)</v>
      </c>
      <c r="E6764" s="55" t="s">
        <v>2574</v>
      </c>
      <c r="G6764" s="60">
        <v>2</v>
      </c>
      <c r="H6764"/>
      <c r="J6764" s="7"/>
      <c r="K6764" s="2"/>
      <c r="O6764">
        <f t="shared" si="1229"/>
        <v>0</v>
      </c>
      <c r="P6764" s="57">
        <f t="shared" si="1230"/>
        <v>1</v>
      </c>
      <c r="Q6764" s="267">
        <f t="shared" si="1231"/>
        <v>2</v>
      </c>
      <c r="R6764" s="23">
        <f t="shared" si="1232"/>
        <v>1</v>
      </c>
      <c r="S6764" s="23">
        <f t="shared" si="1233"/>
        <v>0</v>
      </c>
      <c r="T6764" s="23" t="str">
        <f t="shared" si="1234"/>
        <v/>
      </c>
      <c r="U6764" t="str">
        <f t="shared" si="1235"/>
        <v>PA_Merce_2018p~Rep-precinct committeeman sharpsville 1,(vote for not more than  1)</v>
      </c>
      <c r="V6764" s="40"/>
      <c r="AF6764" s="274"/>
      <c r="AT6764" s="20"/>
      <c r="AU6764" s="29"/>
      <c r="AV6764"/>
      <c r="AW6764"/>
    </row>
    <row r="6765" spans="1:49">
      <c r="A6765" s="30" t="s">
        <v>3014</v>
      </c>
      <c r="B6765" s="55" t="str">
        <f t="shared" si="1236"/>
        <v>PA_Merce_2018p</v>
      </c>
      <c r="D6765" s="55" t="str">
        <f t="shared" si="1237"/>
        <v>Rep-precinct committeeman sharpsville 2,(vote for not more than  1)</v>
      </c>
      <c r="E6765" s="55" t="s">
        <v>2574</v>
      </c>
      <c r="G6765" s="60">
        <v>1</v>
      </c>
      <c r="H6765"/>
      <c r="J6765" s="7"/>
      <c r="K6765" s="2"/>
      <c r="O6765">
        <f t="shared" si="1229"/>
        <v>0</v>
      </c>
      <c r="P6765" s="57">
        <f t="shared" si="1230"/>
        <v>1</v>
      </c>
      <c r="Q6765" s="267">
        <f t="shared" si="1231"/>
        <v>1</v>
      </c>
      <c r="R6765" s="23">
        <f t="shared" si="1232"/>
        <v>1</v>
      </c>
      <c r="S6765" s="23">
        <f t="shared" si="1233"/>
        <v>0</v>
      </c>
      <c r="T6765" s="23" t="str">
        <f t="shared" si="1234"/>
        <v/>
      </c>
      <c r="U6765" t="str">
        <f t="shared" si="1235"/>
        <v>PA_Merce_2018p~Rep-precinct committeeman sharpsville 2,(vote for not more than  1)</v>
      </c>
      <c r="V6765" s="40"/>
      <c r="AF6765" s="274"/>
      <c r="AT6765" s="20"/>
      <c r="AU6765" s="29"/>
      <c r="AV6765"/>
      <c r="AW6765"/>
    </row>
    <row r="6766" spans="1:49">
      <c r="A6766" s="30" t="s">
        <v>3015</v>
      </c>
      <c r="B6766" s="55" t="str">
        <f t="shared" si="1236"/>
        <v>PA_Merce_2018p</v>
      </c>
      <c r="D6766" s="55" t="str">
        <f t="shared" si="1237"/>
        <v>Rep-precinct committeeman sharpsville 3,(vote for not more than  1)</v>
      </c>
      <c r="E6766" s="55" t="s">
        <v>2574</v>
      </c>
      <c r="G6766" s="60">
        <v>1</v>
      </c>
      <c r="H6766"/>
      <c r="J6766" s="7"/>
      <c r="K6766" s="2"/>
      <c r="O6766">
        <f t="shared" si="1229"/>
        <v>0</v>
      </c>
      <c r="P6766" s="57">
        <f t="shared" si="1230"/>
        <v>1</v>
      </c>
      <c r="Q6766" s="267">
        <f t="shared" si="1231"/>
        <v>1</v>
      </c>
      <c r="R6766" s="23">
        <f t="shared" si="1232"/>
        <v>1</v>
      </c>
      <c r="S6766" s="23">
        <f t="shared" si="1233"/>
        <v>0</v>
      </c>
      <c r="T6766" s="23" t="str">
        <f t="shared" si="1234"/>
        <v/>
      </c>
      <c r="U6766" t="str">
        <f t="shared" si="1235"/>
        <v>PA_Merce_2018p~Rep-precinct committeeman sharpsville 3,(vote for not more than  1)</v>
      </c>
      <c r="V6766" s="40"/>
      <c r="AF6766" s="274"/>
      <c r="AT6766" s="20"/>
      <c r="AU6766" s="29"/>
      <c r="AV6766"/>
      <c r="AW6766"/>
    </row>
    <row r="6767" spans="1:49">
      <c r="A6767" s="30" t="s">
        <v>3016</v>
      </c>
      <c r="B6767" s="55" t="str">
        <f t="shared" si="1236"/>
        <v>PA_Merce_2018p</v>
      </c>
      <c r="D6767" s="55" t="str">
        <f t="shared" si="1237"/>
        <v>Rep-precinct committeeman sharpsville 4,(vote for not more than  1)</v>
      </c>
      <c r="E6767" s="55" t="s">
        <v>2574</v>
      </c>
      <c r="G6767" s="60">
        <v>1</v>
      </c>
      <c r="H6767"/>
      <c r="J6767" s="7"/>
      <c r="K6767" s="2"/>
      <c r="O6767">
        <f t="shared" si="1229"/>
        <v>0</v>
      </c>
      <c r="P6767" s="57">
        <f t="shared" si="1230"/>
        <v>1</v>
      </c>
      <c r="Q6767" s="267">
        <f t="shared" si="1231"/>
        <v>1</v>
      </c>
      <c r="R6767" s="23">
        <f t="shared" si="1232"/>
        <v>1</v>
      </c>
      <c r="S6767" s="23">
        <f t="shared" si="1233"/>
        <v>0</v>
      </c>
      <c r="T6767" s="23" t="str">
        <f t="shared" si="1234"/>
        <v/>
      </c>
      <c r="U6767" t="str">
        <f t="shared" si="1235"/>
        <v>PA_Merce_2018p~Rep-precinct committeeman sharpsville 4,(vote for not more than  1)</v>
      </c>
      <c r="V6767" s="40"/>
      <c r="AF6767" s="274"/>
      <c r="AT6767" s="20"/>
      <c r="AU6767" s="29"/>
      <c r="AV6767"/>
      <c r="AW6767"/>
    </row>
    <row r="6768" spans="1:49">
      <c r="A6768" s="30" t="s">
        <v>3017</v>
      </c>
      <c r="B6768" s="55" t="str">
        <f t="shared" si="1236"/>
        <v>PA_Merce_2018p</v>
      </c>
      <c r="D6768" s="55" t="str">
        <f t="shared" si="1237"/>
        <v>Rep-precinct committeeman sheakleyville,(vote for not more than  1)</v>
      </c>
      <c r="E6768" s="55" t="s">
        <v>2574</v>
      </c>
      <c r="G6768" s="60">
        <v>0</v>
      </c>
      <c r="H6768"/>
      <c r="J6768" s="7"/>
      <c r="K6768" s="2"/>
      <c r="O6768">
        <f t="shared" si="1229"/>
        <v>0</v>
      </c>
      <c r="P6768" s="57">
        <f t="shared" si="1230"/>
        <v>1</v>
      </c>
      <c r="Q6768" s="267">
        <f t="shared" si="1231"/>
        <v>0</v>
      </c>
      <c r="R6768" s="23">
        <f t="shared" si="1232"/>
        <v>1</v>
      </c>
      <c r="S6768" s="23">
        <f t="shared" si="1233"/>
        <v>0</v>
      </c>
      <c r="T6768" s="23" t="str">
        <f t="shared" si="1234"/>
        <v/>
      </c>
      <c r="U6768" t="str">
        <f t="shared" si="1235"/>
        <v>PA_Merce_2018p~Rep-precinct committeeman sheakleyville,(vote for not more than  1)</v>
      </c>
      <c r="V6768" s="40"/>
      <c r="AF6768" s="274"/>
      <c r="AT6768" s="20"/>
      <c r="AU6768" s="29"/>
      <c r="AV6768"/>
      <c r="AW6768"/>
    </row>
    <row r="6769" spans="1:49">
      <c r="A6769" s="30" t="s">
        <v>3018</v>
      </c>
      <c r="B6769" s="55" t="str">
        <f t="shared" si="1236"/>
        <v>PA_Merce_2018p</v>
      </c>
      <c r="D6769" s="55" t="str">
        <f t="shared" si="1237"/>
        <v>Rep-precinct committeeman shenango east,(vote for not more than  1)</v>
      </c>
      <c r="E6769" s="55" t="s">
        <v>2574</v>
      </c>
      <c r="G6769" s="60">
        <v>1</v>
      </c>
      <c r="H6769"/>
      <c r="J6769" s="7"/>
      <c r="K6769" s="2"/>
      <c r="O6769">
        <f t="shared" si="1229"/>
        <v>0</v>
      </c>
      <c r="P6769" s="57">
        <f t="shared" si="1230"/>
        <v>1</v>
      </c>
      <c r="Q6769" s="267">
        <f t="shared" si="1231"/>
        <v>1</v>
      </c>
      <c r="R6769" s="23">
        <f t="shared" si="1232"/>
        <v>1</v>
      </c>
      <c r="S6769" s="23">
        <f t="shared" si="1233"/>
        <v>0</v>
      </c>
      <c r="T6769" s="23" t="str">
        <f t="shared" si="1234"/>
        <v/>
      </c>
      <c r="U6769" t="str">
        <f t="shared" si="1235"/>
        <v>PA_Merce_2018p~Rep-precinct committeeman shenango east,(vote for not more than  1)</v>
      </c>
      <c r="V6769" s="40"/>
      <c r="AF6769" s="274"/>
      <c r="AT6769" s="20"/>
      <c r="AU6769" s="29"/>
      <c r="AV6769"/>
      <c r="AW6769"/>
    </row>
    <row r="6770" spans="1:49">
      <c r="A6770" s="30" t="s">
        <v>3019</v>
      </c>
      <c r="B6770" s="55" t="str">
        <f t="shared" si="1236"/>
        <v>PA_Merce_2018p</v>
      </c>
      <c r="D6770" s="55" t="str">
        <f t="shared" si="1237"/>
        <v>Rep-precinct committeeman shenango west,(vote for not more than  1)</v>
      </c>
      <c r="E6770" s="55" t="s">
        <v>2574</v>
      </c>
      <c r="G6770" s="60">
        <v>6</v>
      </c>
      <c r="H6770"/>
      <c r="J6770" s="7"/>
      <c r="K6770" s="2"/>
      <c r="O6770">
        <f t="shared" si="1229"/>
        <v>0</v>
      </c>
      <c r="P6770" s="57">
        <f t="shared" si="1230"/>
        <v>1</v>
      </c>
      <c r="Q6770" s="267">
        <f t="shared" si="1231"/>
        <v>6</v>
      </c>
      <c r="R6770" s="23">
        <f t="shared" si="1232"/>
        <v>1</v>
      </c>
      <c r="S6770" s="23">
        <f t="shared" si="1233"/>
        <v>0</v>
      </c>
      <c r="T6770" s="23" t="str">
        <f t="shared" si="1234"/>
        <v/>
      </c>
      <c r="U6770" t="str">
        <f t="shared" si="1235"/>
        <v>PA_Merce_2018p~Rep-precinct committeeman shenango west,(vote for not more than  1)</v>
      </c>
      <c r="V6770" s="40"/>
      <c r="AF6770" s="274"/>
      <c r="AT6770" s="20"/>
      <c r="AU6770" s="29"/>
      <c r="AV6770"/>
      <c r="AW6770"/>
    </row>
    <row r="6771" spans="1:49">
      <c r="A6771" s="30" t="s">
        <v>3020</v>
      </c>
      <c r="B6771" s="55" t="str">
        <f t="shared" si="1236"/>
        <v>PA_Merce_2018p</v>
      </c>
      <c r="D6771" s="55" t="str">
        <f t="shared" si="1237"/>
        <v>Rep-precinct committeeman south pymatuning 1,(vote for not more than  1)</v>
      </c>
      <c r="E6771" s="55" t="s">
        <v>2574</v>
      </c>
      <c r="G6771" s="60">
        <v>0</v>
      </c>
      <c r="H6771"/>
      <c r="J6771" s="7"/>
      <c r="K6771" s="2"/>
      <c r="O6771">
        <f t="shared" si="1229"/>
        <v>0</v>
      </c>
      <c r="P6771" s="57">
        <f t="shared" si="1230"/>
        <v>1</v>
      </c>
      <c r="Q6771" s="267">
        <f t="shared" si="1231"/>
        <v>0</v>
      </c>
      <c r="R6771" s="23">
        <f t="shared" si="1232"/>
        <v>1</v>
      </c>
      <c r="S6771" s="23">
        <f t="shared" si="1233"/>
        <v>0</v>
      </c>
      <c r="T6771" s="23" t="str">
        <f t="shared" si="1234"/>
        <v/>
      </c>
      <c r="U6771" t="str">
        <f t="shared" si="1235"/>
        <v>PA_Merce_2018p~Rep-precinct committeeman south pymatuning 1,(vote for not more than  1)</v>
      </c>
      <c r="V6771" s="40"/>
      <c r="AF6771" s="274"/>
      <c r="AT6771" s="20"/>
      <c r="AU6771" s="29"/>
      <c r="AV6771"/>
      <c r="AW6771"/>
    </row>
    <row r="6772" spans="1:49">
      <c r="A6772" s="30" t="s">
        <v>3021</v>
      </c>
      <c r="B6772" s="55" t="str">
        <f t="shared" si="1236"/>
        <v>PA_Merce_2018p</v>
      </c>
      <c r="D6772" s="55" t="str">
        <f t="shared" si="1237"/>
        <v>Rep-precinct committeeman south pymatuning 2,(vote for not more than  1)</v>
      </c>
      <c r="E6772" s="55" t="s">
        <v>2574</v>
      </c>
      <c r="G6772" s="60">
        <v>4</v>
      </c>
      <c r="H6772"/>
      <c r="J6772" s="7"/>
      <c r="K6772" s="2"/>
      <c r="O6772">
        <f t="shared" si="1229"/>
        <v>0</v>
      </c>
      <c r="P6772" s="57">
        <f t="shared" si="1230"/>
        <v>1</v>
      </c>
      <c r="Q6772" s="267">
        <f t="shared" si="1231"/>
        <v>4</v>
      </c>
      <c r="R6772" s="23">
        <f t="shared" si="1232"/>
        <v>1</v>
      </c>
      <c r="S6772" s="23">
        <f t="shared" si="1233"/>
        <v>0</v>
      </c>
      <c r="T6772" s="23" t="str">
        <f t="shared" si="1234"/>
        <v/>
      </c>
      <c r="U6772" t="str">
        <f t="shared" si="1235"/>
        <v>PA_Merce_2018p~Rep-precinct committeeman south pymatuning 2,(vote for not more than  1)</v>
      </c>
      <c r="V6772" s="40"/>
      <c r="AF6772" s="274"/>
      <c r="AT6772" s="20"/>
      <c r="AU6772" s="29"/>
      <c r="AV6772"/>
      <c r="AW6772"/>
    </row>
    <row r="6773" spans="1:49">
      <c r="A6773" s="30" t="s">
        <v>3022</v>
      </c>
      <c r="B6773" s="55" t="str">
        <f t="shared" si="1236"/>
        <v>PA_Merce_2018p</v>
      </c>
      <c r="D6773" s="55" t="str">
        <f t="shared" si="1237"/>
        <v>Rep-precinct committeeman south pymatuning 3,(vote for not more than  1)</v>
      </c>
      <c r="E6773" s="55" t="s">
        <v>2574</v>
      </c>
      <c r="G6773" s="60">
        <v>3</v>
      </c>
      <c r="H6773"/>
      <c r="J6773" s="7"/>
      <c r="K6773" s="2"/>
      <c r="O6773">
        <f t="shared" si="1229"/>
        <v>0</v>
      </c>
      <c r="P6773" s="57">
        <f t="shared" si="1230"/>
        <v>1</v>
      </c>
      <c r="Q6773" s="267">
        <f t="shared" si="1231"/>
        <v>3</v>
      </c>
      <c r="R6773" s="23">
        <f t="shared" si="1232"/>
        <v>1</v>
      </c>
      <c r="S6773" s="23">
        <f t="shared" si="1233"/>
        <v>0</v>
      </c>
      <c r="T6773" s="23" t="str">
        <f t="shared" si="1234"/>
        <v/>
      </c>
      <c r="U6773" t="str">
        <f t="shared" si="1235"/>
        <v>PA_Merce_2018p~Rep-precinct committeeman south pymatuning 3,(vote for not more than  1)</v>
      </c>
      <c r="V6773" s="40"/>
      <c r="AF6773" s="274"/>
      <c r="AT6773" s="20"/>
      <c r="AU6773" s="29"/>
      <c r="AV6773"/>
      <c r="AW6773"/>
    </row>
    <row r="6774" spans="1:49">
      <c r="A6774" s="30" t="s">
        <v>3023</v>
      </c>
      <c r="B6774" s="55" t="str">
        <f t="shared" si="1236"/>
        <v>PA_Merce_2018p</v>
      </c>
      <c r="D6774" s="55" t="str">
        <f t="shared" si="1237"/>
        <v>Rep-precinct committeeman springfield east,(vote for not more than  1)</v>
      </c>
      <c r="E6774" s="55" t="s">
        <v>2574</v>
      </c>
      <c r="G6774" s="60">
        <v>1</v>
      </c>
      <c r="H6774"/>
      <c r="J6774" s="7"/>
      <c r="K6774" s="2"/>
      <c r="O6774">
        <f t="shared" si="1229"/>
        <v>0</v>
      </c>
      <c r="P6774" s="57">
        <f t="shared" si="1230"/>
        <v>1</v>
      </c>
      <c r="Q6774" s="267">
        <f t="shared" si="1231"/>
        <v>1</v>
      </c>
      <c r="R6774" s="23">
        <f t="shared" si="1232"/>
        <v>1</v>
      </c>
      <c r="S6774" s="23">
        <f t="shared" si="1233"/>
        <v>0</v>
      </c>
      <c r="T6774" s="23" t="str">
        <f t="shared" si="1234"/>
        <v/>
      </c>
      <c r="U6774" t="str">
        <f t="shared" si="1235"/>
        <v>PA_Merce_2018p~Rep-precinct committeeman springfield east,(vote for not more than  1)</v>
      </c>
      <c r="V6774" s="40"/>
      <c r="AF6774" s="274"/>
      <c r="AT6774" s="20"/>
      <c r="AU6774" s="29"/>
      <c r="AV6774"/>
      <c r="AW6774"/>
    </row>
    <row r="6775" spans="1:49">
      <c r="A6775" s="30" t="s">
        <v>3024</v>
      </c>
      <c r="B6775" s="55" t="str">
        <f t="shared" si="1236"/>
        <v>PA_Merce_2018p</v>
      </c>
      <c r="D6775" s="55" t="str">
        <f t="shared" si="1237"/>
        <v>Rep-precinct committeeman springfield west,(vote for not more than  1)</v>
      </c>
      <c r="E6775" s="55" t="s">
        <v>2574</v>
      </c>
      <c r="G6775" s="60">
        <v>5</v>
      </c>
      <c r="H6775"/>
      <c r="J6775" s="7"/>
      <c r="K6775" s="2"/>
      <c r="O6775">
        <f t="shared" si="1229"/>
        <v>0</v>
      </c>
      <c r="P6775" s="57">
        <f t="shared" si="1230"/>
        <v>1</v>
      </c>
      <c r="Q6775" s="267">
        <f t="shared" si="1231"/>
        <v>5</v>
      </c>
      <c r="R6775" s="23">
        <f t="shared" si="1232"/>
        <v>1</v>
      </c>
      <c r="S6775" s="23">
        <f t="shared" si="1233"/>
        <v>0</v>
      </c>
      <c r="T6775" s="23" t="str">
        <f t="shared" si="1234"/>
        <v/>
      </c>
      <c r="U6775" t="str">
        <f t="shared" si="1235"/>
        <v>PA_Merce_2018p~Rep-precinct committeeman springfield west,(vote for not more than  1)</v>
      </c>
      <c r="V6775" s="40"/>
      <c r="AF6775" s="274"/>
      <c r="AT6775" s="20"/>
      <c r="AU6775" s="29"/>
      <c r="AV6775"/>
      <c r="AW6775"/>
    </row>
    <row r="6776" spans="1:49">
      <c r="A6776" s="30" t="s">
        <v>3025</v>
      </c>
      <c r="B6776" s="55" t="str">
        <f t="shared" si="1236"/>
        <v>PA_Merce_2018p</v>
      </c>
      <c r="D6776" s="55" t="str">
        <f t="shared" si="1237"/>
        <v>Rep-precinct committeeman stoneboro,(vote for not more than  1)</v>
      </c>
      <c r="E6776" s="55" t="s">
        <v>2574</v>
      </c>
      <c r="G6776" s="60">
        <v>3</v>
      </c>
      <c r="H6776"/>
      <c r="J6776" s="7"/>
      <c r="K6776" s="2"/>
      <c r="O6776">
        <f t="shared" si="1229"/>
        <v>0</v>
      </c>
      <c r="P6776" s="57">
        <f t="shared" si="1230"/>
        <v>1</v>
      </c>
      <c r="Q6776" s="267">
        <f t="shared" si="1231"/>
        <v>3</v>
      </c>
      <c r="R6776" s="23">
        <f t="shared" si="1232"/>
        <v>1</v>
      </c>
      <c r="S6776" s="23">
        <f t="shared" si="1233"/>
        <v>0</v>
      </c>
      <c r="T6776" s="23" t="str">
        <f t="shared" si="1234"/>
        <v/>
      </c>
      <c r="U6776" t="str">
        <f t="shared" si="1235"/>
        <v>PA_Merce_2018p~Rep-precinct committeeman stoneboro,(vote for not more than  1)</v>
      </c>
      <c r="V6776" s="40"/>
      <c r="AF6776" s="274"/>
      <c r="AT6776" s="20"/>
      <c r="AU6776" s="29"/>
      <c r="AV6776"/>
      <c r="AW6776"/>
    </row>
    <row r="6777" spans="1:49">
      <c r="A6777" s="30" t="s">
        <v>3026</v>
      </c>
      <c r="B6777" s="55" t="str">
        <f t="shared" si="1236"/>
        <v>PA_Merce_2018p</v>
      </c>
      <c r="D6777" s="55" t="str">
        <f t="shared" si="1237"/>
        <v>Rep-precinct committeeman sugar grove,(vote for not more than  1)</v>
      </c>
      <c r="E6777" s="55" t="s">
        <v>2574</v>
      </c>
      <c r="G6777" s="60">
        <v>0</v>
      </c>
      <c r="H6777"/>
      <c r="J6777" s="7"/>
      <c r="K6777" s="2"/>
      <c r="O6777">
        <f t="shared" si="1229"/>
        <v>0</v>
      </c>
      <c r="P6777" s="57">
        <f t="shared" si="1230"/>
        <v>1</v>
      </c>
      <c r="Q6777" s="267">
        <f t="shared" si="1231"/>
        <v>0</v>
      </c>
      <c r="R6777" s="23">
        <f t="shared" si="1232"/>
        <v>1</v>
      </c>
      <c r="S6777" s="23">
        <f t="shared" si="1233"/>
        <v>0</v>
      </c>
      <c r="T6777" s="23" t="str">
        <f t="shared" si="1234"/>
        <v/>
      </c>
      <c r="U6777" t="str">
        <f t="shared" si="1235"/>
        <v>PA_Merce_2018p~Rep-precinct committeeman sugar grove,(vote for not more than  1)</v>
      </c>
      <c r="V6777" s="40"/>
      <c r="AF6777" s="274"/>
      <c r="AT6777" s="20"/>
      <c r="AU6777" s="29"/>
      <c r="AV6777"/>
      <c r="AW6777"/>
    </row>
    <row r="6778" spans="1:49">
      <c r="A6778" s="30" t="s">
        <v>3027</v>
      </c>
      <c r="B6778" s="55" t="str">
        <f t="shared" si="1236"/>
        <v>PA_Merce_2018p</v>
      </c>
      <c r="D6778" s="55" t="str">
        <f t="shared" si="1237"/>
        <v>Rep-precinct committeeman west middlesex,(vote for not more than  1)</v>
      </c>
      <c r="E6778" s="55" t="s">
        <v>2574</v>
      </c>
      <c r="G6778" s="60">
        <v>0</v>
      </c>
      <c r="H6778"/>
      <c r="J6778" s="7"/>
      <c r="K6778" s="2"/>
      <c r="O6778">
        <f t="shared" si="1229"/>
        <v>0</v>
      </c>
      <c r="P6778" s="57">
        <f t="shared" si="1230"/>
        <v>1</v>
      </c>
      <c r="Q6778" s="267">
        <f t="shared" si="1231"/>
        <v>0</v>
      </c>
      <c r="R6778" s="23">
        <f t="shared" si="1232"/>
        <v>1</v>
      </c>
      <c r="S6778" s="23">
        <f t="shared" si="1233"/>
        <v>0</v>
      </c>
      <c r="T6778" s="23" t="str">
        <f t="shared" si="1234"/>
        <v/>
      </c>
      <c r="U6778" t="str">
        <f t="shared" si="1235"/>
        <v>PA_Merce_2018p~Rep-precinct committeeman west middlesex,(vote for not more than  1)</v>
      </c>
      <c r="V6778" s="40"/>
      <c r="AF6778" s="274"/>
      <c r="AT6778" s="20"/>
      <c r="AU6778" s="29"/>
      <c r="AV6778"/>
      <c r="AW6778"/>
    </row>
    <row r="6779" spans="1:49">
      <c r="A6779" s="30" t="s">
        <v>3028</v>
      </c>
      <c r="B6779" s="55" t="str">
        <f t="shared" si="1236"/>
        <v>PA_Merce_2018p</v>
      </c>
      <c r="D6779" s="55" t="str">
        <f t="shared" si="1237"/>
        <v>Rep-precinct committeeman west salem east,(vote for not more than  1)</v>
      </c>
      <c r="E6779" s="55" t="s">
        <v>2574</v>
      </c>
      <c r="G6779" s="60">
        <v>1</v>
      </c>
      <c r="H6779"/>
      <c r="J6779" s="7"/>
      <c r="K6779" s="2"/>
      <c r="O6779">
        <f t="shared" si="1229"/>
        <v>0</v>
      </c>
      <c r="P6779" s="57">
        <f t="shared" si="1230"/>
        <v>1</v>
      </c>
      <c r="Q6779" s="267">
        <f t="shared" si="1231"/>
        <v>1</v>
      </c>
      <c r="R6779" s="23">
        <f t="shared" si="1232"/>
        <v>1</v>
      </c>
      <c r="S6779" s="23">
        <f t="shared" si="1233"/>
        <v>0</v>
      </c>
      <c r="T6779" s="23" t="str">
        <f t="shared" si="1234"/>
        <v/>
      </c>
      <c r="U6779" t="str">
        <f t="shared" si="1235"/>
        <v>PA_Merce_2018p~Rep-precinct committeeman west salem east,(vote for not more than  1)</v>
      </c>
      <c r="V6779" s="40"/>
      <c r="AF6779" s="274"/>
      <c r="AT6779" s="20"/>
      <c r="AU6779" s="29"/>
      <c r="AV6779"/>
      <c r="AW6779"/>
    </row>
    <row r="6780" spans="1:49">
      <c r="A6780" s="30" t="s">
        <v>3029</v>
      </c>
      <c r="B6780" s="55" t="str">
        <f t="shared" si="1236"/>
        <v>PA_Merce_2018p</v>
      </c>
      <c r="D6780" s="55" t="str">
        <f t="shared" si="1237"/>
        <v>Rep-precinct committeeman west salem west,(vote for not more than  1)</v>
      </c>
      <c r="E6780" s="55" t="s">
        <v>2574</v>
      </c>
      <c r="G6780" s="60">
        <v>1</v>
      </c>
      <c r="H6780"/>
      <c r="J6780" s="7"/>
      <c r="K6780" s="2"/>
      <c r="O6780">
        <f t="shared" si="1229"/>
        <v>0</v>
      </c>
      <c r="P6780" s="57">
        <f t="shared" si="1230"/>
        <v>1</v>
      </c>
      <c r="Q6780" s="267">
        <f t="shared" si="1231"/>
        <v>1</v>
      </c>
      <c r="R6780" s="23">
        <f t="shared" si="1232"/>
        <v>1</v>
      </c>
      <c r="S6780" s="23">
        <f t="shared" si="1233"/>
        <v>0</v>
      </c>
      <c r="T6780" s="23" t="str">
        <f t="shared" si="1234"/>
        <v/>
      </c>
      <c r="U6780" t="str">
        <f t="shared" si="1235"/>
        <v>PA_Merce_2018p~Rep-precinct committeeman west salem west,(vote for not more than  1)</v>
      </c>
      <c r="V6780" s="40"/>
      <c r="AF6780" s="274"/>
      <c r="AT6780" s="20"/>
      <c r="AU6780" s="29"/>
      <c r="AV6780"/>
      <c r="AW6780"/>
    </row>
    <row r="6781" spans="1:49">
      <c r="A6781" s="30" t="s">
        <v>3030</v>
      </c>
      <c r="B6781" s="55" t="str">
        <f t="shared" si="1236"/>
        <v>PA_Merce_2018p</v>
      </c>
      <c r="D6781" s="55" t="str">
        <f t="shared" si="1237"/>
        <v>Rep-precinct committeeman wheatland,(vote for not more than  1)</v>
      </c>
      <c r="E6781" s="55" t="s">
        <v>2574</v>
      </c>
      <c r="G6781" s="60">
        <v>0</v>
      </c>
      <c r="H6781"/>
      <c r="J6781" s="7"/>
      <c r="K6781" s="2"/>
      <c r="O6781">
        <f t="shared" si="1229"/>
        <v>0</v>
      </c>
      <c r="P6781" s="57">
        <f t="shared" si="1230"/>
        <v>1</v>
      </c>
      <c r="Q6781" s="267">
        <f t="shared" si="1231"/>
        <v>0</v>
      </c>
      <c r="R6781" s="23">
        <f t="shared" si="1232"/>
        <v>1</v>
      </c>
      <c r="S6781" s="23">
        <f t="shared" si="1233"/>
        <v>0</v>
      </c>
      <c r="T6781" s="23" t="str">
        <f t="shared" si="1234"/>
        <v/>
      </c>
      <c r="U6781" t="str">
        <f t="shared" si="1235"/>
        <v>PA_Merce_2018p~Rep-precinct committeeman wheatland,(vote for not more than  1)</v>
      </c>
      <c r="V6781" s="40"/>
      <c r="AF6781" s="274"/>
      <c r="AT6781" s="20"/>
      <c r="AU6781" s="29"/>
      <c r="AV6781"/>
      <c r="AW6781"/>
    </row>
    <row r="6782" spans="1:49">
      <c r="A6782" s="30" t="s">
        <v>3031</v>
      </c>
      <c r="B6782" s="55" t="str">
        <f t="shared" si="1236"/>
        <v>PA_Merce_2018p</v>
      </c>
      <c r="D6782" s="55" t="str">
        <f t="shared" si="1237"/>
        <v>Rep-precinct committeeman wilmington,(vote for not more than  1)</v>
      </c>
      <c r="E6782" s="55" t="s">
        <v>2574</v>
      </c>
      <c r="G6782" s="60">
        <v>2</v>
      </c>
      <c r="H6782"/>
      <c r="J6782" s="7"/>
      <c r="K6782" s="2"/>
      <c r="O6782">
        <f t="shared" si="1229"/>
        <v>0</v>
      </c>
      <c r="P6782" s="57">
        <f t="shared" si="1230"/>
        <v>1</v>
      </c>
      <c r="Q6782" s="267">
        <f t="shared" si="1231"/>
        <v>2</v>
      </c>
      <c r="R6782" s="23">
        <f t="shared" si="1232"/>
        <v>1</v>
      </c>
      <c r="S6782" s="23">
        <f t="shared" si="1233"/>
        <v>0</v>
      </c>
      <c r="T6782" s="23" t="str">
        <f t="shared" si="1234"/>
        <v/>
      </c>
      <c r="U6782" t="str">
        <f t="shared" si="1235"/>
        <v>PA_Merce_2018p~Rep-precinct committeeman wilmington,(vote for not more than  1)</v>
      </c>
      <c r="V6782" s="40"/>
      <c r="AF6782" s="274"/>
      <c r="AT6782" s="20"/>
      <c r="AU6782" s="29"/>
      <c r="AV6782"/>
      <c r="AW6782"/>
    </row>
    <row r="6783" spans="1:49">
      <c r="A6783" s="30" t="s">
        <v>3032</v>
      </c>
      <c r="B6783" s="55" t="str">
        <f t="shared" si="1236"/>
        <v>PA_Merce_2018p</v>
      </c>
      <c r="D6783" s="55" t="str">
        <f t="shared" si="1237"/>
        <v>Rep-precinct committeeman wolf creek,(vote for not more than  1)</v>
      </c>
      <c r="E6783" s="55" t="s">
        <v>2574</v>
      </c>
      <c r="G6783" s="60">
        <v>0</v>
      </c>
      <c r="H6783"/>
      <c r="J6783" s="7"/>
      <c r="K6783" s="2"/>
      <c r="O6783">
        <f t="shared" si="1229"/>
        <v>0</v>
      </c>
      <c r="P6783" s="57">
        <f t="shared" si="1230"/>
        <v>1</v>
      </c>
      <c r="Q6783" s="267">
        <f t="shared" si="1231"/>
        <v>0</v>
      </c>
      <c r="R6783" s="23">
        <f t="shared" si="1232"/>
        <v>1</v>
      </c>
      <c r="S6783" s="23">
        <f t="shared" si="1233"/>
        <v>0</v>
      </c>
      <c r="T6783" s="23" t="str">
        <f t="shared" si="1234"/>
        <v/>
      </c>
      <c r="U6783" t="str">
        <f t="shared" si="1235"/>
        <v>PA_Merce_2018p~Rep-precinct committeeman wolf creek,(vote for not more than  1)</v>
      </c>
      <c r="V6783" s="40"/>
      <c r="AF6783" s="274"/>
      <c r="AT6783" s="20"/>
      <c r="AU6783" s="29"/>
      <c r="AV6783"/>
      <c r="AW6783"/>
    </row>
    <row r="6784" spans="1:49">
      <c r="A6784" s="30" t="s">
        <v>3033</v>
      </c>
      <c r="B6784" s="55" t="str">
        <f t="shared" si="1236"/>
        <v>PA_Merce_2018p</v>
      </c>
      <c r="D6784" s="55" t="str">
        <f t="shared" si="1237"/>
        <v>Rep-precinct committeeman worth,(vote for not more than  1)</v>
      </c>
      <c r="E6784" s="55" t="s">
        <v>2574</v>
      </c>
      <c r="G6784" s="60">
        <v>1</v>
      </c>
      <c r="H6784"/>
      <c r="J6784" s="7"/>
      <c r="K6784" s="2"/>
      <c r="O6784">
        <f t="shared" si="1229"/>
        <v>0</v>
      </c>
      <c r="P6784" s="57">
        <f t="shared" si="1230"/>
        <v>1</v>
      </c>
      <c r="Q6784" s="267">
        <f t="shared" si="1231"/>
        <v>1</v>
      </c>
      <c r="R6784" s="23">
        <f t="shared" si="1232"/>
        <v>1</v>
      </c>
      <c r="S6784" s="23">
        <f t="shared" si="1233"/>
        <v>0</v>
      </c>
      <c r="T6784" s="23" t="str">
        <f t="shared" si="1234"/>
        <v/>
      </c>
      <c r="U6784" t="str">
        <f t="shared" si="1235"/>
        <v>PA_Merce_2018p~Rep-precinct committeeman worth,(vote for not more than  1)</v>
      </c>
      <c r="V6784" s="40"/>
      <c r="AF6784" s="274"/>
      <c r="AT6784" s="20"/>
      <c r="AU6784" s="29"/>
      <c r="AV6784"/>
      <c r="AW6784"/>
    </row>
    <row r="6785" spans="1:49">
      <c r="A6785" s="30" t="s">
        <v>3034</v>
      </c>
      <c r="B6785" s="55" t="str">
        <f t="shared" si="1236"/>
        <v>PA_Merce_2018p</v>
      </c>
      <c r="D6785" s="55" t="str">
        <f t="shared" si="1237"/>
        <v>Rep-precinct committeewoman clark,(vote for not more than  1)</v>
      </c>
      <c r="E6785" s="55" t="s">
        <v>2574</v>
      </c>
      <c r="G6785" s="60">
        <v>2</v>
      </c>
      <c r="H6785"/>
      <c r="J6785" s="7"/>
      <c r="K6785" s="2"/>
      <c r="O6785">
        <f t="shared" si="1229"/>
        <v>0</v>
      </c>
      <c r="P6785" s="57">
        <f t="shared" si="1230"/>
        <v>1</v>
      </c>
      <c r="Q6785" s="267">
        <f t="shared" si="1231"/>
        <v>2</v>
      </c>
      <c r="R6785" s="23">
        <f t="shared" si="1232"/>
        <v>1</v>
      </c>
      <c r="S6785" s="23">
        <f t="shared" si="1233"/>
        <v>0</v>
      </c>
      <c r="T6785" s="23" t="str">
        <f t="shared" si="1234"/>
        <v/>
      </c>
      <c r="U6785" t="str">
        <f t="shared" si="1235"/>
        <v>PA_Merce_2018p~Rep-precinct committeewoman clark,(vote for not more than  1)</v>
      </c>
      <c r="V6785" s="40"/>
      <c r="AF6785" s="274"/>
      <c r="AT6785" s="20"/>
      <c r="AU6785" s="29"/>
      <c r="AV6785"/>
      <c r="AW6785"/>
    </row>
    <row r="6786" spans="1:49">
      <c r="A6786" s="30" t="s">
        <v>3035</v>
      </c>
      <c r="B6786" s="55" t="str">
        <f t="shared" si="1236"/>
        <v>PA_Merce_2018p</v>
      </c>
      <c r="D6786" s="55" t="str">
        <f t="shared" si="1237"/>
        <v>Rep-precinct committeewoman coolspring,(vote for not more than  1)</v>
      </c>
      <c r="E6786" s="55" t="s">
        <v>2574</v>
      </c>
      <c r="G6786" s="60">
        <v>4</v>
      </c>
      <c r="H6786"/>
      <c r="J6786" s="7"/>
      <c r="K6786" s="2"/>
      <c r="O6786">
        <f t="shared" ref="O6786:O6849" si="1238">IF(OR(LOWER(LEFT(E6786,8))="write-in",LOWER(LEFT(E6786,8))="not qual"),IF(A6786=A6785,-ABS(O6785),0),IF(A6786=A6785,ABS(O6785)+1,1))</f>
        <v>0</v>
      </c>
      <c r="P6786" s="57">
        <f t="shared" ref="P6786:P6849" si="1239">1*LEFT(RIGHT(A6786,2),1)</f>
        <v>1</v>
      </c>
      <c r="Q6786" s="267">
        <f t="shared" ref="Q6786:Q6849" si="1240">IF(A6786&lt;&gt;A6787,G6786,IF(A6786=A6785,G6786+Q6787,MAX(G6786,(G6786+Q6787)/P6786)))</f>
        <v>4</v>
      </c>
      <c r="R6786" s="23">
        <f t="shared" ref="R6786:R6849" si="1241">IF(O6786&gt;P6786,"",IF(O6786=P6786,G6786,IF(A6786=A6787,R6787,IF(O6786&lt;=0,1,G6786))))</f>
        <v>1</v>
      </c>
      <c r="S6786" s="23">
        <f t="shared" ref="S6786:S6849" si="1242">IF(AND(O6786&gt;P6786,LOWER(LEFT(E6786,8))&lt;&gt;"write-in",LOWER(LEFT(E6786,8))&lt;&gt;"not qual"),G6786,IF(A6786=A6787,S6787,0))</f>
        <v>0</v>
      </c>
      <c r="T6786" s="23" t="str">
        <f t="shared" ref="T6786:T6849" si="1243">IF(OR(A6786=A6785,S6786=0),"",R6786-ABS(S6786))</f>
        <v/>
      </c>
      <c r="U6786" t="str">
        <f t="shared" ref="U6786:U6849" si="1244">IF(A6786=A6785,"",A6786)</f>
        <v>PA_Merce_2018p~Rep-precinct committeewoman coolspring,(vote for not more than  1)</v>
      </c>
      <c r="V6786" s="40"/>
      <c r="AF6786" s="274"/>
      <c r="AT6786" s="20"/>
      <c r="AU6786" s="29"/>
      <c r="AV6786"/>
      <c r="AW6786"/>
    </row>
    <row r="6787" spans="1:49">
      <c r="A6787" s="30" t="s">
        <v>3036</v>
      </c>
      <c r="B6787" s="55" t="str">
        <f t="shared" si="1236"/>
        <v>PA_Merce_2018p</v>
      </c>
      <c r="D6787" s="55" t="str">
        <f t="shared" si="1237"/>
        <v>Rep-precinct committeewoman deer creek,(vote for not more than  1)</v>
      </c>
      <c r="E6787" s="55" t="s">
        <v>2574</v>
      </c>
      <c r="G6787" s="60">
        <v>0</v>
      </c>
      <c r="H6787"/>
      <c r="J6787" s="7"/>
      <c r="K6787" s="2"/>
      <c r="O6787">
        <f t="shared" si="1238"/>
        <v>0</v>
      </c>
      <c r="P6787" s="57">
        <f t="shared" si="1239"/>
        <v>1</v>
      </c>
      <c r="Q6787" s="267">
        <f t="shared" si="1240"/>
        <v>0</v>
      </c>
      <c r="R6787" s="23">
        <f t="shared" si="1241"/>
        <v>1</v>
      </c>
      <c r="S6787" s="23">
        <f t="shared" si="1242"/>
        <v>0</v>
      </c>
      <c r="T6787" s="23" t="str">
        <f t="shared" si="1243"/>
        <v/>
      </c>
      <c r="U6787" t="str">
        <f t="shared" si="1244"/>
        <v>PA_Merce_2018p~Rep-precinct committeewoman deer creek,(vote for not more than  1)</v>
      </c>
      <c r="V6787" s="40"/>
      <c r="AF6787" s="274"/>
      <c r="AT6787" s="20"/>
      <c r="AU6787" s="29"/>
      <c r="AV6787"/>
      <c r="AW6787"/>
    </row>
    <row r="6788" spans="1:49">
      <c r="A6788" s="30" t="s">
        <v>3037</v>
      </c>
      <c r="B6788" s="55" t="str">
        <f t="shared" si="1236"/>
        <v>PA_Merce_2018p</v>
      </c>
      <c r="D6788" s="55" t="str">
        <f t="shared" si="1237"/>
        <v>Rep-precinct committeewoman delaware,(vote for not more than  1)</v>
      </c>
      <c r="E6788" s="55" t="s">
        <v>2574</v>
      </c>
      <c r="G6788" s="60">
        <v>2</v>
      </c>
      <c r="H6788"/>
      <c r="J6788" s="7"/>
      <c r="K6788" s="2"/>
      <c r="O6788">
        <f t="shared" si="1238"/>
        <v>0</v>
      </c>
      <c r="P6788" s="57">
        <f t="shared" si="1239"/>
        <v>1</v>
      </c>
      <c r="Q6788" s="267">
        <f t="shared" si="1240"/>
        <v>2</v>
      </c>
      <c r="R6788" s="23">
        <f t="shared" si="1241"/>
        <v>1</v>
      </c>
      <c r="S6788" s="23">
        <f t="shared" si="1242"/>
        <v>0</v>
      </c>
      <c r="T6788" s="23" t="str">
        <f t="shared" si="1243"/>
        <v/>
      </c>
      <c r="U6788" t="str">
        <f t="shared" si="1244"/>
        <v>PA_Merce_2018p~Rep-precinct committeewoman delaware,(vote for not more than  1)</v>
      </c>
      <c r="V6788" s="40"/>
      <c r="AF6788" s="274"/>
      <c r="AT6788" s="20"/>
      <c r="AU6788" s="29"/>
      <c r="AV6788"/>
      <c r="AW6788"/>
    </row>
    <row r="6789" spans="1:49">
      <c r="A6789" s="30" t="s">
        <v>3038</v>
      </c>
      <c r="B6789" s="55" t="str">
        <f t="shared" si="1236"/>
        <v>PA_Merce_2018p</v>
      </c>
      <c r="D6789" s="55" t="str">
        <f t="shared" si="1237"/>
        <v>Rep-precinct committeewoman east lackawannoc,(vote for not more than  1)</v>
      </c>
      <c r="E6789" s="55" t="s">
        <v>2574</v>
      </c>
      <c r="G6789" s="60">
        <v>3</v>
      </c>
      <c r="H6789"/>
      <c r="J6789" s="7"/>
      <c r="K6789" s="2"/>
      <c r="O6789">
        <f t="shared" si="1238"/>
        <v>0</v>
      </c>
      <c r="P6789" s="57">
        <f t="shared" si="1239"/>
        <v>1</v>
      </c>
      <c r="Q6789" s="267">
        <f t="shared" si="1240"/>
        <v>3</v>
      </c>
      <c r="R6789" s="23">
        <f t="shared" si="1241"/>
        <v>1</v>
      </c>
      <c r="S6789" s="23">
        <f t="shared" si="1242"/>
        <v>0</v>
      </c>
      <c r="T6789" s="23" t="str">
        <f t="shared" si="1243"/>
        <v/>
      </c>
      <c r="U6789" t="str">
        <f t="shared" si="1244"/>
        <v>PA_Merce_2018p~Rep-precinct committeewoman east lackawannoc,(vote for not more than  1)</v>
      </c>
      <c r="V6789" s="40"/>
      <c r="AF6789" s="274"/>
      <c r="AT6789" s="20"/>
      <c r="AU6789" s="29"/>
      <c r="AV6789"/>
      <c r="AW6789"/>
    </row>
    <row r="6790" spans="1:49">
      <c r="A6790" s="30" t="s">
        <v>3039</v>
      </c>
      <c r="B6790" s="55" t="str">
        <f t="shared" si="1236"/>
        <v>PA_Merce_2018p</v>
      </c>
      <c r="D6790" s="55" t="str">
        <f t="shared" si="1237"/>
        <v>Rep-precinct committeewoman fairview,(vote for not more than  1)</v>
      </c>
      <c r="E6790" s="55" t="s">
        <v>3040</v>
      </c>
      <c r="G6790" s="60">
        <v>76</v>
      </c>
      <c r="H6790"/>
      <c r="J6790" s="7"/>
      <c r="K6790" s="2"/>
      <c r="O6790">
        <f t="shared" si="1238"/>
        <v>1</v>
      </c>
      <c r="P6790" s="57">
        <f t="shared" si="1239"/>
        <v>1</v>
      </c>
      <c r="Q6790" s="267">
        <f t="shared" si="1240"/>
        <v>76</v>
      </c>
      <c r="R6790" s="23">
        <f t="shared" si="1241"/>
        <v>76</v>
      </c>
      <c r="S6790" s="23">
        <f t="shared" si="1242"/>
        <v>0</v>
      </c>
      <c r="T6790" s="23" t="str">
        <f t="shared" si="1243"/>
        <v/>
      </c>
      <c r="U6790" t="str">
        <f t="shared" si="1244"/>
        <v>PA_Merce_2018p~Rep-precinct committeewoman fairview,(vote for not more than  1)</v>
      </c>
      <c r="V6790" s="40"/>
      <c r="AF6790" s="274"/>
      <c r="AT6790" s="20"/>
      <c r="AU6790" s="29"/>
      <c r="AV6790"/>
      <c r="AW6790"/>
    </row>
    <row r="6791" spans="1:49">
      <c r="A6791" s="30" t="s">
        <v>3039</v>
      </c>
      <c r="B6791" s="55" t="str">
        <f t="shared" si="1236"/>
        <v>PA_Merce_2018p</v>
      </c>
      <c r="D6791" s="55" t="str">
        <f t="shared" si="1237"/>
        <v>Rep-precinct committeewoman fairview,(vote for not more than  1)</v>
      </c>
      <c r="E6791" s="55" t="s">
        <v>2574</v>
      </c>
      <c r="G6791" s="60">
        <v>0</v>
      </c>
      <c r="H6791"/>
      <c r="J6791" s="7"/>
      <c r="K6791" s="2"/>
      <c r="O6791">
        <f t="shared" si="1238"/>
        <v>-1</v>
      </c>
      <c r="P6791" s="57">
        <f t="shared" si="1239"/>
        <v>1</v>
      </c>
      <c r="Q6791" s="267">
        <f t="shared" si="1240"/>
        <v>0</v>
      </c>
      <c r="R6791" s="23">
        <f t="shared" si="1241"/>
        <v>1</v>
      </c>
      <c r="S6791" s="23">
        <f t="shared" si="1242"/>
        <v>0</v>
      </c>
      <c r="T6791" s="23" t="str">
        <f t="shared" si="1243"/>
        <v/>
      </c>
      <c r="U6791" t="str">
        <f t="shared" si="1244"/>
        <v/>
      </c>
      <c r="V6791" s="40"/>
      <c r="AF6791" s="274"/>
      <c r="AT6791" s="20"/>
      <c r="AU6791" s="29"/>
      <c r="AV6791"/>
      <c r="AW6791"/>
    </row>
    <row r="6792" spans="1:49">
      <c r="A6792" s="30" t="s">
        <v>3041</v>
      </c>
      <c r="B6792" s="55" t="str">
        <f t="shared" si="1236"/>
        <v>PA_Merce_2018p</v>
      </c>
      <c r="D6792" s="55" t="str">
        <f t="shared" si="1237"/>
        <v>Rep-precinct committeewoman farrell 1-1,(vote for not more than  1)</v>
      </c>
      <c r="E6792" s="55" t="s">
        <v>2574</v>
      </c>
      <c r="G6792" s="60">
        <v>0</v>
      </c>
      <c r="H6792"/>
      <c r="J6792" s="7"/>
      <c r="K6792" s="2"/>
      <c r="O6792">
        <f t="shared" si="1238"/>
        <v>0</v>
      </c>
      <c r="P6792" s="57">
        <f t="shared" si="1239"/>
        <v>1</v>
      </c>
      <c r="Q6792" s="267">
        <f t="shared" si="1240"/>
        <v>0</v>
      </c>
      <c r="R6792" s="23">
        <f t="shared" si="1241"/>
        <v>1</v>
      </c>
      <c r="S6792" s="23">
        <f t="shared" si="1242"/>
        <v>0</v>
      </c>
      <c r="T6792" s="23" t="str">
        <f t="shared" si="1243"/>
        <v/>
      </c>
      <c r="U6792" t="str">
        <f t="shared" si="1244"/>
        <v>PA_Merce_2018p~Rep-precinct committeewoman farrell 1-1,(vote for not more than  1)</v>
      </c>
      <c r="V6792" s="40"/>
      <c r="AF6792" s="274"/>
      <c r="AT6792" s="20"/>
      <c r="AU6792" s="29"/>
      <c r="AV6792"/>
      <c r="AW6792"/>
    </row>
    <row r="6793" spans="1:49">
      <c r="A6793" s="30" t="s">
        <v>3042</v>
      </c>
      <c r="B6793" s="55" t="str">
        <f t="shared" si="1236"/>
        <v>PA_Merce_2018p</v>
      </c>
      <c r="D6793" s="55" t="str">
        <f t="shared" si="1237"/>
        <v>Rep-precinct committeewoman farrell 1-2,(vote for not more than  1)</v>
      </c>
      <c r="E6793" s="55" t="s">
        <v>2574</v>
      </c>
      <c r="G6793" s="60">
        <v>0</v>
      </c>
      <c r="H6793"/>
      <c r="J6793" s="7"/>
      <c r="K6793" s="2"/>
      <c r="O6793">
        <f t="shared" si="1238"/>
        <v>0</v>
      </c>
      <c r="P6793" s="57">
        <f t="shared" si="1239"/>
        <v>1</v>
      </c>
      <c r="Q6793" s="267">
        <f t="shared" si="1240"/>
        <v>0</v>
      </c>
      <c r="R6793" s="23">
        <f t="shared" si="1241"/>
        <v>1</v>
      </c>
      <c r="S6793" s="23">
        <f t="shared" si="1242"/>
        <v>0</v>
      </c>
      <c r="T6793" s="23" t="str">
        <f t="shared" si="1243"/>
        <v/>
      </c>
      <c r="U6793" t="str">
        <f t="shared" si="1244"/>
        <v>PA_Merce_2018p~Rep-precinct committeewoman farrell 1-2,(vote for not more than  1)</v>
      </c>
      <c r="V6793" s="40"/>
      <c r="AF6793" s="274"/>
      <c r="AT6793" s="20"/>
      <c r="AU6793" s="29"/>
      <c r="AV6793"/>
      <c r="AW6793"/>
    </row>
    <row r="6794" spans="1:49">
      <c r="A6794" s="30" t="s">
        <v>3043</v>
      </c>
      <c r="B6794" s="55" t="str">
        <f t="shared" si="1236"/>
        <v>PA_Merce_2018p</v>
      </c>
      <c r="D6794" s="55" t="str">
        <f t="shared" si="1237"/>
        <v>Rep-precinct committeewoman farrell 1-3,(vote for not more than  1)</v>
      </c>
      <c r="E6794" s="55" t="s">
        <v>2574</v>
      </c>
      <c r="G6794" s="60">
        <v>0</v>
      </c>
      <c r="H6794"/>
      <c r="J6794" s="7"/>
      <c r="K6794" s="2"/>
      <c r="O6794">
        <f t="shared" si="1238"/>
        <v>0</v>
      </c>
      <c r="P6794" s="57">
        <f t="shared" si="1239"/>
        <v>1</v>
      </c>
      <c r="Q6794" s="267">
        <f t="shared" si="1240"/>
        <v>0</v>
      </c>
      <c r="R6794" s="23">
        <f t="shared" si="1241"/>
        <v>1</v>
      </c>
      <c r="S6794" s="23">
        <f t="shared" si="1242"/>
        <v>0</v>
      </c>
      <c r="T6794" s="23" t="str">
        <f t="shared" si="1243"/>
        <v/>
      </c>
      <c r="U6794" t="str">
        <f t="shared" si="1244"/>
        <v>PA_Merce_2018p~Rep-precinct committeewoman farrell 1-3,(vote for not more than  1)</v>
      </c>
      <c r="V6794" s="40"/>
      <c r="AF6794" s="274"/>
      <c r="AT6794" s="20"/>
      <c r="AU6794" s="29"/>
      <c r="AV6794"/>
      <c r="AW6794"/>
    </row>
    <row r="6795" spans="1:49">
      <c r="A6795" s="30" t="s">
        <v>3044</v>
      </c>
      <c r="B6795" s="55" t="str">
        <f t="shared" si="1236"/>
        <v>PA_Merce_2018p</v>
      </c>
      <c r="D6795" s="55" t="str">
        <f t="shared" si="1237"/>
        <v>Rep-precinct committeewoman farrell 2-1,(vote for not more than  1)</v>
      </c>
      <c r="E6795" s="55" t="s">
        <v>2574</v>
      </c>
      <c r="G6795" s="60">
        <v>0</v>
      </c>
      <c r="H6795"/>
      <c r="J6795" s="7"/>
      <c r="K6795" s="2"/>
      <c r="O6795">
        <f t="shared" si="1238"/>
        <v>0</v>
      </c>
      <c r="P6795" s="57">
        <f t="shared" si="1239"/>
        <v>1</v>
      </c>
      <c r="Q6795" s="267">
        <f t="shared" si="1240"/>
        <v>0</v>
      </c>
      <c r="R6795" s="23">
        <f t="shared" si="1241"/>
        <v>1</v>
      </c>
      <c r="S6795" s="23">
        <f t="shared" si="1242"/>
        <v>0</v>
      </c>
      <c r="T6795" s="23" t="str">
        <f t="shared" si="1243"/>
        <v/>
      </c>
      <c r="U6795" t="str">
        <f t="shared" si="1244"/>
        <v>PA_Merce_2018p~Rep-precinct committeewoman farrell 2-1,(vote for not more than  1)</v>
      </c>
      <c r="V6795" s="40"/>
      <c r="AF6795" s="274"/>
      <c r="AT6795" s="20"/>
      <c r="AU6795" s="29"/>
      <c r="AV6795"/>
      <c r="AW6795"/>
    </row>
    <row r="6796" spans="1:49">
      <c r="A6796" s="30" t="s">
        <v>3045</v>
      </c>
      <c r="B6796" s="55" t="str">
        <f t="shared" si="1236"/>
        <v>PA_Merce_2018p</v>
      </c>
      <c r="D6796" s="55" t="str">
        <f t="shared" si="1237"/>
        <v>Rep-precinct committeewoman farrell 2-2,(vote for not more than  1)</v>
      </c>
      <c r="E6796" s="55" t="s">
        <v>2574</v>
      </c>
      <c r="G6796" s="60">
        <v>1</v>
      </c>
      <c r="H6796"/>
      <c r="J6796" s="7"/>
      <c r="K6796" s="2"/>
      <c r="O6796">
        <f t="shared" si="1238"/>
        <v>0</v>
      </c>
      <c r="P6796" s="57">
        <f t="shared" si="1239"/>
        <v>1</v>
      </c>
      <c r="Q6796" s="267">
        <f t="shared" si="1240"/>
        <v>1</v>
      </c>
      <c r="R6796" s="23">
        <f t="shared" si="1241"/>
        <v>1</v>
      </c>
      <c r="S6796" s="23">
        <f t="shared" si="1242"/>
        <v>0</v>
      </c>
      <c r="T6796" s="23" t="str">
        <f t="shared" si="1243"/>
        <v/>
      </c>
      <c r="U6796" t="str">
        <f t="shared" si="1244"/>
        <v>PA_Merce_2018p~Rep-precinct committeewoman farrell 2-2,(vote for not more than  1)</v>
      </c>
      <c r="V6796" s="40"/>
      <c r="AF6796" s="274"/>
      <c r="AT6796" s="20"/>
      <c r="AU6796" s="29"/>
      <c r="AV6796"/>
      <c r="AW6796"/>
    </row>
    <row r="6797" spans="1:49">
      <c r="A6797" s="30" t="s">
        <v>3046</v>
      </c>
      <c r="B6797" s="55" t="str">
        <f t="shared" si="1236"/>
        <v>PA_Merce_2018p</v>
      </c>
      <c r="D6797" s="55" t="str">
        <f t="shared" si="1237"/>
        <v>Rep-precinct committeewoman farrell 2-3,(vote for not more than  1)</v>
      </c>
      <c r="E6797" s="55" t="s">
        <v>2574</v>
      </c>
      <c r="G6797" s="60">
        <v>0</v>
      </c>
      <c r="H6797"/>
      <c r="J6797" s="7"/>
      <c r="K6797" s="2"/>
      <c r="O6797">
        <f t="shared" si="1238"/>
        <v>0</v>
      </c>
      <c r="P6797" s="57">
        <f t="shared" si="1239"/>
        <v>1</v>
      </c>
      <c r="Q6797" s="267">
        <f t="shared" si="1240"/>
        <v>0</v>
      </c>
      <c r="R6797" s="23">
        <f t="shared" si="1241"/>
        <v>1</v>
      </c>
      <c r="S6797" s="23">
        <f t="shared" si="1242"/>
        <v>0</v>
      </c>
      <c r="T6797" s="23" t="str">
        <f t="shared" si="1243"/>
        <v/>
      </c>
      <c r="U6797" t="str">
        <f t="shared" si="1244"/>
        <v>PA_Merce_2018p~Rep-precinct committeewoman farrell 2-3,(vote for not more than  1)</v>
      </c>
      <c r="V6797" s="40"/>
      <c r="AF6797" s="274"/>
      <c r="AT6797" s="20"/>
      <c r="AU6797" s="29"/>
      <c r="AV6797"/>
      <c r="AW6797"/>
    </row>
    <row r="6798" spans="1:49">
      <c r="A6798" s="30" t="s">
        <v>3047</v>
      </c>
      <c r="B6798" s="55" t="str">
        <f t="shared" si="1236"/>
        <v>PA_Merce_2018p</v>
      </c>
      <c r="D6798" s="55" t="str">
        <f t="shared" si="1237"/>
        <v>Rep-precinct committeewoman farrell 2-4,(vote for not more than  1)</v>
      </c>
      <c r="E6798" s="55" t="s">
        <v>2574</v>
      </c>
      <c r="G6798" s="60">
        <v>0</v>
      </c>
      <c r="H6798"/>
      <c r="J6798" s="7"/>
      <c r="K6798" s="2"/>
      <c r="O6798">
        <f t="shared" si="1238"/>
        <v>0</v>
      </c>
      <c r="P6798" s="57">
        <f t="shared" si="1239"/>
        <v>1</v>
      </c>
      <c r="Q6798" s="267">
        <f t="shared" si="1240"/>
        <v>0</v>
      </c>
      <c r="R6798" s="23">
        <f t="shared" si="1241"/>
        <v>1</v>
      </c>
      <c r="S6798" s="23">
        <f t="shared" si="1242"/>
        <v>0</v>
      </c>
      <c r="T6798" s="23" t="str">
        <f t="shared" si="1243"/>
        <v/>
      </c>
      <c r="U6798" t="str">
        <f t="shared" si="1244"/>
        <v>PA_Merce_2018p~Rep-precinct committeewoman farrell 2-4,(vote for not more than  1)</v>
      </c>
      <c r="V6798" s="40"/>
      <c r="AF6798" s="274"/>
      <c r="AT6798" s="20"/>
      <c r="AU6798" s="29"/>
      <c r="AV6798"/>
      <c r="AW6798"/>
    </row>
    <row r="6799" spans="1:49">
      <c r="A6799" s="30" t="s">
        <v>3048</v>
      </c>
      <c r="B6799" s="55" t="str">
        <f t="shared" si="1236"/>
        <v>PA_Merce_2018p</v>
      </c>
      <c r="D6799" s="55" t="str">
        <f t="shared" si="1237"/>
        <v>Rep-precinct committeewoman findley,(vote for not more than  1)</v>
      </c>
      <c r="E6799" s="55" t="s">
        <v>3049</v>
      </c>
      <c r="G6799" s="60">
        <v>120</v>
      </c>
      <c r="H6799"/>
      <c r="J6799" s="7"/>
      <c r="K6799" s="2"/>
      <c r="O6799">
        <f t="shared" si="1238"/>
        <v>1</v>
      </c>
      <c r="P6799" s="57">
        <f t="shared" si="1239"/>
        <v>1</v>
      </c>
      <c r="Q6799" s="267">
        <f t="shared" si="1240"/>
        <v>120</v>
      </c>
      <c r="R6799" s="23">
        <f t="shared" si="1241"/>
        <v>120</v>
      </c>
      <c r="S6799" s="23">
        <f t="shared" si="1242"/>
        <v>0</v>
      </c>
      <c r="T6799" s="23" t="str">
        <f t="shared" si="1243"/>
        <v/>
      </c>
      <c r="U6799" t="str">
        <f t="shared" si="1244"/>
        <v>PA_Merce_2018p~Rep-precinct committeewoman findley,(vote for not more than  1)</v>
      </c>
      <c r="V6799" s="40"/>
      <c r="AF6799" s="274"/>
      <c r="AT6799" s="20"/>
      <c r="AU6799" s="29"/>
      <c r="AV6799"/>
      <c r="AW6799"/>
    </row>
    <row r="6800" spans="1:49">
      <c r="A6800" s="30" t="s">
        <v>3048</v>
      </c>
      <c r="B6800" s="55" t="str">
        <f t="shared" si="1236"/>
        <v>PA_Merce_2018p</v>
      </c>
      <c r="D6800" s="55" t="str">
        <f t="shared" si="1237"/>
        <v>Rep-precinct committeewoman findley,(vote for not more than  1)</v>
      </c>
      <c r="E6800" s="55" t="s">
        <v>2574</v>
      </c>
      <c r="G6800" s="60">
        <v>0</v>
      </c>
      <c r="H6800"/>
      <c r="J6800" s="7"/>
      <c r="K6800" s="2"/>
      <c r="O6800">
        <f t="shared" si="1238"/>
        <v>-1</v>
      </c>
      <c r="P6800" s="57">
        <f t="shared" si="1239"/>
        <v>1</v>
      </c>
      <c r="Q6800" s="267">
        <f t="shared" si="1240"/>
        <v>0</v>
      </c>
      <c r="R6800" s="23">
        <f t="shared" si="1241"/>
        <v>1</v>
      </c>
      <c r="S6800" s="23">
        <f t="shared" si="1242"/>
        <v>0</v>
      </c>
      <c r="T6800" s="23" t="str">
        <f t="shared" si="1243"/>
        <v/>
      </c>
      <c r="U6800" t="str">
        <f t="shared" si="1244"/>
        <v/>
      </c>
      <c r="V6800" s="40"/>
      <c r="AF6800" s="274"/>
      <c r="AT6800" s="20"/>
      <c r="AU6800" s="29"/>
      <c r="AV6800"/>
      <c r="AW6800"/>
    </row>
    <row r="6801" spans="1:49">
      <c r="A6801" s="30" t="s">
        <v>3050</v>
      </c>
      <c r="B6801" s="55" t="str">
        <f t="shared" si="1236"/>
        <v>PA_Merce_2018p</v>
      </c>
      <c r="D6801" s="55" t="str">
        <f t="shared" si="1237"/>
        <v>Rep-precinct committeewoman fredonia,(vote for not more than  1)</v>
      </c>
      <c r="E6801" s="55" t="s">
        <v>2574</v>
      </c>
      <c r="G6801" s="60">
        <v>0</v>
      </c>
      <c r="H6801"/>
      <c r="J6801" s="7"/>
      <c r="K6801" s="2"/>
      <c r="O6801">
        <f t="shared" si="1238"/>
        <v>0</v>
      </c>
      <c r="P6801" s="57">
        <f t="shared" si="1239"/>
        <v>1</v>
      </c>
      <c r="Q6801" s="267">
        <f t="shared" si="1240"/>
        <v>0</v>
      </c>
      <c r="R6801" s="23">
        <f t="shared" si="1241"/>
        <v>1</v>
      </c>
      <c r="S6801" s="23">
        <f t="shared" si="1242"/>
        <v>0</v>
      </c>
      <c r="T6801" s="23" t="str">
        <f t="shared" si="1243"/>
        <v/>
      </c>
      <c r="U6801" t="str">
        <f t="shared" si="1244"/>
        <v>PA_Merce_2018p~Rep-precinct committeewoman fredonia,(vote for not more than  1)</v>
      </c>
      <c r="V6801" s="40"/>
      <c r="AF6801" s="274"/>
      <c r="AT6801" s="20"/>
      <c r="AU6801" s="29"/>
      <c r="AV6801"/>
      <c r="AW6801"/>
    </row>
    <row r="6802" spans="1:49">
      <c r="A6802" s="30" t="s">
        <v>3051</v>
      </c>
      <c r="B6802" s="55" t="str">
        <f t="shared" si="1236"/>
        <v>PA_Merce_2018p</v>
      </c>
      <c r="D6802" s="55" t="str">
        <f t="shared" si="1237"/>
        <v>Rep-precinct committeewoman french creek,(vote for not more than  1)</v>
      </c>
      <c r="E6802" s="55" t="s">
        <v>2574</v>
      </c>
      <c r="G6802" s="60">
        <v>4</v>
      </c>
      <c r="H6802"/>
      <c r="J6802" s="7"/>
      <c r="K6802" s="2"/>
      <c r="O6802">
        <f t="shared" si="1238"/>
        <v>0</v>
      </c>
      <c r="P6802" s="57">
        <f t="shared" si="1239"/>
        <v>1</v>
      </c>
      <c r="Q6802" s="267">
        <f t="shared" si="1240"/>
        <v>4</v>
      </c>
      <c r="R6802" s="23">
        <f t="shared" si="1241"/>
        <v>1</v>
      </c>
      <c r="S6802" s="23">
        <f t="shared" si="1242"/>
        <v>0</v>
      </c>
      <c r="T6802" s="23" t="str">
        <f t="shared" si="1243"/>
        <v/>
      </c>
      <c r="U6802" t="str">
        <f t="shared" si="1244"/>
        <v>PA_Merce_2018p~Rep-precinct committeewoman french creek,(vote for not more than  1)</v>
      </c>
      <c r="V6802" s="40"/>
      <c r="AF6802" s="274"/>
      <c r="AT6802" s="20"/>
      <c r="AU6802" s="29"/>
      <c r="AV6802"/>
      <c r="AW6802"/>
    </row>
    <row r="6803" spans="1:49">
      <c r="A6803" s="30" t="s">
        <v>3052</v>
      </c>
      <c r="B6803" s="55" t="str">
        <f t="shared" si="1236"/>
        <v>PA_Merce_2018p</v>
      </c>
      <c r="D6803" s="55" t="str">
        <f t="shared" si="1237"/>
        <v>Rep-precinct committeewoman greene,(vote for not more than  1)</v>
      </c>
      <c r="E6803" s="55" t="s">
        <v>2574</v>
      </c>
      <c r="G6803" s="60">
        <v>0</v>
      </c>
      <c r="H6803"/>
      <c r="J6803" s="7"/>
      <c r="K6803" s="2"/>
      <c r="O6803">
        <f t="shared" si="1238"/>
        <v>0</v>
      </c>
      <c r="P6803" s="57">
        <f t="shared" si="1239"/>
        <v>1</v>
      </c>
      <c r="Q6803" s="267">
        <f t="shared" si="1240"/>
        <v>0</v>
      </c>
      <c r="R6803" s="23">
        <f t="shared" si="1241"/>
        <v>1</v>
      </c>
      <c r="S6803" s="23">
        <f t="shared" si="1242"/>
        <v>0</v>
      </c>
      <c r="T6803" s="23" t="str">
        <f t="shared" si="1243"/>
        <v/>
      </c>
      <c r="U6803" t="str">
        <f t="shared" si="1244"/>
        <v>PA_Merce_2018p~Rep-precinct committeewoman greene,(vote for not more than  1)</v>
      </c>
      <c r="V6803" s="40"/>
      <c r="AF6803" s="274"/>
      <c r="AT6803" s="20"/>
      <c r="AU6803" s="29"/>
      <c r="AV6803"/>
      <c r="AW6803"/>
    </row>
    <row r="6804" spans="1:49">
      <c r="A6804" s="30" t="s">
        <v>3053</v>
      </c>
      <c r="B6804" s="55" t="str">
        <f t="shared" si="1236"/>
        <v>PA_Merce_2018p</v>
      </c>
      <c r="D6804" s="55" t="str">
        <f t="shared" si="1237"/>
        <v>Rep-precinct committeewoman greenville 1,(vote for not more than  1)</v>
      </c>
      <c r="E6804" s="55" t="s">
        <v>2574</v>
      </c>
      <c r="G6804" s="60">
        <v>1</v>
      </c>
      <c r="H6804"/>
      <c r="J6804" s="7"/>
      <c r="K6804" s="2"/>
      <c r="O6804">
        <f t="shared" si="1238"/>
        <v>0</v>
      </c>
      <c r="P6804" s="57">
        <f t="shared" si="1239"/>
        <v>1</v>
      </c>
      <c r="Q6804" s="267">
        <f t="shared" si="1240"/>
        <v>1</v>
      </c>
      <c r="R6804" s="23">
        <f t="shared" si="1241"/>
        <v>1</v>
      </c>
      <c r="S6804" s="23">
        <f t="shared" si="1242"/>
        <v>0</v>
      </c>
      <c r="T6804" s="23" t="str">
        <f t="shared" si="1243"/>
        <v/>
      </c>
      <c r="U6804" t="str">
        <f t="shared" si="1244"/>
        <v>PA_Merce_2018p~Rep-precinct committeewoman greenville 1,(vote for not more than  1)</v>
      </c>
      <c r="V6804" s="40"/>
      <c r="AF6804" s="274"/>
      <c r="AT6804" s="20"/>
      <c r="AU6804" s="29"/>
      <c r="AV6804"/>
      <c r="AW6804"/>
    </row>
    <row r="6805" spans="1:49">
      <c r="A6805" s="30" t="s">
        <v>3054</v>
      </c>
      <c r="B6805" s="55" t="str">
        <f t="shared" si="1236"/>
        <v>PA_Merce_2018p</v>
      </c>
      <c r="D6805" s="55" t="str">
        <f t="shared" si="1237"/>
        <v>Rep-precinct committeewoman greenville 2,(vote for not more than  1)</v>
      </c>
      <c r="E6805" s="55" t="s">
        <v>2574</v>
      </c>
      <c r="G6805" s="60">
        <v>5</v>
      </c>
      <c r="H6805"/>
      <c r="J6805" s="7"/>
      <c r="K6805" s="2"/>
      <c r="O6805">
        <f t="shared" si="1238"/>
        <v>0</v>
      </c>
      <c r="P6805" s="57">
        <f t="shared" si="1239"/>
        <v>1</v>
      </c>
      <c r="Q6805" s="267">
        <f t="shared" si="1240"/>
        <v>5</v>
      </c>
      <c r="R6805" s="23">
        <f t="shared" si="1241"/>
        <v>1</v>
      </c>
      <c r="S6805" s="23">
        <f t="shared" si="1242"/>
        <v>0</v>
      </c>
      <c r="T6805" s="23" t="str">
        <f t="shared" si="1243"/>
        <v/>
      </c>
      <c r="U6805" t="str">
        <f t="shared" si="1244"/>
        <v>PA_Merce_2018p~Rep-precinct committeewoman greenville 2,(vote for not more than  1)</v>
      </c>
      <c r="V6805" s="40"/>
      <c r="AF6805" s="274"/>
      <c r="AT6805" s="20"/>
      <c r="AU6805" s="29"/>
      <c r="AV6805"/>
      <c r="AW6805"/>
    </row>
    <row r="6806" spans="1:49">
      <c r="A6806" s="30" t="s">
        <v>3055</v>
      </c>
      <c r="B6806" s="55" t="str">
        <f t="shared" si="1236"/>
        <v>PA_Merce_2018p</v>
      </c>
      <c r="D6806" s="55" t="str">
        <f t="shared" si="1237"/>
        <v>Rep-precinct committeewoman greenville 3,(vote for not more than  1)</v>
      </c>
      <c r="E6806" s="55" t="s">
        <v>2574</v>
      </c>
      <c r="G6806" s="60">
        <v>3</v>
      </c>
      <c r="H6806"/>
      <c r="J6806" s="7"/>
      <c r="K6806" s="2"/>
      <c r="O6806">
        <f t="shared" si="1238"/>
        <v>0</v>
      </c>
      <c r="P6806" s="57">
        <f t="shared" si="1239"/>
        <v>1</v>
      </c>
      <c r="Q6806" s="267">
        <f t="shared" si="1240"/>
        <v>3</v>
      </c>
      <c r="R6806" s="23">
        <f t="shared" si="1241"/>
        <v>1</v>
      </c>
      <c r="S6806" s="23">
        <f t="shared" si="1242"/>
        <v>0</v>
      </c>
      <c r="T6806" s="23" t="str">
        <f t="shared" si="1243"/>
        <v/>
      </c>
      <c r="U6806" t="str">
        <f t="shared" si="1244"/>
        <v>PA_Merce_2018p~Rep-precinct committeewoman greenville 3,(vote for not more than  1)</v>
      </c>
      <c r="V6806" s="40"/>
      <c r="AF6806" s="274"/>
      <c r="AT6806" s="20"/>
      <c r="AU6806" s="29"/>
      <c r="AV6806"/>
      <c r="AW6806"/>
    </row>
    <row r="6807" spans="1:49">
      <c r="A6807" s="30" t="s">
        <v>3056</v>
      </c>
      <c r="B6807" s="55" t="str">
        <f t="shared" si="1236"/>
        <v>PA_Merce_2018p</v>
      </c>
      <c r="D6807" s="55" t="str">
        <f t="shared" si="1237"/>
        <v>Rep-precinct committeewoman greenville 4,(vote for not more than  1)</v>
      </c>
      <c r="E6807" s="55" t="s">
        <v>2574</v>
      </c>
      <c r="G6807" s="60">
        <v>3</v>
      </c>
      <c r="H6807"/>
      <c r="J6807" s="7"/>
      <c r="K6807" s="2"/>
      <c r="O6807">
        <f t="shared" si="1238"/>
        <v>0</v>
      </c>
      <c r="P6807" s="57">
        <f t="shared" si="1239"/>
        <v>1</v>
      </c>
      <c r="Q6807" s="267">
        <f t="shared" si="1240"/>
        <v>3</v>
      </c>
      <c r="R6807" s="23">
        <f t="shared" si="1241"/>
        <v>1</v>
      </c>
      <c r="S6807" s="23">
        <f t="shared" si="1242"/>
        <v>0</v>
      </c>
      <c r="T6807" s="23" t="str">
        <f t="shared" si="1243"/>
        <v/>
      </c>
      <c r="U6807" t="str">
        <f t="shared" si="1244"/>
        <v>PA_Merce_2018p~Rep-precinct committeewoman greenville 4,(vote for not more than  1)</v>
      </c>
      <c r="V6807" s="40"/>
      <c r="AF6807" s="274"/>
      <c r="AT6807" s="20"/>
      <c r="AU6807" s="29"/>
      <c r="AV6807"/>
      <c r="AW6807"/>
    </row>
    <row r="6808" spans="1:49">
      <c r="A6808" s="30" t="s">
        <v>3057</v>
      </c>
      <c r="B6808" s="55" t="str">
        <f t="shared" si="1236"/>
        <v>PA_Merce_2018p</v>
      </c>
      <c r="D6808" s="55" t="str">
        <f t="shared" si="1237"/>
        <v>Rep-precinct committeewoman grove city 1,(vote for not more than  1)</v>
      </c>
      <c r="E6808" s="55" t="s">
        <v>2574</v>
      </c>
      <c r="G6808" s="60">
        <v>1</v>
      </c>
      <c r="H6808"/>
      <c r="J6808" s="7"/>
      <c r="K6808" s="2"/>
      <c r="O6808">
        <f t="shared" si="1238"/>
        <v>0</v>
      </c>
      <c r="P6808" s="57">
        <f t="shared" si="1239"/>
        <v>1</v>
      </c>
      <c r="Q6808" s="267">
        <f t="shared" si="1240"/>
        <v>1</v>
      </c>
      <c r="R6808" s="23">
        <f t="shared" si="1241"/>
        <v>1</v>
      </c>
      <c r="S6808" s="23">
        <f t="shared" si="1242"/>
        <v>0</v>
      </c>
      <c r="T6808" s="23" t="str">
        <f t="shared" si="1243"/>
        <v/>
      </c>
      <c r="U6808" t="str">
        <f t="shared" si="1244"/>
        <v>PA_Merce_2018p~Rep-precinct committeewoman grove city 1,(vote for not more than  1)</v>
      </c>
      <c r="V6808" s="40"/>
      <c r="AF6808" s="274"/>
      <c r="AT6808" s="20"/>
      <c r="AU6808" s="29"/>
      <c r="AV6808"/>
      <c r="AW6808"/>
    </row>
    <row r="6809" spans="1:49">
      <c r="A6809" s="30" t="s">
        <v>3058</v>
      </c>
      <c r="B6809" s="55" t="str">
        <f t="shared" si="1236"/>
        <v>PA_Merce_2018p</v>
      </c>
      <c r="D6809" s="55" t="str">
        <f t="shared" si="1237"/>
        <v>Rep-precinct committeewoman grove city 2,(vote for not more than  1)</v>
      </c>
      <c r="E6809" s="55" t="s">
        <v>2574</v>
      </c>
      <c r="G6809" s="60">
        <v>4</v>
      </c>
      <c r="H6809"/>
      <c r="J6809" s="7"/>
      <c r="K6809" s="2"/>
      <c r="O6809">
        <f t="shared" si="1238"/>
        <v>0</v>
      </c>
      <c r="P6809" s="57">
        <f t="shared" si="1239"/>
        <v>1</v>
      </c>
      <c r="Q6809" s="267">
        <f t="shared" si="1240"/>
        <v>4</v>
      </c>
      <c r="R6809" s="23">
        <f t="shared" si="1241"/>
        <v>1</v>
      </c>
      <c r="S6809" s="23">
        <f t="shared" si="1242"/>
        <v>0</v>
      </c>
      <c r="T6809" s="23" t="str">
        <f t="shared" si="1243"/>
        <v/>
      </c>
      <c r="U6809" t="str">
        <f t="shared" si="1244"/>
        <v>PA_Merce_2018p~Rep-precinct committeewoman grove city 2,(vote for not more than  1)</v>
      </c>
      <c r="V6809" s="40"/>
      <c r="AF6809" s="274"/>
      <c r="AT6809" s="20"/>
      <c r="AU6809" s="29"/>
      <c r="AV6809"/>
      <c r="AW6809"/>
    </row>
    <row r="6810" spans="1:49">
      <c r="A6810" s="30" t="s">
        <v>3059</v>
      </c>
      <c r="B6810" s="55" t="str">
        <f t="shared" si="1236"/>
        <v>PA_Merce_2018p</v>
      </c>
      <c r="D6810" s="55" t="str">
        <f t="shared" si="1237"/>
        <v>Rep-precinct committeewoman grove city 3,(vote for not more than  1)</v>
      </c>
      <c r="E6810" s="55" t="s">
        <v>2574</v>
      </c>
      <c r="G6810" s="60">
        <v>1</v>
      </c>
      <c r="H6810"/>
      <c r="J6810" s="7"/>
      <c r="K6810" s="2"/>
      <c r="O6810">
        <f t="shared" si="1238"/>
        <v>0</v>
      </c>
      <c r="P6810" s="57">
        <f t="shared" si="1239"/>
        <v>1</v>
      </c>
      <c r="Q6810" s="267">
        <f t="shared" si="1240"/>
        <v>1</v>
      </c>
      <c r="R6810" s="23">
        <f t="shared" si="1241"/>
        <v>1</v>
      </c>
      <c r="S6810" s="23">
        <f t="shared" si="1242"/>
        <v>0</v>
      </c>
      <c r="T6810" s="23" t="str">
        <f t="shared" si="1243"/>
        <v/>
      </c>
      <c r="U6810" t="str">
        <f t="shared" si="1244"/>
        <v>PA_Merce_2018p~Rep-precinct committeewoman grove city 3,(vote for not more than  1)</v>
      </c>
      <c r="V6810" s="40"/>
      <c r="AF6810" s="274"/>
      <c r="AT6810" s="20"/>
      <c r="AU6810" s="29"/>
      <c r="AV6810"/>
      <c r="AW6810"/>
    </row>
    <row r="6811" spans="1:49">
      <c r="A6811" s="30" t="s">
        <v>3060</v>
      </c>
      <c r="B6811" s="55" t="str">
        <f t="shared" si="1236"/>
        <v>PA_Merce_2018p</v>
      </c>
      <c r="D6811" s="55" t="str">
        <f t="shared" si="1237"/>
        <v>Rep-precinct committeewoman grove city 4,(vote for not more than  1)</v>
      </c>
      <c r="E6811" s="55" t="s">
        <v>3061</v>
      </c>
      <c r="G6811" s="60">
        <v>97</v>
      </c>
      <c r="H6811"/>
      <c r="J6811" s="7"/>
      <c r="K6811" s="2"/>
      <c r="O6811">
        <f t="shared" si="1238"/>
        <v>1</v>
      </c>
      <c r="P6811" s="57">
        <f t="shared" si="1239"/>
        <v>1</v>
      </c>
      <c r="Q6811" s="267">
        <f t="shared" si="1240"/>
        <v>98</v>
      </c>
      <c r="R6811" s="23">
        <f t="shared" si="1241"/>
        <v>97</v>
      </c>
      <c r="S6811" s="23">
        <f t="shared" si="1242"/>
        <v>0</v>
      </c>
      <c r="T6811" s="23" t="str">
        <f t="shared" si="1243"/>
        <v/>
      </c>
      <c r="U6811" t="str">
        <f t="shared" si="1244"/>
        <v>PA_Merce_2018p~Rep-precinct committeewoman grove city 4,(vote for not more than  1)</v>
      </c>
      <c r="V6811" s="40"/>
      <c r="AF6811" s="274"/>
      <c r="AT6811" s="20"/>
      <c r="AU6811" s="29"/>
      <c r="AV6811"/>
      <c r="AW6811"/>
    </row>
    <row r="6812" spans="1:49">
      <c r="A6812" s="30" t="s">
        <v>3060</v>
      </c>
      <c r="B6812" s="55" t="str">
        <f t="shared" si="1236"/>
        <v>PA_Merce_2018p</v>
      </c>
      <c r="D6812" s="55" t="str">
        <f t="shared" si="1237"/>
        <v>Rep-precinct committeewoman grove city 4,(vote for not more than  1)</v>
      </c>
      <c r="E6812" s="55" t="s">
        <v>2574</v>
      </c>
      <c r="G6812" s="60">
        <v>1</v>
      </c>
      <c r="H6812"/>
      <c r="J6812" s="7"/>
      <c r="K6812" s="2"/>
      <c r="O6812">
        <f t="shared" si="1238"/>
        <v>-1</v>
      </c>
      <c r="P6812" s="57">
        <f t="shared" si="1239"/>
        <v>1</v>
      </c>
      <c r="Q6812" s="267">
        <f t="shared" si="1240"/>
        <v>1</v>
      </c>
      <c r="R6812" s="23">
        <f t="shared" si="1241"/>
        <v>1</v>
      </c>
      <c r="S6812" s="23">
        <f t="shared" si="1242"/>
        <v>0</v>
      </c>
      <c r="T6812" s="23" t="str">
        <f t="shared" si="1243"/>
        <v/>
      </c>
      <c r="U6812" t="str">
        <f t="shared" si="1244"/>
        <v/>
      </c>
      <c r="V6812" s="40"/>
      <c r="AF6812" s="274"/>
      <c r="AT6812" s="20"/>
      <c r="AU6812" s="29"/>
      <c r="AV6812"/>
      <c r="AW6812"/>
    </row>
    <row r="6813" spans="1:49">
      <c r="A6813" s="30" t="s">
        <v>3062</v>
      </c>
      <c r="B6813" s="55" t="str">
        <f t="shared" si="1236"/>
        <v>PA_Merce_2018p</v>
      </c>
      <c r="D6813" s="55" t="str">
        <f t="shared" si="1237"/>
        <v>Rep-precinct committeewoman grove city 5,(vote for not more than  1)</v>
      </c>
      <c r="E6813" s="55" t="s">
        <v>2574</v>
      </c>
      <c r="G6813" s="60">
        <v>4</v>
      </c>
      <c r="H6813"/>
      <c r="J6813" s="7"/>
      <c r="K6813" s="2"/>
      <c r="O6813">
        <f t="shared" si="1238"/>
        <v>0</v>
      </c>
      <c r="P6813" s="57">
        <f t="shared" si="1239"/>
        <v>1</v>
      </c>
      <c r="Q6813" s="267">
        <f t="shared" si="1240"/>
        <v>4</v>
      </c>
      <c r="R6813" s="23">
        <f t="shared" si="1241"/>
        <v>1</v>
      </c>
      <c r="S6813" s="23">
        <f t="shared" si="1242"/>
        <v>0</v>
      </c>
      <c r="T6813" s="23" t="str">
        <f t="shared" si="1243"/>
        <v/>
      </c>
      <c r="U6813" t="str">
        <f t="shared" si="1244"/>
        <v>PA_Merce_2018p~Rep-precinct committeewoman grove city 5,(vote for not more than  1)</v>
      </c>
      <c r="V6813" s="40"/>
      <c r="AF6813" s="274"/>
      <c r="AT6813" s="20"/>
      <c r="AU6813" s="29"/>
      <c r="AV6813"/>
      <c r="AW6813"/>
    </row>
    <row r="6814" spans="1:49">
      <c r="A6814" s="30" t="s">
        <v>3063</v>
      </c>
      <c r="B6814" s="55" t="str">
        <f t="shared" si="1236"/>
        <v>PA_Merce_2018p</v>
      </c>
      <c r="D6814" s="55" t="str">
        <f t="shared" si="1237"/>
        <v>Rep-precinct committeewoman hempfield 1,(vote for not more than  1)</v>
      </c>
      <c r="E6814" s="55" t="s">
        <v>2574</v>
      </c>
      <c r="G6814" s="60">
        <v>3</v>
      </c>
      <c r="H6814"/>
      <c r="J6814" s="7"/>
      <c r="K6814" s="2"/>
      <c r="O6814">
        <f t="shared" si="1238"/>
        <v>0</v>
      </c>
      <c r="P6814" s="57">
        <f t="shared" si="1239"/>
        <v>1</v>
      </c>
      <c r="Q6814" s="267">
        <f t="shared" si="1240"/>
        <v>3</v>
      </c>
      <c r="R6814" s="23">
        <f t="shared" si="1241"/>
        <v>1</v>
      </c>
      <c r="S6814" s="23">
        <f t="shared" si="1242"/>
        <v>0</v>
      </c>
      <c r="T6814" s="23" t="str">
        <f t="shared" si="1243"/>
        <v/>
      </c>
      <c r="U6814" t="str">
        <f t="shared" si="1244"/>
        <v>PA_Merce_2018p~Rep-precinct committeewoman hempfield 1,(vote for not more than  1)</v>
      </c>
      <c r="V6814" s="40"/>
      <c r="AF6814" s="274"/>
      <c r="AT6814" s="20"/>
      <c r="AU6814" s="29"/>
      <c r="AV6814"/>
      <c r="AW6814"/>
    </row>
    <row r="6815" spans="1:49">
      <c r="A6815" s="30" t="s">
        <v>3064</v>
      </c>
      <c r="B6815" s="55" t="str">
        <f t="shared" si="1236"/>
        <v>PA_Merce_2018p</v>
      </c>
      <c r="D6815" s="55" t="str">
        <f t="shared" si="1237"/>
        <v>Rep-precinct committeewoman hempfield 2,(vote for not more than  1)</v>
      </c>
      <c r="E6815" s="55" t="s">
        <v>2574</v>
      </c>
      <c r="G6815" s="60">
        <v>2</v>
      </c>
      <c r="H6815"/>
      <c r="J6815" s="7"/>
      <c r="K6815" s="2"/>
      <c r="O6815">
        <f t="shared" si="1238"/>
        <v>0</v>
      </c>
      <c r="P6815" s="57">
        <f t="shared" si="1239"/>
        <v>1</v>
      </c>
      <c r="Q6815" s="267">
        <f t="shared" si="1240"/>
        <v>2</v>
      </c>
      <c r="R6815" s="23">
        <f t="shared" si="1241"/>
        <v>1</v>
      </c>
      <c r="S6815" s="23">
        <f t="shared" si="1242"/>
        <v>0</v>
      </c>
      <c r="T6815" s="23" t="str">
        <f t="shared" si="1243"/>
        <v/>
      </c>
      <c r="U6815" t="str">
        <f t="shared" si="1244"/>
        <v>PA_Merce_2018p~Rep-precinct committeewoman hempfield 2,(vote for not more than  1)</v>
      </c>
      <c r="V6815" s="40"/>
      <c r="AF6815" s="274"/>
      <c r="AT6815" s="20"/>
      <c r="AU6815" s="29"/>
      <c r="AV6815"/>
      <c r="AW6815"/>
    </row>
    <row r="6816" spans="1:49">
      <c r="A6816" s="30" t="s">
        <v>3065</v>
      </c>
      <c r="B6816" s="55" t="str">
        <f t="shared" si="1236"/>
        <v>PA_Merce_2018p</v>
      </c>
      <c r="D6816" s="55" t="str">
        <f t="shared" si="1237"/>
        <v>Rep-precinct committeewoman hempfield 3,(vote for not more than  1)</v>
      </c>
      <c r="E6816" s="55" t="s">
        <v>2574</v>
      </c>
      <c r="G6816" s="60">
        <v>2</v>
      </c>
      <c r="H6816"/>
      <c r="J6816" s="7"/>
      <c r="K6816" s="2"/>
      <c r="O6816">
        <f t="shared" si="1238"/>
        <v>0</v>
      </c>
      <c r="P6816" s="57">
        <f t="shared" si="1239"/>
        <v>1</v>
      </c>
      <c r="Q6816" s="267">
        <f t="shared" si="1240"/>
        <v>2</v>
      </c>
      <c r="R6816" s="23">
        <f t="shared" si="1241"/>
        <v>1</v>
      </c>
      <c r="S6816" s="23">
        <f t="shared" si="1242"/>
        <v>0</v>
      </c>
      <c r="T6816" s="23" t="str">
        <f t="shared" si="1243"/>
        <v/>
      </c>
      <c r="U6816" t="str">
        <f t="shared" si="1244"/>
        <v>PA_Merce_2018p~Rep-precinct committeewoman hempfield 3,(vote for not more than  1)</v>
      </c>
      <c r="V6816" s="40"/>
      <c r="AF6816" s="274"/>
      <c r="AT6816" s="20"/>
      <c r="AU6816" s="29"/>
      <c r="AV6816"/>
      <c r="AW6816"/>
    </row>
    <row r="6817" spans="1:49">
      <c r="A6817" s="30" t="s">
        <v>3066</v>
      </c>
      <c r="B6817" s="55" t="str">
        <f t="shared" si="1236"/>
        <v>PA_Merce_2018p</v>
      </c>
      <c r="D6817" s="55" t="str">
        <f t="shared" si="1237"/>
        <v>Rep-precinct committeewoman hermitage ne-1,(vote for not more than  1)</v>
      </c>
      <c r="E6817" s="55" t="s">
        <v>3067</v>
      </c>
      <c r="G6817" s="60">
        <v>97</v>
      </c>
      <c r="H6817"/>
      <c r="J6817" s="7"/>
      <c r="K6817" s="2"/>
      <c r="O6817">
        <f t="shared" si="1238"/>
        <v>1</v>
      </c>
      <c r="P6817" s="57">
        <f t="shared" si="1239"/>
        <v>1</v>
      </c>
      <c r="Q6817" s="267">
        <f t="shared" si="1240"/>
        <v>97</v>
      </c>
      <c r="R6817" s="23">
        <f t="shared" si="1241"/>
        <v>97</v>
      </c>
      <c r="S6817" s="23">
        <f t="shared" si="1242"/>
        <v>0</v>
      </c>
      <c r="T6817" s="23" t="str">
        <f t="shared" si="1243"/>
        <v/>
      </c>
      <c r="U6817" t="str">
        <f t="shared" si="1244"/>
        <v>PA_Merce_2018p~Rep-precinct committeewoman hermitage ne-1,(vote for not more than  1)</v>
      </c>
      <c r="V6817" s="40"/>
      <c r="AF6817" s="274"/>
      <c r="AT6817" s="20"/>
      <c r="AU6817" s="29"/>
      <c r="AV6817"/>
      <c r="AW6817"/>
    </row>
    <row r="6818" spans="1:49">
      <c r="A6818" s="30" t="s">
        <v>3066</v>
      </c>
      <c r="B6818" s="55" t="str">
        <f t="shared" si="1236"/>
        <v>PA_Merce_2018p</v>
      </c>
      <c r="D6818" s="55" t="str">
        <f t="shared" si="1237"/>
        <v>Rep-precinct committeewoman hermitage ne-1,(vote for not more than  1)</v>
      </c>
      <c r="E6818" s="55" t="s">
        <v>2574</v>
      </c>
      <c r="G6818" s="60">
        <v>0</v>
      </c>
      <c r="H6818"/>
      <c r="J6818" s="7"/>
      <c r="K6818" s="2"/>
      <c r="O6818">
        <f t="shared" si="1238"/>
        <v>-1</v>
      </c>
      <c r="P6818" s="57">
        <f t="shared" si="1239"/>
        <v>1</v>
      </c>
      <c r="Q6818" s="267">
        <f t="shared" si="1240"/>
        <v>0</v>
      </c>
      <c r="R6818" s="23">
        <f t="shared" si="1241"/>
        <v>1</v>
      </c>
      <c r="S6818" s="23">
        <f t="shared" si="1242"/>
        <v>0</v>
      </c>
      <c r="T6818" s="23" t="str">
        <f t="shared" si="1243"/>
        <v/>
      </c>
      <c r="U6818" t="str">
        <f t="shared" si="1244"/>
        <v/>
      </c>
      <c r="V6818" s="40"/>
      <c r="AF6818" s="274"/>
      <c r="AT6818" s="20"/>
      <c r="AU6818" s="29"/>
      <c r="AV6818"/>
      <c r="AW6818"/>
    </row>
    <row r="6819" spans="1:49">
      <c r="A6819" s="30" t="s">
        <v>3068</v>
      </c>
      <c r="B6819" s="55" t="str">
        <f t="shared" si="1236"/>
        <v>PA_Merce_2018p</v>
      </c>
      <c r="D6819" s="55" t="str">
        <f t="shared" si="1237"/>
        <v>Rep-precinct committeewoman hermitage ne-2,(vote for not more than  1)</v>
      </c>
      <c r="E6819" s="55" t="s">
        <v>2574</v>
      </c>
      <c r="G6819" s="60">
        <v>3</v>
      </c>
      <c r="H6819"/>
      <c r="J6819" s="7"/>
      <c r="K6819" s="2"/>
      <c r="O6819">
        <f t="shared" si="1238"/>
        <v>0</v>
      </c>
      <c r="P6819" s="57">
        <f t="shared" si="1239"/>
        <v>1</v>
      </c>
      <c r="Q6819" s="267">
        <f t="shared" si="1240"/>
        <v>3</v>
      </c>
      <c r="R6819" s="23">
        <f t="shared" si="1241"/>
        <v>1</v>
      </c>
      <c r="S6819" s="23">
        <f t="shared" si="1242"/>
        <v>0</v>
      </c>
      <c r="T6819" s="23" t="str">
        <f t="shared" si="1243"/>
        <v/>
      </c>
      <c r="U6819" t="str">
        <f t="shared" si="1244"/>
        <v>PA_Merce_2018p~Rep-precinct committeewoman hermitage ne-2,(vote for not more than  1)</v>
      </c>
      <c r="V6819" s="40"/>
      <c r="AF6819" s="274"/>
      <c r="AT6819" s="20"/>
      <c r="AU6819" s="29"/>
      <c r="AV6819"/>
      <c r="AW6819"/>
    </row>
    <row r="6820" spans="1:49">
      <c r="A6820" s="30" t="s">
        <v>3069</v>
      </c>
      <c r="B6820" s="55" t="str">
        <f t="shared" si="1236"/>
        <v>PA_Merce_2018p</v>
      </c>
      <c r="D6820" s="55" t="str">
        <f t="shared" si="1237"/>
        <v>Rep-precinct committeewoman hermitage nw-1,(vote for not more than  1)</v>
      </c>
      <c r="E6820" s="55" t="s">
        <v>2574</v>
      </c>
      <c r="G6820" s="60">
        <v>1</v>
      </c>
      <c r="H6820"/>
      <c r="J6820" s="7"/>
      <c r="K6820" s="2"/>
      <c r="O6820">
        <f t="shared" si="1238"/>
        <v>0</v>
      </c>
      <c r="P6820" s="57">
        <f t="shared" si="1239"/>
        <v>1</v>
      </c>
      <c r="Q6820" s="267">
        <f t="shared" si="1240"/>
        <v>1</v>
      </c>
      <c r="R6820" s="23">
        <f t="shared" si="1241"/>
        <v>1</v>
      </c>
      <c r="S6820" s="23">
        <f t="shared" si="1242"/>
        <v>0</v>
      </c>
      <c r="T6820" s="23" t="str">
        <f t="shared" si="1243"/>
        <v/>
      </c>
      <c r="U6820" t="str">
        <f t="shared" si="1244"/>
        <v>PA_Merce_2018p~Rep-precinct committeewoman hermitage nw-1,(vote for not more than  1)</v>
      </c>
      <c r="V6820" s="40"/>
      <c r="AF6820" s="274"/>
      <c r="AT6820" s="20"/>
      <c r="AU6820" s="29"/>
      <c r="AV6820"/>
      <c r="AW6820"/>
    </row>
    <row r="6821" spans="1:49">
      <c r="A6821" s="30" t="s">
        <v>3070</v>
      </c>
      <c r="B6821" s="55" t="str">
        <f t="shared" si="1236"/>
        <v>PA_Merce_2018p</v>
      </c>
      <c r="D6821" s="55" t="str">
        <f t="shared" si="1237"/>
        <v>Rep-precinct committeewoman hermitage nw-2,(vote for not more than  1)</v>
      </c>
      <c r="E6821" s="55" t="s">
        <v>2574</v>
      </c>
      <c r="G6821" s="60">
        <v>1</v>
      </c>
      <c r="H6821"/>
      <c r="J6821" s="7"/>
      <c r="K6821" s="2"/>
      <c r="O6821">
        <f t="shared" si="1238"/>
        <v>0</v>
      </c>
      <c r="P6821" s="57">
        <f t="shared" si="1239"/>
        <v>1</v>
      </c>
      <c r="Q6821" s="267">
        <f t="shared" si="1240"/>
        <v>1</v>
      </c>
      <c r="R6821" s="23">
        <f t="shared" si="1241"/>
        <v>1</v>
      </c>
      <c r="S6821" s="23">
        <f t="shared" si="1242"/>
        <v>0</v>
      </c>
      <c r="T6821" s="23" t="str">
        <f t="shared" si="1243"/>
        <v/>
      </c>
      <c r="U6821" t="str">
        <f t="shared" si="1244"/>
        <v>PA_Merce_2018p~Rep-precinct committeewoman hermitage nw-2,(vote for not more than  1)</v>
      </c>
      <c r="V6821" s="40"/>
      <c r="AF6821" s="274"/>
      <c r="AT6821" s="20"/>
      <c r="AU6821" s="29"/>
      <c r="AV6821"/>
      <c r="AW6821"/>
    </row>
    <row r="6822" spans="1:49">
      <c r="A6822" s="30" t="s">
        <v>3071</v>
      </c>
      <c r="B6822" s="55" t="str">
        <f t="shared" si="1236"/>
        <v>PA_Merce_2018p</v>
      </c>
      <c r="D6822" s="55" t="str">
        <f t="shared" si="1237"/>
        <v>Rep-precinct committeewoman hermitage nw-3,(vote for not more than  1)</v>
      </c>
      <c r="E6822" s="55" t="s">
        <v>2574</v>
      </c>
      <c r="G6822" s="60">
        <v>1</v>
      </c>
      <c r="H6822"/>
      <c r="J6822" s="7"/>
      <c r="K6822" s="2"/>
      <c r="O6822">
        <f t="shared" si="1238"/>
        <v>0</v>
      </c>
      <c r="P6822" s="57">
        <f t="shared" si="1239"/>
        <v>1</v>
      </c>
      <c r="Q6822" s="267">
        <f t="shared" si="1240"/>
        <v>1</v>
      </c>
      <c r="R6822" s="23">
        <f t="shared" si="1241"/>
        <v>1</v>
      </c>
      <c r="S6822" s="23">
        <f t="shared" si="1242"/>
        <v>0</v>
      </c>
      <c r="T6822" s="23" t="str">
        <f t="shared" si="1243"/>
        <v/>
      </c>
      <c r="U6822" t="str">
        <f t="shared" si="1244"/>
        <v>PA_Merce_2018p~Rep-precinct committeewoman hermitage nw-3,(vote for not more than  1)</v>
      </c>
      <c r="V6822" s="40"/>
      <c r="AF6822" s="274"/>
      <c r="AT6822" s="20"/>
      <c r="AU6822" s="29"/>
      <c r="AV6822"/>
      <c r="AW6822"/>
    </row>
    <row r="6823" spans="1:49">
      <c r="A6823" s="30" t="s">
        <v>3072</v>
      </c>
      <c r="B6823" s="55" t="str">
        <f t="shared" si="1236"/>
        <v>PA_Merce_2018p</v>
      </c>
      <c r="D6823" s="55" t="str">
        <f t="shared" si="1237"/>
        <v>Rep-precinct committeewoman hermitage nw-4,(vote for not more than  1)</v>
      </c>
      <c r="E6823" s="55" t="s">
        <v>3073</v>
      </c>
      <c r="G6823" s="60">
        <v>64</v>
      </c>
      <c r="H6823"/>
      <c r="J6823" s="7"/>
      <c r="K6823" s="2"/>
      <c r="O6823">
        <f t="shared" si="1238"/>
        <v>1</v>
      </c>
      <c r="P6823" s="57">
        <f t="shared" si="1239"/>
        <v>1</v>
      </c>
      <c r="Q6823" s="267">
        <f t="shared" si="1240"/>
        <v>66</v>
      </c>
      <c r="R6823" s="23">
        <f t="shared" si="1241"/>
        <v>64</v>
      </c>
      <c r="S6823" s="23">
        <f t="shared" si="1242"/>
        <v>0</v>
      </c>
      <c r="T6823" s="23" t="str">
        <f t="shared" si="1243"/>
        <v/>
      </c>
      <c r="U6823" t="str">
        <f t="shared" si="1244"/>
        <v>PA_Merce_2018p~Rep-precinct committeewoman hermitage nw-4,(vote for not more than  1)</v>
      </c>
      <c r="V6823" s="40"/>
      <c r="AF6823" s="274"/>
      <c r="AT6823" s="20"/>
      <c r="AU6823" s="29"/>
      <c r="AV6823"/>
      <c r="AW6823"/>
    </row>
    <row r="6824" spans="1:49">
      <c r="A6824" s="30" t="s">
        <v>3072</v>
      </c>
      <c r="B6824" s="55" t="str">
        <f t="shared" ref="B6824:B6887" si="1245">LEFT(A6824,14)</f>
        <v>PA_Merce_2018p</v>
      </c>
      <c r="D6824" s="55" t="str">
        <f t="shared" ref="D6824:D6887" si="1246">MID(A6824,16,99)</f>
        <v>Rep-precinct committeewoman hermitage nw-4,(vote for not more than  1)</v>
      </c>
      <c r="E6824" s="55" t="s">
        <v>2574</v>
      </c>
      <c r="G6824" s="60">
        <v>2</v>
      </c>
      <c r="H6824"/>
      <c r="J6824" s="7"/>
      <c r="K6824" s="2"/>
      <c r="O6824">
        <f t="shared" si="1238"/>
        <v>-1</v>
      </c>
      <c r="P6824" s="57">
        <f t="shared" si="1239"/>
        <v>1</v>
      </c>
      <c r="Q6824" s="267">
        <f t="shared" si="1240"/>
        <v>2</v>
      </c>
      <c r="R6824" s="23">
        <f t="shared" si="1241"/>
        <v>1</v>
      </c>
      <c r="S6824" s="23">
        <f t="shared" si="1242"/>
        <v>0</v>
      </c>
      <c r="T6824" s="23" t="str">
        <f t="shared" si="1243"/>
        <v/>
      </c>
      <c r="U6824" t="str">
        <f t="shared" si="1244"/>
        <v/>
      </c>
      <c r="V6824" s="40"/>
      <c r="AF6824" s="274"/>
      <c r="AT6824" s="20"/>
      <c r="AU6824" s="29"/>
      <c r="AV6824"/>
      <c r="AW6824"/>
    </row>
    <row r="6825" spans="1:49">
      <c r="A6825" s="30" t="s">
        <v>3074</v>
      </c>
      <c r="B6825" s="55" t="str">
        <f t="shared" si="1245"/>
        <v>PA_Merce_2018p</v>
      </c>
      <c r="D6825" s="55" t="str">
        <f t="shared" si="1246"/>
        <v>Rep-precinct committeewoman hermitage se-1,(vote for not more than  1)</v>
      </c>
      <c r="E6825" s="55" t="s">
        <v>2574</v>
      </c>
      <c r="G6825" s="60">
        <v>2</v>
      </c>
      <c r="H6825"/>
      <c r="J6825" s="7"/>
      <c r="K6825" s="2"/>
      <c r="O6825">
        <f t="shared" si="1238"/>
        <v>0</v>
      </c>
      <c r="P6825" s="57">
        <f t="shared" si="1239"/>
        <v>1</v>
      </c>
      <c r="Q6825" s="267">
        <f t="shared" si="1240"/>
        <v>2</v>
      </c>
      <c r="R6825" s="23">
        <f t="shared" si="1241"/>
        <v>1</v>
      </c>
      <c r="S6825" s="23">
        <f t="shared" si="1242"/>
        <v>0</v>
      </c>
      <c r="T6825" s="23" t="str">
        <f t="shared" si="1243"/>
        <v/>
      </c>
      <c r="U6825" t="str">
        <f t="shared" si="1244"/>
        <v>PA_Merce_2018p~Rep-precinct committeewoman hermitage se-1,(vote for not more than  1)</v>
      </c>
      <c r="V6825" s="40"/>
      <c r="AF6825" s="274"/>
      <c r="AT6825" s="20"/>
      <c r="AU6825" s="29"/>
      <c r="AV6825"/>
      <c r="AW6825"/>
    </row>
    <row r="6826" spans="1:49">
      <c r="A6826" s="30" t="s">
        <v>3075</v>
      </c>
      <c r="B6826" s="55" t="str">
        <f t="shared" si="1245"/>
        <v>PA_Merce_2018p</v>
      </c>
      <c r="D6826" s="55" t="str">
        <f t="shared" si="1246"/>
        <v>Rep-precinct committeewoman hermitage se-2,(vote for not more than  1)</v>
      </c>
      <c r="E6826" s="55" t="s">
        <v>2574</v>
      </c>
      <c r="G6826" s="60">
        <v>0</v>
      </c>
      <c r="H6826"/>
      <c r="J6826" s="7"/>
      <c r="K6826" s="2"/>
      <c r="O6826">
        <f t="shared" si="1238"/>
        <v>0</v>
      </c>
      <c r="P6826" s="57">
        <f t="shared" si="1239"/>
        <v>1</v>
      </c>
      <c r="Q6826" s="267">
        <f t="shared" si="1240"/>
        <v>0</v>
      </c>
      <c r="R6826" s="23">
        <f t="shared" si="1241"/>
        <v>1</v>
      </c>
      <c r="S6826" s="23">
        <f t="shared" si="1242"/>
        <v>0</v>
      </c>
      <c r="T6826" s="23" t="str">
        <f t="shared" si="1243"/>
        <v/>
      </c>
      <c r="U6826" t="str">
        <f t="shared" si="1244"/>
        <v>PA_Merce_2018p~Rep-precinct committeewoman hermitage se-2,(vote for not more than  1)</v>
      </c>
      <c r="V6826" s="40"/>
      <c r="AF6826" s="274"/>
      <c r="AT6826" s="20"/>
      <c r="AU6826" s="29"/>
      <c r="AV6826"/>
      <c r="AW6826"/>
    </row>
    <row r="6827" spans="1:49">
      <c r="A6827" s="30" t="s">
        <v>3076</v>
      </c>
      <c r="B6827" s="55" t="str">
        <f t="shared" si="1245"/>
        <v>PA_Merce_2018p</v>
      </c>
      <c r="D6827" s="55" t="str">
        <f t="shared" si="1246"/>
        <v>Rep-precinct committeewoman hermitage se-3,(vote for not more than  1)</v>
      </c>
      <c r="E6827" s="55" t="s">
        <v>2574</v>
      </c>
      <c r="G6827" s="60">
        <v>5</v>
      </c>
      <c r="H6827"/>
      <c r="J6827" s="7"/>
      <c r="K6827" s="2"/>
      <c r="O6827">
        <f t="shared" si="1238"/>
        <v>0</v>
      </c>
      <c r="P6827" s="57">
        <f t="shared" si="1239"/>
        <v>1</v>
      </c>
      <c r="Q6827" s="267">
        <f t="shared" si="1240"/>
        <v>5</v>
      </c>
      <c r="R6827" s="23">
        <f t="shared" si="1241"/>
        <v>1</v>
      </c>
      <c r="S6827" s="23">
        <f t="shared" si="1242"/>
        <v>0</v>
      </c>
      <c r="T6827" s="23" t="str">
        <f t="shared" si="1243"/>
        <v/>
      </c>
      <c r="U6827" t="str">
        <f t="shared" si="1244"/>
        <v>PA_Merce_2018p~Rep-precinct committeewoman hermitage se-3,(vote for not more than  1)</v>
      </c>
      <c r="V6827" s="40"/>
      <c r="AF6827" s="274"/>
      <c r="AT6827" s="20"/>
      <c r="AU6827" s="29"/>
      <c r="AV6827"/>
      <c r="AW6827"/>
    </row>
    <row r="6828" spans="1:49">
      <c r="A6828" s="30" t="s">
        <v>3077</v>
      </c>
      <c r="B6828" s="55" t="str">
        <f t="shared" si="1245"/>
        <v>PA_Merce_2018p</v>
      </c>
      <c r="D6828" s="55" t="str">
        <f t="shared" si="1246"/>
        <v>Rep-precinct committeewoman hermitage se-4,(vote for not more than  1)</v>
      </c>
      <c r="E6828" s="55" t="s">
        <v>2574</v>
      </c>
      <c r="G6828" s="60">
        <v>3</v>
      </c>
      <c r="H6828"/>
      <c r="J6828" s="7"/>
      <c r="K6828" s="2"/>
      <c r="O6828">
        <f t="shared" si="1238"/>
        <v>0</v>
      </c>
      <c r="P6828" s="57">
        <f t="shared" si="1239"/>
        <v>1</v>
      </c>
      <c r="Q6828" s="267">
        <f t="shared" si="1240"/>
        <v>3</v>
      </c>
      <c r="R6828" s="23">
        <f t="shared" si="1241"/>
        <v>1</v>
      </c>
      <c r="S6828" s="23">
        <f t="shared" si="1242"/>
        <v>0</v>
      </c>
      <c r="T6828" s="23" t="str">
        <f t="shared" si="1243"/>
        <v/>
      </c>
      <c r="U6828" t="str">
        <f t="shared" si="1244"/>
        <v>PA_Merce_2018p~Rep-precinct committeewoman hermitage se-4,(vote for not more than  1)</v>
      </c>
      <c r="V6828" s="40"/>
      <c r="AF6828" s="274"/>
      <c r="AT6828" s="20"/>
      <c r="AU6828" s="29"/>
      <c r="AV6828"/>
      <c r="AW6828"/>
    </row>
    <row r="6829" spans="1:49">
      <c r="A6829" s="30" t="s">
        <v>3078</v>
      </c>
      <c r="B6829" s="55" t="str">
        <f t="shared" si="1245"/>
        <v>PA_Merce_2018p</v>
      </c>
      <c r="D6829" s="55" t="str">
        <f t="shared" si="1246"/>
        <v>Rep-precinct committeewoman hermitage sw-1,(vote for not more than  1)</v>
      </c>
      <c r="E6829" s="55" t="s">
        <v>2574</v>
      </c>
      <c r="G6829" s="60">
        <v>0</v>
      </c>
      <c r="H6829"/>
      <c r="J6829" s="7"/>
      <c r="K6829" s="2"/>
      <c r="O6829">
        <f t="shared" si="1238"/>
        <v>0</v>
      </c>
      <c r="P6829" s="57">
        <f t="shared" si="1239"/>
        <v>1</v>
      </c>
      <c r="Q6829" s="267">
        <f t="shared" si="1240"/>
        <v>0</v>
      </c>
      <c r="R6829" s="23">
        <f t="shared" si="1241"/>
        <v>1</v>
      </c>
      <c r="S6829" s="23">
        <f t="shared" si="1242"/>
        <v>0</v>
      </c>
      <c r="T6829" s="23" t="str">
        <f t="shared" si="1243"/>
        <v/>
      </c>
      <c r="U6829" t="str">
        <f t="shared" si="1244"/>
        <v>PA_Merce_2018p~Rep-precinct committeewoman hermitage sw-1,(vote for not more than  1)</v>
      </c>
      <c r="V6829" s="40"/>
      <c r="AF6829" s="274"/>
      <c r="AT6829" s="20"/>
      <c r="AU6829" s="29"/>
      <c r="AV6829"/>
      <c r="AW6829"/>
    </row>
    <row r="6830" spans="1:49">
      <c r="A6830" s="30" t="s">
        <v>3079</v>
      </c>
      <c r="B6830" s="55" t="str">
        <f t="shared" si="1245"/>
        <v>PA_Merce_2018p</v>
      </c>
      <c r="D6830" s="55" t="str">
        <f t="shared" si="1246"/>
        <v>Rep-precinct committeewoman hermitage sw-2,(vote for not more than  1)</v>
      </c>
      <c r="E6830" s="55" t="s">
        <v>2574</v>
      </c>
      <c r="G6830" s="60">
        <v>0</v>
      </c>
      <c r="H6830"/>
      <c r="J6830" s="7"/>
      <c r="K6830" s="2"/>
      <c r="O6830">
        <f t="shared" si="1238"/>
        <v>0</v>
      </c>
      <c r="P6830" s="57">
        <f t="shared" si="1239"/>
        <v>1</v>
      </c>
      <c r="Q6830" s="267">
        <f t="shared" si="1240"/>
        <v>0</v>
      </c>
      <c r="R6830" s="23">
        <f t="shared" si="1241"/>
        <v>1</v>
      </c>
      <c r="S6830" s="23">
        <f t="shared" si="1242"/>
        <v>0</v>
      </c>
      <c r="T6830" s="23" t="str">
        <f t="shared" si="1243"/>
        <v/>
      </c>
      <c r="U6830" t="str">
        <f t="shared" si="1244"/>
        <v>PA_Merce_2018p~Rep-precinct committeewoman hermitage sw-2,(vote for not more than  1)</v>
      </c>
      <c r="V6830" s="40"/>
      <c r="AF6830" s="274"/>
      <c r="AT6830" s="20"/>
      <c r="AU6830" s="29"/>
      <c r="AV6830"/>
      <c r="AW6830"/>
    </row>
    <row r="6831" spans="1:49">
      <c r="A6831" s="30" t="s">
        <v>3080</v>
      </c>
      <c r="B6831" s="55" t="str">
        <f t="shared" si="1245"/>
        <v>PA_Merce_2018p</v>
      </c>
      <c r="D6831" s="55" t="str">
        <f t="shared" si="1246"/>
        <v>Rep-precinct committeewoman hermitage sw-3,(vote for not more than  1)</v>
      </c>
      <c r="E6831" s="55" t="s">
        <v>2574</v>
      </c>
      <c r="G6831" s="60">
        <v>0</v>
      </c>
      <c r="H6831"/>
      <c r="J6831" s="7"/>
      <c r="K6831" s="2"/>
      <c r="O6831">
        <f t="shared" si="1238"/>
        <v>0</v>
      </c>
      <c r="P6831" s="57">
        <f t="shared" si="1239"/>
        <v>1</v>
      </c>
      <c r="Q6831" s="267">
        <f t="shared" si="1240"/>
        <v>0</v>
      </c>
      <c r="R6831" s="23">
        <f t="shared" si="1241"/>
        <v>1</v>
      </c>
      <c r="S6831" s="23">
        <f t="shared" si="1242"/>
        <v>0</v>
      </c>
      <c r="T6831" s="23" t="str">
        <f t="shared" si="1243"/>
        <v/>
      </c>
      <c r="U6831" t="str">
        <f t="shared" si="1244"/>
        <v>PA_Merce_2018p~Rep-precinct committeewoman hermitage sw-3,(vote for not more than  1)</v>
      </c>
      <c r="V6831" s="40"/>
      <c r="AF6831" s="274"/>
      <c r="AT6831" s="20"/>
      <c r="AU6831" s="29"/>
      <c r="AV6831"/>
      <c r="AW6831"/>
    </row>
    <row r="6832" spans="1:49">
      <c r="A6832" s="30" t="s">
        <v>3081</v>
      </c>
      <c r="B6832" s="55" t="str">
        <f t="shared" si="1245"/>
        <v>PA_Merce_2018p</v>
      </c>
      <c r="D6832" s="55" t="str">
        <f t="shared" si="1246"/>
        <v>Rep-precinct committeewoman jackson center,(vote for not more than  1)</v>
      </c>
      <c r="E6832" s="55" t="s">
        <v>3082</v>
      </c>
      <c r="G6832" s="60">
        <v>16</v>
      </c>
      <c r="H6832"/>
      <c r="J6832" s="7"/>
      <c r="K6832" s="2"/>
      <c r="O6832">
        <f t="shared" si="1238"/>
        <v>1</v>
      </c>
      <c r="P6832" s="57">
        <f t="shared" si="1239"/>
        <v>1</v>
      </c>
      <c r="Q6832" s="267">
        <f t="shared" si="1240"/>
        <v>16</v>
      </c>
      <c r="R6832" s="23">
        <f t="shared" si="1241"/>
        <v>16</v>
      </c>
      <c r="S6832" s="23">
        <f t="shared" si="1242"/>
        <v>0</v>
      </c>
      <c r="T6832" s="23" t="str">
        <f t="shared" si="1243"/>
        <v/>
      </c>
      <c r="U6832" t="str">
        <f t="shared" si="1244"/>
        <v>PA_Merce_2018p~Rep-precinct committeewoman jackson center,(vote for not more than  1)</v>
      </c>
      <c r="V6832" s="40"/>
      <c r="AF6832" s="274"/>
      <c r="AT6832" s="20"/>
      <c r="AU6832" s="29"/>
      <c r="AV6832"/>
      <c r="AW6832"/>
    </row>
    <row r="6833" spans="1:49">
      <c r="A6833" s="30" t="s">
        <v>3081</v>
      </c>
      <c r="B6833" s="55" t="str">
        <f t="shared" si="1245"/>
        <v>PA_Merce_2018p</v>
      </c>
      <c r="D6833" s="55" t="str">
        <f t="shared" si="1246"/>
        <v>Rep-precinct committeewoman jackson center,(vote for not more than  1)</v>
      </c>
      <c r="E6833" s="55" t="s">
        <v>2574</v>
      </c>
      <c r="G6833" s="60">
        <v>0</v>
      </c>
      <c r="H6833"/>
      <c r="J6833" s="7"/>
      <c r="K6833" s="2"/>
      <c r="O6833">
        <f t="shared" si="1238"/>
        <v>-1</v>
      </c>
      <c r="P6833" s="57">
        <f t="shared" si="1239"/>
        <v>1</v>
      </c>
      <c r="Q6833" s="267">
        <f t="shared" si="1240"/>
        <v>0</v>
      </c>
      <c r="R6833" s="23">
        <f t="shared" si="1241"/>
        <v>1</v>
      </c>
      <c r="S6833" s="23">
        <f t="shared" si="1242"/>
        <v>0</v>
      </c>
      <c r="T6833" s="23" t="str">
        <f t="shared" si="1243"/>
        <v/>
      </c>
      <c r="U6833" t="str">
        <f t="shared" si="1244"/>
        <v/>
      </c>
      <c r="V6833" s="40"/>
      <c r="AF6833" s="274"/>
      <c r="AT6833" s="20"/>
      <c r="AU6833" s="29"/>
      <c r="AV6833"/>
      <c r="AW6833"/>
    </row>
    <row r="6834" spans="1:49">
      <c r="A6834" s="30" t="s">
        <v>3083</v>
      </c>
      <c r="B6834" s="55" t="str">
        <f t="shared" si="1245"/>
        <v>PA_Merce_2018p</v>
      </c>
      <c r="D6834" s="55" t="str">
        <f t="shared" si="1246"/>
        <v>Rep-precinct committeewoman jackson township,(vote for not more than  1)</v>
      </c>
      <c r="E6834" s="55" t="s">
        <v>3084</v>
      </c>
      <c r="G6834" s="60">
        <v>103</v>
      </c>
      <c r="H6834"/>
      <c r="J6834" s="7"/>
      <c r="K6834" s="2"/>
      <c r="O6834">
        <f t="shared" si="1238"/>
        <v>1</v>
      </c>
      <c r="P6834" s="57">
        <f t="shared" si="1239"/>
        <v>1</v>
      </c>
      <c r="Q6834" s="267">
        <f t="shared" si="1240"/>
        <v>103</v>
      </c>
      <c r="R6834" s="23">
        <f t="shared" si="1241"/>
        <v>103</v>
      </c>
      <c r="S6834" s="23">
        <f t="shared" si="1242"/>
        <v>0</v>
      </c>
      <c r="T6834" s="23" t="str">
        <f t="shared" si="1243"/>
        <v/>
      </c>
      <c r="U6834" t="str">
        <f t="shared" si="1244"/>
        <v>PA_Merce_2018p~Rep-precinct committeewoman jackson township,(vote for not more than  1)</v>
      </c>
      <c r="V6834" s="40"/>
      <c r="AF6834" s="274"/>
      <c r="AT6834" s="20"/>
      <c r="AU6834" s="29"/>
      <c r="AV6834"/>
      <c r="AW6834"/>
    </row>
    <row r="6835" spans="1:49">
      <c r="A6835" s="30" t="s">
        <v>3083</v>
      </c>
      <c r="B6835" s="55" t="str">
        <f t="shared" si="1245"/>
        <v>PA_Merce_2018p</v>
      </c>
      <c r="D6835" s="55" t="str">
        <f t="shared" si="1246"/>
        <v>Rep-precinct committeewoman jackson township,(vote for not more than  1)</v>
      </c>
      <c r="E6835" s="55" t="s">
        <v>2574</v>
      </c>
      <c r="G6835" s="60">
        <v>0</v>
      </c>
      <c r="H6835"/>
      <c r="J6835" s="7"/>
      <c r="K6835" s="2"/>
      <c r="O6835">
        <f t="shared" si="1238"/>
        <v>-1</v>
      </c>
      <c r="P6835" s="57">
        <f t="shared" si="1239"/>
        <v>1</v>
      </c>
      <c r="Q6835" s="267">
        <f t="shared" si="1240"/>
        <v>0</v>
      </c>
      <c r="R6835" s="23">
        <f t="shared" si="1241"/>
        <v>1</v>
      </c>
      <c r="S6835" s="23">
        <f t="shared" si="1242"/>
        <v>0</v>
      </c>
      <c r="T6835" s="23" t="str">
        <f t="shared" si="1243"/>
        <v/>
      </c>
      <c r="U6835" t="str">
        <f t="shared" si="1244"/>
        <v/>
      </c>
      <c r="V6835" s="40"/>
      <c r="AF6835" s="274"/>
      <c r="AT6835" s="20"/>
      <c r="AU6835" s="29"/>
      <c r="AV6835"/>
      <c r="AW6835"/>
    </row>
    <row r="6836" spans="1:49">
      <c r="A6836" s="30" t="s">
        <v>3085</v>
      </c>
      <c r="B6836" s="55" t="str">
        <f t="shared" si="1245"/>
        <v>PA_Merce_2018p</v>
      </c>
      <c r="D6836" s="55" t="str">
        <f t="shared" si="1246"/>
        <v>Rep-precinct committeewoman jamestown,(vote for not more than  1)</v>
      </c>
      <c r="E6836" s="55" t="s">
        <v>3086</v>
      </c>
      <c r="G6836" s="60">
        <v>55</v>
      </c>
      <c r="H6836"/>
      <c r="J6836" s="7"/>
      <c r="K6836" s="2"/>
      <c r="O6836">
        <f t="shared" si="1238"/>
        <v>1</v>
      </c>
      <c r="P6836" s="57">
        <f t="shared" si="1239"/>
        <v>1</v>
      </c>
      <c r="Q6836" s="267">
        <f t="shared" si="1240"/>
        <v>56</v>
      </c>
      <c r="R6836" s="23">
        <f t="shared" si="1241"/>
        <v>55</v>
      </c>
      <c r="S6836" s="23">
        <f t="shared" si="1242"/>
        <v>0</v>
      </c>
      <c r="T6836" s="23" t="str">
        <f t="shared" si="1243"/>
        <v/>
      </c>
      <c r="U6836" t="str">
        <f t="shared" si="1244"/>
        <v>PA_Merce_2018p~Rep-precinct committeewoman jamestown,(vote for not more than  1)</v>
      </c>
      <c r="V6836" s="40"/>
      <c r="AF6836" s="274"/>
      <c r="AT6836" s="20"/>
      <c r="AU6836" s="29"/>
      <c r="AV6836"/>
      <c r="AW6836"/>
    </row>
    <row r="6837" spans="1:49">
      <c r="A6837" s="30" t="s">
        <v>3085</v>
      </c>
      <c r="B6837" s="55" t="str">
        <f t="shared" si="1245"/>
        <v>PA_Merce_2018p</v>
      </c>
      <c r="D6837" s="55" t="str">
        <f t="shared" si="1246"/>
        <v>Rep-precinct committeewoman jamestown,(vote for not more than  1)</v>
      </c>
      <c r="E6837" s="55" t="s">
        <v>2574</v>
      </c>
      <c r="G6837" s="60">
        <v>1</v>
      </c>
      <c r="H6837"/>
      <c r="J6837" s="7"/>
      <c r="K6837" s="2"/>
      <c r="O6837">
        <f t="shared" si="1238"/>
        <v>-1</v>
      </c>
      <c r="P6837" s="57">
        <f t="shared" si="1239"/>
        <v>1</v>
      </c>
      <c r="Q6837" s="267">
        <f t="shared" si="1240"/>
        <v>1</v>
      </c>
      <c r="R6837" s="23">
        <f t="shared" si="1241"/>
        <v>1</v>
      </c>
      <c r="S6837" s="23">
        <f t="shared" si="1242"/>
        <v>0</v>
      </c>
      <c r="T6837" s="23" t="str">
        <f t="shared" si="1243"/>
        <v/>
      </c>
      <c r="U6837" t="str">
        <f t="shared" si="1244"/>
        <v/>
      </c>
      <c r="V6837" s="40"/>
      <c r="AF6837" s="274"/>
      <c r="AT6837" s="20"/>
      <c r="AU6837" s="29"/>
      <c r="AV6837"/>
      <c r="AW6837"/>
    </row>
    <row r="6838" spans="1:49">
      <c r="A6838" s="30" t="s">
        <v>3087</v>
      </c>
      <c r="B6838" s="55" t="str">
        <f t="shared" si="1245"/>
        <v>PA_Merce_2018p</v>
      </c>
      <c r="D6838" s="55" t="str">
        <f t="shared" si="1246"/>
        <v>Rep-precinct committeewoman jefferson east,(vote for not more than  1)</v>
      </c>
      <c r="E6838" s="55" t="s">
        <v>2574</v>
      </c>
      <c r="G6838" s="60">
        <v>3</v>
      </c>
      <c r="H6838"/>
      <c r="J6838" s="7"/>
      <c r="K6838" s="2"/>
      <c r="O6838">
        <f t="shared" si="1238"/>
        <v>0</v>
      </c>
      <c r="P6838" s="57">
        <f t="shared" si="1239"/>
        <v>1</v>
      </c>
      <c r="Q6838" s="267">
        <f t="shared" si="1240"/>
        <v>3</v>
      </c>
      <c r="R6838" s="23">
        <f t="shared" si="1241"/>
        <v>1</v>
      </c>
      <c r="S6838" s="23">
        <f t="shared" si="1242"/>
        <v>0</v>
      </c>
      <c r="T6838" s="23" t="str">
        <f t="shared" si="1243"/>
        <v/>
      </c>
      <c r="U6838" t="str">
        <f t="shared" si="1244"/>
        <v>PA_Merce_2018p~Rep-precinct committeewoman jefferson east,(vote for not more than  1)</v>
      </c>
      <c r="V6838" s="40"/>
      <c r="AF6838" s="274"/>
      <c r="AT6838" s="20"/>
      <c r="AU6838" s="29"/>
      <c r="AV6838"/>
      <c r="AW6838"/>
    </row>
    <row r="6839" spans="1:49">
      <c r="A6839" s="30" t="s">
        <v>3088</v>
      </c>
      <c r="B6839" s="55" t="str">
        <f t="shared" si="1245"/>
        <v>PA_Merce_2018p</v>
      </c>
      <c r="D6839" s="55" t="str">
        <f t="shared" si="1246"/>
        <v>Rep-precinct committeewoman jefferson west,(vote for not more than  1)</v>
      </c>
      <c r="E6839" s="55" t="s">
        <v>2574</v>
      </c>
      <c r="G6839" s="60">
        <v>0</v>
      </c>
      <c r="H6839"/>
      <c r="J6839" s="7"/>
      <c r="K6839" s="2"/>
      <c r="O6839">
        <f t="shared" si="1238"/>
        <v>0</v>
      </c>
      <c r="P6839" s="57">
        <f t="shared" si="1239"/>
        <v>1</v>
      </c>
      <c r="Q6839" s="267">
        <f t="shared" si="1240"/>
        <v>0</v>
      </c>
      <c r="R6839" s="23">
        <f t="shared" si="1241"/>
        <v>1</v>
      </c>
      <c r="S6839" s="23">
        <f t="shared" si="1242"/>
        <v>0</v>
      </c>
      <c r="T6839" s="23" t="str">
        <f t="shared" si="1243"/>
        <v/>
      </c>
      <c r="U6839" t="str">
        <f t="shared" si="1244"/>
        <v>PA_Merce_2018p~Rep-precinct committeewoman jefferson west,(vote for not more than  1)</v>
      </c>
      <c r="V6839" s="40"/>
      <c r="AF6839" s="274"/>
      <c r="AT6839" s="20"/>
      <c r="AU6839" s="29"/>
      <c r="AV6839"/>
      <c r="AW6839"/>
    </row>
    <row r="6840" spans="1:49">
      <c r="A6840" s="30" t="s">
        <v>3089</v>
      </c>
      <c r="B6840" s="55" t="str">
        <f t="shared" si="1245"/>
        <v>PA_Merce_2018p</v>
      </c>
      <c r="D6840" s="55" t="str">
        <f t="shared" si="1246"/>
        <v>Rep-precinct committeewoman lackawannock,(vote for not more than  1)</v>
      </c>
      <c r="E6840" s="55" t="s">
        <v>2574</v>
      </c>
      <c r="G6840" s="60">
        <v>0</v>
      </c>
      <c r="H6840"/>
      <c r="J6840" s="7"/>
      <c r="K6840" s="2"/>
      <c r="O6840">
        <f t="shared" si="1238"/>
        <v>0</v>
      </c>
      <c r="P6840" s="57">
        <f t="shared" si="1239"/>
        <v>1</v>
      </c>
      <c r="Q6840" s="267">
        <f t="shared" si="1240"/>
        <v>0</v>
      </c>
      <c r="R6840" s="23">
        <f t="shared" si="1241"/>
        <v>1</v>
      </c>
      <c r="S6840" s="23">
        <f t="shared" si="1242"/>
        <v>0</v>
      </c>
      <c r="T6840" s="23" t="str">
        <f t="shared" si="1243"/>
        <v/>
      </c>
      <c r="U6840" t="str">
        <f t="shared" si="1244"/>
        <v>PA_Merce_2018p~Rep-precinct committeewoman lackawannock,(vote for not more than  1)</v>
      </c>
      <c r="V6840" s="40"/>
      <c r="AF6840" s="274"/>
      <c r="AT6840" s="20"/>
      <c r="AU6840" s="29"/>
      <c r="AV6840"/>
      <c r="AW6840"/>
    </row>
    <row r="6841" spans="1:49">
      <c r="A6841" s="30" t="s">
        <v>3090</v>
      </c>
      <c r="B6841" s="55" t="str">
        <f t="shared" si="1245"/>
        <v>PA_Merce_2018p</v>
      </c>
      <c r="D6841" s="55" t="str">
        <f t="shared" si="1246"/>
        <v>Rep-precinct committeewoman lake,(vote for not more than  1)</v>
      </c>
      <c r="E6841" s="55" t="s">
        <v>3091</v>
      </c>
      <c r="G6841" s="60">
        <v>50</v>
      </c>
      <c r="H6841"/>
      <c r="J6841" s="7"/>
      <c r="K6841" s="2"/>
      <c r="O6841">
        <f t="shared" si="1238"/>
        <v>1</v>
      </c>
      <c r="P6841" s="57">
        <f t="shared" si="1239"/>
        <v>1</v>
      </c>
      <c r="Q6841" s="267">
        <f t="shared" si="1240"/>
        <v>50</v>
      </c>
      <c r="R6841" s="23">
        <f t="shared" si="1241"/>
        <v>50</v>
      </c>
      <c r="S6841" s="23">
        <f t="shared" si="1242"/>
        <v>0</v>
      </c>
      <c r="T6841" s="23" t="str">
        <f t="shared" si="1243"/>
        <v/>
      </c>
      <c r="U6841" t="str">
        <f t="shared" si="1244"/>
        <v>PA_Merce_2018p~Rep-precinct committeewoman lake,(vote for not more than  1)</v>
      </c>
      <c r="V6841" s="40"/>
      <c r="AF6841" s="274"/>
      <c r="AT6841" s="20"/>
      <c r="AU6841" s="29"/>
      <c r="AV6841"/>
      <c r="AW6841"/>
    </row>
    <row r="6842" spans="1:49">
      <c r="A6842" s="30" t="s">
        <v>3090</v>
      </c>
      <c r="B6842" s="55" t="str">
        <f t="shared" si="1245"/>
        <v>PA_Merce_2018p</v>
      </c>
      <c r="D6842" s="55" t="str">
        <f t="shared" si="1246"/>
        <v>Rep-precinct committeewoman lake,(vote for not more than  1)</v>
      </c>
      <c r="E6842" s="55" t="s">
        <v>2574</v>
      </c>
      <c r="G6842" s="60">
        <v>0</v>
      </c>
      <c r="H6842"/>
      <c r="J6842" s="7"/>
      <c r="K6842" s="2"/>
      <c r="O6842">
        <f t="shared" si="1238"/>
        <v>-1</v>
      </c>
      <c r="P6842" s="57">
        <f t="shared" si="1239"/>
        <v>1</v>
      </c>
      <c r="Q6842" s="267">
        <f t="shared" si="1240"/>
        <v>0</v>
      </c>
      <c r="R6842" s="23">
        <f t="shared" si="1241"/>
        <v>1</v>
      </c>
      <c r="S6842" s="23">
        <f t="shared" si="1242"/>
        <v>0</v>
      </c>
      <c r="T6842" s="23" t="str">
        <f t="shared" si="1243"/>
        <v/>
      </c>
      <c r="U6842" t="str">
        <f t="shared" si="1244"/>
        <v/>
      </c>
      <c r="V6842" s="40"/>
      <c r="AF6842" s="274"/>
      <c r="AT6842" s="20"/>
      <c r="AU6842" s="29"/>
      <c r="AV6842"/>
      <c r="AW6842"/>
    </row>
    <row r="6843" spans="1:49">
      <c r="A6843" s="30" t="s">
        <v>3092</v>
      </c>
      <c r="B6843" s="55" t="str">
        <f t="shared" si="1245"/>
        <v>PA_Merce_2018p</v>
      </c>
      <c r="D6843" s="55" t="str">
        <f t="shared" si="1246"/>
        <v>Rep-precinct committeewoman liberty,(vote for not more than  1)</v>
      </c>
      <c r="E6843" s="55" t="s">
        <v>3093</v>
      </c>
      <c r="G6843" s="60">
        <v>136</v>
      </c>
      <c r="H6843"/>
      <c r="J6843" s="7"/>
      <c r="K6843" s="2"/>
      <c r="O6843">
        <f t="shared" si="1238"/>
        <v>1</v>
      </c>
      <c r="P6843" s="57">
        <f t="shared" si="1239"/>
        <v>1</v>
      </c>
      <c r="Q6843" s="267">
        <f t="shared" si="1240"/>
        <v>136</v>
      </c>
      <c r="R6843" s="23">
        <f t="shared" si="1241"/>
        <v>136</v>
      </c>
      <c r="S6843" s="23">
        <f t="shared" si="1242"/>
        <v>0</v>
      </c>
      <c r="T6843" s="23" t="str">
        <f t="shared" si="1243"/>
        <v/>
      </c>
      <c r="U6843" t="str">
        <f t="shared" si="1244"/>
        <v>PA_Merce_2018p~Rep-precinct committeewoman liberty,(vote for not more than  1)</v>
      </c>
      <c r="V6843" s="40"/>
      <c r="AF6843" s="274"/>
      <c r="AT6843" s="20"/>
      <c r="AU6843" s="29"/>
      <c r="AV6843"/>
      <c r="AW6843"/>
    </row>
    <row r="6844" spans="1:49">
      <c r="A6844" s="30" t="s">
        <v>3092</v>
      </c>
      <c r="B6844" s="55" t="str">
        <f t="shared" si="1245"/>
        <v>PA_Merce_2018p</v>
      </c>
      <c r="D6844" s="55" t="str">
        <f t="shared" si="1246"/>
        <v>Rep-precinct committeewoman liberty,(vote for not more than  1)</v>
      </c>
      <c r="E6844" s="55" t="s">
        <v>2574</v>
      </c>
      <c r="G6844" s="60">
        <v>0</v>
      </c>
      <c r="H6844"/>
      <c r="J6844" s="7"/>
      <c r="K6844" s="2"/>
      <c r="O6844">
        <f t="shared" si="1238"/>
        <v>-1</v>
      </c>
      <c r="P6844" s="57">
        <f t="shared" si="1239"/>
        <v>1</v>
      </c>
      <c r="Q6844" s="267">
        <f t="shared" si="1240"/>
        <v>0</v>
      </c>
      <c r="R6844" s="23">
        <f t="shared" si="1241"/>
        <v>1</v>
      </c>
      <c r="S6844" s="23">
        <f t="shared" si="1242"/>
        <v>0</v>
      </c>
      <c r="T6844" s="23" t="str">
        <f t="shared" si="1243"/>
        <v/>
      </c>
      <c r="U6844" t="str">
        <f t="shared" si="1244"/>
        <v/>
      </c>
      <c r="V6844" s="40"/>
      <c r="AF6844" s="274"/>
      <c r="AT6844" s="20"/>
      <c r="AU6844" s="29"/>
      <c r="AV6844"/>
      <c r="AW6844"/>
    </row>
    <row r="6845" spans="1:49">
      <c r="A6845" s="30" t="s">
        <v>3094</v>
      </c>
      <c r="B6845" s="55" t="str">
        <f t="shared" si="1245"/>
        <v>PA_Merce_2018p</v>
      </c>
      <c r="D6845" s="55" t="str">
        <f t="shared" si="1246"/>
        <v>Rep-precinct committeewoman mercer north,(vote for not more than  1)</v>
      </c>
      <c r="E6845" s="55" t="s">
        <v>3095</v>
      </c>
      <c r="G6845" s="60">
        <v>59</v>
      </c>
      <c r="H6845"/>
      <c r="J6845" s="7"/>
      <c r="K6845" s="2"/>
      <c r="O6845">
        <f t="shared" si="1238"/>
        <v>1</v>
      </c>
      <c r="P6845" s="57">
        <f t="shared" si="1239"/>
        <v>1</v>
      </c>
      <c r="Q6845" s="267">
        <f t="shared" si="1240"/>
        <v>59</v>
      </c>
      <c r="R6845" s="23">
        <f t="shared" si="1241"/>
        <v>59</v>
      </c>
      <c r="S6845" s="23">
        <f t="shared" si="1242"/>
        <v>0</v>
      </c>
      <c r="T6845" s="23" t="str">
        <f t="shared" si="1243"/>
        <v/>
      </c>
      <c r="U6845" t="str">
        <f t="shared" si="1244"/>
        <v>PA_Merce_2018p~Rep-precinct committeewoman mercer north,(vote for not more than  1)</v>
      </c>
      <c r="V6845" s="40"/>
      <c r="AF6845" s="274"/>
      <c r="AT6845" s="20"/>
      <c r="AU6845" s="29"/>
      <c r="AV6845"/>
      <c r="AW6845"/>
    </row>
    <row r="6846" spans="1:49">
      <c r="A6846" s="30" t="s">
        <v>3094</v>
      </c>
      <c r="B6846" s="55" t="str">
        <f t="shared" si="1245"/>
        <v>PA_Merce_2018p</v>
      </c>
      <c r="D6846" s="55" t="str">
        <f t="shared" si="1246"/>
        <v>Rep-precinct committeewoman mercer north,(vote for not more than  1)</v>
      </c>
      <c r="E6846" s="55" t="s">
        <v>2574</v>
      </c>
      <c r="G6846" s="60">
        <v>0</v>
      </c>
      <c r="H6846"/>
      <c r="J6846" s="7"/>
      <c r="K6846" s="2"/>
      <c r="O6846">
        <f t="shared" si="1238"/>
        <v>-1</v>
      </c>
      <c r="P6846" s="57">
        <f t="shared" si="1239"/>
        <v>1</v>
      </c>
      <c r="Q6846" s="267">
        <f t="shared" si="1240"/>
        <v>0</v>
      </c>
      <c r="R6846" s="23">
        <f t="shared" si="1241"/>
        <v>1</v>
      </c>
      <c r="S6846" s="23">
        <f t="shared" si="1242"/>
        <v>0</v>
      </c>
      <c r="T6846" s="23" t="str">
        <f t="shared" si="1243"/>
        <v/>
      </c>
      <c r="U6846" t="str">
        <f t="shared" si="1244"/>
        <v/>
      </c>
      <c r="V6846" s="40"/>
      <c r="AF6846" s="274"/>
      <c r="AT6846" s="20"/>
      <c r="AU6846" s="29"/>
      <c r="AV6846"/>
      <c r="AW6846"/>
    </row>
    <row r="6847" spans="1:49">
      <c r="A6847" s="30" t="s">
        <v>3096</v>
      </c>
      <c r="B6847" s="55" t="str">
        <f t="shared" si="1245"/>
        <v>PA_Merce_2018p</v>
      </c>
      <c r="D6847" s="55" t="str">
        <f t="shared" si="1246"/>
        <v>Rep-precinct committeewoman mercer south,(vote for not more than  1)</v>
      </c>
      <c r="E6847" s="55" t="s">
        <v>2574</v>
      </c>
      <c r="G6847" s="60">
        <v>1</v>
      </c>
      <c r="H6847"/>
      <c r="J6847" s="7"/>
      <c r="K6847" s="2"/>
      <c r="O6847">
        <f t="shared" si="1238"/>
        <v>0</v>
      </c>
      <c r="P6847" s="57">
        <f t="shared" si="1239"/>
        <v>1</v>
      </c>
      <c r="Q6847" s="267">
        <f t="shared" si="1240"/>
        <v>1</v>
      </c>
      <c r="R6847" s="23">
        <f t="shared" si="1241"/>
        <v>1</v>
      </c>
      <c r="S6847" s="23">
        <f t="shared" si="1242"/>
        <v>0</v>
      </c>
      <c r="T6847" s="23" t="str">
        <f t="shared" si="1243"/>
        <v/>
      </c>
      <c r="U6847" t="str">
        <f t="shared" si="1244"/>
        <v>PA_Merce_2018p~Rep-precinct committeewoman mercer south,(vote for not more than  1)</v>
      </c>
      <c r="V6847" s="40"/>
      <c r="AF6847" s="274"/>
      <c r="AT6847" s="20"/>
      <c r="AU6847" s="29"/>
      <c r="AV6847"/>
      <c r="AW6847"/>
    </row>
    <row r="6848" spans="1:49">
      <c r="A6848" s="30" t="s">
        <v>3097</v>
      </c>
      <c r="B6848" s="55" t="str">
        <f t="shared" si="1245"/>
        <v>PA_Merce_2018p</v>
      </c>
      <c r="D6848" s="55" t="str">
        <f t="shared" si="1246"/>
        <v>Rep-precinct committeewoman mill creek,(vote for not more than  1)</v>
      </c>
      <c r="E6848" s="55" t="s">
        <v>3098</v>
      </c>
      <c r="G6848" s="60">
        <v>72</v>
      </c>
      <c r="H6848"/>
      <c r="J6848" s="7"/>
      <c r="K6848" s="2"/>
      <c r="O6848">
        <f t="shared" si="1238"/>
        <v>1</v>
      </c>
      <c r="P6848" s="57">
        <f t="shared" si="1239"/>
        <v>1</v>
      </c>
      <c r="Q6848" s="267">
        <f t="shared" si="1240"/>
        <v>72</v>
      </c>
      <c r="R6848" s="23">
        <f t="shared" si="1241"/>
        <v>72</v>
      </c>
      <c r="S6848" s="23">
        <f t="shared" si="1242"/>
        <v>0</v>
      </c>
      <c r="T6848" s="23" t="str">
        <f t="shared" si="1243"/>
        <v/>
      </c>
      <c r="U6848" t="str">
        <f t="shared" si="1244"/>
        <v>PA_Merce_2018p~Rep-precinct committeewoman mill creek,(vote for not more than  1)</v>
      </c>
      <c r="V6848" s="40"/>
      <c r="AF6848" s="274"/>
      <c r="AT6848" s="20"/>
      <c r="AU6848" s="29"/>
      <c r="AV6848"/>
      <c r="AW6848"/>
    </row>
    <row r="6849" spans="1:49">
      <c r="A6849" s="30" t="s">
        <v>3097</v>
      </c>
      <c r="B6849" s="55" t="str">
        <f t="shared" si="1245"/>
        <v>PA_Merce_2018p</v>
      </c>
      <c r="D6849" s="55" t="str">
        <f t="shared" si="1246"/>
        <v>Rep-precinct committeewoman mill creek,(vote for not more than  1)</v>
      </c>
      <c r="E6849" s="55" t="s">
        <v>2574</v>
      </c>
      <c r="G6849" s="60">
        <v>0</v>
      </c>
      <c r="H6849"/>
      <c r="J6849" s="7"/>
      <c r="K6849" s="2"/>
      <c r="O6849">
        <f t="shared" si="1238"/>
        <v>-1</v>
      </c>
      <c r="P6849" s="57">
        <f t="shared" si="1239"/>
        <v>1</v>
      </c>
      <c r="Q6849" s="267">
        <f t="shared" si="1240"/>
        <v>0</v>
      </c>
      <c r="R6849" s="23">
        <f t="shared" si="1241"/>
        <v>1</v>
      </c>
      <c r="S6849" s="23">
        <f t="shared" si="1242"/>
        <v>0</v>
      </c>
      <c r="T6849" s="23" t="str">
        <f t="shared" si="1243"/>
        <v/>
      </c>
      <c r="U6849" t="str">
        <f t="shared" si="1244"/>
        <v/>
      </c>
      <c r="V6849" s="40"/>
      <c r="AF6849" s="274"/>
      <c r="AT6849" s="20"/>
      <c r="AU6849" s="29"/>
      <c r="AV6849"/>
      <c r="AW6849"/>
    </row>
    <row r="6850" spans="1:49">
      <c r="A6850" s="30" t="s">
        <v>3099</v>
      </c>
      <c r="B6850" s="55" t="str">
        <f t="shared" si="1245"/>
        <v>PA_Merce_2018p</v>
      </c>
      <c r="D6850" s="55" t="str">
        <f t="shared" si="1246"/>
        <v>Rep-precinct committeewoman new lebanon,(vote for not more than  1)</v>
      </c>
      <c r="E6850" s="55" t="s">
        <v>2574</v>
      </c>
      <c r="G6850" s="60">
        <v>1</v>
      </c>
      <c r="H6850"/>
      <c r="J6850" s="7"/>
      <c r="K6850" s="2"/>
      <c r="O6850">
        <f t="shared" ref="O6850:O6913" si="1247">IF(OR(LOWER(LEFT(E6850,8))="write-in",LOWER(LEFT(E6850,8))="not qual"),IF(A6850=A6849,-ABS(O6849),0),IF(A6850=A6849,ABS(O6849)+1,1))</f>
        <v>0</v>
      </c>
      <c r="P6850" s="57">
        <f t="shared" ref="P6850:P6913" si="1248">1*LEFT(RIGHT(A6850,2),1)</f>
        <v>1</v>
      </c>
      <c r="Q6850" s="267">
        <f t="shared" ref="Q6850:Q6913" si="1249">IF(A6850&lt;&gt;A6851,G6850,IF(A6850=A6849,G6850+Q6851,MAX(G6850,(G6850+Q6851)/P6850)))</f>
        <v>1</v>
      </c>
      <c r="R6850" s="23">
        <f t="shared" ref="R6850:R6913" si="1250">IF(O6850&gt;P6850,"",IF(O6850=P6850,G6850,IF(A6850=A6851,R6851,IF(O6850&lt;=0,1,G6850))))</f>
        <v>1</v>
      </c>
      <c r="S6850" s="23">
        <f t="shared" ref="S6850:S6913" si="1251">IF(AND(O6850&gt;P6850,LOWER(LEFT(E6850,8))&lt;&gt;"write-in",LOWER(LEFT(E6850,8))&lt;&gt;"not qual"),G6850,IF(A6850=A6851,S6851,0))</f>
        <v>0</v>
      </c>
      <c r="T6850" s="23" t="str">
        <f t="shared" ref="T6850:T6913" si="1252">IF(OR(A6850=A6849,S6850=0),"",R6850-ABS(S6850))</f>
        <v/>
      </c>
      <c r="U6850" t="str">
        <f t="shared" ref="U6850:U6913" si="1253">IF(A6850=A6849,"",A6850)</f>
        <v>PA_Merce_2018p~Rep-precinct committeewoman new lebanon,(vote for not more than  1)</v>
      </c>
      <c r="V6850" s="40"/>
      <c r="AF6850" s="274"/>
      <c r="AT6850" s="20"/>
      <c r="AU6850" s="29"/>
      <c r="AV6850"/>
      <c r="AW6850"/>
    </row>
    <row r="6851" spans="1:49">
      <c r="A6851" s="30" t="s">
        <v>3100</v>
      </c>
      <c r="B6851" s="55" t="str">
        <f t="shared" si="1245"/>
        <v>PA_Merce_2018p</v>
      </c>
      <c r="D6851" s="55" t="str">
        <f t="shared" si="1246"/>
        <v>Rep-precinct committeewoman new vernon,(vote for not more than  1)</v>
      </c>
      <c r="E6851" s="55" t="s">
        <v>2574</v>
      </c>
      <c r="G6851" s="60">
        <v>23</v>
      </c>
      <c r="H6851"/>
      <c r="J6851" s="7"/>
      <c r="K6851" s="2"/>
      <c r="O6851">
        <f t="shared" si="1247"/>
        <v>0</v>
      </c>
      <c r="P6851" s="57">
        <f t="shared" si="1248"/>
        <v>1</v>
      </c>
      <c r="Q6851" s="267">
        <f t="shared" si="1249"/>
        <v>23</v>
      </c>
      <c r="R6851" s="23">
        <f t="shared" si="1250"/>
        <v>1</v>
      </c>
      <c r="S6851" s="23">
        <f t="shared" si="1251"/>
        <v>0</v>
      </c>
      <c r="T6851" s="23" t="str">
        <f t="shared" si="1252"/>
        <v/>
      </c>
      <c r="U6851" t="str">
        <f t="shared" si="1253"/>
        <v>PA_Merce_2018p~Rep-precinct committeewoman new vernon,(vote for not more than  1)</v>
      </c>
      <c r="V6851" s="40"/>
      <c r="AF6851" s="274"/>
      <c r="AT6851" s="20"/>
      <c r="AU6851" s="29"/>
      <c r="AV6851"/>
      <c r="AW6851"/>
    </row>
    <row r="6852" spans="1:49">
      <c r="A6852" s="30" t="s">
        <v>3101</v>
      </c>
      <c r="B6852" s="55" t="str">
        <f t="shared" si="1245"/>
        <v>PA_Merce_2018p</v>
      </c>
      <c r="D6852" s="55" t="str">
        <f t="shared" si="1246"/>
        <v>Rep-precinct committeewoman otter creek,(vote for not more than  1)</v>
      </c>
      <c r="E6852" s="55" t="s">
        <v>2574</v>
      </c>
      <c r="G6852" s="60">
        <v>2</v>
      </c>
      <c r="H6852"/>
      <c r="J6852" s="7"/>
      <c r="K6852" s="2"/>
      <c r="O6852">
        <f t="shared" si="1247"/>
        <v>0</v>
      </c>
      <c r="P6852" s="57">
        <f t="shared" si="1248"/>
        <v>1</v>
      </c>
      <c r="Q6852" s="267">
        <f t="shared" si="1249"/>
        <v>2</v>
      </c>
      <c r="R6852" s="23">
        <f t="shared" si="1250"/>
        <v>1</v>
      </c>
      <c r="S6852" s="23">
        <f t="shared" si="1251"/>
        <v>0</v>
      </c>
      <c r="T6852" s="23" t="str">
        <f t="shared" si="1252"/>
        <v/>
      </c>
      <c r="U6852" t="str">
        <f t="shared" si="1253"/>
        <v>PA_Merce_2018p~Rep-precinct committeewoman otter creek,(vote for not more than  1)</v>
      </c>
      <c r="V6852" s="40"/>
      <c r="AF6852" s="274"/>
      <c r="AT6852" s="20"/>
      <c r="AU6852" s="29"/>
      <c r="AV6852"/>
      <c r="AW6852"/>
    </row>
    <row r="6853" spans="1:49">
      <c r="A6853" s="30" t="s">
        <v>3102</v>
      </c>
      <c r="B6853" s="55" t="str">
        <f t="shared" si="1245"/>
        <v>PA_Merce_2018p</v>
      </c>
      <c r="D6853" s="55" t="str">
        <f t="shared" si="1246"/>
        <v>Rep-precinct committeewoman perry,(vote for not more than  1)</v>
      </c>
      <c r="E6853" s="55" t="s">
        <v>3103</v>
      </c>
      <c r="G6853" s="60">
        <v>148</v>
      </c>
      <c r="H6853"/>
      <c r="J6853" s="7"/>
      <c r="K6853" s="2"/>
      <c r="O6853">
        <f t="shared" si="1247"/>
        <v>1</v>
      </c>
      <c r="P6853" s="57">
        <f t="shared" si="1248"/>
        <v>1</v>
      </c>
      <c r="Q6853" s="267">
        <f t="shared" si="1249"/>
        <v>150</v>
      </c>
      <c r="R6853" s="23">
        <f t="shared" si="1250"/>
        <v>148</v>
      </c>
      <c r="S6853" s="23">
        <f t="shared" si="1251"/>
        <v>0</v>
      </c>
      <c r="T6853" s="23" t="str">
        <f t="shared" si="1252"/>
        <v/>
      </c>
      <c r="U6853" t="str">
        <f t="shared" si="1253"/>
        <v>PA_Merce_2018p~Rep-precinct committeewoman perry,(vote for not more than  1)</v>
      </c>
      <c r="V6853" s="40"/>
      <c r="AF6853" s="274"/>
      <c r="AT6853" s="20"/>
      <c r="AU6853" s="29"/>
      <c r="AV6853"/>
      <c r="AW6853"/>
    </row>
    <row r="6854" spans="1:49">
      <c r="A6854" s="30" t="s">
        <v>3102</v>
      </c>
      <c r="B6854" s="55" t="str">
        <f t="shared" si="1245"/>
        <v>PA_Merce_2018p</v>
      </c>
      <c r="D6854" s="55" t="str">
        <f t="shared" si="1246"/>
        <v>Rep-precinct committeewoman perry,(vote for not more than  1)</v>
      </c>
      <c r="E6854" s="55" t="s">
        <v>2574</v>
      </c>
      <c r="G6854" s="60">
        <v>2</v>
      </c>
      <c r="H6854"/>
      <c r="J6854" s="7"/>
      <c r="K6854" s="2"/>
      <c r="O6854">
        <f t="shared" si="1247"/>
        <v>-1</v>
      </c>
      <c r="P6854" s="57">
        <f t="shared" si="1248"/>
        <v>1</v>
      </c>
      <c r="Q6854" s="267">
        <f t="shared" si="1249"/>
        <v>2</v>
      </c>
      <c r="R6854" s="23">
        <f t="shared" si="1250"/>
        <v>1</v>
      </c>
      <c r="S6854" s="23">
        <f t="shared" si="1251"/>
        <v>0</v>
      </c>
      <c r="T6854" s="23" t="str">
        <f t="shared" si="1252"/>
        <v/>
      </c>
      <c r="U6854" t="str">
        <f t="shared" si="1253"/>
        <v/>
      </c>
      <c r="V6854" s="40"/>
      <c r="AF6854" s="274"/>
      <c r="AT6854" s="20"/>
      <c r="AU6854" s="29"/>
      <c r="AV6854"/>
      <c r="AW6854"/>
    </row>
    <row r="6855" spans="1:49">
      <c r="A6855" s="30" t="s">
        <v>3104</v>
      </c>
      <c r="B6855" s="55" t="str">
        <f t="shared" si="1245"/>
        <v>PA_Merce_2018p</v>
      </c>
      <c r="D6855" s="55" t="str">
        <f t="shared" si="1246"/>
        <v>Rep-precinct committeewoman pine 1,(vote for not more than  1)</v>
      </c>
      <c r="E6855" s="55" t="s">
        <v>3105</v>
      </c>
      <c r="G6855" s="60">
        <v>198</v>
      </c>
      <c r="H6855"/>
      <c r="J6855" s="7"/>
      <c r="K6855" s="2"/>
      <c r="O6855">
        <f t="shared" si="1247"/>
        <v>1</v>
      </c>
      <c r="P6855" s="57">
        <f t="shared" si="1248"/>
        <v>1</v>
      </c>
      <c r="Q6855" s="267">
        <f t="shared" si="1249"/>
        <v>199</v>
      </c>
      <c r="R6855" s="23">
        <f t="shared" si="1250"/>
        <v>198</v>
      </c>
      <c r="S6855" s="23">
        <f t="shared" si="1251"/>
        <v>0</v>
      </c>
      <c r="T6855" s="23" t="str">
        <f t="shared" si="1252"/>
        <v/>
      </c>
      <c r="U6855" t="str">
        <f t="shared" si="1253"/>
        <v>PA_Merce_2018p~Rep-precinct committeewoman pine 1,(vote for not more than  1)</v>
      </c>
      <c r="V6855" s="40"/>
      <c r="AF6855" s="274"/>
      <c r="AT6855" s="20"/>
      <c r="AU6855" s="29"/>
      <c r="AV6855"/>
      <c r="AW6855"/>
    </row>
    <row r="6856" spans="1:49">
      <c r="A6856" s="30" t="s">
        <v>3104</v>
      </c>
      <c r="B6856" s="55" t="str">
        <f t="shared" si="1245"/>
        <v>PA_Merce_2018p</v>
      </c>
      <c r="D6856" s="55" t="str">
        <f t="shared" si="1246"/>
        <v>Rep-precinct committeewoman pine 1,(vote for not more than  1)</v>
      </c>
      <c r="E6856" s="55" t="s">
        <v>2574</v>
      </c>
      <c r="G6856" s="60">
        <v>1</v>
      </c>
      <c r="H6856"/>
      <c r="J6856" s="7"/>
      <c r="K6856" s="2"/>
      <c r="O6856">
        <f t="shared" si="1247"/>
        <v>-1</v>
      </c>
      <c r="P6856" s="57">
        <f t="shared" si="1248"/>
        <v>1</v>
      </c>
      <c r="Q6856" s="267">
        <f t="shared" si="1249"/>
        <v>1</v>
      </c>
      <c r="R6856" s="23">
        <f t="shared" si="1250"/>
        <v>1</v>
      </c>
      <c r="S6856" s="23">
        <f t="shared" si="1251"/>
        <v>0</v>
      </c>
      <c r="T6856" s="23" t="str">
        <f t="shared" si="1252"/>
        <v/>
      </c>
      <c r="U6856" t="str">
        <f t="shared" si="1253"/>
        <v/>
      </c>
      <c r="V6856" s="40"/>
      <c r="AF6856" s="274"/>
      <c r="AT6856" s="20"/>
      <c r="AU6856" s="29"/>
      <c r="AV6856"/>
      <c r="AW6856"/>
    </row>
    <row r="6857" spans="1:49">
      <c r="A6857" s="30" t="s">
        <v>3106</v>
      </c>
      <c r="B6857" s="55" t="str">
        <f t="shared" si="1245"/>
        <v>PA_Merce_2018p</v>
      </c>
      <c r="D6857" s="55" t="str">
        <f t="shared" si="1246"/>
        <v>Rep-precinct committeewoman pine 2,(vote for not more than  1)</v>
      </c>
      <c r="E6857" s="55" t="s">
        <v>3107</v>
      </c>
      <c r="G6857" s="60">
        <v>142</v>
      </c>
      <c r="H6857"/>
      <c r="J6857" s="7"/>
      <c r="K6857" s="2"/>
      <c r="O6857">
        <f t="shared" si="1247"/>
        <v>1</v>
      </c>
      <c r="P6857" s="57">
        <f t="shared" si="1248"/>
        <v>1</v>
      </c>
      <c r="Q6857" s="267">
        <f t="shared" si="1249"/>
        <v>144</v>
      </c>
      <c r="R6857" s="23">
        <f t="shared" si="1250"/>
        <v>142</v>
      </c>
      <c r="S6857" s="23">
        <f t="shared" si="1251"/>
        <v>0</v>
      </c>
      <c r="T6857" s="23" t="str">
        <f t="shared" si="1252"/>
        <v/>
      </c>
      <c r="U6857" t="str">
        <f t="shared" si="1253"/>
        <v>PA_Merce_2018p~Rep-precinct committeewoman pine 2,(vote for not more than  1)</v>
      </c>
      <c r="V6857" s="40"/>
      <c r="AF6857" s="274"/>
      <c r="AT6857" s="20"/>
      <c r="AU6857" s="29"/>
      <c r="AV6857"/>
      <c r="AW6857"/>
    </row>
    <row r="6858" spans="1:49">
      <c r="A6858" s="30" t="s">
        <v>3106</v>
      </c>
      <c r="B6858" s="55" t="str">
        <f t="shared" si="1245"/>
        <v>PA_Merce_2018p</v>
      </c>
      <c r="D6858" s="55" t="str">
        <f t="shared" si="1246"/>
        <v>Rep-precinct committeewoman pine 2,(vote for not more than  1)</v>
      </c>
      <c r="E6858" s="55" t="s">
        <v>2574</v>
      </c>
      <c r="G6858" s="60">
        <v>2</v>
      </c>
      <c r="H6858"/>
      <c r="J6858" s="7"/>
      <c r="K6858" s="2"/>
      <c r="O6858">
        <f t="shared" si="1247"/>
        <v>-1</v>
      </c>
      <c r="P6858" s="57">
        <f t="shared" si="1248"/>
        <v>1</v>
      </c>
      <c r="Q6858" s="267">
        <f t="shared" si="1249"/>
        <v>2</v>
      </c>
      <c r="R6858" s="23">
        <f t="shared" si="1250"/>
        <v>1</v>
      </c>
      <c r="S6858" s="23">
        <f t="shared" si="1251"/>
        <v>0</v>
      </c>
      <c r="T6858" s="23" t="str">
        <f t="shared" si="1252"/>
        <v/>
      </c>
      <c r="U6858" t="str">
        <f t="shared" si="1253"/>
        <v/>
      </c>
      <c r="V6858" s="40"/>
      <c r="AF6858" s="274"/>
      <c r="AT6858" s="20"/>
      <c r="AU6858" s="29"/>
      <c r="AV6858"/>
      <c r="AW6858"/>
    </row>
    <row r="6859" spans="1:49">
      <c r="A6859" s="30" t="s">
        <v>3108</v>
      </c>
      <c r="B6859" s="55" t="str">
        <f t="shared" si="1245"/>
        <v>PA_Merce_2018p</v>
      </c>
      <c r="D6859" s="55" t="str">
        <f t="shared" si="1246"/>
        <v>Rep-precinct committeewoman pymatuning 1,(vote for not more than  1)</v>
      </c>
      <c r="E6859" s="55" t="s">
        <v>2574</v>
      </c>
      <c r="G6859" s="60">
        <v>2</v>
      </c>
      <c r="H6859"/>
      <c r="J6859" s="7"/>
      <c r="K6859" s="2"/>
      <c r="O6859">
        <f t="shared" si="1247"/>
        <v>0</v>
      </c>
      <c r="P6859" s="57">
        <f t="shared" si="1248"/>
        <v>1</v>
      </c>
      <c r="Q6859" s="267">
        <f t="shared" si="1249"/>
        <v>2</v>
      </c>
      <c r="R6859" s="23">
        <f t="shared" si="1250"/>
        <v>1</v>
      </c>
      <c r="S6859" s="23">
        <f t="shared" si="1251"/>
        <v>0</v>
      </c>
      <c r="T6859" s="23" t="str">
        <f t="shared" si="1252"/>
        <v/>
      </c>
      <c r="U6859" t="str">
        <f t="shared" si="1253"/>
        <v>PA_Merce_2018p~Rep-precinct committeewoman pymatuning 1,(vote for not more than  1)</v>
      </c>
      <c r="V6859" s="40"/>
      <c r="AF6859" s="274"/>
      <c r="AT6859" s="20"/>
      <c r="AU6859" s="29"/>
      <c r="AV6859"/>
      <c r="AW6859"/>
    </row>
    <row r="6860" spans="1:49">
      <c r="A6860" s="30" t="s">
        <v>3109</v>
      </c>
      <c r="B6860" s="55" t="str">
        <f t="shared" si="1245"/>
        <v>PA_Merce_2018p</v>
      </c>
      <c r="D6860" s="55" t="str">
        <f t="shared" si="1246"/>
        <v>Rep-precinct committeewoman pymatuning 2,(vote for not more than  1)</v>
      </c>
      <c r="E6860" s="55" t="s">
        <v>2574</v>
      </c>
      <c r="G6860" s="60">
        <v>3</v>
      </c>
      <c r="H6860"/>
      <c r="J6860" s="7"/>
      <c r="K6860" s="2"/>
      <c r="O6860">
        <f t="shared" si="1247"/>
        <v>0</v>
      </c>
      <c r="P6860" s="57">
        <f t="shared" si="1248"/>
        <v>1</v>
      </c>
      <c r="Q6860" s="267">
        <f t="shared" si="1249"/>
        <v>3</v>
      </c>
      <c r="R6860" s="23">
        <f t="shared" si="1250"/>
        <v>1</v>
      </c>
      <c r="S6860" s="23">
        <f t="shared" si="1251"/>
        <v>0</v>
      </c>
      <c r="T6860" s="23" t="str">
        <f t="shared" si="1252"/>
        <v/>
      </c>
      <c r="U6860" t="str">
        <f t="shared" si="1253"/>
        <v>PA_Merce_2018p~Rep-precinct committeewoman pymatuning 2,(vote for not more than  1)</v>
      </c>
      <c r="V6860" s="40"/>
      <c r="AF6860" s="274"/>
      <c r="AT6860" s="20"/>
      <c r="AU6860" s="29"/>
      <c r="AV6860"/>
      <c r="AW6860"/>
    </row>
    <row r="6861" spans="1:49">
      <c r="A6861" s="30" t="s">
        <v>3110</v>
      </c>
      <c r="B6861" s="55" t="str">
        <f t="shared" si="1245"/>
        <v>PA_Merce_2018p</v>
      </c>
      <c r="D6861" s="55" t="str">
        <f t="shared" si="1246"/>
        <v>Rep-precinct committeewoman salem,(vote for not more than  1)</v>
      </c>
      <c r="E6861" s="55" t="s">
        <v>3111</v>
      </c>
      <c r="G6861" s="60">
        <v>79</v>
      </c>
      <c r="H6861"/>
      <c r="J6861" s="7"/>
      <c r="K6861" s="2"/>
      <c r="O6861">
        <f t="shared" si="1247"/>
        <v>1</v>
      </c>
      <c r="P6861" s="57">
        <f t="shared" si="1248"/>
        <v>1</v>
      </c>
      <c r="Q6861" s="267">
        <f t="shared" si="1249"/>
        <v>79</v>
      </c>
      <c r="R6861" s="23">
        <f t="shared" si="1250"/>
        <v>79</v>
      </c>
      <c r="S6861" s="23">
        <f t="shared" si="1251"/>
        <v>0</v>
      </c>
      <c r="T6861" s="23" t="str">
        <f t="shared" si="1252"/>
        <v/>
      </c>
      <c r="U6861" t="str">
        <f t="shared" si="1253"/>
        <v>PA_Merce_2018p~Rep-precinct committeewoman salem,(vote for not more than  1)</v>
      </c>
      <c r="V6861" s="40"/>
      <c r="AF6861" s="274"/>
      <c r="AT6861" s="20"/>
      <c r="AU6861" s="29"/>
      <c r="AV6861"/>
      <c r="AW6861"/>
    </row>
    <row r="6862" spans="1:49">
      <c r="A6862" s="30" t="s">
        <v>3110</v>
      </c>
      <c r="B6862" s="55" t="str">
        <f t="shared" si="1245"/>
        <v>PA_Merce_2018p</v>
      </c>
      <c r="D6862" s="55" t="str">
        <f t="shared" si="1246"/>
        <v>Rep-precinct committeewoman salem,(vote for not more than  1)</v>
      </c>
      <c r="E6862" s="55" t="s">
        <v>2574</v>
      </c>
      <c r="G6862" s="60">
        <v>0</v>
      </c>
      <c r="H6862"/>
      <c r="J6862" s="7"/>
      <c r="K6862" s="2"/>
      <c r="O6862">
        <f t="shared" si="1247"/>
        <v>-1</v>
      </c>
      <c r="P6862" s="57">
        <f t="shared" si="1248"/>
        <v>1</v>
      </c>
      <c r="Q6862" s="267">
        <f t="shared" si="1249"/>
        <v>0</v>
      </c>
      <c r="R6862" s="23">
        <f t="shared" si="1250"/>
        <v>1</v>
      </c>
      <c r="S6862" s="23">
        <f t="shared" si="1251"/>
        <v>0</v>
      </c>
      <c r="T6862" s="23" t="str">
        <f t="shared" si="1252"/>
        <v/>
      </c>
      <c r="U6862" t="str">
        <f t="shared" si="1253"/>
        <v/>
      </c>
      <c r="V6862" s="40"/>
      <c r="AF6862" s="274"/>
      <c r="AT6862" s="20"/>
      <c r="AU6862" s="29"/>
      <c r="AV6862"/>
      <c r="AW6862"/>
    </row>
    <row r="6863" spans="1:49">
      <c r="A6863" s="30" t="s">
        <v>3112</v>
      </c>
      <c r="B6863" s="55" t="str">
        <f t="shared" si="1245"/>
        <v>PA_Merce_2018p</v>
      </c>
      <c r="D6863" s="55" t="str">
        <f t="shared" si="1246"/>
        <v>Rep-precinct committeewoman sandy creek,(vote for not more than  1)</v>
      </c>
      <c r="E6863" s="55" t="s">
        <v>2574</v>
      </c>
      <c r="G6863" s="60">
        <v>0</v>
      </c>
      <c r="H6863"/>
      <c r="J6863" s="7"/>
      <c r="K6863" s="2"/>
      <c r="O6863">
        <f t="shared" si="1247"/>
        <v>0</v>
      </c>
      <c r="P6863" s="57">
        <f t="shared" si="1248"/>
        <v>1</v>
      </c>
      <c r="Q6863" s="267">
        <f t="shared" si="1249"/>
        <v>0</v>
      </c>
      <c r="R6863" s="23">
        <f t="shared" si="1250"/>
        <v>1</v>
      </c>
      <c r="S6863" s="23">
        <f t="shared" si="1251"/>
        <v>0</v>
      </c>
      <c r="T6863" s="23" t="str">
        <f t="shared" si="1252"/>
        <v/>
      </c>
      <c r="U6863" t="str">
        <f t="shared" si="1253"/>
        <v>PA_Merce_2018p~Rep-precinct committeewoman sandy creek,(vote for not more than  1)</v>
      </c>
      <c r="V6863" s="40"/>
      <c r="AF6863" s="274"/>
      <c r="AT6863" s="20"/>
      <c r="AU6863" s="29"/>
      <c r="AV6863"/>
      <c r="AW6863"/>
    </row>
    <row r="6864" spans="1:49">
      <c r="A6864" s="30" t="s">
        <v>3113</v>
      </c>
      <c r="B6864" s="55" t="str">
        <f t="shared" si="1245"/>
        <v>PA_Merce_2018p</v>
      </c>
      <c r="D6864" s="55" t="str">
        <f t="shared" si="1246"/>
        <v>Rep-precinct committeewoman sandy lake borou,(vote for not more than  1)</v>
      </c>
      <c r="E6864" s="55" t="s">
        <v>2574</v>
      </c>
      <c r="G6864" s="60">
        <v>4</v>
      </c>
      <c r="H6864"/>
      <c r="J6864" s="7"/>
      <c r="K6864" s="2"/>
      <c r="O6864">
        <f t="shared" si="1247"/>
        <v>0</v>
      </c>
      <c r="P6864" s="57">
        <f t="shared" si="1248"/>
        <v>1</v>
      </c>
      <c r="Q6864" s="267">
        <f t="shared" si="1249"/>
        <v>4</v>
      </c>
      <c r="R6864" s="23">
        <f t="shared" si="1250"/>
        <v>1</v>
      </c>
      <c r="S6864" s="23">
        <f t="shared" si="1251"/>
        <v>0</v>
      </c>
      <c r="T6864" s="23" t="str">
        <f t="shared" si="1252"/>
        <v/>
      </c>
      <c r="U6864" t="str">
        <f t="shared" si="1253"/>
        <v>PA_Merce_2018p~Rep-precinct committeewoman sandy lake borou,(vote for not more than  1)</v>
      </c>
      <c r="V6864" s="40"/>
      <c r="AF6864" s="274"/>
      <c r="AT6864" s="20"/>
      <c r="AU6864" s="29"/>
      <c r="AV6864"/>
      <c r="AW6864"/>
    </row>
    <row r="6865" spans="1:49">
      <c r="A6865" s="30" t="s">
        <v>3114</v>
      </c>
      <c r="B6865" s="55" t="str">
        <f t="shared" si="1245"/>
        <v>PA_Merce_2018p</v>
      </c>
      <c r="D6865" s="55" t="str">
        <f t="shared" si="1246"/>
        <v>Rep-precinct committeewoman sandy lake towns,(vote for not more than  1)</v>
      </c>
      <c r="E6865" s="55" t="s">
        <v>3115</v>
      </c>
      <c r="G6865" s="60">
        <v>132</v>
      </c>
      <c r="H6865"/>
      <c r="J6865" s="7"/>
      <c r="K6865" s="2"/>
      <c r="O6865">
        <f t="shared" si="1247"/>
        <v>1</v>
      </c>
      <c r="P6865" s="57">
        <f t="shared" si="1248"/>
        <v>1</v>
      </c>
      <c r="Q6865" s="267">
        <f t="shared" si="1249"/>
        <v>133</v>
      </c>
      <c r="R6865" s="23">
        <f t="shared" si="1250"/>
        <v>132</v>
      </c>
      <c r="S6865" s="23">
        <f t="shared" si="1251"/>
        <v>0</v>
      </c>
      <c r="T6865" s="23" t="str">
        <f t="shared" si="1252"/>
        <v/>
      </c>
      <c r="U6865" t="str">
        <f t="shared" si="1253"/>
        <v>PA_Merce_2018p~Rep-precinct committeewoman sandy lake towns,(vote for not more than  1)</v>
      </c>
      <c r="V6865" s="40"/>
      <c r="AF6865" s="274"/>
      <c r="AT6865" s="20"/>
      <c r="AU6865" s="29"/>
      <c r="AV6865"/>
      <c r="AW6865"/>
    </row>
    <row r="6866" spans="1:49">
      <c r="A6866" s="30" t="s">
        <v>3114</v>
      </c>
      <c r="B6866" s="55" t="str">
        <f t="shared" si="1245"/>
        <v>PA_Merce_2018p</v>
      </c>
      <c r="D6866" s="55" t="str">
        <f t="shared" si="1246"/>
        <v>Rep-precinct committeewoman sandy lake towns,(vote for not more than  1)</v>
      </c>
      <c r="E6866" s="55" t="s">
        <v>2574</v>
      </c>
      <c r="G6866" s="60">
        <v>1</v>
      </c>
      <c r="H6866"/>
      <c r="J6866" s="7"/>
      <c r="K6866" s="2"/>
      <c r="O6866">
        <f t="shared" si="1247"/>
        <v>-1</v>
      </c>
      <c r="P6866" s="57">
        <f t="shared" si="1248"/>
        <v>1</v>
      </c>
      <c r="Q6866" s="267">
        <f t="shared" si="1249"/>
        <v>1</v>
      </c>
      <c r="R6866" s="23">
        <f t="shared" si="1250"/>
        <v>1</v>
      </c>
      <c r="S6866" s="23">
        <f t="shared" si="1251"/>
        <v>0</v>
      </c>
      <c r="T6866" s="23" t="str">
        <f t="shared" si="1252"/>
        <v/>
      </c>
      <c r="U6866" t="str">
        <f t="shared" si="1253"/>
        <v/>
      </c>
      <c r="V6866" s="40"/>
      <c r="AF6866" s="274"/>
      <c r="AT6866" s="20"/>
      <c r="AU6866" s="29"/>
      <c r="AV6866"/>
      <c r="AW6866"/>
    </row>
    <row r="6867" spans="1:49">
      <c r="A6867" s="30" t="s">
        <v>3116</v>
      </c>
      <c r="B6867" s="55" t="str">
        <f t="shared" si="1245"/>
        <v>PA_Merce_2018p</v>
      </c>
      <c r="D6867" s="55" t="str">
        <f t="shared" si="1246"/>
        <v>Rep-precinct committeewoman sharon 1-1,(vote for not more than  1)</v>
      </c>
      <c r="E6867" s="55" t="s">
        <v>2574</v>
      </c>
      <c r="G6867" s="60">
        <v>0</v>
      </c>
      <c r="H6867"/>
      <c r="J6867" s="7"/>
      <c r="K6867" s="2"/>
      <c r="O6867">
        <f t="shared" si="1247"/>
        <v>0</v>
      </c>
      <c r="P6867" s="57">
        <f t="shared" si="1248"/>
        <v>1</v>
      </c>
      <c r="Q6867" s="267">
        <f t="shared" si="1249"/>
        <v>0</v>
      </c>
      <c r="R6867" s="23">
        <f t="shared" si="1250"/>
        <v>1</v>
      </c>
      <c r="S6867" s="23">
        <f t="shared" si="1251"/>
        <v>0</v>
      </c>
      <c r="T6867" s="23" t="str">
        <f t="shared" si="1252"/>
        <v/>
      </c>
      <c r="U6867" t="str">
        <f t="shared" si="1253"/>
        <v>PA_Merce_2018p~Rep-precinct committeewoman sharon 1-1,(vote for not more than  1)</v>
      </c>
      <c r="V6867" s="40"/>
      <c r="AF6867" s="274"/>
      <c r="AT6867" s="20"/>
      <c r="AU6867" s="29"/>
      <c r="AV6867"/>
      <c r="AW6867"/>
    </row>
    <row r="6868" spans="1:49">
      <c r="A6868" s="30" t="s">
        <v>3117</v>
      </c>
      <c r="B6868" s="55" t="str">
        <f t="shared" si="1245"/>
        <v>PA_Merce_2018p</v>
      </c>
      <c r="D6868" s="55" t="str">
        <f t="shared" si="1246"/>
        <v>Rep-precinct committeewoman sharon 2-1,(vote for not more than  1)</v>
      </c>
      <c r="E6868" s="55" t="s">
        <v>2574</v>
      </c>
      <c r="G6868" s="60">
        <v>1</v>
      </c>
      <c r="H6868"/>
      <c r="J6868" s="7"/>
      <c r="K6868" s="2"/>
      <c r="O6868">
        <f t="shared" si="1247"/>
        <v>0</v>
      </c>
      <c r="P6868" s="57">
        <f t="shared" si="1248"/>
        <v>1</v>
      </c>
      <c r="Q6868" s="267">
        <f t="shared" si="1249"/>
        <v>1</v>
      </c>
      <c r="R6868" s="23">
        <f t="shared" si="1250"/>
        <v>1</v>
      </c>
      <c r="S6868" s="23">
        <f t="shared" si="1251"/>
        <v>0</v>
      </c>
      <c r="T6868" s="23" t="str">
        <f t="shared" si="1252"/>
        <v/>
      </c>
      <c r="U6868" t="str">
        <f t="shared" si="1253"/>
        <v>PA_Merce_2018p~Rep-precinct committeewoman sharon 2-1,(vote for not more than  1)</v>
      </c>
      <c r="V6868" s="40"/>
      <c r="AF6868" s="274"/>
      <c r="AT6868" s="20"/>
      <c r="AU6868" s="29"/>
      <c r="AV6868"/>
      <c r="AW6868"/>
    </row>
    <row r="6869" spans="1:49">
      <c r="A6869" s="30" t="s">
        <v>3118</v>
      </c>
      <c r="B6869" s="55" t="str">
        <f t="shared" si="1245"/>
        <v>PA_Merce_2018p</v>
      </c>
      <c r="D6869" s="55" t="str">
        <f t="shared" si="1246"/>
        <v>Rep-precinct committeewoman sharon 2-2,(vote for not more than  1)</v>
      </c>
      <c r="E6869" s="55" t="s">
        <v>2574</v>
      </c>
      <c r="G6869" s="60">
        <v>0</v>
      </c>
      <c r="H6869"/>
      <c r="J6869" s="7"/>
      <c r="K6869" s="2"/>
      <c r="O6869">
        <f t="shared" si="1247"/>
        <v>0</v>
      </c>
      <c r="P6869" s="57">
        <f t="shared" si="1248"/>
        <v>1</v>
      </c>
      <c r="Q6869" s="267">
        <f t="shared" si="1249"/>
        <v>0</v>
      </c>
      <c r="R6869" s="23">
        <f t="shared" si="1250"/>
        <v>1</v>
      </c>
      <c r="S6869" s="23">
        <f t="shared" si="1251"/>
        <v>0</v>
      </c>
      <c r="T6869" s="23" t="str">
        <f t="shared" si="1252"/>
        <v/>
      </c>
      <c r="U6869" t="str">
        <f t="shared" si="1253"/>
        <v>PA_Merce_2018p~Rep-precinct committeewoman sharon 2-2,(vote for not more than  1)</v>
      </c>
      <c r="V6869" s="40"/>
      <c r="AF6869" s="274"/>
      <c r="AT6869" s="20"/>
      <c r="AU6869" s="29"/>
      <c r="AV6869"/>
      <c r="AW6869"/>
    </row>
    <row r="6870" spans="1:49">
      <c r="A6870" s="30" t="s">
        <v>3119</v>
      </c>
      <c r="B6870" s="55" t="str">
        <f t="shared" si="1245"/>
        <v>PA_Merce_2018p</v>
      </c>
      <c r="D6870" s="55" t="str">
        <f t="shared" si="1246"/>
        <v>Rep-precinct committeewoman sharon 2-3,(vote for not more than  1)</v>
      </c>
      <c r="E6870" s="55" t="s">
        <v>2574</v>
      </c>
      <c r="G6870" s="60">
        <v>0</v>
      </c>
      <c r="H6870"/>
      <c r="J6870" s="7"/>
      <c r="K6870" s="2"/>
      <c r="O6870">
        <f t="shared" si="1247"/>
        <v>0</v>
      </c>
      <c r="P6870" s="57">
        <f t="shared" si="1248"/>
        <v>1</v>
      </c>
      <c r="Q6870" s="267">
        <f t="shared" si="1249"/>
        <v>0</v>
      </c>
      <c r="R6870" s="23">
        <f t="shared" si="1250"/>
        <v>1</v>
      </c>
      <c r="S6870" s="23">
        <f t="shared" si="1251"/>
        <v>0</v>
      </c>
      <c r="T6870" s="23" t="str">
        <f t="shared" si="1252"/>
        <v/>
      </c>
      <c r="U6870" t="str">
        <f t="shared" si="1253"/>
        <v>PA_Merce_2018p~Rep-precinct committeewoman sharon 2-3,(vote for not more than  1)</v>
      </c>
      <c r="V6870" s="40"/>
      <c r="AF6870" s="274"/>
      <c r="AT6870" s="20"/>
      <c r="AU6870" s="29"/>
      <c r="AV6870"/>
      <c r="AW6870"/>
    </row>
    <row r="6871" spans="1:49">
      <c r="A6871" s="30" t="s">
        <v>3120</v>
      </c>
      <c r="B6871" s="55" t="str">
        <f t="shared" si="1245"/>
        <v>PA_Merce_2018p</v>
      </c>
      <c r="D6871" s="55" t="str">
        <f t="shared" si="1246"/>
        <v>Rep-precinct committeewoman sharon 2-4,(vote for not more than  1)</v>
      </c>
      <c r="E6871" s="55" t="s">
        <v>3121</v>
      </c>
      <c r="G6871" s="60">
        <v>55</v>
      </c>
      <c r="H6871"/>
      <c r="J6871" s="7"/>
      <c r="K6871" s="2"/>
      <c r="O6871">
        <f t="shared" si="1247"/>
        <v>1</v>
      </c>
      <c r="P6871" s="57">
        <f t="shared" si="1248"/>
        <v>1</v>
      </c>
      <c r="Q6871" s="267">
        <f t="shared" si="1249"/>
        <v>56</v>
      </c>
      <c r="R6871" s="23">
        <f t="shared" si="1250"/>
        <v>55</v>
      </c>
      <c r="S6871" s="23">
        <f t="shared" si="1251"/>
        <v>0</v>
      </c>
      <c r="T6871" s="23" t="str">
        <f t="shared" si="1252"/>
        <v/>
      </c>
      <c r="U6871" t="str">
        <f t="shared" si="1253"/>
        <v>PA_Merce_2018p~Rep-precinct committeewoman sharon 2-4,(vote for not more than  1)</v>
      </c>
      <c r="V6871" s="40"/>
      <c r="AF6871" s="274"/>
      <c r="AT6871" s="20"/>
      <c r="AU6871" s="29"/>
      <c r="AV6871"/>
      <c r="AW6871"/>
    </row>
    <row r="6872" spans="1:49">
      <c r="A6872" s="30" t="s">
        <v>3120</v>
      </c>
      <c r="B6872" s="55" t="str">
        <f t="shared" si="1245"/>
        <v>PA_Merce_2018p</v>
      </c>
      <c r="D6872" s="55" t="str">
        <f t="shared" si="1246"/>
        <v>Rep-precinct committeewoman sharon 2-4,(vote for not more than  1)</v>
      </c>
      <c r="E6872" s="55" t="s">
        <v>2574</v>
      </c>
      <c r="G6872" s="60">
        <v>1</v>
      </c>
      <c r="H6872"/>
      <c r="J6872" s="7"/>
      <c r="K6872" s="2"/>
      <c r="O6872">
        <f t="shared" si="1247"/>
        <v>-1</v>
      </c>
      <c r="P6872" s="57">
        <f t="shared" si="1248"/>
        <v>1</v>
      </c>
      <c r="Q6872" s="267">
        <f t="shared" si="1249"/>
        <v>1</v>
      </c>
      <c r="R6872" s="23">
        <f t="shared" si="1250"/>
        <v>1</v>
      </c>
      <c r="S6872" s="23">
        <f t="shared" si="1251"/>
        <v>0</v>
      </c>
      <c r="T6872" s="23" t="str">
        <f t="shared" si="1252"/>
        <v/>
      </c>
      <c r="U6872" t="str">
        <f t="shared" si="1253"/>
        <v/>
      </c>
      <c r="V6872" s="40"/>
      <c r="AF6872" s="274"/>
      <c r="AT6872" s="20"/>
      <c r="AU6872" s="29"/>
      <c r="AV6872"/>
      <c r="AW6872"/>
    </row>
    <row r="6873" spans="1:49">
      <c r="A6873" s="30" t="s">
        <v>3122</v>
      </c>
      <c r="B6873" s="55" t="str">
        <f t="shared" si="1245"/>
        <v>PA_Merce_2018p</v>
      </c>
      <c r="D6873" s="55" t="str">
        <f t="shared" si="1246"/>
        <v>Rep-precinct committeewoman sharon 2-5,(vote for not more than  1)</v>
      </c>
      <c r="E6873" s="55" t="s">
        <v>2574</v>
      </c>
      <c r="G6873" s="60">
        <v>0</v>
      </c>
      <c r="H6873"/>
      <c r="J6873" s="7"/>
      <c r="K6873" s="2"/>
      <c r="O6873">
        <f t="shared" si="1247"/>
        <v>0</v>
      </c>
      <c r="P6873" s="57">
        <f t="shared" si="1248"/>
        <v>1</v>
      </c>
      <c r="Q6873" s="267">
        <f t="shared" si="1249"/>
        <v>0</v>
      </c>
      <c r="R6873" s="23">
        <f t="shared" si="1250"/>
        <v>1</v>
      </c>
      <c r="S6873" s="23">
        <f t="shared" si="1251"/>
        <v>0</v>
      </c>
      <c r="T6873" s="23" t="str">
        <f t="shared" si="1252"/>
        <v/>
      </c>
      <c r="U6873" t="str">
        <f t="shared" si="1253"/>
        <v>PA_Merce_2018p~Rep-precinct committeewoman sharon 2-5,(vote for not more than  1)</v>
      </c>
      <c r="V6873" s="40"/>
      <c r="AF6873" s="274"/>
      <c r="AT6873" s="20"/>
      <c r="AU6873" s="29"/>
      <c r="AV6873"/>
      <c r="AW6873"/>
    </row>
    <row r="6874" spans="1:49">
      <c r="A6874" s="30" t="s">
        <v>3123</v>
      </c>
      <c r="B6874" s="55" t="str">
        <f t="shared" si="1245"/>
        <v>PA_Merce_2018p</v>
      </c>
      <c r="D6874" s="55" t="str">
        <f t="shared" si="1246"/>
        <v>Rep-precinct committeewoman sharon 3-1,(vote for not more than  1)</v>
      </c>
      <c r="E6874" s="55" t="s">
        <v>2574</v>
      </c>
      <c r="G6874" s="60">
        <v>0</v>
      </c>
      <c r="H6874"/>
      <c r="J6874" s="7"/>
      <c r="K6874" s="2"/>
      <c r="O6874">
        <f t="shared" si="1247"/>
        <v>0</v>
      </c>
      <c r="P6874" s="57">
        <f t="shared" si="1248"/>
        <v>1</v>
      </c>
      <c r="Q6874" s="267">
        <f t="shared" si="1249"/>
        <v>0</v>
      </c>
      <c r="R6874" s="23">
        <f t="shared" si="1250"/>
        <v>1</v>
      </c>
      <c r="S6874" s="23">
        <f t="shared" si="1251"/>
        <v>0</v>
      </c>
      <c r="T6874" s="23" t="str">
        <f t="shared" si="1252"/>
        <v/>
      </c>
      <c r="U6874" t="str">
        <f t="shared" si="1253"/>
        <v>PA_Merce_2018p~Rep-precinct committeewoman sharon 3-1,(vote for not more than  1)</v>
      </c>
      <c r="V6874" s="40"/>
      <c r="AF6874" s="274"/>
      <c r="AT6874" s="20"/>
      <c r="AU6874" s="29"/>
      <c r="AV6874"/>
      <c r="AW6874"/>
    </row>
    <row r="6875" spans="1:49">
      <c r="A6875" s="30" t="s">
        <v>3124</v>
      </c>
      <c r="B6875" s="55" t="str">
        <f t="shared" si="1245"/>
        <v>PA_Merce_2018p</v>
      </c>
      <c r="D6875" s="55" t="str">
        <f t="shared" si="1246"/>
        <v>Rep-precinct committeewoman sharon 3-2,(vote for not more than  1)</v>
      </c>
      <c r="E6875" s="55" t="s">
        <v>2574</v>
      </c>
      <c r="G6875" s="60">
        <v>0</v>
      </c>
      <c r="H6875"/>
      <c r="J6875" s="7"/>
      <c r="K6875" s="2"/>
      <c r="O6875">
        <f t="shared" si="1247"/>
        <v>0</v>
      </c>
      <c r="P6875" s="57">
        <f t="shared" si="1248"/>
        <v>1</v>
      </c>
      <c r="Q6875" s="267">
        <f t="shared" si="1249"/>
        <v>0</v>
      </c>
      <c r="R6875" s="23">
        <f t="shared" si="1250"/>
        <v>1</v>
      </c>
      <c r="S6875" s="23">
        <f t="shared" si="1251"/>
        <v>0</v>
      </c>
      <c r="T6875" s="23" t="str">
        <f t="shared" si="1252"/>
        <v/>
      </c>
      <c r="U6875" t="str">
        <f t="shared" si="1253"/>
        <v>PA_Merce_2018p~Rep-precinct committeewoman sharon 3-2,(vote for not more than  1)</v>
      </c>
      <c r="V6875" s="40"/>
      <c r="AF6875" s="274"/>
      <c r="AT6875" s="20"/>
      <c r="AU6875" s="29"/>
      <c r="AV6875"/>
      <c r="AW6875"/>
    </row>
    <row r="6876" spans="1:49">
      <c r="A6876" s="30" t="s">
        <v>3125</v>
      </c>
      <c r="B6876" s="55" t="str">
        <f t="shared" si="1245"/>
        <v>PA_Merce_2018p</v>
      </c>
      <c r="D6876" s="55" t="str">
        <f t="shared" si="1246"/>
        <v>Rep-precinct committeewoman sharon 4-1,(vote for not more than  1)</v>
      </c>
      <c r="E6876" s="55" t="s">
        <v>2574</v>
      </c>
      <c r="G6876" s="60">
        <v>1</v>
      </c>
      <c r="H6876"/>
      <c r="J6876" s="7"/>
      <c r="K6876" s="2"/>
      <c r="O6876">
        <f t="shared" si="1247"/>
        <v>0</v>
      </c>
      <c r="P6876" s="57">
        <f t="shared" si="1248"/>
        <v>1</v>
      </c>
      <c r="Q6876" s="267">
        <f t="shared" si="1249"/>
        <v>1</v>
      </c>
      <c r="R6876" s="23">
        <f t="shared" si="1250"/>
        <v>1</v>
      </c>
      <c r="S6876" s="23">
        <f t="shared" si="1251"/>
        <v>0</v>
      </c>
      <c r="T6876" s="23" t="str">
        <f t="shared" si="1252"/>
        <v/>
      </c>
      <c r="U6876" t="str">
        <f t="shared" si="1253"/>
        <v>PA_Merce_2018p~Rep-precinct committeewoman sharon 4-1,(vote for not more than  1)</v>
      </c>
      <c r="V6876" s="40"/>
      <c r="AF6876" s="274"/>
      <c r="AT6876" s="20"/>
      <c r="AU6876" s="29"/>
      <c r="AV6876"/>
      <c r="AW6876"/>
    </row>
    <row r="6877" spans="1:49">
      <c r="A6877" s="30" t="s">
        <v>3126</v>
      </c>
      <c r="B6877" s="55" t="str">
        <f t="shared" si="1245"/>
        <v>PA_Merce_2018p</v>
      </c>
      <c r="D6877" s="55" t="str">
        <f t="shared" si="1246"/>
        <v>Rep-precinct committeewoman sharon 4-2,(vote for not more than  1)</v>
      </c>
      <c r="E6877" s="55" t="s">
        <v>2574</v>
      </c>
      <c r="G6877" s="60">
        <v>2</v>
      </c>
      <c r="H6877"/>
      <c r="J6877" s="7"/>
      <c r="K6877" s="2"/>
      <c r="O6877">
        <f t="shared" si="1247"/>
        <v>0</v>
      </c>
      <c r="P6877" s="57">
        <f t="shared" si="1248"/>
        <v>1</v>
      </c>
      <c r="Q6877" s="267">
        <f t="shared" si="1249"/>
        <v>2</v>
      </c>
      <c r="R6877" s="23">
        <f t="shared" si="1250"/>
        <v>1</v>
      </c>
      <c r="S6877" s="23">
        <f t="shared" si="1251"/>
        <v>0</v>
      </c>
      <c r="T6877" s="23" t="str">
        <f t="shared" si="1252"/>
        <v/>
      </c>
      <c r="U6877" t="str">
        <f t="shared" si="1253"/>
        <v>PA_Merce_2018p~Rep-precinct committeewoman sharon 4-2,(vote for not more than  1)</v>
      </c>
      <c r="V6877" s="40"/>
      <c r="AF6877" s="274"/>
      <c r="AT6877" s="20"/>
      <c r="AU6877" s="29"/>
      <c r="AV6877"/>
      <c r="AW6877"/>
    </row>
    <row r="6878" spans="1:49">
      <c r="A6878" s="30" t="s">
        <v>3127</v>
      </c>
      <c r="B6878" s="55" t="str">
        <f t="shared" si="1245"/>
        <v>PA_Merce_2018p</v>
      </c>
      <c r="D6878" s="55" t="str">
        <f t="shared" si="1246"/>
        <v>Rep-precinct committeewoman sharon 4-3,(vote for not more than  1)</v>
      </c>
      <c r="E6878" s="55" t="s">
        <v>2574</v>
      </c>
      <c r="G6878" s="60">
        <v>1</v>
      </c>
      <c r="H6878"/>
      <c r="J6878" s="7"/>
      <c r="K6878" s="2"/>
      <c r="O6878">
        <f t="shared" si="1247"/>
        <v>0</v>
      </c>
      <c r="P6878" s="57">
        <f t="shared" si="1248"/>
        <v>1</v>
      </c>
      <c r="Q6878" s="267">
        <f t="shared" si="1249"/>
        <v>1</v>
      </c>
      <c r="R6878" s="23">
        <f t="shared" si="1250"/>
        <v>1</v>
      </c>
      <c r="S6878" s="23">
        <f t="shared" si="1251"/>
        <v>0</v>
      </c>
      <c r="T6878" s="23" t="str">
        <f t="shared" si="1252"/>
        <v/>
      </c>
      <c r="U6878" t="str">
        <f t="shared" si="1253"/>
        <v>PA_Merce_2018p~Rep-precinct committeewoman sharon 4-3,(vote for not more than  1)</v>
      </c>
      <c r="V6878" s="40"/>
      <c r="AF6878" s="274"/>
      <c r="AT6878" s="20"/>
      <c r="AU6878" s="29"/>
      <c r="AV6878"/>
      <c r="AW6878"/>
    </row>
    <row r="6879" spans="1:49">
      <c r="A6879" s="30" t="s">
        <v>3128</v>
      </c>
      <c r="B6879" s="55" t="str">
        <f t="shared" si="1245"/>
        <v>PA_Merce_2018p</v>
      </c>
      <c r="D6879" s="55" t="str">
        <f t="shared" si="1246"/>
        <v>Rep-precinct committeewoman sharon 4-4,(vote for not more than  1)</v>
      </c>
      <c r="E6879" s="55" t="s">
        <v>2574</v>
      </c>
      <c r="G6879" s="60">
        <v>0</v>
      </c>
      <c r="H6879"/>
      <c r="J6879" s="7"/>
      <c r="K6879" s="2"/>
      <c r="O6879">
        <f t="shared" si="1247"/>
        <v>0</v>
      </c>
      <c r="P6879" s="57">
        <f t="shared" si="1248"/>
        <v>1</v>
      </c>
      <c r="Q6879" s="267">
        <f t="shared" si="1249"/>
        <v>0</v>
      </c>
      <c r="R6879" s="23">
        <f t="shared" si="1250"/>
        <v>1</v>
      </c>
      <c r="S6879" s="23">
        <f t="shared" si="1251"/>
        <v>0</v>
      </c>
      <c r="T6879" s="23" t="str">
        <f t="shared" si="1252"/>
        <v/>
      </c>
      <c r="U6879" t="str">
        <f t="shared" si="1253"/>
        <v>PA_Merce_2018p~Rep-precinct committeewoman sharon 4-4,(vote for not more than  1)</v>
      </c>
      <c r="V6879" s="40"/>
      <c r="AF6879" s="274"/>
      <c r="AT6879" s="20"/>
      <c r="AU6879" s="29"/>
      <c r="AV6879"/>
      <c r="AW6879"/>
    </row>
    <row r="6880" spans="1:49">
      <c r="A6880" s="30" t="s">
        <v>3129</v>
      </c>
      <c r="B6880" s="55" t="str">
        <f t="shared" si="1245"/>
        <v>PA_Merce_2018p</v>
      </c>
      <c r="D6880" s="55" t="str">
        <f t="shared" si="1246"/>
        <v>Rep-precinct committeewoman sharon 4-5,(vote for not more than  1)</v>
      </c>
      <c r="E6880" s="55" t="s">
        <v>2574</v>
      </c>
      <c r="G6880" s="60">
        <v>1</v>
      </c>
      <c r="H6880"/>
      <c r="J6880" s="7"/>
      <c r="K6880" s="2"/>
      <c r="O6880">
        <f t="shared" si="1247"/>
        <v>0</v>
      </c>
      <c r="P6880" s="57">
        <f t="shared" si="1248"/>
        <v>1</v>
      </c>
      <c r="Q6880" s="267">
        <f t="shared" si="1249"/>
        <v>1</v>
      </c>
      <c r="R6880" s="23">
        <f t="shared" si="1250"/>
        <v>1</v>
      </c>
      <c r="S6880" s="23">
        <f t="shared" si="1251"/>
        <v>0</v>
      </c>
      <c r="T6880" s="23" t="str">
        <f t="shared" si="1252"/>
        <v/>
      </c>
      <c r="U6880" t="str">
        <f t="shared" si="1253"/>
        <v>PA_Merce_2018p~Rep-precinct committeewoman sharon 4-5,(vote for not more than  1)</v>
      </c>
      <c r="V6880" s="40"/>
      <c r="AF6880" s="274"/>
      <c r="AT6880" s="20"/>
      <c r="AU6880" s="29"/>
      <c r="AV6880"/>
      <c r="AW6880"/>
    </row>
    <row r="6881" spans="1:49">
      <c r="A6881" s="30" t="s">
        <v>3130</v>
      </c>
      <c r="B6881" s="55" t="str">
        <f t="shared" si="1245"/>
        <v>PA_Merce_2018p</v>
      </c>
      <c r="D6881" s="55" t="str">
        <f t="shared" si="1246"/>
        <v>Rep-precinct committeewoman sharon 4-6,(vote for not more than  1)</v>
      </c>
      <c r="E6881" s="55" t="s">
        <v>2574</v>
      </c>
      <c r="G6881" s="60">
        <v>0</v>
      </c>
      <c r="H6881"/>
      <c r="J6881" s="7"/>
      <c r="K6881" s="2"/>
      <c r="O6881">
        <f t="shared" si="1247"/>
        <v>0</v>
      </c>
      <c r="P6881" s="57">
        <f t="shared" si="1248"/>
        <v>1</v>
      </c>
      <c r="Q6881" s="267">
        <f t="shared" si="1249"/>
        <v>0</v>
      </c>
      <c r="R6881" s="23">
        <f t="shared" si="1250"/>
        <v>1</v>
      </c>
      <c r="S6881" s="23">
        <f t="shared" si="1251"/>
        <v>0</v>
      </c>
      <c r="T6881" s="23" t="str">
        <f t="shared" si="1252"/>
        <v/>
      </c>
      <c r="U6881" t="str">
        <f t="shared" si="1253"/>
        <v>PA_Merce_2018p~Rep-precinct committeewoman sharon 4-6,(vote for not more than  1)</v>
      </c>
      <c r="V6881" s="40"/>
      <c r="AF6881" s="274"/>
      <c r="AT6881" s="20"/>
      <c r="AU6881" s="29"/>
      <c r="AV6881"/>
      <c r="AW6881"/>
    </row>
    <row r="6882" spans="1:49">
      <c r="A6882" s="30" t="s">
        <v>3131</v>
      </c>
      <c r="B6882" s="55" t="str">
        <f t="shared" si="1245"/>
        <v>PA_Merce_2018p</v>
      </c>
      <c r="D6882" s="55" t="str">
        <f t="shared" si="1246"/>
        <v>Rep-precinct committeewoman sharpsville 1,(vote for not more than  1)</v>
      </c>
      <c r="E6882" s="55" t="s">
        <v>2574</v>
      </c>
      <c r="G6882" s="60">
        <v>2</v>
      </c>
      <c r="H6882"/>
      <c r="J6882" s="7"/>
      <c r="K6882" s="2"/>
      <c r="O6882">
        <f t="shared" si="1247"/>
        <v>0</v>
      </c>
      <c r="P6882" s="57">
        <f t="shared" si="1248"/>
        <v>1</v>
      </c>
      <c r="Q6882" s="267">
        <f t="shared" si="1249"/>
        <v>2</v>
      </c>
      <c r="R6882" s="23">
        <f t="shared" si="1250"/>
        <v>1</v>
      </c>
      <c r="S6882" s="23">
        <f t="shared" si="1251"/>
        <v>0</v>
      </c>
      <c r="T6882" s="23" t="str">
        <f t="shared" si="1252"/>
        <v/>
      </c>
      <c r="U6882" t="str">
        <f t="shared" si="1253"/>
        <v>PA_Merce_2018p~Rep-precinct committeewoman sharpsville 1,(vote for not more than  1)</v>
      </c>
      <c r="V6882" s="40"/>
      <c r="AF6882" s="274"/>
      <c r="AT6882" s="20"/>
      <c r="AU6882" s="29"/>
      <c r="AV6882"/>
      <c r="AW6882"/>
    </row>
    <row r="6883" spans="1:49">
      <c r="A6883" s="30" t="s">
        <v>3132</v>
      </c>
      <c r="B6883" s="55" t="str">
        <f t="shared" si="1245"/>
        <v>PA_Merce_2018p</v>
      </c>
      <c r="D6883" s="55" t="str">
        <f t="shared" si="1246"/>
        <v>Rep-precinct committeewoman sharpsville 2,(vote for not more than  1)</v>
      </c>
      <c r="E6883" s="55" t="s">
        <v>2574</v>
      </c>
      <c r="G6883" s="60">
        <v>1</v>
      </c>
      <c r="H6883"/>
      <c r="J6883" s="7"/>
      <c r="K6883" s="2"/>
      <c r="O6883">
        <f t="shared" si="1247"/>
        <v>0</v>
      </c>
      <c r="P6883" s="57">
        <f t="shared" si="1248"/>
        <v>1</v>
      </c>
      <c r="Q6883" s="267">
        <f t="shared" si="1249"/>
        <v>1</v>
      </c>
      <c r="R6883" s="23">
        <f t="shared" si="1250"/>
        <v>1</v>
      </c>
      <c r="S6883" s="23">
        <f t="shared" si="1251"/>
        <v>0</v>
      </c>
      <c r="T6883" s="23" t="str">
        <f t="shared" si="1252"/>
        <v/>
      </c>
      <c r="U6883" t="str">
        <f t="shared" si="1253"/>
        <v>PA_Merce_2018p~Rep-precinct committeewoman sharpsville 2,(vote for not more than  1)</v>
      </c>
      <c r="V6883" s="40"/>
      <c r="AF6883" s="274"/>
      <c r="AT6883" s="20"/>
      <c r="AU6883" s="29"/>
      <c r="AV6883"/>
      <c r="AW6883"/>
    </row>
    <row r="6884" spans="1:49">
      <c r="A6884" s="30" t="s">
        <v>3133</v>
      </c>
      <c r="B6884" s="55" t="str">
        <f t="shared" si="1245"/>
        <v>PA_Merce_2018p</v>
      </c>
      <c r="D6884" s="55" t="str">
        <f t="shared" si="1246"/>
        <v>Rep-precinct committeewoman sharpsville 3,(vote for not more than  1)</v>
      </c>
      <c r="E6884" s="55" t="s">
        <v>2574</v>
      </c>
      <c r="G6884" s="60">
        <v>1</v>
      </c>
      <c r="H6884"/>
      <c r="J6884" s="7"/>
      <c r="K6884" s="2"/>
      <c r="O6884">
        <f t="shared" si="1247"/>
        <v>0</v>
      </c>
      <c r="P6884" s="57">
        <f t="shared" si="1248"/>
        <v>1</v>
      </c>
      <c r="Q6884" s="267">
        <f t="shared" si="1249"/>
        <v>1</v>
      </c>
      <c r="R6884" s="23">
        <f t="shared" si="1250"/>
        <v>1</v>
      </c>
      <c r="S6884" s="23">
        <f t="shared" si="1251"/>
        <v>0</v>
      </c>
      <c r="T6884" s="23" t="str">
        <f t="shared" si="1252"/>
        <v/>
      </c>
      <c r="U6884" t="str">
        <f t="shared" si="1253"/>
        <v>PA_Merce_2018p~Rep-precinct committeewoman sharpsville 3,(vote for not more than  1)</v>
      </c>
      <c r="V6884" s="40"/>
      <c r="AF6884" s="274"/>
      <c r="AT6884" s="20"/>
      <c r="AU6884" s="29"/>
      <c r="AV6884"/>
      <c r="AW6884"/>
    </row>
    <row r="6885" spans="1:49">
      <c r="A6885" s="30" t="s">
        <v>3134</v>
      </c>
      <c r="B6885" s="55" t="str">
        <f t="shared" si="1245"/>
        <v>PA_Merce_2018p</v>
      </c>
      <c r="D6885" s="55" t="str">
        <f t="shared" si="1246"/>
        <v>Rep-precinct committeewoman sharpsville 4,(vote for not more than  1)</v>
      </c>
      <c r="E6885" s="55" t="s">
        <v>2574</v>
      </c>
      <c r="G6885" s="60">
        <v>1</v>
      </c>
      <c r="H6885"/>
      <c r="J6885" s="7"/>
      <c r="K6885" s="2"/>
      <c r="O6885">
        <f t="shared" si="1247"/>
        <v>0</v>
      </c>
      <c r="P6885" s="57">
        <f t="shared" si="1248"/>
        <v>1</v>
      </c>
      <c r="Q6885" s="267">
        <f t="shared" si="1249"/>
        <v>1</v>
      </c>
      <c r="R6885" s="23">
        <f t="shared" si="1250"/>
        <v>1</v>
      </c>
      <c r="S6885" s="23">
        <f t="shared" si="1251"/>
        <v>0</v>
      </c>
      <c r="T6885" s="23" t="str">
        <f t="shared" si="1252"/>
        <v/>
      </c>
      <c r="U6885" t="str">
        <f t="shared" si="1253"/>
        <v>PA_Merce_2018p~Rep-precinct committeewoman sharpsville 4,(vote for not more than  1)</v>
      </c>
      <c r="V6885" s="40"/>
      <c r="AF6885" s="274"/>
      <c r="AT6885" s="20"/>
      <c r="AU6885" s="29"/>
      <c r="AV6885"/>
      <c r="AW6885"/>
    </row>
    <row r="6886" spans="1:49">
      <c r="A6886" s="30" t="s">
        <v>3135</v>
      </c>
      <c r="B6886" s="55" t="str">
        <f t="shared" si="1245"/>
        <v>PA_Merce_2018p</v>
      </c>
      <c r="D6886" s="55" t="str">
        <f t="shared" si="1246"/>
        <v>Rep-precinct committeewoman sheakleyville,(vote for not more than  1)</v>
      </c>
      <c r="E6886" s="55" t="s">
        <v>2574</v>
      </c>
      <c r="G6886" s="60">
        <v>0</v>
      </c>
      <c r="H6886"/>
      <c r="J6886" s="7"/>
      <c r="K6886" s="2"/>
      <c r="O6886">
        <f t="shared" si="1247"/>
        <v>0</v>
      </c>
      <c r="P6886" s="57">
        <f t="shared" si="1248"/>
        <v>1</v>
      </c>
      <c r="Q6886" s="267">
        <f t="shared" si="1249"/>
        <v>0</v>
      </c>
      <c r="R6886" s="23">
        <f t="shared" si="1250"/>
        <v>1</v>
      </c>
      <c r="S6886" s="23">
        <f t="shared" si="1251"/>
        <v>0</v>
      </c>
      <c r="T6886" s="23" t="str">
        <f t="shared" si="1252"/>
        <v/>
      </c>
      <c r="U6886" t="str">
        <f t="shared" si="1253"/>
        <v>PA_Merce_2018p~Rep-precinct committeewoman sheakleyville,(vote for not more than  1)</v>
      </c>
      <c r="V6886" s="40"/>
      <c r="AF6886" s="274"/>
      <c r="AT6886" s="20"/>
      <c r="AU6886" s="29"/>
      <c r="AV6886"/>
      <c r="AW6886"/>
    </row>
    <row r="6887" spans="1:49">
      <c r="A6887" s="30" t="s">
        <v>3136</v>
      </c>
      <c r="B6887" s="55" t="str">
        <f t="shared" si="1245"/>
        <v>PA_Merce_2018p</v>
      </c>
      <c r="D6887" s="55" t="str">
        <f t="shared" si="1246"/>
        <v>Rep-precinct committeewoman shenango east,(vote for not more than  1)</v>
      </c>
      <c r="E6887" s="55" t="s">
        <v>2574</v>
      </c>
      <c r="G6887" s="60">
        <v>0</v>
      </c>
      <c r="H6887"/>
      <c r="J6887" s="7"/>
      <c r="K6887" s="2"/>
      <c r="O6887">
        <f t="shared" si="1247"/>
        <v>0</v>
      </c>
      <c r="P6887" s="57">
        <f t="shared" si="1248"/>
        <v>1</v>
      </c>
      <c r="Q6887" s="267">
        <f t="shared" si="1249"/>
        <v>0</v>
      </c>
      <c r="R6887" s="23">
        <f t="shared" si="1250"/>
        <v>1</v>
      </c>
      <c r="S6887" s="23">
        <f t="shared" si="1251"/>
        <v>0</v>
      </c>
      <c r="T6887" s="23" t="str">
        <f t="shared" si="1252"/>
        <v/>
      </c>
      <c r="U6887" t="str">
        <f t="shared" si="1253"/>
        <v>PA_Merce_2018p~Rep-precinct committeewoman shenango east,(vote for not more than  1)</v>
      </c>
      <c r="V6887" s="40"/>
      <c r="AF6887" s="274"/>
      <c r="AT6887" s="20"/>
      <c r="AU6887" s="29"/>
      <c r="AV6887"/>
      <c r="AW6887"/>
    </row>
    <row r="6888" spans="1:49">
      <c r="A6888" s="30" t="s">
        <v>3137</v>
      </c>
      <c r="B6888" s="55" t="str">
        <f t="shared" ref="B6888:B6920" si="1254">LEFT(A6888,14)</f>
        <v>PA_Merce_2018p</v>
      </c>
      <c r="D6888" s="55" t="str">
        <f t="shared" ref="D6888:D6920" si="1255">MID(A6888,16,99)</f>
        <v>Rep-precinct committeewoman shenango west,(vote for not more than  1)</v>
      </c>
      <c r="E6888" s="55" t="s">
        <v>2574</v>
      </c>
      <c r="G6888" s="60">
        <v>3</v>
      </c>
      <c r="H6888"/>
      <c r="J6888" s="7"/>
      <c r="K6888" s="2"/>
      <c r="O6888">
        <f t="shared" si="1247"/>
        <v>0</v>
      </c>
      <c r="P6888" s="57">
        <f t="shared" si="1248"/>
        <v>1</v>
      </c>
      <c r="Q6888" s="267">
        <f t="shared" si="1249"/>
        <v>3</v>
      </c>
      <c r="R6888" s="23">
        <f t="shared" si="1250"/>
        <v>1</v>
      </c>
      <c r="S6888" s="23">
        <f t="shared" si="1251"/>
        <v>0</v>
      </c>
      <c r="T6888" s="23" t="str">
        <f t="shared" si="1252"/>
        <v/>
      </c>
      <c r="U6888" t="str">
        <f t="shared" si="1253"/>
        <v>PA_Merce_2018p~Rep-precinct committeewoman shenango west,(vote for not more than  1)</v>
      </c>
      <c r="V6888" s="40"/>
      <c r="AF6888" s="274"/>
      <c r="AT6888" s="20"/>
      <c r="AU6888" s="29"/>
      <c r="AV6888"/>
      <c r="AW6888"/>
    </row>
    <row r="6889" spans="1:49">
      <c r="A6889" s="30" t="s">
        <v>3138</v>
      </c>
      <c r="B6889" s="55" t="str">
        <f t="shared" si="1254"/>
        <v>PA_Merce_2018p</v>
      </c>
      <c r="D6889" s="55" t="str">
        <f t="shared" si="1255"/>
        <v>Rep-precinct committeewoman south pymatuning,(vote for not more than  1)</v>
      </c>
      <c r="E6889" s="55" t="s">
        <v>2574</v>
      </c>
      <c r="G6889" s="60">
        <v>4</v>
      </c>
      <c r="H6889"/>
      <c r="J6889" s="7"/>
      <c r="K6889" s="2"/>
      <c r="O6889">
        <f t="shared" si="1247"/>
        <v>0</v>
      </c>
      <c r="P6889" s="57">
        <f t="shared" si="1248"/>
        <v>1</v>
      </c>
      <c r="Q6889" s="267">
        <f t="shared" si="1249"/>
        <v>8</v>
      </c>
      <c r="R6889" s="23">
        <f t="shared" si="1250"/>
        <v>1</v>
      </c>
      <c r="S6889" s="23">
        <f t="shared" si="1251"/>
        <v>0</v>
      </c>
      <c r="T6889" s="23" t="str">
        <f t="shared" si="1252"/>
        <v/>
      </c>
      <c r="U6889" t="str">
        <f t="shared" si="1253"/>
        <v>PA_Merce_2018p~Rep-precinct committeewoman south pymatuning,(vote for not more than  1)</v>
      </c>
      <c r="V6889" s="40"/>
      <c r="AF6889" s="274"/>
      <c r="AT6889" s="20"/>
      <c r="AU6889" s="29"/>
      <c r="AV6889"/>
      <c r="AW6889"/>
    </row>
    <row r="6890" spans="1:49">
      <c r="A6890" s="30" t="s">
        <v>3138</v>
      </c>
      <c r="B6890" s="55" t="str">
        <f t="shared" si="1254"/>
        <v>PA_Merce_2018p</v>
      </c>
      <c r="D6890" s="55" t="str">
        <f t="shared" si="1255"/>
        <v>Rep-precinct committeewoman south pymatuning,(vote for not more than  1)</v>
      </c>
      <c r="E6890" s="55" t="s">
        <v>2574</v>
      </c>
      <c r="G6890" s="60">
        <v>4</v>
      </c>
      <c r="H6890"/>
      <c r="J6890" s="7"/>
      <c r="K6890" s="2"/>
      <c r="O6890">
        <f t="shared" si="1247"/>
        <v>0</v>
      </c>
      <c r="P6890" s="57">
        <f t="shared" si="1248"/>
        <v>1</v>
      </c>
      <c r="Q6890" s="267">
        <f t="shared" si="1249"/>
        <v>4</v>
      </c>
      <c r="R6890" s="23">
        <f t="shared" si="1250"/>
        <v>1</v>
      </c>
      <c r="S6890" s="23">
        <f t="shared" si="1251"/>
        <v>0</v>
      </c>
      <c r="T6890" s="23" t="str">
        <f t="shared" si="1252"/>
        <v/>
      </c>
      <c r="U6890" t="str">
        <f t="shared" si="1253"/>
        <v/>
      </c>
      <c r="V6890" s="40"/>
      <c r="AF6890" s="274"/>
      <c r="AT6890" s="20"/>
      <c r="AU6890" s="29"/>
      <c r="AV6890"/>
      <c r="AW6890"/>
    </row>
    <row r="6891" spans="1:49">
      <c r="A6891" s="30" t="s">
        <v>3138</v>
      </c>
      <c r="B6891" s="55" t="str">
        <f t="shared" si="1254"/>
        <v>PA_Merce_2018p</v>
      </c>
      <c r="D6891" s="55" t="str">
        <f t="shared" si="1255"/>
        <v>Rep-precinct committeewoman south pymatuning,(vote for not more than  1)</v>
      </c>
      <c r="E6891" s="55" t="s">
        <v>2574</v>
      </c>
      <c r="G6891" s="60">
        <v>0</v>
      </c>
      <c r="H6891"/>
      <c r="J6891" s="7"/>
      <c r="K6891" s="2"/>
      <c r="O6891">
        <f t="shared" si="1247"/>
        <v>0</v>
      </c>
      <c r="P6891" s="57">
        <f t="shared" si="1248"/>
        <v>1</v>
      </c>
      <c r="Q6891" s="267">
        <f t="shared" si="1249"/>
        <v>0</v>
      </c>
      <c r="R6891" s="23">
        <f t="shared" si="1250"/>
        <v>1</v>
      </c>
      <c r="S6891" s="23">
        <f t="shared" si="1251"/>
        <v>0</v>
      </c>
      <c r="T6891" s="23" t="str">
        <f t="shared" si="1252"/>
        <v/>
      </c>
      <c r="U6891" t="str">
        <f t="shared" si="1253"/>
        <v/>
      </c>
      <c r="V6891" s="40"/>
      <c r="AF6891" s="274"/>
      <c r="AT6891" s="20"/>
      <c r="AU6891" s="29"/>
      <c r="AV6891"/>
      <c r="AW6891"/>
    </row>
    <row r="6892" spans="1:49">
      <c r="A6892" s="30" t="s">
        <v>3139</v>
      </c>
      <c r="B6892" s="55" t="str">
        <f t="shared" si="1254"/>
        <v>PA_Merce_2018p</v>
      </c>
      <c r="D6892" s="55" t="str">
        <f t="shared" si="1255"/>
        <v>Rep-precinct committeewoman springfield east,(vote for not more than  1)</v>
      </c>
      <c r="E6892" s="55" t="s">
        <v>2574</v>
      </c>
      <c r="G6892" s="60">
        <v>2</v>
      </c>
      <c r="H6892"/>
      <c r="J6892" s="7"/>
      <c r="K6892" s="2"/>
      <c r="O6892">
        <f t="shared" si="1247"/>
        <v>0</v>
      </c>
      <c r="P6892" s="57">
        <f t="shared" si="1248"/>
        <v>1</v>
      </c>
      <c r="Q6892" s="267">
        <f t="shared" si="1249"/>
        <v>2</v>
      </c>
      <c r="R6892" s="23">
        <f t="shared" si="1250"/>
        <v>1</v>
      </c>
      <c r="S6892" s="23">
        <f t="shared" si="1251"/>
        <v>0</v>
      </c>
      <c r="T6892" s="23" t="str">
        <f t="shared" si="1252"/>
        <v/>
      </c>
      <c r="U6892" t="str">
        <f t="shared" si="1253"/>
        <v>PA_Merce_2018p~Rep-precinct committeewoman springfield east,(vote for not more than  1)</v>
      </c>
      <c r="V6892" s="40"/>
      <c r="AF6892" s="274"/>
      <c r="AT6892" s="20"/>
      <c r="AU6892" s="29"/>
      <c r="AV6892"/>
      <c r="AW6892"/>
    </row>
    <row r="6893" spans="1:49">
      <c r="A6893" s="30" t="s">
        <v>3140</v>
      </c>
      <c r="B6893" s="55" t="str">
        <f t="shared" si="1254"/>
        <v>PA_Merce_2018p</v>
      </c>
      <c r="D6893" s="55" t="str">
        <f t="shared" si="1255"/>
        <v>Rep-precinct committeewoman springfield west,(vote for not more than  1)</v>
      </c>
      <c r="E6893" s="55" t="s">
        <v>2574</v>
      </c>
      <c r="G6893" s="60">
        <v>6</v>
      </c>
      <c r="H6893"/>
      <c r="J6893" s="7"/>
      <c r="K6893" s="2"/>
      <c r="O6893">
        <f t="shared" si="1247"/>
        <v>0</v>
      </c>
      <c r="P6893" s="57">
        <f t="shared" si="1248"/>
        <v>1</v>
      </c>
      <c r="Q6893" s="267">
        <f t="shared" si="1249"/>
        <v>6</v>
      </c>
      <c r="R6893" s="23">
        <f t="shared" si="1250"/>
        <v>1</v>
      </c>
      <c r="S6893" s="23">
        <f t="shared" si="1251"/>
        <v>0</v>
      </c>
      <c r="T6893" s="23" t="str">
        <f t="shared" si="1252"/>
        <v/>
      </c>
      <c r="U6893" t="str">
        <f t="shared" si="1253"/>
        <v>PA_Merce_2018p~Rep-precinct committeewoman springfield west,(vote for not more than  1)</v>
      </c>
      <c r="V6893" s="40"/>
      <c r="AF6893" s="274"/>
      <c r="AT6893" s="20"/>
      <c r="AU6893" s="29"/>
      <c r="AV6893"/>
      <c r="AW6893"/>
    </row>
    <row r="6894" spans="1:49">
      <c r="A6894" s="30" t="s">
        <v>3141</v>
      </c>
      <c r="B6894" s="55" t="str">
        <f t="shared" si="1254"/>
        <v>PA_Merce_2018p</v>
      </c>
      <c r="D6894" s="55" t="str">
        <f t="shared" si="1255"/>
        <v>Rep-precinct committeewoman stoneboro,(vote for not more than  1)</v>
      </c>
      <c r="E6894" s="55" t="s">
        <v>2574</v>
      </c>
      <c r="G6894" s="60">
        <v>4</v>
      </c>
      <c r="H6894"/>
      <c r="J6894" s="7"/>
      <c r="K6894" s="2"/>
      <c r="O6894">
        <f t="shared" si="1247"/>
        <v>0</v>
      </c>
      <c r="P6894" s="57">
        <f t="shared" si="1248"/>
        <v>1</v>
      </c>
      <c r="Q6894" s="267">
        <f t="shared" si="1249"/>
        <v>4</v>
      </c>
      <c r="R6894" s="23">
        <f t="shared" si="1250"/>
        <v>1</v>
      </c>
      <c r="S6894" s="23">
        <f t="shared" si="1251"/>
        <v>0</v>
      </c>
      <c r="T6894" s="23" t="str">
        <f t="shared" si="1252"/>
        <v/>
      </c>
      <c r="U6894" t="str">
        <f t="shared" si="1253"/>
        <v>PA_Merce_2018p~Rep-precinct committeewoman stoneboro,(vote for not more than  1)</v>
      </c>
      <c r="V6894" s="40"/>
      <c r="AF6894" s="274"/>
      <c r="AT6894" s="20"/>
      <c r="AU6894" s="29"/>
      <c r="AV6894"/>
      <c r="AW6894"/>
    </row>
    <row r="6895" spans="1:49">
      <c r="A6895" s="30" t="s">
        <v>3142</v>
      </c>
      <c r="B6895" s="55" t="str">
        <f t="shared" si="1254"/>
        <v>PA_Merce_2018p</v>
      </c>
      <c r="D6895" s="55" t="str">
        <f t="shared" si="1255"/>
        <v>Rep-precinct committeewoman sugar grove,(vote for not more than  1)</v>
      </c>
      <c r="E6895" s="55" t="s">
        <v>2574</v>
      </c>
      <c r="G6895" s="60">
        <v>0</v>
      </c>
      <c r="H6895"/>
      <c r="J6895" s="7"/>
      <c r="K6895" s="2"/>
      <c r="O6895">
        <f t="shared" si="1247"/>
        <v>0</v>
      </c>
      <c r="P6895" s="57">
        <f t="shared" si="1248"/>
        <v>1</v>
      </c>
      <c r="Q6895" s="267">
        <f t="shared" si="1249"/>
        <v>0</v>
      </c>
      <c r="R6895" s="23">
        <f t="shared" si="1250"/>
        <v>1</v>
      </c>
      <c r="S6895" s="23">
        <f t="shared" si="1251"/>
        <v>0</v>
      </c>
      <c r="T6895" s="23" t="str">
        <f t="shared" si="1252"/>
        <v/>
      </c>
      <c r="U6895" t="str">
        <f t="shared" si="1253"/>
        <v>PA_Merce_2018p~Rep-precinct committeewoman sugar grove,(vote for not more than  1)</v>
      </c>
      <c r="V6895" s="40"/>
      <c r="AF6895" s="274"/>
      <c r="AT6895" s="20"/>
      <c r="AU6895" s="29"/>
      <c r="AV6895"/>
      <c r="AW6895"/>
    </row>
    <row r="6896" spans="1:49">
      <c r="A6896" s="30" t="s">
        <v>3143</v>
      </c>
      <c r="B6896" s="55" t="str">
        <f t="shared" si="1254"/>
        <v>PA_Merce_2018p</v>
      </c>
      <c r="D6896" s="55" t="str">
        <f t="shared" si="1255"/>
        <v>Rep-precinct committeewoman west middlesex,(vote for not more than  1)</v>
      </c>
      <c r="E6896" s="55" t="s">
        <v>2574</v>
      </c>
      <c r="G6896" s="60">
        <v>0</v>
      </c>
      <c r="H6896"/>
      <c r="J6896" s="7"/>
      <c r="K6896" s="2"/>
      <c r="O6896">
        <f t="shared" si="1247"/>
        <v>0</v>
      </c>
      <c r="P6896" s="57">
        <f t="shared" si="1248"/>
        <v>1</v>
      </c>
      <c r="Q6896" s="267">
        <f t="shared" si="1249"/>
        <v>0</v>
      </c>
      <c r="R6896" s="23">
        <f t="shared" si="1250"/>
        <v>1</v>
      </c>
      <c r="S6896" s="23">
        <f t="shared" si="1251"/>
        <v>0</v>
      </c>
      <c r="T6896" s="23" t="str">
        <f t="shared" si="1252"/>
        <v/>
      </c>
      <c r="U6896" t="str">
        <f t="shared" si="1253"/>
        <v>PA_Merce_2018p~Rep-precinct committeewoman west middlesex,(vote for not more than  1)</v>
      </c>
      <c r="V6896" s="40"/>
      <c r="AF6896" s="274"/>
      <c r="AT6896" s="20"/>
      <c r="AU6896" s="29"/>
      <c r="AV6896"/>
      <c r="AW6896"/>
    </row>
    <row r="6897" spans="1:49">
      <c r="A6897" s="30" t="s">
        <v>3144</v>
      </c>
      <c r="B6897" s="55" t="str">
        <f t="shared" si="1254"/>
        <v>PA_Merce_2018p</v>
      </c>
      <c r="D6897" s="55" t="str">
        <f t="shared" si="1255"/>
        <v>Rep-precinct committeewoman west salem east,(vote for not more than  1)</v>
      </c>
      <c r="E6897" s="55" t="s">
        <v>3145</v>
      </c>
      <c r="G6897" s="60">
        <v>84</v>
      </c>
      <c r="H6897"/>
      <c r="J6897" s="7"/>
      <c r="K6897" s="2"/>
      <c r="O6897">
        <f t="shared" si="1247"/>
        <v>1</v>
      </c>
      <c r="P6897" s="57">
        <f t="shared" si="1248"/>
        <v>1</v>
      </c>
      <c r="Q6897" s="267">
        <f t="shared" si="1249"/>
        <v>84</v>
      </c>
      <c r="R6897" s="23">
        <f t="shared" si="1250"/>
        <v>84</v>
      </c>
      <c r="S6897" s="23">
        <f t="shared" si="1251"/>
        <v>0</v>
      </c>
      <c r="T6897" s="23" t="str">
        <f t="shared" si="1252"/>
        <v/>
      </c>
      <c r="U6897" t="str">
        <f t="shared" si="1253"/>
        <v>PA_Merce_2018p~Rep-precinct committeewoman west salem east,(vote for not more than  1)</v>
      </c>
      <c r="V6897" s="40"/>
      <c r="AF6897" s="274"/>
      <c r="AT6897" s="20"/>
      <c r="AU6897" s="29"/>
      <c r="AV6897"/>
      <c r="AW6897"/>
    </row>
    <row r="6898" spans="1:49">
      <c r="A6898" s="30" t="s">
        <v>3144</v>
      </c>
      <c r="B6898" s="55" t="str">
        <f t="shared" si="1254"/>
        <v>PA_Merce_2018p</v>
      </c>
      <c r="D6898" s="55" t="str">
        <f t="shared" si="1255"/>
        <v>Rep-precinct committeewoman west salem east,(vote for not more than  1)</v>
      </c>
      <c r="E6898" s="55" t="s">
        <v>2574</v>
      </c>
      <c r="G6898" s="60">
        <v>0</v>
      </c>
      <c r="H6898"/>
      <c r="J6898" s="7"/>
      <c r="K6898" s="2"/>
      <c r="O6898">
        <f t="shared" si="1247"/>
        <v>-1</v>
      </c>
      <c r="P6898" s="57">
        <f t="shared" si="1248"/>
        <v>1</v>
      </c>
      <c r="Q6898" s="267">
        <f t="shared" si="1249"/>
        <v>0</v>
      </c>
      <c r="R6898" s="23">
        <f t="shared" si="1250"/>
        <v>1</v>
      </c>
      <c r="S6898" s="23">
        <f t="shared" si="1251"/>
        <v>0</v>
      </c>
      <c r="T6898" s="23" t="str">
        <f t="shared" si="1252"/>
        <v/>
      </c>
      <c r="U6898" t="str">
        <f t="shared" si="1253"/>
        <v/>
      </c>
      <c r="V6898" s="40"/>
      <c r="AF6898" s="274"/>
      <c r="AT6898" s="20"/>
      <c r="AU6898" s="29"/>
      <c r="AV6898"/>
      <c r="AW6898"/>
    </row>
    <row r="6899" spans="1:49">
      <c r="A6899" s="30" t="s">
        <v>3146</v>
      </c>
      <c r="B6899" s="55" t="str">
        <f t="shared" si="1254"/>
        <v>PA_Merce_2018p</v>
      </c>
      <c r="D6899" s="55" t="str">
        <f t="shared" si="1255"/>
        <v>Rep-precinct committeewoman west salem west,(vote for not more than  1)</v>
      </c>
      <c r="E6899" s="55" t="s">
        <v>2574</v>
      </c>
      <c r="G6899" s="60">
        <v>1</v>
      </c>
      <c r="H6899"/>
      <c r="J6899" s="7"/>
      <c r="K6899" s="2"/>
      <c r="O6899">
        <f t="shared" si="1247"/>
        <v>0</v>
      </c>
      <c r="P6899" s="57">
        <f t="shared" si="1248"/>
        <v>1</v>
      </c>
      <c r="Q6899" s="267">
        <f t="shared" si="1249"/>
        <v>1</v>
      </c>
      <c r="R6899" s="23">
        <f t="shared" si="1250"/>
        <v>1</v>
      </c>
      <c r="S6899" s="23">
        <f t="shared" si="1251"/>
        <v>0</v>
      </c>
      <c r="T6899" s="23" t="str">
        <f t="shared" si="1252"/>
        <v/>
      </c>
      <c r="U6899" t="str">
        <f t="shared" si="1253"/>
        <v>PA_Merce_2018p~Rep-precinct committeewoman west salem west,(vote for not more than  1)</v>
      </c>
      <c r="V6899" s="40"/>
      <c r="AF6899" s="274"/>
      <c r="AT6899" s="20"/>
      <c r="AU6899" s="29"/>
      <c r="AV6899"/>
      <c r="AW6899"/>
    </row>
    <row r="6900" spans="1:49">
      <c r="A6900" s="30" t="s">
        <v>3147</v>
      </c>
      <c r="B6900" s="55" t="str">
        <f t="shared" si="1254"/>
        <v>PA_Merce_2018p</v>
      </c>
      <c r="D6900" s="55" t="str">
        <f t="shared" si="1255"/>
        <v>Rep-precinct committeewoman wheatland,(vote for not more than  1)</v>
      </c>
      <c r="E6900" s="55" t="s">
        <v>2574</v>
      </c>
      <c r="G6900" s="60">
        <v>0</v>
      </c>
      <c r="H6900"/>
      <c r="J6900" s="7"/>
      <c r="K6900" s="2"/>
      <c r="O6900">
        <f t="shared" si="1247"/>
        <v>0</v>
      </c>
      <c r="P6900" s="57">
        <f t="shared" si="1248"/>
        <v>1</v>
      </c>
      <c r="Q6900" s="267">
        <f t="shared" si="1249"/>
        <v>0</v>
      </c>
      <c r="R6900" s="23">
        <f t="shared" si="1250"/>
        <v>1</v>
      </c>
      <c r="S6900" s="23">
        <f t="shared" si="1251"/>
        <v>0</v>
      </c>
      <c r="T6900" s="23" t="str">
        <f t="shared" si="1252"/>
        <v/>
      </c>
      <c r="U6900" t="str">
        <f t="shared" si="1253"/>
        <v>PA_Merce_2018p~Rep-precinct committeewoman wheatland,(vote for not more than  1)</v>
      </c>
      <c r="V6900" s="40"/>
      <c r="AF6900" s="274"/>
      <c r="AT6900" s="20"/>
      <c r="AU6900" s="29"/>
      <c r="AV6900"/>
      <c r="AW6900"/>
    </row>
    <row r="6901" spans="1:49">
      <c r="A6901" s="30" t="s">
        <v>3148</v>
      </c>
      <c r="B6901" s="55" t="str">
        <f t="shared" si="1254"/>
        <v>PA_Merce_2018p</v>
      </c>
      <c r="D6901" s="55" t="str">
        <f t="shared" si="1255"/>
        <v>Rep-precinct committeewoman wilmington,(vote for not more than  1)</v>
      </c>
      <c r="E6901" s="55" t="s">
        <v>3149</v>
      </c>
      <c r="G6901" s="60">
        <v>116</v>
      </c>
      <c r="H6901"/>
      <c r="J6901" s="7"/>
      <c r="K6901" s="2"/>
      <c r="O6901">
        <f t="shared" si="1247"/>
        <v>1</v>
      </c>
      <c r="P6901" s="57">
        <f t="shared" si="1248"/>
        <v>1</v>
      </c>
      <c r="Q6901" s="267">
        <f t="shared" si="1249"/>
        <v>116</v>
      </c>
      <c r="R6901" s="23">
        <f t="shared" si="1250"/>
        <v>116</v>
      </c>
      <c r="S6901" s="23">
        <f t="shared" si="1251"/>
        <v>0</v>
      </c>
      <c r="T6901" s="23" t="str">
        <f t="shared" si="1252"/>
        <v/>
      </c>
      <c r="U6901" t="str">
        <f t="shared" si="1253"/>
        <v>PA_Merce_2018p~Rep-precinct committeewoman wilmington,(vote for not more than  1)</v>
      </c>
      <c r="V6901" s="40"/>
      <c r="AF6901" s="274"/>
      <c r="AT6901" s="20"/>
      <c r="AU6901" s="29"/>
      <c r="AV6901"/>
      <c r="AW6901"/>
    </row>
    <row r="6902" spans="1:49">
      <c r="A6902" s="30" t="s">
        <v>3148</v>
      </c>
      <c r="B6902" s="55" t="str">
        <f t="shared" si="1254"/>
        <v>PA_Merce_2018p</v>
      </c>
      <c r="D6902" s="55" t="str">
        <f t="shared" si="1255"/>
        <v>Rep-precinct committeewoman wilmington,(vote for not more than  1)</v>
      </c>
      <c r="E6902" s="55" t="s">
        <v>2574</v>
      </c>
      <c r="G6902" s="60">
        <v>0</v>
      </c>
      <c r="H6902"/>
      <c r="J6902" s="7"/>
      <c r="K6902" s="2"/>
      <c r="O6902">
        <f t="shared" si="1247"/>
        <v>-1</v>
      </c>
      <c r="P6902" s="57">
        <f t="shared" si="1248"/>
        <v>1</v>
      </c>
      <c r="Q6902" s="267">
        <f t="shared" si="1249"/>
        <v>0</v>
      </c>
      <c r="R6902" s="23">
        <f t="shared" si="1250"/>
        <v>1</v>
      </c>
      <c r="S6902" s="23">
        <f t="shared" si="1251"/>
        <v>0</v>
      </c>
      <c r="T6902" s="23" t="str">
        <f t="shared" si="1252"/>
        <v/>
      </c>
      <c r="U6902" t="str">
        <f t="shared" si="1253"/>
        <v/>
      </c>
      <c r="V6902" s="40"/>
      <c r="AF6902" s="274"/>
      <c r="AT6902" s="20"/>
      <c r="AU6902" s="29"/>
      <c r="AV6902"/>
      <c r="AW6902"/>
    </row>
    <row r="6903" spans="1:49">
      <c r="A6903" s="30" t="s">
        <v>3150</v>
      </c>
      <c r="B6903" s="55" t="str">
        <f t="shared" si="1254"/>
        <v>PA_Merce_2018p</v>
      </c>
      <c r="D6903" s="55" t="str">
        <f t="shared" si="1255"/>
        <v>Rep-precinct committeewoman wolf creek,(vote for not more than  1)</v>
      </c>
      <c r="E6903" s="55" t="s">
        <v>2574</v>
      </c>
      <c r="G6903" s="60">
        <v>0</v>
      </c>
      <c r="H6903"/>
      <c r="J6903" s="7"/>
      <c r="K6903" s="2"/>
      <c r="O6903">
        <f t="shared" si="1247"/>
        <v>0</v>
      </c>
      <c r="P6903" s="57">
        <f t="shared" si="1248"/>
        <v>1</v>
      </c>
      <c r="Q6903" s="267">
        <f t="shared" si="1249"/>
        <v>0</v>
      </c>
      <c r="R6903" s="23">
        <f t="shared" si="1250"/>
        <v>1</v>
      </c>
      <c r="S6903" s="23">
        <f t="shared" si="1251"/>
        <v>0</v>
      </c>
      <c r="T6903" s="23" t="str">
        <f t="shared" si="1252"/>
        <v/>
      </c>
      <c r="U6903" t="str">
        <f t="shared" si="1253"/>
        <v>PA_Merce_2018p~Rep-precinct committeewoman wolf creek,(vote for not more than  1)</v>
      </c>
      <c r="V6903" s="40"/>
      <c r="AF6903" s="274"/>
      <c r="AT6903" s="20"/>
      <c r="AU6903" s="29"/>
      <c r="AV6903"/>
      <c r="AW6903"/>
    </row>
    <row r="6904" spans="1:49">
      <c r="A6904" s="30" t="s">
        <v>3151</v>
      </c>
      <c r="B6904" s="55" t="str">
        <f t="shared" si="1254"/>
        <v>PA_Merce_2018p</v>
      </c>
      <c r="D6904" s="55" t="str">
        <f t="shared" si="1255"/>
        <v>Rep-precinct committeewoman worth,(vote for not more than  1)</v>
      </c>
      <c r="E6904" s="55" t="s">
        <v>2574</v>
      </c>
      <c r="G6904" s="60">
        <v>0</v>
      </c>
      <c r="H6904"/>
      <c r="J6904" s="7"/>
      <c r="K6904" s="2"/>
      <c r="O6904">
        <f t="shared" si="1247"/>
        <v>0</v>
      </c>
      <c r="P6904" s="57">
        <f t="shared" si="1248"/>
        <v>1</v>
      </c>
      <c r="Q6904" s="267">
        <f t="shared" si="1249"/>
        <v>0</v>
      </c>
      <c r="R6904" s="23">
        <f t="shared" si="1250"/>
        <v>1</v>
      </c>
      <c r="S6904" s="23">
        <f t="shared" si="1251"/>
        <v>0</v>
      </c>
      <c r="T6904" s="23" t="str">
        <f t="shared" si="1252"/>
        <v/>
      </c>
      <c r="U6904" t="str">
        <f t="shared" si="1253"/>
        <v>PA_Merce_2018p~Rep-precinct committeewoman worth,(vote for not more than  1)</v>
      </c>
      <c r="V6904" s="40"/>
      <c r="AF6904" s="274"/>
      <c r="AT6904" s="20"/>
      <c r="AU6904" s="29"/>
      <c r="AV6904"/>
      <c r="AW6904"/>
    </row>
    <row r="6905" spans="1:49">
      <c r="A6905" s="30" t="s">
        <v>3152</v>
      </c>
      <c r="B6905" s="55" t="str">
        <f t="shared" si="1254"/>
        <v>PA_Merce_2018p</v>
      </c>
      <c r="D6905" s="55" t="str">
        <f t="shared" si="1255"/>
        <v>Rep-state committee,(vote for not more than  3)</v>
      </c>
      <c r="E6905" s="55" t="s">
        <v>2984</v>
      </c>
      <c r="G6905" s="60">
        <v>4820</v>
      </c>
      <c r="H6905"/>
      <c r="J6905" s="7"/>
      <c r="K6905" s="2"/>
      <c r="O6905">
        <f t="shared" si="1247"/>
        <v>1</v>
      </c>
      <c r="P6905" s="57">
        <f t="shared" si="1248"/>
        <v>3</v>
      </c>
      <c r="Q6905" s="267">
        <f t="shared" si="1249"/>
        <v>4820</v>
      </c>
      <c r="R6905" s="23">
        <f t="shared" si="1250"/>
        <v>4277</v>
      </c>
      <c r="S6905" s="23">
        <f t="shared" si="1251"/>
        <v>0</v>
      </c>
      <c r="T6905" s="23" t="str">
        <f t="shared" si="1252"/>
        <v/>
      </c>
      <c r="U6905" t="str">
        <f t="shared" si="1253"/>
        <v>PA_Merce_2018p~Rep-state committee,(vote for not more than  3)</v>
      </c>
      <c r="V6905" s="40"/>
      <c r="AF6905" s="274"/>
      <c r="AT6905" s="20"/>
      <c r="AU6905" s="29"/>
      <c r="AV6905"/>
      <c r="AW6905"/>
    </row>
    <row r="6906" spans="1:49">
      <c r="A6906" s="30" t="s">
        <v>3152</v>
      </c>
      <c r="B6906" s="55" t="str">
        <f t="shared" si="1254"/>
        <v>PA_Merce_2018p</v>
      </c>
      <c r="D6906" s="55" t="str">
        <f t="shared" si="1255"/>
        <v>Rep-state committee,(vote for not more than  3)</v>
      </c>
      <c r="E6906" s="55" t="s">
        <v>3111</v>
      </c>
      <c r="G6906" s="60">
        <v>4740</v>
      </c>
      <c r="H6906"/>
      <c r="J6906" s="7"/>
      <c r="K6906" s="2"/>
      <c r="O6906">
        <f t="shared" si="1247"/>
        <v>2</v>
      </c>
      <c r="P6906" s="57">
        <f t="shared" si="1248"/>
        <v>3</v>
      </c>
      <c r="Q6906" s="267">
        <f t="shared" si="1249"/>
        <v>9080</v>
      </c>
      <c r="R6906" s="23">
        <f t="shared" si="1250"/>
        <v>4277</v>
      </c>
      <c r="S6906" s="23">
        <f t="shared" si="1251"/>
        <v>0</v>
      </c>
      <c r="T6906" s="23" t="str">
        <f t="shared" si="1252"/>
        <v/>
      </c>
      <c r="U6906" t="str">
        <f t="shared" si="1253"/>
        <v/>
      </c>
      <c r="V6906" s="40"/>
      <c r="AF6906" s="274"/>
      <c r="AT6906" s="20"/>
      <c r="AU6906" s="29"/>
      <c r="AV6906"/>
      <c r="AW6906"/>
    </row>
    <row r="6907" spans="1:49">
      <c r="A6907" s="30" t="s">
        <v>3152</v>
      </c>
      <c r="B6907" s="55" t="str">
        <f t="shared" si="1254"/>
        <v>PA_Merce_2018p</v>
      </c>
      <c r="D6907" s="55" t="str">
        <f t="shared" si="1255"/>
        <v>Rep-state committee,(vote for not more than  3)</v>
      </c>
      <c r="E6907" s="55" t="s">
        <v>2988</v>
      </c>
      <c r="G6907" s="60">
        <v>4277</v>
      </c>
      <c r="H6907"/>
      <c r="J6907" s="7"/>
      <c r="K6907" s="2"/>
      <c r="O6907">
        <f t="shared" si="1247"/>
        <v>3</v>
      </c>
      <c r="P6907" s="57">
        <f t="shared" si="1248"/>
        <v>3</v>
      </c>
      <c r="Q6907" s="267">
        <f t="shared" si="1249"/>
        <v>4340</v>
      </c>
      <c r="R6907" s="23">
        <f t="shared" si="1250"/>
        <v>4277</v>
      </c>
      <c r="S6907" s="23">
        <f t="shared" si="1251"/>
        <v>0</v>
      </c>
      <c r="T6907" s="23" t="str">
        <f t="shared" si="1252"/>
        <v/>
      </c>
      <c r="U6907" t="str">
        <f t="shared" si="1253"/>
        <v/>
      </c>
      <c r="V6907" s="40"/>
      <c r="AF6907" s="274"/>
      <c r="AT6907" s="20"/>
      <c r="AU6907" s="29"/>
      <c r="AV6907"/>
      <c r="AW6907"/>
    </row>
    <row r="6908" spans="1:49">
      <c r="A6908" s="30" t="s">
        <v>3152</v>
      </c>
      <c r="B6908" s="55" t="str">
        <f t="shared" si="1254"/>
        <v>PA_Merce_2018p</v>
      </c>
      <c r="D6908" s="55" t="str">
        <f t="shared" si="1255"/>
        <v>Rep-state committee,(vote for not more than  3)</v>
      </c>
      <c r="E6908" s="55" t="s">
        <v>2574</v>
      </c>
      <c r="G6908" s="60">
        <v>63</v>
      </c>
      <c r="H6908"/>
      <c r="J6908" s="7"/>
      <c r="K6908" s="2"/>
      <c r="O6908">
        <f t="shared" si="1247"/>
        <v>-3</v>
      </c>
      <c r="P6908" s="57">
        <f t="shared" si="1248"/>
        <v>3</v>
      </c>
      <c r="Q6908" s="267">
        <f t="shared" si="1249"/>
        <v>63</v>
      </c>
      <c r="R6908" s="23">
        <f t="shared" si="1250"/>
        <v>1</v>
      </c>
      <c r="S6908" s="23">
        <f t="shared" si="1251"/>
        <v>0</v>
      </c>
      <c r="T6908" s="23" t="str">
        <f t="shared" si="1252"/>
        <v/>
      </c>
      <c r="U6908" t="str">
        <f t="shared" si="1253"/>
        <v/>
      </c>
      <c r="V6908" s="40"/>
      <c r="AF6908" s="274"/>
      <c r="AT6908" s="20"/>
      <c r="AU6908" s="29"/>
      <c r="AV6908"/>
      <c r="AW6908"/>
    </row>
    <row r="6909" spans="1:49">
      <c r="A6909" s="30" t="s">
        <v>3153</v>
      </c>
      <c r="B6909" s="55" t="str">
        <f t="shared" si="1254"/>
        <v>PA_Merce_2018p</v>
      </c>
      <c r="D6909" s="55" t="str">
        <f t="shared" si="1255"/>
        <v>Rep-state rep, 17th district,(vote for not more than  1)</v>
      </c>
      <c r="E6909" s="55" t="s">
        <v>2950</v>
      </c>
      <c r="G6909" s="60">
        <v>1265</v>
      </c>
      <c r="H6909"/>
      <c r="J6909" s="7"/>
      <c r="K6909" s="2"/>
      <c r="O6909">
        <f t="shared" si="1247"/>
        <v>1</v>
      </c>
      <c r="P6909" s="57">
        <f t="shared" si="1248"/>
        <v>1</v>
      </c>
      <c r="Q6909" s="267">
        <f t="shared" si="1249"/>
        <v>1274</v>
      </c>
      <c r="R6909" s="23">
        <f t="shared" si="1250"/>
        <v>1265</v>
      </c>
      <c r="S6909" s="23">
        <f t="shared" si="1251"/>
        <v>0</v>
      </c>
      <c r="T6909" s="23" t="str">
        <f t="shared" si="1252"/>
        <v/>
      </c>
      <c r="U6909" t="str">
        <f t="shared" si="1253"/>
        <v>PA_Merce_2018p~Rep-state rep, 17th district,(vote for not more than  1)</v>
      </c>
      <c r="V6909" s="40"/>
      <c r="AF6909" s="274"/>
      <c r="AT6909" s="20"/>
      <c r="AU6909" s="29"/>
      <c r="AV6909"/>
      <c r="AW6909"/>
    </row>
    <row r="6910" spans="1:49">
      <c r="A6910" s="30" t="s">
        <v>3153</v>
      </c>
      <c r="B6910" s="55" t="str">
        <f t="shared" si="1254"/>
        <v>PA_Merce_2018p</v>
      </c>
      <c r="D6910" s="55" t="str">
        <f t="shared" si="1255"/>
        <v>Rep-state rep, 17th district,(vote for not more than  1)</v>
      </c>
      <c r="E6910" s="55" t="s">
        <v>2574</v>
      </c>
      <c r="G6910" s="60">
        <v>9</v>
      </c>
      <c r="H6910"/>
      <c r="J6910" s="7"/>
      <c r="K6910" s="2"/>
      <c r="O6910">
        <f t="shared" si="1247"/>
        <v>-1</v>
      </c>
      <c r="P6910" s="57">
        <f t="shared" si="1248"/>
        <v>1</v>
      </c>
      <c r="Q6910" s="267">
        <f t="shared" si="1249"/>
        <v>9</v>
      </c>
      <c r="R6910" s="23">
        <f t="shared" si="1250"/>
        <v>1</v>
      </c>
      <c r="S6910" s="23">
        <f t="shared" si="1251"/>
        <v>0</v>
      </c>
      <c r="T6910" s="23" t="str">
        <f t="shared" si="1252"/>
        <v/>
      </c>
      <c r="U6910" t="str">
        <f t="shared" si="1253"/>
        <v/>
      </c>
      <c r="V6910" s="40"/>
      <c r="AF6910" s="274"/>
      <c r="AT6910" s="20"/>
      <c r="AU6910" s="29"/>
      <c r="AV6910"/>
      <c r="AW6910"/>
    </row>
    <row r="6911" spans="1:49">
      <c r="A6911" s="30" t="s">
        <v>3154</v>
      </c>
      <c r="B6911" s="55" t="str">
        <f t="shared" si="1254"/>
        <v>PA_Merce_2018p</v>
      </c>
      <c r="D6911" s="55" t="str">
        <f t="shared" si="1255"/>
        <v>Rep-state rep, 7th district,(vote for not more than  1)</v>
      </c>
      <c r="E6911" s="55" t="s">
        <v>2574</v>
      </c>
      <c r="G6911" s="60">
        <v>731</v>
      </c>
      <c r="H6911"/>
      <c r="J6911" s="7"/>
      <c r="K6911" s="2"/>
      <c r="O6911">
        <f t="shared" si="1247"/>
        <v>0</v>
      </c>
      <c r="P6911" s="57">
        <f t="shared" si="1248"/>
        <v>1</v>
      </c>
      <c r="Q6911" s="267">
        <f t="shared" si="1249"/>
        <v>731</v>
      </c>
      <c r="R6911" s="23">
        <f t="shared" si="1250"/>
        <v>1</v>
      </c>
      <c r="S6911" s="23">
        <f t="shared" si="1251"/>
        <v>0</v>
      </c>
      <c r="T6911" s="23" t="str">
        <f t="shared" si="1252"/>
        <v/>
      </c>
      <c r="U6911" t="str">
        <f t="shared" si="1253"/>
        <v>PA_Merce_2018p~Rep-state rep, 7th district,(vote for not more than  1)</v>
      </c>
      <c r="V6911" s="40"/>
      <c r="AF6911" s="274"/>
      <c r="AT6911" s="20"/>
      <c r="AU6911" s="29"/>
      <c r="AV6911"/>
      <c r="AW6911"/>
    </row>
    <row r="6912" spans="1:49">
      <c r="A6912" s="30" t="s">
        <v>3155</v>
      </c>
      <c r="B6912" s="55" t="str">
        <f t="shared" si="1254"/>
        <v>PA_Merce_2018p</v>
      </c>
      <c r="D6912" s="55" t="str">
        <f t="shared" si="1255"/>
        <v>Rep-state rep, 8th district,(vote for not more than  1)</v>
      </c>
      <c r="E6912" s="55" t="s">
        <v>3156</v>
      </c>
      <c r="G6912" s="60">
        <v>2811</v>
      </c>
      <c r="H6912"/>
      <c r="J6912" s="7"/>
      <c r="K6912" s="2"/>
      <c r="O6912">
        <f t="shared" si="1247"/>
        <v>1</v>
      </c>
      <c r="P6912" s="57">
        <f t="shared" si="1248"/>
        <v>1</v>
      </c>
      <c r="Q6912" s="267">
        <f t="shared" si="1249"/>
        <v>2832</v>
      </c>
      <c r="R6912" s="23">
        <f t="shared" si="1250"/>
        <v>2811</v>
      </c>
      <c r="S6912" s="23">
        <f t="shared" si="1251"/>
        <v>0</v>
      </c>
      <c r="T6912" s="23" t="str">
        <f t="shared" si="1252"/>
        <v/>
      </c>
      <c r="U6912" t="str">
        <f t="shared" si="1253"/>
        <v>PA_Merce_2018p~Rep-state rep, 8th district,(vote for not more than  1)</v>
      </c>
      <c r="V6912" s="40"/>
      <c r="AF6912" s="274"/>
      <c r="AT6912" s="20"/>
      <c r="AU6912" s="29"/>
      <c r="AV6912"/>
      <c r="AW6912"/>
    </row>
    <row r="6913" spans="1:49">
      <c r="A6913" s="30" t="s">
        <v>3155</v>
      </c>
      <c r="B6913" s="55" t="str">
        <f t="shared" si="1254"/>
        <v>PA_Merce_2018p</v>
      </c>
      <c r="D6913" s="55" t="str">
        <f t="shared" si="1255"/>
        <v>Rep-state rep, 8th district,(vote for not more than  1)</v>
      </c>
      <c r="E6913" s="55" t="s">
        <v>2574</v>
      </c>
      <c r="G6913" s="60">
        <v>21</v>
      </c>
      <c r="H6913"/>
      <c r="J6913" s="7"/>
      <c r="K6913" s="2"/>
      <c r="O6913">
        <f t="shared" si="1247"/>
        <v>-1</v>
      </c>
      <c r="P6913" s="57">
        <f t="shared" si="1248"/>
        <v>1</v>
      </c>
      <c r="Q6913" s="267">
        <f t="shared" si="1249"/>
        <v>21</v>
      </c>
      <c r="R6913" s="23">
        <f t="shared" si="1250"/>
        <v>1</v>
      </c>
      <c r="S6913" s="23">
        <f t="shared" si="1251"/>
        <v>0</v>
      </c>
      <c r="T6913" s="23" t="str">
        <f t="shared" si="1252"/>
        <v/>
      </c>
      <c r="U6913" t="str">
        <f t="shared" si="1253"/>
        <v/>
      </c>
      <c r="V6913" s="40"/>
      <c r="AF6913" s="274"/>
      <c r="AT6913" s="20"/>
      <c r="AU6913" s="29"/>
      <c r="AV6913"/>
      <c r="AW6913"/>
    </row>
    <row r="6914" spans="1:49">
      <c r="A6914" s="30" t="s">
        <v>3157</v>
      </c>
      <c r="B6914" s="55" t="str">
        <f t="shared" si="1254"/>
        <v>PA_Merce_2018p</v>
      </c>
      <c r="D6914" s="55" t="str">
        <f t="shared" si="1255"/>
        <v>Rep-state sen, 50th district,(vote for not more than  1)</v>
      </c>
      <c r="E6914" s="55" t="s">
        <v>3086</v>
      </c>
      <c r="G6914" s="60">
        <v>6573</v>
      </c>
      <c r="H6914"/>
      <c r="J6914" s="7"/>
      <c r="K6914" s="2"/>
      <c r="O6914">
        <f t="shared" ref="O6914:O6920" si="1256">IF(OR(LOWER(LEFT(E6914,8))="write-in",LOWER(LEFT(E6914,8))="not qual"),IF(A6914=A6913,-ABS(O6913),0),IF(A6914=A6913,ABS(O6913)+1,1))</f>
        <v>1</v>
      </c>
      <c r="P6914" s="57">
        <f t="shared" ref="P6914:P6920" si="1257">1*LEFT(RIGHT(A6914,2),1)</f>
        <v>1</v>
      </c>
      <c r="Q6914" s="267">
        <f t="shared" ref="Q6914:Q6919" si="1258">IF(A6914&lt;&gt;A6915,G6914,IF(A6914=A6913,G6914+Q6915,MAX(G6914,(G6914+Q6915)/P6914)))</f>
        <v>6665</v>
      </c>
      <c r="R6914" s="23">
        <f t="shared" ref="R6914:R6919" si="1259">IF(O6914&gt;P6914,"",IF(O6914=P6914,G6914,IF(A6914=A6915,R6915,IF(O6914&lt;=0,1,G6914))))</f>
        <v>6573</v>
      </c>
      <c r="S6914" s="23">
        <f t="shared" ref="S6914:S6919" si="1260">IF(AND(O6914&gt;P6914,LOWER(LEFT(E6914,8))&lt;&gt;"write-in",LOWER(LEFT(E6914,8))&lt;&gt;"not qual"),G6914,IF(A6914=A6915,S6915,0))</f>
        <v>0</v>
      </c>
      <c r="T6914" s="23" t="str">
        <f t="shared" ref="T6914:T6920" si="1261">IF(OR(A6914=A6913,S6914=0),"",R6914-ABS(S6914))</f>
        <v/>
      </c>
      <c r="U6914" t="str">
        <f t="shared" ref="U6914:U6920" si="1262">IF(A6914=A6913,"",A6914)</f>
        <v>PA_Merce_2018p~Rep-state sen, 50th district,(vote for not more than  1)</v>
      </c>
      <c r="V6914" s="40"/>
      <c r="AF6914" s="274"/>
      <c r="AT6914" s="20"/>
      <c r="AU6914" s="29"/>
      <c r="AV6914"/>
      <c r="AW6914"/>
    </row>
    <row r="6915" spans="1:49">
      <c r="A6915" s="30" t="s">
        <v>3157</v>
      </c>
      <c r="B6915" s="55" t="str">
        <f t="shared" si="1254"/>
        <v>PA_Merce_2018p</v>
      </c>
      <c r="D6915" s="55" t="str">
        <f t="shared" si="1255"/>
        <v>Rep-state sen, 50th district,(vote for not more than  1)</v>
      </c>
      <c r="E6915" s="55" t="s">
        <v>2574</v>
      </c>
      <c r="G6915" s="60">
        <v>92</v>
      </c>
      <c r="H6915"/>
      <c r="J6915" s="7"/>
      <c r="K6915" s="2"/>
      <c r="O6915">
        <f t="shared" si="1256"/>
        <v>-1</v>
      </c>
      <c r="P6915" s="57">
        <f t="shared" si="1257"/>
        <v>1</v>
      </c>
      <c r="Q6915" s="267">
        <f t="shared" si="1258"/>
        <v>92</v>
      </c>
      <c r="R6915" s="23">
        <f t="shared" si="1259"/>
        <v>1</v>
      </c>
      <c r="S6915" s="23">
        <f t="shared" si="1260"/>
        <v>0</v>
      </c>
      <c r="T6915" s="23" t="str">
        <f t="shared" si="1261"/>
        <v/>
      </c>
      <c r="U6915" t="str">
        <f t="shared" si="1262"/>
        <v/>
      </c>
      <c r="V6915" s="40"/>
      <c r="AF6915" s="274"/>
      <c r="AT6915" s="20"/>
      <c r="AU6915" s="29"/>
      <c r="AV6915"/>
      <c r="AW6915"/>
    </row>
    <row r="6916" spans="1:49">
      <c r="A6916" s="30" t="s">
        <v>3158</v>
      </c>
      <c r="B6916" s="55" t="str">
        <f t="shared" si="1254"/>
        <v>PA_Merce_2018p</v>
      </c>
      <c r="D6916" s="55" t="str">
        <f t="shared" si="1255"/>
        <v>Rep-u.s. rep, 16th district,(vote for not more than  1)</v>
      </c>
      <c r="E6916" s="55" t="s">
        <v>3159</v>
      </c>
      <c r="G6916" s="60">
        <v>6465</v>
      </c>
      <c r="H6916"/>
      <c r="J6916" s="7"/>
      <c r="K6916" s="2"/>
      <c r="O6916">
        <f t="shared" si="1256"/>
        <v>1</v>
      </c>
      <c r="P6916" s="57">
        <f t="shared" si="1257"/>
        <v>1</v>
      </c>
      <c r="Q6916" s="267">
        <f t="shared" si="1258"/>
        <v>6595</v>
      </c>
      <c r="R6916" s="23">
        <f t="shared" si="1259"/>
        <v>6465</v>
      </c>
      <c r="S6916" s="23">
        <f t="shared" si="1260"/>
        <v>0</v>
      </c>
      <c r="T6916" s="23" t="str">
        <f t="shared" si="1261"/>
        <v/>
      </c>
      <c r="U6916" t="str">
        <f t="shared" si="1262"/>
        <v>PA_Merce_2018p~Rep-u.s. rep, 16th district,(vote for not more than  1)</v>
      </c>
      <c r="V6916" s="40"/>
      <c r="AF6916" s="274"/>
      <c r="AT6916" s="20"/>
      <c r="AU6916" s="29"/>
      <c r="AV6916"/>
      <c r="AW6916"/>
    </row>
    <row r="6917" spans="1:49">
      <c r="A6917" s="30" t="s">
        <v>3158</v>
      </c>
      <c r="B6917" s="55" t="str">
        <f t="shared" si="1254"/>
        <v>PA_Merce_2018p</v>
      </c>
      <c r="D6917" s="55" t="str">
        <f t="shared" si="1255"/>
        <v>Rep-u.s. rep, 16th district,(vote for not more than  1)</v>
      </c>
      <c r="E6917" s="55" t="s">
        <v>2574</v>
      </c>
      <c r="G6917" s="60">
        <v>130</v>
      </c>
      <c r="H6917"/>
      <c r="J6917" s="7"/>
      <c r="K6917" s="2"/>
      <c r="O6917">
        <f t="shared" si="1256"/>
        <v>-1</v>
      </c>
      <c r="P6917" s="57">
        <f t="shared" si="1257"/>
        <v>1</v>
      </c>
      <c r="Q6917" s="267">
        <f t="shared" si="1258"/>
        <v>130</v>
      </c>
      <c r="R6917" s="23">
        <f t="shared" si="1259"/>
        <v>1</v>
      </c>
      <c r="S6917" s="23">
        <f t="shared" si="1260"/>
        <v>0</v>
      </c>
      <c r="T6917" s="23" t="str">
        <f t="shared" si="1261"/>
        <v/>
      </c>
      <c r="U6917" t="str">
        <f t="shared" si="1262"/>
        <v/>
      </c>
      <c r="V6917" s="40"/>
      <c r="AF6917" s="274"/>
      <c r="AT6917" s="20"/>
      <c r="AU6917" s="29"/>
      <c r="AV6917"/>
      <c r="AW6917"/>
    </row>
    <row r="6918" spans="1:49">
      <c r="A6918" s="30" t="s">
        <v>3160</v>
      </c>
      <c r="B6918" s="55" t="str">
        <f t="shared" si="1254"/>
        <v>PA_Merce_2018p</v>
      </c>
      <c r="D6918" s="55" t="str">
        <f t="shared" si="1255"/>
        <v>Rep-united states senator,(vote for not more than  1)</v>
      </c>
      <c r="E6918" s="55" t="s">
        <v>3161</v>
      </c>
      <c r="G6918" s="60">
        <v>3746</v>
      </c>
      <c r="H6918"/>
      <c r="J6918" s="7"/>
      <c r="K6918" s="2"/>
      <c r="O6918">
        <f t="shared" si="1256"/>
        <v>1</v>
      </c>
      <c r="P6918" s="57">
        <f t="shared" si="1257"/>
        <v>1</v>
      </c>
      <c r="Q6918" s="267">
        <f t="shared" si="1258"/>
        <v>6435</v>
      </c>
      <c r="R6918" s="23">
        <f t="shared" si="1259"/>
        <v>3746</v>
      </c>
      <c r="S6918" s="23">
        <f t="shared" si="1260"/>
        <v>2658</v>
      </c>
      <c r="T6918" s="23">
        <f t="shared" si="1261"/>
        <v>1088</v>
      </c>
      <c r="U6918" t="str">
        <f t="shared" si="1262"/>
        <v>PA_Merce_2018p~Rep-united states senator,(vote for not more than  1)</v>
      </c>
      <c r="V6918" s="40"/>
      <c r="AF6918" s="274"/>
      <c r="AT6918" s="20"/>
      <c r="AU6918" s="29"/>
      <c r="AV6918"/>
      <c r="AW6918"/>
    </row>
    <row r="6919" spans="1:49">
      <c r="A6919" s="30" t="s">
        <v>3160</v>
      </c>
      <c r="B6919" s="55" t="str">
        <f t="shared" si="1254"/>
        <v>PA_Merce_2018p</v>
      </c>
      <c r="D6919" s="55" t="str">
        <f t="shared" si="1255"/>
        <v>Rep-united states senator,(vote for not more than  1)</v>
      </c>
      <c r="E6919" s="55" t="s">
        <v>3162</v>
      </c>
      <c r="G6919" s="60">
        <v>2658</v>
      </c>
      <c r="H6919"/>
      <c r="J6919" s="7"/>
      <c r="K6919" s="2"/>
      <c r="O6919">
        <f t="shared" si="1256"/>
        <v>2</v>
      </c>
      <c r="P6919" s="57">
        <f t="shared" si="1257"/>
        <v>1</v>
      </c>
      <c r="Q6919" s="267">
        <f t="shared" si="1258"/>
        <v>2689</v>
      </c>
      <c r="R6919" s="23" t="str">
        <f t="shared" si="1259"/>
        <v/>
      </c>
      <c r="S6919" s="23">
        <f t="shared" si="1260"/>
        <v>2658</v>
      </c>
      <c r="T6919" s="23" t="str">
        <f t="shared" si="1261"/>
        <v/>
      </c>
      <c r="U6919" t="str">
        <f t="shared" si="1262"/>
        <v/>
      </c>
      <c r="V6919" s="40"/>
      <c r="AF6919" s="274"/>
      <c r="AT6919" s="20"/>
      <c r="AU6919" s="29"/>
      <c r="AV6919"/>
      <c r="AW6919"/>
    </row>
    <row r="6920" spans="1:49">
      <c r="A6920" s="30" t="s">
        <v>3160</v>
      </c>
      <c r="B6920" s="55" t="str">
        <f t="shared" si="1254"/>
        <v>PA_Merce_2018p</v>
      </c>
      <c r="D6920" s="55" t="str">
        <f t="shared" si="1255"/>
        <v>Rep-united states senator,(vote for not more than  1)</v>
      </c>
      <c r="E6920" s="55" t="s">
        <v>2574</v>
      </c>
      <c r="G6920" s="60">
        <v>31</v>
      </c>
      <c r="H6920"/>
      <c r="J6920" s="7"/>
      <c r="K6920" s="2"/>
      <c r="O6920">
        <f t="shared" si="1256"/>
        <v>-2</v>
      </c>
      <c r="P6920" s="57">
        <f t="shared" si="1257"/>
        <v>1</v>
      </c>
      <c r="Q6920" s="267">
        <f>IF(A6920&lt;&gt;A6921,G6920,IF(A6920=A6919,G6920+M6921,MAX(G6920,(G6920+M6921)/P6920)))</f>
        <v>31</v>
      </c>
      <c r="R6920" s="23">
        <f>IF(O6920&gt;P6920,"",IF(O6920=P6920,G6920,IF(A6920=A6921,N6921,IF(O6920&lt;=0,1,G6920))))</f>
        <v>1</v>
      </c>
      <c r="S6920" s="23">
        <f>IF(AND(O6920&gt;P6920,LOWER(LEFT(E6920,8))&lt;&gt;"write-in",LOWER(LEFT(E6920,8))&lt;&gt;"not qual"),G6920,IF(A6920=A6921,O6921,0))</f>
        <v>0</v>
      </c>
      <c r="T6920" s="23" t="str">
        <f t="shared" si="1261"/>
        <v/>
      </c>
      <c r="U6920" t="str">
        <f t="shared" si="1262"/>
        <v/>
      </c>
      <c r="V6920" s="40"/>
      <c r="AF6920" s="274"/>
      <c r="AT6920" s="20"/>
      <c r="AU6920" s="29"/>
      <c r="AV6920"/>
      <c r="AW6920"/>
    </row>
    <row r="6921" spans="1:49" ht="49.95" customHeight="1">
      <c r="A6921" s="330" t="str">
        <f>A1</f>
        <v>rev. 9/9/2023 Election &amp; Contest</v>
      </c>
      <c r="B6921" s="249" t="s">
        <v>1290</v>
      </c>
      <c r="C6921" s="373" t="s">
        <v>7708</v>
      </c>
      <c r="D6921" s="249" t="str">
        <f>D1</f>
        <v>contest</v>
      </c>
      <c r="E6921" s="374" t="s">
        <v>7709</v>
      </c>
      <c r="F6921" s="249" t="s">
        <v>7710</v>
      </c>
      <c r="G6921" s="375" t="s">
        <v>7711</v>
      </c>
      <c r="H6921"/>
      <c r="J6921" s="7"/>
      <c r="K6921" s="2"/>
      <c r="O6921" s="249" t="str">
        <f>O1</f>
        <v>seq</v>
      </c>
      <c r="P6921" s="249" t="str">
        <f t="shared" ref="P6921:U6921" si="1263">P1</f>
        <v>vote for</v>
      </c>
      <c r="Q6921" s="249" t="str">
        <f t="shared" si="1263"/>
        <v>ballots in contest</v>
      </c>
      <c r="R6921" s="249" t="str">
        <f t="shared" si="1263"/>
        <v>lowest winner</v>
      </c>
      <c r="S6921" s="249" t="str">
        <f t="shared" si="1263"/>
        <v>highest loser</v>
      </c>
      <c r="T6921" s="249" t="str">
        <f t="shared" si="1263"/>
        <v>margin</v>
      </c>
      <c r="U6921" s="249" t="str">
        <f t="shared" si="1263"/>
        <v>election + contest</v>
      </c>
      <c r="V6921" s="376"/>
      <c r="W6921" s="53"/>
      <c r="X6921" s="53"/>
      <c r="Y6921"/>
      <c r="Z6921"/>
      <c r="AA6921" s="23"/>
      <c r="AB6921"/>
      <c r="AC6921" s="272"/>
      <c r="AD6921" s="272"/>
      <c r="AE6921" s="273"/>
      <c r="AF6921" s="274"/>
      <c r="AM6921" s="29"/>
      <c r="AN6921"/>
      <c r="AO6921"/>
      <c r="AP6921"/>
      <c r="AQ6921" s="29"/>
      <c r="AR6921" s="29"/>
      <c r="AS6921" s="29"/>
      <c r="AT6921"/>
      <c r="AV6921"/>
      <c r="AW6921"/>
    </row>
    <row r="6922" spans="1:49">
      <c r="A6922" s="23" t="s">
        <v>7971</v>
      </c>
      <c r="B6922" t="s">
        <v>7712</v>
      </c>
      <c r="C6922">
        <v>1</v>
      </c>
      <c r="D6922" s="55" t="str">
        <f t="shared" ref="D6922:D6985" si="1264">MID(A6922,16,99)</f>
        <v>Judge Court of Appeals*1(vote 1)</v>
      </c>
      <c r="E6922" t="s">
        <v>7713</v>
      </c>
      <c r="F6922" t="s">
        <v>7714</v>
      </c>
      <c r="G6922" s="254">
        <v>156548</v>
      </c>
      <c r="H6922"/>
      <c r="J6922" s="7"/>
      <c r="K6922" s="2"/>
      <c r="O6922">
        <f t="shared" ref="O6922:O6985" si="1265">IF(OR(LOWER(LEFT(E6922,8))="write-in",LOWER(LEFT(E6922,8))="not qual"),IF(A6922=A6921,-ABS(O6921),0),IF(A6922=A6921,ABS(O6921)+1,1))</f>
        <v>1</v>
      </c>
      <c r="P6922" s="57">
        <f t="shared" ref="P6922:P6985" si="1266">1*LEFT(RIGHT(A6922,2),1)</f>
        <v>1</v>
      </c>
      <c r="Q6922" s="267">
        <f t="shared" ref="Q6922:Q6985" si="1267">IF(A6922&lt;&gt;A6923,G6922,IF(A6922=A6921,G6922+Q6923,MAX(G6922,(G6922+Q6923)/P6922)))</f>
        <v>187454</v>
      </c>
      <c r="R6922" s="23">
        <f t="shared" ref="R6922:R6985" si="1268">IF(O6922&gt;P6922,"",IF(O6922=P6922,G6922,IF(A6922=A6923,R6923,IF(O6922&lt;=0,1,G6922))))</f>
        <v>156548</v>
      </c>
      <c r="S6922" s="23">
        <f t="shared" ref="S6922:S6985" si="1269">IF(AND(O6922&gt;P6922,LOWER(LEFT(E6922,8))&lt;&gt;"write-in",LOWER(LEFT(E6922,8))&lt;&gt;"not qual"),G6922,IF(A6922=A6923,S6923,0))</f>
        <v>30906</v>
      </c>
      <c r="T6922" s="23">
        <f t="shared" ref="T6922:T6985" si="1270">IF(OR(A6922=A6921,S6922=0),"",R6922-ABS(S6922))</f>
        <v>125642</v>
      </c>
      <c r="U6922" t="str">
        <f t="shared" ref="U6922:U6985" si="1271">IF(A6922=A6921,"",A6922)</f>
        <v>MD_2020g~Cnty0:Judge Court of Appeals*1(vote 1)</v>
      </c>
      <c r="V6922" s="376"/>
      <c r="W6922" s="53"/>
      <c r="X6922" s="53"/>
      <c r="Y6922"/>
      <c r="Z6922"/>
      <c r="AA6922" s="23"/>
      <c r="AB6922"/>
      <c r="AC6922" s="272"/>
      <c r="AD6922" s="272"/>
      <c r="AE6922" s="273"/>
      <c r="AF6922" s="274"/>
      <c r="AM6922" s="29"/>
      <c r="AN6922"/>
      <c r="AO6922"/>
      <c r="AP6922"/>
      <c r="AQ6922" s="29"/>
      <c r="AR6922" s="29"/>
      <c r="AS6922" s="29"/>
      <c r="AT6922"/>
      <c r="AV6922"/>
      <c r="AW6922"/>
    </row>
    <row r="6923" spans="1:49">
      <c r="A6923" s="23" t="s">
        <v>7971</v>
      </c>
      <c r="B6923" t="s">
        <v>7712</v>
      </c>
      <c r="C6923">
        <v>2</v>
      </c>
      <c r="D6923" s="55" t="str">
        <f t="shared" si="1264"/>
        <v>Judge Court of Appeals*1(vote 1)</v>
      </c>
      <c r="E6923" t="s">
        <v>7713</v>
      </c>
      <c r="F6923" t="s">
        <v>7714</v>
      </c>
      <c r="G6923" s="254">
        <v>30906</v>
      </c>
      <c r="H6923"/>
      <c r="J6923" s="7"/>
      <c r="K6923" s="2"/>
      <c r="O6923">
        <f t="shared" si="1265"/>
        <v>2</v>
      </c>
      <c r="P6923" s="57">
        <f t="shared" si="1266"/>
        <v>1</v>
      </c>
      <c r="Q6923" s="267">
        <f t="shared" si="1267"/>
        <v>30906</v>
      </c>
      <c r="R6923" s="23" t="str">
        <f t="shared" si="1268"/>
        <v/>
      </c>
      <c r="S6923" s="23">
        <f t="shared" si="1269"/>
        <v>30906</v>
      </c>
      <c r="T6923" s="23" t="str">
        <f t="shared" si="1270"/>
        <v/>
      </c>
      <c r="U6923" t="str">
        <f t="shared" si="1271"/>
        <v/>
      </c>
      <c r="V6923" s="376"/>
      <c r="W6923" s="53"/>
      <c r="X6923" s="53"/>
      <c r="Y6923"/>
      <c r="Z6923"/>
      <c r="AA6923" s="23"/>
      <c r="AB6923"/>
      <c r="AC6923" s="272"/>
      <c r="AD6923" s="272"/>
      <c r="AE6923" s="273"/>
      <c r="AF6923" s="274"/>
      <c r="AM6923" s="29"/>
      <c r="AN6923"/>
      <c r="AO6923"/>
      <c r="AP6923"/>
      <c r="AQ6923" s="29"/>
      <c r="AR6923" s="29"/>
      <c r="AS6923" s="29"/>
      <c r="AT6923"/>
      <c r="AV6923"/>
      <c r="AW6923"/>
    </row>
    <row r="6924" spans="1:49">
      <c r="A6924" s="23" t="s">
        <v>7972</v>
      </c>
      <c r="B6924" t="s">
        <v>7712</v>
      </c>
      <c r="C6924">
        <v>1</v>
      </c>
      <c r="D6924" s="55" t="str">
        <f t="shared" si="1264"/>
        <v>Judge Court of Appeals*5(vote 1)</v>
      </c>
      <c r="E6924" t="s">
        <v>7715</v>
      </c>
      <c r="F6924" t="s">
        <v>7714</v>
      </c>
      <c r="G6924" s="254">
        <v>321333</v>
      </c>
      <c r="H6924"/>
      <c r="J6924" s="7"/>
      <c r="K6924" s="2"/>
      <c r="O6924">
        <f t="shared" si="1265"/>
        <v>1</v>
      </c>
      <c r="P6924" s="57">
        <f t="shared" si="1266"/>
        <v>1</v>
      </c>
      <c r="Q6924" s="267">
        <f t="shared" si="1267"/>
        <v>404668</v>
      </c>
      <c r="R6924" s="23">
        <f t="shared" si="1268"/>
        <v>321333</v>
      </c>
      <c r="S6924" s="23">
        <f t="shared" si="1269"/>
        <v>83335</v>
      </c>
      <c r="T6924" s="23">
        <f t="shared" si="1270"/>
        <v>237998</v>
      </c>
      <c r="U6924" t="str">
        <f t="shared" si="1271"/>
        <v>MD_2020g~Cnty0:Judge Court of Appeals*5(vote 1)</v>
      </c>
      <c r="V6924" s="376"/>
      <c r="W6924" s="53"/>
      <c r="X6924" s="53"/>
      <c r="Y6924"/>
      <c r="Z6924"/>
      <c r="AA6924" s="23"/>
      <c r="AB6924"/>
      <c r="AC6924" s="272"/>
      <c r="AD6924" s="272"/>
      <c r="AE6924" s="273"/>
      <c r="AF6924" s="274"/>
      <c r="AM6924" s="29"/>
      <c r="AN6924"/>
      <c r="AO6924"/>
      <c r="AP6924"/>
      <c r="AQ6924" s="29"/>
      <c r="AR6924" s="29"/>
      <c r="AS6924" s="29"/>
      <c r="AT6924"/>
      <c r="AV6924"/>
      <c r="AW6924"/>
    </row>
    <row r="6925" spans="1:49">
      <c r="A6925" s="23" t="s">
        <v>7972</v>
      </c>
      <c r="B6925" t="s">
        <v>7712</v>
      </c>
      <c r="C6925">
        <v>2</v>
      </c>
      <c r="D6925" s="55" t="str">
        <f t="shared" si="1264"/>
        <v>Judge Court of Appeals*5(vote 1)</v>
      </c>
      <c r="E6925" t="s">
        <v>7715</v>
      </c>
      <c r="F6925" t="s">
        <v>7714</v>
      </c>
      <c r="G6925" s="254">
        <v>83335</v>
      </c>
      <c r="H6925"/>
      <c r="J6925" s="7"/>
      <c r="K6925" s="2"/>
      <c r="O6925">
        <f t="shared" si="1265"/>
        <v>2</v>
      </c>
      <c r="P6925" s="57">
        <f t="shared" si="1266"/>
        <v>1</v>
      </c>
      <c r="Q6925" s="267">
        <f t="shared" si="1267"/>
        <v>83335</v>
      </c>
      <c r="R6925" s="23" t="str">
        <f t="shared" si="1268"/>
        <v/>
      </c>
      <c r="S6925" s="23">
        <f t="shared" si="1269"/>
        <v>83335</v>
      </c>
      <c r="T6925" s="23" t="str">
        <f t="shared" si="1270"/>
        <v/>
      </c>
      <c r="U6925" t="str">
        <f t="shared" si="1271"/>
        <v/>
      </c>
      <c r="V6925" s="376"/>
      <c r="W6925" s="53"/>
      <c r="X6925" s="53"/>
      <c r="Y6925"/>
      <c r="Z6925"/>
      <c r="AA6925" s="23"/>
      <c r="AB6925"/>
      <c r="AC6925" s="272"/>
      <c r="AD6925" s="272"/>
      <c r="AE6925" s="273"/>
      <c r="AF6925" s="274"/>
      <c r="AM6925" s="29"/>
      <c r="AN6925"/>
      <c r="AO6925"/>
      <c r="AP6925"/>
      <c r="AQ6925" s="29"/>
      <c r="AR6925" s="29"/>
      <c r="AS6925" s="29"/>
      <c r="AT6925"/>
      <c r="AV6925"/>
      <c r="AW6925"/>
    </row>
    <row r="6926" spans="1:49">
      <c r="A6926" s="23" t="s">
        <v>7973</v>
      </c>
      <c r="B6926" t="s">
        <v>7712</v>
      </c>
      <c r="C6926">
        <v>1</v>
      </c>
      <c r="D6926" s="55" t="str">
        <f t="shared" si="1264"/>
        <v>Judge Court of Appeals*7(vote 1)</v>
      </c>
      <c r="E6926" t="s">
        <v>7716</v>
      </c>
      <c r="F6926" t="s">
        <v>7714</v>
      </c>
      <c r="G6926" s="254">
        <v>401403</v>
      </c>
      <c r="H6926"/>
      <c r="J6926" s="7"/>
      <c r="K6926" s="2"/>
      <c r="O6926">
        <f t="shared" si="1265"/>
        <v>1</v>
      </c>
      <c r="P6926" s="57">
        <f t="shared" si="1266"/>
        <v>1</v>
      </c>
      <c r="Q6926" s="267">
        <f t="shared" si="1267"/>
        <v>444597</v>
      </c>
      <c r="R6926" s="23">
        <f t="shared" si="1268"/>
        <v>401403</v>
      </c>
      <c r="S6926" s="23">
        <f t="shared" si="1269"/>
        <v>43194</v>
      </c>
      <c r="T6926" s="23">
        <f t="shared" si="1270"/>
        <v>358209</v>
      </c>
      <c r="U6926" t="str">
        <f t="shared" si="1271"/>
        <v>MD_2020g~Cnty0:Judge Court of Appeals*7(vote 1)</v>
      </c>
      <c r="V6926" s="376"/>
      <c r="W6926" s="53"/>
      <c r="X6926" s="53"/>
      <c r="Y6926"/>
      <c r="Z6926"/>
      <c r="AA6926" s="23"/>
      <c r="AB6926"/>
      <c r="AC6926" s="272"/>
      <c r="AD6926" s="272"/>
      <c r="AE6926" s="273"/>
      <c r="AF6926" s="274"/>
      <c r="AM6926" s="29"/>
      <c r="AN6926"/>
      <c r="AO6926"/>
      <c r="AP6926"/>
      <c r="AQ6926" s="29"/>
      <c r="AR6926" s="29"/>
      <c r="AS6926" s="29"/>
      <c r="AT6926"/>
      <c r="AV6926"/>
      <c r="AW6926"/>
    </row>
    <row r="6927" spans="1:49">
      <c r="A6927" s="23" t="s">
        <v>7973</v>
      </c>
      <c r="B6927" t="s">
        <v>7712</v>
      </c>
      <c r="C6927">
        <v>2</v>
      </c>
      <c r="D6927" s="55" t="str">
        <f t="shared" si="1264"/>
        <v>Judge Court of Appeals*7(vote 1)</v>
      </c>
      <c r="E6927" t="s">
        <v>7716</v>
      </c>
      <c r="F6927" t="s">
        <v>7714</v>
      </c>
      <c r="G6927" s="254">
        <v>43194</v>
      </c>
      <c r="H6927"/>
      <c r="J6927" s="7"/>
      <c r="K6927" s="2"/>
      <c r="O6927">
        <f t="shared" si="1265"/>
        <v>2</v>
      </c>
      <c r="P6927" s="57">
        <f t="shared" si="1266"/>
        <v>1</v>
      </c>
      <c r="Q6927" s="267">
        <f t="shared" si="1267"/>
        <v>43194</v>
      </c>
      <c r="R6927" s="23" t="str">
        <f t="shared" si="1268"/>
        <v/>
      </c>
      <c r="S6927" s="23">
        <f t="shared" si="1269"/>
        <v>43194</v>
      </c>
      <c r="T6927" s="23" t="str">
        <f t="shared" si="1270"/>
        <v/>
      </c>
      <c r="U6927" t="str">
        <f t="shared" si="1271"/>
        <v/>
      </c>
      <c r="V6927" s="376"/>
      <c r="W6927" s="53"/>
      <c r="X6927" s="53"/>
      <c r="Y6927"/>
      <c r="Z6927"/>
      <c r="AA6927" s="23"/>
      <c r="AB6927"/>
      <c r="AC6927" s="272"/>
      <c r="AD6927" s="272"/>
      <c r="AE6927" s="273"/>
      <c r="AF6927" s="274"/>
      <c r="AM6927" s="29"/>
      <c r="AN6927"/>
      <c r="AO6927"/>
      <c r="AP6927"/>
      <c r="AQ6927" s="29"/>
      <c r="AR6927" s="29"/>
      <c r="AS6927" s="29"/>
      <c r="AT6927"/>
      <c r="AV6927"/>
      <c r="AW6927"/>
    </row>
    <row r="6928" spans="1:49">
      <c r="A6928" s="23" t="s">
        <v>7977</v>
      </c>
      <c r="B6928" t="s">
        <v>7712</v>
      </c>
      <c r="C6928">
        <v>1</v>
      </c>
      <c r="D6928" s="55" t="str">
        <f t="shared" si="1264"/>
        <v>Judge Special Appeals At Large*(vote 1)</v>
      </c>
      <c r="E6928" t="s">
        <v>7720</v>
      </c>
      <c r="F6928" t="s">
        <v>7714</v>
      </c>
      <c r="G6928" s="254">
        <v>2107488</v>
      </c>
      <c r="H6928"/>
      <c r="J6928" s="7"/>
      <c r="K6928" s="2"/>
      <c r="O6928">
        <f t="shared" si="1265"/>
        <v>1</v>
      </c>
      <c r="P6928" s="57">
        <f t="shared" si="1266"/>
        <v>1</v>
      </c>
      <c r="Q6928" s="267">
        <f t="shared" si="1267"/>
        <v>2476090</v>
      </c>
      <c r="R6928" s="23">
        <f t="shared" si="1268"/>
        <v>2107488</v>
      </c>
      <c r="S6928" s="23">
        <f t="shared" si="1269"/>
        <v>368602</v>
      </c>
      <c r="T6928" s="23">
        <f t="shared" si="1270"/>
        <v>1738886</v>
      </c>
      <c r="U6928" t="str">
        <f t="shared" si="1271"/>
        <v>MD_2020g~Cnty0:Judge Special Appeals At Large*(vote 1)</v>
      </c>
      <c r="V6928" s="376"/>
      <c r="W6928" s="53"/>
      <c r="X6928" s="53"/>
      <c r="Y6928"/>
      <c r="Z6928"/>
      <c r="AA6928" s="23"/>
      <c r="AB6928"/>
      <c r="AC6928" s="272"/>
      <c r="AD6928" s="272"/>
      <c r="AE6928" s="273"/>
      <c r="AF6928" s="274"/>
      <c r="AM6928" s="29"/>
      <c r="AN6928"/>
      <c r="AO6928"/>
      <c r="AP6928"/>
      <c r="AQ6928" s="29"/>
      <c r="AR6928" s="29"/>
      <c r="AS6928" s="29"/>
      <c r="AT6928"/>
      <c r="AV6928"/>
      <c r="AW6928"/>
    </row>
    <row r="6929" spans="1:49">
      <c r="A6929" s="23" t="s">
        <v>7977</v>
      </c>
      <c r="B6929" t="s">
        <v>7712</v>
      </c>
      <c r="C6929">
        <v>2</v>
      </c>
      <c r="D6929" s="55" t="str">
        <f t="shared" si="1264"/>
        <v>Judge Special Appeals At Large*(vote 1)</v>
      </c>
      <c r="E6929" t="s">
        <v>7720</v>
      </c>
      <c r="F6929" t="s">
        <v>7714</v>
      </c>
      <c r="G6929" s="254">
        <v>368602</v>
      </c>
      <c r="H6929"/>
      <c r="J6929" s="7"/>
      <c r="K6929" s="2"/>
      <c r="O6929">
        <f t="shared" si="1265"/>
        <v>2</v>
      </c>
      <c r="P6929" s="57">
        <f t="shared" si="1266"/>
        <v>1</v>
      </c>
      <c r="Q6929" s="267">
        <f t="shared" si="1267"/>
        <v>368602</v>
      </c>
      <c r="R6929" s="23" t="str">
        <f t="shared" si="1268"/>
        <v/>
      </c>
      <c r="S6929" s="23">
        <f t="shared" si="1269"/>
        <v>368602</v>
      </c>
      <c r="T6929" s="23" t="str">
        <f t="shared" si="1270"/>
        <v/>
      </c>
      <c r="U6929" t="str">
        <f t="shared" si="1271"/>
        <v/>
      </c>
      <c r="V6929" s="376"/>
      <c r="W6929" s="53"/>
      <c r="X6929" s="53"/>
      <c r="Y6929"/>
      <c r="Z6929"/>
      <c r="AA6929" s="23"/>
      <c r="AB6929"/>
      <c r="AC6929" s="272"/>
      <c r="AD6929" s="272"/>
      <c r="AE6929" s="273"/>
      <c r="AF6929" s="274"/>
      <c r="AM6929" s="29"/>
      <c r="AN6929"/>
      <c r="AO6929"/>
      <c r="AP6929"/>
      <c r="AQ6929" s="29"/>
      <c r="AR6929" s="29"/>
      <c r="AS6929" s="29"/>
      <c r="AT6929"/>
      <c r="AV6929"/>
      <c r="AW6929"/>
    </row>
    <row r="6930" spans="1:49">
      <c r="A6930" s="23" t="s">
        <v>7974</v>
      </c>
      <c r="B6930" t="s">
        <v>7712</v>
      </c>
      <c r="C6930">
        <v>1</v>
      </c>
      <c r="D6930" s="55" t="str">
        <f t="shared" si="1264"/>
        <v>Judge Special Appeals*1(vote 1)</v>
      </c>
      <c r="E6930" t="s">
        <v>7717</v>
      </c>
      <c r="F6930" t="s">
        <v>7714</v>
      </c>
      <c r="G6930" s="254">
        <v>156725</v>
      </c>
      <c r="H6930"/>
      <c r="J6930" s="7"/>
      <c r="K6930" s="2"/>
      <c r="O6930">
        <f t="shared" si="1265"/>
        <v>1</v>
      </c>
      <c r="P6930" s="57">
        <f t="shared" si="1266"/>
        <v>1</v>
      </c>
      <c r="Q6930" s="267">
        <f t="shared" si="1267"/>
        <v>186346</v>
      </c>
      <c r="R6930" s="23">
        <f t="shared" si="1268"/>
        <v>156725</v>
      </c>
      <c r="S6930" s="23">
        <f t="shared" si="1269"/>
        <v>29621</v>
      </c>
      <c r="T6930" s="23">
        <f t="shared" si="1270"/>
        <v>127104</v>
      </c>
      <c r="U6930" t="str">
        <f t="shared" si="1271"/>
        <v>MD_2020g~Cnty0:Judge Special Appeals*1(vote 1)</v>
      </c>
      <c r="V6930" s="376"/>
      <c r="W6930" s="53"/>
      <c r="X6930" s="53"/>
      <c r="Y6930"/>
      <c r="Z6930"/>
      <c r="AA6930" s="23"/>
      <c r="AB6930"/>
      <c r="AC6930" s="272"/>
      <c r="AD6930" s="272"/>
      <c r="AE6930" s="273"/>
      <c r="AF6930" s="274"/>
      <c r="AM6930" s="29"/>
      <c r="AN6930"/>
      <c r="AO6930"/>
      <c r="AP6930"/>
      <c r="AQ6930" s="29"/>
      <c r="AR6930" s="29"/>
      <c r="AS6930" s="29"/>
      <c r="AT6930"/>
      <c r="AV6930"/>
      <c r="AW6930"/>
    </row>
    <row r="6931" spans="1:49">
      <c r="A6931" s="23" t="s">
        <v>7974</v>
      </c>
      <c r="B6931" t="s">
        <v>7712</v>
      </c>
      <c r="C6931">
        <v>2</v>
      </c>
      <c r="D6931" s="55" t="str">
        <f t="shared" si="1264"/>
        <v>Judge Special Appeals*1(vote 1)</v>
      </c>
      <c r="E6931" t="s">
        <v>7717</v>
      </c>
      <c r="F6931" t="s">
        <v>7714</v>
      </c>
      <c r="G6931" s="254">
        <v>29621</v>
      </c>
      <c r="H6931"/>
      <c r="J6931" s="7"/>
      <c r="K6931" s="2"/>
      <c r="O6931">
        <f t="shared" si="1265"/>
        <v>2</v>
      </c>
      <c r="P6931" s="57">
        <f t="shared" si="1266"/>
        <v>1</v>
      </c>
      <c r="Q6931" s="267">
        <f t="shared" si="1267"/>
        <v>29621</v>
      </c>
      <c r="R6931" s="23" t="str">
        <f t="shared" si="1268"/>
        <v/>
      </c>
      <c r="S6931" s="23">
        <f t="shared" si="1269"/>
        <v>29621</v>
      </c>
      <c r="T6931" s="23" t="str">
        <f t="shared" si="1270"/>
        <v/>
      </c>
      <c r="U6931" t="str">
        <f t="shared" si="1271"/>
        <v/>
      </c>
      <c r="V6931" s="376"/>
      <c r="W6931" s="53"/>
      <c r="X6931" s="53"/>
      <c r="Y6931"/>
      <c r="Z6931"/>
      <c r="AA6931" s="23"/>
      <c r="AB6931"/>
      <c r="AC6931" s="272"/>
      <c r="AD6931" s="272"/>
      <c r="AE6931" s="273"/>
      <c r="AF6931" s="274"/>
      <c r="AM6931" s="29"/>
      <c r="AN6931"/>
      <c r="AO6931"/>
      <c r="AP6931"/>
      <c r="AQ6931" s="29"/>
      <c r="AR6931" s="29"/>
      <c r="AS6931" s="29"/>
      <c r="AT6931"/>
      <c r="AV6931"/>
      <c r="AW6931"/>
    </row>
    <row r="6932" spans="1:49">
      <c r="A6932" s="23" t="s">
        <v>7975</v>
      </c>
      <c r="B6932" t="s">
        <v>7712</v>
      </c>
      <c r="C6932">
        <v>1</v>
      </c>
      <c r="D6932" s="55" t="str">
        <f t="shared" si="1264"/>
        <v>Judge Special Appeals*3(vote 1)</v>
      </c>
      <c r="E6932" t="s">
        <v>7718</v>
      </c>
      <c r="F6932" t="s">
        <v>7714</v>
      </c>
      <c r="G6932" s="254">
        <v>366502</v>
      </c>
      <c r="H6932"/>
      <c r="J6932" s="7"/>
      <c r="K6932" s="2"/>
      <c r="O6932">
        <f t="shared" si="1265"/>
        <v>1</v>
      </c>
      <c r="P6932" s="57">
        <f t="shared" si="1266"/>
        <v>1</v>
      </c>
      <c r="Q6932" s="267">
        <f t="shared" si="1267"/>
        <v>428389</v>
      </c>
      <c r="R6932" s="23">
        <f t="shared" si="1268"/>
        <v>366502</v>
      </c>
      <c r="S6932" s="23">
        <f t="shared" si="1269"/>
        <v>61887</v>
      </c>
      <c r="T6932" s="23">
        <f t="shared" si="1270"/>
        <v>304615</v>
      </c>
      <c r="U6932" t="str">
        <f t="shared" si="1271"/>
        <v>MD_2020g~Cnty0:Judge Special Appeals*3(vote 1)</v>
      </c>
      <c r="V6932" s="376"/>
      <c r="W6932" s="53"/>
      <c r="X6932" s="53"/>
      <c r="Y6932"/>
      <c r="Z6932"/>
      <c r="AA6932" s="23"/>
      <c r="AB6932"/>
      <c r="AC6932" s="272"/>
      <c r="AD6932" s="272"/>
      <c r="AE6932" s="273"/>
      <c r="AF6932" s="274"/>
      <c r="AM6932" s="29"/>
      <c r="AN6932"/>
      <c r="AO6932"/>
      <c r="AP6932"/>
      <c r="AQ6932" s="29"/>
      <c r="AR6932" s="29"/>
      <c r="AS6932" s="29"/>
      <c r="AT6932"/>
      <c r="AV6932"/>
      <c r="AW6932"/>
    </row>
    <row r="6933" spans="1:49">
      <c r="A6933" s="23" t="s">
        <v>7975</v>
      </c>
      <c r="B6933" t="s">
        <v>7712</v>
      </c>
      <c r="C6933">
        <v>2</v>
      </c>
      <c r="D6933" s="55" t="str">
        <f t="shared" si="1264"/>
        <v>Judge Special Appeals*3(vote 1)</v>
      </c>
      <c r="E6933" t="s">
        <v>7718</v>
      </c>
      <c r="F6933" t="s">
        <v>7714</v>
      </c>
      <c r="G6933" s="254">
        <v>61887</v>
      </c>
      <c r="H6933"/>
      <c r="J6933" s="7"/>
      <c r="K6933" s="2"/>
      <c r="O6933">
        <f t="shared" si="1265"/>
        <v>2</v>
      </c>
      <c r="P6933" s="57">
        <f t="shared" si="1266"/>
        <v>1</v>
      </c>
      <c r="Q6933" s="267">
        <f t="shared" si="1267"/>
        <v>61887</v>
      </c>
      <c r="R6933" s="23" t="str">
        <f t="shared" si="1268"/>
        <v/>
      </c>
      <c r="S6933" s="23">
        <f t="shared" si="1269"/>
        <v>61887</v>
      </c>
      <c r="T6933" s="23" t="str">
        <f t="shared" si="1270"/>
        <v/>
      </c>
      <c r="U6933" t="str">
        <f t="shared" si="1271"/>
        <v/>
      </c>
      <c r="V6933" s="376"/>
      <c r="W6933" s="53"/>
      <c r="X6933" s="53"/>
      <c r="Y6933"/>
      <c r="Z6933"/>
      <c r="AA6933" s="23"/>
      <c r="AB6933"/>
      <c r="AC6933" s="272"/>
      <c r="AD6933" s="272"/>
      <c r="AE6933" s="273"/>
      <c r="AF6933" s="274"/>
      <c r="AM6933" s="29"/>
      <c r="AN6933"/>
      <c r="AO6933"/>
      <c r="AP6933"/>
      <c r="AQ6933" s="29"/>
      <c r="AR6933" s="29"/>
      <c r="AS6933" s="29"/>
      <c r="AT6933"/>
      <c r="AV6933"/>
      <c r="AW6933"/>
    </row>
    <row r="6934" spans="1:49">
      <c r="A6934" s="23" t="s">
        <v>7976</v>
      </c>
      <c r="B6934" t="s">
        <v>7712</v>
      </c>
      <c r="C6934">
        <v>1</v>
      </c>
      <c r="D6934" s="55" t="str">
        <f t="shared" si="1264"/>
        <v>Judge Special Appeals*7(vote 1)</v>
      </c>
      <c r="E6934" t="s">
        <v>7719</v>
      </c>
      <c r="F6934" t="s">
        <v>7714</v>
      </c>
      <c r="G6934" s="254">
        <v>367243</v>
      </c>
      <c r="H6934"/>
      <c r="J6934" s="7"/>
      <c r="K6934" s="2"/>
      <c r="O6934">
        <f t="shared" si="1265"/>
        <v>1</v>
      </c>
      <c r="P6934" s="57">
        <f t="shared" si="1266"/>
        <v>1</v>
      </c>
      <c r="Q6934" s="267">
        <f t="shared" si="1267"/>
        <v>426978</v>
      </c>
      <c r="R6934" s="23">
        <f t="shared" si="1268"/>
        <v>367243</v>
      </c>
      <c r="S6934" s="23">
        <f t="shared" si="1269"/>
        <v>59735</v>
      </c>
      <c r="T6934" s="23">
        <f t="shared" si="1270"/>
        <v>307508</v>
      </c>
      <c r="U6934" t="str">
        <f t="shared" si="1271"/>
        <v>MD_2020g~Cnty0:Judge Special Appeals*7(vote 1)</v>
      </c>
      <c r="V6934" s="376"/>
      <c r="W6934" s="53"/>
      <c r="X6934" s="53"/>
      <c r="Y6934"/>
      <c r="Z6934"/>
      <c r="AA6934" s="23"/>
      <c r="AB6934"/>
      <c r="AC6934" s="272"/>
      <c r="AD6934" s="272"/>
      <c r="AE6934" s="273"/>
      <c r="AF6934" s="274"/>
      <c r="AM6934" s="29"/>
      <c r="AN6934"/>
      <c r="AO6934"/>
      <c r="AP6934"/>
      <c r="AQ6934" s="29"/>
      <c r="AR6934" s="29"/>
      <c r="AS6934" s="29"/>
      <c r="AT6934"/>
      <c r="AV6934"/>
      <c r="AW6934"/>
    </row>
    <row r="6935" spans="1:49">
      <c r="A6935" s="23" t="s">
        <v>7976</v>
      </c>
      <c r="B6935" t="s">
        <v>7712</v>
      </c>
      <c r="C6935">
        <v>2</v>
      </c>
      <c r="D6935" s="55" t="str">
        <f t="shared" si="1264"/>
        <v>Judge Special Appeals*7(vote 1)</v>
      </c>
      <c r="E6935" t="s">
        <v>7719</v>
      </c>
      <c r="F6935" t="s">
        <v>7714</v>
      </c>
      <c r="G6935" s="254">
        <v>59735</v>
      </c>
      <c r="H6935"/>
      <c r="J6935" s="7"/>
      <c r="K6935" s="2"/>
      <c r="O6935">
        <f t="shared" si="1265"/>
        <v>2</v>
      </c>
      <c r="P6935" s="57">
        <f t="shared" si="1266"/>
        <v>1</v>
      </c>
      <c r="Q6935" s="267">
        <f t="shared" si="1267"/>
        <v>59735</v>
      </c>
      <c r="R6935" s="23" t="str">
        <f t="shared" si="1268"/>
        <v/>
      </c>
      <c r="S6935" s="23">
        <f t="shared" si="1269"/>
        <v>59735</v>
      </c>
      <c r="T6935" s="23" t="str">
        <f t="shared" si="1270"/>
        <v/>
      </c>
      <c r="U6935" t="str">
        <f t="shared" si="1271"/>
        <v/>
      </c>
      <c r="V6935" s="376"/>
      <c r="W6935" s="53"/>
      <c r="X6935" s="53"/>
      <c r="Y6935"/>
      <c r="Z6935"/>
      <c r="AA6935" s="23"/>
      <c r="AB6935"/>
      <c r="AC6935" s="272"/>
      <c r="AD6935" s="272"/>
      <c r="AE6935" s="273"/>
      <c r="AF6935" s="274"/>
      <c r="AM6935" s="29"/>
      <c r="AN6935"/>
      <c r="AO6935"/>
      <c r="AP6935"/>
      <c r="AQ6935" s="29"/>
      <c r="AR6935" s="29"/>
      <c r="AS6935" s="29"/>
      <c r="AT6935"/>
      <c r="AV6935"/>
      <c r="AW6935"/>
    </row>
    <row r="6936" spans="1:49">
      <c r="A6936" s="23" t="s">
        <v>7978</v>
      </c>
      <c r="B6936" t="s">
        <v>7712</v>
      </c>
      <c r="C6936">
        <v>1</v>
      </c>
      <c r="D6936" s="55" t="str">
        <f t="shared" si="1264"/>
        <v>President - Vice Pres*(vote 1)</v>
      </c>
      <c r="E6936" t="s">
        <v>7721</v>
      </c>
      <c r="F6936" t="s">
        <v>1294</v>
      </c>
      <c r="G6936" s="254">
        <v>1985023</v>
      </c>
      <c r="H6936"/>
      <c r="J6936" s="7"/>
      <c r="K6936" s="2"/>
      <c r="O6936">
        <f t="shared" si="1265"/>
        <v>1</v>
      </c>
      <c r="P6936" s="57">
        <f t="shared" si="1266"/>
        <v>1</v>
      </c>
      <c r="Q6936" s="267">
        <f t="shared" si="1267"/>
        <v>3037031</v>
      </c>
      <c r="R6936" s="23">
        <f t="shared" si="1268"/>
        <v>1985023</v>
      </c>
      <c r="S6936" s="23">
        <f t="shared" si="1269"/>
        <v>976414</v>
      </c>
      <c r="T6936" s="23">
        <f t="shared" si="1270"/>
        <v>1008609</v>
      </c>
      <c r="U6936" t="str">
        <f t="shared" si="1271"/>
        <v>MD_2020g~Cnty0:President - Vice Pres*(vote 1)</v>
      </c>
      <c r="V6936" s="376"/>
      <c r="W6936" s="53"/>
      <c r="X6936" s="53"/>
      <c r="Y6936"/>
      <c r="Z6936"/>
      <c r="AA6936" s="23"/>
      <c r="AB6936"/>
      <c r="AC6936" s="272"/>
      <c r="AD6936" s="272"/>
      <c r="AE6936" s="273"/>
      <c r="AF6936" s="274"/>
      <c r="AM6936" s="29"/>
      <c r="AN6936"/>
      <c r="AO6936"/>
      <c r="AP6936"/>
      <c r="AQ6936" s="29"/>
      <c r="AR6936" s="29"/>
      <c r="AS6936" s="29"/>
      <c r="AT6936"/>
      <c r="AV6936"/>
      <c r="AW6936"/>
    </row>
    <row r="6937" spans="1:49">
      <c r="A6937" s="23" t="s">
        <v>7978</v>
      </c>
      <c r="B6937" t="s">
        <v>7712</v>
      </c>
      <c r="C6937">
        <v>1</v>
      </c>
      <c r="D6937" s="55" t="str">
        <f t="shared" si="1264"/>
        <v>President - Vice Pres*(vote 1)</v>
      </c>
      <c r="E6937" t="s">
        <v>4458</v>
      </c>
      <c r="F6937" t="s">
        <v>1296</v>
      </c>
      <c r="G6937" s="254">
        <v>976414</v>
      </c>
      <c r="H6937"/>
      <c r="J6937" s="7"/>
      <c r="K6937" s="2"/>
      <c r="O6937">
        <f t="shared" si="1265"/>
        <v>2</v>
      </c>
      <c r="P6937" s="57">
        <f t="shared" si="1266"/>
        <v>1</v>
      </c>
      <c r="Q6937" s="267">
        <f t="shared" si="1267"/>
        <v>1052008</v>
      </c>
      <c r="R6937" s="23" t="str">
        <f t="shared" si="1268"/>
        <v/>
      </c>
      <c r="S6937" s="23">
        <f t="shared" si="1269"/>
        <v>976414</v>
      </c>
      <c r="T6937" s="23" t="str">
        <f t="shared" si="1270"/>
        <v/>
      </c>
      <c r="U6937" t="str">
        <f t="shared" si="1271"/>
        <v/>
      </c>
      <c r="V6937" s="376"/>
      <c r="W6937" s="53"/>
      <c r="X6937" s="53"/>
      <c r="Y6937"/>
      <c r="Z6937"/>
      <c r="AA6937" s="23"/>
      <c r="AB6937"/>
      <c r="AC6937" s="272"/>
      <c r="AD6937" s="272"/>
      <c r="AE6937" s="273"/>
      <c r="AF6937" s="274"/>
      <c r="AM6937" s="29"/>
      <c r="AN6937"/>
      <c r="AO6937"/>
      <c r="AP6937"/>
      <c r="AQ6937" s="29"/>
      <c r="AR6937" s="29"/>
      <c r="AS6937" s="29"/>
      <c r="AT6937"/>
      <c r="AV6937"/>
      <c r="AW6937"/>
    </row>
    <row r="6938" spans="1:49">
      <c r="A6938" s="23" t="s">
        <v>7978</v>
      </c>
      <c r="B6938" t="s">
        <v>7712</v>
      </c>
      <c r="C6938">
        <v>1</v>
      </c>
      <c r="D6938" s="55" t="str">
        <f t="shared" si="1264"/>
        <v>President - Vice Pres*(vote 1)</v>
      </c>
      <c r="E6938" t="s">
        <v>4338</v>
      </c>
      <c r="F6938" t="s">
        <v>1298</v>
      </c>
      <c r="G6938" s="254">
        <v>33488</v>
      </c>
      <c r="H6938"/>
      <c r="J6938" s="7"/>
      <c r="K6938" s="2"/>
      <c r="O6938">
        <f t="shared" si="1265"/>
        <v>3</v>
      </c>
      <c r="P6938" s="57">
        <f t="shared" si="1266"/>
        <v>1</v>
      </c>
      <c r="Q6938" s="267">
        <f t="shared" si="1267"/>
        <v>75594</v>
      </c>
      <c r="R6938" s="23" t="str">
        <f t="shared" si="1268"/>
        <v/>
      </c>
      <c r="S6938" s="23">
        <f t="shared" si="1269"/>
        <v>33488</v>
      </c>
      <c r="T6938" s="23" t="str">
        <f t="shared" si="1270"/>
        <v/>
      </c>
      <c r="U6938" t="str">
        <f t="shared" si="1271"/>
        <v/>
      </c>
      <c r="V6938" s="376"/>
      <c r="W6938" s="53"/>
      <c r="X6938" s="53"/>
      <c r="Y6938"/>
      <c r="Z6938"/>
      <c r="AA6938" s="23"/>
      <c r="AB6938"/>
      <c r="AC6938" s="272"/>
      <c r="AD6938" s="272"/>
      <c r="AE6938" s="273"/>
      <c r="AF6938" s="274"/>
      <c r="AM6938" s="29"/>
      <c r="AN6938"/>
      <c r="AO6938"/>
      <c r="AP6938"/>
      <c r="AQ6938" s="29"/>
      <c r="AR6938" s="29"/>
      <c r="AS6938" s="29"/>
      <c r="AT6938"/>
      <c r="AV6938"/>
      <c r="AW6938"/>
    </row>
    <row r="6939" spans="1:49">
      <c r="A6939" s="23" t="s">
        <v>7978</v>
      </c>
      <c r="B6939" t="s">
        <v>7712</v>
      </c>
      <c r="C6939">
        <v>1</v>
      </c>
      <c r="D6939" s="55" t="str">
        <f t="shared" si="1264"/>
        <v>President - Vice Pres*(vote 1)</v>
      </c>
      <c r="E6939" t="s">
        <v>7722</v>
      </c>
      <c r="F6939" t="s">
        <v>7714</v>
      </c>
      <c r="G6939" s="254">
        <v>18046</v>
      </c>
      <c r="H6939"/>
      <c r="J6939" s="7"/>
      <c r="K6939" s="2"/>
      <c r="O6939">
        <f t="shared" si="1265"/>
        <v>4</v>
      </c>
      <c r="P6939" s="57">
        <f t="shared" si="1266"/>
        <v>1</v>
      </c>
      <c r="Q6939" s="267">
        <f t="shared" si="1267"/>
        <v>42106</v>
      </c>
      <c r="R6939" s="23" t="str">
        <f t="shared" si="1268"/>
        <v/>
      </c>
      <c r="S6939" s="23">
        <f t="shared" si="1269"/>
        <v>18046</v>
      </c>
      <c r="T6939" s="23" t="str">
        <f t="shared" si="1270"/>
        <v/>
      </c>
      <c r="U6939" t="str">
        <f t="shared" si="1271"/>
        <v/>
      </c>
      <c r="V6939" s="376"/>
      <c r="W6939" s="53"/>
      <c r="X6939" s="53"/>
      <c r="Y6939"/>
      <c r="Z6939"/>
      <c r="AA6939" s="23"/>
      <c r="AB6939"/>
      <c r="AC6939" s="272"/>
      <c r="AD6939" s="272"/>
      <c r="AE6939" s="273"/>
      <c r="AF6939" s="274"/>
      <c r="AM6939" s="29"/>
      <c r="AN6939"/>
      <c r="AO6939"/>
      <c r="AP6939"/>
      <c r="AQ6939" s="29"/>
      <c r="AR6939" s="29"/>
      <c r="AS6939" s="29"/>
      <c r="AT6939"/>
      <c r="AV6939"/>
      <c r="AW6939"/>
    </row>
    <row r="6940" spans="1:49">
      <c r="A6940" s="23" t="s">
        <v>7978</v>
      </c>
      <c r="B6940" t="s">
        <v>7712</v>
      </c>
      <c r="C6940">
        <v>1</v>
      </c>
      <c r="D6940" s="55" t="str">
        <f t="shared" si="1264"/>
        <v>President - Vice Pres*(vote 1)</v>
      </c>
      <c r="E6940" t="s">
        <v>7723</v>
      </c>
      <c r="F6940" t="s">
        <v>1306</v>
      </c>
      <c r="G6940" s="254">
        <v>15799</v>
      </c>
      <c r="H6940"/>
      <c r="J6940" s="7"/>
      <c r="K6940" s="2"/>
      <c r="O6940">
        <f t="shared" si="1265"/>
        <v>5</v>
      </c>
      <c r="P6940" s="57">
        <f t="shared" si="1266"/>
        <v>1</v>
      </c>
      <c r="Q6940" s="267">
        <f t="shared" si="1267"/>
        <v>24060</v>
      </c>
      <c r="R6940" s="23" t="str">
        <f t="shared" si="1268"/>
        <v/>
      </c>
      <c r="S6940" s="23">
        <f t="shared" si="1269"/>
        <v>15799</v>
      </c>
      <c r="T6940" s="23" t="str">
        <f t="shared" si="1270"/>
        <v/>
      </c>
      <c r="U6940" t="str">
        <f t="shared" si="1271"/>
        <v/>
      </c>
      <c r="V6940" s="376"/>
      <c r="W6940" s="53"/>
      <c r="X6940" s="53"/>
      <c r="Y6940"/>
      <c r="Z6940"/>
      <c r="AA6940" s="23"/>
      <c r="AB6940"/>
      <c r="AC6940" s="272"/>
      <c r="AD6940" s="272"/>
      <c r="AE6940" s="273"/>
      <c r="AF6940" s="274"/>
      <c r="AM6940" s="29"/>
      <c r="AN6940"/>
      <c r="AO6940"/>
      <c r="AP6940"/>
      <c r="AQ6940" s="29"/>
      <c r="AR6940" s="29"/>
      <c r="AS6940" s="29"/>
      <c r="AT6940"/>
      <c r="AV6940"/>
      <c r="AW6940"/>
    </row>
    <row r="6941" spans="1:49">
      <c r="A6941" s="23" t="s">
        <v>7978</v>
      </c>
      <c r="B6941" t="s">
        <v>7712</v>
      </c>
      <c r="C6941">
        <v>1</v>
      </c>
      <c r="D6941" s="55" t="str">
        <f t="shared" si="1264"/>
        <v>President - Vice Pres*(vote 1)</v>
      </c>
      <c r="E6941" t="s">
        <v>7724</v>
      </c>
      <c r="F6941" t="s">
        <v>7725</v>
      </c>
      <c r="G6941" s="254">
        <v>5884</v>
      </c>
      <c r="H6941"/>
      <c r="J6941" s="7"/>
      <c r="K6941" s="2"/>
      <c r="O6941">
        <f t="shared" si="1265"/>
        <v>6</v>
      </c>
      <c r="P6941" s="57">
        <f t="shared" si="1266"/>
        <v>1</v>
      </c>
      <c r="Q6941" s="267">
        <f t="shared" si="1267"/>
        <v>8261</v>
      </c>
      <c r="R6941" s="23" t="str">
        <f t="shared" si="1268"/>
        <v/>
      </c>
      <c r="S6941" s="23">
        <f t="shared" si="1269"/>
        <v>5884</v>
      </c>
      <c r="T6941" s="23" t="str">
        <f t="shared" si="1270"/>
        <v/>
      </c>
      <c r="U6941" t="str">
        <f t="shared" si="1271"/>
        <v/>
      </c>
      <c r="V6941" s="376"/>
      <c r="W6941" s="53"/>
      <c r="X6941" s="53"/>
      <c r="Y6941"/>
      <c r="Z6941"/>
      <c r="AA6941" s="23"/>
      <c r="AB6941"/>
      <c r="AC6941" s="272"/>
      <c r="AD6941" s="272"/>
      <c r="AE6941" s="273"/>
      <c r="AF6941" s="274"/>
      <c r="AM6941" s="29"/>
      <c r="AN6941"/>
      <c r="AO6941"/>
      <c r="AP6941"/>
      <c r="AQ6941" s="29"/>
      <c r="AR6941" s="29"/>
      <c r="AS6941" s="29"/>
      <c r="AT6941"/>
      <c r="AV6941"/>
      <c r="AW6941"/>
    </row>
    <row r="6942" spans="1:49">
      <c r="A6942" s="23" t="s">
        <v>7978</v>
      </c>
      <c r="B6942" t="s">
        <v>7712</v>
      </c>
      <c r="C6942">
        <v>1</v>
      </c>
      <c r="D6942" s="55" t="str">
        <f t="shared" si="1264"/>
        <v>President - Vice Pres*(vote 1)</v>
      </c>
      <c r="E6942" t="s">
        <v>7726</v>
      </c>
      <c r="F6942" t="s">
        <v>7727</v>
      </c>
      <c r="G6942" s="254">
        <v>1117</v>
      </c>
      <c r="H6942"/>
      <c r="J6942" s="7"/>
      <c r="K6942" s="2"/>
      <c r="O6942">
        <f t="shared" si="1265"/>
        <v>7</v>
      </c>
      <c r="P6942" s="57">
        <f t="shared" si="1266"/>
        <v>1</v>
      </c>
      <c r="Q6942" s="267">
        <f t="shared" si="1267"/>
        <v>2377</v>
      </c>
      <c r="R6942" s="23" t="str">
        <f t="shared" si="1268"/>
        <v/>
      </c>
      <c r="S6942" s="23">
        <f t="shared" si="1269"/>
        <v>1117</v>
      </c>
      <c r="T6942" s="23" t="str">
        <f t="shared" si="1270"/>
        <v/>
      </c>
      <c r="U6942" t="str">
        <f t="shared" si="1271"/>
        <v/>
      </c>
      <c r="V6942" s="376"/>
      <c r="W6942" s="53"/>
      <c r="X6942" s="53"/>
      <c r="Y6942"/>
      <c r="Z6942"/>
      <c r="AA6942" s="23"/>
      <c r="AB6942"/>
      <c r="AC6942" s="272"/>
      <c r="AD6942" s="272"/>
      <c r="AE6942" s="273"/>
      <c r="AF6942" s="274"/>
      <c r="AM6942" s="29"/>
      <c r="AN6942"/>
      <c r="AO6942"/>
      <c r="AP6942"/>
      <c r="AQ6942" s="29"/>
      <c r="AR6942" s="29"/>
      <c r="AS6942" s="29"/>
      <c r="AT6942"/>
      <c r="AV6942"/>
      <c r="AW6942"/>
    </row>
    <row r="6943" spans="1:49">
      <c r="A6943" s="23" t="s">
        <v>7978</v>
      </c>
      <c r="B6943" t="s">
        <v>7712</v>
      </c>
      <c r="C6943">
        <v>1</v>
      </c>
      <c r="D6943" s="55" t="str">
        <f t="shared" si="1264"/>
        <v>President - Vice Pres*(vote 1)</v>
      </c>
      <c r="E6943" t="s">
        <v>4183</v>
      </c>
      <c r="F6943" t="s">
        <v>7727</v>
      </c>
      <c r="G6943" s="254">
        <v>795</v>
      </c>
      <c r="H6943"/>
      <c r="J6943" s="7"/>
      <c r="K6943" s="2"/>
      <c r="O6943">
        <f t="shared" si="1265"/>
        <v>8</v>
      </c>
      <c r="P6943" s="57">
        <f t="shared" si="1266"/>
        <v>1</v>
      </c>
      <c r="Q6943" s="267">
        <f t="shared" si="1267"/>
        <v>1260</v>
      </c>
      <c r="R6943" s="23" t="str">
        <f t="shared" si="1268"/>
        <v/>
      </c>
      <c r="S6943" s="23">
        <f t="shared" si="1269"/>
        <v>795</v>
      </c>
      <c r="T6943" s="23" t="str">
        <f t="shared" si="1270"/>
        <v/>
      </c>
      <c r="U6943" t="str">
        <f t="shared" si="1271"/>
        <v/>
      </c>
      <c r="V6943" s="376"/>
      <c r="W6943" s="53"/>
      <c r="X6943" s="53"/>
      <c r="Y6943"/>
      <c r="Z6943"/>
      <c r="AA6943" s="23"/>
      <c r="AB6943"/>
      <c r="AC6943" s="272"/>
      <c r="AD6943" s="272"/>
      <c r="AE6943" s="273"/>
      <c r="AF6943" s="274"/>
      <c r="AM6943" s="29"/>
      <c r="AN6943"/>
      <c r="AO6943"/>
      <c r="AP6943"/>
      <c r="AQ6943" s="29"/>
      <c r="AR6943" s="29"/>
      <c r="AS6943" s="29"/>
      <c r="AT6943"/>
      <c r="AV6943"/>
      <c r="AW6943"/>
    </row>
    <row r="6944" spans="1:49">
      <c r="A6944" s="23" t="s">
        <v>7978</v>
      </c>
      <c r="B6944" t="s">
        <v>7712</v>
      </c>
      <c r="C6944">
        <v>1</v>
      </c>
      <c r="D6944" s="55" t="str">
        <f t="shared" si="1264"/>
        <v>President - Vice Pres*(vote 1)</v>
      </c>
      <c r="E6944" t="s">
        <v>7728</v>
      </c>
      <c r="F6944" t="s">
        <v>7727</v>
      </c>
      <c r="G6944" s="254">
        <v>131</v>
      </c>
      <c r="H6944"/>
      <c r="J6944" s="7"/>
      <c r="K6944" s="2"/>
      <c r="O6944">
        <f t="shared" si="1265"/>
        <v>9</v>
      </c>
      <c r="P6944" s="57">
        <f t="shared" si="1266"/>
        <v>1</v>
      </c>
      <c r="Q6944" s="267">
        <f t="shared" si="1267"/>
        <v>465</v>
      </c>
      <c r="R6944" s="23" t="str">
        <f t="shared" si="1268"/>
        <v/>
      </c>
      <c r="S6944" s="23">
        <f t="shared" si="1269"/>
        <v>131</v>
      </c>
      <c r="T6944" s="23" t="str">
        <f t="shared" si="1270"/>
        <v/>
      </c>
      <c r="U6944" t="str">
        <f t="shared" si="1271"/>
        <v/>
      </c>
      <c r="V6944" s="376"/>
      <c r="W6944" s="53"/>
      <c r="X6944" s="53"/>
      <c r="Y6944"/>
      <c r="Z6944"/>
      <c r="AA6944" s="23"/>
      <c r="AB6944"/>
      <c r="AC6944" s="272"/>
      <c r="AD6944" s="272"/>
      <c r="AE6944" s="273"/>
      <c r="AF6944" s="274"/>
      <c r="AM6944" s="29"/>
      <c r="AN6944"/>
      <c r="AO6944"/>
      <c r="AP6944"/>
      <c r="AQ6944" s="29"/>
      <c r="AR6944" s="29"/>
      <c r="AS6944" s="29"/>
      <c r="AT6944"/>
      <c r="AV6944"/>
      <c r="AW6944"/>
    </row>
    <row r="6945" spans="1:49">
      <c r="A6945" s="23" t="s">
        <v>7978</v>
      </c>
      <c r="B6945" t="s">
        <v>7712</v>
      </c>
      <c r="C6945">
        <v>1</v>
      </c>
      <c r="D6945" s="55" t="str">
        <f t="shared" si="1264"/>
        <v>President - Vice Pres*(vote 1)</v>
      </c>
      <c r="E6945" t="s">
        <v>7729</v>
      </c>
      <c r="F6945" t="s">
        <v>7730</v>
      </c>
      <c r="G6945" s="254">
        <v>125</v>
      </c>
      <c r="H6945"/>
      <c r="J6945" s="7"/>
      <c r="K6945" s="2"/>
      <c r="O6945">
        <f t="shared" si="1265"/>
        <v>10</v>
      </c>
      <c r="P6945" s="57">
        <f t="shared" si="1266"/>
        <v>1</v>
      </c>
      <c r="Q6945" s="267">
        <f t="shared" si="1267"/>
        <v>334</v>
      </c>
      <c r="R6945" s="23" t="str">
        <f t="shared" si="1268"/>
        <v/>
      </c>
      <c r="S6945" s="23">
        <f t="shared" si="1269"/>
        <v>125</v>
      </c>
      <c r="T6945" s="23" t="str">
        <f t="shared" si="1270"/>
        <v/>
      </c>
      <c r="U6945" t="str">
        <f t="shared" si="1271"/>
        <v/>
      </c>
      <c r="V6945" s="376"/>
      <c r="W6945" s="53"/>
      <c r="X6945" s="53"/>
      <c r="Y6945"/>
      <c r="Z6945"/>
      <c r="AA6945" s="23"/>
      <c r="AB6945"/>
      <c r="AC6945" s="272"/>
      <c r="AD6945" s="272"/>
      <c r="AE6945" s="273"/>
      <c r="AF6945" s="274"/>
      <c r="AM6945" s="29"/>
      <c r="AN6945"/>
      <c r="AO6945"/>
      <c r="AP6945"/>
      <c r="AQ6945" s="29"/>
      <c r="AR6945" s="29"/>
      <c r="AS6945" s="29"/>
      <c r="AT6945"/>
      <c r="AV6945"/>
      <c r="AW6945"/>
    </row>
    <row r="6946" spans="1:49">
      <c r="A6946" s="23" t="s">
        <v>7978</v>
      </c>
      <c r="B6946" t="s">
        <v>7712</v>
      </c>
      <c r="C6946">
        <v>1</v>
      </c>
      <c r="D6946" s="55" t="str">
        <f t="shared" si="1264"/>
        <v>President - Vice Pres*(vote 1)</v>
      </c>
      <c r="E6946" t="s">
        <v>7731</v>
      </c>
      <c r="F6946" t="s">
        <v>7730</v>
      </c>
      <c r="G6946" s="254">
        <v>32</v>
      </c>
      <c r="H6946"/>
      <c r="J6946" s="7"/>
      <c r="K6946" s="2"/>
      <c r="O6946">
        <f t="shared" si="1265"/>
        <v>11</v>
      </c>
      <c r="P6946" s="57">
        <f t="shared" si="1266"/>
        <v>1</v>
      </c>
      <c r="Q6946" s="267">
        <f t="shared" si="1267"/>
        <v>209</v>
      </c>
      <c r="R6946" s="23" t="str">
        <f t="shared" si="1268"/>
        <v/>
      </c>
      <c r="S6946" s="23">
        <f t="shared" si="1269"/>
        <v>32</v>
      </c>
      <c r="T6946" s="23" t="str">
        <f t="shared" si="1270"/>
        <v/>
      </c>
      <c r="U6946" t="str">
        <f t="shared" si="1271"/>
        <v/>
      </c>
      <c r="V6946" s="376"/>
      <c r="W6946" s="53"/>
      <c r="X6946" s="53"/>
      <c r="Y6946"/>
      <c r="Z6946"/>
      <c r="AA6946" s="23"/>
      <c r="AB6946"/>
      <c r="AC6946" s="272"/>
      <c r="AD6946" s="272"/>
      <c r="AE6946" s="273"/>
      <c r="AF6946" s="274"/>
      <c r="AM6946" s="29"/>
      <c r="AN6946"/>
      <c r="AO6946"/>
      <c r="AP6946"/>
      <c r="AQ6946" s="29"/>
      <c r="AR6946" s="29"/>
      <c r="AS6946" s="29"/>
      <c r="AT6946"/>
      <c r="AV6946"/>
      <c r="AW6946"/>
    </row>
    <row r="6947" spans="1:49">
      <c r="A6947" s="23" t="s">
        <v>7978</v>
      </c>
      <c r="B6947" t="s">
        <v>7712</v>
      </c>
      <c r="C6947">
        <v>1</v>
      </c>
      <c r="D6947" s="55" t="str">
        <f t="shared" si="1264"/>
        <v>President - Vice Pres*(vote 1)</v>
      </c>
      <c r="E6947" t="s">
        <v>4180</v>
      </c>
      <c r="F6947" t="s">
        <v>7727</v>
      </c>
      <c r="G6947" s="254">
        <v>30</v>
      </c>
      <c r="H6947"/>
      <c r="J6947" s="7"/>
      <c r="K6947" s="2"/>
      <c r="O6947">
        <f t="shared" si="1265"/>
        <v>12</v>
      </c>
      <c r="P6947" s="57">
        <f t="shared" si="1266"/>
        <v>1</v>
      </c>
      <c r="Q6947" s="267">
        <f t="shared" si="1267"/>
        <v>177</v>
      </c>
      <c r="R6947" s="23" t="str">
        <f t="shared" si="1268"/>
        <v/>
      </c>
      <c r="S6947" s="23">
        <f t="shared" si="1269"/>
        <v>30</v>
      </c>
      <c r="T6947" s="23" t="str">
        <f t="shared" si="1270"/>
        <v/>
      </c>
      <c r="U6947" t="str">
        <f t="shared" si="1271"/>
        <v/>
      </c>
      <c r="V6947" s="376"/>
      <c r="W6947" s="53"/>
      <c r="X6947" s="53"/>
      <c r="Y6947"/>
      <c r="Z6947"/>
      <c r="AA6947" s="23"/>
      <c r="AB6947"/>
      <c r="AC6947" s="272"/>
      <c r="AD6947" s="272"/>
      <c r="AE6947" s="273"/>
      <c r="AF6947" s="274"/>
      <c r="AM6947" s="29"/>
      <c r="AN6947"/>
      <c r="AO6947"/>
      <c r="AP6947"/>
      <c r="AQ6947" s="29"/>
      <c r="AR6947" s="29"/>
      <c r="AS6947" s="29"/>
      <c r="AT6947"/>
      <c r="AV6947"/>
      <c r="AW6947"/>
    </row>
    <row r="6948" spans="1:49">
      <c r="A6948" s="23" t="s">
        <v>7978</v>
      </c>
      <c r="B6948" t="s">
        <v>7712</v>
      </c>
      <c r="C6948">
        <v>1</v>
      </c>
      <c r="D6948" s="55" t="str">
        <f t="shared" si="1264"/>
        <v>President - Vice Pres*(vote 1)</v>
      </c>
      <c r="E6948" t="s">
        <v>7732</v>
      </c>
      <c r="F6948" t="s">
        <v>7727</v>
      </c>
      <c r="G6948" s="254">
        <v>26</v>
      </c>
      <c r="H6948"/>
      <c r="J6948" s="7"/>
      <c r="K6948" s="2"/>
      <c r="O6948">
        <f t="shared" si="1265"/>
        <v>13</v>
      </c>
      <c r="P6948" s="57">
        <f t="shared" si="1266"/>
        <v>1</v>
      </c>
      <c r="Q6948" s="267">
        <f t="shared" si="1267"/>
        <v>147</v>
      </c>
      <c r="R6948" s="23" t="str">
        <f t="shared" si="1268"/>
        <v/>
      </c>
      <c r="S6948" s="23">
        <f t="shared" si="1269"/>
        <v>26</v>
      </c>
      <c r="T6948" s="23" t="str">
        <f t="shared" si="1270"/>
        <v/>
      </c>
      <c r="U6948" t="str">
        <f t="shared" si="1271"/>
        <v/>
      </c>
      <c r="V6948" s="376"/>
      <c r="W6948" s="53"/>
      <c r="X6948" s="53"/>
      <c r="Y6948"/>
      <c r="Z6948"/>
      <c r="AA6948" s="23"/>
      <c r="AB6948"/>
      <c r="AC6948" s="272"/>
      <c r="AD6948" s="272"/>
      <c r="AE6948" s="273"/>
      <c r="AF6948" s="274"/>
      <c r="AM6948" s="29"/>
      <c r="AN6948"/>
      <c r="AO6948"/>
      <c r="AP6948"/>
      <c r="AQ6948" s="29"/>
      <c r="AR6948" s="29"/>
      <c r="AS6948" s="29"/>
      <c r="AT6948"/>
      <c r="AV6948"/>
      <c r="AW6948"/>
    </row>
    <row r="6949" spans="1:49">
      <c r="A6949" s="23" t="s">
        <v>7978</v>
      </c>
      <c r="B6949" t="s">
        <v>7712</v>
      </c>
      <c r="C6949">
        <v>1</v>
      </c>
      <c r="D6949" s="55" t="str">
        <f t="shared" si="1264"/>
        <v>President - Vice Pres*(vote 1)</v>
      </c>
      <c r="E6949" t="s">
        <v>7733</v>
      </c>
      <c r="F6949" t="s">
        <v>7727</v>
      </c>
      <c r="G6949" s="254">
        <v>23</v>
      </c>
      <c r="H6949"/>
      <c r="J6949" s="7"/>
      <c r="K6949" s="2"/>
      <c r="O6949">
        <f t="shared" si="1265"/>
        <v>14</v>
      </c>
      <c r="P6949" s="57">
        <f t="shared" si="1266"/>
        <v>1</v>
      </c>
      <c r="Q6949" s="267">
        <f t="shared" si="1267"/>
        <v>121</v>
      </c>
      <c r="R6949" s="23" t="str">
        <f t="shared" si="1268"/>
        <v/>
      </c>
      <c r="S6949" s="23">
        <f t="shared" si="1269"/>
        <v>23</v>
      </c>
      <c r="T6949" s="23" t="str">
        <f t="shared" si="1270"/>
        <v/>
      </c>
      <c r="U6949" t="str">
        <f t="shared" si="1271"/>
        <v/>
      </c>
      <c r="V6949" s="376"/>
      <c r="W6949" s="53"/>
      <c r="X6949" s="53"/>
      <c r="Y6949"/>
      <c r="Z6949"/>
      <c r="AA6949" s="23"/>
      <c r="AB6949"/>
      <c r="AC6949" s="272"/>
      <c r="AD6949" s="272"/>
      <c r="AE6949" s="273"/>
      <c r="AF6949" s="274"/>
      <c r="AM6949" s="29"/>
      <c r="AN6949"/>
      <c r="AO6949"/>
      <c r="AP6949"/>
      <c r="AQ6949" s="29"/>
      <c r="AR6949" s="29"/>
      <c r="AS6949" s="29"/>
      <c r="AT6949"/>
      <c r="AV6949"/>
      <c r="AW6949"/>
    </row>
    <row r="6950" spans="1:49">
      <c r="A6950" s="23" t="s">
        <v>7978</v>
      </c>
      <c r="B6950" t="s">
        <v>7712</v>
      </c>
      <c r="C6950">
        <v>1</v>
      </c>
      <c r="D6950" s="55" t="str">
        <f t="shared" si="1264"/>
        <v>President - Vice Pres*(vote 1)</v>
      </c>
      <c r="E6950" t="s">
        <v>7734</v>
      </c>
      <c r="F6950" t="s">
        <v>7727</v>
      </c>
      <c r="G6950" s="254">
        <v>20</v>
      </c>
      <c r="H6950"/>
      <c r="J6950" s="7"/>
      <c r="K6950" s="2"/>
      <c r="O6950">
        <f t="shared" si="1265"/>
        <v>15</v>
      </c>
      <c r="P6950" s="57">
        <f t="shared" si="1266"/>
        <v>1</v>
      </c>
      <c r="Q6950" s="267">
        <f t="shared" si="1267"/>
        <v>98</v>
      </c>
      <c r="R6950" s="23" t="str">
        <f t="shared" si="1268"/>
        <v/>
      </c>
      <c r="S6950" s="23">
        <f t="shared" si="1269"/>
        <v>20</v>
      </c>
      <c r="T6950" s="23" t="str">
        <f t="shared" si="1270"/>
        <v/>
      </c>
      <c r="U6950" t="str">
        <f t="shared" si="1271"/>
        <v/>
      </c>
      <c r="V6950" s="376"/>
      <c r="W6950" s="53"/>
      <c r="X6950" s="53"/>
      <c r="Y6950"/>
      <c r="Z6950"/>
      <c r="AA6950" s="23"/>
      <c r="AB6950"/>
      <c r="AC6950" s="272"/>
      <c r="AD6950" s="272"/>
      <c r="AE6950" s="273"/>
      <c r="AF6950" s="274"/>
      <c r="AM6950" s="29"/>
      <c r="AN6950"/>
      <c r="AO6950"/>
      <c r="AP6950"/>
      <c r="AQ6950" s="29"/>
      <c r="AR6950" s="29"/>
      <c r="AS6950" s="29"/>
      <c r="AT6950"/>
      <c r="AV6950"/>
      <c r="AW6950"/>
    </row>
    <row r="6951" spans="1:49">
      <c r="A6951" s="23" t="s">
        <v>7978</v>
      </c>
      <c r="B6951" t="s">
        <v>7712</v>
      </c>
      <c r="C6951">
        <v>1</v>
      </c>
      <c r="D6951" s="55" t="str">
        <f t="shared" si="1264"/>
        <v>President - Vice Pres*(vote 1)</v>
      </c>
      <c r="E6951" t="s">
        <v>4177</v>
      </c>
      <c r="F6951" t="s">
        <v>7727</v>
      </c>
      <c r="G6951" s="254">
        <v>16</v>
      </c>
      <c r="H6951"/>
      <c r="J6951" s="7"/>
      <c r="K6951" s="2"/>
      <c r="O6951">
        <f t="shared" si="1265"/>
        <v>16</v>
      </c>
      <c r="P6951" s="57">
        <f t="shared" si="1266"/>
        <v>1</v>
      </c>
      <c r="Q6951" s="267">
        <f t="shared" si="1267"/>
        <v>78</v>
      </c>
      <c r="R6951" s="23" t="str">
        <f t="shared" si="1268"/>
        <v/>
      </c>
      <c r="S6951" s="23">
        <f t="shared" si="1269"/>
        <v>16</v>
      </c>
      <c r="T6951" s="23" t="str">
        <f t="shared" si="1270"/>
        <v/>
      </c>
      <c r="U6951" t="str">
        <f t="shared" si="1271"/>
        <v/>
      </c>
      <c r="V6951" s="376"/>
      <c r="W6951" s="53"/>
      <c r="X6951" s="53"/>
      <c r="Y6951"/>
      <c r="Z6951"/>
      <c r="AA6951" s="23"/>
      <c r="AB6951"/>
      <c r="AC6951" s="272"/>
      <c r="AD6951" s="272"/>
      <c r="AE6951" s="273"/>
      <c r="AF6951" s="274"/>
      <c r="AM6951" s="29"/>
      <c r="AN6951"/>
      <c r="AO6951"/>
      <c r="AP6951"/>
      <c r="AQ6951" s="29"/>
      <c r="AR6951" s="29"/>
      <c r="AS6951" s="29"/>
      <c r="AT6951"/>
      <c r="AV6951"/>
      <c r="AW6951"/>
    </row>
    <row r="6952" spans="1:49">
      <c r="A6952" s="23" t="s">
        <v>7978</v>
      </c>
      <c r="B6952" t="s">
        <v>7712</v>
      </c>
      <c r="C6952">
        <v>1</v>
      </c>
      <c r="D6952" s="55" t="str">
        <f t="shared" si="1264"/>
        <v>President - Vice Pres*(vote 1)</v>
      </c>
      <c r="E6952" t="s">
        <v>7735</v>
      </c>
      <c r="F6952" t="s">
        <v>7727</v>
      </c>
      <c r="G6952" s="254">
        <v>11</v>
      </c>
      <c r="H6952"/>
      <c r="J6952" s="7"/>
      <c r="K6952" s="2"/>
      <c r="O6952">
        <f t="shared" si="1265"/>
        <v>17</v>
      </c>
      <c r="P6952" s="57">
        <f t="shared" si="1266"/>
        <v>1</v>
      </c>
      <c r="Q6952" s="267">
        <f t="shared" si="1267"/>
        <v>62</v>
      </c>
      <c r="R6952" s="23" t="str">
        <f t="shared" si="1268"/>
        <v/>
      </c>
      <c r="S6952" s="23">
        <f t="shared" si="1269"/>
        <v>11</v>
      </c>
      <c r="T6952" s="23" t="str">
        <f t="shared" si="1270"/>
        <v/>
      </c>
      <c r="U6952" t="str">
        <f t="shared" si="1271"/>
        <v/>
      </c>
      <c r="V6952" s="376"/>
      <c r="W6952" s="53"/>
      <c r="X6952" s="53"/>
      <c r="Y6952"/>
      <c r="Z6952"/>
      <c r="AA6952" s="23"/>
      <c r="AB6952"/>
      <c r="AC6952" s="272"/>
      <c r="AD6952" s="272"/>
      <c r="AE6952" s="273"/>
      <c r="AF6952" s="274"/>
      <c r="AM6952" s="29"/>
      <c r="AN6952"/>
      <c r="AO6952"/>
      <c r="AP6952"/>
      <c r="AQ6952" s="29"/>
      <c r="AR6952" s="29"/>
      <c r="AS6952" s="29"/>
      <c r="AT6952"/>
      <c r="AV6952"/>
      <c r="AW6952"/>
    </row>
    <row r="6953" spans="1:49">
      <c r="A6953" s="23" t="s">
        <v>7978</v>
      </c>
      <c r="B6953" t="s">
        <v>7712</v>
      </c>
      <c r="C6953">
        <v>1</v>
      </c>
      <c r="D6953" s="55" t="str">
        <f t="shared" si="1264"/>
        <v>President - Vice Pres*(vote 1)</v>
      </c>
      <c r="E6953" t="s">
        <v>7736</v>
      </c>
      <c r="F6953" t="s">
        <v>7727</v>
      </c>
      <c r="G6953" s="254">
        <v>11</v>
      </c>
      <c r="H6953"/>
      <c r="J6953" s="7"/>
      <c r="K6953" s="2"/>
      <c r="O6953">
        <f t="shared" si="1265"/>
        <v>18</v>
      </c>
      <c r="P6953" s="57">
        <f t="shared" si="1266"/>
        <v>1</v>
      </c>
      <c r="Q6953" s="267">
        <f t="shared" si="1267"/>
        <v>51</v>
      </c>
      <c r="R6953" s="23" t="str">
        <f t="shared" si="1268"/>
        <v/>
      </c>
      <c r="S6953" s="23">
        <f t="shared" si="1269"/>
        <v>11</v>
      </c>
      <c r="T6953" s="23" t="str">
        <f t="shared" si="1270"/>
        <v/>
      </c>
      <c r="U6953" t="str">
        <f t="shared" si="1271"/>
        <v/>
      </c>
      <c r="V6953" s="376"/>
      <c r="W6953" s="53"/>
      <c r="X6953" s="53"/>
      <c r="Y6953"/>
      <c r="Z6953"/>
      <c r="AA6953" s="23"/>
      <c r="AB6953"/>
      <c r="AC6953" s="272"/>
      <c r="AD6953" s="272"/>
      <c r="AE6953" s="273"/>
      <c r="AF6953" s="274"/>
      <c r="AM6953" s="29"/>
      <c r="AN6953"/>
      <c r="AO6953"/>
      <c r="AP6953"/>
      <c r="AQ6953" s="29"/>
      <c r="AR6953" s="29"/>
      <c r="AS6953" s="29"/>
      <c r="AT6953"/>
      <c r="AV6953"/>
      <c r="AW6953"/>
    </row>
    <row r="6954" spans="1:49">
      <c r="A6954" s="23" t="s">
        <v>7978</v>
      </c>
      <c r="B6954" t="s">
        <v>7712</v>
      </c>
      <c r="C6954">
        <v>1</v>
      </c>
      <c r="D6954" s="55" t="str">
        <f t="shared" si="1264"/>
        <v>President - Vice Pres*(vote 1)</v>
      </c>
      <c r="E6954" t="s">
        <v>7737</v>
      </c>
      <c r="F6954" t="s">
        <v>7727</v>
      </c>
      <c r="G6954" s="254">
        <v>10</v>
      </c>
      <c r="H6954"/>
      <c r="J6954" s="7"/>
      <c r="K6954" s="2"/>
      <c r="O6954">
        <f t="shared" si="1265"/>
        <v>19</v>
      </c>
      <c r="P6954" s="57">
        <f t="shared" si="1266"/>
        <v>1</v>
      </c>
      <c r="Q6954" s="267">
        <f t="shared" si="1267"/>
        <v>40</v>
      </c>
      <c r="R6954" s="23" t="str">
        <f t="shared" si="1268"/>
        <v/>
      </c>
      <c r="S6954" s="23">
        <f t="shared" si="1269"/>
        <v>10</v>
      </c>
      <c r="T6954" s="23" t="str">
        <f t="shared" si="1270"/>
        <v/>
      </c>
      <c r="U6954" t="str">
        <f t="shared" si="1271"/>
        <v/>
      </c>
      <c r="V6954" s="376"/>
      <c r="W6954" s="53"/>
      <c r="X6954" s="53"/>
      <c r="Y6954"/>
      <c r="Z6954"/>
      <c r="AA6954" s="23"/>
      <c r="AB6954"/>
      <c r="AC6954" s="272"/>
      <c r="AD6954" s="272"/>
      <c r="AE6954" s="273"/>
      <c r="AF6954" s="274"/>
      <c r="AM6954" s="29"/>
      <c r="AN6954"/>
      <c r="AO6954"/>
      <c r="AP6954"/>
      <c r="AQ6954" s="29"/>
      <c r="AR6954" s="29"/>
      <c r="AS6954" s="29"/>
      <c r="AT6954"/>
      <c r="AV6954"/>
      <c r="AW6954"/>
    </row>
    <row r="6955" spans="1:49">
      <c r="A6955" s="23" t="s">
        <v>7978</v>
      </c>
      <c r="B6955" t="s">
        <v>7712</v>
      </c>
      <c r="C6955">
        <v>1</v>
      </c>
      <c r="D6955" s="55" t="str">
        <f t="shared" si="1264"/>
        <v>President - Vice Pres*(vote 1)</v>
      </c>
      <c r="E6955" t="s">
        <v>7738</v>
      </c>
      <c r="F6955" t="s">
        <v>7727</v>
      </c>
      <c r="G6955" s="254">
        <v>8</v>
      </c>
      <c r="H6955"/>
      <c r="J6955" s="7"/>
      <c r="K6955" s="2"/>
      <c r="O6955">
        <f t="shared" si="1265"/>
        <v>20</v>
      </c>
      <c r="P6955" s="57">
        <f t="shared" si="1266"/>
        <v>1</v>
      </c>
      <c r="Q6955" s="267">
        <f t="shared" si="1267"/>
        <v>30</v>
      </c>
      <c r="R6955" s="23" t="str">
        <f t="shared" si="1268"/>
        <v/>
      </c>
      <c r="S6955" s="23">
        <f t="shared" si="1269"/>
        <v>8</v>
      </c>
      <c r="T6955" s="23" t="str">
        <f t="shared" si="1270"/>
        <v/>
      </c>
      <c r="U6955" t="str">
        <f t="shared" si="1271"/>
        <v/>
      </c>
      <c r="V6955" s="376"/>
      <c r="W6955" s="53"/>
      <c r="X6955" s="53"/>
      <c r="Y6955"/>
      <c r="Z6955"/>
      <c r="AA6955" s="23"/>
      <c r="AB6955"/>
      <c r="AC6955" s="272"/>
      <c r="AD6955" s="272"/>
      <c r="AE6955" s="273"/>
      <c r="AF6955" s="274"/>
      <c r="AM6955" s="29"/>
      <c r="AN6955"/>
      <c r="AO6955"/>
      <c r="AP6955"/>
      <c r="AQ6955" s="29"/>
      <c r="AR6955" s="29"/>
      <c r="AS6955" s="29"/>
      <c r="AT6955"/>
      <c r="AV6955"/>
      <c r="AW6955"/>
    </row>
    <row r="6956" spans="1:49">
      <c r="A6956" s="23" t="s">
        <v>7978</v>
      </c>
      <c r="B6956" t="s">
        <v>7712</v>
      </c>
      <c r="C6956">
        <v>1</v>
      </c>
      <c r="D6956" s="55" t="str">
        <f t="shared" si="1264"/>
        <v>President - Vice Pres*(vote 1)</v>
      </c>
      <c r="E6956" t="s">
        <v>7739</v>
      </c>
      <c r="F6956" t="s">
        <v>7727</v>
      </c>
      <c r="G6956" s="254">
        <v>6</v>
      </c>
      <c r="H6956"/>
      <c r="J6956" s="7"/>
      <c r="K6956" s="2"/>
      <c r="O6956">
        <f t="shared" si="1265"/>
        <v>21</v>
      </c>
      <c r="P6956" s="57">
        <f t="shared" si="1266"/>
        <v>1</v>
      </c>
      <c r="Q6956" s="267">
        <f t="shared" si="1267"/>
        <v>22</v>
      </c>
      <c r="R6956" s="23" t="str">
        <f t="shared" si="1268"/>
        <v/>
      </c>
      <c r="S6956" s="23">
        <f t="shared" si="1269"/>
        <v>6</v>
      </c>
      <c r="T6956" s="23" t="str">
        <f t="shared" si="1270"/>
        <v/>
      </c>
      <c r="U6956" t="str">
        <f t="shared" si="1271"/>
        <v/>
      </c>
      <c r="V6956" s="376"/>
      <c r="W6956" s="53"/>
      <c r="X6956" s="53"/>
      <c r="Y6956"/>
      <c r="Z6956"/>
      <c r="AA6956" s="23"/>
      <c r="AB6956"/>
      <c r="AC6956" s="272"/>
      <c r="AD6956" s="272"/>
      <c r="AE6956" s="273"/>
      <c r="AF6956" s="274"/>
      <c r="AM6956" s="29"/>
      <c r="AN6956"/>
      <c r="AO6956"/>
      <c r="AP6956"/>
      <c r="AQ6956" s="29"/>
      <c r="AR6956" s="29"/>
      <c r="AS6956" s="29"/>
      <c r="AT6956"/>
      <c r="AV6956"/>
      <c r="AW6956"/>
    </row>
    <row r="6957" spans="1:49">
      <c r="A6957" s="23" t="s">
        <v>7978</v>
      </c>
      <c r="B6957" t="s">
        <v>7712</v>
      </c>
      <c r="C6957">
        <v>1</v>
      </c>
      <c r="D6957" s="55" t="str">
        <f t="shared" si="1264"/>
        <v>President - Vice Pres*(vote 1)</v>
      </c>
      <c r="E6957" t="s">
        <v>7740</v>
      </c>
      <c r="F6957" t="s">
        <v>7727</v>
      </c>
      <c r="G6957" s="254">
        <v>5</v>
      </c>
      <c r="H6957"/>
      <c r="J6957" s="7"/>
      <c r="K6957" s="2"/>
      <c r="O6957">
        <f t="shared" si="1265"/>
        <v>22</v>
      </c>
      <c r="P6957" s="57">
        <f t="shared" si="1266"/>
        <v>1</v>
      </c>
      <c r="Q6957" s="267">
        <f t="shared" si="1267"/>
        <v>16</v>
      </c>
      <c r="R6957" s="23" t="str">
        <f t="shared" si="1268"/>
        <v/>
      </c>
      <c r="S6957" s="23">
        <f t="shared" si="1269"/>
        <v>5</v>
      </c>
      <c r="T6957" s="23" t="str">
        <f t="shared" si="1270"/>
        <v/>
      </c>
      <c r="U6957" t="str">
        <f t="shared" si="1271"/>
        <v/>
      </c>
      <c r="V6957" s="376"/>
      <c r="W6957" s="53"/>
      <c r="X6957" s="53"/>
      <c r="Y6957"/>
      <c r="Z6957"/>
      <c r="AA6957" s="23"/>
      <c r="AB6957"/>
      <c r="AC6957" s="272"/>
      <c r="AD6957" s="272"/>
      <c r="AE6957" s="273"/>
      <c r="AF6957" s="274"/>
      <c r="AM6957" s="29"/>
      <c r="AN6957"/>
      <c r="AO6957"/>
      <c r="AP6957"/>
      <c r="AQ6957" s="29"/>
      <c r="AR6957" s="29"/>
      <c r="AS6957" s="29"/>
      <c r="AT6957"/>
      <c r="AV6957"/>
      <c r="AW6957"/>
    </row>
    <row r="6958" spans="1:49">
      <c r="A6958" s="23" t="s">
        <v>7978</v>
      </c>
      <c r="B6958" t="s">
        <v>7712</v>
      </c>
      <c r="C6958">
        <v>1</v>
      </c>
      <c r="D6958" s="55" t="str">
        <f t="shared" si="1264"/>
        <v>President - Vice Pres*(vote 1)</v>
      </c>
      <c r="E6958" t="s">
        <v>7741</v>
      </c>
      <c r="F6958" t="s">
        <v>7727</v>
      </c>
      <c r="G6958" s="254">
        <v>4</v>
      </c>
      <c r="H6958"/>
      <c r="J6958" s="7"/>
      <c r="K6958" s="2"/>
      <c r="O6958">
        <f t="shared" si="1265"/>
        <v>23</v>
      </c>
      <c r="P6958" s="57">
        <f t="shared" si="1266"/>
        <v>1</v>
      </c>
      <c r="Q6958" s="267">
        <f t="shared" si="1267"/>
        <v>11</v>
      </c>
      <c r="R6958" s="23" t="str">
        <f t="shared" si="1268"/>
        <v/>
      </c>
      <c r="S6958" s="23">
        <f t="shared" si="1269"/>
        <v>4</v>
      </c>
      <c r="T6958" s="23" t="str">
        <f t="shared" si="1270"/>
        <v/>
      </c>
      <c r="U6958" t="str">
        <f t="shared" si="1271"/>
        <v/>
      </c>
      <c r="V6958" s="376"/>
      <c r="W6958" s="53"/>
      <c r="X6958" s="53"/>
      <c r="Y6958"/>
      <c r="Z6958"/>
      <c r="AA6958" s="23"/>
      <c r="AB6958"/>
      <c r="AC6958" s="272"/>
      <c r="AD6958" s="272"/>
      <c r="AE6958" s="273"/>
      <c r="AF6958" s="274"/>
      <c r="AM6958" s="29"/>
      <c r="AN6958"/>
      <c r="AO6958"/>
      <c r="AP6958"/>
      <c r="AQ6958" s="29"/>
      <c r="AR6958" s="29"/>
      <c r="AS6958" s="29"/>
      <c r="AT6958"/>
      <c r="AV6958"/>
      <c r="AW6958"/>
    </row>
    <row r="6959" spans="1:49">
      <c r="A6959" s="23" t="s">
        <v>7978</v>
      </c>
      <c r="B6959" t="s">
        <v>7712</v>
      </c>
      <c r="C6959">
        <v>1</v>
      </c>
      <c r="D6959" s="55" t="str">
        <f t="shared" si="1264"/>
        <v>President - Vice Pres*(vote 1)</v>
      </c>
      <c r="E6959" t="s">
        <v>7742</v>
      </c>
      <c r="F6959" t="s">
        <v>7727</v>
      </c>
      <c r="G6959" s="254">
        <v>3</v>
      </c>
      <c r="H6959"/>
      <c r="J6959" s="7"/>
      <c r="K6959" s="2"/>
      <c r="O6959">
        <f t="shared" si="1265"/>
        <v>24</v>
      </c>
      <c r="P6959" s="57">
        <f t="shared" si="1266"/>
        <v>1</v>
      </c>
      <c r="Q6959" s="267">
        <f t="shared" si="1267"/>
        <v>7</v>
      </c>
      <c r="R6959" s="23" t="str">
        <f t="shared" si="1268"/>
        <v/>
      </c>
      <c r="S6959" s="23">
        <f t="shared" si="1269"/>
        <v>3</v>
      </c>
      <c r="T6959" s="23" t="str">
        <f t="shared" si="1270"/>
        <v/>
      </c>
      <c r="U6959" t="str">
        <f t="shared" si="1271"/>
        <v/>
      </c>
      <c r="V6959" s="376"/>
      <c r="W6959" s="53"/>
      <c r="X6959" s="53"/>
      <c r="Y6959"/>
      <c r="Z6959"/>
      <c r="AA6959" s="23"/>
      <c r="AB6959"/>
      <c r="AC6959" s="272"/>
      <c r="AD6959" s="272"/>
      <c r="AE6959" s="273"/>
      <c r="AF6959" s="274"/>
      <c r="AM6959" s="29"/>
      <c r="AN6959"/>
      <c r="AO6959"/>
      <c r="AP6959"/>
      <c r="AQ6959" s="29"/>
      <c r="AR6959" s="29"/>
      <c r="AS6959" s="29"/>
      <c r="AT6959"/>
      <c r="AV6959"/>
      <c r="AW6959"/>
    </row>
    <row r="6960" spans="1:49">
      <c r="A6960" s="23" t="s">
        <v>7978</v>
      </c>
      <c r="B6960" t="s">
        <v>7712</v>
      </c>
      <c r="C6960">
        <v>1</v>
      </c>
      <c r="D6960" s="55" t="str">
        <f t="shared" si="1264"/>
        <v>President - Vice Pres*(vote 1)</v>
      </c>
      <c r="E6960" t="s">
        <v>7743</v>
      </c>
      <c r="F6960" t="s">
        <v>7730</v>
      </c>
      <c r="G6960" s="254">
        <v>3</v>
      </c>
      <c r="H6960"/>
      <c r="J6960" s="7"/>
      <c r="K6960" s="2"/>
      <c r="O6960">
        <f t="shared" si="1265"/>
        <v>25</v>
      </c>
      <c r="P6960" s="57">
        <f t="shared" si="1266"/>
        <v>1</v>
      </c>
      <c r="Q6960" s="267">
        <f t="shared" si="1267"/>
        <v>4</v>
      </c>
      <c r="R6960" s="23" t="str">
        <f t="shared" si="1268"/>
        <v/>
      </c>
      <c r="S6960" s="23">
        <f t="shared" si="1269"/>
        <v>3</v>
      </c>
      <c r="T6960" s="23" t="str">
        <f t="shared" si="1270"/>
        <v/>
      </c>
      <c r="U6960" t="str">
        <f t="shared" si="1271"/>
        <v/>
      </c>
      <c r="V6960" s="376"/>
      <c r="W6960" s="53"/>
      <c r="X6960" s="53"/>
      <c r="Y6960"/>
      <c r="Z6960"/>
      <c r="AA6960" s="23"/>
      <c r="AB6960"/>
      <c r="AC6960" s="272"/>
      <c r="AD6960" s="272"/>
      <c r="AE6960" s="273"/>
      <c r="AF6960" s="274"/>
      <c r="AM6960" s="29"/>
      <c r="AN6960"/>
      <c r="AO6960"/>
      <c r="AP6960"/>
      <c r="AQ6960" s="29"/>
      <c r="AR6960" s="29"/>
      <c r="AS6960" s="29"/>
      <c r="AT6960"/>
      <c r="AV6960"/>
      <c r="AW6960"/>
    </row>
    <row r="6961" spans="1:49">
      <c r="A6961" s="23" t="s">
        <v>7978</v>
      </c>
      <c r="B6961" t="s">
        <v>7712</v>
      </c>
      <c r="C6961">
        <v>1</v>
      </c>
      <c r="D6961" s="55" t="str">
        <f t="shared" si="1264"/>
        <v>President - Vice Pres*(vote 1)</v>
      </c>
      <c r="E6961" t="s">
        <v>7744</v>
      </c>
      <c r="F6961" t="s">
        <v>7727</v>
      </c>
      <c r="G6961" s="254">
        <v>1</v>
      </c>
      <c r="H6961"/>
      <c r="J6961" s="7"/>
      <c r="K6961" s="2"/>
      <c r="O6961">
        <f t="shared" si="1265"/>
        <v>26</v>
      </c>
      <c r="P6961" s="57">
        <f t="shared" si="1266"/>
        <v>1</v>
      </c>
      <c r="Q6961" s="267">
        <f t="shared" si="1267"/>
        <v>1</v>
      </c>
      <c r="R6961" s="23" t="str">
        <f t="shared" si="1268"/>
        <v/>
      </c>
      <c r="S6961" s="23">
        <f t="shared" si="1269"/>
        <v>1</v>
      </c>
      <c r="T6961" s="23" t="str">
        <f t="shared" si="1270"/>
        <v/>
      </c>
      <c r="U6961" t="str">
        <f t="shared" si="1271"/>
        <v/>
      </c>
      <c r="V6961" s="376"/>
      <c r="W6961" s="53"/>
      <c r="X6961" s="53"/>
      <c r="Y6961"/>
      <c r="Z6961"/>
      <c r="AA6961" s="23"/>
      <c r="AB6961"/>
      <c r="AC6961" s="272"/>
      <c r="AD6961" s="272"/>
      <c r="AE6961" s="273"/>
      <c r="AF6961" s="274"/>
      <c r="AM6961" s="29"/>
      <c r="AN6961"/>
      <c r="AO6961"/>
      <c r="AP6961"/>
      <c r="AQ6961" s="29"/>
      <c r="AR6961" s="29"/>
      <c r="AS6961" s="29"/>
      <c r="AT6961"/>
      <c r="AV6961"/>
      <c r="AW6961"/>
    </row>
    <row r="6962" spans="1:49">
      <c r="A6962" s="23" t="s">
        <v>7978</v>
      </c>
      <c r="B6962" t="s">
        <v>7712</v>
      </c>
      <c r="C6962">
        <v>1</v>
      </c>
      <c r="D6962" s="55" t="str">
        <f t="shared" si="1264"/>
        <v>President - Vice Pres*(vote 1)</v>
      </c>
      <c r="E6962" t="s">
        <v>7745</v>
      </c>
      <c r="F6962" t="s">
        <v>1294</v>
      </c>
      <c r="G6962" s="254">
        <v>0</v>
      </c>
      <c r="H6962"/>
      <c r="J6962" s="7"/>
      <c r="K6962" s="2"/>
      <c r="O6962">
        <f t="shared" si="1265"/>
        <v>27</v>
      </c>
      <c r="P6962" s="57">
        <f t="shared" si="1266"/>
        <v>1</v>
      </c>
      <c r="Q6962" s="267">
        <f t="shared" si="1267"/>
        <v>0</v>
      </c>
      <c r="R6962" s="23" t="str">
        <f t="shared" si="1268"/>
        <v/>
      </c>
      <c r="S6962" s="23">
        <f t="shared" si="1269"/>
        <v>0</v>
      </c>
      <c r="T6962" s="23" t="str">
        <f t="shared" si="1270"/>
        <v/>
      </c>
      <c r="U6962" t="str">
        <f t="shared" si="1271"/>
        <v/>
      </c>
      <c r="V6962" s="376"/>
      <c r="W6962" s="53"/>
      <c r="X6962" s="53"/>
      <c r="Y6962"/>
      <c r="Z6962"/>
      <c r="AA6962" s="23"/>
      <c r="AB6962"/>
      <c r="AC6962" s="272"/>
      <c r="AD6962" s="272"/>
      <c r="AE6962" s="273"/>
      <c r="AF6962" s="274"/>
      <c r="AM6962" s="29"/>
      <c r="AN6962"/>
      <c r="AO6962"/>
      <c r="AP6962"/>
      <c r="AQ6962" s="29"/>
      <c r="AR6962" s="29"/>
      <c r="AS6962" s="29"/>
      <c r="AT6962"/>
      <c r="AV6962"/>
      <c r="AW6962"/>
    </row>
    <row r="6963" spans="1:49">
      <c r="A6963" s="23" t="s">
        <v>7978</v>
      </c>
      <c r="B6963" t="s">
        <v>7712</v>
      </c>
      <c r="C6963">
        <v>1</v>
      </c>
      <c r="D6963" s="55" t="str">
        <f t="shared" si="1264"/>
        <v>President - Vice Pres*(vote 1)</v>
      </c>
      <c r="E6963" t="s">
        <v>7746</v>
      </c>
      <c r="F6963" t="s">
        <v>7727</v>
      </c>
      <c r="G6963" s="254">
        <v>0</v>
      </c>
      <c r="H6963"/>
      <c r="J6963" s="7"/>
      <c r="K6963" s="2"/>
      <c r="O6963">
        <f t="shared" si="1265"/>
        <v>28</v>
      </c>
      <c r="P6963" s="57">
        <f t="shared" si="1266"/>
        <v>1</v>
      </c>
      <c r="Q6963" s="267">
        <f t="shared" si="1267"/>
        <v>0</v>
      </c>
      <c r="R6963" s="23" t="str">
        <f t="shared" si="1268"/>
        <v/>
      </c>
      <c r="S6963" s="23">
        <f t="shared" si="1269"/>
        <v>0</v>
      </c>
      <c r="T6963" s="23" t="str">
        <f t="shared" si="1270"/>
        <v/>
      </c>
      <c r="U6963" t="str">
        <f t="shared" si="1271"/>
        <v/>
      </c>
      <c r="V6963" s="376"/>
      <c r="W6963" s="53"/>
      <c r="X6963" s="53"/>
      <c r="Y6963"/>
      <c r="Z6963"/>
      <c r="AA6963" s="23"/>
      <c r="AB6963"/>
      <c r="AC6963" s="272"/>
      <c r="AD6963" s="272"/>
      <c r="AE6963" s="273"/>
      <c r="AF6963" s="274"/>
      <c r="AM6963" s="29"/>
      <c r="AN6963"/>
      <c r="AO6963"/>
      <c r="AP6963"/>
      <c r="AQ6963" s="29"/>
      <c r="AR6963" s="29"/>
      <c r="AS6963" s="29"/>
      <c r="AT6963"/>
      <c r="AV6963"/>
      <c r="AW6963"/>
    </row>
    <row r="6964" spans="1:49">
      <c r="A6964" s="23" t="s">
        <v>7978</v>
      </c>
      <c r="B6964" t="s">
        <v>7712</v>
      </c>
      <c r="C6964">
        <v>1</v>
      </c>
      <c r="D6964" s="55" t="str">
        <f t="shared" si="1264"/>
        <v>President - Vice Pres*(vote 1)</v>
      </c>
      <c r="E6964" t="s">
        <v>7747</v>
      </c>
      <c r="F6964" t="s">
        <v>7727</v>
      </c>
      <c r="G6964" s="254">
        <v>0</v>
      </c>
      <c r="H6964"/>
      <c r="J6964" s="7"/>
      <c r="K6964" s="2"/>
      <c r="O6964">
        <f t="shared" si="1265"/>
        <v>29</v>
      </c>
      <c r="P6964" s="57">
        <f t="shared" si="1266"/>
        <v>1</v>
      </c>
      <c r="Q6964" s="267">
        <f t="shared" si="1267"/>
        <v>0</v>
      </c>
      <c r="R6964" s="23" t="str">
        <f t="shared" si="1268"/>
        <v/>
      </c>
      <c r="S6964" s="23">
        <f t="shared" si="1269"/>
        <v>0</v>
      </c>
      <c r="T6964" s="23" t="str">
        <f t="shared" si="1270"/>
        <v/>
      </c>
      <c r="U6964" t="str">
        <f t="shared" si="1271"/>
        <v/>
      </c>
      <c r="V6964" s="376"/>
      <c r="W6964" s="53"/>
      <c r="X6964" s="53"/>
      <c r="Y6964"/>
      <c r="Z6964"/>
      <c r="AA6964" s="23"/>
      <c r="AB6964"/>
      <c r="AC6964" s="272"/>
      <c r="AD6964" s="272"/>
      <c r="AE6964" s="273"/>
      <c r="AF6964" s="274"/>
      <c r="AM6964" s="29"/>
      <c r="AN6964"/>
      <c r="AO6964"/>
      <c r="AP6964"/>
      <c r="AQ6964" s="29"/>
      <c r="AR6964" s="29"/>
      <c r="AS6964" s="29"/>
      <c r="AT6964"/>
      <c r="AV6964"/>
      <c r="AW6964"/>
    </row>
    <row r="6965" spans="1:49">
      <c r="A6965" s="23" t="s">
        <v>7978</v>
      </c>
      <c r="B6965" t="s">
        <v>7712</v>
      </c>
      <c r="C6965">
        <v>1</v>
      </c>
      <c r="D6965" s="55" t="str">
        <f t="shared" si="1264"/>
        <v>President - Vice Pres*(vote 1)</v>
      </c>
      <c r="E6965" t="s">
        <v>7748</v>
      </c>
      <c r="F6965" t="s">
        <v>7727</v>
      </c>
      <c r="G6965" s="254">
        <v>0</v>
      </c>
      <c r="H6965"/>
      <c r="J6965" s="7"/>
      <c r="K6965" s="2"/>
      <c r="O6965">
        <f t="shared" si="1265"/>
        <v>30</v>
      </c>
      <c r="P6965" s="57">
        <f t="shared" si="1266"/>
        <v>1</v>
      </c>
      <c r="Q6965" s="267">
        <f t="shared" si="1267"/>
        <v>0</v>
      </c>
      <c r="R6965" s="23" t="str">
        <f t="shared" si="1268"/>
        <v/>
      </c>
      <c r="S6965" s="23">
        <f t="shared" si="1269"/>
        <v>0</v>
      </c>
      <c r="T6965" s="23" t="str">
        <f t="shared" si="1270"/>
        <v/>
      </c>
      <c r="U6965" t="str">
        <f t="shared" si="1271"/>
        <v/>
      </c>
      <c r="V6965" s="376"/>
      <c r="W6965" s="53"/>
      <c r="X6965" s="53"/>
      <c r="Y6965"/>
      <c r="Z6965"/>
      <c r="AA6965" s="23"/>
      <c r="AB6965"/>
      <c r="AC6965" s="272"/>
      <c r="AD6965" s="272"/>
      <c r="AE6965" s="273"/>
      <c r="AF6965" s="274"/>
      <c r="AM6965" s="29"/>
      <c r="AN6965"/>
      <c r="AO6965"/>
      <c r="AP6965"/>
      <c r="AQ6965" s="29"/>
      <c r="AR6965" s="29"/>
      <c r="AS6965" s="29"/>
      <c r="AT6965"/>
      <c r="AV6965"/>
      <c r="AW6965"/>
    </row>
    <row r="6966" spans="1:49">
      <c r="A6966" s="23" t="s">
        <v>7978</v>
      </c>
      <c r="B6966" t="s">
        <v>7712</v>
      </c>
      <c r="C6966">
        <v>1</v>
      </c>
      <c r="D6966" s="55" t="str">
        <f t="shared" si="1264"/>
        <v>President - Vice Pres*(vote 1)</v>
      </c>
      <c r="E6966" t="s">
        <v>7749</v>
      </c>
      <c r="F6966" t="s">
        <v>7727</v>
      </c>
      <c r="G6966" s="254">
        <v>0</v>
      </c>
      <c r="H6966"/>
      <c r="J6966" s="7"/>
      <c r="K6966" s="2"/>
      <c r="O6966">
        <f t="shared" si="1265"/>
        <v>31</v>
      </c>
      <c r="P6966" s="57">
        <f t="shared" si="1266"/>
        <v>1</v>
      </c>
      <c r="Q6966" s="267">
        <f t="shared" si="1267"/>
        <v>0</v>
      </c>
      <c r="R6966" s="23" t="str">
        <f t="shared" si="1268"/>
        <v/>
      </c>
      <c r="S6966" s="23">
        <f t="shared" si="1269"/>
        <v>0</v>
      </c>
      <c r="T6966" s="23" t="str">
        <f t="shared" si="1270"/>
        <v/>
      </c>
      <c r="U6966" t="str">
        <f t="shared" si="1271"/>
        <v/>
      </c>
      <c r="V6966" s="376"/>
      <c r="W6966" s="53"/>
      <c r="X6966" s="53"/>
      <c r="Y6966"/>
      <c r="Z6966"/>
      <c r="AA6966" s="23"/>
      <c r="AB6966"/>
      <c r="AC6966" s="272"/>
      <c r="AD6966" s="272"/>
      <c r="AE6966" s="273"/>
      <c r="AF6966" s="274"/>
      <c r="AM6966" s="29"/>
      <c r="AN6966"/>
      <c r="AO6966"/>
      <c r="AP6966"/>
      <c r="AQ6966" s="29"/>
      <c r="AR6966" s="29"/>
      <c r="AS6966" s="29"/>
      <c r="AT6966"/>
      <c r="AV6966"/>
      <c r="AW6966"/>
    </row>
    <row r="6967" spans="1:49">
      <c r="A6967" s="23" t="s">
        <v>7978</v>
      </c>
      <c r="B6967" t="s">
        <v>7712</v>
      </c>
      <c r="C6967">
        <v>1</v>
      </c>
      <c r="D6967" s="55" t="str">
        <f t="shared" si="1264"/>
        <v>President - Vice Pres*(vote 1)</v>
      </c>
      <c r="E6967" t="s">
        <v>7750</v>
      </c>
      <c r="F6967" t="s">
        <v>7730</v>
      </c>
      <c r="G6967" s="254">
        <v>0</v>
      </c>
      <c r="H6967"/>
      <c r="J6967" s="7"/>
      <c r="K6967" s="2"/>
      <c r="O6967">
        <f t="shared" si="1265"/>
        <v>32</v>
      </c>
      <c r="P6967" s="57">
        <f t="shared" si="1266"/>
        <v>1</v>
      </c>
      <c r="Q6967" s="267">
        <f t="shared" si="1267"/>
        <v>0</v>
      </c>
      <c r="R6967" s="23" t="str">
        <f t="shared" si="1268"/>
        <v/>
      </c>
      <c r="S6967" s="23">
        <f t="shared" si="1269"/>
        <v>0</v>
      </c>
      <c r="T6967" s="23" t="str">
        <f t="shared" si="1270"/>
        <v/>
      </c>
      <c r="U6967" t="str">
        <f t="shared" si="1271"/>
        <v/>
      </c>
      <c r="V6967" s="376"/>
      <c r="W6967" s="53"/>
      <c r="X6967" s="53"/>
      <c r="Y6967"/>
      <c r="Z6967"/>
      <c r="AA6967" s="23"/>
      <c r="AB6967"/>
      <c r="AC6967" s="272"/>
      <c r="AD6967" s="272"/>
      <c r="AE6967" s="273"/>
      <c r="AF6967" s="274"/>
      <c r="AM6967" s="29"/>
      <c r="AN6967"/>
      <c r="AO6967"/>
      <c r="AP6967"/>
      <c r="AQ6967" s="29"/>
      <c r="AR6967" s="29"/>
      <c r="AS6967" s="29"/>
      <c r="AT6967"/>
      <c r="AV6967"/>
      <c r="AW6967"/>
    </row>
    <row r="6968" spans="1:49">
      <c r="A6968" s="23" t="s">
        <v>7979</v>
      </c>
      <c r="B6968" t="s">
        <v>7712</v>
      </c>
      <c r="C6968">
        <v>1</v>
      </c>
      <c r="D6968" s="55" t="str">
        <f t="shared" si="1264"/>
        <v>Representative in Congress*1(vote 1)</v>
      </c>
      <c r="E6968" t="s">
        <v>7751</v>
      </c>
      <c r="F6968" t="s">
        <v>1296</v>
      </c>
      <c r="G6968" s="254">
        <v>250901</v>
      </c>
      <c r="H6968"/>
      <c r="J6968" s="7"/>
      <c r="K6968" s="2"/>
      <c r="O6968">
        <f t="shared" si="1265"/>
        <v>1</v>
      </c>
      <c r="P6968" s="57">
        <f t="shared" si="1266"/>
        <v>1</v>
      </c>
      <c r="Q6968" s="267">
        <f t="shared" si="1267"/>
        <v>395524</v>
      </c>
      <c r="R6968" s="23">
        <f t="shared" si="1268"/>
        <v>250901</v>
      </c>
      <c r="S6968" s="23">
        <f t="shared" si="1269"/>
        <v>143877</v>
      </c>
      <c r="T6968" s="23">
        <f t="shared" si="1270"/>
        <v>107024</v>
      </c>
      <c r="U6968" t="str">
        <f t="shared" si="1271"/>
        <v>MD_2020g~Cnty0:Representative in Congress*1(vote 1)</v>
      </c>
      <c r="V6968" s="376"/>
      <c r="W6968" s="53"/>
      <c r="X6968" s="53"/>
      <c r="Y6968"/>
      <c r="Z6968"/>
      <c r="AA6968" s="23"/>
      <c r="AB6968"/>
      <c r="AC6968" s="272"/>
      <c r="AD6968" s="272"/>
      <c r="AE6968" s="273"/>
      <c r="AF6968" s="274"/>
      <c r="AM6968" s="29"/>
      <c r="AN6968"/>
      <c r="AO6968"/>
      <c r="AP6968"/>
      <c r="AQ6968" s="29"/>
      <c r="AR6968" s="29"/>
      <c r="AS6968" s="29"/>
      <c r="AT6968"/>
      <c r="AV6968"/>
      <c r="AW6968"/>
    </row>
    <row r="6969" spans="1:49">
      <c r="A6969" s="23" t="s">
        <v>7979</v>
      </c>
      <c r="B6969" t="s">
        <v>7712</v>
      </c>
      <c r="C6969">
        <v>1</v>
      </c>
      <c r="D6969" s="55" t="str">
        <f t="shared" si="1264"/>
        <v>Representative in Congress*1(vote 1)</v>
      </c>
      <c r="E6969" t="s">
        <v>7752</v>
      </c>
      <c r="F6969" t="s">
        <v>1294</v>
      </c>
      <c r="G6969" s="254">
        <v>143877</v>
      </c>
      <c r="H6969"/>
      <c r="J6969" s="7"/>
      <c r="K6969" s="2"/>
      <c r="O6969">
        <f t="shared" si="1265"/>
        <v>2</v>
      </c>
      <c r="P6969" s="57">
        <f t="shared" si="1266"/>
        <v>1</v>
      </c>
      <c r="Q6969" s="267">
        <f t="shared" si="1267"/>
        <v>144623</v>
      </c>
      <c r="R6969" s="23" t="str">
        <f t="shared" si="1268"/>
        <v/>
      </c>
      <c r="S6969" s="23">
        <f t="shared" si="1269"/>
        <v>143877</v>
      </c>
      <c r="T6969" s="23" t="str">
        <f t="shared" si="1270"/>
        <v/>
      </c>
      <c r="U6969" t="str">
        <f t="shared" si="1271"/>
        <v/>
      </c>
      <c r="V6969" s="376"/>
      <c r="W6969" s="53"/>
      <c r="X6969" s="53"/>
      <c r="Y6969"/>
      <c r="Z6969"/>
      <c r="AA6969" s="23"/>
      <c r="AB6969"/>
      <c r="AC6969" s="272"/>
      <c r="AD6969" s="272"/>
      <c r="AE6969" s="273"/>
      <c r="AF6969" s="274"/>
      <c r="AM6969" s="29"/>
      <c r="AN6969"/>
      <c r="AO6969"/>
      <c r="AP6969"/>
      <c r="AQ6969" s="29"/>
      <c r="AR6969" s="29"/>
      <c r="AS6969" s="29"/>
      <c r="AT6969"/>
      <c r="AV6969"/>
      <c r="AW6969"/>
    </row>
    <row r="6970" spans="1:49">
      <c r="A6970" s="23" t="s">
        <v>7979</v>
      </c>
      <c r="B6970" t="s">
        <v>7712</v>
      </c>
      <c r="C6970">
        <v>1</v>
      </c>
      <c r="D6970" s="55" t="str">
        <f t="shared" si="1264"/>
        <v>Representative in Congress*1(vote 1)</v>
      </c>
      <c r="E6970" t="s">
        <v>7722</v>
      </c>
      <c r="F6970" t="s">
        <v>7714</v>
      </c>
      <c r="G6970" s="254">
        <v>746</v>
      </c>
      <c r="H6970"/>
      <c r="J6970" s="7"/>
      <c r="K6970" s="2"/>
      <c r="O6970">
        <f t="shared" si="1265"/>
        <v>3</v>
      </c>
      <c r="P6970" s="57">
        <f t="shared" si="1266"/>
        <v>1</v>
      </c>
      <c r="Q6970" s="267">
        <f t="shared" si="1267"/>
        <v>746</v>
      </c>
      <c r="R6970" s="23" t="str">
        <f t="shared" si="1268"/>
        <v/>
      </c>
      <c r="S6970" s="23">
        <f t="shared" si="1269"/>
        <v>746</v>
      </c>
      <c r="T6970" s="23" t="str">
        <f t="shared" si="1270"/>
        <v/>
      </c>
      <c r="U6970" t="str">
        <f t="shared" si="1271"/>
        <v/>
      </c>
      <c r="V6970" s="376"/>
      <c r="W6970" s="53"/>
      <c r="X6970" s="53"/>
      <c r="Y6970"/>
      <c r="Z6970"/>
      <c r="AA6970" s="23"/>
      <c r="AB6970"/>
      <c r="AC6970" s="272"/>
      <c r="AD6970" s="272"/>
      <c r="AE6970" s="273"/>
      <c r="AF6970" s="274"/>
      <c r="AM6970" s="29"/>
      <c r="AN6970"/>
      <c r="AO6970"/>
      <c r="AP6970"/>
      <c r="AQ6970" s="29"/>
      <c r="AR6970" s="29"/>
      <c r="AS6970" s="29"/>
      <c r="AT6970"/>
      <c r="AV6970"/>
      <c r="AW6970"/>
    </row>
    <row r="6971" spans="1:49">
      <c r="A6971" s="23" t="s">
        <v>7980</v>
      </c>
      <c r="B6971" t="s">
        <v>7712</v>
      </c>
      <c r="C6971">
        <v>1</v>
      </c>
      <c r="D6971" s="55" t="str">
        <f t="shared" si="1264"/>
        <v>Representative in Congress*2(vote 1)</v>
      </c>
      <c r="E6971" t="s">
        <v>7753</v>
      </c>
      <c r="F6971" t="s">
        <v>1294</v>
      </c>
      <c r="G6971" s="254">
        <v>224836</v>
      </c>
      <c r="H6971"/>
      <c r="J6971" s="7"/>
      <c r="K6971" s="2"/>
      <c r="O6971">
        <f t="shared" si="1265"/>
        <v>1</v>
      </c>
      <c r="P6971" s="57">
        <f t="shared" si="1266"/>
        <v>1</v>
      </c>
      <c r="Q6971" s="267">
        <f t="shared" si="1267"/>
        <v>332026</v>
      </c>
      <c r="R6971" s="23">
        <f t="shared" si="1268"/>
        <v>224836</v>
      </c>
      <c r="S6971" s="23">
        <f t="shared" si="1269"/>
        <v>106355</v>
      </c>
      <c r="T6971" s="23">
        <f t="shared" si="1270"/>
        <v>118481</v>
      </c>
      <c r="U6971" t="str">
        <f t="shared" si="1271"/>
        <v>MD_2020g~Cnty0:Representative in Congress*2(vote 1)</v>
      </c>
      <c r="V6971" s="376"/>
      <c r="W6971" s="53"/>
      <c r="X6971" s="53"/>
      <c r="Y6971"/>
      <c r="Z6971"/>
      <c r="AA6971" s="23"/>
      <c r="AB6971"/>
      <c r="AC6971" s="272"/>
      <c r="AD6971" s="272"/>
      <c r="AE6971" s="273"/>
      <c r="AF6971" s="274"/>
      <c r="AM6971" s="29"/>
      <c r="AN6971"/>
      <c r="AO6971"/>
      <c r="AP6971"/>
      <c r="AQ6971" s="29"/>
      <c r="AR6971" s="29"/>
      <c r="AS6971" s="29"/>
      <c r="AT6971"/>
      <c r="AV6971"/>
      <c r="AW6971"/>
    </row>
    <row r="6972" spans="1:49">
      <c r="A6972" s="23" t="s">
        <v>7980</v>
      </c>
      <c r="B6972" t="s">
        <v>7712</v>
      </c>
      <c r="C6972">
        <v>1</v>
      </c>
      <c r="D6972" s="55" t="str">
        <f t="shared" si="1264"/>
        <v>Representative in Congress*2(vote 1)</v>
      </c>
      <c r="E6972" t="s">
        <v>7754</v>
      </c>
      <c r="F6972" t="s">
        <v>1296</v>
      </c>
      <c r="G6972" s="254">
        <v>106355</v>
      </c>
      <c r="H6972"/>
      <c r="J6972" s="7"/>
      <c r="K6972" s="2"/>
      <c r="O6972">
        <f t="shared" si="1265"/>
        <v>2</v>
      </c>
      <c r="P6972" s="57">
        <f t="shared" si="1266"/>
        <v>1</v>
      </c>
      <c r="Q6972" s="267">
        <f t="shared" si="1267"/>
        <v>107190</v>
      </c>
      <c r="R6972" s="23" t="str">
        <f t="shared" si="1268"/>
        <v/>
      </c>
      <c r="S6972" s="23">
        <f t="shared" si="1269"/>
        <v>106355</v>
      </c>
      <c r="T6972" s="23" t="str">
        <f t="shared" si="1270"/>
        <v/>
      </c>
      <c r="U6972" t="str">
        <f t="shared" si="1271"/>
        <v/>
      </c>
      <c r="V6972" s="376"/>
      <c r="W6972" s="53"/>
      <c r="X6972" s="53"/>
      <c r="Y6972"/>
      <c r="Z6972"/>
      <c r="AA6972" s="23"/>
      <c r="AB6972"/>
      <c r="AC6972" s="272"/>
      <c r="AD6972" s="272"/>
      <c r="AE6972" s="273"/>
      <c r="AF6972" s="274"/>
      <c r="AM6972" s="29"/>
      <c r="AN6972"/>
      <c r="AO6972"/>
      <c r="AP6972"/>
      <c r="AQ6972" s="29"/>
      <c r="AR6972" s="29"/>
      <c r="AS6972" s="29"/>
      <c r="AT6972"/>
      <c r="AV6972"/>
      <c r="AW6972"/>
    </row>
    <row r="6973" spans="1:49">
      <c r="A6973" s="23" t="s">
        <v>7980</v>
      </c>
      <c r="B6973" t="s">
        <v>7712</v>
      </c>
      <c r="C6973">
        <v>1</v>
      </c>
      <c r="D6973" s="55" t="str">
        <f t="shared" si="1264"/>
        <v>Representative in Congress*2(vote 1)</v>
      </c>
      <c r="E6973" t="s">
        <v>7722</v>
      </c>
      <c r="F6973" t="s">
        <v>7714</v>
      </c>
      <c r="G6973" s="254">
        <v>835</v>
      </c>
      <c r="H6973"/>
      <c r="J6973" s="7"/>
      <c r="K6973" s="2"/>
      <c r="O6973">
        <f t="shared" si="1265"/>
        <v>3</v>
      </c>
      <c r="P6973" s="57">
        <f t="shared" si="1266"/>
        <v>1</v>
      </c>
      <c r="Q6973" s="267">
        <f t="shared" si="1267"/>
        <v>835</v>
      </c>
      <c r="R6973" s="23" t="str">
        <f t="shared" si="1268"/>
        <v/>
      </c>
      <c r="S6973" s="23">
        <f t="shared" si="1269"/>
        <v>835</v>
      </c>
      <c r="T6973" s="23" t="str">
        <f t="shared" si="1270"/>
        <v/>
      </c>
      <c r="U6973" t="str">
        <f t="shared" si="1271"/>
        <v/>
      </c>
      <c r="V6973" s="376"/>
      <c r="W6973" s="53"/>
      <c r="X6973" s="53"/>
      <c r="Y6973"/>
      <c r="Z6973"/>
      <c r="AA6973" s="23"/>
      <c r="AB6973"/>
      <c r="AC6973" s="272"/>
      <c r="AD6973" s="272"/>
      <c r="AE6973" s="273"/>
      <c r="AF6973" s="274"/>
      <c r="AM6973" s="29"/>
      <c r="AN6973"/>
      <c r="AO6973"/>
      <c r="AP6973"/>
      <c r="AQ6973" s="29"/>
      <c r="AR6973" s="29"/>
      <c r="AS6973" s="29"/>
      <c r="AT6973"/>
      <c r="AV6973"/>
      <c r="AW6973"/>
    </row>
    <row r="6974" spans="1:49">
      <c r="A6974" s="23" t="s">
        <v>7981</v>
      </c>
      <c r="B6974" t="s">
        <v>7712</v>
      </c>
      <c r="C6974">
        <v>1</v>
      </c>
      <c r="D6974" s="55" t="str">
        <f t="shared" si="1264"/>
        <v>Representative in Congress*3(vote 1)</v>
      </c>
      <c r="E6974" t="s">
        <v>7755</v>
      </c>
      <c r="F6974" t="s">
        <v>1294</v>
      </c>
      <c r="G6974" s="254">
        <v>260358</v>
      </c>
      <c r="H6974"/>
      <c r="J6974" s="7"/>
      <c r="K6974" s="2"/>
      <c r="O6974">
        <f t="shared" si="1265"/>
        <v>1</v>
      </c>
      <c r="P6974" s="57">
        <f t="shared" si="1266"/>
        <v>1</v>
      </c>
      <c r="Q6974" s="267">
        <f t="shared" si="1267"/>
        <v>373206</v>
      </c>
      <c r="R6974" s="23">
        <f t="shared" si="1268"/>
        <v>260358</v>
      </c>
      <c r="S6974" s="23">
        <f t="shared" si="1269"/>
        <v>112117</v>
      </c>
      <c r="T6974" s="23">
        <f t="shared" si="1270"/>
        <v>148241</v>
      </c>
      <c r="U6974" t="str">
        <f t="shared" si="1271"/>
        <v>MD_2020g~Cnty0:Representative in Congress*3(vote 1)</v>
      </c>
      <c r="V6974" s="376"/>
      <c r="W6974" s="53"/>
      <c r="X6974" s="53"/>
      <c r="Y6974"/>
      <c r="Z6974"/>
      <c r="AA6974" s="23"/>
      <c r="AB6974"/>
      <c r="AC6974" s="272"/>
      <c r="AD6974" s="272"/>
      <c r="AE6974" s="273"/>
      <c r="AF6974" s="274"/>
      <c r="AM6974" s="29"/>
      <c r="AN6974"/>
      <c r="AO6974"/>
      <c r="AP6974"/>
      <c r="AQ6974" s="29"/>
      <c r="AR6974" s="29"/>
      <c r="AS6974" s="29"/>
      <c r="AT6974"/>
      <c r="AV6974"/>
      <c r="AW6974"/>
    </row>
    <row r="6975" spans="1:49">
      <c r="A6975" s="23" t="s">
        <v>7981</v>
      </c>
      <c r="B6975" t="s">
        <v>7712</v>
      </c>
      <c r="C6975">
        <v>1</v>
      </c>
      <c r="D6975" s="55" t="str">
        <f t="shared" si="1264"/>
        <v>Representative in Congress*3(vote 1)</v>
      </c>
      <c r="E6975" t="s">
        <v>7756</v>
      </c>
      <c r="F6975" t="s">
        <v>1296</v>
      </c>
      <c r="G6975" s="254">
        <v>112117</v>
      </c>
      <c r="H6975"/>
      <c r="J6975" s="7"/>
      <c r="K6975" s="2"/>
      <c r="O6975">
        <f t="shared" si="1265"/>
        <v>2</v>
      </c>
      <c r="P6975" s="57">
        <f t="shared" si="1266"/>
        <v>1</v>
      </c>
      <c r="Q6975" s="267">
        <f t="shared" si="1267"/>
        <v>112848</v>
      </c>
      <c r="R6975" s="23" t="str">
        <f t="shared" si="1268"/>
        <v/>
      </c>
      <c r="S6975" s="23">
        <f t="shared" si="1269"/>
        <v>112117</v>
      </c>
      <c r="T6975" s="23" t="str">
        <f t="shared" si="1270"/>
        <v/>
      </c>
      <c r="U6975" t="str">
        <f t="shared" si="1271"/>
        <v/>
      </c>
      <c r="V6975" s="376"/>
      <c r="W6975" s="53"/>
      <c r="X6975" s="53"/>
      <c r="Y6975"/>
      <c r="Z6975"/>
      <c r="AA6975" s="23"/>
      <c r="AB6975"/>
      <c r="AC6975" s="272"/>
      <c r="AD6975" s="272"/>
      <c r="AE6975" s="273"/>
      <c r="AF6975" s="274"/>
      <c r="AM6975" s="29"/>
      <c r="AN6975"/>
      <c r="AO6975"/>
      <c r="AP6975"/>
      <c r="AQ6975" s="29"/>
      <c r="AR6975" s="29"/>
      <c r="AS6975" s="29"/>
      <c r="AT6975"/>
      <c r="AV6975"/>
      <c r="AW6975"/>
    </row>
    <row r="6976" spans="1:49">
      <c r="A6976" s="23" t="s">
        <v>7981</v>
      </c>
      <c r="B6976" t="s">
        <v>7712</v>
      </c>
      <c r="C6976">
        <v>1</v>
      </c>
      <c r="D6976" s="55" t="str">
        <f t="shared" si="1264"/>
        <v>Representative in Congress*3(vote 1)</v>
      </c>
      <c r="E6976" t="s">
        <v>7722</v>
      </c>
      <c r="F6976" t="s">
        <v>7714</v>
      </c>
      <c r="G6976" s="254">
        <v>731</v>
      </c>
      <c r="H6976"/>
      <c r="J6976" s="7"/>
      <c r="K6976" s="2"/>
      <c r="O6976">
        <f t="shared" si="1265"/>
        <v>3</v>
      </c>
      <c r="P6976" s="57">
        <f t="shared" si="1266"/>
        <v>1</v>
      </c>
      <c r="Q6976" s="267">
        <f t="shared" si="1267"/>
        <v>731</v>
      </c>
      <c r="R6976" s="23" t="str">
        <f t="shared" si="1268"/>
        <v/>
      </c>
      <c r="S6976" s="23">
        <f t="shared" si="1269"/>
        <v>731</v>
      </c>
      <c r="T6976" s="23" t="str">
        <f t="shared" si="1270"/>
        <v/>
      </c>
      <c r="U6976" t="str">
        <f t="shared" si="1271"/>
        <v/>
      </c>
      <c r="V6976" s="376"/>
      <c r="W6976" s="53"/>
      <c r="X6976" s="53"/>
      <c r="Y6976"/>
      <c r="Z6976"/>
      <c r="AA6976" s="23"/>
      <c r="AB6976"/>
      <c r="AC6976" s="272"/>
      <c r="AD6976" s="272"/>
      <c r="AE6976" s="273"/>
      <c r="AF6976" s="274"/>
      <c r="AM6976" s="29"/>
      <c r="AN6976"/>
      <c r="AO6976"/>
      <c r="AP6976"/>
      <c r="AQ6976" s="29"/>
      <c r="AR6976" s="29"/>
      <c r="AS6976" s="29"/>
      <c r="AT6976"/>
      <c r="AV6976"/>
      <c r="AW6976"/>
    </row>
    <row r="6977" spans="1:49">
      <c r="A6977" s="23" t="s">
        <v>7982</v>
      </c>
      <c r="B6977" t="s">
        <v>7712</v>
      </c>
      <c r="C6977">
        <v>1</v>
      </c>
      <c r="D6977" s="55" t="str">
        <f t="shared" si="1264"/>
        <v>Representative in Congress*4(vote 1)</v>
      </c>
      <c r="E6977" t="s">
        <v>7757</v>
      </c>
      <c r="F6977" t="s">
        <v>1294</v>
      </c>
      <c r="G6977" s="254">
        <v>282119</v>
      </c>
      <c r="H6977"/>
      <c r="J6977" s="7"/>
      <c r="K6977" s="2"/>
      <c r="O6977">
        <f t="shared" si="1265"/>
        <v>1</v>
      </c>
      <c r="P6977" s="57">
        <f t="shared" si="1266"/>
        <v>1</v>
      </c>
      <c r="Q6977" s="267">
        <f t="shared" si="1267"/>
        <v>354529</v>
      </c>
      <c r="R6977" s="23">
        <f t="shared" si="1268"/>
        <v>282119</v>
      </c>
      <c r="S6977" s="23">
        <f t="shared" si="1269"/>
        <v>71671</v>
      </c>
      <c r="T6977" s="23">
        <f t="shared" si="1270"/>
        <v>210448</v>
      </c>
      <c r="U6977" t="str">
        <f t="shared" si="1271"/>
        <v>MD_2020g~Cnty0:Representative in Congress*4(vote 1)</v>
      </c>
      <c r="V6977" s="376"/>
      <c r="W6977" s="53"/>
      <c r="X6977" s="53"/>
      <c r="Y6977"/>
      <c r="Z6977"/>
      <c r="AA6977" s="23"/>
      <c r="AB6977"/>
      <c r="AC6977" s="272"/>
      <c r="AD6977" s="272"/>
      <c r="AE6977" s="273"/>
      <c r="AF6977" s="274"/>
      <c r="AM6977" s="29"/>
      <c r="AN6977"/>
      <c r="AO6977"/>
      <c r="AP6977"/>
      <c r="AQ6977" s="29"/>
      <c r="AR6977" s="29"/>
      <c r="AS6977" s="29"/>
      <c r="AT6977"/>
      <c r="AV6977"/>
      <c r="AW6977"/>
    </row>
    <row r="6978" spans="1:49">
      <c r="A6978" s="23" t="s">
        <v>7982</v>
      </c>
      <c r="B6978" t="s">
        <v>7712</v>
      </c>
      <c r="C6978">
        <v>1</v>
      </c>
      <c r="D6978" s="55" t="str">
        <f t="shared" si="1264"/>
        <v>Representative in Congress*4(vote 1)</v>
      </c>
      <c r="E6978" t="s">
        <v>7758</v>
      </c>
      <c r="F6978" t="s">
        <v>1296</v>
      </c>
      <c r="G6978" s="254">
        <v>71671</v>
      </c>
      <c r="H6978"/>
      <c r="J6978" s="7"/>
      <c r="K6978" s="2"/>
      <c r="O6978">
        <f t="shared" si="1265"/>
        <v>2</v>
      </c>
      <c r="P6978" s="57">
        <f t="shared" si="1266"/>
        <v>1</v>
      </c>
      <c r="Q6978" s="267">
        <f t="shared" si="1267"/>
        <v>72410</v>
      </c>
      <c r="R6978" s="23" t="str">
        <f t="shared" si="1268"/>
        <v/>
      </c>
      <c r="S6978" s="23">
        <f t="shared" si="1269"/>
        <v>71671</v>
      </c>
      <c r="T6978" s="23" t="str">
        <f t="shared" si="1270"/>
        <v/>
      </c>
      <c r="U6978" t="str">
        <f t="shared" si="1271"/>
        <v/>
      </c>
      <c r="V6978" s="376"/>
      <c r="W6978" s="53"/>
      <c r="X6978" s="53"/>
      <c r="Y6978"/>
      <c r="Z6978"/>
      <c r="AA6978" s="23"/>
      <c r="AB6978"/>
      <c r="AC6978" s="272"/>
      <c r="AD6978" s="272"/>
      <c r="AE6978" s="273"/>
      <c r="AF6978" s="274"/>
      <c r="AM6978" s="29"/>
      <c r="AN6978"/>
      <c r="AO6978"/>
      <c r="AP6978"/>
      <c r="AQ6978" s="29"/>
      <c r="AR6978" s="29"/>
      <c r="AS6978" s="29"/>
      <c r="AT6978"/>
      <c r="AV6978"/>
      <c r="AW6978"/>
    </row>
    <row r="6979" spans="1:49">
      <c r="A6979" s="23" t="s">
        <v>7982</v>
      </c>
      <c r="B6979" t="s">
        <v>7712</v>
      </c>
      <c r="C6979">
        <v>1</v>
      </c>
      <c r="D6979" s="55" t="str">
        <f t="shared" si="1264"/>
        <v>Representative in Congress*4(vote 1)</v>
      </c>
      <c r="E6979" t="s">
        <v>7722</v>
      </c>
      <c r="F6979" t="s">
        <v>7714</v>
      </c>
      <c r="G6979" s="254">
        <v>739</v>
      </c>
      <c r="H6979"/>
      <c r="J6979" s="7"/>
      <c r="K6979" s="2"/>
      <c r="O6979">
        <f t="shared" si="1265"/>
        <v>3</v>
      </c>
      <c r="P6979" s="57">
        <f t="shared" si="1266"/>
        <v>1</v>
      </c>
      <c r="Q6979" s="267">
        <f t="shared" si="1267"/>
        <v>739</v>
      </c>
      <c r="R6979" s="23" t="str">
        <f t="shared" si="1268"/>
        <v/>
      </c>
      <c r="S6979" s="23">
        <f t="shared" si="1269"/>
        <v>739</v>
      </c>
      <c r="T6979" s="23" t="str">
        <f t="shared" si="1270"/>
        <v/>
      </c>
      <c r="U6979" t="str">
        <f t="shared" si="1271"/>
        <v/>
      </c>
      <c r="V6979" s="376"/>
      <c r="W6979" s="53"/>
      <c r="X6979" s="53"/>
      <c r="Y6979"/>
      <c r="Z6979"/>
      <c r="AA6979" s="23"/>
      <c r="AB6979"/>
      <c r="AC6979" s="272"/>
      <c r="AD6979" s="272"/>
      <c r="AE6979" s="273"/>
      <c r="AF6979" s="274"/>
      <c r="AM6979" s="29"/>
      <c r="AN6979"/>
      <c r="AO6979"/>
      <c r="AP6979"/>
      <c r="AQ6979" s="29"/>
      <c r="AR6979" s="29"/>
      <c r="AS6979" s="29"/>
      <c r="AT6979"/>
      <c r="AV6979"/>
      <c r="AW6979"/>
    </row>
    <row r="6980" spans="1:49">
      <c r="A6980" s="23" t="s">
        <v>7983</v>
      </c>
      <c r="B6980" t="s">
        <v>7712</v>
      </c>
      <c r="C6980">
        <v>1</v>
      </c>
      <c r="D6980" s="55" t="str">
        <f t="shared" si="1264"/>
        <v>Representative in Congress*5(vote 1)</v>
      </c>
      <c r="E6980" t="s">
        <v>7759</v>
      </c>
      <c r="F6980" t="s">
        <v>1294</v>
      </c>
      <c r="G6980" s="254">
        <v>274210</v>
      </c>
      <c r="H6980"/>
      <c r="J6980" s="7"/>
      <c r="K6980" s="2"/>
      <c r="O6980">
        <f t="shared" si="1265"/>
        <v>1</v>
      </c>
      <c r="P6980" s="57">
        <f t="shared" si="1266"/>
        <v>1</v>
      </c>
      <c r="Q6980" s="267">
        <f t="shared" si="1267"/>
        <v>398839</v>
      </c>
      <c r="R6980" s="23">
        <f t="shared" si="1268"/>
        <v>274210</v>
      </c>
      <c r="S6980" s="23">
        <f t="shared" si="1269"/>
        <v>123525</v>
      </c>
      <c r="T6980" s="23">
        <f t="shared" si="1270"/>
        <v>150685</v>
      </c>
      <c r="U6980" t="str">
        <f t="shared" si="1271"/>
        <v>MD_2020g~Cnty0:Representative in Congress*5(vote 1)</v>
      </c>
      <c r="V6980" s="376"/>
      <c r="W6980" s="53"/>
      <c r="X6980" s="53"/>
      <c r="Y6980"/>
      <c r="Z6980"/>
      <c r="AA6980" s="23"/>
      <c r="AB6980"/>
      <c r="AC6980" s="272"/>
      <c r="AD6980" s="272"/>
      <c r="AE6980" s="273"/>
      <c r="AF6980" s="274"/>
      <c r="AM6980" s="29"/>
      <c r="AN6980"/>
      <c r="AO6980"/>
      <c r="AP6980"/>
      <c r="AQ6980" s="29"/>
      <c r="AR6980" s="29"/>
      <c r="AS6980" s="29"/>
      <c r="AT6980"/>
      <c r="AV6980"/>
      <c r="AW6980"/>
    </row>
    <row r="6981" spans="1:49">
      <c r="A6981" s="23" t="s">
        <v>7983</v>
      </c>
      <c r="B6981" t="s">
        <v>7712</v>
      </c>
      <c r="C6981">
        <v>1</v>
      </c>
      <c r="D6981" s="55" t="str">
        <f t="shared" si="1264"/>
        <v>Representative in Congress*5(vote 1)</v>
      </c>
      <c r="E6981" t="s">
        <v>7760</v>
      </c>
      <c r="F6981" t="s">
        <v>1296</v>
      </c>
      <c r="G6981" s="254">
        <v>123525</v>
      </c>
      <c r="H6981"/>
      <c r="J6981" s="7"/>
      <c r="K6981" s="2"/>
      <c r="O6981">
        <f t="shared" si="1265"/>
        <v>2</v>
      </c>
      <c r="P6981" s="57">
        <f t="shared" si="1266"/>
        <v>1</v>
      </c>
      <c r="Q6981" s="267">
        <f t="shared" si="1267"/>
        <v>124629</v>
      </c>
      <c r="R6981" s="23" t="str">
        <f t="shared" si="1268"/>
        <v/>
      </c>
      <c r="S6981" s="23">
        <f t="shared" si="1269"/>
        <v>123525</v>
      </c>
      <c r="T6981" s="23" t="str">
        <f t="shared" si="1270"/>
        <v/>
      </c>
      <c r="U6981" t="str">
        <f t="shared" si="1271"/>
        <v/>
      </c>
      <c r="V6981" s="376"/>
      <c r="W6981" s="53"/>
      <c r="X6981" s="53"/>
      <c r="Y6981"/>
      <c r="Z6981"/>
      <c r="AA6981" s="23"/>
      <c r="AB6981"/>
      <c r="AC6981" s="272"/>
      <c r="AD6981" s="272"/>
      <c r="AE6981" s="273"/>
      <c r="AF6981" s="274"/>
      <c r="AM6981" s="29"/>
      <c r="AN6981"/>
      <c r="AO6981"/>
      <c r="AP6981"/>
      <c r="AQ6981" s="29"/>
      <c r="AR6981" s="29"/>
      <c r="AS6981" s="29"/>
      <c r="AT6981"/>
      <c r="AV6981"/>
      <c r="AW6981"/>
    </row>
    <row r="6982" spans="1:49">
      <c r="A6982" s="23" t="s">
        <v>7983</v>
      </c>
      <c r="B6982" t="s">
        <v>7712</v>
      </c>
      <c r="C6982">
        <v>1</v>
      </c>
      <c r="D6982" s="55" t="str">
        <f t="shared" si="1264"/>
        <v>Representative in Congress*5(vote 1)</v>
      </c>
      <c r="E6982" t="s">
        <v>7722</v>
      </c>
      <c r="F6982" t="s">
        <v>7714</v>
      </c>
      <c r="G6982" s="254">
        <v>1104</v>
      </c>
      <c r="H6982"/>
      <c r="J6982" s="7"/>
      <c r="K6982" s="2"/>
      <c r="O6982">
        <f t="shared" si="1265"/>
        <v>3</v>
      </c>
      <c r="P6982" s="57">
        <f t="shared" si="1266"/>
        <v>1</v>
      </c>
      <c r="Q6982" s="267">
        <f t="shared" si="1267"/>
        <v>1104</v>
      </c>
      <c r="R6982" s="23" t="str">
        <f t="shared" si="1268"/>
        <v/>
      </c>
      <c r="S6982" s="23">
        <f t="shared" si="1269"/>
        <v>1104</v>
      </c>
      <c r="T6982" s="23" t="str">
        <f t="shared" si="1270"/>
        <v/>
      </c>
      <c r="U6982" t="str">
        <f t="shared" si="1271"/>
        <v/>
      </c>
      <c r="V6982" s="376"/>
      <c r="W6982" s="53"/>
      <c r="X6982" s="53"/>
      <c r="Y6982"/>
      <c r="Z6982"/>
      <c r="AA6982" s="23"/>
      <c r="AB6982"/>
      <c r="AC6982" s="272"/>
      <c r="AD6982" s="272"/>
      <c r="AE6982" s="273"/>
      <c r="AF6982" s="274"/>
      <c r="AM6982" s="29"/>
      <c r="AN6982"/>
      <c r="AO6982"/>
      <c r="AP6982"/>
      <c r="AQ6982" s="29"/>
      <c r="AR6982" s="29"/>
      <c r="AS6982" s="29"/>
      <c r="AT6982"/>
      <c r="AV6982"/>
      <c r="AW6982"/>
    </row>
    <row r="6983" spans="1:49">
      <c r="A6983" s="23" t="s">
        <v>7984</v>
      </c>
      <c r="B6983" t="s">
        <v>7712</v>
      </c>
      <c r="C6983">
        <v>1</v>
      </c>
      <c r="D6983" s="55" t="str">
        <f t="shared" si="1264"/>
        <v>Representative in Congress*6(vote 1)</v>
      </c>
      <c r="E6983" t="s">
        <v>7761</v>
      </c>
      <c r="F6983" t="s">
        <v>1294</v>
      </c>
      <c r="G6983" s="254">
        <v>215540</v>
      </c>
      <c r="H6983"/>
      <c r="J6983" s="7"/>
      <c r="K6983" s="2"/>
      <c r="O6983">
        <f t="shared" si="1265"/>
        <v>1</v>
      </c>
      <c r="P6983" s="57">
        <f t="shared" si="1266"/>
        <v>1</v>
      </c>
      <c r="Q6983" s="267">
        <f t="shared" si="1267"/>
        <v>366434</v>
      </c>
      <c r="R6983" s="23">
        <f t="shared" si="1268"/>
        <v>215540</v>
      </c>
      <c r="S6983" s="23">
        <f t="shared" si="1269"/>
        <v>143599</v>
      </c>
      <c r="T6983" s="23">
        <f t="shared" si="1270"/>
        <v>71941</v>
      </c>
      <c r="U6983" t="str">
        <f t="shared" si="1271"/>
        <v>MD_2020g~Cnty0:Representative in Congress*6(vote 1)</v>
      </c>
      <c r="V6983" s="376"/>
      <c r="W6983" s="53"/>
      <c r="X6983" s="53"/>
      <c r="Y6983"/>
      <c r="Z6983"/>
      <c r="AA6983" s="23"/>
      <c r="AB6983"/>
      <c r="AC6983" s="272"/>
      <c r="AD6983" s="272"/>
      <c r="AE6983" s="273"/>
      <c r="AF6983" s="274"/>
      <c r="AM6983" s="29"/>
      <c r="AN6983"/>
      <c r="AO6983"/>
      <c r="AP6983"/>
      <c r="AQ6983" s="29"/>
      <c r="AR6983" s="29"/>
      <c r="AS6983" s="29"/>
      <c r="AT6983"/>
      <c r="AV6983"/>
      <c r="AW6983"/>
    </row>
    <row r="6984" spans="1:49">
      <c r="A6984" s="23" t="s">
        <v>7984</v>
      </c>
      <c r="B6984" t="s">
        <v>7712</v>
      </c>
      <c r="C6984">
        <v>1</v>
      </c>
      <c r="D6984" s="55" t="str">
        <f t="shared" si="1264"/>
        <v>Representative in Congress*6(vote 1)</v>
      </c>
      <c r="E6984" t="s">
        <v>7762</v>
      </c>
      <c r="F6984" t="s">
        <v>1296</v>
      </c>
      <c r="G6984" s="254">
        <v>143599</v>
      </c>
      <c r="H6984"/>
      <c r="J6984" s="7"/>
      <c r="K6984" s="2"/>
      <c r="O6984">
        <f t="shared" si="1265"/>
        <v>2</v>
      </c>
      <c r="P6984" s="57">
        <f t="shared" si="1266"/>
        <v>1</v>
      </c>
      <c r="Q6984" s="267">
        <f t="shared" si="1267"/>
        <v>150894</v>
      </c>
      <c r="R6984" s="23" t="str">
        <f t="shared" si="1268"/>
        <v/>
      </c>
      <c r="S6984" s="23">
        <f t="shared" si="1269"/>
        <v>143599</v>
      </c>
      <c r="T6984" s="23" t="str">
        <f t="shared" si="1270"/>
        <v/>
      </c>
      <c r="U6984" t="str">
        <f t="shared" si="1271"/>
        <v/>
      </c>
      <c r="V6984" s="376"/>
      <c r="W6984" s="53"/>
      <c r="X6984" s="53"/>
      <c r="Y6984"/>
      <c r="Z6984"/>
      <c r="AA6984" s="23"/>
      <c r="AB6984"/>
      <c r="AC6984" s="272"/>
      <c r="AD6984" s="272"/>
      <c r="AE6984" s="273"/>
      <c r="AF6984" s="274"/>
      <c r="AM6984" s="29"/>
      <c r="AN6984"/>
      <c r="AO6984"/>
      <c r="AP6984"/>
      <c r="AQ6984" s="29"/>
      <c r="AR6984" s="29"/>
      <c r="AS6984" s="29"/>
      <c r="AT6984"/>
      <c r="AV6984"/>
      <c r="AW6984"/>
    </row>
    <row r="6985" spans="1:49">
      <c r="A6985" s="23" t="s">
        <v>7984</v>
      </c>
      <c r="B6985" t="s">
        <v>7712</v>
      </c>
      <c r="C6985">
        <v>1</v>
      </c>
      <c r="D6985" s="55" t="str">
        <f t="shared" si="1264"/>
        <v>Representative in Congress*6(vote 1)</v>
      </c>
      <c r="E6985" t="s">
        <v>7763</v>
      </c>
      <c r="F6985" t="s">
        <v>1306</v>
      </c>
      <c r="G6985" s="254">
        <v>6893</v>
      </c>
      <c r="H6985"/>
      <c r="J6985" s="7"/>
      <c r="K6985" s="2"/>
      <c r="O6985">
        <f t="shared" si="1265"/>
        <v>3</v>
      </c>
      <c r="P6985" s="57">
        <f t="shared" si="1266"/>
        <v>1</v>
      </c>
      <c r="Q6985" s="267">
        <f t="shared" si="1267"/>
        <v>7295</v>
      </c>
      <c r="R6985" s="23" t="str">
        <f t="shared" si="1268"/>
        <v/>
      </c>
      <c r="S6985" s="23">
        <f t="shared" si="1269"/>
        <v>6893</v>
      </c>
      <c r="T6985" s="23" t="str">
        <f t="shared" si="1270"/>
        <v/>
      </c>
      <c r="U6985" t="str">
        <f t="shared" si="1271"/>
        <v/>
      </c>
      <c r="V6985" s="376"/>
      <c r="W6985" s="53"/>
      <c r="X6985" s="53"/>
      <c r="Y6985"/>
      <c r="Z6985"/>
      <c r="AA6985" s="23"/>
      <c r="AB6985"/>
      <c r="AC6985" s="272"/>
      <c r="AD6985" s="272"/>
      <c r="AE6985" s="273"/>
      <c r="AF6985" s="274"/>
      <c r="AM6985" s="29"/>
      <c r="AN6985"/>
      <c r="AO6985"/>
      <c r="AP6985"/>
      <c r="AQ6985" s="29"/>
      <c r="AR6985" s="29"/>
      <c r="AS6985" s="29"/>
      <c r="AT6985"/>
      <c r="AV6985"/>
      <c r="AW6985"/>
    </row>
    <row r="6986" spans="1:49">
      <c r="A6986" s="23" t="s">
        <v>7984</v>
      </c>
      <c r="B6986" t="s">
        <v>7712</v>
      </c>
      <c r="C6986">
        <v>1</v>
      </c>
      <c r="D6986" s="55" t="str">
        <f t="shared" ref="D6986:D7049" si="1272">MID(A6986,16,99)</f>
        <v>Representative in Congress*6(vote 1)</v>
      </c>
      <c r="E6986" t="s">
        <v>7722</v>
      </c>
      <c r="F6986" t="s">
        <v>7714</v>
      </c>
      <c r="G6986" s="254">
        <v>356</v>
      </c>
      <c r="H6986"/>
      <c r="J6986" s="7"/>
      <c r="K6986" s="2"/>
      <c r="O6986">
        <f t="shared" ref="O6986:O7049" si="1273">IF(OR(LOWER(LEFT(E6986,8))="write-in",LOWER(LEFT(E6986,8))="not qual"),IF(A6986=A6985,-ABS(O6985),0),IF(A6986=A6985,ABS(O6985)+1,1))</f>
        <v>4</v>
      </c>
      <c r="P6986" s="57">
        <f t="shared" ref="P6986:P7049" si="1274">1*LEFT(RIGHT(A6986,2),1)</f>
        <v>1</v>
      </c>
      <c r="Q6986" s="267">
        <f t="shared" ref="Q6986:Q7049" si="1275">IF(A6986&lt;&gt;A6987,G6986,IF(A6986=A6985,G6986+Q6987,MAX(G6986,(G6986+Q6987)/P6986)))</f>
        <v>402</v>
      </c>
      <c r="R6986" s="23" t="str">
        <f t="shared" ref="R6986:R7049" si="1276">IF(O6986&gt;P6986,"",IF(O6986=P6986,G6986,IF(A6986=A6987,R6987,IF(O6986&lt;=0,1,G6986))))</f>
        <v/>
      </c>
      <c r="S6986" s="23">
        <f t="shared" ref="S6986:S7049" si="1277">IF(AND(O6986&gt;P6986,LOWER(LEFT(E6986,8))&lt;&gt;"write-in",LOWER(LEFT(E6986,8))&lt;&gt;"not qual"),G6986,IF(A6986=A6987,S6987,0))</f>
        <v>356</v>
      </c>
      <c r="T6986" s="23" t="str">
        <f t="shared" ref="T6986:T7049" si="1278">IF(OR(A6986=A6985,S6986=0),"",R6986-ABS(S6986))</f>
        <v/>
      </c>
      <c r="U6986" t="str">
        <f t="shared" ref="U6986:U7049" si="1279">IF(A6986=A6985,"",A6986)</f>
        <v/>
      </c>
      <c r="V6986" s="376"/>
      <c r="W6986" s="53"/>
      <c r="X6986" s="53"/>
      <c r="Y6986"/>
      <c r="Z6986"/>
      <c r="AA6986" s="23"/>
      <c r="AB6986"/>
      <c r="AC6986" s="272"/>
      <c r="AD6986" s="272"/>
      <c r="AE6986" s="273"/>
      <c r="AF6986" s="274"/>
      <c r="AM6986" s="29"/>
      <c r="AN6986"/>
      <c r="AO6986"/>
      <c r="AP6986"/>
      <c r="AQ6986" s="29"/>
      <c r="AR6986" s="29"/>
      <c r="AS6986" s="29"/>
      <c r="AT6986"/>
      <c r="AV6986"/>
      <c r="AW6986"/>
    </row>
    <row r="6987" spans="1:49">
      <c r="A6987" s="23" t="s">
        <v>7984</v>
      </c>
      <c r="B6987" t="s">
        <v>7712</v>
      </c>
      <c r="C6987">
        <v>1</v>
      </c>
      <c r="D6987" s="55" t="str">
        <f t="shared" si="1272"/>
        <v>Representative in Congress*6(vote 1)</v>
      </c>
      <c r="E6987" t="s">
        <v>7764</v>
      </c>
      <c r="F6987" t="s">
        <v>7730</v>
      </c>
      <c r="G6987" s="254">
        <v>46</v>
      </c>
      <c r="H6987"/>
      <c r="J6987" s="7"/>
      <c r="K6987" s="2"/>
      <c r="O6987">
        <f t="shared" si="1273"/>
        <v>5</v>
      </c>
      <c r="P6987" s="57">
        <f t="shared" si="1274"/>
        <v>1</v>
      </c>
      <c r="Q6987" s="267">
        <f t="shared" si="1275"/>
        <v>46</v>
      </c>
      <c r="R6987" s="23" t="str">
        <f t="shared" si="1276"/>
        <v/>
      </c>
      <c r="S6987" s="23">
        <f t="shared" si="1277"/>
        <v>46</v>
      </c>
      <c r="T6987" s="23" t="str">
        <f t="shared" si="1278"/>
        <v/>
      </c>
      <c r="U6987" t="str">
        <f t="shared" si="1279"/>
        <v/>
      </c>
      <c r="V6987" s="376"/>
      <c r="W6987" s="53"/>
      <c r="X6987" s="53"/>
      <c r="Y6987"/>
      <c r="Z6987"/>
      <c r="AA6987" s="23"/>
      <c r="AB6987"/>
      <c r="AC6987" s="272"/>
      <c r="AD6987" s="272"/>
      <c r="AE6987" s="273"/>
      <c r="AF6987" s="274"/>
      <c r="AM6987" s="29"/>
      <c r="AN6987"/>
      <c r="AO6987"/>
      <c r="AP6987"/>
      <c r="AQ6987" s="29"/>
      <c r="AR6987" s="29"/>
      <c r="AS6987" s="29"/>
      <c r="AT6987"/>
      <c r="AV6987"/>
      <c r="AW6987"/>
    </row>
    <row r="6988" spans="1:49">
      <c r="A6988" s="23" t="s">
        <v>7985</v>
      </c>
      <c r="B6988" t="s">
        <v>7712</v>
      </c>
      <c r="C6988">
        <v>1</v>
      </c>
      <c r="D6988" s="55" t="str">
        <f t="shared" si="1272"/>
        <v>Representative in Congress*7(vote 1)</v>
      </c>
      <c r="E6988" t="s">
        <v>7765</v>
      </c>
      <c r="F6988" t="s">
        <v>1294</v>
      </c>
      <c r="G6988" s="254">
        <v>237084</v>
      </c>
      <c r="H6988"/>
      <c r="J6988" s="7"/>
      <c r="K6988" s="2"/>
      <c r="O6988">
        <f t="shared" si="1273"/>
        <v>1</v>
      </c>
      <c r="P6988" s="57">
        <f t="shared" si="1274"/>
        <v>1</v>
      </c>
      <c r="Q6988" s="267">
        <f t="shared" si="1275"/>
        <v>330998</v>
      </c>
      <c r="R6988" s="23">
        <f t="shared" si="1276"/>
        <v>237084</v>
      </c>
      <c r="S6988" s="23">
        <f t="shared" si="1277"/>
        <v>92825</v>
      </c>
      <c r="T6988" s="23">
        <f t="shared" si="1278"/>
        <v>144259</v>
      </c>
      <c r="U6988" t="str">
        <f t="shared" si="1279"/>
        <v>MD_2020g~Cnty0:Representative in Congress*7(vote 1)</v>
      </c>
      <c r="V6988" s="376"/>
      <c r="W6988" s="53"/>
      <c r="X6988" s="53"/>
      <c r="Y6988"/>
      <c r="Z6988"/>
      <c r="AA6988" s="23"/>
      <c r="AB6988"/>
      <c r="AC6988" s="272"/>
      <c r="AD6988" s="272"/>
      <c r="AE6988" s="273"/>
      <c r="AF6988" s="274"/>
      <c r="AM6988" s="29"/>
      <c r="AN6988"/>
      <c r="AO6988"/>
      <c r="AP6988"/>
      <c r="AQ6988" s="29"/>
      <c r="AR6988" s="29"/>
      <c r="AS6988" s="29"/>
      <c r="AT6988"/>
      <c r="AV6988"/>
      <c r="AW6988"/>
    </row>
    <row r="6989" spans="1:49">
      <c r="A6989" s="23" t="s">
        <v>7985</v>
      </c>
      <c r="B6989" t="s">
        <v>7712</v>
      </c>
      <c r="C6989">
        <v>1</v>
      </c>
      <c r="D6989" s="55" t="str">
        <f t="shared" si="1272"/>
        <v>Representative in Congress*7(vote 1)</v>
      </c>
      <c r="E6989" t="s">
        <v>7766</v>
      </c>
      <c r="F6989" t="s">
        <v>1296</v>
      </c>
      <c r="G6989" s="254">
        <v>92825</v>
      </c>
      <c r="H6989"/>
      <c r="J6989" s="7"/>
      <c r="K6989" s="2"/>
      <c r="O6989">
        <f t="shared" si="1273"/>
        <v>2</v>
      </c>
      <c r="P6989" s="57">
        <f t="shared" si="1274"/>
        <v>1</v>
      </c>
      <c r="Q6989" s="267">
        <f t="shared" si="1275"/>
        <v>93914</v>
      </c>
      <c r="R6989" s="23" t="str">
        <f t="shared" si="1276"/>
        <v/>
      </c>
      <c r="S6989" s="23">
        <f t="shared" si="1277"/>
        <v>92825</v>
      </c>
      <c r="T6989" s="23" t="str">
        <f t="shared" si="1278"/>
        <v/>
      </c>
      <c r="U6989" t="str">
        <f t="shared" si="1279"/>
        <v/>
      </c>
      <c r="V6989" s="376"/>
      <c r="W6989" s="53"/>
      <c r="X6989" s="53"/>
      <c r="Y6989"/>
      <c r="Z6989"/>
      <c r="AA6989" s="23"/>
      <c r="AB6989"/>
      <c r="AC6989" s="272"/>
      <c r="AD6989" s="272"/>
      <c r="AE6989" s="273"/>
      <c r="AF6989" s="274"/>
      <c r="AM6989" s="29"/>
      <c r="AN6989"/>
      <c r="AO6989"/>
      <c r="AP6989"/>
      <c r="AQ6989" s="29"/>
      <c r="AR6989" s="29"/>
      <c r="AS6989" s="29"/>
      <c r="AT6989"/>
      <c r="AV6989"/>
      <c r="AW6989"/>
    </row>
    <row r="6990" spans="1:49">
      <c r="A6990" s="23" t="s">
        <v>7985</v>
      </c>
      <c r="B6990" t="s">
        <v>7712</v>
      </c>
      <c r="C6990">
        <v>1</v>
      </c>
      <c r="D6990" s="55" t="str">
        <f t="shared" si="1272"/>
        <v>Representative in Congress*7(vote 1)</v>
      </c>
      <c r="E6990" t="s">
        <v>7722</v>
      </c>
      <c r="F6990" t="s">
        <v>7714</v>
      </c>
      <c r="G6990" s="254">
        <v>1052</v>
      </c>
      <c r="H6990"/>
      <c r="J6990" s="7"/>
      <c r="K6990" s="2"/>
      <c r="O6990">
        <f t="shared" si="1273"/>
        <v>3</v>
      </c>
      <c r="P6990" s="57">
        <f t="shared" si="1274"/>
        <v>1</v>
      </c>
      <c r="Q6990" s="267">
        <f t="shared" si="1275"/>
        <v>1089</v>
      </c>
      <c r="R6990" s="23" t="str">
        <f t="shared" si="1276"/>
        <v/>
      </c>
      <c r="S6990" s="23">
        <f t="shared" si="1277"/>
        <v>1052</v>
      </c>
      <c r="T6990" s="23" t="str">
        <f t="shared" si="1278"/>
        <v/>
      </c>
      <c r="U6990" t="str">
        <f t="shared" si="1279"/>
        <v/>
      </c>
      <c r="V6990" s="376"/>
      <c r="W6990" s="53"/>
      <c r="X6990" s="53"/>
      <c r="Y6990"/>
      <c r="Z6990"/>
      <c r="AA6990" s="23"/>
      <c r="AB6990"/>
      <c r="AC6990" s="272"/>
      <c r="AD6990" s="272"/>
      <c r="AE6990" s="273"/>
      <c r="AF6990" s="274"/>
      <c r="AM6990" s="29"/>
      <c r="AN6990"/>
      <c r="AO6990"/>
      <c r="AP6990"/>
      <c r="AQ6990" s="29"/>
      <c r="AR6990" s="29"/>
      <c r="AS6990" s="29"/>
      <c r="AT6990"/>
      <c r="AV6990"/>
      <c r="AW6990"/>
    </row>
    <row r="6991" spans="1:49">
      <c r="A6991" s="23" t="s">
        <v>7985</v>
      </c>
      <c r="B6991" t="s">
        <v>7712</v>
      </c>
      <c r="C6991">
        <v>1</v>
      </c>
      <c r="D6991" s="55" t="str">
        <f t="shared" si="1272"/>
        <v>Representative in Congress*7(vote 1)</v>
      </c>
      <c r="E6991" t="s">
        <v>7767</v>
      </c>
      <c r="F6991" t="s">
        <v>1294</v>
      </c>
      <c r="G6991" s="254">
        <v>21</v>
      </c>
      <c r="H6991"/>
      <c r="J6991" s="7"/>
      <c r="K6991" s="2"/>
      <c r="O6991">
        <f t="shared" si="1273"/>
        <v>4</v>
      </c>
      <c r="P6991" s="57">
        <f t="shared" si="1274"/>
        <v>1</v>
      </c>
      <c r="Q6991" s="267">
        <f t="shared" si="1275"/>
        <v>37</v>
      </c>
      <c r="R6991" s="23" t="str">
        <f t="shared" si="1276"/>
        <v/>
      </c>
      <c r="S6991" s="23">
        <f t="shared" si="1277"/>
        <v>21</v>
      </c>
      <c r="T6991" s="23" t="str">
        <f t="shared" si="1278"/>
        <v/>
      </c>
      <c r="U6991" t="str">
        <f t="shared" si="1279"/>
        <v/>
      </c>
      <c r="V6991" s="376"/>
      <c r="W6991" s="53"/>
      <c r="X6991" s="53"/>
      <c r="Y6991"/>
      <c r="Z6991"/>
      <c r="AA6991" s="23"/>
      <c r="AB6991"/>
      <c r="AC6991" s="272"/>
      <c r="AD6991" s="272"/>
      <c r="AE6991" s="273"/>
      <c r="AF6991" s="274"/>
      <c r="AM6991" s="29"/>
      <c r="AN6991"/>
      <c r="AO6991"/>
      <c r="AP6991"/>
      <c r="AQ6991" s="29"/>
      <c r="AR6991" s="29"/>
      <c r="AS6991" s="29"/>
      <c r="AT6991"/>
      <c r="AV6991"/>
      <c r="AW6991"/>
    </row>
    <row r="6992" spans="1:49">
      <c r="A6992" s="23" t="s">
        <v>7985</v>
      </c>
      <c r="B6992" t="s">
        <v>7712</v>
      </c>
      <c r="C6992">
        <v>1</v>
      </c>
      <c r="D6992" s="55" t="str">
        <f t="shared" si="1272"/>
        <v>Representative in Congress*7(vote 1)</v>
      </c>
      <c r="E6992" t="s">
        <v>7768</v>
      </c>
      <c r="F6992" t="s">
        <v>1296</v>
      </c>
      <c r="G6992" s="254">
        <v>16</v>
      </c>
      <c r="H6992"/>
      <c r="J6992" s="7"/>
      <c r="K6992" s="2"/>
      <c r="O6992">
        <f t="shared" si="1273"/>
        <v>5</v>
      </c>
      <c r="P6992" s="57">
        <f t="shared" si="1274"/>
        <v>1</v>
      </c>
      <c r="Q6992" s="267">
        <f t="shared" si="1275"/>
        <v>16</v>
      </c>
      <c r="R6992" s="23" t="str">
        <f t="shared" si="1276"/>
        <v/>
      </c>
      <c r="S6992" s="23">
        <f t="shared" si="1277"/>
        <v>16</v>
      </c>
      <c r="T6992" s="23" t="str">
        <f t="shared" si="1278"/>
        <v/>
      </c>
      <c r="U6992" t="str">
        <f t="shared" si="1279"/>
        <v/>
      </c>
      <c r="V6992" s="376"/>
      <c r="W6992" s="53"/>
      <c r="X6992" s="53"/>
      <c r="Y6992"/>
      <c r="Z6992"/>
      <c r="AA6992" s="23"/>
      <c r="AB6992"/>
      <c r="AC6992" s="272"/>
      <c r="AD6992" s="272"/>
      <c r="AE6992" s="273"/>
      <c r="AF6992" s="274"/>
      <c r="AM6992" s="29"/>
      <c r="AN6992"/>
      <c r="AO6992"/>
      <c r="AP6992"/>
      <c r="AQ6992" s="29"/>
      <c r="AR6992" s="29"/>
      <c r="AS6992" s="29"/>
      <c r="AT6992"/>
      <c r="AV6992"/>
      <c r="AW6992"/>
    </row>
    <row r="6993" spans="1:49">
      <c r="A6993" s="23" t="s">
        <v>7986</v>
      </c>
      <c r="B6993" t="s">
        <v>7712</v>
      </c>
      <c r="C6993">
        <v>1</v>
      </c>
      <c r="D6993" s="55" t="str">
        <f t="shared" si="1272"/>
        <v>Representative in Congress*8(vote 1)</v>
      </c>
      <c r="E6993" t="s">
        <v>7769</v>
      </c>
      <c r="F6993" t="s">
        <v>1294</v>
      </c>
      <c r="G6993" s="254">
        <v>274716</v>
      </c>
      <c r="H6993"/>
      <c r="J6993" s="7"/>
      <c r="K6993" s="2"/>
      <c r="O6993">
        <f t="shared" si="1273"/>
        <v>1</v>
      </c>
      <c r="P6993" s="57">
        <f t="shared" si="1274"/>
        <v>1</v>
      </c>
      <c r="Q6993" s="267">
        <f t="shared" si="1275"/>
        <v>402614</v>
      </c>
      <c r="R6993" s="23">
        <f t="shared" si="1276"/>
        <v>274716</v>
      </c>
      <c r="S6993" s="23">
        <f t="shared" si="1277"/>
        <v>127157</v>
      </c>
      <c r="T6993" s="23">
        <f t="shared" si="1278"/>
        <v>147559</v>
      </c>
      <c r="U6993" t="str">
        <f t="shared" si="1279"/>
        <v>MD_2020g~Cnty0:Representative in Congress*8(vote 1)</v>
      </c>
      <c r="V6993" s="376"/>
      <c r="W6993" s="53"/>
      <c r="X6993" s="53"/>
      <c r="Y6993"/>
      <c r="Z6993"/>
      <c r="AA6993" s="23"/>
      <c r="AB6993"/>
      <c r="AC6993" s="272"/>
      <c r="AD6993" s="272"/>
      <c r="AE6993" s="273"/>
      <c r="AF6993" s="274"/>
      <c r="AM6993" s="29"/>
      <c r="AN6993"/>
      <c r="AO6993"/>
      <c r="AP6993"/>
      <c r="AQ6993" s="29"/>
      <c r="AR6993" s="29"/>
      <c r="AS6993" s="29"/>
      <c r="AT6993"/>
      <c r="AV6993"/>
      <c r="AW6993"/>
    </row>
    <row r="6994" spans="1:49">
      <c r="A6994" s="23" t="s">
        <v>7986</v>
      </c>
      <c r="B6994" t="s">
        <v>7712</v>
      </c>
      <c r="C6994">
        <v>1</v>
      </c>
      <c r="D6994" s="55" t="str">
        <f t="shared" si="1272"/>
        <v>Representative in Congress*8(vote 1)</v>
      </c>
      <c r="E6994" t="s">
        <v>7770</v>
      </c>
      <c r="F6994" t="s">
        <v>1296</v>
      </c>
      <c r="G6994" s="254">
        <v>127157</v>
      </c>
      <c r="H6994"/>
      <c r="J6994" s="7"/>
      <c r="K6994" s="2"/>
      <c r="O6994">
        <f t="shared" si="1273"/>
        <v>2</v>
      </c>
      <c r="P6994" s="57">
        <f t="shared" si="1274"/>
        <v>1</v>
      </c>
      <c r="Q6994" s="267">
        <f t="shared" si="1275"/>
        <v>127898</v>
      </c>
      <c r="R6994" s="23" t="str">
        <f t="shared" si="1276"/>
        <v/>
      </c>
      <c r="S6994" s="23">
        <f t="shared" si="1277"/>
        <v>127157</v>
      </c>
      <c r="T6994" s="23" t="str">
        <f t="shared" si="1278"/>
        <v/>
      </c>
      <c r="U6994" t="str">
        <f t="shared" si="1279"/>
        <v/>
      </c>
      <c r="V6994" s="376"/>
      <c r="W6994" s="53"/>
      <c r="X6994" s="53"/>
      <c r="Y6994"/>
      <c r="Z6994"/>
      <c r="AA6994" s="23"/>
      <c r="AB6994"/>
      <c r="AC6994" s="272"/>
      <c r="AD6994" s="272"/>
      <c r="AE6994" s="273"/>
      <c r="AF6994" s="274"/>
      <c r="AM6994" s="29"/>
      <c r="AN6994"/>
      <c r="AO6994"/>
      <c r="AP6994"/>
      <c r="AQ6994" s="29"/>
      <c r="AR6994" s="29"/>
      <c r="AS6994" s="29"/>
      <c r="AT6994"/>
      <c r="AV6994"/>
      <c r="AW6994"/>
    </row>
    <row r="6995" spans="1:49">
      <c r="A6995" s="23" t="s">
        <v>7986</v>
      </c>
      <c r="B6995" t="s">
        <v>7712</v>
      </c>
      <c r="C6995">
        <v>1</v>
      </c>
      <c r="D6995" s="55" t="str">
        <f t="shared" si="1272"/>
        <v>Representative in Congress*8(vote 1)</v>
      </c>
      <c r="E6995" t="s">
        <v>7722</v>
      </c>
      <c r="F6995" t="s">
        <v>7714</v>
      </c>
      <c r="G6995" s="254">
        <v>714</v>
      </c>
      <c r="H6995"/>
      <c r="J6995" s="7"/>
      <c r="K6995" s="2"/>
      <c r="O6995">
        <f t="shared" si="1273"/>
        <v>3</v>
      </c>
      <c r="P6995" s="57">
        <f t="shared" si="1274"/>
        <v>1</v>
      </c>
      <c r="Q6995" s="267">
        <f t="shared" si="1275"/>
        <v>741</v>
      </c>
      <c r="R6995" s="23" t="str">
        <f t="shared" si="1276"/>
        <v/>
      </c>
      <c r="S6995" s="23">
        <f t="shared" si="1277"/>
        <v>714</v>
      </c>
      <c r="T6995" s="23" t="str">
        <f t="shared" si="1278"/>
        <v/>
      </c>
      <c r="U6995" t="str">
        <f t="shared" si="1279"/>
        <v/>
      </c>
      <c r="V6995" s="376"/>
      <c r="W6995" s="53"/>
      <c r="X6995" s="53"/>
      <c r="Y6995"/>
      <c r="Z6995"/>
      <c r="AA6995" s="23"/>
      <c r="AB6995"/>
      <c r="AC6995" s="272"/>
      <c r="AD6995" s="272"/>
      <c r="AE6995" s="273"/>
      <c r="AF6995" s="274"/>
      <c r="AM6995" s="29"/>
      <c r="AN6995"/>
      <c r="AO6995"/>
      <c r="AP6995"/>
      <c r="AQ6995" s="29"/>
      <c r="AR6995" s="29"/>
      <c r="AS6995" s="29"/>
      <c r="AT6995"/>
      <c r="AV6995"/>
      <c r="AW6995"/>
    </row>
    <row r="6996" spans="1:49">
      <c r="A6996" s="23" t="s">
        <v>7986</v>
      </c>
      <c r="B6996" t="s">
        <v>7712</v>
      </c>
      <c r="C6996">
        <v>1</v>
      </c>
      <c r="D6996" s="55" t="str">
        <f t="shared" si="1272"/>
        <v>Representative in Congress*8(vote 1)</v>
      </c>
      <c r="E6996" t="s">
        <v>7771</v>
      </c>
      <c r="F6996" t="s">
        <v>1294</v>
      </c>
      <c r="G6996" s="254">
        <v>27</v>
      </c>
      <c r="H6996"/>
      <c r="J6996" s="7"/>
      <c r="K6996" s="2"/>
      <c r="O6996">
        <f t="shared" si="1273"/>
        <v>4</v>
      </c>
      <c r="P6996" s="57">
        <f t="shared" si="1274"/>
        <v>1</v>
      </c>
      <c r="Q6996" s="267">
        <f t="shared" si="1275"/>
        <v>27</v>
      </c>
      <c r="R6996" s="23" t="str">
        <f t="shared" si="1276"/>
        <v/>
      </c>
      <c r="S6996" s="23">
        <f t="shared" si="1277"/>
        <v>27</v>
      </c>
      <c r="T6996" s="23" t="str">
        <f t="shared" si="1278"/>
        <v/>
      </c>
      <c r="U6996" t="str">
        <f t="shared" si="1279"/>
        <v/>
      </c>
      <c r="V6996" s="376"/>
      <c r="W6996" s="53"/>
      <c r="X6996" s="53"/>
      <c r="Y6996"/>
      <c r="Z6996"/>
      <c r="AA6996" s="23"/>
      <c r="AB6996"/>
      <c r="AC6996" s="272"/>
      <c r="AD6996" s="272"/>
      <c r="AE6996" s="273"/>
      <c r="AF6996" s="274"/>
      <c r="AM6996" s="29"/>
      <c r="AN6996"/>
      <c r="AO6996"/>
      <c r="AP6996"/>
      <c r="AQ6996" s="29"/>
      <c r="AR6996" s="29"/>
      <c r="AS6996" s="29"/>
      <c r="AT6996"/>
      <c r="AV6996"/>
      <c r="AW6996"/>
    </row>
    <row r="6997" spans="1:49">
      <c r="A6997" s="23" t="s">
        <v>7987</v>
      </c>
      <c r="B6997" t="s">
        <v>7712</v>
      </c>
      <c r="C6997">
        <v>1</v>
      </c>
      <c r="D6997" s="55" t="str">
        <f t="shared" si="1272"/>
        <v>Board of Education*(vote 3)</v>
      </c>
      <c r="E6997" t="s">
        <v>7772</v>
      </c>
      <c r="F6997" t="s">
        <v>1300</v>
      </c>
      <c r="G6997" s="254">
        <v>12216</v>
      </c>
      <c r="H6997"/>
      <c r="J6997" s="7"/>
      <c r="K6997" s="2"/>
      <c r="O6997">
        <f t="shared" si="1273"/>
        <v>1</v>
      </c>
      <c r="P6997" s="57">
        <f t="shared" si="1274"/>
        <v>3</v>
      </c>
      <c r="Q6997" s="267">
        <f t="shared" si="1275"/>
        <v>21412</v>
      </c>
      <c r="R6997" s="23">
        <f t="shared" si="1276"/>
        <v>10756</v>
      </c>
      <c r="S6997" s="23">
        <f t="shared" si="1277"/>
        <v>10414</v>
      </c>
      <c r="T6997" s="23">
        <f t="shared" si="1278"/>
        <v>342</v>
      </c>
      <c r="U6997" t="str">
        <f t="shared" si="1279"/>
        <v>MD_2020g~Cnty1:Board of Education*(vote 3)</v>
      </c>
      <c r="V6997" s="376"/>
      <c r="W6997" s="53"/>
      <c r="X6997" s="53"/>
      <c r="Y6997"/>
      <c r="Z6997"/>
      <c r="AA6997" s="23"/>
      <c r="AB6997"/>
      <c r="AC6997" s="272"/>
      <c r="AD6997" s="272"/>
      <c r="AE6997" s="273"/>
      <c r="AF6997" s="274"/>
      <c r="AM6997" s="29"/>
      <c r="AN6997"/>
      <c r="AO6997"/>
      <c r="AP6997"/>
      <c r="AQ6997" s="29"/>
      <c r="AR6997" s="29"/>
      <c r="AS6997" s="29"/>
      <c r="AT6997"/>
      <c r="AV6997"/>
      <c r="AW6997"/>
    </row>
    <row r="6998" spans="1:49">
      <c r="A6998" s="23" t="s">
        <v>7987</v>
      </c>
      <c r="B6998" t="s">
        <v>7712</v>
      </c>
      <c r="C6998">
        <v>1</v>
      </c>
      <c r="D6998" s="55" t="str">
        <f t="shared" si="1272"/>
        <v>Board of Education*(vote 3)</v>
      </c>
      <c r="E6998" t="s">
        <v>7773</v>
      </c>
      <c r="F6998" t="s">
        <v>1300</v>
      </c>
      <c r="G6998" s="254">
        <v>12116</v>
      </c>
      <c r="H6998"/>
      <c r="J6998" s="7"/>
      <c r="K6998" s="2"/>
      <c r="O6998">
        <f t="shared" si="1273"/>
        <v>2</v>
      </c>
      <c r="P6998" s="57">
        <f t="shared" si="1274"/>
        <v>3</v>
      </c>
      <c r="Q6998" s="267">
        <f t="shared" si="1275"/>
        <v>52020</v>
      </c>
      <c r="R6998" s="23">
        <f t="shared" si="1276"/>
        <v>10756</v>
      </c>
      <c r="S6998" s="23">
        <f t="shared" si="1277"/>
        <v>10414</v>
      </c>
      <c r="T6998" s="23" t="str">
        <f t="shared" si="1278"/>
        <v/>
      </c>
      <c r="U6998" t="str">
        <f t="shared" si="1279"/>
        <v/>
      </c>
      <c r="V6998" s="376"/>
      <c r="W6998" s="53"/>
      <c r="X6998" s="53"/>
      <c r="Y6998"/>
      <c r="Z6998"/>
      <c r="AA6998" s="23"/>
      <c r="AB6998"/>
      <c r="AC6998" s="272"/>
      <c r="AD6998" s="272"/>
      <c r="AE6998" s="273"/>
      <c r="AF6998" s="274"/>
      <c r="AM6998" s="29"/>
      <c r="AN6998"/>
      <c r="AO6998"/>
      <c r="AP6998"/>
      <c r="AQ6998" s="29"/>
      <c r="AR6998" s="29"/>
      <c r="AS6998" s="29"/>
      <c r="AT6998"/>
      <c r="AV6998"/>
      <c r="AW6998"/>
    </row>
    <row r="6999" spans="1:49">
      <c r="A6999" s="23" t="s">
        <v>7987</v>
      </c>
      <c r="B6999" t="s">
        <v>7712</v>
      </c>
      <c r="C6999">
        <v>1</v>
      </c>
      <c r="D6999" s="55" t="str">
        <f t="shared" si="1272"/>
        <v>Board of Education*(vote 3)</v>
      </c>
      <c r="E6999" t="s">
        <v>7774</v>
      </c>
      <c r="F6999" t="s">
        <v>1300</v>
      </c>
      <c r="G6999" s="254">
        <v>10756</v>
      </c>
      <c r="H6999"/>
      <c r="J6999" s="7"/>
      <c r="K6999" s="2"/>
      <c r="O6999">
        <f t="shared" si="1273"/>
        <v>3</v>
      </c>
      <c r="P6999" s="57">
        <f t="shared" si="1274"/>
        <v>3</v>
      </c>
      <c r="Q6999" s="267">
        <f t="shared" si="1275"/>
        <v>39904</v>
      </c>
      <c r="R6999" s="23">
        <f t="shared" si="1276"/>
        <v>10756</v>
      </c>
      <c r="S6999" s="23">
        <f t="shared" si="1277"/>
        <v>10414</v>
      </c>
      <c r="T6999" s="23" t="str">
        <f t="shared" si="1278"/>
        <v/>
      </c>
      <c r="U6999" t="str">
        <f t="shared" si="1279"/>
        <v/>
      </c>
      <c r="V6999" s="376"/>
      <c r="W6999" s="53"/>
      <c r="X6999" s="53"/>
      <c r="Y6999"/>
      <c r="Z6999"/>
      <c r="AA6999" s="23"/>
      <c r="AB6999"/>
      <c r="AC6999" s="272"/>
      <c r="AD6999" s="272"/>
      <c r="AE6999" s="273"/>
      <c r="AF6999" s="274"/>
      <c r="AM6999" s="29"/>
      <c r="AN6999"/>
      <c r="AO6999"/>
      <c r="AP6999"/>
      <c r="AQ6999" s="29"/>
      <c r="AR6999" s="29"/>
      <c r="AS6999" s="29"/>
      <c r="AT6999"/>
      <c r="AV6999"/>
      <c r="AW6999"/>
    </row>
    <row r="7000" spans="1:49">
      <c r="A7000" s="23" t="s">
        <v>7987</v>
      </c>
      <c r="B7000" t="s">
        <v>7712</v>
      </c>
      <c r="C7000">
        <v>1</v>
      </c>
      <c r="D7000" s="55" t="str">
        <f t="shared" si="1272"/>
        <v>Board of Education*(vote 3)</v>
      </c>
      <c r="E7000" t="s">
        <v>7775</v>
      </c>
      <c r="F7000" t="s">
        <v>1300</v>
      </c>
      <c r="G7000" s="254">
        <v>10414</v>
      </c>
      <c r="H7000"/>
      <c r="J7000" s="7"/>
      <c r="K7000" s="2"/>
      <c r="O7000">
        <f t="shared" si="1273"/>
        <v>4</v>
      </c>
      <c r="P7000" s="57">
        <f t="shared" si="1274"/>
        <v>3</v>
      </c>
      <c r="Q7000" s="267">
        <f t="shared" si="1275"/>
        <v>29148</v>
      </c>
      <c r="R7000" s="23" t="str">
        <f t="shared" si="1276"/>
        <v/>
      </c>
      <c r="S7000" s="23">
        <f t="shared" si="1277"/>
        <v>10414</v>
      </c>
      <c r="T7000" s="23" t="str">
        <f t="shared" si="1278"/>
        <v/>
      </c>
      <c r="U7000" t="str">
        <f t="shared" si="1279"/>
        <v/>
      </c>
      <c r="V7000" s="376"/>
      <c r="W7000" s="53"/>
      <c r="X7000" s="53"/>
      <c r="Y7000"/>
      <c r="Z7000"/>
      <c r="AA7000" s="23"/>
      <c r="AB7000"/>
      <c r="AC7000" s="272"/>
      <c r="AD7000" s="272"/>
      <c r="AE7000" s="273"/>
      <c r="AF7000" s="274"/>
      <c r="AM7000" s="29"/>
      <c r="AN7000"/>
      <c r="AO7000"/>
      <c r="AP7000"/>
      <c r="AQ7000" s="29"/>
      <c r="AR7000" s="29"/>
      <c r="AS7000" s="29"/>
      <c r="AT7000"/>
      <c r="AV7000"/>
      <c r="AW7000"/>
    </row>
    <row r="7001" spans="1:49">
      <c r="A7001" s="23" t="s">
        <v>7987</v>
      </c>
      <c r="B7001" t="s">
        <v>7712</v>
      </c>
      <c r="C7001">
        <v>1</v>
      </c>
      <c r="D7001" s="55" t="str">
        <f t="shared" si="1272"/>
        <v>Board of Education*(vote 3)</v>
      </c>
      <c r="E7001" t="s">
        <v>7776</v>
      </c>
      <c r="F7001" t="s">
        <v>1300</v>
      </c>
      <c r="G7001" s="254">
        <v>9602</v>
      </c>
      <c r="H7001"/>
      <c r="J7001" s="7"/>
      <c r="K7001" s="2"/>
      <c r="O7001">
        <f t="shared" si="1273"/>
        <v>5</v>
      </c>
      <c r="P7001" s="57">
        <f t="shared" si="1274"/>
        <v>3</v>
      </c>
      <c r="Q7001" s="267">
        <f t="shared" si="1275"/>
        <v>18734</v>
      </c>
      <c r="R7001" s="23" t="str">
        <f t="shared" si="1276"/>
        <v/>
      </c>
      <c r="S7001" s="23">
        <f t="shared" si="1277"/>
        <v>9602</v>
      </c>
      <c r="T7001" s="23" t="str">
        <f t="shared" si="1278"/>
        <v/>
      </c>
      <c r="U7001" t="str">
        <f t="shared" si="1279"/>
        <v/>
      </c>
      <c r="V7001" s="376"/>
      <c r="W7001" s="53"/>
      <c r="X7001" s="53"/>
      <c r="Y7001"/>
      <c r="Z7001"/>
      <c r="AA7001" s="23"/>
      <c r="AB7001"/>
      <c r="AC7001" s="272"/>
      <c r="AD7001" s="272"/>
      <c r="AE7001" s="273"/>
      <c r="AF7001" s="274"/>
      <c r="AM7001" s="29"/>
      <c r="AN7001"/>
      <c r="AO7001"/>
      <c r="AP7001"/>
      <c r="AQ7001" s="29"/>
      <c r="AR7001" s="29"/>
      <c r="AS7001" s="29"/>
      <c r="AT7001"/>
      <c r="AV7001"/>
      <c r="AW7001"/>
    </row>
    <row r="7002" spans="1:49">
      <c r="A7002" s="23" t="s">
        <v>7987</v>
      </c>
      <c r="B7002" t="s">
        <v>7712</v>
      </c>
      <c r="C7002">
        <v>1</v>
      </c>
      <c r="D7002" s="55" t="str">
        <f t="shared" si="1272"/>
        <v>Board of Education*(vote 3)</v>
      </c>
      <c r="E7002" t="s">
        <v>7777</v>
      </c>
      <c r="F7002" t="s">
        <v>1300</v>
      </c>
      <c r="G7002" s="254">
        <v>8859</v>
      </c>
      <c r="H7002"/>
      <c r="J7002" s="7"/>
      <c r="K7002" s="2"/>
      <c r="O7002">
        <f t="shared" si="1273"/>
        <v>6</v>
      </c>
      <c r="P7002" s="57">
        <f t="shared" si="1274"/>
        <v>3</v>
      </c>
      <c r="Q7002" s="267">
        <f t="shared" si="1275"/>
        <v>9132</v>
      </c>
      <c r="R7002" s="23" t="str">
        <f t="shared" si="1276"/>
        <v/>
      </c>
      <c r="S7002" s="23">
        <f t="shared" si="1277"/>
        <v>8859</v>
      </c>
      <c r="T7002" s="23" t="str">
        <f t="shared" si="1278"/>
        <v/>
      </c>
      <c r="U7002" t="str">
        <f t="shared" si="1279"/>
        <v/>
      </c>
      <c r="V7002" s="376"/>
      <c r="W7002" s="53"/>
      <c r="X7002" s="53"/>
      <c r="Y7002"/>
      <c r="Z7002"/>
      <c r="AA7002" s="23"/>
      <c r="AB7002"/>
      <c r="AC7002" s="272"/>
      <c r="AD7002" s="272"/>
      <c r="AE7002" s="273"/>
      <c r="AF7002" s="274"/>
      <c r="AM7002" s="29"/>
      <c r="AN7002"/>
      <c r="AO7002"/>
      <c r="AP7002"/>
      <c r="AQ7002" s="29"/>
      <c r="AR7002" s="29"/>
      <c r="AS7002" s="29"/>
      <c r="AT7002"/>
      <c r="AV7002"/>
      <c r="AW7002"/>
    </row>
    <row r="7003" spans="1:49">
      <c r="A7003" s="23" t="s">
        <v>7987</v>
      </c>
      <c r="B7003" t="s">
        <v>7712</v>
      </c>
      <c r="C7003">
        <v>1</v>
      </c>
      <c r="D7003" s="55" t="str">
        <f t="shared" si="1272"/>
        <v>Board of Education*(vote 3)</v>
      </c>
      <c r="E7003" t="s">
        <v>7722</v>
      </c>
      <c r="F7003" t="s">
        <v>1300</v>
      </c>
      <c r="G7003" s="254">
        <v>273</v>
      </c>
      <c r="H7003"/>
      <c r="J7003" s="7"/>
      <c r="K7003" s="2"/>
      <c r="O7003">
        <f t="shared" si="1273"/>
        <v>7</v>
      </c>
      <c r="P7003" s="57">
        <f t="shared" si="1274"/>
        <v>3</v>
      </c>
      <c r="Q7003" s="267">
        <f t="shared" si="1275"/>
        <v>273</v>
      </c>
      <c r="R7003" s="23" t="str">
        <f t="shared" si="1276"/>
        <v/>
      </c>
      <c r="S7003" s="23">
        <f t="shared" si="1277"/>
        <v>273</v>
      </c>
      <c r="T7003" s="23" t="str">
        <f t="shared" si="1278"/>
        <v/>
      </c>
      <c r="U7003" t="str">
        <f t="shared" si="1279"/>
        <v/>
      </c>
      <c r="V7003" s="376"/>
      <c r="W7003" s="53"/>
      <c r="X7003" s="53"/>
      <c r="Y7003"/>
      <c r="Z7003"/>
      <c r="AA7003" s="23"/>
      <c r="AB7003"/>
      <c r="AC7003" s="272"/>
      <c r="AD7003" s="272"/>
      <c r="AE7003" s="273"/>
      <c r="AF7003" s="274"/>
      <c r="AM7003" s="29"/>
      <c r="AN7003"/>
      <c r="AO7003"/>
      <c r="AP7003"/>
      <c r="AQ7003" s="29"/>
      <c r="AR7003" s="29"/>
      <c r="AS7003" s="29"/>
      <c r="AT7003"/>
      <c r="AV7003"/>
      <c r="AW7003"/>
    </row>
    <row r="7004" spans="1:49">
      <c r="A7004" s="23" t="s">
        <v>7988</v>
      </c>
      <c r="B7004" t="s">
        <v>7712</v>
      </c>
      <c r="C7004">
        <v>1</v>
      </c>
      <c r="D7004" s="55" t="str">
        <f t="shared" si="1272"/>
        <v>Council - City of Cumberland*CU(vote 2)</v>
      </c>
      <c r="E7004" t="s">
        <v>7778</v>
      </c>
      <c r="F7004" t="s">
        <v>1300</v>
      </c>
      <c r="G7004" s="254">
        <v>4933</v>
      </c>
      <c r="H7004"/>
      <c r="J7004" s="7"/>
      <c r="K7004" s="2"/>
      <c r="O7004">
        <f t="shared" si="1273"/>
        <v>1</v>
      </c>
      <c r="P7004" s="57">
        <f t="shared" si="1274"/>
        <v>2</v>
      </c>
      <c r="Q7004" s="267">
        <f t="shared" si="1275"/>
        <v>5497.5</v>
      </c>
      <c r="R7004" s="23">
        <f t="shared" si="1276"/>
        <v>3854</v>
      </c>
      <c r="S7004" s="23">
        <f t="shared" si="1277"/>
        <v>1179</v>
      </c>
      <c r="T7004" s="23">
        <f t="shared" si="1278"/>
        <v>2675</v>
      </c>
      <c r="U7004" t="str">
        <f t="shared" si="1279"/>
        <v>MD_2020g~Cnty1:Council - City of Cumberland*CU(vote 2)</v>
      </c>
      <c r="V7004" s="376"/>
      <c r="W7004" s="53"/>
      <c r="X7004" s="53"/>
      <c r="Y7004"/>
      <c r="Z7004"/>
      <c r="AA7004" s="23"/>
      <c r="AB7004"/>
      <c r="AC7004" s="272"/>
      <c r="AD7004" s="272"/>
      <c r="AE7004" s="273"/>
      <c r="AF7004" s="274"/>
      <c r="AM7004" s="29"/>
      <c r="AN7004"/>
      <c r="AO7004"/>
      <c r="AP7004"/>
      <c r="AQ7004" s="29"/>
      <c r="AR7004" s="29"/>
      <c r="AS7004" s="29"/>
      <c r="AT7004"/>
      <c r="AV7004"/>
      <c r="AW7004"/>
    </row>
    <row r="7005" spans="1:49">
      <c r="A7005" s="23" t="s">
        <v>7988</v>
      </c>
      <c r="B7005" t="s">
        <v>7712</v>
      </c>
      <c r="C7005">
        <v>1</v>
      </c>
      <c r="D7005" s="55" t="str">
        <f t="shared" si="1272"/>
        <v>Council - City of Cumberland*CU(vote 2)</v>
      </c>
      <c r="E7005" t="s">
        <v>7779</v>
      </c>
      <c r="F7005" t="s">
        <v>1300</v>
      </c>
      <c r="G7005" s="254">
        <v>3854</v>
      </c>
      <c r="H7005"/>
      <c r="J7005" s="7"/>
      <c r="K7005" s="2"/>
      <c r="O7005">
        <f t="shared" si="1273"/>
        <v>2</v>
      </c>
      <c r="P7005" s="57">
        <f t="shared" si="1274"/>
        <v>2</v>
      </c>
      <c r="Q7005" s="267">
        <f t="shared" si="1275"/>
        <v>6062</v>
      </c>
      <c r="R7005" s="23">
        <f t="shared" si="1276"/>
        <v>3854</v>
      </c>
      <c r="S7005" s="23">
        <f t="shared" si="1277"/>
        <v>1179</v>
      </c>
      <c r="T7005" s="23" t="str">
        <f t="shared" si="1278"/>
        <v/>
      </c>
      <c r="U7005" t="str">
        <f t="shared" si="1279"/>
        <v/>
      </c>
      <c r="V7005" s="376"/>
      <c r="W7005" s="53"/>
      <c r="X7005" s="53"/>
      <c r="Y7005"/>
      <c r="Z7005"/>
      <c r="AA7005" s="23"/>
      <c r="AB7005"/>
      <c r="AC7005" s="272"/>
      <c r="AD7005" s="272"/>
      <c r="AE7005" s="273"/>
      <c r="AF7005" s="274"/>
      <c r="AM7005" s="29"/>
      <c r="AN7005"/>
      <c r="AO7005"/>
      <c r="AP7005"/>
      <c r="AQ7005" s="29"/>
      <c r="AR7005" s="29"/>
      <c r="AS7005" s="29"/>
      <c r="AT7005"/>
      <c r="AV7005"/>
      <c r="AW7005"/>
    </row>
    <row r="7006" spans="1:49">
      <c r="A7006" s="23" t="s">
        <v>7988</v>
      </c>
      <c r="B7006" t="s">
        <v>7712</v>
      </c>
      <c r="C7006">
        <v>1</v>
      </c>
      <c r="D7006" s="55" t="str">
        <f t="shared" si="1272"/>
        <v>Council - City of Cumberland*CU(vote 2)</v>
      </c>
      <c r="E7006" t="s">
        <v>7780</v>
      </c>
      <c r="F7006" t="s">
        <v>1300</v>
      </c>
      <c r="G7006" s="254">
        <v>1179</v>
      </c>
      <c r="H7006"/>
      <c r="J7006" s="7"/>
      <c r="K7006" s="2"/>
      <c r="O7006">
        <f t="shared" si="1273"/>
        <v>3</v>
      </c>
      <c r="P7006" s="57">
        <f t="shared" si="1274"/>
        <v>2</v>
      </c>
      <c r="Q7006" s="267">
        <f t="shared" si="1275"/>
        <v>2208</v>
      </c>
      <c r="R7006" s="23" t="str">
        <f t="shared" si="1276"/>
        <v/>
      </c>
      <c r="S7006" s="23">
        <f t="shared" si="1277"/>
        <v>1179</v>
      </c>
      <c r="T7006" s="23" t="str">
        <f t="shared" si="1278"/>
        <v/>
      </c>
      <c r="U7006" t="str">
        <f t="shared" si="1279"/>
        <v/>
      </c>
      <c r="V7006" s="376"/>
      <c r="W7006" s="53"/>
      <c r="X7006" s="53"/>
      <c r="Y7006"/>
      <c r="Z7006"/>
      <c r="AA7006" s="23"/>
      <c r="AB7006"/>
      <c r="AC7006" s="272"/>
      <c r="AD7006" s="272"/>
      <c r="AE7006" s="273"/>
      <c r="AF7006" s="274"/>
      <c r="AM7006" s="29"/>
      <c r="AN7006"/>
      <c r="AO7006"/>
      <c r="AP7006"/>
      <c r="AQ7006" s="29"/>
      <c r="AR7006" s="29"/>
      <c r="AS7006" s="29"/>
      <c r="AT7006"/>
      <c r="AV7006"/>
      <c r="AW7006"/>
    </row>
    <row r="7007" spans="1:49">
      <c r="A7007" s="23" t="s">
        <v>7988</v>
      </c>
      <c r="B7007" t="s">
        <v>7712</v>
      </c>
      <c r="C7007">
        <v>1</v>
      </c>
      <c r="D7007" s="55" t="str">
        <f t="shared" si="1272"/>
        <v>Council - City of Cumberland*CU(vote 2)</v>
      </c>
      <c r="E7007" t="s">
        <v>7781</v>
      </c>
      <c r="F7007" t="s">
        <v>1300</v>
      </c>
      <c r="G7007" s="254">
        <v>1029</v>
      </c>
      <c r="H7007"/>
      <c r="J7007" s="7"/>
      <c r="K7007" s="2"/>
      <c r="O7007">
        <f t="shared" si="1273"/>
        <v>4</v>
      </c>
      <c r="P7007" s="57">
        <f t="shared" si="1274"/>
        <v>2</v>
      </c>
      <c r="Q7007" s="267">
        <f t="shared" si="1275"/>
        <v>1029</v>
      </c>
      <c r="R7007" s="23" t="str">
        <f t="shared" si="1276"/>
        <v/>
      </c>
      <c r="S7007" s="23">
        <f t="shared" si="1277"/>
        <v>1029</v>
      </c>
      <c r="T7007" s="23" t="str">
        <f t="shared" si="1278"/>
        <v/>
      </c>
      <c r="U7007" t="str">
        <f t="shared" si="1279"/>
        <v/>
      </c>
      <c r="V7007" s="376"/>
      <c r="W7007" s="53"/>
      <c r="X7007" s="53"/>
      <c r="Y7007"/>
      <c r="Z7007"/>
      <c r="AA7007" s="23"/>
      <c r="AB7007"/>
      <c r="AC7007" s="272"/>
      <c r="AD7007" s="272"/>
      <c r="AE7007" s="273"/>
      <c r="AF7007" s="274"/>
      <c r="AM7007" s="29"/>
      <c r="AN7007"/>
      <c r="AO7007"/>
      <c r="AP7007"/>
      <c r="AQ7007" s="29"/>
      <c r="AR7007" s="29"/>
      <c r="AS7007" s="29"/>
      <c r="AT7007"/>
      <c r="AV7007"/>
      <c r="AW7007"/>
    </row>
    <row r="7008" spans="1:49">
      <c r="A7008" s="23" t="s">
        <v>8026</v>
      </c>
      <c r="B7008" t="s">
        <v>7712</v>
      </c>
      <c r="C7008">
        <v>1</v>
      </c>
      <c r="D7008" s="55" t="str">
        <f t="shared" si="1272"/>
        <v>:Board of Education*1(vote 1)</v>
      </c>
      <c r="E7008" t="s">
        <v>7862</v>
      </c>
      <c r="F7008" t="s">
        <v>1300</v>
      </c>
      <c r="G7008" s="254">
        <v>2135</v>
      </c>
      <c r="H7008"/>
      <c r="J7008" s="7"/>
      <c r="K7008" s="2"/>
      <c r="O7008">
        <f t="shared" si="1273"/>
        <v>1</v>
      </c>
      <c r="P7008" s="57">
        <f t="shared" si="1274"/>
        <v>1</v>
      </c>
      <c r="Q7008" s="267">
        <f t="shared" si="1275"/>
        <v>3430</v>
      </c>
      <c r="R7008" s="23">
        <f t="shared" si="1276"/>
        <v>2135</v>
      </c>
      <c r="S7008" s="23">
        <f t="shared" si="1277"/>
        <v>1283</v>
      </c>
      <c r="T7008" s="23">
        <f t="shared" si="1278"/>
        <v>852</v>
      </c>
      <c r="U7008" t="str">
        <f t="shared" si="1279"/>
        <v>MD_2020g~Cnty10:Board of Education*1(vote 1)</v>
      </c>
      <c r="V7008" s="376"/>
      <c r="W7008" s="53"/>
      <c r="X7008" s="53"/>
      <c r="Y7008"/>
      <c r="Z7008"/>
      <c r="AA7008" s="23"/>
      <c r="AB7008"/>
      <c r="AC7008" s="272"/>
      <c r="AD7008" s="272"/>
      <c r="AE7008" s="273"/>
      <c r="AF7008" s="274"/>
      <c r="AM7008" s="29"/>
      <c r="AN7008"/>
      <c r="AO7008"/>
      <c r="AP7008"/>
      <c r="AQ7008" s="29"/>
      <c r="AR7008" s="29"/>
      <c r="AS7008" s="29"/>
      <c r="AT7008"/>
      <c r="AV7008"/>
      <c r="AW7008"/>
    </row>
    <row r="7009" spans="1:49">
      <c r="A7009" s="23" t="s">
        <v>8026</v>
      </c>
      <c r="B7009" t="s">
        <v>7712</v>
      </c>
      <c r="C7009">
        <v>1</v>
      </c>
      <c r="D7009" s="55" t="str">
        <f t="shared" si="1272"/>
        <v>:Board of Education*1(vote 1)</v>
      </c>
      <c r="E7009" t="s">
        <v>7863</v>
      </c>
      <c r="F7009" t="s">
        <v>1300</v>
      </c>
      <c r="G7009" s="254">
        <v>1283</v>
      </c>
      <c r="H7009"/>
      <c r="J7009" s="7"/>
      <c r="K7009" s="2"/>
      <c r="O7009">
        <f t="shared" si="1273"/>
        <v>2</v>
      </c>
      <c r="P7009" s="57">
        <f t="shared" si="1274"/>
        <v>1</v>
      </c>
      <c r="Q7009" s="267">
        <f t="shared" si="1275"/>
        <v>1295</v>
      </c>
      <c r="R7009" s="23" t="str">
        <f t="shared" si="1276"/>
        <v/>
      </c>
      <c r="S7009" s="23">
        <f t="shared" si="1277"/>
        <v>1283</v>
      </c>
      <c r="T7009" s="23" t="str">
        <f t="shared" si="1278"/>
        <v/>
      </c>
      <c r="U7009" t="str">
        <f t="shared" si="1279"/>
        <v/>
      </c>
      <c r="V7009" s="376"/>
      <c r="W7009" s="53"/>
      <c r="X7009" s="53"/>
      <c r="Y7009"/>
      <c r="Z7009"/>
      <c r="AA7009" s="23"/>
      <c r="AB7009"/>
      <c r="AC7009" s="272"/>
      <c r="AD7009" s="272"/>
      <c r="AE7009" s="273"/>
      <c r="AF7009" s="274"/>
      <c r="AM7009" s="29"/>
      <c r="AN7009"/>
      <c r="AO7009"/>
      <c r="AP7009"/>
      <c r="AQ7009" s="29"/>
      <c r="AR7009" s="29"/>
      <c r="AS7009" s="29"/>
      <c r="AT7009"/>
      <c r="AV7009"/>
      <c r="AW7009"/>
    </row>
    <row r="7010" spans="1:49">
      <c r="A7010" s="23" t="s">
        <v>8026</v>
      </c>
      <c r="B7010" t="s">
        <v>7712</v>
      </c>
      <c r="C7010">
        <v>1</v>
      </c>
      <c r="D7010" s="55" t="str">
        <f t="shared" si="1272"/>
        <v>:Board of Education*1(vote 1)</v>
      </c>
      <c r="E7010" t="s">
        <v>7722</v>
      </c>
      <c r="F7010" t="s">
        <v>1300</v>
      </c>
      <c r="G7010" s="254">
        <v>12</v>
      </c>
      <c r="H7010"/>
      <c r="J7010" s="7"/>
      <c r="K7010" s="2"/>
      <c r="O7010">
        <f t="shared" si="1273"/>
        <v>3</v>
      </c>
      <c r="P7010" s="57">
        <f t="shared" si="1274"/>
        <v>1</v>
      </c>
      <c r="Q7010" s="267">
        <f t="shared" si="1275"/>
        <v>12</v>
      </c>
      <c r="R7010" s="23" t="str">
        <f t="shared" si="1276"/>
        <v/>
      </c>
      <c r="S7010" s="23">
        <f t="shared" si="1277"/>
        <v>12</v>
      </c>
      <c r="T7010" s="23" t="str">
        <f t="shared" si="1278"/>
        <v/>
      </c>
      <c r="U7010" t="str">
        <f t="shared" si="1279"/>
        <v/>
      </c>
      <c r="V7010" s="376"/>
      <c r="W7010" s="53"/>
      <c r="X7010" s="53"/>
      <c r="Y7010"/>
      <c r="Z7010"/>
      <c r="AA7010" s="23"/>
      <c r="AB7010"/>
      <c r="AC7010" s="272"/>
      <c r="AD7010" s="272"/>
      <c r="AE7010" s="273"/>
      <c r="AF7010" s="274"/>
      <c r="AM7010" s="29"/>
      <c r="AN7010"/>
      <c r="AO7010"/>
      <c r="AP7010"/>
      <c r="AQ7010" s="29"/>
      <c r="AR7010" s="29"/>
      <c r="AS7010" s="29"/>
      <c r="AT7010"/>
      <c r="AV7010"/>
      <c r="AW7010"/>
    </row>
    <row r="7011" spans="1:49">
      <c r="A7011" s="23" t="s">
        <v>8027</v>
      </c>
      <c r="B7011" t="s">
        <v>7712</v>
      </c>
      <c r="C7011">
        <v>1</v>
      </c>
      <c r="D7011" s="55" t="str">
        <f t="shared" si="1272"/>
        <v>:Board of Education*3(vote 1)</v>
      </c>
      <c r="E7011" t="s">
        <v>7864</v>
      </c>
      <c r="F7011" t="s">
        <v>1300</v>
      </c>
      <c r="G7011" s="254">
        <v>2267</v>
      </c>
      <c r="H7011"/>
      <c r="J7011" s="7"/>
      <c r="K7011" s="2"/>
      <c r="O7011">
        <f t="shared" si="1273"/>
        <v>1</v>
      </c>
      <c r="P7011" s="57">
        <f t="shared" si="1274"/>
        <v>1</v>
      </c>
      <c r="Q7011" s="267">
        <f t="shared" si="1275"/>
        <v>3268</v>
      </c>
      <c r="R7011" s="23">
        <f t="shared" si="1276"/>
        <v>2267</v>
      </c>
      <c r="S7011" s="23">
        <f t="shared" si="1277"/>
        <v>981</v>
      </c>
      <c r="T7011" s="23">
        <f t="shared" si="1278"/>
        <v>1286</v>
      </c>
      <c r="U7011" t="str">
        <f t="shared" si="1279"/>
        <v>MD_2020g~Cnty10:Board of Education*3(vote 1)</v>
      </c>
      <c r="V7011" s="376"/>
      <c r="W7011" s="53"/>
      <c r="X7011" s="53"/>
      <c r="Y7011"/>
      <c r="Z7011"/>
      <c r="AA7011" s="23"/>
      <c r="AB7011"/>
      <c r="AC7011" s="272"/>
      <c r="AD7011" s="272"/>
      <c r="AE7011" s="273"/>
      <c r="AF7011" s="274"/>
      <c r="AM7011" s="29"/>
      <c r="AN7011"/>
      <c r="AO7011"/>
      <c r="AP7011"/>
      <c r="AQ7011" s="29"/>
      <c r="AR7011" s="29"/>
      <c r="AS7011" s="29"/>
      <c r="AT7011"/>
      <c r="AV7011"/>
      <c r="AW7011"/>
    </row>
    <row r="7012" spans="1:49">
      <c r="A7012" s="23" t="s">
        <v>8027</v>
      </c>
      <c r="B7012" t="s">
        <v>7712</v>
      </c>
      <c r="C7012">
        <v>1</v>
      </c>
      <c r="D7012" s="55" t="str">
        <f t="shared" si="1272"/>
        <v>:Board of Education*3(vote 1)</v>
      </c>
      <c r="E7012" t="s">
        <v>7865</v>
      </c>
      <c r="F7012" t="s">
        <v>1300</v>
      </c>
      <c r="G7012" s="254">
        <v>981</v>
      </c>
      <c r="H7012"/>
      <c r="J7012" s="7"/>
      <c r="K7012" s="2"/>
      <c r="O7012">
        <f t="shared" si="1273"/>
        <v>2</v>
      </c>
      <c r="P7012" s="57">
        <f t="shared" si="1274"/>
        <v>1</v>
      </c>
      <c r="Q7012" s="267">
        <f t="shared" si="1275"/>
        <v>1001</v>
      </c>
      <c r="R7012" s="23" t="str">
        <f t="shared" si="1276"/>
        <v/>
      </c>
      <c r="S7012" s="23">
        <f t="shared" si="1277"/>
        <v>981</v>
      </c>
      <c r="T7012" s="23" t="str">
        <f t="shared" si="1278"/>
        <v/>
      </c>
      <c r="U7012" t="str">
        <f t="shared" si="1279"/>
        <v/>
      </c>
      <c r="V7012" s="376"/>
      <c r="W7012" s="53"/>
      <c r="X7012" s="53"/>
      <c r="Y7012"/>
      <c r="Z7012"/>
      <c r="AA7012" s="23"/>
      <c r="AB7012"/>
      <c r="AC7012" s="272"/>
      <c r="AD7012" s="272"/>
      <c r="AE7012" s="273"/>
      <c r="AF7012" s="274"/>
      <c r="AM7012" s="29"/>
      <c r="AN7012"/>
      <c r="AO7012"/>
      <c r="AP7012"/>
      <c r="AQ7012" s="29"/>
      <c r="AR7012" s="29"/>
      <c r="AS7012" s="29"/>
      <c r="AT7012"/>
      <c r="AV7012"/>
      <c r="AW7012"/>
    </row>
    <row r="7013" spans="1:49">
      <c r="A7013" s="23" t="s">
        <v>8027</v>
      </c>
      <c r="B7013" t="s">
        <v>7712</v>
      </c>
      <c r="C7013">
        <v>1</v>
      </c>
      <c r="D7013" s="55" t="str">
        <f t="shared" si="1272"/>
        <v>:Board of Education*3(vote 1)</v>
      </c>
      <c r="E7013" t="s">
        <v>7722</v>
      </c>
      <c r="F7013" t="s">
        <v>1300</v>
      </c>
      <c r="G7013" s="254">
        <v>20</v>
      </c>
      <c r="H7013"/>
      <c r="J7013" s="7"/>
      <c r="K7013" s="2"/>
      <c r="O7013">
        <f t="shared" si="1273"/>
        <v>3</v>
      </c>
      <c r="P7013" s="57">
        <f t="shared" si="1274"/>
        <v>1</v>
      </c>
      <c r="Q7013" s="267">
        <f t="shared" si="1275"/>
        <v>20</v>
      </c>
      <c r="R7013" s="23" t="str">
        <f t="shared" si="1276"/>
        <v/>
      </c>
      <c r="S7013" s="23">
        <f t="shared" si="1277"/>
        <v>20</v>
      </c>
      <c r="T7013" s="23" t="str">
        <f t="shared" si="1278"/>
        <v/>
      </c>
      <c r="U7013" t="str">
        <f t="shared" si="1279"/>
        <v/>
      </c>
      <c r="V7013" s="376"/>
      <c r="W7013" s="53"/>
      <c r="X7013" s="53"/>
      <c r="Y7013"/>
      <c r="Z7013"/>
      <c r="AA7013" s="23"/>
      <c r="AB7013"/>
      <c r="AC7013" s="272"/>
      <c r="AD7013" s="272"/>
      <c r="AE7013" s="273"/>
      <c r="AF7013" s="274"/>
      <c r="AM7013" s="29"/>
      <c r="AN7013"/>
      <c r="AO7013"/>
      <c r="AP7013"/>
      <c r="AQ7013" s="29"/>
      <c r="AR7013" s="29"/>
      <c r="AS7013" s="29"/>
      <c r="AT7013"/>
      <c r="AV7013"/>
      <c r="AW7013"/>
    </row>
    <row r="7014" spans="1:49">
      <c r="A7014" s="23" t="s">
        <v>8028</v>
      </c>
      <c r="B7014" t="s">
        <v>7712</v>
      </c>
      <c r="C7014">
        <v>1</v>
      </c>
      <c r="D7014" s="55" t="str">
        <f t="shared" si="1272"/>
        <v>:Board of Education*5(vote 1)</v>
      </c>
      <c r="E7014" t="s">
        <v>7866</v>
      </c>
      <c r="F7014" t="s">
        <v>1300</v>
      </c>
      <c r="G7014" s="254">
        <v>1836</v>
      </c>
      <c r="H7014"/>
      <c r="J7014" s="7"/>
      <c r="K7014" s="2"/>
      <c r="O7014">
        <f t="shared" si="1273"/>
        <v>1</v>
      </c>
      <c r="P7014" s="57">
        <f t="shared" si="1274"/>
        <v>1</v>
      </c>
      <c r="Q7014" s="267">
        <f t="shared" si="1275"/>
        <v>2890</v>
      </c>
      <c r="R7014" s="23">
        <f t="shared" si="1276"/>
        <v>1836</v>
      </c>
      <c r="S7014" s="23">
        <f t="shared" si="1277"/>
        <v>1039</v>
      </c>
      <c r="T7014" s="23">
        <f t="shared" si="1278"/>
        <v>797</v>
      </c>
      <c r="U7014" t="str">
        <f t="shared" si="1279"/>
        <v>MD_2020g~Cnty10:Board of Education*5(vote 1)</v>
      </c>
      <c r="V7014" s="376"/>
      <c r="W7014" s="53"/>
      <c r="X7014" s="53"/>
      <c r="Y7014"/>
      <c r="Z7014"/>
      <c r="AA7014" s="23"/>
      <c r="AB7014"/>
      <c r="AC7014" s="272"/>
      <c r="AD7014" s="272"/>
      <c r="AE7014" s="273"/>
      <c r="AF7014" s="274"/>
      <c r="AM7014" s="29"/>
      <c r="AN7014"/>
      <c r="AO7014"/>
      <c r="AP7014"/>
      <c r="AQ7014" s="29"/>
      <c r="AR7014" s="29"/>
      <c r="AS7014" s="29"/>
      <c r="AT7014"/>
      <c r="AV7014"/>
      <c r="AW7014"/>
    </row>
    <row r="7015" spans="1:49">
      <c r="A7015" s="23" t="s">
        <v>8028</v>
      </c>
      <c r="B7015" t="s">
        <v>7712</v>
      </c>
      <c r="C7015">
        <v>1</v>
      </c>
      <c r="D7015" s="55" t="str">
        <f t="shared" si="1272"/>
        <v>:Board of Education*5(vote 1)</v>
      </c>
      <c r="E7015" t="s">
        <v>7867</v>
      </c>
      <c r="F7015" t="s">
        <v>1300</v>
      </c>
      <c r="G7015" s="254">
        <v>1039</v>
      </c>
      <c r="H7015"/>
      <c r="J7015" s="7"/>
      <c r="K7015" s="2"/>
      <c r="O7015">
        <f t="shared" si="1273"/>
        <v>2</v>
      </c>
      <c r="P7015" s="57">
        <f t="shared" si="1274"/>
        <v>1</v>
      </c>
      <c r="Q7015" s="267">
        <f t="shared" si="1275"/>
        <v>1054</v>
      </c>
      <c r="R7015" s="23" t="str">
        <f t="shared" si="1276"/>
        <v/>
      </c>
      <c r="S7015" s="23">
        <f t="shared" si="1277"/>
        <v>1039</v>
      </c>
      <c r="T7015" s="23" t="str">
        <f t="shared" si="1278"/>
        <v/>
      </c>
      <c r="U7015" t="str">
        <f t="shared" si="1279"/>
        <v/>
      </c>
      <c r="V7015" s="376"/>
      <c r="W7015" s="53"/>
      <c r="X7015" s="53"/>
      <c r="Y7015"/>
      <c r="Z7015"/>
      <c r="AA7015" s="23"/>
      <c r="AB7015"/>
      <c r="AC7015" s="272"/>
      <c r="AD7015" s="272"/>
      <c r="AE7015" s="273"/>
      <c r="AF7015" s="274"/>
      <c r="AM7015" s="29"/>
      <c r="AN7015"/>
      <c r="AO7015"/>
      <c r="AP7015"/>
      <c r="AQ7015" s="29"/>
      <c r="AR7015" s="29"/>
      <c r="AS7015" s="29"/>
      <c r="AT7015"/>
      <c r="AV7015"/>
      <c r="AW7015"/>
    </row>
    <row r="7016" spans="1:49">
      <c r="A7016" s="23" t="s">
        <v>8028</v>
      </c>
      <c r="B7016" t="s">
        <v>7712</v>
      </c>
      <c r="C7016">
        <v>1</v>
      </c>
      <c r="D7016" s="55" t="str">
        <f t="shared" si="1272"/>
        <v>:Board of Education*5(vote 1)</v>
      </c>
      <c r="E7016" t="s">
        <v>7722</v>
      </c>
      <c r="F7016" t="s">
        <v>1300</v>
      </c>
      <c r="G7016" s="254">
        <v>15</v>
      </c>
      <c r="H7016"/>
      <c r="J7016" s="7"/>
      <c r="K7016" s="2"/>
      <c r="O7016">
        <f t="shared" si="1273"/>
        <v>3</v>
      </c>
      <c r="P7016" s="57">
        <f t="shared" si="1274"/>
        <v>1</v>
      </c>
      <c r="Q7016" s="267">
        <f t="shared" si="1275"/>
        <v>15</v>
      </c>
      <c r="R7016" s="23" t="str">
        <f t="shared" si="1276"/>
        <v/>
      </c>
      <c r="S7016" s="23">
        <f t="shared" si="1277"/>
        <v>15</v>
      </c>
      <c r="T7016" s="23" t="str">
        <f t="shared" si="1278"/>
        <v/>
      </c>
      <c r="U7016" t="str">
        <f t="shared" si="1279"/>
        <v/>
      </c>
      <c r="V7016" s="376"/>
      <c r="W7016" s="53"/>
      <c r="X7016" s="53"/>
      <c r="Y7016"/>
      <c r="Z7016"/>
      <c r="AA7016" s="23"/>
      <c r="AB7016"/>
      <c r="AC7016" s="272"/>
      <c r="AD7016" s="272"/>
      <c r="AE7016" s="273"/>
      <c r="AF7016" s="274"/>
      <c r="AM7016" s="29"/>
      <c r="AN7016"/>
      <c r="AO7016"/>
      <c r="AP7016"/>
      <c r="AQ7016" s="29"/>
      <c r="AR7016" s="29"/>
      <c r="AS7016" s="29"/>
      <c r="AT7016"/>
      <c r="AV7016"/>
      <c r="AW7016"/>
    </row>
    <row r="7017" spans="1:49">
      <c r="A7017" s="23" t="s">
        <v>8029</v>
      </c>
      <c r="B7017" t="s">
        <v>7712</v>
      </c>
      <c r="C7017">
        <v>1</v>
      </c>
      <c r="D7017" s="55" t="str">
        <f t="shared" si="1272"/>
        <v>:Board of Education*(vote 3)</v>
      </c>
      <c r="E7017" t="s">
        <v>7868</v>
      </c>
      <c r="F7017" t="s">
        <v>1300</v>
      </c>
      <c r="G7017" s="254">
        <v>61130</v>
      </c>
      <c r="H7017"/>
      <c r="J7017" s="7"/>
      <c r="K7017" s="2"/>
      <c r="O7017">
        <f t="shared" si="1273"/>
        <v>1</v>
      </c>
      <c r="P7017" s="57">
        <f t="shared" si="1274"/>
        <v>3</v>
      </c>
      <c r="Q7017" s="267">
        <f t="shared" si="1275"/>
        <v>95038</v>
      </c>
      <c r="R7017" s="23">
        <f t="shared" si="1276"/>
        <v>43262</v>
      </c>
      <c r="S7017" s="23">
        <f t="shared" si="1277"/>
        <v>41623</v>
      </c>
      <c r="T7017" s="23">
        <f t="shared" si="1278"/>
        <v>1639</v>
      </c>
      <c r="U7017" t="str">
        <f t="shared" si="1279"/>
        <v>MD_2020g~Cnty11:Board of Education*(vote 3)</v>
      </c>
      <c r="V7017" s="376"/>
      <c r="W7017" s="53"/>
      <c r="X7017" s="53"/>
      <c r="Y7017"/>
      <c r="Z7017"/>
      <c r="AA7017" s="23"/>
      <c r="AB7017"/>
      <c r="AC7017" s="272"/>
      <c r="AD7017" s="272"/>
      <c r="AE7017" s="273"/>
      <c r="AF7017" s="274"/>
      <c r="AM7017" s="29"/>
      <c r="AN7017"/>
      <c r="AO7017"/>
      <c r="AP7017"/>
      <c r="AQ7017" s="29"/>
      <c r="AR7017" s="29"/>
      <c r="AS7017" s="29"/>
      <c r="AT7017"/>
      <c r="AV7017"/>
      <c r="AW7017"/>
    </row>
    <row r="7018" spans="1:49">
      <c r="A7018" s="23" t="s">
        <v>8029</v>
      </c>
      <c r="B7018" t="s">
        <v>7712</v>
      </c>
      <c r="C7018">
        <v>1</v>
      </c>
      <c r="D7018" s="55" t="str">
        <f t="shared" si="1272"/>
        <v>:Board of Education*(vote 3)</v>
      </c>
      <c r="E7018" t="s">
        <v>7869</v>
      </c>
      <c r="F7018" t="s">
        <v>1300</v>
      </c>
      <c r="G7018" s="254">
        <v>46717</v>
      </c>
      <c r="H7018"/>
      <c r="J7018" s="7"/>
      <c r="K7018" s="2"/>
      <c r="O7018">
        <f t="shared" si="1273"/>
        <v>2</v>
      </c>
      <c r="P7018" s="57">
        <f t="shared" si="1274"/>
        <v>3</v>
      </c>
      <c r="Q7018" s="267">
        <f t="shared" si="1275"/>
        <v>223984</v>
      </c>
      <c r="R7018" s="23">
        <f t="shared" si="1276"/>
        <v>43262</v>
      </c>
      <c r="S7018" s="23">
        <f t="shared" si="1277"/>
        <v>41623</v>
      </c>
      <c r="T7018" s="23" t="str">
        <f t="shared" si="1278"/>
        <v/>
      </c>
      <c r="U7018" t="str">
        <f t="shared" si="1279"/>
        <v/>
      </c>
      <c r="V7018" s="376"/>
      <c r="W7018" s="53"/>
      <c r="X7018" s="53"/>
      <c r="Y7018"/>
      <c r="Z7018"/>
      <c r="AA7018" s="23"/>
      <c r="AB7018"/>
      <c r="AC7018" s="272"/>
      <c r="AD7018" s="272"/>
      <c r="AE7018" s="273"/>
      <c r="AF7018" s="274"/>
      <c r="AM7018" s="29"/>
      <c r="AN7018"/>
      <c r="AO7018"/>
      <c r="AP7018"/>
      <c r="AQ7018" s="29"/>
      <c r="AR7018" s="29"/>
      <c r="AS7018" s="29"/>
      <c r="AT7018"/>
      <c r="AV7018"/>
      <c r="AW7018"/>
    </row>
    <row r="7019" spans="1:49">
      <c r="A7019" s="23" t="s">
        <v>8029</v>
      </c>
      <c r="B7019" t="s">
        <v>7712</v>
      </c>
      <c r="C7019">
        <v>1</v>
      </c>
      <c r="D7019" s="55" t="str">
        <f t="shared" si="1272"/>
        <v>:Board of Education*(vote 3)</v>
      </c>
      <c r="E7019" t="s">
        <v>7870</v>
      </c>
      <c r="F7019" t="s">
        <v>1300</v>
      </c>
      <c r="G7019" s="254">
        <v>43262</v>
      </c>
      <c r="H7019"/>
      <c r="J7019" s="7"/>
      <c r="K7019" s="2"/>
      <c r="O7019">
        <f t="shared" si="1273"/>
        <v>3</v>
      </c>
      <c r="P7019" s="57">
        <f t="shared" si="1274"/>
        <v>3</v>
      </c>
      <c r="Q7019" s="267">
        <f t="shared" si="1275"/>
        <v>177267</v>
      </c>
      <c r="R7019" s="23">
        <f t="shared" si="1276"/>
        <v>43262</v>
      </c>
      <c r="S7019" s="23">
        <f t="shared" si="1277"/>
        <v>41623</v>
      </c>
      <c r="T7019" s="23" t="str">
        <f t="shared" si="1278"/>
        <v/>
      </c>
      <c r="U7019" t="str">
        <f t="shared" si="1279"/>
        <v/>
      </c>
      <c r="V7019" s="376"/>
      <c r="W7019" s="53"/>
      <c r="X7019" s="53"/>
      <c r="Y7019"/>
      <c r="Z7019"/>
      <c r="AA7019" s="23"/>
      <c r="AB7019"/>
      <c r="AC7019" s="272"/>
      <c r="AD7019" s="272"/>
      <c r="AE7019" s="273"/>
      <c r="AF7019" s="274"/>
      <c r="AM7019" s="29"/>
      <c r="AN7019"/>
      <c r="AO7019"/>
      <c r="AP7019"/>
      <c r="AQ7019" s="29"/>
      <c r="AR7019" s="29"/>
      <c r="AS7019" s="29"/>
      <c r="AT7019"/>
      <c r="AV7019"/>
      <c r="AW7019"/>
    </row>
    <row r="7020" spans="1:49">
      <c r="A7020" s="23" t="s">
        <v>8029</v>
      </c>
      <c r="B7020" t="s">
        <v>7712</v>
      </c>
      <c r="C7020">
        <v>1</v>
      </c>
      <c r="D7020" s="55" t="str">
        <f t="shared" si="1272"/>
        <v>:Board of Education*(vote 3)</v>
      </c>
      <c r="E7020" t="s">
        <v>7871</v>
      </c>
      <c r="F7020" t="s">
        <v>1300</v>
      </c>
      <c r="G7020" s="254">
        <v>41623</v>
      </c>
      <c r="H7020"/>
      <c r="J7020" s="7"/>
      <c r="K7020" s="2"/>
      <c r="O7020">
        <f t="shared" si="1273"/>
        <v>4</v>
      </c>
      <c r="P7020" s="57">
        <f t="shared" si="1274"/>
        <v>3</v>
      </c>
      <c r="Q7020" s="267">
        <f t="shared" si="1275"/>
        <v>134005</v>
      </c>
      <c r="R7020" s="23" t="str">
        <f t="shared" si="1276"/>
        <v/>
      </c>
      <c r="S7020" s="23">
        <f t="shared" si="1277"/>
        <v>41623</v>
      </c>
      <c r="T7020" s="23" t="str">
        <f t="shared" si="1278"/>
        <v/>
      </c>
      <c r="U7020" t="str">
        <f t="shared" si="1279"/>
        <v/>
      </c>
      <c r="V7020" s="376"/>
      <c r="W7020" s="53"/>
      <c r="X7020" s="53"/>
      <c r="Y7020"/>
      <c r="Z7020"/>
      <c r="AA7020" s="23"/>
      <c r="AB7020"/>
      <c r="AC7020" s="272"/>
      <c r="AD7020" s="272"/>
      <c r="AE7020" s="273"/>
      <c r="AF7020" s="274"/>
      <c r="AM7020" s="29"/>
      <c r="AN7020"/>
      <c r="AO7020"/>
      <c r="AP7020"/>
      <c r="AQ7020" s="29"/>
      <c r="AR7020" s="29"/>
      <c r="AS7020" s="29"/>
      <c r="AT7020"/>
      <c r="AV7020"/>
      <c r="AW7020"/>
    </row>
    <row r="7021" spans="1:49">
      <c r="A7021" s="23" t="s">
        <v>8029</v>
      </c>
      <c r="B7021" t="s">
        <v>7712</v>
      </c>
      <c r="C7021">
        <v>1</v>
      </c>
      <c r="D7021" s="55" t="str">
        <f t="shared" si="1272"/>
        <v>:Board of Education*(vote 3)</v>
      </c>
      <c r="E7021" t="s">
        <v>7872</v>
      </c>
      <c r="F7021" t="s">
        <v>1300</v>
      </c>
      <c r="G7021" s="254">
        <v>39555</v>
      </c>
      <c r="H7021"/>
      <c r="J7021" s="7"/>
      <c r="K7021" s="2"/>
      <c r="O7021">
        <f t="shared" si="1273"/>
        <v>5</v>
      </c>
      <c r="P7021" s="57">
        <f t="shared" si="1274"/>
        <v>3</v>
      </c>
      <c r="Q7021" s="267">
        <f t="shared" si="1275"/>
        <v>92382</v>
      </c>
      <c r="R7021" s="23" t="str">
        <f t="shared" si="1276"/>
        <v/>
      </c>
      <c r="S7021" s="23">
        <f t="shared" si="1277"/>
        <v>39555</v>
      </c>
      <c r="T7021" s="23" t="str">
        <f t="shared" si="1278"/>
        <v/>
      </c>
      <c r="U7021" t="str">
        <f t="shared" si="1279"/>
        <v/>
      </c>
      <c r="V7021" s="376"/>
      <c r="W7021" s="53"/>
      <c r="X7021" s="53"/>
      <c r="Y7021"/>
      <c r="Z7021"/>
      <c r="AA7021" s="23"/>
      <c r="AB7021"/>
      <c r="AC7021" s="272"/>
      <c r="AD7021" s="272"/>
      <c r="AE7021" s="273"/>
      <c r="AF7021" s="274"/>
      <c r="AM7021" s="29"/>
      <c r="AN7021"/>
      <c r="AO7021"/>
      <c r="AP7021"/>
      <c r="AQ7021" s="29"/>
      <c r="AR7021" s="29"/>
      <c r="AS7021" s="29"/>
      <c r="AT7021"/>
      <c r="AV7021"/>
      <c r="AW7021"/>
    </row>
    <row r="7022" spans="1:49">
      <c r="A7022" s="23" t="s">
        <v>8029</v>
      </c>
      <c r="B7022" t="s">
        <v>7712</v>
      </c>
      <c r="C7022">
        <v>1</v>
      </c>
      <c r="D7022" s="55" t="str">
        <f t="shared" si="1272"/>
        <v>:Board of Education*(vote 3)</v>
      </c>
      <c r="E7022" t="s">
        <v>7873</v>
      </c>
      <c r="F7022" t="s">
        <v>1300</v>
      </c>
      <c r="G7022" s="254">
        <v>39130</v>
      </c>
      <c r="H7022"/>
      <c r="J7022" s="7"/>
      <c r="K7022" s="2"/>
      <c r="O7022">
        <f t="shared" si="1273"/>
        <v>6</v>
      </c>
      <c r="P7022" s="57">
        <f t="shared" si="1274"/>
        <v>3</v>
      </c>
      <c r="Q7022" s="267">
        <f t="shared" si="1275"/>
        <v>52827</v>
      </c>
      <c r="R7022" s="23" t="str">
        <f t="shared" si="1276"/>
        <v/>
      </c>
      <c r="S7022" s="23">
        <f t="shared" si="1277"/>
        <v>39130</v>
      </c>
      <c r="T7022" s="23" t="str">
        <f t="shared" si="1278"/>
        <v/>
      </c>
      <c r="U7022" t="str">
        <f t="shared" si="1279"/>
        <v/>
      </c>
      <c r="V7022" s="376"/>
      <c r="W7022" s="53"/>
      <c r="X7022" s="53"/>
      <c r="Y7022"/>
      <c r="Z7022"/>
      <c r="AA7022" s="23"/>
      <c r="AB7022"/>
      <c r="AC7022" s="272"/>
      <c r="AD7022" s="272"/>
      <c r="AE7022" s="273"/>
      <c r="AM7022" s="29"/>
      <c r="AN7022"/>
      <c r="AO7022"/>
      <c r="AP7022"/>
      <c r="AQ7022" s="29"/>
      <c r="AR7022" s="29"/>
      <c r="AS7022" s="29"/>
      <c r="AT7022"/>
      <c r="AV7022"/>
      <c r="AW7022"/>
    </row>
    <row r="7023" spans="1:49">
      <c r="A7023" s="23" t="s">
        <v>8029</v>
      </c>
      <c r="B7023" t="s">
        <v>7712</v>
      </c>
      <c r="C7023">
        <v>1</v>
      </c>
      <c r="D7023" s="55" t="str">
        <f t="shared" si="1272"/>
        <v>:Board of Education*(vote 3)</v>
      </c>
      <c r="E7023" t="s">
        <v>7874</v>
      </c>
      <c r="F7023" t="s">
        <v>1300</v>
      </c>
      <c r="G7023" s="254">
        <v>8389</v>
      </c>
      <c r="H7023"/>
      <c r="J7023" s="7"/>
      <c r="K7023" s="2"/>
      <c r="O7023">
        <f t="shared" si="1273"/>
        <v>7</v>
      </c>
      <c r="P7023" s="57">
        <f t="shared" si="1274"/>
        <v>3</v>
      </c>
      <c r="Q7023" s="267">
        <f t="shared" si="1275"/>
        <v>13697</v>
      </c>
      <c r="R7023" s="23" t="str">
        <f t="shared" si="1276"/>
        <v/>
      </c>
      <c r="S7023" s="23">
        <f t="shared" si="1277"/>
        <v>8389</v>
      </c>
      <c r="T7023" s="23" t="str">
        <f t="shared" si="1278"/>
        <v/>
      </c>
      <c r="U7023" t="str">
        <f t="shared" si="1279"/>
        <v/>
      </c>
      <c r="V7023" s="376"/>
      <c r="W7023" s="53"/>
      <c r="X7023" s="53"/>
      <c r="Y7023"/>
      <c r="Z7023"/>
      <c r="AA7023" s="23"/>
      <c r="AB7023"/>
      <c r="AC7023" s="272"/>
      <c r="AD7023" s="272"/>
      <c r="AE7023" s="273"/>
      <c r="AM7023" s="29"/>
      <c r="AN7023"/>
      <c r="AO7023"/>
      <c r="AP7023"/>
      <c r="AQ7023" s="29"/>
      <c r="AR7023" s="29"/>
      <c r="AS7023" s="29"/>
      <c r="AT7023"/>
      <c r="AV7023"/>
      <c r="AW7023"/>
    </row>
    <row r="7024" spans="1:49">
      <c r="A7024" s="23" t="s">
        <v>8029</v>
      </c>
      <c r="B7024" t="s">
        <v>7712</v>
      </c>
      <c r="C7024">
        <v>1</v>
      </c>
      <c r="D7024" s="55" t="str">
        <f t="shared" si="1272"/>
        <v>:Board of Education*(vote 3)</v>
      </c>
      <c r="E7024" t="s">
        <v>7722</v>
      </c>
      <c r="F7024" t="s">
        <v>1300</v>
      </c>
      <c r="G7024" s="254">
        <v>5308</v>
      </c>
      <c r="H7024"/>
      <c r="J7024" s="7"/>
      <c r="K7024" s="2"/>
      <c r="O7024">
        <f t="shared" si="1273"/>
        <v>8</v>
      </c>
      <c r="P7024" s="57">
        <f t="shared" si="1274"/>
        <v>3</v>
      </c>
      <c r="Q7024" s="267">
        <f t="shared" si="1275"/>
        <v>5308</v>
      </c>
      <c r="R7024" s="23" t="str">
        <f t="shared" si="1276"/>
        <v/>
      </c>
      <c r="S7024" s="23">
        <f t="shared" si="1277"/>
        <v>5308</v>
      </c>
      <c r="T7024" s="23" t="str">
        <f t="shared" si="1278"/>
        <v/>
      </c>
      <c r="U7024" t="str">
        <f t="shared" si="1279"/>
        <v/>
      </c>
      <c r="V7024" s="376"/>
      <c r="W7024" s="53"/>
      <c r="X7024" s="53"/>
      <c r="Y7024"/>
      <c r="Z7024"/>
      <c r="AA7024" s="23"/>
      <c r="AB7024"/>
      <c r="AC7024" s="272"/>
      <c r="AD7024" s="272"/>
      <c r="AE7024" s="273"/>
      <c r="AM7024" s="29"/>
      <c r="AN7024"/>
      <c r="AO7024"/>
      <c r="AP7024"/>
      <c r="AQ7024" s="29"/>
      <c r="AR7024" s="29"/>
      <c r="AS7024" s="29"/>
      <c r="AT7024"/>
      <c r="AV7024"/>
      <c r="AW7024"/>
    </row>
    <row r="7025" spans="1:49">
      <c r="A7025" s="23" t="s">
        <v>8030</v>
      </c>
      <c r="B7025" t="s">
        <v>7712</v>
      </c>
      <c r="C7025">
        <v>1</v>
      </c>
      <c r="D7025" s="55" t="str">
        <f t="shared" si="1272"/>
        <v>:Judge of the Circuit Court*6(vote 1)</v>
      </c>
      <c r="E7025" t="s">
        <v>7875</v>
      </c>
      <c r="F7025" t="s">
        <v>7714</v>
      </c>
      <c r="G7025" s="254">
        <v>101829</v>
      </c>
      <c r="H7025"/>
      <c r="J7025" s="7"/>
      <c r="K7025" s="2"/>
      <c r="O7025">
        <f t="shared" si="1273"/>
        <v>1</v>
      </c>
      <c r="P7025" s="57">
        <f t="shared" si="1274"/>
        <v>1</v>
      </c>
      <c r="Q7025" s="267">
        <f t="shared" si="1275"/>
        <v>104195</v>
      </c>
      <c r="R7025" s="23">
        <f t="shared" si="1276"/>
        <v>101829</v>
      </c>
      <c r="S7025" s="23">
        <f t="shared" si="1277"/>
        <v>2366</v>
      </c>
      <c r="T7025" s="23">
        <f t="shared" si="1278"/>
        <v>99463</v>
      </c>
      <c r="U7025" t="str">
        <f t="shared" si="1279"/>
        <v>MD_2020g~Cnty11:Judge of the Circuit Court*6(vote 1)</v>
      </c>
      <c r="V7025" s="376"/>
      <c r="W7025" s="53"/>
      <c r="X7025" s="53"/>
      <c r="Y7025"/>
      <c r="Z7025"/>
      <c r="AA7025" s="23"/>
      <c r="AB7025"/>
      <c r="AC7025" s="272"/>
      <c r="AD7025" s="272"/>
      <c r="AE7025" s="273"/>
      <c r="AM7025" s="29"/>
      <c r="AN7025"/>
      <c r="AO7025"/>
      <c r="AP7025"/>
      <c r="AQ7025" s="29"/>
      <c r="AR7025" s="29"/>
      <c r="AS7025" s="29"/>
      <c r="AT7025"/>
      <c r="AV7025"/>
      <c r="AW7025"/>
    </row>
    <row r="7026" spans="1:49">
      <c r="A7026" s="23" t="s">
        <v>8030</v>
      </c>
      <c r="B7026" t="s">
        <v>7712</v>
      </c>
      <c r="C7026">
        <v>1</v>
      </c>
      <c r="D7026" s="55" t="str">
        <f t="shared" si="1272"/>
        <v>:Judge of the Circuit Court*6(vote 1)</v>
      </c>
      <c r="E7026" t="s">
        <v>7722</v>
      </c>
      <c r="F7026" t="s">
        <v>7714</v>
      </c>
      <c r="G7026" s="254">
        <v>2366</v>
      </c>
      <c r="H7026"/>
      <c r="J7026" s="7"/>
      <c r="K7026" s="2"/>
      <c r="O7026">
        <f t="shared" si="1273"/>
        <v>2</v>
      </c>
      <c r="P7026" s="57">
        <f t="shared" si="1274"/>
        <v>1</v>
      </c>
      <c r="Q7026" s="267">
        <f t="shared" si="1275"/>
        <v>2366</v>
      </c>
      <c r="R7026" s="23" t="str">
        <f t="shared" si="1276"/>
        <v/>
      </c>
      <c r="S7026" s="23">
        <f t="shared" si="1277"/>
        <v>2366</v>
      </c>
      <c r="T7026" s="23" t="str">
        <f t="shared" si="1278"/>
        <v/>
      </c>
      <c r="U7026" t="str">
        <f t="shared" si="1279"/>
        <v/>
      </c>
      <c r="V7026" s="376"/>
      <c r="W7026" s="53"/>
      <c r="X7026" s="53"/>
      <c r="Y7026"/>
      <c r="Z7026"/>
      <c r="AA7026" s="23"/>
      <c r="AB7026"/>
      <c r="AC7026" s="272"/>
      <c r="AD7026" s="272"/>
      <c r="AE7026" s="273"/>
      <c r="AM7026" s="29"/>
      <c r="AN7026"/>
      <c r="AO7026"/>
      <c r="AP7026"/>
      <c r="AQ7026" s="29"/>
      <c r="AR7026" s="29"/>
      <c r="AS7026" s="29"/>
      <c r="AT7026"/>
      <c r="AV7026"/>
      <c r="AW7026"/>
    </row>
    <row r="7027" spans="1:49">
      <c r="A7027" s="23" t="s">
        <v>8031</v>
      </c>
      <c r="B7027" t="s">
        <v>7712</v>
      </c>
      <c r="C7027">
        <v>1</v>
      </c>
      <c r="D7027" s="55" t="str">
        <f t="shared" si="1272"/>
        <v>:Board of Education At Large*(vote 2)</v>
      </c>
      <c r="E7027" t="s">
        <v>7876</v>
      </c>
      <c r="F7027" t="s">
        <v>1300</v>
      </c>
      <c r="G7027" s="254">
        <v>7990</v>
      </c>
      <c r="H7027"/>
      <c r="J7027" s="7"/>
      <c r="K7027" s="2"/>
      <c r="O7027">
        <f t="shared" si="1273"/>
        <v>1</v>
      </c>
      <c r="P7027" s="57">
        <f t="shared" si="1274"/>
        <v>2</v>
      </c>
      <c r="Q7027" s="267">
        <f t="shared" si="1275"/>
        <v>11065</v>
      </c>
      <c r="R7027" s="23">
        <f t="shared" si="1276"/>
        <v>7932</v>
      </c>
      <c r="S7027" s="23">
        <f t="shared" si="1277"/>
        <v>6115</v>
      </c>
      <c r="T7027" s="23">
        <f t="shared" si="1278"/>
        <v>1817</v>
      </c>
      <c r="U7027" t="str">
        <f t="shared" si="1279"/>
        <v>MD_2020g~Cnty12:Board of Education At Large*(vote 2)</v>
      </c>
      <c r="V7027" s="376"/>
      <c r="W7027" s="53"/>
      <c r="X7027" s="53"/>
      <c r="Y7027"/>
      <c r="Z7027"/>
      <c r="AA7027" s="23"/>
      <c r="AB7027"/>
      <c r="AC7027" s="272"/>
      <c r="AD7027" s="272"/>
      <c r="AE7027" s="273"/>
      <c r="AM7027" s="29"/>
      <c r="AN7027"/>
      <c r="AO7027"/>
      <c r="AP7027"/>
      <c r="AQ7027" s="29"/>
      <c r="AR7027" s="29"/>
      <c r="AS7027" s="29"/>
      <c r="AT7027"/>
      <c r="AV7027"/>
      <c r="AW7027"/>
    </row>
    <row r="7028" spans="1:49">
      <c r="A7028" s="23" t="s">
        <v>8031</v>
      </c>
      <c r="B7028" t="s">
        <v>7712</v>
      </c>
      <c r="C7028">
        <v>1</v>
      </c>
      <c r="D7028" s="55" t="str">
        <f t="shared" si="1272"/>
        <v>:Board of Education At Large*(vote 2)</v>
      </c>
      <c r="E7028" t="s">
        <v>7877</v>
      </c>
      <c r="F7028" t="s">
        <v>1300</v>
      </c>
      <c r="G7028" s="254">
        <v>7932</v>
      </c>
      <c r="H7028"/>
      <c r="J7028" s="7"/>
      <c r="K7028" s="2"/>
      <c r="O7028">
        <f t="shared" si="1273"/>
        <v>2</v>
      </c>
      <c r="P7028" s="57">
        <f t="shared" si="1274"/>
        <v>2</v>
      </c>
      <c r="Q7028" s="267">
        <f t="shared" si="1275"/>
        <v>14140</v>
      </c>
      <c r="R7028" s="23">
        <f t="shared" si="1276"/>
        <v>7932</v>
      </c>
      <c r="S7028" s="23">
        <f t="shared" si="1277"/>
        <v>6115</v>
      </c>
      <c r="T7028" s="23" t="str">
        <f t="shared" si="1278"/>
        <v/>
      </c>
      <c r="U7028" t="str">
        <f t="shared" si="1279"/>
        <v/>
      </c>
      <c r="V7028" s="376"/>
      <c r="W7028" s="53"/>
      <c r="X7028" s="53"/>
      <c r="Y7028"/>
      <c r="Z7028"/>
      <c r="AA7028" s="23"/>
      <c r="AB7028"/>
      <c r="AC7028" s="272"/>
      <c r="AD7028" s="272"/>
      <c r="AE7028" s="273"/>
      <c r="AM7028" s="29"/>
      <c r="AN7028"/>
      <c r="AO7028"/>
      <c r="AP7028"/>
      <c r="AQ7028" s="29"/>
      <c r="AR7028" s="29"/>
      <c r="AS7028" s="29"/>
      <c r="AT7028"/>
      <c r="AV7028"/>
      <c r="AW7028"/>
    </row>
    <row r="7029" spans="1:49">
      <c r="A7029" s="23" t="s">
        <v>8031</v>
      </c>
      <c r="B7029" t="s">
        <v>7712</v>
      </c>
      <c r="C7029">
        <v>1</v>
      </c>
      <c r="D7029" s="55" t="str">
        <f t="shared" si="1272"/>
        <v>:Board of Education At Large*(vote 2)</v>
      </c>
      <c r="E7029" t="s">
        <v>7878</v>
      </c>
      <c r="F7029" t="s">
        <v>1300</v>
      </c>
      <c r="G7029" s="254">
        <v>6115</v>
      </c>
      <c r="H7029"/>
      <c r="J7029" s="7"/>
      <c r="K7029" s="2"/>
      <c r="O7029">
        <f t="shared" si="1273"/>
        <v>3</v>
      </c>
      <c r="P7029" s="57">
        <f t="shared" si="1274"/>
        <v>2</v>
      </c>
      <c r="Q7029" s="267">
        <f t="shared" si="1275"/>
        <v>6208</v>
      </c>
      <c r="R7029" s="23" t="str">
        <f t="shared" si="1276"/>
        <v/>
      </c>
      <c r="S7029" s="23">
        <f t="shared" si="1277"/>
        <v>6115</v>
      </c>
      <c r="T7029" s="23" t="str">
        <f t="shared" si="1278"/>
        <v/>
      </c>
      <c r="U7029" t="str">
        <f t="shared" si="1279"/>
        <v/>
      </c>
      <c r="V7029" s="376"/>
      <c r="W7029" s="53"/>
      <c r="X7029" s="53"/>
      <c r="Y7029"/>
      <c r="Z7029"/>
      <c r="AA7029" s="23"/>
      <c r="AB7029"/>
      <c r="AC7029" s="272"/>
      <c r="AD7029" s="272"/>
      <c r="AE7029" s="273"/>
      <c r="AM7029" s="29"/>
      <c r="AN7029"/>
      <c r="AO7029"/>
      <c r="AP7029"/>
      <c r="AQ7029" s="29"/>
      <c r="AR7029" s="29"/>
      <c r="AS7029" s="29"/>
      <c r="AT7029"/>
      <c r="AV7029"/>
      <c r="AW7029"/>
    </row>
    <row r="7030" spans="1:49">
      <c r="A7030" s="23" t="s">
        <v>8031</v>
      </c>
      <c r="B7030" t="s">
        <v>7712</v>
      </c>
      <c r="C7030">
        <v>1</v>
      </c>
      <c r="D7030" s="55" t="str">
        <f t="shared" si="1272"/>
        <v>:Board of Education At Large*(vote 2)</v>
      </c>
      <c r="E7030" t="s">
        <v>7722</v>
      </c>
      <c r="F7030" t="s">
        <v>1300</v>
      </c>
      <c r="G7030" s="254">
        <v>93</v>
      </c>
      <c r="H7030"/>
      <c r="J7030" s="7"/>
      <c r="K7030" s="2"/>
      <c r="O7030">
        <f t="shared" si="1273"/>
        <v>4</v>
      </c>
      <c r="P7030" s="57">
        <f t="shared" si="1274"/>
        <v>2</v>
      </c>
      <c r="Q7030" s="267">
        <f t="shared" si="1275"/>
        <v>93</v>
      </c>
      <c r="R7030" s="23" t="str">
        <f t="shared" si="1276"/>
        <v/>
      </c>
      <c r="S7030" s="23">
        <f t="shared" si="1277"/>
        <v>93</v>
      </c>
      <c r="T7030" s="23" t="str">
        <f t="shared" si="1278"/>
        <v/>
      </c>
      <c r="U7030" t="str">
        <f t="shared" si="1279"/>
        <v/>
      </c>
      <c r="V7030" s="376"/>
      <c r="W7030" s="53"/>
      <c r="X7030" s="53"/>
      <c r="Y7030"/>
      <c r="Z7030"/>
      <c r="AA7030" s="23"/>
      <c r="AB7030"/>
      <c r="AC7030" s="272"/>
      <c r="AD7030" s="272"/>
      <c r="AE7030" s="273"/>
      <c r="AM7030" s="29"/>
      <c r="AN7030"/>
      <c r="AO7030"/>
      <c r="AP7030"/>
      <c r="AQ7030" s="29"/>
      <c r="AR7030" s="29"/>
      <c r="AS7030" s="29"/>
      <c r="AT7030"/>
      <c r="AV7030"/>
      <c r="AW7030"/>
    </row>
    <row r="7031" spans="1:49">
      <c r="A7031" s="23" t="s">
        <v>8032</v>
      </c>
      <c r="B7031" t="s">
        <v>7712</v>
      </c>
      <c r="C7031">
        <v>1</v>
      </c>
      <c r="D7031" s="55" t="str">
        <f t="shared" si="1272"/>
        <v>:Board of Education*1(vote 1)</v>
      </c>
      <c r="E7031" t="s">
        <v>7879</v>
      </c>
      <c r="F7031" t="s">
        <v>1300</v>
      </c>
      <c r="G7031" s="254">
        <v>20262</v>
      </c>
      <c r="H7031"/>
      <c r="J7031" s="7"/>
      <c r="K7031" s="2"/>
      <c r="O7031">
        <f t="shared" si="1273"/>
        <v>1</v>
      </c>
      <c r="P7031" s="57">
        <f t="shared" si="1274"/>
        <v>1</v>
      </c>
      <c r="Q7031" s="267">
        <f t="shared" si="1275"/>
        <v>31731</v>
      </c>
      <c r="R7031" s="23">
        <f t="shared" si="1276"/>
        <v>20262</v>
      </c>
      <c r="S7031" s="23">
        <f t="shared" si="1277"/>
        <v>11307</v>
      </c>
      <c r="T7031" s="23">
        <f t="shared" si="1278"/>
        <v>8955</v>
      </c>
      <c r="U7031" t="str">
        <f t="shared" si="1279"/>
        <v>MD_2020g~Cnty14:Board of Education*1(vote 1)</v>
      </c>
      <c r="V7031" s="376"/>
      <c r="W7031" s="53"/>
      <c r="X7031" s="53"/>
      <c r="Y7031"/>
      <c r="Z7031"/>
      <c r="AA7031" s="23"/>
      <c r="AB7031"/>
      <c r="AC7031" s="272"/>
      <c r="AD7031" s="272"/>
      <c r="AE7031" s="273"/>
      <c r="AM7031" s="29"/>
      <c r="AN7031"/>
      <c r="AO7031"/>
      <c r="AP7031"/>
      <c r="AQ7031" s="29"/>
      <c r="AR7031" s="29"/>
      <c r="AS7031" s="29"/>
      <c r="AT7031"/>
      <c r="AV7031"/>
      <c r="AW7031"/>
    </row>
    <row r="7032" spans="1:49">
      <c r="A7032" s="23" t="s">
        <v>8032</v>
      </c>
      <c r="B7032" t="s">
        <v>7712</v>
      </c>
      <c r="C7032">
        <v>1</v>
      </c>
      <c r="D7032" s="55" t="str">
        <f t="shared" si="1272"/>
        <v>:Board of Education*1(vote 1)</v>
      </c>
      <c r="E7032" t="s">
        <v>7880</v>
      </c>
      <c r="F7032" t="s">
        <v>1300</v>
      </c>
      <c r="G7032" s="254">
        <v>11307</v>
      </c>
      <c r="H7032"/>
      <c r="J7032" s="7"/>
      <c r="K7032" s="2"/>
      <c r="O7032">
        <f t="shared" si="1273"/>
        <v>2</v>
      </c>
      <c r="P7032" s="57">
        <f t="shared" si="1274"/>
        <v>1</v>
      </c>
      <c r="Q7032" s="267">
        <f t="shared" si="1275"/>
        <v>11469</v>
      </c>
      <c r="R7032" s="23" t="str">
        <f t="shared" si="1276"/>
        <v/>
      </c>
      <c r="S7032" s="23">
        <f t="shared" si="1277"/>
        <v>11307</v>
      </c>
      <c r="T7032" s="23" t="str">
        <f t="shared" si="1278"/>
        <v/>
      </c>
      <c r="U7032" t="str">
        <f t="shared" si="1279"/>
        <v/>
      </c>
      <c r="V7032" s="376"/>
      <c r="W7032" s="53"/>
      <c r="X7032" s="53"/>
      <c r="Y7032"/>
      <c r="Z7032"/>
      <c r="AA7032" s="23"/>
      <c r="AB7032"/>
      <c r="AC7032" s="272"/>
      <c r="AD7032" s="272"/>
      <c r="AE7032" s="273"/>
      <c r="AM7032" s="29"/>
      <c r="AN7032"/>
      <c r="AO7032"/>
      <c r="AP7032"/>
      <c r="AQ7032" s="29"/>
      <c r="AR7032" s="29"/>
      <c r="AS7032" s="29"/>
      <c r="AT7032"/>
      <c r="AV7032"/>
      <c r="AW7032"/>
    </row>
    <row r="7033" spans="1:49">
      <c r="A7033" s="23" t="s">
        <v>8032</v>
      </c>
      <c r="B7033" t="s">
        <v>7712</v>
      </c>
      <c r="C7033">
        <v>1</v>
      </c>
      <c r="D7033" s="55" t="str">
        <f t="shared" si="1272"/>
        <v>:Board of Education*1(vote 1)</v>
      </c>
      <c r="E7033" t="s">
        <v>7722</v>
      </c>
      <c r="F7033" t="s">
        <v>1300</v>
      </c>
      <c r="G7033" s="254">
        <v>162</v>
      </c>
      <c r="H7033"/>
      <c r="J7033" s="7"/>
      <c r="K7033" s="2"/>
      <c r="O7033">
        <f t="shared" si="1273"/>
        <v>3</v>
      </c>
      <c r="P7033" s="57">
        <f t="shared" si="1274"/>
        <v>1</v>
      </c>
      <c r="Q7033" s="267">
        <f t="shared" si="1275"/>
        <v>162</v>
      </c>
      <c r="R7033" s="23" t="str">
        <f t="shared" si="1276"/>
        <v/>
      </c>
      <c r="S7033" s="23">
        <f t="shared" si="1277"/>
        <v>162</v>
      </c>
      <c r="T7033" s="23" t="str">
        <f t="shared" si="1278"/>
        <v/>
      </c>
      <c r="U7033" t="str">
        <f t="shared" si="1279"/>
        <v/>
      </c>
      <c r="V7033" s="376"/>
      <c r="W7033" s="53"/>
      <c r="X7033" s="53"/>
      <c r="Y7033"/>
      <c r="Z7033"/>
      <c r="AA7033" s="23"/>
      <c r="AB7033"/>
      <c r="AC7033" s="272"/>
      <c r="AD7033" s="272"/>
      <c r="AE7033" s="273"/>
      <c r="AM7033" s="29"/>
      <c r="AN7033"/>
      <c r="AO7033"/>
      <c r="AP7033"/>
      <c r="AQ7033" s="29"/>
      <c r="AR7033" s="29"/>
      <c r="AS7033" s="29"/>
      <c r="AT7033"/>
      <c r="AV7033"/>
      <c r="AW7033"/>
    </row>
    <row r="7034" spans="1:49">
      <c r="A7034" s="23" t="s">
        <v>8033</v>
      </c>
      <c r="B7034" t="s">
        <v>7712</v>
      </c>
      <c r="C7034">
        <v>1</v>
      </c>
      <c r="D7034" s="55" t="str">
        <f t="shared" si="1272"/>
        <v>:Board of Education*2(vote 1)</v>
      </c>
      <c r="E7034" t="s">
        <v>7881</v>
      </c>
      <c r="F7034" t="s">
        <v>1300</v>
      </c>
      <c r="G7034" s="254">
        <v>21968</v>
      </c>
      <c r="H7034"/>
      <c r="J7034" s="7"/>
      <c r="K7034" s="2"/>
      <c r="O7034">
        <f t="shared" si="1273"/>
        <v>1</v>
      </c>
      <c r="P7034" s="57">
        <f t="shared" si="1274"/>
        <v>1</v>
      </c>
      <c r="Q7034" s="267">
        <f t="shared" si="1275"/>
        <v>30453</v>
      </c>
      <c r="R7034" s="23">
        <f t="shared" si="1276"/>
        <v>21968</v>
      </c>
      <c r="S7034" s="23">
        <f t="shared" si="1277"/>
        <v>8267</v>
      </c>
      <c r="T7034" s="23">
        <f t="shared" si="1278"/>
        <v>13701</v>
      </c>
      <c r="U7034" t="str">
        <f t="shared" si="1279"/>
        <v>MD_2020g~Cnty14:Board of Education*2(vote 1)</v>
      </c>
      <c r="V7034" s="376"/>
      <c r="W7034" s="53"/>
      <c r="X7034" s="53"/>
      <c r="Y7034"/>
      <c r="Z7034"/>
      <c r="AA7034" s="23"/>
      <c r="AB7034"/>
      <c r="AC7034" s="272"/>
      <c r="AD7034" s="272"/>
      <c r="AE7034" s="273"/>
      <c r="AM7034" s="29"/>
      <c r="AN7034"/>
      <c r="AO7034"/>
      <c r="AP7034"/>
      <c r="AQ7034" s="29"/>
      <c r="AR7034" s="29"/>
      <c r="AS7034" s="29"/>
      <c r="AT7034"/>
      <c r="AV7034"/>
      <c r="AW7034"/>
    </row>
    <row r="7035" spans="1:49">
      <c r="A7035" s="23" t="s">
        <v>8033</v>
      </c>
      <c r="B7035" t="s">
        <v>7712</v>
      </c>
      <c r="C7035">
        <v>1</v>
      </c>
      <c r="D7035" s="55" t="str">
        <f t="shared" si="1272"/>
        <v>:Board of Education*2(vote 1)</v>
      </c>
      <c r="E7035" t="s">
        <v>7882</v>
      </c>
      <c r="F7035" t="s">
        <v>1300</v>
      </c>
      <c r="G7035" s="254">
        <v>8267</v>
      </c>
      <c r="H7035"/>
      <c r="J7035" s="7"/>
      <c r="K7035" s="2"/>
      <c r="O7035">
        <f t="shared" si="1273"/>
        <v>2</v>
      </c>
      <c r="P7035" s="57">
        <f t="shared" si="1274"/>
        <v>1</v>
      </c>
      <c r="Q7035" s="267">
        <f t="shared" si="1275"/>
        <v>8485</v>
      </c>
      <c r="R7035" s="23" t="str">
        <f t="shared" si="1276"/>
        <v/>
      </c>
      <c r="S7035" s="23">
        <f t="shared" si="1277"/>
        <v>8267</v>
      </c>
      <c r="T7035" s="23" t="str">
        <f t="shared" si="1278"/>
        <v/>
      </c>
      <c r="U7035" t="str">
        <f t="shared" si="1279"/>
        <v/>
      </c>
      <c r="V7035" s="376"/>
      <c r="W7035" s="53"/>
      <c r="X7035" s="53"/>
      <c r="Y7035"/>
      <c r="Z7035"/>
      <c r="AA7035" s="23"/>
      <c r="AB7035"/>
      <c r="AC7035" s="272"/>
      <c r="AD7035" s="272"/>
      <c r="AE7035" s="273"/>
      <c r="AM7035" s="29"/>
      <c r="AN7035"/>
      <c r="AO7035"/>
      <c r="AP7035"/>
      <c r="AQ7035" s="29"/>
      <c r="AR7035" s="29"/>
      <c r="AS7035" s="29"/>
      <c r="AT7035"/>
      <c r="AV7035"/>
      <c r="AW7035"/>
    </row>
    <row r="7036" spans="1:49">
      <c r="A7036" s="23" t="s">
        <v>8033</v>
      </c>
      <c r="B7036" t="s">
        <v>7712</v>
      </c>
      <c r="C7036">
        <v>1</v>
      </c>
      <c r="D7036" s="55" t="str">
        <f t="shared" si="1272"/>
        <v>:Board of Education*2(vote 1)</v>
      </c>
      <c r="E7036" t="s">
        <v>7722</v>
      </c>
      <c r="F7036" t="s">
        <v>1300</v>
      </c>
      <c r="G7036" s="254">
        <v>218</v>
      </c>
      <c r="H7036"/>
      <c r="J7036" s="7"/>
      <c r="K7036" s="2"/>
      <c r="O7036">
        <f t="shared" si="1273"/>
        <v>3</v>
      </c>
      <c r="P7036" s="57">
        <f t="shared" si="1274"/>
        <v>1</v>
      </c>
      <c r="Q7036" s="267">
        <f t="shared" si="1275"/>
        <v>218</v>
      </c>
      <c r="R7036" s="23" t="str">
        <f t="shared" si="1276"/>
        <v/>
      </c>
      <c r="S7036" s="23">
        <f t="shared" si="1277"/>
        <v>218</v>
      </c>
      <c r="T7036" s="23" t="str">
        <f t="shared" si="1278"/>
        <v/>
      </c>
      <c r="U7036" t="str">
        <f t="shared" si="1279"/>
        <v/>
      </c>
      <c r="V7036" s="376"/>
      <c r="W7036" s="53"/>
      <c r="X7036" s="53"/>
      <c r="Y7036"/>
      <c r="Z7036"/>
      <c r="AA7036" s="23"/>
      <c r="AB7036"/>
      <c r="AC7036" s="272"/>
      <c r="AD7036" s="272"/>
      <c r="AE7036" s="273"/>
      <c r="AM7036" s="29"/>
      <c r="AN7036"/>
      <c r="AO7036"/>
      <c r="AP7036"/>
      <c r="AQ7036" s="29"/>
      <c r="AR7036" s="29"/>
      <c r="AS7036" s="29"/>
      <c r="AT7036"/>
      <c r="AV7036"/>
      <c r="AW7036"/>
    </row>
    <row r="7037" spans="1:49">
      <c r="A7037" s="23" t="s">
        <v>8034</v>
      </c>
      <c r="B7037" t="s">
        <v>7712</v>
      </c>
      <c r="C7037">
        <v>1</v>
      </c>
      <c r="D7037" s="55" t="str">
        <f t="shared" si="1272"/>
        <v>:Board of Education*3(vote 1)</v>
      </c>
      <c r="E7037" t="s">
        <v>7883</v>
      </c>
      <c r="F7037" t="s">
        <v>1300</v>
      </c>
      <c r="G7037" s="254">
        <v>22015</v>
      </c>
      <c r="H7037"/>
      <c r="J7037" s="7"/>
      <c r="K7037" s="2"/>
      <c r="O7037">
        <f t="shared" si="1273"/>
        <v>1</v>
      </c>
      <c r="P7037" s="57">
        <f t="shared" si="1274"/>
        <v>1</v>
      </c>
      <c r="Q7037" s="267">
        <f t="shared" si="1275"/>
        <v>28174</v>
      </c>
      <c r="R7037" s="23">
        <f t="shared" si="1276"/>
        <v>22015</v>
      </c>
      <c r="S7037" s="23">
        <f t="shared" si="1277"/>
        <v>5935</v>
      </c>
      <c r="T7037" s="23">
        <f t="shared" si="1278"/>
        <v>16080</v>
      </c>
      <c r="U7037" t="str">
        <f t="shared" si="1279"/>
        <v>MD_2020g~Cnty14:Board of Education*3(vote 1)</v>
      </c>
      <c r="V7037" s="376"/>
      <c r="W7037" s="53"/>
      <c r="X7037" s="53"/>
      <c r="Y7037"/>
      <c r="Z7037"/>
      <c r="AA7037" s="23"/>
      <c r="AB7037"/>
      <c r="AC7037" s="272"/>
      <c r="AD7037" s="272"/>
      <c r="AE7037" s="273"/>
      <c r="AM7037" s="29"/>
      <c r="AN7037"/>
      <c r="AO7037"/>
      <c r="AP7037"/>
      <c r="AQ7037" s="29"/>
      <c r="AR7037" s="29"/>
      <c r="AS7037" s="29"/>
      <c r="AT7037"/>
      <c r="AV7037"/>
      <c r="AW7037"/>
    </row>
    <row r="7038" spans="1:49">
      <c r="A7038" s="23" t="s">
        <v>8034</v>
      </c>
      <c r="B7038" t="s">
        <v>7712</v>
      </c>
      <c r="C7038">
        <v>1</v>
      </c>
      <c r="D7038" s="55" t="str">
        <f t="shared" si="1272"/>
        <v>:Board of Education*3(vote 1)</v>
      </c>
      <c r="E7038" t="s">
        <v>7884</v>
      </c>
      <c r="F7038" t="s">
        <v>1300</v>
      </c>
      <c r="G7038" s="254">
        <v>5935</v>
      </c>
      <c r="H7038"/>
      <c r="J7038" s="7"/>
      <c r="K7038" s="2"/>
      <c r="O7038">
        <f t="shared" si="1273"/>
        <v>2</v>
      </c>
      <c r="P7038" s="57">
        <f t="shared" si="1274"/>
        <v>1</v>
      </c>
      <c r="Q7038" s="267">
        <f t="shared" si="1275"/>
        <v>6159</v>
      </c>
      <c r="R7038" s="23" t="str">
        <f t="shared" si="1276"/>
        <v/>
      </c>
      <c r="S7038" s="23">
        <f t="shared" si="1277"/>
        <v>5935</v>
      </c>
      <c r="T7038" s="23" t="str">
        <f t="shared" si="1278"/>
        <v/>
      </c>
      <c r="U7038" t="str">
        <f t="shared" si="1279"/>
        <v/>
      </c>
      <c r="V7038" s="376"/>
      <c r="W7038" s="53"/>
      <c r="X7038" s="53"/>
      <c r="Y7038"/>
      <c r="Z7038"/>
      <c r="AA7038" s="23"/>
      <c r="AB7038"/>
      <c r="AC7038" s="272"/>
      <c r="AD7038" s="272"/>
      <c r="AE7038" s="273"/>
      <c r="AM7038" s="29"/>
      <c r="AN7038"/>
      <c r="AO7038"/>
      <c r="AP7038"/>
      <c r="AQ7038" s="29"/>
      <c r="AR7038" s="29"/>
      <c r="AS7038" s="29"/>
      <c r="AT7038"/>
      <c r="AV7038"/>
      <c r="AW7038"/>
    </row>
    <row r="7039" spans="1:49">
      <c r="A7039" s="23" t="s">
        <v>8034</v>
      </c>
      <c r="B7039" t="s">
        <v>7712</v>
      </c>
      <c r="C7039">
        <v>1</v>
      </c>
      <c r="D7039" s="55" t="str">
        <f t="shared" si="1272"/>
        <v>:Board of Education*3(vote 1)</v>
      </c>
      <c r="E7039" t="s">
        <v>7722</v>
      </c>
      <c r="F7039" t="s">
        <v>1300</v>
      </c>
      <c r="G7039" s="254">
        <v>224</v>
      </c>
      <c r="H7039"/>
      <c r="J7039" s="7"/>
      <c r="K7039" s="2"/>
      <c r="O7039">
        <f t="shared" si="1273"/>
        <v>3</v>
      </c>
      <c r="P7039" s="57">
        <f t="shared" si="1274"/>
        <v>1</v>
      </c>
      <c r="Q7039" s="267">
        <f t="shared" si="1275"/>
        <v>224</v>
      </c>
      <c r="R7039" s="23" t="str">
        <f t="shared" si="1276"/>
        <v/>
      </c>
      <c r="S7039" s="23">
        <f t="shared" si="1277"/>
        <v>224</v>
      </c>
      <c r="T7039" s="23" t="str">
        <f t="shared" si="1278"/>
        <v/>
      </c>
      <c r="U7039" t="str">
        <f t="shared" si="1279"/>
        <v/>
      </c>
      <c r="V7039" s="376"/>
      <c r="W7039" s="53"/>
      <c r="X7039" s="53"/>
      <c r="Y7039"/>
      <c r="Z7039"/>
      <c r="AA7039" s="23"/>
      <c r="AB7039"/>
      <c r="AC7039" s="272"/>
      <c r="AD7039" s="272"/>
      <c r="AE7039" s="273"/>
      <c r="AM7039" s="29"/>
      <c r="AN7039"/>
      <c r="AO7039"/>
      <c r="AP7039"/>
      <c r="AQ7039" s="29"/>
      <c r="AR7039" s="29"/>
      <c r="AS7039" s="29"/>
      <c r="AT7039"/>
      <c r="AV7039"/>
      <c r="AW7039"/>
    </row>
    <row r="7040" spans="1:49">
      <c r="A7040" s="23" t="s">
        <v>8035</v>
      </c>
      <c r="B7040" t="s">
        <v>7712</v>
      </c>
      <c r="C7040">
        <v>1</v>
      </c>
      <c r="D7040" s="55" t="str">
        <f t="shared" si="1272"/>
        <v>:Board of Education*4(vote 1)</v>
      </c>
      <c r="E7040" t="s">
        <v>7885</v>
      </c>
      <c r="F7040" t="s">
        <v>1300</v>
      </c>
      <c r="G7040" s="254">
        <v>16747</v>
      </c>
      <c r="H7040"/>
      <c r="J7040" s="7"/>
      <c r="K7040" s="2"/>
      <c r="O7040">
        <f t="shared" si="1273"/>
        <v>1</v>
      </c>
      <c r="P7040" s="57">
        <f t="shared" si="1274"/>
        <v>1</v>
      </c>
      <c r="Q7040" s="267">
        <f t="shared" si="1275"/>
        <v>32462</v>
      </c>
      <c r="R7040" s="23">
        <f t="shared" si="1276"/>
        <v>16747</v>
      </c>
      <c r="S7040" s="23">
        <f t="shared" si="1277"/>
        <v>15365</v>
      </c>
      <c r="T7040" s="23">
        <f t="shared" si="1278"/>
        <v>1382</v>
      </c>
      <c r="U7040" t="str">
        <f t="shared" si="1279"/>
        <v>MD_2020g~Cnty14:Board of Education*4(vote 1)</v>
      </c>
      <c r="V7040" s="376"/>
      <c r="W7040" s="53"/>
      <c r="X7040" s="53"/>
      <c r="Y7040"/>
      <c r="Z7040"/>
      <c r="AA7040" s="23"/>
      <c r="AB7040"/>
      <c r="AC7040" s="272"/>
      <c r="AD7040" s="272"/>
      <c r="AE7040" s="273"/>
      <c r="AM7040" s="29"/>
      <c r="AN7040"/>
      <c r="AO7040"/>
      <c r="AP7040"/>
      <c r="AQ7040" s="29"/>
      <c r="AR7040" s="29"/>
      <c r="AS7040" s="29"/>
      <c r="AT7040"/>
      <c r="AV7040"/>
      <c r="AW7040"/>
    </row>
    <row r="7041" spans="1:49">
      <c r="A7041" s="23" t="s">
        <v>8035</v>
      </c>
      <c r="B7041" t="s">
        <v>7712</v>
      </c>
      <c r="C7041">
        <v>1</v>
      </c>
      <c r="D7041" s="55" t="str">
        <f t="shared" si="1272"/>
        <v>:Board of Education*4(vote 1)</v>
      </c>
      <c r="E7041" t="s">
        <v>7886</v>
      </c>
      <c r="F7041" t="s">
        <v>1300</v>
      </c>
      <c r="G7041" s="254">
        <v>15365</v>
      </c>
      <c r="H7041"/>
      <c r="J7041" s="7"/>
      <c r="K7041" s="2"/>
      <c r="O7041">
        <f t="shared" si="1273"/>
        <v>2</v>
      </c>
      <c r="P7041" s="57">
        <f t="shared" si="1274"/>
        <v>1</v>
      </c>
      <c r="Q7041" s="267">
        <f t="shared" si="1275"/>
        <v>15715</v>
      </c>
      <c r="R7041" s="23" t="str">
        <f t="shared" si="1276"/>
        <v/>
      </c>
      <c r="S7041" s="23">
        <f t="shared" si="1277"/>
        <v>15365</v>
      </c>
      <c r="T7041" s="23" t="str">
        <f t="shared" si="1278"/>
        <v/>
      </c>
      <c r="U7041" t="str">
        <f t="shared" si="1279"/>
        <v/>
      </c>
      <c r="V7041" s="376"/>
      <c r="W7041" s="53"/>
      <c r="X7041" s="53"/>
      <c r="Y7041"/>
      <c r="Z7041"/>
      <c r="AA7041" s="23"/>
      <c r="AB7041"/>
      <c r="AC7041" s="272"/>
      <c r="AD7041" s="272"/>
      <c r="AE7041" s="273"/>
      <c r="AM7041" s="29"/>
      <c r="AN7041"/>
      <c r="AO7041"/>
      <c r="AP7041"/>
      <c r="AQ7041" s="29"/>
      <c r="AR7041" s="29"/>
      <c r="AS7041" s="29"/>
      <c r="AT7041"/>
      <c r="AV7041"/>
      <c r="AW7041"/>
    </row>
    <row r="7042" spans="1:49">
      <c r="A7042" s="23" t="s">
        <v>8035</v>
      </c>
      <c r="B7042" t="s">
        <v>7712</v>
      </c>
      <c r="C7042">
        <v>1</v>
      </c>
      <c r="D7042" s="55" t="str">
        <f t="shared" si="1272"/>
        <v>:Board of Education*4(vote 1)</v>
      </c>
      <c r="E7042" t="s">
        <v>7722</v>
      </c>
      <c r="F7042" t="s">
        <v>1300</v>
      </c>
      <c r="G7042" s="254">
        <v>219</v>
      </c>
      <c r="H7042"/>
      <c r="J7042" s="7"/>
      <c r="K7042" s="2"/>
      <c r="O7042">
        <f t="shared" si="1273"/>
        <v>3</v>
      </c>
      <c r="P7042" s="57">
        <f t="shared" si="1274"/>
        <v>1</v>
      </c>
      <c r="Q7042" s="267">
        <f t="shared" si="1275"/>
        <v>350</v>
      </c>
      <c r="R7042" s="23" t="str">
        <f t="shared" si="1276"/>
        <v/>
      </c>
      <c r="S7042" s="23">
        <f t="shared" si="1277"/>
        <v>219</v>
      </c>
      <c r="T7042" s="23" t="str">
        <f t="shared" si="1278"/>
        <v/>
      </c>
      <c r="U7042" t="str">
        <f t="shared" si="1279"/>
        <v/>
      </c>
      <c r="V7042" s="376"/>
      <c r="W7042" s="53"/>
      <c r="X7042" s="53"/>
      <c r="Y7042"/>
      <c r="Z7042"/>
      <c r="AA7042" s="23"/>
      <c r="AB7042"/>
      <c r="AC7042" s="272"/>
      <c r="AD7042" s="272"/>
      <c r="AE7042" s="273"/>
      <c r="AM7042" s="29"/>
      <c r="AN7042"/>
      <c r="AO7042"/>
      <c r="AP7042"/>
      <c r="AQ7042" s="29"/>
      <c r="AR7042" s="29"/>
      <c r="AS7042" s="29"/>
      <c r="AT7042"/>
      <c r="AV7042"/>
      <c r="AW7042"/>
    </row>
    <row r="7043" spans="1:49">
      <c r="A7043" s="23" t="s">
        <v>8035</v>
      </c>
      <c r="B7043" t="s">
        <v>7712</v>
      </c>
      <c r="C7043">
        <v>1</v>
      </c>
      <c r="D7043" s="55" t="str">
        <f t="shared" si="1272"/>
        <v>:Board of Education*4(vote 1)</v>
      </c>
      <c r="E7043" t="s">
        <v>7887</v>
      </c>
      <c r="F7043" t="s">
        <v>1300</v>
      </c>
      <c r="G7043" s="254">
        <v>131</v>
      </c>
      <c r="H7043"/>
      <c r="J7043" s="7"/>
      <c r="K7043" s="2"/>
      <c r="O7043">
        <f t="shared" si="1273"/>
        <v>4</v>
      </c>
      <c r="P7043" s="57">
        <f t="shared" si="1274"/>
        <v>1</v>
      </c>
      <c r="Q7043" s="267">
        <f t="shared" si="1275"/>
        <v>131</v>
      </c>
      <c r="R7043" s="23" t="str">
        <f t="shared" si="1276"/>
        <v/>
      </c>
      <c r="S7043" s="23">
        <f t="shared" si="1277"/>
        <v>131</v>
      </c>
      <c r="T7043" s="23" t="str">
        <f t="shared" si="1278"/>
        <v/>
      </c>
      <c r="U7043" t="str">
        <f t="shared" si="1279"/>
        <v/>
      </c>
      <c r="V7043" s="376"/>
      <c r="W7043" s="53"/>
      <c r="X7043" s="53"/>
      <c r="Y7043"/>
      <c r="Z7043"/>
      <c r="AA7043" s="23"/>
      <c r="AB7043"/>
      <c r="AC7043" s="272"/>
      <c r="AD7043" s="272"/>
      <c r="AE7043" s="273"/>
      <c r="AM7043" s="29"/>
      <c r="AN7043"/>
      <c r="AO7043"/>
      <c r="AP7043"/>
      <c r="AQ7043" s="29"/>
      <c r="AR7043" s="29"/>
      <c r="AS7043" s="29"/>
      <c r="AT7043"/>
      <c r="AV7043"/>
      <c r="AW7043"/>
    </row>
    <row r="7044" spans="1:49">
      <c r="A7044" s="23" t="s">
        <v>8036</v>
      </c>
      <c r="B7044" t="s">
        <v>7712</v>
      </c>
      <c r="C7044">
        <v>1</v>
      </c>
      <c r="D7044" s="55" t="str">
        <f t="shared" si="1272"/>
        <v>:Board of Education*5(vote 1)</v>
      </c>
      <c r="E7044" t="s">
        <v>7888</v>
      </c>
      <c r="F7044" t="s">
        <v>1300</v>
      </c>
      <c r="G7044" s="254">
        <v>22871</v>
      </c>
      <c r="H7044"/>
      <c r="J7044" s="7"/>
      <c r="K7044" s="2"/>
      <c r="O7044">
        <f t="shared" si="1273"/>
        <v>1</v>
      </c>
      <c r="P7044" s="57">
        <f t="shared" si="1274"/>
        <v>1</v>
      </c>
      <c r="Q7044" s="267">
        <f t="shared" si="1275"/>
        <v>35334</v>
      </c>
      <c r="R7044" s="23">
        <f t="shared" si="1276"/>
        <v>22871</v>
      </c>
      <c r="S7044" s="23">
        <f t="shared" si="1277"/>
        <v>12321</v>
      </c>
      <c r="T7044" s="23">
        <f t="shared" si="1278"/>
        <v>10550</v>
      </c>
      <c r="U7044" t="str">
        <f t="shared" si="1279"/>
        <v>MD_2020g~Cnty14:Board of Education*5(vote 1)</v>
      </c>
      <c r="V7044" s="376"/>
      <c r="W7044" s="53"/>
      <c r="X7044" s="53"/>
      <c r="Y7044"/>
      <c r="Z7044"/>
      <c r="AA7044" s="23"/>
      <c r="AB7044"/>
      <c r="AC7044" s="272"/>
      <c r="AD7044" s="272"/>
      <c r="AE7044" s="273"/>
      <c r="AM7044" s="29"/>
      <c r="AN7044"/>
      <c r="AO7044"/>
      <c r="AP7044"/>
      <c r="AQ7044" s="29"/>
      <c r="AR7044" s="29"/>
      <c r="AS7044" s="29"/>
      <c r="AT7044"/>
      <c r="AV7044"/>
      <c r="AW7044"/>
    </row>
    <row r="7045" spans="1:49">
      <c r="A7045" s="23" t="s">
        <v>8036</v>
      </c>
      <c r="B7045" t="s">
        <v>7712</v>
      </c>
      <c r="C7045">
        <v>1</v>
      </c>
      <c r="D7045" s="55" t="str">
        <f t="shared" si="1272"/>
        <v>:Board of Education*5(vote 1)</v>
      </c>
      <c r="E7045" t="s">
        <v>7889</v>
      </c>
      <c r="F7045" t="s">
        <v>1300</v>
      </c>
      <c r="G7045" s="254">
        <v>12321</v>
      </c>
      <c r="H7045"/>
      <c r="J7045" s="7"/>
      <c r="K7045" s="2"/>
      <c r="O7045">
        <f t="shared" si="1273"/>
        <v>2</v>
      </c>
      <c r="P7045" s="57">
        <f t="shared" si="1274"/>
        <v>1</v>
      </c>
      <c r="Q7045" s="267">
        <f t="shared" si="1275"/>
        <v>12463</v>
      </c>
      <c r="R7045" s="23" t="str">
        <f t="shared" si="1276"/>
        <v/>
      </c>
      <c r="S7045" s="23">
        <f t="shared" si="1277"/>
        <v>12321</v>
      </c>
      <c r="T7045" s="23" t="str">
        <f t="shared" si="1278"/>
        <v/>
      </c>
      <c r="U7045" t="str">
        <f t="shared" si="1279"/>
        <v/>
      </c>
      <c r="V7045" s="376"/>
      <c r="W7045" s="53"/>
      <c r="X7045" s="53"/>
      <c r="Y7045"/>
      <c r="Z7045"/>
      <c r="AA7045" s="23"/>
      <c r="AB7045"/>
      <c r="AC7045" s="272"/>
      <c r="AD7045" s="272"/>
      <c r="AE7045" s="273"/>
      <c r="AM7045" s="29"/>
      <c r="AN7045"/>
      <c r="AO7045"/>
      <c r="AP7045"/>
      <c r="AQ7045" s="29"/>
      <c r="AR7045" s="29"/>
      <c r="AS7045" s="29"/>
      <c r="AT7045"/>
      <c r="AV7045"/>
      <c r="AW7045"/>
    </row>
    <row r="7046" spans="1:49">
      <c r="A7046" s="23" t="s">
        <v>8036</v>
      </c>
      <c r="B7046" t="s">
        <v>7712</v>
      </c>
      <c r="C7046">
        <v>1</v>
      </c>
      <c r="D7046" s="55" t="str">
        <f t="shared" si="1272"/>
        <v>:Board of Education*5(vote 1)</v>
      </c>
      <c r="E7046" t="s">
        <v>7722</v>
      </c>
      <c r="F7046" t="s">
        <v>1300</v>
      </c>
      <c r="G7046" s="254">
        <v>142</v>
      </c>
      <c r="H7046"/>
      <c r="J7046" s="7"/>
      <c r="K7046" s="2"/>
      <c r="O7046">
        <f t="shared" si="1273"/>
        <v>3</v>
      </c>
      <c r="P7046" s="57">
        <f t="shared" si="1274"/>
        <v>1</v>
      </c>
      <c r="Q7046" s="267">
        <f t="shared" si="1275"/>
        <v>142</v>
      </c>
      <c r="R7046" s="23" t="str">
        <f t="shared" si="1276"/>
        <v/>
      </c>
      <c r="S7046" s="23">
        <f t="shared" si="1277"/>
        <v>142</v>
      </c>
      <c r="T7046" s="23" t="str">
        <f t="shared" si="1278"/>
        <v/>
      </c>
      <c r="U7046" t="str">
        <f t="shared" si="1279"/>
        <v/>
      </c>
      <c r="V7046" s="376"/>
      <c r="W7046" s="53"/>
      <c r="X7046" s="53"/>
      <c r="Y7046"/>
      <c r="Z7046"/>
      <c r="AA7046" s="23"/>
      <c r="AB7046"/>
      <c r="AC7046" s="272"/>
      <c r="AD7046" s="272"/>
      <c r="AE7046" s="273"/>
      <c r="AM7046" s="29"/>
      <c r="AN7046"/>
      <c r="AO7046"/>
      <c r="AP7046"/>
      <c r="AQ7046" s="29"/>
      <c r="AR7046" s="29"/>
      <c r="AS7046" s="29"/>
      <c r="AT7046"/>
      <c r="AV7046"/>
      <c r="AW7046"/>
    </row>
    <row r="7047" spans="1:49">
      <c r="A7047" s="23" t="s">
        <v>8037</v>
      </c>
      <c r="B7047" t="s">
        <v>7712</v>
      </c>
      <c r="C7047">
        <v>1</v>
      </c>
      <c r="D7047" s="55" t="str">
        <f t="shared" si="1272"/>
        <v>:Judge of the Circuit Court*5(vote 1)</v>
      </c>
      <c r="E7047" t="s">
        <v>7890</v>
      </c>
      <c r="F7047" t="s">
        <v>7714</v>
      </c>
      <c r="G7047" s="254">
        <v>81970</v>
      </c>
      <c r="H7047"/>
      <c r="J7047" s="7"/>
      <c r="K7047" s="2"/>
      <c r="O7047">
        <f t="shared" si="1273"/>
        <v>1</v>
      </c>
      <c r="P7047" s="57">
        <f t="shared" si="1274"/>
        <v>1</v>
      </c>
      <c r="Q7047" s="267">
        <f t="shared" si="1275"/>
        <v>154581</v>
      </c>
      <c r="R7047" s="23">
        <f t="shared" si="1276"/>
        <v>81970</v>
      </c>
      <c r="S7047" s="23">
        <f t="shared" si="1277"/>
        <v>72055</v>
      </c>
      <c r="T7047" s="23">
        <f t="shared" si="1278"/>
        <v>9915</v>
      </c>
      <c r="U7047" t="str">
        <f t="shared" si="1279"/>
        <v>MD_2020g~Cnty14:Judge of the Circuit Court*5(vote 1)</v>
      </c>
      <c r="V7047" s="376"/>
      <c r="W7047" s="53"/>
      <c r="X7047" s="53"/>
      <c r="Y7047"/>
      <c r="Z7047"/>
      <c r="AA7047" s="23"/>
      <c r="AB7047"/>
      <c r="AC7047" s="272"/>
      <c r="AD7047" s="272"/>
      <c r="AE7047" s="273"/>
      <c r="AM7047" s="29"/>
      <c r="AN7047"/>
      <c r="AO7047"/>
      <c r="AP7047"/>
      <c r="AQ7047" s="29"/>
      <c r="AR7047" s="29"/>
      <c r="AS7047" s="29"/>
      <c r="AT7047"/>
      <c r="AV7047"/>
      <c r="AW7047"/>
    </row>
    <row r="7048" spans="1:49">
      <c r="A7048" s="23" t="s">
        <v>8037</v>
      </c>
      <c r="B7048" t="s">
        <v>7712</v>
      </c>
      <c r="C7048">
        <v>1</v>
      </c>
      <c r="D7048" s="55" t="str">
        <f t="shared" si="1272"/>
        <v>:Judge of the Circuit Court*5(vote 1)</v>
      </c>
      <c r="E7048" t="s">
        <v>7891</v>
      </c>
      <c r="F7048" t="s">
        <v>7714</v>
      </c>
      <c r="G7048" s="254">
        <v>72055</v>
      </c>
      <c r="H7048"/>
      <c r="J7048" s="7"/>
      <c r="K7048" s="2"/>
      <c r="O7048">
        <f t="shared" si="1273"/>
        <v>2</v>
      </c>
      <c r="P7048" s="57">
        <f t="shared" si="1274"/>
        <v>1</v>
      </c>
      <c r="Q7048" s="267">
        <f t="shared" si="1275"/>
        <v>72611</v>
      </c>
      <c r="R7048" s="23" t="str">
        <f t="shared" si="1276"/>
        <v/>
      </c>
      <c r="S7048" s="23">
        <f t="shared" si="1277"/>
        <v>72055</v>
      </c>
      <c r="T7048" s="23" t="str">
        <f t="shared" si="1278"/>
        <v/>
      </c>
      <c r="U7048" t="str">
        <f t="shared" si="1279"/>
        <v/>
      </c>
      <c r="V7048" s="376"/>
      <c r="W7048" s="53"/>
      <c r="X7048" s="53"/>
      <c r="Y7048"/>
      <c r="Z7048"/>
      <c r="AA7048" s="23"/>
      <c r="AB7048"/>
      <c r="AC7048" s="272"/>
      <c r="AD7048" s="272"/>
      <c r="AE7048" s="273"/>
      <c r="AM7048" s="29"/>
      <c r="AN7048"/>
      <c r="AO7048"/>
      <c r="AP7048"/>
      <c r="AQ7048" s="29"/>
      <c r="AR7048" s="29"/>
      <c r="AS7048" s="29"/>
      <c r="AT7048"/>
      <c r="AV7048"/>
      <c r="AW7048"/>
    </row>
    <row r="7049" spans="1:49">
      <c r="A7049" s="23" t="s">
        <v>8037</v>
      </c>
      <c r="B7049" t="s">
        <v>7712</v>
      </c>
      <c r="C7049">
        <v>1</v>
      </c>
      <c r="D7049" s="55" t="str">
        <f t="shared" si="1272"/>
        <v>:Judge of the Circuit Court*5(vote 1)</v>
      </c>
      <c r="E7049" t="s">
        <v>7722</v>
      </c>
      <c r="F7049" t="s">
        <v>7714</v>
      </c>
      <c r="G7049" s="254">
        <v>556</v>
      </c>
      <c r="H7049"/>
      <c r="J7049" s="7"/>
      <c r="K7049" s="2"/>
      <c r="O7049">
        <f t="shared" si="1273"/>
        <v>3</v>
      </c>
      <c r="P7049" s="57">
        <f t="shared" si="1274"/>
        <v>1</v>
      </c>
      <c r="Q7049" s="267">
        <f t="shared" si="1275"/>
        <v>556</v>
      </c>
      <c r="R7049" s="23" t="str">
        <f t="shared" si="1276"/>
        <v/>
      </c>
      <c r="S7049" s="23">
        <f t="shared" si="1277"/>
        <v>556</v>
      </c>
      <c r="T7049" s="23" t="str">
        <f t="shared" si="1278"/>
        <v/>
      </c>
      <c r="U7049" t="str">
        <f t="shared" si="1279"/>
        <v/>
      </c>
      <c r="V7049" s="376"/>
      <c r="W7049" s="53"/>
      <c r="X7049" s="53"/>
      <c r="Y7049"/>
      <c r="Z7049"/>
      <c r="AA7049" s="23"/>
      <c r="AB7049"/>
      <c r="AC7049" s="272"/>
      <c r="AD7049" s="272"/>
      <c r="AE7049" s="273"/>
      <c r="AM7049" s="29"/>
      <c r="AN7049"/>
      <c r="AO7049"/>
      <c r="AP7049"/>
      <c r="AQ7049" s="29"/>
      <c r="AR7049" s="29"/>
      <c r="AS7049" s="29"/>
      <c r="AT7049"/>
      <c r="AV7049"/>
      <c r="AW7049"/>
    </row>
    <row r="7050" spans="1:49">
      <c r="A7050" s="23" t="s">
        <v>8038</v>
      </c>
      <c r="B7050" t="s">
        <v>7712</v>
      </c>
      <c r="C7050">
        <v>1</v>
      </c>
      <c r="D7050" s="55" t="str">
        <f t="shared" ref="D7050:D7113" si="1280">MID(A7050,16,99)</f>
        <v>:Board of Education*(vote 2)</v>
      </c>
      <c r="E7050" t="s">
        <v>7892</v>
      </c>
      <c r="F7050" t="s">
        <v>1300</v>
      </c>
      <c r="G7050" s="254">
        <v>7125</v>
      </c>
      <c r="H7050"/>
      <c r="J7050" s="7"/>
      <c r="K7050" s="2"/>
      <c r="O7050">
        <f t="shared" ref="O7050:O7113" si="1281">IF(OR(LOWER(LEFT(E7050,8))="write-in",LOWER(LEFT(E7050,8))="not qual"),IF(A7050=A7049,-ABS(O7049),0),IF(A7050=A7049,ABS(O7049)+1,1))</f>
        <v>1</v>
      </c>
      <c r="P7050" s="57">
        <f t="shared" ref="P7050:P7113" si="1282">1*LEFT(RIGHT(A7050,2),1)</f>
        <v>2</v>
      </c>
      <c r="Q7050" s="267">
        <f t="shared" ref="Q7050:Q7113" si="1283">IF(A7050&lt;&gt;A7051,G7050,IF(A7050=A7049,G7050+Q7051,MAX(G7050,(G7050+Q7051)/P7050)))</f>
        <v>7125</v>
      </c>
      <c r="R7050" s="23">
        <f t="shared" ref="R7050:R7113" si="1284">IF(O7050&gt;P7050,"",IF(O7050=P7050,G7050,IF(A7050=A7051,R7051,IF(O7050&lt;=0,1,G7050))))</f>
        <v>6238</v>
      </c>
      <c r="S7050" s="23">
        <f t="shared" ref="S7050:S7113" si="1285">IF(AND(O7050&gt;P7050,LOWER(LEFT(E7050,8))&lt;&gt;"write-in",LOWER(LEFT(E7050,8))&lt;&gt;"not qual"),G7050,IF(A7050=A7051,S7051,0))</f>
        <v>171</v>
      </c>
      <c r="T7050" s="23">
        <f t="shared" ref="T7050:T7113" si="1286">IF(OR(A7050=A7049,S7050=0),"",R7050-ABS(S7050))</f>
        <v>6067</v>
      </c>
      <c r="U7050" t="str">
        <f t="shared" ref="U7050:U7113" si="1287">IF(A7050=A7049,"",A7050)</f>
        <v>MD_2020g~Cnty15:Board of Education*(vote 2)</v>
      </c>
      <c r="V7050" s="376"/>
      <c r="W7050" s="53"/>
      <c r="X7050" s="53"/>
      <c r="Y7050"/>
      <c r="Z7050"/>
      <c r="AA7050" s="23"/>
      <c r="AB7050"/>
      <c r="AC7050" s="272"/>
      <c r="AD7050" s="272"/>
      <c r="AE7050" s="273"/>
      <c r="AM7050" s="29"/>
      <c r="AN7050"/>
      <c r="AO7050"/>
      <c r="AP7050"/>
      <c r="AQ7050" s="29"/>
      <c r="AR7050" s="29"/>
      <c r="AS7050" s="29"/>
      <c r="AT7050"/>
      <c r="AV7050"/>
      <c r="AW7050"/>
    </row>
    <row r="7051" spans="1:49">
      <c r="A7051" s="23" t="s">
        <v>8038</v>
      </c>
      <c r="B7051" t="s">
        <v>7712</v>
      </c>
      <c r="C7051">
        <v>1</v>
      </c>
      <c r="D7051" s="55" t="str">
        <f t="shared" si="1280"/>
        <v>:Board of Education*(vote 2)</v>
      </c>
      <c r="E7051" t="s">
        <v>7893</v>
      </c>
      <c r="F7051" t="s">
        <v>1300</v>
      </c>
      <c r="G7051" s="254">
        <v>6238</v>
      </c>
      <c r="H7051"/>
      <c r="J7051" s="7"/>
      <c r="K7051" s="2"/>
      <c r="O7051">
        <f t="shared" si="1281"/>
        <v>2</v>
      </c>
      <c r="P7051" s="57">
        <f t="shared" si="1282"/>
        <v>2</v>
      </c>
      <c r="Q7051" s="267">
        <f t="shared" si="1283"/>
        <v>6409</v>
      </c>
      <c r="R7051" s="23">
        <f t="shared" si="1284"/>
        <v>6238</v>
      </c>
      <c r="S7051" s="23">
        <f t="shared" si="1285"/>
        <v>171</v>
      </c>
      <c r="T7051" s="23" t="str">
        <f t="shared" si="1286"/>
        <v/>
      </c>
      <c r="U7051" t="str">
        <f t="shared" si="1287"/>
        <v/>
      </c>
      <c r="V7051" s="376"/>
      <c r="W7051" s="53"/>
      <c r="X7051" s="53"/>
      <c r="Y7051"/>
      <c r="Z7051"/>
      <c r="AA7051" s="23"/>
      <c r="AB7051"/>
      <c r="AC7051" s="272"/>
      <c r="AD7051" s="272"/>
      <c r="AE7051" s="273"/>
      <c r="AM7051" s="29"/>
      <c r="AN7051"/>
      <c r="AO7051"/>
      <c r="AP7051"/>
      <c r="AQ7051" s="29"/>
      <c r="AR7051" s="29"/>
      <c r="AS7051" s="29"/>
      <c r="AT7051"/>
      <c r="AV7051"/>
      <c r="AW7051"/>
    </row>
    <row r="7052" spans="1:49">
      <c r="A7052" s="23" t="s">
        <v>8038</v>
      </c>
      <c r="B7052" t="s">
        <v>7712</v>
      </c>
      <c r="C7052">
        <v>1</v>
      </c>
      <c r="D7052" s="55" t="str">
        <f t="shared" si="1280"/>
        <v>:Board of Education*(vote 2)</v>
      </c>
      <c r="E7052" t="s">
        <v>7722</v>
      </c>
      <c r="F7052" t="s">
        <v>1300</v>
      </c>
      <c r="G7052" s="254">
        <v>171</v>
      </c>
      <c r="H7052"/>
      <c r="J7052" s="7"/>
      <c r="K7052" s="2"/>
      <c r="O7052">
        <f t="shared" si="1281"/>
        <v>3</v>
      </c>
      <c r="P7052" s="57">
        <f t="shared" si="1282"/>
        <v>2</v>
      </c>
      <c r="Q7052" s="267">
        <f t="shared" si="1283"/>
        <v>171</v>
      </c>
      <c r="R7052" s="23" t="str">
        <f t="shared" si="1284"/>
        <v/>
      </c>
      <c r="S7052" s="23">
        <f t="shared" si="1285"/>
        <v>171</v>
      </c>
      <c r="T7052" s="23" t="str">
        <f t="shared" si="1286"/>
        <v/>
      </c>
      <c r="U7052" t="str">
        <f t="shared" si="1287"/>
        <v/>
      </c>
      <c r="V7052" s="376"/>
      <c r="W7052" s="53"/>
      <c r="X7052" s="53"/>
      <c r="Y7052"/>
      <c r="Z7052"/>
      <c r="AA7052" s="23"/>
      <c r="AB7052"/>
      <c r="AC7052" s="272"/>
      <c r="AD7052" s="272"/>
      <c r="AE7052" s="273"/>
      <c r="AM7052" s="29"/>
      <c r="AN7052"/>
      <c r="AO7052"/>
      <c r="AP7052"/>
      <c r="AQ7052" s="29"/>
      <c r="AR7052" s="29"/>
      <c r="AS7052" s="29"/>
      <c r="AT7052"/>
      <c r="AV7052"/>
      <c r="AW7052"/>
    </row>
    <row r="7053" spans="1:49">
      <c r="A7053" s="23" t="s">
        <v>8041</v>
      </c>
      <c r="B7053" t="s">
        <v>7712</v>
      </c>
      <c r="C7053">
        <v>1</v>
      </c>
      <c r="D7053" s="55" t="str">
        <f t="shared" si="1280"/>
        <v>:Board of Education At Large*(vote 1)</v>
      </c>
      <c r="E7053" t="s">
        <v>7898</v>
      </c>
      <c r="F7053" t="s">
        <v>1300</v>
      </c>
      <c r="G7053" s="254">
        <v>221533</v>
      </c>
      <c r="H7053"/>
      <c r="J7053" s="7"/>
      <c r="K7053" s="2"/>
      <c r="O7053">
        <f t="shared" si="1281"/>
        <v>1</v>
      </c>
      <c r="P7053" s="57">
        <f t="shared" si="1282"/>
        <v>1</v>
      </c>
      <c r="Q7053" s="267">
        <f t="shared" si="1283"/>
        <v>429676</v>
      </c>
      <c r="R7053" s="23">
        <f t="shared" si="1284"/>
        <v>221533</v>
      </c>
      <c r="S7053" s="23">
        <f t="shared" si="1285"/>
        <v>203639</v>
      </c>
      <c r="T7053" s="23">
        <f t="shared" si="1286"/>
        <v>17894</v>
      </c>
      <c r="U7053" t="str">
        <f t="shared" si="1287"/>
        <v>MD_2020g~Cnty16:Board of Education At Large*(vote 1)</v>
      </c>
      <c r="V7053" s="376"/>
      <c r="W7053" s="53"/>
      <c r="X7053" s="53"/>
      <c r="Y7053"/>
      <c r="Z7053"/>
      <c r="AA7053" s="23"/>
      <c r="AB7053"/>
      <c r="AC7053" s="272"/>
      <c r="AD7053" s="272"/>
      <c r="AE7053" s="273"/>
      <c r="AM7053" s="29"/>
      <c r="AN7053"/>
      <c r="AO7053"/>
      <c r="AP7053"/>
      <c r="AQ7053" s="29"/>
      <c r="AR7053" s="29"/>
      <c r="AS7053" s="29"/>
      <c r="AT7053"/>
      <c r="AV7053"/>
      <c r="AW7053"/>
    </row>
    <row r="7054" spans="1:49">
      <c r="A7054" s="23" t="s">
        <v>8041</v>
      </c>
      <c r="B7054" t="s">
        <v>7712</v>
      </c>
      <c r="C7054">
        <v>1</v>
      </c>
      <c r="D7054" s="55" t="str">
        <f t="shared" si="1280"/>
        <v>:Board of Education At Large*(vote 1)</v>
      </c>
      <c r="E7054" t="s">
        <v>7899</v>
      </c>
      <c r="F7054" t="s">
        <v>1300</v>
      </c>
      <c r="G7054" s="254">
        <v>203639</v>
      </c>
      <c r="H7054"/>
      <c r="J7054" s="7"/>
      <c r="K7054" s="2"/>
      <c r="O7054">
        <f t="shared" si="1281"/>
        <v>2</v>
      </c>
      <c r="P7054" s="57">
        <f t="shared" si="1282"/>
        <v>1</v>
      </c>
      <c r="Q7054" s="267">
        <f t="shared" si="1283"/>
        <v>208143</v>
      </c>
      <c r="R7054" s="23" t="str">
        <f t="shared" si="1284"/>
        <v/>
      </c>
      <c r="S7054" s="23">
        <f t="shared" si="1285"/>
        <v>203639</v>
      </c>
      <c r="T7054" s="23" t="str">
        <f t="shared" si="1286"/>
        <v/>
      </c>
      <c r="U7054" t="str">
        <f t="shared" si="1287"/>
        <v/>
      </c>
      <c r="V7054" s="376"/>
      <c r="W7054" s="53"/>
      <c r="X7054" s="53"/>
      <c r="Y7054"/>
      <c r="Z7054"/>
      <c r="AA7054" s="23"/>
      <c r="AB7054"/>
      <c r="AC7054" s="272"/>
      <c r="AD7054" s="272"/>
      <c r="AE7054" s="273"/>
      <c r="AM7054" s="29"/>
      <c r="AN7054"/>
      <c r="AO7054"/>
      <c r="AP7054"/>
      <c r="AQ7054" s="29"/>
      <c r="AR7054" s="29"/>
      <c r="AS7054" s="29"/>
      <c r="AT7054"/>
      <c r="AV7054"/>
      <c r="AW7054"/>
    </row>
    <row r="7055" spans="1:49">
      <c r="A7055" s="23" t="s">
        <v>8041</v>
      </c>
      <c r="B7055" t="s">
        <v>7712</v>
      </c>
      <c r="C7055">
        <v>1</v>
      </c>
      <c r="D7055" s="55" t="str">
        <f t="shared" si="1280"/>
        <v>:Board of Education At Large*(vote 1)</v>
      </c>
      <c r="E7055" t="s">
        <v>7722</v>
      </c>
      <c r="F7055" t="s">
        <v>1300</v>
      </c>
      <c r="G7055" s="254">
        <v>4504</v>
      </c>
      <c r="H7055"/>
      <c r="J7055" s="7"/>
      <c r="K7055" s="2"/>
      <c r="O7055">
        <f t="shared" si="1281"/>
        <v>3</v>
      </c>
      <c r="P7055" s="57">
        <f t="shared" si="1282"/>
        <v>1</v>
      </c>
      <c r="Q7055" s="267">
        <f t="shared" si="1283"/>
        <v>4504</v>
      </c>
      <c r="R7055" s="23" t="str">
        <f t="shared" si="1284"/>
        <v/>
      </c>
      <c r="S7055" s="23">
        <f t="shared" si="1285"/>
        <v>4504</v>
      </c>
      <c r="T7055" s="23" t="str">
        <f t="shared" si="1286"/>
        <v/>
      </c>
      <c r="U7055" t="str">
        <f t="shared" si="1287"/>
        <v/>
      </c>
      <c r="V7055" s="376"/>
      <c r="W7055" s="53"/>
      <c r="X7055" s="53"/>
      <c r="Y7055"/>
      <c r="Z7055"/>
      <c r="AA7055" s="23"/>
      <c r="AB7055"/>
      <c r="AC7055" s="272"/>
      <c r="AD7055" s="272"/>
      <c r="AE7055" s="273"/>
      <c r="AM7055" s="29"/>
      <c r="AN7055"/>
      <c r="AO7055"/>
      <c r="AP7055"/>
      <c r="AQ7055" s="29"/>
      <c r="AR7055" s="29"/>
      <c r="AS7055" s="29"/>
      <c r="AT7055"/>
      <c r="AV7055"/>
      <c r="AW7055"/>
    </row>
    <row r="7056" spans="1:49">
      <c r="A7056" s="23" t="s">
        <v>8039</v>
      </c>
      <c r="B7056" t="s">
        <v>7712</v>
      </c>
      <c r="C7056">
        <v>1</v>
      </c>
      <c r="D7056" s="55" t="str">
        <f t="shared" si="1280"/>
        <v>:Board of Education*2(vote 1)</v>
      </c>
      <c r="E7056" t="s">
        <v>7894</v>
      </c>
      <c r="F7056" t="s">
        <v>1300</v>
      </c>
      <c r="G7056" s="254">
        <v>240474</v>
      </c>
      <c r="H7056"/>
      <c r="J7056" s="7"/>
      <c r="K7056" s="2"/>
      <c r="O7056">
        <f t="shared" si="1281"/>
        <v>1</v>
      </c>
      <c r="P7056" s="57">
        <f t="shared" si="1282"/>
        <v>1</v>
      </c>
      <c r="Q7056" s="267">
        <f t="shared" si="1283"/>
        <v>406362</v>
      </c>
      <c r="R7056" s="23">
        <f t="shared" si="1284"/>
        <v>240474</v>
      </c>
      <c r="S7056" s="23">
        <f t="shared" si="1285"/>
        <v>162846</v>
      </c>
      <c r="T7056" s="23">
        <f t="shared" si="1286"/>
        <v>77628</v>
      </c>
      <c r="U7056" t="str">
        <f t="shared" si="1287"/>
        <v>MD_2020g~Cnty16:Board of Education*2(vote 1)</v>
      </c>
      <c r="V7056" s="376"/>
      <c r="W7056" s="53"/>
      <c r="X7056" s="53"/>
      <c r="Y7056"/>
      <c r="Z7056"/>
      <c r="AA7056" s="23"/>
      <c r="AB7056"/>
      <c r="AC7056" s="272"/>
      <c r="AD7056" s="272"/>
      <c r="AE7056" s="273"/>
      <c r="AM7056" s="29"/>
      <c r="AN7056"/>
      <c r="AO7056"/>
      <c r="AP7056"/>
      <c r="AQ7056" s="29"/>
      <c r="AR7056" s="29"/>
      <c r="AS7056" s="29"/>
      <c r="AT7056"/>
      <c r="AV7056"/>
      <c r="AW7056"/>
    </row>
    <row r="7057" spans="1:49">
      <c r="A7057" s="23" t="s">
        <v>8039</v>
      </c>
      <c r="B7057" t="s">
        <v>7712</v>
      </c>
      <c r="C7057">
        <v>1</v>
      </c>
      <c r="D7057" s="55" t="str">
        <f t="shared" si="1280"/>
        <v>:Board of Education*2(vote 1)</v>
      </c>
      <c r="E7057" t="s">
        <v>7895</v>
      </c>
      <c r="F7057" t="s">
        <v>1300</v>
      </c>
      <c r="G7057" s="254">
        <v>162846</v>
      </c>
      <c r="H7057"/>
      <c r="J7057" s="7"/>
      <c r="K7057" s="2"/>
      <c r="O7057">
        <f t="shared" si="1281"/>
        <v>2</v>
      </c>
      <c r="P7057" s="57">
        <f t="shared" si="1282"/>
        <v>1</v>
      </c>
      <c r="Q7057" s="267">
        <f t="shared" si="1283"/>
        <v>165888</v>
      </c>
      <c r="R7057" s="23" t="str">
        <f t="shared" si="1284"/>
        <v/>
      </c>
      <c r="S7057" s="23">
        <f t="shared" si="1285"/>
        <v>162846</v>
      </c>
      <c r="T7057" s="23" t="str">
        <f t="shared" si="1286"/>
        <v/>
      </c>
      <c r="U7057" t="str">
        <f t="shared" si="1287"/>
        <v/>
      </c>
      <c r="V7057" s="376"/>
      <c r="W7057" s="53"/>
      <c r="X7057" s="53"/>
      <c r="Y7057"/>
      <c r="Z7057"/>
      <c r="AA7057" s="23"/>
      <c r="AB7057"/>
      <c r="AC7057" s="272"/>
      <c r="AD7057" s="272"/>
      <c r="AE7057" s="273"/>
      <c r="AM7057" s="29"/>
      <c r="AN7057"/>
      <c r="AO7057"/>
      <c r="AP7057"/>
      <c r="AQ7057" s="29"/>
      <c r="AR7057" s="29"/>
      <c r="AS7057" s="29"/>
      <c r="AT7057"/>
      <c r="AV7057"/>
      <c r="AW7057"/>
    </row>
    <row r="7058" spans="1:49">
      <c r="A7058" s="23" t="s">
        <v>8039</v>
      </c>
      <c r="B7058" t="s">
        <v>7712</v>
      </c>
      <c r="C7058">
        <v>1</v>
      </c>
      <c r="D7058" s="55" t="str">
        <f t="shared" si="1280"/>
        <v>:Board of Education*2(vote 1)</v>
      </c>
      <c r="E7058" t="s">
        <v>7722</v>
      </c>
      <c r="F7058" t="s">
        <v>1300</v>
      </c>
      <c r="G7058" s="254">
        <v>3042</v>
      </c>
      <c r="H7058"/>
      <c r="J7058" s="7"/>
      <c r="K7058" s="2"/>
      <c r="O7058">
        <f t="shared" si="1281"/>
        <v>3</v>
      </c>
      <c r="P7058" s="57">
        <f t="shared" si="1282"/>
        <v>1</v>
      </c>
      <c r="Q7058" s="267">
        <f t="shared" si="1283"/>
        <v>3042</v>
      </c>
      <c r="R7058" s="23" t="str">
        <f t="shared" si="1284"/>
        <v/>
      </c>
      <c r="S7058" s="23">
        <f t="shared" si="1285"/>
        <v>3042</v>
      </c>
      <c r="T7058" s="23" t="str">
        <f t="shared" si="1286"/>
        <v/>
      </c>
      <c r="U7058" t="str">
        <f t="shared" si="1287"/>
        <v/>
      </c>
      <c r="V7058" s="376"/>
      <c r="W7058" s="53"/>
      <c r="X7058" s="53"/>
      <c r="Y7058"/>
      <c r="Z7058"/>
      <c r="AA7058" s="23"/>
      <c r="AB7058"/>
      <c r="AC7058" s="272"/>
      <c r="AD7058" s="272"/>
      <c r="AE7058" s="273"/>
      <c r="AM7058" s="29"/>
      <c r="AN7058"/>
      <c r="AO7058"/>
      <c r="AP7058"/>
      <c r="AQ7058" s="29"/>
      <c r="AR7058" s="29"/>
      <c r="AS7058" s="29"/>
      <c r="AT7058"/>
      <c r="AV7058"/>
      <c r="AW7058"/>
    </row>
    <row r="7059" spans="1:49">
      <c r="A7059" s="23" t="s">
        <v>8040</v>
      </c>
      <c r="B7059" t="s">
        <v>7712</v>
      </c>
      <c r="C7059">
        <v>1</v>
      </c>
      <c r="D7059" s="55" t="str">
        <f t="shared" si="1280"/>
        <v>:Board of Education*4(vote 1)</v>
      </c>
      <c r="E7059" t="s">
        <v>7896</v>
      </c>
      <c r="F7059" t="s">
        <v>1300</v>
      </c>
      <c r="G7059" s="254">
        <v>273241</v>
      </c>
      <c r="H7059"/>
      <c r="J7059" s="7"/>
      <c r="K7059" s="2"/>
      <c r="O7059">
        <f t="shared" si="1281"/>
        <v>1</v>
      </c>
      <c r="P7059" s="57">
        <f t="shared" si="1282"/>
        <v>1</v>
      </c>
      <c r="Q7059" s="267">
        <f t="shared" si="1283"/>
        <v>410399</v>
      </c>
      <c r="R7059" s="23">
        <f t="shared" si="1284"/>
        <v>273241</v>
      </c>
      <c r="S7059" s="23">
        <f t="shared" si="1285"/>
        <v>134748</v>
      </c>
      <c r="T7059" s="23">
        <f t="shared" si="1286"/>
        <v>138493</v>
      </c>
      <c r="U7059" t="str">
        <f t="shared" si="1287"/>
        <v>MD_2020g~Cnty16:Board of Education*4(vote 1)</v>
      </c>
      <c r="V7059" s="376"/>
      <c r="W7059" s="53"/>
      <c r="X7059" s="53"/>
      <c r="Y7059"/>
      <c r="Z7059"/>
      <c r="AA7059" s="23"/>
      <c r="AB7059"/>
      <c r="AC7059" s="272"/>
      <c r="AD7059" s="272"/>
      <c r="AE7059" s="273"/>
      <c r="AM7059" s="29"/>
      <c r="AN7059"/>
      <c r="AO7059"/>
      <c r="AP7059"/>
      <c r="AQ7059" s="29"/>
      <c r="AR7059" s="29"/>
      <c r="AS7059" s="29"/>
      <c r="AT7059"/>
      <c r="AV7059"/>
      <c r="AW7059"/>
    </row>
    <row r="7060" spans="1:49">
      <c r="A7060" s="23" t="s">
        <v>8040</v>
      </c>
      <c r="B7060" t="s">
        <v>7712</v>
      </c>
      <c r="C7060">
        <v>1</v>
      </c>
      <c r="D7060" s="55" t="str">
        <f t="shared" si="1280"/>
        <v>:Board of Education*4(vote 1)</v>
      </c>
      <c r="E7060" t="s">
        <v>7897</v>
      </c>
      <c r="F7060" t="s">
        <v>1300</v>
      </c>
      <c r="G7060" s="254">
        <v>134748</v>
      </c>
      <c r="H7060"/>
      <c r="J7060" s="7"/>
      <c r="K7060" s="2"/>
      <c r="O7060">
        <f t="shared" si="1281"/>
        <v>2</v>
      </c>
      <c r="P7060" s="57">
        <f t="shared" si="1282"/>
        <v>1</v>
      </c>
      <c r="Q7060" s="267">
        <f t="shared" si="1283"/>
        <v>137158</v>
      </c>
      <c r="R7060" s="23" t="str">
        <f t="shared" si="1284"/>
        <v/>
      </c>
      <c r="S7060" s="23">
        <f t="shared" si="1285"/>
        <v>134748</v>
      </c>
      <c r="T7060" s="23" t="str">
        <f t="shared" si="1286"/>
        <v/>
      </c>
      <c r="U7060" t="str">
        <f t="shared" si="1287"/>
        <v/>
      </c>
      <c r="V7060" s="376"/>
      <c r="W7060" s="53"/>
      <c r="X7060" s="53"/>
      <c r="Y7060"/>
      <c r="Z7060"/>
      <c r="AA7060" s="23"/>
      <c r="AB7060"/>
      <c r="AC7060" s="272"/>
      <c r="AD7060" s="272"/>
      <c r="AE7060" s="273"/>
      <c r="AM7060" s="29"/>
      <c r="AN7060"/>
      <c r="AO7060"/>
      <c r="AP7060"/>
      <c r="AQ7060" s="29"/>
      <c r="AR7060" s="29"/>
      <c r="AS7060" s="29"/>
      <c r="AT7060"/>
      <c r="AV7060"/>
      <c r="AW7060"/>
    </row>
    <row r="7061" spans="1:49">
      <c r="A7061" s="23" t="s">
        <v>8040</v>
      </c>
      <c r="B7061" t="s">
        <v>7712</v>
      </c>
      <c r="C7061">
        <v>1</v>
      </c>
      <c r="D7061" s="55" t="str">
        <f t="shared" si="1280"/>
        <v>:Board of Education*4(vote 1)</v>
      </c>
      <c r="E7061" t="s">
        <v>7722</v>
      </c>
      <c r="F7061" t="s">
        <v>1300</v>
      </c>
      <c r="G7061" s="254">
        <v>2410</v>
      </c>
      <c r="H7061"/>
      <c r="J7061" s="7"/>
      <c r="K7061" s="2"/>
      <c r="O7061">
        <f t="shared" si="1281"/>
        <v>3</v>
      </c>
      <c r="P7061" s="57">
        <f t="shared" si="1282"/>
        <v>1</v>
      </c>
      <c r="Q7061" s="267">
        <f t="shared" si="1283"/>
        <v>2410</v>
      </c>
      <c r="R7061" s="23" t="str">
        <f t="shared" si="1284"/>
        <v/>
      </c>
      <c r="S7061" s="23">
        <f t="shared" si="1285"/>
        <v>2410</v>
      </c>
      <c r="T7061" s="23" t="str">
        <f t="shared" si="1286"/>
        <v/>
      </c>
      <c r="U7061" t="str">
        <f t="shared" si="1287"/>
        <v/>
      </c>
      <c r="V7061" s="376"/>
      <c r="W7061" s="53"/>
      <c r="X7061" s="53"/>
      <c r="Y7061"/>
      <c r="Z7061"/>
      <c r="AA7061" s="23"/>
      <c r="AB7061"/>
      <c r="AC7061" s="272"/>
      <c r="AD7061" s="272"/>
      <c r="AE7061" s="273"/>
      <c r="AM7061" s="29"/>
      <c r="AN7061"/>
      <c r="AO7061"/>
      <c r="AP7061"/>
      <c r="AQ7061" s="29"/>
      <c r="AR7061" s="29"/>
      <c r="AS7061" s="29"/>
      <c r="AT7061"/>
      <c r="AV7061"/>
      <c r="AW7061"/>
    </row>
    <row r="7062" spans="1:49">
      <c r="A7062" s="23" t="s">
        <v>8042</v>
      </c>
      <c r="B7062" t="s">
        <v>7712</v>
      </c>
      <c r="C7062">
        <v>1</v>
      </c>
      <c r="D7062" s="55" t="str">
        <f t="shared" si="1280"/>
        <v>:Judge of the Circuit Court*6(vote 4)</v>
      </c>
      <c r="E7062" t="s">
        <v>7900</v>
      </c>
      <c r="F7062" t="s">
        <v>7714</v>
      </c>
      <c r="G7062" s="254">
        <v>339100</v>
      </c>
      <c r="H7062"/>
      <c r="J7062" s="7"/>
      <c r="K7062" s="2"/>
      <c r="O7062">
        <f t="shared" si="1281"/>
        <v>1</v>
      </c>
      <c r="P7062" s="57">
        <f t="shared" si="1282"/>
        <v>4</v>
      </c>
      <c r="Q7062" s="267">
        <f t="shared" si="1283"/>
        <v>365048.25</v>
      </c>
      <c r="R7062" s="23">
        <f t="shared" si="1284"/>
        <v>291224</v>
      </c>
      <c r="S7062" s="23">
        <f t="shared" si="1285"/>
        <v>215099</v>
      </c>
      <c r="T7062" s="23">
        <f t="shared" si="1286"/>
        <v>76125</v>
      </c>
      <c r="U7062" t="str">
        <f t="shared" si="1287"/>
        <v>MD_2020g~Cnty16:Judge of the Circuit Court*6(vote 4)</v>
      </c>
      <c r="V7062" s="376"/>
      <c r="W7062" s="53"/>
      <c r="X7062" s="53"/>
      <c r="Y7062"/>
      <c r="Z7062"/>
      <c r="AA7062" s="23"/>
      <c r="AB7062"/>
      <c r="AC7062" s="272"/>
      <c r="AD7062" s="272"/>
      <c r="AE7062" s="273"/>
      <c r="AM7062" s="29"/>
      <c r="AN7062"/>
      <c r="AO7062"/>
      <c r="AP7062"/>
      <c r="AQ7062" s="29"/>
      <c r="AR7062" s="29"/>
      <c r="AS7062" s="29"/>
      <c r="AT7062"/>
      <c r="AV7062"/>
      <c r="AW7062"/>
    </row>
    <row r="7063" spans="1:49">
      <c r="A7063" s="23" t="s">
        <v>8042</v>
      </c>
      <c r="B7063" t="s">
        <v>7712</v>
      </c>
      <c r="C7063">
        <v>1</v>
      </c>
      <c r="D7063" s="55" t="str">
        <f t="shared" si="1280"/>
        <v>:Judge of the Circuit Court*6(vote 4)</v>
      </c>
      <c r="E7063" t="s">
        <v>7901</v>
      </c>
      <c r="F7063" t="s">
        <v>7714</v>
      </c>
      <c r="G7063" s="254">
        <v>304893</v>
      </c>
      <c r="H7063"/>
      <c r="J7063" s="7"/>
      <c r="K7063" s="2"/>
      <c r="O7063">
        <f t="shared" si="1281"/>
        <v>2</v>
      </c>
      <c r="P7063" s="57">
        <f t="shared" si="1282"/>
        <v>4</v>
      </c>
      <c r="Q7063" s="267">
        <f t="shared" si="1283"/>
        <v>1121093</v>
      </c>
      <c r="R7063" s="23">
        <f t="shared" si="1284"/>
        <v>291224</v>
      </c>
      <c r="S7063" s="23">
        <f t="shared" si="1285"/>
        <v>215099</v>
      </c>
      <c r="T7063" s="23" t="str">
        <f t="shared" si="1286"/>
        <v/>
      </c>
      <c r="U7063" t="str">
        <f t="shared" si="1287"/>
        <v/>
      </c>
      <c r="V7063" s="376"/>
      <c r="W7063" s="53"/>
      <c r="X7063" s="53"/>
      <c r="Y7063"/>
      <c r="Z7063"/>
      <c r="AA7063" s="23"/>
      <c r="AB7063"/>
      <c r="AC7063" s="272"/>
      <c r="AD7063" s="272"/>
      <c r="AE7063" s="273"/>
      <c r="AM7063" s="29"/>
      <c r="AN7063"/>
      <c r="AO7063"/>
      <c r="AP7063"/>
      <c r="AQ7063" s="29"/>
      <c r="AR7063" s="29"/>
      <c r="AS7063" s="29"/>
      <c r="AT7063"/>
      <c r="AV7063"/>
      <c r="AW7063"/>
    </row>
    <row r="7064" spans="1:49">
      <c r="A7064" s="23" t="s">
        <v>8042</v>
      </c>
      <c r="B7064" t="s">
        <v>7712</v>
      </c>
      <c r="C7064">
        <v>1</v>
      </c>
      <c r="D7064" s="55" t="str">
        <f t="shared" si="1280"/>
        <v>:Judge of the Circuit Court*6(vote 4)</v>
      </c>
      <c r="E7064" t="s">
        <v>7902</v>
      </c>
      <c r="F7064" t="s">
        <v>7714</v>
      </c>
      <c r="G7064" s="254">
        <v>300773</v>
      </c>
      <c r="H7064"/>
      <c r="J7064" s="7"/>
      <c r="K7064" s="2"/>
      <c r="O7064">
        <f t="shared" si="1281"/>
        <v>3</v>
      </c>
      <c r="P7064" s="57">
        <f t="shared" si="1282"/>
        <v>4</v>
      </c>
      <c r="Q7064" s="267">
        <f t="shared" si="1283"/>
        <v>816200</v>
      </c>
      <c r="R7064" s="23">
        <f t="shared" si="1284"/>
        <v>291224</v>
      </c>
      <c r="S7064" s="23">
        <f t="shared" si="1285"/>
        <v>215099</v>
      </c>
      <c r="T7064" s="23" t="str">
        <f t="shared" si="1286"/>
        <v/>
      </c>
      <c r="U7064" t="str">
        <f t="shared" si="1287"/>
        <v/>
      </c>
      <c r="V7064" s="376"/>
      <c r="W7064" s="53"/>
      <c r="X7064" s="53"/>
      <c r="Y7064"/>
      <c r="Z7064"/>
      <c r="AA7064" s="23"/>
      <c r="AB7064"/>
      <c r="AC7064" s="272"/>
      <c r="AD7064" s="272"/>
      <c r="AE7064" s="273"/>
      <c r="AM7064" s="29"/>
      <c r="AN7064"/>
      <c r="AO7064"/>
      <c r="AP7064"/>
      <c r="AQ7064" s="29"/>
      <c r="AR7064" s="29"/>
      <c r="AS7064" s="29"/>
      <c r="AT7064"/>
      <c r="AV7064"/>
      <c r="AW7064"/>
    </row>
    <row r="7065" spans="1:49">
      <c r="A7065" s="23" t="s">
        <v>8042</v>
      </c>
      <c r="B7065" t="s">
        <v>7712</v>
      </c>
      <c r="C7065">
        <v>1</v>
      </c>
      <c r="D7065" s="55" t="str">
        <f t="shared" si="1280"/>
        <v>:Judge of the Circuit Court*6(vote 4)</v>
      </c>
      <c r="E7065" t="s">
        <v>7903</v>
      </c>
      <c r="F7065" t="s">
        <v>7714</v>
      </c>
      <c r="G7065" s="254">
        <v>291224</v>
      </c>
      <c r="H7065"/>
      <c r="J7065" s="7"/>
      <c r="K7065" s="2"/>
      <c r="O7065">
        <f t="shared" si="1281"/>
        <v>4</v>
      </c>
      <c r="P7065" s="57">
        <f t="shared" si="1282"/>
        <v>4</v>
      </c>
      <c r="Q7065" s="267">
        <f t="shared" si="1283"/>
        <v>515427</v>
      </c>
      <c r="R7065" s="23">
        <f t="shared" si="1284"/>
        <v>291224</v>
      </c>
      <c r="S7065" s="23">
        <f t="shared" si="1285"/>
        <v>215099</v>
      </c>
      <c r="T7065" s="23" t="str">
        <f t="shared" si="1286"/>
        <v/>
      </c>
      <c r="U7065" t="str">
        <f t="shared" si="1287"/>
        <v/>
      </c>
      <c r="V7065" s="376"/>
      <c r="W7065" s="53"/>
      <c r="X7065" s="53"/>
      <c r="Y7065"/>
      <c r="Z7065"/>
      <c r="AA7065" s="23"/>
      <c r="AB7065"/>
      <c r="AC7065" s="272"/>
      <c r="AD7065" s="272"/>
      <c r="AE7065" s="273"/>
      <c r="AM7065" s="29"/>
      <c r="AN7065"/>
      <c r="AO7065"/>
      <c r="AP7065"/>
      <c r="AQ7065" s="29"/>
      <c r="AR7065" s="29"/>
      <c r="AS7065" s="29"/>
      <c r="AT7065"/>
      <c r="AV7065"/>
      <c r="AW7065"/>
    </row>
    <row r="7066" spans="1:49">
      <c r="A7066" s="23" t="s">
        <v>8042</v>
      </c>
      <c r="B7066" t="s">
        <v>7712</v>
      </c>
      <c r="C7066">
        <v>1</v>
      </c>
      <c r="D7066" s="55" t="str">
        <f t="shared" si="1280"/>
        <v>:Judge of the Circuit Court*6(vote 4)</v>
      </c>
      <c r="E7066" t="s">
        <v>7904</v>
      </c>
      <c r="F7066" t="s">
        <v>7714</v>
      </c>
      <c r="G7066" s="254">
        <v>215099</v>
      </c>
      <c r="H7066"/>
      <c r="J7066" s="7"/>
      <c r="K7066" s="2"/>
      <c r="O7066">
        <f t="shared" si="1281"/>
        <v>5</v>
      </c>
      <c r="P7066" s="57">
        <f t="shared" si="1282"/>
        <v>4</v>
      </c>
      <c r="Q7066" s="267">
        <f t="shared" si="1283"/>
        <v>224203</v>
      </c>
      <c r="R7066" s="23" t="str">
        <f t="shared" si="1284"/>
        <v/>
      </c>
      <c r="S7066" s="23">
        <f t="shared" si="1285"/>
        <v>215099</v>
      </c>
      <c r="T7066" s="23" t="str">
        <f t="shared" si="1286"/>
        <v/>
      </c>
      <c r="U7066" t="str">
        <f t="shared" si="1287"/>
        <v/>
      </c>
      <c r="V7066" s="376"/>
      <c r="W7066" s="53"/>
      <c r="X7066" s="53"/>
      <c r="Y7066"/>
      <c r="Z7066"/>
      <c r="AA7066" s="23"/>
      <c r="AB7066"/>
      <c r="AC7066" s="272"/>
      <c r="AD7066" s="272"/>
      <c r="AE7066" s="273"/>
      <c r="AM7066" s="29"/>
      <c r="AN7066"/>
      <c r="AO7066"/>
      <c r="AP7066"/>
      <c r="AQ7066" s="29"/>
      <c r="AR7066" s="29"/>
      <c r="AS7066" s="29"/>
      <c r="AT7066"/>
      <c r="AV7066"/>
      <c r="AW7066"/>
    </row>
    <row r="7067" spans="1:49">
      <c r="A7067" s="23" t="s">
        <v>8042</v>
      </c>
      <c r="B7067" t="s">
        <v>7712</v>
      </c>
      <c r="C7067">
        <v>1</v>
      </c>
      <c r="D7067" s="55" t="str">
        <f t="shared" si="1280"/>
        <v>:Judge of the Circuit Court*6(vote 4)</v>
      </c>
      <c r="E7067" t="s">
        <v>7722</v>
      </c>
      <c r="F7067" t="s">
        <v>7714</v>
      </c>
      <c r="G7067" s="254">
        <v>8798</v>
      </c>
      <c r="H7067"/>
      <c r="J7067" s="7"/>
      <c r="K7067" s="2"/>
      <c r="O7067">
        <f t="shared" si="1281"/>
        <v>6</v>
      </c>
      <c r="P7067" s="57">
        <f t="shared" si="1282"/>
        <v>4</v>
      </c>
      <c r="Q7067" s="267">
        <f t="shared" si="1283"/>
        <v>9104</v>
      </c>
      <c r="R7067" s="23" t="str">
        <f t="shared" si="1284"/>
        <v/>
      </c>
      <c r="S7067" s="23">
        <f t="shared" si="1285"/>
        <v>8798</v>
      </c>
      <c r="T7067" s="23" t="str">
        <f t="shared" si="1286"/>
        <v/>
      </c>
      <c r="U7067" t="str">
        <f t="shared" si="1287"/>
        <v/>
      </c>
      <c r="V7067" s="376"/>
      <c r="W7067" s="53"/>
      <c r="X7067" s="53"/>
      <c r="Y7067"/>
      <c r="Z7067"/>
      <c r="AA7067" s="23"/>
      <c r="AB7067"/>
      <c r="AC7067" s="272"/>
      <c r="AD7067" s="272"/>
      <c r="AE7067" s="273"/>
      <c r="AM7067" s="29"/>
      <c r="AN7067"/>
      <c r="AO7067"/>
      <c r="AP7067"/>
      <c r="AQ7067" s="29"/>
      <c r="AR7067" s="29"/>
      <c r="AS7067" s="29"/>
      <c r="AT7067"/>
      <c r="AV7067"/>
      <c r="AW7067"/>
    </row>
    <row r="7068" spans="1:49">
      <c r="A7068" s="23" t="s">
        <v>8042</v>
      </c>
      <c r="B7068" t="s">
        <v>7712</v>
      </c>
      <c r="C7068">
        <v>1</v>
      </c>
      <c r="D7068" s="55" t="str">
        <f t="shared" si="1280"/>
        <v>:Judge of the Circuit Court*6(vote 4)</v>
      </c>
      <c r="E7068" t="s">
        <v>7905</v>
      </c>
      <c r="F7068" t="s">
        <v>7714</v>
      </c>
      <c r="G7068" s="254">
        <v>306</v>
      </c>
      <c r="H7068"/>
      <c r="J7068" s="7"/>
      <c r="K7068" s="2"/>
      <c r="O7068">
        <f t="shared" si="1281"/>
        <v>7</v>
      </c>
      <c r="P7068" s="57">
        <f t="shared" si="1282"/>
        <v>4</v>
      </c>
      <c r="Q7068" s="267">
        <f t="shared" si="1283"/>
        <v>306</v>
      </c>
      <c r="R7068" s="23" t="str">
        <f t="shared" si="1284"/>
        <v/>
      </c>
      <c r="S7068" s="23">
        <f t="shared" si="1285"/>
        <v>306</v>
      </c>
      <c r="T7068" s="23" t="str">
        <f t="shared" si="1286"/>
        <v/>
      </c>
      <c r="U7068" t="str">
        <f t="shared" si="1287"/>
        <v/>
      </c>
      <c r="V7068" s="376"/>
      <c r="W7068" s="53"/>
      <c r="X7068" s="53"/>
      <c r="Y7068"/>
      <c r="Z7068"/>
      <c r="AA7068" s="23"/>
      <c r="AB7068"/>
      <c r="AC7068" s="272"/>
      <c r="AD7068" s="272"/>
      <c r="AE7068" s="273"/>
      <c r="AM7068" s="29"/>
      <c r="AN7068"/>
      <c r="AO7068"/>
      <c r="AP7068"/>
      <c r="AQ7068" s="29"/>
      <c r="AR7068" s="29"/>
      <c r="AS7068" s="29"/>
      <c r="AT7068"/>
      <c r="AV7068"/>
      <c r="AW7068"/>
    </row>
    <row r="7069" spans="1:49">
      <c r="A7069" s="23" t="s">
        <v>8043</v>
      </c>
      <c r="B7069" t="s">
        <v>7712</v>
      </c>
      <c r="C7069">
        <v>1</v>
      </c>
      <c r="D7069" s="55" t="str">
        <f t="shared" si="1280"/>
        <v>:Board of Education*1(vote 1)</v>
      </c>
      <c r="E7069" t="s">
        <v>7906</v>
      </c>
      <c r="F7069" t="s">
        <v>1300</v>
      </c>
      <c r="G7069" s="254">
        <v>37534</v>
      </c>
      <c r="H7069"/>
      <c r="J7069" s="7"/>
      <c r="K7069" s="2"/>
      <c r="O7069">
        <f t="shared" si="1281"/>
        <v>1</v>
      </c>
      <c r="P7069" s="57">
        <f t="shared" si="1282"/>
        <v>1</v>
      </c>
      <c r="Q7069" s="267">
        <f t="shared" si="1283"/>
        <v>38059</v>
      </c>
      <c r="R7069" s="23">
        <f t="shared" si="1284"/>
        <v>37534</v>
      </c>
      <c r="S7069" s="23">
        <f t="shared" si="1285"/>
        <v>525</v>
      </c>
      <c r="T7069" s="23">
        <f t="shared" si="1286"/>
        <v>37009</v>
      </c>
      <c r="U7069" t="str">
        <f t="shared" si="1287"/>
        <v>MD_2020g~Cnty17:Board of Education*1(vote 1)</v>
      </c>
      <c r="V7069" s="376"/>
      <c r="W7069" s="53"/>
      <c r="X7069" s="53"/>
      <c r="Y7069"/>
      <c r="Z7069"/>
      <c r="AA7069" s="23"/>
      <c r="AB7069"/>
      <c r="AC7069" s="272"/>
      <c r="AD7069" s="272"/>
      <c r="AE7069" s="273"/>
      <c r="AM7069" s="29"/>
      <c r="AN7069"/>
      <c r="AO7069"/>
      <c r="AP7069"/>
      <c r="AQ7069" s="29"/>
      <c r="AR7069" s="29"/>
      <c r="AS7069" s="29"/>
      <c r="AT7069"/>
      <c r="AV7069"/>
      <c r="AW7069"/>
    </row>
    <row r="7070" spans="1:49">
      <c r="A7070" s="23" t="s">
        <v>8043</v>
      </c>
      <c r="B7070" t="s">
        <v>7712</v>
      </c>
      <c r="C7070">
        <v>1</v>
      </c>
      <c r="D7070" s="55" t="str">
        <f t="shared" si="1280"/>
        <v>:Board of Education*1(vote 1)</v>
      </c>
      <c r="E7070" t="s">
        <v>7722</v>
      </c>
      <c r="F7070" t="s">
        <v>1300</v>
      </c>
      <c r="G7070" s="254">
        <v>525</v>
      </c>
      <c r="H7070"/>
      <c r="J7070" s="7"/>
      <c r="K7070" s="2"/>
      <c r="O7070">
        <f t="shared" si="1281"/>
        <v>2</v>
      </c>
      <c r="P7070" s="57">
        <f t="shared" si="1282"/>
        <v>1</v>
      </c>
      <c r="Q7070" s="267">
        <f t="shared" si="1283"/>
        <v>525</v>
      </c>
      <c r="R7070" s="23" t="str">
        <f t="shared" si="1284"/>
        <v/>
      </c>
      <c r="S7070" s="23">
        <f t="shared" si="1285"/>
        <v>525</v>
      </c>
      <c r="T7070" s="23" t="str">
        <f t="shared" si="1286"/>
        <v/>
      </c>
      <c r="U7070" t="str">
        <f t="shared" si="1287"/>
        <v/>
      </c>
      <c r="V7070" s="376"/>
      <c r="W7070" s="53"/>
      <c r="X7070" s="53"/>
      <c r="Y7070"/>
      <c r="Z7070"/>
      <c r="AA7070" s="23"/>
      <c r="AB7070"/>
      <c r="AC7070" s="272"/>
      <c r="AD7070" s="272"/>
      <c r="AE7070" s="273"/>
      <c r="AM7070" s="29"/>
      <c r="AN7070"/>
      <c r="AO7070"/>
      <c r="AP7070"/>
      <c r="AQ7070" s="29"/>
      <c r="AR7070" s="29"/>
      <c r="AS7070" s="29"/>
      <c r="AT7070"/>
      <c r="AV7070"/>
      <c r="AW7070"/>
    </row>
    <row r="7071" spans="1:49">
      <c r="A7071" s="23" t="s">
        <v>8044</v>
      </c>
      <c r="B7071" t="s">
        <v>7712</v>
      </c>
      <c r="C7071">
        <v>1</v>
      </c>
      <c r="D7071" s="55" t="str">
        <f t="shared" si="1280"/>
        <v>:Board of Education*4(vote 1)</v>
      </c>
      <c r="E7071" t="s">
        <v>7907</v>
      </c>
      <c r="F7071" t="s">
        <v>1300</v>
      </c>
      <c r="G7071" s="254">
        <v>23514</v>
      </c>
      <c r="H7071"/>
      <c r="J7071" s="7"/>
      <c r="K7071" s="2"/>
      <c r="O7071">
        <f t="shared" si="1281"/>
        <v>1</v>
      </c>
      <c r="P7071" s="57">
        <f t="shared" si="1282"/>
        <v>1</v>
      </c>
      <c r="Q7071" s="267">
        <f t="shared" si="1283"/>
        <v>35423</v>
      </c>
      <c r="R7071" s="23">
        <f t="shared" si="1284"/>
        <v>23514</v>
      </c>
      <c r="S7071" s="23">
        <f t="shared" si="1285"/>
        <v>11784</v>
      </c>
      <c r="T7071" s="23">
        <f t="shared" si="1286"/>
        <v>11730</v>
      </c>
      <c r="U7071" t="str">
        <f t="shared" si="1287"/>
        <v>MD_2020g~Cnty17:Board of Education*4(vote 1)</v>
      </c>
      <c r="V7071" s="376"/>
      <c r="W7071" s="53"/>
      <c r="X7071" s="53"/>
      <c r="Y7071"/>
      <c r="Z7071"/>
      <c r="AA7071" s="23"/>
      <c r="AB7071"/>
      <c r="AC7071" s="272"/>
      <c r="AD7071" s="272"/>
      <c r="AE7071" s="273"/>
      <c r="AM7071" s="29"/>
      <c r="AN7071"/>
      <c r="AO7071"/>
      <c r="AP7071"/>
      <c r="AQ7071" s="29"/>
      <c r="AR7071" s="29"/>
      <c r="AS7071" s="29"/>
      <c r="AT7071"/>
      <c r="AV7071"/>
      <c r="AW7071"/>
    </row>
    <row r="7072" spans="1:49">
      <c r="A7072" s="23" t="s">
        <v>8044</v>
      </c>
      <c r="B7072" t="s">
        <v>7712</v>
      </c>
      <c r="C7072">
        <v>1</v>
      </c>
      <c r="D7072" s="55" t="str">
        <f t="shared" si="1280"/>
        <v>:Board of Education*4(vote 1)</v>
      </c>
      <c r="E7072" t="s">
        <v>7908</v>
      </c>
      <c r="F7072" t="s">
        <v>1300</v>
      </c>
      <c r="G7072" s="254">
        <v>11784</v>
      </c>
      <c r="H7072"/>
      <c r="J7072" s="7"/>
      <c r="K7072" s="2"/>
      <c r="O7072">
        <f t="shared" si="1281"/>
        <v>2</v>
      </c>
      <c r="P7072" s="57">
        <f t="shared" si="1282"/>
        <v>1</v>
      </c>
      <c r="Q7072" s="267">
        <f t="shared" si="1283"/>
        <v>11909</v>
      </c>
      <c r="R7072" s="23" t="str">
        <f t="shared" si="1284"/>
        <v/>
      </c>
      <c r="S7072" s="23">
        <f t="shared" si="1285"/>
        <v>11784</v>
      </c>
      <c r="T7072" s="23" t="str">
        <f t="shared" si="1286"/>
        <v/>
      </c>
      <c r="U7072" t="str">
        <f t="shared" si="1287"/>
        <v/>
      </c>
      <c r="V7072" s="376"/>
      <c r="W7072" s="53"/>
      <c r="X7072" s="53"/>
      <c r="Y7072"/>
      <c r="Z7072"/>
      <c r="AA7072" s="23"/>
      <c r="AB7072"/>
      <c r="AC7072" s="272"/>
      <c r="AD7072" s="272"/>
      <c r="AE7072" s="273"/>
      <c r="AM7072" s="29"/>
      <c r="AN7072"/>
      <c r="AO7072"/>
      <c r="AP7072"/>
      <c r="AQ7072" s="29"/>
      <c r="AR7072" s="29"/>
      <c r="AS7072" s="29"/>
      <c r="AT7072"/>
      <c r="AV7072"/>
      <c r="AW7072"/>
    </row>
    <row r="7073" spans="1:49">
      <c r="A7073" s="23" t="s">
        <v>8044</v>
      </c>
      <c r="B7073" t="s">
        <v>7712</v>
      </c>
      <c r="C7073">
        <v>1</v>
      </c>
      <c r="D7073" s="55" t="str">
        <f t="shared" si="1280"/>
        <v>:Board of Education*4(vote 1)</v>
      </c>
      <c r="E7073" t="s">
        <v>7722</v>
      </c>
      <c r="F7073" t="s">
        <v>1300</v>
      </c>
      <c r="G7073" s="254">
        <v>125</v>
      </c>
      <c r="H7073"/>
      <c r="J7073" s="7"/>
      <c r="K7073" s="2"/>
      <c r="O7073">
        <f t="shared" si="1281"/>
        <v>3</v>
      </c>
      <c r="P7073" s="57">
        <f t="shared" si="1282"/>
        <v>1</v>
      </c>
      <c r="Q7073" s="267">
        <f t="shared" si="1283"/>
        <v>125</v>
      </c>
      <c r="R7073" s="23" t="str">
        <f t="shared" si="1284"/>
        <v/>
      </c>
      <c r="S7073" s="23">
        <f t="shared" si="1285"/>
        <v>125</v>
      </c>
      <c r="T7073" s="23" t="str">
        <f t="shared" si="1286"/>
        <v/>
      </c>
      <c r="U7073" t="str">
        <f t="shared" si="1287"/>
        <v/>
      </c>
      <c r="V7073" s="376"/>
      <c r="W7073" s="53"/>
      <c r="X7073" s="53"/>
      <c r="Y7073"/>
      <c r="Z7073"/>
      <c r="AA7073" s="23"/>
      <c r="AB7073"/>
      <c r="AC7073" s="272"/>
      <c r="AD7073" s="272"/>
      <c r="AE7073" s="273"/>
      <c r="AM7073" s="29"/>
      <c r="AN7073"/>
      <c r="AO7073"/>
      <c r="AP7073"/>
      <c r="AQ7073" s="29"/>
      <c r="AR7073" s="29"/>
      <c r="AS7073" s="29"/>
      <c r="AT7073"/>
      <c r="AV7073"/>
      <c r="AW7073"/>
    </row>
    <row r="7074" spans="1:49">
      <c r="A7074" s="23" t="s">
        <v>8045</v>
      </c>
      <c r="B7074" t="s">
        <v>7712</v>
      </c>
      <c r="C7074">
        <v>1</v>
      </c>
      <c r="D7074" s="55" t="str">
        <f t="shared" si="1280"/>
        <v>:Board of Education*5(vote 1)</v>
      </c>
      <c r="E7074" t="s">
        <v>7909</v>
      </c>
      <c r="F7074" t="s">
        <v>1300</v>
      </c>
      <c r="G7074" s="254">
        <v>56630</v>
      </c>
      <c r="H7074"/>
      <c r="J7074" s="7"/>
      <c r="K7074" s="2"/>
      <c r="O7074">
        <f t="shared" si="1281"/>
        <v>1</v>
      </c>
      <c r="P7074" s="57">
        <f t="shared" si="1282"/>
        <v>1</v>
      </c>
      <c r="Q7074" s="267">
        <f t="shared" si="1283"/>
        <v>57674</v>
      </c>
      <c r="R7074" s="23">
        <f t="shared" si="1284"/>
        <v>56630</v>
      </c>
      <c r="S7074" s="23">
        <f t="shared" si="1285"/>
        <v>1044</v>
      </c>
      <c r="T7074" s="23">
        <f t="shared" si="1286"/>
        <v>55586</v>
      </c>
      <c r="U7074" t="str">
        <f t="shared" si="1287"/>
        <v>MD_2020g~Cnty17:Board of Education*5(vote 1)</v>
      </c>
      <c r="V7074" s="376"/>
      <c r="W7074" s="53"/>
      <c r="X7074" s="53"/>
      <c r="Y7074"/>
      <c r="Z7074"/>
      <c r="AA7074" s="23"/>
      <c r="AB7074"/>
      <c r="AC7074" s="272"/>
      <c r="AD7074" s="272"/>
      <c r="AE7074" s="273"/>
      <c r="AM7074" s="29"/>
      <c r="AN7074"/>
      <c r="AO7074"/>
      <c r="AP7074"/>
      <c r="AQ7074" s="29"/>
      <c r="AR7074" s="29"/>
      <c r="AS7074" s="29"/>
      <c r="AT7074"/>
      <c r="AV7074"/>
      <c r="AW7074"/>
    </row>
    <row r="7075" spans="1:49">
      <c r="A7075" s="23" t="s">
        <v>8045</v>
      </c>
      <c r="B7075" t="s">
        <v>7712</v>
      </c>
      <c r="C7075">
        <v>1</v>
      </c>
      <c r="D7075" s="55" t="str">
        <f t="shared" si="1280"/>
        <v>:Board of Education*5(vote 1)</v>
      </c>
      <c r="E7075" t="s">
        <v>7722</v>
      </c>
      <c r="F7075" t="s">
        <v>1300</v>
      </c>
      <c r="G7075" s="254">
        <v>1044</v>
      </c>
      <c r="H7075"/>
      <c r="J7075" s="7"/>
      <c r="K7075" s="2"/>
      <c r="O7075">
        <f t="shared" si="1281"/>
        <v>2</v>
      </c>
      <c r="P7075" s="57">
        <f t="shared" si="1282"/>
        <v>1</v>
      </c>
      <c r="Q7075" s="267">
        <f t="shared" si="1283"/>
        <v>1044</v>
      </c>
      <c r="R7075" s="23" t="str">
        <f t="shared" si="1284"/>
        <v/>
      </c>
      <c r="S7075" s="23">
        <f t="shared" si="1285"/>
        <v>1044</v>
      </c>
      <c r="T7075" s="23" t="str">
        <f t="shared" si="1286"/>
        <v/>
      </c>
      <c r="U7075" t="str">
        <f t="shared" si="1287"/>
        <v/>
      </c>
      <c r="V7075" s="376"/>
      <c r="W7075" s="53"/>
      <c r="X7075" s="53"/>
      <c r="Y7075"/>
      <c r="Z7075"/>
      <c r="AA7075" s="23"/>
      <c r="AB7075"/>
      <c r="AC7075" s="272"/>
      <c r="AD7075" s="272"/>
      <c r="AE7075" s="273"/>
      <c r="AM7075" s="29"/>
      <c r="AN7075"/>
      <c r="AO7075"/>
      <c r="AP7075"/>
      <c r="AQ7075" s="29"/>
      <c r="AR7075" s="29"/>
      <c r="AS7075" s="29"/>
      <c r="AT7075"/>
      <c r="AV7075"/>
      <c r="AW7075"/>
    </row>
    <row r="7076" spans="1:49">
      <c r="A7076" s="23" t="s">
        <v>8046</v>
      </c>
      <c r="B7076" t="s">
        <v>7712</v>
      </c>
      <c r="C7076">
        <v>1</v>
      </c>
      <c r="D7076" s="55" t="str">
        <f t="shared" si="1280"/>
        <v>:Board of Education*7(vote 1)</v>
      </c>
      <c r="E7076" t="s">
        <v>7910</v>
      </c>
      <c r="F7076" t="s">
        <v>1300</v>
      </c>
      <c r="G7076" s="254">
        <v>26670</v>
      </c>
      <c r="H7076"/>
      <c r="J7076" s="7"/>
      <c r="K7076" s="2"/>
      <c r="O7076">
        <f t="shared" si="1281"/>
        <v>1</v>
      </c>
      <c r="P7076" s="57">
        <f t="shared" si="1282"/>
        <v>1</v>
      </c>
      <c r="Q7076" s="267">
        <f t="shared" si="1283"/>
        <v>42222</v>
      </c>
      <c r="R7076" s="23">
        <f t="shared" si="1284"/>
        <v>26670</v>
      </c>
      <c r="S7076" s="23">
        <f t="shared" si="1285"/>
        <v>15399</v>
      </c>
      <c r="T7076" s="23">
        <f t="shared" si="1286"/>
        <v>11271</v>
      </c>
      <c r="U7076" t="str">
        <f t="shared" si="1287"/>
        <v>MD_2020g~Cnty17:Board of Education*7(vote 1)</v>
      </c>
      <c r="V7076" s="376"/>
      <c r="W7076" s="53"/>
      <c r="X7076" s="53"/>
      <c r="Y7076"/>
      <c r="Z7076"/>
      <c r="AA7076" s="23"/>
      <c r="AB7076"/>
      <c r="AC7076" s="272"/>
      <c r="AD7076" s="272"/>
      <c r="AE7076" s="273"/>
      <c r="AM7076" s="29"/>
      <c r="AN7076"/>
      <c r="AO7076"/>
      <c r="AP7076"/>
      <c r="AQ7076" s="29"/>
      <c r="AR7076" s="29"/>
      <c r="AS7076" s="29"/>
      <c r="AT7076"/>
      <c r="AV7076"/>
      <c r="AW7076"/>
    </row>
    <row r="7077" spans="1:49">
      <c r="A7077" s="23" t="s">
        <v>8046</v>
      </c>
      <c r="B7077" t="s">
        <v>7712</v>
      </c>
      <c r="C7077">
        <v>1</v>
      </c>
      <c r="D7077" s="55" t="str">
        <f t="shared" si="1280"/>
        <v>:Board of Education*7(vote 1)</v>
      </c>
      <c r="E7077" t="s">
        <v>7911</v>
      </c>
      <c r="F7077" t="s">
        <v>1300</v>
      </c>
      <c r="G7077" s="254">
        <v>15399</v>
      </c>
      <c r="H7077"/>
      <c r="J7077" s="7"/>
      <c r="K7077" s="2"/>
      <c r="O7077">
        <f t="shared" si="1281"/>
        <v>2</v>
      </c>
      <c r="P7077" s="57">
        <f t="shared" si="1282"/>
        <v>1</v>
      </c>
      <c r="Q7077" s="267">
        <f t="shared" si="1283"/>
        <v>15552</v>
      </c>
      <c r="R7077" s="23" t="str">
        <f t="shared" si="1284"/>
        <v/>
      </c>
      <c r="S7077" s="23">
        <f t="shared" si="1285"/>
        <v>15399</v>
      </c>
      <c r="T7077" s="23" t="str">
        <f t="shared" si="1286"/>
        <v/>
      </c>
      <c r="U7077" t="str">
        <f t="shared" si="1287"/>
        <v/>
      </c>
      <c r="V7077" s="376"/>
      <c r="W7077" s="53"/>
      <c r="X7077" s="53"/>
      <c r="Y7077"/>
      <c r="Z7077"/>
      <c r="AA7077" s="23"/>
      <c r="AB7077"/>
      <c r="AC7077" s="272"/>
      <c r="AD7077" s="272"/>
      <c r="AE7077" s="273"/>
      <c r="AM7077" s="29"/>
      <c r="AN7077"/>
      <c r="AO7077"/>
      <c r="AP7077"/>
      <c r="AQ7077" s="29"/>
      <c r="AR7077" s="29"/>
      <c r="AS7077" s="29"/>
      <c r="AT7077"/>
      <c r="AV7077"/>
      <c r="AW7077"/>
    </row>
    <row r="7078" spans="1:49">
      <c r="A7078" s="23" t="s">
        <v>8046</v>
      </c>
      <c r="B7078" t="s">
        <v>7712</v>
      </c>
      <c r="C7078">
        <v>1</v>
      </c>
      <c r="D7078" s="55" t="str">
        <f t="shared" si="1280"/>
        <v>:Board of Education*7(vote 1)</v>
      </c>
      <c r="E7078" t="s">
        <v>7722</v>
      </c>
      <c r="F7078" t="s">
        <v>1300</v>
      </c>
      <c r="G7078" s="254">
        <v>153</v>
      </c>
      <c r="H7078"/>
      <c r="J7078" s="7"/>
      <c r="K7078" s="2"/>
      <c r="O7078">
        <f t="shared" si="1281"/>
        <v>3</v>
      </c>
      <c r="P7078" s="57">
        <f t="shared" si="1282"/>
        <v>1</v>
      </c>
      <c r="Q7078" s="267">
        <f t="shared" si="1283"/>
        <v>153</v>
      </c>
      <c r="R7078" s="23" t="str">
        <f t="shared" si="1284"/>
        <v/>
      </c>
      <c r="S7078" s="23">
        <f t="shared" si="1285"/>
        <v>153</v>
      </c>
      <c r="T7078" s="23" t="str">
        <f t="shared" si="1286"/>
        <v/>
      </c>
      <c r="U7078" t="str">
        <f t="shared" si="1287"/>
        <v/>
      </c>
      <c r="V7078" s="376"/>
      <c r="W7078" s="53"/>
      <c r="X7078" s="53"/>
      <c r="Y7078"/>
      <c r="Z7078"/>
      <c r="AA7078" s="23"/>
      <c r="AB7078"/>
      <c r="AC7078" s="272"/>
      <c r="AD7078" s="272"/>
      <c r="AE7078" s="273"/>
      <c r="AM7078" s="29"/>
      <c r="AN7078"/>
      <c r="AO7078"/>
      <c r="AP7078"/>
      <c r="AQ7078" s="29"/>
      <c r="AR7078" s="29"/>
      <c r="AS7078" s="29"/>
      <c r="AT7078"/>
      <c r="AV7078"/>
      <c r="AW7078"/>
    </row>
    <row r="7079" spans="1:49">
      <c r="A7079" s="23" t="s">
        <v>8047</v>
      </c>
      <c r="B7079" t="s">
        <v>7712</v>
      </c>
      <c r="C7079">
        <v>1</v>
      </c>
      <c r="D7079" s="55" t="str">
        <f t="shared" si="1280"/>
        <v>:Board of Education*8(vote 1)</v>
      </c>
      <c r="E7079" t="s">
        <v>7912</v>
      </c>
      <c r="F7079" t="s">
        <v>1300</v>
      </c>
      <c r="G7079" s="254">
        <v>37838</v>
      </c>
      <c r="H7079"/>
      <c r="J7079" s="7"/>
      <c r="K7079" s="2"/>
      <c r="O7079">
        <f t="shared" si="1281"/>
        <v>1</v>
      </c>
      <c r="P7079" s="57">
        <f t="shared" si="1282"/>
        <v>1</v>
      </c>
      <c r="Q7079" s="267">
        <f t="shared" si="1283"/>
        <v>44001</v>
      </c>
      <c r="R7079" s="23">
        <f t="shared" si="1284"/>
        <v>37838</v>
      </c>
      <c r="S7079" s="23">
        <f t="shared" si="1285"/>
        <v>5821</v>
      </c>
      <c r="T7079" s="23">
        <f t="shared" si="1286"/>
        <v>32017</v>
      </c>
      <c r="U7079" t="str">
        <f t="shared" si="1287"/>
        <v>MD_2020g~Cnty17:Board of Education*8(vote 1)</v>
      </c>
      <c r="V7079" s="376"/>
      <c r="W7079" s="53"/>
      <c r="X7079" s="53"/>
      <c r="Y7079"/>
      <c r="Z7079"/>
      <c r="AA7079" s="23"/>
      <c r="AB7079"/>
      <c r="AC7079" s="272"/>
      <c r="AD7079" s="272"/>
      <c r="AE7079" s="273"/>
      <c r="AM7079" s="29"/>
      <c r="AN7079"/>
      <c r="AO7079"/>
      <c r="AP7079"/>
      <c r="AQ7079" s="29"/>
      <c r="AR7079" s="29"/>
      <c r="AS7079" s="29"/>
      <c r="AT7079"/>
      <c r="AV7079"/>
      <c r="AW7079"/>
    </row>
    <row r="7080" spans="1:49">
      <c r="A7080" s="23" t="s">
        <v>8047</v>
      </c>
      <c r="B7080" t="s">
        <v>7712</v>
      </c>
      <c r="C7080">
        <v>1</v>
      </c>
      <c r="D7080" s="55" t="str">
        <f t="shared" si="1280"/>
        <v>:Board of Education*8(vote 1)</v>
      </c>
      <c r="E7080" t="s">
        <v>7913</v>
      </c>
      <c r="F7080" t="s">
        <v>1300</v>
      </c>
      <c r="G7080" s="254">
        <v>5821</v>
      </c>
      <c r="H7080"/>
      <c r="J7080" s="7"/>
      <c r="K7080" s="2"/>
      <c r="O7080">
        <f t="shared" si="1281"/>
        <v>2</v>
      </c>
      <c r="P7080" s="57">
        <f t="shared" si="1282"/>
        <v>1</v>
      </c>
      <c r="Q7080" s="267">
        <f t="shared" si="1283"/>
        <v>6163</v>
      </c>
      <c r="R7080" s="23" t="str">
        <f t="shared" si="1284"/>
        <v/>
      </c>
      <c r="S7080" s="23">
        <f t="shared" si="1285"/>
        <v>5821</v>
      </c>
      <c r="T7080" s="23" t="str">
        <f t="shared" si="1286"/>
        <v/>
      </c>
      <c r="U7080" t="str">
        <f t="shared" si="1287"/>
        <v/>
      </c>
      <c r="V7080" s="376"/>
      <c r="W7080" s="53"/>
      <c r="X7080" s="53"/>
      <c r="Y7080"/>
      <c r="Z7080"/>
      <c r="AA7080" s="23"/>
      <c r="AB7080"/>
      <c r="AC7080" s="272"/>
      <c r="AD7080" s="272"/>
      <c r="AE7080" s="273"/>
      <c r="AM7080" s="29"/>
      <c r="AN7080"/>
      <c r="AO7080"/>
      <c r="AP7080"/>
      <c r="AQ7080" s="29"/>
      <c r="AR7080" s="29"/>
      <c r="AS7080" s="29"/>
      <c r="AT7080"/>
      <c r="AV7080"/>
      <c r="AW7080"/>
    </row>
    <row r="7081" spans="1:49">
      <c r="A7081" s="23" t="s">
        <v>8047</v>
      </c>
      <c r="B7081" t="s">
        <v>7712</v>
      </c>
      <c r="C7081">
        <v>1</v>
      </c>
      <c r="D7081" s="55" t="str">
        <f t="shared" si="1280"/>
        <v>:Board of Education*8(vote 1)</v>
      </c>
      <c r="E7081" t="s">
        <v>7722</v>
      </c>
      <c r="F7081" t="s">
        <v>1300</v>
      </c>
      <c r="G7081" s="254">
        <v>342</v>
      </c>
      <c r="H7081"/>
      <c r="J7081" s="7"/>
      <c r="K7081" s="2"/>
      <c r="O7081">
        <f t="shared" si="1281"/>
        <v>3</v>
      </c>
      <c r="P7081" s="57">
        <f t="shared" si="1282"/>
        <v>1</v>
      </c>
      <c r="Q7081" s="267">
        <f t="shared" si="1283"/>
        <v>342</v>
      </c>
      <c r="R7081" s="23" t="str">
        <f t="shared" si="1284"/>
        <v/>
      </c>
      <c r="S7081" s="23">
        <f t="shared" si="1285"/>
        <v>342</v>
      </c>
      <c r="T7081" s="23" t="str">
        <f t="shared" si="1286"/>
        <v/>
      </c>
      <c r="U7081" t="str">
        <f t="shared" si="1287"/>
        <v/>
      </c>
      <c r="V7081" s="376"/>
      <c r="W7081" s="53"/>
      <c r="X7081" s="53"/>
      <c r="Y7081"/>
      <c r="Z7081"/>
      <c r="AA7081" s="23"/>
      <c r="AB7081"/>
      <c r="AC7081" s="272"/>
      <c r="AD7081" s="272"/>
      <c r="AE7081" s="273"/>
      <c r="AM7081" s="29"/>
      <c r="AN7081"/>
      <c r="AO7081"/>
      <c r="AP7081"/>
      <c r="AQ7081" s="29"/>
      <c r="AR7081" s="29"/>
      <c r="AS7081" s="29"/>
      <c r="AT7081"/>
      <c r="AV7081"/>
      <c r="AW7081"/>
    </row>
    <row r="7082" spans="1:49">
      <c r="A7082" s="23" t="s">
        <v>8048</v>
      </c>
      <c r="B7082" t="s">
        <v>7712</v>
      </c>
      <c r="C7082">
        <v>1</v>
      </c>
      <c r="D7082" s="55" t="str">
        <f t="shared" si="1280"/>
        <v>:Judge of the Circuit Court*7(vote 5)</v>
      </c>
      <c r="E7082" t="s">
        <v>7914</v>
      </c>
      <c r="F7082" t="s">
        <v>7714</v>
      </c>
      <c r="G7082" s="254">
        <v>285917</v>
      </c>
      <c r="H7082"/>
      <c r="J7082" s="7"/>
      <c r="K7082" s="2"/>
      <c r="O7082">
        <f t="shared" si="1281"/>
        <v>1</v>
      </c>
      <c r="P7082" s="57">
        <f t="shared" si="1282"/>
        <v>5</v>
      </c>
      <c r="Q7082" s="267">
        <f t="shared" si="1283"/>
        <v>296626.8</v>
      </c>
      <c r="R7082" s="23">
        <f t="shared" si="1284"/>
        <v>206096</v>
      </c>
      <c r="S7082" s="23">
        <f t="shared" si="1285"/>
        <v>200918</v>
      </c>
      <c r="T7082" s="23">
        <f t="shared" si="1286"/>
        <v>5178</v>
      </c>
      <c r="U7082" t="str">
        <f t="shared" si="1287"/>
        <v>MD_2020g~Cnty17:Judge of the Circuit Court*7(vote 5)</v>
      </c>
      <c r="V7082" s="376"/>
      <c r="W7082" s="53"/>
      <c r="X7082" s="53"/>
      <c r="Y7082"/>
      <c r="Z7082"/>
      <c r="AA7082" s="23"/>
      <c r="AB7082"/>
      <c r="AC7082" s="272"/>
      <c r="AD7082" s="272"/>
      <c r="AE7082" s="273"/>
      <c r="AM7082" s="29"/>
      <c r="AN7082"/>
      <c r="AO7082"/>
      <c r="AP7082"/>
      <c r="AQ7082" s="29"/>
      <c r="AR7082" s="29"/>
      <c r="AS7082" s="29"/>
      <c r="AT7082"/>
      <c r="AV7082"/>
      <c r="AW7082"/>
    </row>
    <row r="7083" spans="1:49">
      <c r="A7083" s="23" t="s">
        <v>8048</v>
      </c>
      <c r="B7083" t="s">
        <v>7712</v>
      </c>
      <c r="C7083">
        <v>1</v>
      </c>
      <c r="D7083" s="55" t="str">
        <f t="shared" si="1280"/>
        <v>:Judge of the Circuit Court*7(vote 5)</v>
      </c>
      <c r="E7083" t="s">
        <v>7915</v>
      </c>
      <c r="F7083" t="s">
        <v>7714</v>
      </c>
      <c r="G7083" s="254">
        <v>272798</v>
      </c>
      <c r="H7083"/>
      <c r="J7083" s="7"/>
      <c r="K7083" s="2"/>
      <c r="O7083">
        <f t="shared" si="1281"/>
        <v>2</v>
      </c>
      <c r="P7083" s="57">
        <f t="shared" si="1282"/>
        <v>5</v>
      </c>
      <c r="Q7083" s="267">
        <f t="shared" si="1283"/>
        <v>1197217</v>
      </c>
      <c r="R7083" s="23">
        <f t="shared" si="1284"/>
        <v>206096</v>
      </c>
      <c r="S7083" s="23">
        <f t="shared" si="1285"/>
        <v>200918</v>
      </c>
      <c r="T7083" s="23" t="str">
        <f t="shared" si="1286"/>
        <v/>
      </c>
      <c r="U7083" t="str">
        <f t="shared" si="1287"/>
        <v/>
      </c>
      <c r="V7083" s="376"/>
      <c r="W7083" s="53"/>
      <c r="X7083" s="53"/>
      <c r="Y7083"/>
      <c r="Z7083"/>
      <c r="AA7083" s="23"/>
      <c r="AB7083"/>
      <c r="AC7083" s="272"/>
      <c r="AD7083" s="272"/>
      <c r="AE7083" s="273"/>
      <c r="AM7083" s="29"/>
      <c r="AN7083"/>
      <c r="AO7083"/>
      <c r="AP7083"/>
      <c r="AQ7083" s="29"/>
      <c r="AR7083" s="29"/>
      <c r="AS7083" s="29"/>
      <c r="AT7083"/>
      <c r="AV7083"/>
      <c r="AW7083"/>
    </row>
    <row r="7084" spans="1:49">
      <c r="A7084" s="23" t="s">
        <v>8048</v>
      </c>
      <c r="B7084" t="s">
        <v>7712</v>
      </c>
      <c r="C7084">
        <v>1</v>
      </c>
      <c r="D7084" s="55" t="str">
        <f t="shared" si="1280"/>
        <v>:Judge of the Circuit Court*7(vote 5)</v>
      </c>
      <c r="E7084" t="s">
        <v>7916</v>
      </c>
      <c r="F7084" t="s">
        <v>7714</v>
      </c>
      <c r="G7084" s="254">
        <v>272464</v>
      </c>
      <c r="H7084"/>
      <c r="J7084" s="7"/>
      <c r="K7084" s="2"/>
      <c r="O7084">
        <f t="shared" si="1281"/>
        <v>3</v>
      </c>
      <c r="P7084" s="57">
        <f t="shared" si="1282"/>
        <v>5</v>
      </c>
      <c r="Q7084" s="267">
        <f t="shared" si="1283"/>
        <v>924419</v>
      </c>
      <c r="R7084" s="23">
        <f t="shared" si="1284"/>
        <v>206096</v>
      </c>
      <c r="S7084" s="23">
        <f t="shared" si="1285"/>
        <v>200918</v>
      </c>
      <c r="T7084" s="23" t="str">
        <f t="shared" si="1286"/>
        <v/>
      </c>
      <c r="U7084" t="str">
        <f t="shared" si="1287"/>
        <v/>
      </c>
      <c r="V7084" s="376"/>
      <c r="W7084" s="53"/>
      <c r="X7084" s="53"/>
      <c r="Y7084"/>
      <c r="Z7084"/>
      <c r="AA7084" s="23"/>
      <c r="AB7084"/>
      <c r="AC7084" s="272"/>
      <c r="AD7084" s="272"/>
      <c r="AE7084" s="273"/>
      <c r="AM7084" s="29"/>
      <c r="AN7084"/>
      <c r="AO7084"/>
      <c r="AP7084"/>
      <c r="AQ7084" s="29"/>
      <c r="AR7084" s="29"/>
      <c r="AS7084" s="29"/>
      <c r="AT7084"/>
      <c r="AV7084"/>
      <c r="AW7084"/>
    </row>
    <row r="7085" spans="1:49">
      <c r="A7085" s="23" t="s">
        <v>8048</v>
      </c>
      <c r="B7085" t="s">
        <v>7712</v>
      </c>
      <c r="C7085">
        <v>1</v>
      </c>
      <c r="D7085" s="55" t="str">
        <f t="shared" si="1280"/>
        <v>:Judge of the Circuit Court*7(vote 5)</v>
      </c>
      <c r="E7085" t="s">
        <v>7917</v>
      </c>
      <c r="F7085" t="s">
        <v>7714</v>
      </c>
      <c r="G7085" s="254">
        <v>240715</v>
      </c>
      <c r="H7085"/>
      <c r="J7085" s="7"/>
      <c r="K7085" s="2"/>
      <c r="O7085">
        <f t="shared" si="1281"/>
        <v>4</v>
      </c>
      <c r="P7085" s="57">
        <f t="shared" si="1282"/>
        <v>5</v>
      </c>
      <c r="Q7085" s="267">
        <f t="shared" si="1283"/>
        <v>651955</v>
      </c>
      <c r="R7085" s="23">
        <f t="shared" si="1284"/>
        <v>206096</v>
      </c>
      <c r="S7085" s="23">
        <f t="shared" si="1285"/>
        <v>200918</v>
      </c>
      <c r="T7085" s="23" t="str">
        <f t="shared" si="1286"/>
        <v/>
      </c>
      <c r="U7085" t="str">
        <f t="shared" si="1287"/>
        <v/>
      </c>
      <c r="V7085" s="376"/>
      <c r="W7085" s="53"/>
      <c r="X7085" s="53"/>
      <c r="Y7085"/>
      <c r="Z7085"/>
      <c r="AA7085" s="23"/>
      <c r="AB7085"/>
      <c r="AC7085" s="272"/>
      <c r="AD7085" s="272"/>
      <c r="AE7085" s="273"/>
      <c r="AM7085" s="29"/>
      <c r="AN7085"/>
      <c r="AO7085"/>
      <c r="AP7085"/>
      <c r="AQ7085" s="29"/>
      <c r="AR7085" s="29"/>
      <c r="AS7085" s="29"/>
      <c r="AT7085"/>
      <c r="AV7085"/>
      <c r="AW7085"/>
    </row>
    <row r="7086" spans="1:49">
      <c r="A7086" s="23" t="s">
        <v>8048</v>
      </c>
      <c r="B7086" t="s">
        <v>7712</v>
      </c>
      <c r="C7086">
        <v>1</v>
      </c>
      <c r="D7086" s="55" t="str">
        <f t="shared" si="1280"/>
        <v>:Judge of the Circuit Court*7(vote 5)</v>
      </c>
      <c r="E7086" t="s">
        <v>7918</v>
      </c>
      <c r="F7086" t="s">
        <v>7714</v>
      </c>
      <c r="G7086" s="254">
        <v>206096</v>
      </c>
      <c r="H7086"/>
      <c r="J7086" s="7"/>
      <c r="K7086" s="2"/>
      <c r="O7086">
        <f t="shared" si="1281"/>
        <v>5</v>
      </c>
      <c r="P7086" s="57">
        <f t="shared" si="1282"/>
        <v>5</v>
      </c>
      <c r="Q7086" s="267">
        <f t="shared" si="1283"/>
        <v>411240</v>
      </c>
      <c r="R7086" s="23">
        <f t="shared" si="1284"/>
        <v>206096</v>
      </c>
      <c r="S7086" s="23">
        <f t="shared" si="1285"/>
        <v>200918</v>
      </c>
      <c r="T7086" s="23" t="str">
        <f t="shared" si="1286"/>
        <v/>
      </c>
      <c r="U7086" t="str">
        <f t="shared" si="1287"/>
        <v/>
      </c>
      <c r="V7086" s="376"/>
      <c r="W7086" s="53"/>
      <c r="X7086" s="53"/>
      <c r="Y7086"/>
      <c r="Z7086"/>
      <c r="AA7086" s="23"/>
      <c r="AB7086"/>
      <c r="AC7086" s="272"/>
      <c r="AD7086" s="272"/>
      <c r="AE7086" s="273"/>
      <c r="AM7086" s="29"/>
      <c r="AN7086"/>
      <c r="AO7086"/>
      <c r="AP7086"/>
      <c r="AQ7086" s="29"/>
      <c r="AR7086" s="29"/>
      <c r="AS7086" s="29"/>
      <c r="AT7086"/>
      <c r="AV7086"/>
      <c r="AW7086"/>
    </row>
    <row r="7087" spans="1:49">
      <c r="A7087" s="23" t="s">
        <v>8048</v>
      </c>
      <c r="B7087" t="s">
        <v>7712</v>
      </c>
      <c r="C7087">
        <v>1</v>
      </c>
      <c r="D7087" s="55" t="str">
        <f t="shared" si="1280"/>
        <v>:Judge of the Circuit Court*7(vote 5)</v>
      </c>
      <c r="E7087" t="s">
        <v>7919</v>
      </c>
      <c r="F7087" t="s">
        <v>7714</v>
      </c>
      <c r="G7087" s="254">
        <v>200918</v>
      </c>
      <c r="H7087"/>
      <c r="J7087" s="7"/>
      <c r="K7087" s="2"/>
      <c r="O7087">
        <f t="shared" si="1281"/>
        <v>6</v>
      </c>
      <c r="P7087" s="57">
        <f t="shared" si="1282"/>
        <v>5</v>
      </c>
      <c r="Q7087" s="267">
        <f t="shared" si="1283"/>
        <v>205144</v>
      </c>
      <c r="R7087" s="23" t="str">
        <f t="shared" si="1284"/>
        <v/>
      </c>
      <c r="S7087" s="23">
        <f t="shared" si="1285"/>
        <v>200918</v>
      </c>
      <c r="T7087" s="23" t="str">
        <f t="shared" si="1286"/>
        <v/>
      </c>
      <c r="U7087" t="str">
        <f t="shared" si="1287"/>
        <v/>
      </c>
      <c r="V7087" s="376"/>
      <c r="W7087" s="53"/>
      <c r="X7087" s="53"/>
      <c r="Y7087"/>
      <c r="Z7087"/>
      <c r="AA7087" s="23"/>
      <c r="AB7087"/>
      <c r="AC7087" s="272"/>
      <c r="AD7087" s="272"/>
      <c r="AE7087" s="273"/>
      <c r="AM7087" s="29"/>
      <c r="AN7087"/>
      <c r="AO7087"/>
      <c r="AP7087"/>
      <c r="AQ7087" s="29"/>
      <c r="AR7087" s="29"/>
      <c r="AS7087" s="29"/>
      <c r="AT7087"/>
      <c r="AV7087"/>
      <c r="AW7087"/>
    </row>
    <row r="7088" spans="1:49">
      <c r="A7088" s="23" t="s">
        <v>8048</v>
      </c>
      <c r="B7088" t="s">
        <v>7712</v>
      </c>
      <c r="C7088">
        <v>1</v>
      </c>
      <c r="D7088" s="55" t="str">
        <f t="shared" si="1280"/>
        <v>:Judge of the Circuit Court*7(vote 5)</v>
      </c>
      <c r="E7088" t="s">
        <v>7722</v>
      </c>
      <c r="F7088" t="s">
        <v>7714</v>
      </c>
      <c r="G7088" s="254">
        <v>4226</v>
      </c>
      <c r="H7088"/>
      <c r="J7088" s="7"/>
      <c r="K7088" s="2"/>
      <c r="O7088">
        <f t="shared" si="1281"/>
        <v>7</v>
      </c>
      <c r="P7088" s="57">
        <f t="shared" si="1282"/>
        <v>5</v>
      </c>
      <c r="Q7088" s="267">
        <f t="shared" si="1283"/>
        <v>4226</v>
      </c>
      <c r="R7088" s="23" t="str">
        <f t="shared" si="1284"/>
        <v/>
      </c>
      <c r="S7088" s="23">
        <f t="shared" si="1285"/>
        <v>4226</v>
      </c>
      <c r="T7088" s="23" t="str">
        <f t="shared" si="1286"/>
        <v/>
      </c>
      <c r="U7088" t="str">
        <f t="shared" si="1287"/>
        <v/>
      </c>
      <c r="V7088" s="376"/>
      <c r="W7088" s="53"/>
      <c r="X7088" s="53"/>
      <c r="Y7088"/>
      <c r="Z7088"/>
      <c r="AA7088" s="23"/>
      <c r="AB7088"/>
      <c r="AC7088" s="272"/>
      <c r="AD7088" s="272"/>
      <c r="AE7088" s="273"/>
      <c r="AM7088" s="29"/>
      <c r="AN7088"/>
      <c r="AO7088"/>
      <c r="AP7088"/>
      <c r="AQ7088" s="29"/>
      <c r="AR7088" s="29"/>
      <c r="AS7088" s="29"/>
      <c r="AT7088"/>
      <c r="AV7088"/>
      <c r="AW7088"/>
    </row>
    <row r="7089" spans="1:49">
      <c r="A7089" s="23" t="s">
        <v>8049</v>
      </c>
      <c r="B7089" t="s">
        <v>7712</v>
      </c>
      <c r="C7089">
        <v>1</v>
      </c>
      <c r="D7089" s="55" t="str">
        <f t="shared" si="1280"/>
        <v>:Board of Education*2(vote 1)</v>
      </c>
      <c r="E7089" t="s">
        <v>7920</v>
      </c>
      <c r="F7089" t="s">
        <v>1300</v>
      </c>
      <c r="G7089" s="254">
        <v>19658</v>
      </c>
      <c r="H7089"/>
      <c r="J7089" s="7"/>
      <c r="K7089" s="2"/>
      <c r="O7089">
        <f t="shared" si="1281"/>
        <v>1</v>
      </c>
      <c r="P7089" s="57">
        <f t="shared" si="1282"/>
        <v>1</v>
      </c>
      <c r="Q7089" s="267">
        <f t="shared" si="1283"/>
        <v>20880</v>
      </c>
      <c r="R7089" s="23">
        <f t="shared" si="1284"/>
        <v>19658</v>
      </c>
      <c r="S7089" s="23">
        <f t="shared" si="1285"/>
        <v>1222</v>
      </c>
      <c r="T7089" s="23">
        <f t="shared" si="1286"/>
        <v>18436</v>
      </c>
      <c r="U7089" t="str">
        <f t="shared" si="1287"/>
        <v>MD_2020g~Cnty18:Board of Education*2(vote 1)</v>
      </c>
      <c r="V7089" s="376"/>
      <c r="W7089" s="53"/>
      <c r="X7089" s="53"/>
      <c r="Y7089"/>
      <c r="Z7089"/>
      <c r="AA7089" s="23"/>
      <c r="AB7089"/>
      <c r="AC7089" s="272"/>
      <c r="AD7089" s="272"/>
      <c r="AE7089" s="273"/>
      <c r="AM7089" s="29"/>
      <c r="AN7089"/>
      <c r="AO7089"/>
      <c r="AP7089"/>
      <c r="AQ7089" s="29"/>
      <c r="AR7089" s="29"/>
      <c r="AS7089" s="29"/>
      <c r="AT7089"/>
      <c r="AV7089"/>
      <c r="AW7089"/>
    </row>
    <row r="7090" spans="1:49">
      <c r="A7090" s="23" t="s">
        <v>8049</v>
      </c>
      <c r="B7090" t="s">
        <v>7712</v>
      </c>
      <c r="C7090">
        <v>1</v>
      </c>
      <c r="D7090" s="55" t="str">
        <f t="shared" si="1280"/>
        <v>:Board of Education*2(vote 1)</v>
      </c>
      <c r="E7090" t="s">
        <v>7722</v>
      </c>
      <c r="F7090" t="s">
        <v>1300</v>
      </c>
      <c r="G7090" s="254">
        <v>1222</v>
      </c>
      <c r="H7090"/>
      <c r="J7090" s="7"/>
      <c r="K7090" s="2"/>
      <c r="O7090">
        <f t="shared" si="1281"/>
        <v>2</v>
      </c>
      <c r="P7090" s="57">
        <f t="shared" si="1282"/>
        <v>1</v>
      </c>
      <c r="Q7090" s="267">
        <f t="shared" si="1283"/>
        <v>1222</v>
      </c>
      <c r="R7090" s="23" t="str">
        <f t="shared" si="1284"/>
        <v/>
      </c>
      <c r="S7090" s="23">
        <f t="shared" si="1285"/>
        <v>1222</v>
      </c>
      <c r="T7090" s="23" t="str">
        <f t="shared" si="1286"/>
        <v/>
      </c>
      <c r="U7090" t="str">
        <f t="shared" si="1287"/>
        <v/>
      </c>
      <c r="V7090" s="376"/>
      <c r="W7090" s="53"/>
      <c r="X7090" s="53"/>
      <c r="Y7090"/>
      <c r="Z7090"/>
      <c r="AA7090" s="23"/>
      <c r="AB7090"/>
      <c r="AC7090" s="272"/>
      <c r="AD7090" s="272"/>
      <c r="AE7090" s="273"/>
      <c r="AM7090" s="29"/>
      <c r="AN7090"/>
      <c r="AO7090"/>
      <c r="AP7090"/>
      <c r="AQ7090" s="29"/>
      <c r="AR7090" s="29"/>
      <c r="AS7090" s="29"/>
      <c r="AT7090"/>
      <c r="AV7090"/>
      <c r="AW7090"/>
    </row>
    <row r="7091" spans="1:49">
      <c r="A7091" s="23" t="s">
        <v>8050</v>
      </c>
      <c r="B7091" t="s">
        <v>7712</v>
      </c>
      <c r="C7091">
        <v>1</v>
      </c>
      <c r="D7091" s="55" t="str">
        <f t="shared" si="1280"/>
        <v>:Board of Education*3(vote 1)</v>
      </c>
      <c r="E7091" t="s">
        <v>7921</v>
      </c>
      <c r="F7091" t="s">
        <v>1300</v>
      </c>
      <c r="G7091" s="254">
        <v>5047</v>
      </c>
      <c r="H7091"/>
      <c r="J7091" s="7"/>
      <c r="K7091" s="2"/>
      <c r="O7091">
        <f t="shared" si="1281"/>
        <v>1</v>
      </c>
      <c r="P7091" s="57">
        <f t="shared" si="1282"/>
        <v>1</v>
      </c>
      <c r="Q7091" s="267">
        <f t="shared" si="1283"/>
        <v>10253</v>
      </c>
      <c r="R7091" s="23">
        <f t="shared" si="1284"/>
        <v>5047</v>
      </c>
      <c r="S7091" s="23">
        <f t="shared" si="1285"/>
        <v>2950</v>
      </c>
      <c r="T7091" s="23">
        <f t="shared" si="1286"/>
        <v>2097</v>
      </c>
      <c r="U7091" t="str">
        <f t="shared" si="1287"/>
        <v>MD_2020g~Cnty18:Board of Education*3(vote 1)</v>
      </c>
      <c r="V7091" s="376"/>
      <c r="W7091" s="53"/>
      <c r="X7091" s="53"/>
      <c r="Y7091"/>
      <c r="Z7091"/>
      <c r="AA7091" s="23"/>
      <c r="AB7091"/>
      <c r="AC7091" s="272"/>
      <c r="AD7091" s="272"/>
      <c r="AE7091" s="273"/>
      <c r="AM7091" s="29"/>
      <c r="AN7091"/>
      <c r="AO7091"/>
      <c r="AP7091"/>
      <c r="AQ7091" s="29"/>
      <c r="AR7091" s="29"/>
      <c r="AS7091" s="29"/>
      <c r="AT7091"/>
      <c r="AV7091"/>
      <c r="AW7091"/>
    </row>
    <row r="7092" spans="1:49">
      <c r="A7092" s="23" t="s">
        <v>8050</v>
      </c>
      <c r="B7092" t="s">
        <v>7712</v>
      </c>
      <c r="C7092">
        <v>1</v>
      </c>
      <c r="D7092" s="55" t="str">
        <f t="shared" si="1280"/>
        <v>:Board of Education*3(vote 1)</v>
      </c>
      <c r="E7092" t="s">
        <v>7922</v>
      </c>
      <c r="F7092" t="s">
        <v>1300</v>
      </c>
      <c r="G7092" s="254">
        <v>2950</v>
      </c>
      <c r="H7092"/>
      <c r="J7092" s="7"/>
      <c r="K7092" s="2"/>
      <c r="O7092">
        <f t="shared" si="1281"/>
        <v>2</v>
      </c>
      <c r="P7092" s="57">
        <f t="shared" si="1282"/>
        <v>1</v>
      </c>
      <c r="Q7092" s="267">
        <f t="shared" si="1283"/>
        <v>5206</v>
      </c>
      <c r="R7092" s="23" t="str">
        <f t="shared" si="1284"/>
        <v/>
      </c>
      <c r="S7092" s="23">
        <f t="shared" si="1285"/>
        <v>2950</v>
      </c>
      <c r="T7092" s="23" t="str">
        <f t="shared" si="1286"/>
        <v/>
      </c>
      <c r="U7092" t="str">
        <f t="shared" si="1287"/>
        <v/>
      </c>
      <c r="V7092" s="376"/>
      <c r="W7092" s="53"/>
      <c r="X7092" s="53"/>
      <c r="Y7092"/>
      <c r="Z7092"/>
      <c r="AA7092" s="23"/>
      <c r="AB7092"/>
      <c r="AC7092" s="272"/>
      <c r="AD7092" s="272"/>
      <c r="AE7092" s="273"/>
      <c r="AM7092" s="29"/>
      <c r="AN7092"/>
      <c r="AO7092"/>
      <c r="AP7092"/>
      <c r="AQ7092" s="29"/>
      <c r="AR7092" s="29"/>
      <c r="AS7092" s="29"/>
      <c r="AT7092"/>
      <c r="AV7092"/>
      <c r="AW7092"/>
    </row>
    <row r="7093" spans="1:49">
      <c r="A7093" s="23" t="s">
        <v>8050</v>
      </c>
      <c r="B7093" t="s">
        <v>7712</v>
      </c>
      <c r="C7093">
        <v>1</v>
      </c>
      <c r="D7093" s="55" t="str">
        <f t="shared" si="1280"/>
        <v>:Board of Education*3(vote 1)</v>
      </c>
      <c r="E7093" t="s">
        <v>7722</v>
      </c>
      <c r="F7093" t="s">
        <v>1300</v>
      </c>
      <c r="G7093" s="254">
        <v>1346</v>
      </c>
      <c r="H7093"/>
      <c r="J7093" s="7"/>
      <c r="K7093" s="2"/>
      <c r="O7093">
        <f t="shared" si="1281"/>
        <v>3</v>
      </c>
      <c r="P7093" s="57">
        <f t="shared" si="1282"/>
        <v>1</v>
      </c>
      <c r="Q7093" s="267">
        <f t="shared" si="1283"/>
        <v>2256</v>
      </c>
      <c r="R7093" s="23" t="str">
        <f t="shared" si="1284"/>
        <v/>
      </c>
      <c r="S7093" s="23">
        <f t="shared" si="1285"/>
        <v>1346</v>
      </c>
      <c r="T7093" s="23" t="str">
        <f t="shared" si="1286"/>
        <v/>
      </c>
      <c r="U7093" t="str">
        <f t="shared" si="1287"/>
        <v/>
      </c>
      <c r="V7093" s="376"/>
      <c r="W7093" s="53"/>
      <c r="X7093" s="53"/>
      <c r="Y7093"/>
      <c r="Z7093"/>
      <c r="AA7093" s="23"/>
      <c r="AB7093"/>
      <c r="AC7093" s="272"/>
      <c r="AD7093" s="272"/>
      <c r="AE7093" s="273"/>
      <c r="AM7093" s="29"/>
      <c r="AN7093"/>
      <c r="AO7093"/>
      <c r="AP7093"/>
      <c r="AQ7093" s="29"/>
      <c r="AR7093" s="29"/>
      <c r="AS7093" s="29"/>
      <c r="AT7093"/>
      <c r="AV7093"/>
      <c r="AW7093"/>
    </row>
    <row r="7094" spans="1:49">
      <c r="A7094" s="23" t="s">
        <v>8050</v>
      </c>
      <c r="B7094" t="s">
        <v>7712</v>
      </c>
      <c r="C7094">
        <v>1</v>
      </c>
      <c r="D7094" s="55" t="str">
        <f t="shared" si="1280"/>
        <v>:Board of Education*3(vote 1)</v>
      </c>
      <c r="E7094" t="s">
        <v>7923</v>
      </c>
      <c r="F7094" t="s">
        <v>1300</v>
      </c>
      <c r="G7094" s="254">
        <v>910</v>
      </c>
      <c r="H7094"/>
      <c r="J7094" s="7"/>
      <c r="K7094" s="2"/>
      <c r="O7094">
        <f t="shared" si="1281"/>
        <v>4</v>
      </c>
      <c r="P7094" s="57">
        <f t="shared" si="1282"/>
        <v>1</v>
      </c>
      <c r="Q7094" s="267">
        <f t="shared" si="1283"/>
        <v>910</v>
      </c>
      <c r="R7094" s="23" t="str">
        <f t="shared" si="1284"/>
        <v/>
      </c>
      <c r="S7094" s="23">
        <f t="shared" si="1285"/>
        <v>910</v>
      </c>
      <c r="T7094" s="23" t="str">
        <f t="shared" si="1286"/>
        <v/>
      </c>
      <c r="U7094" t="str">
        <f t="shared" si="1287"/>
        <v/>
      </c>
      <c r="V7094" s="376"/>
      <c r="W7094" s="53"/>
      <c r="X7094" s="53"/>
      <c r="Y7094"/>
      <c r="Z7094"/>
      <c r="AA7094" s="23"/>
      <c r="AB7094"/>
      <c r="AC7094" s="272"/>
      <c r="AD7094" s="272"/>
      <c r="AE7094" s="273"/>
      <c r="AM7094" s="29"/>
      <c r="AN7094"/>
      <c r="AO7094"/>
      <c r="AP7094"/>
      <c r="AQ7094" s="29"/>
      <c r="AR7094" s="29"/>
      <c r="AS7094" s="29"/>
      <c r="AT7094"/>
      <c r="AV7094"/>
      <c r="AW7094"/>
    </row>
    <row r="7095" spans="1:49">
      <c r="A7095" s="23" t="s">
        <v>8051</v>
      </c>
      <c r="B7095" t="s">
        <v>7712</v>
      </c>
      <c r="C7095">
        <v>1</v>
      </c>
      <c r="D7095" s="55" t="str">
        <f t="shared" si="1280"/>
        <v>:Board of Education*4(vote 1)</v>
      </c>
      <c r="E7095" t="s">
        <v>7924</v>
      </c>
      <c r="F7095" t="s">
        <v>1300</v>
      </c>
      <c r="G7095" s="254">
        <v>4353</v>
      </c>
      <c r="H7095"/>
      <c r="J7095" s="7"/>
      <c r="K7095" s="2"/>
      <c r="O7095">
        <f t="shared" si="1281"/>
        <v>1</v>
      </c>
      <c r="P7095" s="57">
        <f t="shared" si="1282"/>
        <v>1</v>
      </c>
      <c r="Q7095" s="267">
        <f t="shared" si="1283"/>
        <v>9857</v>
      </c>
      <c r="R7095" s="23">
        <f t="shared" si="1284"/>
        <v>4353</v>
      </c>
      <c r="S7095" s="23">
        <f t="shared" si="1285"/>
        <v>3186</v>
      </c>
      <c r="T7095" s="23">
        <f t="shared" si="1286"/>
        <v>1167</v>
      </c>
      <c r="U7095" t="str">
        <f t="shared" si="1287"/>
        <v>MD_2020g~Cnty18:Board of Education*4(vote 1)</v>
      </c>
      <c r="V7095" s="376"/>
      <c r="W7095" s="53"/>
      <c r="X7095" s="53"/>
      <c r="Y7095"/>
      <c r="Z7095"/>
      <c r="AA7095" s="23"/>
      <c r="AB7095"/>
      <c r="AC7095" s="272"/>
      <c r="AD7095" s="272"/>
      <c r="AE7095" s="273"/>
      <c r="AM7095" s="29"/>
      <c r="AN7095"/>
      <c r="AO7095"/>
      <c r="AP7095"/>
      <c r="AQ7095" s="29"/>
      <c r="AR7095" s="29"/>
      <c r="AS7095" s="29"/>
      <c r="AT7095"/>
      <c r="AV7095"/>
      <c r="AW7095"/>
    </row>
    <row r="7096" spans="1:49">
      <c r="A7096" s="23" t="s">
        <v>8051</v>
      </c>
      <c r="B7096" t="s">
        <v>7712</v>
      </c>
      <c r="C7096">
        <v>1</v>
      </c>
      <c r="D7096" s="55" t="str">
        <f t="shared" si="1280"/>
        <v>:Board of Education*4(vote 1)</v>
      </c>
      <c r="E7096" t="s">
        <v>7925</v>
      </c>
      <c r="F7096" t="s">
        <v>1300</v>
      </c>
      <c r="G7096" s="254">
        <v>3186</v>
      </c>
      <c r="H7096"/>
      <c r="J7096" s="7"/>
      <c r="K7096" s="2"/>
      <c r="O7096">
        <f t="shared" si="1281"/>
        <v>2</v>
      </c>
      <c r="P7096" s="57">
        <f t="shared" si="1282"/>
        <v>1</v>
      </c>
      <c r="Q7096" s="267">
        <f t="shared" si="1283"/>
        <v>5504</v>
      </c>
      <c r="R7096" s="23" t="str">
        <f t="shared" si="1284"/>
        <v/>
      </c>
      <c r="S7096" s="23">
        <f t="shared" si="1285"/>
        <v>3186</v>
      </c>
      <c r="T7096" s="23" t="str">
        <f t="shared" si="1286"/>
        <v/>
      </c>
      <c r="U7096" t="str">
        <f t="shared" si="1287"/>
        <v/>
      </c>
      <c r="V7096" s="376"/>
      <c r="W7096" s="53"/>
      <c r="X7096" s="53"/>
      <c r="Y7096"/>
      <c r="Z7096"/>
      <c r="AA7096" s="23"/>
      <c r="AB7096"/>
      <c r="AC7096" s="272"/>
      <c r="AD7096" s="272"/>
      <c r="AE7096" s="273"/>
      <c r="AM7096" s="29"/>
      <c r="AN7096"/>
      <c r="AO7096"/>
      <c r="AP7096"/>
      <c r="AQ7096" s="29"/>
      <c r="AR7096" s="29"/>
      <c r="AS7096" s="29"/>
      <c r="AT7096"/>
      <c r="AV7096"/>
      <c r="AW7096"/>
    </row>
    <row r="7097" spans="1:49">
      <c r="A7097" s="23" t="s">
        <v>8051</v>
      </c>
      <c r="B7097" t="s">
        <v>7712</v>
      </c>
      <c r="C7097">
        <v>1</v>
      </c>
      <c r="D7097" s="55" t="str">
        <f t="shared" si="1280"/>
        <v>:Board of Education*4(vote 1)</v>
      </c>
      <c r="E7097" t="s">
        <v>7722</v>
      </c>
      <c r="F7097" t="s">
        <v>1300</v>
      </c>
      <c r="G7097" s="254">
        <v>1036</v>
      </c>
      <c r="H7097"/>
      <c r="J7097" s="7"/>
      <c r="K7097" s="2"/>
      <c r="O7097">
        <f t="shared" si="1281"/>
        <v>3</v>
      </c>
      <c r="P7097" s="57">
        <f t="shared" si="1282"/>
        <v>1</v>
      </c>
      <c r="Q7097" s="267">
        <f t="shared" si="1283"/>
        <v>2318</v>
      </c>
      <c r="R7097" s="23" t="str">
        <f t="shared" si="1284"/>
        <v/>
      </c>
      <c r="S7097" s="23">
        <f t="shared" si="1285"/>
        <v>1036</v>
      </c>
      <c r="T7097" s="23" t="str">
        <f t="shared" si="1286"/>
        <v/>
      </c>
      <c r="U7097" t="str">
        <f t="shared" si="1287"/>
        <v/>
      </c>
      <c r="V7097" s="376"/>
      <c r="W7097" s="53"/>
      <c r="X7097" s="53"/>
      <c r="Y7097"/>
      <c r="Z7097"/>
      <c r="AA7097" s="23"/>
      <c r="AB7097"/>
      <c r="AC7097" s="272"/>
      <c r="AD7097" s="272"/>
      <c r="AE7097" s="273"/>
      <c r="AM7097" s="29"/>
      <c r="AN7097"/>
      <c r="AO7097"/>
      <c r="AP7097"/>
      <c r="AQ7097" s="29"/>
      <c r="AR7097" s="29"/>
      <c r="AS7097" s="29"/>
      <c r="AT7097"/>
      <c r="AV7097"/>
      <c r="AW7097"/>
    </row>
    <row r="7098" spans="1:49">
      <c r="A7098" s="23" t="s">
        <v>8051</v>
      </c>
      <c r="B7098" t="s">
        <v>7712</v>
      </c>
      <c r="C7098">
        <v>1</v>
      </c>
      <c r="D7098" s="55" t="str">
        <f t="shared" si="1280"/>
        <v>:Board of Education*4(vote 1)</v>
      </c>
      <c r="E7098" t="s">
        <v>7926</v>
      </c>
      <c r="F7098" t="s">
        <v>1300</v>
      </c>
      <c r="G7098" s="254">
        <v>754</v>
      </c>
      <c r="H7098"/>
      <c r="J7098" s="7"/>
      <c r="K7098" s="2"/>
      <c r="O7098">
        <f t="shared" si="1281"/>
        <v>4</v>
      </c>
      <c r="P7098" s="57">
        <f t="shared" si="1282"/>
        <v>1</v>
      </c>
      <c r="Q7098" s="267">
        <f t="shared" si="1283"/>
        <v>1282</v>
      </c>
      <c r="R7098" s="23" t="str">
        <f t="shared" si="1284"/>
        <v/>
      </c>
      <c r="S7098" s="23">
        <f t="shared" si="1285"/>
        <v>754</v>
      </c>
      <c r="T7098" s="23" t="str">
        <f t="shared" si="1286"/>
        <v/>
      </c>
      <c r="U7098" t="str">
        <f t="shared" si="1287"/>
        <v/>
      </c>
      <c r="V7098" s="376"/>
      <c r="W7098" s="53"/>
      <c r="X7098" s="53"/>
      <c r="Y7098"/>
      <c r="Z7098"/>
      <c r="AA7098" s="23"/>
      <c r="AB7098"/>
      <c r="AC7098" s="272"/>
      <c r="AD7098" s="272"/>
      <c r="AE7098" s="273"/>
      <c r="AM7098" s="29"/>
      <c r="AN7098"/>
      <c r="AO7098"/>
      <c r="AP7098"/>
      <c r="AQ7098" s="29"/>
      <c r="AR7098" s="29"/>
      <c r="AS7098" s="29"/>
      <c r="AT7098"/>
      <c r="AV7098"/>
      <c r="AW7098"/>
    </row>
    <row r="7099" spans="1:49">
      <c r="A7099" s="23" t="s">
        <v>8051</v>
      </c>
      <c r="B7099" t="s">
        <v>7712</v>
      </c>
      <c r="C7099">
        <v>1</v>
      </c>
      <c r="D7099" s="55" t="str">
        <f t="shared" si="1280"/>
        <v>:Board of Education*4(vote 1)</v>
      </c>
      <c r="E7099" t="s">
        <v>7927</v>
      </c>
      <c r="F7099" t="s">
        <v>1300</v>
      </c>
      <c r="G7099" s="254">
        <v>528</v>
      </c>
      <c r="H7099"/>
      <c r="J7099" s="7"/>
      <c r="K7099" s="2"/>
      <c r="O7099">
        <f t="shared" si="1281"/>
        <v>5</v>
      </c>
      <c r="P7099" s="57">
        <f t="shared" si="1282"/>
        <v>1</v>
      </c>
      <c r="Q7099" s="267">
        <f t="shared" si="1283"/>
        <v>528</v>
      </c>
      <c r="R7099" s="23" t="str">
        <f t="shared" si="1284"/>
        <v/>
      </c>
      <c r="S7099" s="23">
        <f t="shared" si="1285"/>
        <v>528</v>
      </c>
      <c r="T7099" s="23" t="str">
        <f t="shared" si="1286"/>
        <v/>
      </c>
      <c r="U7099" t="str">
        <f t="shared" si="1287"/>
        <v/>
      </c>
      <c r="V7099" s="376"/>
      <c r="W7099" s="53"/>
      <c r="X7099" s="53"/>
      <c r="Y7099"/>
      <c r="Z7099"/>
      <c r="AA7099" s="23"/>
      <c r="AB7099"/>
      <c r="AC7099" s="272"/>
      <c r="AD7099" s="272"/>
      <c r="AE7099" s="273"/>
      <c r="AM7099" s="29"/>
      <c r="AN7099"/>
      <c r="AO7099"/>
      <c r="AP7099"/>
      <c r="AQ7099" s="29"/>
      <c r="AR7099" s="29"/>
      <c r="AS7099" s="29"/>
      <c r="AT7099"/>
      <c r="AV7099"/>
      <c r="AW7099"/>
    </row>
    <row r="7100" spans="1:49">
      <c r="A7100" s="23" t="s">
        <v>8052</v>
      </c>
      <c r="B7100" t="s">
        <v>7712</v>
      </c>
      <c r="C7100">
        <v>1</v>
      </c>
      <c r="D7100" s="55" t="str">
        <f t="shared" si="1280"/>
        <v>:Judge of the Circuit Court*2(vote 1)</v>
      </c>
      <c r="E7100" t="s">
        <v>7928</v>
      </c>
      <c r="F7100" t="s">
        <v>7714</v>
      </c>
      <c r="G7100" s="254">
        <v>22158</v>
      </c>
      <c r="H7100"/>
      <c r="J7100" s="7"/>
      <c r="K7100" s="2"/>
      <c r="O7100">
        <f t="shared" si="1281"/>
        <v>1</v>
      </c>
      <c r="P7100" s="57">
        <f t="shared" si="1282"/>
        <v>1</v>
      </c>
      <c r="Q7100" s="267">
        <f t="shared" si="1283"/>
        <v>22419</v>
      </c>
      <c r="R7100" s="23">
        <f t="shared" si="1284"/>
        <v>22158</v>
      </c>
      <c r="S7100" s="23">
        <f t="shared" si="1285"/>
        <v>261</v>
      </c>
      <c r="T7100" s="23">
        <f t="shared" si="1286"/>
        <v>21897</v>
      </c>
      <c r="U7100" t="str">
        <f t="shared" si="1287"/>
        <v>MD_2020g~Cnty18:Judge of the Circuit Court*2(vote 1)</v>
      </c>
      <c r="V7100" s="376"/>
      <c r="W7100" s="53"/>
      <c r="X7100" s="53"/>
      <c r="Y7100"/>
      <c r="Z7100"/>
      <c r="AA7100" s="23"/>
      <c r="AB7100"/>
      <c r="AC7100" s="272"/>
      <c r="AD7100" s="272"/>
      <c r="AE7100" s="273"/>
      <c r="AM7100" s="29"/>
      <c r="AN7100"/>
      <c r="AO7100"/>
      <c r="AP7100"/>
      <c r="AQ7100" s="29"/>
      <c r="AR7100" s="29"/>
      <c r="AS7100" s="29"/>
      <c r="AT7100"/>
      <c r="AV7100"/>
      <c r="AW7100"/>
    </row>
    <row r="7101" spans="1:49">
      <c r="A7101" s="23" t="s">
        <v>8052</v>
      </c>
      <c r="B7101" t="s">
        <v>7712</v>
      </c>
      <c r="C7101">
        <v>1</v>
      </c>
      <c r="D7101" s="55" t="str">
        <f t="shared" si="1280"/>
        <v>:Judge of the Circuit Court*2(vote 1)</v>
      </c>
      <c r="E7101" t="s">
        <v>7722</v>
      </c>
      <c r="F7101" t="s">
        <v>7714</v>
      </c>
      <c r="G7101" s="254">
        <v>261</v>
      </c>
      <c r="H7101"/>
      <c r="J7101" s="7"/>
      <c r="K7101" s="2"/>
      <c r="O7101">
        <f t="shared" si="1281"/>
        <v>2</v>
      </c>
      <c r="P7101" s="57">
        <f t="shared" si="1282"/>
        <v>1</v>
      </c>
      <c r="Q7101" s="267">
        <f t="shared" si="1283"/>
        <v>261</v>
      </c>
      <c r="R7101" s="23" t="str">
        <f t="shared" si="1284"/>
        <v/>
      </c>
      <c r="S7101" s="23">
        <f t="shared" si="1285"/>
        <v>261</v>
      </c>
      <c r="T7101" s="23" t="str">
        <f t="shared" si="1286"/>
        <v/>
      </c>
      <c r="U7101" t="str">
        <f t="shared" si="1287"/>
        <v/>
      </c>
      <c r="V7101" s="376"/>
      <c r="W7101" s="53"/>
      <c r="X7101" s="53"/>
      <c r="Y7101"/>
      <c r="Z7101"/>
      <c r="AA7101" s="23"/>
      <c r="AB7101"/>
      <c r="AC7101" s="272"/>
      <c r="AD7101" s="272"/>
      <c r="AE7101" s="273"/>
      <c r="AM7101" s="29"/>
      <c r="AN7101"/>
      <c r="AO7101"/>
      <c r="AP7101"/>
      <c r="AQ7101" s="29"/>
      <c r="AR7101" s="29"/>
      <c r="AS7101" s="29"/>
      <c r="AT7101"/>
      <c r="AV7101"/>
      <c r="AW7101"/>
    </row>
    <row r="7102" spans="1:49">
      <c r="A7102" s="23" t="s">
        <v>8055</v>
      </c>
      <c r="B7102" t="s">
        <v>7712</v>
      </c>
      <c r="C7102">
        <v>1</v>
      </c>
      <c r="D7102" s="55" t="str">
        <f t="shared" si="1280"/>
        <v>:Board of Education At Large*(vote 1)</v>
      </c>
      <c r="E7102" t="s">
        <v>7932</v>
      </c>
      <c r="F7102" t="s">
        <v>1300</v>
      </c>
      <c r="G7102" s="254">
        <v>37973</v>
      </c>
      <c r="H7102"/>
      <c r="J7102" s="7"/>
      <c r="K7102" s="2"/>
      <c r="O7102">
        <f t="shared" si="1281"/>
        <v>1</v>
      </c>
      <c r="P7102" s="57">
        <f t="shared" si="1282"/>
        <v>1</v>
      </c>
      <c r="Q7102" s="267">
        <f t="shared" si="1283"/>
        <v>45775</v>
      </c>
      <c r="R7102" s="23">
        <f t="shared" si="1284"/>
        <v>37973</v>
      </c>
      <c r="S7102" s="23">
        <f t="shared" si="1285"/>
        <v>7529</v>
      </c>
      <c r="T7102" s="23">
        <f t="shared" si="1286"/>
        <v>30444</v>
      </c>
      <c r="U7102" t="str">
        <f t="shared" si="1287"/>
        <v>MD_2020g~Cnty19:Board of Education At Large*(vote 1)</v>
      </c>
      <c r="V7102" s="376"/>
      <c r="W7102" s="53"/>
      <c r="X7102" s="53"/>
      <c r="Y7102"/>
      <c r="Z7102"/>
      <c r="AA7102" s="23"/>
      <c r="AB7102"/>
      <c r="AC7102" s="272"/>
      <c r="AD7102" s="272"/>
      <c r="AE7102" s="273"/>
      <c r="AM7102" s="29"/>
      <c r="AN7102"/>
      <c r="AO7102"/>
      <c r="AP7102"/>
      <c r="AQ7102" s="29"/>
      <c r="AR7102" s="29"/>
      <c r="AS7102" s="29"/>
      <c r="AT7102"/>
      <c r="AV7102"/>
      <c r="AW7102"/>
    </row>
    <row r="7103" spans="1:49">
      <c r="A7103" s="23" t="s">
        <v>8055</v>
      </c>
      <c r="B7103" t="s">
        <v>7712</v>
      </c>
      <c r="C7103">
        <v>1</v>
      </c>
      <c r="D7103" s="55" t="str">
        <f t="shared" si="1280"/>
        <v>:Board of Education At Large*(vote 1)</v>
      </c>
      <c r="E7103" t="s">
        <v>7933</v>
      </c>
      <c r="F7103" t="s">
        <v>1300</v>
      </c>
      <c r="G7103" s="254">
        <v>7529</v>
      </c>
      <c r="H7103"/>
      <c r="J7103" s="7"/>
      <c r="K7103" s="2"/>
      <c r="O7103">
        <f t="shared" si="1281"/>
        <v>2</v>
      </c>
      <c r="P7103" s="57">
        <f t="shared" si="1282"/>
        <v>1</v>
      </c>
      <c r="Q7103" s="267">
        <f t="shared" si="1283"/>
        <v>7802</v>
      </c>
      <c r="R7103" s="23" t="str">
        <f t="shared" si="1284"/>
        <v/>
      </c>
      <c r="S7103" s="23">
        <f t="shared" si="1285"/>
        <v>7529</v>
      </c>
      <c r="T7103" s="23" t="str">
        <f t="shared" si="1286"/>
        <v/>
      </c>
      <c r="U7103" t="str">
        <f t="shared" si="1287"/>
        <v/>
      </c>
      <c r="V7103" s="376"/>
      <c r="W7103" s="53"/>
      <c r="X7103" s="53"/>
      <c r="Y7103"/>
      <c r="Z7103"/>
      <c r="AA7103" s="23"/>
      <c r="AB7103"/>
      <c r="AC7103" s="272"/>
      <c r="AD7103" s="272"/>
      <c r="AE7103" s="273"/>
      <c r="AM7103" s="29"/>
      <c r="AN7103"/>
      <c r="AO7103"/>
      <c r="AP7103"/>
      <c r="AQ7103" s="29"/>
      <c r="AR7103" s="29"/>
      <c r="AS7103" s="29"/>
      <c r="AT7103"/>
      <c r="AV7103"/>
      <c r="AW7103"/>
    </row>
    <row r="7104" spans="1:49">
      <c r="A7104" s="23" t="s">
        <v>8055</v>
      </c>
      <c r="B7104" t="s">
        <v>7712</v>
      </c>
      <c r="C7104">
        <v>1</v>
      </c>
      <c r="D7104" s="55" t="str">
        <f t="shared" si="1280"/>
        <v>:Board of Education At Large*(vote 1)</v>
      </c>
      <c r="E7104" t="s">
        <v>7722</v>
      </c>
      <c r="F7104" t="s">
        <v>1300</v>
      </c>
      <c r="G7104" s="254">
        <v>273</v>
      </c>
      <c r="H7104"/>
      <c r="J7104" s="7"/>
      <c r="K7104" s="2"/>
      <c r="O7104">
        <f t="shared" si="1281"/>
        <v>3</v>
      </c>
      <c r="P7104" s="57">
        <f t="shared" si="1282"/>
        <v>1</v>
      </c>
      <c r="Q7104" s="267">
        <f t="shared" si="1283"/>
        <v>273</v>
      </c>
      <c r="R7104" s="23" t="str">
        <f t="shared" si="1284"/>
        <v/>
      </c>
      <c r="S7104" s="23">
        <f t="shared" si="1285"/>
        <v>273</v>
      </c>
      <c r="T7104" s="23" t="str">
        <f t="shared" si="1286"/>
        <v/>
      </c>
      <c r="U7104" t="str">
        <f t="shared" si="1287"/>
        <v/>
      </c>
      <c r="V7104" s="376"/>
      <c r="W7104" s="53"/>
      <c r="X7104" s="53"/>
      <c r="Y7104"/>
      <c r="Z7104"/>
      <c r="AA7104" s="23"/>
      <c r="AB7104"/>
      <c r="AC7104" s="272"/>
      <c r="AD7104" s="272"/>
      <c r="AE7104" s="273"/>
      <c r="AM7104" s="29"/>
      <c r="AN7104"/>
      <c r="AO7104"/>
      <c r="AP7104"/>
      <c r="AQ7104" s="29"/>
      <c r="AR7104" s="29"/>
      <c r="AS7104" s="29"/>
      <c r="AT7104"/>
      <c r="AV7104"/>
      <c r="AW7104"/>
    </row>
    <row r="7105" spans="1:49">
      <c r="A7105" s="23" t="s">
        <v>8053</v>
      </c>
      <c r="B7105" t="s">
        <v>7712</v>
      </c>
      <c r="C7105">
        <v>1</v>
      </c>
      <c r="D7105" s="55" t="str">
        <f t="shared" si="1280"/>
        <v>:Board of Education*2(vote 1)</v>
      </c>
      <c r="E7105" t="s">
        <v>7929</v>
      </c>
      <c r="F7105" t="s">
        <v>1300</v>
      </c>
      <c r="G7105" s="254">
        <v>23894</v>
      </c>
      <c r="H7105"/>
      <c r="J7105" s="7"/>
      <c r="K7105" s="2"/>
      <c r="O7105">
        <f t="shared" si="1281"/>
        <v>1</v>
      </c>
      <c r="P7105" s="57">
        <f t="shared" si="1282"/>
        <v>1</v>
      </c>
      <c r="Q7105" s="267">
        <f t="shared" si="1283"/>
        <v>45061</v>
      </c>
      <c r="R7105" s="23">
        <f t="shared" si="1284"/>
        <v>23894</v>
      </c>
      <c r="S7105" s="23">
        <f t="shared" si="1285"/>
        <v>20985</v>
      </c>
      <c r="T7105" s="23">
        <f t="shared" si="1286"/>
        <v>2909</v>
      </c>
      <c r="U7105" t="str">
        <f t="shared" si="1287"/>
        <v>MD_2020g~Cnty19:Board of Education*2(vote 1)</v>
      </c>
      <c r="V7105" s="376"/>
      <c r="W7105" s="53"/>
      <c r="X7105" s="53"/>
      <c r="Y7105"/>
      <c r="Z7105"/>
      <c r="AA7105" s="23"/>
      <c r="AB7105"/>
      <c r="AC7105" s="272"/>
      <c r="AD7105" s="272"/>
      <c r="AE7105" s="273"/>
      <c r="AM7105" s="29"/>
      <c r="AN7105"/>
      <c r="AO7105"/>
      <c r="AP7105"/>
      <c r="AQ7105" s="29"/>
      <c r="AR7105" s="29"/>
      <c r="AS7105" s="29"/>
      <c r="AT7105"/>
      <c r="AV7105"/>
      <c r="AW7105"/>
    </row>
    <row r="7106" spans="1:49">
      <c r="A7106" s="23" t="s">
        <v>8053</v>
      </c>
      <c r="B7106" t="s">
        <v>7712</v>
      </c>
      <c r="C7106">
        <v>1</v>
      </c>
      <c r="D7106" s="55" t="str">
        <f t="shared" si="1280"/>
        <v>:Board of Education*2(vote 1)</v>
      </c>
      <c r="E7106" t="s">
        <v>7930</v>
      </c>
      <c r="F7106" t="s">
        <v>1300</v>
      </c>
      <c r="G7106" s="254">
        <v>20985</v>
      </c>
      <c r="H7106"/>
      <c r="J7106" s="7"/>
      <c r="K7106" s="2"/>
      <c r="O7106">
        <f t="shared" si="1281"/>
        <v>2</v>
      </c>
      <c r="P7106" s="57">
        <f t="shared" si="1282"/>
        <v>1</v>
      </c>
      <c r="Q7106" s="267">
        <f t="shared" si="1283"/>
        <v>21167</v>
      </c>
      <c r="R7106" s="23" t="str">
        <f t="shared" si="1284"/>
        <v/>
      </c>
      <c r="S7106" s="23">
        <f t="shared" si="1285"/>
        <v>20985</v>
      </c>
      <c r="T7106" s="23" t="str">
        <f t="shared" si="1286"/>
        <v/>
      </c>
      <c r="U7106" t="str">
        <f t="shared" si="1287"/>
        <v/>
      </c>
      <c r="V7106" s="376"/>
      <c r="W7106" s="53"/>
      <c r="X7106" s="53"/>
      <c r="Y7106"/>
      <c r="Z7106"/>
      <c r="AA7106" s="23"/>
      <c r="AB7106"/>
      <c r="AC7106" s="272"/>
      <c r="AD7106" s="272"/>
      <c r="AE7106" s="273"/>
      <c r="AM7106" s="29"/>
      <c r="AN7106"/>
      <c r="AO7106"/>
      <c r="AP7106"/>
      <c r="AQ7106" s="29"/>
      <c r="AR7106" s="29"/>
      <c r="AS7106" s="29"/>
      <c r="AT7106"/>
      <c r="AV7106"/>
      <c r="AW7106"/>
    </row>
    <row r="7107" spans="1:49">
      <c r="A7107" s="23" t="s">
        <v>8053</v>
      </c>
      <c r="B7107" t="s">
        <v>7712</v>
      </c>
      <c r="C7107">
        <v>1</v>
      </c>
      <c r="D7107" s="55" t="str">
        <f t="shared" si="1280"/>
        <v>:Board of Education*2(vote 1)</v>
      </c>
      <c r="E7107" t="s">
        <v>7722</v>
      </c>
      <c r="F7107" t="s">
        <v>1300</v>
      </c>
      <c r="G7107" s="254">
        <v>182</v>
      </c>
      <c r="H7107"/>
      <c r="J7107" s="7"/>
      <c r="K7107" s="2"/>
      <c r="O7107">
        <f t="shared" si="1281"/>
        <v>3</v>
      </c>
      <c r="P7107" s="57">
        <f t="shared" si="1282"/>
        <v>1</v>
      </c>
      <c r="Q7107" s="267">
        <f t="shared" si="1283"/>
        <v>182</v>
      </c>
      <c r="R7107" s="23" t="str">
        <f t="shared" si="1284"/>
        <v/>
      </c>
      <c r="S7107" s="23">
        <f t="shared" si="1285"/>
        <v>182</v>
      </c>
      <c r="T7107" s="23" t="str">
        <f t="shared" si="1286"/>
        <v/>
      </c>
      <c r="U7107" t="str">
        <f t="shared" si="1287"/>
        <v/>
      </c>
      <c r="V7107" s="376"/>
      <c r="W7107" s="53"/>
      <c r="X7107" s="53"/>
      <c r="Y7107"/>
      <c r="Z7107"/>
      <c r="AA7107" s="23"/>
      <c r="AB7107"/>
      <c r="AC7107" s="272"/>
      <c r="AD7107" s="272"/>
      <c r="AE7107" s="273"/>
      <c r="AM7107" s="29"/>
      <c r="AN7107"/>
      <c r="AO7107"/>
      <c r="AP7107"/>
      <c r="AQ7107" s="29"/>
      <c r="AR7107" s="29"/>
      <c r="AS7107" s="29"/>
      <c r="AT7107"/>
      <c r="AV7107"/>
      <c r="AW7107"/>
    </row>
    <row r="7108" spans="1:49">
      <c r="A7108" s="23" t="s">
        <v>8054</v>
      </c>
      <c r="B7108" t="s">
        <v>7712</v>
      </c>
      <c r="C7108">
        <v>1</v>
      </c>
      <c r="D7108" s="55" t="str">
        <f t="shared" si="1280"/>
        <v>:Board of Education*4(vote 1)</v>
      </c>
      <c r="E7108" t="s">
        <v>7931</v>
      </c>
      <c r="F7108" t="s">
        <v>1300</v>
      </c>
      <c r="G7108" s="254">
        <v>42025</v>
      </c>
      <c r="H7108"/>
      <c r="J7108" s="7"/>
      <c r="K7108" s="2"/>
      <c r="O7108">
        <f t="shared" si="1281"/>
        <v>1</v>
      </c>
      <c r="P7108" s="57">
        <f t="shared" si="1282"/>
        <v>1</v>
      </c>
      <c r="Q7108" s="267">
        <f t="shared" si="1283"/>
        <v>42680</v>
      </c>
      <c r="R7108" s="23">
        <f t="shared" si="1284"/>
        <v>42025</v>
      </c>
      <c r="S7108" s="23">
        <f t="shared" si="1285"/>
        <v>655</v>
      </c>
      <c r="T7108" s="23">
        <f t="shared" si="1286"/>
        <v>41370</v>
      </c>
      <c r="U7108" t="str">
        <f t="shared" si="1287"/>
        <v>MD_2020g~Cnty19:Board of Education*4(vote 1)</v>
      </c>
      <c r="V7108" s="376"/>
      <c r="W7108" s="53"/>
      <c r="X7108" s="53"/>
      <c r="Y7108"/>
      <c r="Z7108"/>
      <c r="AA7108" s="23"/>
      <c r="AB7108"/>
      <c r="AC7108" s="272"/>
      <c r="AD7108" s="272"/>
      <c r="AE7108" s="273"/>
      <c r="AM7108" s="29"/>
      <c r="AN7108"/>
      <c r="AO7108"/>
      <c r="AP7108"/>
      <c r="AQ7108" s="29"/>
      <c r="AR7108" s="29"/>
      <c r="AS7108" s="29"/>
      <c r="AT7108"/>
      <c r="AV7108"/>
      <c r="AW7108"/>
    </row>
    <row r="7109" spans="1:49">
      <c r="A7109" s="23" t="s">
        <v>8054</v>
      </c>
      <c r="B7109" t="s">
        <v>7712</v>
      </c>
      <c r="C7109">
        <v>1</v>
      </c>
      <c r="D7109" s="55" t="str">
        <f t="shared" si="1280"/>
        <v>:Board of Education*4(vote 1)</v>
      </c>
      <c r="E7109" t="s">
        <v>7722</v>
      </c>
      <c r="F7109" t="s">
        <v>1300</v>
      </c>
      <c r="G7109" s="254">
        <v>655</v>
      </c>
      <c r="H7109"/>
      <c r="J7109" s="7"/>
      <c r="K7109" s="2"/>
      <c r="O7109">
        <f t="shared" si="1281"/>
        <v>2</v>
      </c>
      <c r="P7109" s="57">
        <f t="shared" si="1282"/>
        <v>1</v>
      </c>
      <c r="Q7109" s="267">
        <f t="shared" si="1283"/>
        <v>655</v>
      </c>
      <c r="R7109" s="23" t="str">
        <f t="shared" si="1284"/>
        <v/>
      </c>
      <c r="S7109" s="23">
        <f t="shared" si="1285"/>
        <v>655</v>
      </c>
      <c r="T7109" s="23" t="str">
        <f t="shared" si="1286"/>
        <v/>
      </c>
      <c r="U7109" t="str">
        <f t="shared" si="1287"/>
        <v/>
      </c>
      <c r="V7109" s="376"/>
      <c r="W7109" s="53"/>
      <c r="X7109" s="53"/>
      <c r="Y7109"/>
      <c r="Z7109"/>
      <c r="AA7109" s="23"/>
      <c r="AB7109"/>
      <c r="AC7109" s="272"/>
      <c r="AD7109" s="272"/>
      <c r="AE7109" s="273"/>
      <c r="AM7109" s="29"/>
      <c r="AN7109"/>
      <c r="AO7109"/>
      <c r="AP7109"/>
      <c r="AQ7109" s="29"/>
      <c r="AR7109" s="29"/>
      <c r="AS7109" s="29"/>
      <c r="AT7109"/>
      <c r="AV7109"/>
      <c r="AW7109"/>
    </row>
    <row r="7110" spans="1:49">
      <c r="A7110" s="23" t="s">
        <v>8056</v>
      </c>
      <c r="B7110" t="s">
        <v>7712</v>
      </c>
      <c r="C7110">
        <v>1</v>
      </c>
      <c r="D7110" s="55" t="str">
        <f t="shared" si="1280"/>
        <v>:Judge of the Circuit Court*7(vote 1)</v>
      </c>
      <c r="E7110" t="s">
        <v>7934</v>
      </c>
      <c r="F7110" t="s">
        <v>7714</v>
      </c>
      <c r="G7110" s="254">
        <v>41829</v>
      </c>
      <c r="H7110"/>
      <c r="J7110" s="7"/>
      <c r="K7110" s="2"/>
      <c r="O7110">
        <f t="shared" si="1281"/>
        <v>1</v>
      </c>
      <c r="P7110" s="57">
        <f t="shared" si="1282"/>
        <v>1</v>
      </c>
      <c r="Q7110" s="267">
        <f t="shared" si="1283"/>
        <v>42432</v>
      </c>
      <c r="R7110" s="23">
        <f t="shared" si="1284"/>
        <v>41829</v>
      </c>
      <c r="S7110" s="23">
        <f t="shared" si="1285"/>
        <v>603</v>
      </c>
      <c r="T7110" s="23">
        <f t="shared" si="1286"/>
        <v>41226</v>
      </c>
      <c r="U7110" t="str">
        <f t="shared" si="1287"/>
        <v>MD_2020g~Cnty19:Judge of the Circuit Court*7(vote 1)</v>
      </c>
      <c r="V7110" s="376"/>
      <c r="W7110" s="53"/>
      <c r="X7110" s="53"/>
      <c r="Y7110"/>
      <c r="Z7110"/>
      <c r="AA7110" s="23"/>
      <c r="AB7110"/>
      <c r="AC7110" s="272"/>
      <c r="AD7110" s="272"/>
      <c r="AE7110" s="273"/>
      <c r="AM7110" s="29"/>
      <c r="AN7110"/>
      <c r="AO7110"/>
      <c r="AP7110"/>
      <c r="AQ7110" s="29"/>
      <c r="AR7110" s="29"/>
      <c r="AS7110" s="29"/>
      <c r="AT7110"/>
      <c r="AV7110"/>
      <c r="AW7110"/>
    </row>
    <row r="7111" spans="1:49">
      <c r="A7111" s="23" t="s">
        <v>8056</v>
      </c>
      <c r="B7111" t="s">
        <v>7712</v>
      </c>
      <c r="C7111">
        <v>1</v>
      </c>
      <c r="D7111" s="55" t="str">
        <f t="shared" si="1280"/>
        <v>:Judge of the Circuit Court*7(vote 1)</v>
      </c>
      <c r="E7111" t="s">
        <v>7722</v>
      </c>
      <c r="F7111" t="s">
        <v>7714</v>
      </c>
      <c r="G7111" s="254">
        <v>603</v>
      </c>
      <c r="H7111"/>
      <c r="J7111" s="7"/>
      <c r="K7111" s="2"/>
      <c r="O7111">
        <f t="shared" si="1281"/>
        <v>2</v>
      </c>
      <c r="P7111" s="57">
        <f t="shared" si="1282"/>
        <v>1</v>
      </c>
      <c r="Q7111" s="267">
        <f t="shared" si="1283"/>
        <v>603</v>
      </c>
      <c r="R7111" s="23" t="str">
        <f t="shared" si="1284"/>
        <v/>
      </c>
      <c r="S7111" s="23">
        <f t="shared" si="1285"/>
        <v>603</v>
      </c>
      <c r="T7111" s="23" t="str">
        <f t="shared" si="1286"/>
        <v/>
      </c>
      <c r="U7111" t="str">
        <f t="shared" si="1287"/>
        <v/>
      </c>
      <c r="V7111" s="376"/>
      <c r="W7111" s="53"/>
      <c r="X7111" s="53"/>
      <c r="Y7111"/>
      <c r="Z7111"/>
      <c r="AA7111" s="23"/>
      <c r="AB7111"/>
      <c r="AC7111" s="272"/>
      <c r="AD7111" s="272"/>
      <c r="AE7111" s="273"/>
      <c r="AM7111" s="29"/>
      <c r="AN7111"/>
      <c r="AO7111"/>
      <c r="AP7111"/>
      <c r="AQ7111" s="29"/>
      <c r="AR7111" s="29"/>
      <c r="AS7111" s="29"/>
      <c r="AT7111"/>
      <c r="AV7111"/>
      <c r="AW7111"/>
    </row>
    <row r="7112" spans="1:49">
      <c r="A7112" s="23" t="s">
        <v>7989</v>
      </c>
      <c r="B7112" t="s">
        <v>7712</v>
      </c>
      <c r="C7112">
        <v>1</v>
      </c>
      <c r="D7112" s="55" t="str">
        <f t="shared" si="1280"/>
        <v>Board of Education*2(vote 1)</v>
      </c>
      <c r="E7112" t="s">
        <v>7782</v>
      </c>
      <c r="F7112" t="s">
        <v>1300</v>
      </c>
      <c r="G7112" s="254">
        <v>17190</v>
      </c>
      <c r="H7112"/>
      <c r="J7112" s="7"/>
      <c r="K7112" s="2"/>
      <c r="O7112">
        <f t="shared" si="1281"/>
        <v>1</v>
      </c>
      <c r="P7112" s="57">
        <f t="shared" si="1282"/>
        <v>1</v>
      </c>
      <c r="Q7112" s="267">
        <f t="shared" si="1283"/>
        <v>30741</v>
      </c>
      <c r="R7112" s="23">
        <f t="shared" si="1284"/>
        <v>17190</v>
      </c>
      <c r="S7112" s="23">
        <f t="shared" si="1285"/>
        <v>13322</v>
      </c>
      <c r="T7112" s="23">
        <f t="shared" si="1286"/>
        <v>3868</v>
      </c>
      <c r="U7112" t="str">
        <f t="shared" si="1287"/>
        <v>MD_2020g~Cnty2:Board of Education*2(vote 1)</v>
      </c>
      <c r="V7112" s="376"/>
      <c r="W7112" s="53"/>
      <c r="X7112" s="53"/>
      <c r="Y7112"/>
      <c r="Z7112"/>
      <c r="AA7112" s="23"/>
      <c r="AB7112"/>
      <c r="AC7112" s="272"/>
      <c r="AD7112" s="272"/>
      <c r="AE7112" s="273"/>
      <c r="AM7112" s="29"/>
      <c r="AN7112"/>
      <c r="AO7112"/>
      <c r="AP7112"/>
      <c r="AQ7112" s="29"/>
      <c r="AR7112" s="29"/>
      <c r="AS7112" s="29"/>
      <c r="AT7112"/>
      <c r="AV7112"/>
      <c r="AW7112"/>
    </row>
    <row r="7113" spans="1:49">
      <c r="A7113" s="23" t="s">
        <v>7989</v>
      </c>
      <c r="B7113" t="s">
        <v>7712</v>
      </c>
      <c r="C7113">
        <v>1</v>
      </c>
      <c r="D7113" s="55" t="str">
        <f t="shared" si="1280"/>
        <v>Board of Education*2(vote 1)</v>
      </c>
      <c r="E7113" t="s">
        <v>7783</v>
      </c>
      <c r="F7113" t="s">
        <v>1300</v>
      </c>
      <c r="G7113" s="254">
        <v>13322</v>
      </c>
      <c r="H7113"/>
      <c r="J7113" s="7"/>
      <c r="K7113" s="2"/>
      <c r="O7113">
        <f t="shared" si="1281"/>
        <v>2</v>
      </c>
      <c r="P7113" s="57">
        <f t="shared" si="1282"/>
        <v>1</v>
      </c>
      <c r="Q7113" s="267">
        <f t="shared" si="1283"/>
        <v>13551</v>
      </c>
      <c r="R7113" s="23" t="str">
        <f t="shared" si="1284"/>
        <v/>
      </c>
      <c r="S7113" s="23">
        <f t="shared" si="1285"/>
        <v>13322</v>
      </c>
      <c r="T7113" s="23" t="str">
        <f t="shared" si="1286"/>
        <v/>
      </c>
      <c r="U7113" t="str">
        <f t="shared" si="1287"/>
        <v/>
      </c>
      <c r="V7113" s="376"/>
      <c r="W7113" s="53"/>
      <c r="X7113" s="53"/>
      <c r="Y7113"/>
      <c r="Z7113"/>
      <c r="AA7113" s="23"/>
      <c r="AB7113"/>
      <c r="AC7113" s="272"/>
      <c r="AD7113" s="272"/>
      <c r="AE7113" s="273"/>
      <c r="AM7113" s="29"/>
      <c r="AN7113"/>
      <c r="AO7113"/>
      <c r="AP7113"/>
      <c r="AQ7113" s="29"/>
      <c r="AR7113" s="29"/>
      <c r="AS7113" s="29"/>
      <c r="AT7113"/>
      <c r="AV7113"/>
      <c r="AW7113"/>
    </row>
    <row r="7114" spans="1:49">
      <c r="A7114" s="23" t="s">
        <v>7989</v>
      </c>
      <c r="B7114" t="s">
        <v>7712</v>
      </c>
      <c r="C7114">
        <v>1</v>
      </c>
      <c r="D7114" s="55" t="str">
        <f t="shared" ref="D7114:D7177" si="1288">MID(A7114,16,99)</f>
        <v>Board of Education*2(vote 1)</v>
      </c>
      <c r="E7114" t="s">
        <v>7722</v>
      </c>
      <c r="F7114" t="s">
        <v>1300</v>
      </c>
      <c r="G7114" s="254">
        <v>229</v>
      </c>
      <c r="H7114"/>
      <c r="J7114" s="7"/>
      <c r="K7114" s="2"/>
      <c r="O7114">
        <f t="shared" ref="O7114:O7177" si="1289">IF(OR(LOWER(LEFT(E7114,8))="write-in",LOWER(LEFT(E7114,8))="not qual"),IF(A7114=A7113,-ABS(O7113),0),IF(A7114=A7113,ABS(O7113)+1,1))</f>
        <v>3</v>
      </c>
      <c r="P7114" s="57">
        <f t="shared" ref="P7114:P7177" si="1290">1*LEFT(RIGHT(A7114,2),1)</f>
        <v>1</v>
      </c>
      <c r="Q7114" s="267">
        <f t="shared" ref="Q7114:Q7177" si="1291">IF(A7114&lt;&gt;A7115,G7114,IF(A7114=A7113,G7114+Q7115,MAX(G7114,(G7114+Q7115)/P7114)))</f>
        <v>229</v>
      </c>
      <c r="R7114" s="23" t="str">
        <f t="shared" ref="R7114:R7177" si="1292">IF(O7114&gt;P7114,"",IF(O7114=P7114,G7114,IF(A7114=A7115,R7115,IF(O7114&lt;=0,1,G7114))))</f>
        <v/>
      </c>
      <c r="S7114" s="23">
        <f t="shared" ref="S7114:S7177" si="1293">IF(AND(O7114&gt;P7114,LOWER(LEFT(E7114,8))&lt;&gt;"write-in",LOWER(LEFT(E7114,8))&lt;&gt;"not qual"),G7114,IF(A7114=A7115,S7115,0))</f>
        <v>229</v>
      </c>
      <c r="T7114" s="23" t="str">
        <f t="shared" ref="T7114:T7177" si="1294">IF(OR(A7114=A7113,S7114=0),"",R7114-ABS(S7114))</f>
        <v/>
      </c>
      <c r="U7114" t="str">
        <f t="shared" ref="U7114:U7177" si="1295">IF(A7114=A7113,"",A7114)</f>
        <v/>
      </c>
      <c r="V7114" s="376"/>
      <c r="W7114" s="53"/>
      <c r="X7114" s="53"/>
      <c r="Y7114"/>
      <c r="Z7114"/>
      <c r="AA7114" s="23"/>
      <c r="AB7114"/>
      <c r="AC7114" s="272"/>
      <c r="AD7114" s="272"/>
      <c r="AE7114" s="273"/>
      <c r="AM7114" s="29"/>
      <c r="AN7114"/>
      <c r="AO7114"/>
      <c r="AP7114"/>
      <c r="AQ7114" s="29"/>
      <c r="AR7114" s="29"/>
      <c r="AS7114" s="29"/>
      <c r="AT7114"/>
      <c r="AV7114"/>
      <c r="AW7114"/>
    </row>
    <row r="7115" spans="1:49">
      <c r="A7115" s="23" t="s">
        <v>7990</v>
      </c>
      <c r="B7115" t="s">
        <v>7712</v>
      </c>
      <c r="C7115">
        <v>1</v>
      </c>
      <c r="D7115" s="55" t="str">
        <f t="shared" si="1288"/>
        <v>Board of Education*3(vote 1)</v>
      </c>
      <c r="E7115" t="s">
        <v>7784</v>
      </c>
      <c r="F7115" t="s">
        <v>1300</v>
      </c>
      <c r="G7115" s="254">
        <v>20642</v>
      </c>
      <c r="H7115"/>
      <c r="J7115" s="7"/>
      <c r="K7115" s="2"/>
      <c r="O7115">
        <f t="shared" si="1289"/>
        <v>1</v>
      </c>
      <c r="P7115" s="57">
        <f t="shared" si="1290"/>
        <v>1</v>
      </c>
      <c r="Q7115" s="267">
        <f t="shared" si="1291"/>
        <v>39465</v>
      </c>
      <c r="R7115" s="23">
        <f t="shared" si="1292"/>
        <v>20642</v>
      </c>
      <c r="S7115" s="23">
        <f t="shared" si="1293"/>
        <v>18644</v>
      </c>
      <c r="T7115" s="23">
        <f t="shared" si="1294"/>
        <v>1998</v>
      </c>
      <c r="U7115" t="str">
        <f t="shared" si="1295"/>
        <v>MD_2020g~Cnty2:Board of Education*3(vote 1)</v>
      </c>
      <c r="V7115" s="376"/>
      <c r="W7115" s="53"/>
      <c r="X7115" s="53"/>
      <c r="Y7115"/>
      <c r="Z7115"/>
      <c r="AA7115" s="23"/>
      <c r="AB7115"/>
      <c r="AC7115" s="272"/>
      <c r="AD7115" s="272"/>
      <c r="AE7115" s="273"/>
      <c r="AM7115" s="29"/>
      <c r="AN7115"/>
      <c r="AO7115"/>
      <c r="AP7115"/>
      <c r="AQ7115" s="29"/>
      <c r="AR7115" s="29"/>
      <c r="AS7115" s="29"/>
      <c r="AT7115"/>
      <c r="AV7115"/>
      <c r="AW7115"/>
    </row>
    <row r="7116" spans="1:49">
      <c r="A7116" s="23" t="s">
        <v>7990</v>
      </c>
      <c r="B7116" t="s">
        <v>7712</v>
      </c>
      <c r="C7116">
        <v>1</v>
      </c>
      <c r="D7116" s="55" t="str">
        <f t="shared" si="1288"/>
        <v>Board of Education*3(vote 1)</v>
      </c>
      <c r="E7116" t="s">
        <v>7785</v>
      </c>
      <c r="F7116" t="s">
        <v>1300</v>
      </c>
      <c r="G7116" s="254">
        <v>18644</v>
      </c>
      <c r="H7116"/>
      <c r="J7116" s="7"/>
      <c r="K7116" s="2"/>
      <c r="O7116">
        <f t="shared" si="1289"/>
        <v>2</v>
      </c>
      <c r="P7116" s="57">
        <f t="shared" si="1290"/>
        <v>1</v>
      </c>
      <c r="Q7116" s="267">
        <f t="shared" si="1291"/>
        <v>18823</v>
      </c>
      <c r="R7116" s="23" t="str">
        <f t="shared" si="1292"/>
        <v/>
      </c>
      <c r="S7116" s="23">
        <f t="shared" si="1293"/>
        <v>18644</v>
      </c>
      <c r="T7116" s="23" t="str">
        <f t="shared" si="1294"/>
        <v/>
      </c>
      <c r="U7116" t="str">
        <f t="shared" si="1295"/>
        <v/>
      </c>
      <c r="V7116" s="376"/>
      <c r="W7116" s="53"/>
      <c r="X7116" s="53"/>
      <c r="Y7116"/>
      <c r="Z7116"/>
      <c r="AA7116" s="23"/>
      <c r="AB7116"/>
      <c r="AC7116" s="272"/>
      <c r="AD7116" s="272"/>
      <c r="AE7116" s="273"/>
      <c r="AM7116" s="29"/>
      <c r="AN7116"/>
      <c r="AO7116"/>
      <c r="AP7116"/>
      <c r="AQ7116" s="29"/>
      <c r="AR7116" s="29"/>
      <c r="AS7116" s="29"/>
      <c r="AT7116"/>
      <c r="AV7116"/>
      <c r="AW7116"/>
    </row>
    <row r="7117" spans="1:49">
      <c r="A7117" s="23" t="s">
        <v>7990</v>
      </c>
      <c r="B7117" t="s">
        <v>7712</v>
      </c>
      <c r="C7117">
        <v>1</v>
      </c>
      <c r="D7117" s="55" t="str">
        <f t="shared" si="1288"/>
        <v>Board of Education*3(vote 1)</v>
      </c>
      <c r="E7117" t="s">
        <v>7722</v>
      </c>
      <c r="F7117" t="s">
        <v>1300</v>
      </c>
      <c r="G7117" s="254">
        <v>179</v>
      </c>
      <c r="H7117"/>
      <c r="J7117" s="7"/>
      <c r="K7117" s="2"/>
      <c r="O7117">
        <f t="shared" si="1289"/>
        <v>3</v>
      </c>
      <c r="P7117" s="57">
        <f t="shared" si="1290"/>
        <v>1</v>
      </c>
      <c r="Q7117" s="267">
        <f t="shared" si="1291"/>
        <v>179</v>
      </c>
      <c r="R7117" s="23" t="str">
        <f t="shared" si="1292"/>
        <v/>
      </c>
      <c r="S7117" s="23">
        <f t="shared" si="1293"/>
        <v>179</v>
      </c>
      <c r="T7117" s="23" t="str">
        <f t="shared" si="1294"/>
        <v/>
      </c>
      <c r="U7117" t="str">
        <f t="shared" si="1295"/>
        <v/>
      </c>
      <c r="V7117" s="376"/>
      <c r="W7117" s="53"/>
      <c r="X7117" s="53"/>
      <c r="Y7117"/>
      <c r="Z7117"/>
      <c r="AA7117" s="23"/>
      <c r="AB7117"/>
      <c r="AC7117" s="272"/>
      <c r="AD7117" s="272"/>
      <c r="AE7117" s="273"/>
      <c r="AM7117" s="29"/>
      <c r="AN7117"/>
      <c r="AO7117"/>
      <c r="AP7117"/>
      <c r="AQ7117" s="29"/>
      <c r="AR7117" s="29"/>
      <c r="AS7117" s="29"/>
      <c r="AT7117"/>
      <c r="AV7117"/>
      <c r="AW7117"/>
    </row>
    <row r="7118" spans="1:49">
      <c r="A7118" s="23" t="s">
        <v>7991</v>
      </c>
      <c r="B7118" t="s">
        <v>7712</v>
      </c>
      <c r="C7118">
        <v>1</v>
      </c>
      <c r="D7118" s="55" t="str">
        <f t="shared" si="1288"/>
        <v>Board of Education*6(vote 1)</v>
      </c>
      <c r="E7118" t="s">
        <v>7786</v>
      </c>
      <c r="F7118" t="s">
        <v>1300</v>
      </c>
      <c r="G7118" s="254">
        <v>18748</v>
      </c>
      <c r="H7118"/>
      <c r="J7118" s="7"/>
      <c r="K7118" s="2"/>
      <c r="O7118">
        <f t="shared" si="1289"/>
        <v>1</v>
      </c>
      <c r="P7118" s="57">
        <f t="shared" si="1290"/>
        <v>1</v>
      </c>
      <c r="Q7118" s="267">
        <f t="shared" si="1291"/>
        <v>34301</v>
      </c>
      <c r="R7118" s="23">
        <f t="shared" si="1292"/>
        <v>18748</v>
      </c>
      <c r="S7118" s="23">
        <f t="shared" si="1293"/>
        <v>15283</v>
      </c>
      <c r="T7118" s="23">
        <f t="shared" si="1294"/>
        <v>3465</v>
      </c>
      <c r="U7118" t="str">
        <f t="shared" si="1295"/>
        <v>MD_2020g~Cnty2:Board of Education*6(vote 1)</v>
      </c>
      <c r="V7118" s="376"/>
      <c r="W7118" s="53"/>
      <c r="X7118" s="53"/>
      <c r="Y7118"/>
      <c r="Z7118"/>
      <c r="AA7118" s="23"/>
      <c r="AB7118"/>
      <c r="AC7118" s="272"/>
      <c r="AD7118" s="272"/>
      <c r="AE7118" s="273"/>
      <c r="AM7118" s="29"/>
      <c r="AN7118"/>
      <c r="AO7118"/>
      <c r="AP7118"/>
      <c r="AQ7118" s="29"/>
      <c r="AR7118" s="29"/>
      <c r="AS7118" s="29"/>
      <c r="AT7118"/>
      <c r="AV7118"/>
      <c r="AW7118"/>
    </row>
    <row r="7119" spans="1:49">
      <c r="A7119" s="23" t="s">
        <v>7991</v>
      </c>
      <c r="B7119" t="s">
        <v>7712</v>
      </c>
      <c r="C7119">
        <v>1</v>
      </c>
      <c r="D7119" s="55" t="str">
        <f t="shared" si="1288"/>
        <v>Board of Education*6(vote 1)</v>
      </c>
      <c r="E7119" t="s">
        <v>7787</v>
      </c>
      <c r="F7119" t="s">
        <v>1300</v>
      </c>
      <c r="G7119" s="254">
        <v>15283</v>
      </c>
      <c r="H7119"/>
      <c r="J7119" s="7"/>
      <c r="K7119" s="2"/>
      <c r="O7119">
        <f t="shared" si="1289"/>
        <v>2</v>
      </c>
      <c r="P7119" s="57">
        <f t="shared" si="1290"/>
        <v>1</v>
      </c>
      <c r="Q7119" s="267">
        <f t="shared" si="1291"/>
        <v>15553</v>
      </c>
      <c r="R7119" s="23" t="str">
        <f t="shared" si="1292"/>
        <v/>
      </c>
      <c r="S7119" s="23">
        <f t="shared" si="1293"/>
        <v>15283</v>
      </c>
      <c r="T7119" s="23" t="str">
        <f t="shared" si="1294"/>
        <v/>
      </c>
      <c r="U7119" t="str">
        <f t="shared" si="1295"/>
        <v/>
      </c>
      <c r="V7119" s="376"/>
      <c r="W7119" s="53"/>
      <c r="X7119" s="53"/>
      <c r="Y7119"/>
      <c r="Z7119"/>
      <c r="AA7119" s="23"/>
      <c r="AB7119"/>
      <c r="AC7119" s="272"/>
      <c r="AD7119" s="272"/>
      <c r="AE7119" s="273"/>
      <c r="AM7119" s="29"/>
      <c r="AN7119"/>
      <c r="AO7119"/>
      <c r="AP7119"/>
      <c r="AQ7119" s="29"/>
      <c r="AR7119" s="29"/>
      <c r="AS7119" s="29"/>
      <c r="AT7119"/>
      <c r="AV7119"/>
      <c r="AW7119"/>
    </row>
    <row r="7120" spans="1:49">
      <c r="A7120" s="23" t="s">
        <v>7991</v>
      </c>
      <c r="B7120" t="s">
        <v>7712</v>
      </c>
      <c r="C7120">
        <v>1</v>
      </c>
      <c r="D7120" s="55" t="str">
        <f t="shared" si="1288"/>
        <v>Board of Education*6(vote 1)</v>
      </c>
      <c r="E7120" t="s">
        <v>7722</v>
      </c>
      <c r="F7120" t="s">
        <v>1300</v>
      </c>
      <c r="G7120" s="254">
        <v>270</v>
      </c>
      <c r="H7120"/>
      <c r="J7120" s="7"/>
      <c r="K7120" s="2"/>
      <c r="O7120">
        <f t="shared" si="1289"/>
        <v>3</v>
      </c>
      <c r="P7120" s="57">
        <f t="shared" si="1290"/>
        <v>1</v>
      </c>
      <c r="Q7120" s="267">
        <f t="shared" si="1291"/>
        <v>270</v>
      </c>
      <c r="R7120" s="23" t="str">
        <f t="shared" si="1292"/>
        <v/>
      </c>
      <c r="S7120" s="23">
        <f t="shared" si="1293"/>
        <v>270</v>
      </c>
      <c r="T7120" s="23" t="str">
        <f t="shared" si="1294"/>
        <v/>
      </c>
      <c r="U7120" t="str">
        <f t="shared" si="1295"/>
        <v/>
      </c>
      <c r="V7120" s="376"/>
      <c r="W7120" s="53"/>
      <c r="X7120" s="53"/>
      <c r="Y7120"/>
      <c r="Z7120"/>
      <c r="AA7120" s="23"/>
      <c r="AB7120"/>
      <c r="AC7120" s="272"/>
      <c r="AD7120" s="272"/>
      <c r="AE7120" s="273"/>
      <c r="AM7120" s="29"/>
      <c r="AN7120"/>
      <c r="AO7120"/>
      <c r="AP7120"/>
      <c r="AQ7120" s="29"/>
      <c r="AR7120" s="29"/>
      <c r="AS7120" s="29"/>
      <c r="AT7120"/>
      <c r="AV7120"/>
      <c r="AW7120"/>
    </row>
    <row r="7121" spans="1:49">
      <c r="A7121" s="23" t="s">
        <v>7992</v>
      </c>
      <c r="B7121" t="s">
        <v>7712</v>
      </c>
      <c r="C7121">
        <v>1</v>
      </c>
      <c r="D7121" s="55" t="str">
        <f t="shared" si="1288"/>
        <v>Judge of the Circuit Court*5(vote 4)</v>
      </c>
      <c r="E7121" t="s">
        <v>7788</v>
      </c>
      <c r="F7121" t="s">
        <v>7714</v>
      </c>
      <c r="G7121" s="254">
        <v>189736</v>
      </c>
      <c r="H7121"/>
      <c r="J7121" s="7"/>
      <c r="K7121" s="2"/>
      <c r="O7121">
        <f t="shared" si="1289"/>
        <v>1</v>
      </c>
      <c r="P7121" s="57">
        <f t="shared" si="1290"/>
        <v>4</v>
      </c>
      <c r="Q7121" s="267">
        <f t="shared" si="1291"/>
        <v>189736</v>
      </c>
      <c r="R7121" s="23">
        <f t="shared" si="1292"/>
        <v>157667</v>
      </c>
      <c r="S7121" s="23">
        <f t="shared" si="1293"/>
        <v>5197</v>
      </c>
      <c r="T7121" s="23">
        <f t="shared" si="1294"/>
        <v>152470</v>
      </c>
      <c r="U7121" t="str">
        <f t="shared" si="1295"/>
        <v>MD_2020g~Cnty2:Judge of the Circuit Court*5(vote 4)</v>
      </c>
      <c r="V7121" s="376"/>
      <c r="W7121" s="53"/>
      <c r="X7121" s="53"/>
      <c r="Y7121"/>
      <c r="Z7121"/>
      <c r="AA7121" s="23"/>
      <c r="AB7121"/>
      <c r="AC7121" s="272"/>
      <c r="AD7121" s="272"/>
      <c r="AE7121" s="273"/>
      <c r="AM7121" s="29"/>
      <c r="AN7121"/>
      <c r="AO7121"/>
      <c r="AP7121"/>
      <c r="AQ7121" s="29"/>
      <c r="AR7121" s="29"/>
      <c r="AS7121" s="29"/>
      <c r="AT7121"/>
      <c r="AV7121"/>
      <c r="AW7121"/>
    </row>
    <row r="7122" spans="1:49">
      <c r="A7122" s="23" t="s">
        <v>7992</v>
      </c>
      <c r="B7122" t="s">
        <v>7712</v>
      </c>
      <c r="C7122">
        <v>1</v>
      </c>
      <c r="D7122" s="55" t="str">
        <f t="shared" si="1288"/>
        <v>Judge of the Circuit Court*5(vote 4)</v>
      </c>
      <c r="E7122" t="s">
        <v>7789</v>
      </c>
      <c r="F7122" t="s">
        <v>7714</v>
      </c>
      <c r="G7122" s="254">
        <v>181836</v>
      </c>
      <c r="H7122"/>
      <c r="J7122" s="7"/>
      <c r="K7122" s="2"/>
      <c r="O7122">
        <f t="shared" si="1289"/>
        <v>2</v>
      </c>
      <c r="P7122" s="57">
        <f t="shared" si="1290"/>
        <v>4</v>
      </c>
      <c r="Q7122" s="267">
        <f t="shared" si="1291"/>
        <v>503410</v>
      </c>
      <c r="R7122" s="23">
        <f t="shared" si="1292"/>
        <v>157667</v>
      </c>
      <c r="S7122" s="23">
        <f t="shared" si="1293"/>
        <v>5197</v>
      </c>
      <c r="T7122" s="23" t="str">
        <f t="shared" si="1294"/>
        <v/>
      </c>
      <c r="U7122" t="str">
        <f t="shared" si="1295"/>
        <v/>
      </c>
      <c r="V7122" s="376"/>
      <c r="W7122" s="53"/>
      <c r="X7122" s="53"/>
      <c r="Y7122"/>
      <c r="Z7122"/>
      <c r="AA7122" s="23"/>
      <c r="AB7122"/>
      <c r="AC7122" s="272"/>
      <c r="AD7122" s="272"/>
      <c r="AE7122" s="273"/>
      <c r="AM7122" s="29"/>
      <c r="AN7122"/>
      <c r="AO7122"/>
      <c r="AP7122"/>
      <c r="AQ7122" s="29"/>
      <c r="AR7122" s="29"/>
      <c r="AS7122" s="29"/>
      <c r="AT7122"/>
      <c r="AV7122"/>
      <c r="AW7122"/>
    </row>
    <row r="7123" spans="1:49">
      <c r="A7123" s="23" t="s">
        <v>7992</v>
      </c>
      <c r="B7123" t="s">
        <v>7712</v>
      </c>
      <c r="C7123">
        <v>1</v>
      </c>
      <c r="D7123" s="55" t="str">
        <f t="shared" si="1288"/>
        <v>Judge of the Circuit Court*5(vote 4)</v>
      </c>
      <c r="E7123" t="s">
        <v>7790</v>
      </c>
      <c r="F7123" t="s">
        <v>7714</v>
      </c>
      <c r="G7123" s="254">
        <v>158710</v>
      </c>
      <c r="H7123"/>
      <c r="J7123" s="7"/>
      <c r="K7123" s="2"/>
      <c r="O7123">
        <f t="shared" si="1289"/>
        <v>3</v>
      </c>
      <c r="P7123" s="57">
        <f t="shared" si="1290"/>
        <v>4</v>
      </c>
      <c r="Q7123" s="267">
        <f t="shared" si="1291"/>
        <v>321574</v>
      </c>
      <c r="R7123" s="23">
        <f t="shared" si="1292"/>
        <v>157667</v>
      </c>
      <c r="S7123" s="23">
        <f t="shared" si="1293"/>
        <v>5197</v>
      </c>
      <c r="T7123" s="23" t="str">
        <f t="shared" si="1294"/>
        <v/>
      </c>
      <c r="U7123" t="str">
        <f t="shared" si="1295"/>
        <v/>
      </c>
      <c r="V7123" s="376"/>
      <c r="W7123" s="53"/>
      <c r="X7123" s="53"/>
      <c r="Y7123"/>
      <c r="Z7123"/>
      <c r="AA7123" s="23"/>
      <c r="AB7123"/>
      <c r="AC7123" s="272"/>
      <c r="AD7123" s="272"/>
      <c r="AE7123" s="273"/>
      <c r="AM7123" s="29"/>
      <c r="AN7123"/>
      <c r="AO7123"/>
      <c r="AP7123"/>
      <c r="AQ7123" s="29"/>
      <c r="AR7123" s="29"/>
      <c r="AS7123" s="29"/>
      <c r="AT7123"/>
      <c r="AV7123"/>
      <c r="AW7123"/>
    </row>
    <row r="7124" spans="1:49">
      <c r="A7124" s="23" t="s">
        <v>7992</v>
      </c>
      <c r="B7124" t="s">
        <v>7712</v>
      </c>
      <c r="C7124">
        <v>1</v>
      </c>
      <c r="D7124" s="55" t="str">
        <f t="shared" si="1288"/>
        <v>Judge of the Circuit Court*5(vote 4)</v>
      </c>
      <c r="E7124" t="s">
        <v>7791</v>
      </c>
      <c r="F7124" t="s">
        <v>7714</v>
      </c>
      <c r="G7124" s="254">
        <v>157667</v>
      </c>
      <c r="H7124"/>
      <c r="J7124" s="7"/>
      <c r="K7124" s="2"/>
      <c r="O7124">
        <f t="shared" si="1289"/>
        <v>4</v>
      </c>
      <c r="P7124" s="57">
        <f t="shared" si="1290"/>
        <v>4</v>
      </c>
      <c r="Q7124" s="267">
        <f t="shared" si="1291"/>
        <v>162864</v>
      </c>
      <c r="R7124" s="23">
        <f t="shared" si="1292"/>
        <v>157667</v>
      </c>
      <c r="S7124" s="23">
        <f t="shared" si="1293"/>
        <v>5197</v>
      </c>
      <c r="T7124" s="23" t="str">
        <f t="shared" si="1294"/>
        <v/>
      </c>
      <c r="U7124" t="str">
        <f t="shared" si="1295"/>
        <v/>
      </c>
      <c r="V7124" s="376"/>
      <c r="W7124" s="53"/>
      <c r="X7124" s="53"/>
      <c r="Y7124"/>
      <c r="Z7124"/>
      <c r="AA7124" s="23"/>
      <c r="AB7124"/>
      <c r="AC7124" s="272"/>
      <c r="AD7124" s="272"/>
      <c r="AE7124" s="273"/>
      <c r="AM7124" s="29"/>
      <c r="AN7124"/>
      <c r="AO7124"/>
      <c r="AP7124"/>
      <c r="AQ7124" s="29"/>
      <c r="AR7124" s="29"/>
      <c r="AS7124" s="29"/>
      <c r="AT7124"/>
      <c r="AV7124"/>
      <c r="AW7124"/>
    </row>
    <row r="7125" spans="1:49">
      <c r="A7125" s="23" t="s">
        <v>7992</v>
      </c>
      <c r="B7125" t="s">
        <v>7712</v>
      </c>
      <c r="C7125">
        <v>1</v>
      </c>
      <c r="D7125" s="55" t="str">
        <f t="shared" si="1288"/>
        <v>Judge of the Circuit Court*5(vote 4)</v>
      </c>
      <c r="E7125" t="s">
        <v>7722</v>
      </c>
      <c r="F7125" t="s">
        <v>7714</v>
      </c>
      <c r="G7125" s="254">
        <v>5197</v>
      </c>
      <c r="H7125"/>
      <c r="J7125" s="7"/>
      <c r="K7125" s="2"/>
      <c r="O7125">
        <f t="shared" si="1289"/>
        <v>5</v>
      </c>
      <c r="P7125" s="57">
        <f t="shared" si="1290"/>
        <v>4</v>
      </c>
      <c r="Q7125" s="267">
        <f t="shared" si="1291"/>
        <v>5197</v>
      </c>
      <c r="R7125" s="23" t="str">
        <f t="shared" si="1292"/>
        <v/>
      </c>
      <c r="S7125" s="23">
        <f t="shared" si="1293"/>
        <v>5197</v>
      </c>
      <c r="T7125" s="23" t="str">
        <f t="shared" si="1294"/>
        <v/>
      </c>
      <c r="U7125" t="str">
        <f t="shared" si="1295"/>
        <v/>
      </c>
      <c r="V7125" s="376"/>
      <c r="W7125" s="53"/>
      <c r="X7125" s="53"/>
      <c r="Y7125"/>
      <c r="Z7125"/>
      <c r="AA7125" s="23"/>
      <c r="AB7125"/>
      <c r="AC7125" s="272"/>
      <c r="AD7125" s="272"/>
      <c r="AE7125" s="273"/>
      <c r="AM7125" s="29"/>
      <c r="AN7125"/>
      <c r="AO7125"/>
      <c r="AP7125"/>
      <c r="AQ7125" s="29"/>
      <c r="AR7125" s="29"/>
      <c r="AS7125" s="29"/>
      <c r="AT7125"/>
      <c r="AV7125"/>
      <c r="AW7125"/>
    </row>
    <row r="7126" spans="1:49">
      <c r="A7126" s="23" t="s">
        <v>8057</v>
      </c>
      <c r="B7126" t="s">
        <v>7712</v>
      </c>
      <c r="C7126">
        <v>1</v>
      </c>
      <c r="D7126" s="55" t="str">
        <f t="shared" si="1288"/>
        <v>:Board of Education*2(vote 1)</v>
      </c>
      <c r="E7126" t="s">
        <v>7935</v>
      </c>
      <c r="F7126" t="s">
        <v>1300</v>
      </c>
      <c r="G7126" s="254">
        <v>752</v>
      </c>
      <c r="H7126"/>
      <c r="J7126" s="7"/>
      <c r="K7126" s="2"/>
      <c r="O7126">
        <f t="shared" si="1289"/>
        <v>1</v>
      </c>
      <c r="P7126" s="57">
        <f t="shared" si="1290"/>
        <v>1</v>
      </c>
      <c r="Q7126" s="267">
        <f t="shared" si="1291"/>
        <v>1394</v>
      </c>
      <c r="R7126" s="23">
        <f t="shared" si="1292"/>
        <v>752</v>
      </c>
      <c r="S7126" s="23">
        <f t="shared" si="1293"/>
        <v>632</v>
      </c>
      <c r="T7126" s="23">
        <f t="shared" si="1294"/>
        <v>120</v>
      </c>
      <c r="U7126" t="str">
        <f t="shared" si="1295"/>
        <v>MD_2020g~Cnty20:Board of Education*2(vote 1)</v>
      </c>
      <c r="V7126" s="376"/>
      <c r="W7126" s="53"/>
      <c r="X7126" s="53"/>
      <c r="Y7126"/>
      <c r="Z7126"/>
      <c r="AA7126" s="23"/>
      <c r="AB7126"/>
      <c r="AC7126" s="272"/>
      <c r="AD7126" s="272"/>
      <c r="AE7126" s="273"/>
      <c r="AM7126" s="29"/>
      <c r="AN7126"/>
      <c r="AO7126"/>
      <c r="AP7126"/>
      <c r="AQ7126" s="29"/>
      <c r="AR7126" s="29"/>
      <c r="AS7126" s="29"/>
      <c r="AT7126"/>
      <c r="AV7126"/>
      <c r="AW7126"/>
    </row>
    <row r="7127" spans="1:49">
      <c r="A7127" s="23" t="s">
        <v>8057</v>
      </c>
      <c r="B7127" t="s">
        <v>7712</v>
      </c>
      <c r="C7127">
        <v>1</v>
      </c>
      <c r="D7127" s="55" t="str">
        <f t="shared" si="1288"/>
        <v>:Board of Education*2(vote 1)</v>
      </c>
      <c r="E7127" t="s">
        <v>7936</v>
      </c>
      <c r="F7127" t="s">
        <v>1300</v>
      </c>
      <c r="G7127" s="254">
        <v>632</v>
      </c>
      <c r="H7127"/>
      <c r="J7127" s="7"/>
      <c r="K7127" s="2"/>
      <c r="O7127">
        <f t="shared" si="1289"/>
        <v>2</v>
      </c>
      <c r="P7127" s="57">
        <f t="shared" si="1290"/>
        <v>1</v>
      </c>
      <c r="Q7127" s="267">
        <f t="shared" si="1291"/>
        <v>642</v>
      </c>
      <c r="R7127" s="23" t="str">
        <f t="shared" si="1292"/>
        <v/>
      </c>
      <c r="S7127" s="23">
        <f t="shared" si="1293"/>
        <v>632</v>
      </c>
      <c r="T7127" s="23" t="str">
        <f t="shared" si="1294"/>
        <v/>
      </c>
      <c r="U7127" t="str">
        <f t="shared" si="1295"/>
        <v/>
      </c>
      <c r="V7127" s="376"/>
      <c r="W7127" s="53"/>
      <c r="X7127" s="53"/>
      <c r="Y7127"/>
      <c r="Z7127"/>
      <c r="AA7127" s="23"/>
      <c r="AB7127"/>
      <c r="AC7127" s="272"/>
      <c r="AD7127" s="272"/>
      <c r="AE7127" s="273"/>
      <c r="AM7127" s="29"/>
      <c r="AN7127"/>
      <c r="AO7127"/>
      <c r="AP7127"/>
      <c r="AQ7127" s="29"/>
      <c r="AR7127" s="29"/>
      <c r="AS7127" s="29"/>
      <c r="AT7127"/>
      <c r="AV7127"/>
      <c r="AW7127"/>
    </row>
    <row r="7128" spans="1:49">
      <c r="A7128" s="23" t="s">
        <v>8057</v>
      </c>
      <c r="B7128" t="s">
        <v>7712</v>
      </c>
      <c r="C7128">
        <v>1</v>
      </c>
      <c r="D7128" s="55" t="str">
        <f t="shared" si="1288"/>
        <v>:Board of Education*2(vote 1)</v>
      </c>
      <c r="E7128" t="s">
        <v>7722</v>
      </c>
      <c r="F7128" t="s">
        <v>1300</v>
      </c>
      <c r="G7128" s="254">
        <v>10</v>
      </c>
      <c r="H7128"/>
      <c r="J7128" s="7"/>
      <c r="K7128" s="2"/>
      <c r="O7128">
        <f t="shared" si="1289"/>
        <v>3</v>
      </c>
      <c r="P7128" s="57">
        <f t="shared" si="1290"/>
        <v>1</v>
      </c>
      <c r="Q7128" s="267">
        <f t="shared" si="1291"/>
        <v>10</v>
      </c>
      <c r="R7128" s="23" t="str">
        <f t="shared" si="1292"/>
        <v/>
      </c>
      <c r="S7128" s="23">
        <f t="shared" si="1293"/>
        <v>10</v>
      </c>
      <c r="T7128" s="23" t="str">
        <f t="shared" si="1294"/>
        <v/>
      </c>
      <c r="U7128" t="str">
        <f t="shared" si="1295"/>
        <v/>
      </c>
      <c r="V7128" s="376"/>
      <c r="W7128" s="53"/>
      <c r="X7128" s="53"/>
      <c r="Y7128"/>
      <c r="Z7128"/>
      <c r="AA7128" s="23"/>
      <c r="AB7128"/>
      <c r="AC7128" s="272"/>
      <c r="AD7128" s="272"/>
      <c r="AE7128" s="273"/>
      <c r="AM7128" s="29"/>
      <c r="AN7128"/>
      <c r="AO7128"/>
      <c r="AP7128"/>
      <c r="AQ7128" s="29"/>
      <c r="AR7128" s="29"/>
      <c r="AS7128" s="29"/>
      <c r="AT7128"/>
      <c r="AV7128"/>
      <c r="AW7128"/>
    </row>
    <row r="7129" spans="1:49">
      <c r="A7129" s="23" t="s">
        <v>8058</v>
      </c>
      <c r="B7129" t="s">
        <v>7712</v>
      </c>
      <c r="C7129">
        <v>1</v>
      </c>
      <c r="D7129" s="55" t="str">
        <f t="shared" si="1288"/>
        <v>:Board of Education*4(vote 1)</v>
      </c>
      <c r="E7129" t="s">
        <v>7937</v>
      </c>
      <c r="F7129" t="s">
        <v>1300</v>
      </c>
      <c r="G7129" s="254">
        <v>1334</v>
      </c>
      <c r="H7129"/>
      <c r="J7129" s="7"/>
      <c r="K7129" s="2"/>
      <c r="O7129">
        <f t="shared" si="1289"/>
        <v>1</v>
      </c>
      <c r="P7129" s="57">
        <f t="shared" si="1290"/>
        <v>1</v>
      </c>
      <c r="Q7129" s="267">
        <f t="shared" si="1291"/>
        <v>2310</v>
      </c>
      <c r="R7129" s="23">
        <f t="shared" si="1292"/>
        <v>1334</v>
      </c>
      <c r="S7129" s="23">
        <f t="shared" si="1293"/>
        <v>964</v>
      </c>
      <c r="T7129" s="23">
        <f t="shared" si="1294"/>
        <v>370</v>
      </c>
      <c r="U7129" t="str">
        <f t="shared" si="1295"/>
        <v>MD_2020g~Cnty20:Board of Education*4(vote 1)</v>
      </c>
      <c r="V7129" s="376"/>
      <c r="W7129" s="53"/>
      <c r="X7129" s="53"/>
      <c r="Y7129"/>
      <c r="Z7129"/>
      <c r="AA7129" s="23"/>
      <c r="AB7129"/>
      <c r="AC7129" s="272"/>
      <c r="AD7129" s="272"/>
      <c r="AE7129" s="273"/>
      <c r="AM7129" s="29"/>
      <c r="AN7129"/>
      <c r="AO7129"/>
      <c r="AP7129"/>
      <c r="AQ7129" s="29"/>
      <c r="AR7129" s="29"/>
      <c r="AS7129" s="29"/>
      <c r="AT7129"/>
      <c r="AV7129"/>
      <c r="AW7129"/>
    </row>
    <row r="7130" spans="1:49">
      <c r="A7130" s="23" t="s">
        <v>8058</v>
      </c>
      <c r="B7130" t="s">
        <v>7712</v>
      </c>
      <c r="C7130">
        <v>1</v>
      </c>
      <c r="D7130" s="55" t="str">
        <f t="shared" si="1288"/>
        <v>:Board of Education*4(vote 1)</v>
      </c>
      <c r="E7130" t="s">
        <v>7938</v>
      </c>
      <c r="F7130" t="s">
        <v>1300</v>
      </c>
      <c r="G7130" s="254">
        <v>964</v>
      </c>
      <c r="H7130"/>
      <c r="J7130" s="7"/>
      <c r="K7130" s="2"/>
      <c r="O7130">
        <f t="shared" si="1289"/>
        <v>2</v>
      </c>
      <c r="P7130" s="57">
        <f t="shared" si="1290"/>
        <v>1</v>
      </c>
      <c r="Q7130" s="267">
        <f t="shared" si="1291"/>
        <v>976</v>
      </c>
      <c r="R7130" s="23" t="str">
        <f t="shared" si="1292"/>
        <v/>
      </c>
      <c r="S7130" s="23">
        <f t="shared" si="1293"/>
        <v>964</v>
      </c>
      <c r="T7130" s="23" t="str">
        <f t="shared" si="1294"/>
        <v/>
      </c>
      <c r="U7130" t="str">
        <f t="shared" si="1295"/>
        <v/>
      </c>
      <c r="V7130" s="376"/>
      <c r="W7130" s="53"/>
      <c r="X7130" s="53"/>
      <c r="Y7130"/>
      <c r="Z7130"/>
      <c r="AA7130" s="23"/>
      <c r="AB7130"/>
      <c r="AC7130" s="272"/>
      <c r="AD7130" s="272"/>
      <c r="AE7130" s="273"/>
      <c r="AM7130" s="29"/>
      <c r="AN7130"/>
      <c r="AO7130"/>
      <c r="AP7130"/>
      <c r="AQ7130" s="29"/>
      <c r="AR7130" s="29"/>
      <c r="AS7130" s="29"/>
      <c r="AT7130"/>
      <c r="AV7130"/>
      <c r="AW7130"/>
    </row>
    <row r="7131" spans="1:49">
      <c r="A7131" s="23" t="s">
        <v>8058</v>
      </c>
      <c r="B7131" t="s">
        <v>7712</v>
      </c>
      <c r="C7131">
        <v>1</v>
      </c>
      <c r="D7131" s="55" t="str">
        <f t="shared" si="1288"/>
        <v>:Board of Education*4(vote 1)</v>
      </c>
      <c r="E7131" t="s">
        <v>7722</v>
      </c>
      <c r="F7131" t="s">
        <v>1300</v>
      </c>
      <c r="G7131" s="254">
        <v>12</v>
      </c>
      <c r="H7131"/>
      <c r="J7131" s="7"/>
      <c r="K7131" s="2"/>
      <c r="O7131">
        <f t="shared" si="1289"/>
        <v>3</v>
      </c>
      <c r="P7131" s="57">
        <f t="shared" si="1290"/>
        <v>1</v>
      </c>
      <c r="Q7131" s="267">
        <f t="shared" si="1291"/>
        <v>12</v>
      </c>
      <c r="R7131" s="23" t="str">
        <f t="shared" si="1292"/>
        <v/>
      </c>
      <c r="S7131" s="23">
        <f t="shared" si="1293"/>
        <v>12</v>
      </c>
      <c r="T7131" s="23" t="str">
        <f t="shared" si="1294"/>
        <v/>
      </c>
      <c r="U7131" t="str">
        <f t="shared" si="1295"/>
        <v/>
      </c>
      <c r="V7131" s="376"/>
      <c r="W7131" s="53"/>
      <c r="X7131" s="53"/>
      <c r="Y7131"/>
      <c r="Z7131"/>
      <c r="AA7131" s="23"/>
      <c r="AB7131"/>
      <c r="AC7131" s="272"/>
      <c r="AD7131" s="272"/>
      <c r="AE7131" s="273"/>
      <c r="AM7131" s="29"/>
      <c r="AN7131"/>
      <c r="AO7131"/>
      <c r="AP7131"/>
      <c r="AQ7131" s="29"/>
      <c r="AR7131" s="29"/>
      <c r="AS7131" s="29"/>
      <c r="AT7131"/>
      <c r="AV7131"/>
      <c r="AW7131"/>
    </row>
    <row r="7132" spans="1:49">
      <c r="A7132" s="23" t="s">
        <v>8059</v>
      </c>
      <c r="B7132" t="s">
        <v>7712</v>
      </c>
      <c r="C7132">
        <v>1</v>
      </c>
      <c r="D7132" s="55" t="str">
        <f t="shared" si="1288"/>
        <v>:Board of Education*2(vote 1)</v>
      </c>
      <c r="E7132" t="s">
        <v>7939</v>
      </c>
      <c r="F7132" t="s">
        <v>1300</v>
      </c>
      <c r="G7132" s="254">
        <v>2666</v>
      </c>
      <c r="H7132"/>
      <c r="J7132" s="7"/>
      <c r="K7132" s="2"/>
      <c r="O7132">
        <f t="shared" si="1289"/>
        <v>1</v>
      </c>
      <c r="P7132" s="57">
        <f t="shared" si="1290"/>
        <v>1</v>
      </c>
      <c r="Q7132" s="267">
        <f t="shared" si="1291"/>
        <v>2703</v>
      </c>
      <c r="R7132" s="23">
        <f t="shared" si="1292"/>
        <v>2666</v>
      </c>
      <c r="S7132" s="23">
        <f t="shared" si="1293"/>
        <v>37</v>
      </c>
      <c r="T7132" s="23">
        <f t="shared" si="1294"/>
        <v>2629</v>
      </c>
      <c r="U7132" t="str">
        <f t="shared" si="1295"/>
        <v>MD_2020g~Cnty21:Board of Education*2(vote 1)</v>
      </c>
      <c r="V7132" s="376"/>
      <c r="W7132" s="53"/>
      <c r="X7132" s="53"/>
      <c r="Y7132"/>
      <c r="Z7132"/>
      <c r="AA7132" s="23"/>
      <c r="AB7132"/>
      <c r="AC7132" s="272"/>
      <c r="AD7132" s="272"/>
      <c r="AE7132" s="273"/>
      <c r="AM7132" s="29"/>
      <c r="AN7132"/>
      <c r="AO7132"/>
      <c r="AP7132"/>
      <c r="AQ7132" s="29"/>
      <c r="AR7132" s="29"/>
      <c r="AS7132" s="29"/>
      <c r="AT7132"/>
      <c r="AV7132"/>
      <c r="AW7132"/>
    </row>
    <row r="7133" spans="1:49">
      <c r="A7133" s="23" t="s">
        <v>8059</v>
      </c>
      <c r="B7133" t="s">
        <v>7712</v>
      </c>
      <c r="C7133">
        <v>1</v>
      </c>
      <c r="D7133" s="55" t="str">
        <f t="shared" si="1288"/>
        <v>:Board of Education*2(vote 1)</v>
      </c>
      <c r="E7133" t="s">
        <v>7722</v>
      </c>
      <c r="F7133" t="s">
        <v>1300</v>
      </c>
      <c r="G7133" s="254">
        <v>37</v>
      </c>
      <c r="H7133"/>
      <c r="J7133" s="7"/>
      <c r="K7133" s="2"/>
      <c r="O7133">
        <f t="shared" si="1289"/>
        <v>2</v>
      </c>
      <c r="P7133" s="57">
        <f t="shared" si="1290"/>
        <v>1</v>
      </c>
      <c r="Q7133" s="267">
        <f t="shared" si="1291"/>
        <v>37</v>
      </c>
      <c r="R7133" s="23" t="str">
        <f t="shared" si="1292"/>
        <v/>
      </c>
      <c r="S7133" s="23">
        <f t="shared" si="1293"/>
        <v>37</v>
      </c>
      <c r="T7133" s="23" t="str">
        <f t="shared" si="1294"/>
        <v/>
      </c>
      <c r="U7133" t="str">
        <f t="shared" si="1295"/>
        <v/>
      </c>
      <c r="V7133" s="376"/>
      <c r="W7133" s="53"/>
      <c r="X7133" s="53"/>
      <c r="Y7133"/>
      <c r="Z7133"/>
      <c r="AA7133" s="23"/>
      <c r="AB7133"/>
      <c r="AC7133" s="272"/>
      <c r="AD7133" s="272"/>
      <c r="AE7133" s="273"/>
      <c r="AM7133" s="29"/>
      <c r="AN7133"/>
      <c r="AO7133"/>
      <c r="AP7133"/>
      <c r="AQ7133" s="29"/>
      <c r="AR7133" s="29"/>
      <c r="AS7133" s="29"/>
      <c r="AT7133"/>
      <c r="AV7133"/>
      <c r="AW7133"/>
    </row>
    <row r="7134" spans="1:49">
      <c r="A7134" s="23" t="s">
        <v>8060</v>
      </c>
      <c r="B7134" t="s">
        <v>7712</v>
      </c>
      <c r="C7134">
        <v>1</v>
      </c>
      <c r="D7134" s="55" t="str">
        <f t="shared" si="1288"/>
        <v>:Board of Education*5(vote 1)</v>
      </c>
      <c r="E7134" t="s">
        <v>7940</v>
      </c>
      <c r="F7134" t="s">
        <v>1300</v>
      </c>
      <c r="G7134" s="254">
        <v>2387</v>
      </c>
      <c r="H7134"/>
      <c r="J7134" s="7"/>
      <c r="K7134" s="2"/>
      <c r="O7134">
        <f t="shared" si="1289"/>
        <v>1</v>
      </c>
      <c r="P7134" s="57">
        <f t="shared" si="1290"/>
        <v>1</v>
      </c>
      <c r="Q7134" s="267">
        <f t="shared" si="1291"/>
        <v>2456</v>
      </c>
      <c r="R7134" s="23">
        <f t="shared" si="1292"/>
        <v>2387</v>
      </c>
      <c r="S7134" s="23">
        <f t="shared" si="1293"/>
        <v>69</v>
      </c>
      <c r="T7134" s="23">
        <f t="shared" si="1294"/>
        <v>2318</v>
      </c>
      <c r="U7134" t="str">
        <f t="shared" si="1295"/>
        <v>MD_2020g~Cnty21:Board of Education*5(vote 1)</v>
      </c>
      <c r="V7134" s="376"/>
      <c r="W7134" s="53"/>
      <c r="X7134" s="53"/>
      <c r="Y7134"/>
      <c r="Z7134"/>
      <c r="AA7134" s="23"/>
      <c r="AB7134"/>
      <c r="AC7134" s="272"/>
      <c r="AD7134" s="272"/>
      <c r="AE7134" s="273"/>
      <c r="AM7134" s="29"/>
      <c r="AN7134"/>
      <c r="AO7134"/>
      <c r="AP7134"/>
      <c r="AQ7134" s="29"/>
      <c r="AR7134" s="29"/>
      <c r="AS7134" s="29"/>
      <c r="AT7134"/>
      <c r="AV7134"/>
      <c r="AW7134"/>
    </row>
    <row r="7135" spans="1:49">
      <c r="A7135" s="23" t="s">
        <v>8060</v>
      </c>
      <c r="B7135" t="s">
        <v>7712</v>
      </c>
      <c r="C7135">
        <v>1</v>
      </c>
      <c r="D7135" s="55" t="str">
        <f t="shared" si="1288"/>
        <v>:Board of Education*5(vote 1)</v>
      </c>
      <c r="E7135" t="s">
        <v>7722</v>
      </c>
      <c r="F7135" t="s">
        <v>1300</v>
      </c>
      <c r="G7135" s="254">
        <v>69</v>
      </c>
      <c r="H7135"/>
      <c r="J7135" s="7"/>
      <c r="K7135" s="2"/>
      <c r="O7135">
        <f t="shared" si="1289"/>
        <v>2</v>
      </c>
      <c r="P7135" s="57">
        <f t="shared" si="1290"/>
        <v>1</v>
      </c>
      <c r="Q7135" s="267">
        <f t="shared" si="1291"/>
        <v>69</v>
      </c>
      <c r="R7135" s="23" t="str">
        <f t="shared" si="1292"/>
        <v/>
      </c>
      <c r="S7135" s="23">
        <f t="shared" si="1293"/>
        <v>69</v>
      </c>
      <c r="T7135" s="23" t="str">
        <f t="shared" si="1294"/>
        <v/>
      </c>
      <c r="U7135" t="str">
        <f t="shared" si="1295"/>
        <v/>
      </c>
      <c r="V7135" s="376"/>
      <c r="W7135" s="53"/>
      <c r="X7135" s="53"/>
      <c r="Y7135"/>
      <c r="Z7135"/>
      <c r="AA7135" s="23"/>
      <c r="AB7135"/>
      <c r="AC7135" s="272"/>
      <c r="AD7135" s="272"/>
      <c r="AE7135" s="273"/>
      <c r="AM7135" s="29"/>
      <c r="AN7135"/>
      <c r="AO7135"/>
      <c r="AP7135"/>
      <c r="AQ7135" s="29"/>
      <c r="AR7135" s="29"/>
      <c r="AS7135" s="29"/>
      <c r="AT7135"/>
      <c r="AV7135"/>
      <c r="AW7135"/>
    </row>
    <row r="7136" spans="1:49">
      <c r="A7136" s="23" t="s">
        <v>8061</v>
      </c>
      <c r="B7136" t="s">
        <v>7712</v>
      </c>
      <c r="C7136">
        <v>1</v>
      </c>
      <c r="D7136" s="55" t="str">
        <f t="shared" si="1288"/>
        <v>:Board of Education*6(vote 1)</v>
      </c>
      <c r="E7136" t="s">
        <v>7941</v>
      </c>
      <c r="F7136" t="s">
        <v>1300</v>
      </c>
      <c r="G7136" s="254">
        <v>2805</v>
      </c>
      <c r="H7136"/>
      <c r="J7136" s="7"/>
      <c r="K7136" s="2"/>
      <c r="O7136">
        <f t="shared" si="1289"/>
        <v>1</v>
      </c>
      <c r="P7136" s="57">
        <f t="shared" si="1290"/>
        <v>1</v>
      </c>
      <c r="Q7136" s="267">
        <f t="shared" si="1291"/>
        <v>2851</v>
      </c>
      <c r="R7136" s="23">
        <f t="shared" si="1292"/>
        <v>2805</v>
      </c>
      <c r="S7136" s="23">
        <f t="shared" si="1293"/>
        <v>46</v>
      </c>
      <c r="T7136" s="23">
        <f t="shared" si="1294"/>
        <v>2759</v>
      </c>
      <c r="U7136" t="str">
        <f t="shared" si="1295"/>
        <v>MD_2020g~Cnty21:Board of Education*6(vote 1)</v>
      </c>
      <c r="V7136" s="376"/>
      <c r="W7136" s="53"/>
      <c r="X7136" s="53"/>
      <c r="Y7136"/>
      <c r="Z7136"/>
      <c r="AA7136" s="23"/>
      <c r="AB7136"/>
      <c r="AC7136" s="272"/>
      <c r="AD7136" s="272"/>
      <c r="AE7136" s="273"/>
      <c r="AM7136" s="29"/>
      <c r="AN7136"/>
      <c r="AO7136"/>
      <c r="AP7136"/>
      <c r="AQ7136" s="29"/>
      <c r="AR7136" s="29"/>
      <c r="AS7136" s="29"/>
      <c r="AT7136"/>
      <c r="AV7136"/>
      <c r="AW7136"/>
    </row>
    <row r="7137" spans="1:49">
      <c r="A7137" s="23" t="s">
        <v>8061</v>
      </c>
      <c r="B7137" t="s">
        <v>7712</v>
      </c>
      <c r="C7137">
        <v>1</v>
      </c>
      <c r="D7137" s="55" t="str">
        <f t="shared" si="1288"/>
        <v>:Board of Education*6(vote 1)</v>
      </c>
      <c r="E7137" t="s">
        <v>7722</v>
      </c>
      <c r="F7137" t="s">
        <v>1300</v>
      </c>
      <c r="G7137" s="254">
        <v>46</v>
      </c>
      <c r="H7137"/>
      <c r="J7137" s="7"/>
      <c r="K7137" s="2"/>
      <c r="O7137">
        <f t="shared" si="1289"/>
        <v>2</v>
      </c>
      <c r="P7137" s="57">
        <f t="shared" si="1290"/>
        <v>1</v>
      </c>
      <c r="Q7137" s="267">
        <f t="shared" si="1291"/>
        <v>46</v>
      </c>
      <c r="R7137" s="23" t="str">
        <f t="shared" si="1292"/>
        <v/>
      </c>
      <c r="S7137" s="23">
        <f t="shared" si="1293"/>
        <v>46</v>
      </c>
      <c r="T7137" s="23" t="str">
        <f t="shared" si="1294"/>
        <v/>
      </c>
      <c r="U7137" t="str">
        <f t="shared" si="1295"/>
        <v/>
      </c>
      <c r="V7137" s="376"/>
      <c r="W7137" s="53"/>
      <c r="X7137" s="53"/>
      <c r="Y7137"/>
      <c r="Z7137"/>
      <c r="AA7137" s="23"/>
      <c r="AB7137"/>
      <c r="AC7137" s="272"/>
      <c r="AD7137" s="272"/>
      <c r="AE7137" s="273"/>
      <c r="AM7137" s="29"/>
      <c r="AN7137"/>
      <c r="AO7137"/>
      <c r="AP7137"/>
      <c r="AQ7137" s="29"/>
      <c r="AR7137" s="29"/>
      <c r="AS7137" s="29"/>
      <c r="AT7137"/>
      <c r="AV7137"/>
      <c r="AW7137"/>
    </row>
    <row r="7138" spans="1:49">
      <c r="A7138" s="23" t="s">
        <v>8062</v>
      </c>
      <c r="B7138" t="s">
        <v>7712</v>
      </c>
      <c r="C7138">
        <v>1</v>
      </c>
      <c r="D7138" s="55" t="str">
        <f t="shared" si="1288"/>
        <v>:Board of Education*(vote 4)</v>
      </c>
      <c r="E7138" t="s">
        <v>7942</v>
      </c>
      <c r="F7138" t="s">
        <v>1300</v>
      </c>
      <c r="G7138" s="254">
        <v>28668</v>
      </c>
      <c r="H7138"/>
      <c r="J7138" s="7"/>
      <c r="K7138" s="2"/>
      <c r="O7138">
        <f t="shared" si="1289"/>
        <v>1</v>
      </c>
      <c r="P7138" s="57">
        <f t="shared" si="1290"/>
        <v>4</v>
      </c>
      <c r="Q7138" s="267">
        <f t="shared" si="1291"/>
        <v>41335.25</v>
      </c>
      <c r="R7138" s="23">
        <f t="shared" si="1292"/>
        <v>24287</v>
      </c>
      <c r="S7138" s="23">
        <f t="shared" si="1293"/>
        <v>22388</v>
      </c>
      <c r="T7138" s="23">
        <f t="shared" si="1294"/>
        <v>1899</v>
      </c>
      <c r="U7138" t="str">
        <f t="shared" si="1295"/>
        <v>MD_2020g~Cnty22:Board of Education*(vote 4)</v>
      </c>
      <c r="V7138" s="376"/>
      <c r="W7138" s="53"/>
      <c r="X7138" s="53"/>
      <c r="Y7138"/>
      <c r="Z7138"/>
      <c r="AA7138" s="23"/>
      <c r="AB7138"/>
      <c r="AC7138" s="272"/>
      <c r="AD7138" s="272"/>
      <c r="AE7138" s="273"/>
      <c r="AM7138" s="29"/>
      <c r="AN7138"/>
      <c r="AO7138"/>
      <c r="AP7138"/>
      <c r="AQ7138" s="29"/>
      <c r="AR7138" s="29"/>
      <c r="AS7138" s="29"/>
      <c r="AT7138"/>
      <c r="AV7138"/>
      <c r="AW7138"/>
    </row>
    <row r="7139" spans="1:49">
      <c r="A7139" s="23" t="s">
        <v>8062</v>
      </c>
      <c r="B7139" t="s">
        <v>7712</v>
      </c>
      <c r="C7139">
        <v>1</v>
      </c>
      <c r="D7139" s="55" t="str">
        <f t="shared" si="1288"/>
        <v>:Board of Education*(vote 4)</v>
      </c>
      <c r="E7139" t="s">
        <v>7943</v>
      </c>
      <c r="F7139" t="s">
        <v>1300</v>
      </c>
      <c r="G7139" s="254">
        <v>27120</v>
      </c>
      <c r="H7139"/>
      <c r="J7139" s="7"/>
      <c r="K7139" s="2"/>
      <c r="O7139">
        <f t="shared" si="1289"/>
        <v>2</v>
      </c>
      <c r="P7139" s="57">
        <f t="shared" si="1290"/>
        <v>4</v>
      </c>
      <c r="Q7139" s="267">
        <f t="shared" si="1291"/>
        <v>136673</v>
      </c>
      <c r="R7139" s="23">
        <f t="shared" si="1292"/>
        <v>24287</v>
      </c>
      <c r="S7139" s="23">
        <f t="shared" si="1293"/>
        <v>22388</v>
      </c>
      <c r="T7139" s="23" t="str">
        <f t="shared" si="1294"/>
        <v/>
      </c>
      <c r="U7139" t="str">
        <f t="shared" si="1295"/>
        <v/>
      </c>
      <c r="V7139" s="376"/>
      <c r="W7139" s="53"/>
      <c r="X7139" s="53"/>
      <c r="Y7139"/>
      <c r="Z7139"/>
      <c r="AA7139" s="23"/>
      <c r="AB7139"/>
      <c r="AC7139" s="272"/>
      <c r="AD7139" s="272"/>
      <c r="AE7139" s="273"/>
      <c r="AM7139" s="29"/>
      <c r="AN7139"/>
      <c r="AO7139"/>
      <c r="AP7139"/>
      <c r="AQ7139" s="29"/>
      <c r="AR7139" s="29"/>
      <c r="AS7139" s="29"/>
      <c r="AT7139"/>
      <c r="AV7139"/>
      <c r="AW7139"/>
    </row>
    <row r="7140" spans="1:49">
      <c r="A7140" s="23" t="s">
        <v>8062</v>
      </c>
      <c r="B7140" t="s">
        <v>7712</v>
      </c>
      <c r="C7140">
        <v>1</v>
      </c>
      <c r="D7140" s="55" t="str">
        <f t="shared" si="1288"/>
        <v>:Board of Education*(vote 4)</v>
      </c>
      <c r="E7140" t="s">
        <v>7944</v>
      </c>
      <c r="F7140" t="s">
        <v>1300</v>
      </c>
      <c r="G7140" s="254">
        <v>25012</v>
      </c>
      <c r="H7140"/>
      <c r="J7140" s="7"/>
      <c r="K7140" s="2"/>
      <c r="O7140">
        <f t="shared" si="1289"/>
        <v>3</v>
      </c>
      <c r="P7140" s="57">
        <f t="shared" si="1290"/>
        <v>4</v>
      </c>
      <c r="Q7140" s="267">
        <f t="shared" si="1291"/>
        <v>109553</v>
      </c>
      <c r="R7140" s="23">
        <f t="shared" si="1292"/>
        <v>24287</v>
      </c>
      <c r="S7140" s="23">
        <f t="shared" si="1293"/>
        <v>22388</v>
      </c>
      <c r="T7140" s="23" t="str">
        <f t="shared" si="1294"/>
        <v/>
      </c>
      <c r="U7140" t="str">
        <f t="shared" si="1295"/>
        <v/>
      </c>
      <c r="V7140" s="376"/>
      <c r="W7140" s="53"/>
      <c r="X7140" s="53"/>
      <c r="Y7140"/>
      <c r="Z7140"/>
      <c r="AA7140" s="23"/>
      <c r="AB7140"/>
      <c r="AC7140" s="272"/>
      <c r="AD7140" s="272"/>
      <c r="AE7140" s="273"/>
      <c r="AM7140" s="29"/>
      <c r="AN7140"/>
      <c r="AO7140"/>
      <c r="AP7140"/>
      <c r="AQ7140" s="29"/>
      <c r="AR7140" s="29"/>
      <c r="AS7140" s="29"/>
      <c r="AT7140"/>
      <c r="AV7140"/>
      <c r="AW7140"/>
    </row>
    <row r="7141" spans="1:49">
      <c r="A7141" s="23" t="s">
        <v>8062</v>
      </c>
      <c r="B7141" t="s">
        <v>7712</v>
      </c>
      <c r="C7141">
        <v>1</v>
      </c>
      <c r="D7141" s="55" t="str">
        <f t="shared" si="1288"/>
        <v>:Board of Education*(vote 4)</v>
      </c>
      <c r="E7141" t="s">
        <v>7945</v>
      </c>
      <c r="F7141" t="s">
        <v>1300</v>
      </c>
      <c r="G7141" s="254">
        <v>24287</v>
      </c>
      <c r="H7141"/>
      <c r="J7141" s="7"/>
      <c r="K7141" s="2"/>
      <c r="O7141">
        <f t="shared" si="1289"/>
        <v>4</v>
      </c>
      <c r="P7141" s="57">
        <f t="shared" si="1290"/>
        <v>4</v>
      </c>
      <c r="Q7141" s="267">
        <f t="shared" si="1291"/>
        <v>84541</v>
      </c>
      <c r="R7141" s="23">
        <f t="shared" si="1292"/>
        <v>24287</v>
      </c>
      <c r="S7141" s="23">
        <f t="shared" si="1293"/>
        <v>22388</v>
      </c>
      <c r="T7141" s="23" t="str">
        <f t="shared" si="1294"/>
        <v/>
      </c>
      <c r="U7141" t="str">
        <f t="shared" si="1295"/>
        <v/>
      </c>
      <c r="V7141" s="376"/>
      <c r="W7141" s="53"/>
      <c r="X7141" s="53"/>
      <c r="Y7141"/>
      <c r="Z7141"/>
      <c r="AA7141" s="23"/>
      <c r="AB7141"/>
      <c r="AC7141" s="272"/>
      <c r="AD7141" s="272"/>
      <c r="AE7141" s="273"/>
      <c r="AM7141" s="29"/>
      <c r="AN7141"/>
      <c r="AO7141"/>
      <c r="AP7141"/>
      <c r="AQ7141" s="29"/>
      <c r="AR7141" s="29"/>
      <c r="AS7141" s="29"/>
      <c r="AT7141"/>
      <c r="AV7141"/>
      <c r="AW7141"/>
    </row>
    <row r="7142" spans="1:49">
      <c r="A7142" s="23" t="s">
        <v>8062</v>
      </c>
      <c r="B7142" t="s">
        <v>7712</v>
      </c>
      <c r="C7142">
        <v>1</v>
      </c>
      <c r="D7142" s="55" t="str">
        <f t="shared" si="1288"/>
        <v>:Board of Education*(vote 4)</v>
      </c>
      <c r="E7142" t="s">
        <v>7946</v>
      </c>
      <c r="F7142" t="s">
        <v>1300</v>
      </c>
      <c r="G7142" s="254">
        <v>22388</v>
      </c>
      <c r="H7142"/>
      <c r="J7142" s="7"/>
      <c r="K7142" s="2"/>
      <c r="O7142">
        <f t="shared" si="1289"/>
        <v>5</v>
      </c>
      <c r="P7142" s="57">
        <f t="shared" si="1290"/>
        <v>4</v>
      </c>
      <c r="Q7142" s="267">
        <f t="shared" si="1291"/>
        <v>60254</v>
      </c>
      <c r="R7142" s="23" t="str">
        <f t="shared" si="1292"/>
        <v/>
      </c>
      <c r="S7142" s="23">
        <f t="shared" si="1293"/>
        <v>22388</v>
      </c>
      <c r="T7142" s="23" t="str">
        <f t="shared" si="1294"/>
        <v/>
      </c>
      <c r="U7142" t="str">
        <f t="shared" si="1295"/>
        <v/>
      </c>
      <c r="V7142" s="376"/>
      <c r="W7142" s="53"/>
      <c r="X7142" s="53"/>
      <c r="Y7142"/>
      <c r="Z7142"/>
      <c r="AA7142" s="23"/>
      <c r="AB7142"/>
      <c r="AC7142" s="272"/>
      <c r="AD7142" s="272"/>
      <c r="AE7142" s="273"/>
      <c r="AM7142" s="29"/>
      <c r="AN7142"/>
      <c r="AO7142"/>
      <c r="AP7142"/>
      <c r="AQ7142" s="29"/>
      <c r="AR7142" s="29"/>
      <c r="AS7142" s="29"/>
      <c r="AT7142"/>
      <c r="AV7142"/>
      <c r="AW7142"/>
    </row>
    <row r="7143" spans="1:49">
      <c r="A7143" s="23" t="s">
        <v>8062</v>
      </c>
      <c r="B7143" t="s">
        <v>7712</v>
      </c>
      <c r="C7143">
        <v>1</v>
      </c>
      <c r="D7143" s="55" t="str">
        <f t="shared" si="1288"/>
        <v>:Board of Education*(vote 4)</v>
      </c>
      <c r="E7143" t="s">
        <v>7947</v>
      </c>
      <c r="F7143" t="s">
        <v>1300</v>
      </c>
      <c r="G7143" s="254">
        <v>19052</v>
      </c>
      <c r="H7143"/>
      <c r="J7143" s="7"/>
      <c r="K7143" s="2"/>
      <c r="O7143">
        <f t="shared" si="1289"/>
        <v>6</v>
      </c>
      <c r="P7143" s="57">
        <f t="shared" si="1290"/>
        <v>4</v>
      </c>
      <c r="Q7143" s="267">
        <f t="shared" si="1291"/>
        <v>37866</v>
      </c>
      <c r="R7143" s="23" t="str">
        <f t="shared" si="1292"/>
        <v/>
      </c>
      <c r="S7143" s="23">
        <f t="shared" si="1293"/>
        <v>19052</v>
      </c>
      <c r="T7143" s="23" t="str">
        <f t="shared" si="1294"/>
        <v/>
      </c>
      <c r="U7143" t="str">
        <f t="shared" si="1295"/>
        <v/>
      </c>
      <c r="V7143" s="376"/>
      <c r="W7143" s="53"/>
      <c r="X7143" s="53"/>
      <c r="Y7143"/>
      <c r="Z7143"/>
      <c r="AA7143" s="23"/>
      <c r="AB7143"/>
      <c r="AC7143" s="272"/>
      <c r="AD7143" s="272"/>
      <c r="AE7143" s="273"/>
      <c r="AM7143" s="29"/>
      <c r="AN7143"/>
      <c r="AO7143"/>
      <c r="AP7143"/>
      <c r="AQ7143" s="29"/>
      <c r="AR7143" s="29"/>
      <c r="AS7143" s="29"/>
      <c r="AT7143"/>
      <c r="AV7143"/>
      <c r="AW7143"/>
    </row>
    <row r="7144" spans="1:49">
      <c r="A7144" s="23" t="s">
        <v>8062</v>
      </c>
      <c r="B7144" t="s">
        <v>7712</v>
      </c>
      <c r="C7144">
        <v>1</v>
      </c>
      <c r="D7144" s="55" t="str">
        <f t="shared" si="1288"/>
        <v>:Board of Education*(vote 4)</v>
      </c>
      <c r="E7144" t="s">
        <v>7948</v>
      </c>
      <c r="F7144" t="s">
        <v>1300</v>
      </c>
      <c r="G7144" s="254">
        <v>15273</v>
      </c>
      <c r="H7144"/>
      <c r="J7144" s="7"/>
      <c r="K7144" s="2"/>
      <c r="O7144">
        <f t="shared" si="1289"/>
        <v>7</v>
      </c>
      <c r="P7144" s="57">
        <f t="shared" si="1290"/>
        <v>4</v>
      </c>
      <c r="Q7144" s="267">
        <f t="shared" si="1291"/>
        <v>18814</v>
      </c>
      <c r="R7144" s="23" t="str">
        <f t="shared" si="1292"/>
        <v/>
      </c>
      <c r="S7144" s="23">
        <f t="shared" si="1293"/>
        <v>15273</v>
      </c>
      <c r="T7144" s="23" t="str">
        <f t="shared" si="1294"/>
        <v/>
      </c>
      <c r="U7144" t="str">
        <f t="shared" si="1295"/>
        <v/>
      </c>
      <c r="V7144" s="376"/>
      <c r="W7144" s="53"/>
      <c r="X7144" s="53"/>
      <c r="Y7144"/>
      <c r="Z7144"/>
      <c r="AA7144" s="23"/>
      <c r="AB7144"/>
      <c r="AC7144" s="272"/>
      <c r="AD7144" s="272"/>
      <c r="AE7144" s="273"/>
      <c r="AM7144" s="29"/>
      <c r="AN7144"/>
      <c r="AO7144"/>
      <c r="AP7144"/>
      <c r="AQ7144" s="29"/>
      <c r="AR7144" s="29"/>
      <c r="AS7144" s="29"/>
      <c r="AT7144"/>
      <c r="AV7144"/>
      <c r="AW7144"/>
    </row>
    <row r="7145" spans="1:49">
      <c r="A7145" s="23" t="s">
        <v>8062</v>
      </c>
      <c r="B7145" t="s">
        <v>7712</v>
      </c>
      <c r="C7145">
        <v>1</v>
      </c>
      <c r="D7145" s="55" t="str">
        <f t="shared" si="1288"/>
        <v>:Board of Education*(vote 4)</v>
      </c>
      <c r="E7145" t="s">
        <v>7949</v>
      </c>
      <c r="F7145" t="s">
        <v>1300</v>
      </c>
      <c r="G7145" s="254">
        <v>2803</v>
      </c>
      <c r="H7145"/>
      <c r="J7145" s="7"/>
      <c r="K7145" s="2"/>
      <c r="O7145">
        <f t="shared" si="1289"/>
        <v>8</v>
      </c>
      <c r="P7145" s="57">
        <f t="shared" si="1290"/>
        <v>4</v>
      </c>
      <c r="Q7145" s="267">
        <f t="shared" si="1291"/>
        <v>3541</v>
      </c>
      <c r="R7145" s="23" t="str">
        <f t="shared" si="1292"/>
        <v/>
      </c>
      <c r="S7145" s="23">
        <f t="shared" si="1293"/>
        <v>2803</v>
      </c>
      <c r="T7145" s="23" t="str">
        <f t="shared" si="1294"/>
        <v/>
      </c>
      <c r="U7145" t="str">
        <f t="shared" si="1295"/>
        <v/>
      </c>
      <c r="V7145" s="376"/>
      <c r="W7145" s="53"/>
      <c r="X7145" s="53"/>
      <c r="Y7145"/>
      <c r="Z7145"/>
      <c r="AA7145" s="23"/>
      <c r="AB7145"/>
      <c r="AC7145" s="272"/>
      <c r="AD7145" s="272"/>
      <c r="AE7145" s="273"/>
      <c r="AM7145" s="29"/>
      <c r="AN7145"/>
      <c r="AO7145"/>
      <c r="AP7145"/>
      <c r="AQ7145" s="29"/>
      <c r="AR7145" s="29"/>
      <c r="AS7145" s="29"/>
      <c r="AT7145"/>
      <c r="AV7145"/>
      <c r="AW7145"/>
    </row>
    <row r="7146" spans="1:49">
      <c r="A7146" s="23" t="s">
        <v>8062</v>
      </c>
      <c r="B7146" t="s">
        <v>7712</v>
      </c>
      <c r="C7146">
        <v>1</v>
      </c>
      <c r="D7146" s="55" t="str">
        <f t="shared" si="1288"/>
        <v>:Board of Education*(vote 4)</v>
      </c>
      <c r="E7146" t="s">
        <v>7722</v>
      </c>
      <c r="F7146" t="s">
        <v>1300</v>
      </c>
      <c r="G7146" s="254">
        <v>738</v>
      </c>
      <c r="H7146"/>
      <c r="J7146" s="7"/>
      <c r="K7146" s="2"/>
      <c r="O7146">
        <f t="shared" si="1289"/>
        <v>9</v>
      </c>
      <c r="P7146" s="57">
        <f t="shared" si="1290"/>
        <v>4</v>
      </c>
      <c r="Q7146" s="267">
        <f t="shared" si="1291"/>
        <v>738</v>
      </c>
      <c r="R7146" s="23" t="str">
        <f t="shared" si="1292"/>
        <v/>
      </c>
      <c r="S7146" s="23">
        <f t="shared" si="1293"/>
        <v>738</v>
      </c>
      <c r="T7146" s="23" t="str">
        <f t="shared" si="1294"/>
        <v/>
      </c>
      <c r="U7146" t="str">
        <f t="shared" si="1295"/>
        <v/>
      </c>
      <c r="V7146" s="376"/>
      <c r="W7146" s="53"/>
      <c r="X7146" s="53"/>
      <c r="Y7146"/>
      <c r="Z7146"/>
      <c r="AA7146" s="23"/>
      <c r="AB7146"/>
      <c r="AC7146" s="272"/>
      <c r="AD7146" s="272"/>
      <c r="AE7146" s="273"/>
      <c r="AM7146" s="29"/>
      <c r="AN7146"/>
      <c r="AO7146"/>
      <c r="AP7146"/>
      <c r="AQ7146" s="29"/>
      <c r="AR7146" s="29"/>
      <c r="AS7146" s="29"/>
      <c r="AT7146"/>
      <c r="AV7146"/>
      <c r="AW7146"/>
    </row>
    <row r="7147" spans="1:49">
      <c r="A7147" s="23" t="s">
        <v>8063</v>
      </c>
      <c r="B7147" t="s">
        <v>7712</v>
      </c>
      <c r="C7147">
        <v>1</v>
      </c>
      <c r="D7147" s="55" t="str">
        <f t="shared" si="1288"/>
        <v>:Hagerstown Council*HG(vote 5)</v>
      </c>
      <c r="E7147" t="s">
        <v>7950</v>
      </c>
      <c r="F7147" t="s">
        <v>1300</v>
      </c>
      <c r="G7147" s="254">
        <v>6840</v>
      </c>
      <c r="H7147"/>
      <c r="J7147" s="7"/>
      <c r="K7147" s="2"/>
      <c r="O7147">
        <f t="shared" si="1289"/>
        <v>1</v>
      </c>
      <c r="P7147" s="57">
        <f t="shared" si="1290"/>
        <v>5</v>
      </c>
      <c r="Q7147" s="267">
        <f t="shared" si="1291"/>
        <v>9918.7999999999993</v>
      </c>
      <c r="R7147" s="23">
        <f t="shared" si="1292"/>
        <v>4770</v>
      </c>
      <c r="S7147" s="23">
        <f t="shared" si="1293"/>
        <v>4717</v>
      </c>
      <c r="T7147" s="23">
        <f t="shared" si="1294"/>
        <v>53</v>
      </c>
      <c r="U7147" t="str">
        <f t="shared" si="1295"/>
        <v>MD_2020g~Cnty22:Hagerstown Council*HG(vote 5)</v>
      </c>
      <c r="V7147" s="376"/>
      <c r="W7147" s="53"/>
      <c r="X7147" s="53"/>
      <c r="Y7147"/>
      <c r="Z7147"/>
      <c r="AA7147" s="23"/>
      <c r="AB7147"/>
      <c r="AC7147" s="272"/>
      <c r="AD7147" s="272"/>
      <c r="AE7147" s="273"/>
      <c r="AM7147" s="29"/>
      <c r="AN7147"/>
      <c r="AO7147"/>
      <c r="AP7147"/>
      <c r="AQ7147" s="29"/>
      <c r="AR7147" s="29"/>
      <c r="AS7147" s="29"/>
      <c r="AT7147"/>
      <c r="AV7147"/>
      <c r="AW7147"/>
    </row>
    <row r="7148" spans="1:49">
      <c r="A7148" s="23" t="s">
        <v>8063</v>
      </c>
      <c r="B7148" t="s">
        <v>7712</v>
      </c>
      <c r="C7148">
        <v>1</v>
      </c>
      <c r="D7148" s="55" t="str">
        <f t="shared" si="1288"/>
        <v>:Hagerstown Council*HG(vote 5)</v>
      </c>
      <c r="E7148" t="s">
        <v>7951</v>
      </c>
      <c r="F7148" t="s">
        <v>1300</v>
      </c>
      <c r="G7148" s="254">
        <v>6178</v>
      </c>
      <c r="H7148"/>
      <c r="J7148" s="7"/>
      <c r="K7148" s="2"/>
      <c r="O7148">
        <f t="shared" si="1289"/>
        <v>2</v>
      </c>
      <c r="P7148" s="57">
        <f t="shared" si="1290"/>
        <v>5</v>
      </c>
      <c r="Q7148" s="267">
        <f t="shared" si="1291"/>
        <v>42754</v>
      </c>
      <c r="R7148" s="23">
        <f t="shared" si="1292"/>
        <v>4770</v>
      </c>
      <c r="S7148" s="23">
        <f t="shared" si="1293"/>
        <v>4717</v>
      </c>
      <c r="T7148" s="23" t="str">
        <f t="shared" si="1294"/>
        <v/>
      </c>
      <c r="U7148" t="str">
        <f t="shared" si="1295"/>
        <v/>
      </c>
      <c r="V7148" s="376"/>
      <c r="W7148" s="53"/>
      <c r="X7148" s="53"/>
      <c r="Y7148"/>
      <c r="Z7148"/>
      <c r="AA7148" s="23"/>
      <c r="AB7148"/>
      <c r="AC7148" s="272"/>
      <c r="AD7148" s="272"/>
      <c r="AE7148" s="273"/>
      <c r="AM7148" s="29"/>
      <c r="AN7148"/>
      <c r="AO7148"/>
      <c r="AP7148"/>
      <c r="AQ7148" s="29"/>
      <c r="AR7148" s="29"/>
      <c r="AS7148" s="29"/>
      <c r="AT7148"/>
      <c r="AV7148"/>
      <c r="AW7148"/>
    </row>
    <row r="7149" spans="1:49">
      <c r="A7149" s="23" t="s">
        <v>8063</v>
      </c>
      <c r="B7149" t="s">
        <v>7712</v>
      </c>
      <c r="C7149">
        <v>1</v>
      </c>
      <c r="D7149" s="55" t="str">
        <f t="shared" si="1288"/>
        <v>:Hagerstown Council*HG(vote 5)</v>
      </c>
      <c r="E7149" t="s">
        <v>7952</v>
      </c>
      <c r="F7149" t="s">
        <v>1300</v>
      </c>
      <c r="G7149" s="254">
        <v>5601</v>
      </c>
      <c r="H7149"/>
      <c r="J7149" s="7"/>
      <c r="K7149" s="2"/>
      <c r="O7149">
        <f t="shared" si="1289"/>
        <v>3</v>
      </c>
      <c r="P7149" s="57">
        <f t="shared" si="1290"/>
        <v>5</v>
      </c>
      <c r="Q7149" s="267">
        <f t="shared" si="1291"/>
        <v>36576</v>
      </c>
      <c r="R7149" s="23">
        <f t="shared" si="1292"/>
        <v>4770</v>
      </c>
      <c r="S7149" s="23">
        <f t="shared" si="1293"/>
        <v>4717</v>
      </c>
      <c r="T7149" s="23" t="str">
        <f t="shared" si="1294"/>
        <v/>
      </c>
      <c r="U7149" t="str">
        <f t="shared" si="1295"/>
        <v/>
      </c>
      <c r="V7149" s="376"/>
      <c r="W7149" s="53"/>
      <c r="X7149" s="53"/>
      <c r="Y7149"/>
      <c r="Z7149"/>
      <c r="AA7149" s="23"/>
      <c r="AB7149"/>
      <c r="AC7149" s="272"/>
      <c r="AD7149" s="272"/>
      <c r="AE7149" s="273"/>
      <c r="AM7149" s="29"/>
      <c r="AN7149"/>
      <c r="AO7149"/>
      <c r="AP7149"/>
      <c r="AQ7149" s="29"/>
      <c r="AR7149" s="29"/>
      <c r="AS7149" s="29"/>
      <c r="AT7149"/>
      <c r="AV7149"/>
      <c r="AW7149"/>
    </row>
    <row r="7150" spans="1:49">
      <c r="A7150" s="23" t="s">
        <v>8063</v>
      </c>
      <c r="B7150" t="s">
        <v>7712</v>
      </c>
      <c r="C7150">
        <v>1</v>
      </c>
      <c r="D7150" s="55" t="str">
        <f t="shared" si="1288"/>
        <v>:Hagerstown Council*HG(vote 5)</v>
      </c>
      <c r="E7150" t="s">
        <v>7953</v>
      </c>
      <c r="F7150" t="s">
        <v>1300</v>
      </c>
      <c r="G7150" s="254">
        <v>5380</v>
      </c>
      <c r="H7150"/>
      <c r="J7150" s="7"/>
      <c r="K7150" s="2"/>
      <c r="O7150">
        <f t="shared" si="1289"/>
        <v>4</v>
      </c>
      <c r="P7150" s="57">
        <f t="shared" si="1290"/>
        <v>5</v>
      </c>
      <c r="Q7150" s="267">
        <f t="shared" si="1291"/>
        <v>30975</v>
      </c>
      <c r="R7150" s="23">
        <f t="shared" si="1292"/>
        <v>4770</v>
      </c>
      <c r="S7150" s="23">
        <f t="shared" si="1293"/>
        <v>4717</v>
      </c>
      <c r="T7150" s="23" t="str">
        <f t="shared" si="1294"/>
        <v/>
      </c>
      <c r="U7150" t="str">
        <f t="shared" si="1295"/>
        <v/>
      </c>
      <c r="V7150" s="376"/>
      <c r="W7150" s="53"/>
      <c r="X7150" s="53"/>
      <c r="Y7150"/>
      <c r="Z7150"/>
      <c r="AA7150" s="23"/>
      <c r="AB7150"/>
      <c r="AC7150" s="272"/>
      <c r="AD7150" s="272"/>
      <c r="AE7150" s="273"/>
      <c r="AM7150" s="29"/>
      <c r="AN7150"/>
      <c r="AO7150"/>
      <c r="AP7150"/>
      <c r="AQ7150" s="29"/>
      <c r="AR7150" s="29"/>
      <c r="AS7150" s="29"/>
      <c r="AT7150"/>
      <c r="AV7150"/>
      <c r="AW7150"/>
    </row>
    <row r="7151" spans="1:49">
      <c r="A7151" s="23" t="s">
        <v>8063</v>
      </c>
      <c r="B7151" t="s">
        <v>7712</v>
      </c>
      <c r="C7151">
        <v>1</v>
      </c>
      <c r="D7151" s="55" t="str">
        <f t="shared" si="1288"/>
        <v>:Hagerstown Council*HG(vote 5)</v>
      </c>
      <c r="E7151" t="s">
        <v>7954</v>
      </c>
      <c r="F7151" t="s">
        <v>1300</v>
      </c>
      <c r="G7151" s="254">
        <v>4770</v>
      </c>
      <c r="H7151"/>
      <c r="J7151" s="7"/>
      <c r="K7151" s="2"/>
      <c r="O7151">
        <f t="shared" si="1289"/>
        <v>5</v>
      </c>
      <c r="P7151" s="57">
        <f t="shared" si="1290"/>
        <v>5</v>
      </c>
      <c r="Q7151" s="267">
        <f t="shared" si="1291"/>
        <v>25595</v>
      </c>
      <c r="R7151" s="23">
        <f t="shared" si="1292"/>
        <v>4770</v>
      </c>
      <c r="S7151" s="23">
        <f t="shared" si="1293"/>
        <v>4717</v>
      </c>
      <c r="T7151" s="23" t="str">
        <f t="shared" si="1294"/>
        <v/>
      </c>
      <c r="U7151" t="str">
        <f t="shared" si="1295"/>
        <v/>
      </c>
      <c r="V7151" s="376"/>
      <c r="W7151" s="53"/>
      <c r="X7151" s="53"/>
      <c r="Y7151"/>
      <c r="Z7151"/>
      <c r="AA7151" s="23"/>
      <c r="AB7151"/>
      <c r="AC7151" s="272"/>
      <c r="AD7151" s="272"/>
      <c r="AE7151" s="273"/>
      <c r="AM7151" s="29"/>
      <c r="AN7151"/>
      <c r="AO7151"/>
      <c r="AP7151"/>
      <c r="AQ7151" s="29"/>
      <c r="AR7151" s="29"/>
      <c r="AS7151" s="29"/>
      <c r="AT7151"/>
      <c r="AV7151"/>
      <c r="AW7151"/>
    </row>
    <row r="7152" spans="1:49">
      <c r="A7152" s="23" t="s">
        <v>8063</v>
      </c>
      <c r="B7152" t="s">
        <v>7712</v>
      </c>
      <c r="C7152">
        <v>1</v>
      </c>
      <c r="D7152" s="55" t="str">
        <f t="shared" si="1288"/>
        <v>:Hagerstown Council*HG(vote 5)</v>
      </c>
      <c r="E7152" t="s">
        <v>7955</v>
      </c>
      <c r="F7152" t="s">
        <v>1300</v>
      </c>
      <c r="G7152" s="254">
        <v>4717</v>
      </c>
      <c r="H7152"/>
      <c r="J7152" s="7"/>
      <c r="K7152" s="2"/>
      <c r="O7152">
        <f t="shared" si="1289"/>
        <v>6</v>
      </c>
      <c r="P7152" s="57">
        <f t="shared" si="1290"/>
        <v>5</v>
      </c>
      <c r="Q7152" s="267">
        <f t="shared" si="1291"/>
        <v>20825</v>
      </c>
      <c r="R7152" s="23" t="str">
        <f t="shared" si="1292"/>
        <v/>
      </c>
      <c r="S7152" s="23">
        <f t="shared" si="1293"/>
        <v>4717</v>
      </c>
      <c r="T7152" s="23" t="str">
        <f t="shared" si="1294"/>
        <v/>
      </c>
      <c r="U7152" t="str">
        <f t="shared" si="1295"/>
        <v/>
      </c>
      <c r="V7152" s="376"/>
      <c r="W7152" s="53"/>
      <c r="X7152" s="53"/>
      <c r="Y7152"/>
      <c r="Z7152"/>
      <c r="AA7152" s="23"/>
      <c r="AB7152"/>
      <c r="AC7152" s="272"/>
      <c r="AD7152" s="272"/>
      <c r="AE7152" s="273"/>
      <c r="AM7152" s="29"/>
      <c r="AN7152"/>
      <c r="AO7152"/>
      <c r="AP7152"/>
      <c r="AQ7152" s="29"/>
      <c r="AR7152" s="29"/>
      <c r="AS7152" s="29"/>
      <c r="AT7152"/>
      <c r="AV7152"/>
      <c r="AW7152"/>
    </row>
    <row r="7153" spans="1:49">
      <c r="A7153" s="23" t="s">
        <v>8063</v>
      </c>
      <c r="B7153" t="s">
        <v>7712</v>
      </c>
      <c r="C7153">
        <v>1</v>
      </c>
      <c r="D7153" s="55" t="str">
        <f t="shared" si="1288"/>
        <v>:Hagerstown Council*HG(vote 5)</v>
      </c>
      <c r="E7153" t="s">
        <v>7956</v>
      </c>
      <c r="F7153" t="s">
        <v>1300</v>
      </c>
      <c r="G7153" s="254">
        <v>4293</v>
      </c>
      <c r="H7153"/>
      <c r="J7153" s="7"/>
      <c r="K7153" s="2"/>
      <c r="O7153">
        <f t="shared" si="1289"/>
        <v>7</v>
      </c>
      <c r="P7153" s="57">
        <f t="shared" si="1290"/>
        <v>5</v>
      </c>
      <c r="Q7153" s="267">
        <f t="shared" si="1291"/>
        <v>16108</v>
      </c>
      <c r="R7153" s="23" t="str">
        <f t="shared" si="1292"/>
        <v/>
      </c>
      <c r="S7153" s="23">
        <f t="shared" si="1293"/>
        <v>4293</v>
      </c>
      <c r="T7153" s="23" t="str">
        <f t="shared" si="1294"/>
        <v/>
      </c>
      <c r="U7153" t="str">
        <f t="shared" si="1295"/>
        <v/>
      </c>
      <c r="V7153" s="376"/>
      <c r="W7153" s="53"/>
      <c r="X7153" s="53"/>
      <c r="Y7153"/>
      <c r="Z7153"/>
      <c r="AA7153" s="23"/>
      <c r="AB7153"/>
      <c r="AC7153" s="272"/>
      <c r="AD7153" s="272"/>
      <c r="AE7153" s="273"/>
      <c r="AM7153" s="29"/>
      <c r="AN7153"/>
      <c r="AO7153"/>
      <c r="AP7153"/>
      <c r="AQ7153" s="29"/>
      <c r="AR7153" s="29"/>
      <c r="AS7153" s="29"/>
      <c r="AT7153"/>
      <c r="AV7153"/>
      <c r="AW7153"/>
    </row>
    <row r="7154" spans="1:49">
      <c r="A7154" s="23" t="s">
        <v>8063</v>
      </c>
      <c r="B7154" t="s">
        <v>7712</v>
      </c>
      <c r="C7154">
        <v>1</v>
      </c>
      <c r="D7154" s="55" t="str">
        <f t="shared" si="1288"/>
        <v>:Hagerstown Council*HG(vote 5)</v>
      </c>
      <c r="E7154" t="s">
        <v>7957</v>
      </c>
      <c r="F7154" t="s">
        <v>1300</v>
      </c>
      <c r="G7154" s="254">
        <v>4024</v>
      </c>
      <c r="H7154"/>
      <c r="J7154" s="7"/>
      <c r="K7154" s="2"/>
      <c r="O7154">
        <f t="shared" si="1289"/>
        <v>8</v>
      </c>
      <c r="P7154" s="57">
        <f t="shared" si="1290"/>
        <v>5</v>
      </c>
      <c r="Q7154" s="267">
        <f t="shared" si="1291"/>
        <v>11815</v>
      </c>
      <c r="R7154" s="23" t="str">
        <f t="shared" si="1292"/>
        <v/>
      </c>
      <c r="S7154" s="23">
        <f t="shared" si="1293"/>
        <v>4024</v>
      </c>
      <c r="T7154" s="23" t="str">
        <f t="shared" si="1294"/>
        <v/>
      </c>
      <c r="U7154" t="str">
        <f t="shared" si="1295"/>
        <v/>
      </c>
      <c r="V7154" s="376"/>
      <c r="W7154" s="53"/>
      <c r="X7154" s="53"/>
      <c r="Y7154"/>
      <c r="Z7154"/>
      <c r="AA7154" s="23"/>
      <c r="AB7154"/>
      <c r="AC7154" s="272"/>
      <c r="AD7154" s="272"/>
      <c r="AE7154" s="273"/>
      <c r="AM7154" s="29"/>
      <c r="AN7154"/>
      <c r="AO7154"/>
      <c r="AP7154"/>
      <c r="AQ7154" s="29"/>
      <c r="AR7154" s="29"/>
      <c r="AS7154" s="29"/>
      <c r="AT7154"/>
      <c r="AV7154"/>
      <c r="AW7154"/>
    </row>
    <row r="7155" spans="1:49">
      <c r="A7155" s="23" t="s">
        <v>8063</v>
      </c>
      <c r="B7155" t="s">
        <v>7712</v>
      </c>
      <c r="C7155">
        <v>1</v>
      </c>
      <c r="D7155" s="55" t="str">
        <f t="shared" si="1288"/>
        <v>:Hagerstown Council*HG(vote 5)</v>
      </c>
      <c r="E7155" t="s">
        <v>7958</v>
      </c>
      <c r="F7155" t="s">
        <v>1300</v>
      </c>
      <c r="G7155" s="254">
        <v>3817</v>
      </c>
      <c r="H7155"/>
      <c r="J7155" s="7"/>
      <c r="K7155" s="2"/>
      <c r="O7155">
        <f t="shared" si="1289"/>
        <v>9</v>
      </c>
      <c r="P7155" s="57">
        <f t="shared" si="1290"/>
        <v>5</v>
      </c>
      <c r="Q7155" s="267">
        <f t="shared" si="1291"/>
        <v>7791</v>
      </c>
      <c r="R7155" s="23" t="str">
        <f t="shared" si="1292"/>
        <v/>
      </c>
      <c r="S7155" s="23">
        <f t="shared" si="1293"/>
        <v>3817</v>
      </c>
      <c r="T7155" s="23" t="str">
        <f t="shared" si="1294"/>
        <v/>
      </c>
      <c r="U7155" t="str">
        <f t="shared" si="1295"/>
        <v/>
      </c>
      <c r="V7155" s="376"/>
      <c r="W7155" s="53"/>
      <c r="X7155" s="53"/>
      <c r="Y7155"/>
      <c r="Z7155"/>
      <c r="AA7155" s="23"/>
      <c r="AB7155"/>
      <c r="AC7155" s="272"/>
      <c r="AD7155" s="272"/>
      <c r="AE7155" s="273"/>
      <c r="AM7155" s="29"/>
      <c r="AN7155"/>
      <c r="AO7155"/>
      <c r="AP7155"/>
      <c r="AQ7155" s="29"/>
      <c r="AR7155" s="29"/>
      <c r="AS7155" s="29"/>
      <c r="AT7155"/>
      <c r="AV7155"/>
      <c r="AW7155"/>
    </row>
    <row r="7156" spans="1:49">
      <c r="A7156" s="23" t="s">
        <v>8063</v>
      </c>
      <c r="B7156" t="s">
        <v>7712</v>
      </c>
      <c r="C7156">
        <v>1</v>
      </c>
      <c r="D7156" s="55" t="str">
        <f t="shared" si="1288"/>
        <v>:Hagerstown Council*HG(vote 5)</v>
      </c>
      <c r="E7156" t="s">
        <v>7959</v>
      </c>
      <c r="F7156" t="s">
        <v>1300</v>
      </c>
      <c r="G7156" s="254">
        <v>3772</v>
      </c>
      <c r="H7156"/>
      <c r="J7156" s="7"/>
      <c r="K7156" s="2"/>
      <c r="O7156">
        <f t="shared" si="1289"/>
        <v>10</v>
      </c>
      <c r="P7156" s="57">
        <f t="shared" si="1290"/>
        <v>5</v>
      </c>
      <c r="Q7156" s="267">
        <f t="shared" si="1291"/>
        <v>3974</v>
      </c>
      <c r="R7156" s="23" t="str">
        <f t="shared" si="1292"/>
        <v/>
      </c>
      <c r="S7156" s="23">
        <f t="shared" si="1293"/>
        <v>3772</v>
      </c>
      <c r="T7156" s="23" t="str">
        <f t="shared" si="1294"/>
        <v/>
      </c>
      <c r="U7156" t="str">
        <f t="shared" si="1295"/>
        <v/>
      </c>
      <c r="V7156" s="376"/>
      <c r="W7156" s="53"/>
      <c r="X7156" s="53"/>
      <c r="Y7156"/>
      <c r="Z7156"/>
      <c r="AA7156" s="23"/>
      <c r="AB7156"/>
      <c r="AC7156" s="272"/>
      <c r="AD7156" s="272"/>
      <c r="AE7156" s="273"/>
      <c r="AM7156" s="29"/>
      <c r="AN7156"/>
      <c r="AO7156"/>
      <c r="AP7156"/>
      <c r="AQ7156" s="29"/>
      <c r="AR7156" s="29"/>
      <c r="AS7156" s="29"/>
      <c r="AT7156"/>
      <c r="AV7156"/>
      <c r="AW7156"/>
    </row>
    <row r="7157" spans="1:49">
      <c r="A7157" s="23" t="s">
        <v>8063</v>
      </c>
      <c r="B7157" t="s">
        <v>7712</v>
      </c>
      <c r="C7157">
        <v>1</v>
      </c>
      <c r="D7157" s="55" t="str">
        <f t="shared" si="1288"/>
        <v>:Hagerstown Council*HG(vote 5)</v>
      </c>
      <c r="E7157" t="s">
        <v>7722</v>
      </c>
      <c r="F7157" t="s">
        <v>1300</v>
      </c>
      <c r="G7157" s="254">
        <v>202</v>
      </c>
      <c r="H7157"/>
      <c r="J7157" s="7"/>
      <c r="K7157" s="2"/>
      <c r="O7157">
        <f t="shared" si="1289"/>
        <v>11</v>
      </c>
      <c r="P7157" s="57">
        <f t="shared" si="1290"/>
        <v>5</v>
      </c>
      <c r="Q7157" s="267">
        <f t="shared" si="1291"/>
        <v>202</v>
      </c>
      <c r="R7157" s="23" t="str">
        <f t="shared" si="1292"/>
        <v/>
      </c>
      <c r="S7157" s="23">
        <f t="shared" si="1293"/>
        <v>202</v>
      </c>
      <c r="T7157" s="23" t="str">
        <f t="shared" si="1294"/>
        <v/>
      </c>
      <c r="U7157" t="str">
        <f t="shared" si="1295"/>
        <v/>
      </c>
      <c r="V7157" s="376"/>
      <c r="W7157" s="53"/>
      <c r="X7157" s="53"/>
      <c r="Y7157"/>
      <c r="Z7157"/>
      <c r="AA7157" s="23"/>
      <c r="AB7157"/>
      <c r="AC7157" s="272"/>
      <c r="AD7157" s="272"/>
      <c r="AE7157" s="273"/>
      <c r="AM7157" s="29"/>
      <c r="AN7157"/>
      <c r="AO7157"/>
      <c r="AP7157"/>
      <c r="AQ7157" s="29"/>
      <c r="AR7157" s="29"/>
      <c r="AS7157" s="29"/>
      <c r="AT7157"/>
      <c r="AV7157"/>
      <c r="AW7157"/>
    </row>
    <row r="7158" spans="1:49">
      <c r="A7158" s="23" t="s">
        <v>8064</v>
      </c>
      <c r="B7158" t="s">
        <v>7712</v>
      </c>
      <c r="C7158">
        <v>1</v>
      </c>
      <c r="D7158" s="55" t="str">
        <f t="shared" si="1288"/>
        <v>:Judge of the Circuit Court*4(vote 1)</v>
      </c>
      <c r="E7158" t="s">
        <v>7960</v>
      </c>
      <c r="F7158" t="s">
        <v>7714</v>
      </c>
      <c r="G7158" s="254">
        <v>47293</v>
      </c>
      <c r="H7158"/>
      <c r="J7158" s="7"/>
      <c r="K7158" s="2"/>
      <c r="O7158">
        <f t="shared" si="1289"/>
        <v>1</v>
      </c>
      <c r="P7158" s="57">
        <f t="shared" si="1290"/>
        <v>1</v>
      </c>
      <c r="Q7158" s="267">
        <f t="shared" si="1291"/>
        <v>47786</v>
      </c>
      <c r="R7158" s="23">
        <f t="shared" si="1292"/>
        <v>47293</v>
      </c>
      <c r="S7158" s="23">
        <f t="shared" si="1293"/>
        <v>493</v>
      </c>
      <c r="T7158" s="23">
        <f t="shared" si="1294"/>
        <v>46800</v>
      </c>
      <c r="U7158" t="str">
        <f t="shared" si="1295"/>
        <v>MD_2020g~Cnty22:Judge of the Circuit Court*4(vote 1)</v>
      </c>
      <c r="V7158" s="376"/>
      <c r="W7158" s="53"/>
      <c r="X7158" s="53"/>
      <c r="Y7158"/>
      <c r="Z7158"/>
      <c r="AA7158" s="23"/>
      <c r="AB7158"/>
      <c r="AC7158" s="272"/>
      <c r="AD7158" s="272"/>
      <c r="AE7158" s="273"/>
      <c r="AM7158" s="29"/>
      <c r="AN7158"/>
      <c r="AO7158"/>
      <c r="AP7158"/>
      <c r="AQ7158" s="29"/>
      <c r="AR7158" s="29"/>
      <c r="AS7158" s="29"/>
      <c r="AT7158"/>
      <c r="AV7158"/>
      <c r="AW7158"/>
    </row>
    <row r="7159" spans="1:49">
      <c r="A7159" s="23" t="s">
        <v>8064</v>
      </c>
      <c r="B7159" t="s">
        <v>7712</v>
      </c>
      <c r="C7159">
        <v>1</v>
      </c>
      <c r="D7159" s="55" t="str">
        <f t="shared" si="1288"/>
        <v>:Judge of the Circuit Court*4(vote 1)</v>
      </c>
      <c r="E7159" t="s">
        <v>7722</v>
      </c>
      <c r="F7159" t="s">
        <v>7714</v>
      </c>
      <c r="G7159" s="254">
        <v>493</v>
      </c>
      <c r="H7159"/>
      <c r="J7159" s="7"/>
      <c r="K7159" s="2"/>
      <c r="O7159">
        <f t="shared" si="1289"/>
        <v>2</v>
      </c>
      <c r="P7159" s="57">
        <f t="shared" si="1290"/>
        <v>1</v>
      </c>
      <c r="Q7159" s="267">
        <f t="shared" si="1291"/>
        <v>493</v>
      </c>
      <c r="R7159" s="23" t="str">
        <f t="shared" si="1292"/>
        <v/>
      </c>
      <c r="S7159" s="23">
        <f t="shared" si="1293"/>
        <v>493</v>
      </c>
      <c r="T7159" s="23" t="str">
        <f t="shared" si="1294"/>
        <v/>
      </c>
      <c r="U7159" t="str">
        <f t="shared" si="1295"/>
        <v/>
      </c>
      <c r="V7159" s="376"/>
      <c r="W7159" s="53"/>
      <c r="X7159" s="53"/>
      <c r="Y7159"/>
      <c r="Z7159"/>
      <c r="AA7159" s="23"/>
      <c r="AB7159"/>
      <c r="AC7159" s="272"/>
      <c r="AD7159" s="272"/>
      <c r="AE7159" s="273"/>
      <c r="AM7159" s="29"/>
      <c r="AN7159"/>
      <c r="AO7159"/>
      <c r="AP7159"/>
      <c r="AQ7159" s="29"/>
      <c r="AR7159" s="29"/>
      <c r="AS7159" s="29"/>
      <c r="AT7159"/>
      <c r="AV7159"/>
      <c r="AW7159"/>
    </row>
    <row r="7160" spans="1:49">
      <c r="A7160" s="23" t="s">
        <v>8065</v>
      </c>
      <c r="B7160" t="s">
        <v>7712</v>
      </c>
      <c r="C7160">
        <v>1</v>
      </c>
      <c r="D7160" s="55" t="str">
        <f t="shared" si="1288"/>
        <v>:Mayor of Hagerstown*HG(vote 1)</v>
      </c>
      <c r="E7160" t="s">
        <v>7961</v>
      </c>
      <c r="F7160" t="s">
        <v>1300</v>
      </c>
      <c r="G7160" s="254">
        <v>8374</v>
      </c>
      <c r="H7160"/>
      <c r="J7160" s="7"/>
      <c r="K7160" s="2"/>
      <c r="O7160">
        <f t="shared" si="1289"/>
        <v>1</v>
      </c>
      <c r="P7160" s="57">
        <f t="shared" si="1290"/>
        <v>1</v>
      </c>
      <c r="Q7160" s="267">
        <f t="shared" si="1291"/>
        <v>13544</v>
      </c>
      <c r="R7160" s="23">
        <f t="shared" si="1292"/>
        <v>8374</v>
      </c>
      <c r="S7160" s="23">
        <f t="shared" si="1293"/>
        <v>5083</v>
      </c>
      <c r="T7160" s="23">
        <f t="shared" si="1294"/>
        <v>3291</v>
      </c>
      <c r="U7160" t="str">
        <f t="shared" si="1295"/>
        <v>MD_2020g~Cnty22:Mayor of Hagerstown*HG(vote 1)</v>
      </c>
      <c r="V7160" s="376"/>
      <c r="W7160" s="53"/>
      <c r="X7160" s="53"/>
      <c r="Y7160"/>
      <c r="Z7160"/>
      <c r="AA7160" s="23"/>
      <c r="AB7160"/>
      <c r="AC7160" s="272"/>
      <c r="AD7160" s="272"/>
      <c r="AE7160" s="273"/>
      <c r="AM7160" s="29"/>
      <c r="AN7160"/>
      <c r="AO7160"/>
      <c r="AP7160"/>
      <c r="AQ7160" s="29"/>
      <c r="AR7160" s="29"/>
      <c r="AS7160" s="29"/>
      <c r="AT7160"/>
      <c r="AV7160"/>
      <c r="AW7160"/>
    </row>
    <row r="7161" spans="1:49">
      <c r="A7161" s="23" t="s">
        <v>8065</v>
      </c>
      <c r="B7161" t="s">
        <v>7712</v>
      </c>
      <c r="C7161">
        <v>1</v>
      </c>
      <c r="D7161" s="55" t="str">
        <f t="shared" si="1288"/>
        <v>:Mayor of Hagerstown*HG(vote 1)</v>
      </c>
      <c r="E7161" t="s">
        <v>7962</v>
      </c>
      <c r="F7161" t="s">
        <v>1300</v>
      </c>
      <c r="G7161" s="254">
        <v>5083</v>
      </c>
      <c r="H7161"/>
      <c r="J7161" s="7"/>
      <c r="K7161" s="2"/>
      <c r="O7161">
        <f t="shared" si="1289"/>
        <v>2</v>
      </c>
      <c r="P7161" s="57">
        <f t="shared" si="1290"/>
        <v>1</v>
      </c>
      <c r="Q7161" s="267">
        <f t="shared" si="1291"/>
        <v>5170</v>
      </c>
      <c r="R7161" s="23" t="str">
        <f t="shared" si="1292"/>
        <v/>
      </c>
      <c r="S7161" s="23">
        <f t="shared" si="1293"/>
        <v>5083</v>
      </c>
      <c r="T7161" s="23" t="str">
        <f t="shared" si="1294"/>
        <v/>
      </c>
      <c r="U7161" t="str">
        <f t="shared" si="1295"/>
        <v/>
      </c>
      <c r="V7161" s="376"/>
      <c r="W7161" s="53"/>
      <c r="X7161" s="53"/>
      <c r="Y7161"/>
      <c r="Z7161"/>
      <c r="AA7161" s="23"/>
      <c r="AB7161"/>
      <c r="AC7161" s="272"/>
      <c r="AD7161" s="272"/>
      <c r="AE7161" s="273"/>
      <c r="AM7161" s="29"/>
      <c r="AN7161"/>
      <c r="AO7161"/>
      <c r="AP7161"/>
      <c r="AQ7161" s="29"/>
      <c r="AR7161" s="29"/>
      <c r="AS7161" s="29"/>
      <c r="AT7161"/>
      <c r="AV7161"/>
      <c r="AW7161"/>
    </row>
    <row r="7162" spans="1:49">
      <c r="A7162" s="23" t="s">
        <v>8065</v>
      </c>
      <c r="B7162" t="s">
        <v>7712</v>
      </c>
      <c r="C7162">
        <v>1</v>
      </c>
      <c r="D7162" s="55" t="str">
        <f t="shared" si="1288"/>
        <v>:Mayor of Hagerstown*HG(vote 1)</v>
      </c>
      <c r="E7162" t="s">
        <v>7722</v>
      </c>
      <c r="F7162" t="s">
        <v>1300</v>
      </c>
      <c r="G7162" s="254">
        <v>87</v>
      </c>
      <c r="H7162"/>
      <c r="J7162" s="7"/>
      <c r="K7162" s="2"/>
      <c r="O7162">
        <f t="shared" si="1289"/>
        <v>3</v>
      </c>
      <c r="P7162" s="57">
        <f t="shared" si="1290"/>
        <v>1</v>
      </c>
      <c r="Q7162" s="267">
        <f t="shared" si="1291"/>
        <v>87</v>
      </c>
      <c r="R7162" s="23" t="str">
        <f t="shared" si="1292"/>
        <v/>
      </c>
      <c r="S7162" s="23">
        <f t="shared" si="1293"/>
        <v>87</v>
      </c>
      <c r="T7162" s="23" t="str">
        <f t="shared" si="1294"/>
        <v/>
      </c>
      <c r="U7162" t="str">
        <f t="shared" si="1295"/>
        <v/>
      </c>
      <c r="V7162" s="376"/>
      <c r="W7162" s="53"/>
      <c r="X7162" s="53"/>
      <c r="Y7162"/>
      <c r="Z7162"/>
      <c r="AA7162" s="23"/>
      <c r="AB7162"/>
      <c r="AC7162" s="272"/>
      <c r="AD7162" s="272"/>
      <c r="AE7162" s="273"/>
      <c r="AM7162" s="29"/>
      <c r="AN7162"/>
      <c r="AO7162"/>
      <c r="AP7162"/>
      <c r="AQ7162" s="29"/>
      <c r="AR7162" s="29"/>
      <c r="AS7162" s="29"/>
      <c r="AT7162"/>
      <c r="AV7162"/>
      <c r="AW7162"/>
    </row>
    <row r="7163" spans="1:49">
      <c r="A7163" s="23" t="s">
        <v>8066</v>
      </c>
      <c r="B7163" t="s">
        <v>7712</v>
      </c>
      <c r="C7163">
        <v>1</v>
      </c>
      <c r="D7163" s="55" t="str">
        <f t="shared" si="1288"/>
        <v>:Board of Education*3(vote 1)</v>
      </c>
      <c r="E7163" t="s">
        <v>7963</v>
      </c>
      <c r="F7163" t="s">
        <v>1300</v>
      </c>
      <c r="G7163" s="254">
        <v>8177</v>
      </c>
      <c r="H7163"/>
      <c r="J7163" s="7"/>
      <c r="K7163" s="2"/>
      <c r="O7163">
        <f t="shared" si="1289"/>
        <v>1</v>
      </c>
      <c r="P7163" s="57">
        <f t="shared" si="1290"/>
        <v>1</v>
      </c>
      <c r="Q7163" s="267">
        <f t="shared" si="1291"/>
        <v>8363</v>
      </c>
      <c r="R7163" s="23">
        <f t="shared" si="1292"/>
        <v>8177</v>
      </c>
      <c r="S7163" s="23">
        <f t="shared" si="1293"/>
        <v>186</v>
      </c>
      <c r="T7163" s="23">
        <f t="shared" si="1294"/>
        <v>7991</v>
      </c>
      <c r="U7163" t="str">
        <f t="shared" si="1295"/>
        <v>MD_2020g~Cnty23:Board of Education*3(vote 1)</v>
      </c>
      <c r="V7163" s="376"/>
      <c r="W7163" s="53"/>
      <c r="X7163" s="53"/>
      <c r="Y7163"/>
      <c r="Z7163"/>
      <c r="AA7163" s="23"/>
      <c r="AB7163"/>
      <c r="AC7163" s="272"/>
      <c r="AD7163" s="272"/>
      <c r="AE7163" s="273"/>
      <c r="AM7163" s="29"/>
      <c r="AN7163"/>
      <c r="AO7163"/>
      <c r="AP7163"/>
      <c r="AQ7163" s="29"/>
      <c r="AR7163" s="29"/>
      <c r="AS7163" s="29"/>
      <c r="AT7163"/>
      <c r="AV7163"/>
      <c r="AW7163"/>
    </row>
    <row r="7164" spans="1:49">
      <c r="A7164" s="23" t="s">
        <v>8066</v>
      </c>
      <c r="B7164" t="s">
        <v>7712</v>
      </c>
      <c r="C7164">
        <v>1</v>
      </c>
      <c r="D7164" s="55" t="str">
        <f t="shared" si="1288"/>
        <v>:Board of Education*3(vote 1)</v>
      </c>
      <c r="E7164" t="s">
        <v>7722</v>
      </c>
      <c r="F7164" t="s">
        <v>1300</v>
      </c>
      <c r="G7164" s="254">
        <v>186</v>
      </c>
      <c r="H7164"/>
      <c r="J7164" s="7"/>
      <c r="K7164" s="2"/>
      <c r="O7164">
        <f t="shared" si="1289"/>
        <v>2</v>
      </c>
      <c r="P7164" s="57">
        <f t="shared" si="1290"/>
        <v>1</v>
      </c>
      <c r="Q7164" s="267">
        <f t="shared" si="1291"/>
        <v>186</v>
      </c>
      <c r="R7164" s="23" t="str">
        <f t="shared" si="1292"/>
        <v/>
      </c>
      <c r="S7164" s="23">
        <f t="shared" si="1293"/>
        <v>186</v>
      </c>
      <c r="T7164" s="23" t="str">
        <f t="shared" si="1294"/>
        <v/>
      </c>
      <c r="U7164" t="str">
        <f t="shared" si="1295"/>
        <v/>
      </c>
      <c r="V7164" s="376"/>
      <c r="W7164" s="53"/>
      <c r="X7164" s="53"/>
      <c r="Y7164"/>
      <c r="Z7164"/>
      <c r="AA7164" s="23"/>
      <c r="AB7164"/>
      <c r="AC7164" s="272"/>
      <c r="AD7164" s="272"/>
      <c r="AE7164" s="273"/>
      <c r="AM7164" s="29"/>
      <c r="AN7164"/>
      <c r="AO7164"/>
      <c r="AP7164"/>
      <c r="AQ7164" s="29"/>
      <c r="AR7164" s="29"/>
      <c r="AS7164" s="29"/>
      <c r="AT7164"/>
      <c r="AV7164"/>
      <c r="AW7164"/>
    </row>
    <row r="7165" spans="1:49">
      <c r="A7165" s="23" t="s">
        <v>8067</v>
      </c>
      <c r="B7165" t="s">
        <v>7712</v>
      </c>
      <c r="C7165">
        <v>1</v>
      </c>
      <c r="D7165" s="55" t="str">
        <f t="shared" si="1288"/>
        <v>:County Council*2(vote 1)</v>
      </c>
      <c r="E7165" t="s">
        <v>7964</v>
      </c>
      <c r="F7165" t="s">
        <v>1296</v>
      </c>
      <c r="G7165" s="254">
        <v>6038</v>
      </c>
      <c r="H7165"/>
      <c r="J7165" s="7"/>
      <c r="K7165" s="2"/>
      <c r="O7165">
        <f t="shared" si="1289"/>
        <v>1</v>
      </c>
      <c r="P7165" s="57">
        <f t="shared" si="1290"/>
        <v>1</v>
      </c>
      <c r="Q7165" s="267">
        <f t="shared" si="1291"/>
        <v>11317</v>
      </c>
      <c r="R7165" s="23">
        <f t="shared" si="1292"/>
        <v>6038</v>
      </c>
      <c r="S7165" s="23">
        <f t="shared" si="1293"/>
        <v>5256</v>
      </c>
      <c r="T7165" s="23">
        <f t="shared" si="1294"/>
        <v>782</v>
      </c>
      <c r="U7165" t="str">
        <f t="shared" si="1295"/>
        <v>MD_2020g~Cnty23:County Council*2(vote 1)</v>
      </c>
      <c r="V7165" s="376"/>
      <c r="W7165" s="53"/>
      <c r="X7165" s="53"/>
      <c r="Y7165"/>
      <c r="Z7165"/>
      <c r="AA7165" s="23"/>
      <c r="AB7165"/>
      <c r="AC7165" s="272"/>
      <c r="AD7165" s="272"/>
      <c r="AE7165" s="273"/>
      <c r="AM7165" s="29"/>
      <c r="AN7165"/>
      <c r="AO7165"/>
      <c r="AP7165"/>
      <c r="AQ7165" s="29"/>
      <c r="AR7165" s="29"/>
      <c r="AS7165" s="29"/>
      <c r="AT7165"/>
      <c r="AV7165"/>
      <c r="AW7165"/>
    </row>
    <row r="7166" spans="1:49">
      <c r="A7166" s="23" t="s">
        <v>8067</v>
      </c>
      <c r="B7166" t="s">
        <v>7712</v>
      </c>
      <c r="C7166">
        <v>1</v>
      </c>
      <c r="D7166" s="55" t="str">
        <f t="shared" si="1288"/>
        <v>:County Council*2(vote 1)</v>
      </c>
      <c r="E7166" t="s">
        <v>7965</v>
      </c>
      <c r="F7166" t="s">
        <v>1294</v>
      </c>
      <c r="G7166" s="254">
        <v>5256</v>
      </c>
      <c r="H7166"/>
      <c r="J7166" s="7"/>
      <c r="K7166" s="2"/>
      <c r="O7166">
        <f t="shared" si="1289"/>
        <v>2</v>
      </c>
      <c r="P7166" s="57">
        <f t="shared" si="1290"/>
        <v>1</v>
      </c>
      <c r="Q7166" s="267">
        <f t="shared" si="1291"/>
        <v>5279</v>
      </c>
      <c r="R7166" s="23" t="str">
        <f t="shared" si="1292"/>
        <v/>
      </c>
      <c r="S7166" s="23">
        <f t="shared" si="1293"/>
        <v>5256</v>
      </c>
      <c r="T7166" s="23" t="str">
        <f t="shared" si="1294"/>
        <v/>
      </c>
      <c r="U7166" t="str">
        <f t="shared" si="1295"/>
        <v/>
      </c>
      <c r="V7166" s="376"/>
      <c r="W7166" s="53"/>
      <c r="X7166" s="53"/>
      <c r="Y7166"/>
      <c r="Z7166"/>
      <c r="AA7166" s="23"/>
      <c r="AB7166"/>
      <c r="AC7166" s="272"/>
      <c r="AD7166" s="272"/>
      <c r="AE7166" s="273"/>
      <c r="AM7166" s="29"/>
      <c r="AN7166"/>
      <c r="AO7166"/>
      <c r="AP7166"/>
      <c r="AQ7166" s="29"/>
      <c r="AR7166" s="29"/>
      <c r="AS7166" s="29"/>
      <c r="AT7166"/>
      <c r="AV7166"/>
      <c r="AW7166"/>
    </row>
    <row r="7167" spans="1:49">
      <c r="A7167" s="23" t="s">
        <v>8067</v>
      </c>
      <c r="B7167" t="s">
        <v>7712</v>
      </c>
      <c r="C7167">
        <v>1</v>
      </c>
      <c r="D7167" s="55" t="str">
        <f t="shared" si="1288"/>
        <v>:County Council*2(vote 1)</v>
      </c>
      <c r="E7167" t="s">
        <v>7722</v>
      </c>
      <c r="F7167" t="s">
        <v>7714</v>
      </c>
      <c r="G7167" s="254">
        <v>23</v>
      </c>
      <c r="H7167"/>
      <c r="J7167" s="7"/>
      <c r="K7167" s="2"/>
      <c r="O7167">
        <f t="shared" si="1289"/>
        <v>3</v>
      </c>
      <c r="P7167" s="57">
        <f t="shared" si="1290"/>
        <v>1</v>
      </c>
      <c r="Q7167" s="267">
        <f t="shared" si="1291"/>
        <v>23</v>
      </c>
      <c r="R7167" s="23" t="str">
        <f t="shared" si="1292"/>
        <v/>
      </c>
      <c r="S7167" s="23">
        <f t="shared" si="1293"/>
        <v>23</v>
      </c>
      <c r="T7167" s="23" t="str">
        <f t="shared" si="1294"/>
        <v/>
      </c>
      <c r="U7167" t="str">
        <f t="shared" si="1295"/>
        <v/>
      </c>
      <c r="V7167" s="376"/>
      <c r="W7167" s="53"/>
      <c r="X7167" s="53"/>
      <c r="Y7167"/>
      <c r="Z7167"/>
      <c r="AA7167" s="23"/>
      <c r="AB7167"/>
      <c r="AC7167" s="272"/>
      <c r="AD7167" s="272"/>
      <c r="AE7167" s="273"/>
      <c r="AM7167" s="29"/>
      <c r="AN7167"/>
      <c r="AO7167"/>
      <c r="AP7167"/>
      <c r="AQ7167" s="29"/>
      <c r="AR7167" s="29"/>
      <c r="AS7167" s="29"/>
      <c r="AT7167"/>
      <c r="AV7167"/>
      <c r="AW7167"/>
    </row>
    <row r="7168" spans="1:49">
      <c r="A7168" s="23" t="s">
        <v>8068</v>
      </c>
      <c r="B7168" t="s">
        <v>7712</v>
      </c>
      <c r="C7168">
        <v>1</v>
      </c>
      <c r="D7168" s="55" t="str">
        <f t="shared" si="1288"/>
        <v>:Board of Education*2(vote 1)</v>
      </c>
      <c r="E7168" t="s">
        <v>7966</v>
      </c>
      <c r="F7168" t="s">
        <v>1300</v>
      </c>
      <c r="G7168" s="254">
        <v>1863</v>
      </c>
      <c r="H7168"/>
      <c r="J7168" s="7"/>
      <c r="K7168" s="2"/>
      <c r="O7168">
        <f t="shared" si="1289"/>
        <v>1</v>
      </c>
      <c r="P7168" s="57">
        <f t="shared" si="1290"/>
        <v>1</v>
      </c>
      <c r="Q7168" s="267">
        <f t="shared" si="1291"/>
        <v>3003</v>
      </c>
      <c r="R7168" s="23">
        <f t="shared" si="1292"/>
        <v>1863</v>
      </c>
      <c r="S7168" s="23">
        <f t="shared" si="1293"/>
        <v>1112</v>
      </c>
      <c r="T7168" s="23">
        <f t="shared" si="1294"/>
        <v>751</v>
      </c>
      <c r="U7168" t="str">
        <f t="shared" si="1295"/>
        <v>MD_2020g~Cnty24:Board of Education*2(vote 1)</v>
      </c>
      <c r="V7168" s="376"/>
      <c r="W7168" s="53"/>
      <c r="X7168" s="53"/>
      <c r="Y7168"/>
      <c r="Z7168"/>
      <c r="AA7168" s="23"/>
      <c r="AB7168"/>
      <c r="AC7168" s="272"/>
      <c r="AD7168" s="272"/>
      <c r="AE7168" s="273"/>
      <c r="AM7168" s="29"/>
      <c r="AN7168"/>
      <c r="AO7168"/>
      <c r="AP7168"/>
      <c r="AQ7168" s="29"/>
      <c r="AR7168" s="29"/>
      <c r="AS7168" s="29"/>
      <c r="AT7168"/>
      <c r="AV7168"/>
      <c r="AW7168"/>
    </row>
    <row r="7169" spans="1:49">
      <c r="A7169" s="23" t="s">
        <v>8068</v>
      </c>
      <c r="B7169" t="s">
        <v>7712</v>
      </c>
      <c r="C7169">
        <v>1</v>
      </c>
      <c r="D7169" s="55" t="str">
        <f t="shared" si="1288"/>
        <v>:Board of Education*2(vote 1)</v>
      </c>
      <c r="E7169" t="s">
        <v>7967</v>
      </c>
      <c r="F7169" t="s">
        <v>1300</v>
      </c>
      <c r="G7169" s="254">
        <v>1112</v>
      </c>
      <c r="H7169"/>
      <c r="J7169" s="7"/>
      <c r="K7169" s="2"/>
      <c r="O7169">
        <f t="shared" si="1289"/>
        <v>2</v>
      </c>
      <c r="P7169" s="57">
        <f t="shared" si="1290"/>
        <v>1</v>
      </c>
      <c r="Q7169" s="267">
        <f t="shared" si="1291"/>
        <v>1140</v>
      </c>
      <c r="R7169" s="23" t="str">
        <f t="shared" si="1292"/>
        <v/>
      </c>
      <c r="S7169" s="23">
        <f t="shared" si="1293"/>
        <v>1112</v>
      </c>
      <c r="T7169" s="23" t="str">
        <f t="shared" si="1294"/>
        <v/>
      </c>
      <c r="U7169" t="str">
        <f t="shared" si="1295"/>
        <v/>
      </c>
      <c r="V7169" s="376"/>
      <c r="W7169" s="53"/>
      <c r="X7169" s="53"/>
      <c r="Y7169"/>
      <c r="Z7169"/>
      <c r="AA7169" s="23"/>
      <c r="AB7169"/>
      <c r="AC7169" s="272"/>
      <c r="AD7169" s="272"/>
      <c r="AE7169" s="273"/>
      <c r="AM7169" s="29"/>
      <c r="AN7169"/>
      <c r="AO7169"/>
      <c r="AP7169"/>
      <c r="AQ7169" s="29"/>
      <c r="AR7169" s="29"/>
      <c r="AS7169" s="29"/>
      <c r="AT7169"/>
      <c r="AV7169"/>
      <c r="AW7169"/>
    </row>
    <row r="7170" spans="1:49">
      <c r="A7170" s="23" t="s">
        <v>8068</v>
      </c>
      <c r="B7170" t="s">
        <v>7712</v>
      </c>
      <c r="C7170">
        <v>1</v>
      </c>
      <c r="D7170" s="55" t="str">
        <f t="shared" si="1288"/>
        <v>:Board of Education*2(vote 1)</v>
      </c>
      <c r="E7170" t="s">
        <v>7722</v>
      </c>
      <c r="F7170" t="s">
        <v>1300</v>
      </c>
      <c r="G7170" s="254">
        <v>28</v>
      </c>
      <c r="H7170"/>
      <c r="J7170" s="7"/>
      <c r="K7170" s="2"/>
      <c r="O7170">
        <f t="shared" si="1289"/>
        <v>3</v>
      </c>
      <c r="P7170" s="57">
        <f t="shared" si="1290"/>
        <v>1</v>
      </c>
      <c r="Q7170" s="267">
        <f t="shared" si="1291"/>
        <v>28</v>
      </c>
      <c r="R7170" s="23" t="str">
        <f t="shared" si="1292"/>
        <v/>
      </c>
      <c r="S7170" s="23">
        <f t="shared" si="1293"/>
        <v>28</v>
      </c>
      <c r="T7170" s="23" t="str">
        <f t="shared" si="1294"/>
        <v/>
      </c>
      <c r="U7170" t="str">
        <f t="shared" si="1295"/>
        <v/>
      </c>
      <c r="V7170" s="376"/>
      <c r="W7170" s="53"/>
      <c r="X7170" s="53"/>
      <c r="Y7170"/>
      <c r="Z7170"/>
      <c r="AA7170" s="23"/>
      <c r="AB7170"/>
      <c r="AC7170" s="272"/>
      <c r="AD7170" s="272"/>
      <c r="AE7170" s="273"/>
      <c r="AM7170" s="29"/>
      <c r="AN7170"/>
      <c r="AO7170"/>
      <c r="AP7170"/>
      <c r="AQ7170" s="29"/>
      <c r="AR7170" s="29"/>
      <c r="AS7170" s="29"/>
      <c r="AT7170"/>
      <c r="AV7170"/>
      <c r="AW7170"/>
    </row>
    <row r="7171" spans="1:49">
      <c r="A7171" s="23" t="s">
        <v>8069</v>
      </c>
      <c r="B7171" t="s">
        <v>7712</v>
      </c>
      <c r="C7171">
        <v>1</v>
      </c>
      <c r="D7171" s="55" t="str">
        <f t="shared" si="1288"/>
        <v>:Board of Education*3(vote 1)</v>
      </c>
      <c r="E7171" t="s">
        <v>7968</v>
      </c>
      <c r="F7171" t="s">
        <v>1300</v>
      </c>
      <c r="G7171" s="254">
        <v>3039</v>
      </c>
      <c r="H7171"/>
      <c r="J7171" s="7"/>
      <c r="K7171" s="2"/>
      <c r="O7171">
        <f t="shared" si="1289"/>
        <v>1</v>
      </c>
      <c r="P7171" s="57">
        <f t="shared" si="1290"/>
        <v>1</v>
      </c>
      <c r="Q7171" s="267">
        <f t="shared" si="1291"/>
        <v>4148</v>
      </c>
      <c r="R7171" s="23">
        <f t="shared" si="1292"/>
        <v>3039</v>
      </c>
      <c r="S7171" s="23">
        <f t="shared" si="1293"/>
        <v>1093</v>
      </c>
      <c r="T7171" s="23">
        <f t="shared" si="1294"/>
        <v>1946</v>
      </c>
      <c r="U7171" t="str">
        <f t="shared" si="1295"/>
        <v>MD_2020g~Cnty24:Board of Education*3(vote 1)</v>
      </c>
      <c r="V7171" s="376"/>
      <c r="W7171" s="53"/>
      <c r="X7171" s="53"/>
      <c r="Y7171"/>
      <c r="Z7171"/>
      <c r="AA7171" s="23"/>
      <c r="AB7171"/>
      <c r="AC7171" s="272"/>
      <c r="AD7171" s="272"/>
      <c r="AE7171" s="273"/>
      <c r="AM7171" s="29"/>
      <c r="AN7171"/>
      <c r="AO7171"/>
      <c r="AP7171"/>
      <c r="AQ7171" s="29"/>
      <c r="AR7171" s="29"/>
      <c r="AS7171" s="29"/>
      <c r="AT7171"/>
      <c r="AV7171"/>
      <c r="AW7171"/>
    </row>
    <row r="7172" spans="1:49">
      <c r="A7172" s="23" t="s">
        <v>8069</v>
      </c>
      <c r="B7172" t="s">
        <v>7712</v>
      </c>
      <c r="C7172">
        <v>1</v>
      </c>
      <c r="D7172" s="55" t="str">
        <f t="shared" si="1288"/>
        <v>:Board of Education*3(vote 1)</v>
      </c>
      <c r="E7172" t="s">
        <v>7969</v>
      </c>
      <c r="F7172" t="s">
        <v>1300</v>
      </c>
      <c r="G7172" s="254">
        <v>1093</v>
      </c>
      <c r="H7172"/>
      <c r="J7172" s="7"/>
      <c r="K7172" s="2"/>
      <c r="O7172">
        <f t="shared" si="1289"/>
        <v>2</v>
      </c>
      <c r="P7172" s="57">
        <f t="shared" si="1290"/>
        <v>1</v>
      </c>
      <c r="Q7172" s="267">
        <f t="shared" si="1291"/>
        <v>1109</v>
      </c>
      <c r="R7172" s="23" t="str">
        <f t="shared" si="1292"/>
        <v/>
      </c>
      <c r="S7172" s="23">
        <f t="shared" si="1293"/>
        <v>1093</v>
      </c>
      <c r="T7172" s="23" t="str">
        <f t="shared" si="1294"/>
        <v/>
      </c>
      <c r="U7172" t="str">
        <f t="shared" si="1295"/>
        <v/>
      </c>
      <c r="V7172" s="376"/>
      <c r="W7172" s="53"/>
      <c r="X7172" s="53"/>
      <c r="Y7172"/>
      <c r="Z7172"/>
      <c r="AA7172" s="23"/>
      <c r="AB7172"/>
      <c r="AC7172" s="272"/>
      <c r="AD7172" s="272"/>
      <c r="AE7172" s="273"/>
      <c r="AM7172" s="29"/>
      <c r="AN7172"/>
      <c r="AO7172"/>
      <c r="AP7172"/>
      <c r="AQ7172" s="29"/>
      <c r="AR7172" s="29"/>
      <c r="AS7172" s="29"/>
      <c r="AT7172"/>
      <c r="AV7172"/>
      <c r="AW7172"/>
    </row>
    <row r="7173" spans="1:49">
      <c r="A7173" s="23" t="s">
        <v>8069</v>
      </c>
      <c r="B7173" t="s">
        <v>7712</v>
      </c>
      <c r="C7173">
        <v>1</v>
      </c>
      <c r="D7173" s="55" t="str">
        <f t="shared" si="1288"/>
        <v>:Board of Education*3(vote 1)</v>
      </c>
      <c r="E7173" t="s">
        <v>7722</v>
      </c>
      <c r="F7173" t="s">
        <v>1300</v>
      </c>
      <c r="G7173" s="254">
        <v>16</v>
      </c>
      <c r="H7173"/>
      <c r="J7173" s="7"/>
      <c r="K7173" s="2"/>
      <c r="O7173">
        <f t="shared" si="1289"/>
        <v>3</v>
      </c>
      <c r="P7173" s="57">
        <f t="shared" si="1290"/>
        <v>1</v>
      </c>
      <c r="Q7173" s="267">
        <f t="shared" si="1291"/>
        <v>16</v>
      </c>
      <c r="R7173" s="23" t="str">
        <f t="shared" si="1292"/>
        <v/>
      </c>
      <c r="S7173" s="23">
        <f t="shared" si="1293"/>
        <v>16</v>
      </c>
      <c r="T7173" s="23" t="str">
        <f t="shared" si="1294"/>
        <v/>
      </c>
      <c r="U7173" t="str">
        <f t="shared" si="1295"/>
        <v/>
      </c>
      <c r="V7173" s="376"/>
      <c r="W7173" s="53"/>
      <c r="X7173" s="53"/>
      <c r="Y7173"/>
      <c r="Z7173"/>
      <c r="AA7173" s="23"/>
      <c r="AB7173"/>
      <c r="AC7173" s="272"/>
      <c r="AD7173" s="272"/>
      <c r="AE7173" s="273"/>
      <c r="AM7173" s="29"/>
      <c r="AN7173"/>
      <c r="AO7173"/>
      <c r="AP7173"/>
      <c r="AQ7173" s="29"/>
      <c r="AR7173" s="29"/>
      <c r="AS7173" s="29"/>
      <c r="AT7173"/>
      <c r="AV7173"/>
      <c r="AW7173"/>
    </row>
    <row r="7174" spans="1:49">
      <c r="A7174" s="23" t="s">
        <v>8070</v>
      </c>
      <c r="B7174" t="s">
        <v>7712</v>
      </c>
      <c r="C7174">
        <v>1</v>
      </c>
      <c r="D7174" s="55" t="str">
        <f t="shared" si="1288"/>
        <v>:Board of Education*5(vote 1)</v>
      </c>
      <c r="E7174" t="s">
        <v>7970</v>
      </c>
      <c r="F7174" t="s">
        <v>1300</v>
      </c>
      <c r="G7174" s="254">
        <v>4120</v>
      </c>
      <c r="H7174"/>
      <c r="J7174" s="7"/>
      <c r="K7174" s="2"/>
      <c r="O7174">
        <f t="shared" si="1289"/>
        <v>1</v>
      </c>
      <c r="P7174" s="57">
        <f t="shared" si="1290"/>
        <v>1</v>
      </c>
      <c r="Q7174" s="267">
        <f t="shared" si="1291"/>
        <v>4170</v>
      </c>
      <c r="R7174" s="23">
        <f t="shared" si="1292"/>
        <v>4120</v>
      </c>
      <c r="S7174" s="23">
        <f t="shared" si="1293"/>
        <v>50</v>
      </c>
      <c r="T7174" s="23">
        <f t="shared" si="1294"/>
        <v>4070</v>
      </c>
      <c r="U7174" t="str">
        <f t="shared" si="1295"/>
        <v>MD_2020g~Cnty24:Board of Education*5(vote 1)</v>
      </c>
      <c r="V7174" s="376"/>
      <c r="W7174" s="53"/>
      <c r="X7174" s="53"/>
      <c r="Y7174"/>
      <c r="Z7174"/>
      <c r="AA7174" s="23"/>
      <c r="AB7174"/>
      <c r="AC7174" s="272"/>
      <c r="AD7174" s="272"/>
      <c r="AE7174" s="273"/>
      <c r="AM7174" s="29"/>
      <c r="AN7174"/>
      <c r="AO7174"/>
      <c r="AP7174"/>
      <c r="AQ7174" s="29"/>
      <c r="AR7174" s="29"/>
      <c r="AS7174" s="29"/>
      <c r="AT7174"/>
      <c r="AV7174"/>
      <c r="AW7174"/>
    </row>
    <row r="7175" spans="1:49">
      <c r="A7175" s="23" t="s">
        <v>8070</v>
      </c>
      <c r="B7175" t="s">
        <v>7712</v>
      </c>
      <c r="C7175">
        <v>1</v>
      </c>
      <c r="D7175" s="55" t="str">
        <f t="shared" si="1288"/>
        <v>:Board of Education*5(vote 1)</v>
      </c>
      <c r="E7175" t="s">
        <v>7722</v>
      </c>
      <c r="F7175" t="s">
        <v>1300</v>
      </c>
      <c r="G7175" s="254">
        <v>50</v>
      </c>
      <c r="H7175"/>
      <c r="J7175" s="7"/>
      <c r="K7175" s="2"/>
      <c r="O7175">
        <f t="shared" si="1289"/>
        <v>2</v>
      </c>
      <c r="P7175" s="57">
        <f t="shared" si="1290"/>
        <v>1</v>
      </c>
      <c r="Q7175" s="267">
        <f t="shared" si="1291"/>
        <v>50</v>
      </c>
      <c r="R7175" s="23" t="str">
        <f t="shared" si="1292"/>
        <v/>
      </c>
      <c r="S7175" s="23">
        <f t="shared" si="1293"/>
        <v>50</v>
      </c>
      <c r="T7175" s="23" t="str">
        <f t="shared" si="1294"/>
        <v/>
      </c>
      <c r="U7175" t="str">
        <f t="shared" si="1295"/>
        <v/>
      </c>
      <c r="V7175" s="376"/>
      <c r="W7175" s="53"/>
      <c r="X7175" s="53"/>
      <c r="Y7175"/>
      <c r="Z7175"/>
      <c r="AA7175" s="23"/>
      <c r="AB7175"/>
      <c r="AC7175" s="272"/>
      <c r="AD7175" s="272"/>
      <c r="AE7175" s="273"/>
      <c r="AM7175" s="29"/>
      <c r="AN7175"/>
      <c r="AO7175"/>
      <c r="AP7175"/>
      <c r="AQ7175" s="29"/>
      <c r="AR7175" s="29"/>
      <c r="AS7175" s="29"/>
      <c r="AT7175"/>
      <c r="AV7175"/>
      <c r="AW7175"/>
    </row>
    <row r="7176" spans="1:49">
      <c r="A7176" s="23" t="s">
        <v>7993</v>
      </c>
      <c r="B7176" t="s">
        <v>7712</v>
      </c>
      <c r="C7176">
        <v>1</v>
      </c>
      <c r="D7176" s="55" t="str">
        <f t="shared" si="1288"/>
        <v>Comptroller*(vote 1)</v>
      </c>
      <c r="E7176" t="s">
        <v>7792</v>
      </c>
      <c r="F7176" t="s">
        <v>1294</v>
      </c>
      <c r="G7176" s="254">
        <v>206919</v>
      </c>
      <c r="H7176"/>
      <c r="J7176" s="7"/>
      <c r="K7176" s="2"/>
      <c r="O7176">
        <f t="shared" si="1289"/>
        <v>1</v>
      </c>
      <c r="P7176" s="57">
        <f t="shared" si="1290"/>
        <v>1</v>
      </c>
      <c r="Q7176" s="267">
        <f t="shared" si="1291"/>
        <v>209603</v>
      </c>
      <c r="R7176" s="23">
        <f t="shared" si="1292"/>
        <v>206919</v>
      </c>
      <c r="S7176" s="23">
        <f t="shared" si="1293"/>
        <v>2684</v>
      </c>
      <c r="T7176" s="23">
        <f t="shared" si="1294"/>
        <v>204235</v>
      </c>
      <c r="U7176" t="str">
        <f t="shared" si="1295"/>
        <v>MD_2020g~Cnty3:Comptroller*(vote 1)</v>
      </c>
      <c r="V7176" s="376"/>
      <c r="W7176" s="53"/>
      <c r="X7176" s="53"/>
      <c r="Y7176"/>
      <c r="Z7176"/>
      <c r="AA7176" s="23"/>
      <c r="AB7176"/>
      <c r="AC7176" s="272"/>
      <c r="AD7176" s="272"/>
      <c r="AE7176" s="273"/>
      <c r="AM7176" s="29"/>
      <c r="AN7176"/>
      <c r="AO7176"/>
      <c r="AP7176"/>
      <c r="AQ7176" s="29"/>
      <c r="AR7176" s="29"/>
      <c r="AS7176" s="29"/>
      <c r="AT7176"/>
      <c r="AV7176"/>
      <c r="AW7176"/>
    </row>
    <row r="7177" spans="1:49">
      <c r="A7177" s="23" t="s">
        <v>7993</v>
      </c>
      <c r="B7177" t="s">
        <v>7712</v>
      </c>
      <c r="C7177">
        <v>1</v>
      </c>
      <c r="D7177" s="55" t="str">
        <f t="shared" si="1288"/>
        <v>Comptroller*(vote 1)</v>
      </c>
      <c r="E7177" t="s">
        <v>7722</v>
      </c>
      <c r="F7177" t="s">
        <v>7714</v>
      </c>
      <c r="G7177" s="254">
        <v>2684</v>
      </c>
      <c r="H7177"/>
      <c r="J7177" s="7"/>
      <c r="K7177" s="2"/>
      <c r="O7177">
        <f t="shared" si="1289"/>
        <v>2</v>
      </c>
      <c r="P7177" s="57">
        <f t="shared" si="1290"/>
        <v>1</v>
      </c>
      <c r="Q7177" s="267">
        <f t="shared" si="1291"/>
        <v>2684</v>
      </c>
      <c r="R7177" s="23" t="str">
        <f t="shared" si="1292"/>
        <v/>
      </c>
      <c r="S7177" s="23">
        <f t="shared" si="1293"/>
        <v>2684</v>
      </c>
      <c r="T7177" s="23" t="str">
        <f t="shared" si="1294"/>
        <v/>
      </c>
      <c r="U7177" t="str">
        <f t="shared" si="1295"/>
        <v/>
      </c>
      <c r="V7177" s="376"/>
      <c r="W7177" s="53"/>
      <c r="X7177" s="53"/>
      <c r="Y7177"/>
      <c r="Z7177"/>
      <c r="AA7177" s="23"/>
      <c r="AB7177"/>
      <c r="AC7177" s="272"/>
      <c r="AD7177" s="272"/>
      <c r="AE7177" s="273"/>
      <c r="AM7177" s="29"/>
      <c r="AN7177"/>
      <c r="AO7177"/>
      <c r="AP7177"/>
      <c r="AQ7177" s="29"/>
      <c r="AR7177" s="29"/>
      <c r="AS7177" s="29"/>
      <c r="AT7177"/>
      <c r="AV7177"/>
      <c r="AW7177"/>
    </row>
    <row r="7178" spans="1:49">
      <c r="A7178" s="23" t="s">
        <v>7994</v>
      </c>
      <c r="B7178" t="s">
        <v>7712</v>
      </c>
      <c r="C7178">
        <v>1</v>
      </c>
      <c r="D7178" s="55" t="str">
        <f t="shared" ref="D7178:D7241" si="1296">MID(A7178,16,99)</f>
        <v>Judge of the Circuit Court*8(vote 5)</v>
      </c>
      <c r="E7178" t="s">
        <v>7793</v>
      </c>
      <c r="F7178" t="s">
        <v>7714</v>
      </c>
      <c r="G7178" s="254">
        <v>135211</v>
      </c>
      <c r="H7178"/>
      <c r="J7178" s="7"/>
      <c r="K7178" s="2"/>
      <c r="O7178">
        <f t="shared" ref="O7178:O7241" si="1297">IF(OR(LOWER(LEFT(E7178,8))="write-in",LOWER(LEFT(E7178,8))="not qual"),IF(A7178=A7177,-ABS(O7177),0),IF(A7178=A7177,ABS(O7177)+1,1))</f>
        <v>1</v>
      </c>
      <c r="P7178" s="57">
        <f t="shared" ref="P7178:P7241" si="1298">1*LEFT(RIGHT(A7178,2),1)</f>
        <v>5</v>
      </c>
      <c r="Q7178" s="267">
        <f t="shared" ref="Q7178:Q7241" si="1299">IF(A7178&lt;&gt;A7179,G7178,IF(A7178=A7177,G7178+Q7179,MAX(G7178,(G7178+Q7179)/P7178)))</f>
        <v>135211</v>
      </c>
      <c r="R7178" s="23">
        <f t="shared" ref="R7178:R7241" si="1300">IF(O7178&gt;P7178,"",IF(O7178=P7178,G7178,IF(A7178=A7179,R7179,IF(O7178&lt;=0,1,G7178))))</f>
        <v>104084</v>
      </c>
      <c r="S7178" s="23">
        <f t="shared" ref="S7178:S7241" si="1301">IF(AND(O7178&gt;P7178,LOWER(LEFT(E7178,8))&lt;&gt;"write-in",LOWER(LEFT(E7178,8))&lt;&gt;"not qual"),G7178,IF(A7178=A7179,S7179,0))</f>
        <v>5101</v>
      </c>
      <c r="T7178" s="23">
        <f t="shared" ref="T7178:T7241" si="1302">IF(OR(A7178=A7177,S7178=0),"",R7178-ABS(S7178))</f>
        <v>98983</v>
      </c>
      <c r="U7178" t="str">
        <f t="shared" ref="U7178:U7241" si="1303">IF(A7178=A7177,"",A7178)</f>
        <v>MD_2020g~Cnty3:Judge of the Circuit Court*8(vote 5)</v>
      </c>
      <c r="V7178" s="376"/>
      <c r="W7178" s="53"/>
      <c r="X7178" s="53"/>
      <c r="Y7178"/>
      <c r="Z7178"/>
      <c r="AA7178" s="23"/>
      <c r="AB7178"/>
      <c r="AC7178" s="272"/>
      <c r="AD7178" s="272"/>
      <c r="AE7178" s="273"/>
      <c r="AM7178" s="29"/>
      <c r="AN7178"/>
      <c r="AO7178"/>
      <c r="AP7178"/>
      <c r="AQ7178" s="29"/>
      <c r="AR7178" s="29"/>
      <c r="AS7178" s="29"/>
      <c r="AT7178"/>
      <c r="AV7178"/>
      <c r="AW7178"/>
    </row>
    <row r="7179" spans="1:49">
      <c r="A7179" s="23" t="s">
        <v>7994</v>
      </c>
      <c r="B7179" t="s">
        <v>7712</v>
      </c>
      <c r="C7179">
        <v>1</v>
      </c>
      <c r="D7179" s="55" t="str">
        <f t="shared" si="1296"/>
        <v>Judge of the Circuit Court*8(vote 5)</v>
      </c>
      <c r="E7179" t="s">
        <v>7794</v>
      </c>
      <c r="F7179" t="s">
        <v>7714</v>
      </c>
      <c r="G7179" s="254">
        <v>115684</v>
      </c>
      <c r="H7179"/>
      <c r="J7179" s="7"/>
      <c r="K7179" s="2"/>
      <c r="O7179">
        <f t="shared" si="1297"/>
        <v>2</v>
      </c>
      <c r="P7179" s="57">
        <f t="shared" si="1298"/>
        <v>5</v>
      </c>
      <c r="Q7179" s="267">
        <f t="shared" si="1299"/>
        <v>449173</v>
      </c>
      <c r="R7179" s="23">
        <f t="shared" si="1300"/>
        <v>104084</v>
      </c>
      <c r="S7179" s="23">
        <f t="shared" si="1301"/>
        <v>5101</v>
      </c>
      <c r="T7179" s="23" t="str">
        <f t="shared" si="1302"/>
        <v/>
      </c>
      <c r="U7179" t="str">
        <f t="shared" si="1303"/>
        <v/>
      </c>
      <c r="V7179" s="376"/>
      <c r="W7179" s="53"/>
      <c r="X7179" s="53"/>
      <c r="Y7179"/>
      <c r="Z7179"/>
      <c r="AA7179" s="23"/>
      <c r="AB7179"/>
      <c r="AC7179" s="272"/>
      <c r="AD7179" s="272"/>
      <c r="AE7179" s="273"/>
      <c r="AM7179" s="29"/>
      <c r="AN7179"/>
      <c r="AO7179"/>
      <c r="AP7179"/>
      <c r="AQ7179" s="29"/>
      <c r="AR7179" s="29"/>
      <c r="AS7179" s="29"/>
      <c r="AT7179"/>
      <c r="AV7179"/>
      <c r="AW7179"/>
    </row>
    <row r="7180" spans="1:49">
      <c r="A7180" s="23" t="s">
        <v>7994</v>
      </c>
      <c r="B7180" t="s">
        <v>7712</v>
      </c>
      <c r="C7180">
        <v>1</v>
      </c>
      <c r="D7180" s="55" t="str">
        <f t="shared" si="1296"/>
        <v>Judge of the Circuit Court*8(vote 5)</v>
      </c>
      <c r="E7180" t="s">
        <v>7795</v>
      </c>
      <c r="F7180" t="s">
        <v>7714</v>
      </c>
      <c r="G7180" s="254">
        <v>112199</v>
      </c>
      <c r="H7180"/>
      <c r="J7180" s="7"/>
      <c r="K7180" s="2"/>
      <c r="O7180">
        <f t="shared" si="1297"/>
        <v>3</v>
      </c>
      <c r="P7180" s="57">
        <f t="shared" si="1298"/>
        <v>5</v>
      </c>
      <c r="Q7180" s="267">
        <f t="shared" si="1299"/>
        <v>333489</v>
      </c>
      <c r="R7180" s="23">
        <f t="shared" si="1300"/>
        <v>104084</v>
      </c>
      <c r="S7180" s="23">
        <f t="shared" si="1301"/>
        <v>5101</v>
      </c>
      <c r="T7180" s="23" t="str">
        <f t="shared" si="1302"/>
        <v/>
      </c>
      <c r="U7180" t="str">
        <f t="shared" si="1303"/>
        <v/>
      </c>
      <c r="V7180" s="376"/>
      <c r="W7180" s="53"/>
      <c r="X7180" s="53"/>
      <c r="Y7180"/>
      <c r="Z7180"/>
      <c r="AA7180" s="23"/>
      <c r="AB7180"/>
      <c r="AC7180" s="272"/>
      <c r="AD7180" s="272"/>
      <c r="AE7180" s="273"/>
      <c r="AM7180" s="29"/>
      <c r="AN7180"/>
      <c r="AO7180"/>
      <c r="AP7180"/>
      <c r="AQ7180" s="29"/>
      <c r="AR7180" s="29"/>
      <c r="AS7180" s="29"/>
      <c r="AT7180"/>
      <c r="AV7180"/>
      <c r="AW7180"/>
    </row>
    <row r="7181" spans="1:49">
      <c r="A7181" s="23" t="s">
        <v>7994</v>
      </c>
      <c r="B7181" t="s">
        <v>7712</v>
      </c>
      <c r="C7181">
        <v>1</v>
      </c>
      <c r="D7181" s="55" t="str">
        <f t="shared" si="1296"/>
        <v>Judge of the Circuit Court*8(vote 5)</v>
      </c>
      <c r="E7181" t="s">
        <v>7796</v>
      </c>
      <c r="F7181" t="s">
        <v>7714</v>
      </c>
      <c r="G7181" s="254">
        <v>112105</v>
      </c>
      <c r="H7181"/>
      <c r="J7181" s="7"/>
      <c r="K7181" s="2"/>
      <c r="O7181">
        <f t="shared" si="1297"/>
        <v>4</v>
      </c>
      <c r="P7181" s="57">
        <f t="shared" si="1298"/>
        <v>5</v>
      </c>
      <c r="Q7181" s="267">
        <f t="shared" si="1299"/>
        <v>221290</v>
      </c>
      <c r="R7181" s="23">
        <f t="shared" si="1300"/>
        <v>104084</v>
      </c>
      <c r="S7181" s="23">
        <f t="shared" si="1301"/>
        <v>5101</v>
      </c>
      <c r="T7181" s="23" t="str">
        <f t="shared" si="1302"/>
        <v/>
      </c>
      <c r="U7181" t="str">
        <f t="shared" si="1303"/>
        <v/>
      </c>
      <c r="V7181" s="376"/>
      <c r="W7181" s="53"/>
      <c r="X7181" s="53"/>
      <c r="Y7181"/>
      <c r="Z7181"/>
      <c r="AA7181" s="23"/>
      <c r="AB7181"/>
      <c r="AC7181" s="272"/>
      <c r="AD7181" s="272"/>
      <c r="AE7181" s="273"/>
      <c r="AM7181" s="29"/>
      <c r="AN7181"/>
      <c r="AO7181"/>
      <c r="AP7181"/>
      <c r="AQ7181" s="29"/>
      <c r="AR7181" s="29"/>
      <c r="AS7181" s="29"/>
      <c r="AT7181"/>
      <c r="AV7181"/>
      <c r="AW7181"/>
    </row>
    <row r="7182" spans="1:49">
      <c r="A7182" s="23" t="s">
        <v>7994</v>
      </c>
      <c r="B7182" t="s">
        <v>7712</v>
      </c>
      <c r="C7182">
        <v>1</v>
      </c>
      <c r="D7182" s="55" t="str">
        <f t="shared" si="1296"/>
        <v>Judge of the Circuit Court*8(vote 5)</v>
      </c>
      <c r="E7182" t="s">
        <v>7797</v>
      </c>
      <c r="F7182" t="s">
        <v>7714</v>
      </c>
      <c r="G7182" s="254">
        <v>104084</v>
      </c>
      <c r="H7182"/>
      <c r="J7182" s="7"/>
      <c r="K7182" s="2"/>
      <c r="O7182">
        <f t="shared" si="1297"/>
        <v>5</v>
      </c>
      <c r="P7182" s="57">
        <f t="shared" si="1298"/>
        <v>5</v>
      </c>
      <c r="Q7182" s="267">
        <f t="shared" si="1299"/>
        <v>109185</v>
      </c>
      <c r="R7182" s="23">
        <f t="shared" si="1300"/>
        <v>104084</v>
      </c>
      <c r="S7182" s="23">
        <f t="shared" si="1301"/>
        <v>5101</v>
      </c>
      <c r="T7182" s="23" t="str">
        <f t="shared" si="1302"/>
        <v/>
      </c>
      <c r="U7182" t="str">
        <f t="shared" si="1303"/>
        <v/>
      </c>
      <c r="V7182" s="376"/>
      <c r="W7182" s="53"/>
      <c r="X7182" s="53"/>
      <c r="Y7182"/>
      <c r="Z7182"/>
      <c r="AA7182" s="23"/>
      <c r="AB7182"/>
      <c r="AC7182" s="272"/>
      <c r="AD7182" s="272"/>
      <c r="AE7182" s="273"/>
      <c r="AM7182" s="29"/>
      <c r="AN7182"/>
      <c r="AO7182"/>
      <c r="AP7182"/>
      <c r="AQ7182" s="29"/>
      <c r="AR7182" s="29"/>
      <c r="AS7182" s="29"/>
      <c r="AT7182"/>
      <c r="AV7182"/>
      <c r="AW7182"/>
    </row>
    <row r="7183" spans="1:49">
      <c r="A7183" s="23" t="s">
        <v>7994</v>
      </c>
      <c r="B7183" t="s">
        <v>7712</v>
      </c>
      <c r="C7183">
        <v>1</v>
      </c>
      <c r="D7183" s="55" t="str">
        <f t="shared" si="1296"/>
        <v>Judge of the Circuit Court*8(vote 5)</v>
      </c>
      <c r="E7183" t="s">
        <v>7722</v>
      </c>
      <c r="F7183" t="s">
        <v>7714</v>
      </c>
      <c r="G7183" s="254">
        <v>5101</v>
      </c>
      <c r="H7183"/>
      <c r="J7183" s="7"/>
      <c r="K7183" s="2"/>
      <c r="O7183">
        <f t="shared" si="1297"/>
        <v>6</v>
      </c>
      <c r="P7183" s="57">
        <f t="shared" si="1298"/>
        <v>5</v>
      </c>
      <c r="Q7183" s="267">
        <f t="shared" si="1299"/>
        <v>5101</v>
      </c>
      <c r="R7183" s="23" t="str">
        <f t="shared" si="1300"/>
        <v/>
      </c>
      <c r="S7183" s="23">
        <f t="shared" si="1301"/>
        <v>5101</v>
      </c>
      <c r="T7183" s="23" t="str">
        <f t="shared" si="1302"/>
        <v/>
      </c>
      <c r="U7183" t="str">
        <f t="shared" si="1303"/>
        <v/>
      </c>
      <c r="V7183" s="376"/>
      <c r="W7183" s="53"/>
      <c r="X7183" s="53"/>
      <c r="Y7183"/>
      <c r="Z7183"/>
      <c r="AA7183" s="23"/>
      <c r="AB7183"/>
      <c r="AC7183" s="272"/>
      <c r="AD7183" s="272"/>
      <c r="AE7183" s="273"/>
      <c r="AM7183" s="29"/>
      <c r="AN7183"/>
      <c r="AO7183"/>
      <c r="AP7183"/>
      <c r="AQ7183" s="29"/>
      <c r="AR7183" s="29"/>
      <c r="AS7183" s="29"/>
      <c r="AT7183"/>
      <c r="AV7183"/>
      <c r="AW7183"/>
    </row>
    <row r="7184" spans="1:49">
      <c r="A7184" s="23" t="s">
        <v>7995</v>
      </c>
      <c r="B7184" t="s">
        <v>7712</v>
      </c>
      <c r="C7184">
        <v>1</v>
      </c>
      <c r="D7184" s="55" t="str">
        <f t="shared" si="1296"/>
        <v>Mayor*(vote 1)</v>
      </c>
      <c r="E7184" t="s">
        <v>7798</v>
      </c>
      <c r="F7184" t="s">
        <v>1294</v>
      </c>
      <c r="G7184" s="254">
        <v>164661</v>
      </c>
      <c r="H7184"/>
      <c r="J7184" s="7"/>
      <c r="K7184" s="2"/>
      <c r="O7184">
        <f t="shared" si="1297"/>
        <v>1</v>
      </c>
      <c r="P7184" s="57">
        <f t="shared" si="1298"/>
        <v>1</v>
      </c>
      <c r="Q7184" s="267">
        <f t="shared" si="1299"/>
        <v>233580</v>
      </c>
      <c r="R7184" s="23">
        <f t="shared" si="1300"/>
        <v>164661</v>
      </c>
      <c r="S7184" s="23">
        <f t="shared" si="1301"/>
        <v>47275</v>
      </c>
      <c r="T7184" s="23">
        <f t="shared" si="1302"/>
        <v>117386</v>
      </c>
      <c r="U7184" t="str">
        <f t="shared" si="1303"/>
        <v>MD_2020g~Cnty3:Mayor*(vote 1)</v>
      </c>
      <c r="V7184" s="376"/>
      <c r="W7184" s="53"/>
      <c r="X7184" s="53"/>
      <c r="Y7184"/>
      <c r="Z7184"/>
      <c r="AA7184" s="23"/>
      <c r="AB7184"/>
      <c r="AC7184" s="272"/>
      <c r="AD7184" s="272"/>
      <c r="AE7184" s="273"/>
      <c r="AM7184" s="29"/>
      <c r="AN7184"/>
      <c r="AO7184"/>
      <c r="AP7184"/>
      <c r="AQ7184" s="29"/>
      <c r="AR7184" s="29"/>
      <c r="AS7184" s="29"/>
      <c r="AT7184"/>
      <c r="AV7184"/>
      <c r="AW7184"/>
    </row>
    <row r="7185" spans="1:49">
      <c r="A7185" s="23" t="s">
        <v>7995</v>
      </c>
      <c r="B7185" t="s">
        <v>7712</v>
      </c>
      <c r="C7185">
        <v>1</v>
      </c>
      <c r="D7185" s="55" t="str">
        <f t="shared" si="1296"/>
        <v>Mayor*(vote 1)</v>
      </c>
      <c r="E7185" t="s">
        <v>7799</v>
      </c>
      <c r="F7185" t="s">
        <v>7730</v>
      </c>
      <c r="G7185" s="254">
        <v>47275</v>
      </c>
      <c r="H7185"/>
      <c r="J7185" s="7"/>
      <c r="K7185" s="2"/>
      <c r="O7185">
        <f t="shared" si="1297"/>
        <v>2</v>
      </c>
      <c r="P7185" s="57">
        <f t="shared" si="1298"/>
        <v>1</v>
      </c>
      <c r="Q7185" s="267">
        <f t="shared" si="1299"/>
        <v>68919</v>
      </c>
      <c r="R7185" s="23" t="str">
        <f t="shared" si="1300"/>
        <v/>
      </c>
      <c r="S7185" s="23">
        <f t="shared" si="1301"/>
        <v>47275</v>
      </c>
      <c r="T7185" s="23" t="str">
        <f t="shared" si="1302"/>
        <v/>
      </c>
      <c r="U7185" t="str">
        <f t="shared" si="1303"/>
        <v/>
      </c>
      <c r="V7185" s="376"/>
      <c r="W7185" s="53"/>
      <c r="X7185" s="53"/>
      <c r="Y7185"/>
      <c r="Z7185"/>
      <c r="AA7185" s="23"/>
      <c r="AB7185"/>
      <c r="AC7185" s="272"/>
      <c r="AD7185" s="272"/>
      <c r="AE7185" s="273"/>
      <c r="AM7185" s="29"/>
      <c r="AN7185"/>
      <c r="AO7185"/>
      <c r="AP7185"/>
      <c r="AQ7185" s="29"/>
      <c r="AR7185" s="29"/>
      <c r="AS7185" s="29"/>
      <c r="AT7185"/>
      <c r="AV7185"/>
      <c r="AW7185"/>
    </row>
    <row r="7186" spans="1:49">
      <c r="A7186" s="23" t="s">
        <v>7995</v>
      </c>
      <c r="B7186" t="s">
        <v>7712</v>
      </c>
      <c r="C7186">
        <v>1</v>
      </c>
      <c r="D7186" s="55" t="str">
        <f t="shared" si="1296"/>
        <v>Mayor*(vote 1)</v>
      </c>
      <c r="E7186" t="s">
        <v>7800</v>
      </c>
      <c r="F7186" t="s">
        <v>1296</v>
      </c>
      <c r="G7186" s="254">
        <v>16664</v>
      </c>
      <c r="H7186"/>
      <c r="J7186" s="7"/>
      <c r="K7186" s="2"/>
      <c r="O7186">
        <f t="shared" si="1297"/>
        <v>3</v>
      </c>
      <c r="P7186" s="57">
        <f t="shared" si="1298"/>
        <v>1</v>
      </c>
      <c r="Q7186" s="267">
        <f t="shared" si="1299"/>
        <v>21644</v>
      </c>
      <c r="R7186" s="23" t="str">
        <f t="shared" si="1300"/>
        <v/>
      </c>
      <c r="S7186" s="23">
        <f t="shared" si="1301"/>
        <v>16664</v>
      </c>
      <c r="T7186" s="23" t="str">
        <f t="shared" si="1302"/>
        <v/>
      </c>
      <c r="U7186" t="str">
        <f t="shared" si="1303"/>
        <v/>
      </c>
      <c r="V7186" s="376"/>
      <c r="W7186" s="53"/>
      <c r="X7186" s="53"/>
      <c r="Y7186"/>
      <c r="Z7186"/>
      <c r="AA7186" s="23"/>
      <c r="AB7186"/>
      <c r="AC7186" s="272"/>
      <c r="AD7186" s="272"/>
      <c r="AE7186" s="273"/>
      <c r="AM7186" s="29"/>
      <c r="AN7186"/>
      <c r="AO7186"/>
      <c r="AP7186"/>
      <c r="AQ7186" s="29"/>
      <c r="AR7186" s="29"/>
      <c r="AS7186" s="29"/>
      <c r="AT7186"/>
      <c r="AV7186"/>
      <c r="AW7186"/>
    </row>
    <row r="7187" spans="1:49">
      <c r="A7187" s="23" t="s">
        <v>7995</v>
      </c>
      <c r="B7187" t="s">
        <v>7712</v>
      </c>
      <c r="C7187">
        <v>1</v>
      </c>
      <c r="D7187" s="55" t="str">
        <f t="shared" si="1296"/>
        <v>Mayor*(vote 1)</v>
      </c>
      <c r="E7187" t="s">
        <v>7801</v>
      </c>
      <c r="F7187" t="s">
        <v>7802</v>
      </c>
      <c r="G7187" s="254">
        <v>3973</v>
      </c>
      <c r="H7187"/>
      <c r="J7187" s="7"/>
      <c r="K7187" s="2"/>
      <c r="O7187">
        <f t="shared" si="1297"/>
        <v>4</v>
      </c>
      <c r="P7187" s="57">
        <f t="shared" si="1298"/>
        <v>1</v>
      </c>
      <c r="Q7187" s="267">
        <f t="shared" si="1299"/>
        <v>4980</v>
      </c>
      <c r="R7187" s="23" t="str">
        <f t="shared" si="1300"/>
        <v/>
      </c>
      <c r="S7187" s="23">
        <f t="shared" si="1301"/>
        <v>3973</v>
      </c>
      <c r="T7187" s="23" t="str">
        <f t="shared" si="1302"/>
        <v/>
      </c>
      <c r="U7187" t="str">
        <f t="shared" si="1303"/>
        <v/>
      </c>
      <c r="V7187" s="376"/>
      <c r="W7187" s="53"/>
      <c r="X7187" s="53"/>
      <c r="Y7187"/>
      <c r="Z7187"/>
      <c r="AA7187" s="23"/>
      <c r="AB7187"/>
      <c r="AC7187" s="272"/>
      <c r="AD7187" s="272"/>
      <c r="AE7187" s="273"/>
      <c r="AM7187" s="29"/>
      <c r="AN7187"/>
      <c r="AO7187"/>
      <c r="AP7187"/>
      <c r="AQ7187" s="29"/>
      <c r="AR7187" s="29"/>
      <c r="AS7187" s="29"/>
      <c r="AT7187"/>
      <c r="AV7187"/>
      <c r="AW7187"/>
    </row>
    <row r="7188" spans="1:49">
      <c r="A7188" s="23" t="s">
        <v>7995</v>
      </c>
      <c r="B7188" t="s">
        <v>7712</v>
      </c>
      <c r="C7188">
        <v>1</v>
      </c>
      <c r="D7188" s="55" t="str">
        <f t="shared" si="1296"/>
        <v>Mayor*(vote 1)</v>
      </c>
      <c r="E7188" t="s">
        <v>7722</v>
      </c>
      <c r="F7188" t="s">
        <v>7714</v>
      </c>
      <c r="G7188" s="254">
        <v>1006</v>
      </c>
      <c r="H7188"/>
      <c r="J7188" s="7"/>
      <c r="K7188" s="2"/>
      <c r="O7188">
        <f t="shared" si="1297"/>
        <v>5</v>
      </c>
      <c r="P7188" s="57">
        <f t="shared" si="1298"/>
        <v>1</v>
      </c>
      <c r="Q7188" s="267">
        <f t="shared" si="1299"/>
        <v>1007</v>
      </c>
      <c r="R7188" s="23" t="str">
        <f t="shared" si="1300"/>
        <v/>
      </c>
      <c r="S7188" s="23">
        <f t="shared" si="1301"/>
        <v>1006</v>
      </c>
      <c r="T7188" s="23" t="str">
        <f t="shared" si="1302"/>
        <v/>
      </c>
      <c r="U7188" t="str">
        <f t="shared" si="1303"/>
        <v/>
      </c>
      <c r="V7188" s="376"/>
      <c r="W7188" s="53"/>
      <c r="X7188" s="53"/>
      <c r="Y7188"/>
      <c r="Z7188"/>
      <c r="AA7188" s="23"/>
      <c r="AB7188"/>
      <c r="AC7188" s="272"/>
      <c r="AD7188" s="272"/>
      <c r="AE7188" s="273"/>
      <c r="AM7188" s="29"/>
      <c r="AN7188"/>
      <c r="AO7188"/>
      <c r="AP7188"/>
      <c r="AQ7188" s="29"/>
      <c r="AR7188" s="29"/>
      <c r="AS7188" s="29"/>
      <c r="AT7188"/>
      <c r="AV7188"/>
      <c r="AW7188"/>
    </row>
    <row r="7189" spans="1:49">
      <c r="A7189" s="23" t="s">
        <v>7995</v>
      </c>
      <c r="B7189" t="s">
        <v>7712</v>
      </c>
      <c r="C7189">
        <v>1</v>
      </c>
      <c r="D7189" s="55" t="str">
        <f t="shared" si="1296"/>
        <v>Mayor*(vote 1)</v>
      </c>
      <c r="E7189" t="s">
        <v>7803</v>
      </c>
      <c r="F7189" t="s">
        <v>1296</v>
      </c>
      <c r="G7189" s="254">
        <v>1</v>
      </c>
      <c r="H7189"/>
      <c r="J7189" s="7"/>
      <c r="K7189" s="2"/>
      <c r="O7189">
        <f t="shared" si="1297"/>
        <v>6</v>
      </c>
      <c r="P7189" s="57">
        <f t="shared" si="1298"/>
        <v>1</v>
      </c>
      <c r="Q7189" s="267">
        <f t="shared" si="1299"/>
        <v>1</v>
      </c>
      <c r="R7189" s="23" t="str">
        <f t="shared" si="1300"/>
        <v/>
      </c>
      <c r="S7189" s="23">
        <f t="shared" si="1301"/>
        <v>1</v>
      </c>
      <c r="T7189" s="23" t="str">
        <f t="shared" si="1302"/>
        <v/>
      </c>
      <c r="U7189" t="str">
        <f t="shared" si="1303"/>
        <v/>
      </c>
      <c r="V7189" s="376"/>
      <c r="W7189" s="53"/>
      <c r="X7189" s="53"/>
      <c r="Y7189"/>
      <c r="Z7189"/>
      <c r="AA7189" s="23"/>
      <c r="AB7189"/>
      <c r="AC7189" s="272"/>
      <c r="AD7189" s="272"/>
      <c r="AE7189" s="273"/>
      <c r="AM7189" s="29"/>
      <c r="AN7189"/>
      <c r="AO7189"/>
      <c r="AP7189"/>
      <c r="AQ7189" s="29"/>
      <c r="AR7189" s="29"/>
      <c r="AS7189" s="29"/>
      <c r="AT7189"/>
      <c r="AV7189"/>
      <c r="AW7189"/>
    </row>
    <row r="7190" spans="1:49">
      <c r="A7190" s="23" t="s">
        <v>7996</v>
      </c>
      <c r="B7190" t="s">
        <v>7712</v>
      </c>
      <c r="C7190">
        <v>1</v>
      </c>
      <c r="D7190" s="55" t="str">
        <f t="shared" si="1296"/>
        <v>Member City Council*1(vote 1)</v>
      </c>
      <c r="E7190" t="s">
        <v>7804</v>
      </c>
      <c r="F7190" t="s">
        <v>1294</v>
      </c>
      <c r="G7190" s="254">
        <v>17588</v>
      </c>
      <c r="H7190"/>
      <c r="J7190" s="7"/>
      <c r="K7190" s="2"/>
      <c r="O7190">
        <f t="shared" si="1297"/>
        <v>1</v>
      </c>
      <c r="P7190" s="57">
        <f t="shared" si="1298"/>
        <v>1</v>
      </c>
      <c r="Q7190" s="267">
        <f t="shared" si="1299"/>
        <v>18431</v>
      </c>
      <c r="R7190" s="23">
        <f t="shared" si="1300"/>
        <v>17588</v>
      </c>
      <c r="S7190" s="23">
        <f t="shared" si="1301"/>
        <v>684</v>
      </c>
      <c r="T7190" s="23">
        <f t="shared" si="1302"/>
        <v>16904</v>
      </c>
      <c r="U7190" t="str">
        <f t="shared" si="1303"/>
        <v>MD_2020g~Cnty3:Member City Council*1(vote 1)</v>
      </c>
      <c r="V7190" s="376"/>
      <c r="W7190" s="53"/>
      <c r="X7190" s="53"/>
      <c r="Y7190"/>
      <c r="Z7190"/>
      <c r="AA7190" s="23"/>
      <c r="AB7190"/>
      <c r="AC7190" s="272"/>
      <c r="AD7190" s="272"/>
      <c r="AE7190" s="273"/>
      <c r="AM7190" s="29"/>
      <c r="AN7190"/>
      <c r="AO7190"/>
      <c r="AP7190"/>
      <c r="AQ7190" s="29"/>
      <c r="AR7190" s="29"/>
      <c r="AS7190" s="29"/>
      <c r="AT7190"/>
      <c r="AV7190"/>
      <c r="AW7190"/>
    </row>
    <row r="7191" spans="1:49">
      <c r="A7191" s="23" t="s">
        <v>7996</v>
      </c>
      <c r="B7191" t="s">
        <v>7712</v>
      </c>
      <c r="C7191">
        <v>1</v>
      </c>
      <c r="D7191" s="55" t="str">
        <f t="shared" si="1296"/>
        <v>Member City Council*1(vote 1)</v>
      </c>
      <c r="E7191" t="s">
        <v>7722</v>
      </c>
      <c r="F7191" t="s">
        <v>7714</v>
      </c>
      <c r="G7191" s="254">
        <v>684</v>
      </c>
      <c r="H7191"/>
      <c r="J7191" s="7"/>
      <c r="K7191" s="2"/>
      <c r="O7191">
        <f t="shared" si="1297"/>
        <v>2</v>
      </c>
      <c r="P7191" s="57">
        <f t="shared" si="1298"/>
        <v>1</v>
      </c>
      <c r="Q7191" s="267">
        <f t="shared" si="1299"/>
        <v>843</v>
      </c>
      <c r="R7191" s="23" t="str">
        <f t="shared" si="1300"/>
        <v/>
      </c>
      <c r="S7191" s="23">
        <f t="shared" si="1301"/>
        <v>684</v>
      </c>
      <c r="T7191" s="23" t="str">
        <f t="shared" si="1302"/>
        <v/>
      </c>
      <c r="U7191" t="str">
        <f t="shared" si="1303"/>
        <v/>
      </c>
      <c r="V7191" s="376"/>
      <c r="W7191" s="53"/>
      <c r="X7191" s="53"/>
      <c r="Y7191"/>
      <c r="Z7191"/>
      <c r="AA7191" s="23"/>
      <c r="AB7191"/>
      <c r="AC7191" s="272"/>
      <c r="AD7191" s="272"/>
      <c r="AE7191" s="273"/>
      <c r="AM7191" s="29"/>
      <c r="AN7191"/>
      <c r="AO7191"/>
      <c r="AP7191"/>
      <c r="AQ7191" s="29"/>
      <c r="AR7191" s="29"/>
      <c r="AS7191" s="29"/>
      <c r="AT7191"/>
      <c r="AV7191"/>
      <c r="AW7191"/>
    </row>
    <row r="7192" spans="1:49">
      <c r="A7192" s="23" t="s">
        <v>7996</v>
      </c>
      <c r="B7192" t="s">
        <v>7712</v>
      </c>
      <c r="C7192">
        <v>1</v>
      </c>
      <c r="D7192" s="55" t="str">
        <f t="shared" si="1296"/>
        <v>Member City Council*1(vote 1)</v>
      </c>
      <c r="E7192" t="s">
        <v>7805</v>
      </c>
      <c r="F7192" t="s">
        <v>1296</v>
      </c>
      <c r="G7192" s="254">
        <v>159</v>
      </c>
      <c r="H7192"/>
      <c r="J7192" s="7"/>
      <c r="K7192" s="2"/>
      <c r="O7192">
        <f t="shared" si="1297"/>
        <v>3</v>
      </c>
      <c r="P7192" s="57">
        <f t="shared" si="1298"/>
        <v>1</v>
      </c>
      <c r="Q7192" s="267">
        <f t="shared" si="1299"/>
        <v>159</v>
      </c>
      <c r="R7192" s="23" t="str">
        <f t="shared" si="1300"/>
        <v/>
      </c>
      <c r="S7192" s="23">
        <f t="shared" si="1301"/>
        <v>159</v>
      </c>
      <c r="T7192" s="23" t="str">
        <f t="shared" si="1302"/>
        <v/>
      </c>
      <c r="U7192" t="str">
        <f t="shared" si="1303"/>
        <v/>
      </c>
      <c r="V7192" s="376"/>
      <c r="W7192" s="53"/>
      <c r="X7192" s="53"/>
      <c r="Y7192"/>
      <c r="Z7192"/>
      <c r="AA7192" s="23"/>
      <c r="AB7192"/>
      <c r="AC7192" s="272"/>
      <c r="AD7192" s="272"/>
      <c r="AE7192" s="273"/>
      <c r="AM7192" s="29"/>
      <c r="AN7192"/>
      <c r="AO7192"/>
      <c r="AP7192"/>
      <c r="AQ7192" s="29"/>
      <c r="AR7192" s="29"/>
      <c r="AS7192" s="29"/>
      <c r="AT7192"/>
      <c r="AV7192"/>
      <c r="AW7192"/>
    </row>
    <row r="7193" spans="1:49">
      <c r="A7193" s="23" t="s">
        <v>8005</v>
      </c>
      <c r="B7193" t="s">
        <v>7712</v>
      </c>
      <c r="C7193">
        <v>1</v>
      </c>
      <c r="D7193" s="55" t="str">
        <f t="shared" si="1296"/>
        <v>Member City Council*10(vote 1)</v>
      </c>
      <c r="E7193" t="s">
        <v>7820</v>
      </c>
      <c r="F7193" t="s">
        <v>1294</v>
      </c>
      <c r="G7193" s="254">
        <v>8313</v>
      </c>
      <c r="H7193"/>
      <c r="J7193" s="7"/>
      <c r="K7193" s="2"/>
      <c r="O7193">
        <f t="shared" si="1297"/>
        <v>1</v>
      </c>
      <c r="P7193" s="57">
        <f t="shared" si="1298"/>
        <v>1</v>
      </c>
      <c r="Q7193" s="267">
        <f t="shared" si="1299"/>
        <v>10567</v>
      </c>
      <c r="R7193" s="23">
        <f t="shared" si="1300"/>
        <v>8313</v>
      </c>
      <c r="S7193" s="23">
        <f t="shared" si="1301"/>
        <v>2213</v>
      </c>
      <c r="T7193" s="23">
        <f t="shared" si="1302"/>
        <v>6100</v>
      </c>
      <c r="U7193" t="str">
        <f t="shared" si="1303"/>
        <v>MD_2020g~Cnty3:Member City Council*10(vote 1)</v>
      </c>
      <c r="V7193" s="376"/>
      <c r="W7193" s="53"/>
      <c r="X7193" s="53"/>
      <c r="Y7193"/>
      <c r="Z7193"/>
      <c r="AA7193" s="23"/>
      <c r="AB7193"/>
      <c r="AC7193" s="272"/>
      <c r="AD7193" s="272"/>
      <c r="AE7193" s="273"/>
      <c r="AM7193" s="29"/>
      <c r="AN7193"/>
      <c r="AO7193"/>
      <c r="AP7193"/>
      <c r="AQ7193" s="29"/>
      <c r="AR7193" s="29"/>
      <c r="AS7193" s="29"/>
      <c r="AT7193"/>
      <c r="AV7193"/>
      <c r="AW7193"/>
    </row>
    <row r="7194" spans="1:49">
      <c r="A7194" s="23" t="s">
        <v>8005</v>
      </c>
      <c r="B7194" t="s">
        <v>7712</v>
      </c>
      <c r="C7194">
        <v>1</v>
      </c>
      <c r="D7194" s="55" t="str">
        <f t="shared" si="1296"/>
        <v>Member City Council*10(vote 1)</v>
      </c>
      <c r="E7194" t="s">
        <v>7821</v>
      </c>
      <c r="F7194" t="s">
        <v>1296</v>
      </c>
      <c r="G7194" s="254">
        <v>2213</v>
      </c>
      <c r="H7194"/>
      <c r="J7194" s="7"/>
      <c r="K7194" s="2"/>
      <c r="O7194">
        <f t="shared" si="1297"/>
        <v>2</v>
      </c>
      <c r="P7194" s="57">
        <f t="shared" si="1298"/>
        <v>1</v>
      </c>
      <c r="Q7194" s="267">
        <f t="shared" si="1299"/>
        <v>2254</v>
      </c>
      <c r="R7194" s="23" t="str">
        <f t="shared" si="1300"/>
        <v/>
      </c>
      <c r="S7194" s="23">
        <f t="shared" si="1301"/>
        <v>2213</v>
      </c>
      <c r="T7194" s="23" t="str">
        <f t="shared" si="1302"/>
        <v/>
      </c>
      <c r="U7194" t="str">
        <f t="shared" si="1303"/>
        <v/>
      </c>
      <c r="V7194" s="376"/>
      <c r="W7194" s="53"/>
      <c r="X7194" s="53"/>
      <c r="Y7194"/>
      <c r="Z7194"/>
      <c r="AA7194" s="23"/>
      <c r="AB7194"/>
      <c r="AC7194" s="272"/>
      <c r="AD7194" s="272"/>
      <c r="AE7194" s="273"/>
      <c r="AM7194" s="29"/>
      <c r="AN7194"/>
      <c r="AO7194"/>
      <c r="AP7194"/>
      <c r="AQ7194" s="29"/>
      <c r="AR7194" s="29"/>
      <c r="AS7194" s="29"/>
      <c r="AT7194"/>
      <c r="AV7194"/>
      <c r="AW7194"/>
    </row>
    <row r="7195" spans="1:49">
      <c r="A7195" s="23" t="s">
        <v>8005</v>
      </c>
      <c r="B7195" t="s">
        <v>7712</v>
      </c>
      <c r="C7195">
        <v>1</v>
      </c>
      <c r="D7195" s="55" t="str">
        <f t="shared" si="1296"/>
        <v>Member City Council*10(vote 1)</v>
      </c>
      <c r="E7195" t="s">
        <v>7722</v>
      </c>
      <c r="F7195" t="s">
        <v>7714</v>
      </c>
      <c r="G7195" s="254">
        <v>41</v>
      </c>
      <c r="H7195"/>
      <c r="J7195" s="7"/>
      <c r="K7195" s="2"/>
      <c r="O7195">
        <f t="shared" si="1297"/>
        <v>3</v>
      </c>
      <c r="P7195" s="57">
        <f t="shared" si="1298"/>
        <v>1</v>
      </c>
      <c r="Q7195" s="267">
        <f t="shared" si="1299"/>
        <v>41</v>
      </c>
      <c r="R7195" s="23" t="str">
        <f t="shared" si="1300"/>
        <v/>
      </c>
      <c r="S7195" s="23">
        <f t="shared" si="1301"/>
        <v>41</v>
      </c>
      <c r="T7195" s="23" t="str">
        <f t="shared" si="1302"/>
        <v/>
      </c>
      <c r="U7195" t="str">
        <f t="shared" si="1303"/>
        <v/>
      </c>
      <c r="V7195" s="376"/>
      <c r="W7195" s="53"/>
      <c r="X7195" s="53"/>
      <c r="Y7195"/>
      <c r="Z7195"/>
      <c r="AA7195" s="23"/>
      <c r="AB7195"/>
      <c r="AC7195" s="272"/>
      <c r="AD7195" s="272"/>
      <c r="AE7195" s="273"/>
      <c r="AM7195" s="29"/>
      <c r="AN7195"/>
      <c r="AO7195"/>
      <c r="AP7195"/>
      <c r="AQ7195" s="29"/>
      <c r="AR7195" s="29"/>
      <c r="AS7195" s="29"/>
      <c r="AT7195"/>
      <c r="AV7195"/>
      <c r="AW7195"/>
    </row>
    <row r="7196" spans="1:49">
      <c r="A7196" s="23" t="s">
        <v>8006</v>
      </c>
      <c r="B7196" t="s">
        <v>7712</v>
      </c>
      <c r="C7196">
        <v>1</v>
      </c>
      <c r="D7196" s="55" t="str">
        <f t="shared" si="1296"/>
        <v>Member City Council*11(vote 1)</v>
      </c>
      <c r="E7196" t="s">
        <v>7822</v>
      </c>
      <c r="F7196" t="s">
        <v>1294</v>
      </c>
      <c r="G7196" s="254">
        <v>19543</v>
      </c>
      <c r="H7196"/>
      <c r="J7196" s="7"/>
      <c r="K7196" s="2"/>
      <c r="O7196">
        <f t="shared" si="1297"/>
        <v>1</v>
      </c>
      <c r="P7196" s="57">
        <f t="shared" si="1298"/>
        <v>1</v>
      </c>
      <c r="Q7196" s="267">
        <f t="shared" si="1299"/>
        <v>20155</v>
      </c>
      <c r="R7196" s="23">
        <f t="shared" si="1300"/>
        <v>19543</v>
      </c>
      <c r="S7196" s="23">
        <f t="shared" si="1301"/>
        <v>612</v>
      </c>
      <c r="T7196" s="23">
        <f t="shared" si="1302"/>
        <v>18931</v>
      </c>
      <c r="U7196" t="str">
        <f t="shared" si="1303"/>
        <v>MD_2020g~Cnty3:Member City Council*11(vote 1)</v>
      </c>
      <c r="V7196" s="376"/>
      <c r="W7196" s="53"/>
      <c r="X7196" s="53"/>
      <c r="Y7196"/>
      <c r="Z7196"/>
      <c r="AA7196" s="23"/>
      <c r="AB7196"/>
      <c r="AC7196" s="272"/>
      <c r="AD7196" s="272"/>
      <c r="AE7196" s="273"/>
      <c r="AM7196" s="29"/>
      <c r="AN7196"/>
      <c r="AO7196"/>
      <c r="AP7196"/>
      <c r="AQ7196" s="29"/>
      <c r="AR7196" s="29"/>
      <c r="AS7196" s="29"/>
      <c r="AT7196"/>
      <c r="AV7196"/>
      <c r="AW7196"/>
    </row>
    <row r="7197" spans="1:49">
      <c r="A7197" s="23" t="s">
        <v>8006</v>
      </c>
      <c r="B7197" t="s">
        <v>7712</v>
      </c>
      <c r="C7197">
        <v>1</v>
      </c>
      <c r="D7197" s="55" t="str">
        <f t="shared" si="1296"/>
        <v>Member City Council*11(vote 1)</v>
      </c>
      <c r="E7197" t="s">
        <v>7722</v>
      </c>
      <c r="F7197" t="s">
        <v>7714</v>
      </c>
      <c r="G7197" s="254">
        <v>612</v>
      </c>
      <c r="H7197"/>
      <c r="J7197" s="7"/>
      <c r="K7197" s="2"/>
      <c r="O7197">
        <f t="shared" si="1297"/>
        <v>2</v>
      </c>
      <c r="P7197" s="57">
        <f t="shared" si="1298"/>
        <v>1</v>
      </c>
      <c r="Q7197" s="267">
        <f t="shared" si="1299"/>
        <v>612</v>
      </c>
      <c r="R7197" s="23" t="str">
        <f t="shared" si="1300"/>
        <v/>
      </c>
      <c r="S7197" s="23">
        <f t="shared" si="1301"/>
        <v>612</v>
      </c>
      <c r="T7197" s="23" t="str">
        <f t="shared" si="1302"/>
        <v/>
      </c>
      <c r="U7197" t="str">
        <f t="shared" si="1303"/>
        <v/>
      </c>
      <c r="V7197" s="376"/>
      <c r="W7197" s="53"/>
      <c r="X7197" s="53"/>
      <c r="Y7197"/>
      <c r="Z7197"/>
      <c r="AA7197" s="23"/>
      <c r="AB7197"/>
      <c r="AC7197" s="272"/>
      <c r="AD7197" s="272"/>
      <c r="AE7197" s="273"/>
      <c r="AM7197" s="29"/>
      <c r="AN7197"/>
      <c r="AO7197"/>
      <c r="AP7197"/>
      <c r="AQ7197" s="29"/>
      <c r="AR7197" s="29"/>
      <c r="AS7197" s="29"/>
      <c r="AT7197"/>
      <c r="AV7197"/>
      <c r="AW7197"/>
    </row>
    <row r="7198" spans="1:49">
      <c r="A7198" s="23" t="s">
        <v>8007</v>
      </c>
      <c r="B7198" t="s">
        <v>7712</v>
      </c>
      <c r="C7198">
        <v>1</v>
      </c>
      <c r="D7198" s="55" t="str">
        <f t="shared" si="1296"/>
        <v>Member City Council*12(vote 1)</v>
      </c>
      <c r="E7198" t="s">
        <v>7823</v>
      </c>
      <c r="F7198" t="s">
        <v>1294</v>
      </c>
      <c r="G7198" s="254">
        <v>8079</v>
      </c>
      <c r="H7198"/>
      <c r="J7198" s="7"/>
      <c r="K7198" s="2"/>
      <c r="O7198">
        <f t="shared" si="1297"/>
        <v>1</v>
      </c>
      <c r="P7198" s="57">
        <f t="shared" si="1298"/>
        <v>1</v>
      </c>
      <c r="Q7198" s="267">
        <f t="shared" si="1299"/>
        <v>13572</v>
      </c>
      <c r="R7198" s="23">
        <f t="shared" si="1300"/>
        <v>8079</v>
      </c>
      <c r="S7198" s="23">
        <f t="shared" si="1301"/>
        <v>4868</v>
      </c>
      <c r="T7198" s="23">
        <f t="shared" si="1302"/>
        <v>3211</v>
      </c>
      <c r="U7198" t="str">
        <f t="shared" si="1303"/>
        <v>MD_2020g~Cnty3:Member City Council*12(vote 1)</v>
      </c>
      <c r="V7198" s="376"/>
      <c r="W7198" s="53"/>
      <c r="X7198" s="53"/>
      <c r="Y7198"/>
      <c r="Z7198"/>
      <c r="AA7198" s="23"/>
      <c r="AB7198"/>
      <c r="AC7198" s="272"/>
      <c r="AD7198" s="272"/>
      <c r="AE7198" s="273"/>
      <c r="AM7198" s="29"/>
      <c r="AN7198"/>
      <c r="AO7198"/>
      <c r="AP7198"/>
      <c r="AQ7198" s="29"/>
      <c r="AR7198" s="29"/>
      <c r="AS7198" s="29"/>
      <c r="AT7198"/>
      <c r="AV7198"/>
      <c r="AW7198"/>
    </row>
    <row r="7199" spans="1:49">
      <c r="A7199" s="23" t="s">
        <v>8007</v>
      </c>
      <c r="B7199" t="s">
        <v>7712</v>
      </c>
      <c r="C7199">
        <v>1</v>
      </c>
      <c r="D7199" s="55" t="str">
        <f t="shared" si="1296"/>
        <v>Member City Council*12(vote 1)</v>
      </c>
      <c r="E7199" t="s">
        <v>7824</v>
      </c>
      <c r="F7199" t="s">
        <v>1306</v>
      </c>
      <c r="G7199" s="254">
        <v>4868</v>
      </c>
      <c r="H7199"/>
      <c r="J7199" s="7"/>
      <c r="K7199" s="2"/>
      <c r="O7199">
        <f t="shared" si="1297"/>
        <v>2</v>
      </c>
      <c r="P7199" s="57">
        <f t="shared" si="1298"/>
        <v>1</v>
      </c>
      <c r="Q7199" s="267">
        <f t="shared" si="1299"/>
        <v>5493</v>
      </c>
      <c r="R7199" s="23" t="str">
        <f t="shared" si="1300"/>
        <v/>
      </c>
      <c r="S7199" s="23">
        <f t="shared" si="1301"/>
        <v>4868</v>
      </c>
      <c r="T7199" s="23" t="str">
        <f t="shared" si="1302"/>
        <v/>
      </c>
      <c r="U7199" t="str">
        <f t="shared" si="1303"/>
        <v/>
      </c>
      <c r="V7199" s="376"/>
      <c r="W7199" s="53"/>
      <c r="X7199" s="53"/>
      <c r="Y7199"/>
      <c r="Z7199"/>
      <c r="AA7199" s="23"/>
      <c r="AB7199"/>
      <c r="AC7199" s="272"/>
      <c r="AD7199" s="272"/>
      <c r="AE7199" s="273"/>
      <c r="AM7199" s="29"/>
      <c r="AN7199"/>
      <c r="AO7199"/>
      <c r="AP7199"/>
      <c r="AQ7199" s="29"/>
      <c r="AR7199" s="29"/>
      <c r="AS7199" s="29"/>
      <c r="AT7199"/>
      <c r="AV7199"/>
      <c r="AW7199"/>
    </row>
    <row r="7200" spans="1:49">
      <c r="A7200" s="23" t="s">
        <v>8007</v>
      </c>
      <c r="B7200" t="s">
        <v>7712</v>
      </c>
      <c r="C7200">
        <v>1</v>
      </c>
      <c r="D7200" s="55" t="str">
        <f t="shared" si="1296"/>
        <v>Member City Council*12(vote 1)</v>
      </c>
      <c r="E7200" t="s">
        <v>7825</v>
      </c>
      <c r="F7200" t="s">
        <v>1296</v>
      </c>
      <c r="G7200" s="254">
        <v>582</v>
      </c>
      <c r="H7200"/>
      <c r="J7200" s="7"/>
      <c r="K7200" s="2"/>
      <c r="O7200">
        <f t="shared" si="1297"/>
        <v>3</v>
      </c>
      <c r="P7200" s="57">
        <f t="shared" si="1298"/>
        <v>1</v>
      </c>
      <c r="Q7200" s="267">
        <f t="shared" si="1299"/>
        <v>625</v>
      </c>
      <c r="R7200" s="23" t="str">
        <f t="shared" si="1300"/>
        <v/>
      </c>
      <c r="S7200" s="23">
        <f t="shared" si="1301"/>
        <v>582</v>
      </c>
      <c r="T7200" s="23" t="str">
        <f t="shared" si="1302"/>
        <v/>
      </c>
      <c r="U7200" t="str">
        <f t="shared" si="1303"/>
        <v/>
      </c>
      <c r="V7200" s="376"/>
      <c r="W7200" s="53"/>
      <c r="X7200" s="53"/>
      <c r="Y7200"/>
      <c r="Z7200"/>
      <c r="AA7200" s="23"/>
      <c r="AB7200"/>
      <c r="AC7200" s="272"/>
      <c r="AD7200" s="272"/>
      <c r="AE7200" s="273"/>
      <c r="AM7200" s="29"/>
      <c r="AN7200"/>
      <c r="AO7200"/>
      <c r="AP7200"/>
      <c r="AQ7200" s="29"/>
      <c r="AR7200" s="29"/>
      <c r="AS7200" s="29"/>
      <c r="AT7200"/>
      <c r="AV7200"/>
      <c r="AW7200"/>
    </row>
    <row r="7201" spans="1:49">
      <c r="A7201" s="23" t="s">
        <v>8007</v>
      </c>
      <c r="B7201" t="s">
        <v>7712</v>
      </c>
      <c r="C7201">
        <v>1</v>
      </c>
      <c r="D7201" s="55" t="str">
        <f t="shared" si="1296"/>
        <v>Member City Council*12(vote 1)</v>
      </c>
      <c r="E7201" t="s">
        <v>7722</v>
      </c>
      <c r="F7201" t="s">
        <v>7714</v>
      </c>
      <c r="G7201" s="254">
        <v>43</v>
      </c>
      <c r="H7201"/>
      <c r="J7201" s="7"/>
      <c r="K7201" s="2"/>
      <c r="O7201">
        <f t="shared" si="1297"/>
        <v>4</v>
      </c>
      <c r="P7201" s="57">
        <f t="shared" si="1298"/>
        <v>1</v>
      </c>
      <c r="Q7201" s="267">
        <f t="shared" si="1299"/>
        <v>43</v>
      </c>
      <c r="R7201" s="23" t="str">
        <f t="shared" si="1300"/>
        <v/>
      </c>
      <c r="S7201" s="23">
        <f t="shared" si="1301"/>
        <v>43</v>
      </c>
      <c r="T7201" s="23" t="str">
        <f t="shared" si="1302"/>
        <v/>
      </c>
      <c r="U7201" t="str">
        <f t="shared" si="1303"/>
        <v/>
      </c>
      <c r="V7201" s="376"/>
      <c r="W7201" s="53"/>
      <c r="X7201" s="53"/>
      <c r="Y7201"/>
      <c r="Z7201"/>
      <c r="AA7201" s="23"/>
      <c r="AB7201"/>
      <c r="AC7201" s="272"/>
      <c r="AD7201" s="272"/>
      <c r="AE7201" s="273"/>
      <c r="AM7201" s="29"/>
      <c r="AN7201"/>
      <c r="AO7201"/>
      <c r="AP7201"/>
      <c r="AQ7201" s="29"/>
      <c r="AR7201" s="29"/>
      <c r="AS7201" s="29"/>
      <c r="AT7201"/>
      <c r="AV7201"/>
      <c r="AW7201"/>
    </row>
    <row r="7202" spans="1:49">
      <c r="A7202" s="23" t="s">
        <v>8008</v>
      </c>
      <c r="B7202" t="s">
        <v>7712</v>
      </c>
      <c r="C7202">
        <v>1</v>
      </c>
      <c r="D7202" s="55" t="str">
        <f t="shared" si="1296"/>
        <v>Member City Council*13(vote 1)</v>
      </c>
      <c r="E7202" t="s">
        <v>7826</v>
      </c>
      <c r="F7202" t="s">
        <v>1294</v>
      </c>
      <c r="G7202" s="254">
        <v>11369</v>
      </c>
      <c r="H7202"/>
      <c r="J7202" s="7"/>
      <c r="K7202" s="2"/>
      <c r="O7202">
        <f t="shared" si="1297"/>
        <v>1</v>
      </c>
      <c r="P7202" s="57">
        <f t="shared" si="1298"/>
        <v>1</v>
      </c>
      <c r="Q7202" s="267">
        <f t="shared" si="1299"/>
        <v>11514</v>
      </c>
      <c r="R7202" s="23">
        <f t="shared" si="1300"/>
        <v>11369</v>
      </c>
      <c r="S7202" s="23">
        <f t="shared" si="1301"/>
        <v>145</v>
      </c>
      <c r="T7202" s="23">
        <f t="shared" si="1302"/>
        <v>11224</v>
      </c>
      <c r="U7202" t="str">
        <f t="shared" si="1303"/>
        <v>MD_2020g~Cnty3:Member City Council*13(vote 1)</v>
      </c>
      <c r="V7202" s="376"/>
      <c r="W7202" s="53"/>
      <c r="X7202" s="53"/>
      <c r="Y7202"/>
      <c r="Z7202"/>
      <c r="AA7202" s="23"/>
      <c r="AB7202"/>
      <c r="AC7202" s="272"/>
      <c r="AD7202" s="272"/>
      <c r="AE7202" s="273"/>
      <c r="AM7202" s="29"/>
      <c r="AN7202"/>
      <c r="AO7202"/>
      <c r="AP7202"/>
      <c r="AQ7202" s="29"/>
      <c r="AR7202" s="29"/>
      <c r="AS7202" s="29"/>
      <c r="AT7202"/>
      <c r="AV7202"/>
      <c r="AW7202"/>
    </row>
    <row r="7203" spans="1:49">
      <c r="A7203" s="23" t="s">
        <v>8008</v>
      </c>
      <c r="B7203" t="s">
        <v>7712</v>
      </c>
      <c r="C7203">
        <v>1</v>
      </c>
      <c r="D7203" s="55" t="str">
        <f t="shared" si="1296"/>
        <v>Member City Council*13(vote 1)</v>
      </c>
      <c r="E7203" t="s">
        <v>7722</v>
      </c>
      <c r="F7203" t="s">
        <v>7714</v>
      </c>
      <c r="G7203" s="254">
        <v>145</v>
      </c>
      <c r="H7203"/>
      <c r="J7203" s="7"/>
      <c r="K7203" s="2"/>
      <c r="O7203">
        <f t="shared" si="1297"/>
        <v>2</v>
      </c>
      <c r="P7203" s="57">
        <f t="shared" si="1298"/>
        <v>1</v>
      </c>
      <c r="Q7203" s="267">
        <f t="shared" si="1299"/>
        <v>145</v>
      </c>
      <c r="R7203" s="23" t="str">
        <f t="shared" si="1300"/>
        <v/>
      </c>
      <c r="S7203" s="23">
        <f t="shared" si="1301"/>
        <v>145</v>
      </c>
      <c r="T7203" s="23" t="str">
        <f t="shared" si="1302"/>
        <v/>
      </c>
      <c r="U7203" t="str">
        <f t="shared" si="1303"/>
        <v/>
      </c>
      <c r="V7203" s="376"/>
      <c r="W7203" s="53"/>
      <c r="X7203" s="53"/>
      <c r="Y7203"/>
      <c r="Z7203"/>
      <c r="AA7203" s="23"/>
      <c r="AB7203"/>
      <c r="AC7203" s="272"/>
      <c r="AD7203" s="272"/>
      <c r="AE7203" s="273"/>
      <c r="AM7203" s="29"/>
      <c r="AN7203"/>
      <c r="AO7203"/>
      <c r="AP7203"/>
      <c r="AQ7203" s="29"/>
      <c r="AR7203" s="29"/>
      <c r="AS7203" s="29"/>
      <c r="AT7203"/>
      <c r="AV7203"/>
      <c r="AW7203"/>
    </row>
    <row r="7204" spans="1:49">
      <c r="A7204" s="23" t="s">
        <v>8009</v>
      </c>
      <c r="B7204" t="s">
        <v>7712</v>
      </c>
      <c r="C7204">
        <v>1</v>
      </c>
      <c r="D7204" s="55" t="str">
        <f t="shared" si="1296"/>
        <v>Member City Council*14(vote 1)</v>
      </c>
      <c r="E7204" t="s">
        <v>7827</v>
      </c>
      <c r="F7204" t="s">
        <v>1294</v>
      </c>
      <c r="G7204" s="254">
        <v>15983</v>
      </c>
      <c r="H7204"/>
      <c r="J7204" s="7"/>
      <c r="K7204" s="2"/>
      <c r="O7204">
        <f t="shared" si="1297"/>
        <v>1</v>
      </c>
      <c r="P7204" s="57">
        <f t="shared" si="1298"/>
        <v>1</v>
      </c>
      <c r="Q7204" s="267">
        <f t="shared" si="1299"/>
        <v>17573</v>
      </c>
      <c r="R7204" s="23">
        <f t="shared" si="1300"/>
        <v>15983</v>
      </c>
      <c r="S7204" s="23">
        <f t="shared" si="1301"/>
        <v>1502</v>
      </c>
      <c r="T7204" s="23">
        <f t="shared" si="1302"/>
        <v>14481</v>
      </c>
      <c r="U7204" t="str">
        <f t="shared" si="1303"/>
        <v>MD_2020g~Cnty3:Member City Council*14(vote 1)</v>
      </c>
      <c r="V7204" s="376"/>
      <c r="W7204" s="53"/>
      <c r="X7204" s="53"/>
      <c r="Y7204"/>
      <c r="Z7204"/>
      <c r="AA7204" s="23"/>
      <c r="AB7204"/>
      <c r="AC7204" s="272"/>
      <c r="AD7204" s="272"/>
      <c r="AE7204" s="273"/>
      <c r="AM7204" s="29"/>
      <c r="AN7204"/>
      <c r="AO7204"/>
      <c r="AP7204"/>
      <c r="AQ7204" s="29"/>
      <c r="AR7204" s="29"/>
      <c r="AS7204" s="29"/>
      <c r="AT7204"/>
      <c r="AV7204"/>
      <c r="AW7204"/>
    </row>
    <row r="7205" spans="1:49">
      <c r="A7205" s="23" t="s">
        <v>8009</v>
      </c>
      <c r="B7205" t="s">
        <v>7712</v>
      </c>
      <c r="C7205">
        <v>1</v>
      </c>
      <c r="D7205" s="55" t="str">
        <f t="shared" si="1296"/>
        <v>Member City Council*14(vote 1)</v>
      </c>
      <c r="E7205" t="s">
        <v>7828</v>
      </c>
      <c r="F7205" t="s">
        <v>1296</v>
      </c>
      <c r="G7205" s="254">
        <v>1502</v>
      </c>
      <c r="H7205"/>
      <c r="J7205" s="7"/>
      <c r="K7205" s="2"/>
      <c r="O7205">
        <f t="shared" si="1297"/>
        <v>2</v>
      </c>
      <c r="P7205" s="57">
        <f t="shared" si="1298"/>
        <v>1</v>
      </c>
      <c r="Q7205" s="267">
        <f t="shared" si="1299"/>
        <v>1590</v>
      </c>
      <c r="R7205" s="23" t="str">
        <f t="shared" si="1300"/>
        <v/>
      </c>
      <c r="S7205" s="23">
        <f t="shared" si="1301"/>
        <v>1502</v>
      </c>
      <c r="T7205" s="23" t="str">
        <f t="shared" si="1302"/>
        <v/>
      </c>
      <c r="U7205" t="str">
        <f t="shared" si="1303"/>
        <v/>
      </c>
      <c r="V7205" s="376"/>
      <c r="W7205" s="53"/>
      <c r="X7205" s="53"/>
      <c r="Y7205"/>
      <c r="Z7205"/>
      <c r="AA7205" s="23"/>
      <c r="AB7205"/>
      <c r="AC7205" s="272"/>
      <c r="AD7205" s="272"/>
      <c r="AE7205" s="273"/>
      <c r="AM7205" s="29"/>
      <c r="AN7205"/>
      <c r="AO7205"/>
      <c r="AP7205"/>
      <c r="AQ7205" s="29"/>
      <c r="AR7205" s="29"/>
      <c r="AS7205" s="29"/>
      <c r="AT7205"/>
      <c r="AV7205"/>
      <c r="AW7205"/>
    </row>
    <row r="7206" spans="1:49">
      <c r="A7206" s="23" t="s">
        <v>8009</v>
      </c>
      <c r="B7206" t="s">
        <v>7712</v>
      </c>
      <c r="C7206">
        <v>1</v>
      </c>
      <c r="D7206" s="55" t="str">
        <f t="shared" si="1296"/>
        <v>Member City Council*14(vote 1)</v>
      </c>
      <c r="E7206" t="s">
        <v>7722</v>
      </c>
      <c r="F7206" t="s">
        <v>7714</v>
      </c>
      <c r="G7206" s="254">
        <v>88</v>
      </c>
      <c r="H7206"/>
      <c r="J7206" s="7"/>
      <c r="K7206" s="2"/>
      <c r="O7206">
        <f t="shared" si="1297"/>
        <v>3</v>
      </c>
      <c r="P7206" s="57">
        <f t="shared" si="1298"/>
        <v>1</v>
      </c>
      <c r="Q7206" s="267">
        <f t="shared" si="1299"/>
        <v>88</v>
      </c>
      <c r="R7206" s="23" t="str">
        <f t="shared" si="1300"/>
        <v/>
      </c>
      <c r="S7206" s="23">
        <f t="shared" si="1301"/>
        <v>88</v>
      </c>
      <c r="T7206" s="23" t="str">
        <f t="shared" si="1302"/>
        <v/>
      </c>
      <c r="U7206" t="str">
        <f t="shared" si="1303"/>
        <v/>
      </c>
      <c r="V7206" s="376"/>
      <c r="W7206" s="53"/>
      <c r="X7206" s="53"/>
      <c r="Y7206"/>
      <c r="Z7206"/>
      <c r="AA7206" s="23"/>
      <c r="AB7206"/>
      <c r="AC7206" s="272"/>
      <c r="AD7206" s="272"/>
      <c r="AE7206" s="273"/>
      <c r="AM7206" s="29"/>
      <c r="AN7206"/>
      <c r="AO7206"/>
      <c r="AP7206"/>
      <c r="AQ7206" s="29"/>
      <c r="AR7206" s="29"/>
      <c r="AS7206" s="29"/>
      <c r="AT7206"/>
      <c r="AV7206"/>
      <c r="AW7206"/>
    </row>
    <row r="7207" spans="1:49">
      <c r="A7207" s="23" t="s">
        <v>7997</v>
      </c>
      <c r="B7207" t="s">
        <v>7712</v>
      </c>
      <c r="C7207">
        <v>1</v>
      </c>
      <c r="D7207" s="55" t="str">
        <f t="shared" si="1296"/>
        <v>Member City Council*2(vote 1)</v>
      </c>
      <c r="E7207" t="s">
        <v>7806</v>
      </c>
      <c r="F7207" t="s">
        <v>1294</v>
      </c>
      <c r="G7207" s="254">
        <v>13353</v>
      </c>
      <c r="H7207"/>
      <c r="J7207" s="7"/>
      <c r="K7207" s="2"/>
      <c r="O7207">
        <f t="shared" si="1297"/>
        <v>1</v>
      </c>
      <c r="P7207" s="57">
        <f t="shared" si="1298"/>
        <v>1</v>
      </c>
      <c r="Q7207" s="267">
        <f t="shared" si="1299"/>
        <v>15281</v>
      </c>
      <c r="R7207" s="23">
        <f t="shared" si="1300"/>
        <v>13353</v>
      </c>
      <c r="S7207" s="23">
        <f t="shared" si="1301"/>
        <v>1884</v>
      </c>
      <c r="T7207" s="23">
        <f t="shared" si="1302"/>
        <v>11469</v>
      </c>
      <c r="U7207" t="str">
        <f t="shared" si="1303"/>
        <v>MD_2020g~Cnty3:Member City Council*2(vote 1)</v>
      </c>
      <c r="V7207" s="376"/>
      <c r="W7207" s="53"/>
      <c r="X7207" s="53"/>
      <c r="Y7207"/>
      <c r="Z7207"/>
      <c r="AA7207" s="23"/>
      <c r="AB7207"/>
      <c r="AC7207" s="272"/>
      <c r="AD7207" s="272"/>
      <c r="AE7207" s="273"/>
      <c r="AM7207" s="29"/>
      <c r="AN7207"/>
      <c r="AO7207"/>
      <c r="AP7207"/>
      <c r="AQ7207" s="29"/>
      <c r="AR7207" s="29"/>
      <c r="AS7207" s="29"/>
      <c r="AT7207"/>
      <c r="AV7207"/>
      <c r="AW7207"/>
    </row>
    <row r="7208" spans="1:49">
      <c r="A7208" s="23" t="s">
        <v>7997</v>
      </c>
      <c r="B7208" t="s">
        <v>7712</v>
      </c>
      <c r="C7208">
        <v>1</v>
      </c>
      <c r="D7208" s="55" t="str">
        <f t="shared" si="1296"/>
        <v>Member City Council*2(vote 1)</v>
      </c>
      <c r="E7208" t="s">
        <v>7807</v>
      </c>
      <c r="F7208" t="s">
        <v>1296</v>
      </c>
      <c r="G7208" s="254">
        <v>1884</v>
      </c>
      <c r="H7208"/>
      <c r="J7208" s="7"/>
      <c r="K7208" s="2"/>
      <c r="O7208">
        <f t="shared" si="1297"/>
        <v>2</v>
      </c>
      <c r="P7208" s="57">
        <f t="shared" si="1298"/>
        <v>1</v>
      </c>
      <c r="Q7208" s="267">
        <f t="shared" si="1299"/>
        <v>1928</v>
      </c>
      <c r="R7208" s="23" t="str">
        <f t="shared" si="1300"/>
        <v/>
      </c>
      <c r="S7208" s="23">
        <f t="shared" si="1301"/>
        <v>1884</v>
      </c>
      <c r="T7208" s="23" t="str">
        <f t="shared" si="1302"/>
        <v/>
      </c>
      <c r="U7208" t="str">
        <f t="shared" si="1303"/>
        <v/>
      </c>
      <c r="V7208" s="376"/>
      <c r="W7208" s="53"/>
      <c r="X7208" s="53"/>
      <c r="Y7208"/>
      <c r="Z7208"/>
      <c r="AA7208" s="23"/>
      <c r="AB7208"/>
      <c r="AC7208" s="272"/>
      <c r="AD7208" s="272"/>
      <c r="AE7208" s="273"/>
      <c r="AM7208" s="29"/>
      <c r="AN7208"/>
      <c r="AO7208"/>
      <c r="AP7208"/>
      <c r="AQ7208" s="29"/>
      <c r="AR7208" s="29"/>
      <c r="AS7208" s="29"/>
      <c r="AT7208"/>
      <c r="AV7208"/>
      <c r="AW7208"/>
    </row>
    <row r="7209" spans="1:49">
      <c r="A7209" s="23" t="s">
        <v>7997</v>
      </c>
      <c r="B7209" t="s">
        <v>7712</v>
      </c>
      <c r="C7209">
        <v>1</v>
      </c>
      <c r="D7209" s="55" t="str">
        <f t="shared" si="1296"/>
        <v>Member City Council*2(vote 1)</v>
      </c>
      <c r="E7209" t="s">
        <v>7722</v>
      </c>
      <c r="F7209" t="s">
        <v>7714</v>
      </c>
      <c r="G7209" s="254">
        <v>44</v>
      </c>
      <c r="H7209"/>
      <c r="J7209" s="7"/>
      <c r="K7209" s="2"/>
      <c r="O7209">
        <f t="shared" si="1297"/>
        <v>3</v>
      </c>
      <c r="P7209" s="57">
        <f t="shared" si="1298"/>
        <v>1</v>
      </c>
      <c r="Q7209" s="267">
        <f t="shared" si="1299"/>
        <v>44</v>
      </c>
      <c r="R7209" s="23" t="str">
        <f t="shared" si="1300"/>
        <v/>
      </c>
      <c r="S7209" s="23">
        <f t="shared" si="1301"/>
        <v>44</v>
      </c>
      <c r="T7209" s="23" t="str">
        <f t="shared" si="1302"/>
        <v/>
      </c>
      <c r="U7209" t="str">
        <f t="shared" si="1303"/>
        <v/>
      </c>
      <c r="V7209" s="376"/>
      <c r="W7209" s="53"/>
      <c r="X7209" s="53"/>
      <c r="Y7209"/>
      <c r="Z7209"/>
      <c r="AA7209" s="23"/>
      <c r="AB7209"/>
      <c r="AC7209" s="272"/>
      <c r="AD7209" s="272"/>
      <c r="AE7209" s="273"/>
      <c r="AM7209" s="29"/>
      <c r="AN7209"/>
      <c r="AO7209"/>
      <c r="AP7209"/>
      <c r="AQ7209" s="29"/>
      <c r="AR7209" s="29"/>
      <c r="AS7209" s="29"/>
      <c r="AT7209"/>
      <c r="AV7209"/>
      <c r="AW7209"/>
    </row>
    <row r="7210" spans="1:49">
      <c r="A7210" s="23" t="s">
        <v>7998</v>
      </c>
      <c r="B7210" t="s">
        <v>7712</v>
      </c>
      <c r="C7210">
        <v>1</v>
      </c>
      <c r="D7210" s="55" t="str">
        <f t="shared" si="1296"/>
        <v>Member City Council*3(vote 1)</v>
      </c>
      <c r="E7210" t="s">
        <v>7808</v>
      </c>
      <c r="F7210" t="s">
        <v>1294</v>
      </c>
      <c r="G7210" s="254">
        <v>14802</v>
      </c>
      <c r="H7210"/>
      <c r="J7210" s="7"/>
      <c r="K7210" s="2"/>
      <c r="O7210">
        <f t="shared" si="1297"/>
        <v>1</v>
      </c>
      <c r="P7210" s="57">
        <f t="shared" si="1298"/>
        <v>1</v>
      </c>
      <c r="Q7210" s="267">
        <f t="shared" si="1299"/>
        <v>17758</v>
      </c>
      <c r="R7210" s="23">
        <f t="shared" si="1300"/>
        <v>14802</v>
      </c>
      <c r="S7210" s="23">
        <f t="shared" si="1301"/>
        <v>2801</v>
      </c>
      <c r="T7210" s="23">
        <f t="shared" si="1302"/>
        <v>12001</v>
      </c>
      <c r="U7210" t="str">
        <f t="shared" si="1303"/>
        <v>MD_2020g~Cnty3:Member City Council*3(vote 1)</v>
      </c>
      <c r="V7210" s="376"/>
      <c r="W7210" s="53"/>
      <c r="X7210" s="53"/>
      <c r="Y7210"/>
      <c r="Z7210"/>
      <c r="AA7210" s="23"/>
      <c r="AB7210"/>
      <c r="AC7210" s="272"/>
      <c r="AD7210" s="272"/>
      <c r="AE7210" s="273"/>
      <c r="AM7210" s="29"/>
      <c r="AN7210"/>
      <c r="AO7210"/>
      <c r="AP7210"/>
      <c r="AQ7210" s="29"/>
      <c r="AR7210" s="29"/>
      <c r="AS7210" s="29"/>
      <c r="AT7210"/>
      <c r="AV7210"/>
      <c r="AW7210"/>
    </row>
    <row r="7211" spans="1:49">
      <c r="A7211" s="23" t="s">
        <v>7998</v>
      </c>
      <c r="B7211" t="s">
        <v>7712</v>
      </c>
      <c r="C7211">
        <v>1</v>
      </c>
      <c r="D7211" s="55" t="str">
        <f t="shared" si="1296"/>
        <v>Member City Council*3(vote 1)</v>
      </c>
      <c r="E7211" t="s">
        <v>7809</v>
      </c>
      <c r="F7211" t="s">
        <v>1296</v>
      </c>
      <c r="G7211" s="254">
        <v>2801</v>
      </c>
      <c r="H7211"/>
      <c r="J7211" s="7"/>
      <c r="K7211" s="2"/>
      <c r="O7211">
        <f t="shared" si="1297"/>
        <v>2</v>
      </c>
      <c r="P7211" s="57">
        <f t="shared" si="1298"/>
        <v>1</v>
      </c>
      <c r="Q7211" s="267">
        <f t="shared" si="1299"/>
        <v>2956</v>
      </c>
      <c r="R7211" s="23" t="str">
        <f t="shared" si="1300"/>
        <v/>
      </c>
      <c r="S7211" s="23">
        <f t="shared" si="1301"/>
        <v>2801</v>
      </c>
      <c r="T7211" s="23" t="str">
        <f t="shared" si="1302"/>
        <v/>
      </c>
      <c r="U7211" t="str">
        <f t="shared" si="1303"/>
        <v/>
      </c>
      <c r="V7211" s="376"/>
      <c r="W7211" s="53"/>
      <c r="X7211" s="53"/>
      <c r="Y7211"/>
      <c r="Z7211"/>
      <c r="AA7211" s="23"/>
      <c r="AB7211"/>
      <c r="AC7211" s="272"/>
      <c r="AD7211" s="272"/>
      <c r="AE7211" s="273"/>
      <c r="AM7211" s="29"/>
      <c r="AN7211"/>
      <c r="AO7211"/>
      <c r="AP7211"/>
      <c r="AQ7211" s="29"/>
      <c r="AR7211" s="29"/>
      <c r="AS7211" s="29"/>
      <c r="AT7211"/>
      <c r="AV7211"/>
      <c r="AW7211"/>
    </row>
    <row r="7212" spans="1:49">
      <c r="A7212" s="23" t="s">
        <v>7998</v>
      </c>
      <c r="B7212" t="s">
        <v>7712</v>
      </c>
      <c r="C7212">
        <v>1</v>
      </c>
      <c r="D7212" s="55" t="str">
        <f t="shared" si="1296"/>
        <v>Member City Council*3(vote 1)</v>
      </c>
      <c r="E7212" t="s">
        <v>7722</v>
      </c>
      <c r="F7212" t="s">
        <v>7714</v>
      </c>
      <c r="G7212" s="254">
        <v>155</v>
      </c>
      <c r="H7212"/>
      <c r="J7212" s="7"/>
      <c r="K7212" s="2"/>
      <c r="O7212">
        <f t="shared" si="1297"/>
        <v>3</v>
      </c>
      <c r="P7212" s="57">
        <f t="shared" si="1298"/>
        <v>1</v>
      </c>
      <c r="Q7212" s="267">
        <f t="shared" si="1299"/>
        <v>155</v>
      </c>
      <c r="R7212" s="23" t="str">
        <f t="shared" si="1300"/>
        <v/>
      </c>
      <c r="S7212" s="23">
        <f t="shared" si="1301"/>
        <v>155</v>
      </c>
      <c r="T7212" s="23" t="str">
        <f t="shared" si="1302"/>
        <v/>
      </c>
      <c r="U7212" t="str">
        <f t="shared" si="1303"/>
        <v/>
      </c>
      <c r="V7212" s="376"/>
      <c r="W7212" s="53"/>
      <c r="X7212" s="53"/>
      <c r="Y7212"/>
      <c r="Z7212"/>
      <c r="AA7212" s="23"/>
      <c r="AB7212"/>
      <c r="AC7212" s="272"/>
      <c r="AD7212" s="272"/>
      <c r="AE7212" s="273"/>
      <c r="AM7212" s="29"/>
      <c r="AN7212"/>
      <c r="AO7212"/>
      <c r="AP7212"/>
      <c r="AQ7212" s="29"/>
      <c r="AR7212" s="29"/>
      <c r="AS7212" s="29"/>
      <c r="AT7212"/>
      <c r="AV7212"/>
      <c r="AW7212"/>
    </row>
    <row r="7213" spans="1:49">
      <c r="A7213" s="23" t="s">
        <v>7999</v>
      </c>
      <c r="B7213" t="s">
        <v>7712</v>
      </c>
      <c r="C7213">
        <v>1</v>
      </c>
      <c r="D7213" s="55" t="str">
        <f t="shared" si="1296"/>
        <v>Member City Council*4(vote 1)</v>
      </c>
      <c r="E7213" t="s">
        <v>7810</v>
      </c>
      <c r="F7213" t="s">
        <v>1294</v>
      </c>
      <c r="G7213" s="254">
        <v>16958</v>
      </c>
      <c r="H7213"/>
      <c r="J7213" s="7"/>
      <c r="K7213" s="2"/>
      <c r="O7213">
        <f t="shared" si="1297"/>
        <v>1</v>
      </c>
      <c r="P7213" s="57">
        <f t="shared" si="1298"/>
        <v>1</v>
      </c>
      <c r="Q7213" s="267">
        <f t="shared" si="1299"/>
        <v>17144</v>
      </c>
      <c r="R7213" s="23">
        <f t="shared" si="1300"/>
        <v>16958</v>
      </c>
      <c r="S7213" s="23">
        <f t="shared" si="1301"/>
        <v>183</v>
      </c>
      <c r="T7213" s="23">
        <f t="shared" si="1302"/>
        <v>16775</v>
      </c>
      <c r="U7213" t="str">
        <f t="shared" si="1303"/>
        <v>MD_2020g~Cnty3:Member City Council*4(vote 1)</v>
      </c>
      <c r="V7213" s="376"/>
      <c r="W7213" s="53"/>
      <c r="X7213" s="53"/>
      <c r="Y7213"/>
      <c r="Z7213"/>
      <c r="AA7213" s="23"/>
      <c r="AB7213"/>
      <c r="AC7213" s="272"/>
      <c r="AD7213" s="272"/>
      <c r="AE7213" s="273"/>
      <c r="AM7213" s="29"/>
      <c r="AN7213"/>
      <c r="AO7213"/>
      <c r="AP7213"/>
      <c r="AQ7213" s="29"/>
      <c r="AR7213" s="29"/>
      <c r="AS7213" s="29"/>
      <c r="AT7213"/>
      <c r="AV7213"/>
      <c r="AW7213"/>
    </row>
    <row r="7214" spans="1:49">
      <c r="A7214" s="23" t="s">
        <v>7999</v>
      </c>
      <c r="B7214" t="s">
        <v>7712</v>
      </c>
      <c r="C7214">
        <v>1</v>
      </c>
      <c r="D7214" s="55" t="str">
        <f t="shared" si="1296"/>
        <v>Member City Council*4(vote 1)</v>
      </c>
      <c r="E7214" t="s">
        <v>7722</v>
      </c>
      <c r="F7214" t="s">
        <v>7714</v>
      </c>
      <c r="G7214" s="254">
        <v>183</v>
      </c>
      <c r="H7214"/>
      <c r="J7214" s="7"/>
      <c r="K7214" s="2"/>
      <c r="O7214">
        <f t="shared" si="1297"/>
        <v>2</v>
      </c>
      <c r="P7214" s="57">
        <f t="shared" si="1298"/>
        <v>1</v>
      </c>
      <c r="Q7214" s="267">
        <f t="shared" si="1299"/>
        <v>186</v>
      </c>
      <c r="R7214" s="23" t="str">
        <f t="shared" si="1300"/>
        <v/>
      </c>
      <c r="S7214" s="23">
        <f t="shared" si="1301"/>
        <v>183</v>
      </c>
      <c r="T7214" s="23" t="str">
        <f t="shared" si="1302"/>
        <v/>
      </c>
      <c r="U7214" t="str">
        <f t="shared" si="1303"/>
        <v/>
      </c>
      <c r="V7214" s="376"/>
      <c r="W7214" s="53"/>
      <c r="X7214" s="53"/>
      <c r="Y7214"/>
      <c r="Z7214"/>
      <c r="AA7214" s="23"/>
      <c r="AB7214"/>
      <c r="AC7214" s="272"/>
      <c r="AD7214" s="272"/>
      <c r="AE7214" s="273"/>
      <c r="AM7214" s="29"/>
      <c r="AN7214"/>
      <c r="AO7214"/>
      <c r="AP7214"/>
      <c r="AQ7214" s="29"/>
      <c r="AR7214" s="29"/>
      <c r="AS7214" s="29"/>
      <c r="AT7214"/>
      <c r="AV7214"/>
      <c r="AW7214"/>
    </row>
    <row r="7215" spans="1:49">
      <c r="A7215" s="23" t="s">
        <v>7999</v>
      </c>
      <c r="B7215" t="s">
        <v>7712</v>
      </c>
      <c r="C7215">
        <v>1</v>
      </c>
      <c r="D7215" s="55" t="str">
        <f t="shared" si="1296"/>
        <v>Member City Council*4(vote 1)</v>
      </c>
      <c r="E7215" t="s">
        <v>7811</v>
      </c>
      <c r="F7215" t="s">
        <v>7730</v>
      </c>
      <c r="G7215" s="254">
        <v>3</v>
      </c>
      <c r="H7215"/>
      <c r="J7215" s="7"/>
      <c r="K7215" s="2"/>
      <c r="O7215">
        <f t="shared" si="1297"/>
        <v>3</v>
      </c>
      <c r="P7215" s="57">
        <f t="shared" si="1298"/>
        <v>1</v>
      </c>
      <c r="Q7215" s="267">
        <f t="shared" si="1299"/>
        <v>3</v>
      </c>
      <c r="R7215" s="23" t="str">
        <f t="shared" si="1300"/>
        <v/>
      </c>
      <c r="S7215" s="23">
        <f t="shared" si="1301"/>
        <v>3</v>
      </c>
      <c r="T7215" s="23" t="str">
        <f t="shared" si="1302"/>
        <v/>
      </c>
      <c r="U7215" t="str">
        <f t="shared" si="1303"/>
        <v/>
      </c>
      <c r="V7215" s="376"/>
      <c r="W7215" s="53"/>
      <c r="X7215" s="53"/>
      <c r="Y7215"/>
      <c r="Z7215"/>
      <c r="AA7215" s="23"/>
      <c r="AB7215"/>
      <c r="AC7215" s="272"/>
      <c r="AD7215" s="272"/>
      <c r="AE7215" s="273"/>
      <c r="AM7215" s="29"/>
      <c r="AN7215"/>
      <c r="AO7215"/>
      <c r="AP7215"/>
      <c r="AQ7215" s="29"/>
      <c r="AR7215" s="29"/>
      <c r="AS7215" s="29"/>
      <c r="AT7215"/>
      <c r="AV7215"/>
      <c r="AW7215"/>
    </row>
    <row r="7216" spans="1:49">
      <c r="A7216" s="23" t="s">
        <v>8000</v>
      </c>
      <c r="B7216" t="s">
        <v>7712</v>
      </c>
      <c r="C7216">
        <v>1</v>
      </c>
      <c r="D7216" s="55" t="str">
        <f t="shared" si="1296"/>
        <v>Member City Council*5(vote 1)</v>
      </c>
      <c r="E7216" t="s">
        <v>7812</v>
      </c>
      <c r="F7216" t="s">
        <v>1294</v>
      </c>
      <c r="G7216" s="254">
        <v>16688</v>
      </c>
      <c r="H7216"/>
      <c r="J7216" s="7"/>
      <c r="K7216" s="2"/>
      <c r="O7216">
        <f t="shared" si="1297"/>
        <v>1</v>
      </c>
      <c r="P7216" s="57">
        <f t="shared" si="1298"/>
        <v>1</v>
      </c>
      <c r="Q7216" s="267">
        <f t="shared" si="1299"/>
        <v>18885</v>
      </c>
      <c r="R7216" s="23">
        <f t="shared" si="1300"/>
        <v>16688</v>
      </c>
      <c r="S7216" s="23">
        <f t="shared" si="1301"/>
        <v>2007</v>
      </c>
      <c r="T7216" s="23">
        <f t="shared" si="1302"/>
        <v>14681</v>
      </c>
      <c r="U7216" t="str">
        <f t="shared" si="1303"/>
        <v>MD_2020g~Cnty3:Member City Council*5(vote 1)</v>
      </c>
      <c r="V7216" s="376"/>
      <c r="W7216" s="53"/>
      <c r="X7216" s="53"/>
      <c r="Y7216"/>
      <c r="Z7216"/>
      <c r="AA7216" s="23"/>
      <c r="AB7216"/>
      <c r="AC7216" s="272"/>
      <c r="AD7216" s="272"/>
      <c r="AE7216" s="273"/>
      <c r="AM7216" s="29"/>
      <c r="AN7216"/>
      <c r="AO7216"/>
      <c r="AP7216"/>
      <c r="AQ7216" s="29"/>
      <c r="AR7216" s="29"/>
      <c r="AS7216" s="29"/>
      <c r="AT7216"/>
      <c r="AV7216"/>
      <c r="AW7216"/>
    </row>
    <row r="7217" spans="1:49">
      <c r="A7217" s="23" t="s">
        <v>8000</v>
      </c>
      <c r="B7217" t="s">
        <v>7712</v>
      </c>
      <c r="C7217">
        <v>1</v>
      </c>
      <c r="D7217" s="55" t="str">
        <f t="shared" si="1296"/>
        <v>Member City Council*5(vote 1)</v>
      </c>
      <c r="E7217" t="s">
        <v>7813</v>
      </c>
      <c r="F7217" t="s">
        <v>1296</v>
      </c>
      <c r="G7217" s="254">
        <v>2007</v>
      </c>
      <c r="H7217"/>
      <c r="J7217" s="7"/>
      <c r="K7217" s="2"/>
      <c r="O7217">
        <f t="shared" si="1297"/>
        <v>2</v>
      </c>
      <c r="P7217" s="57">
        <f t="shared" si="1298"/>
        <v>1</v>
      </c>
      <c r="Q7217" s="267">
        <f t="shared" si="1299"/>
        <v>2197</v>
      </c>
      <c r="R7217" s="23" t="str">
        <f t="shared" si="1300"/>
        <v/>
      </c>
      <c r="S7217" s="23">
        <f t="shared" si="1301"/>
        <v>2007</v>
      </c>
      <c r="T7217" s="23" t="str">
        <f t="shared" si="1302"/>
        <v/>
      </c>
      <c r="U7217" t="str">
        <f t="shared" si="1303"/>
        <v/>
      </c>
      <c r="V7217" s="376"/>
      <c r="W7217" s="53"/>
      <c r="X7217" s="53"/>
      <c r="Y7217"/>
      <c r="Z7217"/>
      <c r="AA7217" s="23"/>
      <c r="AB7217"/>
      <c r="AC7217" s="272"/>
      <c r="AD7217" s="272"/>
      <c r="AE7217" s="273"/>
      <c r="AM7217" s="29"/>
      <c r="AN7217"/>
      <c r="AO7217"/>
      <c r="AP7217"/>
      <c r="AQ7217" s="29"/>
      <c r="AR7217" s="29"/>
      <c r="AS7217" s="29"/>
      <c r="AT7217"/>
      <c r="AV7217"/>
      <c r="AW7217"/>
    </row>
    <row r="7218" spans="1:49">
      <c r="A7218" s="23" t="s">
        <v>8000</v>
      </c>
      <c r="B7218" t="s">
        <v>7712</v>
      </c>
      <c r="C7218">
        <v>1</v>
      </c>
      <c r="D7218" s="55" t="str">
        <f t="shared" si="1296"/>
        <v>Member City Council*5(vote 1)</v>
      </c>
      <c r="E7218" t="s">
        <v>7722</v>
      </c>
      <c r="F7218" t="s">
        <v>7714</v>
      </c>
      <c r="G7218" s="254">
        <v>190</v>
      </c>
      <c r="H7218"/>
      <c r="J7218" s="7"/>
      <c r="K7218" s="2"/>
      <c r="O7218">
        <f t="shared" si="1297"/>
        <v>3</v>
      </c>
      <c r="P7218" s="57">
        <f t="shared" si="1298"/>
        <v>1</v>
      </c>
      <c r="Q7218" s="267">
        <f t="shared" si="1299"/>
        <v>190</v>
      </c>
      <c r="R7218" s="23" t="str">
        <f t="shared" si="1300"/>
        <v/>
      </c>
      <c r="S7218" s="23">
        <f t="shared" si="1301"/>
        <v>190</v>
      </c>
      <c r="T7218" s="23" t="str">
        <f t="shared" si="1302"/>
        <v/>
      </c>
      <c r="U7218" t="str">
        <f t="shared" si="1303"/>
        <v/>
      </c>
      <c r="V7218" s="376"/>
      <c r="W7218" s="53"/>
      <c r="X7218" s="53"/>
      <c r="Y7218"/>
      <c r="Z7218"/>
      <c r="AA7218" s="23"/>
      <c r="AB7218"/>
      <c r="AC7218" s="272"/>
      <c r="AD7218" s="272"/>
      <c r="AE7218" s="273"/>
      <c r="AM7218" s="29"/>
      <c r="AN7218"/>
      <c r="AO7218"/>
      <c r="AP7218"/>
      <c r="AQ7218" s="29"/>
      <c r="AR7218" s="29"/>
      <c r="AS7218" s="29"/>
      <c r="AT7218"/>
      <c r="AV7218"/>
      <c r="AW7218"/>
    </row>
    <row r="7219" spans="1:49">
      <c r="A7219" s="23" t="s">
        <v>8001</v>
      </c>
      <c r="B7219" t="s">
        <v>7712</v>
      </c>
      <c r="C7219">
        <v>1</v>
      </c>
      <c r="D7219" s="55" t="str">
        <f t="shared" si="1296"/>
        <v>Member City Council*6(vote 1)</v>
      </c>
      <c r="E7219" t="s">
        <v>7814</v>
      </c>
      <c r="F7219" t="s">
        <v>1294</v>
      </c>
      <c r="G7219" s="254">
        <v>13247</v>
      </c>
      <c r="H7219"/>
      <c r="J7219" s="7"/>
      <c r="K7219" s="2"/>
      <c r="O7219">
        <f t="shared" si="1297"/>
        <v>1</v>
      </c>
      <c r="P7219" s="57">
        <f t="shared" si="1298"/>
        <v>1</v>
      </c>
      <c r="Q7219" s="267">
        <f t="shared" si="1299"/>
        <v>14742</v>
      </c>
      <c r="R7219" s="23">
        <f t="shared" si="1300"/>
        <v>13247</v>
      </c>
      <c r="S7219" s="23">
        <f t="shared" si="1301"/>
        <v>1421</v>
      </c>
      <c r="T7219" s="23">
        <f t="shared" si="1302"/>
        <v>11826</v>
      </c>
      <c r="U7219" t="str">
        <f t="shared" si="1303"/>
        <v>MD_2020g~Cnty3:Member City Council*6(vote 1)</v>
      </c>
      <c r="V7219" s="376"/>
      <c r="W7219" s="53"/>
      <c r="X7219" s="53"/>
      <c r="Y7219"/>
      <c r="Z7219"/>
      <c r="AA7219" s="23"/>
      <c r="AB7219"/>
      <c r="AC7219" s="272"/>
      <c r="AD7219" s="272"/>
      <c r="AE7219" s="273"/>
      <c r="AM7219" s="29"/>
      <c r="AN7219"/>
      <c r="AO7219"/>
      <c r="AP7219"/>
      <c r="AQ7219" s="29"/>
      <c r="AR7219" s="29"/>
      <c r="AS7219" s="29"/>
      <c r="AT7219"/>
      <c r="AV7219"/>
      <c r="AW7219"/>
    </row>
    <row r="7220" spans="1:49">
      <c r="A7220" s="23" t="s">
        <v>8001</v>
      </c>
      <c r="B7220" t="s">
        <v>7712</v>
      </c>
      <c r="C7220">
        <v>1</v>
      </c>
      <c r="D7220" s="55" t="str">
        <f t="shared" si="1296"/>
        <v>Member City Council*6(vote 1)</v>
      </c>
      <c r="E7220" t="s">
        <v>7815</v>
      </c>
      <c r="F7220" t="s">
        <v>1296</v>
      </c>
      <c r="G7220" s="254">
        <v>1421</v>
      </c>
      <c r="H7220"/>
      <c r="J7220" s="7"/>
      <c r="K7220" s="2"/>
      <c r="O7220">
        <f t="shared" si="1297"/>
        <v>2</v>
      </c>
      <c r="P7220" s="57">
        <f t="shared" si="1298"/>
        <v>1</v>
      </c>
      <c r="Q7220" s="267">
        <f t="shared" si="1299"/>
        <v>1495</v>
      </c>
      <c r="R7220" s="23" t="str">
        <f t="shared" si="1300"/>
        <v/>
      </c>
      <c r="S7220" s="23">
        <f t="shared" si="1301"/>
        <v>1421</v>
      </c>
      <c r="T7220" s="23" t="str">
        <f t="shared" si="1302"/>
        <v/>
      </c>
      <c r="U7220" t="str">
        <f t="shared" si="1303"/>
        <v/>
      </c>
      <c r="V7220" s="376"/>
      <c r="W7220" s="53"/>
      <c r="X7220" s="53"/>
      <c r="Y7220"/>
      <c r="Z7220"/>
      <c r="AA7220" s="23"/>
      <c r="AB7220"/>
      <c r="AC7220" s="272"/>
      <c r="AD7220" s="272"/>
      <c r="AE7220" s="273"/>
      <c r="AM7220" s="29"/>
      <c r="AN7220"/>
      <c r="AO7220"/>
      <c r="AP7220"/>
      <c r="AQ7220" s="29"/>
      <c r="AR7220" s="29"/>
      <c r="AS7220" s="29"/>
      <c r="AT7220"/>
      <c r="AV7220"/>
      <c r="AW7220"/>
    </row>
    <row r="7221" spans="1:49">
      <c r="A7221" s="23" t="s">
        <v>8001</v>
      </c>
      <c r="B7221" t="s">
        <v>7712</v>
      </c>
      <c r="C7221">
        <v>1</v>
      </c>
      <c r="D7221" s="55" t="str">
        <f t="shared" si="1296"/>
        <v>Member City Council*6(vote 1)</v>
      </c>
      <c r="E7221" t="s">
        <v>7722</v>
      </c>
      <c r="F7221" t="s">
        <v>7714</v>
      </c>
      <c r="G7221" s="254">
        <v>74</v>
      </c>
      <c r="H7221"/>
      <c r="J7221" s="7"/>
      <c r="K7221" s="2"/>
      <c r="O7221">
        <f t="shared" si="1297"/>
        <v>3</v>
      </c>
      <c r="P7221" s="57">
        <f t="shared" si="1298"/>
        <v>1</v>
      </c>
      <c r="Q7221" s="267">
        <f t="shared" si="1299"/>
        <v>74</v>
      </c>
      <c r="R7221" s="23" t="str">
        <f t="shared" si="1300"/>
        <v/>
      </c>
      <c r="S7221" s="23">
        <f t="shared" si="1301"/>
        <v>74</v>
      </c>
      <c r="T7221" s="23" t="str">
        <f t="shared" si="1302"/>
        <v/>
      </c>
      <c r="U7221" t="str">
        <f t="shared" si="1303"/>
        <v/>
      </c>
      <c r="V7221" s="376"/>
      <c r="W7221" s="53"/>
      <c r="X7221" s="53"/>
      <c r="Y7221"/>
      <c r="Z7221"/>
      <c r="AA7221" s="23"/>
      <c r="AB7221"/>
      <c r="AC7221" s="272"/>
      <c r="AD7221" s="272"/>
      <c r="AE7221" s="273"/>
      <c r="AM7221" s="29"/>
      <c r="AN7221"/>
      <c r="AO7221"/>
      <c r="AP7221"/>
      <c r="AQ7221" s="29"/>
      <c r="AR7221" s="29"/>
      <c r="AS7221" s="29"/>
      <c r="AT7221"/>
      <c r="AV7221"/>
      <c r="AW7221"/>
    </row>
    <row r="7222" spans="1:49">
      <c r="A7222" s="23" t="s">
        <v>8002</v>
      </c>
      <c r="B7222" t="s">
        <v>7712</v>
      </c>
      <c r="C7222">
        <v>1</v>
      </c>
      <c r="D7222" s="55" t="str">
        <f t="shared" si="1296"/>
        <v>Member City Council*7(vote 1)</v>
      </c>
      <c r="E7222" t="s">
        <v>7816</v>
      </c>
      <c r="F7222" t="s">
        <v>1294</v>
      </c>
      <c r="G7222" s="254">
        <v>13643</v>
      </c>
      <c r="H7222"/>
      <c r="J7222" s="7"/>
      <c r="K7222" s="2"/>
      <c r="O7222">
        <f t="shared" si="1297"/>
        <v>1</v>
      </c>
      <c r="P7222" s="57">
        <f t="shared" si="1298"/>
        <v>1</v>
      </c>
      <c r="Q7222" s="267">
        <f t="shared" si="1299"/>
        <v>15144</v>
      </c>
      <c r="R7222" s="23">
        <f t="shared" si="1300"/>
        <v>13643</v>
      </c>
      <c r="S7222" s="23">
        <f t="shared" si="1301"/>
        <v>1438</v>
      </c>
      <c r="T7222" s="23">
        <f t="shared" si="1302"/>
        <v>12205</v>
      </c>
      <c r="U7222" t="str">
        <f t="shared" si="1303"/>
        <v>MD_2020g~Cnty3:Member City Council*7(vote 1)</v>
      </c>
      <c r="V7222" s="376"/>
      <c r="W7222" s="53"/>
      <c r="X7222" s="53"/>
      <c r="Y7222"/>
      <c r="Z7222"/>
      <c r="AA7222" s="23"/>
      <c r="AB7222"/>
      <c r="AC7222" s="272"/>
      <c r="AD7222" s="272"/>
      <c r="AE7222" s="273"/>
      <c r="AM7222" s="29"/>
      <c r="AN7222"/>
      <c r="AO7222"/>
      <c r="AP7222"/>
      <c r="AQ7222" s="29"/>
      <c r="AR7222" s="29"/>
      <c r="AS7222" s="29"/>
      <c r="AT7222"/>
      <c r="AV7222"/>
      <c r="AW7222"/>
    </row>
    <row r="7223" spans="1:49">
      <c r="A7223" s="23" t="s">
        <v>8002</v>
      </c>
      <c r="B7223" t="s">
        <v>7712</v>
      </c>
      <c r="C7223">
        <v>1</v>
      </c>
      <c r="D7223" s="55" t="str">
        <f t="shared" si="1296"/>
        <v>Member City Council*7(vote 1)</v>
      </c>
      <c r="E7223" t="s">
        <v>7817</v>
      </c>
      <c r="F7223" t="s">
        <v>1296</v>
      </c>
      <c r="G7223" s="254">
        <v>1438</v>
      </c>
      <c r="H7223"/>
      <c r="J7223" s="7"/>
      <c r="K7223" s="2"/>
      <c r="O7223">
        <f t="shared" si="1297"/>
        <v>2</v>
      </c>
      <c r="P7223" s="57">
        <f t="shared" si="1298"/>
        <v>1</v>
      </c>
      <c r="Q7223" s="267">
        <f t="shared" si="1299"/>
        <v>1501</v>
      </c>
      <c r="R7223" s="23" t="str">
        <f t="shared" si="1300"/>
        <v/>
      </c>
      <c r="S7223" s="23">
        <f t="shared" si="1301"/>
        <v>1438</v>
      </c>
      <c r="T7223" s="23" t="str">
        <f t="shared" si="1302"/>
        <v/>
      </c>
      <c r="U7223" t="str">
        <f t="shared" si="1303"/>
        <v/>
      </c>
      <c r="V7223" s="376"/>
      <c r="W7223" s="53"/>
      <c r="X7223" s="53"/>
      <c r="Y7223"/>
      <c r="Z7223"/>
      <c r="AA7223" s="23"/>
      <c r="AB7223"/>
      <c r="AC7223" s="272"/>
      <c r="AD7223" s="272"/>
      <c r="AE7223" s="273"/>
      <c r="AM7223" s="29"/>
      <c r="AN7223"/>
      <c r="AO7223"/>
      <c r="AP7223"/>
      <c r="AQ7223" s="29"/>
      <c r="AR7223" s="29"/>
      <c r="AS7223" s="29"/>
      <c r="AT7223"/>
      <c r="AV7223"/>
      <c r="AW7223"/>
    </row>
    <row r="7224" spans="1:49">
      <c r="A7224" s="23" t="s">
        <v>8002</v>
      </c>
      <c r="B7224" t="s">
        <v>7712</v>
      </c>
      <c r="C7224">
        <v>1</v>
      </c>
      <c r="D7224" s="55" t="str">
        <f t="shared" si="1296"/>
        <v>Member City Council*7(vote 1)</v>
      </c>
      <c r="E7224" t="s">
        <v>7722</v>
      </c>
      <c r="F7224" t="s">
        <v>7714</v>
      </c>
      <c r="G7224" s="254">
        <v>63</v>
      </c>
      <c r="H7224"/>
      <c r="J7224" s="7"/>
      <c r="K7224" s="2"/>
      <c r="O7224">
        <f t="shared" si="1297"/>
        <v>3</v>
      </c>
      <c r="P7224" s="57">
        <f t="shared" si="1298"/>
        <v>1</v>
      </c>
      <c r="Q7224" s="267">
        <f t="shared" si="1299"/>
        <v>63</v>
      </c>
      <c r="R7224" s="23" t="str">
        <f t="shared" si="1300"/>
        <v/>
      </c>
      <c r="S7224" s="23">
        <f t="shared" si="1301"/>
        <v>63</v>
      </c>
      <c r="T7224" s="23" t="str">
        <f t="shared" si="1302"/>
        <v/>
      </c>
      <c r="U7224" t="str">
        <f t="shared" si="1303"/>
        <v/>
      </c>
      <c r="V7224" s="376"/>
      <c r="W7224" s="53"/>
      <c r="X7224" s="53"/>
      <c r="Y7224"/>
      <c r="Z7224"/>
      <c r="AA7224" s="23"/>
      <c r="AB7224"/>
      <c r="AC7224" s="272"/>
      <c r="AD7224" s="272"/>
      <c r="AE7224" s="273"/>
      <c r="AM7224" s="29"/>
      <c r="AN7224"/>
      <c r="AO7224"/>
      <c r="AP7224"/>
      <c r="AQ7224" s="29"/>
      <c r="AR7224" s="29"/>
      <c r="AS7224" s="29"/>
      <c r="AT7224"/>
      <c r="AV7224"/>
      <c r="AW7224"/>
    </row>
    <row r="7225" spans="1:49">
      <c r="A7225" s="23" t="s">
        <v>8003</v>
      </c>
      <c r="B7225" t="s">
        <v>7712</v>
      </c>
      <c r="C7225">
        <v>1</v>
      </c>
      <c r="D7225" s="55" t="str">
        <f t="shared" si="1296"/>
        <v>Member City Council*8(vote 1)</v>
      </c>
      <c r="E7225" t="s">
        <v>7818</v>
      </c>
      <c r="F7225" t="s">
        <v>1294</v>
      </c>
      <c r="G7225" s="254">
        <v>15816</v>
      </c>
      <c r="H7225"/>
      <c r="J7225" s="7"/>
      <c r="K7225" s="2"/>
      <c r="O7225">
        <f t="shared" si="1297"/>
        <v>1</v>
      </c>
      <c r="P7225" s="57">
        <f t="shared" si="1298"/>
        <v>1</v>
      </c>
      <c r="Q7225" s="267">
        <f t="shared" si="1299"/>
        <v>15936</v>
      </c>
      <c r="R7225" s="23">
        <f t="shared" si="1300"/>
        <v>15816</v>
      </c>
      <c r="S7225" s="23">
        <f t="shared" si="1301"/>
        <v>120</v>
      </c>
      <c r="T7225" s="23">
        <f t="shared" si="1302"/>
        <v>15696</v>
      </c>
      <c r="U7225" t="str">
        <f t="shared" si="1303"/>
        <v>MD_2020g~Cnty3:Member City Council*8(vote 1)</v>
      </c>
      <c r="V7225" s="376"/>
      <c r="W7225" s="53"/>
      <c r="X7225" s="53"/>
      <c r="Y7225"/>
      <c r="Z7225"/>
      <c r="AA7225" s="23"/>
      <c r="AB7225"/>
      <c r="AC7225" s="272"/>
      <c r="AD7225" s="272"/>
      <c r="AE7225" s="273"/>
      <c r="AM7225" s="29"/>
      <c r="AN7225"/>
      <c r="AO7225"/>
      <c r="AP7225"/>
      <c r="AQ7225" s="29"/>
      <c r="AR7225" s="29"/>
      <c r="AS7225" s="29"/>
      <c r="AT7225"/>
      <c r="AV7225"/>
      <c r="AW7225"/>
    </row>
    <row r="7226" spans="1:49">
      <c r="A7226" s="23" t="s">
        <v>8003</v>
      </c>
      <c r="B7226" t="s">
        <v>7712</v>
      </c>
      <c r="C7226">
        <v>1</v>
      </c>
      <c r="D7226" s="55" t="str">
        <f t="shared" si="1296"/>
        <v>Member City Council*8(vote 1)</v>
      </c>
      <c r="E7226" t="s">
        <v>7722</v>
      </c>
      <c r="F7226" t="s">
        <v>7714</v>
      </c>
      <c r="G7226" s="254">
        <v>120</v>
      </c>
      <c r="H7226"/>
      <c r="J7226" s="7"/>
      <c r="K7226" s="2"/>
      <c r="O7226">
        <f t="shared" si="1297"/>
        <v>2</v>
      </c>
      <c r="P7226" s="57">
        <f t="shared" si="1298"/>
        <v>1</v>
      </c>
      <c r="Q7226" s="267">
        <f t="shared" si="1299"/>
        <v>120</v>
      </c>
      <c r="R7226" s="23" t="str">
        <f t="shared" si="1300"/>
        <v/>
      </c>
      <c r="S7226" s="23">
        <f t="shared" si="1301"/>
        <v>120</v>
      </c>
      <c r="T7226" s="23" t="str">
        <f t="shared" si="1302"/>
        <v/>
      </c>
      <c r="U7226" t="str">
        <f t="shared" si="1303"/>
        <v/>
      </c>
      <c r="V7226" s="376"/>
      <c r="W7226" s="53"/>
      <c r="X7226" s="53"/>
      <c r="Y7226"/>
      <c r="Z7226"/>
      <c r="AA7226" s="23"/>
      <c r="AB7226"/>
      <c r="AC7226" s="272"/>
      <c r="AD7226" s="272"/>
      <c r="AE7226" s="273"/>
      <c r="AM7226" s="29"/>
      <c r="AN7226"/>
      <c r="AO7226"/>
      <c r="AP7226"/>
      <c r="AQ7226" s="29"/>
      <c r="AR7226" s="29"/>
      <c r="AS7226" s="29"/>
      <c r="AT7226"/>
      <c r="AV7226"/>
      <c r="AW7226"/>
    </row>
    <row r="7227" spans="1:49">
      <c r="A7227" s="23" t="s">
        <v>8004</v>
      </c>
      <c r="B7227" t="s">
        <v>7712</v>
      </c>
      <c r="C7227">
        <v>1</v>
      </c>
      <c r="D7227" s="55" t="str">
        <f t="shared" si="1296"/>
        <v>Member City Council*9(vote 1)</v>
      </c>
      <c r="E7227" t="s">
        <v>7819</v>
      </c>
      <c r="F7227" t="s">
        <v>1294</v>
      </c>
      <c r="G7227" s="254">
        <v>9614</v>
      </c>
      <c r="H7227"/>
      <c r="J7227" s="7"/>
      <c r="K7227" s="2"/>
      <c r="O7227">
        <f t="shared" si="1297"/>
        <v>1</v>
      </c>
      <c r="P7227" s="57">
        <f t="shared" si="1298"/>
        <v>1</v>
      </c>
      <c r="Q7227" s="267">
        <f t="shared" si="1299"/>
        <v>9778</v>
      </c>
      <c r="R7227" s="23">
        <f t="shared" si="1300"/>
        <v>9614</v>
      </c>
      <c r="S7227" s="23">
        <f t="shared" si="1301"/>
        <v>164</v>
      </c>
      <c r="T7227" s="23">
        <f t="shared" si="1302"/>
        <v>9450</v>
      </c>
      <c r="U7227" t="str">
        <f t="shared" si="1303"/>
        <v>MD_2020g~Cnty3:Member City Council*9(vote 1)</v>
      </c>
      <c r="V7227" s="376"/>
      <c r="W7227" s="53"/>
      <c r="X7227" s="53"/>
      <c r="Y7227"/>
      <c r="Z7227"/>
      <c r="AA7227" s="23"/>
      <c r="AB7227"/>
      <c r="AC7227" s="272"/>
      <c r="AD7227" s="272"/>
      <c r="AE7227" s="273"/>
      <c r="AM7227" s="29"/>
      <c r="AN7227"/>
      <c r="AO7227"/>
      <c r="AP7227"/>
      <c r="AQ7227" s="29"/>
      <c r="AR7227" s="29"/>
      <c r="AS7227" s="29"/>
      <c r="AT7227"/>
      <c r="AV7227"/>
      <c r="AW7227"/>
    </row>
    <row r="7228" spans="1:49">
      <c r="A7228" s="23" t="s">
        <v>8004</v>
      </c>
      <c r="B7228" t="s">
        <v>7712</v>
      </c>
      <c r="C7228">
        <v>1</v>
      </c>
      <c r="D7228" s="55" t="str">
        <f t="shared" si="1296"/>
        <v>Member City Council*9(vote 1)</v>
      </c>
      <c r="E7228" t="s">
        <v>7722</v>
      </c>
      <c r="F7228" t="s">
        <v>7714</v>
      </c>
      <c r="G7228" s="254">
        <v>164</v>
      </c>
      <c r="H7228"/>
      <c r="J7228" s="7"/>
      <c r="K7228" s="2"/>
      <c r="O7228">
        <f t="shared" si="1297"/>
        <v>2</v>
      </c>
      <c r="P7228" s="57">
        <f t="shared" si="1298"/>
        <v>1</v>
      </c>
      <c r="Q7228" s="267">
        <f t="shared" si="1299"/>
        <v>164</v>
      </c>
      <c r="R7228" s="23" t="str">
        <f t="shared" si="1300"/>
        <v/>
      </c>
      <c r="S7228" s="23">
        <f t="shared" si="1301"/>
        <v>164</v>
      </c>
      <c r="T7228" s="23" t="str">
        <f t="shared" si="1302"/>
        <v/>
      </c>
      <c r="U7228" t="str">
        <f t="shared" si="1303"/>
        <v/>
      </c>
      <c r="V7228" s="376"/>
      <c r="W7228" s="53"/>
      <c r="X7228" s="53"/>
      <c r="Y7228"/>
      <c r="Z7228"/>
      <c r="AA7228" s="23"/>
      <c r="AB7228"/>
      <c r="AC7228" s="272"/>
      <c r="AD7228" s="272"/>
      <c r="AE7228" s="273"/>
      <c r="AM7228" s="29"/>
      <c r="AN7228"/>
      <c r="AO7228"/>
      <c r="AP7228"/>
      <c r="AQ7228" s="29"/>
      <c r="AR7228" s="29"/>
      <c r="AS7228" s="29"/>
      <c r="AT7228"/>
      <c r="AV7228"/>
      <c r="AW7228"/>
    </row>
    <row r="7229" spans="1:49">
      <c r="A7229" s="23" t="s">
        <v>8010</v>
      </c>
      <c r="B7229" t="s">
        <v>7712</v>
      </c>
      <c r="C7229">
        <v>1</v>
      </c>
      <c r="D7229" s="55" t="str">
        <f t="shared" si="1296"/>
        <v>President City Council*(vote 1)</v>
      </c>
      <c r="E7229" t="s">
        <v>7829</v>
      </c>
      <c r="F7229" t="s">
        <v>1294</v>
      </c>
      <c r="G7229" s="254">
        <v>178689</v>
      </c>
      <c r="H7229"/>
      <c r="J7229" s="7"/>
      <c r="K7229" s="2"/>
      <c r="O7229">
        <f t="shared" si="1297"/>
        <v>1</v>
      </c>
      <c r="P7229" s="57">
        <f t="shared" si="1298"/>
        <v>1</v>
      </c>
      <c r="Q7229" s="267">
        <f t="shared" si="1299"/>
        <v>224678</v>
      </c>
      <c r="R7229" s="23">
        <f t="shared" si="1300"/>
        <v>178689</v>
      </c>
      <c r="S7229" s="23">
        <f t="shared" si="1301"/>
        <v>42628</v>
      </c>
      <c r="T7229" s="23">
        <f t="shared" si="1302"/>
        <v>136061</v>
      </c>
      <c r="U7229" t="str">
        <f t="shared" si="1303"/>
        <v>MD_2020g~Cnty3:President City Council*(vote 1)</v>
      </c>
      <c r="V7229" s="376"/>
      <c r="W7229" s="53"/>
      <c r="X7229" s="53"/>
      <c r="Y7229"/>
      <c r="Z7229"/>
      <c r="AA7229" s="23"/>
      <c r="AB7229"/>
      <c r="AC7229" s="272"/>
      <c r="AD7229" s="272"/>
      <c r="AE7229" s="273"/>
      <c r="AM7229" s="29"/>
      <c r="AN7229"/>
      <c r="AO7229"/>
      <c r="AP7229"/>
      <c r="AQ7229" s="29"/>
      <c r="AR7229" s="29"/>
      <c r="AS7229" s="29"/>
      <c r="AT7229"/>
      <c r="AV7229"/>
      <c r="AW7229"/>
    </row>
    <row r="7230" spans="1:49">
      <c r="A7230" s="23" t="s">
        <v>8010</v>
      </c>
      <c r="B7230" t="s">
        <v>7712</v>
      </c>
      <c r="C7230">
        <v>1</v>
      </c>
      <c r="D7230" s="55" t="str">
        <f t="shared" si="1296"/>
        <v>President City Council*(vote 1)</v>
      </c>
      <c r="E7230" t="s">
        <v>7830</v>
      </c>
      <c r="F7230" t="s">
        <v>1296</v>
      </c>
      <c r="G7230" s="254">
        <v>42628</v>
      </c>
      <c r="H7230"/>
      <c r="J7230" s="7"/>
      <c r="K7230" s="2"/>
      <c r="O7230">
        <f t="shared" si="1297"/>
        <v>2</v>
      </c>
      <c r="P7230" s="57">
        <f t="shared" si="1298"/>
        <v>1</v>
      </c>
      <c r="Q7230" s="267">
        <f t="shared" si="1299"/>
        <v>45989</v>
      </c>
      <c r="R7230" s="23" t="str">
        <f t="shared" si="1300"/>
        <v/>
      </c>
      <c r="S7230" s="23">
        <f t="shared" si="1301"/>
        <v>42628</v>
      </c>
      <c r="T7230" s="23" t="str">
        <f t="shared" si="1302"/>
        <v/>
      </c>
      <c r="U7230" t="str">
        <f t="shared" si="1303"/>
        <v/>
      </c>
      <c r="V7230" s="376"/>
      <c r="W7230" s="53"/>
      <c r="X7230" s="53"/>
      <c r="Y7230"/>
      <c r="Z7230"/>
      <c r="AA7230" s="23"/>
      <c r="AB7230"/>
      <c r="AC7230" s="272"/>
      <c r="AD7230" s="272"/>
      <c r="AE7230" s="273"/>
      <c r="AM7230" s="29"/>
      <c r="AN7230"/>
      <c r="AO7230"/>
      <c r="AP7230"/>
      <c r="AQ7230" s="29"/>
      <c r="AR7230" s="29"/>
      <c r="AS7230" s="29"/>
      <c r="AT7230"/>
      <c r="AV7230"/>
      <c r="AW7230"/>
    </row>
    <row r="7231" spans="1:49">
      <c r="A7231" s="23" t="s">
        <v>8010</v>
      </c>
      <c r="B7231" t="s">
        <v>7712</v>
      </c>
      <c r="C7231">
        <v>1</v>
      </c>
      <c r="D7231" s="55" t="str">
        <f t="shared" si="1296"/>
        <v>President City Council*(vote 1)</v>
      </c>
      <c r="E7231" t="s">
        <v>7722</v>
      </c>
      <c r="F7231" t="s">
        <v>7714</v>
      </c>
      <c r="G7231" s="254">
        <v>3361</v>
      </c>
      <c r="H7231"/>
      <c r="J7231" s="7"/>
      <c r="K7231" s="2"/>
      <c r="O7231">
        <f t="shared" si="1297"/>
        <v>3</v>
      </c>
      <c r="P7231" s="57">
        <f t="shared" si="1298"/>
        <v>1</v>
      </c>
      <c r="Q7231" s="267">
        <f t="shared" si="1299"/>
        <v>3361</v>
      </c>
      <c r="R7231" s="23" t="str">
        <f t="shared" si="1300"/>
        <v/>
      </c>
      <c r="S7231" s="23">
        <f t="shared" si="1301"/>
        <v>3361</v>
      </c>
      <c r="T7231" s="23" t="str">
        <f t="shared" si="1302"/>
        <v/>
      </c>
      <c r="U7231" t="str">
        <f t="shared" si="1303"/>
        <v/>
      </c>
      <c r="V7231" s="376"/>
      <c r="W7231" s="53"/>
      <c r="X7231" s="53"/>
      <c r="Y7231"/>
      <c r="Z7231"/>
      <c r="AA7231" s="23"/>
      <c r="AB7231"/>
      <c r="AC7231" s="272"/>
      <c r="AD7231" s="272"/>
      <c r="AE7231" s="273"/>
      <c r="AM7231" s="29"/>
      <c r="AN7231"/>
      <c r="AO7231"/>
      <c r="AP7231"/>
      <c r="AQ7231" s="29"/>
      <c r="AR7231" s="29"/>
      <c r="AS7231" s="29"/>
      <c r="AT7231"/>
      <c r="AV7231"/>
      <c r="AW7231"/>
    </row>
    <row r="7232" spans="1:49">
      <c r="A7232" s="23" t="s">
        <v>8011</v>
      </c>
      <c r="B7232" t="s">
        <v>7712</v>
      </c>
      <c r="C7232">
        <v>1</v>
      </c>
      <c r="D7232" s="55" t="str">
        <f t="shared" si="1296"/>
        <v>Judge of the Circuit Court*3(vote 2)</v>
      </c>
      <c r="E7232" t="s">
        <v>7831</v>
      </c>
      <c r="F7232" t="s">
        <v>7714</v>
      </c>
      <c r="G7232" s="254">
        <v>269907</v>
      </c>
      <c r="H7232"/>
      <c r="J7232" s="7"/>
      <c r="K7232" s="2"/>
      <c r="O7232">
        <f t="shared" si="1297"/>
        <v>1</v>
      </c>
      <c r="P7232" s="57">
        <f t="shared" si="1298"/>
        <v>2</v>
      </c>
      <c r="Q7232" s="267">
        <f t="shared" si="1299"/>
        <v>269907</v>
      </c>
      <c r="R7232" s="23">
        <f t="shared" si="1300"/>
        <v>224726</v>
      </c>
      <c r="S7232" s="23">
        <f t="shared" si="1301"/>
        <v>4044</v>
      </c>
      <c r="T7232" s="23">
        <f t="shared" si="1302"/>
        <v>220682</v>
      </c>
      <c r="U7232" t="str">
        <f t="shared" si="1303"/>
        <v>MD_2020g~Cnty4:Judge of the Circuit Court*3(vote 2)</v>
      </c>
      <c r="V7232" s="376"/>
      <c r="W7232" s="53"/>
      <c r="X7232" s="53"/>
      <c r="Y7232"/>
      <c r="Z7232"/>
      <c r="AA7232" s="23"/>
      <c r="AB7232"/>
      <c r="AC7232" s="272"/>
      <c r="AD7232" s="272"/>
      <c r="AE7232" s="273"/>
      <c r="AM7232" s="29"/>
      <c r="AN7232"/>
      <c r="AO7232"/>
      <c r="AP7232"/>
      <c r="AQ7232" s="29"/>
      <c r="AR7232" s="29"/>
      <c r="AS7232" s="29"/>
      <c r="AT7232"/>
      <c r="AV7232"/>
      <c r="AW7232"/>
    </row>
    <row r="7233" spans="1:49">
      <c r="A7233" s="23" t="s">
        <v>8011</v>
      </c>
      <c r="B7233" t="s">
        <v>7712</v>
      </c>
      <c r="C7233">
        <v>1</v>
      </c>
      <c r="D7233" s="55" t="str">
        <f t="shared" si="1296"/>
        <v>Judge of the Circuit Court*3(vote 2)</v>
      </c>
      <c r="E7233" t="s">
        <v>7832</v>
      </c>
      <c r="F7233" t="s">
        <v>7714</v>
      </c>
      <c r="G7233" s="254">
        <v>224726</v>
      </c>
      <c r="H7233"/>
      <c r="J7233" s="7"/>
      <c r="K7233" s="2"/>
      <c r="O7233">
        <f t="shared" si="1297"/>
        <v>2</v>
      </c>
      <c r="P7233" s="57">
        <f t="shared" si="1298"/>
        <v>2</v>
      </c>
      <c r="Q7233" s="267">
        <f t="shared" si="1299"/>
        <v>228770</v>
      </c>
      <c r="R7233" s="23">
        <f t="shared" si="1300"/>
        <v>224726</v>
      </c>
      <c r="S7233" s="23">
        <f t="shared" si="1301"/>
        <v>4044</v>
      </c>
      <c r="T7233" s="23" t="str">
        <f t="shared" si="1302"/>
        <v/>
      </c>
      <c r="U7233" t="str">
        <f t="shared" si="1303"/>
        <v/>
      </c>
      <c r="V7233" s="376"/>
      <c r="W7233" s="53"/>
      <c r="X7233" s="53"/>
      <c r="Y7233"/>
      <c r="Z7233"/>
      <c r="AA7233" s="23"/>
      <c r="AB7233"/>
      <c r="AC7233" s="272"/>
      <c r="AD7233" s="272"/>
      <c r="AE7233" s="273"/>
      <c r="AM7233" s="29"/>
      <c r="AN7233"/>
      <c r="AO7233"/>
      <c r="AP7233"/>
      <c r="AQ7233" s="29"/>
      <c r="AR7233" s="29"/>
      <c r="AS7233" s="29"/>
      <c r="AT7233"/>
      <c r="AV7233"/>
      <c r="AW7233"/>
    </row>
    <row r="7234" spans="1:49">
      <c r="A7234" s="23" t="s">
        <v>8011</v>
      </c>
      <c r="B7234" t="s">
        <v>7712</v>
      </c>
      <c r="C7234">
        <v>1</v>
      </c>
      <c r="D7234" s="55" t="str">
        <f t="shared" si="1296"/>
        <v>Judge of the Circuit Court*3(vote 2)</v>
      </c>
      <c r="E7234" t="s">
        <v>7722</v>
      </c>
      <c r="F7234" t="s">
        <v>7714</v>
      </c>
      <c r="G7234" s="254">
        <v>4044</v>
      </c>
      <c r="H7234"/>
      <c r="J7234" s="7"/>
      <c r="K7234" s="2"/>
      <c r="O7234">
        <f t="shared" si="1297"/>
        <v>3</v>
      </c>
      <c r="P7234" s="57">
        <f t="shared" si="1298"/>
        <v>2</v>
      </c>
      <c r="Q7234" s="267">
        <f t="shared" si="1299"/>
        <v>4044</v>
      </c>
      <c r="R7234" s="23" t="str">
        <f t="shared" si="1300"/>
        <v/>
      </c>
      <c r="S7234" s="23">
        <f t="shared" si="1301"/>
        <v>4044</v>
      </c>
      <c r="T7234" s="23" t="str">
        <f t="shared" si="1302"/>
        <v/>
      </c>
      <c r="U7234" t="str">
        <f t="shared" si="1303"/>
        <v/>
      </c>
      <c r="V7234" s="376"/>
      <c r="W7234" s="53"/>
      <c r="X7234" s="53"/>
      <c r="Y7234"/>
      <c r="Z7234"/>
      <c r="AA7234" s="23"/>
      <c r="AB7234"/>
      <c r="AC7234" s="272"/>
      <c r="AD7234" s="272"/>
      <c r="AE7234" s="273"/>
      <c r="AM7234" s="29"/>
      <c r="AN7234"/>
      <c r="AO7234"/>
      <c r="AP7234"/>
      <c r="AQ7234" s="29"/>
      <c r="AR7234" s="29"/>
      <c r="AS7234" s="29"/>
      <c r="AT7234"/>
      <c r="AV7234"/>
      <c r="AW7234"/>
    </row>
    <row r="7235" spans="1:49">
      <c r="A7235" s="23" t="s">
        <v>8012</v>
      </c>
      <c r="B7235" t="s">
        <v>7712</v>
      </c>
      <c r="C7235">
        <v>1</v>
      </c>
      <c r="D7235" s="55" t="str">
        <f t="shared" si="1296"/>
        <v>Board of Education*1(vote 1)</v>
      </c>
      <c r="E7235" t="s">
        <v>7833</v>
      </c>
      <c r="F7235" t="s">
        <v>1300</v>
      </c>
      <c r="G7235" s="254">
        <v>21719</v>
      </c>
      <c r="H7235"/>
      <c r="J7235" s="7"/>
      <c r="K7235" s="2"/>
      <c r="O7235">
        <f t="shared" si="1297"/>
        <v>1</v>
      </c>
      <c r="P7235" s="57">
        <f t="shared" si="1298"/>
        <v>1</v>
      </c>
      <c r="Q7235" s="267">
        <f t="shared" si="1299"/>
        <v>38030</v>
      </c>
      <c r="R7235" s="23">
        <f t="shared" si="1300"/>
        <v>21719</v>
      </c>
      <c r="S7235" s="23">
        <f t="shared" si="1301"/>
        <v>16029</v>
      </c>
      <c r="T7235" s="23">
        <f t="shared" si="1302"/>
        <v>5690</v>
      </c>
      <c r="U7235" t="str">
        <f t="shared" si="1303"/>
        <v>MD_2020g~Cnty5:Board of Education*1(vote 1)</v>
      </c>
      <c r="V7235" s="376"/>
      <c r="W7235" s="53"/>
      <c r="X7235" s="53"/>
      <c r="Y7235"/>
      <c r="Z7235"/>
      <c r="AA7235" s="23"/>
      <c r="AB7235"/>
      <c r="AC7235" s="272"/>
      <c r="AD7235" s="272"/>
      <c r="AE7235" s="273"/>
      <c r="AM7235" s="29"/>
      <c r="AN7235"/>
      <c r="AO7235"/>
      <c r="AP7235"/>
      <c r="AQ7235" s="29"/>
      <c r="AR7235" s="29"/>
      <c r="AS7235" s="29"/>
      <c r="AT7235"/>
      <c r="AV7235"/>
      <c r="AW7235"/>
    </row>
    <row r="7236" spans="1:49">
      <c r="A7236" s="23" t="s">
        <v>8012</v>
      </c>
      <c r="B7236" t="s">
        <v>7712</v>
      </c>
      <c r="C7236">
        <v>1</v>
      </c>
      <c r="D7236" s="55" t="str">
        <f t="shared" si="1296"/>
        <v>Board of Education*1(vote 1)</v>
      </c>
      <c r="E7236" t="s">
        <v>7834</v>
      </c>
      <c r="F7236" t="s">
        <v>1300</v>
      </c>
      <c r="G7236" s="254">
        <v>16029</v>
      </c>
      <c r="H7236"/>
      <c r="J7236" s="7"/>
      <c r="K7236" s="2"/>
      <c r="O7236">
        <f t="shared" si="1297"/>
        <v>2</v>
      </c>
      <c r="P7236" s="57">
        <f t="shared" si="1298"/>
        <v>1</v>
      </c>
      <c r="Q7236" s="267">
        <f t="shared" si="1299"/>
        <v>16311</v>
      </c>
      <c r="R7236" s="23" t="str">
        <f t="shared" si="1300"/>
        <v/>
      </c>
      <c r="S7236" s="23">
        <f t="shared" si="1301"/>
        <v>16029</v>
      </c>
      <c r="T7236" s="23" t="str">
        <f t="shared" si="1302"/>
        <v/>
      </c>
      <c r="U7236" t="str">
        <f t="shared" si="1303"/>
        <v/>
      </c>
      <c r="V7236" s="376"/>
      <c r="W7236" s="53"/>
      <c r="X7236" s="53"/>
      <c r="Y7236"/>
      <c r="Z7236"/>
      <c r="AA7236" s="23"/>
      <c r="AB7236"/>
      <c r="AC7236" s="272"/>
      <c r="AD7236" s="272"/>
      <c r="AE7236" s="273"/>
      <c r="AM7236" s="29"/>
      <c r="AN7236"/>
      <c r="AO7236"/>
      <c r="AP7236"/>
      <c r="AQ7236" s="29"/>
      <c r="AR7236" s="29"/>
      <c r="AS7236" s="29"/>
      <c r="AT7236"/>
      <c r="AV7236"/>
      <c r="AW7236"/>
    </row>
    <row r="7237" spans="1:49">
      <c r="A7237" s="23" t="s">
        <v>8012</v>
      </c>
      <c r="B7237" t="s">
        <v>7712</v>
      </c>
      <c r="C7237">
        <v>1</v>
      </c>
      <c r="D7237" s="55" t="str">
        <f t="shared" si="1296"/>
        <v>Board of Education*1(vote 1)</v>
      </c>
      <c r="E7237" t="s">
        <v>7722</v>
      </c>
      <c r="F7237" t="s">
        <v>1300</v>
      </c>
      <c r="G7237" s="254">
        <v>282</v>
      </c>
      <c r="H7237"/>
      <c r="J7237" s="7"/>
      <c r="K7237" s="2"/>
      <c r="O7237">
        <f t="shared" si="1297"/>
        <v>3</v>
      </c>
      <c r="P7237" s="57">
        <f t="shared" si="1298"/>
        <v>1</v>
      </c>
      <c r="Q7237" s="267">
        <f t="shared" si="1299"/>
        <v>282</v>
      </c>
      <c r="R7237" s="23" t="str">
        <f t="shared" si="1300"/>
        <v/>
      </c>
      <c r="S7237" s="23">
        <f t="shared" si="1301"/>
        <v>282</v>
      </c>
      <c r="T7237" s="23" t="str">
        <f t="shared" si="1302"/>
        <v/>
      </c>
      <c r="U7237" t="str">
        <f t="shared" si="1303"/>
        <v/>
      </c>
      <c r="V7237" s="376"/>
      <c r="W7237" s="53"/>
      <c r="X7237" s="53"/>
      <c r="Y7237"/>
      <c r="Z7237"/>
      <c r="AA7237" s="23"/>
      <c r="AB7237"/>
      <c r="AC7237" s="272"/>
      <c r="AD7237" s="272"/>
      <c r="AE7237" s="273"/>
      <c r="AM7237" s="29"/>
      <c r="AN7237"/>
      <c r="AO7237"/>
      <c r="AP7237"/>
      <c r="AQ7237" s="29"/>
      <c r="AR7237" s="29"/>
      <c r="AS7237" s="29"/>
      <c r="AT7237"/>
      <c r="AV7237"/>
      <c r="AW7237"/>
    </row>
    <row r="7238" spans="1:49">
      <c r="A7238" s="23" t="s">
        <v>8013</v>
      </c>
      <c r="B7238" t="s">
        <v>7712</v>
      </c>
      <c r="C7238">
        <v>1</v>
      </c>
      <c r="D7238" s="55" t="str">
        <f t="shared" si="1296"/>
        <v>Board of Education*2(vote 1)</v>
      </c>
      <c r="E7238" t="s">
        <v>7835</v>
      </c>
      <c r="F7238" t="s">
        <v>1300</v>
      </c>
      <c r="G7238" s="254">
        <v>20666</v>
      </c>
      <c r="H7238"/>
      <c r="J7238" s="7"/>
      <c r="K7238" s="2"/>
      <c r="O7238">
        <f t="shared" si="1297"/>
        <v>1</v>
      </c>
      <c r="P7238" s="57">
        <f t="shared" si="1298"/>
        <v>1</v>
      </c>
      <c r="Q7238" s="267">
        <f t="shared" si="1299"/>
        <v>38978</v>
      </c>
      <c r="R7238" s="23">
        <f t="shared" si="1300"/>
        <v>20666</v>
      </c>
      <c r="S7238" s="23">
        <f t="shared" si="1301"/>
        <v>16834</v>
      </c>
      <c r="T7238" s="23">
        <f t="shared" si="1302"/>
        <v>3832</v>
      </c>
      <c r="U7238" t="str">
        <f t="shared" si="1303"/>
        <v>MD_2020g~Cnty5:Board of Education*2(vote 1)</v>
      </c>
      <c r="V7238" s="376"/>
      <c r="W7238" s="53"/>
      <c r="X7238" s="53"/>
      <c r="Y7238"/>
      <c r="Z7238"/>
      <c r="AA7238" s="23"/>
      <c r="AB7238"/>
      <c r="AC7238" s="272"/>
      <c r="AD7238" s="272"/>
      <c r="AE7238" s="273"/>
      <c r="AM7238" s="29"/>
      <c r="AN7238"/>
      <c r="AO7238"/>
      <c r="AP7238"/>
      <c r="AQ7238" s="29"/>
      <c r="AR7238" s="29"/>
      <c r="AS7238" s="29"/>
      <c r="AT7238"/>
      <c r="AV7238"/>
      <c r="AW7238"/>
    </row>
    <row r="7239" spans="1:49">
      <c r="A7239" s="23" t="s">
        <v>8013</v>
      </c>
      <c r="B7239" t="s">
        <v>7712</v>
      </c>
      <c r="C7239">
        <v>1</v>
      </c>
      <c r="D7239" s="55" t="str">
        <f t="shared" si="1296"/>
        <v>Board of Education*2(vote 1)</v>
      </c>
      <c r="E7239" t="s">
        <v>7836</v>
      </c>
      <c r="F7239" t="s">
        <v>1300</v>
      </c>
      <c r="G7239" s="254">
        <v>16834</v>
      </c>
      <c r="H7239"/>
      <c r="J7239" s="7"/>
      <c r="K7239" s="2"/>
      <c r="O7239">
        <f t="shared" si="1297"/>
        <v>2</v>
      </c>
      <c r="P7239" s="57">
        <f t="shared" si="1298"/>
        <v>1</v>
      </c>
      <c r="Q7239" s="267">
        <f t="shared" si="1299"/>
        <v>18312</v>
      </c>
      <c r="R7239" s="23" t="str">
        <f t="shared" si="1300"/>
        <v/>
      </c>
      <c r="S7239" s="23">
        <f t="shared" si="1301"/>
        <v>16834</v>
      </c>
      <c r="T7239" s="23" t="str">
        <f t="shared" si="1302"/>
        <v/>
      </c>
      <c r="U7239" t="str">
        <f t="shared" si="1303"/>
        <v/>
      </c>
      <c r="V7239" s="376"/>
      <c r="W7239" s="53"/>
      <c r="X7239" s="53"/>
      <c r="Y7239"/>
      <c r="Z7239"/>
      <c r="AA7239" s="23"/>
      <c r="AB7239"/>
      <c r="AC7239" s="272"/>
      <c r="AD7239" s="272"/>
      <c r="AE7239" s="273"/>
      <c r="AM7239" s="29"/>
      <c r="AN7239"/>
      <c r="AO7239"/>
      <c r="AP7239"/>
      <c r="AQ7239" s="29"/>
      <c r="AR7239" s="29"/>
      <c r="AS7239" s="29"/>
      <c r="AT7239"/>
      <c r="AV7239"/>
      <c r="AW7239"/>
    </row>
    <row r="7240" spans="1:49">
      <c r="A7240" s="23" t="s">
        <v>8013</v>
      </c>
      <c r="B7240" t="s">
        <v>7712</v>
      </c>
      <c r="C7240">
        <v>1</v>
      </c>
      <c r="D7240" s="55" t="str">
        <f t="shared" si="1296"/>
        <v>Board of Education*2(vote 1)</v>
      </c>
      <c r="E7240" t="s">
        <v>7837</v>
      </c>
      <c r="F7240" t="s">
        <v>1300</v>
      </c>
      <c r="G7240" s="254">
        <v>1309</v>
      </c>
      <c r="H7240"/>
      <c r="J7240" s="7"/>
      <c r="K7240" s="2"/>
      <c r="O7240">
        <f t="shared" si="1297"/>
        <v>3</v>
      </c>
      <c r="P7240" s="57">
        <f t="shared" si="1298"/>
        <v>1</v>
      </c>
      <c r="Q7240" s="267">
        <f t="shared" si="1299"/>
        <v>1478</v>
      </c>
      <c r="R7240" s="23" t="str">
        <f t="shared" si="1300"/>
        <v/>
      </c>
      <c r="S7240" s="23">
        <f t="shared" si="1301"/>
        <v>1309</v>
      </c>
      <c r="T7240" s="23" t="str">
        <f t="shared" si="1302"/>
        <v/>
      </c>
      <c r="U7240" t="str">
        <f t="shared" si="1303"/>
        <v/>
      </c>
      <c r="V7240" s="376"/>
      <c r="W7240" s="53"/>
      <c r="X7240" s="53"/>
      <c r="Y7240"/>
      <c r="Z7240"/>
      <c r="AA7240" s="23"/>
      <c r="AB7240"/>
      <c r="AC7240" s="272"/>
      <c r="AD7240" s="272"/>
      <c r="AE7240" s="273"/>
      <c r="AM7240" s="29"/>
      <c r="AN7240"/>
      <c r="AO7240"/>
      <c r="AP7240"/>
      <c r="AQ7240" s="29"/>
      <c r="AR7240" s="29"/>
      <c r="AS7240" s="29"/>
      <c r="AT7240"/>
      <c r="AV7240"/>
      <c r="AW7240"/>
    </row>
    <row r="7241" spans="1:49">
      <c r="A7241" s="23" t="s">
        <v>8013</v>
      </c>
      <c r="B7241" t="s">
        <v>7712</v>
      </c>
      <c r="C7241">
        <v>1</v>
      </c>
      <c r="D7241" s="55" t="str">
        <f t="shared" si="1296"/>
        <v>Board of Education*2(vote 1)</v>
      </c>
      <c r="E7241" t="s">
        <v>7722</v>
      </c>
      <c r="F7241" t="s">
        <v>1300</v>
      </c>
      <c r="G7241" s="254">
        <v>169</v>
      </c>
      <c r="H7241"/>
      <c r="J7241" s="7"/>
      <c r="K7241" s="2"/>
      <c r="O7241">
        <f t="shared" si="1297"/>
        <v>4</v>
      </c>
      <c r="P7241" s="57">
        <f t="shared" si="1298"/>
        <v>1</v>
      </c>
      <c r="Q7241" s="267">
        <f t="shared" si="1299"/>
        <v>169</v>
      </c>
      <c r="R7241" s="23" t="str">
        <f t="shared" si="1300"/>
        <v/>
      </c>
      <c r="S7241" s="23">
        <f t="shared" si="1301"/>
        <v>169</v>
      </c>
      <c r="T7241" s="23" t="str">
        <f t="shared" si="1302"/>
        <v/>
      </c>
      <c r="U7241" t="str">
        <f t="shared" si="1303"/>
        <v/>
      </c>
      <c r="V7241" s="376"/>
      <c r="W7241" s="53"/>
      <c r="X7241" s="53"/>
      <c r="Y7241"/>
      <c r="Z7241"/>
      <c r="AA7241" s="23"/>
      <c r="AB7241"/>
      <c r="AC7241" s="272"/>
      <c r="AD7241" s="272"/>
      <c r="AE7241" s="273"/>
      <c r="AM7241" s="29"/>
      <c r="AN7241"/>
      <c r="AO7241"/>
      <c r="AP7241"/>
      <c r="AQ7241" s="29"/>
      <c r="AR7241" s="29"/>
      <c r="AS7241" s="29"/>
      <c r="AT7241"/>
      <c r="AV7241"/>
      <c r="AW7241"/>
    </row>
    <row r="7242" spans="1:49">
      <c r="A7242" s="23" t="s">
        <v>8014</v>
      </c>
      <c r="B7242" t="s">
        <v>7712</v>
      </c>
      <c r="C7242">
        <v>1</v>
      </c>
      <c r="D7242" s="55" t="str">
        <f t="shared" ref="D7242:D7277" si="1304">MID(A7242,16,99)</f>
        <v>Board of Education*3(vote 1)</v>
      </c>
      <c r="E7242" t="s">
        <v>7838</v>
      </c>
      <c r="F7242" t="s">
        <v>1300</v>
      </c>
      <c r="G7242" s="254">
        <v>33591</v>
      </c>
      <c r="H7242"/>
      <c r="J7242" s="7"/>
      <c r="K7242" s="2"/>
      <c r="O7242">
        <f t="shared" ref="O7242:O7305" si="1305">IF(OR(LOWER(LEFT(E7242,8))="write-in",LOWER(LEFT(E7242,8))="not qual"),IF(A7242=A7241,-ABS(O7241),0),IF(A7242=A7241,ABS(O7241)+1,1))</f>
        <v>1</v>
      </c>
      <c r="P7242" s="57">
        <f t="shared" ref="P7242:P7277" si="1306">1*LEFT(RIGHT(A7242,2),1)</f>
        <v>1</v>
      </c>
      <c r="Q7242" s="267">
        <f t="shared" ref="Q7242:Q7277" si="1307">IF(A7242&lt;&gt;A7243,G7242,IF(A7242=A7241,G7242+Q7243,MAX(G7242,(G7242+Q7243)/P7242)))</f>
        <v>35443</v>
      </c>
      <c r="R7242" s="23">
        <f t="shared" ref="R7242:R7277" si="1308">IF(O7242&gt;P7242,"",IF(O7242=P7242,G7242,IF(A7242=A7243,R7243,IF(O7242&lt;=0,1,G7242))))</f>
        <v>33591</v>
      </c>
      <c r="S7242" s="23">
        <f t="shared" ref="S7242:S7277" si="1309">IF(AND(O7242&gt;P7242,LOWER(LEFT(E7242,8))&lt;&gt;"write-in",LOWER(LEFT(E7242,8))&lt;&gt;"not qual"),G7242,IF(A7242=A7243,S7243,0))</f>
        <v>1360</v>
      </c>
      <c r="T7242" s="23">
        <f t="shared" ref="T7242:T7277" si="1310">IF(OR(A7242=A7241,S7242=0),"",R7242-ABS(S7242))</f>
        <v>32231</v>
      </c>
      <c r="U7242" t="str">
        <f t="shared" ref="U7242:U7277" si="1311">IF(A7242=A7241,"",A7242)</f>
        <v>MD_2020g~Cnty5:Board of Education*3(vote 1)</v>
      </c>
      <c r="V7242" s="376"/>
      <c r="W7242" s="53"/>
      <c r="X7242" s="53"/>
      <c r="Y7242"/>
      <c r="Z7242"/>
      <c r="AA7242" s="23"/>
      <c r="AB7242"/>
      <c r="AC7242" s="272"/>
      <c r="AD7242" s="272"/>
      <c r="AE7242" s="273"/>
      <c r="AM7242" s="29"/>
      <c r="AN7242"/>
      <c r="AO7242"/>
      <c r="AP7242"/>
      <c r="AQ7242" s="29"/>
      <c r="AR7242" s="29"/>
      <c r="AS7242" s="29"/>
      <c r="AT7242"/>
      <c r="AV7242"/>
      <c r="AW7242"/>
    </row>
    <row r="7243" spans="1:49">
      <c r="A7243" s="23" t="s">
        <v>8014</v>
      </c>
      <c r="B7243" t="s">
        <v>7712</v>
      </c>
      <c r="C7243">
        <v>1</v>
      </c>
      <c r="D7243" s="55" t="str">
        <f t="shared" si="1304"/>
        <v>Board of Education*3(vote 1)</v>
      </c>
      <c r="E7243" t="s">
        <v>7839</v>
      </c>
      <c r="F7243" t="s">
        <v>1300</v>
      </c>
      <c r="G7243" s="254">
        <v>1360</v>
      </c>
      <c r="H7243"/>
      <c r="J7243" s="7"/>
      <c r="K7243" s="2"/>
      <c r="O7243">
        <f t="shared" si="1305"/>
        <v>2</v>
      </c>
      <c r="P7243" s="57">
        <f t="shared" si="1306"/>
        <v>1</v>
      </c>
      <c r="Q7243" s="267">
        <f t="shared" si="1307"/>
        <v>1852</v>
      </c>
      <c r="R7243" s="23" t="str">
        <f t="shared" si="1308"/>
        <v/>
      </c>
      <c r="S7243" s="23">
        <f t="shared" si="1309"/>
        <v>1360</v>
      </c>
      <c r="T7243" s="23" t="str">
        <f t="shared" si="1310"/>
        <v/>
      </c>
      <c r="U7243" t="str">
        <f t="shared" si="1311"/>
        <v/>
      </c>
      <c r="V7243" s="376"/>
      <c r="W7243" s="53"/>
      <c r="X7243" s="53"/>
      <c r="Y7243"/>
      <c r="Z7243"/>
      <c r="AA7243" s="23"/>
      <c r="AB7243"/>
      <c r="AC7243" s="272"/>
      <c r="AD7243" s="272"/>
      <c r="AE7243" s="273"/>
      <c r="AM7243" s="29"/>
      <c r="AN7243"/>
      <c r="AO7243"/>
      <c r="AP7243"/>
      <c r="AQ7243" s="29"/>
      <c r="AR7243" s="29"/>
      <c r="AS7243" s="29"/>
      <c r="AT7243"/>
      <c r="AV7243"/>
      <c r="AW7243"/>
    </row>
    <row r="7244" spans="1:49">
      <c r="A7244" s="23" t="s">
        <v>8014</v>
      </c>
      <c r="B7244" t="s">
        <v>7712</v>
      </c>
      <c r="C7244">
        <v>1</v>
      </c>
      <c r="D7244" s="55" t="str">
        <f t="shared" si="1304"/>
        <v>Board of Education*3(vote 1)</v>
      </c>
      <c r="E7244" t="s">
        <v>7722</v>
      </c>
      <c r="F7244" t="s">
        <v>1300</v>
      </c>
      <c r="G7244" s="254">
        <v>492</v>
      </c>
      <c r="H7244"/>
      <c r="J7244" s="7"/>
      <c r="K7244" s="2"/>
      <c r="O7244">
        <f t="shared" si="1305"/>
        <v>3</v>
      </c>
      <c r="P7244" s="57">
        <f t="shared" si="1306"/>
        <v>1</v>
      </c>
      <c r="Q7244" s="267">
        <f t="shared" si="1307"/>
        <v>492</v>
      </c>
      <c r="R7244" s="23" t="str">
        <f t="shared" si="1308"/>
        <v/>
      </c>
      <c r="S7244" s="23">
        <f t="shared" si="1309"/>
        <v>492</v>
      </c>
      <c r="T7244" s="23" t="str">
        <f t="shared" si="1310"/>
        <v/>
      </c>
      <c r="U7244" t="str">
        <f t="shared" si="1311"/>
        <v/>
      </c>
      <c r="V7244" s="376"/>
      <c r="W7244" s="53"/>
      <c r="X7244" s="53"/>
      <c r="Y7244"/>
      <c r="Z7244"/>
      <c r="AA7244" s="23"/>
      <c r="AB7244"/>
      <c r="AC7244" s="272"/>
      <c r="AD7244" s="272"/>
      <c r="AE7244" s="273"/>
      <c r="AM7244" s="29"/>
      <c r="AN7244"/>
      <c r="AO7244"/>
      <c r="AP7244"/>
      <c r="AQ7244" s="29"/>
      <c r="AR7244" s="29"/>
      <c r="AS7244" s="29"/>
      <c r="AT7244"/>
      <c r="AV7244"/>
      <c r="AW7244"/>
    </row>
    <row r="7245" spans="1:49">
      <c r="A7245" s="23" t="s">
        <v>8015</v>
      </c>
      <c r="B7245" t="s">
        <v>7712</v>
      </c>
      <c r="C7245">
        <v>1</v>
      </c>
      <c r="D7245" s="55" t="str">
        <f t="shared" si="1304"/>
        <v>Judge of the Circuit Court*7(vote 2)</v>
      </c>
      <c r="E7245" t="s">
        <v>7840</v>
      </c>
      <c r="F7245" t="s">
        <v>7714</v>
      </c>
      <c r="G7245" s="254">
        <v>31029</v>
      </c>
      <c r="H7245"/>
      <c r="J7245" s="7"/>
      <c r="K7245" s="2"/>
      <c r="O7245">
        <f t="shared" si="1305"/>
        <v>1</v>
      </c>
      <c r="P7245" s="57">
        <f t="shared" si="1306"/>
        <v>2</v>
      </c>
      <c r="Q7245" s="267">
        <f t="shared" si="1307"/>
        <v>31029</v>
      </c>
      <c r="R7245" s="23">
        <f t="shared" si="1308"/>
        <v>23123</v>
      </c>
      <c r="S7245" s="23">
        <f t="shared" si="1309"/>
        <v>342</v>
      </c>
      <c r="T7245" s="23">
        <f t="shared" si="1310"/>
        <v>22781</v>
      </c>
      <c r="U7245" t="str">
        <f t="shared" si="1311"/>
        <v>MD_2020g~Cnty5:Judge of the Circuit Court*7(vote 2)</v>
      </c>
      <c r="V7245" s="376"/>
      <c r="W7245" s="53"/>
      <c r="X7245" s="53"/>
      <c r="Y7245"/>
      <c r="Z7245"/>
      <c r="AA7245" s="23"/>
      <c r="AB7245"/>
      <c r="AC7245" s="272"/>
      <c r="AD7245" s="272"/>
      <c r="AE7245" s="273"/>
      <c r="AM7245" s="29"/>
      <c r="AN7245"/>
      <c r="AO7245"/>
      <c r="AP7245"/>
      <c r="AQ7245" s="29"/>
      <c r="AR7245" s="29"/>
      <c r="AS7245" s="29"/>
      <c r="AT7245"/>
      <c r="AV7245"/>
      <c r="AW7245"/>
    </row>
    <row r="7246" spans="1:49">
      <c r="A7246" s="23" t="s">
        <v>8015</v>
      </c>
      <c r="B7246" t="s">
        <v>7712</v>
      </c>
      <c r="C7246">
        <v>1</v>
      </c>
      <c r="D7246" s="55" t="str">
        <f t="shared" si="1304"/>
        <v>Judge of the Circuit Court*7(vote 2)</v>
      </c>
      <c r="E7246" t="s">
        <v>7841</v>
      </c>
      <c r="F7246" t="s">
        <v>7714</v>
      </c>
      <c r="G7246" s="254">
        <v>23123</v>
      </c>
      <c r="H7246"/>
      <c r="J7246" s="7"/>
      <c r="K7246" s="2"/>
      <c r="O7246">
        <f t="shared" si="1305"/>
        <v>2</v>
      </c>
      <c r="P7246" s="57">
        <f t="shared" si="1306"/>
        <v>2</v>
      </c>
      <c r="Q7246" s="267">
        <f t="shared" si="1307"/>
        <v>23465</v>
      </c>
      <c r="R7246" s="23">
        <f t="shared" si="1308"/>
        <v>23123</v>
      </c>
      <c r="S7246" s="23">
        <f t="shared" si="1309"/>
        <v>342</v>
      </c>
      <c r="T7246" s="23" t="str">
        <f t="shared" si="1310"/>
        <v/>
      </c>
      <c r="U7246" t="str">
        <f t="shared" si="1311"/>
        <v/>
      </c>
      <c r="V7246" s="376"/>
      <c r="W7246" s="53"/>
      <c r="X7246" s="53"/>
      <c r="Y7246"/>
      <c r="Z7246"/>
      <c r="AA7246" s="23"/>
      <c r="AB7246"/>
      <c r="AC7246" s="272"/>
      <c r="AD7246" s="272"/>
      <c r="AE7246" s="273"/>
      <c r="AM7246" s="29"/>
      <c r="AN7246"/>
      <c r="AO7246"/>
      <c r="AP7246"/>
      <c r="AQ7246" s="29"/>
      <c r="AR7246" s="29"/>
      <c r="AS7246" s="29"/>
      <c r="AT7246"/>
      <c r="AV7246"/>
      <c r="AW7246"/>
    </row>
    <row r="7247" spans="1:49">
      <c r="A7247" s="23" t="s">
        <v>8015</v>
      </c>
      <c r="B7247" t="s">
        <v>7712</v>
      </c>
      <c r="C7247">
        <v>1</v>
      </c>
      <c r="D7247" s="55" t="str">
        <f t="shared" si="1304"/>
        <v>Judge of the Circuit Court*7(vote 2)</v>
      </c>
      <c r="E7247" t="s">
        <v>7722</v>
      </c>
      <c r="F7247" t="s">
        <v>7714</v>
      </c>
      <c r="G7247" s="254">
        <v>342</v>
      </c>
      <c r="H7247"/>
      <c r="J7247" s="7"/>
      <c r="K7247" s="2"/>
      <c r="O7247">
        <f t="shared" si="1305"/>
        <v>3</v>
      </c>
      <c r="P7247" s="57">
        <f t="shared" si="1306"/>
        <v>2</v>
      </c>
      <c r="Q7247" s="267">
        <f t="shared" si="1307"/>
        <v>342</v>
      </c>
      <c r="R7247" s="23" t="str">
        <f t="shared" si="1308"/>
        <v/>
      </c>
      <c r="S7247" s="23">
        <f t="shared" si="1309"/>
        <v>342</v>
      </c>
      <c r="T7247" s="23" t="str">
        <f t="shared" si="1310"/>
        <v/>
      </c>
      <c r="U7247" t="str">
        <f t="shared" si="1311"/>
        <v/>
      </c>
      <c r="V7247" s="376"/>
      <c r="W7247" s="53"/>
      <c r="X7247" s="53"/>
      <c r="Y7247"/>
      <c r="Z7247"/>
      <c r="AA7247" s="23"/>
      <c r="AB7247"/>
      <c r="AC7247" s="272"/>
      <c r="AD7247" s="272"/>
      <c r="AE7247" s="273"/>
      <c r="AM7247" s="29"/>
      <c r="AN7247"/>
      <c r="AO7247"/>
      <c r="AP7247"/>
      <c r="AQ7247" s="29"/>
      <c r="AR7247" s="29"/>
      <c r="AS7247" s="29"/>
      <c r="AT7247"/>
      <c r="AV7247"/>
      <c r="AW7247"/>
    </row>
    <row r="7248" spans="1:49">
      <c r="A7248" s="23" t="s">
        <v>8016</v>
      </c>
      <c r="B7248" t="s">
        <v>7712</v>
      </c>
      <c r="C7248">
        <v>1</v>
      </c>
      <c r="D7248" s="55" t="str">
        <f t="shared" si="1304"/>
        <v>Board of Education*1(vote 1)</v>
      </c>
      <c r="E7248" t="s">
        <v>7842</v>
      </c>
      <c r="F7248" t="s">
        <v>1300</v>
      </c>
      <c r="G7248" s="254">
        <v>2403</v>
      </c>
      <c r="H7248"/>
      <c r="J7248" s="7"/>
      <c r="K7248" s="2"/>
      <c r="O7248">
        <f t="shared" si="1305"/>
        <v>1</v>
      </c>
      <c r="P7248" s="57">
        <f t="shared" si="1306"/>
        <v>1</v>
      </c>
      <c r="Q7248" s="267">
        <f t="shared" si="1307"/>
        <v>4361</v>
      </c>
      <c r="R7248" s="23">
        <f t="shared" si="1308"/>
        <v>2403</v>
      </c>
      <c r="S7248" s="23">
        <f t="shared" si="1309"/>
        <v>1897</v>
      </c>
      <c r="T7248" s="23">
        <f t="shared" si="1310"/>
        <v>506</v>
      </c>
      <c r="U7248" t="str">
        <f t="shared" si="1311"/>
        <v>MD_2020g~Cnty6:Board of Education*1(vote 1)</v>
      </c>
      <c r="V7248" s="376"/>
      <c r="W7248" s="53"/>
      <c r="X7248" s="53"/>
      <c r="Y7248"/>
      <c r="Z7248"/>
      <c r="AA7248" s="23"/>
      <c r="AB7248"/>
      <c r="AC7248" s="272"/>
      <c r="AD7248" s="272"/>
      <c r="AE7248" s="273"/>
      <c r="AM7248" s="29"/>
      <c r="AN7248"/>
      <c r="AO7248"/>
      <c r="AP7248"/>
      <c r="AQ7248" s="29"/>
      <c r="AR7248" s="29"/>
      <c r="AS7248" s="29"/>
      <c r="AT7248"/>
      <c r="AV7248"/>
      <c r="AW7248"/>
    </row>
    <row r="7249" spans="1:49">
      <c r="A7249" s="23" t="s">
        <v>8016</v>
      </c>
      <c r="B7249" t="s">
        <v>7712</v>
      </c>
      <c r="C7249">
        <v>1</v>
      </c>
      <c r="D7249" s="55" t="str">
        <f t="shared" si="1304"/>
        <v>Board of Education*1(vote 1)</v>
      </c>
      <c r="E7249" t="s">
        <v>7843</v>
      </c>
      <c r="F7249" t="s">
        <v>1300</v>
      </c>
      <c r="G7249" s="254">
        <v>1897</v>
      </c>
      <c r="H7249"/>
      <c r="J7249" s="7"/>
      <c r="K7249" s="2"/>
      <c r="O7249">
        <f t="shared" si="1305"/>
        <v>2</v>
      </c>
      <c r="P7249" s="57">
        <f t="shared" si="1306"/>
        <v>1</v>
      </c>
      <c r="Q7249" s="267">
        <f t="shared" si="1307"/>
        <v>1958</v>
      </c>
      <c r="R7249" s="23" t="str">
        <f t="shared" si="1308"/>
        <v/>
      </c>
      <c r="S7249" s="23">
        <f t="shared" si="1309"/>
        <v>1897</v>
      </c>
      <c r="T7249" s="23" t="str">
        <f t="shared" si="1310"/>
        <v/>
      </c>
      <c r="U7249" t="str">
        <f t="shared" si="1311"/>
        <v/>
      </c>
      <c r="V7249" s="376"/>
      <c r="W7249" s="53"/>
      <c r="X7249" s="53"/>
      <c r="Y7249"/>
      <c r="Z7249"/>
      <c r="AA7249" s="23"/>
      <c r="AB7249"/>
      <c r="AC7249" s="272"/>
      <c r="AD7249" s="272"/>
      <c r="AE7249" s="273"/>
      <c r="AM7249" s="29"/>
      <c r="AN7249"/>
      <c r="AO7249"/>
      <c r="AP7249"/>
      <c r="AQ7249" s="29"/>
      <c r="AR7249" s="29"/>
      <c r="AS7249" s="29"/>
      <c r="AT7249"/>
      <c r="AV7249"/>
      <c r="AW7249"/>
    </row>
    <row r="7250" spans="1:49">
      <c r="A7250" s="23" t="s">
        <v>8016</v>
      </c>
      <c r="B7250" t="s">
        <v>7712</v>
      </c>
      <c r="C7250">
        <v>1</v>
      </c>
      <c r="D7250" s="55" t="str">
        <f t="shared" si="1304"/>
        <v>Board of Education*1(vote 1)</v>
      </c>
      <c r="E7250" t="s">
        <v>7844</v>
      </c>
      <c r="F7250" t="s">
        <v>1300</v>
      </c>
      <c r="G7250" s="254">
        <v>46</v>
      </c>
      <c r="H7250"/>
      <c r="J7250" s="7"/>
      <c r="K7250" s="2"/>
      <c r="O7250">
        <f t="shared" si="1305"/>
        <v>3</v>
      </c>
      <c r="P7250" s="57">
        <f t="shared" si="1306"/>
        <v>1</v>
      </c>
      <c r="Q7250" s="267">
        <f t="shared" si="1307"/>
        <v>61</v>
      </c>
      <c r="R7250" s="23" t="str">
        <f t="shared" si="1308"/>
        <v/>
      </c>
      <c r="S7250" s="23">
        <f t="shared" si="1309"/>
        <v>46</v>
      </c>
      <c r="T7250" s="23" t="str">
        <f t="shared" si="1310"/>
        <v/>
      </c>
      <c r="U7250" t="str">
        <f t="shared" si="1311"/>
        <v/>
      </c>
      <c r="V7250" s="376"/>
      <c r="W7250" s="53"/>
      <c r="X7250" s="53"/>
      <c r="Y7250"/>
      <c r="Z7250"/>
      <c r="AA7250" s="23"/>
      <c r="AB7250"/>
      <c r="AC7250" s="272"/>
      <c r="AD7250" s="272"/>
      <c r="AE7250" s="273"/>
      <c r="AM7250" s="29"/>
      <c r="AN7250"/>
      <c r="AO7250"/>
      <c r="AP7250"/>
      <c r="AQ7250" s="29"/>
      <c r="AR7250" s="29"/>
      <c r="AS7250" s="29"/>
      <c r="AT7250"/>
      <c r="AV7250"/>
      <c r="AW7250"/>
    </row>
    <row r="7251" spans="1:49">
      <c r="A7251" s="23" t="s">
        <v>8016</v>
      </c>
      <c r="B7251" t="s">
        <v>7712</v>
      </c>
      <c r="C7251">
        <v>1</v>
      </c>
      <c r="D7251" s="55" t="str">
        <f t="shared" si="1304"/>
        <v>Board of Education*1(vote 1)</v>
      </c>
      <c r="E7251" t="s">
        <v>7722</v>
      </c>
      <c r="F7251" t="s">
        <v>1300</v>
      </c>
      <c r="G7251" s="254">
        <v>15</v>
      </c>
      <c r="H7251"/>
      <c r="J7251" s="7"/>
      <c r="K7251" s="2"/>
      <c r="O7251">
        <f t="shared" si="1305"/>
        <v>4</v>
      </c>
      <c r="P7251" s="57">
        <f t="shared" si="1306"/>
        <v>1</v>
      </c>
      <c r="Q7251" s="267">
        <f t="shared" si="1307"/>
        <v>15</v>
      </c>
      <c r="R7251" s="23" t="str">
        <f t="shared" si="1308"/>
        <v/>
      </c>
      <c r="S7251" s="23">
        <f t="shared" si="1309"/>
        <v>15</v>
      </c>
      <c r="T7251" s="23" t="str">
        <f t="shared" si="1310"/>
        <v/>
      </c>
      <c r="U7251" t="str">
        <f t="shared" si="1311"/>
        <v/>
      </c>
      <c r="V7251" s="376"/>
      <c r="W7251" s="53"/>
      <c r="X7251" s="53"/>
      <c r="Y7251"/>
      <c r="Z7251"/>
      <c r="AA7251" s="23"/>
      <c r="AB7251"/>
      <c r="AC7251" s="272"/>
      <c r="AD7251" s="272"/>
      <c r="AE7251" s="273"/>
      <c r="AM7251" s="29"/>
      <c r="AN7251"/>
      <c r="AO7251"/>
      <c r="AP7251"/>
      <c r="AQ7251" s="29"/>
      <c r="AR7251" s="29"/>
      <c r="AS7251" s="29"/>
      <c r="AT7251"/>
      <c r="AV7251"/>
      <c r="AW7251"/>
    </row>
    <row r="7252" spans="1:49">
      <c r="A7252" s="23" t="s">
        <v>8017</v>
      </c>
      <c r="B7252" t="s">
        <v>7712</v>
      </c>
      <c r="C7252">
        <v>1</v>
      </c>
      <c r="D7252" s="55" t="str">
        <f t="shared" si="1304"/>
        <v>Board of Education*2(vote 1)</v>
      </c>
      <c r="E7252" t="s">
        <v>7845</v>
      </c>
      <c r="F7252" t="s">
        <v>1300</v>
      </c>
      <c r="G7252" s="254">
        <v>2387</v>
      </c>
      <c r="H7252"/>
      <c r="J7252" s="7"/>
      <c r="K7252" s="2"/>
      <c r="O7252">
        <f t="shared" si="1305"/>
        <v>1</v>
      </c>
      <c r="P7252" s="57">
        <f t="shared" si="1306"/>
        <v>1</v>
      </c>
      <c r="Q7252" s="267">
        <f t="shared" si="1307"/>
        <v>4624</v>
      </c>
      <c r="R7252" s="23">
        <f t="shared" si="1308"/>
        <v>2387</v>
      </c>
      <c r="S7252" s="23">
        <f t="shared" si="1309"/>
        <v>2179</v>
      </c>
      <c r="T7252" s="23">
        <f t="shared" si="1310"/>
        <v>208</v>
      </c>
      <c r="U7252" t="str">
        <f t="shared" si="1311"/>
        <v>MD_2020g~Cnty6:Board of Education*2(vote 1)</v>
      </c>
      <c r="V7252" s="376"/>
      <c r="W7252" s="53"/>
      <c r="X7252" s="53"/>
      <c r="Y7252"/>
      <c r="Z7252"/>
      <c r="AA7252" s="23"/>
      <c r="AB7252"/>
      <c r="AC7252" s="272"/>
      <c r="AD7252" s="272"/>
      <c r="AE7252" s="273"/>
      <c r="AM7252" s="29"/>
      <c r="AN7252"/>
      <c r="AO7252"/>
      <c r="AP7252"/>
      <c r="AQ7252" s="29"/>
      <c r="AR7252" s="29"/>
      <c r="AS7252" s="29"/>
      <c r="AT7252"/>
      <c r="AV7252"/>
      <c r="AW7252"/>
    </row>
    <row r="7253" spans="1:49">
      <c r="A7253" s="23" t="s">
        <v>8017</v>
      </c>
      <c r="B7253" t="s">
        <v>7712</v>
      </c>
      <c r="C7253">
        <v>1</v>
      </c>
      <c r="D7253" s="55" t="str">
        <f t="shared" si="1304"/>
        <v>Board of Education*2(vote 1)</v>
      </c>
      <c r="E7253" t="s">
        <v>7846</v>
      </c>
      <c r="F7253" t="s">
        <v>1300</v>
      </c>
      <c r="G7253" s="254">
        <v>2179</v>
      </c>
      <c r="H7253"/>
      <c r="J7253" s="7"/>
      <c r="K7253" s="2"/>
      <c r="O7253">
        <f t="shared" si="1305"/>
        <v>2</v>
      </c>
      <c r="P7253" s="57">
        <f t="shared" si="1306"/>
        <v>1</v>
      </c>
      <c r="Q7253" s="267">
        <f t="shared" si="1307"/>
        <v>2237</v>
      </c>
      <c r="R7253" s="23" t="str">
        <f t="shared" si="1308"/>
        <v/>
      </c>
      <c r="S7253" s="23">
        <f t="shared" si="1309"/>
        <v>2179</v>
      </c>
      <c r="T7253" s="23" t="str">
        <f t="shared" si="1310"/>
        <v/>
      </c>
      <c r="U7253" t="str">
        <f t="shared" si="1311"/>
        <v/>
      </c>
      <c r="V7253" s="376"/>
      <c r="W7253" s="53"/>
      <c r="X7253" s="53"/>
      <c r="Y7253"/>
      <c r="Z7253"/>
      <c r="AA7253" s="23"/>
      <c r="AB7253"/>
      <c r="AC7253" s="272"/>
      <c r="AD7253" s="272"/>
      <c r="AE7253" s="273"/>
      <c r="AM7253" s="29"/>
      <c r="AN7253"/>
      <c r="AO7253"/>
      <c r="AP7253"/>
      <c r="AQ7253" s="29"/>
      <c r="AR7253" s="29"/>
      <c r="AS7253" s="29"/>
      <c r="AT7253"/>
      <c r="AV7253"/>
      <c r="AW7253"/>
    </row>
    <row r="7254" spans="1:49">
      <c r="A7254" s="23" t="s">
        <v>8017</v>
      </c>
      <c r="B7254" t="s">
        <v>7712</v>
      </c>
      <c r="C7254">
        <v>1</v>
      </c>
      <c r="D7254" s="55" t="str">
        <f t="shared" si="1304"/>
        <v>Board of Education*2(vote 1)</v>
      </c>
      <c r="E7254" t="s">
        <v>7722</v>
      </c>
      <c r="F7254" t="s">
        <v>1300</v>
      </c>
      <c r="G7254" s="254">
        <v>58</v>
      </c>
      <c r="H7254"/>
      <c r="J7254" s="7"/>
      <c r="K7254" s="2"/>
      <c r="O7254">
        <f t="shared" si="1305"/>
        <v>3</v>
      </c>
      <c r="P7254" s="57">
        <f t="shared" si="1306"/>
        <v>1</v>
      </c>
      <c r="Q7254" s="267">
        <f t="shared" si="1307"/>
        <v>58</v>
      </c>
      <c r="R7254" s="23" t="str">
        <f t="shared" si="1308"/>
        <v/>
      </c>
      <c r="S7254" s="23">
        <f t="shared" si="1309"/>
        <v>58</v>
      </c>
      <c r="T7254" s="23" t="str">
        <f t="shared" si="1310"/>
        <v/>
      </c>
      <c r="U7254" t="str">
        <f t="shared" si="1311"/>
        <v/>
      </c>
      <c r="V7254" s="376"/>
      <c r="W7254" s="53"/>
      <c r="X7254" s="53"/>
      <c r="Y7254"/>
      <c r="Z7254"/>
      <c r="AA7254" s="23"/>
      <c r="AB7254"/>
      <c r="AC7254" s="272"/>
      <c r="AD7254" s="272"/>
      <c r="AE7254" s="273"/>
      <c r="AM7254" s="29"/>
      <c r="AN7254"/>
      <c r="AO7254"/>
      <c r="AP7254"/>
      <c r="AQ7254" s="29"/>
      <c r="AR7254" s="29"/>
      <c r="AS7254" s="29"/>
      <c r="AT7254"/>
      <c r="AV7254"/>
      <c r="AW7254"/>
    </row>
    <row r="7255" spans="1:49">
      <c r="A7255" s="23" t="s">
        <v>8018</v>
      </c>
      <c r="B7255" t="s">
        <v>7712</v>
      </c>
      <c r="C7255">
        <v>1</v>
      </c>
      <c r="D7255" s="55" t="str">
        <f t="shared" si="1304"/>
        <v>Board of Education*(vote 2)</v>
      </c>
      <c r="E7255" t="s">
        <v>7847</v>
      </c>
      <c r="F7255" t="s">
        <v>1300</v>
      </c>
      <c r="G7255" s="254">
        <v>43711</v>
      </c>
      <c r="H7255"/>
      <c r="J7255" s="7"/>
      <c r="K7255" s="2"/>
      <c r="O7255">
        <f t="shared" si="1305"/>
        <v>1</v>
      </c>
      <c r="P7255" s="57">
        <f t="shared" si="1306"/>
        <v>2</v>
      </c>
      <c r="Q7255" s="267">
        <f t="shared" si="1307"/>
        <v>74296.5</v>
      </c>
      <c r="R7255" s="23">
        <f t="shared" si="1308"/>
        <v>41643</v>
      </c>
      <c r="S7255" s="23">
        <f t="shared" si="1309"/>
        <v>33390</v>
      </c>
      <c r="T7255" s="23">
        <f t="shared" si="1310"/>
        <v>8253</v>
      </c>
      <c r="U7255" t="str">
        <f t="shared" si="1311"/>
        <v>MD_2020g~Cnty7:Board of Education*(vote 2)</v>
      </c>
      <c r="V7255" s="376"/>
      <c r="W7255" s="53"/>
      <c r="X7255" s="53"/>
      <c r="Y7255"/>
      <c r="Z7255"/>
      <c r="AA7255" s="23"/>
      <c r="AB7255"/>
      <c r="AC7255" s="272"/>
      <c r="AD7255" s="272"/>
      <c r="AE7255" s="273"/>
      <c r="AM7255" s="29"/>
      <c r="AN7255"/>
      <c r="AO7255"/>
      <c r="AP7255"/>
      <c r="AQ7255" s="29"/>
      <c r="AR7255" s="29"/>
      <c r="AS7255" s="29"/>
      <c r="AT7255"/>
      <c r="AV7255"/>
      <c r="AW7255"/>
    </row>
    <row r="7256" spans="1:49">
      <c r="A7256" s="23" t="s">
        <v>8018</v>
      </c>
      <c r="B7256" t="s">
        <v>7712</v>
      </c>
      <c r="C7256">
        <v>1</v>
      </c>
      <c r="D7256" s="55" t="str">
        <f t="shared" si="1304"/>
        <v>Board of Education*(vote 2)</v>
      </c>
      <c r="E7256" t="s">
        <v>7848</v>
      </c>
      <c r="F7256" t="s">
        <v>1300</v>
      </c>
      <c r="G7256" s="254">
        <v>41643</v>
      </c>
      <c r="H7256"/>
      <c r="J7256" s="7"/>
      <c r="K7256" s="2"/>
      <c r="O7256">
        <f t="shared" si="1305"/>
        <v>2</v>
      </c>
      <c r="P7256" s="57">
        <f t="shared" si="1306"/>
        <v>2</v>
      </c>
      <c r="Q7256" s="267">
        <f t="shared" si="1307"/>
        <v>104882</v>
      </c>
      <c r="R7256" s="23">
        <f t="shared" si="1308"/>
        <v>41643</v>
      </c>
      <c r="S7256" s="23">
        <f t="shared" si="1309"/>
        <v>33390</v>
      </c>
      <c r="T7256" s="23" t="str">
        <f t="shared" si="1310"/>
        <v/>
      </c>
      <c r="U7256" t="str">
        <f t="shared" si="1311"/>
        <v/>
      </c>
      <c r="V7256" s="376"/>
      <c r="W7256" s="53"/>
      <c r="X7256" s="53"/>
      <c r="Y7256"/>
      <c r="Z7256"/>
      <c r="AA7256" s="23"/>
      <c r="AB7256"/>
      <c r="AC7256" s="272"/>
      <c r="AD7256" s="272"/>
      <c r="AE7256" s="273"/>
      <c r="AM7256" s="29"/>
      <c r="AN7256"/>
      <c r="AO7256"/>
      <c r="AP7256"/>
      <c r="AQ7256" s="29"/>
      <c r="AR7256" s="29"/>
      <c r="AS7256" s="29"/>
      <c r="AT7256"/>
      <c r="AV7256"/>
      <c r="AW7256"/>
    </row>
    <row r="7257" spans="1:49">
      <c r="A7257" s="23" t="s">
        <v>8018</v>
      </c>
      <c r="B7257" t="s">
        <v>7712</v>
      </c>
      <c r="C7257">
        <v>1</v>
      </c>
      <c r="D7257" s="55" t="str">
        <f t="shared" si="1304"/>
        <v>Board of Education*(vote 2)</v>
      </c>
      <c r="E7257" t="s">
        <v>7849</v>
      </c>
      <c r="F7257" t="s">
        <v>1300</v>
      </c>
      <c r="G7257" s="254">
        <v>33390</v>
      </c>
      <c r="H7257"/>
      <c r="J7257" s="7"/>
      <c r="K7257" s="2"/>
      <c r="O7257">
        <f t="shared" si="1305"/>
        <v>3</v>
      </c>
      <c r="P7257" s="57">
        <f t="shared" si="1306"/>
        <v>2</v>
      </c>
      <c r="Q7257" s="267">
        <f t="shared" si="1307"/>
        <v>63239</v>
      </c>
      <c r="R7257" s="23" t="str">
        <f t="shared" si="1308"/>
        <v/>
      </c>
      <c r="S7257" s="23">
        <f t="shared" si="1309"/>
        <v>33390</v>
      </c>
      <c r="T7257" s="23" t="str">
        <f t="shared" si="1310"/>
        <v/>
      </c>
      <c r="U7257" t="str">
        <f t="shared" si="1311"/>
        <v/>
      </c>
      <c r="V7257" s="376"/>
      <c r="W7257" s="53"/>
      <c r="X7257" s="53"/>
      <c r="Y7257"/>
      <c r="Z7257"/>
      <c r="AA7257" s="23"/>
      <c r="AB7257"/>
      <c r="AC7257" s="272"/>
      <c r="AD7257" s="272"/>
      <c r="AE7257" s="273"/>
      <c r="AM7257" s="29"/>
      <c r="AN7257"/>
      <c r="AO7257"/>
      <c r="AP7257"/>
      <c r="AQ7257" s="29"/>
      <c r="AR7257" s="29"/>
      <c r="AS7257" s="29"/>
      <c r="AT7257"/>
      <c r="AV7257"/>
      <c r="AW7257"/>
    </row>
    <row r="7258" spans="1:49">
      <c r="A7258" s="23" t="s">
        <v>8018</v>
      </c>
      <c r="B7258" t="s">
        <v>7712</v>
      </c>
      <c r="C7258">
        <v>1</v>
      </c>
      <c r="D7258" s="55" t="str">
        <f t="shared" si="1304"/>
        <v>Board of Education*(vote 2)</v>
      </c>
      <c r="E7258" t="s">
        <v>7850</v>
      </c>
      <c r="F7258" t="s">
        <v>1300</v>
      </c>
      <c r="G7258" s="254">
        <v>28868</v>
      </c>
      <c r="H7258"/>
      <c r="J7258" s="7"/>
      <c r="K7258" s="2"/>
      <c r="O7258">
        <f t="shared" si="1305"/>
        <v>4</v>
      </c>
      <c r="P7258" s="57">
        <f t="shared" si="1306"/>
        <v>2</v>
      </c>
      <c r="Q7258" s="267">
        <f t="shared" si="1307"/>
        <v>29849</v>
      </c>
      <c r="R7258" s="23" t="str">
        <f t="shared" si="1308"/>
        <v/>
      </c>
      <c r="S7258" s="23">
        <f t="shared" si="1309"/>
        <v>28868</v>
      </c>
      <c r="T7258" s="23" t="str">
        <f t="shared" si="1310"/>
        <v/>
      </c>
      <c r="U7258" t="str">
        <f t="shared" si="1311"/>
        <v/>
      </c>
      <c r="V7258" s="376"/>
      <c r="W7258" s="53"/>
      <c r="X7258" s="53"/>
      <c r="Y7258"/>
      <c r="Z7258"/>
      <c r="AA7258" s="23"/>
      <c r="AB7258"/>
      <c r="AC7258" s="272"/>
      <c r="AD7258" s="272"/>
      <c r="AE7258" s="273"/>
      <c r="AM7258" s="29"/>
      <c r="AN7258"/>
      <c r="AO7258"/>
      <c r="AP7258"/>
      <c r="AQ7258" s="29"/>
      <c r="AR7258" s="29"/>
      <c r="AS7258" s="29"/>
      <c r="AT7258"/>
      <c r="AV7258"/>
      <c r="AW7258"/>
    </row>
    <row r="7259" spans="1:49">
      <c r="A7259" s="23" t="s">
        <v>8018</v>
      </c>
      <c r="B7259" t="s">
        <v>7712</v>
      </c>
      <c r="C7259">
        <v>1</v>
      </c>
      <c r="D7259" s="55" t="str">
        <f t="shared" si="1304"/>
        <v>Board of Education*(vote 2)</v>
      </c>
      <c r="E7259" t="s">
        <v>7722</v>
      </c>
      <c r="F7259" t="s">
        <v>1300</v>
      </c>
      <c r="G7259" s="254">
        <v>981</v>
      </c>
      <c r="H7259"/>
      <c r="J7259" s="7"/>
      <c r="K7259" s="2"/>
      <c r="O7259">
        <f t="shared" si="1305"/>
        <v>5</v>
      </c>
      <c r="P7259" s="57">
        <f t="shared" si="1306"/>
        <v>2</v>
      </c>
      <c r="Q7259" s="267">
        <f t="shared" si="1307"/>
        <v>981</v>
      </c>
      <c r="R7259" s="23" t="str">
        <f t="shared" si="1308"/>
        <v/>
      </c>
      <c r="S7259" s="23">
        <f t="shared" si="1309"/>
        <v>981</v>
      </c>
      <c r="T7259" s="23" t="str">
        <f t="shared" si="1310"/>
        <v/>
      </c>
      <c r="U7259" t="str">
        <f t="shared" si="1311"/>
        <v/>
      </c>
      <c r="V7259" s="376"/>
      <c r="W7259" s="53"/>
      <c r="X7259" s="53"/>
      <c r="Y7259"/>
      <c r="Z7259"/>
      <c r="AA7259" s="23"/>
      <c r="AB7259"/>
      <c r="AC7259" s="272"/>
      <c r="AD7259" s="272"/>
      <c r="AE7259" s="273"/>
      <c r="AM7259" s="29"/>
      <c r="AN7259"/>
      <c r="AO7259"/>
      <c r="AP7259"/>
      <c r="AQ7259" s="29"/>
      <c r="AR7259" s="29"/>
      <c r="AS7259" s="29"/>
      <c r="AT7259"/>
      <c r="AV7259"/>
      <c r="AW7259"/>
    </row>
    <row r="7260" spans="1:49">
      <c r="A7260" s="23" t="s">
        <v>8019</v>
      </c>
      <c r="B7260" t="s">
        <v>7712</v>
      </c>
      <c r="C7260">
        <v>1</v>
      </c>
      <c r="D7260" s="55" t="str">
        <f t="shared" si="1304"/>
        <v>Judge of the Circuit Court*5(vote 1)</v>
      </c>
      <c r="E7260" t="s">
        <v>7851</v>
      </c>
      <c r="F7260" t="s">
        <v>7714</v>
      </c>
      <c r="G7260" s="254">
        <v>58088</v>
      </c>
      <c r="H7260"/>
      <c r="J7260" s="7"/>
      <c r="K7260" s="2"/>
      <c r="O7260">
        <f t="shared" si="1305"/>
        <v>1</v>
      </c>
      <c r="P7260" s="57">
        <f t="shared" si="1306"/>
        <v>1</v>
      </c>
      <c r="Q7260" s="267">
        <f t="shared" si="1307"/>
        <v>92121</v>
      </c>
      <c r="R7260" s="23">
        <f t="shared" si="1308"/>
        <v>58088</v>
      </c>
      <c r="S7260" s="23">
        <f t="shared" si="1309"/>
        <v>33838</v>
      </c>
      <c r="T7260" s="23">
        <f t="shared" si="1310"/>
        <v>24250</v>
      </c>
      <c r="U7260" t="str">
        <f t="shared" si="1311"/>
        <v>MD_2020g~Cnty7:Judge of the Circuit Court*5(vote 1)</v>
      </c>
      <c r="V7260" s="376"/>
      <c r="W7260" s="53"/>
      <c r="X7260" s="53"/>
      <c r="Y7260"/>
      <c r="Z7260"/>
      <c r="AA7260" s="23"/>
      <c r="AB7260"/>
      <c r="AC7260" s="272"/>
      <c r="AD7260" s="272"/>
      <c r="AE7260" s="273"/>
      <c r="AM7260" s="29"/>
      <c r="AN7260"/>
      <c r="AO7260"/>
      <c r="AP7260"/>
      <c r="AQ7260" s="29"/>
      <c r="AR7260" s="29"/>
      <c r="AS7260" s="29"/>
      <c r="AT7260"/>
      <c r="AV7260"/>
      <c r="AW7260"/>
    </row>
    <row r="7261" spans="1:49">
      <c r="A7261" s="23" t="s">
        <v>8019</v>
      </c>
      <c r="B7261" t="s">
        <v>7712</v>
      </c>
      <c r="C7261">
        <v>1</v>
      </c>
      <c r="D7261" s="55" t="str">
        <f t="shared" si="1304"/>
        <v>Judge of the Circuit Court*5(vote 1)</v>
      </c>
      <c r="E7261" t="s">
        <v>7852</v>
      </c>
      <c r="F7261" t="s">
        <v>7714</v>
      </c>
      <c r="G7261" s="254">
        <v>33838</v>
      </c>
      <c r="H7261"/>
      <c r="J7261" s="7"/>
      <c r="K7261" s="2"/>
      <c r="O7261">
        <f t="shared" si="1305"/>
        <v>2</v>
      </c>
      <c r="P7261" s="57">
        <f t="shared" si="1306"/>
        <v>1</v>
      </c>
      <c r="Q7261" s="267">
        <f t="shared" si="1307"/>
        <v>34033</v>
      </c>
      <c r="R7261" s="23" t="str">
        <f t="shared" si="1308"/>
        <v/>
      </c>
      <c r="S7261" s="23">
        <f t="shared" si="1309"/>
        <v>33838</v>
      </c>
      <c r="T7261" s="23" t="str">
        <f t="shared" si="1310"/>
        <v/>
      </c>
      <c r="U7261" t="str">
        <f t="shared" si="1311"/>
        <v/>
      </c>
      <c r="V7261" s="376"/>
      <c r="W7261" s="53"/>
      <c r="X7261" s="53"/>
      <c r="Y7261"/>
      <c r="Z7261"/>
      <c r="AA7261" s="23"/>
      <c r="AB7261"/>
      <c r="AC7261" s="272"/>
      <c r="AD7261" s="272"/>
      <c r="AE7261" s="273"/>
      <c r="AM7261" s="29"/>
      <c r="AN7261"/>
      <c r="AO7261"/>
      <c r="AP7261"/>
      <c r="AQ7261" s="29"/>
      <c r="AR7261" s="29"/>
      <c r="AS7261" s="29"/>
      <c r="AT7261"/>
      <c r="AV7261"/>
      <c r="AW7261"/>
    </row>
    <row r="7262" spans="1:49">
      <c r="A7262" s="23" t="s">
        <v>8019</v>
      </c>
      <c r="B7262" t="s">
        <v>7712</v>
      </c>
      <c r="C7262">
        <v>1</v>
      </c>
      <c r="D7262" s="55" t="str">
        <f t="shared" si="1304"/>
        <v>Judge of the Circuit Court*5(vote 1)</v>
      </c>
      <c r="E7262" t="s">
        <v>7722</v>
      </c>
      <c r="F7262" t="s">
        <v>7714</v>
      </c>
      <c r="G7262" s="254">
        <v>195</v>
      </c>
      <c r="H7262"/>
      <c r="J7262" s="7"/>
      <c r="K7262" s="2"/>
      <c r="O7262">
        <f t="shared" si="1305"/>
        <v>3</v>
      </c>
      <c r="P7262" s="57">
        <f t="shared" si="1306"/>
        <v>1</v>
      </c>
      <c r="Q7262" s="267">
        <f t="shared" si="1307"/>
        <v>195</v>
      </c>
      <c r="R7262" s="23" t="str">
        <f t="shared" si="1308"/>
        <v/>
      </c>
      <c r="S7262" s="23">
        <f t="shared" si="1309"/>
        <v>195</v>
      </c>
      <c r="T7262" s="23" t="str">
        <f t="shared" si="1310"/>
        <v/>
      </c>
      <c r="U7262" t="str">
        <f t="shared" si="1311"/>
        <v/>
      </c>
      <c r="V7262" s="376"/>
      <c r="W7262" s="53"/>
      <c r="X7262" s="53"/>
      <c r="Y7262"/>
      <c r="Z7262"/>
      <c r="AA7262" s="23"/>
      <c r="AB7262"/>
      <c r="AC7262" s="272"/>
      <c r="AD7262" s="272"/>
      <c r="AE7262" s="273"/>
      <c r="AM7262" s="29"/>
      <c r="AN7262"/>
      <c r="AO7262"/>
      <c r="AP7262"/>
      <c r="AQ7262" s="29"/>
      <c r="AR7262" s="29"/>
      <c r="AS7262" s="29"/>
      <c r="AT7262"/>
      <c r="AV7262"/>
      <c r="AW7262"/>
    </row>
    <row r="7263" spans="1:49">
      <c r="A7263" s="23" t="s">
        <v>8020</v>
      </c>
      <c r="B7263" t="s">
        <v>7712</v>
      </c>
      <c r="C7263">
        <v>1</v>
      </c>
      <c r="D7263" s="55" t="str">
        <f t="shared" si="1304"/>
        <v>Board of Education*1(vote 1)</v>
      </c>
      <c r="E7263" t="s">
        <v>7853</v>
      </c>
      <c r="F7263" t="s">
        <v>1300</v>
      </c>
      <c r="G7263" s="254">
        <v>20887</v>
      </c>
      <c r="H7263"/>
      <c r="J7263" s="7"/>
      <c r="K7263" s="2"/>
      <c r="O7263">
        <f t="shared" si="1305"/>
        <v>1</v>
      </c>
      <c r="P7263" s="57">
        <f t="shared" si="1306"/>
        <v>1</v>
      </c>
      <c r="Q7263" s="267">
        <f t="shared" si="1307"/>
        <v>36721</v>
      </c>
      <c r="R7263" s="23">
        <f t="shared" si="1308"/>
        <v>20887</v>
      </c>
      <c r="S7263" s="23">
        <f t="shared" si="1309"/>
        <v>15596</v>
      </c>
      <c r="T7263" s="23">
        <f t="shared" si="1310"/>
        <v>5291</v>
      </c>
      <c r="U7263" t="str">
        <f t="shared" si="1311"/>
        <v>MD_2020g~Cnty8:Board of Education*1(vote 1)</v>
      </c>
      <c r="V7263" s="376"/>
      <c r="W7263" s="53"/>
      <c r="X7263" s="53"/>
      <c r="Y7263"/>
      <c r="Z7263"/>
      <c r="AA7263" s="23"/>
      <c r="AB7263"/>
      <c r="AC7263" s="272"/>
      <c r="AD7263" s="272"/>
      <c r="AE7263" s="273"/>
      <c r="AM7263" s="29"/>
      <c r="AN7263"/>
      <c r="AO7263"/>
      <c r="AP7263"/>
      <c r="AQ7263" s="29"/>
      <c r="AR7263" s="29"/>
      <c r="AS7263" s="29"/>
      <c r="AT7263"/>
      <c r="AV7263"/>
      <c r="AW7263"/>
    </row>
    <row r="7264" spans="1:49">
      <c r="A7264" s="23" t="s">
        <v>8020</v>
      </c>
      <c r="B7264" t="s">
        <v>7712</v>
      </c>
      <c r="C7264">
        <v>1</v>
      </c>
      <c r="D7264" s="55" t="str">
        <f t="shared" si="1304"/>
        <v>Board of Education*1(vote 1)</v>
      </c>
      <c r="E7264" t="s">
        <v>7854</v>
      </c>
      <c r="F7264" t="s">
        <v>1300</v>
      </c>
      <c r="G7264" s="254">
        <v>15596</v>
      </c>
      <c r="H7264"/>
      <c r="J7264" s="7"/>
      <c r="K7264" s="2"/>
      <c r="O7264">
        <f t="shared" si="1305"/>
        <v>2</v>
      </c>
      <c r="P7264" s="57">
        <f t="shared" si="1306"/>
        <v>1</v>
      </c>
      <c r="Q7264" s="267">
        <f t="shared" si="1307"/>
        <v>15834</v>
      </c>
      <c r="R7264" s="23" t="str">
        <f t="shared" si="1308"/>
        <v/>
      </c>
      <c r="S7264" s="23">
        <f t="shared" si="1309"/>
        <v>15596</v>
      </c>
      <c r="T7264" s="23" t="str">
        <f t="shared" si="1310"/>
        <v/>
      </c>
      <c r="U7264" t="str">
        <f t="shared" si="1311"/>
        <v/>
      </c>
      <c r="V7264" s="376"/>
      <c r="W7264" s="53"/>
      <c r="X7264" s="53"/>
      <c r="Y7264"/>
      <c r="Z7264"/>
      <c r="AA7264" s="23"/>
      <c r="AB7264"/>
      <c r="AC7264" s="272"/>
      <c r="AD7264" s="272"/>
      <c r="AE7264" s="273"/>
      <c r="AM7264" s="29"/>
      <c r="AN7264"/>
      <c r="AO7264"/>
      <c r="AP7264"/>
      <c r="AQ7264" s="29"/>
      <c r="AR7264" s="29"/>
      <c r="AS7264" s="29"/>
      <c r="AT7264"/>
      <c r="AV7264"/>
      <c r="AW7264"/>
    </row>
    <row r="7265" spans="1:49">
      <c r="A7265" s="23" t="s">
        <v>8020</v>
      </c>
      <c r="B7265" t="s">
        <v>7712</v>
      </c>
      <c r="C7265">
        <v>1</v>
      </c>
      <c r="D7265" s="55" t="str">
        <f t="shared" si="1304"/>
        <v>Board of Education*1(vote 1)</v>
      </c>
      <c r="E7265" t="s">
        <v>7722</v>
      </c>
      <c r="F7265" t="s">
        <v>1300</v>
      </c>
      <c r="G7265" s="254">
        <v>238</v>
      </c>
      <c r="H7265"/>
      <c r="J7265" s="7"/>
      <c r="K7265" s="2"/>
      <c r="O7265">
        <f t="shared" si="1305"/>
        <v>3</v>
      </c>
      <c r="P7265" s="57">
        <f t="shared" si="1306"/>
        <v>1</v>
      </c>
      <c r="Q7265" s="267">
        <f t="shared" si="1307"/>
        <v>238</v>
      </c>
      <c r="R7265" s="23" t="str">
        <f t="shared" si="1308"/>
        <v/>
      </c>
      <c r="S7265" s="23">
        <f t="shared" si="1309"/>
        <v>238</v>
      </c>
      <c r="T7265" s="23" t="str">
        <f t="shared" si="1310"/>
        <v/>
      </c>
      <c r="U7265" t="str">
        <f t="shared" si="1311"/>
        <v/>
      </c>
      <c r="V7265" s="376"/>
      <c r="W7265" s="53"/>
      <c r="X7265" s="53"/>
      <c r="Y7265"/>
      <c r="Z7265"/>
      <c r="AA7265" s="23"/>
      <c r="AB7265"/>
      <c r="AC7265" s="272"/>
      <c r="AD7265" s="272"/>
      <c r="AE7265" s="273"/>
      <c r="AM7265" s="29"/>
      <c r="AN7265"/>
      <c r="AO7265"/>
      <c r="AP7265"/>
      <c r="AQ7265" s="29"/>
      <c r="AR7265" s="29"/>
      <c r="AS7265" s="29"/>
      <c r="AT7265"/>
      <c r="AV7265"/>
      <c r="AW7265"/>
    </row>
    <row r="7266" spans="1:49">
      <c r="A7266" s="23" t="s">
        <v>8021</v>
      </c>
      <c r="B7266" t="s">
        <v>7712</v>
      </c>
      <c r="C7266">
        <v>1</v>
      </c>
      <c r="D7266" s="55" t="str">
        <f t="shared" si="1304"/>
        <v>Board of Education*2(vote 1)</v>
      </c>
      <c r="E7266" t="s">
        <v>7855</v>
      </c>
      <c r="F7266" t="s">
        <v>1300</v>
      </c>
      <c r="G7266" s="254">
        <v>31818</v>
      </c>
      <c r="H7266"/>
      <c r="J7266" s="7"/>
      <c r="K7266" s="2"/>
      <c r="O7266">
        <f t="shared" si="1305"/>
        <v>1</v>
      </c>
      <c r="P7266" s="57">
        <f t="shared" si="1306"/>
        <v>1</v>
      </c>
      <c r="Q7266" s="267">
        <f t="shared" si="1307"/>
        <v>32221</v>
      </c>
      <c r="R7266" s="23">
        <f t="shared" si="1308"/>
        <v>31818</v>
      </c>
      <c r="S7266" s="23">
        <f t="shared" si="1309"/>
        <v>403</v>
      </c>
      <c r="T7266" s="23">
        <f t="shared" si="1310"/>
        <v>31415</v>
      </c>
      <c r="U7266" t="str">
        <f t="shared" si="1311"/>
        <v>MD_2020g~Cnty8:Board of Education*2(vote 1)</v>
      </c>
      <c r="V7266" s="376"/>
      <c r="W7266" s="53"/>
      <c r="X7266" s="53"/>
      <c r="Y7266"/>
      <c r="Z7266"/>
      <c r="AA7266" s="23"/>
      <c r="AB7266"/>
      <c r="AC7266" s="272"/>
      <c r="AD7266" s="272"/>
      <c r="AE7266" s="273"/>
      <c r="AM7266" s="29"/>
      <c r="AN7266"/>
      <c r="AO7266"/>
      <c r="AP7266"/>
      <c r="AQ7266" s="29"/>
      <c r="AR7266" s="29"/>
      <c r="AS7266" s="29"/>
      <c r="AT7266"/>
      <c r="AV7266"/>
      <c r="AW7266"/>
    </row>
    <row r="7267" spans="1:49">
      <c r="A7267" s="23" t="s">
        <v>8021</v>
      </c>
      <c r="B7267" t="s">
        <v>7712</v>
      </c>
      <c r="C7267">
        <v>1</v>
      </c>
      <c r="D7267" s="55" t="str">
        <f t="shared" si="1304"/>
        <v>Board of Education*2(vote 1)</v>
      </c>
      <c r="E7267" t="s">
        <v>7722</v>
      </c>
      <c r="F7267" t="s">
        <v>1300</v>
      </c>
      <c r="G7267" s="254">
        <v>403</v>
      </c>
      <c r="H7267"/>
      <c r="J7267" s="7"/>
      <c r="K7267" s="2"/>
      <c r="O7267">
        <f t="shared" si="1305"/>
        <v>2</v>
      </c>
      <c r="P7267" s="57">
        <f t="shared" si="1306"/>
        <v>1</v>
      </c>
      <c r="Q7267" s="267">
        <f t="shared" si="1307"/>
        <v>403</v>
      </c>
      <c r="R7267" s="23" t="str">
        <f t="shared" si="1308"/>
        <v/>
      </c>
      <c r="S7267" s="23">
        <f t="shared" si="1309"/>
        <v>403</v>
      </c>
      <c r="T7267" s="23" t="str">
        <f t="shared" si="1310"/>
        <v/>
      </c>
      <c r="U7267" t="str">
        <f t="shared" si="1311"/>
        <v/>
      </c>
      <c r="V7267" s="376"/>
      <c r="W7267" s="53"/>
      <c r="X7267" s="53"/>
      <c r="Y7267"/>
      <c r="Z7267"/>
      <c r="AA7267" s="23"/>
      <c r="AB7267"/>
      <c r="AC7267" s="272"/>
      <c r="AD7267" s="272"/>
      <c r="AE7267" s="273"/>
      <c r="AM7267" s="29"/>
      <c r="AN7267"/>
      <c r="AO7267"/>
      <c r="AP7267"/>
      <c r="AQ7267" s="29"/>
      <c r="AR7267" s="29"/>
      <c r="AS7267" s="29"/>
      <c r="AT7267"/>
      <c r="AV7267"/>
      <c r="AW7267"/>
    </row>
    <row r="7268" spans="1:49">
      <c r="A7268" s="23" t="s">
        <v>8022</v>
      </c>
      <c r="B7268" t="s">
        <v>7712</v>
      </c>
      <c r="C7268">
        <v>1</v>
      </c>
      <c r="D7268" s="55" t="str">
        <f t="shared" si="1304"/>
        <v>County Council*1(vote 1)</v>
      </c>
      <c r="E7268" t="s">
        <v>7856</v>
      </c>
      <c r="F7268" t="s">
        <v>1296</v>
      </c>
      <c r="G7268" s="254">
        <v>35346</v>
      </c>
      <c r="H7268"/>
      <c r="J7268" s="7"/>
      <c r="K7268" s="2"/>
      <c r="O7268">
        <f t="shared" si="1305"/>
        <v>1</v>
      </c>
      <c r="P7268" s="57">
        <f t="shared" si="1306"/>
        <v>1</v>
      </c>
      <c r="Q7268" s="267">
        <f t="shared" si="1307"/>
        <v>36420</v>
      </c>
      <c r="R7268" s="23">
        <f t="shared" si="1308"/>
        <v>35346</v>
      </c>
      <c r="S7268" s="23">
        <f t="shared" si="1309"/>
        <v>1074</v>
      </c>
      <c r="T7268" s="23">
        <f t="shared" si="1310"/>
        <v>34272</v>
      </c>
      <c r="U7268" t="str">
        <f t="shared" si="1311"/>
        <v>MD_2020g~Cnty8:County Council*1(vote 1)</v>
      </c>
      <c r="V7268" s="376"/>
      <c r="W7268" s="53"/>
      <c r="X7268" s="53"/>
      <c r="Y7268"/>
      <c r="Z7268"/>
      <c r="AA7268" s="23"/>
      <c r="AB7268"/>
      <c r="AC7268" s="272"/>
      <c r="AD7268" s="272"/>
      <c r="AE7268" s="273"/>
      <c r="AM7268" s="29"/>
      <c r="AN7268"/>
      <c r="AO7268"/>
      <c r="AP7268"/>
      <c r="AQ7268" s="29"/>
      <c r="AR7268" s="29"/>
      <c r="AS7268" s="29"/>
      <c r="AT7268"/>
      <c r="AV7268"/>
      <c r="AW7268"/>
    </row>
    <row r="7269" spans="1:49">
      <c r="A7269" s="23" t="s">
        <v>8022</v>
      </c>
      <c r="B7269" t="s">
        <v>7712</v>
      </c>
      <c r="C7269">
        <v>1</v>
      </c>
      <c r="D7269" s="55" t="str">
        <f t="shared" si="1304"/>
        <v>County Council*1(vote 1)</v>
      </c>
      <c r="E7269" t="s">
        <v>7722</v>
      </c>
      <c r="F7269" t="s">
        <v>7714</v>
      </c>
      <c r="G7269" s="254">
        <v>1074</v>
      </c>
      <c r="H7269"/>
      <c r="J7269" s="7"/>
      <c r="K7269" s="2"/>
      <c r="O7269">
        <f t="shared" si="1305"/>
        <v>2</v>
      </c>
      <c r="P7269" s="57">
        <f t="shared" si="1306"/>
        <v>1</v>
      </c>
      <c r="Q7269" s="267">
        <f t="shared" si="1307"/>
        <v>1074</v>
      </c>
      <c r="R7269" s="23" t="str">
        <f t="shared" si="1308"/>
        <v/>
      </c>
      <c r="S7269" s="23">
        <f t="shared" si="1309"/>
        <v>1074</v>
      </c>
      <c r="T7269" s="23" t="str">
        <f t="shared" si="1310"/>
        <v/>
      </c>
      <c r="U7269" t="str">
        <f t="shared" si="1311"/>
        <v/>
      </c>
      <c r="V7269" s="376"/>
      <c r="W7269" s="53"/>
      <c r="X7269" s="53"/>
      <c r="Y7269"/>
      <c r="Z7269"/>
      <c r="AA7269" s="23"/>
      <c r="AB7269"/>
      <c r="AC7269" s="272"/>
      <c r="AD7269" s="272"/>
      <c r="AE7269" s="273"/>
      <c r="AM7269" s="29"/>
      <c r="AN7269"/>
      <c r="AO7269"/>
      <c r="AP7269"/>
      <c r="AQ7269" s="29"/>
      <c r="AR7269" s="29"/>
      <c r="AS7269" s="29"/>
      <c r="AT7269"/>
      <c r="AV7269"/>
      <c r="AW7269"/>
    </row>
    <row r="7270" spans="1:49">
      <c r="A7270" s="23" t="s">
        <v>8023</v>
      </c>
      <c r="B7270" t="s">
        <v>7712</v>
      </c>
      <c r="C7270">
        <v>1</v>
      </c>
      <c r="D7270" s="55" t="str">
        <f t="shared" si="1304"/>
        <v>County Council*5(vote 1)</v>
      </c>
      <c r="E7270" t="s">
        <v>7857</v>
      </c>
      <c r="F7270" t="s">
        <v>1296</v>
      </c>
      <c r="G7270" s="254">
        <v>34495</v>
      </c>
      <c r="H7270"/>
      <c r="J7270" s="7"/>
      <c r="K7270" s="2"/>
      <c r="O7270">
        <f t="shared" si="1305"/>
        <v>1</v>
      </c>
      <c r="P7270" s="57">
        <f t="shared" si="1306"/>
        <v>1</v>
      </c>
      <c r="Q7270" s="267">
        <f t="shared" si="1307"/>
        <v>35677</v>
      </c>
      <c r="R7270" s="23">
        <f t="shared" si="1308"/>
        <v>34495</v>
      </c>
      <c r="S7270" s="23">
        <f t="shared" si="1309"/>
        <v>1182</v>
      </c>
      <c r="T7270" s="23">
        <f t="shared" si="1310"/>
        <v>33313</v>
      </c>
      <c r="U7270" t="str">
        <f t="shared" si="1311"/>
        <v>MD_2020g~Cnty8:County Council*5(vote 1)</v>
      </c>
      <c r="V7270" s="376"/>
      <c r="W7270" s="53"/>
      <c r="X7270" s="53"/>
      <c r="Y7270"/>
      <c r="Z7270"/>
      <c r="AA7270" s="23"/>
      <c r="AB7270"/>
      <c r="AC7270" s="272"/>
      <c r="AD7270" s="272"/>
      <c r="AE7270" s="273"/>
      <c r="AM7270" s="29"/>
      <c r="AN7270"/>
      <c r="AO7270"/>
      <c r="AP7270"/>
      <c r="AQ7270" s="29"/>
      <c r="AR7270" s="29"/>
      <c r="AS7270" s="29"/>
      <c r="AT7270"/>
      <c r="AV7270"/>
      <c r="AW7270"/>
    </row>
    <row r="7271" spans="1:49">
      <c r="A7271" s="23" t="s">
        <v>8023</v>
      </c>
      <c r="B7271" t="s">
        <v>7712</v>
      </c>
      <c r="C7271">
        <v>1</v>
      </c>
      <c r="D7271" s="55" t="str">
        <f t="shared" si="1304"/>
        <v>County Council*5(vote 1)</v>
      </c>
      <c r="E7271" t="s">
        <v>7722</v>
      </c>
      <c r="F7271" t="s">
        <v>7714</v>
      </c>
      <c r="G7271" s="254">
        <v>1182</v>
      </c>
      <c r="H7271"/>
      <c r="J7271" s="7"/>
      <c r="K7271" s="2"/>
      <c r="O7271">
        <f t="shared" si="1305"/>
        <v>2</v>
      </c>
      <c r="P7271" s="57">
        <f t="shared" si="1306"/>
        <v>1</v>
      </c>
      <c r="Q7271" s="267">
        <f t="shared" si="1307"/>
        <v>1182</v>
      </c>
      <c r="R7271" s="23" t="str">
        <f t="shared" si="1308"/>
        <v/>
      </c>
      <c r="S7271" s="23">
        <f t="shared" si="1309"/>
        <v>1182</v>
      </c>
      <c r="T7271" s="23" t="str">
        <f t="shared" si="1310"/>
        <v/>
      </c>
      <c r="U7271" t="str">
        <f t="shared" si="1311"/>
        <v/>
      </c>
      <c r="V7271" s="376"/>
      <c r="W7271" s="53"/>
      <c r="X7271" s="53"/>
      <c r="Y7271"/>
      <c r="Z7271"/>
      <c r="AA7271" s="23"/>
      <c r="AB7271"/>
      <c r="AC7271" s="272"/>
      <c r="AD7271" s="272"/>
      <c r="AE7271" s="273"/>
      <c r="AM7271" s="29"/>
      <c r="AN7271"/>
      <c r="AO7271"/>
      <c r="AP7271"/>
      <c r="AQ7271" s="29"/>
      <c r="AR7271" s="29"/>
      <c r="AS7271" s="29"/>
      <c r="AT7271"/>
      <c r="AV7271"/>
      <c r="AW7271"/>
    </row>
    <row r="7272" spans="1:49">
      <c r="A7272" s="23" t="s">
        <v>8024</v>
      </c>
      <c r="B7272" t="s">
        <v>7712</v>
      </c>
      <c r="C7272">
        <v>1</v>
      </c>
      <c r="D7272" s="55" t="str">
        <f t="shared" si="1304"/>
        <v>County Executive*(vote 1)</v>
      </c>
      <c r="E7272" t="s">
        <v>7858</v>
      </c>
      <c r="F7272" t="s">
        <v>1296</v>
      </c>
      <c r="G7272" s="254">
        <v>28966</v>
      </c>
      <c r="H7272"/>
      <c r="J7272" s="7"/>
      <c r="K7272" s="2"/>
      <c r="O7272">
        <f t="shared" si="1305"/>
        <v>1</v>
      </c>
      <c r="P7272" s="57">
        <f t="shared" si="1306"/>
        <v>1</v>
      </c>
      <c r="Q7272" s="267">
        <f t="shared" si="1307"/>
        <v>45660</v>
      </c>
      <c r="R7272" s="23">
        <f t="shared" si="1308"/>
        <v>28966</v>
      </c>
      <c r="S7272" s="23">
        <f t="shared" si="1309"/>
        <v>16564</v>
      </c>
      <c r="T7272" s="23">
        <f t="shared" si="1310"/>
        <v>12402</v>
      </c>
      <c r="U7272" t="str">
        <f t="shared" si="1311"/>
        <v>MD_2020g~Cnty8:County Executive*(vote 1)</v>
      </c>
      <c r="V7272" s="376"/>
      <c r="W7272" s="53"/>
      <c r="X7272" s="53"/>
      <c r="Y7272"/>
      <c r="Z7272"/>
      <c r="AA7272" s="23"/>
      <c r="AB7272"/>
      <c r="AC7272" s="272"/>
      <c r="AD7272" s="272"/>
      <c r="AE7272" s="273"/>
      <c r="AM7272" s="29"/>
      <c r="AN7272"/>
      <c r="AO7272"/>
      <c r="AP7272"/>
      <c r="AQ7272" s="29"/>
      <c r="AR7272" s="29"/>
      <c r="AS7272" s="29"/>
      <c r="AT7272"/>
      <c r="AV7272"/>
      <c r="AW7272"/>
    </row>
    <row r="7273" spans="1:49">
      <c r="A7273" s="23" t="s">
        <v>8024</v>
      </c>
      <c r="B7273" t="s">
        <v>7712</v>
      </c>
      <c r="C7273">
        <v>1</v>
      </c>
      <c r="D7273" s="55" t="str">
        <f t="shared" si="1304"/>
        <v>County Executive*(vote 1)</v>
      </c>
      <c r="E7273" t="s">
        <v>7859</v>
      </c>
      <c r="F7273" t="s">
        <v>1294</v>
      </c>
      <c r="G7273" s="254">
        <v>16564</v>
      </c>
      <c r="H7273"/>
      <c r="J7273" s="7"/>
      <c r="K7273" s="2"/>
      <c r="O7273">
        <f t="shared" si="1305"/>
        <v>2</v>
      </c>
      <c r="P7273" s="57">
        <f t="shared" si="1306"/>
        <v>1</v>
      </c>
      <c r="Q7273" s="267">
        <f t="shared" si="1307"/>
        <v>16694</v>
      </c>
      <c r="R7273" s="23" t="str">
        <f t="shared" si="1308"/>
        <v/>
      </c>
      <c r="S7273" s="23">
        <f t="shared" si="1309"/>
        <v>16564</v>
      </c>
      <c r="T7273" s="23" t="str">
        <f t="shared" si="1310"/>
        <v/>
      </c>
      <c r="U7273" t="str">
        <f t="shared" si="1311"/>
        <v/>
      </c>
      <c r="V7273" s="376"/>
      <c r="W7273" s="53"/>
      <c r="X7273" s="53"/>
      <c r="Y7273"/>
      <c r="Z7273"/>
      <c r="AA7273" s="23"/>
      <c r="AB7273"/>
      <c r="AC7273" s="272"/>
      <c r="AD7273" s="272"/>
      <c r="AE7273" s="273"/>
      <c r="AM7273" s="29"/>
      <c r="AN7273"/>
      <c r="AO7273"/>
      <c r="AP7273"/>
      <c r="AQ7273" s="29"/>
      <c r="AR7273" s="29"/>
      <c r="AS7273" s="29"/>
      <c r="AT7273"/>
      <c r="AV7273"/>
      <c r="AW7273"/>
    </row>
    <row r="7274" spans="1:49">
      <c r="A7274" s="23" t="s">
        <v>8024</v>
      </c>
      <c r="B7274" t="s">
        <v>7712</v>
      </c>
      <c r="C7274">
        <v>1</v>
      </c>
      <c r="D7274" s="55" t="str">
        <f t="shared" si="1304"/>
        <v>County Executive*(vote 1)</v>
      </c>
      <c r="E7274" t="s">
        <v>7722</v>
      </c>
      <c r="F7274" t="s">
        <v>7714</v>
      </c>
      <c r="G7274" s="254">
        <v>130</v>
      </c>
      <c r="H7274"/>
      <c r="J7274" s="7"/>
      <c r="K7274" s="2"/>
      <c r="O7274">
        <f t="shared" si="1305"/>
        <v>3</v>
      </c>
      <c r="P7274" s="57">
        <f t="shared" si="1306"/>
        <v>1</v>
      </c>
      <c r="Q7274" s="267">
        <f t="shared" si="1307"/>
        <v>130</v>
      </c>
      <c r="R7274" s="23" t="str">
        <f t="shared" si="1308"/>
        <v/>
      </c>
      <c r="S7274" s="23">
        <f t="shared" si="1309"/>
        <v>130</v>
      </c>
      <c r="T7274" s="23" t="str">
        <f t="shared" si="1310"/>
        <v/>
      </c>
      <c r="U7274" t="str">
        <f t="shared" si="1311"/>
        <v/>
      </c>
      <c r="V7274" s="376"/>
      <c r="W7274" s="53"/>
      <c r="X7274" s="53"/>
      <c r="Y7274"/>
      <c r="Z7274"/>
      <c r="AA7274" s="23"/>
      <c r="AB7274"/>
      <c r="AC7274" s="272"/>
      <c r="AD7274" s="272"/>
      <c r="AE7274" s="273"/>
      <c r="AM7274" s="29"/>
      <c r="AN7274"/>
      <c r="AO7274"/>
      <c r="AP7274"/>
      <c r="AQ7274" s="29"/>
      <c r="AR7274" s="29"/>
      <c r="AS7274" s="29"/>
      <c r="AT7274"/>
      <c r="AV7274"/>
      <c r="AW7274"/>
    </row>
    <row r="7275" spans="1:49">
      <c r="A7275" s="23" t="s">
        <v>8025</v>
      </c>
      <c r="B7275" t="s">
        <v>7712</v>
      </c>
      <c r="C7275">
        <v>1</v>
      </c>
      <c r="D7275" s="55" t="str">
        <f t="shared" si="1304"/>
        <v>Judge of the Circuit Court*7(vote 1)</v>
      </c>
      <c r="E7275" t="s">
        <v>7860</v>
      </c>
      <c r="F7275" t="s">
        <v>7714</v>
      </c>
      <c r="G7275" s="254">
        <v>50200</v>
      </c>
      <c r="H7275"/>
      <c r="J7275" s="7"/>
      <c r="K7275" s="2"/>
      <c r="O7275">
        <f t="shared" si="1305"/>
        <v>1</v>
      </c>
      <c r="P7275" s="57">
        <f t="shared" si="1306"/>
        <v>1</v>
      </c>
      <c r="Q7275" s="267">
        <f t="shared" si="1307"/>
        <v>85932</v>
      </c>
      <c r="R7275" s="23">
        <f t="shared" si="1308"/>
        <v>50200</v>
      </c>
      <c r="S7275" s="23">
        <f t="shared" si="1309"/>
        <v>35591</v>
      </c>
      <c r="T7275" s="23">
        <f t="shared" si="1310"/>
        <v>14609</v>
      </c>
      <c r="U7275" t="str">
        <f t="shared" si="1311"/>
        <v>MD_2020g~Cnty9:Judge of the Circuit Court*7(vote 1)</v>
      </c>
      <c r="V7275" s="376"/>
      <c r="W7275" s="53"/>
      <c r="X7275" s="53"/>
      <c r="Y7275"/>
      <c r="Z7275"/>
      <c r="AA7275" s="23"/>
      <c r="AB7275"/>
      <c r="AC7275" s="272"/>
      <c r="AD7275" s="272"/>
      <c r="AE7275" s="273"/>
      <c r="AM7275" s="29"/>
      <c r="AN7275"/>
      <c r="AO7275"/>
      <c r="AP7275"/>
      <c r="AQ7275" s="29"/>
      <c r="AR7275" s="29"/>
      <c r="AS7275" s="29"/>
      <c r="AT7275"/>
      <c r="AV7275"/>
      <c r="AW7275"/>
    </row>
    <row r="7276" spans="1:49">
      <c r="A7276" s="23" t="s">
        <v>8025</v>
      </c>
      <c r="B7276" t="s">
        <v>7712</v>
      </c>
      <c r="C7276">
        <v>1</v>
      </c>
      <c r="D7276" s="55" t="str">
        <f t="shared" si="1304"/>
        <v>Judge of the Circuit Court*7(vote 1)</v>
      </c>
      <c r="E7276" t="s">
        <v>7861</v>
      </c>
      <c r="F7276" t="s">
        <v>7714</v>
      </c>
      <c r="G7276" s="254">
        <v>35591</v>
      </c>
      <c r="H7276"/>
      <c r="J7276" s="7"/>
      <c r="K7276" s="2"/>
      <c r="O7276">
        <f t="shared" si="1305"/>
        <v>2</v>
      </c>
      <c r="P7276" s="57">
        <f t="shared" si="1306"/>
        <v>1</v>
      </c>
      <c r="Q7276" s="267">
        <f t="shared" si="1307"/>
        <v>35732</v>
      </c>
      <c r="R7276" s="23" t="str">
        <f t="shared" si="1308"/>
        <v/>
      </c>
      <c r="S7276" s="23">
        <f t="shared" si="1309"/>
        <v>35591</v>
      </c>
      <c r="T7276" s="23" t="str">
        <f t="shared" si="1310"/>
        <v/>
      </c>
      <c r="U7276" t="str">
        <f t="shared" si="1311"/>
        <v/>
      </c>
      <c r="V7276" s="376"/>
      <c r="W7276" s="53"/>
      <c r="X7276" s="53"/>
      <c r="Y7276"/>
      <c r="Z7276"/>
      <c r="AA7276" s="23"/>
      <c r="AB7276"/>
      <c r="AC7276" s="272"/>
      <c r="AD7276" s="272"/>
      <c r="AE7276" s="273"/>
      <c r="AM7276" s="29"/>
      <c r="AN7276"/>
      <c r="AO7276"/>
      <c r="AP7276"/>
      <c r="AQ7276" s="29"/>
      <c r="AR7276" s="29"/>
      <c r="AS7276" s="29"/>
      <c r="AT7276"/>
      <c r="AV7276"/>
      <c r="AW7276"/>
    </row>
    <row r="7277" spans="1:49">
      <c r="A7277" s="23" t="s">
        <v>8025</v>
      </c>
      <c r="B7277" t="s">
        <v>7712</v>
      </c>
      <c r="C7277">
        <v>1</v>
      </c>
      <c r="D7277" s="55" t="str">
        <f t="shared" si="1304"/>
        <v>Judge of the Circuit Court*7(vote 1)</v>
      </c>
      <c r="E7277" t="s">
        <v>7722</v>
      </c>
      <c r="F7277" t="s">
        <v>7714</v>
      </c>
      <c r="G7277" s="254">
        <v>141</v>
      </c>
      <c r="H7277"/>
      <c r="J7277" s="7"/>
      <c r="K7277" s="2"/>
      <c r="O7277">
        <f t="shared" si="1305"/>
        <v>3</v>
      </c>
      <c r="P7277" s="57">
        <f t="shared" si="1306"/>
        <v>1</v>
      </c>
      <c r="Q7277" s="267">
        <f t="shared" si="1307"/>
        <v>141</v>
      </c>
      <c r="R7277" s="23" t="str">
        <f t="shared" si="1308"/>
        <v/>
      </c>
      <c r="S7277" s="23">
        <f t="shared" si="1309"/>
        <v>141</v>
      </c>
      <c r="T7277" s="23" t="str">
        <f t="shared" si="1310"/>
        <v/>
      </c>
      <c r="U7277" t="str">
        <f t="shared" si="1311"/>
        <v/>
      </c>
      <c r="V7277" s="376"/>
      <c r="W7277" s="53"/>
      <c r="X7277" s="53"/>
      <c r="Y7277"/>
      <c r="Z7277"/>
      <c r="AA7277" s="23"/>
      <c r="AB7277"/>
      <c r="AC7277" s="272"/>
      <c r="AD7277" s="272"/>
      <c r="AE7277" s="273"/>
      <c r="AM7277" s="29"/>
      <c r="AN7277"/>
      <c r="AO7277"/>
      <c r="AP7277"/>
      <c r="AQ7277" s="29"/>
      <c r="AR7277" s="29"/>
      <c r="AS7277" s="29"/>
      <c r="AT7277"/>
      <c r="AV7277"/>
      <c r="AW7277"/>
    </row>
    <row r="7278" spans="1:49">
      <c r="A7278" t="str">
        <f t="shared" ref="A7278:A7341" si="1312">CONCATENATE(B7278,"~",F7278,"-",LOWER(D7278))</f>
        <v>NY_Catta_2021g~-~councilman (to fill vacancy) (2-year term) (vote for one) for town of ashford, cattaraugus~vote for 1,</v>
      </c>
      <c r="B7278" t="s">
        <v>8101</v>
      </c>
      <c r="C7278" s="1"/>
      <c r="D7278" t="s">
        <v>8102</v>
      </c>
      <c r="E7278" s="12" t="s">
        <v>8103</v>
      </c>
      <c r="F7278" s="12"/>
      <c r="G7278" s="12">
        <v>301</v>
      </c>
      <c r="H7278" s="143">
        <v>0.99670000000000003</v>
      </c>
      <c r="J7278" s="143"/>
      <c r="K7278" s="143"/>
      <c r="L7278" s="143"/>
      <c r="M7278" s="143"/>
      <c r="N7278" s="143"/>
      <c r="O7278">
        <f t="shared" si="1305"/>
        <v>1</v>
      </c>
      <c r="P7278" s="134">
        <v>1</v>
      </c>
      <c r="Q7278" s="267">
        <f t="shared" ref="Q7278:Q7341" si="1313">IF(A7278&lt;&gt;A7279,G7278,IF(A7278=A7277,G7278+Q7279,MAX(G7278,(G7278+Q7279)/P7278)))</f>
        <v>302</v>
      </c>
      <c r="R7278" s="23">
        <f t="shared" ref="R7278:R7341" si="1314">IF(O7278&gt;P7278,"",IF(O7278=P7278,G7278,IF(A7278=A7279,R7279,IF(O7278&lt;=0,1,G7278))))</f>
        <v>301</v>
      </c>
      <c r="S7278" s="23">
        <f t="shared" ref="S7278:S7341" si="1315">IF(AND(O7278&gt;P7278,LOWER(LEFT(E7278,8))&lt;&gt;"write-in",LOWER(LEFT(E7278,8))&lt;&gt;"not qual"),G7278,IF(A7278=A7279,S7279,0))</f>
        <v>0</v>
      </c>
      <c r="T7278" s="23" t="str">
        <f t="shared" ref="T7278:T7341" si="1316">IF(OR(A7278=A7277,S7278=0),"",R7278-ABS(S7278))</f>
        <v/>
      </c>
      <c r="U7278" t="str">
        <f t="shared" ref="U7278:U7341" si="1317">IF(A7278=A7277,"",A7278)</f>
        <v>NY_Catta_2021g~-~councilman (to fill vacancy) (2-year term) (vote for one) for town of ashford, cattaraugus~vote for 1,</v>
      </c>
      <c r="V7278" s="72"/>
      <c r="AT7278" s="20"/>
      <c r="AU7278" s="29"/>
      <c r="AV7278"/>
      <c r="AW7278"/>
    </row>
    <row r="7279" spans="1:49">
      <c r="A7279" t="str">
        <f t="shared" si="1312"/>
        <v>NY_Catta_2021g~-~councilman (to fill vacancy) (2-year term) (vote for one) for town of ashford, cattaraugus~vote for 1,</v>
      </c>
      <c r="B7279" t="s">
        <v>8101</v>
      </c>
      <c r="C7279" s="1"/>
      <c r="D7279" t="s">
        <v>8102</v>
      </c>
      <c r="E7279" s="12" t="s">
        <v>1299</v>
      </c>
      <c r="F7279" s="12"/>
      <c r="G7279" s="12">
        <v>1</v>
      </c>
      <c r="H7279" s="143">
        <v>3.3E-3</v>
      </c>
      <c r="J7279" s="143"/>
      <c r="K7279" s="143"/>
      <c r="L7279" s="143"/>
      <c r="M7279" s="143"/>
      <c r="N7279" s="143"/>
      <c r="O7279">
        <f t="shared" si="1305"/>
        <v>-1</v>
      </c>
      <c r="P7279" s="134">
        <v>1</v>
      </c>
      <c r="Q7279" s="267">
        <f t="shared" si="1313"/>
        <v>1</v>
      </c>
      <c r="R7279" s="23">
        <f t="shared" si="1314"/>
        <v>1</v>
      </c>
      <c r="S7279" s="23">
        <f t="shared" si="1315"/>
        <v>0</v>
      </c>
      <c r="T7279" s="23" t="str">
        <f t="shared" si="1316"/>
        <v/>
      </c>
      <c r="U7279" t="str">
        <f t="shared" si="1317"/>
        <v/>
      </c>
      <c r="V7279" s="72"/>
      <c r="AT7279" s="20"/>
      <c r="AU7279" s="29"/>
      <c r="AV7279"/>
      <c r="AW7279"/>
    </row>
    <row r="7280" spans="1:49">
      <c r="A7280" t="str">
        <f t="shared" si="1312"/>
        <v>NY_Catta_2021g~-~councilman (to fill vacancy) (2-year term) (vote for one) for town of lyndon, cattaraugus~vote for 1,</v>
      </c>
      <c r="B7280" t="s">
        <v>8101</v>
      </c>
      <c r="D7280" t="s">
        <v>8104</v>
      </c>
      <c r="E7280" t="s">
        <v>8105</v>
      </c>
      <c r="G7280">
        <v>119</v>
      </c>
      <c r="H7280">
        <v>0.5484</v>
      </c>
      <c r="N7280"/>
      <c r="O7280">
        <f t="shared" si="1305"/>
        <v>1</v>
      </c>
      <c r="P7280" s="20">
        <v>1</v>
      </c>
      <c r="Q7280" s="267">
        <f t="shared" si="1313"/>
        <v>217</v>
      </c>
      <c r="R7280" s="23">
        <f t="shared" si="1314"/>
        <v>119</v>
      </c>
      <c r="S7280" s="23">
        <f t="shared" si="1315"/>
        <v>97</v>
      </c>
      <c r="T7280" s="23">
        <f t="shared" si="1316"/>
        <v>22</v>
      </c>
      <c r="U7280" t="str">
        <f t="shared" si="1317"/>
        <v>NY_Catta_2021g~-~councilman (to fill vacancy) (2-year term) (vote for one) for town of lyndon, cattaraugus~vote for 1,</v>
      </c>
      <c r="V7280" s="72"/>
      <c r="AT7280" s="20"/>
      <c r="AU7280" s="29"/>
      <c r="AV7280"/>
      <c r="AW7280"/>
    </row>
    <row r="7281" spans="1:49">
      <c r="A7281" t="str">
        <f t="shared" si="1312"/>
        <v>NY_Catta_2021g~-~councilman (to fill vacancy) (2-year term) (vote for one) for town of lyndon, cattaraugus~vote for 1,</v>
      </c>
      <c r="B7281" t="s">
        <v>8101</v>
      </c>
      <c r="D7281" t="s">
        <v>8104</v>
      </c>
      <c r="E7281" t="s">
        <v>8106</v>
      </c>
      <c r="G7281">
        <v>97</v>
      </c>
      <c r="H7281">
        <v>0.44700000000000001</v>
      </c>
      <c r="N7281"/>
      <c r="O7281">
        <f t="shared" si="1305"/>
        <v>2</v>
      </c>
      <c r="P7281" s="20">
        <v>1</v>
      </c>
      <c r="Q7281" s="267">
        <f t="shared" si="1313"/>
        <v>98</v>
      </c>
      <c r="R7281" s="23" t="str">
        <f t="shared" si="1314"/>
        <v/>
      </c>
      <c r="S7281" s="23">
        <f t="shared" si="1315"/>
        <v>97</v>
      </c>
      <c r="T7281" s="23" t="str">
        <f t="shared" si="1316"/>
        <v/>
      </c>
      <c r="U7281" t="str">
        <f t="shared" si="1317"/>
        <v/>
      </c>
      <c r="V7281" s="72"/>
      <c r="AT7281" s="20"/>
      <c r="AU7281" s="29"/>
      <c r="AV7281"/>
      <c r="AW7281"/>
    </row>
    <row r="7282" spans="1:49">
      <c r="A7282" t="str">
        <f t="shared" si="1312"/>
        <v>NY_Catta_2021g~-~councilman (to fill vacancy) (2-year term) (vote for one) for town of lyndon, cattaraugus~vote for 1,</v>
      </c>
      <c r="B7282" t="s">
        <v>8101</v>
      </c>
      <c r="D7282" t="s">
        <v>8104</v>
      </c>
      <c r="E7282" t="s">
        <v>1299</v>
      </c>
      <c r="G7282">
        <v>1</v>
      </c>
      <c r="H7282">
        <v>4.5999999999999999E-3</v>
      </c>
      <c r="N7282"/>
      <c r="O7282">
        <f t="shared" si="1305"/>
        <v>-2</v>
      </c>
      <c r="P7282" s="20">
        <v>1</v>
      </c>
      <c r="Q7282" s="267">
        <f t="shared" si="1313"/>
        <v>1</v>
      </c>
      <c r="R7282" s="23">
        <f t="shared" si="1314"/>
        <v>1</v>
      </c>
      <c r="S7282" s="23">
        <f t="shared" si="1315"/>
        <v>0</v>
      </c>
      <c r="T7282" s="23" t="str">
        <f t="shared" si="1316"/>
        <v/>
      </c>
      <c r="U7282" t="str">
        <f t="shared" si="1317"/>
        <v/>
      </c>
      <c r="V7282" s="72"/>
      <c r="AT7282" s="20"/>
      <c r="AU7282" s="29"/>
      <c r="AV7282"/>
      <c r="AW7282"/>
    </row>
    <row r="7283" spans="1:49">
      <c r="A7283" t="str">
        <f t="shared" si="1312"/>
        <v>NY_Catta_2021g~-~councilman (to fill vacancy) (2-year term) (vote for one) for town of new albion, cattaraugus~vote for 1,</v>
      </c>
      <c r="B7283" t="s">
        <v>8101</v>
      </c>
      <c r="D7283" t="s">
        <v>8107</v>
      </c>
      <c r="E7283" t="s">
        <v>8108</v>
      </c>
      <c r="G7283">
        <v>151</v>
      </c>
      <c r="H7283">
        <v>0.94969999999999999</v>
      </c>
      <c r="N7283"/>
      <c r="O7283">
        <f t="shared" si="1305"/>
        <v>1</v>
      </c>
      <c r="P7283" s="20">
        <v>1</v>
      </c>
      <c r="Q7283" s="267">
        <f t="shared" si="1313"/>
        <v>159</v>
      </c>
      <c r="R7283" s="23">
        <f t="shared" si="1314"/>
        <v>151</v>
      </c>
      <c r="S7283" s="23">
        <f t="shared" si="1315"/>
        <v>0</v>
      </c>
      <c r="T7283" s="23" t="str">
        <f t="shared" si="1316"/>
        <v/>
      </c>
      <c r="U7283" t="str">
        <f t="shared" si="1317"/>
        <v>NY_Catta_2021g~-~councilman (to fill vacancy) (2-year term) (vote for one) for town of new albion, cattaraugus~vote for 1,</v>
      </c>
      <c r="V7283" s="72"/>
      <c r="AT7283" s="20"/>
      <c r="AU7283" s="29"/>
      <c r="AV7283"/>
      <c r="AW7283"/>
    </row>
    <row r="7284" spans="1:49">
      <c r="A7284" t="str">
        <f t="shared" si="1312"/>
        <v>NY_Catta_2021g~-~councilman (to fill vacancy) (2-year term) (vote for one) for town of new albion, cattaraugus~vote for 1,</v>
      </c>
      <c r="B7284" t="s">
        <v>8101</v>
      </c>
      <c r="D7284" t="s">
        <v>8107</v>
      </c>
      <c r="E7284" t="s">
        <v>1299</v>
      </c>
      <c r="G7284">
        <v>8</v>
      </c>
      <c r="H7284">
        <v>5.0299999999999997E-2</v>
      </c>
      <c r="N7284"/>
      <c r="O7284">
        <f t="shared" si="1305"/>
        <v>-1</v>
      </c>
      <c r="P7284" s="20">
        <v>1</v>
      </c>
      <c r="Q7284" s="267">
        <f t="shared" si="1313"/>
        <v>8</v>
      </c>
      <c r="R7284" s="23">
        <f t="shared" si="1314"/>
        <v>1</v>
      </c>
      <c r="S7284" s="23">
        <f t="shared" si="1315"/>
        <v>0</v>
      </c>
      <c r="T7284" s="23" t="str">
        <f t="shared" si="1316"/>
        <v/>
      </c>
      <c r="U7284" t="str">
        <f t="shared" si="1317"/>
        <v/>
      </c>
      <c r="V7284" s="72"/>
      <c r="AT7284" s="20"/>
      <c r="AU7284" s="29"/>
      <c r="AV7284"/>
      <c r="AW7284"/>
    </row>
    <row r="7285" spans="1:49">
      <c r="A7285" t="str">
        <f t="shared" si="1312"/>
        <v>NY_Catta_2021g~-~councilman (to fill vacancy) (2-year term) (vote for one) for town of portville, cattaraugus~vote for 1,</v>
      </c>
      <c r="B7285" t="s">
        <v>8101</v>
      </c>
      <c r="D7285" t="s">
        <v>8109</v>
      </c>
      <c r="E7285" t="s">
        <v>8110</v>
      </c>
      <c r="G7285">
        <v>434</v>
      </c>
      <c r="H7285">
        <v>0.99770000000000003</v>
      </c>
      <c r="N7285"/>
      <c r="O7285">
        <f t="shared" si="1305"/>
        <v>1</v>
      </c>
      <c r="P7285" s="20">
        <v>1</v>
      </c>
      <c r="Q7285" s="267">
        <f t="shared" si="1313"/>
        <v>435</v>
      </c>
      <c r="R7285" s="23">
        <f t="shared" si="1314"/>
        <v>434</v>
      </c>
      <c r="S7285" s="23">
        <f t="shared" si="1315"/>
        <v>0</v>
      </c>
      <c r="T7285" s="23" t="str">
        <f t="shared" si="1316"/>
        <v/>
      </c>
      <c r="U7285" t="str">
        <f t="shared" si="1317"/>
        <v>NY_Catta_2021g~-~councilman (to fill vacancy) (2-year term) (vote for one) for town of portville, cattaraugus~vote for 1,</v>
      </c>
      <c r="V7285" s="72"/>
      <c r="AT7285" s="20"/>
      <c r="AU7285" s="29"/>
      <c r="AV7285"/>
      <c r="AW7285"/>
    </row>
    <row r="7286" spans="1:49">
      <c r="A7286" t="str">
        <f t="shared" si="1312"/>
        <v>NY_Catta_2021g~-~councilman (to fill vacancy) (2-year term) (vote for one) for town of portville, cattaraugus~vote for 1,</v>
      </c>
      <c r="B7286" t="s">
        <v>8101</v>
      </c>
      <c r="D7286" t="s">
        <v>8109</v>
      </c>
      <c r="E7286" t="s">
        <v>1299</v>
      </c>
      <c r="G7286">
        <v>1</v>
      </c>
      <c r="H7286">
        <v>2.3E-3</v>
      </c>
      <c r="N7286"/>
      <c r="O7286">
        <f t="shared" si="1305"/>
        <v>-1</v>
      </c>
      <c r="P7286" s="20">
        <v>1</v>
      </c>
      <c r="Q7286" s="267">
        <f t="shared" si="1313"/>
        <v>1</v>
      </c>
      <c r="R7286" s="23">
        <f t="shared" si="1314"/>
        <v>1</v>
      </c>
      <c r="S7286" s="23">
        <f t="shared" si="1315"/>
        <v>0</v>
      </c>
      <c r="T7286" s="23" t="str">
        <f t="shared" si="1316"/>
        <v/>
      </c>
      <c r="U7286" t="str">
        <f t="shared" si="1317"/>
        <v/>
      </c>
      <c r="V7286" s="72"/>
      <c r="AT7286" s="20"/>
      <c r="AU7286" s="29"/>
      <c r="AV7286"/>
      <c r="AW7286"/>
    </row>
    <row r="7287" spans="1:49">
      <c r="A7287" t="str">
        <f t="shared" si="1312"/>
        <v>NY_Catta_2021g~-~councilman (to fill vacancy) (2-year term) (vote for up to two) for town of perrysburg, cattaraugus~vote for 2,</v>
      </c>
      <c r="B7287" t="s">
        <v>8101</v>
      </c>
      <c r="D7287" t="s">
        <v>8111</v>
      </c>
      <c r="E7287" t="s">
        <v>8112</v>
      </c>
      <c r="G7287">
        <v>200</v>
      </c>
      <c r="H7287">
        <v>0.33729999999999999</v>
      </c>
      <c r="N7287"/>
      <c r="O7287">
        <f t="shared" si="1305"/>
        <v>1</v>
      </c>
      <c r="P7287" s="20">
        <v>2</v>
      </c>
      <c r="Q7287" s="267">
        <f t="shared" si="1313"/>
        <v>296.5</v>
      </c>
      <c r="R7287" s="23">
        <f t="shared" si="1314"/>
        <v>173</v>
      </c>
      <c r="S7287" s="23">
        <f t="shared" si="1315"/>
        <v>133</v>
      </c>
      <c r="T7287" s="23">
        <f t="shared" si="1316"/>
        <v>40</v>
      </c>
      <c r="U7287" t="str">
        <f t="shared" si="1317"/>
        <v>NY_Catta_2021g~-~councilman (to fill vacancy) (2-year term) (vote for up to two) for town of perrysburg, cattaraugus~vote for 2,</v>
      </c>
      <c r="V7287" s="72"/>
      <c r="AT7287" s="20"/>
      <c r="AU7287" s="29"/>
      <c r="AV7287"/>
      <c r="AW7287"/>
    </row>
    <row r="7288" spans="1:49">
      <c r="A7288" t="str">
        <f t="shared" si="1312"/>
        <v>NY_Catta_2021g~-~councilman (to fill vacancy) (2-year term) (vote for up to two) for town of perrysburg, cattaraugus~vote for 2,</v>
      </c>
      <c r="B7288" t="s">
        <v>8101</v>
      </c>
      <c r="D7288" t="s">
        <v>8111</v>
      </c>
      <c r="E7288" t="s">
        <v>8113</v>
      </c>
      <c r="G7288">
        <v>173</v>
      </c>
      <c r="H7288">
        <v>0.29170000000000001</v>
      </c>
      <c r="N7288"/>
      <c r="O7288">
        <f t="shared" si="1305"/>
        <v>2</v>
      </c>
      <c r="P7288" s="20">
        <v>2</v>
      </c>
      <c r="Q7288" s="267">
        <f t="shared" si="1313"/>
        <v>393</v>
      </c>
      <c r="R7288" s="23">
        <f t="shared" si="1314"/>
        <v>173</v>
      </c>
      <c r="S7288" s="23">
        <f t="shared" si="1315"/>
        <v>133</v>
      </c>
      <c r="T7288" s="23" t="str">
        <f t="shared" si="1316"/>
        <v/>
      </c>
      <c r="U7288" t="str">
        <f t="shared" si="1317"/>
        <v/>
      </c>
      <c r="V7288" s="72"/>
      <c r="AT7288" s="20"/>
      <c r="AU7288" s="29"/>
      <c r="AV7288"/>
      <c r="AW7288"/>
    </row>
    <row r="7289" spans="1:49">
      <c r="A7289" t="str">
        <f t="shared" si="1312"/>
        <v>NY_Catta_2021g~-~councilman (to fill vacancy) (2-year term) (vote for up to two) for town of perrysburg, cattaraugus~vote for 2,</v>
      </c>
      <c r="B7289" t="s">
        <v>8101</v>
      </c>
      <c r="D7289" t="s">
        <v>8111</v>
      </c>
      <c r="E7289" t="s">
        <v>8114</v>
      </c>
      <c r="G7289">
        <v>133</v>
      </c>
      <c r="H7289">
        <v>0.2243</v>
      </c>
      <c r="N7289"/>
      <c r="O7289">
        <f t="shared" si="1305"/>
        <v>3</v>
      </c>
      <c r="P7289" s="20">
        <v>2</v>
      </c>
      <c r="Q7289" s="267">
        <f t="shared" si="1313"/>
        <v>220</v>
      </c>
      <c r="R7289" s="23" t="str">
        <f t="shared" si="1314"/>
        <v/>
      </c>
      <c r="S7289" s="23">
        <f t="shared" si="1315"/>
        <v>133</v>
      </c>
      <c r="T7289" s="23" t="str">
        <f t="shared" si="1316"/>
        <v/>
      </c>
      <c r="U7289" t="str">
        <f t="shared" si="1317"/>
        <v/>
      </c>
      <c r="V7289" s="72"/>
      <c r="AT7289" s="20"/>
      <c r="AU7289" s="29"/>
      <c r="AV7289"/>
      <c r="AW7289"/>
    </row>
    <row r="7290" spans="1:49">
      <c r="A7290" t="str">
        <f t="shared" si="1312"/>
        <v>NY_Catta_2021g~-~councilman (to fill vacancy) (2-year term) (vote for up to two) for town of perrysburg, cattaraugus~vote for 2,</v>
      </c>
      <c r="B7290" t="s">
        <v>8101</v>
      </c>
      <c r="D7290" t="s">
        <v>8111</v>
      </c>
      <c r="E7290" t="s">
        <v>8115</v>
      </c>
      <c r="G7290">
        <v>84</v>
      </c>
      <c r="H7290">
        <v>0.14169999999999999</v>
      </c>
      <c r="N7290"/>
      <c r="O7290">
        <f t="shared" si="1305"/>
        <v>4</v>
      </c>
      <c r="P7290" s="20">
        <v>2</v>
      </c>
      <c r="Q7290" s="267">
        <f t="shared" si="1313"/>
        <v>87</v>
      </c>
      <c r="R7290" s="23" t="str">
        <f t="shared" si="1314"/>
        <v/>
      </c>
      <c r="S7290" s="23">
        <f t="shared" si="1315"/>
        <v>84</v>
      </c>
      <c r="T7290" s="23" t="str">
        <f t="shared" si="1316"/>
        <v/>
      </c>
      <c r="U7290" t="str">
        <f t="shared" si="1317"/>
        <v/>
      </c>
      <c r="V7290" s="72"/>
      <c r="AT7290" s="20"/>
      <c r="AU7290" s="29"/>
      <c r="AV7290"/>
      <c r="AW7290"/>
    </row>
    <row r="7291" spans="1:49">
      <c r="A7291" t="str">
        <f t="shared" si="1312"/>
        <v>NY_Catta_2021g~-~councilman (to fill vacancy) (2-year term) (vote for up to two) for town of perrysburg, cattaraugus~vote for 2,</v>
      </c>
      <c r="B7291" t="s">
        <v>8101</v>
      </c>
      <c r="D7291" t="s">
        <v>8111</v>
      </c>
      <c r="E7291" t="s">
        <v>1299</v>
      </c>
      <c r="G7291">
        <v>3</v>
      </c>
      <c r="H7291">
        <v>5.1000000000000004E-3</v>
      </c>
      <c r="N7291"/>
      <c r="O7291">
        <f t="shared" si="1305"/>
        <v>-4</v>
      </c>
      <c r="P7291" s="20">
        <v>2</v>
      </c>
      <c r="Q7291" s="267">
        <f t="shared" si="1313"/>
        <v>3</v>
      </c>
      <c r="R7291" s="23">
        <f t="shared" si="1314"/>
        <v>1</v>
      </c>
      <c r="S7291" s="23">
        <f t="shared" si="1315"/>
        <v>0</v>
      </c>
      <c r="T7291" s="23" t="str">
        <f t="shared" si="1316"/>
        <v/>
      </c>
      <c r="U7291" t="str">
        <f t="shared" si="1317"/>
        <v/>
      </c>
      <c r="V7291" s="72"/>
      <c r="AT7291" s="20"/>
      <c r="AU7291" s="29"/>
      <c r="AV7291"/>
      <c r="AW7291"/>
    </row>
    <row r="7292" spans="1:49">
      <c r="A7292" t="str">
        <f t="shared" si="1312"/>
        <v>NY_Catta_2021g~-~councilman (vote for up to two) (4-year term) for town of allegany, cattaraugus~vote for 2,</v>
      </c>
      <c r="B7292" t="s">
        <v>8101</v>
      </c>
      <c r="C7292" s="1"/>
      <c r="D7292" t="s">
        <v>8116</v>
      </c>
      <c r="E7292" s="12" t="s">
        <v>8117</v>
      </c>
      <c r="F7292" s="12"/>
      <c r="G7292" s="12">
        <v>834</v>
      </c>
      <c r="H7292" s="143">
        <v>0.51639999999999997</v>
      </c>
      <c r="J7292" s="143"/>
      <c r="K7292" s="143"/>
      <c r="L7292" s="143"/>
      <c r="M7292" s="143"/>
      <c r="N7292" s="143"/>
      <c r="O7292">
        <f t="shared" si="1305"/>
        <v>1</v>
      </c>
      <c r="P7292" s="134">
        <v>2</v>
      </c>
      <c r="Q7292" s="267">
        <f t="shared" si="1313"/>
        <v>834</v>
      </c>
      <c r="R7292" s="23">
        <f t="shared" si="1314"/>
        <v>777</v>
      </c>
      <c r="S7292" s="23">
        <f t="shared" si="1315"/>
        <v>0</v>
      </c>
      <c r="T7292" s="23" t="str">
        <f t="shared" si="1316"/>
        <v/>
      </c>
      <c r="U7292" t="str">
        <f t="shared" si="1317"/>
        <v>NY_Catta_2021g~-~councilman (vote for up to two) (4-year term) for town of allegany, cattaraugus~vote for 2,</v>
      </c>
      <c r="V7292" s="72"/>
      <c r="AT7292" s="20"/>
      <c r="AU7292" s="29"/>
      <c r="AV7292"/>
      <c r="AW7292"/>
    </row>
    <row r="7293" spans="1:49">
      <c r="A7293" t="str">
        <f t="shared" si="1312"/>
        <v>NY_Catta_2021g~-~councilman (vote for up to two) (4-year term) for town of allegany, cattaraugus~vote for 2,</v>
      </c>
      <c r="B7293" t="s">
        <v>8101</v>
      </c>
      <c r="C7293" s="1"/>
      <c r="D7293" t="s">
        <v>8116</v>
      </c>
      <c r="E7293" s="12" t="s">
        <v>8118</v>
      </c>
      <c r="F7293" s="12"/>
      <c r="G7293" s="12">
        <v>777</v>
      </c>
      <c r="H7293" s="143">
        <v>0.48110000000000003</v>
      </c>
      <c r="J7293" s="143"/>
      <c r="K7293" s="143"/>
      <c r="L7293" s="143"/>
      <c r="M7293" s="143"/>
      <c r="N7293" s="143"/>
      <c r="O7293">
        <f t="shared" si="1305"/>
        <v>2</v>
      </c>
      <c r="P7293" s="134">
        <v>2</v>
      </c>
      <c r="Q7293" s="267">
        <f t="shared" si="1313"/>
        <v>781</v>
      </c>
      <c r="R7293" s="23">
        <f t="shared" si="1314"/>
        <v>777</v>
      </c>
      <c r="S7293" s="23">
        <f t="shared" si="1315"/>
        <v>0</v>
      </c>
      <c r="T7293" s="23" t="str">
        <f t="shared" si="1316"/>
        <v/>
      </c>
      <c r="U7293" t="str">
        <f t="shared" si="1317"/>
        <v/>
      </c>
      <c r="V7293" s="72"/>
      <c r="AT7293" s="20"/>
      <c r="AU7293" s="29"/>
      <c r="AV7293"/>
      <c r="AW7293"/>
    </row>
    <row r="7294" spans="1:49">
      <c r="A7294" t="str">
        <f t="shared" si="1312"/>
        <v>NY_Catta_2021g~-~councilman (vote for up to two) (4-year term) for town of allegany, cattaraugus~vote for 2,</v>
      </c>
      <c r="B7294" t="s">
        <v>8101</v>
      </c>
      <c r="C7294" s="1"/>
      <c r="D7294" t="s">
        <v>8116</v>
      </c>
      <c r="E7294" s="12" t="s">
        <v>1299</v>
      </c>
      <c r="F7294" s="12"/>
      <c r="G7294" s="12">
        <v>4</v>
      </c>
      <c r="H7294" s="143">
        <v>2.5000000000000001E-3</v>
      </c>
      <c r="J7294" s="143"/>
      <c r="K7294" s="143"/>
      <c r="L7294" s="143"/>
      <c r="M7294" s="143"/>
      <c r="N7294" s="143"/>
      <c r="O7294">
        <f t="shared" si="1305"/>
        <v>-2</v>
      </c>
      <c r="P7294" s="134">
        <v>2</v>
      </c>
      <c r="Q7294" s="267">
        <f t="shared" si="1313"/>
        <v>4</v>
      </c>
      <c r="R7294" s="23">
        <f t="shared" si="1314"/>
        <v>1</v>
      </c>
      <c r="S7294" s="23">
        <f t="shared" si="1315"/>
        <v>0</v>
      </c>
      <c r="T7294" s="23" t="str">
        <f t="shared" si="1316"/>
        <v/>
      </c>
      <c r="U7294" t="str">
        <f t="shared" si="1317"/>
        <v/>
      </c>
      <c r="V7294" s="72"/>
      <c r="AT7294" s="20"/>
      <c r="AU7294" s="29"/>
      <c r="AV7294"/>
      <c r="AW7294"/>
    </row>
    <row r="7295" spans="1:49">
      <c r="A7295" t="str">
        <f t="shared" si="1312"/>
        <v>NY_Catta_2021g~-~councilman (vote for up to two) (4-year term) for town of ashford, cattaraugus~vote for 2,</v>
      </c>
      <c r="B7295" t="s">
        <v>8101</v>
      </c>
      <c r="C7295" s="1"/>
      <c r="D7295" t="s">
        <v>8119</v>
      </c>
      <c r="E7295" s="12" t="s">
        <v>8120</v>
      </c>
      <c r="F7295" s="12"/>
      <c r="G7295" s="12">
        <v>328</v>
      </c>
      <c r="H7295" s="143">
        <v>0.46129999999999999</v>
      </c>
      <c r="J7295" s="143"/>
      <c r="K7295" s="143"/>
      <c r="L7295" s="143"/>
      <c r="M7295" s="143"/>
      <c r="N7295" s="143"/>
      <c r="O7295">
        <f t="shared" si="1305"/>
        <v>1</v>
      </c>
      <c r="P7295" s="134">
        <v>2</v>
      </c>
      <c r="Q7295" s="267">
        <f t="shared" si="1313"/>
        <v>355.5</v>
      </c>
      <c r="R7295" s="23">
        <f t="shared" si="1314"/>
        <v>256</v>
      </c>
      <c r="S7295" s="23">
        <f t="shared" si="1315"/>
        <v>126</v>
      </c>
      <c r="T7295" s="23">
        <f t="shared" si="1316"/>
        <v>130</v>
      </c>
      <c r="U7295" t="str">
        <f t="shared" si="1317"/>
        <v>NY_Catta_2021g~-~councilman (vote for up to two) (4-year term) for town of ashford, cattaraugus~vote for 2,</v>
      </c>
      <c r="V7295" s="72"/>
      <c r="AT7295" s="20"/>
      <c r="AU7295" s="29"/>
      <c r="AV7295"/>
      <c r="AW7295"/>
    </row>
    <row r="7296" spans="1:49">
      <c r="A7296" t="str">
        <f t="shared" si="1312"/>
        <v>NY_Catta_2021g~-~councilman (vote for up to two) (4-year term) for town of ashford, cattaraugus~vote for 2,</v>
      </c>
      <c r="B7296" t="s">
        <v>8101</v>
      </c>
      <c r="C7296" s="1"/>
      <c r="D7296" t="s">
        <v>8119</v>
      </c>
      <c r="E7296" s="12" t="s">
        <v>8121</v>
      </c>
      <c r="F7296" s="12"/>
      <c r="G7296" s="12">
        <v>256</v>
      </c>
      <c r="H7296" s="143">
        <v>0.36009999999999998</v>
      </c>
      <c r="J7296" s="143"/>
      <c r="K7296" s="143"/>
      <c r="L7296" s="143"/>
      <c r="M7296" s="143"/>
      <c r="N7296" s="143"/>
      <c r="O7296">
        <f t="shared" si="1305"/>
        <v>2</v>
      </c>
      <c r="P7296" s="134">
        <v>2</v>
      </c>
      <c r="Q7296" s="267">
        <f t="shared" si="1313"/>
        <v>383</v>
      </c>
      <c r="R7296" s="23">
        <f t="shared" si="1314"/>
        <v>256</v>
      </c>
      <c r="S7296" s="23">
        <f t="shared" si="1315"/>
        <v>126</v>
      </c>
      <c r="T7296" s="23" t="str">
        <f t="shared" si="1316"/>
        <v/>
      </c>
      <c r="U7296" t="str">
        <f t="shared" si="1317"/>
        <v/>
      </c>
      <c r="V7296" s="72"/>
      <c r="AT7296" s="20"/>
      <c r="AU7296" s="29"/>
      <c r="AV7296"/>
      <c r="AW7296"/>
    </row>
    <row r="7297" spans="1:49">
      <c r="A7297" t="str">
        <f t="shared" si="1312"/>
        <v>NY_Catta_2021g~-~councilman (vote for up to two) (4-year term) for town of ashford, cattaraugus~vote for 2,</v>
      </c>
      <c r="B7297" t="s">
        <v>8101</v>
      </c>
      <c r="C7297" s="1"/>
      <c r="D7297" t="s">
        <v>8119</v>
      </c>
      <c r="E7297" s="12" t="s">
        <v>8122</v>
      </c>
      <c r="F7297" s="12"/>
      <c r="G7297" s="12">
        <v>126</v>
      </c>
      <c r="H7297" s="143">
        <v>0.1772</v>
      </c>
      <c r="J7297" s="143"/>
      <c r="K7297" s="143"/>
      <c r="L7297" s="143"/>
      <c r="M7297" s="143"/>
      <c r="N7297" s="143"/>
      <c r="O7297">
        <f t="shared" si="1305"/>
        <v>3</v>
      </c>
      <c r="P7297" s="134">
        <v>2</v>
      </c>
      <c r="Q7297" s="267">
        <f t="shared" si="1313"/>
        <v>127</v>
      </c>
      <c r="R7297" s="23" t="str">
        <f t="shared" si="1314"/>
        <v/>
      </c>
      <c r="S7297" s="23">
        <f t="shared" si="1315"/>
        <v>126</v>
      </c>
      <c r="T7297" s="23" t="str">
        <f t="shared" si="1316"/>
        <v/>
      </c>
      <c r="U7297" t="str">
        <f t="shared" si="1317"/>
        <v/>
      </c>
      <c r="V7297" s="72"/>
      <c r="AT7297" s="20"/>
      <c r="AU7297" s="29"/>
      <c r="AV7297"/>
      <c r="AW7297"/>
    </row>
    <row r="7298" spans="1:49">
      <c r="A7298" t="str">
        <f t="shared" si="1312"/>
        <v>NY_Catta_2021g~-~councilman (vote for up to two) (4-year term) for town of ashford, cattaraugus~vote for 2,</v>
      </c>
      <c r="B7298" t="s">
        <v>8101</v>
      </c>
      <c r="C7298" s="1"/>
      <c r="D7298" t="s">
        <v>8119</v>
      </c>
      <c r="E7298" s="12" t="s">
        <v>1299</v>
      </c>
      <c r="F7298" s="12"/>
      <c r="G7298" s="12">
        <v>1</v>
      </c>
      <c r="H7298" s="143">
        <v>1.4E-3</v>
      </c>
      <c r="J7298" s="143"/>
      <c r="K7298" s="143"/>
      <c r="L7298" s="143"/>
      <c r="M7298" s="143"/>
      <c r="N7298" s="143"/>
      <c r="O7298">
        <f t="shared" si="1305"/>
        <v>-3</v>
      </c>
      <c r="P7298" s="134">
        <v>2</v>
      </c>
      <c r="Q7298" s="267">
        <f t="shared" si="1313"/>
        <v>1</v>
      </c>
      <c r="R7298" s="23">
        <f t="shared" si="1314"/>
        <v>1</v>
      </c>
      <c r="S7298" s="23">
        <f t="shared" si="1315"/>
        <v>0</v>
      </c>
      <c r="T7298" s="23" t="str">
        <f t="shared" si="1316"/>
        <v/>
      </c>
      <c r="U7298" t="str">
        <f t="shared" si="1317"/>
        <v/>
      </c>
      <c r="V7298" s="72"/>
      <c r="AT7298" s="20"/>
      <c r="AU7298" s="29"/>
      <c r="AV7298"/>
      <c r="AW7298"/>
    </row>
    <row r="7299" spans="1:49">
      <c r="A7299" t="str">
        <f t="shared" si="1312"/>
        <v>NY_Catta_2021g~-~councilman (vote for up to two) (4-year term) for town of carrollton, cattaraugus~vote for 2,</v>
      </c>
      <c r="B7299" t="s">
        <v>8101</v>
      </c>
      <c r="C7299" s="1"/>
      <c r="D7299" t="s">
        <v>8123</v>
      </c>
      <c r="E7299" s="12" t="s">
        <v>8124</v>
      </c>
      <c r="F7299" s="12"/>
      <c r="G7299" s="12">
        <v>147</v>
      </c>
      <c r="H7299" s="143">
        <v>0.4773</v>
      </c>
      <c r="J7299" s="143"/>
      <c r="K7299" s="143"/>
      <c r="L7299" s="143"/>
      <c r="M7299" s="143"/>
      <c r="N7299" s="143"/>
      <c r="O7299">
        <f t="shared" si="1305"/>
        <v>1</v>
      </c>
      <c r="P7299" s="134">
        <v>2</v>
      </c>
      <c r="Q7299" s="267">
        <f t="shared" si="1313"/>
        <v>154</v>
      </c>
      <c r="R7299" s="23">
        <f t="shared" si="1314"/>
        <v>133</v>
      </c>
      <c r="S7299" s="23">
        <f t="shared" si="1315"/>
        <v>0</v>
      </c>
      <c r="T7299" s="23" t="str">
        <f t="shared" si="1316"/>
        <v/>
      </c>
      <c r="U7299" t="str">
        <f t="shared" si="1317"/>
        <v>NY_Catta_2021g~-~councilman (vote for up to two) (4-year term) for town of carrollton, cattaraugus~vote for 2,</v>
      </c>
      <c r="V7299" s="72"/>
      <c r="AT7299" s="20"/>
      <c r="AU7299" s="29"/>
      <c r="AV7299"/>
      <c r="AW7299"/>
    </row>
    <row r="7300" spans="1:49">
      <c r="A7300" t="str">
        <f t="shared" si="1312"/>
        <v>NY_Catta_2021g~-~councilman (vote for up to two) (4-year term) for town of carrollton, cattaraugus~vote for 2,</v>
      </c>
      <c r="B7300" t="s">
        <v>8101</v>
      </c>
      <c r="C7300" s="1"/>
      <c r="D7300" t="s">
        <v>8123</v>
      </c>
      <c r="E7300" s="12" t="s">
        <v>8125</v>
      </c>
      <c r="F7300" s="12"/>
      <c r="G7300" s="12">
        <v>133</v>
      </c>
      <c r="H7300" s="143">
        <v>0.43180000000000002</v>
      </c>
      <c r="J7300" s="143"/>
      <c r="K7300" s="143"/>
      <c r="L7300" s="143"/>
      <c r="M7300" s="143"/>
      <c r="N7300" s="143"/>
      <c r="O7300">
        <f t="shared" si="1305"/>
        <v>2</v>
      </c>
      <c r="P7300" s="134">
        <v>2</v>
      </c>
      <c r="Q7300" s="267">
        <f t="shared" si="1313"/>
        <v>161</v>
      </c>
      <c r="R7300" s="23">
        <f t="shared" si="1314"/>
        <v>133</v>
      </c>
      <c r="S7300" s="23">
        <f t="shared" si="1315"/>
        <v>0</v>
      </c>
      <c r="T7300" s="23" t="str">
        <f t="shared" si="1316"/>
        <v/>
      </c>
      <c r="U7300" t="str">
        <f t="shared" si="1317"/>
        <v/>
      </c>
      <c r="V7300" s="72"/>
      <c r="AT7300" s="20"/>
      <c r="AU7300" s="29"/>
      <c r="AV7300"/>
      <c r="AW7300"/>
    </row>
    <row r="7301" spans="1:49">
      <c r="A7301" t="str">
        <f t="shared" si="1312"/>
        <v>NY_Catta_2021g~-~councilman (vote for up to two) (4-year term) for town of carrollton, cattaraugus~vote for 2,</v>
      </c>
      <c r="B7301" t="s">
        <v>8101</v>
      </c>
      <c r="C7301" s="1"/>
      <c r="D7301" t="s">
        <v>8123</v>
      </c>
      <c r="E7301" s="12" t="s">
        <v>1299</v>
      </c>
      <c r="F7301" s="12"/>
      <c r="G7301" s="12">
        <v>28</v>
      </c>
      <c r="H7301" s="143">
        <v>9.0899999999999995E-2</v>
      </c>
      <c r="J7301" s="143"/>
      <c r="K7301" s="143"/>
      <c r="L7301" s="143"/>
      <c r="M7301" s="143"/>
      <c r="N7301" s="143"/>
      <c r="O7301">
        <f t="shared" si="1305"/>
        <v>-2</v>
      </c>
      <c r="P7301" s="134">
        <v>2</v>
      </c>
      <c r="Q7301" s="267">
        <f t="shared" si="1313"/>
        <v>28</v>
      </c>
      <c r="R7301" s="23">
        <f t="shared" si="1314"/>
        <v>1</v>
      </c>
      <c r="S7301" s="23">
        <f t="shared" si="1315"/>
        <v>0</v>
      </c>
      <c r="T7301" s="23" t="str">
        <f t="shared" si="1316"/>
        <v/>
      </c>
      <c r="U7301" t="str">
        <f t="shared" si="1317"/>
        <v/>
      </c>
      <c r="V7301" s="72"/>
      <c r="AT7301" s="20"/>
      <c r="AU7301" s="29"/>
      <c r="AV7301"/>
      <c r="AW7301"/>
    </row>
    <row r="7302" spans="1:49">
      <c r="A7302" t="str">
        <f t="shared" si="1312"/>
        <v>NY_Catta_2021g~-~councilman (vote for up to two) (4-year term) for town of coldspring, cattaraugus~vote for 2,</v>
      </c>
      <c r="B7302" t="s">
        <v>8101</v>
      </c>
      <c r="C7302" s="1"/>
      <c r="D7302" t="s">
        <v>8126</v>
      </c>
      <c r="E7302" s="12" t="s">
        <v>8127</v>
      </c>
      <c r="F7302" s="12"/>
      <c r="G7302" s="12">
        <v>117</v>
      </c>
      <c r="H7302" s="143">
        <v>0.50209999999999999</v>
      </c>
      <c r="J7302" s="143"/>
      <c r="K7302" s="143"/>
      <c r="L7302" s="143"/>
      <c r="M7302" s="143"/>
      <c r="N7302" s="143"/>
      <c r="O7302">
        <f t="shared" si="1305"/>
        <v>1</v>
      </c>
      <c r="P7302" s="134">
        <v>2</v>
      </c>
      <c r="Q7302" s="267">
        <f t="shared" si="1313"/>
        <v>117</v>
      </c>
      <c r="R7302" s="23">
        <f t="shared" si="1314"/>
        <v>116</v>
      </c>
      <c r="S7302" s="23">
        <f t="shared" si="1315"/>
        <v>0</v>
      </c>
      <c r="T7302" s="23" t="str">
        <f t="shared" si="1316"/>
        <v/>
      </c>
      <c r="U7302" t="str">
        <f t="shared" si="1317"/>
        <v>NY_Catta_2021g~-~councilman (vote for up to two) (4-year term) for town of coldspring, cattaraugus~vote for 2,</v>
      </c>
      <c r="V7302" s="72"/>
      <c r="AT7302" s="20"/>
      <c r="AU7302" s="29"/>
      <c r="AV7302"/>
      <c r="AW7302"/>
    </row>
    <row r="7303" spans="1:49">
      <c r="A7303" t="str">
        <f t="shared" si="1312"/>
        <v>NY_Catta_2021g~-~councilman (vote for up to two) (4-year term) for town of coldspring, cattaraugus~vote for 2,</v>
      </c>
      <c r="B7303" t="s">
        <v>8101</v>
      </c>
      <c r="C7303" s="1"/>
      <c r="D7303" t="s">
        <v>8126</v>
      </c>
      <c r="E7303" s="12" t="s">
        <v>8128</v>
      </c>
      <c r="F7303" s="12"/>
      <c r="G7303" s="12">
        <v>116</v>
      </c>
      <c r="H7303" s="143">
        <v>0.49790000000000001</v>
      </c>
      <c r="J7303" s="143"/>
      <c r="K7303" s="143"/>
      <c r="L7303" s="143"/>
      <c r="M7303" s="143"/>
      <c r="N7303" s="143"/>
      <c r="O7303">
        <f t="shared" si="1305"/>
        <v>2</v>
      </c>
      <c r="P7303" s="134">
        <v>2</v>
      </c>
      <c r="Q7303" s="267">
        <f t="shared" si="1313"/>
        <v>116</v>
      </c>
      <c r="R7303" s="23">
        <f t="shared" si="1314"/>
        <v>116</v>
      </c>
      <c r="S7303" s="23">
        <f t="shared" si="1315"/>
        <v>0</v>
      </c>
      <c r="T7303" s="23" t="str">
        <f t="shared" si="1316"/>
        <v/>
      </c>
      <c r="U7303" t="str">
        <f t="shared" si="1317"/>
        <v/>
      </c>
      <c r="V7303" s="72"/>
      <c r="AT7303" s="20"/>
      <c r="AU7303" s="29"/>
      <c r="AV7303"/>
      <c r="AW7303"/>
    </row>
    <row r="7304" spans="1:49">
      <c r="A7304" t="str">
        <f t="shared" si="1312"/>
        <v>NY_Catta_2021g~-~councilman (vote for up to two) (4-year term) for town of coldspring, cattaraugus~vote for 2,</v>
      </c>
      <c r="B7304" t="s">
        <v>8101</v>
      </c>
      <c r="C7304" s="1"/>
      <c r="D7304" t="s">
        <v>8126</v>
      </c>
      <c r="E7304" s="12" t="s">
        <v>1299</v>
      </c>
      <c r="F7304" s="12"/>
      <c r="G7304" s="12">
        <v>0</v>
      </c>
      <c r="H7304" s="143">
        <v>0</v>
      </c>
      <c r="J7304" s="143"/>
      <c r="K7304" s="143"/>
      <c r="L7304" s="143"/>
      <c r="M7304" s="143"/>
      <c r="N7304" s="143"/>
      <c r="O7304">
        <f t="shared" si="1305"/>
        <v>-2</v>
      </c>
      <c r="P7304" s="134">
        <v>2</v>
      </c>
      <c r="Q7304" s="267">
        <f t="shared" si="1313"/>
        <v>0</v>
      </c>
      <c r="R7304" s="23">
        <f t="shared" si="1314"/>
        <v>1</v>
      </c>
      <c r="S7304" s="23">
        <f t="shared" si="1315"/>
        <v>0</v>
      </c>
      <c r="T7304" s="23" t="str">
        <f t="shared" si="1316"/>
        <v/>
      </c>
      <c r="U7304" t="str">
        <f t="shared" si="1317"/>
        <v/>
      </c>
      <c r="V7304" s="72"/>
      <c r="AT7304" s="20"/>
      <c r="AU7304" s="29"/>
      <c r="AV7304"/>
      <c r="AW7304"/>
    </row>
    <row r="7305" spans="1:49">
      <c r="A7305" t="str">
        <f t="shared" si="1312"/>
        <v>NY_Catta_2021g~-~councilman (vote for up to two) (4-year term) for town of conewango, cattaraugus~vote for 2,</v>
      </c>
      <c r="B7305" t="s">
        <v>8101</v>
      </c>
      <c r="C7305" s="1"/>
      <c r="D7305" t="s">
        <v>8129</v>
      </c>
      <c r="E7305" s="12" t="s">
        <v>8130</v>
      </c>
      <c r="F7305" s="12"/>
      <c r="G7305" s="12">
        <v>109</v>
      </c>
      <c r="H7305" s="143">
        <v>0.49769999999999998</v>
      </c>
      <c r="J7305" s="143"/>
      <c r="K7305" s="143"/>
      <c r="L7305" s="143"/>
      <c r="M7305" s="143"/>
      <c r="N7305" s="143"/>
      <c r="O7305">
        <f t="shared" si="1305"/>
        <v>1</v>
      </c>
      <c r="P7305" s="134">
        <v>2</v>
      </c>
      <c r="Q7305" s="267">
        <f t="shared" si="1313"/>
        <v>109.5</v>
      </c>
      <c r="R7305" s="23">
        <f t="shared" si="1314"/>
        <v>106</v>
      </c>
      <c r="S7305" s="23">
        <f t="shared" si="1315"/>
        <v>0</v>
      </c>
      <c r="T7305" s="23" t="str">
        <f t="shared" si="1316"/>
        <v/>
      </c>
      <c r="U7305" t="str">
        <f t="shared" si="1317"/>
        <v>NY_Catta_2021g~-~councilman (vote for up to two) (4-year term) for town of conewango, cattaraugus~vote for 2,</v>
      </c>
      <c r="V7305" s="72"/>
      <c r="AT7305" s="20"/>
      <c r="AU7305" s="29"/>
      <c r="AV7305"/>
      <c r="AW7305"/>
    </row>
    <row r="7306" spans="1:49">
      <c r="A7306" t="str">
        <f t="shared" si="1312"/>
        <v>NY_Catta_2021g~-~councilman (vote for up to two) (4-year term) for town of conewango, cattaraugus~vote for 2,</v>
      </c>
      <c r="B7306" t="s">
        <v>8101</v>
      </c>
      <c r="C7306" s="1"/>
      <c r="D7306" t="s">
        <v>8129</v>
      </c>
      <c r="E7306" s="12" t="s">
        <v>8131</v>
      </c>
      <c r="F7306" s="12"/>
      <c r="G7306" s="12">
        <v>106</v>
      </c>
      <c r="H7306" s="143">
        <v>0.48399999999999999</v>
      </c>
      <c r="J7306" s="143"/>
      <c r="K7306" s="143"/>
      <c r="L7306" s="143"/>
      <c r="M7306" s="143"/>
      <c r="N7306" s="143"/>
      <c r="O7306">
        <f t="shared" ref="O7306:O7369" si="1318">IF(OR(LOWER(LEFT(E7306,8))="write-in",LOWER(LEFT(E7306,8))="not qual"),IF(A7306=A7305,-ABS(O7305),0),IF(A7306=A7305,ABS(O7305)+1,1))</f>
        <v>2</v>
      </c>
      <c r="P7306" s="134">
        <v>2</v>
      </c>
      <c r="Q7306" s="267">
        <f t="shared" si="1313"/>
        <v>110</v>
      </c>
      <c r="R7306" s="23">
        <f t="shared" si="1314"/>
        <v>106</v>
      </c>
      <c r="S7306" s="23">
        <f t="shared" si="1315"/>
        <v>0</v>
      </c>
      <c r="T7306" s="23" t="str">
        <f t="shared" si="1316"/>
        <v/>
      </c>
      <c r="U7306" t="str">
        <f t="shared" si="1317"/>
        <v/>
      </c>
      <c r="V7306" s="72"/>
      <c r="AT7306" s="20"/>
      <c r="AU7306" s="29"/>
      <c r="AV7306"/>
      <c r="AW7306"/>
    </row>
    <row r="7307" spans="1:49">
      <c r="A7307" t="str">
        <f t="shared" si="1312"/>
        <v>NY_Catta_2021g~-~councilman (vote for up to two) (4-year term) for town of conewango, cattaraugus~vote for 2,</v>
      </c>
      <c r="B7307" t="s">
        <v>8101</v>
      </c>
      <c r="C7307" s="1"/>
      <c r="D7307" t="s">
        <v>8129</v>
      </c>
      <c r="E7307" s="12" t="s">
        <v>1299</v>
      </c>
      <c r="F7307" s="12"/>
      <c r="G7307" s="12">
        <v>4</v>
      </c>
      <c r="H7307" s="143">
        <v>1.83E-2</v>
      </c>
      <c r="J7307" s="143"/>
      <c r="K7307" s="143"/>
      <c r="L7307" s="143"/>
      <c r="M7307" s="143"/>
      <c r="N7307" s="143"/>
      <c r="O7307">
        <f t="shared" si="1318"/>
        <v>-2</v>
      </c>
      <c r="P7307" s="134">
        <v>2</v>
      </c>
      <c r="Q7307" s="267">
        <f t="shared" si="1313"/>
        <v>4</v>
      </c>
      <c r="R7307" s="23">
        <f t="shared" si="1314"/>
        <v>1</v>
      </c>
      <c r="S7307" s="23">
        <f t="shared" si="1315"/>
        <v>0</v>
      </c>
      <c r="T7307" s="23" t="str">
        <f t="shared" si="1316"/>
        <v/>
      </c>
      <c r="U7307" t="str">
        <f t="shared" si="1317"/>
        <v/>
      </c>
      <c r="V7307" s="72"/>
      <c r="AT7307" s="20"/>
      <c r="AU7307" s="29"/>
      <c r="AV7307"/>
      <c r="AW7307"/>
    </row>
    <row r="7308" spans="1:49">
      <c r="A7308" t="str">
        <f t="shared" si="1312"/>
        <v>NY_Catta_2021g~-~councilman (vote for up to two) (4-year term) for town of dayton, cattaraugus~vote for 2,</v>
      </c>
      <c r="B7308" t="s">
        <v>8101</v>
      </c>
      <c r="C7308" s="1"/>
      <c r="D7308" t="s">
        <v>8132</v>
      </c>
      <c r="E7308" s="12" t="s">
        <v>8133</v>
      </c>
      <c r="F7308" s="12"/>
      <c r="G7308" s="12">
        <v>283</v>
      </c>
      <c r="H7308" s="143">
        <v>0.55169999999999997</v>
      </c>
      <c r="J7308" s="143"/>
      <c r="K7308" s="143"/>
      <c r="L7308" s="143"/>
      <c r="M7308" s="143"/>
      <c r="N7308" s="143"/>
      <c r="O7308">
        <f t="shared" si="1318"/>
        <v>1</v>
      </c>
      <c r="P7308" s="134">
        <v>2</v>
      </c>
      <c r="Q7308" s="267">
        <f t="shared" si="1313"/>
        <v>283</v>
      </c>
      <c r="R7308" s="23">
        <f t="shared" si="1314"/>
        <v>211</v>
      </c>
      <c r="S7308" s="23">
        <f t="shared" si="1315"/>
        <v>0</v>
      </c>
      <c r="T7308" s="23" t="str">
        <f t="shared" si="1316"/>
        <v/>
      </c>
      <c r="U7308" t="str">
        <f t="shared" si="1317"/>
        <v>NY_Catta_2021g~-~councilman (vote for up to two) (4-year term) for town of dayton, cattaraugus~vote for 2,</v>
      </c>
      <c r="V7308" s="72"/>
      <c r="AT7308" s="20"/>
      <c r="AU7308" s="29"/>
      <c r="AV7308"/>
      <c r="AW7308"/>
    </row>
    <row r="7309" spans="1:49">
      <c r="A7309" t="str">
        <f t="shared" si="1312"/>
        <v>NY_Catta_2021g~-~councilman (vote for up to two) (4-year term) for town of dayton, cattaraugus~vote for 2,</v>
      </c>
      <c r="B7309" t="s">
        <v>8101</v>
      </c>
      <c r="C7309" s="1"/>
      <c r="D7309" t="s">
        <v>8132</v>
      </c>
      <c r="E7309" s="12" t="s">
        <v>8134</v>
      </c>
      <c r="F7309" s="12"/>
      <c r="G7309" s="12">
        <v>211</v>
      </c>
      <c r="H7309" s="143">
        <v>0.4113</v>
      </c>
      <c r="J7309" s="143"/>
      <c r="K7309" s="143"/>
      <c r="L7309" s="143"/>
      <c r="M7309" s="143"/>
      <c r="N7309" s="143"/>
      <c r="O7309">
        <f t="shared" si="1318"/>
        <v>2</v>
      </c>
      <c r="P7309" s="134">
        <v>2</v>
      </c>
      <c r="Q7309" s="267">
        <f t="shared" si="1313"/>
        <v>230</v>
      </c>
      <c r="R7309" s="23">
        <f t="shared" si="1314"/>
        <v>211</v>
      </c>
      <c r="S7309" s="23">
        <f t="shared" si="1315"/>
        <v>0</v>
      </c>
      <c r="T7309" s="23" t="str">
        <f t="shared" si="1316"/>
        <v/>
      </c>
      <c r="U7309" t="str">
        <f t="shared" si="1317"/>
        <v/>
      </c>
      <c r="V7309" s="72"/>
      <c r="AT7309" s="20"/>
      <c r="AU7309" s="29"/>
      <c r="AV7309"/>
      <c r="AW7309"/>
    </row>
    <row r="7310" spans="1:49">
      <c r="A7310" t="str">
        <f t="shared" si="1312"/>
        <v>NY_Catta_2021g~-~councilman (vote for up to two) (4-year term) for town of dayton, cattaraugus~vote for 2,</v>
      </c>
      <c r="B7310" t="s">
        <v>8101</v>
      </c>
      <c r="C7310" s="1"/>
      <c r="D7310" t="s">
        <v>8132</v>
      </c>
      <c r="E7310" s="12" t="s">
        <v>1299</v>
      </c>
      <c r="F7310" s="12"/>
      <c r="G7310" s="12">
        <v>19</v>
      </c>
      <c r="H7310" s="143">
        <v>3.6999999999999998E-2</v>
      </c>
      <c r="J7310" s="143"/>
      <c r="K7310" s="143"/>
      <c r="L7310" s="143"/>
      <c r="M7310" s="143"/>
      <c r="N7310" s="143"/>
      <c r="O7310">
        <f t="shared" si="1318"/>
        <v>-2</v>
      </c>
      <c r="P7310" s="134">
        <v>2</v>
      </c>
      <c r="Q7310" s="267">
        <f t="shared" si="1313"/>
        <v>19</v>
      </c>
      <c r="R7310" s="23">
        <f t="shared" si="1314"/>
        <v>1</v>
      </c>
      <c r="S7310" s="23">
        <f t="shared" si="1315"/>
        <v>0</v>
      </c>
      <c r="T7310" s="23" t="str">
        <f t="shared" si="1316"/>
        <v/>
      </c>
      <c r="U7310" t="str">
        <f t="shared" si="1317"/>
        <v/>
      </c>
      <c r="V7310" s="72"/>
      <c r="AT7310" s="20"/>
      <c r="AU7310" s="29"/>
      <c r="AV7310"/>
      <c r="AW7310"/>
    </row>
    <row r="7311" spans="1:49">
      <c r="A7311" t="str">
        <f t="shared" si="1312"/>
        <v>NY_Catta_2021g~-~councilman (vote for up to two) (4-year term) for town of east otto, cattaraugus~vote for 2,</v>
      </c>
      <c r="B7311" t="s">
        <v>8101</v>
      </c>
      <c r="C7311" s="1"/>
      <c r="D7311" t="s">
        <v>8135</v>
      </c>
      <c r="E7311" s="12" t="s">
        <v>8136</v>
      </c>
      <c r="F7311" s="12"/>
      <c r="G7311" s="12">
        <v>195</v>
      </c>
      <c r="H7311" s="143">
        <v>0.35649999999999998</v>
      </c>
      <c r="J7311" s="143"/>
      <c r="K7311" s="143"/>
      <c r="L7311" s="143"/>
      <c r="M7311" s="143"/>
      <c r="N7311" s="143"/>
      <c r="O7311">
        <f t="shared" si="1318"/>
        <v>1</v>
      </c>
      <c r="P7311" s="134">
        <v>2</v>
      </c>
      <c r="Q7311" s="267">
        <f t="shared" si="1313"/>
        <v>273.5</v>
      </c>
      <c r="R7311" s="23">
        <f t="shared" si="1314"/>
        <v>176</v>
      </c>
      <c r="S7311" s="23">
        <f t="shared" si="1315"/>
        <v>175</v>
      </c>
      <c r="T7311" s="23">
        <f t="shared" si="1316"/>
        <v>1</v>
      </c>
      <c r="U7311" t="str">
        <f t="shared" si="1317"/>
        <v>NY_Catta_2021g~-~councilman (vote for up to two) (4-year term) for town of east otto, cattaraugus~vote for 2,</v>
      </c>
      <c r="V7311" s="72"/>
      <c r="AT7311" s="20"/>
      <c r="AU7311" s="29"/>
      <c r="AV7311"/>
      <c r="AW7311"/>
    </row>
    <row r="7312" spans="1:49">
      <c r="A7312" t="str">
        <f t="shared" si="1312"/>
        <v>NY_Catta_2021g~-~councilman (vote for up to two) (4-year term) for town of east otto, cattaraugus~vote for 2,</v>
      </c>
      <c r="B7312" t="s">
        <v>8101</v>
      </c>
      <c r="C7312" s="1"/>
      <c r="D7312" t="s">
        <v>8135</v>
      </c>
      <c r="E7312" s="12" t="s">
        <v>8137</v>
      </c>
      <c r="F7312" s="12"/>
      <c r="G7312" s="12">
        <v>176</v>
      </c>
      <c r="H7312" s="143">
        <v>0.32179999999999997</v>
      </c>
      <c r="J7312" s="143"/>
      <c r="K7312" s="143"/>
      <c r="L7312" s="143"/>
      <c r="M7312" s="143"/>
      <c r="N7312" s="143"/>
      <c r="O7312">
        <f t="shared" si="1318"/>
        <v>2</v>
      </c>
      <c r="P7312" s="134">
        <v>2</v>
      </c>
      <c r="Q7312" s="267">
        <f t="shared" si="1313"/>
        <v>352</v>
      </c>
      <c r="R7312" s="23">
        <f t="shared" si="1314"/>
        <v>176</v>
      </c>
      <c r="S7312" s="23">
        <f t="shared" si="1315"/>
        <v>175</v>
      </c>
      <c r="T7312" s="23" t="str">
        <f t="shared" si="1316"/>
        <v/>
      </c>
      <c r="U7312" t="str">
        <f t="shared" si="1317"/>
        <v/>
      </c>
      <c r="V7312" s="72"/>
      <c r="AT7312" s="20"/>
      <c r="AU7312" s="29"/>
      <c r="AV7312"/>
      <c r="AW7312"/>
    </row>
    <row r="7313" spans="1:49">
      <c r="A7313" t="str">
        <f t="shared" si="1312"/>
        <v>NY_Catta_2021g~-~councilman (vote for up to two) (4-year term) for town of east otto, cattaraugus~vote for 2,</v>
      </c>
      <c r="B7313" t="s">
        <v>8101</v>
      </c>
      <c r="C7313" s="1"/>
      <c r="D7313" t="s">
        <v>8135</v>
      </c>
      <c r="E7313" s="12" t="s">
        <v>8138</v>
      </c>
      <c r="F7313" s="12"/>
      <c r="G7313" s="12">
        <v>175</v>
      </c>
      <c r="H7313" s="143">
        <v>0.31990000000000002</v>
      </c>
      <c r="J7313" s="143"/>
      <c r="K7313" s="143"/>
      <c r="L7313" s="143"/>
      <c r="M7313" s="143"/>
      <c r="N7313" s="143"/>
      <c r="O7313">
        <f t="shared" si="1318"/>
        <v>3</v>
      </c>
      <c r="P7313" s="134">
        <v>2</v>
      </c>
      <c r="Q7313" s="267">
        <f t="shared" si="1313"/>
        <v>176</v>
      </c>
      <c r="R7313" s="23" t="str">
        <f t="shared" si="1314"/>
        <v/>
      </c>
      <c r="S7313" s="23">
        <f t="shared" si="1315"/>
        <v>175</v>
      </c>
      <c r="T7313" s="23" t="str">
        <f t="shared" si="1316"/>
        <v/>
      </c>
      <c r="U7313" t="str">
        <f t="shared" si="1317"/>
        <v/>
      </c>
      <c r="V7313" s="72"/>
      <c r="AT7313" s="20"/>
      <c r="AU7313" s="29"/>
      <c r="AV7313"/>
      <c r="AW7313"/>
    </row>
    <row r="7314" spans="1:49">
      <c r="A7314" t="str">
        <f t="shared" si="1312"/>
        <v>NY_Catta_2021g~-~councilman (vote for up to two) (4-year term) for town of east otto, cattaraugus~vote for 2,</v>
      </c>
      <c r="B7314" t="s">
        <v>8101</v>
      </c>
      <c r="C7314" s="1"/>
      <c r="D7314" t="s">
        <v>8135</v>
      </c>
      <c r="E7314" s="12" t="s">
        <v>1299</v>
      </c>
      <c r="F7314" s="12"/>
      <c r="G7314" s="12">
        <v>1</v>
      </c>
      <c r="H7314" s="143">
        <v>1.8E-3</v>
      </c>
      <c r="J7314" s="143"/>
      <c r="K7314" s="143"/>
      <c r="L7314" s="143"/>
      <c r="M7314" s="143"/>
      <c r="N7314" s="143"/>
      <c r="O7314">
        <f t="shared" si="1318"/>
        <v>-3</v>
      </c>
      <c r="P7314" s="134">
        <v>2</v>
      </c>
      <c r="Q7314" s="267">
        <f t="shared" si="1313"/>
        <v>1</v>
      </c>
      <c r="R7314" s="23">
        <f t="shared" si="1314"/>
        <v>1</v>
      </c>
      <c r="S7314" s="23">
        <f t="shared" si="1315"/>
        <v>0</v>
      </c>
      <c r="T7314" s="23" t="str">
        <f t="shared" si="1316"/>
        <v/>
      </c>
      <c r="U7314" t="str">
        <f t="shared" si="1317"/>
        <v/>
      </c>
      <c r="V7314" s="72"/>
      <c r="AT7314" s="20"/>
      <c r="AU7314" s="29"/>
      <c r="AV7314"/>
      <c r="AW7314"/>
    </row>
    <row r="7315" spans="1:49">
      <c r="A7315" t="str">
        <f t="shared" si="1312"/>
        <v>NY_Catta_2021g~-~councilman (vote for up to two) (4-year term) for town of ellicottville, cattaraugus~vote for 2,</v>
      </c>
      <c r="B7315" t="s">
        <v>8101</v>
      </c>
      <c r="C7315" s="1"/>
      <c r="D7315" t="s">
        <v>8139</v>
      </c>
      <c r="E7315" s="12" t="s">
        <v>8140</v>
      </c>
      <c r="F7315" s="12"/>
      <c r="G7315" s="12">
        <v>174</v>
      </c>
      <c r="H7315" s="143">
        <v>0.55769999999999997</v>
      </c>
      <c r="J7315" s="143"/>
      <c r="K7315" s="143"/>
      <c r="L7315" s="143"/>
      <c r="M7315" s="143"/>
      <c r="N7315" s="143"/>
      <c r="O7315">
        <f t="shared" si="1318"/>
        <v>1</v>
      </c>
      <c r="P7315" s="134">
        <v>2</v>
      </c>
      <c r="Q7315" s="267">
        <f t="shared" si="1313"/>
        <v>174</v>
      </c>
      <c r="R7315" s="23">
        <f t="shared" si="1314"/>
        <v>133</v>
      </c>
      <c r="S7315" s="23">
        <f t="shared" si="1315"/>
        <v>0</v>
      </c>
      <c r="T7315" s="23" t="str">
        <f t="shared" si="1316"/>
        <v/>
      </c>
      <c r="U7315" t="str">
        <f t="shared" si="1317"/>
        <v>NY_Catta_2021g~-~councilman (vote for up to two) (4-year term) for town of ellicottville, cattaraugus~vote for 2,</v>
      </c>
      <c r="V7315" s="72"/>
      <c r="AT7315" s="20"/>
      <c r="AU7315" s="29"/>
      <c r="AV7315"/>
      <c r="AW7315"/>
    </row>
    <row r="7316" spans="1:49">
      <c r="A7316" t="str">
        <f t="shared" si="1312"/>
        <v>NY_Catta_2021g~-~councilman (vote for up to two) (4-year term) for town of ellicottville, cattaraugus~vote for 2,</v>
      </c>
      <c r="B7316" t="s">
        <v>8101</v>
      </c>
      <c r="C7316" s="1"/>
      <c r="D7316" t="s">
        <v>8139</v>
      </c>
      <c r="E7316" s="12" t="s">
        <v>8141</v>
      </c>
      <c r="F7316" s="12"/>
      <c r="G7316" s="12">
        <v>133</v>
      </c>
      <c r="H7316" s="143">
        <v>0.42630000000000001</v>
      </c>
      <c r="J7316" s="143"/>
      <c r="K7316" s="143"/>
      <c r="L7316" s="143"/>
      <c r="M7316" s="143"/>
      <c r="N7316" s="143"/>
      <c r="O7316">
        <f t="shared" si="1318"/>
        <v>2</v>
      </c>
      <c r="P7316" s="134">
        <v>2</v>
      </c>
      <c r="Q7316" s="267">
        <f t="shared" si="1313"/>
        <v>138</v>
      </c>
      <c r="R7316" s="23">
        <f t="shared" si="1314"/>
        <v>133</v>
      </c>
      <c r="S7316" s="23">
        <f t="shared" si="1315"/>
        <v>0</v>
      </c>
      <c r="T7316" s="23" t="str">
        <f t="shared" si="1316"/>
        <v/>
      </c>
      <c r="U7316" t="str">
        <f t="shared" si="1317"/>
        <v/>
      </c>
      <c r="V7316" s="72"/>
      <c r="AT7316" s="20"/>
      <c r="AU7316" s="29"/>
      <c r="AV7316"/>
      <c r="AW7316"/>
    </row>
    <row r="7317" spans="1:49">
      <c r="A7317" t="str">
        <f t="shared" si="1312"/>
        <v>NY_Catta_2021g~-~councilman (vote for up to two) (4-year term) for town of ellicottville, cattaraugus~vote for 2,</v>
      </c>
      <c r="B7317" t="s">
        <v>8101</v>
      </c>
      <c r="C7317" s="1"/>
      <c r="D7317" t="s">
        <v>8139</v>
      </c>
      <c r="E7317" s="12" t="s">
        <v>1299</v>
      </c>
      <c r="F7317" s="12"/>
      <c r="G7317" s="12">
        <v>5</v>
      </c>
      <c r="H7317" s="143">
        <v>1.6E-2</v>
      </c>
      <c r="J7317" s="143"/>
      <c r="K7317" s="143"/>
      <c r="L7317" s="143"/>
      <c r="M7317" s="143"/>
      <c r="N7317" s="143"/>
      <c r="O7317">
        <f t="shared" si="1318"/>
        <v>-2</v>
      </c>
      <c r="P7317" s="134">
        <v>2</v>
      </c>
      <c r="Q7317" s="267">
        <f t="shared" si="1313"/>
        <v>5</v>
      </c>
      <c r="R7317" s="23">
        <f t="shared" si="1314"/>
        <v>1</v>
      </c>
      <c r="S7317" s="23">
        <f t="shared" si="1315"/>
        <v>0</v>
      </c>
      <c r="T7317" s="23" t="str">
        <f t="shared" si="1316"/>
        <v/>
      </c>
      <c r="U7317" t="str">
        <f t="shared" si="1317"/>
        <v/>
      </c>
      <c r="V7317" s="72"/>
      <c r="AT7317" s="20"/>
      <c r="AU7317" s="29"/>
      <c r="AV7317"/>
      <c r="AW7317"/>
    </row>
    <row r="7318" spans="1:49">
      <c r="A7318" t="str">
        <f t="shared" si="1312"/>
        <v>NY_Catta_2021g~-~councilman (vote for up to two) (4-year term) for town of farmersville, cattaraugus~vote for 2,</v>
      </c>
      <c r="B7318" t="s">
        <v>8101</v>
      </c>
      <c r="C7318" s="1"/>
      <c r="D7318" t="s">
        <v>8142</v>
      </c>
      <c r="E7318" s="12" t="s">
        <v>8143</v>
      </c>
      <c r="F7318" s="12"/>
      <c r="G7318" s="12">
        <v>185</v>
      </c>
      <c r="H7318" s="143">
        <v>0.28770000000000001</v>
      </c>
      <c r="J7318" s="143"/>
      <c r="K7318" s="143"/>
      <c r="L7318" s="143"/>
      <c r="M7318" s="143"/>
      <c r="N7318" s="143"/>
      <c r="O7318">
        <f t="shared" si="1318"/>
        <v>1</v>
      </c>
      <c r="P7318" s="134">
        <v>2</v>
      </c>
      <c r="Q7318" s="267">
        <f t="shared" si="1313"/>
        <v>321.5</v>
      </c>
      <c r="R7318" s="23">
        <f t="shared" si="1314"/>
        <v>179</v>
      </c>
      <c r="S7318" s="23">
        <f t="shared" si="1315"/>
        <v>148</v>
      </c>
      <c r="T7318" s="23">
        <f t="shared" si="1316"/>
        <v>31</v>
      </c>
      <c r="U7318" t="str">
        <f t="shared" si="1317"/>
        <v>NY_Catta_2021g~-~councilman (vote for up to two) (4-year term) for town of farmersville, cattaraugus~vote for 2,</v>
      </c>
      <c r="V7318" s="72"/>
      <c r="AT7318" s="20"/>
      <c r="AU7318" s="29"/>
      <c r="AV7318"/>
      <c r="AW7318"/>
    </row>
    <row r="7319" spans="1:49">
      <c r="A7319" t="str">
        <f t="shared" si="1312"/>
        <v>NY_Catta_2021g~-~councilman (vote for up to two) (4-year term) for town of farmersville, cattaraugus~vote for 2,</v>
      </c>
      <c r="B7319" t="s">
        <v>8101</v>
      </c>
      <c r="C7319" s="1"/>
      <c r="D7319" t="s">
        <v>8142</v>
      </c>
      <c r="E7319" s="12" t="s">
        <v>8144</v>
      </c>
      <c r="F7319" s="12"/>
      <c r="G7319" s="12">
        <v>179</v>
      </c>
      <c r="H7319" s="143">
        <v>0.27839999999999998</v>
      </c>
      <c r="J7319" s="143"/>
      <c r="K7319" s="143"/>
      <c r="L7319" s="143"/>
      <c r="M7319" s="143"/>
      <c r="N7319" s="143"/>
      <c r="O7319">
        <f t="shared" si="1318"/>
        <v>2</v>
      </c>
      <c r="P7319" s="134">
        <v>2</v>
      </c>
      <c r="Q7319" s="267">
        <f t="shared" si="1313"/>
        <v>458</v>
      </c>
      <c r="R7319" s="23">
        <f t="shared" si="1314"/>
        <v>179</v>
      </c>
      <c r="S7319" s="23">
        <f t="shared" si="1315"/>
        <v>148</v>
      </c>
      <c r="T7319" s="23" t="str">
        <f t="shared" si="1316"/>
        <v/>
      </c>
      <c r="U7319" t="str">
        <f t="shared" si="1317"/>
        <v/>
      </c>
      <c r="V7319" s="72"/>
      <c r="AT7319" s="20"/>
      <c r="AU7319" s="29"/>
      <c r="AV7319"/>
      <c r="AW7319"/>
    </row>
    <row r="7320" spans="1:49">
      <c r="A7320" t="str">
        <f t="shared" si="1312"/>
        <v>NY_Catta_2021g~-~councilman (vote for up to two) (4-year term) for town of farmersville, cattaraugus~vote for 2,</v>
      </c>
      <c r="B7320" t="s">
        <v>8101</v>
      </c>
      <c r="C7320" s="1"/>
      <c r="D7320" t="s">
        <v>8142</v>
      </c>
      <c r="E7320" s="12" t="s">
        <v>8145</v>
      </c>
      <c r="F7320" s="12"/>
      <c r="G7320" s="12">
        <v>148</v>
      </c>
      <c r="H7320" s="143">
        <v>0.23019999999999999</v>
      </c>
      <c r="J7320" s="143"/>
      <c r="K7320" s="143"/>
      <c r="L7320" s="143"/>
      <c r="M7320" s="143"/>
      <c r="N7320" s="143"/>
      <c r="O7320">
        <f t="shared" si="1318"/>
        <v>3</v>
      </c>
      <c r="P7320" s="134">
        <v>2</v>
      </c>
      <c r="Q7320" s="267">
        <f t="shared" si="1313"/>
        <v>279</v>
      </c>
      <c r="R7320" s="23" t="str">
        <f t="shared" si="1314"/>
        <v/>
      </c>
      <c r="S7320" s="23">
        <f t="shared" si="1315"/>
        <v>148</v>
      </c>
      <c r="T7320" s="23" t="str">
        <f t="shared" si="1316"/>
        <v/>
      </c>
      <c r="U7320" t="str">
        <f t="shared" si="1317"/>
        <v/>
      </c>
      <c r="V7320" s="72"/>
      <c r="AT7320" s="20"/>
      <c r="AU7320" s="29"/>
      <c r="AV7320"/>
      <c r="AW7320"/>
    </row>
    <row r="7321" spans="1:49">
      <c r="A7321" t="str">
        <f t="shared" si="1312"/>
        <v>NY_Catta_2021g~-~councilman (vote for up to two) (4-year term) for town of farmersville, cattaraugus~vote for 2,</v>
      </c>
      <c r="B7321" t="s">
        <v>8101</v>
      </c>
      <c r="C7321" s="1"/>
      <c r="D7321" t="s">
        <v>8142</v>
      </c>
      <c r="E7321" s="12" t="s">
        <v>8146</v>
      </c>
      <c r="F7321" s="12"/>
      <c r="G7321" s="12">
        <v>129</v>
      </c>
      <c r="H7321" s="143">
        <v>0.2006</v>
      </c>
      <c r="J7321" s="143"/>
      <c r="K7321" s="143"/>
      <c r="L7321" s="143"/>
      <c r="M7321" s="143"/>
      <c r="N7321" s="143"/>
      <c r="O7321">
        <f t="shared" si="1318"/>
        <v>4</v>
      </c>
      <c r="P7321" s="134">
        <v>2</v>
      </c>
      <c r="Q7321" s="267">
        <f t="shared" si="1313"/>
        <v>131</v>
      </c>
      <c r="R7321" s="23" t="str">
        <f t="shared" si="1314"/>
        <v/>
      </c>
      <c r="S7321" s="23">
        <f t="shared" si="1315"/>
        <v>129</v>
      </c>
      <c r="T7321" s="23" t="str">
        <f t="shared" si="1316"/>
        <v/>
      </c>
      <c r="U7321" t="str">
        <f t="shared" si="1317"/>
        <v/>
      </c>
      <c r="V7321" s="72"/>
      <c r="AT7321" s="20"/>
      <c r="AU7321" s="29"/>
      <c r="AV7321"/>
      <c r="AW7321"/>
    </row>
    <row r="7322" spans="1:49">
      <c r="A7322" t="str">
        <f t="shared" si="1312"/>
        <v>NY_Catta_2021g~-~councilman (vote for up to two) (4-year term) for town of farmersville, cattaraugus~vote for 2,</v>
      </c>
      <c r="B7322" t="s">
        <v>8101</v>
      </c>
      <c r="C7322" s="1"/>
      <c r="D7322" t="s">
        <v>8142</v>
      </c>
      <c r="E7322" s="12" t="s">
        <v>1299</v>
      </c>
      <c r="F7322" s="12"/>
      <c r="G7322" s="12">
        <v>2</v>
      </c>
      <c r="H7322" s="143">
        <v>3.0999999999999999E-3</v>
      </c>
      <c r="J7322" s="143"/>
      <c r="K7322" s="143"/>
      <c r="L7322" s="143"/>
      <c r="M7322" s="143"/>
      <c r="N7322" s="143"/>
      <c r="O7322">
        <f t="shared" si="1318"/>
        <v>-4</v>
      </c>
      <c r="P7322" s="134">
        <v>2</v>
      </c>
      <c r="Q7322" s="267">
        <f t="shared" si="1313"/>
        <v>2</v>
      </c>
      <c r="R7322" s="23">
        <f t="shared" si="1314"/>
        <v>1</v>
      </c>
      <c r="S7322" s="23">
        <f t="shared" si="1315"/>
        <v>0</v>
      </c>
      <c r="T7322" s="23" t="str">
        <f t="shared" si="1316"/>
        <v/>
      </c>
      <c r="U7322" t="str">
        <f t="shared" si="1317"/>
        <v/>
      </c>
      <c r="V7322" s="72"/>
      <c r="AT7322" s="20"/>
      <c r="AU7322" s="29"/>
      <c r="AV7322"/>
      <c r="AW7322"/>
    </row>
    <row r="7323" spans="1:49">
      <c r="A7323" t="str">
        <f t="shared" si="1312"/>
        <v>NY_Catta_2021g~-~councilman (vote for up to two) (4-year term) for town of franklinville, cattaraugus~vote for 2,</v>
      </c>
      <c r="B7323" t="s">
        <v>8101</v>
      </c>
      <c r="C7323" s="1"/>
      <c r="D7323" t="s">
        <v>8147</v>
      </c>
      <c r="E7323" s="12" t="s">
        <v>8148</v>
      </c>
      <c r="F7323" s="12"/>
      <c r="G7323" s="12">
        <v>312</v>
      </c>
      <c r="H7323" s="143">
        <v>0.52880000000000005</v>
      </c>
      <c r="J7323" s="143"/>
      <c r="K7323" s="143"/>
      <c r="L7323" s="143"/>
      <c r="M7323" s="143"/>
      <c r="N7323" s="143"/>
      <c r="O7323">
        <f t="shared" si="1318"/>
        <v>1</v>
      </c>
      <c r="P7323" s="134">
        <v>2</v>
      </c>
      <c r="Q7323" s="267">
        <f t="shared" si="1313"/>
        <v>312</v>
      </c>
      <c r="R7323" s="23">
        <f t="shared" si="1314"/>
        <v>276</v>
      </c>
      <c r="S7323" s="23">
        <f t="shared" si="1315"/>
        <v>0</v>
      </c>
      <c r="T7323" s="23" t="str">
        <f t="shared" si="1316"/>
        <v/>
      </c>
      <c r="U7323" t="str">
        <f t="shared" si="1317"/>
        <v>NY_Catta_2021g~-~councilman (vote for up to two) (4-year term) for town of franklinville, cattaraugus~vote for 2,</v>
      </c>
      <c r="V7323" s="72"/>
      <c r="AT7323" s="20"/>
      <c r="AU7323" s="29"/>
      <c r="AV7323"/>
      <c r="AW7323"/>
    </row>
    <row r="7324" spans="1:49">
      <c r="A7324" t="str">
        <f t="shared" si="1312"/>
        <v>NY_Catta_2021g~-~councilman (vote for up to two) (4-year term) for town of franklinville, cattaraugus~vote for 2,</v>
      </c>
      <c r="B7324" t="s">
        <v>8101</v>
      </c>
      <c r="C7324" s="1"/>
      <c r="D7324" t="s">
        <v>8147</v>
      </c>
      <c r="E7324" s="12" t="s">
        <v>8149</v>
      </c>
      <c r="F7324" s="12"/>
      <c r="G7324" s="12">
        <v>276</v>
      </c>
      <c r="H7324" s="143">
        <v>0.46779999999999999</v>
      </c>
      <c r="J7324" s="143"/>
      <c r="K7324" s="143"/>
      <c r="L7324" s="143"/>
      <c r="M7324" s="143"/>
      <c r="N7324" s="143"/>
      <c r="O7324">
        <f t="shared" si="1318"/>
        <v>2</v>
      </c>
      <c r="P7324" s="134">
        <v>2</v>
      </c>
      <c r="Q7324" s="267">
        <f t="shared" si="1313"/>
        <v>278</v>
      </c>
      <c r="R7324" s="23">
        <f t="shared" si="1314"/>
        <v>276</v>
      </c>
      <c r="S7324" s="23">
        <f t="shared" si="1315"/>
        <v>0</v>
      </c>
      <c r="T7324" s="23" t="str">
        <f t="shared" si="1316"/>
        <v/>
      </c>
      <c r="U7324" t="str">
        <f t="shared" si="1317"/>
        <v/>
      </c>
    </row>
    <row r="7325" spans="1:49">
      <c r="A7325" t="str">
        <f t="shared" si="1312"/>
        <v>NY_Catta_2021g~-~councilman (vote for up to two) (4-year term) for town of franklinville, cattaraugus~vote for 2,</v>
      </c>
      <c r="B7325" t="s">
        <v>8101</v>
      </c>
      <c r="C7325" s="1"/>
      <c r="D7325" t="s">
        <v>8147</v>
      </c>
      <c r="E7325" s="12" t="s">
        <v>1299</v>
      </c>
      <c r="F7325" s="12"/>
      <c r="G7325" s="12">
        <v>2</v>
      </c>
      <c r="H7325" s="143">
        <v>3.3999999999999998E-3</v>
      </c>
      <c r="J7325" s="143"/>
      <c r="K7325" s="143"/>
      <c r="L7325" s="143"/>
      <c r="M7325" s="143"/>
      <c r="N7325" s="143"/>
      <c r="O7325">
        <f t="shared" si="1318"/>
        <v>-2</v>
      </c>
      <c r="P7325" s="134">
        <v>2</v>
      </c>
      <c r="Q7325" s="267">
        <f t="shared" si="1313"/>
        <v>2</v>
      </c>
      <c r="R7325" s="23">
        <f t="shared" si="1314"/>
        <v>1</v>
      </c>
      <c r="S7325" s="23">
        <f t="shared" si="1315"/>
        <v>0</v>
      </c>
      <c r="T7325" s="23" t="str">
        <f t="shared" si="1316"/>
        <v/>
      </c>
      <c r="U7325" t="str">
        <f t="shared" si="1317"/>
        <v/>
      </c>
    </row>
    <row r="7326" spans="1:49">
      <c r="A7326" t="str">
        <f t="shared" si="1312"/>
        <v>NY_Catta_2021g~-~councilman (vote for up to two) (4-year term) for town of freedom, cattaraugus~vote for 2,</v>
      </c>
      <c r="B7326" t="s">
        <v>8101</v>
      </c>
      <c r="C7326" s="1"/>
      <c r="D7326" t="s">
        <v>8150</v>
      </c>
      <c r="E7326" s="12" t="s">
        <v>8151</v>
      </c>
      <c r="F7326" s="12"/>
      <c r="G7326" s="12">
        <v>385</v>
      </c>
      <c r="H7326" s="143">
        <v>0.34310000000000002</v>
      </c>
      <c r="J7326" s="143"/>
      <c r="K7326" s="143"/>
      <c r="L7326" s="143"/>
      <c r="M7326" s="143"/>
      <c r="N7326" s="143"/>
      <c r="O7326">
        <f t="shared" si="1318"/>
        <v>1</v>
      </c>
      <c r="P7326" s="134">
        <v>2</v>
      </c>
      <c r="Q7326" s="267">
        <f t="shared" si="1313"/>
        <v>561</v>
      </c>
      <c r="R7326" s="23">
        <f t="shared" si="1314"/>
        <v>340</v>
      </c>
      <c r="S7326" s="23">
        <f t="shared" si="1315"/>
        <v>239</v>
      </c>
      <c r="T7326" s="23">
        <f t="shared" si="1316"/>
        <v>101</v>
      </c>
      <c r="U7326" t="str">
        <f t="shared" si="1317"/>
        <v>NY_Catta_2021g~-~councilman (vote for up to two) (4-year term) for town of freedom, cattaraugus~vote for 2,</v>
      </c>
    </row>
    <row r="7327" spans="1:49">
      <c r="A7327" t="str">
        <f t="shared" si="1312"/>
        <v>NY_Catta_2021g~-~councilman (vote for up to two) (4-year term) for town of freedom, cattaraugus~vote for 2,</v>
      </c>
      <c r="B7327" t="s">
        <v>8101</v>
      </c>
      <c r="C7327" s="1"/>
      <c r="D7327" t="s">
        <v>8150</v>
      </c>
      <c r="E7327" s="12" t="s">
        <v>8152</v>
      </c>
      <c r="F7327" s="12"/>
      <c r="G7327" s="12">
        <v>340</v>
      </c>
      <c r="H7327" s="143">
        <v>0.30299999999999999</v>
      </c>
      <c r="J7327" s="143"/>
      <c r="K7327" s="143"/>
      <c r="L7327" s="143"/>
      <c r="M7327" s="143"/>
      <c r="N7327" s="143"/>
      <c r="O7327">
        <f t="shared" si="1318"/>
        <v>2</v>
      </c>
      <c r="P7327" s="134">
        <v>2</v>
      </c>
      <c r="Q7327" s="267">
        <f t="shared" si="1313"/>
        <v>737</v>
      </c>
      <c r="R7327" s="23">
        <f t="shared" si="1314"/>
        <v>340</v>
      </c>
      <c r="S7327" s="23">
        <f t="shared" si="1315"/>
        <v>239</v>
      </c>
      <c r="T7327" s="23" t="str">
        <f t="shared" si="1316"/>
        <v/>
      </c>
      <c r="U7327" t="str">
        <f t="shared" si="1317"/>
        <v/>
      </c>
    </row>
    <row r="7328" spans="1:49">
      <c r="A7328" t="str">
        <f t="shared" si="1312"/>
        <v>NY_Catta_2021g~-~councilman (vote for up to two) (4-year term) for town of freedom, cattaraugus~vote for 2,</v>
      </c>
      <c r="B7328" t="s">
        <v>8101</v>
      </c>
      <c r="C7328" s="1"/>
      <c r="D7328" t="s">
        <v>8150</v>
      </c>
      <c r="E7328" s="12" t="s">
        <v>8153</v>
      </c>
      <c r="F7328" s="12"/>
      <c r="G7328" s="12">
        <v>239</v>
      </c>
      <c r="H7328" s="143">
        <v>0.21299999999999999</v>
      </c>
      <c r="J7328" s="143"/>
      <c r="K7328" s="143"/>
      <c r="L7328" s="143"/>
      <c r="M7328" s="143"/>
      <c r="N7328" s="143"/>
      <c r="O7328">
        <f t="shared" si="1318"/>
        <v>3</v>
      </c>
      <c r="P7328" s="134">
        <v>2</v>
      </c>
      <c r="Q7328" s="267">
        <f t="shared" si="1313"/>
        <v>397</v>
      </c>
      <c r="R7328" s="23" t="str">
        <f t="shared" si="1314"/>
        <v/>
      </c>
      <c r="S7328" s="23">
        <f t="shared" si="1315"/>
        <v>239</v>
      </c>
      <c r="T7328" s="23" t="str">
        <f t="shared" si="1316"/>
        <v/>
      </c>
      <c r="U7328" t="str">
        <f t="shared" si="1317"/>
        <v/>
      </c>
    </row>
    <row r="7329" spans="1:21">
      <c r="A7329" t="str">
        <f t="shared" si="1312"/>
        <v>NY_Catta_2021g~-~councilman (vote for up to two) (4-year term) for town of freedom, cattaraugus~vote for 2,</v>
      </c>
      <c r="B7329" t="s">
        <v>8101</v>
      </c>
      <c r="C7329" s="1"/>
      <c r="D7329" t="s">
        <v>8150</v>
      </c>
      <c r="E7329" s="12" t="s">
        <v>8154</v>
      </c>
      <c r="F7329" s="12"/>
      <c r="G7329" s="12">
        <v>158</v>
      </c>
      <c r="H7329" s="143">
        <v>0.14080000000000001</v>
      </c>
      <c r="J7329" s="143"/>
      <c r="K7329" s="143"/>
      <c r="L7329" s="143"/>
      <c r="M7329" s="143"/>
      <c r="N7329" s="143"/>
      <c r="O7329">
        <f t="shared" si="1318"/>
        <v>4</v>
      </c>
      <c r="P7329" s="134">
        <v>2</v>
      </c>
      <c r="Q7329" s="267">
        <f t="shared" si="1313"/>
        <v>158</v>
      </c>
      <c r="R7329" s="23" t="str">
        <f t="shared" si="1314"/>
        <v/>
      </c>
      <c r="S7329" s="23">
        <f t="shared" si="1315"/>
        <v>158</v>
      </c>
      <c r="T7329" s="23" t="str">
        <f t="shared" si="1316"/>
        <v/>
      </c>
      <c r="U7329" t="str">
        <f t="shared" si="1317"/>
        <v/>
      </c>
    </row>
    <row r="7330" spans="1:21">
      <c r="A7330" t="str">
        <f t="shared" si="1312"/>
        <v>NY_Catta_2021g~-~councilman (vote for up to two) (4-year term) for town of freedom, cattaraugus~vote for 2,</v>
      </c>
      <c r="B7330" t="s">
        <v>8101</v>
      </c>
      <c r="C7330" s="1"/>
      <c r="D7330" t="s">
        <v>8150</v>
      </c>
      <c r="E7330" s="12" t="s">
        <v>1299</v>
      </c>
      <c r="F7330" s="12"/>
      <c r="G7330" s="12">
        <v>0</v>
      </c>
      <c r="H7330" s="143">
        <v>0</v>
      </c>
      <c r="J7330" s="143"/>
      <c r="K7330" s="143"/>
      <c r="L7330" s="143"/>
      <c r="M7330" s="143"/>
      <c r="N7330" s="143"/>
      <c r="O7330">
        <f t="shared" si="1318"/>
        <v>-4</v>
      </c>
      <c r="P7330" s="134">
        <v>2</v>
      </c>
      <c r="Q7330" s="267">
        <f t="shared" si="1313"/>
        <v>0</v>
      </c>
      <c r="R7330" s="23">
        <f t="shared" si="1314"/>
        <v>1</v>
      </c>
      <c r="S7330" s="23">
        <f t="shared" si="1315"/>
        <v>0</v>
      </c>
      <c r="T7330" s="23" t="str">
        <f t="shared" si="1316"/>
        <v/>
      </c>
      <c r="U7330" t="str">
        <f t="shared" si="1317"/>
        <v/>
      </c>
    </row>
    <row r="7331" spans="1:21">
      <c r="A7331" t="str">
        <f t="shared" si="1312"/>
        <v>NY_Catta_2021g~-~councilman (vote for up to two) (4-year term) for town of great valley, cattaraugus~vote for 2,</v>
      </c>
      <c r="B7331" t="s">
        <v>8101</v>
      </c>
      <c r="C7331" s="1"/>
      <c r="D7331" t="s">
        <v>8155</v>
      </c>
      <c r="E7331" s="12" t="s">
        <v>8156</v>
      </c>
      <c r="F7331" s="12"/>
      <c r="G7331" s="12">
        <v>281</v>
      </c>
      <c r="H7331" s="143">
        <v>0.70960000000000001</v>
      </c>
      <c r="J7331" s="143"/>
      <c r="K7331" s="143"/>
      <c r="L7331" s="143"/>
      <c r="M7331" s="143"/>
      <c r="N7331" s="143"/>
      <c r="O7331">
        <f t="shared" si="1318"/>
        <v>1</v>
      </c>
      <c r="P7331" s="134">
        <v>2</v>
      </c>
      <c r="Q7331" s="267">
        <f t="shared" si="1313"/>
        <v>281</v>
      </c>
      <c r="R7331" s="23">
        <f t="shared" si="1314"/>
        <v>113</v>
      </c>
      <c r="S7331" s="23">
        <f t="shared" si="1315"/>
        <v>0</v>
      </c>
      <c r="T7331" s="23" t="str">
        <f t="shared" si="1316"/>
        <v/>
      </c>
      <c r="U7331" t="str">
        <f t="shared" si="1317"/>
        <v>NY_Catta_2021g~-~councilman (vote for up to two) (4-year term) for town of great valley, cattaraugus~vote for 2,</v>
      </c>
    </row>
    <row r="7332" spans="1:21">
      <c r="A7332" t="str">
        <f t="shared" si="1312"/>
        <v>NY_Catta_2021g~-~councilman (vote for up to two) (4-year term) for town of great valley, cattaraugus~vote for 2,</v>
      </c>
      <c r="B7332" t="s">
        <v>8101</v>
      </c>
      <c r="C7332" s="1"/>
      <c r="D7332" t="s">
        <v>8155</v>
      </c>
      <c r="E7332" s="12" t="s">
        <v>8157</v>
      </c>
      <c r="F7332" s="12"/>
      <c r="G7332" s="12">
        <v>113</v>
      </c>
      <c r="H7332" s="143">
        <v>0.28539999999999999</v>
      </c>
      <c r="J7332" s="143"/>
      <c r="K7332" s="143"/>
      <c r="L7332" s="143"/>
      <c r="M7332" s="143"/>
      <c r="N7332" s="143"/>
      <c r="O7332">
        <f t="shared" si="1318"/>
        <v>2</v>
      </c>
      <c r="P7332" s="134">
        <v>2</v>
      </c>
      <c r="Q7332" s="267">
        <f t="shared" si="1313"/>
        <v>115</v>
      </c>
      <c r="R7332" s="23">
        <f t="shared" si="1314"/>
        <v>113</v>
      </c>
      <c r="S7332" s="23">
        <f t="shared" si="1315"/>
        <v>0</v>
      </c>
      <c r="T7332" s="23" t="str">
        <f t="shared" si="1316"/>
        <v/>
      </c>
      <c r="U7332" t="str">
        <f t="shared" si="1317"/>
        <v/>
      </c>
    </row>
    <row r="7333" spans="1:21">
      <c r="A7333" t="str">
        <f t="shared" si="1312"/>
        <v>NY_Catta_2021g~-~councilman (vote for up to two) (4-year term) for town of great valley, cattaraugus~vote for 2,</v>
      </c>
      <c r="B7333" t="s">
        <v>8101</v>
      </c>
      <c r="C7333" s="1"/>
      <c r="D7333" t="s">
        <v>8155</v>
      </c>
      <c r="E7333" s="12" t="s">
        <v>1299</v>
      </c>
      <c r="F7333" s="12"/>
      <c r="G7333" s="12">
        <v>2</v>
      </c>
      <c r="H7333" s="143">
        <v>5.1000000000000004E-3</v>
      </c>
      <c r="J7333" s="143"/>
      <c r="K7333" s="143"/>
      <c r="L7333" s="143"/>
      <c r="M7333" s="143"/>
      <c r="N7333" s="143"/>
      <c r="O7333">
        <f t="shared" si="1318"/>
        <v>-2</v>
      </c>
      <c r="P7333" s="134">
        <v>2</v>
      </c>
      <c r="Q7333" s="267">
        <f t="shared" si="1313"/>
        <v>2</v>
      </c>
      <c r="R7333" s="23">
        <f t="shared" si="1314"/>
        <v>1</v>
      </c>
      <c r="S7333" s="23">
        <f t="shared" si="1315"/>
        <v>0</v>
      </c>
      <c r="T7333" s="23" t="str">
        <f t="shared" si="1316"/>
        <v/>
      </c>
      <c r="U7333" t="str">
        <f t="shared" si="1317"/>
        <v/>
      </c>
    </row>
    <row r="7334" spans="1:21">
      <c r="A7334" t="str">
        <f t="shared" si="1312"/>
        <v>NY_Catta_2021g~-~councilman (vote for up to two) (4-year term) for town of hinsdale, cattaraugus~vote for 2,</v>
      </c>
      <c r="B7334" t="s">
        <v>8101</v>
      </c>
      <c r="C7334" s="1"/>
      <c r="D7334" t="s">
        <v>8158</v>
      </c>
      <c r="E7334" s="12" t="s">
        <v>8159</v>
      </c>
      <c r="F7334" s="12"/>
      <c r="G7334" s="12">
        <v>271</v>
      </c>
      <c r="H7334" s="143">
        <v>0.51819999999999999</v>
      </c>
      <c r="J7334" s="143"/>
      <c r="K7334" s="143"/>
      <c r="L7334" s="143"/>
      <c r="M7334" s="143"/>
      <c r="N7334" s="143"/>
      <c r="O7334">
        <f t="shared" si="1318"/>
        <v>1</v>
      </c>
      <c r="P7334" s="134">
        <v>2</v>
      </c>
      <c r="Q7334" s="267">
        <f t="shared" si="1313"/>
        <v>271</v>
      </c>
      <c r="R7334" s="23">
        <f t="shared" si="1314"/>
        <v>248</v>
      </c>
      <c r="S7334" s="23">
        <f t="shared" si="1315"/>
        <v>0</v>
      </c>
      <c r="T7334" s="23" t="str">
        <f t="shared" si="1316"/>
        <v/>
      </c>
      <c r="U7334" t="str">
        <f t="shared" si="1317"/>
        <v>NY_Catta_2021g~-~councilman (vote for up to two) (4-year term) for town of hinsdale, cattaraugus~vote for 2,</v>
      </c>
    </row>
    <row r="7335" spans="1:21">
      <c r="A7335" t="str">
        <f t="shared" si="1312"/>
        <v>NY_Catta_2021g~-~councilman (vote for up to two) (4-year term) for town of hinsdale, cattaraugus~vote for 2,</v>
      </c>
      <c r="B7335" t="s">
        <v>8101</v>
      </c>
      <c r="C7335" s="1"/>
      <c r="D7335" t="s">
        <v>8158</v>
      </c>
      <c r="E7335" s="12" t="s">
        <v>8160</v>
      </c>
      <c r="F7335" s="12"/>
      <c r="G7335" s="12">
        <v>248</v>
      </c>
      <c r="H7335" s="143">
        <v>0.47420000000000001</v>
      </c>
      <c r="J7335" s="143"/>
      <c r="K7335" s="143"/>
      <c r="L7335" s="143"/>
      <c r="M7335" s="143"/>
      <c r="N7335" s="143"/>
      <c r="O7335">
        <f t="shared" si="1318"/>
        <v>2</v>
      </c>
      <c r="P7335" s="134">
        <v>2</v>
      </c>
      <c r="Q7335" s="267">
        <f t="shared" si="1313"/>
        <v>252</v>
      </c>
      <c r="R7335" s="23">
        <f t="shared" si="1314"/>
        <v>248</v>
      </c>
      <c r="S7335" s="23">
        <f t="shared" si="1315"/>
        <v>0</v>
      </c>
      <c r="T7335" s="23" t="str">
        <f t="shared" si="1316"/>
        <v/>
      </c>
      <c r="U7335" t="str">
        <f t="shared" si="1317"/>
        <v/>
      </c>
    </row>
    <row r="7336" spans="1:21">
      <c r="A7336" t="str">
        <f t="shared" si="1312"/>
        <v>NY_Catta_2021g~-~councilman (vote for up to two) (4-year term) for town of hinsdale, cattaraugus~vote for 2,</v>
      </c>
      <c r="B7336" t="s">
        <v>8101</v>
      </c>
      <c r="D7336" t="s">
        <v>8158</v>
      </c>
      <c r="E7336" t="s">
        <v>1299</v>
      </c>
      <c r="G7336">
        <v>4</v>
      </c>
      <c r="H7336">
        <v>7.6E-3</v>
      </c>
      <c r="N7336"/>
      <c r="O7336">
        <f t="shared" si="1318"/>
        <v>-2</v>
      </c>
      <c r="P7336" s="20">
        <v>2</v>
      </c>
      <c r="Q7336" s="267">
        <f t="shared" si="1313"/>
        <v>4</v>
      </c>
      <c r="R7336" s="23">
        <f t="shared" si="1314"/>
        <v>1</v>
      </c>
      <c r="S7336" s="23">
        <f t="shared" si="1315"/>
        <v>0</v>
      </c>
      <c r="T7336" s="23" t="str">
        <f t="shared" si="1316"/>
        <v/>
      </c>
      <c r="U7336" t="str">
        <f t="shared" si="1317"/>
        <v/>
      </c>
    </row>
    <row r="7337" spans="1:21">
      <c r="A7337" t="str">
        <f t="shared" si="1312"/>
        <v>NY_Catta_2021g~-~councilman (vote for up to two) (4-year term) for town of humphrey, cattaraugus~vote for 2,</v>
      </c>
      <c r="B7337" t="s">
        <v>8101</v>
      </c>
      <c r="D7337" t="s">
        <v>8161</v>
      </c>
      <c r="E7337" t="s">
        <v>8162</v>
      </c>
      <c r="G7337">
        <v>99</v>
      </c>
      <c r="H7337">
        <v>0.5323</v>
      </c>
      <c r="N7337"/>
      <c r="O7337">
        <f t="shared" si="1318"/>
        <v>1</v>
      </c>
      <c r="P7337" s="20">
        <v>2</v>
      </c>
      <c r="Q7337" s="267">
        <f t="shared" si="1313"/>
        <v>99</v>
      </c>
      <c r="R7337" s="23">
        <f t="shared" si="1314"/>
        <v>87</v>
      </c>
      <c r="S7337" s="23">
        <f t="shared" si="1315"/>
        <v>0</v>
      </c>
      <c r="T7337" s="23" t="str">
        <f t="shared" si="1316"/>
        <v/>
      </c>
      <c r="U7337" t="str">
        <f t="shared" si="1317"/>
        <v>NY_Catta_2021g~-~councilman (vote for up to two) (4-year term) for town of humphrey, cattaraugus~vote for 2,</v>
      </c>
    </row>
    <row r="7338" spans="1:21">
      <c r="A7338" t="str">
        <f t="shared" si="1312"/>
        <v>NY_Catta_2021g~-~councilman (vote for up to two) (4-year term) for town of humphrey, cattaraugus~vote for 2,</v>
      </c>
      <c r="B7338" t="s">
        <v>8101</v>
      </c>
      <c r="D7338" t="s">
        <v>8161</v>
      </c>
      <c r="E7338" t="s">
        <v>8163</v>
      </c>
      <c r="G7338">
        <v>87</v>
      </c>
      <c r="H7338">
        <v>0.4677</v>
      </c>
      <c r="N7338"/>
      <c r="O7338">
        <f t="shared" si="1318"/>
        <v>2</v>
      </c>
      <c r="P7338" s="20">
        <v>2</v>
      </c>
      <c r="Q7338" s="267">
        <f t="shared" si="1313"/>
        <v>87</v>
      </c>
      <c r="R7338" s="23">
        <f t="shared" si="1314"/>
        <v>87</v>
      </c>
      <c r="S7338" s="23">
        <f t="shared" si="1315"/>
        <v>0</v>
      </c>
      <c r="T7338" s="23" t="str">
        <f t="shared" si="1316"/>
        <v/>
      </c>
      <c r="U7338" t="str">
        <f t="shared" si="1317"/>
        <v/>
      </c>
    </row>
    <row r="7339" spans="1:21">
      <c r="A7339" t="str">
        <f t="shared" si="1312"/>
        <v>NY_Catta_2021g~-~councilman (vote for up to two) (4-year term) for town of humphrey, cattaraugus~vote for 2,</v>
      </c>
      <c r="B7339" t="s">
        <v>8101</v>
      </c>
      <c r="D7339" t="s">
        <v>8161</v>
      </c>
      <c r="E7339" t="s">
        <v>1299</v>
      </c>
      <c r="G7339">
        <v>0</v>
      </c>
      <c r="H7339">
        <v>0</v>
      </c>
      <c r="N7339"/>
      <c r="O7339">
        <f t="shared" si="1318"/>
        <v>-2</v>
      </c>
      <c r="P7339" s="20">
        <v>2</v>
      </c>
      <c r="Q7339" s="267">
        <f t="shared" si="1313"/>
        <v>0</v>
      </c>
      <c r="R7339" s="23">
        <f t="shared" si="1314"/>
        <v>1</v>
      </c>
      <c r="S7339" s="23">
        <f t="shared" si="1315"/>
        <v>0</v>
      </c>
      <c r="T7339" s="23" t="str">
        <f t="shared" si="1316"/>
        <v/>
      </c>
      <c r="U7339" t="str">
        <f t="shared" si="1317"/>
        <v/>
      </c>
    </row>
    <row r="7340" spans="1:21">
      <c r="A7340" t="str">
        <f t="shared" si="1312"/>
        <v>NY_Catta_2021g~-~councilman (vote for up to two) (4-year term) for town of ischua, cattaraugus~vote for 2,</v>
      </c>
      <c r="B7340" t="s">
        <v>8101</v>
      </c>
      <c r="D7340" t="s">
        <v>8164</v>
      </c>
      <c r="E7340" t="s">
        <v>8165</v>
      </c>
      <c r="G7340">
        <v>116</v>
      </c>
      <c r="H7340">
        <v>0.72960000000000003</v>
      </c>
      <c r="N7340"/>
      <c r="O7340">
        <f t="shared" si="1318"/>
        <v>1</v>
      </c>
      <c r="P7340" s="20">
        <v>2</v>
      </c>
      <c r="Q7340" s="267">
        <f t="shared" si="1313"/>
        <v>116</v>
      </c>
      <c r="R7340" s="23">
        <f t="shared" si="1314"/>
        <v>43</v>
      </c>
      <c r="S7340" s="23">
        <f t="shared" si="1315"/>
        <v>0</v>
      </c>
      <c r="T7340" s="23" t="str">
        <f t="shared" si="1316"/>
        <v/>
      </c>
      <c r="U7340" t="str">
        <f t="shared" si="1317"/>
        <v>NY_Catta_2021g~-~councilman (vote for up to two) (4-year term) for town of ischua, cattaraugus~vote for 2,</v>
      </c>
    </row>
    <row r="7341" spans="1:21">
      <c r="A7341" t="str">
        <f t="shared" si="1312"/>
        <v>NY_Catta_2021g~-~councilman (vote for up to two) (4-year term) for town of ischua, cattaraugus~vote for 2,</v>
      </c>
      <c r="B7341" t="s">
        <v>8101</v>
      </c>
      <c r="D7341" t="s">
        <v>8164</v>
      </c>
      <c r="E7341" t="s">
        <v>8166</v>
      </c>
      <c r="G7341">
        <v>43</v>
      </c>
      <c r="H7341">
        <v>0.27039999999999997</v>
      </c>
      <c r="N7341"/>
      <c r="O7341">
        <f t="shared" si="1318"/>
        <v>2</v>
      </c>
      <c r="P7341" s="20">
        <v>2</v>
      </c>
      <c r="Q7341" s="267">
        <f t="shared" si="1313"/>
        <v>43</v>
      </c>
      <c r="R7341" s="23">
        <f t="shared" si="1314"/>
        <v>43</v>
      </c>
      <c r="S7341" s="23">
        <f t="shared" si="1315"/>
        <v>0</v>
      </c>
      <c r="T7341" s="23" t="str">
        <f t="shared" si="1316"/>
        <v/>
      </c>
      <c r="U7341" t="str">
        <f t="shared" si="1317"/>
        <v/>
      </c>
    </row>
    <row r="7342" spans="1:21">
      <c r="A7342" t="str">
        <f t="shared" ref="A7342:A7405" si="1319">CONCATENATE(B7342,"~",F7342,"-",LOWER(D7342))</f>
        <v>NY_Catta_2021g~-~councilman (vote for up to two) (4-year term) for town of ischua, cattaraugus~vote for 2,</v>
      </c>
      <c r="B7342" t="s">
        <v>8101</v>
      </c>
      <c r="D7342" t="s">
        <v>8164</v>
      </c>
      <c r="E7342" t="s">
        <v>1299</v>
      </c>
      <c r="G7342">
        <v>0</v>
      </c>
      <c r="H7342">
        <v>0</v>
      </c>
      <c r="N7342"/>
      <c r="O7342">
        <f t="shared" si="1318"/>
        <v>-2</v>
      </c>
      <c r="P7342" s="20">
        <v>2</v>
      </c>
      <c r="Q7342" s="267">
        <f t="shared" ref="Q7342:Q7405" si="1320">IF(A7342&lt;&gt;A7343,G7342,IF(A7342=A7341,G7342+Q7343,MAX(G7342,(G7342+Q7343)/P7342)))</f>
        <v>0</v>
      </c>
      <c r="R7342" s="23">
        <f t="shared" ref="R7342:R7405" si="1321">IF(O7342&gt;P7342,"",IF(O7342=P7342,G7342,IF(A7342=A7343,R7343,IF(O7342&lt;=0,1,G7342))))</f>
        <v>1</v>
      </c>
      <c r="S7342" s="23">
        <f t="shared" ref="S7342:S7405" si="1322">IF(AND(O7342&gt;P7342,LOWER(LEFT(E7342,8))&lt;&gt;"write-in",LOWER(LEFT(E7342,8))&lt;&gt;"not qual"),G7342,IF(A7342=A7343,S7343,0))</f>
        <v>0</v>
      </c>
      <c r="T7342" s="23" t="str">
        <f t="shared" ref="T7342:T7405" si="1323">IF(OR(A7342=A7341,S7342=0),"",R7342-ABS(S7342))</f>
        <v/>
      </c>
      <c r="U7342" t="str">
        <f t="shared" ref="U7342:U7405" si="1324">IF(A7342=A7341,"",A7342)</f>
        <v/>
      </c>
    </row>
    <row r="7343" spans="1:21">
      <c r="A7343" t="str">
        <f t="shared" si="1319"/>
        <v>NY_Catta_2021g~-~councilman (vote for up to two) (4-year term) for town of leon, cattaraugus~vote for 2,</v>
      </c>
      <c r="B7343" t="s">
        <v>8101</v>
      </c>
      <c r="D7343" t="s">
        <v>8167</v>
      </c>
      <c r="E7343" t="s">
        <v>8168</v>
      </c>
      <c r="G7343">
        <v>118</v>
      </c>
      <c r="H7343">
        <v>0.51300000000000001</v>
      </c>
      <c r="N7343"/>
      <c r="O7343">
        <f t="shared" si="1318"/>
        <v>1</v>
      </c>
      <c r="P7343" s="20">
        <v>2</v>
      </c>
      <c r="Q7343" s="267">
        <f t="shared" si="1320"/>
        <v>118</v>
      </c>
      <c r="R7343" s="23">
        <f t="shared" si="1321"/>
        <v>112</v>
      </c>
      <c r="S7343" s="23">
        <f t="shared" si="1322"/>
        <v>0</v>
      </c>
      <c r="T7343" s="23" t="str">
        <f t="shared" si="1323"/>
        <v/>
      </c>
      <c r="U7343" t="str">
        <f t="shared" si="1324"/>
        <v>NY_Catta_2021g~-~councilman (vote for up to two) (4-year term) for town of leon, cattaraugus~vote for 2,</v>
      </c>
    </row>
    <row r="7344" spans="1:21">
      <c r="A7344" t="str">
        <f t="shared" si="1319"/>
        <v>NY_Catta_2021g~-~councilman (vote for up to two) (4-year term) for town of leon, cattaraugus~vote for 2,</v>
      </c>
      <c r="B7344" t="s">
        <v>8101</v>
      </c>
      <c r="D7344" t="s">
        <v>8167</v>
      </c>
      <c r="E7344" t="s">
        <v>8169</v>
      </c>
      <c r="G7344">
        <v>112</v>
      </c>
      <c r="H7344">
        <v>0.48699999999999999</v>
      </c>
      <c r="N7344"/>
      <c r="O7344">
        <f t="shared" si="1318"/>
        <v>2</v>
      </c>
      <c r="P7344" s="20">
        <v>2</v>
      </c>
      <c r="Q7344" s="267">
        <f t="shared" si="1320"/>
        <v>112</v>
      </c>
      <c r="R7344" s="23">
        <f t="shared" si="1321"/>
        <v>112</v>
      </c>
      <c r="S7344" s="23">
        <f t="shared" si="1322"/>
        <v>0</v>
      </c>
      <c r="T7344" s="23" t="str">
        <f t="shared" si="1323"/>
        <v/>
      </c>
      <c r="U7344" t="str">
        <f t="shared" si="1324"/>
        <v/>
      </c>
    </row>
    <row r="7345" spans="1:21">
      <c r="A7345" t="str">
        <f t="shared" si="1319"/>
        <v>NY_Catta_2021g~-~councilman (vote for up to two) (4-year term) for town of leon, cattaraugus~vote for 2,</v>
      </c>
      <c r="B7345" t="s">
        <v>8101</v>
      </c>
      <c r="D7345" t="s">
        <v>8167</v>
      </c>
      <c r="E7345" t="s">
        <v>1299</v>
      </c>
      <c r="G7345">
        <v>0</v>
      </c>
      <c r="H7345">
        <v>0</v>
      </c>
      <c r="N7345"/>
      <c r="O7345">
        <f t="shared" si="1318"/>
        <v>-2</v>
      </c>
      <c r="P7345" s="20">
        <v>2</v>
      </c>
      <c r="Q7345" s="267">
        <f t="shared" si="1320"/>
        <v>0</v>
      </c>
      <c r="R7345" s="23">
        <f t="shared" si="1321"/>
        <v>1</v>
      </c>
      <c r="S7345" s="23">
        <f t="shared" si="1322"/>
        <v>0</v>
      </c>
      <c r="T7345" s="23" t="str">
        <f t="shared" si="1323"/>
        <v/>
      </c>
      <c r="U7345" t="str">
        <f t="shared" si="1324"/>
        <v/>
      </c>
    </row>
    <row r="7346" spans="1:21">
      <c r="A7346" t="str">
        <f t="shared" si="1319"/>
        <v>NY_Catta_2021g~-~councilman (vote for up to two) (4-year term) for town of little valley, cattaraugus~vote for 2,</v>
      </c>
      <c r="B7346" t="s">
        <v>8101</v>
      </c>
      <c r="D7346" t="s">
        <v>8170</v>
      </c>
      <c r="E7346" t="s">
        <v>8171</v>
      </c>
      <c r="G7346">
        <v>251</v>
      </c>
      <c r="H7346">
        <v>0.48459999999999998</v>
      </c>
      <c r="N7346"/>
      <c r="O7346">
        <f t="shared" si="1318"/>
        <v>1</v>
      </c>
      <c r="P7346" s="20">
        <v>2</v>
      </c>
      <c r="Q7346" s="267">
        <f t="shared" si="1320"/>
        <v>259</v>
      </c>
      <c r="R7346" s="23">
        <f t="shared" si="1321"/>
        <v>143</v>
      </c>
      <c r="S7346" s="23">
        <f t="shared" si="1322"/>
        <v>124</v>
      </c>
      <c r="T7346" s="23">
        <f t="shared" si="1323"/>
        <v>19</v>
      </c>
      <c r="U7346" t="str">
        <f t="shared" si="1324"/>
        <v>NY_Catta_2021g~-~councilman (vote for up to two) (4-year term) for town of little valley, cattaraugus~vote for 2,</v>
      </c>
    </row>
    <row r="7347" spans="1:21">
      <c r="A7347" t="str">
        <f t="shared" si="1319"/>
        <v>NY_Catta_2021g~-~councilman (vote for up to two) (4-year term) for town of little valley, cattaraugus~vote for 2,</v>
      </c>
      <c r="B7347" t="s">
        <v>8101</v>
      </c>
      <c r="D7347" t="s">
        <v>8170</v>
      </c>
      <c r="E7347" t="s">
        <v>8172</v>
      </c>
      <c r="G7347">
        <v>143</v>
      </c>
      <c r="H7347">
        <v>0.27610000000000001</v>
      </c>
      <c r="N7347"/>
      <c r="O7347">
        <f t="shared" si="1318"/>
        <v>2</v>
      </c>
      <c r="P7347" s="20">
        <v>2</v>
      </c>
      <c r="Q7347" s="267">
        <f t="shared" si="1320"/>
        <v>267</v>
      </c>
      <c r="R7347" s="23">
        <f t="shared" si="1321"/>
        <v>143</v>
      </c>
      <c r="S7347" s="23">
        <f t="shared" si="1322"/>
        <v>124</v>
      </c>
      <c r="T7347" s="23" t="str">
        <f t="shared" si="1323"/>
        <v/>
      </c>
      <c r="U7347" t="str">
        <f t="shared" si="1324"/>
        <v/>
      </c>
    </row>
    <row r="7348" spans="1:21">
      <c r="A7348" t="str">
        <f t="shared" si="1319"/>
        <v>NY_Catta_2021g~-~councilman (vote for up to two) (4-year term) for town of little valley, cattaraugus~vote for 2,</v>
      </c>
      <c r="B7348" t="s">
        <v>8101</v>
      </c>
      <c r="D7348" t="s">
        <v>8170</v>
      </c>
      <c r="E7348" t="s">
        <v>8173</v>
      </c>
      <c r="G7348">
        <v>124</v>
      </c>
      <c r="H7348">
        <v>0.2394</v>
      </c>
      <c r="N7348"/>
      <c r="O7348">
        <f t="shared" si="1318"/>
        <v>3</v>
      </c>
      <c r="P7348" s="20">
        <v>2</v>
      </c>
      <c r="Q7348" s="267">
        <f t="shared" si="1320"/>
        <v>124</v>
      </c>
      <c r="R7348" s="23" t="str">
        <f t="shared" si="1321"/>
        <v/>
      </c>
      <c r="S7348" s="23">
        <f t="shared" si="1322"/>
        <v>124</v>
      </c>
      <c r="T7348" s="23" t="str">
        <f t="shared" si="1323"/>
        <v/>
      </c>
      <c r="U7348" t="str">
        <f t="shared" si="1324"/>
        <v/>
      </c>
    </row>
    <row r="7349" spans="1:21">
      <c r="A7349" t="str">
        <f t="shared" si="1319"/>
        <v>NY_Catta_2021g~-~councilman (vote for up to two) (4-year term) for town of little valley, cattaraugus~vote for 2,</v>
      </c>
      <c r="B7349" t="s">
        <v>8101</v>
      </c>
      <c r="D7349" t="s">
        <v>8170</v>
      </c>
      <c r="E7349" t="s">
        <v>1299</v>
      </c>
      <c r="G7349">
        <v>0</v>
      </c>
      <c r="H7349">
        <v>0</v>
      </c>
      <c r="N7349"/>
      <c r="O7349">
        <f t="shared" si="1318"/>
        <v>-3</v>
      </c>
      <c r="P7349" s="20">
        <v>2</v>
      </c>
      <c r="Q7349" s="267">
        <f t="shared" si="1320"/>
        <v>0</v>
      </c>
      <c r="R7349" s="23">
        <f t="shared" si="1321"/>
        <v>1</v>
      </c>
      <c r="S7349" s="23">
        <f t="shared" si="1322"/>
        <v>0</v>
      </c>
      <c r="T7349" s="23" t="str">
        <f t="shared" si="1323"/>
        <v/>
      </c>
      <c r="U7349" t="str">
        <f t="shared" si="1324"/>
        <v/>
      </c>
    </row>
    <row r="7350" spans="1:21">
      <c r="A7350" t="str">
        <f t="shared" si="1319"/>
        <v>NY_Catta_2021g~-~councilman (vote for up to two) (4-year term) for town of lyndon, cattaraugus~vote for 2,</v>
      </c>
      <c r="B7350" t="s">
        <v>8101</v>
      </c>
      <c r="D7350" t="s">
        <v>8174</v>
      </c>
      <c r="E7350" t="s">
        <v>8175</v>
      </c>
      <c r="G7350">
        <v>124</v>
      </c>
      <c r="H7350">
        <v>0.28899999999999998</v>
      </c>
      <c r="N7350"/>
      <c r="O7350">
        <f t="shared" si="1318"/>
        <v>1</v>
      </c>
      <c r="P7350" s="20">
        <v>2</v>
      </c>
      <c r="Q7350" s="267">
        <f t="shared" si="1320"/>
        <v>214.5</v>
      </c>
      <c r="R7350" s="23">
        <f t="shared" si="1321"/>
        <v>110</v>
      </c>
      <c r="S7350" s="23">
        <f t="shared" si="1322"/>
        <v>97</v>
      </c>
      <c r="T7350" s="23">
        <f t="shared" si="1323"/>
        <v>13</v>
      </c>
      <c r="U7350" t="str">
        <f t="shared" si="1324"/>
        <v>NY_Catta_2021g~-~councilman (vote for up to two) (4-year term) for town of lyndon, cattaraugus~vote for 2,</v>
      </c>
    </row>
    <row r="7351" spans="1:21">
      <c r="A7351" t="str">
        <f t="shared" si="1319"/>
        <v>NY_Catta_2021g~-~councilman (vote for up to two) (4-year term) for town of lyndon, cattaraugus~vote for 2,</v>
      </c>
      <c r="B7351" t="s">
        <v>8101</v>
      </c>
      <c r="D7351" t="s">
        <v>8174</v>
      </c>
      <c r="E7351" t="s">
        <v>8176</v>
      </c>
      <c r="G7351">
        <v>110</v>
      </c>
      <c r="H7351">
        <v>0.25640000000000002</v>
      </c>
      <c r="N7351"/>
      <c r="O7351">
        <f t="shared" si="1318"/>
        <v>2</v>
      </c>
      <c r="P7351" s="20">
        <v>2</v>
      </c>
      <c r="Q7351" s="267">
        <f t="shared" si="1320"/>
        <v>305</v>
      </c>
      <c r="R7351" s="23">
        <f t="shared" si="1321"/>
        <v>110</v>
      </c>
      <c r="S7351" s="23">
        <f t="shared" si="1322"/>
        <v>97</v>
      </c>
      <c r="T7351" s="23" t="str">
        <f t="shared" si="1323"/>
        <v/>
      </c>
      <c r="U7351" t="str">
        <f t="shared" si="1324"/>
        <v/>
      </c>
    </row>
    <row r="7352" spans="1:21">
      <c r="A7352" t="str">
        <f t="shared" si="1319"/>
        <v>NY_Catta_2021g~-~councilman (vote for up to two) (4-year term) for town of lyndon, cattaraugus~vote for 2,</v>
      </c>
      <c r="B7352" t="s">
        <v>8101</v>
      </c>
      <c r="D7352" t="s">
        <v>8174</v>
      </c>
      <c r="E7352" t="s">
        <v>8177</v>
      </c>
      <c r="G7352">
        <v>97</v>
      </c>
      <c r="H7352">
        <v>0.2261</v>
      </c>
      <c r="N7352"/>
      <c r="O7352">
        <f t="shared" si="1318"/>
        <v>3</v>
      </c>
      <c r="P7352" s="20">
        <v>2</v>
      </c>
      <c r="Q7352" s="267">
        <f t="shared" si="1320"/>
        <v>195</v>
      </c>
      <c r="R7352" s="23" t="str">
        <f t="shared" si="1321"/>
        <v/>
      </c>
      <c r="S7352" s="23">
        <f t="shared" si="1322"/>
        <v>97</v>
      </c>
      <c r="T7352" s="23" t="str">
        <f t="shared" si="1323"/>
        <v/>
      </c>
      <c r="U7352" t="str">
        <f t="shared" si="1324"/>
        <v/>
      </c>
    </row>
    <row r="7353" spans="1:21">
      <c r="A7353" t="str">
        <f t="shared" si="1319"/>
        <v>NY_Catta_2021g~-~councilman (vote for up to two) (4-year term) for town of lyndon, cattaraugus~vote for 2,</v>
      </c>
      <c r="B7353" t="s">
        <v>8101</v>
      </c>
      <c r="D7353" t="s">
        <v>8174</v>
      </c>
      <c r="E7353" t="s">
        <v>8178</v>
      </c>
      <c r="G7353">
        <v>96</v>
      </c>
      <c r="H7353">
        <v>0.2238</v>
      </c>
      <c r="N7353"/>
      <c r="O7353">
        <f t="shared" si="1318"/>
        <v>4</v>
      </c>
      <c r="P7353" s="20">
        <v>2</v>
      </c>
      <c r="Q7353" s="267">
        <f t="shared" si="1320"/>
        <v>98</v>
      </c>
      <c r="R7353" s="23" t="str">
        <f t="shared" si="1321"/>
        <v/>
      </c>
      <c r="S7353" s="23">
        <f t="shared" si="1322"/>
        <v>96</v>
      </c>
      <c r="T7353" s="23" t="str">
        <f t="shared" si="1323"/>
        <v/>
      </c>
      <c r="U7353" t="str">
        <f t="shared" si="1324"/>
        <v/>
      </c>
    </row>
    <row r="7354" spans="1:21">
      <c r="A7354" t="str">
        <f t="shared" si="1319"/>
        <v>NY_Catta_2021g~-~councilman (vote for up to two) (4-year term) for town of lyndon, cattaraugus~vote for 2,</v>
      </c>
      <c r="B7354" t="s">
        <v>8101</v>
      </c>
      <c r="D7354" t="s">
        <v>8174</v>
      </c>
      <c r="E7354" t="s">
        <v>1299</v>
      </c>
      <c r="G7354">
        <v>2</v>
      </c>
      <c r="H7354">
        <v>4.7000000000000002E-3</v>
      </c>
      <c r="N7354"/>
      <c r="O7354">
        <f t="shared" si="1318"/>
        <v>-4</v>
      </c>
      <c r="P7354" s="20">
        <v>2</v>
      </c>
      <c r="Q7354" s="267">
        <f t="shared" si="1320"/>
        <v>2</v>
      </c>
      <c r="R7354" s="23">
        <f t="shared" si="1321"/>
        <v>1</v>
      </c>
      <c r="S7354" s="23">
        <f t="shared" si="1322"/>
        <v>0</v>
      </c>
      <c r="T7354" s="23" t="str">
        <f t="shared" si="1323"/>
        <v/>
      </c>
      <c r="U7354" t="str">
        <f t="shared" si="1324"/>
        <v/>
      </c>
    </row>
    <row r="7355" spans="1:21">
      <c r="A7355" t="str">
        <f t="shared" si="1319"/>
        <v>NY_Catta_2021g~-~councilman (vote for up to two) (4-year term) for town of machias, cattaraugus~vote for 2,</v>
      </c>
      <c r="B7355" t="s">
        <v>8101</v>
      </c>
      <c r="D7355" t="s">
        <v>8179</v>
      </c>
      <c r="E7355" t="s">
        <v>8180</v>
      </c>
      <c r="G7355">
        <v>235</v>
      </c>
      <c r="H7355">
        <v>0.50109999999999999</v>
      </c>
      <c r="N7355"/>
      <c r="O7355">
        <f t="shared" si="1318"/>
        <v>1</v>
      </c>
      <c r="P7355" s="20">
        <v>2</v>
      </c>
      <c r="Q7355" s="267">
        <f t="shared" si="1320"/>
        <v>235</v>
      </c>
      <c r="R7355" s="23">
        <f t="shared" si="1321"/>
        <v>232</v>
      </c>
      <c r="S7355" s="23">
        <f t="shared" si="1322"/>
        <v>0</v>
      </c>
      <c r="T7355" s="23" t="str">
        <f t="shared" si="1323"/>
        <v/>
      </c>
      <c r="U7355" t="str">
        <f t="shared" si="1324"/>
        <v>NY_Catta_2021g~-~councilman (vote for up to two) (4-year term) for town of machias, cattaraugus~vote for 2,</v>
      </c>
    </row>
    <row r="7356" spans="1:21">
      <c r="A7356" t="str">
        <f t="shared" si="1319"/>
        <v>NY_Catta_2021g~-~councilman (vote for up to two) (4-year term) for town of machias, cattaraugus~vote for 2,</v>
      </c>
      <c r="B7356" t="s">
        <v>8101</v>
      </c>
      <c r="D7356" t="s">
        <v>8179</v>
      </c>
      <c r="E7356" t="s">
        <v>8181</v>
      </c>
      <c r="G7356">
        <v>232</v>
      </c>
      <c r="H7356">
        <v>0.49469999999999997</v>
      </c>
      <c r="N7356"/>
      <c r="O7356">
        <f t="shared" si="1318"/>
        <v>2</v>
      </c>
      <c r="P7356" s="20">
        <v>2</v>
      </c>
      <c r="Q7356" s="267">
        <f t="shared" si="1320"/>
        <v>234</v>
      </c>
      <c r="R7356" s="23">
        <f t="shared" si="1321"/>
        <v>232</v>
      </c>
      <c r="S7356" s="23">
        <f t="shared" si="1322"/>
        <v>0</v>
      </c>
      <c r="T7356" s="23" t="str">
        <f t="shared" si="1323"/>
        <v/>
      </c>
      <c r="U7356" t="str">
        <f t="shared" si="1324"/>
        <v/>
      </c>
    </row>
    <row r="7357" spans="1:21">
      <c r="A7357" t="str">
        <f t="shared" si="1319"/>
        <v>NY_Catta_2021g~-~councilman (vote for up to two) (4-year term) for town of machias, cattaraugus~vote for 2,</v>
      </c>
      <c r="B7357" t="s">
        <v>8101</v>
      </c>
      <c r="D7357" t="s">
        <v>8179</v>
      </c>
      <c r="E7357" t="s">
        <v>1299</v>
      </c>
      <c r="G7357">
        <v>2</v>
      </c>
      <c r="H7357">
        <v>4.3E-3</v>
      </c>
      <c r="N7357"/>
      <c r="O7357">
        <f t="shared" si="1318"/>
        <v>-2</v>
      </c>
      <c r="P7357" s="20">
        <v>2</v>
      </c>
      <c r="Q7357" s="267">
        <f t="shared" si="1320"/>
        <v>2</v>
      </c>
      <c r="R7357" s="23">
        <f t="shared" si="1321"/>
        <v>1</v>
      </c>
      <c r="S7357" s="23">
        <f t="shared" si="1322"/>
        <v>0</v>
      </c>
      <c r="T7357" s="23" t="str">
        <f t="shared" si="1323"/>
        <v/>
      </c>
      <c r="U7357" t="str">
        <f t="shared" si="1324"/>
        <v/>
      </c>
    </row>
    <row r="7358" spans="1:21">
      <c r="A7358" t="str">
        <f t="shared" si="1319"/>
        <v>NY_Catta_2021g~-~councilman (vote for up to two) (4-year term) for town of mansfield, cattaraugus~vote for 2,</v>
      </c>
      <c r="B7358" t="s">
        <v>8101</v>
      </c>
      <c r="D7358" t="s">
        <v>8182</v>
      </c>
      <c r="E7358" t="s">
        <v>8183</v>
      </c>
      <c r="G7358">
        <v>110</v>
      </c>
      <c r="H7358">
        <v>0.57289999999999996</v>
      </c>
      <c r="N7358"/>
      <c r="O7358">
        <f t="shared" si="1318"/>
        <v>1</v>
      </c>
      <c r="P7358" s="20">
        <v>2</v>
      </c>
      <c r="Q7358" s="267">
        <f t="shared" si="1320"/>
        <v>110</v>
      </c>
      <c r="R7358" s="23">
        <f t="shared" si="1321"/>
        <v>81</v>
      </c>
      <c r="S7358" s="23">
        <f t="shared" si="1322"/>
        <v>0</v>
      </c>
      <c r="T7358" s="23" t="str">
        <f t="shared" si="1323"/>
        <v/>
      </c>
      <c r="U7358" t="str">
        <f t="shared" si="1324"/>
        <v>NY_Catta_2021g~-~councilman (vote for up to two) (4-year term) for town of mansfield, cattaraugus~vote for 2,</v>
      </c>
    </row>
    <row r="7359" spans="1:21">
      <c r="A7359" t="str">
        <f t="shared" si="1319"/>
        <v>NY_Catta_2021g~-~councilman (vote for up to two) (4-year term) for town of mansfield, cattaraugus~vote for 2,</v>
      </c>
      <c r="B7359" t="s">
        <v>8101</v>
      </c>
      <c r="D7359" t="s">
        <v>8182</v>
      </c>
      <c r="E7359" t="s">
        <v>8184</v>
      </c>
      <c r="G7359">
        <v>81</v>
      </c>
      <c r="H7359">
        <v>0.4219</v>
      </c>
      <c r="N7359"/>
      <c r="O7359">
        <f t="shared" si="1318"/>
        <v>2</v>
      </c>
      <c r="P7359" s="20">
        <v>2</v>
      </c>
      <c r="Q7359" s="267">
        <f t="shared" si="1320"/>
        <v>82</v>
      </c>
      <c r="R7359" s="23">
        <f t="shared" si="1321"/>
        <v>81</v>
      </c>
      <c r="S7359" s="23">
        <f t="shared" si="1322"/>
        <v>0</v>
      </c>
      <c r="T7359" s="23" t="str">
        <f t="shared" si="1323"/>
        <v/>
      </c>
      <c r="U7359" t="str">
        <f t="shared" si="1324"/>
        <v/>
      </c>
    </row>
    <row r="7360" spans="1:21">
      <c r="A7360" t="str">
        <f t="shared" si="1319"/>
        <v>NY_Catta_2021g~-~councilman (vote for up to two) (4-year term) for town of mansfield, cattaraugus~vote for 2,</v>
      </c>
      <c r="B7360" t="s">
        <v>8101</v>
      </c>
      <c r="D7360" t="s">
        <v>8182</v>
      </c>
      <c r="E7360" t="s">
        <v>1299</v>
      </c>
      <c r="G7360">
        <v>1</v>
      </c>
      <c r="H7360">
        <v>5.1999999999999998E-3</v>
      </c>
      <c r="N7360"/>
      <c r="O7360">
        <f t="shared" si="1318"/>
        <v>-2</v>
      </c>
      <c r="P7360" s="20">
        <v>2</v>
      </c>
      <c r="Q7360" s="267">
        <f t="shared" si="1320"/>
        <v>1</v>
      </c>
      <c r="R7360" s="23">
        <f t="shared" si="1321"/>
        <v>1</v>
      </c>
      <c r="S7360" s="23">
        <f t="shared" si="1322"/>
        <v>0</v>
      </c>
      <c r="T7360" s="23" t="str">
        <f t="shared" si="1323"/>
        <v/>
      </c>
      <c r="U7360" t="str">
        <f t="shared" si="1324"/>
        <v/>
      </c>
    </row>
    <row r="7361" spans="1:21">
      <c r="A7361" t="str">
        <f t="shared" si="1319"/>
        <v>NY_Catta_2021g~-~councilman (vote for up to two) (4-year term) for town of napoli, cattaraugus~vote for 2,</v>
      </c>
      <c r="B7361" t="s">
        <v>8101</v>
      </c>
      <c r="D7361" t="s">
        <v>8185</v>
      </c>
      <c r="E7361" t="s">
        <v>8186</v>
      </c>
      <c r="G7361">
        <v>156</v>
      </c>
      <c r="H7361">
        <v>0.49370000000000003</v>
      </c>
      <c r="N7361"/>
      <c r="O7361">
        <f t="shared" si="1318"/>
        <v>1</v>
      </c>
      <c r="P7361" s="20">
        <v>2</v>
      </c>
      <c r="Q7361" s="267">
        <f t="shared" si="1320"/>
        <v>158</v>
      </c>
      <c r="R7361" s="23">
        <f t="shared" si="1321"/>
        <v>154</v>
      </c>
      <c r="S7361" s="23">
        <f t="shared" si="1322"/>
        <v>0</v>
      </c>
      <c r="T7361" s="23" t="str">
        <f t="shared" si="1323"/>
        <v/>
      </c>
      <c r="U7361" t="str">
        <f t="shared" si="1324"/>
        <v>NY_Catta_2021g~-~councilman (vote for up to two) (4-year term) for town of napoli, cattaraugus~vote for 2,</v>
      </c>
    </row>
    <row r="7362" spans="1:21">
      <c r="A7362" t="str">
        <f t="shared" si="1319"/>
        <v>NY_Catta_2021g~-~councilman (vote for up to two) (4-year term) for town of napoli, cattaraugus~vote for 2,</v>
      </c>
      <c r="B7362" t="s">
        <v>8101</v>
      </c>
      <c r="D7362" t="s">
        <v>8185</v>
      </c>
      <c r="E7362" t="s">
        <v>8187</v>
      </c>
      <c r="G7362">
        <v>154</v>
      </c>
      <c r="H7362">
        <v>0.48730000000000001</v>
      </c>
      <c r="N7362"/>
      <c r="O7362">
        <f t="shared" si="1318"/>
        <v>2</v>
      </c>
      <c r="P7362" s="20">
        <v>2</v>
      </c>
      <c r="Q7362" s="267">
        <f t="shared" si="1320"/>
        <v>160</v>
      </c>
      <c r="R7362" s="23">
        <f t="shared" si="1321"/>
        <v>154</v>
      </c>
      <c r="S7362" s="23">
        <f t="shared" si="1322"/>
        <v>0</v>
      </c>
      <c r="T7362" s="23" t="str">
        <f t="shared" si="1323"/>
        <v/>
      </c>
      <c r="U7362" t="str">
        <f t="shared" si="1324"/>
        <v/>
      </c>
    </row>
    <row r="7363" spans="1:21">
      <c r="A7363" t="str">
        <f t="shared" si="1319"/>
        <v>NY_Catta_2021g~-~councilman (vote for up to two) (4-year term) for town of napoli, cattaraugus~vote for 2,</v>
      </c>
      <c r="B7363" t="s">
        <v>8101</v>
      </c>
      <c r="D7363" t="s">
        <v>8185</v>
      </c>
      <c r="E7363" t="s">
        <v>1299</v>
      </c>
      <c r="G7363">
        <v>6</v>
      </c>
      <c r="H7363">
        <v>1.9E-2</v>
      </c>
      <c r="N7363"/>
      <c r="O7363">
        <f t="shared" si="1318"/>
        <v>-2</v>
      </c>
      <c r="P7363" s="20">
        <v>2</v>
      </c>
      <c r="Q7363" s="267">
        <f t="shared" si="1320"/>
        <v>6</v>
      </c>
      <c r="R7363" s="23">
        <f t="shared" si="1321"/>
        <v>1</v>
      </c>
      <c r="S7363" s="23">
        <f t="shared" si="1322"/>
        <v>0</v>
      </c>
      <c r="T7363" s="23" t="str">
        <f t="shared" si="1323"/>
        <v/>
      </c>
      <c r="U7363" t="str">
        <f t="shared" si="1324"/>
        <v/>
      </c>
    </row>
    <row r="7364" spans="1:21">
      <c r="A7364" t="str">
        <f t="shared" si="1319"/>
        <v>NY_Catta_2021g~-~councilman (vote for up to two) (4-year term) for town of new albion, cattaraugus~vote for 2,</v>
      </c>
      <c r="B7364" t="s">
        <v>8101</v>
      </c>
      <c r="D7364" t="s">
        <v>8188</v>
      </c>
      <c r="E7364" t="s">
        <v>8189</v>
      </c>
      <c r="G7364">
        <v>245</v>
      </c>
      <c r="H7364">
        <v>0.88449999999999995</v>
      </c>
      <c r="N7364"/>
      <c r="O7364">
        <f t="shared" si="1318"/>
        <v>1</v>
      </c>
      <c r="P7364" s="20">
        <v>2</v>
      </c>
      <c r="Q7364" s="267">
        <f t="shared" si="1320"/>
        <v>245</v>
      </c>
      <c r="R7364" s="23">
        <f t="shared" si="1321"/>
        <v>1</v>
      </c>
      <c r="S7364" s="23">
        <f t="shared" si="1322"/>
        <v>0</v>
      </c>
      <c r="T7364" s="23" t="str">
        <f t="shared" si="1323"/>
        <v/>
      </c>
      <c r="U7364" t="str">
        <f t="shared" si="1324"/>
        <v>NY_Catta_2021g~-~councilman (vote for up to two) (4-year term) for town of new albion, cattaraugus~vote for 2,</v>
      </c>
    </row>
    <row r="7365" spans="1:21">
      <c r="A7365" t="str">
        <f t="shared" si="1319"/>
        <v>NY_Catta_2021g~-~councilman (vote for up to two) (4-year term) for town of new albion, cattaraugus~vote for 2,</v>
      </c>
      <c r="B7365" t="s">
        <v>8101</v>
      </c>
      <c r="D7365" t="s">
        <v>8188</v>
      </c>
      <c r="E7365" t="s">
        <v>1299</v>
      </c>
      <c r="G7365">
        <v>32</v>
      </c>
      <c r="H7365">
        <v>0.11550000000000001</v>
      </c>
      <c r="N7365"/>
      <c r="O7365">
        <f t="shared" si="1318"/>
        <v>-1</v>
      </c>
      <c r="P7365" s="20">
        <v>2</v>
      </c>
      <c r="Q7365" s="267">
        <f t="shared" si="1320"/>
        <v>32</v>
      </c>
      <c r="R7365" s="23">
        <f t="shared" si="1321"/>
        <v>1</v>
      </c>
      <c r="S7365" s="23">
        <f t="shared" si="1322"/>
        <v>0</v>
      </c>
      <c r="T7365" s="23" t="str">
        <f t="shared" si="1323"/>
        <v/>
      </c>
      <c r="U7365" t="str">
        <f t="shared" si="1324"/>
        <v/>
      </c>
    </row>
    <row r="7366" spans="1:21">
      <c r="A7366" t="str">
        <f t="shared" si="1319"/>
        <v>NY_Catta_2021g~-~councilman (vote for up to two) (4-year term) for town of olean, cattaraugus~vote for 2,</v>
      </c>
      <c r="B7366" t="s">
        <v>8101</v>
      </c>
      <c r="D7366" t="s">
        <v>8190</v>
      </c>
      <c r="E7366" t="s">
        <v>8191</v>
      </c>
      <c r="G7366">
        <v>223</v>
      </c>
      <c r="H7366">
        <v>0.51380000000000003</v>
      </c>
      <c r="N7366"/>
      <c r="O7366">
        <f t="shared" si="1318"/>
        <v>1</v>
      </c>
      <c r="P7366" s="20">
        <v>2</v>
      </c>
      <c r="Q7366" s="267">
        <f t="shared" si="1320"/>
        <v>223</v>
      </c>
      <c r="R7366" s="23">
        <f t="shared" si="1321"/>
        <v>209</v>
      </c>
      <c r="S7366" s="23">
        <f t="shared" si="1322"/>
        <v>0</v>
      </c>
      <c r="T7366" s="23" t="str">
        <f t="shared" si="1323"/>
        <v/>
      </c>
      <c r="U7366" t="str">
        <f t="shared" si="1324"/>
        <v>NY_Catta_2021g~-~councilman (vote for up to two) (4-year term) for town of olean, cattaraugus~vote for 2,</v>
      </c>
    </row>
    <row r="7367" spans="1:21">
      <c r="A7367" t="str">
        <f t="shared" si="1319"/>
        <v>NY_Catta_2021g~-~councilman (vote for up to two) (4-year term) for town of olean, cattaraugus~vote for 2,</v>
      </c>
      <c r="B7367" t="s">
        <v>8101</v>
      </c>
      <c r="D7367" t="s">
        <v>8190</v>
      </c>
      <c r="E7367" t="s">
        <v>8192</v>
      </c>
      <c r="G7367">
        <v>209</v>
      </c>
      <c r="H7367">
        <v>0.48159999999999997</v>
      </c>
      <c r="N7367"/>
      <c r="O7367">
        <f t="shared" si="1318"/>
        <v>2</v>
      </c>
      <c r="P7367" s="20">
        <v>2</v>
      </c>
      <c r="Q7367" s="267">
        <f t="shared" si="1320"/>
        <v>211</v>
      </c>
      <c r="R7367" s="23">
        <f t="shared" si="1321"/>
        <v>209</v>
      </c>
      <c r="S7367" s="23">
        <f t="shared" si="1322"/>
        <v>0</v>
      </c>
      <c r="T7367" s="23" t="str">
        <f t="shared" si="1323"/>
        <v/>
      </c>
      <c r="U7367" t="str">
        <f t="shared" si="1324"/>
        <v/>
      </c>
    </row>
    <row r="7368" spans="1:21">
      <c r="A7368" t="str">
        <f t="shared" si="1319"/>
        <v>NY_Catta_2021g~-~councilman (vote for up to two) (4-year term) for town of olean, cattaraugus~vote for 2,</v>
      </c>
      <c r="B7368" t="s">
        <v>8101</v>
      </c>
      <c r="D7368" t="s">
        <v>8190</v>
      </c>
      <c r="E7368" t="s">
        <v>1299</v>
      </c>
      <c r="G7368">
        <v>2</v>
      </c>
      <c r="H7368">
        <v>4.5999999999999999E-3</v>
      </c>
      <c r="N7368"/>
      <c r="O7368">
        <f t="shared" si="1318"/>
        <v>-2</v>
      </c>
      <c r="P7368" s="20">
        <v>2</v>
      </c>
      <c r="Q7368" s="267">
        <f t="shared" si="1320"/>
        <v>2</v>
      </c>
      <c r="R7368" s="23">
        <f t="shared" si="1321"/>
        <v>1</v>
      </c>
      <c r="S7368" s="23">
        <f t="shared" si="1322"/>
        <v>0</v>
      </c>
      <c r="T7368" s="23" t="str">
        <f t="shared" si="1323"/>
        <v/>
      </c>
      <c r="U7368" t="str">
        <f t="shared" si="1324"/>
        <v/>
      </c>
    </row>
    <row r="7369" spans="1:21">
      <c r="A7369" t="str">
        <f t="shared" si="1319"/>
        <v>NY_Catta_2021g~-~councilman (vote for up to two) (4-year term) for town of otto, cattaraugus~vote for 2,</v>
      </c>
      <c r="B7369" t="s">
        <v>8101</v>
      </c>
      <c r="D7369" t="s">
        <v>8193</v>
      </c>
      <c r="E7369" t="s">
        <v>8194</v>
      </c>
      <c r="G7369">
        <v>132</v>
      </c>
      <c r="H7369">
        <v>0.50570000000000004</v>
      </c>
      <c r="N7369"/>
      <c r="O7369">
        <f t="shared" si="1318"/>
        <v>1</v>
      </c>
      <c r="P7369" s="20">
        <v>2</v>
      </c>
      <c r="Q7369" s="267">
        <f t="shared" si="1320"/>
        <v>132</v>
      </c>
      <c r="R7369" s="23">
        <f t="shared" si="1321"/>
        <v>129</v>
      </c>
      <c r="S7369" s="23">
        <f t="shared" si="1322"/>
        <v>0</v>
      </c>
      <c r="T7369" s="23" t="str">
        <f t="shared" si="1323"/>
        <v/>
      </c>
      <c r="U7369" t="str">
        <f t="shared" si="1324"/>
        <v>NY_Catta_2021g~-~councilman (vote for up to two) (4-year term) for town of otto, cattaraugus~vote for 2,</v>
      </c>
    </row>
    <row r="7370" spans="1:21">
      <c r="A7370" t="str">
        <f t="shared" si="1319"/>
        <v>NY_Catta_2021g~-~councilman (vote for up to two) (4-year term) for town of otto, cattaraugus~vote for 2,</v>
      </c>
      <c r="B7370" t="s">
        <v>8101</v>
      </c>
      <c r="D7370" t="s">
        <v>8193</v>
      </c>
      <c r="E7370" t="s">
        <v>8195</v>
      </c>
      <c r="G7370">
        <v>129</v>
      </c>
      <c r="H7370">
        <v>0.49430000000000002</v>
      </c>
      <c r="N7370"/>
      <c r="O7370">
        <f t="shared" ref="O7370:O7433" si="1325">IF(OR(LOWER(LEFT(E7370,8))="write-in",LOWER(LEFT(E7370,8))="not qual"),IF(A7370=A7369,-ABS(O7369),0),IF(A7370=A7369,ABS(O7369)+1,1))</f>
        <v>2</v>
      </c>
      <c r="P7370" s="20">
        <v>2</v>
      </c>
      <c r="Q7370" s="267">
        <f t="shared" si="1320"/>
        <v>129</v>
      </c>
      <c r="R7370" s="23">
        <f t="shared" si="1321"/>
        <v>129</v>
      </c>
      <c r="S7370" s="23">
        <f t="shared" si="1322"/>
        <v>0</v>
      </c>
      <c r="T7370" s="23" t="str">
        <f t="shared" si="1323"/>
        <v/>
      </c>
      <c r="U7370" t="str">
        <f t="shared" si="1324"/>
        <v/>
      </c>
    </row>
    <row r="7371" spans="1:21">
      <c r="A7371" t="str">
        <f t="shared" si="1319"/>
        <v>NY_Catta_2021g~-~councilman (vote for up to two) (4-year term) for town of otto, cattaraugus~vote for 2,</v>
      </c>
      <c r="B7371" t="s">
        <v>8101</v>
      </c>
      <c r="D7371" t="s">
        <v>8193</v>
      </c>
      <c r="E7371" t="s">
        <v>1299</v>
      </c>
      <c r="G7371">
        <v>0</v>
      </c>
      <c r="H7371">
        <v>0</v>
      </c>
      <c r="N7371"/>
      <c r="O7371">
        <f t="shared" si="1325"/>
        <v>-2</v>
      </c>
      <c r="P7371" s="20">
        <v>2</v>
      </c>
      <c r="Q7371" s="267">
        <f t="shared" si="1320"/>
        <v>0</v>
      </c>
      <c r="R7371" s="23">
        <f t="shared" si="1321"/>
        <v>1</v>
      </c>
      <c r="S7371" s="23">
        <f t="shared" si="1322"/>
        <v>0</v>
      </c>
      <c r="T7371" s="23" t="str">
        <f t="shared" si="1323"/>
        <v/>
      </c>
      <c r="U7371" t="str">
        <f t="shared" si="1324"/>
        <v/>
      </c>
    </row>
    <row r="7372" spans="1:21">
      <c r="A7372" t="str">
        <f t="shared" si="1319"/>
        <v>NY_Catta_2021g~-~councilman (vote for up to two) (4-year term) for town of perrysburg, cattaraugus~vote for 2,</v>
      </c>
      <c r="B7372" t="s">
        <v>8101</v>
      </c>
      <c r="D7372" t="s">
        <v>8196</v>
      </c>
      <c r="E7372" t="s">
        <v>8197</v>
      </c>
      <c r="G7372">
        <v>251</v>
      </c>
      <c r="H7372">
        <v>0.52949999999999997</v>
      </c>
      <c r="N7372"/>
      <c r="O7372">
        <f t="shared" si="1325"/>
        <v>1</v>
      </c>
      <c r="P7372" s="20">
        <v>2</v>
      </c>
      <c r="Q7372" s="267">
        <f t="shared" si="1320"/>
        <v>251</v>
      </c>
      <c r="R7372" s="23">
        <f t="shared" si="1321"/>
        <v>219</v>
      </c>
      <c r="S7372" s="23">
        <f t="shared" si="1322"/>
        <v>0</v>
      </c>
      <c r="T7372" s="23" t="str">
        <f t="shared" si="1323"/>
        <v/>
      </c>
      <c r="U7372" t="str">
        <f t="shared" si="1324"/>
        <v>NY_Catta_2021g~-~councilman (vote for up to two) (4-year term) for town of perrysburg, cattaraugus~vote for 2,</v>
      </c>
    </row>
    <row r="7373" spans="1:21">
      <c r="A7373" t="str">
        <f t="shared" si="1319"/>
        <v>NY_Catta_2021g~-~councilman (vote for up to two) (4-year term) for town of perrysburg, cattaraugus~vote for 2,</v>
      </c>
      <c r="B7373" t="s">
        <v>8101</v>
      </c>
      <c r="D7373" t="s">
        <v>8196</v>
      </c>
      <c r="E7373" t="s">
        <v>8198</v>
      </c>
      <c r="G7373">
        <v>219</v>
      </c>
      <c r="H7373">
        <v>0.46200000000000002</v>
      </c>
      <c r="N7373"/>
      <c r="O7373">
        <f t="shared" si="1325"/>
        <v>2</v>
      </c>
      <c r="P7373" s="20">
        <v>2</v>
      </c>
      <c r="Q7373" s="267">
        <f t="shared" si="1320"/>
        <v>223</v>
      </c>
      <c r="R7373" s="23">
        <f t="shared" si="1321"/>
        <v>219</v>
      </c>
      <c r="S7373" s="23">
        <f t="shared" si="1322"/>
        <v>0</v>
      </c>
      <c r="T7373" s="23" t="str">
        <f t="shared" si="1323"/>
        <v/>
      </c>
      <c r="U7373" t="str">
        <f t="shared" si="1324"/>
        <v/>
      </c>
    </row>
    <row r="7374" spans="1:21">
      <c r="A7374" t="str">
        <f t="shared" si="1319"/>
        <v>NY_Catta_2021g~-~councilman (vote for up to two) (4-year term) for town of perrysburg, cattaraugus~vote for 2,</v>
      </c>
      <c r="B7374" t="s">
        <v>8101</v>
      </c>
      <c r="D7374" t="s">
        <v>8196</v>
      </c>
      <c r="E7374" t="s">
        <v>1299</v>
      </c>
      <c r="G7374">
        <v>4</v>
      </c>
      <c r="H7374">
        <v>8.3999999999999995E-3</v>
      </c>
      <c r="N7374"/>
      <c r="O7374">
        <f t="shared" si="1325"/>
        <v>-2</v>
      </c>
      <c r="P7374" s="20">
        <v>2</v>
      </c>
      <c r="Q7374" s="267">
        <f t="shared" si="1320"/>
        <v>4</v>
      </c>
      <c r="R7374" s="23">
        <f t="shared" si="1321"/>
        <v>1</v>
      </c>
      <c r="S7374" s="23">
        <f t="shared" si="1322"/>
        <v>0</v>
      </c>
      <c r="T7374" s="23" t="str">
        <f t="shared" si="1323"/>
        <v/>
      </c>
      <c r="U7374" t="str">
        <f t="shared" si="1324"/>
        <v/>
      </c>
    </row>
    <row r="7375" spans="1:21">
      <c r="A7375" t="str">
        <f t="shared" si="1319"/>
        <v>NY_Catta_2021g~-~councilman (vote for up to two) (4-year term) for town of persia, cattaraugus~vote for 2,</v>
      </c>
      <c r="B7375" t="s">
        <v>8101</v>
      </c>
      <c r="D7375" t="s">
        <v>8199</v>
      </c>
      <c r="E7375" t="s">
        <v>8200</v>
      </c>
      <c r="G7375">
        <v>210</v>
      </c>
      <c r="H7375">
        <v>0.50600000000000001</v>
      </c>
      <c r="N7375"/>
      <c r="O7375">
        <f t="shared" si="1325"/>
        <v>1</v>
      </c>
      <c r="P7375" s="20">
        <v>2</v>
      </c>
      <c r="Q7375" s="267">
        <f t="shared" si="1320"/>
        <v>210</v>
      </c>
      <c r="R7375" s="23">
        <f t="shared" si="1321"/>
        <v>204</v>
      </c>
      <c r="S7375" s="23">
        <f t="shared" si="1322"/>
        <v>0</v>
      </c>
      <c r="T7375" s="23" t="str">
        <f t="shared" si="1323"/>
        <v/>
      </c>
      <c r="U7375" t="str">
        <f t="shared" si="1324"/>
        <v>NY_Catta_2021g~-~councilman (vote for up to two) (4-year term) for town of persia, cattaraugus~vote for 2,</v>
      </c>
    </row>
    <row r="7376" spans="1:21">
      <c r="A7376" t="str">
        <f t="shared" si="1319"/>
        <v>NY_Catta_2021g~-~councilman (vote for up to two) (4-year term) for town of persia, cattaraugus~vote for 2,</v>
      </c>
      <c r="B7376" t="s">
        <v>8101</v>
      </c>
      <c r="D7376" t="s">
        <v>8199</v>
      </c>
      <c r="E7376" t="s">
        <v>8201</v>
      </c>
      <c r="G7376">
        <v>204</v>
      </c>
      <c r="H7376">
        <v>0.49159999999999998</v>
      </c>
      <c r="N7376"/>
      <c r="O7376">
        <f t="shared" si="1325"/>
        <v>2</v>
      </c>
      <c r="P7376" s="20">
        <v>2</v>
      </c>
      <c r="Q7376" s="267">
        <f t="shared" si="1320"/>
        <v>205</v>
      </c>
      <c r="R7376" s="23">
        <f t="shared" si="1321"/>
        <v>204</v>
      </c>
      <c r="S7376" s="23">
        <f t="shared" si="1322"/>
        <v>0</v>
      </c>
      <c r="T7376" s="23" t="str">
        <f t="shared" si="1323"/>
        <v/>
      </c>
      <c r="U7376" t="str">
        <f t="shared" si="1324"/>
        <v/>
      </c>
    </row>
    <row r="7377" spans="1:21">
      <c r="A7377" t="str">
        <f t="shared" si="1319"/>
        <v>NY_Catta_2021g~-~councilman (vote for up to two) (4-year term) for town of persia, cattaraugus~vote for 2,</v>
      </c>
      <c r="B7377" t="s">
        <v>8101</v>
      </c>
      <c r="D7377" t="s">
        <v>8199</v>
      </c>
      <c r="E7377" t="s">
        <v>1299</v>
      </c>
      <c r="G7377">
        <v>1</v>
      </c>
      <c r="H7377">
        <v>2.3999999999999998E-3</v>
      </c>
      <c r="N7377"/>
      <c r="O7377">
        <f t="shared" si="1325"/>
        <v>-2</v>
      </c>
      <c r="P7377" s="20">
        <v>2</v>
      </c>
      <c r="Q7377" s="267">
        <f t="shared" si="1320"/>
        <v>1</v>
      </c>
      <c r="R7377" s="23">
        <f t="shared" si="1321"/>
        <v>1</v>
      </c>
      <c r="S7377" s="23">
        <f t="shared" si="1322"/>
        <v>0</v>
      </c>
      <c r="T7377" s="23" t="str">
        <f t="shared" si="1323"/>
        <v/>
      </c>
      <c r="U7377" t="str">
        <f t="shared" si="1324"/>
        <v/>
      </c>
    </row>
    <row r="7378" spans="1:21">
      <c r="A7378" t="str">
        <f t="shared" si="1319"/>
        <v>NY_Catta_2021g~-~councilman (vote for up to two) (4-year term) for town of portville, cattaraugus~vote for 2,</v>
      </c>
      <c r="B7378" t="s">
        <v>8101</v>
      </c>
      <c r="D7378" t="s">
        <v>8202</v>
      </c>
      <c r="E7378" t="s">
        <v>8203</v>
      </c>
      <c r="G7378">
        <v>436</v>
      </c>
      <c r="H7378">
        <v>0.5111</v>
      </c>
      <c r="N7378"/>
      <c r="O7378">
        <f t="shared" si="1325"/>
        <v>1</v>
      </c>
      <c r="P7378" s="20">
        <v>2</v>
      </c>
      <c r="Q7378" s="267">
        <f t="shared" si="1320"/>
        <v>436</v>
      </c>
      <c r="R7378" s="23">
        <f t="shared" si="1321"/>
        <v>414</v>
      </c>
      <c r="S7378" s="23">
        <f t="shared" si="1322"/>
        <v>0</v>
      </c>
      <c r="T7378" s="23" t="str">
        <f t="shared" si="1323"/>
        <v/>
      </c>
      <c r="U7378" t="str">
        <f t="shared" si="1324"/>
        <v>NY_Catta_2021g~-~councilman (vote for up to two) (4-year term) for town of portville, cattaraugus~vote for 2,</v>
      </c>
    </row>
    <row r="7379" spans="1:21">
      <c r="A7379" t="str">
        <f t="shared" si="1319"/>
        <v>NY_Catta_2021g~-~councilman (vote for up to two) (4-year term) for town of portville, cattaraugus~vote for 2,</v>
      </c>
      <c r="B7379" t="s">
        <v>8101</v>
      </c>
      <c r="D7379" t="s">
        <v>8202</v>
      </c>
      <c r="E7379" t="s">
        <v>8204</v>
      </c>
      <c r="G7379">
        <v>414</v>
      </c>
      <c r="H7379">
        <v>0.48530000000000001</v>
      </c>
      <c r="N7379"/>
      <c r="O7379">
        <f t="shared" si="1325"/>
        <v>2</v>
      </c>
      <c r="P7379" s="20">
        <v>2</v>
      </c>
      <c r="Q7379" s="267">
        <f t="shared" si="1320"/>
        <v>417</v>
      </c>
      <c r="R7379" s="23">
        <f t="shared" si="1321"/>
        <v>414</v>
      </c>
      <c r="S7379" s="23">
        <f t="shared" si="1322"/>
        <v>0</v>
      </c>
      <c r="T7379" s="23" t="str">
        <f t="shared" si="1323"/>
        <v/>
      </c>
      <c r="U7379" t="str">
        <f t="shared" si="1324"/>
        <v/>
      </c>
    </row>
    <row r="7380" spans="1:21">
      <c r="A7380" t="str">
        <f t="shared" si="1319"/>
        <v>NY_Catta_2021g~-~councilman (vote for up to two) (4-year term) for town of portville, cattaraugus~vote for 2,</v>
      </c>
      <c r="B7380" t="s">
        <v>8101</v>
      </c>
      <c r="D7380" t="s">
        <v>8202</v>
      </c>
      <c r="E7380" t="s">
        <v>1299</v>
      </c>
      <c r="G7380">
        <v>3</v>
      </c>
      <c r="H7380">
        <v>3.5000000000000001E-3</v>
      </c>
      <c r="N7380"/>
      <c r="O7380">
        <f t="shared" si="1325"/>
        <v>-2</v>
      </c>
      <c r="P7380" s="20">
        <v>2</v>
      </c>
      <c r="Q7380" s="267">
        <f t="shared" si="1320"/>
        <v>3</v>
      </c>
      <c r="R7380" s="23">
        <f t="shared" si="1321"/>
        <v>1</v>
      </c>
      <c r="S7380" s="23">
        <f t="shared" si="1322"/>
        <v>0</v>
      </c>
      <c r="T7380" s="23" t="str">
        <f t="shared" si="1323"/>
        <v/>
      </c>
      <c r="U7380" t="str">
        <f t="shared" si="1324"/>
        <v/>
      </c>
    </row>
    <row r="7381" spans="1:21">
      <c r="A7381" t="str">
        <f t="shared" si="1319"/>
        <v>NY_Catta_2021g~-~councilman (vote for up to two) (4-year term) for town of randolph, cattaraugus~vote for 2,</v>
      </c>
      <c r="B7381" t="s">
        <v>8101</v>
      </c>
      <c r="D7381" t="s">
        <v>8205</v>
      </c>
      <c r="E7381" t="s">
        <v>8206</v>
      </c>
      <c r="G7381">
        <v>325</v>
      </c>
      <c r="H7381">
        <v>0.50149999999999995</v>
      </c>
      <c r="N7381"/>
      <c r="O7381">
        <f t="shared" si="1325"/>
        <v>1</v>
      </c>
      <c r="P7381" s="20">
        <v>2</v>
      </c>
      <c r="Q7381" s="267">
        <f t="shared" si="1320"/>
        <v>325</v>
      </c>
      <c r="R7381" s="23">
        <f t="shared" si="1321"/>
        <v>321</v>
      </c>
      <c r="S7381" s="23">
        <f t="shared" si="1322"/>
        <v>0</v>
      </c>
      <c r="T7381" s="23" t="str">
        <f t="shared" si="1323"/>
        <v/>
      </c>
      <c r="U7381" t="str">
        <f t="shared" si="1324"/>
        <v>NY_Catta_2021g~-~councilman (vote for up to two) (4-year term) for town of randolph, cattaraugus~vote for 2,</v>
      </c>
    </row>
    <row r="7382" spans="1:21">
      <c r="A7382" t="str">
        <f t="shared" si="1319"/>
        <v>NY_Catta_2021g~-~councilman (vote for up to two) (4-year term) for town of randolph, cattaraugus~vote for 2,</v>
      </c>
      <c r="B7382" t="s">
        <v>8101</v>
      </c>
      <c r="D7382" t="s">
        <v>8205</v>
      </c>
      <c r="E7382" t="s">
        <v>8207</v>
      </c>
      <c r="G7382">
        <v>321</v>
      </c>
      <c r="H7382">
        <v>0.49540000000000001</v>
      </c>
      <c r="N7382"/>
      <c r="O7382">
        <f t="shared" si="1325"/>
        <v>2</v>
      </c>
      <c r="P7382" s="20">
        <v>2</v>
      </c>
      <c r="Q7382" s="267">
        <f t="shared" si="1320"/>
        <v>323</v>
      </c>
      <c r="R7382" s="23">
        <f t="shared" si="1321"/>
        <v>321</v>
      </c>
      <c r="S7382" s="23">
        <f t="shared" si="1322"/>
        <v>0</v>
      </c>
      <c r="T7382" s="23" t="str">
        <f t="shared" si="1323"/>
        <v/>
      </c>
      <c r="U7382" t="str">
        <f t="shared" si="1324"/>
        <v/>
      </c>
    </row>
    <row r="7383" spans="1:21">
      <c r="A7383" t="str">
        <f t="shared" si="1319"/>
        <v>NY_Catta_2021g~-~councilman (vote for up to two) (4-year term) for town of randolph, cattaraugus~vote for 2,</v>
      </c>
      <c r="B7383" t="s">
        <v>8101</v>
      </c>
      <c r="D7383" t="s">
        <v>8205</v>
      </c>
      <c r="E7383" t="s">
        <v>1299</v>
      </c>
      <c r="G7383">
        <v>2</v>
      </c>
      <c r="H7383">
        <v>3.0999999999999999E-3</v>
      </c>
      <c r="N7383"/>
      <c r="O7383">
        <f t="shared" si="1325"/>
        <v>-2</v>
      </c>
      <c r="P7383" s="20">
        <v>2</v>
      </c>
      <c r="Q7383" s="267">
        <f t="shared" si="1320"/>
        <v>2</v>
      </c>
      <c r="R7383" s="23">
        <f t="shared" si="1321"/>
        <v>1</v>
      </c>
      <c r="S7383" s="23">
        <f t="shared" si="1322"/>
        <v>0</v>
      </c>
      <c r="T7383" s="23" t="str">
        <f t="shared" si="1323"/>
        <v/>
      </c>
      <c r="U7383" t="str">
        <f t="shared" si="1324"/>
        <v/>
      </c>
    </row>
    <row r="7384" spans="1:21">
      <c r="A7384" t="str">
        <f t="shared" si="1319"/>
        <v>NY_Catta_2021g~-~councilman (vote for up to two) (4-year term) for town of red house, cattaraugus~vote for 2,</v>
      </c>
      <c r="B7384" t="s">
        <v>8101</v>
      </c>
      <c r="D7384" t="s">
        <v>8208</v>
      </c>
      <c r="E7384" t="s">
        <v>8209</v>
      </c>
      <c r="G7384">
        <v>15</v>
      </c>
      <c r="H7384">
        <v>0.5</v>
      </c>
      <c r="N7384"/>
      <c r="O7384">
        <f t="shared" si="1325"/>
        <v>1</v>
      </c>
      <c r="P7384" s="20">
        <v>2</v>
      </c>
      <c r="Q7384" s="267">
        <f t="shared" si="1320"/>
        <v>15</v>
      </c>
      <c r="R7384" s="23">
        <f t="shared" si="1321"/>
        <v>1</v>
      </c>
      <c r="S7384" s="23">
        <f t="shared" si="1322"/>
        <v>0</v>
      </c>
      <c r="T7384" s="23" t="str">
        <f t="shared" si="1323"/>
        <v/>
      </c>
      <c r="U7384" t="str">
        <f t="shared" si="1324"/>
        <v>NY_Catta_2021g~-~councilman (vote for up to two) (4-year term) for town of red house, cattaraugus~vote for 2,</v>
      </c>
    </row>
    <row r="7385" spans="1:21">
      <c r="A7385" t="str">
        <f t="shared" si="1319"/>
        <v>NY_Catta_2021g~-~councilman (vote for up to two) (4-year term) for town of red house, cattaraugus~vote for 2,</v>
      </c>
      <c r="B7385" t="s">
        <v>8101</v>
      </c>
      <c r="D7385" t="s">
        <v>8208</v>
      </c>
      <c r="E7385" t="s">
        <v>1299</v>
      </c>
      <c r="G7385">
        <v>15</v>
      </c>
      <c r="H7385">
        <v>0.5</v>
      </c>
      <c r="N7385"/>
      <c r="O7385">
        <f t="shared" si="1325"/>
        <v>-1</v>
      </c>
      <c r="P7385" s="20">
        <v>2</v>
      </c>
      <c r="Q7385" s="267">
        <f t="shared" si="1320"/>
        <v>15</v>
      </c>
      <c r="R7385" s="23">
        <f t="shared" si="1321"/>
        <v>1</v>
      </c>
      <c r="S7385" s="23">
        <f t="shared" si="1322"/>
        <v>0</v>
      </c>
      <c r="T7385" s="23" t="str">
        <f t="shared" si="1323"/>
        <v/>
      </c>
      <c r="U7385" t="str">
        <f t="shared" si="1324"/>
        <v/>
      </c>
    </row>
    <row r="7386" spans="1:21">
      <c r="A7386" t="str">
        <f t="shared" si="1319"/>
        <v>NY_Catta_2021g~-~councilman (vote for up to two) (4-year term) for town of salamanca, cattaraugus~vote for 2,</v>
      </c>
      <c r="B7386" t="s">
        <v>8101</v>
      </c>
      <c r="D7386" t="s">
        <v>8210</v>
      </c>
      <c r="E7386" t="s">
        <v>8211</v>
      </c>
      <c r="G7386">
        <v>84</v>
      </c>
      <c r="H7386">
        <v>0.53500000000000003</v>
      </c>
      <c r="N7386"/>
      <c r="O7386">
        <f t="shared" si="1325"/>
        <v>1</v>
      </c>
      <c r="P7386" s="20">
        <v>2</v>
      </c>
      <c r="Q7386" s="267">
        <f t="shared" si="1320"/>
        <v>84</v>
      </c>
      <c r="R7386" s="23">
        <f t="shared" si="1321"/>
        <v>70</v>
      </c>
      <c r="S7386" s="23">
        <f t="shared" si="1322"/>
        <v>0</v>
      </c>
      <c r="T7386" s="23" t="str">
        <f t="shared" si="1323"/>
        <v/>
      </c>
      <c r="U7386" t="str">
        <f t="shared" si="1324"/>
        <v>NY_Catta_2021g~-~councilman (vote for up to two) (4-year term) for town of salamanca, cattaraugus~vote for 2,</v>
      </c>
    </row>
    <row r="7387" spans="1:21">
      <c r="A7387" t="str">
        <f t="shared" si="1319"/>
        <v>NY_Catta_2021g~-~councilman (vote for up to two) (4-year term) for town of salamanca, cattaraugus~vote for 2,</v>
      </c>
      <c r="B7387" t="s">
        <v>8101</v>
      </c>
      <c r="D7387" t="s">
        <v>8210</v>
      </c>
      <c r="E7387" t="s">
        <v>8212</v>
      </c>
      <c r="G7387">
        <v>70</v>
      </c>
      <c r="H7387">
        <v>0.44590000000000002</v>
      </c>
      <c r="N7387"/>
      <c r="O7387">
        <f t="shared" si="1325"/>
        <v>2</v>
      </c>
      <c r="P7387" s="20">
        <v>2</v>
      </c>
      <c r="Q7387" s="267">
        <f t="shared" si="1320"/>
        <v>73</v>
      </c>
      <c r="R7387" s="23">
        <f t="shared" si="1321"/>
        <v>70</v>
      </c>
      <c r="S7387" s="23">
        <f t="shared" si="1322"/>
        <v>0</v>
      </c>
      <c r="T7387" s="23" t="str">
        <f t="shared" si="1323"/>
        <v/>
      </c>
      <c r="U7387" t="str">
        <f t="shared" si="1324"/>
        <v/>
      </c>
    </row>
    <row r="7388" spans="1:21">
      <c r="A7388" t="str">
        <f t="shared" si="1319"/>
        <v>NY_Catta_2021g~-~councilman (vote for up to two) (4-year term) for town of salamanca, cattaraugus~vote for 2,</v>
      </c>
      <c r="B7388" t="s">
        <v>8101</v>
      </c>
      <c r="D7388" t="s">
        <v>8210</v>
      </c>
      <c r="E7388" t="s">
        <v>1299</v>
      </c>
      <c r="G7388">
        <v>3</v>
      </c>
      <c r="H7388">
        <v>1.9099999999999999E-2</v>
      </c>
      <c r="N7388"/>
      <c r="O7388">
        <f t="shared" si="1325"/>
        <v>-2</v>
      </c>
      <c r="P7388" s="20">
        <v>2</v>
      </c>
      <c r="Q7388" s="267">
        <f t="shared" si="1320"/>
        <v>3</v>
      </c>
      <c r="R7388" s="23">
        <f t="shared" si="1321"/>
        <v>1</v>
      </c>
      <c r="S7388" s="23">
        <f t="shared" si="1322"/>
        <v>0</v>
      </c>
      <c r="T7388" s="23" t="str">
        <f t="shared" si="1323"/>
        <v/>
      </c>
      <c r="U7388" t="str">
        <f t="shared" si="1324"/>
        <v/>
      </c>
    </row>
    <row r="7389" spans="1:21">
      <c r="A7389" t="str">
        <f t="shared" si="1319"/>
        <v>NY_Catta_2021g~-~councilman (vote for up to two) (4-year term) for town of south valley, cattaraugus~vote for 2,</v>
      </c>
      <c r="B7389" t="s">
        <v>8101</v>
      </c>
      <c r="D7389" t="s">
        <v>8213</v>
      </c>
      <c r="E7389" t="s">
        <v>8214</v>
      </c>
      <c r="G7389">
        <v>56</v>
      </c>
      <c r="H7389">
        <v>0.51849999999999996</v>
      </c>
      <c r="N7389"/>
      <c r="O7389">
        <f t="shared" si="1325"/>
        <v>1</v>
      </c>
      <c r="P7389" s="20">
        <v>2</v>
      </c>
      <c r="Q7389" s="267">
        <f t="shared" si="1320"/>
        <v>56</v>
      </c>
      <c r="R7389" s="23">
        <f t="shared" si="1321"/>
        <v>52</v>
      </c>
      <c r="S7389" s="23">
        <f t="shared" si="1322"/>
        <v>0</v>
      </c>
      <c r="T7389" s="23" t="str">
        <f t="shared" si="1323"/>
        <v/>
      </c>
      <c r="U7389" t="str">
        <f t="shared" si="1324"/>
        <v>NY_Catta_2021g~-~councilman (vote for up to two) (4-year term) for town of south valley, cattaraugus~vote for 2,</v>
      </c>
    </row>
    <row r="7390" spans="1:21">
      <c r="A7390" t="str">
        <f t="shared" si="1319"/>
        <v>NY_Catta_2021g~-~councilman (vote for up to two) (4-year term) for town of south valley, cattaraugus~vote for 2,</v>
      </c>
      <c r="B7390" t="s">
        <v>8101</v>
      </c>
      <c r="D7390" t="s">
        <v>8213</v>
      </c>
      <c r="E7390" t="s">
        <v>8215</v>
      </c>
      <c r="G7390">
        <v>52</v>
      </c>
      <c r="H7390">
        <v>0.48149999999999998</v>
      </c>
      <c r="N7390"/>
      <c r="O7390">
        <f t="shared" si="1325"/>
        <v>2</v>
      </c>
      <c r="P7390" s="20">
        <v>2</v>
      </c>
      <c r="Q7390" s="267">
        <f t="shared" si="1320"/>
        <v>52</v>
      </c>
      <c r="R7390" s="23">
        <f t="shared" si="1321"/>
        <v>52</v>
      </c>
      <c r="S7390" s="23">
        <f t="shared" si="1322"/>
        <v>0</v>
      </c>
      <c r="T7390" s="23" t="str">
        <f t="shared" si="1323"/>
        <v/>
      </c>
      <c r="U7390" t="str">
        <f t="shared" si="1324"/>
        <v/>
      </c>
    </row>
    <row r="7391" spans="1:21">
      <c r="A7391" t="str">
        <f t="shared" si="1319"/>
        <v>NY_Catta_2021g~-~councilman (vote for up to two) (4-year term) for town of south valley, cattaraugus~vote for 2,</v>
      </c>
      <c r="B7391" t="s">
        <v>8101</v>
      </c>
      <c r="D7391" t="s">
        <v>8213</v>
      </c>
      <c r="E7391" t="s">
        <v>1299</v>
      </c>
      <c r="G7391">
        <v>0</v>
      </c>
      <c r="H7391">
        <v>0</v>
      </c>
      <c r="N7391"/>
      <c r="O7391">
        <f t="shared" si="1325"/>
        <v>-2</v>
      </c>
      <c r="P7391" s="20">
        <v>2</v>
      </c>
      <c r="Q7391" s="267">
        <f t="shared" si="1320"/>
        <v>0</v>
      </c>
      <c r="R7391" s="23">
        <f t="shared" si="1321"/>
        <v>1</v>
      </c>
      <c r="S7391" s="23">
        <f t="shared" si="1322"/>
        <v>0</v>
      </c>
      <c r="T7391" s="23" t="str">
        <f t="shared" si="1323"/>
        <v/>
      </c>
      <c r="U7391" t="str">
        <f t="shared" si="1324"/>
        <v/>
      </c>
    </row>
    <row r="7392" spans="1:21">
      <c r="A7392" t="str">
        <f t="shared" si="1319"/>
        <v>NY_Catta_2021g~-~councilman (vote for up to two) (4-year term) for town of yorkshire, cattaraugus~vote for 2,</v>
      </c>
      <c r="B7392" t="s">
        <v>8101</v>
      </c>
      <c r="D7392" t="s">
        <v>8216</v>
      </c>
      <c r="E7392" t="s">
        <v>8217</v>
      </c>
      <c r="G7392">
        <v>370</v>
      </c>
      <c r="H7392">
        <v>0.50549999999999995</v>
      </c>
      <c r="N7392"/>
      <c r="O7392">
        <f t="shared" si="1325"/>
        <v>1</v>
      </c>
      <c r="P7392" s="20">
        <v>2</v>
      </c>
      <c r="Q7392" s="267">
        <f t="shared" si="1320"/>
        <v>370</v>
      </c>
      <c r="R7392" s="23">
        <f t="shared" si="1321"/>
        <v>359</v>
      </c>
      <c r="S7392" s="23">
        <f t="shared" si="1322"/>
        <v>0</v>
      </c>
      <c r="T7392" s="23" t="str">
        <f t="shared" si="1323"/>
        <v/>
      </c>
      <c r="U7392" t="str">
        <f t="shared" si="1324"/>
        <v>NY_Catta_2021g~-~councilman (vote for up to two) (4-year term) for town of yorkshire, cattaraugus~vote for 2,</v>
      </c>
    </row>
    <row r="7393" spans="1:21">
      <c r="A7393" t="str">
        <f t="shared" si="1319"/>
        <v>NY_Catta_2021g~-~councilman (vote for up to two) (4-year term) for town of yorkshire, cattaraugus~vote for 2,</v>
      </c>
      <c r="B7393" t="s">
        <v>8101</v>
      </c>
      <c r="D7393" t="s">
        <v>8216</v>
      </c>
      <c r="E7393" t="s">
        <v>8218</v>
      </c>
      <c r="G7393">
        <v>359</v>
      </c>
      <c r="H7393">
        <v>0.4904</v>
      </c>
      <c r="N7393"/>
      <c r="O7393">
        <f t="shared" si="1325"/>
        <v>2</v>
      </c>
      <c r="P7393" s="20">
        <v>2</v>
      </c>
      <c r="Q7393" s="267">
        <f t="shared" si="1320"/>
        <v>362</v>
      </c>
      <c r="R7393" s="23">
        <f t="shared" si="1321"/>
        <v>359</v>
      </c>
      <c r="S7393" s="23">
        <f t="shared" si="1322"/>
        <v>0</v>
      </c>
      <c r="T7393" s="23" t="str">
        <f t="shared" si="1323"/>
        <v/>
      </c>
      <c r="U7393" t="str">
        <f t="shared" si="1324"/>
        <v/>
      </c>
    </row>
    <row r="7394" spans="1:21">
      <c r="A7394" t="str">
        <f t="shared" si="1319"/>
        <v>NY_Catta_2021g~-~councilman (vote for up to two) (4-year term) for town of yorkshire, cattaraugus~vote for 2,</v>
      </c>
      <c r="B7394" t="s">
        <v>8101</v>
      </c>
      <c r="D7394" t="s">
        <v>8216</v>
      </c>
      <c r="E7394" t="s">
        <v>1299</v>
      </c>
      <c r="G7394">
        <v>3</v>
      </c>
      <c r="H7394">
        <v>4.1000000000000003E-3</v>
      </c>
      <c r="N7394"/>
      <c r="O7394">
        <f t="shared" si="1325"/>
        <v>-2</v>
      </c>
      <c r="P7394" s="20">
        <v>2</v>
      </c>
      <c r="Q7394" s="267">
        <f t="shared" si="1320"/>
        <v>3</v>
      </c>
      <c r="R7394" s="23">
        <f t="shared" si="1321"/>
        <v>1</v>
      </c>
      <c r="S7394" s="23">
        <f t="shared" si="1322"/>
        <v>0</v>
      </c>
      <c r="T7394" s="23" t="str">
        <f t="shared" si="1323"/>
        <v/>
      </c>
      <c r="U7394" t="str">
        <f t="shared" si="1324"/>
        <v/>
      </c>
    </row>
    <row r="7395" spans="1:21">
      <c r="A7395" t="str">
        <f t="shared" si="1319"/>
        <v>NY_Catta_2021g~-~highway superintendent (to fill vacancy) (2-year term) (vote for one) for town of ashford, cattaraugus~vote for 1,</v>
      </c>
      <c r="B7395" t="s">
        <v>8101</v>
      </c>
      <c r="C7395" s="1"/>
      <c r="D7395" t="s">
        <v>8219</v>
      </c>
      <c r="E7395" s="12" t="s">
        <v>8220</v>
      </c>
      <c r="F7395" s="12"/>
      <c r="G7395" s="12">
        <v>366</v>
      </c>
      <c r="H7395" s="143">
        <v>0.9839</v>
      </c>
      <c r="J7395" s="143"/>
      <c r="K7395" s="143"/>
      <c r="L7395" s="143"/>
      <c r="M7395" s="143"/>
      <c r="N7395" s="143"/>
      <c r="O7395">
        <f t="shared" si="1325"/>
        <v>1</v>
      </c>
      <c r="P7395" s="134">
        <v>1</v>
      </c>
      <c r="Q7395" s="267">
        <f t="shared" si="1320"/>
        <v>372</v>
      </c>
      <c r="R7395" s="23">
        <f t="shared" si="1321"/>
        <v>366</v>
      </c>
      <c r="S7395" s="23">
        <f t="shared" si="1322"/>
        <v>0</v>
      </c>
      <c r="T7395" s="23" t="str">
        <f t="shared" si="1323"/>
        <v/>
      </c>
      <c r="U7395" t="str">
        <f t="shared" si="1324"/>
        <v>NY_Catta_2021g~-~highway superintendent (to fill vacancy) (2-year term) (vote for one) for town of ashford, cattaraugus~vote for 1,</v>
      </c>
    </row>
    <row r="7396" spans="1:21">
      <c r="A7396" t="str">
        <f t="shared" si="1319"/>
        <v>NY_Catta_2021g~-~highway superintendent (to fill vacancy) (2-year term) (vote for one) for town of ashford, cattaraugus~vote for 1,</v>
      </c>
      <c r="B7396" t="s">
        <v>8101</v>
      </c>
      <c r="C7396" s="1"/>
      <c r="D7396" t="s">
        <v>8219</v>
      </c>
      <c r="E7396" s="12" t="s">
        <v>1299</v>
      </c>
      <c r="F7396" s="12"/>
      <c r="G7396" s="12">
        <v>6</v>
      </c>
      <c r="H7396" s="143">
        <v>1.61E-2</v>
      </c>
      <c r="J7396" s="143"/>
      <c r="K7396" s="143"/>
      <c r="L7396" s="143"/>
      <c r="M7396" s="143"/>
      <c r="N7396" s="143"/>
      <c r="O7396">
        <f t="shared" si="1325"/>
        <v>-1</v>
      </c>
      <c r="P7396" s="134">
        <v>1</v>
      </c>
      <c r="Q7396" s="267">
        <f t="shared" si="1320"/>
        <v>6</v>
      </c>
      <c r="R7396" s="23">
        <f t="shared" si="1321"/>
        <v>1</v>
      </c>
      <c r="S7396" s="23">
        <f t="shared" si="1322"/>
        <v>0</v>
      </c>
      <c r="T7396" s="23" t="str">
        <f t="shared" si="1323"/>
        <v/>
      </c>
      <c r="U7396" t="str">
        <f t="shared" si="1324"/>
        <v/>
      </c>
    </row>
    <row r="7397" spans="1:21">
      <c r="A7397" t="str">
        <f t="shared" si="1319"/>
        <v>NY_Catta_2021g~-~highway superintendent (vote for one) (2-year term) for town of dayton, cattaraugus~vote for 1,</v>
      </c>
      <c r="B7397" t="s">
        <v>8101</v>
      </c>
      <c r="C7397" s="1"/>
      <c r="D7397" t="s">
        <v>8221</v>
      </c>
      <c r="E7397" s="12" t="s">
        <v>8222</v>
      </c>
      <c r="F7397" s="12"/>
      <c r="G7397" s="12">
        <v>257</v>
      </c>
      <c r="H7397" s="143">
        <v>0.88319999999999999</v>
      </c>
      <c r="J7397" s="143"/>
      <c r="K7397" s="143"/>
      <c r="L7397" s="143"/>
      <c r="M7397" s="143"/>
      <c r="N7397" s="143"/>
      <c r="O7397">
        <f t="shared" si="1325"/>
        <v>1</v>
      </c>
      <c r="P7397" s="134">
        <v>1</v>
      </c>
      <c r="Q7397" s="267">
        <f t="shared" si="1320"/>
        <v>291</v>
      </c>
      <c r="R7397" s="23">
        <f t="shared" si="1321"/>
        <v>257</v>
      </c>
      <c r="S7397" s="23">
        <f t="shared" si="1322"/>
        <v>0</v>
      </c>
      <c r="T7397" s="23" t="str">
        <f t="shared" si="1323"/>
        <v/>
      </c>
      <c r="U7397" t="str">
        <f t="shared" si="1324"/>
        <v>NY_Catta_2021g~-~highway superintendent (vote for one) (2-year term) for town of dayton, cattaraugus~vote for 1,</v>
      </c>
    </row>
    <row r="7398" spans="1:21">
      <c r="A7398" t="str">
        <f t="shared" si="1319"/>
        <v>NY_Catta_2021g~-~highway superintendent (vote for one) (2-year term) for town of dayton, cattaraugus~vote for 1,</v>
      </c>
      <c r="B7398" t="s">
        <v>8101</v>
      </c>
      <c r="C7398" s="1"/>
      <c r="D7398" t="s">
        <v>8221</v>
      </c>
      <c r="E7398" s="12" t="s">
        <v>1299</v>
      </c>
      <c r="F7398" s="12"/>
      <c r="G7398" s="12">
        <v>34</v>
      </c>
      <c r="H7398" s="143">
        <v>0.1168</v>
      </c>
      <c r="J7398" s="143"/>
      <c r="K7398" s="143"/>
      <c r="L7398" s="143"/>
      <c r="M7398" s="143"/>
      <c r="N7398" s="143"/>
      <c r="O7398">
        <f t="shared" si="1325"/>
        <v>-1</v>
      </c>
      <c r="P7398" s="134">
        <v>1</v>
      </c>
      <c r="Q7398" s="267">
        <f t="shared" si="1320"/>
        <v>34</v>
      </c>
      <c r="R7398" s="23">
        <f t="shared" si="1321"/>
        <v>1</v>
      </c>
      <c r="S7398" s="23">
        <f t="shared" si="1322"/>
        <v>0</v>
      </c>
      <c r="T7398" s="23" t="str">
        <f t="shared" si="1323"/>
        <v/>
      </c>
      <c r="U7398" t="str">
        <f t="shared" si="1324"/>
        <v/>
      </c>
    </row>
    <row r="7399" spans="1:21">
      <c r="A7399" t="str">
        <f t="shared" si="1319"/>
        <v>NY_Catta_2021g~-~highway superintendent (vote for one) (2-year term) for town of ischua, cattaraugus~vote for 1,</v>
      </c>
      <c r="B7399" t="s">
        <v>8101</v>
      </c>
      <c r="D7399" t="s">
        <v>8223</v>
      </c>
      <c r="E7399" t="s">
        <v>8224</v>
      </c>
      <c r="G7399">
        <v>114</v>
      </c>
      <c r="H7399">
        <v>0.98280000000000001</v>
      </c>
      <c r="N7399"/>
      <c r="O7399">
        <f t="shared" si="1325"/>
        <v>1</v>
      </c>
      <c r="P7399" s="20">
        <v>1</v>
      </c>
      <c r="Q7399" s="267">
        <f t="shared" si="1320"/>
        <v>116</v>
      </c>
      <c r="R7399" s="23">
        <f t="shared" si="1321"/>
        <v>114</v>
      </c>
      <c r="S7399" s="23">
        <f t="shared" si="1322"/>
        <v>0</v>
      </c>
      <c r="T7399" s="23" t="str">
        <f t="shared" si="1323"/>
        <v/>
      </c>
      <c r="U7399" t="str">
        <f t="shared" si="1324"/>
        <v>NY_Catta_2021g~-~highway superintendent (vote for one) (2-year term) for town of ischua, cattaraugus~vote for 1,</v>
      </c>
    </row>
    <row r="7400" spans="1:21">
      <c r="A7400" t="str">
        <f t="shared" si="1319"/>
        <v>NY_Catta_2021g~-~highway superintendent (vote for one) (2-year term) for town of ischua, cattaraugus~vote for 1,</v>
      </c>
      <c r="B7400" t="s">
        <v>8101</v>
      </c>
      <c r="D7400" t="s">
        <v>8223</v>
      </c>
      <c r="E7400" t="s">
        <v>1299</v>
      </c>
      <c r="G7400">
        <v>2</v>
      </c>
      <c r="H7400">
        <v>1.72E-2</v>
      </c>
      <c r="N7400"/>
      <c r="O7400">
        <f t="shared" si="1325"/>
        <v>-1</v>
      </c>
      <c r="P7400" s="20">
        <v>1</v>
      </c>
      <c r="Q7400" s="267">
        <f t="shared" si="1320"/>
        <v>2</v>
      </c>
      <c r="R7400" s="23">
        <f t="shared" si="1321"/>
        <v>1</v>
      </c>
      <c r="S7400" s="23">
        <f t="shared" si="1322"/>
        <v>0</v>
      </c>
      <c r="T7400" s="23" t="str">
        <f t="shared" si="1323"/>
        <v/>
      </c>
      <c r="U7400" t="str">
        <f t="shared" si="1324"/>
        <v/>
      </c>
    </row>
    <row r="7401" spans="1:21">
      <c r="A7401" t="str">
        <f t="shared" si="1319"/>
        <v>NY_Catta_2021g~-~highway superintendent (vote for one) (2-year term) for town of lyndon, cattaraugus~vote for 1,</v>
      </c>
      <c r="B7401" t="s">
        <v>8101</v>
      </c>
      <c r="D7401" t="s">
        <v>8225</v>
      </c>
      <c r="E7401" t="s">
        <v>8226</v>
      </c>
      <c r="G7401">
        <v>193</v>
      </c>
      <c r="H7401">
        <v>0.97470000000000001</v>
      </c>
      <c r="N7401"/>
      <c r="O7401">
        <f t="shared" si="1325"/>
        <v>1</v>
      </c>
      <c r="P7401" s="20">
        <v>1</v>
      </c>
      <c r="Q7401" s="267">
        <f t="shared" si="1320"/>
        <v>198</v>
      </c>
      <c r="R7401" s="23">
        <f t="shared" si="1321"/>
        <v>193</v>
      </c>
      <c r="S7401" s="23">
        <f t="shared" si="1322"/>
        <v>0</v>
      </c>
      <c r="T7401" s="23" t="str">
        <f t="shared" si="1323"/>
        <v/>
      </c>
      <c r="U7401" t="str">
        <f t="shared" si="1324"/>
        <v>NY_Catta_2021g~-~highway superintendent (vote for one) (2-year term) for town of lyndon, cattaraugus~vote for 1,</v>
      </c>
    </row>
    <row r="7402" spans="1:21">
      <c r="A7402" t="str">
        <f t="shared" si="1319"/>
        <v>NY_Catta_2021g~-~highway superintendent (vote for one) (2-year term) for town of lyndon, cattaraugus~vote for 1,</v>
      </c>
      <c r="B7402" t="s">
        <v>8101</v>
      </c>
      <c r="D7402" t="s">
        <v>8225</v>
      </c>
      <c r="E7402" t="s">
        <v>1299</v>
      </c>
      <c r="G7402">
        <v>5</v>
      </c>
      <c r="H7402">
        <v>2.53E-2</v>
      </c>
      <c r="N7402"/>
      <c r="O7402">
        <f t="shared" si="1325"/>
        <v>-1</v>
      </c>
      <c r="P7402" s="20">
        <v>1</v>
      </c>
      <c r="Q7402" s="267">
        <f t="shared" si="1320"/>
        <v>5</v>
      </c>
      <c r="R7402" s="23">
        <f t="shared" si="1321"/>
        <v>1</v>
      </c>
      <c r="S7402" s="23">
        <f t="shared" si="1322"/>
        <v>0</v>
      </c>
      <c r="T7402" s="23" t="str">
        <f t="shared" si="1323"/>
        <v/>
      </c>
      <c r="U7402" t="str">
        <f t="shared" si="1324"/>
        <v/>
      </c>
    </row>
    <row r="7403" spans="1:21">
      <c r="A7403" t="str">
        <f t="shared" si="1319"/>
        <v>NY_Catta_2021g~-~highway superintendent (vote for one) (2-year term) for town of mansfield, cattaraugus~vote for 1,</v>
      </c>
      <c r="B7403" t="s">
        <v>8101</v>
      </c>
      <c r="D7403" t="s">
        <v>8227</v>
      </c>
      <c r="E7403" t="s">
        <v>8228</v>
      </c>
      <c r="G7403">
        <v>104</v>
      </c>
      <c r="H7403">
        <v>0.96299999999999997</v>
      </c>
      <c r="N7403"/>
      <c r="O7403">
        <f t="shared" si="1325"/>
        <v>1</v>
      </c>
      <c r="P7403" s="20">
        <v>1</v>
      </c>
      <c r="Q7403" s="267">
        <f t="shared" si="1320"/>
        <v>108</v>
      </c>
      <c r="R7403" s="23">
        <f t="shared" si="1321"/>
        <v>104</v>
      </c>
      <c r="S7403" s="23">
        <f t="shared" si="1322"/>
        <v>0</v>
      </c>
      <c r="T7403" s="23" t="str">
        <f t="shared" si="1323"/>
        <v/>
      </c>
      <c r="U7403" t="str">
        <f t="shared" si="1324"/>
        <v>NY_Catta_2021g~-~highway superintendent (vote for one) (2-year term) for town of mansfield, cattaraugus~vote for 1,</v>
      </c>
    </row>
    <row r="7404" spans="1:21">
      <c r="A7404" t="str">
        <f t="shared" si="1319"/>
        <v>NY_Catta_2021g~-~highway superintendent (vote for one) (2-year term) for town of mansfield, cattaraugus~vote for 1,</v>
      </c>
      <c r="B7404" t="s">
        <v>8101</v>
      </c>
      <c r="D7404" t="s">
        <v>8227</v>
      </c>
      <c r="E7404" t="s">
        <v>1299</v>
      </c>
      <c r="G7404">
        <v>4</v>
      </c>
      <c r="H7404">
        <v>3.6999999999999998E-2</v>
      </c>
      <c r="N7404"/>
      <c r="O7404">
        <f t="shared" si="1325"/>
        <v>-1</v>
      </c>
      <c r="P7404" s="20">
        <v>1</v>
      </c>
      <c r="Q7404" s="267">
        <f t="shared" si="1320"/>
        <v>4</v>
      </c>
      <c r="R7404" s="23">
        <f t="shared" si="1321"/>
        <v>1</v>
      </c>
      <c r="S7404" s="23">
        <f t="shared" si="1322"/>
        <v>0</v>
      </c>
      <c r="T7404" s="23" t="str">
        <f t="shared" si="1323"/>
        <v/>
      </c>
      <c r="U7404" t="str">
        <f t="shared" si="1324"/>
        <v/>
      </c>
    </row>
    <row r="7405" spans="1:21">
      <c r="A7405" t="str">
        <f t="shared" si="1319"/>
        <v>NY_Catta_2021g~-~highway superintendent (vote for one) (2-year term) for town of red house, cattaraugus~vote for 1,</v>
      </c>
      <c r="B7405" t="s">
        <v>8101</v>
      </c>
      <c r="D7405" t="s">
        <v>8229</v>
      </c>
      <c r="E7405" t="s">
        <v>8230</v>
      </c>
      <c r="G7405">
        <v>14</v>
      </c>
      <c r="H7405">
        <v>1</v>
      </c>
      <c r="N7405"/>
      <c r="O7405">
        <f t="shared" si="1325"/>
        <v>1</v>
      </c>
      <c r="P7405" s="20">
        <v>1</v>
      </c>
      <c r="Q7405" s="267">
        <f t="shared" si="1320"/>
        <v>14</v>
      </c>
      <c r="R7405" s="23">
        <f t="shared" si="1321"/>
        <v>14</v>
      </c>
      <c r="S7405" s="23">
        <f t="shared" si="1322"/>
        <v>0</v>
      </c>
      <c r="T7405" s="23" t="str">
        <f t="shared" si="1323"/>
        <v/>
      </c>
      <c r="U7405" t="str">
        <f t="shared" si="1324"/>
        <v>NY_Catta_2021g~-~highway superintendent (vote for one) (2-year term) for town of red house, cattaraugus~vote for 1,</v>
      </c>
    </row>
    <row r="7406" spans="1:21">
      <c r="A7406" t="str">
        <f t="shared" ref="A7406:A7469" si="1326">CONCATENATE(B7406,"~",F7406,"-",LOWER(D7406))</f>
        <v>NY_Catta_2021g~-~highway superintendent (vote for one) (2-year term) for town of red house, cattaraugus~vote for 1,</v>
      </c>
      <c r="B7406" t="s">
        <v>8101</v>
      </c>
      <c r="D7406" t="s">
        <v>8229</v>
      </c>
      <c r="E7406" t="s">
        <v>1299</v>
      </c>
      <c r="G7406">
        <v>0</v>
      </c>
      <c r="H7406">
        <v>0</v>
      </c>
      <c r="N7406"/>
      <c r="O7406">
        <f t="shared" si="1325"/>
        <v>-1</v>
      </c>
      <c r="P7406" s="20">
        <v>1</v>
      </c>
      <c r="Q7406" s="267">
        <f t="shared" ref="Q7406:Q7469" si="1327">IF(A7406&lt;&gt;A7407,G7406,IF(A7406=A7405,G7406+Q7407,MAX(G7406,(G7406+Q7407)/P7406)))</f>
        <v>0</v>
      </c>
      <c r="R7406" s="23">
        <f t="shared" ref="R7406:R7469" si="1328">IF(O7406&gt;P7406,"",IF(O7406=P7406,G7406,IF(A7406=A7407,R7407,IF(O7406&lt;=0,1,G7406))))</f>
        <v>1</v>
      </c>
      <c r="S7406" s="23">
        <f t="shared" ref="S7406:S7469" si="1329">IF(AND(O7406&gt;P7406,LOWER(LEFT(E7406,8))&lt;&gt;"write-in",LOWER(LEFT(E7406,8))&lt;&gt;"not qual"),G7406,IF(A7406=A7407,S7407,0))</f>
        <v>0</v>
      </c>
      <c r="T7406" s="23" t="str">
        <f t="shared" ref="T7406:T7469" si="1330">IF(OR(A7406=A7405,S7406=0),"",R7406-ABS(S7406))</f>
        <v/>
      </c>
      <c r="U7406" t="str">
        <f t="shared" ref="U7406:U7469" si="1331">IF(A7406=A7405,"",A7406)</f>
        <v/>
      </c>
    </row>
    <row r="7407" spans="1:21">
      <c r="A7407" t="str">
        <f t="shared" si="1326"/>
        <v>NY_Catta_2021g~-~highway superintendent (vote for one) (2-year term) for town of south valley, cattaraugus~vote for 1,</v>
      </c>
      <c r="B7407" t="s">
        <v>8101</v>
      </c>
      <c r="D7407" t="s">
        <v>8231</v>
      </c>
      <c r="E7407" t="s">
        <v>8232</v>
      </c>
      <c r="G7407">
        <v>45</v>
      </c>
      <c r="H7407">
        <v>0.84909999999999997</v>
      </c>
      <c r="N7407"/>
      <c r="O7407">
        <f t="shared" si="1325"/>
        <v>1</v>
      </c>
      <c r="P7407" s="20">
        <v>1</v>
      </c>
      <c r="Q7407" s="267">
        <f t="shared" si="1327"/>
        <v>53</v>
      </c>
      <c r="R7407" s="23">
        <f t="shared" si="1328"/>
        <v>45</v>
      </c>
      <c r="S7407" s="23">
        <f t="shared" si="1329"/>
        <v>0</v>
      </c>
      <c r="T7407" s="23" t="str">
        <f t="shared" si="1330"/>
        <v/>
      </c>
      <c r="U7407" t="str">
        <f t="shared" si="1331"/>
        <v>NY_Catta_2021g~-~highway superintendent (vote for one) (2-year term) for town of south valley, cattaraugus~vote for 1,</v>
      </c>
    </row>
    <row r="7408" spans="1:21">
      <c r="A7408" t="str">
        <f t="shared" si="1326"/>
        <v>NY_Catta_2021g~-~highway superintendent (vote for one) (2-year term) for town of south valley, cattaraugus~vote for 1,</v>
      </c>
      <c r="B7408" t="s">
        <v>8101</v>
      </c>
      <c r="D7408" t="s">
        <v>8231</v>
      </c>
      <c r="E7408" t="s">
        <v>1299</v>
      </c>
      <c r="G7408">
        <v>8</v>
      </c>
      <c r="H7408">
        <v>0.15090000000000001</v>
      </c>
      <c r="N7408"/>
      <c r="O7408">
        <f t="shared" si="1325"/>
        <v>-1</v>
      </c>
      <c r="P7408" s="20">
        <v>1</v>
      </c>
      <c r="Q7408" s="267">
        <f t="shared" si="1327"/>
        <v>8</v>
      </c>
      <c r="R7408" s="23">
        <f t="shared" si="1328"/>
        <v>1</v>
      </c>
      <c r="S7408" s="23">
        <f t="shared" si="1329"/>
        <v>0</v>
      </c>
      <c r="T7408" s="23" t="str">
        <f t="shared" si="1330"/>
        <v/>
      </c>
      <c r="U7408" t="str">
        <f t="shared" si="1331"/>
        <v/>
      </c>
    </row>
    <row r="7409" spans="1:21">
      <c r="A7409" t="str">
        <f t="shared" si="1326"/>
        <v>NY_Catta_2021g~-~highway superintendent (vote for one) (4-year term) for town of carrollton, cattaraugus~vote for 1,</v>
      </c>
      <c r="B7409" t="s">
        <v>8101</v>
      </c>
      <c r="C7409" s="1"/>
      <c r="D7409" t="s">
        <v>8233</v>
      </c>
      <c r="E7409" s="12" t="s">
        <v>8234</v>
      </c>
      <c r="F7409" s="12"/>
      <c r="G7409" s="12">
        <v>171</v>
      </c>
      <c r="H7409" s="143">
        <v>0.99419999999999997</v>
      </c>
      <c r="J7409" s="143"/>
      <c r="K7409" s="143"/>
      <c r="L7409" s="143"/>
      <c r="M7409" s="143"/>
      <c r="N7409" s="143"/>
      <c r="O7409">
        <f t="shared" si="1325"/>
        <v>1</v>
      </c>
      <c r="P7409" s="134">
        <v>1</v>
      </c>
      <c r="Q7409" s="267">
        <f t="shared" si="1327"/>
        <v>172</v>
      </c>
      <c r="R7409" s="23">
        <f t="shared" si="1328"/>
        <v>171</v>
      </c>
      <c r="S7409" s="23">
        <f t="shared" si="1329"/>
        <v>0</v>
      </c>
      <c r="T7409" s="23" t="str">
        <f t="shared" si="1330"/>
        <v/>
      </c>
      <c r="U7409" t="str">
        <f t="shared" si="1331"/>
        <v>NY_Catta_2021g~-~highway superintendent (vote for one) (4-year term) for town of carrollton, cattaraugus~vote for 1,</v>
      </c>
    </row>
    <row r="7410" spans="1:21">
      <c r="A7410" t="str">
        <f t="shared" si="1326"/>
        <v>NY_Catta_2021g~-~highway superintendent (vote for one) (4-year term) for town of carrollton, cattaraugus~vote for 1,</v>
      </c>
      <c r="B7410" t="s">
        <v>8101</v>
      </c>
      <c r="C7410" s="1"/>
      <c r="D7410" t="s">
        <v>8233</v>
      </c>
      <c r="E7410" s="12" t="s">
        <v>1299</v>
      </c>
      <c r="F7410" s="12"/>
      <c r="G7410" s="12">
        <v>1</v>
      </c>
      <c r="H7410" s="143">
        <v>5.7999999999999996E-3</v>
      </c>
      <c r="J7410" s="143"/>
      <c r="K7410" s="143"/>
      <c r="L7410" s="143"/>
      <c r="M7410" s="143"/>
      <c r="N7410" s="143"/>
      <c r="O7410">
        <f t="shared" si="1325"/>
        <v>-1</v>
      </c>
      <c r="P7410" s="134">
        <v>1</v>
      </c>
      <c r="Q7410" s="267">
        <f t="shared" si="1327"/>
        <v>1</v>
      </c>
      <c r="R7410" s="23">
        <f t="shared" si="1328"/>
        <v>1</v>
      </c>
      <c r="S7410" s="23">
        <f t="shared" si="1329"/>
        <v>0</v>
      </c>
      <c r="T7410" s="23" t="str">
        <f t="shared" si="1330"/>
        <v/>
      </c>
      <c r="U7410" t="str">
        <f t="shared" si="1331"/>
        <v/>
      </c>
    </row>
    <row r="7411" spans="1:21">
      <c r="A7411" t="str">
        <f t="shared" si="1326"/>
        <v>NY_Catta_2021g~-~highway superintendent (vote for one) (4-year term) for town of coldspring, cattaraugus~vote for 1,</v>
      </c>
      <c r="B7411" t="s">
        <v>8101</v>
      </c>
      <c r="C7411" s="1"/>
      <c r="D7411" t="s">
        <v>8235</v>
      </c>
      <c r="E7411" s="12" t="s">
        <v>8236</v>
      </c>
      <c r="F7411" s="12"/>
      <c r="G7411" s="12">
        <v>126</v>
      </c>
      <c r="H7411" s="143">
        <v>0.99209999999999998</v>
      </c>
      <c r="J7411" s="143"/>
      <c r="K7411" s="143"/>
      <c r="L7411" s="143"/>
      <c r="M7411" s="143"/>
      <c r="N7411" s="143"/>
      <c r="O7411">
        <f t="shared" si="1325"/>
        <v>1</v>
      </c>
      <c r="P7411" s="134">
        <v>1</v>
      </c>
      <c r="Q7411" s="267">
        <f t="shared" si="1327"/>
        <v>127</v>
      </c>
      <c r="R7411" s="23">
        <f t="shared" si="1328"/>
        <v>126</v>
      </c>
      <c r="S7411" s="23">
        <f t="shared" si="1329"/>
        <v>0</v>
      </c>
      <c r="T7411" s="23" t="str">
        <f t="shared" si="1330"/>
        <v/>
      </c>
      <c r="U7411" t="str">
        <f t="shared" si="1331"/>
        <v>NY_Catta_2021g~-~highway superintendent (vote for one) (4-year term) for town of coldspring, cattaraugus~vote for 1,</v>
      </c>
    </row>
    <row r="7412" spans="1:21">
      <c r="A7412" t="str">
        <f t="shared" si="1326"/>
        <v>NY_Catta_2021g~-~highway superintendent (vote for one) (4-year term) for town of coldspring, cattaraugus~vote for 1,</v>
      </c>
      <c r="B7412" t="s">
        <v>8101</v>
      </c>
      <c r="C7412" s="1"/>
      <c r="D7412" t="s">
        <v>8235</v>
      </c>
      <c r="E7412" s="12" t="s">
        <v>1299</v>
      </c>
      <c r="F7412" s="12"/>
      <c r="G7412" s="12">
        <v>1</v>
      </c>
      <c r="H7412" s="143">
        <v>7.9000000000000008E-3</v>
      </c>
      <c r="J7412" s="143"/>
      <c r="K7412" s="143"/>
      <c r="L7412" s="143"/>
      <c r="M7412" s="143"/>
      <c r="N7412" s="143"/>
      <c r="O7412">
        <f t="shared" si="1325"/>
        <v>-1</v>
      </c>
      <c r="P7412" s="134">
        <v>1</v>
      </c>
      <c r="Q7412" s="267">
        <f t="shared" si="1327"/>
        <v>1</v>
      </c>
      <c r="R7412" s="23">
        <f t="shared" si="1328"/>
        <v>1</v>
      </c>
      <c r="S7412" s="23">
        <f t="shared" si="1329"/>
        <v>0</v>
      </c>
      <c r="T7412" s="23" t="str">
        <f t="shared" si="1330"/>
        <v/>
      </c>
      <c r="U7412" t="str">
        <f t="shared" si="1331"/>
        <v/>
      </c>
    </row>
    <row r="7413" spans="1:21">
      <c r="A7413" t="str">
        <f t="shared" si="1326"/>
        <v>NY_Catta_2021g~-~highway superintendent (vote for one) (4-year term) for town of east otto, cattaraugus~vote for 1,</v>
      </c>
      <c r="B7413" t="s">
        <v>8101</v>
      </c>
      <c r="C7413" s="1"/>
      <c r="D7413" t="s">
        <v>8237</v>
      </c>
      <c r="E7413" s="12" t="s">
        <v>8238</v>
      </c>
      <c r="F7413" s="12"/>
      <c r="G7413" s="12">
        <v>209</v>
      </c>
      <c r="H7413" s="143">
        <v>0.6391</v>
      </c>
      <c r="J7413" s="143"/>
      <c r="K7413" s="143"/>
      <c r="L7413" s="143"/>
      <c r="M7413" s="143"/>
      <c r="N7413" s="143"/>
      <c r="O7413">
        <f t="shared" si="1325"/>
        <v>1</v>
      </c>
      <c r="P7413" s="134">
        <v>1</v>
      </c>
      <c r="Q7413" s="267">
        <f t="shared" si="1327"/>
        <v>327</v>
      </c>
      <c r="R7413" s="23">
        <f t="shared" si="1328"/>
        <v>209</v>
      </c>
      <c r="S7413" s="23">
        <f t="shared" si="1329"/>
        <v>118</v>
      </c>
      <c r="T7413" s="23">
        <f t="shared" si="1330"/>
        <v>91</v>
      </c>
      <c r="U7413" t="str">
        <f t="shared" si="1331"/>
        <v>NY_Catta_2021g~-~highway superintendent (vote for one) (4-year term) for town of east otto, cattaraugus~vote for 1,</v>
      </c>
    </row>
    <row r="7414" spans="1:21">
      <c r="A7414" t="str">
        <f t="shared" si="1326"/>
        <v>NY_Catta_2021g~-~highway superintendent (vote for one) (4-year term) for town of east otto, cattaraugus~vote for 1,</v>
      </c>
      <c r="B7414" t="s">
        <v>8101</v>
      </c>
      <c r="C7414" s="1"/>
      <c r="D7414" t="s">
        <v>8237</v>
      </c>
      <c r="E7414" s="12" t="s">
        <v>8239</v>
      </c>
      <c r="F7414" s="12"/>
      <c r="G7414" s="12">
        <v>118</v>
      </c>
      <c r="H7414" s="143">
        <v>0.3609</v>
      </c>
      <c r="J7414" s="143"/>
      <c r="K7414" s="143"/>
      <c r="L7414" s="143"/>
      <c r="M7414" s="143"/>
      <c r="N7414" s="143"/>
      <c r="O7414">
        <f t="shared" si="1325"/>
        <v>2</v>
      </c>
      <c r="P7414" s="134">
        <v>1</v>
      </c>
      <c r="Q7414" s="267">
        <f t="shared" si="1327"/>
        <v>118</v>
      </c>
      <c r="R7414" s="23" t="str">
        <f t="shared" si="1328"/>
        <v/>
      </c>
      <c r="S7414" s="23">
        <f t="shared" si="1329"/>
        <v>118</v>
      </c>
      <c r="T7414" s="23" t="str">
        <f t="shared" si="1330"/>
        <v/>
      </c>
      <c r="U7414" t="str">
        <f t="shared" si="1331"/>
        <v/>
      </c>
    </row>
    <row r="7415" spans="1:21">
      <c r="A7415" t="str">
        <f t="shared" si="1326"/>
        <v>NY_Catta_2021g~-~highway superintendent (vote for one) (4-year term) for town of east otto, cattaraugus~vote for 1,</v>
      </c>
      <c r="B7415" t="s">
        <v>8101</v>
      </c>
      <c r="C7415" s="1"/>
      <c r="D7415" t="s">
        <v>8237</v>
      </c>
      <c r="E7415" s="12" t="s">
        <v>1299</v>
      </c>
      <c r="F7415" s="12"/>
      <c r="G7415" s="12">
        <v>0</v>
      </c>
      <c r="H7415" s="143">
        <v>0</v>
      </c>
      <c r="J7415" s="143"/>
      <c r="K7415" s="143"/>
      <c r="L7415" s="143"/>
      <c r="M7415" s="143"/>
      <c r="N7415" s="143"/>
      <c r="O7415">
        <f t="shared" si="1325"/>
        <v>-2</v>
      </c>
      <c r="P7415" s="134">
        <v>1</v>
      </c>
      <c r="Q7415" s="267">
        <f t="shared" si="1327"/>
        <v>0</v>
      </c>
      <c r="R7415" s="23">
        <f t="shared" si="1328"/>
        <v>1</v>
      </c>
      <c r="S7415" s="23">
        <f t="shared" si="1329"/>
        <v>0</v>
      </c>
      <c r="T7415" s="23" t="str">
        <f t="shared" si="1330"/>
        <v/>
      </c>
      <c r="U7415" t="str">
        <f t="shared" si="1331"/>
        <v/>
      </c>
    </row>
    <row r="7416" spans="1:21">
      <c r="A7416" t="str">
        <f t="shared" si="1326"/>
        <v>NY_Catta_2021g~-~highway superintendent (vote for one) (4-year term) for town of freedom, cattaraugus~vote for 1,</v>
      </c>
      <c r="B7416" t="s">
        <v>8101</v>
      </c>
      <c r="C7416" s="1"/>
      <c r="D7416" t="s">
        <v>8240</v>
      </c>
      <c r="E7416" s="12" t="s">
        <v>8241</v>
      </c>
      <c r="F7416" s="12"/>
      <c r="G7416" s="12">
        <v>518</v>
      </c>
      <c r="H7416" s="143">
        <v>0.99039999999999995</v>
      </c>
      <c r="J7416" s="143"/>
      <c r="K7416" s="143"/>
      <c r="L7416" s="143"/>
      <c r="M7416" s="143"/>
      <c r="N7416" s="143"/>
      <c r="O7416">
        <f t="shared" si="1325"/>
        <v>1</v>
      </c>
      <c r="P7416" s="134">
        <v>1</v>
      </c>
      <c r="Q7416" s="267">
        <f t="shared" si="1327"/>
        <v>523</v>
      </c>
      <c r="R7416" s="23">
        <f t="shared" si="1328"/>
        <v>518</v>
      </c>
      <c r="S7416" s="23">
        <f t="shared" si="1329"/>
        <v>0</v>
      </c>
      <c r="T7416" s="23" t="str">
        <f t="shared" si="1330"/>
        <v/>
      </c>
      <c r="U7416" t="str">
        <f t="shared" si="1331"/>
        <v>NY_Catta_2021g~-~highway superintendent (vote for one) (4-year term) for town of freedom, cattaraugus~vote for 1,</v>
      </c>
    </row>
    <row r="7417" spans="1:21">
      <c r="A7417" t="str">
        <f t="shared" si="1326"/>
        <v>NY_Catta_2021g~-~highway superintendent (vote for one) (4-year term) for town of freedom, cattaraugus~vote for 1,</v>
      </c>
      <c r="B7417" t="s">
        <v>8101</v>
      </c>
      <c r="C7417" s="1"/>
      <c r="D7417" t="s">
        <v>8240</v>
      </c>
      <c r="E7417" s="12" t="s">
        <v>1299</v>
      </c>
      <c r="F7417" s="12"/>
      <c r="G7417" s="12">
        <v>5</v>
      </c>
      <c r="H7417" s="143">
        <v>9.5999999999999992E-3</v>
      </c>
      <c r="J7417" s="143"/>
      <c r="K7417" s="143"/>
      <c r="L7417" s="143"/>
      <c r="M7417" s="143"/>
      <c r="N7417" s="143"/>
      <c r="O7417">
        <f t="shared" si="1325"/>
        <v>-1</v>
      </c>
      <c r="P7417" s="134">
        <v>1</v>
      </c>
      <c r="Q7417" s="267">
        <f t="shared" si="1327"/>
        <v>5</v>
      </c>
      <c r="R7417" s="23">
        <f t="shared" si="1328"/>
        <v>1</v>
      </c>
      <c r="S7417" s="23">
        <f t="shared" si="1329"/>
        <v>0</v>
      </c>
      <c r="T7417" s="23" t="str">
        <f t="shared" si="1330"/>
        <v/>
      </c>
      <c r="U7417" t="str">
        <f t="shared" si="1331"/>
        <v/>
      </c>
    </row>
    <row r="7418" spans="1:21">
      <c r="A7418" t="str">
        <f t="shared" si="1326"/>
        <v>NY_Catta_2021g~-~highway superintendent (vote for one) (4-year term) for town of humphrey, cattaraugus~vote for 1,</v>
      </c>
      <c r="B7418" t="s">
        <v>8101</v>
      </c>
      <c r="D7418" t="s">
        <v>8242</v>
      </c>
      <c r="E7418" t="s">
        <v>8243</v>
      </c>
      <c r="G7418">
        <v>105</v>
      </c>
      <c r="H7418">
        <v>1</v>
      </c>
      <c r="N7418"/>
      <c r="O7418">
        <f t="shared" si="1325"/>
        <v>1</v>
      </c>
      <c r="P7418" s="20">
        <v>1</v>
      </c>
      <c r="Q7418" s="267">
        <f t="shared" si="1327"/>
        <v>105</v>
      </c>
      <c r="R7418" s="23">
        <f t="shared" si="1328"/>
        <v>105</v>
      </c>
      <c r="S7418" s="23">
        <f t="shared" si="1329"/>
        <v>0</v>
      </c>
      <c r="T7418" s="23" t="str">
        <f t="shared" si="1330"/>
        <v/>
      </c>
      <c r="U7418" t="str">
        <f t="shared" si="1331"/>
        <v>NY_Catta_2021g~-~highway superintendent (vote for one) (4-year term) for town of humphrey, cattaraugus~vote for 1,</v>
      </c>
    </row>
    <row r="7419" spans="1:21">
      <c r="A7419" t="str">
        <f t="shared" si="1326"/>
        <v>NY_Catta_2021g~-~highway superintendent (vote for one) (4-year term) for town of humphrey, cattaraugus~vote for 1,</v>
      </c>
      <c r="B7419" t="s">
        <v>8101</v>
      </c>
      <c r="D7419" t="s">
        <v>8242</v>
      </c>
      <c r="E7419" t="s">
        <v>1299</v>
      </c>
      <c r="G7419">
        <v>0</v>
      </c>
      <c r="H7419">
        <v>0</v>
      </c>
      <c r="N7419"/>
      <c r="O7419">
        <f t="shared" si="1325"/>
        <v>-1</v>
      </c>
      <c r="P7419" s="20">
        <v>1</v>
      </c>
      <c r="Q7419" s="267">
        <f t="shared" si="1327"/>
        <v>0</v>
      </c>
      <c r="R7419" s="23">
        <f t="shared" si="1328"/>
        <v>1</v>
      </c>
      <c r="S7419" s="23">
        <f t="shared" si="1329"/>
        <v>0</v>
      </c>
      <c r="T7419" s="23" t="str">
        <f t="shared" si="1330"/>
        <v/>
      </c>
      <c r="U7419" t="str">
        <f t="shared" si="1331"/>
        <v/>
      </c>
    </row>
    <row r="7420" spans="1:21">
      <c r="A7420" t="str">
        <f t="shared" si="1326"/>
        <v>NY_Catta_2021g~-~highway superintendent (vote for one) (4-year term) for town of napoli, cattaraugus~vote for 1,</v>
      </c>
      <c r="B7420" t="s">
        <v>8101</v>
      </c>
      <c r="D7420" t="s">
        <v>8244</v>
      </c>
      <c r="E7420" t="s">
        <v>8245</v>
      </c>
      <c r="G7420">
        <v>162</v>
      </c>
      <c r="H7420">
        <v>0.98780000000000001</v>
      </c>
      <c r="N7420"/>
      <c r="O7420">
        <f t="shared" si="1325"/>
        <v>1</v>
      </c>
      <c r="P7420" s="20">
        <v>1</v>
      </c>
      <c r="Q7420" s="267">
        <f t="shared" si="1327"/>
        <v>164</v>
      </c>
      <c r="R7420" s="23">
        <f t="shared" si="1328"/>
        <v>162</v>
      </c>
      <c r="S7420" s="23">
        <f t="shared" si="1329"/>
        <v>0</v>
      </c>
      <c r="T7420" s="23" t="str">
        <f t="shared" si="1330"/>
        <v/>
      </c>
      <c r="U7420" t="str">
        <f t="shared" si="1331"/>
        <v>NY_Catta_2021g~-~highway superintendent (vote for one) (4-year term) for town of napoli, cattaraugus~vote for 1,</v>
      </c>
    </row>
    <row r="7421" spans="1:21">
      <c r="A7421" t="str">
        <f t="shared" si="1326"/>
        <v>NY_Catta_2021g~-~highway superintendent (vote for one) (4-year term) for town of napoli, cattaraugus~vote for 1,</v>
      </c>
      <c r="B7421" t="s">
        <v>8101</v>
      </c>
      <c r="D7421" t="s">
        <v>8244</v>
      </c>
      <c r="E7421" t="s">
        <v>1299</v>
      </c>
      <c r="G7421">
        <v>2</v>
      </c>
      <c r="H7421">
        <v>1.2200000000000001E-2</v>
      </c>
      <c r="N7421"/>
      <c r="O7421">
        <f t="shared" si="1325"/>
        <v>-1</v>
      </c>
      <c r="P7421" s="20">
        <v>1</v>
      </c>
      <c r="Q7421" s="267">
        <f t="shared" si="1327"/>
        <v>2</v>
      </c>
      <c r="R7421" s="23">
        <f t="shared" si="1328"/>
        <v>1</v>
      </c>
      <c r="S7421" s="23">
        <f t="shared" si="1329"/>
        <v>0</v>
      </c>
      <c r="T7421" s="23" t="str">
        <f t="shared" si="1330"/>
        <v/>
      </c>
      <c r="U7421" t="str">
        <f t="shared" si="1331"/>
        <v/>
      </c>
    </row>
    <row r="7422" spans="1:21">
      <c r="A7422" t="str">
        <f t="shared" si="1326"/>
        <v>NY_Catta_2021g~-~highway superintendent (vote for one) (4-year term) for town of olean, cattaraugus~vote for 1,</v>
      </c>
      <c r="B7422" t="s">
        <v>8101</v>
      </c>
      <c r="D7422" t="s">
        <v>8246</v>
      </c>
      <c r="E7422" t="s">
        <v>8247</v>
      </c>
      <c r="G7422">
        <v>242</v>
      </c>
      <c r="H7422">
        <v>0.99590000000000001</v>
      </c>
      <c r="N7422"/>
      <c r="O7422">
        <f t="shared" si="1325"/>
        <v>1</v>
      </c>
      <c r="P7422" s="20">
        <v>1</v>
      </c>
      <c r="Q7422" s="267">
        <f t="shared" si="1327"/>
        <v>243</v>
      </c>
      <c r="R7422" s="23">
        <f t="shared" si="1328"/>
        <v>242</v>
      </c>
      <c r="S7422" s="23">
        <f t="shared" si="1329"/>
        <v>0</v>
      </c>
      <c r="T7422" s="23" t="str">
        <f t="shared" si="1330"/>
        <v/>
      </c>
      <c r="U7422" t="str">
        <f t="shared" si="1331"/>
        <v>NY_Catta_2021g~-~highway superintendent (vote for one) (4-year term) for town of olean, cattaraugus~vote for 1,</v>
      </c>
    </row>
    <row r="7423" spans="1:21">
      <c r="A7423" t="str">
        <f t="shared" si="1326"/>
        <v>NY_Catta_2021g~-~highway superintendent (vote for one) (4-year term) for town of olean, cattaraugus~vote for 1,</v>
      </c>
      <c r="B7423" t="s">
        <v>8101</v>
      </c>
      <c r="D7423" t="s">
        <v>8246</v>
      </c>
      <c r="E7423" t="s">
        <v>1299</v>
      </c>
      <c r="G7423">
        <v>1</v>
      </c>
      <c r="H7423">
        <v>4.1000000000000003E-3</v>
      </c>
      <c r="N7423"/>
      <c r="O7423">
        <f t="shared" si="1325"/>
        <v>-1</v>
      </c>
      <c r="P7423" s="20">
        <v>1</v>
      </c>
      <c r="Q7423" s="267">
        <f t="shared" si="1327"/>
        <v>1</v>
      </c>
      <c r="R7423" s="23">
        <f t="shared" si="1328"/>
        <v>1</v>
      </c>
      <c r="S7423" s="23">
        <f t="shared" si="1329"/>
        <v>0</v>
      </c>
      <c r="T7423" s="23" t="str">
        <f t="shared" si="1330"/>
        <v/>
      </c>
      <c r="U7423" t="str">
        <f t="shared" si="1331"/>
        <v/>
      </c>
    </row>
    <row r="7424" spans="1:21">
      <c r="A7424" t="str">
        <f t="shared" si="1326"/>
        <v>NY_Catta_2021g~-~highway superintendent (vote for one) (4-year term) for town of otto, cattaraugus~vote for 1,</v>
      </c>
      <c r="B7424" t="s">
        <v>8101</v>
      </c>
      <c r="D7424" t="s">
        <v>8248</v>
      </c>
      <c r="E7424" t="s">
        <v>8249</v>
      </c>
      <c r="G7424">
        <v>136</v>
      </c>
      <c r="H7424">
        <v>0.9577</v>
      </c>
      <c r="N7424"/>
      <c r="O7424">
        <f t="shared" si="1325"/>
        <v>1</v>
      </c>
      <c r="P7424" s="20">
        <v>1</v>
      </c>
      <c r="Q7424" s="267">
        <f t="shared" si="1327"/>
        <v>142</v>
      </c>
      <c r="R7424" s="23">
        <f t="shared" si="1328"/>
        <v>136</v>
      </c>
      <c r="S7424" s="23">
        <f t="shared" si="1329"/>
        <v>0</v>
      </c>
      <c r="T7424" s="23" t="str">
        <f t="shared" si="1330"/>
        <v/>
      </c>
      <c r="U7424" t="str">
        <f t="shared" si="1331"/>
        <v>NY_Catta_2021g~-~highway superintendent (vote for one) (4-year term) for town of otto, cattaraugus~vote for 1,</v>
      </c>
    </row>
    <row r="7425" spans="1:21">
      <c r="A7425" t="str">
        <f t="shared" si="1326"/>
        <v>NY_Catta_2021g~-~highway superintendent (vote for one) (4-year term) for town of otto, cattaraugus~vote for 1,</v>
      </c>
      <c r="B7425" t="s">
        <v>8101</v>
      </c>
      <c r="D7425" t="s">
        <v>8248</v>
      </c>
      <c r="E7425" t="s">
        <v>1299</v>
      </c>
      <c r="G7425">
        <v>6</v>
      </c>
      <c r="H7425">
        <v>4.2299999999999997E-2</v>
      </c>
      <c r="N7425"/>
      <c r="O7425">
        <f t="shared" si="1325"/>
        <v>-1</v>
      </c>
      <c r="P7425" s="20">
        <v>1</v>
      </c>
      <c r="Q7425" s="267">
        <f t="shared" si="1327"/>
        <v>6</v>
      </c>
      <c r="R7425" s="23">
        <f t="shared" si="1328"/>
        <v>1</v>
      </c>
      <c r="S7425" s="23">
        <f t="shared" si="1329"/>
        <v>0</v>
      </c>
      <c r="T7425" s="23" t="str">
        <f t="shared" si="1330"/>
        <v/>
      </c>
      <c r="U7425" t="str">
        <f t="shared" si="1331"/>
        <v/>
      </c>
    </row>
    <row r="7426" spans="1:21">
      <c r="A7426" t="str">
        <f t="shared" si="1326"/>
        <v>NY_Catta_2021g~-~highway superintendent (vote for one) (4-year term) for town of portville, cattaraugus~vote for 1,</v>
      </c>
      <c r="B7426" t="s">
        <v>8101</v>
      </c>
      <c r="D7426" t="s">
        <v>8250</v>
      </c>
      <c r="E7426" t="s">
        <v>8251</v>
      </c>
      <c r="G7426">
        <v>435</v>
      </c>
      <c r="H7426">
        <v>0.9375</v>
      </c>
      <c r="N7426"/>
      <c r="O7426">
        <f t="shared" si="1325"/>
        <v>1</v>
      </c>
      <c r="P7426" s="20">
        <v>1</v>
      </c>
      <c r="Q7426" s="267">
        <f t="shared" si="1327"/>
        <v>475</v>
      </c>
      <c r="R7426" s="23">
        <f t="shared" si="1328"/>
        <v>435</v>
      </c>
      <c r="S7426" s="23">
        <f t="shared" si="1329"/>
        <v>11</v>
      </c>
      <c r="T7426" s="23">
        <f t="shared" si="1330"/>
        <v>424</v>
      </c>
      <c r="U7426" t="str">
        <f t="shared" si="1331"/>
        <v>NY_Catta_2021g~-~highway superintendent (vote for one) (4-year term) for town of portville, cattaraugus~vote for 1,</v>
      </c>
    </row>
    <row r="7427" spans="1:21">
      <c r="A7427" t="str">
        <f t="shared" si="1326"/>
        <v>NY_Catta_2021g~-~highway superintendent (vote for one) (4-year term) for town of portville, cattaraugus~vote for 1,</v>
      </c>
      <c r="B7427" t="s">
        <v>8101</v>
      </c>
      <c r="D7427" t="s">
        <v>8250</v>
      </c>
      <c r="E7427" t="s">
        <v>1299</v>
      </c>
      <c r="G7427">
        <v>29</v>
      </c>
      <c r="H7427">
        <v>6.25E-2</v>
      </c>
      <c r="N7427"/>
      <c r="O7427">
        <f t="shared" si="1325"/>
        <v>-1</v>
      </c>
      <c r="P7427" s="20">
        <v>1</v>
      </c>
      <c r="Q7427" s="267">
        <f t="shared" si="1327"/>
        <v>40</v>
      </c>
      <c r="R7427" s="23" t="str">
        <f t="shared" si="1328"/>
        <v/>
      </c>
      <c r="S7427" s="23">
        <f t="shared" si="1329"/>
        <v>11</v>
      </c>
      <c r="T7427" s="23" t="str">
        <f t="shared" si="1330"/>
        <v/>
      </c>
      <c r="U7427" t="str">
        <f t="shared" si="1331"/>
        <v/>
      </c>
    </row>
    <row r="7428" spans="1:21">
      <c r="A7428" t="str">
        <f t="shared" si="1326"/>
        <v>NY_Catta_2021g~-~highway superintendent (vote for one) (4-year term) for town of portville, cattaraugus~vote for 1,</v>
      </c>
      <c r="B7428" t="s">
        <v>8101</v>
      </c>
      <c r="D7428" t="s">
        <v>8250</v>
      </c>
      <c r="E7428" t="s">
        <v>8252</v>
      </c>
      <c r="G7428">
        <v>11</v>
      </c>
      <c r="H7428">
        <v>2.3699999999999999E-2</v>
      </c>
      <c r="N7428"/>
      <c r="O7428">
        <f t="shared" si="1325"/>
        <v>2</v>
      </c>
      <c r="P7428" s="20">
        <v>1</v>
      </c>
      <c r="Q7428" s="267">
        <f t="shared" si="1327"/>
        <v>11</v>
      </c>
      <c r="R7428" s="23" t="str">
        <f t="shared" si="1328"/>
        <v/>
      </c>
      <c r="S7428" s="23">
        <f t="shared" si="1329"/>
        <v>11</v>
      </c>
      <c r="T7428" s="23" t="str">
        <f t="shared" si="1330"/>
        <v/>
      </c>
      <c r="U7428" t="str">
        <f t="shared" si="1331"/>
        <v/>
      </c>
    </row>
    <row r="7429" spans="1:21">
      <c r="A7429" t="str">
        <f t="shared" si="1326"/>
        <v>NY_Catta_2021g~-~highway superintendent (vote for one) (4-year term) for town of salamanca, cattaraugus~vote for 1,</v>
      </c>
      <c r="B7429" t="s">
        <v>8101</v>
      </c>
      <c r="D7429" t="s">
        <v>8253</v>
      </c>
      <c r="E7429" t="s">
        <v>8254</v>
      </c>
      <c r="G7429">
        <v>97</v>
      </c>
      <c r="H7429">
        <v>1</v>
      </c>
      <c r="N7429"/>
      <c r="O7429">
        <f t="shared" si="1325"/>
        <v>1</v>
      </c>
      <c r="P7429" s="20">
        <v>1</v>
      </c>
      <c r="Q7429" s="267">
        <f t="shared" si="1327"/>
        <v>97</v>
      </c>
      <c r="R7429" s="23">
        <f t="shared" si="1328"/>
        <v>97</v>
      </c>
      <c r="S7429" s="23">
        <f t="shared" si="1329"/>
        <v>0</v>
      </c>
      <c r="T7429" s="23" t="str">
        <f t="shared" si="1330"/>
        <v/>
      </c>
      <c r="U7429" t="str">
        <f t="shared" si="1331"/>
        <v>NY_Catta_2021g~-~highway superintendent (vote for one) (4-year term) for town of salamanca, cattaraugus~vote for 1,</v>
      </c>
    </row>
    <row r="7430" spans="1:21">
      <c r="A7430" t="str">
        <f t="shared" si="1326"/>
        <v>NY_Catta_2021g~-~highway superintendent (vote for one) (4-year term) for town of salamanca, cattaraugus~vote for 1,</v>
      </c>
      <c r="B7430" t="s">
        <v>8101</v>
      </c>
      <c r="D7430" t="s">
        <v>8253</v>
      </c>
      <c r="E7430" t="s">
        <v>1299</v>
      </c>
      <c r="G7430">
        <v>0</v>
      </c>
      <c r="H7430">
        <v>0</v>
      </c>
      <c r="N7430"/>
      <c r="O7430">
        <f t="shared" si="1325"/>
        <v>-1</v>
      </c>
      <c r="P7430" s="20">
        <v>1</v>
      </c>
      <c r="Q7430" s="267">
        <f t="shared" si="1327"/>
        <v>0</v>
      </c>
      <c r="R7430" s="23">
        <f t="shared" si="1328"/>
        <v>1</v>
      </c>
      <c r="S7430" s="23">
        <f t="shared" si="1329"/>
        <v>0</v>
      </c>
      <c r="T7430" s="23" t="str">
        <f t="shared" si="1330"/>
        <v/>
      </c>
      <c r="U7430" t="str">
        <f t="shared" si="1331"/>
        <v/>
      </c>
    </row>
    <row r="7431" spans="1:21">
      <c r="A7431" t="str">
        <f t="shared" si="1326"/>
        <v>NY_Catta_2021g~-~highway superintenent (vote for one) (4-year term) for town of hinsdale, cattaraugus~vote for 1,</v>
      </c>
      <c r="B7431" t="s">
        <v>8101</v>
      </c>
      <c r="D7431" t="s">
        <v>8255</v>
      </c>
      <c r="E7431" t="s">
        <v>8256</v>
      </c>
      <c r="G7431">
        <v>245</v>
      </c>
      <c r="H7431">
        <v>0.72699999999999998</v>
      </c>
      <c r="N7431"/>
      <c r="O7431">
        <f t="shared" si="1325"/>
        <v>1</v>
      </c>
      <c r="P7431" s="20">
        <v>1</v>
      </c>
      <c r="Q7431" s="267">
        <f t="shared" si="1327"/>
        <v>337</v>
      </c>
      <c r="R7431" s="23">
        <f t="shared" si="1328"/>
        <v>245</v>
      </c>
      <c r="S7431" s="23">
        <f t="shared" si="1329"/>
        <v>92</v>
      </c>
      <c r="T7431" s="23">
        <f t="shared" si="1330"/>
        <v>153</v>
      </c>
      <c r="U7431" t="str">
        <f t="shared" si="1331"/>
        <v>NY_Catta_2021g~-~highway superintenent (vote for one) (4-year term) for town of hinsdale, cattaraugus~vote for 1,</v>
      </c>
    </row>
    <row r="7432" spans="1:21">
      <c r="A7432" t="str">
        <f t="shared" si="1326"/>
        <v>NY_Catta_2021g~-~highway superintenent (vote for one) (4-year term) for town of hinsdale, cattaraugus~vote for 1,</v>
      </c>
      <c r="B7432" t="s">
        <v>8101</v>
      </c>
      <c r="D7432" t="s">
        <v>8255</v>
      </c>
      <c r="E7432" t="s">
        <v>8257</v>
      </c>
      <c r="G7432">
        <v>92</v>
      </c>
      <c r="H7432">
        <v>0.27300000000000002</v>
      </c>
      <c r="N7432"/>
      <c r="O7432">
        <f t="shared" si="1325"/>
        <v>2</v>
      </c>
      <c r="P7432" s="20">
        <v>1</v>
      </c>
      <c r="Q7432" s="267">
        <f t="shared" si="1327"/>
        <v>92</v>
      </c>
      <c r="R7432" s="23" t="str">
        <f t="shared" si="1328"/>
        <v/>
      </c>
      <c r="S7432" s="23">
        <f t="shared" si="1329"/>
        <v>92</v>
      </c>
      <c r="T7432" s="23" t="str">
        <f t="shared" si="1330"/>
        <v/>
      </c>
      <c r="U7432" t="str">
        <f t="shared" si="1331"/>
        <v/>
      </c>
    </row>
    <row r="7433" spans="1:21">
      <c r="A7433" t="str">
        <f t="shared" si="1326"/>
        <v>NY_Catta_2021g~-~highway superintenent (vote for one) (4-year term) for town of hinsdale, cattaraugus~vote for 1,</v>
      </c>
      <c r="B7433" t="s">
        <v>8101</v>
      </c>
      <c r="D7433" t="s">
        <v>8255</v>
      </c>
      <c r="E7433" t="s">
        <v>1299</v>
      </c>
      <c r="G7433">
        <v>0</v>
      </c>
      <c r="H7433">
        <v>0</v>
      </c>
      <c r="N7433"/>
      <c r="O7433">
        <f t="shared" si="1325"/>
        <v>-2</v>
      </c>
      <c r="P7433" s="20">
        <v>1</v>
      </c>
      <c r="Q7433" s="267">
        <f t="shared" si="1327"/>
        <v>0</v>
      </c>
      <c r="R7433" s="23">
        <f t="shared" si="1328"/>
        <v>1</v>
      </c>
      <c r="S7433" s="23">
        <f t="shared" si="1329"/>
        <v>0</v>
      </c>
      <c r="T7433" s="23" t="str">
        <f t="shared" si="1330"/>
        <v/>
      </c>
      <c r="U7433" t="str">
        <f t="shared" si="1331"/>
        <v/>
      </c>
    </row>
    <row r="7434" spans="1:21">
      <c r="A7434" t="str">
        <f t="shared" si="1326"/>
        <v>NY_Catta_2021g~-~supervisor (to fill vacancy) (2-year term) for town of perrysburg, cattaraugus~vote for 1,</v>
      </c>
      <c r="B7434" t="s">
        <v>8101</v>
      </c>
      <c r="D7434" t="s">
        <v>8258</v>
      </c>
      <c r="E7434" t="s">
        <v>8259</v>
      </c>
      <c r="G7434">
        <v>265</v>
      </c>
      <c r="H7434">
        <v>0.98150000000000004</v>
      </c>
      <c r="N7434"/>
      <c r="O7434">
        <f t="shared" ref="O7434:O7497" si="1332">IF(OR(LOWER(LEFT(E7434,8))="write-in",LOWER(LEFT(E7434,8))="not qual"),IF(A7434=A7433,-ABS(O7433),0),IF(A7434=A7433,ABS(O7433)+1,1))</f>
        <v>1</v>
      </c>
      <c r="P7434" s="20">
        <v>1</v>
      </c>
      <c r="Q7434" s="267">
        <f t="shared" si="1327"/>
        <v>270</v>
      </c>
      <c r="R7434" s="23">
        <f t="shared" si="1328"/>
        <v>265</v>
      </c>
      <c r="S7434" s="23">
        <f t="shared" si="1329"/>
        <v>0</v>
      </c>
      <c r="T7434" s="23" t="str">
        <f t="shared" si="1330"/>
        <v/>
      </c>
      <c r="U7434" t="str">
        <f t="shared" si="1331"/>
        <v>NY_Catta_2021g~-~supervisor (to fill vacancy) (2-year term) for town of perrysburg, cattaraugus~vote for 1,</v>
      </c>
    </row>
    <row r="7435" spans="1:21">
      <c r="A7435" t="str">
        <f t="shared" si="1326"/>
        <v>NY_Catta_2021g~-~supervisor (to fill vacancy) (2-year term) for town of perrysburg, cattaraugus~vote for 1,</v>
      </c>
      <c r="B7435" t="s">
        <v>8101</v>
      </c>
      <c r="D7435" t="s">
        <v>8258</v>
      </c>
      <c r="E7435" t="s">
        <v>1299</v>
      </c>
      <c r="G7435">
        <v>5</v>
      </c>
      <c r="H7435">
        <v>1.8499999999999999E-2</v>
      </c>
      <c r="N7435"/>
      <c r="O7435">
        <f t="shared" si="1332"/>
        <v>-1</v>
      </c>
      <c r="P7435" s="20">
        <v>1</v>
      </c>
      <c r="Q7435" s="267">
        <f t="shared" si="1327"/>
        <v>5</v>
      </c>
      <c r="R7435" s="23">
        <f t="shared" si="1328"/>
        <v>1</v>
      </c>
      <c r="S7435" s="23">
        <f t="shared" si="1329"/>
        <v>0</v>
      </c>
      <c r="T7435" s="23" t="str">
        <f t="shared" si="1330"/>
        <v/>
      </c>
      <c r="U7435" t="str">
        <f t="shared" si="1331"/>
        <v/>
      </c>
    </row>
    <row r="7436" spans="1:21">
      <c r="A7436" t="str">
        <f t="shared" si="1326"/>
        <v>NY_Catta_2021g~-~supervisor (vote for one) (2-year term) for town of allegany, cattaraugus~vote for 1,</v>
      </c>
      <c r="B7436" t="s">
        <v>8101</v>
      </c>
      <c r="C7436" s="1"/>
      <c r="D7436" t="s">
        <v>8260</v>
      </c>
      <c r="E7436" s="12" t="s">
        <v>8261</v>
      </c>
      <c r="F7436" s="12"/>
      <c r="G7436" s="13">
        <v>822</v>
      </c>
      <c r="H7436" s="143">
        <v>0.99519999999999997</v>
      </c>
      <c r="J7436" s="143"/>
      <c r="K7436" s="143"/>
      <c r="L7436" s="143"/>
      <c r="M7436" s="143"/>
      <c r="N7436" s="143"/>
      <c r="O7436">
        <f t="shared" si="1332"/>
        <v>1</v>
      </c>
      <c r="P7436" s="134">
        <v>1</v>
      </c>
      <c r="Q7436" s="267">
        <f t="shared" si="1327"/>
        <v>826</v>
      </c>
      <c r="R7436" s="23">
        <f t="shared" si="1328"/>
        <v>822</v>
      </c>
      <c r="S7436" s="23">
        <f t="shared" si="1329"/>
        <v>0</v>
      </c>
      <c r="T7436" s="23" t="str">
        <f t="shared" si="1330"/>
        <v/>
      </c>
      <c r="U7436" t="str">
        <f t="shared" si="1331"/>
        <v>NY_Catta_2021g~-~supervisor (vote for one) (2-year term) for town of allegany, cattaraugus~vote for 1,</v>
      </c>
    </row>
    <row r="7437" spans="1:21">
      <c r="A7437" t="str">
        <f t="shared" si="1326"/>
        <v>NY_Catta_2021g~-~supervisor (vote for one) (2-year term) for town of allegany, cattaraugus~vote for 1,</v>
      </c>
      <c r="B7437" t="s">
        <v>8101</v>
      </c>
      <c r="C7437" s="1"/>
      <c r="D7437" t="s">
        <v>8260</v>
      </c>
      <c r="E7437" s="12" t="s">
        <v>1299</v>
      </c>
      <c r="F7437" s="12"/>
      <c r="G7437" s="13">
        <v>4</v>
      </c>
      <c r="H7437" s="143">
        <v>4.7999999999999996E-3</v>
      </c>
      <c r="J7437" s="143"/>
      <c r="K7437" s="143"/>
      <c r="L7437" s="143"/>
      <c r="M7437" s="143"/>
      <c r="N7437" s="143"/>
      <c r="O7437">
        <f t="shared" si="1332"/>
        <v>-1</v>
      </c>
      <c r="P7437" s="134">
        <v>1</v>
      </c>
      <c r="Q7437" s="267">
        <f t="shared" si="1327"/>
        <v>4</v>
      </c>
      <c r="R7437" s="23">
        <f t="shared" si="1328"/>
        <v>1</v>
      </c>
      <c r="S7437" s="23">
        <f t="shared" si="1329"/>
        <v>0</v>
      </c>
      <c r="T7437" s="23" t="str">
        <f t="shared" si="1330"/>
        <v/>
      </c>
      <c r="U7437" t="str">
        <f t="shared" si="1331"/>
        <v/>
      </c>
    </row>
    <row r="7438" spans="1:21">
      <c r="A7438" t="str">
        <f t="shared" si="1326"/>
        <v>NY_Catta_2021g~-~supervisor (vote for one) (2-year term) for town of dayton, cattaraugus~vote for 1,</v>
      </c>
      <c r="B7438" t="s">
        <v>8101</v>
      </c>
      <c r="C7438" s="1"/>
      <c r="D7438" t="s">
        <v>8262</v>
      </c>
      <c r="E7438" s="12" t="s">
        <v>8263</v>
      </c>
      <c r="F7438" s="12"/>
      <c r="G7438" s="12">
        <v>235</v>
      </c>
      <c r="H7438" s="143">
        <v>0.86080000000000001</v>
      </c>
      <c r="J7438" s="143"/>
      <c r="K7438" s="143"/>
      <c r="L7438" s="143"/>
      <c r="M7438" s="143"/>
      <c r="N7438" s="143"/>
      <c r="O7438">
        <f t="shared" si="1332"/>
        <v>1</v>
      </c>
      <c r="P7438" s="134">
        <v>1</v>
      </c>
      <c r="Q7438" s="267">
        <f t="shared" si="1327"/>
        <v>273</v>
      </c>
      <c r="R7438" s="23">
        <f t="shared" si="1328"/>
        <v>235</v>
      </c>
      <c r="S7438" s="23">
        <f t="shared" si="1329"/>
        <v>0</v>
      </c>
      <c r="T7438" s="23" t="str">
        <f t="shared" si="1330"/>
        <v/>
      </c>
      <c r="U7438" t="str">
        <f t="shared" si="1331"/>
        <v>NY_Catta_2021g~-~supervisor (vote for one) (2-year term) for town of dayton, cattaraugus~vote for 1,</v>
      </c>
    </row>
    <row r="7439" spans="1:21">
      <c r="A7439" t="str">
        <f t="shared" si="1326"/>
        <v>NY_Catta_2021g~-~supervisor (vote for one) (2-year term) for town of dayton, cattaraugus~vote for 1,</v>
      </c>
      <c r="B7439" t="s">
        <v>8101</v>
      </c>
      <c r="C7439" s="1"/>
      <c r="D7439" t="s">
        <v>8262</v>
      </c>
      <c r="E7439" s="12" t="s">
        <v>1299</v>
      </c>
      <c r="F7439" s="12"/>
      <c r="G7439" s="12">
        <v>38</v>
      </c>
      <c r="H7439" s="143">
        <v>0.13919999999999999</v>
      </c>
      <c r="J7439" s="143"/>
      <c r="K7439" s="143"/>
      <c r="L7439" s="143"/>
      <c r="M7439" s="143"/>
      <c r="N7439" s="143"/>
      <c r="O7439">
        <f t="shared" si="1332"/>
        <v>-1</v>
      </c>
      <c r="P7439" s="134">
        <v>1</v>
      </c>
      <c r="Q7439" s="267">
        <f t="shared" si="1327"/>
        <v>38</v>
      </c>
      <c r="R7439" s="23">
        <f t="shared" si="1328"/>
        <v>1</v>
      </c>
      <c r="S7439" s="23">
        <f t="shared" si="1329"/>
        <v>0</v>
      </c>
      <c r="T7439" s="23" t="str">
        <f t="shared" si="1330"/>
        <v/>
      </c>
      <c r="U7439" t="str">
        <f t="shared" si="1331"/>
        <v/>
      </c>
    </row>
    <row r="7440" spans="1:21">
      <c r="A7440" t="str">
        <f t="shared" si="1326"/>
        <v>NY_Catta_2021g~-~supervisor (vote for one) (2-year term) for town of hinsdale, cattaraugus~vote for 1,</v>
      </c>
      <c r="B7440" t="s">
        <v>8101</v>
      </c>
      <c r="C7440" s="1"/>
      <c r="D7440" t="s">
        <v>8264</v>
      </c>
      <c r="E7440" s="12" t="s">
        <v>8265</v>
      </c>
      <c r="F7440" s="12"/>
      <c r="G7440" s="12">
        <v>290</v>
      </c>
      <c r="H7440" s="143">
        <v>1</v>
      </c>
      <c r="J7440" s="143"/>
      <c r="K7440" s="143"/>
      <c r="L7440" s="143"/>
      <c r="M7440" s="143"/>
      <c r="N7440" s="143"/>
      <c r="O7440">
        <f t="shared" si="1332"/>
        <v>1</v>
      </c>
      <c r="P7440" s="134">
        <v>1</v>
      </c>
      <c r="Q7440" s="267">
        <f t="shared" si="1327"/>
        <v>290</v>
      </c>
      <c r="R7440" s="23">
        <f t="shared" si="1328"/>
        <v>290</v>
      </c>
      <c r="S7440" s="23">
        <f t="shared" si="1329"/>
        <v>0</v>
      </c>
      <c r="T7440" s="23" t="str">
        <f t="shared" si="1330"/>
        <v/>
      </c>
      <c r="U7440" t="str">
        <f t="shared" si="1331"/>
        <v>NY_Catta_2021g~-~supervisor (vote for one) (2-year term) for town of hinsdale, cattaraugus~vote for 1,</v>
      </c>
    </row>
    <row r="7441" spans="1:21">
      <c r="A7441" t="str">
        <f t="shared" si="1326"/>
        <v>NY_Catta_2021g~-~supervisor (vote for one) (2-year term) for town of hinsdale, cattaraugus~vote for 1,</v>
      </c>
      <c r="B7441" t="s">
        <v>8101</v>
      </c>
      <c r="C7441" s="1"/>
      <c r="D7441" t="s">
        <v>8264</v>
      </c>
      <c r="E7441" s="12" t="s">
        <v>1299</v>
      </c>
      <c r="F7441" s="12"/>
      <c r="G7441" s="12">
        <v>0</v>
      </c>
      <c r="H7441" s="143">
        <v>0</v>
      </c>
      <c r="J7441" s="143"/>
      <c r="K7441" s="143"/>
      <c r="L7441" s="143"/>
      <c r="M7441" s="143"/>
      <c r="N7441" s="143"/>
      <c r="O7441">
        <f t="shared" si="1332"/>
        <v>-1</v>
      </c>
      <c r="P7441" s="134">
        <v>1</v>
      </c>
      <c r="Q7441" s="267">
        <f t="shared" si="1327"/>
        <v>0</v>
      </c>
      <c r="R7441" s="23">
        <f t="shared" si="1328"/>
        <v>1</v>
      </c>
      <c r="S7441" s="23">
        <f t="shared" si="1329"/>
        <v>0</v>
      </c>
      <c r="T7441" s="23" t="str">
        <f t="shared" si="1330"/>
        <v/>
      </c>
      <c r="U7441" t="str">
        <f t="shared" si="1331"/>
        <v/>
      </c>
    </row>
    <row r="7442" spans="1:21">
      <c r="A7442" t="str">
        <f t="shared" si="1326"/>
        <v>NY_Catta_2021g~-~supervisor (vote for one) (2-year term) for town of ischua, cattaraugus~vote for 1,</v>
      </c>
      <c r="B7442" t="s">
        <v>8101</v>
      </c>
      <c r="D7442" t="s">
        <v>8266</v>
      </c>
      <c r="E7442" t="s">
        <v>8267</v>
      </c>
      <c r="G7442">
        <v>119</v>
      </c>
      <c r="H7442">
        <v>1</v>
      </c>
      <c r="N7442"/>
      <c r="O7442">
        <f t="shared" si="1332"/>
        <v>1</v>
      </c>
      <c r="P7442" s="20">
        <v>1</v>
      </c>
      <c r="Q7442" s="267">
        <f t="shared" si="1327"/>
        <v>119</v>
      </c>
      <c r="R7442" s="23">
        <f t="shared" si="1328"/>
        <v>119</v>
      </c>
      <c r="S7442" s="23">
        <f t="shared" si="1329"/>
        <v>0</v>
      </c>
      <c r="T7442" s="23" t="str">
        <f t="shared" si="1330"/>
        <v/>
      </c>
      <c r="U7442" t="str">
        <f t="shared" si="1331"/>
        <v>NY_Catta_2021g~-~supervisor (vote for one) (2-year term) for town of ischua, cattaraugus~vote for 1,</v>
      </c>
    </row>
    <row r="7443" spans="1:21">
      <c r="A7443" t="str">
        <f t="shared" si="1326"/>
        <v>NY_Catta_2021g~-~supervisor (vote for one) (2-year term) for town of ischua, cattaraugus~vote for 1,</v>
      </c>
      <c r="B7443" t="s">
        <v>8101</v>
      </c>
      <c r="D7443" t="s">
        <v>8266</v>
      </c>
      <c r="E7443" t="s">
        <v>1299</v>
      </c>
      <c r="G7443">
        <v>0</v>
      </c>
      <c r="H7443">
        <v>0</v>
      </c>
      <c r="N7443"/>
      <c r="O7443">
        <f t="shared" si="1332"/>
        <v>-1</v>
      </c>
      <c r="P7443" s="20">
        <v>1</v>
      </c>
      <c r="Q7443" s="267">
        <f t="shared" si="1327"/>
        <v>0</v>
      </c>
      <c r="R7443" s="23">
        <f t="shared" si="1328"/>
        <v>1</v>
      </c>
      <c r="S7443" s="23">
        <f t="shared" si="1329"/>
        <v>0</v>
      </c>
      <c r="T7443" s="23" t="str">
        <f t="shared" si="1330"/>
        <v/>
      </c>
      <c r="U7443" t="str">
        <f t="shared" si="1331"/>
        <v/>
      </c>
    </row>
    <row r="7444" spans="1:21">
      <c r="A7444" t="str">
        <f t="shared" si="1326"/>
        <v>NY_Catta_2021g~-~supervisor (vote for one) (2-year term) for town of leon, cattaraugus~vote for 1,</v>
      </c>
      <c r="B7444" t="s">
        <v>8101</v>
      </c>
      <c r="D7444" t="s">
        <v>8268</v>
      </c>
      <c r="E7444" t="s">
        <v>8269</v>
      </c>
      <c r="G7444">
        <v>105</v>
      </c>
      <c r="H7444">
        <v>0.98129999999999995</v>
      </c>
      <c r="N7444"/>
      <c r="O7444">
        <f t="shared" si="1332"/>
        <v>1</v>
      </c>
      <c r="P7444" s="20">
        <v>1</v>
      </c>
      <c r="Q7444" s="267">
        <f t="shared" si="1327"/>
        <v>107</v>
      </c>
      <c r="R7444" s="23">
        <f t="shared" si="1328"/>
        <v>105</v>
      </c>
      <c r="S7444" s="23">
        <f t="shared" si="1329"/>
        <v>0</v>
      </c>
      <c r="T7444" s="23" t="str">
        <f t="shared" si="1330"/>
        <v/>
      </c>
      <c r="U7444" t="str">
        <f t="shared" si="1331"/>
        <v>NY_Catta_2021g~-~supervisor (vote for one) (2-year term) for town of leon, cattaraugus~vote for 1,</v>
      </c>
    </row>
    <row r="7445" spans="1:21">
      <c r="A7445" t="str">
        <f t="shared" si="1326"/>
        <v>NY_Catta_2021g~-~supervisor (vote for one) (2-year term) for town of leon, cattaraugus~vote for 1,</v>
      </c>
      <c r="B7445" t="s">
        <v>8101</v>
      </c>
      <c r="D7445" t="s">
        <v>8268</v>
      </c>
      <c r="E7445" t="s">
        <v>1299</v>
      </c>
      <c r="G7445">
        <v>2</v>
      </c>
      <c r="H7445">
        <v>1.8700000000000001E-2</v>
      </c>
      <c r="N7445"/>
      <c r="O7445">
        <f t="shared" si="1332"/>
        <v>-1</v>
      </c>
      <c r="P7445" s="20">
        <v>1</v>
      </c>
      <c r="Q7445" s="267">
        <f t="shared" si="1327"/>
        <v>2</v>
      </c>
      <c r="R7445" s="23">
        <f t="shared" si="1328"/>
        <v>1</v>
      </c>
      <c r="S7445" s="23">
        <f t="shared" si="1329"/>
        <v>0</v>
      </c>
      <c r="T7445" s="23" t="str">
        <f t="shared" si="1330"/>
        <v/>
      </c>
      <c r="U7445" t="str">
        <f t="shared" si="1331"/>
        <v/>
      </c>
    </row>
    <row r="7446" spans="1:21">
      <c r="A7446" t="str">
        <f t="shared" si="1326"/>
        <v>NY_Catta_2021g~-~supervisor (vote for one) (2-year term) for town of lyndon, cattaraugus~vote for 1,</v>
      </c>
      <c r="B7446" t="s">
        <v>8101</v>
      </c>
      <c r="D7446" t="s">
        <v>8270</v>
      </c>
      <c r="E7446" t="s">
        <v>8271</v>
      </c>
      <c r="G7446">
        <v>116</v>
      </c>
      <c r="H7446">
        <v>0.52729999999999999</v>
      </c>
      <c r="N7446"/>
      <c r="O7446">
        <f t="shared" si="1332"/>
        <v>1</v>
      </c>
      <c r="P7446" s="20">
        <v>1</v>
      </c>
      <c r="Q7446" s="267">
        <f t="shared" si="1327"/>
        <v>220</v>
      </c>
      <c r="R7446" s="23">
        <f t="shared" si="1328"/>
        <v>116</v>
      </c>
      <c r="S7446" s="23">
        <f t="shared" si="1329"/>
        <v>103</v>
      </c>
      <c r="T7446" s="23">
        <f t="shared" si="1330"/>
        <v>13</v>
      </c>
      <c r="U7446" t="str">
        <f t="shared" si="1331"/>
        <v>NY_Catta_2021g~-~supervisor (vote for one) (2-year term) for town of lyndon, cattaraugus~vote for 1,</v>
      </c>
    </row>
    <row r="7447" spans="1:21">
      <c r="A7447" t="str">
        <f t="shared" si="1326"/>
        <v>NY_Catta_2021g~-~supervisor (vote for one) (2-year term) for town of lyndon, cattaraugus~vote for 1,</v>
      </c>
      <c r="B7447" t="s">
        <v>8101</v>
      </c>
      <c r="D7447" t="s">
        <v>8270</v>
      </c>
      <c r="E7447" t="s">
        <v>8272</v>
      </c>
      <c r="G7447">
        <v>103</v>
      </c>
      <c r="H7447">
        <v>0.46820000000000001</v>
      </c>
      <c r="N7447"/>
      <c r="O7447">
        <f t="shared" si="1332"/>
        <v>2</v>
      </c>
      <c r="P7447" s="20">
        <v>1</v>
      </c>
      <c r="Q7447" s="267">
        <f t="shared" si="1327"/>
        <v>104</v>
      </c>
      <c r="R7447" s="23" t="str">
        <f t="shared" si="1328"/>
        <v/>
      </c>
      <c r="S7447" s="23">
        <f t="shared" si="1329"/>
        <v>103</v>
      </c>
      <c r="T7447" s="23" t="str">
        <f t="shared" si="1330"/>
        <v/>
      </c>
      <c r="U7447" t="str">
        <f t="shared" si="1331"/>
        <v/>
      </c>
    </row>
    <row r="7448" spans="1:21">
      <c r="A7448" t="str">
        <f t="shared" si="1326"/>
        <v>NY_Catta_2021g~-~supervisor (vote for one) (2-year term) for town of lyndon, cattaraugus~vote for 1,</v>
      </c>
      <c r="B7448" t="s">
        <v>8101</v>
      </c>
      <c r="D7448" t="s">
        <v>8270</v>
      </c>
      <c r="E7448" t="s">
        <v>1299</v>
      </c>
      <c r="G7448">
        <v>1</v>
      </c>
      <c r="H7448">
        <v>4.4999999999999997E-3</v>
      </c>
      <c r="N7448"/>
      <c r="O7448">
        <f t="shared" si="1332"/>
        <v>-2</v>
      </c>
      <c r="P7448" s="20">
        <v>1</v>
      </c>
      <c r="Q7448" s="267">
        <f t="shared" si="1327"/>
        <v>1</v>
      </c>
      <c r="R7448" s="23">
        <f t="shared" si="1328"/>
        <v>1</v>
      </c>
      <c r="S7448" s="23">
        <f t="shared" si="1329"/>
        <v>0</v>
      </c>
      <c r="T7448" s="23" t="str">
        <f t="shared" si="1330"/>
        <v/>
      </c>
      <c r="U7448" t="str">
        <f t="shared" si="1331"/>
        <v/>
      </c>
    </row>
    <row r="7449" spans="1:21">
      <c r="A7449" t="str">
        <f t="shared" si="1326"/>
        <v>NY_Catta_2021g~-~supervisor (vote for one) (2-year term) for town of mansfield, cattaraugus~vote for 1,</v>
      </c>
      <c r="B7449" t="s">
        <v>8101</v>
      </c>
      <c r="D7449" t="s">
        <v>8273</v>
      </c>
      <c r="E7449" t="s">
        <v>8274</v>
      </c>
      <c r="G7449">
        <v>107</v>
      </c>
      <c r="H7449">
        <v>1</v>
      </c>
      <c r="N7449"/>
      <c r="O7449">
        <f t="shared" si="1332"/>
        <v>1</v>
      </c>
      <c r="P7449" s="20">
        <v>1</v>
      </c>
      <c r="Q7449" s="267">
        <f t="shared" si="1327"/>
        <v>107</v>
      </c>
      <c r="R7449" s="23">
        <f t="shared" si="1328"/>
        <v>107</v>
      </c>
      <c r="S7449" s="23">
        <f t="shared" si="1329"/>
        <v>0</v>
      </c>
      <c r="T7449" s="23" t="str">
        <f t="shared" si="1330"/>
        <v/>
      </c>
      <c r="U7449" t="str">
        <f t="shared" si="1331"/>
        <v>NY_Catta_2021g~-~supervisor (vote for one) (2-year term) for town of mansfield, cattaraugus~vote for 1,</v>
      </c>
    </row>
    <row r="7450" spans="1:21">
      <c r="A7450" t="str">
        <f t="shared" si="1326"/>
        <v>NY_Catta_2021g~-~supervisor (vote for one) (2-year term) for town of mansfield, cattaraugus~vote for 1,</v>
      </c>
      <c r="B7450" t="s">
        <v>8101</v>
      </c>
      <c r="D7450" t="s">
        <v>8273</v>
      </c>
      <c r="E7450" t="s">
        <v>1299</v>
      </c>
      <c r="G7450">
        <v>0</v>
      </c>
      <c r="H7450">
        <v>0</v>
      </c>
      <c r="N7450"/>
      <c r="O7450">
        <f t="shared" si="1332"/>
        <v>-1</v>
      </c>
      <c r="P7450" s="20">
        <v>1</v>
      </c>
      <c r="Q7450" s="267">
        <f t="shared" si="1327"/>
        <v>0</v>
      </c>
      <c r="R7450" s="23">
        <f t="shared" si="1328"/>
        <v>1</v>
      </c>
      <c r="S7450" s="23">
        <f t="shared" si="1329"/>
        <v>0</v>
      </c>
      <c r="T7450" s="23" t="str">
        <f t="shared" si="1330"/>
        <v/>
      </c>
      <c r="U7450" t="str">
        <f t="shared" si="1331"/>
        <v/>
      </c>
    </row>
    <row r="7451" spans="1:21">
      <c r="A7451" t="str">
        <f t="shared" si="1326"/>
        <v>NY_Catta_2021g~-~supervisor (vote for one) (2-year term) for town of napoli, cattaraugus~vote for 1,</v>
      </c>
      <c r="B7451" t="s">
        <v>8101</v>
      </c>
      <c r="D7451" t="s">
        <v>8275</v>
      </c>
      <c r="E7451" t="s">
        <v>8276</v>
      </c>
      <c r="G7451">
        <v>128</v>
      </c>
      <c r="H7451">
        <v>0.78049999999999997</v>
      </c>
      <c r="N7451"/>
      <c r="O7451">
        <f t="shared" si="1332"/>
        <v>1</v>
      </c>
      <c r="P7451" s="20">
        <v>1</v>
      </c>
      <c r="Q7451" s="267">
        <f t="shared" si="1327"/>
        <v>164</v>
      </c>
      <c r="R7451" s="23">
        <f t="shared" si="1328"/>
        <v>128</v>
      </c>
      <c r="S7451" s="23">
        <f t="shared" si="1329"/>
        <v>0</v>
      </c>
      <c r="T7451" s="23" t="str">
        <f t="shared" si="1330"/>
        <v/>
      </c>
      <c r="U7451" t="str">
        <f t="shared" si="1331"/>
        <v>NY_Catta_2021g~-~supervisor (vote for one) (2-year term) for town of napoli, cattaraugus~vote for 1,</v>
      </c>
    </row>
    <row r="7452" spans="1:21">
      <c r="A7452" t="str">
        <f t="shared" si="1326"/>
        <v>NY_Catta_2021g~-~supervisor (vote for one) (2-year term) for town of napoli, cattaraugus~vote for 1,</v>
      </c>
      <c r="B7452" t="s">
        <v>8101</v>
      </c>
      <c r="D7452" t="s">
        <v>8275</v>
      </c>
      <c r="E7452" t="s">
        <v>1299</v>
      </c>
      <c r="G7452">
        <v>36</v>
      </c>
      <c r="H7452">
        <v>0.2195</v>
      </c>
      <c r="N7452"/>
      <c r="O7452">
        <f t="shared" si="1332"/>
        <v>-1</v>
      </c>
      <c r="P7452" s="20">
        <v>1</v>
      </c>
      <c r="Q7452" s="267">
        <f t="shared" si="1327"/>
        <v>36</v>
      </c>
      <c r="R7452" s="23">
        <f t="shared" si="1328"/>
        <v>1</v>
      </c>
      <c r="S7452" s="23">
        <f t="shared" si="1329"/>
        <v>0</v>
      </c>
      <c r="T7452" s="23" t="str">
        <f t="shared" si="1330"/>
        <v/>
      </c>
      <c r="U7452" t="str">
        <f t="shared" si="1331"/>
        <v/>
      </c>
    </row>
    <row r="7453" spans="1:21">
      <c r="A7453" t="str">
        <f t="shared" si="1326"/>
        <v>NY_Catta_2021g~-~supervisor (vote for one) (2-year term) for town of persia, cattaraugus~vote for 1,</v>
      </c>
      <c r="B7453" t="s">
        <v>8101</v>
      </c>
      <c r="D7453" t="s">
        <v>8277</v>
      </c>
      <c r="E7453" t="s">
        <v>8278</v>
      </c>
      <c r="G7453">
        <v>236</v>
      </c>
      <c r="H7453">
        <v>0.98740000000000006</v>
      </c>
      <c r="N7453"/>
      <c r="O7453">
        <f t="shared" si="1332"/>
        <v>1</v>
      </c>
      <c r="P7453" s="20">
        <v>1</v>
      </c>
      <c r="Q7453" s="267">
        <f t="shared" si="1327"/>
        <v>239</v>
      </c>
      <c r="R7453" s="23">
        <f t="shared" si="1328"/>
        <v>236</v>
      </c>
      <c r="S7453" s="23">
        <f t="shared" si="1329"/>
        <v>0</v>
      </c>
      <c r="T7453" s="23" t="str">
        <f t="shared" si="1330"/>
        <v/>
      </c>
      <c r="U7453" t="str">
        <f t="shared" si="1331"/>
        <v>NY_Catta_2021g~-~supervisor (vote for one) (2-year term) for town of persia, cattaraugus~vote for 1,</v>
      </c>
    </row>
    <row r="7454" spans="1:21">
      <c r="A7454" t="str">
        <f t="shared" si="1326"/>
        <v>NY_Catta_2021g~-~supervisor (vote for one) (2-year term) for town of persia, cattaraugus~vote for 1,</v>
      </c>
      <c r="B7454" t="s">
        <v>8101</v>
      </c>
      <c r="D7454" t="s">
        <v>8277</v>
      </c>
      <c r="E7454" t="s">
        <v>1299</v>
      </c>
      <c r="G7454">
        <v>3</v>
      </c>
      <c r="H7454">
        <v>1.26E-2</v>
      </c>
      <c r="N7454"/>
      <c r="O7454">
        <f t="shared" si="1332"/>
        <v>-1</v>
      </c>
      <c r="P7454" s="20">
        <v>1</v>
      </c>
      <c r="Q7454" s="267">
        <f t="shared" si="1327"/>
        <v>3</v>
      </c>
      <c r="R7454" s="23">
        <f t="shared" si="1328"/>
        <v>1</v>
      </c>
      <c r="S7454" s="23">
        <f t="shared" si="1329"/>
        <v>0</v>
      </c>
      <c r="T7454" s="23" t="str">
        <f t="shared" si="1330"/>
        <v/>
      </c>
      <c r="U7454" t="str">
        <f t="shared" si="1331"/>
        <v/>
      </c>
    </row>
    <row r="7455" spans="1:21">
      <c r="A7455" t="str">
        <f t="shared" si="1326"/>
        <v>NY_Catta_2021g~-~supervisor (vote for one) (2-year term) for town of portville, cattaraugus~vote for 1,</v>
      </c>
      <c r="B7455" t="s">
        <v>8101</v>
      </c>
      <c r="D7455" t="s">
        <v>8279</v>
      </c>
      <c r="E7455" t="s">
        <v>8280</v>
      </c>
      <c r="G7455">
        <v>445</v>
      </c>
      <c r="H7455">
        <v>0.99780000000000002</v>
      </c>
      <c r="N7455"/>
      <c r="O7455">
        <f t="shared" si="1332"/>
        <v>1</v>
      </c>
      <c r="P7455" s="20">
        <v>1</v>
      </c>
      <c r="Q7455" s="267">
        <f t="shared" si="1327"/>
        <v>446</v>
      </c>
      <c r="R7455" s="23">
        <f t="shared" si="1328"/>
        <v>445</v>
      </c>
      <c r="S7455" s="23">
        <f t="shared" si="1329"/>
        <v>0</v>
      </c>
      <c r="T7455" s="23" t="str">
        <f t="shared" si="1330"/>
        <v/>
      </c>
      <c r="U7455" t="str">
        <f t="shared" si="1331"/>
        <v>NY_Catta_2021g~-~supervisor (vote for one) (2-year term) for town of portville, cattaraugus~vote for 1,</v>
      </c>
    </row>
    <row r="7456" spans="1:21">
      <c r="A7456" t="str">
        <f t="shared" si="1326"/>
        <v>NY_Catta_2021g~-~supervisor (vote for one) (2-year term) for town of portville, cattaraugus~vote for 1,</v>
      </c>
      <c r="B7456" t="s">
        <v>8101</v>
      </c>
      <c r="D7456" t="s">
        <v>8279</v>
      </c>
      <c r="E7456" t="s">
        <v>1299</v>
      </c>
      <c r="G7456">
        <v>1</v>
      </c>
      <c r="H7456">
        <v>2.2000000000000001E-3</v>
      </c>
      <c r="N7456"/>
      <c r="O7456">
        <f t="shared" si="1332"/>
        <v>-1</v>
      </c>
      <c r="P7456" s="20">
        <v>1</v>
      </c>
      <c r="Q7456" s="267">
        <f t="shared" si="1327"/>
        <v>1</v>
      </c>
      <c r="R7456" s="23">
        <f t="shared" si="1328"/>
        <v>1</v>
      </c>
      <c r="S7456" s="23">
        <f t="shared" si="1329"/>
        <v>0</v>
      </c>
      <c r="T7456" s="23" t="str">
        <f t="shared" si="1330"/>
        <v/>
      </c>
      <c r="U7456" t="str">
        <f t="shared" si="1331"/>
        <v/>
      </c>
    </row>
    <row r="7457" spans="1:21">
      <c r="A7457" t="str">
        <f t="shared" si="1326"/>
        <v>NY_Catta_2021g~-~supervisor (vote for one) (2-year term) for town of red house, cattaraugus~vote for 1,</v>
      </c>
      <c r="B7457" t="s">
        <v>8101</v>
      </c>
      <c r="D7457" t="s">
        <v>8281</v>
      </c>
      <c r="E7457" t="s">
        <v>8282</v>
      </c>
      <c r="G7457">
        <v>17</v>
      </c>
      <c r="H7457">
        <v>1</v>
      </c>
      <c r="N7457"/>
      <c r="O7457">
        <f t="shared" si="1332"/>
        <v>1</v>
      </c>
      <c r="P7457" s="20">
        <v>1</v>
      </c>
      <c r="Q7457" s="267">
        <f t="shared" si="1327"/>
        <v>17</v>
      </c>
      <c r="R7457" s="23">
        <f t="shared" si="1328"/>
        <v>17</v>
      </c>
      <c r="S7457" s="23">
        <f t="shared" si="1329"/>
        <v>0</v>
      </c>
      <c r="T7457" s="23" t="str">
        <f t="shared" si="1330"/>
        <v/>
      </c>
      <c r="U7457" t="str">
        <f t="shared" si="1331"/>
        <v>NY_Catta_2021g~-~supervisor (vote for one) (2-year term) for town of red house, cattaraugus~vote for 1,</v>
      </c>
    </row>
    <row r="7458" spans="1:21">
      <c r="A7458" t="str">
        <f t="shared" si="1326"/>
        <v>NY_Catta_2021g~-~supervisor (vote for one) (2-year term) for town of red house, cattaraugus~vote for 1,</v>
      </c>
      <c r="B7458" t="s">
        <v>8101</v>
      </c>
      <c r="D7458" t="s">
        <v>8281</v>
      </c>
      <c r="E7458" t="s">
        <v>1299</v>
      </c>
      <c r="G7458">
        <v>0</v>
      </c>
      <c r="H7458">
        <v>0</v>
      </c>
      <c r="N7458"/>
      <c r="O7458">
        <f t="shared" si="1332"/>
        <v>-1</v>
      </c>
      <c r="P7458" s="20">
        <v>1</v>
      </c>
      <c r="Q7458" s="267">
        <f t="shared" si="1327"/>
        <v>0</v>
      </c>
      <c r="R7458" s="23">
        <f t="shared" si="1328"/>
        <v>1</v>
      </c>
      <c r="S7458" s="23">
        <f t="shared" si="1329"/>
        <v>0</v>
      </c>
      <c r="T7458" s="23" t="str">
        <f t="shared" si="1330"/>
        <v/>
      </c>
      <c r="U7458" t="str">
        <f t="shared" si="1331"/>
        <v/>
      </c>
    </row>
    <row r="7459" spans="1:21">
      <c r="A7459" t="str">
        <f t="shared" si="1326"/>
        <v>NY_Catta_2021g~-~supervisor (vote for one) (2-year term) for town of south valley, cattaraugus~vote for 1,</v>
      </c>
      <c r="B7459" t="s">
        <v>8101</v>
      </c>
      <c r="D7459" t="s">
        <v>8283</v>
      </c>
      <c r="E7459" t="s">
        <v>8284</v>
      </c>
      <c r="G7459">
        <v>52</v>
      </c>
      <c r="H7459">
        <v>0.92859999999999998</v>
      </c>
      <c r="N7459"/>
      <c r="O7459">
        <f t="shared" si="1332"/>
        <v>1</v>
      </c>
      <c r="P7459" s="20">
        <v>1</v>
      </c>
      <c r="Q7459" s="267">
        <f t="shared" si="1327"/>
        <v>56</v>
      </c>
      <c r="R7459" s="23">
        <f t="shared" si="1328"/>
        <v>52</v>
      </c>
      <c r="S7459" s="23">
        <f t="shared" si="1329"/>
        <v>0</v>
      </c>
      <c r="T7459" s="23" t="str">
        <f t="shared" si="1330"/>
        <v/>
      </c>
      <c r="U7459" t="str">
        <f t="shared" si="1331"/>
        <v>NY_Catta_2021g~-~supervisor (vote for one) (2-year term) for town of south valley, cattaraugus~vote for 1,</v>
      </c>
    </row>
    <row r="7460" spans="1:21">
      <c r="A7460" t="str">
        <f t="shared" si="1326"/>
        <v>NY_Catta_2021g~-~supervisor (vote for one) (2-year term) for town of south valley, cattaraugus~vote for 1,</v>
      </c>
      <c r="B7460" t="s">
        <v>8101</v>
      </c>
      <c r="D7460" t="s">
        <v>8283</v>
      </c>
      <c r="E7460" t="s">
        <v>1299</v>
      </c>
      <c r="G7460">
        <v>4</v>
      </c>
      <c r="H7460">
        <v>7.1400000000000005E-2</v>
      </c>
      <c r="N7460"/>
      <c r="O7460">
        <f t="shared" si="1332"/>
        <v>-1</v>
      </c>
      <c r="P7460" s="20">
        <v>1</v>
      </c>
      <c r="Q7460" s="267">
        <f t="shared" si="1327"/>
        <v>4</v>
      </c>
      <c r="R7460" s="23">
        <f t="shared" si="1328"/>
        <v>1</v>
      </c>
      <c r="S7460" s="23">
        <f t="shared" si="1329"/>
        <v>0</v>
      </c>
      <c r="T7460" s="23" t="str">
        <f t="shared" si="1330"/>
        <v/>
      </c>
      <c r="U7460" t="str">
        <f t="shared" si="1331"/>
        <v/>
      </c>
    </row>
    <row r="7461" spans="1:21">
      <c r="A7461" t="str">
        <f t="shared" si="1326"/>
        <v>NY_Catta_2021g~-~supervisor (vote for one) (4-year term) for town of carrollton, cattaraugus~vote for 1,</v>
      </c>
      <c r="B7461" t="s">
        <v>8101</v>
      </c>
      <c r="C7461" s="1"/>
      <c r="D7461" t="s">
        <v>8285</v>
      </c>
      <c r="E7461" s="12" t="s">
        <v>8286</v>
      </c>
      <c r="F7461" s="12"/>
      <c r="G7461" s="12">
        <v>170</v>
      </c>
      <c r="H7461" s="143">
        <v>0.99419999999999997</v>
      </c>
      <c r="J7461" s="143"/>
      <c r="K7461" s="143"/>
      <c r="L7461" s="143"/>
      <c r="M7461" s="143"/>
      <c r="N7461" s="143"/>
      <c r="O7461">
        <f t="shared" si="1332"/>
        <v>1</v>
      </c>
      <c r="P7461" s="134">
        <v>1</v>
      </c>
      <c r="Q7461" s="267">
        <f t="shared" si="1327"/>
        <v>171</v>
      </c>
      <c r="R7461" s="23">
        <f t="shared" si="1328"/>
        <v>170</v>
      </c>
      <c r="S7461" s="23">
        <f t="shared" si="1329"/>
        <v>0</v>
      </c>
      <c r="T7461" s="23" t="str">
        <f t="shared" si="1330"/>
        <v/>
      </c>
      <c r="U7461" t="str">
        <f t="shared" si="1331"/>
        <v>NY_Catta_2021g~-~supervisor (vote for one) (4-year term) for town of carrollton, cattaraugus~vote for 1,</v>
      </c>
    </row>
    <row r="7462" spans="1:21">
      <c r="A7462" t="str">
        <f t="shared" si="1326"/>
        <v>NY_Catta_2021g~-~supervisor (vote for one) (4-year term) for town of carrollton, cattaraugus~vote for 1,</v>
      </c>
      <c r="B7462" t="s">
        <v>8101</v>
      </c>
      <c r="C7462" s="1"/>
      <c r="D7462" t="s">
        <v>8285</v>
      </c>
      <c r="E7462" s="12" t="s">
        <v>1299</v>
      </c>
      <c r="F7462" s="12"/>
      <c r="G7462" s="12">
        <v>1</v>
      </c>
      <c r="H7462" s="143">
        <v>5.7999999999999996E-3</v>
      </c>
      <c r="J7462" s="143"/>
      <c r="K7462" s="143"/>
      <c r="L7462" s="143"/>
      <c r="M7462" s="143"/>
      <c r="N7462" s="143"/>
      <c r="O7462">
        <f t="shared" si="1332"/>
        <v>-1</v>
      </c>
      <c r="P7462" s="134">
        <v>1</v>
      </c>
      <c r="Q7462" s="267">
        <f t="shared" si="1327"/>
        <v>1</v>
      </c>
      <c r="R7462" s="23">
        <f t="shared" si="1328"/>
        <v>1</v>
      </c>
      <c r="S7462" s="23">
        <f t="shared" si="1329"/>
        <v>0</v>
      </c>
      <c r="T7462" s="23" t="str">
        <f t="shared" si="1330"/>
        <v/>
      </c>
      <c r="U7462" t="str">
        <f t="shared" si="1331"/>
        <v/>
      </c>
    </row>
    <row r="7463" spans="1:21">
      <c r="A7463" t="str">
        <f t="shared" si="1326"/>
        <v>NY_Catta_2021g~-~supervisor (vote for one) (4-year term) for town of coldspring, cattaraugus~vote for 1,</v>
      </c>
      <c r="B7463" t="s">
        <v>8101</v>
      </c>
      <c r="C7463" s="1"/>
      <c r="D7463" t="s">
        <v>8287</v>
      </c>
      <c r="E7463" s="12" t="s">
        <v>8288</v>
      </c>
      <c r="F7463" s="12"/>
      <c r="G7463" s="12">
        <v>124</v>
      </c>
      <c r="H7463" s="143">
        <v>0.99199999999999999</v>
      </c>
      <c r="J7463" s="143"/>
      <c r="K7463" s="143"/>
      <c r="L7463" s="143"/>
      <c r="M7463" s="143"/>
      <c r="N7463" s="143"/>
      <c r="O7463">
        <f t="shared" si="1332"/>
        <v>1</v>
      </c>
      <c r="P7463" s="134">
        <v>1</v>
      </c>
      <c r="Q7463" s="267">
        <f t="shared" si="1327"/>
        <v>125</v>
      </c>
      <c r="R7463" s="23">
        <f t="shared" si="1328"/>
        <v>124</v>
      </c>
      <c r="S7463" s="23">
        <f t="shared" si="1329"/>
        <v>0</v>
      </c>
      <c r="T7463" s="23" t="str">
        <f t="shared" si="1330"/>
        <v/>
      </c>
      <c r="U7463" t="str">
        <f t="shared" si="1331"/>
        <v>NY_Catta_2021g~-~supervisor (vote for one) (4-year term) for town of coldspring, cattaraugus~vote for 1,</v>
      </c>
    </row>
    <row r="7464" spans="1:21">
      <c r="A7464" t="str">
        <f t="shared" si="1326"/>
        <v>NY_Catta_2021g~-~supervisor (vote for one) (4-year term) for town of coldspring, cattaraugus~vote for 1,</v>
      </c>
      <c r="B7464" t="s">
        <v>8101</v>
      </c>
      <c r="C7464" s="1"/>
      <c r="D7464" t="s">
        <v>8287</v>
      </c>
      <c r="E7464" s="12" t="s">
        <v>1299</v>
      </c>
      <c r="F7464" s="12"/>
      <c r="G7464" s="12">
        <v>1</v>
      </c>
      <c r="H7464" s="143">
        <v>8.0000000000000002E-3</v>
      </c>
      <c r="J7464" s="143"/>
      <c r="K7464" s="143"/>
      <c r="L7464" s="143"/>
      <c r="M7464" s="143"/>
      <c r="N7464" s="143"/>
      <c r="O7464">
        <f t="shared" si="1332"/>
        <v>-1</v>
      </c>
      <c r="P7464" s="134">
        <v>1</v>
      </c>
      <c r="Q7464" s="267">
        <f t="shared" si="1327"/>
        <v>1</v>
      </c>
      <c r="R7464" s="23">
        <f t="shared" si="1328"/>
        <v>1</v>
      </c>
      <c r="S7464" s="23">
        <f t="shared" si="1329"/>
        <v>0</v>
      </c>
      <c r="T7464" s="23" t="str">
        <f t="shared" si="1330"/>
        <v/>
      </c>
      <c r="U7464" t="str">
        <f t="shared" si="1331"/>
        <v/>
      </c>
    </row>
    <row r="7465" spans="1:21">
      <c r="A7465" t="str">
        <f t="shared" si="1326"/>
        <v>NY_Catta_2021g~-~supervisor (vote for one) (4-year term) for town of east otto, cattaraugus~vote for 1,</v>
      </c>
      <c r="B7465" t="s">
        <v>8101</v>
      </c>
      <c r="C7465" s="1"/>
      <c r="D7465" t="s">
        <v>8289</v>
      </c>
      <c r="E7465" s="12" t="s">
        <v>8290</v>
      </c>
      <c r="F7465" s="12"/>
      <c r="G7465" s="12">
        <v>270</v>
      </c>
      <c r="H7465" s="143">
        <v>0.99260000000000004</v>
      </c>
      <c r="J7465" s="143"/>
      <c r="K7465" s="143"/>
      <c r="L7465" s="143"/>
      <c r="M7465" s="143"/>
      <c r="N7465" s="143"/>
      <c r="O7465">
        <f t="shared" si="1332"/>
        <v>1</v>
      </c>
      <c r="P7465" s="134">
        <v>1</v>
      </c>
      <c r="Q7465" s="267">
        <f t="shared" si="1327"/>
        <v>272</v>
      </c>
      <c r="R7465" s="23">
        <f t="shared" si="1328"/>
        <v>270</v>
      </c>
      <c r="S7465" s="23">
        <f t="shared" si="1329"/>
        <v>0</v>
      </c>
      <c r="T7465" s="23" t="str">
        <f t="shared" si="1330"/>
        <v/>
      </c>
      <c r="U7465" t="str">
        <f t="shared" si="1331"/>
        <v>NY_Catta_2021g~-~supervisor (vote for one) (4-year term) for town of east otto, cattaraugus~vote for 1,</v>
      </c>
    </row>
    <row r="7466" spans="1:21">
      <c r="A7466" t="str">
        <f t="shared" si="1326"/>
        <v>NY_Catta_2021g~-~supervisor (vote for one) (4-year term) for town of east otto, cattaraugus~vote for 1,</v>
      </c>
      <c r="B7466" t="s">
        <v>8101</v>
      </c>
      <c r="C7466" s="1"/>
      <c r="D7466" t="s">
        <v>8289</v>
      </c>
      <c r="E7466" s="12" t="s">
        <v>1299</v>
      </c>
      <c r="F7466" s="12"/>
      <c r="G7466" s="12">
        <v>2</v>
      </c>
      <c r="H7466" s="143">
        <v>7.4000000000000003E-3</v>
      </c>
      <c r="J7466" s="143"/>
      <c r="K7466" s="143"/>
      <c r="L7466" s="143"/>
      <c r="M7466" s="143"/>
      <c r="N7466" s="143"/>
      <c r="O7466">
        <f t="shared" si="1332"/>
        <v>-1</v>
      </c>
      <c r="P7466" s="134">
        <v>1</v>
      </c>
      <c r="Q7466" s="267">
        <f t="shared" si="1327"/>
        <v>2</v>
      </c>
      <c r="R7466" s="23">
        <f t="shared" si="1328"/>
        <v>1</v>
      </c>
      <c r="S7466" s="23">
        <f t="shared" si="1329"/>
        <v>0</v>
      </c>
      <c r="T7466" s="23" t="str">
        <f t="shared" si="1330"/>
        <v/>
      </c>
      <c r="U7466" t="str">
        <f t="shared" si="1331"/>
        <v/>
      </c>
    </row>
    <row r="7467" spans="1:21">
      <c r="A7467" t="str">
        <f t="shared" si="1326"/>
        <v>NY_Catta_2021g~-~supervisor (vote for one) (4-year term) for town of freedom, cattaraugus~vote for 1,</v>
      </c>
      <c r="B7467" t="s">
        <v>8101</v>
      </c>
      <c r="C7467" s="1"/>
      <c r="D7467" t="s">
        <v>8291</v>
      </c>
      <c r="E7467" s="12" t="s">
        <v>8292</v>
      </c>
      <c r="F7467" s="12"/>
      <c r="G7467" s="12">
        <v>335</v>
      </c>
      <c r="H7467" s="143">
        <v>0.55010000000000003</v>
      </c>
      <c r="J7467" s="143"/>
      <c r="K7467" s="143"/>
      <c r="L7467" s="143"/>
      <c r="M7467" s="143"/>
      <c r="N7467" s="143"/>
      <c r="O7467">
        <f t="shared" si="1332"/>
        <v>1</v>
      </c>
      <c r="P7467" s="134">
        <v>1</v>
      </c>
      <c r="Q7467" s="267">
        <f t="shared" si="1327"/>
        <v>609</v>
      </c>
      <c r="R7467" s="23">
        <f t="shared" si="1328"/>
        <v>335</v>
      </c>
      <c r="S7467" s="23">
        <f t="shared" si="1329"/>
        <v>274</v>
      </c>
      <c r="T7467" s="23">
        <f t="shared" si="1330"/>
        <v>61</v>
      </c>
      <c r="U7467" t="str">
        <f t="shared" si="1331"/>
        <v>NY_Catta_2021g~-~supervisor (vote for one) (4-year term) for town of freedom, cattaraugus~vote for 1,</v>
      </c>
    </row>
    <row r="7468" spans="1:21">
      <c r="A7468" t="str">
        <f t="shared" si="1326"/>
        <v>NY_Catta_2021g~-~supervisor (vote for one) (4-year term) for town of freedom, cattaraugus~vote for 1,</v>
      </c>
      <c r="B7468" t="s">
        <v>8101</v>
      </c>
      <c r="C7468" s="1"/>
      <c r="D7468" t="s">
        <v>8291</v>
      </c>
      <c r="E7468" s="12" t="s">
        <v>8293</v>
      </c>
      <c r="F7468" s="12"/>
      <c r="G7468" s="12">
        <v>274</v>
      </c>
      <c r="H7468" s="143">
        <v>0.44990000000000002</v>
      </c>
      <c r="J7468" s="143"/>
      <c r="K7468" s="143"/>
      <c r="L7468" s="143"/>
      <c r="M7468" s="143"/>
      <c r="N7468" s="143"/>
      <c r="O7468">
        <f t="shared" si="1332"/>
        <v>2</v>
      </c>
      <c r="P7468" s="134">
        <v>1</v>
      </c>
      <c r="Q7468" s="267">
        <f t="shared" si="1327"/>
        <v>274</v>
      </c>
      <c r="R7468" s="23" t="str">
        <f t="shared" si="1328"/>
        <v/>
      </c>
      <c r="S7468" s="23">
        <f t="shared" si="1329"/>
        <v>274</v>
      </c>
      <c r="T7468" s="23" t="str">
        <f t="shared" si="1330"/>
        <v/>
      </c>
      <c r="U7468" t="str">
        <f t="shared" si="1331"/>
        <v/>
      </c>
    </row>
    <row r="7469" spans="1:21">
      <c r="A7469" t="str">
        <f t="shared" si="1326"/>
        <v>NY_Catta_2021g~-~supervisor (vote for one) (4-year term) for town of freedom, cattaraugus~vote for 1,</v>
      </c>
      <c r="B7469" t="s">
        <v>8101</v>
      </c>
      <c r="C7469" s="1"/>
      <c r="D7469" t="s">
        <v>8291</v>
      </c>
      <c r="E7469" s="12" t="s">
        <v>1299</v>
      </c>
      <c r="F7469" s="12"/>
      <c r="G7469" s="12">
        <v>0</v>
      </c>
      <c r="H7469" s="143">
        <v>0</v>
      </c>
      <c r="J7469" s="143"/>
      <c r="K7469" s="143"/>
      <c r="L7469" s="143"/>
      <c r="M7469" s="143"/>
      <c r="N7469" s="143"/>
      <c r="O7469">
        <f t="shared" si="1332"/>
        <v>-2</v>
      </c>
      <c r="P7469" s="134">
        <v>1</v>
      </c>
      <c r="Q7469" s="267">
        <f t="shared" si="1327"/>
        <v>0</v>
      </c>
      <c r="R7469" s="23">
        <f t="shared" si="1328"/>
        <v>1</v>
      </c>
      <c r="S7469" s="23">
        <f t="shared" si="1329"/>
        <v>0</v>
      </c>
      <c r="T7469" s="23" t="str">
        <f t="shared" si="1330"/>
        <v/>
      </c>
      <c r="U7469" t="str">
        <f t="shared" si="1331"/>
        <v/>
      </c>
    </row>
    <row r="7470" spans="1:21">
      <c r="A7470" t="str">
        <f t="shared" ref="A7470:A7533" si="1333">CONCATENATE(B7470,"~",F7470,"-",LOWER(D7470))</f>
        <v>NY_Catta_2021g~-~supervisor (vote for one) (4-year term) for town of olean, cattaraugus~vote for 1,</v>
      </c>
      <c r="B7470" t="s">
        <v>8101</v>
      </c>
      <c r="D7470" t="s">
        <v>8294</v>
      </c>
      <c r="E7470" t="s">
        <v>8295</v>
      </c>
      <c r="G7470">
        <v>234</v>
      </c>
      <c r="H7470">
        <v>0.98319999999999996</v>
      </c>
      <c r="N7470"/>
      <c r="O7470">
        <f t="shared" si="1332"/>
        <v>1</v>
      </c>
      <c r="P7470" s="20">
        <v>1</v>
      </c>
      <c r="Q7470" s="267">
        <f t="shared" ref="Q7470:Q7533" si="1334">IF(A7470&lt;&gt;A7471,G7470,IF(A7470=A7469,G7470+Q7471,MAX(G7470,(G7470+Q7471)/P7470)))</f>
        <v>238</v>
      </c>
      <c r="R7470" s="23">
        <f t="shared" ref="R7470:R7533" si="1335">IF(O7470&gt;P7470,"",IF(O7470=P7470,G7470,IF(A7470=A7471,R7471,IF(O7470&lt;=0,1,G7470))))</f>
        <v>234</v>
      </c>
      <c r="S7470" s="23">
        <f t="shared" ref="S7470:S7533" si="1336">IF(AND(O7470&gt;P7470,LOWER(LEFT(E7470,8))&lt;&gt;"write-in",LOWER(LEFT(E7470,8))&lt;&gt;"not qual"),G7470,IF(A7470=A7471,S7471,0))</f>
        <v>0</v>
      </c>
      <c r="T7470" s="23" t="str">
        <f t="shared" ref="T7470:T7533" si="1337">IF(OR(A7470=A7469,S7470=0),"",R7470-ABS(S7470))</f>
        <v/>
      </c>
      <c r="U7470" t="str">
        <f t="shared" ref="U7470:U7533" si="1338">IF(A7470=A7469,"",A7470)</f>
        <v>NY_Catta_2021g~-~supervisor (vote for one) (4-year term) for town of olean, cattaraugus~vote for 1,</v>
      </c>
    </row>
    <row r="7471" spans="1:21">
      <c r="A7471" t="str">
        <f t="shared" si="1333"/>
        <v>NY_Catta_2021g~-~supervisor (vote for one) (4-year term) for town of olean, cattaraugus~vote for 1,</v>
      </c>
      <c r="B7471" t="s">
        <v>8101</v>
      </c>
      <c r="D7471" t="s">
        <v>8294</v>
      </c>
      <c r="E7471" t="s">
        <v>1299</v>
      </c>
      <c r="G7471">
        <v>4</v>
      </c>
      <c r="H7471">
        <v>1.6799999999999999E-2</v>
      </c>
      <c r="N7471"/>
      <c r="O7471">
        <f t="shared" si="1332"/>
        <v>-1</v>
      </c>
      <c r="P7471" s="20">
        <v>1</v>
      </c>
      <c r="Q7471" s="267">
        <f t="shared" si="1334"/>
        <v>4</v>
      </c>
      <c r="R7471" s="23">
        <f t="shared" si="1335"/>
        <v>1</v>
      </c>
      <c r="S7471" s="23">
        <f t="shared" si="1336"/>
        <v>0</v>
      </c>
      <c r="T7471" s="23" t="str">
        <f t="shared" si="1337"/>
        <v/>
      </c>
      <c r="U7471" t="str">
        <f t="shared" si="1338"/>
        <v/>
      </c>
    </row>
    <row r="7472" spans="1:21">
      <c r="A7472" t="str">
        <f t="shared" si="1333"/>
        <v>NY_Catta_2021g~-~supervisor (vote for one) (4-year term) for town of otto, cattaraugus~vote for 1,</v>
      </c>
      <c r="B7472" t="s">
        <v>8101</v>
      </c>
      <c r="D7472" t="s">
        <v>8296</v>
      </c>
      <c r="E7472" t="s">
        <v>8297</v>
      </c>
      <c r="G7472">
        <v>148</v>
      </c>
      <c r="H7472">
        <v>1</v>
      </c>
      <c r="N7472"/>
      <c r="O7472">
        <f t="shared" si="1332"/>
        <v>1</v>
      </c>
      <c r="P7472" s="20">
        <v>1</v>
      </c>
      <c r="Q7472" s="267">
        <f t="shared" si="1334"/>
        <v>148</v>
      </c>
      <c r="R7472" s="23">
        <f t="shared" si="1335"/>
        <v>148</v>
      </c>
      <c r="S7472" s="23">
        <f t="shared" si="1336"/>
        <v>0</v>
      </c>
      <c r="T7472" s="23" t="str">
        <f t="shared" si="1337"/>
        <v/>
      </c>
      <c r="U7472" t="str">
        <f t="shared" si="1338"/>
        <v>NY_Catta_2021g~-~supervisor (vote for one) (4-year term) for town of otto, cattaraugus~vote for 1,</v>
      </c>
    </row>
    <row r="7473" spans="1:21">
      <c r="A7473" t="str">
        <f t="shared" si="1333"/>
        <v>NY_Catta_2021g~-~supervisor (vote for one) (4-year term) for town of otto, cattaraugus~vote for 1,</v>
      </c>
      <c r="B7473" t="s">
        <v>8101</v>
      </c>
      <c r="D7473" t="s">
        <v>8296</v>
      </c>
      <c r="E7473" t="s">
        <v>1299</v>
      </c>
      <c r="G7473">
        <v>0</v>
      </c>
      <c r="H7473">
        <v>0</v>
      </c>
      <c r="N7473"/>
      <c r="O7473">
        <f t="shared" si="1332"/>
        <v>-1</v>
      </c>
      <c r="P7473" s="20">
        <v>1</v>
      </c>
      <c r="Q7473" s="267">
        <f t="shared" si="1334"/>
        <v>0</v>
      </c>
      <c r="R7473" s="23">
        <f t="shared" si="1335"/>
        <v>1</v>
      </c>
      <c r="S7473" s="23">
        <f t="shared" si="1336"/>
        <v>0</v>
      </c>
      <c r="T7473" s="23" t="str">
        <f t="shared" si="1337"/>
        <v/>
      </c>
      <c r="U7473" t="str">
        <f t="shared" si="1338"/>
        <v/>
      </c>
    </row>
    <row r="7474" spans="1:21">
      <c r="A7474" t="str">
        <f t="shared" si="1333"/>
        <v>NY_Catta_2021g~-~supervisor (vote for one) (4-year term) for town of salamanca, cattaraugus~vote for 1,</v>
      </c>
      <c r="B7474" t="s">
        <v>8101</v>
      </c>
      <c r="D7474" t="s">
        <v>8298</v>
      </c>
      <c r="E7474" t="s">
        <v>1299</v>
      </c>
      <c r="G7474">
        <v>78</v>
      </c>
      <c r="H7474">
        <v>0.7429</v>
      </c>
      <c r="N7474"/>
      <c r="O7474">
        <f t="shared" si="1332"/>
        <v>0</v>
      </c>
      <c r="P7474" s="20">
        <v>1</v>
      </c>
      <c r="Q7474" s="267">
        <f t="shared" si="1334"/>
        <v>105</v>
      </c>
      <c r="R7474" s="23">
        <f t="shared" si="1335"/>
        <v>27</v>
      </c>
      <c r="S7474" s="23">
        <f t="shared" si="1336"/>
        <v>0</v>
      </c>
      <c r="T7474" s="23" t="str">
        <f t="shared" si="1337"/>
        <v/>
      </c>
      <c r="U7474" t="str">
        <f t="shared" si="1338"/>
        <v>NY_Catta_2021g~-~supervisor (vote for one) (4-year term) for town of salamanca, cattaraugus~vote for 1,</v>
      </c>
    </row>
    <row r="7475" spans="1:21">
      <c r="A7475" t="str">
        <f t="shared" si="1333"/>
        <v>NY_Catta_2021g~-~supervisor (vote for one) (4-year term) for town of salamanca, cattaraugus~vote for 1,</v>
      </c>
      <c r="B7475" t="s">
        <v>8101</v>
      </c>
      <c r="D7475" t="s">
        <v>8298</v>
      </c>
      <c r="E7475" t="s">
        <v>8299</v>
      </c>
      <c r="G7475">
        <v>27</v>
      </c>
      <c r="H7475">
        <v>0.2571</v>
      </c>
      <c r="N7475"/>
      <c r="O7475">
        <f t="shared" si="1332"/>
        <v>1</v>
      </c>
      <c r="P7475" s="20">
        <v>1</v>
      </c>
      <c r="Q7475" s="267">
        <f t="shared" si="1334"/>
        <v>27</v>
      </c>
      <c r="R7475" s="23">
        <f t="shared" si="1335"/>
        <v>27</v>
      </c>
      <c r="S7475" s="23">
        <f t="shared" si="1336"/>
        <v>0</v>
      </c>
      <c r="T7475" s="23" t="str">
        <f t="shared" si="1337"/>
        <v/>
      </c>
      <c r="U7475" t="str">
        <f t="shared" si="1338"/>
        <v/>
      </c>
    </row>
    <row r="7476" spans="1:21">
      <c r="A7476" t="str">
        <f t="shared" si="1333"/>
        <v>NY_Catta_2021g~-~tax collector (vote for one) (2-year term) for town of ischua, cattaraugus~vote for 1,</v>
      </c>
      <c r="B7476" t="s">
        <v>8101</v>
      </c>
      <c r="D7476" t="s">
        <v>8300</v>
      </c>
      <c r="E7476" t="s">
        <v>8301</v>
      </c>
      <c r="G7476">
        <v>114</v>
      </c>
      <c r="H7476">
        <v>1</v>
      </c>
      <c r="N7476"/>
      <c r="O7476">
        <f t="shared" si="1332"/>
        <v>1</v>
      </c>
      <c r="P7476" s="20">
        <v>1</v>
      </c>
      <c r="Q7476" s="267">
        <f t="shared" si="1334"/>
        <v>114</v>
      </c>
      <c r="R7476" s="23">
        <f t="shared" si="1335"/>
        <v>114</v>
      </c>
      <c r="S7476" s="23">
        <f t="shared" si="1336"/>
        <v>0</v>
      </c>
      <c r="T7476" s="23" t="str">
        <f t="shared" si="1337"/>
        <v/>
      </c>
      <c r="U7476" t="str">
        <f t="shared" si="1338"/>
        <v>NY_Catta_2021g~-~tax collector (vote for one) (2-year term) for town of ischua, cattaraugus~vote for 1,</v>
      </c>
    </row>
    <row r="7477" spans="1:21">
      <c r="A7477" t="str">
        <f t="shared" si="1333"/>
        <v>NY_Catta_2021g~-~tax collector (vote for one) (2-year term) for town of ischua, cattaraugus~vote for 1,</v>
      </c>
      <c r="B7477" t="s">
        <v>8101</v>
      </c>
      <c r="D7477" t="s">
        <v>8300</v>
      </c>
      <c r="E7477" t="s">
        <v>1299</v>
      </c>
      <c r="G7477">
        <v>0</v>
      </c>
      <c r="H7477">
        <v>0</v>
      </c>
      <c r="N7477"/>
      <c r="O7477">
        <f t="shared" si="1332"/>
        <v>-1</v>
      </c>
      <c r="P7477" s="20">
        <v>1</v>
      </c>
      <c r="Q7477" s="267">
        <f t="shared" si="1334"/>
        <v>0</v>
      </c>
      <c r="R7477" s="23">
        <f t="shared" si="1335"/>
        <v>1</v>
      </c>
      <c r="S7477" s="23">
        <f t="shared" si="1336"/>
        <v>0</v>
      </c>
      <c r="T7477" s="23" t="str">
        <f t="shared" si="1337"/>
        <v/>
      </c>
      <c r="U7477" t="str">
        <f t="shared" si="1338"/>
        <v/>
      </c>
    </row>
    <row r="7478" spans="1:21">
      <c r="A7478" t="str">
        <f t="shared" si="1333"/>
        <v>NY_Catta_2021g~-~town clerk (vote for one) (2-year term) for town of dayton, cattaraugus~vote for 1,</v>
      </c>
      <c r="B7478" t="s">
        <v>8101</v>
      </c>
      <c r="C7478" s="1"/>
      <c r="D7478" t="s">
        <v>8302</v>
      </c>
      <c r="E7478" s="12" t="s">
        <v>8303</v>
      </c>
      <c r="F7478" s="12"/>
      <c r="G7478" s="12">
        <v>278</v>
      </c>
      <c r="H7478" s="143">
        <v>0.93920000000000003</v>
      </c>
      <c r="J7478" s="143"/>
      <c r="K7478" s="143"/>
      <c r="L7478" s="143"/>
      <c r="M7478" s="143"/>
      <c r="N7478" s="143"/>
      <c r="O7478">
        <f t="shared" si="1332"/>
        <v>1</v>
      </c>
      <c r="P7478" s="134">
        <v>1</v>
      </c>
      <c r="Q7478" s="267">
        <f t="shared" si="1334"/>
        <v>296</v>
      </c>
      <c r="R7478" s="23">
        <f t="shared" si="1335"/>
        <v>278</v>
      </c>
      <c r="S7478" s="23">
        <f t="shared" si="1336"/>
        <v>0</v>
      </c>
      <c r="T7478" s="23" t="str">
        <f t="shared" si="1337"/>
        <v/>
      </c>
      <c r="U7478" t="str">
        <f t="shared" si="1338"/>
        <v>NY_Catta_2021g~-~town clerk (vote for one) (2-year term) for town of dayton, cattaraugus~vote for 1,</v>
      </c>
    </row>
    <row r="7479" spans="1:21">
      <c r="A7479" t="str">
        <f t="shared" si="1333"/>
        <v>NY_Catta_2021g~-~town clerk (vote for one) (2-year term) for town of dayton, cattaraugus~vote for 1,</v>
      </c>
      <c r="B7479" t="s">
        <v>8101</v>
      </c>
      <c r="C7479" s="1"/>
      <c r="D7479" t="s">
        <v>8302</v>
      </c>
      <c r="E7479" s="12" t="s">
        <v>1299</v>
      </c>
      <c r="F7479" s="12"/>
      <c r="G7479" s="12">
        <v>18</v>
      </c>
      <c r="H7479" s="143">
        <v>6.08E-2</v>
      </c>
      <c r="J7479" s="143"/>
      <c r="K7479" s="143"/>
      <c r="L7479" s="143"/>
      <c r="M7479" s="143"/>
      <c r="N7479" s="143"/>
      <c r="O7479">
        <f t="shared" si="1332"/>
        <v>-1</v>
      </c>
      <c r="P7479" s="134">
        <v>1</v>
      </c>
      <c r="Q7479" s="267">
        <f t="shared" si="1334"/>
        <v>18</v>
      </c>
      <c r="R7479" s="23">
        <f t="shared" si="1335"/>
        <v>1</v>
      </c>
      <c r="S7479" s="23">
        <f t="shared" si="1336"/>
        <v>0</v>
      </c>
      <c r="T7479" s="23" t="str">
        <f t="shared" si="1337"/>
        <v/>
      </c>
      <c r="U7479" t="str">
        <f t="shared" si="1338"/>
        <v/>
      </c>
    </row>
    <row r="7480" spans="1:21">
      <c r="A7480" t="str">
        <f t="shared" si="1333"/>
        <v>NY_Catta_2021g~-~town clerk (vote for one) (2-year term) for town of hinsdale, cattaraugus~vote for 1,</v>
      </c>
      <c r="B7480" t="s">
        <v>8101</v>
      </c>
      <c r="C7480" s="1"/>
      <c r="D7480" t="s">
        <v>8304</v>
      </c>
      <c r="E7480" s="12" t="s">
        <v>8305</v>
      </c>
      <c r="F7480" s="12"/>
      <c r="G7480" s="12">
        <v>317</v>
      </c>
      <c r="H7480" s="143">
        <v>1</v>
      </c>
      <c r="J7480" s="143"/>
      <c r="K7480" s="143"/>
      <c r="L7480" s="143"/>
      <c r="M7480" s="143"/>
      <c r="N7480" s="143"/>
      <c r="O7480">
        <f t="shared" si="1332"/>
        <v>1</v>
      </c>
      <c r="P7480" s="134">
        <v>1</v>
      </c>
      <c r="Q7480" s="267">
        <f t="shared" si="1334"/>
        <v>317</v>
      </c>
      <c r="R7480" s="23">
        <f t="shared" si="1335"/>
        <v>317</v>
      </c>
      <c r="S7480" s="23">
        <f t="shared" si="1336"/>
        <v>0</v>
      </c>
      <c r="T7480" s="23" t="str">
        <f t="shared" si="1337"/>
        <v/>
      </c>
      <c r="U7480" t="str">
        <f t="shared" si="1338"/>
        <v>NY_Catta_2021g~-~town clerk (vote for one) (2-year term) for town of hinsdale, cattaraugus~vote for 1,</v>
      </c>
    </row>
    <row r="7481" spans="1:21">
      <c r="A7481" t="str">
        <f t="shared" si="1333"/>
        <v>NY_Catta_2021g~-~town clerk (vote for one) (2-year term) for town of hinsdale, cattaraugus~vote for 1,</v>
      </c>
      <c r="B7481" t="s">
        <v>8101</v>
      </c>
      <c r="C7481" s="1"/>
      <c r="D7481" t="s">
        <v>8304</v>
      </c>
      <c r="E7481" s="12" t="s">
        <v>1299</v>
      </c>
      <c r="F7481" s="12"/>
      <c r="G7481" s="12">
        <v>0</v>
      </c>
      <c r="H7481" s="143">
        <v>0</v>
      </c>
      <c r="J7481" s="143"/>
      <c r="K7481" s="143"/>
      <c r="L7481" s="143"/>
      <c r="M7481" s="143"/>
      <c r="N7481" s="143"/>
      <c r="O7481">
        <f t="shared" si="1332"/>
        <v>-1</v>
      </c>
      <c r="P7481" s="134">
        <v>1</v>
      </c>
      <c r="Q7481" s="267">
        <f t="shared" si="1334"/>
        <v>0</v>
      </c>
      <c r="R7481" s="23">
        <f t="shared" si="1335"/>
        <v>1</v>
      </c>
      <c r="S7481" s="23">
        <f t="shared" si="1336"/>
        <v>0</v>
      </c>
      <c r="T7481" s="23" t="str">
        <f t="shared" si="1337"/>
        <v/>
      </c>
      <c r="U7481" t="str">
        <f t="shared" si="1338"/>
        <v/>
      </c>
    </row>
    <row r="7482" spans="1:21">
      <c r="A7482" t="str">
        <f t="shared" si="1333"/>
        <v>NY_Catta_2021g~-~town clerk (vote for one) (2-year term) for town of ischua, cattaraugus~vote for 1,</v>
      </c>
      <c r="B7482" t="s">
        <v>8101</v>
      </c>
      <c r="D7482" t="s">
        <v>8306</v>
      </c>
      <c r="E7482" t="s">
        <v>8307</v>
      </c>
      <c r="G7482">
        <v>120</v>
      </c>
      <c r="H7482">
        <v>1</v>
      </c>
      <c r="N7482"/>
      <c r="O7482">
        <f t="shared" si="1332"/>
        <v>1</v>
      </c>
      <c r="P7482" s="20">
        <v>1</v>
      </c>
      <c r="Q7482" s="267">
        <f t="shared" si="1334"/>
        <v>120</v>
      </c>
      <c r="R7482" s="23">
        <f t="shared" si="1335"/>
        <v>120</v>
      </c>
      <c r="S7482" s="23">
        <f t="shared" si="1336"/>
        <v>0</v>
      </c>
      <c r="T7482" s="23" t="str">
        <f t="shared" si="1337"/>
        <v/>
      </c>
      <c r="U7482" t="str">
        <f t="shared" si="1338"/>
        <v>NY_Catta_2021g~-~town clerk (vote for one) (2-year term) for town of ischua, cattaraugus~vote for 1,</v>
      </c>
    </row>
    <row r="7483" spans="1:21">
      <c r="A7483" t="str">
        <f t="shared" si="1333"/>
        <v>NY_Catta_2021g~-~town clerk (vote for one) (2-year term) for town of ischua, cattaraugus~vote for 1,</v>
      </c>
      <c r="B7483" t="s">
        <v>8101</v>
      </c>
      <c r="D7483" t="s">
        <v>8306</v>
      </c>
      <c r="E7483" t="s">
        <v>1299</v>
      </c>
      <c r="G7483">
        <v>0</v>
      </c>
      <c r="H7483">
        <v>0</v>
      </c>
      <c r="N7483"/>
      <c r="O7483">
        <f t="shared" si="1332"/>
        <v>-1</v>
      </c>
      <c r="P7483" s="20">
        <v>1</v>
      </c>
      <c r="Q7483" s="267">
        <f t="shared" si="1334"/>
        <v>0</v>
      </c>
      <c r="R7483" s="23">
        <f t="shared" si="1335"/>
        <v>1</v>
      </c>
      <c r="S7483" s="23">
        <f t="shared" si="1336"/>
        <v>0</v>
      </c>
      <c r="T7483" s="23" t="str">
        <f t="shared" si="1337"/>
        <v/>
      </c>
      <c r="U7483" t="str">
        <f t="shared" si="1338"/>
        <v/>
      </c>
    </row>
    <row r="7484" spans="1:21">
      <c r="A7484" t="str">
        <f t="shared" si="1333"/>
        <v>NY_Catta_2021g~-~town clerk (vote for one) (2-year term) for town of leon, cattaraugus~vote for 1,</v>
      </c>
      <c r="B7484" t="s">
        <v>8101</v>
      </c>
      <c r="D7484" t="s">
        <v>8308</v>
      </c>
      <c r="E7484" t="s">
        <v>8309</v>
      </c>
      <c r="G7484">
        <v>124</v>
      </c>
      <c r="H7484">
        <v>1</v>
      </c>
      <c r="N7484"/>
      <c r="O7484">
        <f t="shared" si="1332"/>
        <v>1</v>
      </c>
      <c r="P7484" s="20">
        <v>1</v>
      </c>
      <c r="Q7484" s="267">
        <f t="shared" si="1334"/>
        <v>124</v>
      </c>
      <c r="R7484" s="23">
        <f t="shared" si="1335"/>
        <v>124</v>
      </c>
      <c r="S7484" s="23">
        <f t="shared" si="1336"/>
        <v>0</v>
      </c>
      <c r="T7484" s="23" t="str">
        <f t="shared" si="1337"/>
        <v/>
      </c>
      <c r="U7484" t="str">
        <f t="shared" si="1338"/>
        <v>NY_Catta_2021g~-~town clerk (vote for one) (2-year term) for town of leon, cattaraugus~vote for 1,</v>
      </c>
    </row>
    <row r="7485" spans="1:21">
      <c r="A7485" t="str">
        <f t="shared" si="1333"/>
        <v>NY_Catta_2021g~-~town clerk (vote for one) (2-year term) for town of leon, cattaraugus~vote for 1,</v>
      </c>
      <c r="B7485" t="s">
        <v>8101</v>
      </c>
      <c r="D7485" t="s">
        <v>8308</v>
      </c>
      <c r="E7485" t="s">
        <v>1299</v>
      </c>
      <c r="G7485">
        <v>0</v>
      </c>
      <c r="H7485">
        <v>0</v>
      </c>
      <c r="N7485"/>
      <c r="O7485">
        <f t="shared" si="1332"/>
        <v>-1</v>
      </c>
      <c r="P7485" s="20">
        <v>1</v>
      </c>
      <c r="Q7485" s="267">
        <f t="shared" si="1334"/>
        <v>0</v>
      </c>
      <c r="R7485" s="23">
        <f t="shared" si="1335"/>
        <v>1</v>
      </c>
      <c r="S7485" s="23">
        <f t="shared" si="1336"/>
        <v>0</v>
      </c>
      <c r="T7485" s="23" t="str">
        <f t="shared" si="1337"/>
        <v/>
      </c>
      <c r="U7485" t="str">
        <f t="shared" si="1338"/>
        <v/>
      </c>
    </row>
    <row r="7486" spans="1:21">
      <c r="A7486" t="str">
        <f t="shared" si="1333"/>
        <v>NY_Catta_2021g~-~town clerk (vote for one) (2-year term) for town of lyndon, cattaraugus~vote for 1,</v>
      </c>
      <c r="B7486" t="s">
        <v>8101</v>
      </c>
      <c r="D7486" t="s">
        <v>8310</v>
      </c>
      <c r="E7486" t="s">
        <v>8311</v>
      </c>
      <c r="G7486">
        <v>131</v>
      </c>
      <c r="H7486">
        <v>0.96319999999999995</v>
      </c>
      <c r="N7486"/>
      <c r="O7486">
        <f t="shared" si="1332"/>
        <v>1</v>
      </c>
      <c r="P7486" s="20">
        <v>1</v>
      </c>
      <c r="Q7486" s="267">
        <f t="shared" si="1334"/>
        <v>136</v>
      </c>
      <c r="R7486" s="23">
        <f t="shared" si="1335"/>
        <v>131</v>
      </c>
      <c r="S7486" s="23">
        <f t="shared" si="1336"/>
        <v>0</v>
      </c>
      <c r="T7486" s="23" t="str">
        <f t="shared" si="1337"/>
        <v/>
      </c>
      <c r="U7486" t="str">
        <f t="shared" si="1338"/>
        <v>NY_Catta_2021g~-~town clerk (vote for one) (2-year term) for town of lyndon, cattaraugus~vote for 1,</v>
      </c>
    </row>
    <row r="7487" spans="1:21">
      <c r="A7487" t="str">
        <f t="shared" si="1333"/>
        <v>NY_Catta_2021g~-~town clerk (vote for one) (2-year term) for town of lyndon, cattaraugus~vote for 1,</v>
      </c>
      <c r="B7487" t="s">
        <v>8101</v>
      </c>
      <c r="D7487" t="s">
        <v>8310</v>
      </c>
      <c r="E7487" t="s">
        <v>1299</v>
      </c>
      <c r="G7487">
        <v>5</v>
      </c>
      <c r="H7487">
        <v>3.6799999999999999E-2</v>
      </c>
      <c r="N7487"/>
      <c r="O7487">
        <f t="shared" si="1332"/>
        <v>-1</v>
      </c>
      <c r="P7487" s="20">
        <v>1</v>
      </c>
      <c r="Q7487" s="267">
        <f t="shared" si="1334"/>
        <v>5</v>
      </c>
      <c r="R7487" s="23">
        <f t="shared" si="1335"/>
        <v>1</v>
      </c>
      <c r="S7487" s="23">
        <f t="shared" si="1336"/>
        <v>0</v>
      </c>
      <c r="T7487" s="23" t="str">
        <f t="shared" si="1337"/>
        <v/>
      </c>
      <c r="U7487" t="str">
        <f t="shared" si="1338"/>
        <v/>
      </c>
    </row>
    <row r="7488" spans="1:21">
      <c r="A7488" t="str">
        <f t="shared" si="1333"/>
        <v>NY_Catta_2021g~-~town clerk (vote for one) (2-year term) for town of machias, cattaraugus~vote for 1,</v>
      </c>
      <c r="B7488" t="s">
        <v>8101</v>
      </c>
      <c r="D7488" t="s">
        <v>8312</v>
      </c>
      <c r="E7488" t="s">
        <v>8313</v>
      </c>
      <c r="G7488">
        <v>252</v>
      </c>
      <c r="H7488">
        <v>1</v>
      </c>
      <c r="N7488"/>
      <c r="O7488">
        <f t="shared" si="1332"/>
        <v>1</v>
      </c>
      <c r="P7488" s="20">
        <v>1</v>
      </c>
      <c r="Q7488" s="267">
        <f t="shared" si="1334"/>
        <v>252</v>
      </c>
      <c r="R7488" s="23">
        <f t="shared" si="1335"/>
        <v>252</v>
      </c>
      <c r="S7488" s="23">
        <f t="shared" si="1336"/>
        <v>0</v>
      </c>
      <c r="T7488" s="23" t="str">
        <f t="shared" si="1337"/>
        <v/>
      </c>
      <c r="U7488" t="str">
        <f t="shared" si="1338"/>
        <v>NY_Catta_2021g~-~town clerk (vote for one) (2-year term) for town of machias, cattaraugus~vote for 1,</v>
      </c>
    </row>
    <row r="7489" spans="1:21">
      <c r="A7489" t="str">
        <f t="shared" si="1333"/>
        <v>NY_Catta_2021g~-~town clerk (vote for one) (2-year term) for town of machias, cattaraugus~vote for 1,</v>
      </c>
      <c r="B7489" t="s">
        <v>8101</v>
      </c>
      <c r="D7489" t="s">
        <v>8312</v>
      </c>
      <c r="E7489" t="s">
        <v>1299</v>
      </c>
      <c r="G7489">
        <v>0</v>
      </c>
      <c r="H7489">
        <v>0</v>
      </c>
      <c r="N7489"/>
      <c r="O7489">
        <f t="shared" si="1332"/>
        <v>-1</v>
      </c>
      <c r="P7489" s="20">
        <v>1</v>
      </c>
      <c r="Q7489" s="267">
        <f t="shared" si="1334"/>
        <v>0</v>
      </c>
      <c r="R7489" s="23">
        <f t="shared" si="1335"/>
        <v>1</v>
      </c>
      <c r="S7489" s="23">
        <f t="shared" si="1336"/>
        <v>0</v>
      </c>
      <c r="T7489" s="23" t="str">
        <f t="shared" si="1337"/>
        <v/>
      </c>
      <c r="U7489" t="str">
        <f t="shared" si="1338"/>
        <v/>
      </c>
    </row>
    <row r="7490" spans="1:21">
      <c r="A7490" t="str">
        <f t="shared" si="1333"/>
        <v>NY_Catta_2021g~-~town clerk (vote for one) (2-year term) for town of mansfield, cattaraugus~vote for 1,</v>
      </c>
      <c r="B7490" t="s">
        <v>8101</v>
      </c>
      <c r="D7490" t="s">
        <v>8314</v>
      </c>
      <c r="E7490" t="s">
        <v>8315</v>
      </c>
      <c r="G7490">
        <v>110</v>
      </c>
      <c r="H7490">
        <v>0.99099999999999999</v>
      </c>
      <c r="N7490"/>
      <c r="O7490">
        <f t="shared" si="1332"/>
        <v>1</v>
      </c>
      <c r="P7490" s="20">
        <v>1</v>
      </c>
      <c r="Q7490" s="267">
        <f t="shared" si="1334"/>
        <v>111</v>
      </c>
      <c r="R7490" s="23">
        <f t="shared" si="1335"/>
        <v>110</v>
      </c>
      <c r="S7490" s="23">
        <f t="shared" si="1336"/>
        <v>0</v>
      </c>
      <c r="T7490" s="23" t="str">
        <f t="shared" si="1337"/>
        <v/>
      </c>
      <c r="U7490" t="str">
        <f t="shared" si="1338"/>
        <v>NY_Catta_2021g~-~town clerk (vote for one) (2-year term) for town of mansfield, cattaraugus~vote for 1,</v>
      </c>
    </row>
    <row r="7491" spans="1:21">
      <c r="A7491" t="str">
        <f t="shared" si="1333"/>
        <v>NY_Catta_2021g~-~town clerk (vote for one) (2-year term) for town of mansfield, cattaraugus~vote for 1,</v>
      </c>
      <c r="B7491" t="s">
        <v>8101</v>
      </c>
      <c r="D7491" t="s">
        <v>8314</v>
      </c>
      <c r="E7491" t="s">
        <v>1299</v>
      </c>
      <c r="G7491">
        <v>1</v>
      </c>
      <c r="H7491">
        <v>8.9999999999999993E-3</v>
      </c>
      <c r="N7491"/>
      <c r="O7491">
        <f t="shared" si="1332"/>
        <v>-1</v>
      </c>
      <c r="P7491" s="20">
        <v>1</v>
      </c>
      <c r="Q7491" s="267">
        <f t="shared" si="1334"/>
        <v>1</v>
      </c>
      <c r="R7491" s="23">
        <f t="shared" si="1335"/>
        <v>1</v>
      </c>
      <c r="S7491" s="23">
        <f t="shared" si="1336"/>
        <v>0</v>
      </c>
      <c r="T7491" s="23" t="str">
        <f t="shared" si="1337"/>
        <v/>
      </c>
      <c r="U7491" t="str">
        <f t="shared" si="1338"/>
        <v/>
      </c>
    </row>
    <row r="7492" spans="1:21">
      <c r="A7492" t="str">
        <f t="shared" si="1333"/>
        <v>NY_Catta_2021g~-~town clerk (vote for one) (2-year term) for town of napoli, cattaraugus~vote for 1,</v>
      </c>
      <c r="B7492" t="s">
        <v>8101</v>
      </c>
      <c r="D7492" t="s">
        <v>8316</v>
      </c>
      <c r="E7492" t="s">
        <v>8317</v>
      </c>
      <c r="G7492">
        <v>171</v>
      </c>
      <c r="H7492">
        <v>1</v>
      </c>
      <c r="N7492"/>
      <c r="O7492">
        <f t="shared" si="1332"/>
        <v>1</v>
      </c>
      <c r="P7492" s="20">
        <v>1</v>
      </c>
      <c r="Q7492" s="267">
        <f t="shared" si="1334"/>
        <v>171</v>
      </c>
      <c r="R7492" s="23">
        <f t="shared" si="1335"/>
        <v>171</v>
      </c>
      <c r="S7492" s="23">
        <f t="shared" si="1336"/>
        <v>0</v>
      </c>
      <c r="T7492" s="23" t="str">
        <f t="shared" si="1337"/>
        <v/>
      </c>
      <c r="U7492" t="str">
        <f t="shared" si="1338"/>
        <v>NY_Catta_2021g~-~town clerk (vote for one) (2-year term) for town of napoli, cattaraugus~vote for 1,</v>
      </c>
    </row>
    <row r="7493" spans="1:21">
      <c r="A7493" t="str">
        <f t="shared" si="1333"/>
        <v>NY_Catta_2021g~-~town clerk (vote for one) (2-year term) for town of napoli, cattaraugus~vote for 1,</v>
      </c>
      <c r="B7493" t="s">
        <v>8101</v>
      </c>
      <c r="D7493" t="s">
        <v>8316</v>
      </c>
      <c r="E7493" t="s">
        <v>1299</v>
      </c>
      <c r="G7493">
        <v>0</v>
      </c>
      <c r="H7493">
        <v>0</v>
      </c>
      <c r="N7493"/>
      <c r="O7493">
        <f t="shared" si="1332"/>
        <v>-1</v>
      </c>
      <c r="P7493" s="20">
        <v>1</v>
      </c>
      <c r="Q7493" s="267">
        <f t="shared" si="1334"/>
        <v>0</v>
      </c>
      <c r="R7493" s="23">
        <f t="shared" si="1335"/>
        <v>1</v>
      </c>
      <c r="S7493" s="23">
        <f t="shared" si="1336"/>
        <v>0</v>
      </c>
      <c r="T7493" s="23" t="str">
        <f t="shared" si="1337"/>
        <v/>
      </c>
      <c r="U7493" t="str">
        <f t="shared" si="1338"/>
        <v/>
      </c>
    </row>
    <row r="7494" spans="1:21">
      <c r="A7494" t="str">
        <f t="shared" si="1333"/>
        <v>NY_Catta_2021g~-~town clerk (vote for one) (2-year term) for town of red house, cattaraugus~vote for 1,</v>
      </c>
      <c r="B7494" t="s">
        <v>8101</v>
      </c>
      <c r="D7494" t="s">
        <v>8318</v>
      </c>
      <c r="E7494" t="s">
        <v>8319</v>
      </c>
      <c r="G7494">
        <v>14</v>
      </c>
      <c r="H7494">
        <v>0.93330000000000002</v>
      </c>
      <c r="N7494"/>
      <c r="O7494">
        <f t="shared" si="1332"/>
        <v>1</v>
      </c>
      <c r="P7494" s="20">
        <v>1</v>
      </c>
      <c r="Q7494" s="267">
        <f t="shared" si="1334"/>
        <v>15</v>
      </c>
      <c r="R7494" s="23">
        <f t="shared" si="1335"/>
        <v>14</v>
      </c>
      <c r="S7494" s="23">
        <f t="shared" si="1336"/>
        <v>0</v>
      </c>
      <c r="T7494" s="23" t="str">
        <f t="shared" si="1337"/>
        <v/>
      </c>
      <c r="U7494" t="str">
        <f t="shared" si="1338"/>
        <v>NY_Catta_2021g~-~town clerk (vote for one) (2-year term) for town of red house, cattaraugus~vote for 1,</v>
      </c>
    </row>
    <row r="7495" spans="1:21">
      <c r="A7495" t="str">
        <f t="shared" si="1333"/>
        <v>NY_Catta_2021g~-~town clerk (vote for one) (2-year term) for town of red house, cattaraugus~vote for 1,</v>
      </c>
      <c r="B7495" t="s">
        <v>8101</v>
      </c>
      <c r="D7495" t="s">
        <v>8318</v>
      </c>
      <c r="E7495" t="s">
        <v>1299</v>
      </c>
      <c r="G7495">
        <v>1</v>
      </c>
      <c r="H7495">
        <v>6.6699999999999995E-2</v>
      </c>
      <c r="N7495"/>
      <c r="O7495">
        <f t="shared" si="1332"/>
        <v>-1</v>
      </c>
      <c r="P7495" s="20">
        <v>1</v>
      </c>
      <c r="Q7495" s="267">
        <f t="shared" si="1334"/>
        <v>1</v>
      </c>
      <c r="R7495" s="23">
        <f t="shared" si="1335"/>
        <v>1</v>
      </c>
      <c r="S7495" s="23">
        <f t="shared" si="1336"/>
        <v>0</v>
      </c>
      <c r="T7495" s="23" t="str">
        <f t="shared" si="1337"/>
        <v/>
      </c>
      <c r="U7495" t="str">
        <f t="shared" si="1338"/>
        <v/>
      </c>
    </row>
    <row r="7496" spans="1:21">
      <c r="A7496" t="str">
        <f t="shared" si="1333"/>
        <v>NY_Catta_2021g~-~town clerk (vote for one) (4-year term) for town of allegany, cattaraugus~vote for 1,</v>
      </c>
      <c r="B7496" t="s">
        <v>8101</v>
      </c>
      <c r="C7496" s="1"/>
      <c r="D7496" t="s">
        <v>8320</v>
      </c>
      <c r="E7496" s="12" t="s">
        <v>8321</v>
      </c>
      <c r="F7496" s="12"/>
      <c r="G7496" s="12">
        <v>828</v>
      </c>
      <c r="H7496" s="143">
        <v>0.99760000000000004</v>
      </c>
      <c r="J7496" s="143"/>
      <c r="K7496" s="143"/>
      <c r="L7496" s="143"/>
      <c r="M7496" s="143"/>
      <c r="N7496" s="143"/>
      <c r="O7496">
        <f t="shared" si="1332"/>
        <v>1</v>
      </c>
      <c r="P7496" s="134">
        <v>1</v>
      </c>
      <c r="Q7496" s="267">
        <f t="shared" si="1334"/>
        <v>830</v>
      </c>
      <c r="R7496" s="23">
        <f t="shared" si="1335"/>
        <v>828</v>
      </c>
      <c r="S7496" s="23">
        <f t="shared" si="1336"/>
        <v>0</v>
      </c>
      <c r="T7496" s="23" t="str">
        <f t="shared" si="1337"/>
        <v/>
      </c>
      <c r="U7496" t="str">
        <f t="shared" si="1338"/>
        <v>NY_Catta_2021g~-~town clerk (vote for one) (4-year term) for town of allegany, cattaraugus~vote for 1,</v>
      </c>
    </row>
    <row r="7497" spans="1:21">
      <c r="A7497" t="str">
        <f t="shared" si="1333"/>
        <v>NY_Catta_2021g~-~town clerk (vote for one) (4-year term) for town of allegany, cattaraugus~vote for 1,</v>
      </c>
      <c r="B7497" t="s">
        <v>8101</v>
      </c>
      <c r="C7497" s="1"/>
      <c r="D7497" t="s">
        <v>8320</v>
      </c>
      <c r="E7497" s="12" t="s">
        <v>1299</v>
      </c>
      <c r="F7497" s="12"/>
      <c r="G7497" s="12">
        <v>2</v>
      </c>
      <c r="H7497" s="143">
        <v>2.3999999999999998E-3</v>
      </c>
      <c r="J7497" s="143"/>
      <c r="K7497" s="143"/>
      <c r="L7497" s="143"/>
      <c r="M7497" s="143"/>
      <c r="N7497" s="143"/>
      <c r="O7497">
        <f t="shared" si="1332"/>
        <v>-1</v>
      </c>
      <c r="P7497" s="134">
        <v>1</v>
      </c>
      <c r="Q7497" s="267">
        <f t="shared" si="1334"/>
        <v>2</v>
      </c>
      <c r="R7497" s="23">
        <f t="shared" si="1335"/>
        <v>1</v>
      </c>
      <c r="S7497" s="23">
        <f t="shared" si="1336"/>
        <v>0</v>
      </c>
      <c r="T7497" s="23" t="str">
        <f t="shared" si="1337"/>
        <v/>
      </c>
      <c r="U7497" t="str">
        <f t="shared" si="1338"/>
        <v/>
      </c>
    </row>
    <row r="7498" spans="1:21">
      <c r="A7498" t="str">
        <f t="shared" si="1333"/>
        <v>NY_Catta_2021g~-~town clerk (vote for one) (4-year term) for town of east otto, cattaraugus~vote for 1,</v>
      </c>
      <c r="B7498" t="s">
        <v>8101</v>
      </c>
      <c r="C7498" s="1"/>
      <c r="D7498" t="s">
        <v>8322</v>
      </c>
      <c r="E7498" s="12" t="s">
        <v>8323</v>
      </c>
      <c r="F7498" s="12"/>
      <c r="G7498" s="12">
        <v>281</v>
      </c>
      <c r="H7498" s="143">
        <v>0.99650000000000005</v>
      </c>
      <c r="J7498" s="143"/>
      <c r="K7498" s="143"/>
      <c r="L7498" s="143"/>
      <c r="M7498" s="143"/>
      <c r="N7498" s="143"/>
      <c r="O7498">
        <f t="shared" ref="O7498:O7561" si="1339">IF(OR(LOWER(LEFT(E7498,8))="write-in",LOWER(LEFT(E7498,8))="not qual"),IF(A7498=A7497,-ABS(O7497),0),IF(A7498=A7497,ABS(O7497)+1,1))</f>
        <v>1</v>
      </c>
      <c r="P7498" s="134">
        <v>1</v>
      </c>
      <c r="Q7498" s="267">
        <f t="shared" si="1334"/>
        <v>282</v>
      </c>
      <c r="R7498" s="23">
        <f t="shared" si="1335"/>
        <v>281</v>
      </c>
      <c r="S7498" s="23">
        <f t="shared" si="1336"/>
        <v>0</v>
      </c>
      <c r="T7498" s="23" t="str">
        <f t="shared" si="1337"/>
        <v/>
      </c>
      <c r="U7498" t="str">
        <f t="shared" si="1338"/>
        <v>NY_Catta_2021g~-~town clerk (vote for one) (4-year term) for town of east otto, cattaraugus~vote for 1,</v>
      </c>
    </row>
    <row r="7499" spans="1:21">
      <c r="A7499" t="str">
        <f t="shared" si="1333"/>
        <v>NY_Catta_2021g~-~town clerk (vote for one) (4-year term) for town of east otto, cattaraugus~vote for 1,</v>
      </c>
      <c r="B7499" t="s">
        <v>8101</v>
      </c>
      <c r="C7499" s="1"/>
      <c r="D7499" t="s">
        <v>8322</v>
      </c>
      <c r="E7499" s="12" t="s">
        <v>1299</v>
      </c>
      <c r="F7499" s="12"/>
      <c r="G7499" s="12">
        <v>1</v>
      </c>
      <c r="H7499" s="143">
        <v>3.5000000000000001E-3</v>
      </c>
      <c r="J7499" s="143"/>
      <c r="K7499" s="143"/>
      <c r="L7499" s="143"/>
      <c r="M7499" s="143"/>
      <c r="N7499" s="143"/>
      <c r="O7499">
        <f t="shared" si="1339"/>
        <v>-1</v>
      </c>
      <c r="P7499" s="134">
        <v>1</v>
      </c>
      <c r="Q7499" s="267">
        <f t="shared" si="1334"/>
        <v>1</v>
      </c>
      <c r="R7499" s="23">
        <f t="shared" si="1335"/>
        <v>1</v>
      </c>
      <c r="S7499" s="23">
        <f t="shared" si="1336"/>
        <v>0</v>
      </c>
      <c r="T7499" s="23" t="str">
        <f t="shared" si="1337"/>
        <v/>
      </c>
      <c r="U7499" t="str">
        <f t="shared" si="1338"/>
        <v/>
      </c>
    </row>
    <row r="7500" spans="1:21">
      <c r="A7500" t="str">
        <f t="shared" si="1333"/>
        <v>NY_Catta_2021g~-~town clerk (vote for one) (4-year term) for town of humphrey, cattaraugus~vote for 1,</v>
      </c>
      <c r="B7500" t="s">
        <v>8101</v>
      </c>
      <c r="D7500" t="s">
        <v>8324</v>
      </c>
      <c r="E7500" t="s">
        <v>8325</v>
      </c>
      <c r="G7500">
        <v>105</v>
      </c>
      <c r="H7500">
        <v>1</v>
      </c>
      <c r="N7500"/>
      <c r="O7500">
        <f t="shared" si="1339"/>
        <v>1</v>
      </c>
      <c r="P7500" s="20">
        <v>1</v>
      </c>
      <c r="Q7500" s="267">
        <f t="shared" si="1334"/>
        <v>105</v>
      </c>
      <c r="R7500" s="23">
        <f t="shared" si="1335"/>
        <v>105</v>
      </c>
      <c r="S7500" s="23">
        <f t="shared" si="1336"/>
        <v>0</v>
      </c>
      <c r="T7500" s="23" t="str">
        <f t="shared" si="1337"/>
        <v/>
      </c>
      <c r="U7500" t="str">
        <f t="shared" si="1338"/>
        <v>NY_Catta_2021g~-~town clerk (vote for one) (4-year term) for town of humphrey, cattaraugus~vote for 1,</v>
      </c>
    </row>
    <row r="7501" spans="1:21">
      <c r="A7501" t="str">
        <f t="shared" si="1333"/>
        <v>NY_Catta_2021g~-~town clerk (vote for one) (4-year term) for town of humphrey, cattaraugus~vote for 1,</v>
      </c>
      <c r="B7501" t="s">
        <v>8101</v>
      </c>
      <c r="D7501" t="s">
        <v>8324</v>
      </c>
      <c r="E7501" t="s">
        <v>1299</v>
      </c>
      <c r="G7501">
        <v>0</v>
      </c>
      <c r="H7501">
        <v>0</v>
      </c>
      <c r="N7501"/>
      <c r="O7501">
        <f t="shared" si="1339"/>
        <v>-1</v>
      </c>
      <c r="P7501" s="20">
        <v>1</v>
      </c>
      <c r="Q7501" s="267">
        <f t="shared" si="1334"/>
        <v>0</v>
      </c>
      <c r="R7501" s="23">
        <f t="shared" si="1335"/>
        <v>1</v>
      </c>
      <c r="S7501" s="23">
        <f t="shared" si="1336"/>
        <v>0</v>
      </c>
      <c r="T7501" s="23" t="str">
        <f t="shared" si="1337"/>
        <v/>
      </c>
      <c r="U7501" t="str">
        <f t="shared" si="1338"/>
        <v/>
      </c>
    </row>
    <row r="7502" spans="1:21">
      <c r="A7502" t="str">
        <f t="shared" si="1333"/>
        <v>NY_Catta_2021g~-~town clerk (vote for one) (4-year term) for town of olean, cattaraugus~vote for 1,</v>
      </c>
      <c r="B7502" t="s">
        <v>8101</v>
      </c>
      <c r="D7502" t="s">
        <v>8326</v>
      </c>
      <c r="E7502" t="s">
        <v>8327</v>
      </c>
      <c r="G7502">
        <v>235</v>
      </c>
      <c r="H7502">
        <v>0.99160000000000004</v>
      </c>
      <c r="N7502"/>
      <c r="O7502">
        <f t="shared" si="1339"/>
        <v>1</v>
      </c>
      <c r="P7502" s="20">
        <v>1</v>
      </c>
      <c r="Q7502" s="267">
        <f t="shared" si="1334"/>
        <v>237</v>
      </c>
      <c r="R7502" s="23">
        <f t="shared" si="1335"/>
        <v>235</v>
      </c>
      <c r="S7502" s="23">
        <f t="shared" si="1336"/>
        <v>0</v>
      </c>
      <c r="T7502" s="23" t="str">
        <f t="shared" si="1337"/>
        <v/>
      </c>
      <c r="U7502" t="str">
        <f t="shared" si="1338"/>
        <v>NY_Catta_2021g~-~town clerk (vote for one) (4-year term) for town of olean, cattaraugus~vote for 1,</v>
      </c>
    </row>
    <row r="7503" spans="1:21">
      <c r="A7503" t="str">
        <f t="shared" si="1333"/>
        <v>NY_Catta_2021g~-~town clerk (vote for one) (4-year term) for town of olean, cattaraugus~vote for 1,</v>
      </c>
      <c r="B7503" t="s">
        <v>8101</v>
      </c>
      <c r="D7503" t="s">
        <v>8326</v>
      </c>
      <c r="E7503" t="s">
        <v>1299</v>
      </c>
      <c r="G7503">
        <v>2</v>
      </c>
      <c r="H7503">
        <v>8.3999999999999995E-3</v>
      </c>
      <c r="N7503"/>
      <c r="O7503">
        <f t="shared" si="1339"/>
        <v>-1</v>
      </c>
      <c r="P7503" s="20">
        <v>1</v>
      </c>
      <c r="Q7503" s="267">
        <f t="shared" si="1334"/>
        <v>2</v>
      </c>
      <c r="R7503" s="23">
        <f t="shared" si="1335"/>
        <v>1</v>
      </c>
      <c r="S7503" s="23">
        <f t="shared" si="1336"/>
        <v>0</v>
      </c>
      <c r="T7503" s="23" t="str">
        <f t="shared" si="1337"/>
        <v/>
      </c>
      <c r="U7503" t="str">
        <f t="shared" si="1338"/>
        <v/>
      </c>
    </row>
    <row r="7504" spans="1:21">
      <c r="A7504" t="str">
        <f t="shared" si="1333"/>
        <v>NY_Catta_2021g~-~town clerk (vote for one) (4-year term) for town of otto, cattaraugus~vote for 1,</v>
      </c>
      <c r="B7504" t="s">
        <v>8101</v>
      </c>
      <c r="D7504" t="s">
        <v>8328</v>
      </c>
      <c r="E7504" t="s">
        <v>8329</v>
      </c>
      <c r="G7504">
        <v>139</v>
      </c>
      <c r="H7504">
        <v>1</v>
      </c>
      <c r="N7504"/>
      <c r="O7504">
        <f t="shared" si="1339"/>
        <v>1</v>
      </c>
      <c r="P7504" s="20">
        <v>1</v>
      </c>
      <c r="Q7504" s="267">
        <f t="shared" si="1334"/>
        <v>139</v>
      </c>
      <c r="R7504" s="23">
        <f t="shared" si="1335"/>
        <v>139</v>
      </c>
      <c r="S7504" s="23">
        <f t="shared" si="1336"/>
        <v>0</v>
      </c>
      <c r="T7504" s="23" t="str">
        <f t="shared" si="1337"/>
        <v/>
      </c>
      <c r="U7504" t="str">
        <f t="shared" si="1338"/>
        <v>NY_Catta_2021g~-~town clerk (vote for one) (4-year term) for town of otto, cattaraugus~vote for 1,</v>
      </c>
    </row>
    <row r="7505" spans="1:21">
      <c r="A7505" t="str">
        <f t="shared" si="1333"/>
        <v>NY_Catta_2021g~-~town clerk (vote for one) (4-year term) for town of otto, cattaraugus~vote for 1,</v>
      </c>
      <c r="B7505" t="s">
        <v>8101</v>
      </c>
      <c r="D7505" t="s">
        <v>8328</v>
      </c>
      <c r="E7505" t="s">
        <v>1299</v>
      </c>
      <c r="G7505">
        <v>0</v>
      </c>
      <c r="H7505">
        <v>0</v>
      </c>
      <c r="N7505"/>
      <c r="O7505">
        <f t="shared" si="1339"/>
        <v>-1</v>
      </c>
      <c r="P7505" s="20">
        <v>1</v>
      </c>
      <c r="Q7505" s="267">
        <f t="shared" si="1334"/>
        <v>0</v>
      </c>
      <c r="R7505" s="23">
        <f t="shared" si="1335"/>
        <v>1</v>
      </c>
      <c r="S7505" s="23">
        <f t="shared" si="1336"/>
        <v>0</v>
      </c>
      <c r="T7505" s="23" t="str">
        <f t="shared" si="1337"/>
        <v/>
      </c>
      <c r="U7505" t="str">
        <f t="shared" si="1338"/>
        <v/>
      </c>
    </row>
    <row r="7506" spans="1:21">
      <c r="A7506" t="str">
        <f t="shared" si="1333"/>
        <v>NY_Catta_2021g~-~town clerk (vote for one) (4-year term) for town of randolph, cattaraugus~vote for 1,</v>
      </c>
      <c r="B7506" t="s">
        <v>8101</v>
      </c>
      <c r="D7506" t="s">
        <v>8330</v>
      </c>
      <c r="E7506" t="s">
        <v>8331</v>
      </c>
      <c r="G7506">
        <v>344</v>
      </c>
      <c r="H7506">
        <v>1</v>
      </c>
      <c r="N7506"/>
      <c r="O7506">
        <f t="shared" si="1339"/>
        <v>1</v>
      </c>
      <c r="P7506" s="20">
        <v>1</v>
      </c>
      <c r="Q7506" s="267">
        <f t="shared" si="1334"/>
        <v>344</v>
      </c>
      <c r="R7506" s="23">
        <f t="shared" si="1335"/>
        <v>344</v>
      </c>
      <c r="S7506" s="23">
        <f t="shared" si="1336"/>
        <v>0</v>
      </c>
      <c r="T7506" s="23" t="str">
        <f t="shared" si="1337"/>
        <v/>
      </c>
      <c r="U7506" t="str">
        <f t="shared" si="1338"/>
        <v>NY_Catta_2021g~-~town clerk (vote for one) (4-year term) for town of randolph, cattaraugus~vote for 1,</v>
      </c>
    </row>
    <row r="7507" spans="1:21">
      <c r="A7507" t="str">
        <f t="shared" si="1333"/>
        <v>NY_Catta_2021g~-~town clerk (vote for one) (4-year term) for town of randolph, cattaraugus~vote for 1,</v>
      </c>
      <c r="B7507" t="s">
        <v>8101</v>
      </c>
      <c r="D7507" t="s">
        <v>8330</v>
      </c>
      <c r="E7507" t="s">
        <v>1299</v>
      </c>
      <c r="G7507">
        <v>0</v>
      </c>
      <c r="H7507">
        <v>0</v>
      </c>
      <c r="N7507"/>
      <c r="O7507">
        <f t="shared" si="1339"/>
        <v>-1</v>
      </c>
      <c r="P7507" s="20">
        <v>1</v>
      </c>
      <c r="Q7507" s="267">
        <f t="shared" si="1334"/>
        <v>0</v>
      </c>
      <c r="R7507" s="23">
        <f t="shared" si="1335"/>
        <v>1</v>
      </c>
      <c r="S7507" s="23">
        <f t="shared" si="1336"/>
        <v>0</v>
      </c>
      <c r="T7507" s="23" t="str">
        <f t="shared" si="1337"/>
        <v/>
      </c>
      <c r="U7507" t="str">
        <f t="shared" si="1338"/>
        <v/>
      </c>
    </row>
    <row r="7508" spans="1:21">
      <c r="A7508" t="str">
        <f t="shared" si="1333"/>
        <v>NY_Catta_2021g~-~town clerk (vote for one) (4-year term) for town of salamanca, cattaraugus~vote for 1,</v>
      </c>
      <c r="B7508" t="s">
        <v>8101</v>
      </c>
      <c r="D7508" t="s">
        <v>8332</v>
      </c>
      <c r="E7508" t="s">
        <v>8333</v>
      </c>
      <c r="G7508">
        <v>101</v>
      </c>
      <c r="H7508">
        <v>1</v>
      </c>
      <c r="N7508"/>
      <c r="O7508">
        <f t="shared" si="1339"/>
        <v>1</v>
      </c>
      <c r="P7508" s="20">
        <v>1</v>
      </c>
      <c r="Q7508" s="267">
        <f t="shared" si="1334"/>
        <v>101</v>
      </c>
      <c r="R7508" s="23">
        <f t="shared" si="1335"/>
        <v>101</v>
      </c>
      <c r="S7508" s="23">
        <f t="shared" si="1336"/>
        <v>0</v>
      </c>
      <c r="T7508" s="23" t="str">
        <f t="shared" si="1337"/>
        <v/>
      </c>
      <c r="U7508" t="str">
        <f t="shared" si="1338"/>
        <v>NY_Catta_2021g~-~town clerk (vote for one) (4-year term) for town of salamanca, cattaraugus~vote for 1,</v>
      </c>
    </row>
    <row r="7509" spans="1:21">
      <c r="A7509" t="str">
        <f t="shared" si="1333"/>
        <v>NY_Catta_2021g~-~town clerk (vote for one) (4-year term) for town of salamanca, cattaraugus~vote for 1,</v>
      </c>
      <c r="B7509" t="s">
        <v>8101</v>
      </c>
      <c r="D7509" t="s">
        <v>8332</v>
      </c>
      <c r="E7509" t="s">
        <v>1299</v>
      </c>
      <c r="G7509">
        <v>0</v>
      </c>
      <c r="H7509">
        <v>0</v>
      </c>
      <c r="N7509"/>
      <c r="O7509">
        <f t="shared" si="1339"/>
        <v>-1</v>
      </c>
      <c r="P7509" s="20">
        <v>1</v>
      </c>
      <c r="Q7509" s="267">
        <f t="shared" si="1334"/>
        <v>0</v>
      </c>
      <c r="R7509" s="23">
        <f t="shared" si="1335"/>
        <v>1</v>
      </c>
      <c r="S7509" s="23">
        <f t="shared" si="1336"/>
        <v>0</v>
      </c>
      <c r="T7509" s="23" t="str">
        <f t="shared" si="1337"/>
        <v/>
      </c>
      <c r="U7509" t="str">
        <f t="shared" si="1338"/>
        <v/>
      </c>
    </row>
    <row r="7510" spans="1:21">
      <c r="A7510" t="str">
        <f t="shared" si="1333"/>
        <v>NY_Catta_2021g~-~town clerk (vote for one) (4-year term) for town of south valley, cattaraugus~vote for 1,</v>
      </c>
      <c r="B7510" t="s">
        <v>8101</v>
      </c>
      <c r="D7510" t="s">
        <v>8334</v>
      </c>
      <c r="E7510" t="s">
        <v>8335</v>
      </c>
      <c r="G7510">
        <v>61</v>
      </c>
      <c r="H7510">
        <v>1</v>
      </c>
      <c r="N7510"/>
      <c r="O7510">
        <f t="shared" si="1339"/>
        <v>1</v>
      </c>
      <c r="P7510" s="20">
        <v>1</v>
      </c>
      <c r="Q7510" s="267">
        <f t="shared" si="1334"/>
        <v>61</v>
      </c>
      <c r="R7510" s="23">
        <f t="shared" si="1335"/>
        <v>61</v>
      </c>
      <c r="S7510" s="23">
        <f t="shared" si="1336"/>
        <v>0</v>
      </c>
      <c r="T7510" s="23" t="str">
        <f t="shared" si="1337"/>
        <v/>
      </c>
      <c r="U7510" t="str">
        <f t="shared" si="1338"/>
        <v>NY_Catta_2021g~-~town clerk (vote for one) (4-year term) for town of south valley, cattaraugus~vote for 1,</v>
      </c>
    </row>
    <row r="7511" spans="1:21">
      <c r="A7511" t="str">
        <f t="shared" si="1333"/>
        <v>NY_Catta_2021g~-~town clerk (vote for one) (4-year term) for town of south valley, cattaraugus~vote for 1,</v>
      </c>
      <c r="B7511" t="s">
        <v>8101</v>
      </c>
      <c r="D7511" t="s">
        <v>8334</v>
      </c>
      <c r="E7511" t="s">
        <v>1299</v>
      </c>
      <c r="G7511">
        <v>0</v>
      </c>
      <c r="H7511">
        <v>0</v>
      </c>
      <c r="N7511"/>
      <c r="O7511">
        <f t="shared" si="1339"/>
        <v>-1</v>
      </c>
      <c r="P7511" s="20">
        <v>1</v>
      </c>
      <c r="Q7511" s="267">
        <f t="shared" si="1334"/>
        <v>0</v>
      </c>
      <c r="R7511" s="23">
        <f t="shared" si="1335"/>
        <v>1</v>
      </c>
      <c r="S7511" s="23">
        <f t="shared" si="1336"/>
        <v>0</v>
      </c>
      <c r="T7511" s="23" t="str">
        <f t="shared" si="1337"/>
        <v/>
      </c>
      <c r="U7511" t="str">
        <f t="shared" si="1338"/>
        <v/>
      </c>
    </row>
    <row r="7512" spans="1:21">
      <c r="A7512" t="str">
        <f t="shared" si="1333"/>
        <v>NY_Catta_2021g~-~town clerk (vote for one) (4-year term) for town of yorkshire, cattaraugus~vote for 1,</v>
      </c>
      <c r="B7512" t="s">
        <v>8101</v>
      </c>
      <c r="D7512" t="s">
        <v>8336</v>
      </c>
      <c r="E7512" t="s">
        <v>8337</v>
      </c>
      <c r="G7512">
        <v>392</v>
      </c>
      <c r="H7512">
        <v>0.99490000000000001</v>
      </c>
      <c r="N7512"/>
      <c r="O7512">
        <f t="shared" si="1339"/>
        <v>1</v>
      </c>
      <c r="P7512" s="20">
        <v>1</v>
      </c>
      <c r="Q7512" s="267">
        <f t="shared" si="1334"/>
        <v>394</v>
      </c>
      <c r="R7512" s="23">
        <f t="shared" si="1335"/>
        <v>392</v>
      </c>
      <c r="S7512" s="23">
        <f t="shared" si="1336"/>
        <v>0</v>
      </c>
      <c r="T7512" s="23" t="str">
        <f t="shared" si="1337"/>
        <v/>
      </c>
      <c r="U7512" t="str">
        <f t="shared" si="1338"/>
        <v>NY_Catta_2021g~-~town clerk (vote for one) (4-year term) for town of yorkshire, cattaraugus~vote for 1,</v>
      </c>
    </row>
    <row r="7513" spans="1:21">
      <c r="A7513" t="str">
        <f t="shared" si="1333"/>
        <v>NY_Catta_2021g~-~town clerk (vote for one) (4-year term) for town of yorkshire, cattaraugus~vote for 1,</v>
      </c>
      <c r="B7513" t="s">
        <v>8101</v>
      </c>
      <c r="D7513" t="s">
        <v>8336</v>
      </c>
      <c r="E7513" t="s">
        <v>1299</v>
      </c>
      <c r="G7513">
        <v>2</v>
      </c>
      <c r="H7513">
        <v>5.1000000000000004E-3</v>
      </c>
      <c r="N7513"/>
      <c r="O7513">
        <f t="shared" si="1339"/>
        <v>-1</v>
      </c>
      <c r="P7513" s="20">
        <v>1</v>
      </c>
      <c r="Q7513" s="267">
        <f t="shared" si="1334"/>
        <v>2</v>
      </c>
      <c r="R7513" s="23">
        <f t="shared" si="1335"/>
        <v>1</v>
      </c>
      <c r="S7513" s="23">
        <f t="shared" si="1336"/>
        <v>0</v>
      </c>
      <c r="T7513" s="23" t="str">
        <f t="shared" si="1337"/>
        <v/>
      </c>
      <c r="U7513" t="str">
        <f t="shared" si="1338"/>
        <v/>
      </c>
    </row>
    <row r="7514" spans="1:21">
      <c r="A7514" t="str">
        <f t="shared" si="1333"/>
        <v>NY_Catta_2021g~-~town justice (vote for one) for town of allegany, cattaraugus~vote for 1,</v>
      </c>
      <c r="B7514" t="s">
        <v>8101</v>
      </c>
      <c r="C7514" s="1"/>
      <c r="D7514" t="s">
        <v>8338</v>
      </c>
      <c r="E7514" s="12" t="s">
        <v>8339</v>
      </c>
      <c r="F7514" s="12"/>
      <c r="G7514" s="12">
        <v>841</v>
      </c>
      <c r="H7514" s="143">
        <v>1</v>
      </c>
      <c r="J7514" s="143"/>
      <c r="K7514" s="143"/>
      <c r="L7514" s="143"/>
      <c r="M7514" s="143"/>
      <c r="N7514" s="143"/>
      <c r="O7514">
        <f t="shared" si="1339"/>
        <v>1</v>
      </c>
      <c r="P7514" s="134">
        <v>1</v>
      </c>
      <c r="Q7514" s="267">
        <f t="shared" si="1334"/>
        <v>841</v>
      </c>
      <c r="R7514" s="23">
        <f t="shared" si="1335"/>
        <v>841</v>
      </c>
      <c r="S7514" s="23">
        <f t="shared" si="1336"/>
        <v>0</v>
      </c>
      <c r="T7514" s="23" t="str">
        <f t="shared" si="1337"/>
        <v/>
      </c>
      <c r="U7514" t="str">
        <f t="shared" si="1338"/>
        <v>NY_Catta_2021g~-~town justice (vote for one) for town of allegany, cattaraugus~vote for 1,</v>
      </c>
    </row>
    <row r="7515" spans="1:21">
      <c r="A7515" t="str">
        <f t="shared" si="1333"/>
        <v>NY_Catta_2021g~-~town justice (vote for one) for town of allegany, cattaraugus~vote for 1,</v>
      </c>
      <c r="B7515" t="s">
        <v>8101</v>
      </c>
      <c r="C7515" s="1"/>
      <c r="D7515" t="s">
        <v>8338</v>
      </c>
      <c r="E7515" s="12" t="s">
        <v>1299</v>
      </c>
      <c r="F7515" s="12"/>
      <c r="G7515" s="12">
        <v>0</v>
      </c>
      <c r="H7515" s="143">
        <v>0</v>
      </c>
      <c r="J7515" s="143"/>
      <c r="K7515" s="143"/>
      <c r="L7515" s="143"/>
      <c r="M7515" s="143"/>
      <c r="N7515" s="143"/>
      <c r="O7515">
        <f t="shared" si="1339"/>
        <v>-1</v>
      </c>
      <c r="P7515" s="134">
        <v>1</v>
      </c>
      <c r="Q7515" s="267">
        <f t="shared" si="1334"/>
        <v>0</v>
      </c>
      <c r="R7515" s="23">
        <f t="shared" si="1335"/>
        <v>1</v>
      </c>
      <c r="S7515" s="23">
        <f t="shared" si="1336"/>
        <v>0</v>
      </c>
      <c r="T7515" s="23" t="str">
        <f t="shared" si="1337"/>
        <v/>
      </c>
      <c r="U7515" t="str">
        <f t="shared" si="1338"/>
        <v/>
      </c>
    </row>
    <row r="7516" spans="1:21">
      <c r="A7516" t="str">
        <f t="shared" si="1333"/>
        <v>NY_Catta_2021g~-~town justice (vote for one) for town of carrollton, cattaraugus~vote for 1,</v>
      </c>
      <c r="B7516" t="s">
        <v>8101</v>
      </c>
      <c r="C7516" s="1"/>
      <c r="D7516" t="s">
        <v>8340</v>
      </c>
      <c r="E7516" s="12" t="s">
        <v>8341</v>
      </c>
      <c r="F7516" s="12"/>
      <c r="G7516" s="12">
        <v>175</v>
      </c>
      <c r="H7516" s="143">
        <v>1</v>
      </c>
      <c r="J7516" s="143"/>
      <c r="K7516" s="143"/>
      <c r="L7516" s="143"/>
      <c r="M7516" s="143"/>
      <c r="N7516" s="143"/>
      <c r="O7516">
        <f t="shared" si="1339"/>
        <v>1</v>
      </c>
      <c r="P7516" s="134">
        <v>1</v>
      </c>
      <c r="Q7516" s="267">
        <f t="shared" si="1334"/>
        <v>175</v>
      </c>
      <c r="R7516" s="23">
        <f t="shared" si="1335"/>
        <v>175</v>
      </c>
      <c r="S7516" s="23">
        <f t="shared" si="1336"/>
        <v>0</v>
      </c>
      <c r="T7516" s="23" t="str">
        <f t="shared" si="1337"/>
        <v/>
      </c>
      <c r="U7516" t="str">
        <f t="shared" si="1338"/>
        <v>NY_Catta_2021g~-~town justice (vote for one) for town of carrollton, cattaraugus~vote for 1,</v>
      </c>
    </row>
    <row r="7517" spans="1:21">
      <c r="A7517" t="str">
        <f t="shared" si="1333"/>
        <v>NY_Catta_2021g~-~town justice (vote for one) for town of carrollton, cattaraugus~vote for 1,</v>
      </c>
      <c r="B7517" t="s">
        <v>8101</v>
      </c>
      <c r="C7517" s="1"/>
      <c r="D7517" t="s">
        <v>8340</v>
      </c>
      <c r="E7517" s="12" t="s">
        <v>1299</v>
      </c>
      <c r="F7517" s="12"/>
      <c r="G7517" s="12">
        <v>0</v>
      </c>
      <c r="H7517" s="143">
        <v>0</v>
      </c>
      <c r="J7517" s="143"/>
      <c r="K7517" s="143"/>
      <c r="L7517" s="143"/>
      <c r="M7517" s="143"/>
      <c r="N7517" s="143"/>
      <c r="O7517">
        <f t="shared" si="1339"/>
        <v>-1</v>
      </c>
      <c r="P7517" s="134">
        <v>1</v>
      </c>
      <c r="Q7517" s="267">
        <f t="shared" si="1334"/>
        <v>0</v>
      </c>
      <c r="R7517" s="23">
        <f t="shared" si="1335"/>
        <v>1</v>
      </c>
      <c r="S7517" s="23">
        <f t="shared" si="1336"/>
        <v>0</v>
      </c>
      <c r="T7517" s="23" t="str">
        <f t="shared" si="1337"/>
        <v/>
      </c>
      <c r="U7517" t="str">
        <f t="shared" si="1338"/>
        <v/>
      </c>
    </row>
    <row r="7518" spans="1:21">
      <c r="A7518" t="str">
        <f t="shared" si="1333"/>
        <v>NY_Catta_2021g~-~town justice (vote for one) for town of coldspring, cattaraugus~vote for 1,</v>
      </c>
      <c r="B7518" t="s">
        <v>8101</v>
      </c>
      <c r="C7518" s="1"/>
      <c r="D7518" t="s">
        <v>8342</v>
      </c>
      <c r="E7518" s="12" t="s">
        <v>8343</v>
      </c>
      <c r="F7518" s="12"/>
      <c r="G7518" s="12">
        <v>118</v>
      </c>
      <c r="H7518" s="143">
        <v>1</v>
      </c>
      <c r="J7518" s="143"/>
      <c r="K7518" s="143"/>
      <c r="L7518" s="143"/>
      <c r="M7518" s="143"/>
      <c r="N7518" s="143"/>
      <c r="O7518">
        <f t="shared" si="1339"/>
        <v>1</v>
      </c>
      <c r="P7518" s="134">
        <v>1</v>
      </c>
      <c r="Q7518" s="267">
        <f t="shared" si="1334"/>
        <v>118</v>
      </c>
      <c r="R7518" s="23">
        <f t="shared" si="1335"/>
        <v>118</v>
      </c>
      <c r="S7518" s="23">
        <f t="shared" si="1336"/>
        <v>0</v>
      </c>
      <c r="T7518" s="23" t="str">
        <f t="shared" si="1337"/>
        <v/>
      </c>
      <c r="U7518" t="str">
        <f t="shared" si="1338"/>
        <v>NY_Catta_2021g~-~town justice (vote for one) for town of coldspring, cattaraugus~vote for 1,</v>
      </c>
    </row>
    <row r="7519" spans="1:21">
      <c r="A7519" t="str">
        <f t="shared" si="1333"/>
        <v>NY_Catta_2021g~-~town justice (vote for one) for town of coldspring, cattaraugus~vote for 1,</v>
      </c>
      <c r="B7519" t="s">
        <v>8101</v>
      </c>
      <c r="C7519" s="1"/>
      <c r="D7519" t="s">
        <v>8342</v>
      </c>
      <c r="E7519" s="12" t="s">
        <v>1299</v>
      </c>
      <c r="F7519" s="12"/>
      <c r="G7519" s="12">
        <v>0</v>
      </c>
      <c r="H7519" s="143">
        <v>0</v>
      </c>
      <c r="J7519" s="143"/>
      <c r="K7519" s="143"/>
      <c r="L7519" s="143"/>
      <c r="M7519" s="143"/>
      <c r="N7519" s="143"/>
      <c r="O7519">
        <f t="shared" si="1339"/>
        <v>-1</v>
      </c>
      <c r="P7519" s="134">
        <v>1</v>
      </c>
      <c r="Q7519" s="267">
        <f t="shared" si="1334"/>
        <v>0</v>
      </c>
      <c r="R7519" s="23">
        <f t="shared" si="1335"/>
        <v>1</v>
      </c>
      <c r="S7519" s="23">
        <f t="shared" si="1336"/>
        <v>0</v>
      </c>
      <c r="T7519" s="23" t="str">
        <f t="shared" si="1337"/>
        <v/>
      </c>
      <c r="U7519" t="str">
        <f t="shared" si="1338"/>
        <v/>
      </c>
    </row>
    <row r="7520" spans="1:21">
      <c r="A7520" t="str">
        <f t="shared" si="1333"/>
        <v>NY_Catta_2021g~-~town justice (vote for one) for town of farmersville, cattaraugus~vote for 1,</v>
      </c>
      <c r="B7520" t="s">
        <v>8101</v>
      </c>
      <c r="C7520" s="1"/>
      <c r="D7520" t="s">
        <v>8344</v>
      </c>
      <c r="E7520" s="12" t="s">
        <v>8345</v>
      </c>
      <c r="F7520" s="12"/>
      <c r="G7520" s="12">
        <v>242</v>
      </c>
      <c r="H7520" s="143">
        <v>0.9798</v>
      </c>
      <c r="J7520" s="143"/>
      <c r="K7520" s="143"/>
      <c r="L7520" s="143"/>
      <c r="M7520" s="143"/>
      <c r="N7520" s="143"/>
      <c r="O7520">
        <f t="shared" si="1339"/>
        <v>1</v>
      </c>
      <c r="P7520" s="134">
        <v>1</v>
      </c>
      <c r="Q7520" s="267">
        <f t="shared" si="1334"/>
        <v>247</v>
      </c>
      <c r="R7520" s="23">
        <f t="shared" si="1335"/>
        <v>242</v>
      </c>
      <c r="S7520" s="23">
        <f t="shared" si="1336"/>
        <v>0</v>
      </c>
      <c r="T7520" s="23" t="str">
        <f t="shared" si="1337"/>
        <v/>
      </c>
      <c r="U7520" t="str">
        <f t="shared" si="1338"/>
        <v>NY_Catta_2021g~-~town justice (vote for one) for town of farmersville, cattaraugus~vote for 1,</v>
      </c>
    </row>
    <row r="7521" spans="1:21">
      <c r="A7521" t="str">
        <f t="shared" si="1333"/>
        <v>NY_Catta_2021g~-~town justice (vote for one) for town of farmersville, cattaraugus~vote for 1,</v>
      </c>
      <c r="B7521" t="s">
        <v>8101</v>
      </c>
      <c r="C7521" s="1"/>
      <c r="D7521" t="s">
        <v>8344</v>
      </c>
      <c r="E7521" s="12" t="s">
        <v>1299</v>
      </c>
      <c r="F7521" s="12"/>
      <c r="G7521" s="12">
        <v>5</v>
      </c>
      <c r="H7521" s="143">
        <v>2.0199999999999999E-2</v>
      </c>
      <c r="J7521" s="143"/>
      <c r="K7521" s="143"/>
      <c r="L7521" s="143"/>
      <c r="M7521" s="143"/>
      <c r="N7521" s="143"/>
      <c r="O7521">
        <f t="shared" si="1339"/>
        <v>-1</v>
      </c>
      <c r="P7521" s="134">
        <v>1</v>
      </c>
      <c r="Q7521" s="267">
        <f t="shared" si="1334"/>
        <v>5</v>
      </c>
      <c r="R7521" s="23">
        <f t="shared" si="1335"/>
        <v>1</v>
      </c>
      <c r="S7521" s="23">
        <f t="shared" si="1336"/>
        <v>0</v>
      </c>
      <c r="T7521" s="23" t="str">
        <f t="shared" si="1337"/>
        <v/>
      </c>
      <c r="U7521" t="str">
        <f t="shared" si="1338"/>
        <v/>
      </c>
    </row>
    <row r="7522" spans="1:21">
      <c r="A7522" t="str">
        <f t="shared" si="1333"/>
        <v>NY_Catta_2021g~-~town justice (vote for one) for town of lyndon, cattaraugus~vote for 1,</v>
      </c>
      <c r="B7522" t="s">
        <v>8101</v>
      </c>
      <c r="D7522" t="s">
        <v>8346</v>
      </c>
      <c r="E7522" t="s">
        <v>8347</v>
      </c>
      <c r="G7522">
        <v>115</v>
      </c>
      <c r="H7522">
        <v>0.53239999999999998</v>
      </c>
      <c r="N7522"/>
      <c r="O7522">
        <f t="shared" si="1339"/>
        <v>1</v>
      </c>
      <c r="P7522" s="20">
        <v>1</v>
      </c>
      <c r="Q7522" s="267">
        <f t="shared" si="1334"/>
        <v>216</v>
      </c>
      <c r="R7522" s="23">
        <f t="shared" si="1335"/>
        <v>115</v>
      </c>
      <c r="S7522" s="23">
        <f t="shared" si="1336"/>
        <v>99</v>
      </c>
      <c r="T7522" s="23">
        <f t="shared" si="1337"/>
        <v>16</v>
      </c>
      <c r="U7522" t="str">
        <f t="shared" si="1338"/>
        <v>NY_Catta_2021g~-~town justice (vote for one) for town of lyndon, cattaraugus~vote for 1,</v>
      </c>
    </row>
    <row r="7523" spans="1:21">
      <c r="A7523" t="str">
        <f t="shared" si="1333"/>
        <v>NY_Catta_2021g~-~town justice (vote for one) for town of lyndon, cattaraugus~vote for 1,</v>
      </c>
      <c r="B7523" t="s">
        <v>8101</v>
      </c>
      <c r="D7523" t="s">
        <v>8346</v>
      </c>
      <c r="E7523" t="s">
        <v>8348</v>
      </c>
      <c r="G7523">
        <v>99</v>
      </c>
      <c r="H7523">
        <v>0.45829999999999999</v>
      </c>
      <c r="N7523"/>
      <c r="O7523">
        <f t="shared" si="1339"/>
        <v>2</v>
      </c>
      <c r="P7523" s="20">
        <v>1</v>
      </c>
      <c r="Q7523" s="267">
        <f t="shared" si="1334"/>
        <v>101</v>
      </c>
      <c r="R7523" s="23" t="str">
        <f t="shared" si="1335"/>
        <v/>
      </c>
      <c r="S7523" s="23">
        <f t="shared" si="1336"/>
        <v>99</v>
      </c>
      <c r="T7523" s="23" t="str">
        <f t="shared" si="1337"/>
        <v/>
      </c>
      <c r="U7523" t="str">
        <f t="shared" si="1338"/>
        <v/>
      </c>
    </row>
    <row r="7524" spans="1:21">
      <c r="A7524" t="str">
        <f t="shared" si="1333"/>
        <v>NY_Catta_2021g~-~town justice (vote for one) for town of lyndon, cattaraugus~vote for 1,</v>
      </c>
      <c r="B7524" t="s">
        <v>8101</v>
      </c>
      <c r="D7524" t="s">
        <v>8346</v>
      </c>
      <c r="E7524" t="s">
        <v>1299</v>
      </c>
      <c r="G7524">
        <v>2</v>
      </c>
      <c r="H7524">
        <v>9.2999999999999992E-3</v>
      </c>
      <c r="N7524"/>
      <c r="O7524">
        <f t="shared" si="1339"/>
        <v>-2</v>
      </c>
      <c r="P7524" s="20">
        <v>1</v>
      </c>
      <c r="Q7524" s="267">
        <f t="shared" si="1334"/>
        <v>2</v>
      </c>
      <c r="R7524" s="23">
        <f t="shared" si="1335"/>
        <v>1</v>
      </c>
      <c r="S7524" s="23">
        <f t="shared" si="1336"/>
        <v>0</v>
      </c>
      <c r="T7524" s="23" t="str">
        <f t="shared" si="1337"/>
        <v/>
      </c>
      <c r="U7524" t="str">
        <f t="shared" si="1338"/>
        <v/>
      </c>
    </row>
    <row r="7525" spans="1:21">
      <c r="A7525" t="str">
        <f t="shared" si="1333"/>
        <v>NY_Catta_2021g~-~town justice (vote for one) for town of machias, cattaraugus~vote for 1,</v>
      </c>
      <c r="B7525" t="s">
        <v>8101</v>
      </c>
      <c r="D7525" t="s">
        <v>8349</v>
      </c>
      <c r="E7525" t="s">
        <v>8350</v>
      </c>
      <c r="G7525">
        <v>259</v>
      </c>
      <c r="H7525">
        <v>1</v>
      </c>
      <c r="N7525"/>
      <c r="O7525">
        <f t="shared" si="1339"/>
        <v>1</v>
      </c>
      <c r="P7525" s="20">
        <v>1</v>
      </c>
      <c r="Q7525" s="267">
        <f t="shared" si="1334"/>
        <v>259</v>
      </c>
      <c r="R7525" s="23">
        <f t="shared" si="1335"/>
        <v>259</v>
      </c>
      <c r="S7525" s="23">
        <f t="shared" si="1336"/>
        <v>0</v>
      </c>
      <c r="T7525" s="23" t="str">
        <f t="shared" si="1337"/>
        <v/>
      </c>
      <c r="U7525" t="str">
        <f t="shared" si="1338"/>
        <v>NY_Catta_2021g~-~town justice (vote for one) for town of machias, cattaraugus~vote for 1,</v>
      </c>
    </row>
    <row r="7526" spans="1:21">
      <c r="A7526" t="str">
        <f t="shared" si="1333"/>
        <v>NY_Catta_2021g~-~town justice (vote for one) for town of machias, cattaraugus~vote for 1,</v>
      </c>
      <c r="B7526" t="s">
        <v>8101</v>
      </c>
      <c r="D7526" t="s">
        <v>8349</v>
      </c>
      <c r="E7526" t="s">
        <v>1299</v>
      </c>
      <c r="G7526">
        <v>0</v>
      </c>
      <c r="H7526">
        <v>0</v>
      </c>
      <c r="N7526"/>
      <c r="O7526">
        <f t="shared" si="1339"/>
        <v>-1</v>
      </c>
      <c r="P7526" s="20">
        <v>1</v>
      </c>
      <c r="Q7526" s="267">
        <f t="shared" si="1334"/>
        <v>0</v>
      </c>
      <c r="R7526" s="23">
        <f t="shared" si="1335"/>
        <v>1</v>
      </c>
      <c r="S7526" s="23">
        <f t="shared" si="1336"/>
        <v>0</v>
      </c>
      <c r="T7526" s="23" t="str">
        <f t="shared" si="1337"/>
        <v/>
      </c>
      <c r="U7526" t="str">
        <f t="shared" si="1338"/>
        <v/>
      </c>
    </row>
    <row r="7527" spans="1:21">
      <c r="A7527" t="str">
        <f t="shared" si="1333"/>
        <v>NY_Catta_2021g~-~town justice (vote for one) for town of new albion, cattaraugus~vote for 1,</v>
      </c>
      <c r="B7527" t="s">
        <v>8101</v>
      </c>
      <c r="D7527" t="s">
        <v>8351</v>
      </c>
      <c r="E7527" t="s">
        <v>8352</v>
      </c>
      <c r="G7527">
        <v>274</v>
      </c>
      <c r="H7527">
        <v>1</v>
      </c>
      <c r="N7527"/>
      <c r="O7527">
        <f t="shared" si="1339"/>
        <v>1</v>
      </c>
      <c r="P7527" s="20">
        <v>1</v>
      </c>
      <c r="Q7527" s="267">
        <f t="shared" si="1334"/>
        <v>274</v>
      </c>
      <c r="R7527" s="23">
        <f t="shared" si="1335"/>
        <v>274</v>
      </c>
      <c r="S7527" s="23">
        <f t="shared" si="1336"/>
        <v>0</v>
      </c>
      <c r="T7527" s="23" t="str">
        <f t="shared" si="1337"/>
        <v/>
      </c>
      <c r="U7527" t="str">
        <f t="shared" si="1338"/>
        <v>NY_Catta_2021g~-~town justice (vote for one) for town of new albion, cattaraugus~vote for 1,</v>
      </c>
    </row>
    <row r="7528" spans="1:21">
      <c r="A7528" t="str">
        <f t="shared" si="1333"/>
        <v>NY_Catta_2021g~-~town justice (vote for one) for town of new albion, cattaraugus~vote for 1,</v>
      </c>
      <c r="B7528" t="s">
        <v>8101</v>
      </c>
      <c r="D7528" t="s">
        <v>8351</v>
      </c>
      <c r="E7528" t="s">
        <v>1299</v>
      </c>
      <c r="G7528">
        <v>0</v>
      </c>
      <c r="H7528">
        <v>0</v>
      </c>
      <c r="N7528"/>
      <c r="O7528">
        <f t="shared" si="1339"/>
        <v>-1</v>
      </c>
      <c r="P7528" s="20">
        <v>1</v>
      </c>
      <c r="Q7528" s="267">
        <f t="shared" si="1334"/>
        <v>0</v>
      </c>
      <c r="R7528" s="23">
        <f t="shared" si="1335"/>
        <v>1</v>
      </c>
      <c r="S7528" s="23">
        <f t="shared" si="1336"/>
        <v>0</v>
      </c>
      <c r="T7528" s="23" t="str">
        <f t="shared" si="1337"/>
        <v/>
      </c>
      <c r="U7528" t="str">
        <f t="shared" si="1338"/>
        <v/>
      </c>
    </row>
    <row r="7529" spans="1:21">
      <c r="A7529" t="str">
        <f t="shared" si="1333"/>
        <v>NY_Catta_2021g~-~town justice (vote for one) for town of olean, cattaraugus~vote for 1,</v>
      </c>
      <c r="B7529" t="s">
        <v>8101</v>
      </c>
      <c r="D7529" t="s">
        <v>8353</v>
      </c>
      <c r="E7529" t="s">
        <v>8354</v>
      </c>
      <c r="G7529">
        <v>255</v>
      </c>
      <c r="H7529">
        <v>1</v>
      </c>
      <c r="N7529"/>
      <c r="O7529">
        <f t="shared" si="1339"/>
        <v>1</v>
      </c>
      <c r="P7529" s="20">
        <v>1</v>
      </c>
      <c r="Q7529" s="267">
        <f t="shared" si="1334"/>
        <v>255</v>
      </c>
      <c r="R7529" s="23">
        <f t="shared" si="1335"/>
        <v>255</v>
      </c>
      <c r="S7529" s="23">
        <f t="shared" si="1336"/>
        <v>0</v>
      </c>
      <c r="T7529" s="23" t="str">
        <f t="shared" si="1337"/>
        <v/>
      </c>
      <c r="U7529" t="str">
        <f t="shared" si="1338"/>
        <v>NY_Catta_2021g~-~town justice (vote for one) for town of olean, cattaraugus~vote for 1,</v>
      </c>
    </row>
    <row r="7530" spans="1:21">
      <c r="A7530" t="str">
        <f t="shared" si="1333"/>
        <v>NY_Catta_2021g~-~town justice (vote for one) for town of olean, cattaraugus~vote for 1,</v>
      </c>
      <c r="B7530" t="s">
        <v>8101</v>
      </c>
      <c r="D7530" t="s">
        <v>8353</v>
      </c>
      <c r="E7530" t="s">
        <v>1299</v>
      </c>
      <c r="G7530">
        <v>0</v>
      </c>
      <c r="H7530">
        <v>0</v>
      </c>
      <c r="N7530"/>
      <c r="O7530">
        <f t="shared" si="1339"/>
        <v>-1</v>
      </c>
      <c r="P7530" s="20">
        <v>1</v>
      </c>
      <c r="Q7530" s="267">
        <f t="shared" si="1334"/>
        <v>0</v>
      </c>
      <c r="R7530" s="23">
        <f t="shared" si="1335"/>
        <v>1</v>
      </c>
      <c r="S7530" s="23">
        <f t="shared" si="1336"/>
        <v>0</v>
      </c>
      <c r="T7530" s="23" t="str">
        <f t="shared" si="1337"/>
        <v/>
      </c>
      <c r="U7530" t="str">
        <f t="shared" si="1338"/>
        <v/>
      </c>
    </row>
    <row r="7531" spans="1:21">
      <c r="A7531" t="str">
        <f t="shared" si="1333"/>
        <v>NY_Catta_2021g~-~town justice (vote for one) for town of otto, cattaraugus~vote for 1,</v>
      </c>
      <c r="B7531" t="s">
        <v>8101</v>
      </c>
      <c r="D7531" t="s">
        <v>8355</v>
      </c>
      <c r="E7531" t="s">
        <v>8356</v>
      </c>
      <c r="G7531">
        <v>149</v>
      </c>
      <c r="H7531">
        <v>1</v>
      </c>
      <c r="N7531"/>
      <c r="O7531">
        <f t="shared" si="1339"/>
        <v>1</v>
      </c>
      <c r="P7531" s="20">
        <v>1</v>
      </c>
      <c r="Q7531" s="267">
        <f t="shared" si="1334"/>
        <v>149</v>
      </c>
      <c r="R7531" s="23">
        <f t="shared" si="1335"/>
        <v>149</v>
      </c>
      <c r="S7531" s="23">
        <f t="shared" si="1336"/>
        <v>0</v>
      </c>
      <c r="T7531" s="23" t="str">
        <f t="shared" si="1337"/>
        <v/>
      </c>
      <c r="U7531" t="str">
        <f t="shared" si="1338"/>
        <v>NY_Catta_2021g~-~town justice (vote for one) for town of otto, cattaraugus~vote for 1,</v>
      </c>
    </row>
    <row r="7532" spans="1:21">
      <c r="A7532" t="str">
        <f t="shared" si="1333"/>
        <v>NY_Catta_2021g~-~town justice (vote for one) for town of otto, cattaraugus~vote for 1,</v>
      </c>
      <c r="B7532" t="s">
        <v>8101</v>
      </c>
      <c r="D7532" t="s">
        <v>8355</v>
      </c>
      <c r="E7532" t="s">
        <v>1299</v>
      </c>
      <c r="G7532">
        <v>0</v>
      </c>
      <c r="H7532">
        <v>0</v>
      </c>
      <c r="N7532"/>
      <c r="O7532">
        <f t="shared" si="1339"/>
        <v>-1</v>
      </c>
      <c r="P7532" s="20">
        <v>1</v>
      </c>
      <c r="Q7532" s="267">
        <f t="shared" si="1334"/>
        <v>0</v>
      </c>
      <c r="R7532" s="23">
        <f t="shared" si="1335"/>
        <v>1</v>
      </c>
      <c r="S7532" s="23">
        <f t="shared" si="1336"/>
        <v>0</v>
      </c>
      <c r="T7532" s="23" t="str">
        <f t="shared" si="1337"/>
        <v/>
      </c>
      <c r="U7532" t="str">
        <f t="shared" si="1338"/>
        <v/>
      </c>
    </row>
    <row r="7533" spans="1:21">
      <c r="A7533" t="str">
        <f t="shared" si="1333"/>
        <v>NY_Catta_2021g~-alderman for ward 2, city of olean~vote for 1,</v>
      </c>
      <c r="B7533" t="s">
        <v>8101</v>
      </c>
      <c r="C7533" s="1"/>
      <c r="D7533" t="s">
        <v>8357</v>
      </c>
      <c r="E7533" s="12" t="s">
        <v>8358</v>
      </c>
      <c r="F7533" s="12"/>
      <c r="G7533" s="12">
        <v>246</v>
      </c>
      <c r="H7533" s="143">
        <v>0.73870000000000002</v>
      </c>
      <c r="J7533" s="143"/>
      <c r="K7533" s="143"/>
      <c r="L7533" s="143"/>
      <c r="M7533" s="143"/>
      <c r="N7533" s="143"/>
      <c r="O7533">
        <f t="shared" si="1339"/>
        <v>1</v>
      </c>
      <c r="P7533" s="134">
        <v>1</v>
      </c>
      <c r="Q7533" s="267">
        <f t="shared" si="1334"/>
        <v>333</v>
      </c>
      <c r="R7533" s="23">
        <f t="shared" si="1335"/>
        <v>246</v>
      </c>
      <c r="S7533" s="23">
        <f t="shared" si="1336"/>
        <v>82</v>
      </c>
      <c r="T7533" s="23">
        <f t="shared" si="1337"/>
        <v>164</v>
      </c>
      <c r="U7533" t="str">
        <f t="shared" si="1338"/>
        <v>NY_Catta_2021g~-alderman for ward 2, city of olean~vote for 1,</v>
      </c>
    </row>
    <row r="7534" spans="1:21">
      <c r="A7534" t="str">
        <f t="shared" ref="A7534:A7571" si="1340">CONCATENATE(B7534,"~",F7534,"-",LOWER(D7534))</f>
        <v>NY_Catta_2021g~-alderman for ward 2, city of olean~vote for 1,</v>
      </c>
      <c r="B7534" t="s">
        <v>8101</v>
      </c>
      <c r="C7534" s="1"/>
      <c r="D7534" t="s">
        <v>8357</v>
      </c>
      <c r="E7534" s="12" t="s">
        <v>8359</v>
      </c>
      <c r="F7534" s="12"/>
      <c r="G7534" s="12">
        <v>82</v>
      </c>
      <c r="H7534" s="143">
        <v>0.2462</v>
      </c>
      <c r="J7534" s="143"/>
      <c r="K7534" s="143"/>
      <c r="L7534" s="143"/>
      <c r="M7534" s="143"/>
      <c r="N7534" s="143"/>
      <c r="O7534">
        <f t="shared" si="1339"/>
        <v>2</v>
      </c>
      <c r="P7534" s="134">
        <v>1</v>
      </c>
      <c r="Q7534" s="267">
        <f t="shared" ref="Q7534:Q7571" si="1341">IF(A7534&lt;&gt;A7535,G7534,IF(A7534=A7533,G7534+Q7535,MAX(G7534,(G7534+Q7535)/P7534)))</f>
        <v>87</v>
      </c>
      <c r="R7534" s="23" t="str">
        <f t="shared" ref="R7534:R7571" si="1342">IF(O7534&gt;P7534,"",IF(O7534=P7534,G7534,IF(A7534=A7535,R7535,IF(O7534&lt;=0,1,G7534))))</f>
        <v/>
      </c>
      <c r="S7534" s="23">
        <f t="shared" ref="S7534:S7571" si="1343">IF(AND(O7534&gt;P7534,LOWER(LEFT(E7534,8))&lt;&gt;"write-in",LOWER(LEFT(E7534,8))&lt;&gt;"not qual"),G7534,IF(A7534=A7535,S7535,0))</f>
        <v>82</v>
      </c>
      <c r="T7534" s="23" t="str">
        <f t="shared" ref="T7534:T7571" si="1344">IF(OR(A7534=A7533,S7534=0),"",R7534-ABS(S7534))</f>
        <v/>
      </c>
      <c r="U7534" t="str">
        <f t="shared" ref="U7534:U7571" si="1345">IF(A7534=A7533,"",A7534)</f>
        <v/>
      </c>
    </row>
    <row r="7535" spans="1:21">
      <c r="A7535" t="str">
        <f t="shared" si="1340"/>
        <v>NY_Catta_2021g~-alderman for ward 2, city of olean~vote for 1,</v>
      </c>
      <c r="B7535" t="s">
        <v>8101</v>
      </c>
      <c r="C7535" s="1"/>
      <c r="D7535" t="s">
        <v>8357</v>
      </c>
      <c r="E7535" s="12" t="s">
        <v>1299</v>
      </c>
      <c r="F7535" s="12"/>
      <c r="G7535" s="12">
        <v>5</v>
      </c>
      <c r="H7535" s="143">
        <v>1.4999999999999999E-2</v>
      </c>
      <c r="J7535" s="143"/>
      <c r="K7535" s="143"/>
      <c r="L7535" s="143"/>
      <c r="M7535" s="143"/>
      <c r="N7535" s="143"/>
      <c r="O7535">
        <f t="shared" si="1339"/>
        <v>-2</v>
      </c>
      <c r="P7535" s="134">
        <v>1</v>
      </c>
      <c r="Q7535" s="267">
        <f t="shared" si="1341"/>
        <v>5</v>
      </c>
      <c r="R7535" s="23">
        <f t="shared" si="1342"/>
        <v>1</v>
      </c>
      <c r="S7535" s="23">
        <f t="shared" si="1343"/>
        <v>0</v>
      </c>
      <c r="T7535" s="23" t="str">
        <f t="shared" si="1344"/>
        <v/>
      </c>
      <c r="U7535" t="str">
        <f t="shared" si="1345"/>
        <v/>
      </c>
    </row>
    <row r="7536" spans="1:21">
      <c r="A7536" t="str">
        <f t="shared" si="1340"/>
        <v>NY_Catta_2021g~-alderman for ward 4, city of olean~vote for 1,</v>
      </c>
      <c r="B7536" t="s">
        <v>8101</v>
      </c>
      <c r="C7536" s="1"/>
      <c r="D7536" t="s">
        <v>8360</v>
      </c>
      <c r="E7536" s="12" t="s">
        <v>8361</v>
      </c>
      <c r="F7536" s="12"/>
      <c r="G7536" s="12">
        <v>137</v>
      </c>
      <c r="H7536" s="143">
        <v>0.55469999999999997</v>
      </c>
      <c r="J7536" s="143"/>
      <c r="K7536" s="143"/>
      <c r="L7536" s="143"/>
      <c r="M7536" s="143"/>
      <c r="N7536" s="143"/>
      <c r="O7536">
        <f t="shared" si="1339"/>
        <v>1</v>
      </c>
      <c r="P7536" s="134">
        <v>1</v>
      </c>
      <c r="Q7536" s="267">
        <f t="shared" si="1341"/>
        <v>247</v>
      </c>
      <c r="R7536" s="23">
        <f t="shared" si="1342"/>
        <v>137</v>
      </c>
      <c r="S7536" s="23">
        <f t="shared" si="1343"/>
        <v>100</v>
      </c>
      <c r="T7536" s="23">
        <f t="shared" si="1344"/>
        <v>37</v>
      </c>
      <c r="U7536" t="str">
        <f t="shared" si="1345"/>
        <v>NY_Catta_2021g~-alderman for ward 4, city of olean~vote for 1,</v>
      </c>
    </row>
    <row r="7537" spans="1:21">
      <c r="A7537" t="str">
        <f t="shared" si="1340"/>
        <v>NY_Catta_2021g~-alderman for ward 4, city of olean~vote for 1,</v>
      </c>
      <c r="B7537" t="s">
        <v>8101</v>
      </c>
      <c r="C7537" s="1"/>
      <c r="D7537" t="s">
        <v>8360</v>
      </c>
      <c r="E7537" s="12" t="s">
        <v>8362</v>
      </c>
      <c r="F7537" s="12"/>
      <c r="G7537" s="13">
        <v>100</v>
      </c>
      <c r="H7537" s="143">
        <v>0.40489999999999998</v>
      </c>
      <c r="J7537" s="143"/>
      <c r="K7537" s="143"/>
      <c r="L7537" s="143"/>
      <c r="M7537" s="143"/>
      <c r="N7537" s="143"/>
      <c r="O7537">
        <f t="shared" si="1339"/>
        <v>2</v>
      </c>
      <c r="P7537" s="134">
        <v>1</v>
      </c>
      <c r="Q7537" s="267">
        <f t="shared" si="1341"/>
        <v>110</v>
      </c>
      <c r="R7537" s="23" t="str">
        <f t="shared" si="1342"/>
        <v/>
      </c>
      <c r="S7537" s="23">
        <f t="shared" si="1343"/>
        <v>100</v>
      </c>
      <c r="T7537" s="23" t="str">
        <f t="shared" si="1344"/>
        <v/>
      </c>
      <c r="U7537" t="str">
        <f t="shared" si="1345"/>
        <v/>
      </c>
    </row>
    <row r="7538" spans="1:21">
      <c r="A7538" t="str">
        <f t="shared" si="1340"/>
        <v>NY_Catta_2021g~-alderman for ward 4, city of olean~vote for 1,</v>
      </c>
      <c r="B7538" t="s">
        <v>8101</v>
      </c>
      <c r="C7538" s="1"/>
      <c r="D7538" t="s">
        <v>8360</v>
      </c>
      <c r="E7538" s="12" t="s">
        <v>8363</v>
      </c>
      <c r="F7538" s="12"/>
      <c r="G7538" s="12">
        <v>10</v>
      </c>
      <c r="H7538" s="143">
        <v>4.0500000000000001E-2</v>
      </c>
      <c r="J7538" s="143"/>
      <c r="K7538" s="143"/>
      <c r="L7538" s="143"/>
      <c r="M7538" s="143"/>
      <c r="N7538" s="143"/>
      <c r="O7538">
        <f t="shared" si="1339"/>
        <v>3</v>
      </c>
      <c r="P7538" s="134">
        <v>1</v>
      </c>
      <c r="Q7538" s="267">
        <f t="shared" si="1341"/>
        <v>10</v>
      </c>
      <c r="R7538" s="23" t="str">
        <f t="shared" si="1342"/>
        <v/>
      </c>
      <c r="S7538" s="23">
        <f t="shared" si="1343"/>
        <v>10</v>
      </c>
      <c r="T7538" s="23" t="str">
        <f t="shared" si="1344"/>
        <v/>
      </c>
      <c r="U7538" t="str">
        <f t="shared" si="1345"/>
        <v/>
      </c>
    </row>
    <row r="7539" spans="1:21">
      <c r="A7539" t="str">
        <f t="shared" si="1340"/>
        <v>NY_Catta_2021g~-alderman for ward 4, city of olean~vote for 1,</v>
      </c>
      <c r="B7539" t="s">
        <v>8101</v>
      </c>
      <c r="C7539" s="1"/>
      <c r="D7539" t="s">
        <v>8360</v>
      </c>
      <c r="E7539" s="12" t="s">
        <v>1299</v>
      </c>
      <c r="F7539" s="12"/>
      <c r="G7539" s="13">
        <v>0</v>
      </c>
      <c r="H7539" s="143">
        <v>0</v>
      </c>
      <c r="J7539" s="143"/>
      <c r="K7539" s="143"/>
      <c r="L7539" s="143"/>
      <c r="M7539" s="143"/>
      <c r="N7539" s="143"/>
      <c r="O7539">
        <f t="shared" si="1339"/>
        <v>-3</v>
      </c>
      <c r="P7539" s="134">
        <v>1</v>
      </c>
      <c r="Q7539" s="267">
        <f t="shared" si="1341"/>
        <v>0</v>
      </c>
      <c r="R7539" s="23">
        <f t="shared" si="1342"/>
        <v>1</v>
      </c>
      <c r="S7539" s="23">
        <f t="shared" si="1343"/>
        <v>0</v>
      </c>
      <c r="T7539" s="23" t="str">
        <f t="shared" si="1344"/>
        <v/>
      </c>
      <c r="U7539" t="str">
        <f t="shared" si="1345"/>
        <v/>
      </c>
    </row>
    <row r="7540" spans="1:21">
      <c r="A7540" t="str">
        <f t="shared" si="1340"/>
        <v>NY_Catta_2021g~-alderman for ward 6, city of olean~vote for 1,</v>
      </c>
      <c r="B7540" t="s">
        <v>8101</v>
      </c>
      <c r="C7540" s="1"/>
      <c r="D7540" t="s">
        <v>8364</v>
      </c>
      <c r="E7540" s="12" t="s">
        <v>8365</v>
      </c>
      <c r="F7540" s="12"/>
      <c r="G7540" s="12">
        <v>165</v>
      </c>
      <c r="H7540" s="143">
        <v>0.58099999999999996</v>
      </c>
      <c r="J7540" s="143"/>
      <c r="K7540" s="143"/>
      <c r="L7540" s="143"/>
      <c r="M7540" s="143"/>
      <c r="N7540" s="143"/>
      <c r="O7540">
        <f t="shared" si="1339"/>
        <v>1</v>
      </c>
      <c r="P7540" s="134">
        <v>1</v>
      </c>
      <c r="Q7540" s="267">
        <f t="shared" si="1341"/>
        <v>292</v>
      </c>
      <c r="R7540" s="23">
        <f t="shared" si="1342"/>
        <v>165</v>
      </c>
      <c r="S7540" s="23">
        <f t="shared" si="1343"/>
        <v>119</v>
      </c>
      <c r="T7540" s="23">
        <f t="shared" si="1344"/>
        <v>46</v>
      </c>
      <c r="U7540" t="str">
        <f t="shared" si="1345"/>
        <v>NY_Catta_2021g~-alderman for ward 6, city of olean~vote for 1,</v>
      </c>
    </row>
    <row r="7541" spans="1:21">
      <c r="A7541" t="str">
        <f t="shared" si="1340"/>
        <v>NY_Catta_2021g~-alderman for ward 6, city of olean~vote for 1,</v>
      </c>
      <c r="B7541" t="s">
        <v>8101</v>
      </c>
      <c r="C7541" s="1"/>
      <c r="D7541" t="s">
        <v>8364</v>
      </c>
      <c r="E7541" s="12" t="s">
        <v>8366</v>
      </c>
      <c r="F7541" s="12"/>
      <c r="G7541" s="12">
        <v>119</v>
      </c>
      <c r="H7541" s="143">
        <v>0.41899999999999998</v>
      </c>
      <c r="J7541" s="143"/>
      <c r="K7541" s="143"/>
      <c r="L7541" s="143"/>
      <c r="M7541" s="143"/>
      <c r="N7541" s="143"/>
      <c r="O7541">
        <f t="shared" si="1339"/>
        <v>2</v>
      </c>
      <c r="P7541" s="134">
        <v>1</v>
      </c>
      <c r="Q7541" s="267">
        <f t="shared" si="1341"/>
        <v>127</v>
      </c>
      <c r="R7541" s="23" t="str">
        <f t="shared" si="1342"/>
        <v/>
      </c>
      <c r="S7541" s="23">
        <f t="shared" si="1343"/>
        <v>119</v>
      </c>
      <c r="T7541" s="23" t="str">
        <f t="shared" si="1344"/>
        <v/>
      </c>
      <c r="U7541" t="str">
        <f t="shared" si="1345"/>
        <v/>
      </c>
    </row>
    <row r="7542" spans="1:21">
      <c r="A7542" t="str">
        <f t="shared" si="1340"/>
        <v>NY_Catta_2021g~-alderman for ward 6, city of olean~vote for 1,</v>
      </c>
      <c r="B7542" t="s">
        <v>8101</v>
      </c>
      <c r="C7542" s="1"/>
      <c r="D7542" t="s">
        <v>8364</v>
      </c>
      <c r="E7542" s="12" t="s">
        <v>8367</v>
      </c>
      <c r="F7542" s="12"/>
      <c r="G7542" s="13">
        <v>8</v>
      </c>
      <c r="H7542" s="143">
        <v>2.8199999999999999E-2</v>
      </c>
      <c r="J7542" s="143"/>
      <c r="K7542" s="143"/>
      <c r="L7542" s="143"/>
      <c r="M7542" s="143"/>
      <c r="N7542" s="143"/>
      <c r="O7542">
        <f t="shared" si="1339"/>
        <v>3</v>
      </c>
      <c r="P7542" s="134">
        <v>1</v>
      </c>
      <c r="Q7542" s="267">
        <f t="shared" si="1341"/>
        <v>8</v>
      </c>
      <c r="R7542" s="23" t="str">
        <f t="shared" si="1342"/>
        <v/>
      </c>
      <c r="S7542" s="23">
        <f t="shared" si="1343"/>
        <v>8</v>
      </c>
      <c r="T7542" s="23" t="str">
        <f t="shared" si="1344"/>
        <v/>
      </c>
      <c r="U7542" t="str">
        <f t="shared" si="1345"/>
        <v/>
      </c>
    </row>
    <row r="7543" spans="1:21">
      <c r="A7543" t="str">
        <f t="shared" si="1340"/>
        <v>NY_Catta_2021g~-alderman for ward 6, city of olean~vote for 1,</v>
      </c>
      <c r="B7543" t="s">
        <v>8101</v>
      </c>
      <c r="C7543" s="1"/>
      <c r="D7543" t="s">
        <v>8364</v>
      </c>
      <c r="E7543" s="12" t="s">
        <v>1299</v>
      </c>
      <c r="F7543" s="12"/>
      <c r="G7543" s="13">
        <v>0</v>
      </c>
      <c r="H7543" s="143">
        <v>0</v>
      </c>
      <c r="J7543" s="143"/>
      <c r="K7543" s="143"/>
      <c r="L7543" s="143"/>
      <c r="M7543" s="143"/>
      <c r="N7543" s="143"/>
      <c r="O7543">
        <f t="shared" si="1339"/>
        <v>-3</v>
      </c>
      <c r="P7543" s="134">
        <v>1</v>
      </c>
      <c r="Q7543" s="267">
        <f t="shared" si="1341"/>
        <v>0</v>
      </c>
      <c r="R7543" s="23">
        <f t="shared" si="1342"/>
        <v>1</v>
      </c>
      <c r="S7543" s="23">
        <f t="shared" si="1343"/>
        <v>0</v>
      </c>
      <c r="T7543" s="23" t="str">
        <f t="shared" si="1344"/>
        <v/>
      </c>
      <c r="U7543" t="str">
        <f t="shared" si="1345"/>
        <v/>
      </c>
    </row>
    <row r="7544" spans="1:21">
      <c r="A7544" t="str">
        <f t="shared" si="1340"/>
        <v>NY_Catta_2021g~-alderman for ward 7, city of olean~vote for 1,</v>
      </c>
      <c r="B7544" t="s">
        <v>8101</v>
      </c>
      <c r="C7544" s="1"/>
      <c r="D7544" t="s">
        <v>8368</v>
      </c>
      <c r="E7544" s="12" t="s">
        <v>8369</v>
      </c>
      <c r="F7544" s="12"/>
      <c r="G7544" s="13">
        <v>187</v>
      </c>
      <c r="H7544" s="143">
        <v>0.96389999999999998</v>
      </c>
      <c r="J7544" s="143"/>
      <c r="K7544" s="143"/>
      <c r="L7544" s="143"/>
      <c r="M7544" s="143"/>
      <c r="N7544" s="143"/>
      <c r="O7544">
        <f t="shared" si="1339"/>
        <v>1</v>
      </c>
      <c r="P7544" s="134">
        <v>1</v>
      </c>
      <c r="Q7544" s="267">
        <f t="shared" si="1341"/>
        <v>194</v>
      </c>
      <c r="R7544" s="23">
        <f t="shared" si="1342"/>
        <v>187</v>
      </c>
      <c r="S7544" s="23">
        <f t="shared" si="1343"/>
        <v>0</v>
      </c>
      <c r="T7544" s="23" t="str">
        <f t="shared" si="1344"/>
        <v/>
      </c>
      <c r="U7544" t="str">
        <f t="shared" si="1345"/>
        <v>NY_Catta_2021g~-alderman for ward 7, city of olean~vote for 1,</v>
      </c>
    </row>
    <row r="7545" spans="1:21">
      <c r="A7545" t="str">
        <f t="shared" si="1340"/>
        <v>NY_Catta_2021g~-alderman for ward 7, city of olean~vote for 1,</v>
      </c>
      <c r="B7545" t="s">
        <v>8101</v>
      </c>
      <c r="C7545" s="1"/>
      <c r="D7545" t="s">
        <v>8368</v>
      </c>
      <c r="E7545" s="12" t="s">
        <v>1299</v>
      </c>
      <c r="F7545" s="12"/>
      <c r="G7545" s="13">
        <v>7</v>
      </c>
      <c r="H7545" s="143">
        <v>3.61E-2</v>
      </c>
      <c r="J7545" s="143"/>
      <c r="K7545" s="143"/>
      <c r="L7545" s="143"/>
      <c r="M7545" s="143"/>
      <c r="N7545" s="143"/>
      <c r="O7545">
        <f t="shared" si="1339"/>
        <v>-1</v>
      </c>
      <c r="P7545" s="134">
        <v>1</v>
      </c>
      <c r="Q7545" s="267">
        <f t="shared" si="1341"/>
        <v>7</v>
      </c>
      <c r="R7545" s="23">
        <f t="shared" si="1342"/>
        <v>1</v>
      </c>
      <c r="S7545" s="23">
        <f t="shared" si="1343"/>
        <v>0</v>
      </c>
      <c r="T7545" s="23" t="str">
        <f t="shared" si="1344"/>
        <v/>
      </c>
      <c r="U7545" t="str">
        <f t="shared" si="1345"/>
        <v/>
      </c>
    </row>
    <row r="7546" spans="1:21">
      <c r="A7546" t="str">
        <f t="shared" si="1340"/>
        <v>NY_Catta_2021g~-county coroner for cattaraugus~vote for 1,</v>
      </c>
      <c r="B7546" t="s">
        <v>8101</v>
      </c>
      <c r="C7546" s="1"/>
      <c r="D7546" t="s">
        <v>8370</v>
      </c>
      <c r="E7546" s="12" t="s">
        <v>8371</v>
      </c>
      <c r="F7546" s="12"/>
      <c r="G7546" s="12">
        <v>9580</v>
      </c>
      <c r="H7546" s="143">
        <v>0.99560000000000004</v>
      </c>
      <c r="J7546" s="143"/>
      <c r="K7546" s="143"/>
      <c r="L7546" s="143"/>
      <c r="M7546" s="143"/>
      <c r="N7546" s="143"/>
      <c r="O7546">
        <f t="shared" si="1339"/>
        <v>1</v>
      </c>
      <c r="P7546" s="134">
        <v>1</v>
      </c>
      <c r="Q7546" s="267">
        <f t="shared" si="1341"/>
        <v>9622</v>
      </c>
      <c r="R7546" s="23">
        <f t="shared" si="1342"/>
        <v>9580</v>
      </c>
      <c r="S7546" s="23">
        <f t="shared" si="1343"/>
        <v>0</v>
      </c>
      <c r="T7546" s="23" t="str">
        <f t="shared" si="1344"/>
        <v/>
      </c>
      <c r="U7546" t="str">
        <f t="shared" si="1345"/>
        <v>NY_Catta_2021g~-county coroner for cattaraugus~vote for 1,</v>
      </c>
    </row>
    <row r="7547" spans="1:21">
      <c r="A7547" t="str">
        <f t="shared" si="1340"/>
        <v>NY_Catta_2021g~-county coroner for cattaraugus~vote for 1,</v>
      </c>
      <c r="B7547" t="s">
        <v>8101</v>
      </c>
      <c r="C7547" s="1"/>
      <c r="D7547" t="s">
        <v>8370</v>
      </c>
      <c r="E7547" s="12" t="s">
        <v>1299</v>
      </c>
      <c r="F7547" s="12"/>
      <c r="G7547" s="12">
        <v>42</v>
      </c>
      <c r="H7547" s="143">
        <v>4.4000000000000003E-3</v>
      </c>
      <c r="J7547" s="143"/>
      <c r="K7547" s="143"/>
      <c r="L7547" s="143"/>
      <c r="M7547" s="143"/>
      <c r="N7547" s="143"/>
      <c r="O7547">
        <f t="shared" si="1339"/>
        <v>-1</v>
      </c>
      <c r="P7547" s="134">
        <v>1</v>
      </c>
      <c r="Q7547" s="267">
        <f t="shared" si="1341"/>
        <v>42</v>
      </c>
      <c r="R7547" s="23">
        <f t="shared" si="1342"/>
        <v>1</v>
      </c>
      <c r="S7547" s="23">
        <f t="shared" si="1343"/>
        <v>0</v>
      </c>
      <c r="T7547" s="23" t="str">
        <f t="shared" si="1344"/>
        <v/>
      </c>
      <c r="U7547" t="str">
        <f t="shared" si="1345"/>
        <v/>
      </c>
    </row>
    <row r="7548" spans="1:21">
      <c r="A7548" t="str">
        <f t="shared" si="1340"/>
        <v>NY_Catta_2021g~-county sheriff for cattaraugus~vote for 1,</v>
      </c>
      <c r="B7548" t="s">
        <v>8101</v>
      </c>
      <c r="C7548" s="1"/>
      <c r="D7548" t="s">
        <v>8372</v>
      </c>
      <c r="E7548" s="12" t="s">
        <v>8373</v>
      </c>
      <c r="F7548" s="12"/>
      <c r="G7548" s="12">
        <v>10583</v>
      </c>
      <c r="H7548" s="143">
        <v>0.99650000000000005</v>
      </c>
      <c r="J7548" s="143"/>
      <c r="K7548" s="143"/>
      <c r="L7548" s="143"/>
      <c r="M7548" s="143"/>
      <c r="N7548" s="143"/>
      <c r="O7548">
        <f t="shared" si="1339"/>
        <v>1</v>
      </c>
      <c r="P7548" s="134">
        <v>1</v>
      </c>
      <c r="Q7548" s="267">
        <f t="shared" si="1341"/>
        <v>10620</v>
      </c>
      <c r="R7548" s="23">
        <f t="shared" si="1342"/>
        <v>10583</v>
      </c>
      <c r="S7548" s="23">
        <f t="shared" si="1343"/>
        <v>0</v>
      </c>
      <c r="T7548" s="23" t="str">
        <f t="shared" si="1344"/>
        <v/>
      </c>
      <c r="U7548" t="str">
        <f t="shared" si="1345"/>
        <v>NY_Catta_2021g~-county sheriff for cattaraugus~vote for 1,</v>
      </c>
    </row>
    <row r="7549" spans="1:21">
      <c r="A7549" t="str">
        <f t="shared" si="1340"/>
        <v>NY_Catta_2021g~-county sheriff for cattaraugus~vote for 1,</v>
      </c>
      <c r="B7549" t="s">
        <v>8101</v>
      </c>
      <c r="C7549" s="1"/>
      <c r="D7549" t="s">
        <v>8372</v>
      </c>
      <c r="E7549" s="12" t="s">
        <v>1299</v>
      </c>
      <c r="F7549" s="12"/>
      <c r="G7549" s="12">
        <v>37</v>
      </c>
      <c r="H7549" s="143">
        <v>3.5000000000000001E-3</v>
      </c>
      <c r="J7549" s="143"/>
      <c r="K7549" s="143"/>
      <c r="L7549" s="143"/>
      <c r="M7549" s="143"/>
      <c r="N7549" s="143"/>
      <c r="O7549">
        <f t="shared" si="1339"/>
        <v>-1</v>
      </c>
      <c r="P7549" s="134">
        <v>1</v>
      </c>
      <c r="Q7549" s="267">
        <f t="shared" si="1341"/>
        <v>37</v>
      </c>
      <c r="R7549" s="23">
        <f t="shared" si="1342"/>
        <v>1</v>
      </c>
      <c r="S7549" s="23">
        <f t="shared" si="1343"/>
        <v>0</v>
      </c>
      <c r="T7549" s="23" t="str">
        <f t="shared" si="1344"/>
        <v/>
      </c>
      <c r="U7549" t="str">
        <f t="shared" si="1345"/>
        <v/>
      </c>
    </row>
    <row r="7550" spans="1:21">
      <c r="A7550" t="str">
        <f t="shared" si="1340"/>
        <v>NY_Catta_2021g~-district attorney for cattaraugus~vote for 1,</v>
      </c>
      <c r="B7550" t="s">
        <v>8101</v>
      </c>
      <c r="C7550" s="1"/>
      <c r="D7550" t="s">
        <v>8374</v>
      </c>
      <c r="E7550" s="12" t="s">
        <v>8375</v>
      </c>
      <c r="F7550" s="12"/>
      <c r="G7550" s="12">
        <v>9254</v>
      </c>
      <c r="H7550" s="143">
        <v>0.99409999999999998</v>
      </c>
      <c r="J7550" s="143"/>
      <c r="K7550" s="143"/>
      <c r="L7550" s="143"/>
      <c r="M7550" s="143"/>
      <c r="N7550" s="143"/>
      <c r="O7550">
        <f t="shared" si="1339"/>
        <v>1</v>
      </c>
      <c r="P7550" s="134">
        <v>1</v>
      </c>
      <c r="Q7550" s="267">
        <f t="shared" si="1341"/>
        <v>9309</v>
      </c>
      <c r="R7550" s="23">
        <f t="shared" si="1342"/>
        <v>9254</v>
      </c>
      <c r="S7550" s="23">
        <f t="shared" si="1343"/>
        <v>0</v>
      </c>
      <c r="T7550" s="23" t="str">
        <f t="shared" si="1344"/>
        <v/>
      </c>
      <c r="U7550" t="str">
        <f t="shared" si="1345"/>
        <v>NY_Catta_2021g~-district attorney for cattaraugus~vote for 1,</v>
      </c>
    </row>
    <row r="7551" spans="1:21">
      <c r="A7551" t="str">
        <f t="shared" si="1340"/>
        <v>NY_Catta_2021g~-district attorney for cattaraugus~vote for 1,</v>
      </c>
      <c r="B7551" t="s">
        <v>8101</v>
      </c>
      <c r="C7551" s="1"/>
      <c r="D7551" t="s">
        <v>8374</v>
      </c>
      <c r="E7551" s="12" t="s">
        <v>1299</v>
      </c>
      <c r="F7551" s="12"/>
      <c r="G7551" s="12">
        <v>55</v>
      </c>
      <c r="H7551" s="143">
        <v>5.8999999999999999E-3</v>
      </c>
      <c r="J7551" s="143"/>
      <c r="K7551" s="143"/>
      <c r="L7551" s="143"/>
      <c r="M7551" s="143"/>
      <c r="N7551" s="143"/>
      <c r="O7551">
        <f t="shared" si="1339"/>
        <v>-1</v>
      </c>
      <c r="P7551" s="134">
        <v>1</v>
      </c>
      <c r="Q7551" s="267">
        <f t="shared" si="1341"/>
        <v>55</v>
      </c>
      <c r="R7551" s="23">
        <f t="shared" si="1342"/>
        <v>1</v>
      </c>
      <c r="S7551" s="23">
        <f t="shared" si="1343"/>
        <v>0</v>
      </c>
      <c r="T7551" s="23" t="str">
        <f t="shared" si="1344"/>
        <v/>
      </c>
      <c r="U7551" t="str">
        <f t="shared" si="1345"/>
        <v/>
      </c>
    </row>
    <row r="7552" spans="1:21">
      <c r="A7552" t="str">
        <f t="shared" si="1340"/>
        <v>NY_Catta_2021g~-mayor for city of olean, cattaraugus~vote for 1,</v>
      </c>
      <c r="B7552" t="s">
        <v>8101</v>
      </c>
      <c r="C7552" s="1"/>
      <c r="D7552" t="s">
        <v>8376</v>
      </c>
      <c r="E7552" s="12" t="s">
        <v>8377</v>
      </c>
      <c r="F7552" s="12"/>
      <c r="G7552" s="12">
        <v>1411</v>
      </c>
      <c r="H7552" s="143">
        <v>0.73219999999999996</v>
      </c>
      <c r="J7552" s="143"/>
      <c r="K7552" s="143"/>
      <c r="L7552" s="143"/>
      <c r="M7552" s="143"/>
      <c r="N7552" s="143"/>
      <c r="O7552">
        <f t="shared" si="1339"/>
        <v>1</v>
      </c>
      <c r="P7552" s="134">
        <v>1</v>
      </c>
      <c r="Q7552" s="267">
        <f t="shared" si="1341"/>
        <v>1927</v>
      </c>
      <c r="R7552" s="23">
        <f t="shared" si="1342"/>
        <v>1411</v>
      </c>
      <c r="S7552" s="23">
        <f t="shared" si="1343"/>
        <v>493</v>
      </c>
      <c r="T7552" s="23">
        <f t="shared" si="1344"/>
        <v>918</v>
      </c>
      <c r="U7552" t="str">
        <f t="shared" si="1345"/>
        <v>NY_Catta_2021g~-mayor for city of olean, cattaraugus~vote for 1,</v>
      </c>
    </row>
    <row r="7553" spans="1:21">
      <c r="A7553" t="str">
        <f t="shared" si="1340"/>
        <v>NY_Catta_2021g~-mayor for city of olean, cattaraugus~vote for 1,</v>
      </c>
      <c r="B7553" t="s">
        <v>8101</v>
      </c>
      <c r="C7553" s="1"/>
      <c r="D7553" t="s">
        <v>8376</v>
      </c>
      <c r="E7553" s="12" t="s">
        <v>8378</v>
      </c>
      <c r="F7553" s="12"/>
      <c r="G7553" s="12">
        <v>493</v>
      </c>
      <c r="H7553" s="143">
        <v>0.25580000000000003</v>
      </c>
      <c r="J7553" s="143"/>
      <c r="K7553" s="143"/>
      <c r="L7553" s="143"/>
      <c r="M7553" s="143"/>
      <c r="N7553" s="143"/>
      <c r="O7553">
        <f t="shared" si="1339"/>
        <v>2</v>
      </c>
      <c r="P7553" s="134">
        <v>1</v>
      </c>
      <c r="Q7553" s="267">
        <f t="shared" si="1341"/>
        <v>516</v>
      </c>
      <c r="R7553" s="23" t="str">
        <f t="shared" si="1342"/>
        <v/>
      </c>
      <c r="S7553" s="23">
        <f t="shared" si="1343"/>
        <v>493</v>
      </c>
      <c r="T7553" s="23" t="str">
        <f t="shared" si="1344"/>
        <v/>
      </c>
      <c r="U7553" t="str">
        <f t="shared" si="1345"/>
        <v/>
      </c>
    </row>
    <row r="7554" spans="1:21">
      <c r="A7554" t="str">
        <f t="shared" si="1340"/>
        <v>NY_Catta_2021g~-mayor for city of olean, cattaraugus~vote for 1,</v>
      </c>
      <c r="B7554" t="s">
        <v>8101</v>
      </c>
      <c r="C7554" s="1"/>
      <c r="D7554" t="s">
        <v>8376</v>
      </c>
      <c r="E7554" s="12" t="s">
        <v>1299</v>
      </c>
      <c r="F7554" s="12"/>
      <c r="G7554" s="12">
        <v>23</v>
      </c>
      <c r="H7554" s="143">
        <v>1.1900000000000001E-2</v>
      </c>
      <c r="J7554" s="143"/>
      <c r="K7554" s="143"/>
      <c r="L7554" s="143"/>
      <c r="M7554" s="143"/>
      <c r="N7554" s="143"/>
      <c r="O7554">
        <f t="shared" si="1339"/>
        <v>-2</v>
      </c>
      <c r="P7554" s="134">
        <v>1</v>
      </c>
      <c r="Q7554" s="267">
        <f t="shared" si="1341"/>
        <v>23</v>
      </c>
      <c r="R7554" s="23">
        <f t="shared" si="1342"/>
        <v>1</v>
      </c>
      <c r="S7554" s="23">
        <f t="shared" si="1343"/>
        <v>0</v>
      </c>
      <c r="T7554" s="23" t="str">
        <f t="shared" si="1344"/>
        <v/>
      </c>
      <c r="U7554" t="str">
        <f t="shared" si="1345"/>
        <v/>
      </c>
    </row>
    <row r="7555" spans="1:21">
      <c r="A7555" t="str">
        <f t="shared" si="1340"/>
        <v>NY_Catta_2021g~-proposal five, an amendment for cattaraugus~vote for 1,</v>
      </c>
      <c r="B7555" t="s">
        <v>8101</v>
      </c>
      <c r="D7555" t="s">
        <v>8379</v>
      </c>
      <c r="E7555" t="s">
        <v>1394</v>
      </c>
      <c r="G7555">
        <v>6890</v>
      </c>
      <c r="H7555">
        <v>0.63109999999999999</v>
      </c>
      <c r="N7555"/>
      <c r="O7555">
        <f t="shared" si="1339"/>
        <v>1</v>
      </c>
      <c r="P7555" s="20">
        <v>1</v>
      </c>
      <c r="Q7555" s="267">
        <f t="shared" si="1341"/>
        <v>10918</v>
      </c>
      <c r="R7555" s="23">
        <f t="shared" si="1342"/>
        <v>6890</v>
      </c>
      <c r="S7555" s="23">
        <f t="shared" si="1343"/>
        <v>4028</v>
      </c>
      <c r="T7555" s="23">
        <f t="shared" si="1344"/>
        <v>2862</v>
      </c>
      <c r="U7555" t="str">
        <f t="shared" si="1345"/>
        <v>NY_Catta_2021g~-proposal five, an amendment for cattaraugus~vote for 1,</v>
      </c>
    </row>
    <row r="7556" spans="1:21">
      <c r="A7556" t="str">
        <f t="shared" si="1340"/>
        <v>NY_Catta_2021g~-proposal five, an amendment for cattaraugus~vote for 1,</v>
      </c>
      <c r="B7556" t="s">
        <v>8101</v>
      </c>
      <c r="D7556" t="s">
        <v>8379</v>
      </c>
      <c r="E7556" t="s">
        <v>1393</v>
      </c>
      <c r="G7556">
        <v>4028</v>
      </c>
      <c r="H7556">
        <v>0.36890000000000001</v>
      </c>
      <c r="N7556"/>
      <c r="O7556">
        <f t="shared" si="1339"/>
        <v>2</v>
      </c>
      <c r="P7556" s="20">
        <v>1</v>
      </c>
      <c r="Q7556" s="267">
        <f t="shared" si="1341"/>
        <v>4028</v>
      </c>
      <c r="R7556" s="23" t="str">
        <f t="shared" si="1342"/>
        <v/>
      </c>
      <c r="S7556" s="23">
        <f t="shared" si="1343"/>
        <v>4028</v>
      </c>
      <c r="T7556" s="23" t="str">
        <f t="shared" si="1344"/>
        <v/>
      </c>
      <c r="U7556" t="str">
        <f t="shared" si="1345"/>
        <v/>
      </c>
    </row>
    <row r="7557" spans="1:21">
      <c r="A7557" t="str">
        <f t="shared" si="1340"/>
        <v>NY_Catta_2021g~-proposal four, an amendment for cattaraugus~vote for 1,</v>
      </c>
      <c r="B7557" t="s">
        <v>8101</v>
      </c>
      <c r="D7557" t="s">
        <v>8380</v>
      </c>
      <c r="E7557" t="s">
        <v>1394</v>
      </c>
      <c r="G7557">
        <v>9089</v>
      </c>
      <c r="H7557">
        <v>0.79469999999999996</v>
      </c>
      <c r="N7557"/>
      <c r="O7557">
        <f t="shared" si="1339"/>
        <v>1</v>
      </c>
      <c r="P7557" s="20">
        <v>1</v>
      </c>
      <c r="Q7557" s="267">
        <f t="shared" si="1341"/>
        <v>11437</v>
      </c>
      <c r="R7557" s="23">
        <f t="shared" si="1342"/>
        <v>9089</v>
      </c>
      <c r="S7557" s="23">
        <f t="shared" si="1343"/>
        <v>2348</v>
      </c>
      <c r="T7557" s="23">
        <f t="shared" si="1344"/>
        <v>6741</v>
      </c>
      <c r="U7557" t="str">
        <f t="shared" si="1345"/>
        <v>NY_Catta_2021g~-proposal four, an amendment for cattaraugus~vote for 1,</v>
      </c>
    </row>
    <row r="7558" spans="1:21">
      <c r="A7558" t="str">
        <f t="shared" si="1340"/>
        <v>NY_Catta_2021g~-proposal four, an amendment for cattaraugus~vote for 1,</v>
      </c>
      <c r="B7558" t="s">
        <v>8101</v>
      </c>
      <c r="D7558" t="s">
        <v>8380</v>
      </c>
      <c r="E7558" t="s">
        <v>1393</v>
      </c>
      <c r="G7558">
        <v>2348</v>
      </c>
      <c r="H7558">
        <v>0.20530000000000001</v>
      </c>
      <c r="N7558"/>
      <c r="O7558">
        <f t="shared" si="1339"/>
        <v>2</v>
      </c>
      <c r="P7558" s="20">
        <v>1</v>
      </c>
      <c r="Q7558" s="267">
        <f t="shared" si="1341"/>
        <v>2348</v>
      </c>
      <c r="R7558" s="23" t="str">
        <f t="shared" si="1342"/>
        <v/>
      </c>
      <c r="S7558" s="23">
        <f t="shared" si="1343"/>
        <v>2348</v>
      </c>
      <c r="T7558" s="23" t="str">
        <f t="shared" si="1344"/>
        <v/>
      </c>
      <c r="U7558" t="str">
        <f t="shared" si="1345"/>
        <v/>
      </c>
    </row>
    <row r="7559" spans="1:21">
      <c r="A7559" t="str">
        <f t="shared" si="1340"/>
        <v>NY_Catta_2021g~-proposal one, an amendment for cattaraugus~vote for 1,</v>
      </c>
      <c r="B7559" t="s">
        <v>8101</v>
      </c>
      <c r="D7559" t="s">
        <v>8381</v>
      </c>
      <c r="E7559" t="s">
        <v>1394</v>
      </c>
      <c r="G7559">
        <v>9063</v>
      </c>
      <c r="H7559">
        <v>0.79669999999999996</v>
      </c>
      <c r="N7559"/>
      <c r="O7559">
        <f t="shared" si="1339"/>
        <v>1</v>
      </c>
      <c r="P7559" s="20">
        <v>1</v>
      </c>
      <c r="Q7559" s="267">
        <f t="shared" si="1341"/>
        <v>11375</v>
      </c>
      <c r="R7559" s="23">
        <f t="shared" si="1342"/>
        <v>9063</v>
      </c>
      <c r="S7559" s="23">
        <f t="shared" si="1343"/>
        <v>2312</v>
      </c>
      <c r="T7559" s="23">
        <f t="shared" si="1344"/>
        <v>6751</v>
      </c>
      <c r="U7559" t="str">
        <f t="shared" si="1345"/>
        <v>NY_Catta_2021g~-proposal one, an amendment for cattaraugus~vote for 1,</v>
      </c>
    </row>
    <row r="7560" spans="1:21">
      <c r="A7560" t="str">
        <f t="shared" si="1340"/>
        <v>NY_Catta_2021g~-proposal one, an amendment for cattaraugus~vote for 1,</v>
      </c>
      <c r="B7560" t="s">
        <v>8101</v>
      </c>
      <c r="D7560" t="s">
        <v>8381</v>
      </c>
      <c r="E7560" t="s">
        <v>1393</v>
      </c>
      <c r="G7560">
        <v>2312</v>
      </c>
      <c r="H7560">
        <v>0.20330000000000001</v>
      </c>
      <c r="N7560"/>
      <c r="O7560">
        <f t="shared" si="1339"/>
        <v>2</v>
      </c>
      <c r="P7560" s="20">
        <v>1</v>
      </c>
      <c r="Q7560" s="267">
        <f t="shared" si="1341"/>
        <v>2312</v>
      </c>
      <c r="R7560" s="23" t="str">
        <f t="shared" si="1342"/>
        <v/>
      </c>
      <c r="S7560" s="23">
        <f t="shared" si="1343"/>
        <v>2312</v>
      </c>
      <c r="T7560" s="23" t="str">
        <f t="shared" si="1344"/>
        <v/>
      </c>
      <c r="U7560" t="str">
        <f t="shared" si="1345"/>
        <v/>
      </c>
    </row>
    <row r="7561" spans="1:21">
      <c r="A7561" t="str">
        <f t="shared" si="1340"/>
        <v>NY_Catta_2021g~-proposal three, an amendment for cattaraugus~vote for 1,</v>
      </c>
      <c r="B7561" t="s">
        <v>8101</v>
      </c>
      <c r="D7561" t="s">
        <v>8382</v>
      </c>
      <c r="E7561" t="s">
        <v>1394</v>
      </c>
      <c r="G7561">
        <v>9455</v>
      </c>
      <c r="H7561">
        <v>0.82420000000000004</v>
      </c>
      <c r="N7561"/>
      <c r="O7561">
        <f t="shared" si="1339"/>
        <v>1</v>
      </c>
      <c r="P7561" s="20">
        <v>1</v>
      </c>
      <c r="Q7561" s="267">
        <f t="shared" si="1341"/>
        <v>11472</v>
      </c>
      <c r="R7561" s="23">
        <f t="shared" si="1342"/>
        <v>9455</v>
      </c>
      <c r="S7561" s="23">
        <f t="shared" si="1343"/>
        <v>2017</v>
      </c>
      <c r="T7561" s="23">
        <f t="shared" si="1344"/>
        <v>7438</v>
      </c>
      <c r="U7561" t="str">
        <f t="shared" si="1345"/>
        <v>NY_Catta_2021g~-proposal three, an amendment for cattaraugus~vote for 1,</v>
      </c>
    </row>
    <row r="7562" spans="1:21">
      <c r="A7562" t="str">
        <f t="shared" si="1340"/>
        <v>NY_Catta_2021g~-proposal three, an amendment for cattaraugus~vote for 1,</v>
      </c>
      <c r="B7562" t="s">
        <v>8101</v>
      </c>
      <c r="D7562" t="s">
        <v>8382</v>
      </c>
      <c r="E7562" t="s">
        <v>1393</v>
      </c>
      <c r="G7562">
        <v>2017</v>
      </c>
      <c r="H7562">
        <v>0.17580000000000001</v>
      </c>
      <c r="N7562"/>
      <c r="O7562">
        <f t="shared" ref="O7562:O7571" si="1346">IF(OR(LOWER(LEFT(E7562,8))="write-in",LOWER(LEFT(E7562,8))="not qual"),IF(A7562=A7561,-ABS(O7561),0),IF(A7562=A7561,ABS(O7561)+1,1))</f>
        <v>2</v>
      </c>
      <c r="P7562" s="20">
        <v>1</v>
      </c>
      <c r="Q7562" s="267">
        <f t="shared" si="1341"/>
        <v>2017</v>
      </c>
      <c r="R7562" s="23" t="str">
        <f t="shared" si="1342"/>
        <v/>
      </c>
      <c r="S7562" s="23">
        <f t="shared" si="1343"/>
        <v>2017</v>
      </c>
      <c r="T7562" s="23" t="str">
        <f t="shared" si="1344"/>
        <v/>
      </c>
      <c r="U7562" t="str">
        <f t="shared" si="1345"/>
        <v/>
      </c>
    </row>
    <row r="7563" spans="1:21">
      <c r="A7563" t="str">
        <f t="shared" si="1340"/>
        <v>NY_Catta_2021g~-proposal two, an amendment for cattaraugus~vote for 1,</v>
      </c>
      <c r="B7563" t="s">
        <v>8101</v>
      </c>
      <c r="D7563" t="s">
        <v>8383</v>
      </c>
      <c r="E7563" t="s">
        <v>1394</v>
      </c>
      <c r="G7563">
        <v>6040</v>
      </c>
      <c r="H7563">
        <v>0.53800000000000003</v>
      </c>
      <c r="N7563"/>
      <c r="O7563">
        <f t="shared" si="1346"/>
        <v>1</v>
      </c>
      <c r="P7563" s="20">
        <v>1</v>
      </c>
      <c r="Q7563" s="267">
        <f t="shared" si="1341"/>
        <v>11227</v>
      </c>
      <c r="R7563" s="23">
        <f t="shared" si="1342"/>
        <v>6040</v>
      </c>
      <c r="S7563" s="23">
        <f t="shared" si="1343"/>
        <v>5187</v>
      </c>
      <c r="T7563" s="23">
        <f t="shared" si="1344"/>
        <v>853</v>
      </c>
      <c r="U7563" t="str">
        <f t="shared" si="1345"/>
        <v>NY_Catta_2021g~-proposal two, an amendment for cattaraugus~vote for 1,</v>
      </c>
    </row>
    <row r="7564" spans="1:21">
      <c r="A7564" t="str">
        <f t="shared" si="1340"/>
        <v>NY_Catta_2021g~-proposal two, an amendment for cattaraugus~vote for 1,</v>
      </c>
      <c r="B7564" t="s">
        <v>8101</v>
      </c>
      <c r="D7564" t="s">
        <v>8383</v>
      </c>
      <c r="E7564" t="s">
        <v>1393</v>
      </c>
      <c r="G7564">
        <v>5187</v>
      </c>
      <c r="H7564">
        <v>0.46200000000000002</v>
      </c>
      <c r="N7564"/>
      <c r="O7564">
        <f t="shared" si="1346"/>
        <v>2</v>
      </c>
      <c r="P7564" s="20">
        <v>1</v>
      </c>
      <c r="Q7564" s="267">
        <f t="shared" si="1341"/>
        <v>5187</v>
      </c>
      <c r="R7564" s="23" t="str">
        <f t="shared" si="1342"/>
        <v/>
      </c>
      <c r="S7564" s="23">
        <f t="shared" si="1343"/>
        <v>5187</v>
      </c>
      <c r="T7564" s="23" t="str">
        <f t="shared" si="1344"/>
        <v/>
      </c>
      <c r="U7564" t="str">
        <f t="shared" si="1345"/>
        <v/>
      </c>
    </row>
    <row r="7565" spans="1:21">
      <c r="A7565" t="str">
        <f t="shared" si="1340"/>
        <v>NY_Catta_2021g~-state supreme court justice 8th judicial district for assembly 148, cattaraugus~vote for 4,</v>
      </c>
      <c r="B7565" t="s">
        <v>8101</v>
      </c>
      <c r="C7565" s="1"/>
      <c r="D7565" t="s">
        <v>8384</v>
      </c>
      <c r="E7565" s="12" t="s">
        <v>8385</v>
      </c>
      <c r="F7565" s="12"/>
      <c r="G7565" s="12">
        <v>9643</v>
      </c>
      <c r="H7565" s="143">
        <v>0.25979999999999998</v>
      </c>
      <c r="J7565" s="143"/>
      <c r="K7565" s="143"/>
      <c r="L7565" s="143"/>
      <c r="M7565" s="143"/>
      <c r="N7565" s="143"/>
      <c r="O7565">
        <f t="shared" si="1346"/>
        <v>1</v>
      </c>
      <c r="P7565" s="134">
        <v>4</v>
      </c>
      <c r="Q7565" s="267">
        <f t="shared" si="1341"/>
        <v>9643</v>
      </c>
      <c r="R7565" s="23">
        <f t="shared" si="1342"/>
        <v>9061</v>
      </c>
      <c r="S7565" s="23">
        <f t="shared" si="1343"/>
        <v>0</v>
      </c>
      <c r="T7565" s="23" t="str">
        <f t="shared" si="1344"/>
        <v/>
      </c>
      <c r="U7565" t="str">
        <f t="shared" si="1345"/>
        <v>NY_Catta_2021g~-state supreme court justice 8th judicial district for assembly 148, cattaraugus~vote for 4,</v>
      </c>
    </row>
    <row r="7566" spans="1:21">
      <c r="A7566" t="str">
        <f t="shared" si="1340"/>
        <v>NY_Catta_2021g~-state supreme court justice 8th judicial district for assembly 148, cattaraugus~vote for 4,</v>
      </c>
      <c r="B7566" t="s">
        <v>8101</v>
      </c>
      <c r="C7566" s="1"/>
      <c r="D7566" t="s">
        <v>8384</v>
      </c>
      <c r="E7566" s="12" t="s">
        <v>8386</v>
      </c>
      <c r="F7566" s="12"/>
      <c r="G7566" s="12">
        <v>9243</v>
      </c>
      <c r="H7566" s="143">
        <v>0.249</v>
      </c>
      <c r="J7566" s="143"/>
      <c r="K7566" s="143"/>
      <c r="L7566" s="143"/>
      <c r="M7566" s="143"/>
      <c r="N7566" s="143"/>
      <c r="O7566">
        <f t="shared" si="1346"/>
        <v>2</v>
      </c>
      <c r="P7566" s="134">
        <v>4</v>
      </c>
      <c r="Q7566" s="267">
        <f t="shared" si="1341"/>
        <v>27471</v>
      </c>
      <c r="R7566" s="23">
        <f t="shared" si="1342"/>
        <v>9061</v>
      </c>
      <c r="S7566" s="23">
        <f t="shared" si="1343"/>
        <v>0</v>
      </c>
      <c r="T7566" s="23" t="str">
        <f t="shared" si="1344"/>
        <v/>
      </c>
      <c r="U7566" t="str">
        <f t="shared" si="1345"/>
        <v/>
      </c>
    </row>
    <row r="7567" spans="1:21">
      <c r="A7567" t="str">
        <f t="shared" si="1340"/>
        <v>NY_Catta_2021g~-state supreme court justice 8th judicial district for assembly 148, cattaraugus~vote for 4,</v>
      </c>
      <c r="B7567" t="s">
        <v>8101</v>
      </c>
      <c r="C7567" s="1"/>
      <c r="D7567" t="s">
        <v>8384</v>
      </c>
      <c r="E7567" s="12" t="s">
        <v>8387</v>
      </c>
      <c r="F7567" s="12"/>
      <c r="G7567" s="12">
        <v>9103</v>
      </c>
      <c r="H7567" s="143">
        <v>0.24529999999999999</v>
      </c>
      <c r="J7567" s="143"/>
      <c r="K7567" s="143"/>
      <c r="L7567" s="143"/>
      <c r="M7567" s="143"/>
      <c r="N7567" s="143"/>
      <c r="O7567">
        <f t="shared" si="1346"/>
        <v>3</v>
      </c>
      <c r="P7567" s="134">
        <v>4</v>
      </c>
      <c r="Q7567" s="267">
        <f t="shared" si="1341"/>
        <v>18228</v>
      </c>
      <c r="R7567" s="23">
        <f t="shared" si="1342"/>
        <v>9061</v>
      </c>
      <c r="S7567" s="23">
        <f t="shared" si="1343"/>
        <v>0</v>
      </c>
      <c r="T7567" s="23" t="str">
        <f t="shared" si="1344"/>
        <v/>
      </c>
      <c r="U7567" t="str">
        <f t="shared" si="1345"/>
        <v/>
      </c>
    </row>
    <row r="7568" spans="1:21">
      <c r="A7568" t="str">
        <f t="shared" si="1340"/>
        <v>NY_Catta_2021g~-state supreme court justice 8th judicial district for assembly 148, cattaraugus~vote for 4,</v>
      </c>
      <c r="B7568" t="s">
        <v>8101</v>
      </c>
      <c r="C7568" s="1"/>
      <c r="D7568" t="s">
        <v>8384</v>
      </c>
      <c r="E7568" s="12" t="s">
        <v>8388</v>
      </c>
      <c r="F7568" s="12"/>
      <c r="G7568" s="12">
        <v>9061</v>
      </c>
      <c r="H7568" s="143">
        <v>0.24410000000000001</v>
      </c>
      <c r="J7568" s="143"/>
      <c r="K7568" s="143"/>
      <c r="L7568" s="143"/>
      <c r="M7568" s="143"/>
      <c r="N7568" s="143"/>
      <c r="O7568">
        <f t="shared" si="1346"/>
        <v>4</v>
      </c>
      <c r="P7568" s="134">
        <v>4</v>
      </c>
      <c r="Q7568" s="267">
        <f t="shared" si="1341"/>
        <v>9125</v>
      </c>
      <c r="R7568" s="23">
        <f t="shared" si="1342"/>
        <v>9061</v>
      </c>
      <c r="S7568" s="23">
        <f t="shared" si="1343"/>
        <v>0</v>
      </c>
      <c r="T7568" s="23" t="str">
        <f t="shared" si="1344"/>
        <v/>
      </c>
      <c r="U7568" t="str">
        <f t="shared" si="1345"/>
        <v/>
      </c>
    </row>
    <row r="7569" spans="1:21">
      <c r="A7569" t="str">
        <f t="shared" si="1340"/>
        <v>NY_Catta_2021g~-state supreme court justice 8th judicial district for assembly 148, cattaraugus~vote for 4,</v>
      </c>
      <c r="B7569" t="s">
        <v>8101</v>
      </c>
      <c r="C7569" s="1"/>
      <c r="D7569" t="s">
        <v>8384</v>
      </c>
      <c r="E7569" s="12" t="s">
        <v>1299</v>
      </c>
      <c r="F7569" s="12"/>
      <c r="G7569" s="12">
        <v>64</v>
      </c>
      <c r="H7569" s="143">
        <v>1.6999999999999999E-3</v>
      </c>
      <c r="J7569" s="143"/>
      <c r="K7569" s="143"/>
      <c r="L7569" s="143"/>
      <c r="M7569" s="143"/>
      <c r="N7569" s="143"/>
      <c r="O7569">
        <f t="shared" si="1346"/>
        <v>-4</v>
      </c>
      <c r="P7569" s="134">
        <v>4</v>
      </c>
      <c r="Q7569" s="267">
        <f t="shared" si="1341"/>
        <v>64</v>
      </c>
      <c r="R7569" s="23">
        <f t="shared" si="1342"/>
        <v>1</v>
      </c>
      <c r="S7569" s="23">
        <f t="shared" si="1343"/>
        <v>0</v>
      </c>
      <c r="T7569" s="23" t="str">
        <f t="shared" si="1344"/>
        <v/>
      </c>
      <c r="U7569" t="str">
        <f t="shared" si="1345"/>
        <v/>
      </c>
    </row>
    <row r="7570" spans="1:21">
      <c r="A7570" t="str">
        <f t="shared" si="1340"/>
        <v>NY_Catta_2021g~-town clerk/tax collector for town of coldspring, cattaraugus~vote for 1,</v>
      </c>
      <c r="B7570" t="s">
        <v>8101</v>
      </c>
      <c r="C7570" s="1"/>
      <c r="D7570" t="s">
        <v>8389</v>
      </c>
      <c r="E7570" s="12" t="s">
        <v>8390</v>
      </c>
      <c r="F7570" s="12"/>
      <c r="G7570" s="12">
        <v>120</v>
      </c>
      <c r="H7570" s="143">
        <v>1</v>
      </c>
      <c r="J7570" s="143"/>
      <c r="K7570" s="143"/>
      <c r="L7570" s="143"/>
      <c r="M7570" s="143"/>
      <c r="N7570" s="143"/>
      <c r="O7570">
        <f t="shared" si="1346"/>
        <v>1</v>
      </c>
      <c r="P7570" s="134">
        <v>1</v>
      </c>
      <c r="Q7570" s="267">
        <f t="shared" si="1341"/>
        <v>120</v>
      </c>
      <c r="R7570" s="23">
        <f t="shared" si="1342"/>
        <v>120</v>
      </c>
      <c r="S7570" s="23">
        <f t="shared" si="1343"/>
        <v>0</v>
      </c>
      <c r="T7570" s="23" t="str">
        <f t="shared" si="1344"/>
        <v/>
      </c>
      <c r="U7570" t="str">
        <f t="shared" si="1345"/>
        <v>NY_Catta_2021g~-town clerk/tax collector for town of coldspring, cattaraugus~vote for 1,</v>
      </c>
    </row>
    <row r="7571" spans="1:21">
      <c r="A7571" t="str">
        <f t="shared" si="1340"/>
        <v>NY_Catta_2021g~-town clerk/tax collector for town of coldspring, cattaraugus~vote for 1,</v>
      </c>
      <c r="B7571" t="s">
        <v>8101</v>
      </c>
      <c r="C7571" s="1"/>
      <c r="D7571" t="s">
        <v>8389</v>
      </c>
      <c r="E7571" s="12" t="s">
        <v>1299</v>
      </c>
      <c r="F7571" s="12"/>
      <c r="G7571" s="12">
        <v>0</v>
      </c>
      <c r="H7571" s="143">
        <v>0</v>
      </c>
      <c r="J7571" s="143"/>
      <c r="K7571" s="143"/>
      <c r="L7571" s="143"/>
      <c r="M7571" s="143"/>
      <c r="N7571" s="143"/>
      <c r="O7571">
        <f t="shared" si="1346"/>
        <v>-1</v>
      </c>
      <c r="P7571" s="134">
        <v>1</v>
      </c>
      <c r="Q7571" s="267">
        <f t="shared" si="1341"/>
        <v>0</v>
      </c>
      <c r="R7571" s="23">
        <f t="shared" si="1342"/>
        <v>1</v>
      </c>
      <c r="S7571" s="23">
        <f t="shared" si="1343"/>
        <v>0</v>
      </c>
      <c r="T7571" s="23" t="str">
        <f t="shared" si="1344"/>
        <v/>
      </c>
      <c r="U7571" t="str">
        <f t="shared" si="1345"/>
        <v/>
      </c>
    </row>
  </sheetData>
  <autoFilter ref="W1:AO1104" xr:uid="{00000000-0001-0000-0000-000000000000}"/>
  <sortState xmlns:xlrd2="http://schemas.microsoft.com/office/spreadsheetml/2017/richdata2" ref="AG1253:AL1274">
    <sortCondition descending="1" ref="AK1252:AK1274"/>
  </sortState>
  <pageMargins left="0.2" right="0.2" top="0.75" bottom="0.75" header="0.3" footer="0.3"/>
  <pageSetup fitToWidth="2" orientation="landscape"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8E650-7B2A-45E9-A05F-445C09180840}">
  <sheetPr>
    <tabColor rgb="FFFF0000"/>
  </sheetPr>
  <dimension ref="A3:Q37"/>
  <sheetViews>
    <sheetView workbookViewId="0"/>
  </sheetViews>
  <sheetFormatPr defaultColWidth="16.5" defaultRowHeight="13.8"/>
  <cols>
    <col min="1" max="1" width="16.25" bestFit="1" customWidth="1"/>
    <col min="2" max="2" width="8.875" style="323" bestFit="1" customWidth="1"/>
    <col min="3" max="3" width="10.125" style="323" bestFit="1" customWidth="1"/>
    <col min="4" max="4" width="11.875" style="323" bestFit="1" customWidth="1"/>
    <col min="5" max="5" width="12.5" style="323" bestFit="1" customWidth="1"/>
    <col min="6" max="6" width="11.875" style="323" bestFit="1" customWidth="1"/>
    <col min="7" max="8" width="11.75" style="20" customWidth="1"/>
    <col min="9" max="9" width="6.5" customWidth="1"/>
    <col min="12" max="12" width="16.5" style="20"/>
    <col min="13" max="15" width="9.25" style="323" customWidth="1"/>
    <col min="16" max="16" width="9.75" style="20" customWidth="1"/>
    <col min="17" max="17" width="7.375" customWidth="1"/>
  </cols>
  <sheetData>
    <row r="3" spans="1:17" s="14" customFormat="1" ht="110.4">
      <c r="A3" s="400" t="s">
        <v>6477</v>
      </c>
      <c r="B3" s="14" t="s">
        <v>8423</v>
      </c>
      <c r="C3" s="402" t="s">
        <v>8420</v>
      </c>
      <c r="D3" s="397" t="s">
        <v>8418</v>
      </c>
      <c r="E3" s="397" t="s">
        <v>8425</v>
      </c>
      <c r="F3" s="397" t="s">
        <v>8422</v>
      </c>
      <c r="G3" s="401" t="s">
        <v>8426</v>
      </c>
      <c r="H3" s="401"/>
      <c r="J3" s="14" t="s">
        <v>6477</v>
      </c>
      <c r="K3" s="14" t="s">
        <v>8423</v>
      </c>
      <c r="L3" s="401" t="s">
        <v>8420</v>
      </c>
      <c r="M3" s="397" t="s">
        <v>8418</v>
      </c>
      <c r="N3" s="397" t="s">
        <v>8425</v>
      </c>
      <c r="O3" s="397" t="s">
        <v>8422</v>
      </c>
      <c r="P3" s="401" t="s">
        <v>8426</v>
      </c>
    </row>
    <row r="4" spans="1:17">
      <c r="A4" s="28"/>
      <c r="B4"/>
      <c r="C4" s="65"/>
    </row>
    <row r="5" spans="1:17">
      <c r="A5" s="28" t="s">
        <v>4774</v>
      </c>
      <c r="B5">
        <v>201</v>
      </c>
      <c r="C5" s="65">
        <v>2089563</v>
      </c>
      <c r="D5" s="323">
        <v>0.40832760784572208</v>
      </c>
      <c r="E5" s="323">
        <v>0.47767860927725653</v>
      </c>
      <c r="F5" s="323">
        <v>0.50055683230195769</v>
      </c>
      <c r="G5" s="20">
        <v>33726.440208615626</v>
      </c>
      <c r="J5" t="s">
        <v>4774</v>
      </c>
      <c r="K5">
        <v>201</v>
      </c>
      <c r="L5" s="20">
        <v>2089563</v>
      </c>
      <c r="M5" s="323">
        <v>0.40832760784572208</v>
      </c>
      <c r="N5" s="323">
        <v>0.47767860927725653</v>
      </c>
      <c r="O5" s="323">
        <v>0.50055683230195769</v>
      </c>
      <c r="P5" s="20">
        <v>33726.440208615626</v>
      </c>
      <c r="Q5" s="323">
        <f>P5/L5</f>
        <v>1.6140427548064176E-2</v>
      </c>
    </row>
    <row r="6" spans="1:17">
      <c r="A6" s="28" t="s">
        <v>3536</v>
      </c>
      <c r="B6">
        <v>166</v>
      </c>
      <c r="C6" s="65">
        <v>1546570</v>
      </c>
      <c r="D6" s="323">
        <v>0.12921302554849101</v>
      </c>
      <c r="E6" s="323">
        <v>0.17204596948904302</v>
      </c>
      <c r="F6" s="323">
        <v>0.19583454520627261</v>
      </c>
      <c r="G6" s="20">
        <v>26889.632128033209</v>
      </c>
      <c r="J6" t="s">
        <v>3536</v>
      </c>
      <c r="K6">
        <v>166</v>
      </c>
      <c r="L6" s="20">
        <v>1546570</v>
      </c>
      <c r="M6" s="323">
        <v>0.12921302554849101</v>
      </c>
      <c r="N6" s="323">
        <v>0.17204596948904302</v>
      </c>
      <c r="O6" s="323">
        <v>0.19583454520627261</v>
      </c>
      <c r="P6" s="20">
        <v>26889.632128033209</v>
      </c>
      <c r="Q6" s="323">
        <f t="shared" ref="Q6:Q23" si="0">P6/L6</f>
        <v>1.7386624677856941E-2</v>
      </c>
    </row>
    <row r="7" spans="1:17">
      <c r="A7" s="28" t="s">
        <v>3163</v>
      </c>
      <c r="B7">
        <v>48</v>
      </c>
      <c r="C7" s="65">
        <v>818021</v>
      </c>
      <c r="D7" s="323">
        <v>0.17346110319814548</v>
      </c>
      <c r="E7" s="323">
        <v>0.25893109718414214</v>
      </c>
      <c r="F7" s="323">
        <v>0.28394491554595669</v>
      </c>
      <c r="G7" s="20">
        <v>14950.596270203054</v>
      </c>
      <c r="J7" t="s">
        <v>3163</v>
      </c>
      <c r="K7">
        <v>48</v>
      </c>
      <c r="L7" s="20">
        <v>818021</v>
      </c>
      <c r="M7" s="323">
        <v>0.17346110319814548</v>
      </c>
      <c r="N7" s="323">
        <v>0.25893109718414214</v>
      </c>
      <c r="O7" s="323">
        <v>0.28394491554595669</v>
      </c>
      <c r="P7" s="20">
        <v>14950.596270203054</v>
      </c>
      <c r="Q7" s="323">
        <f t="shared" si="0"/>
        <v>1.8276543353047237E-2</v>
      </c>
    </row>
    <row r="8" spans="1:17">
      <c r="A8" s="28" t="s">
        <v>4471</v>
      </c>
      <c r="B8">
        <v>87</v>
      </c>
      <c r="C8" s="65">
        <v>1289766</v>
      </c>
      <c r="D8" s="323">
        <v>0.19256505670866431</v>
      </c>
      <c r="E8" s="323">
        <v>0.26367408243088986</v>
      </c>
      <c r="F8" s="323">
        <v>0.28527758538376929</v>
      </c>
      <c r="G8" s="20">
        <v>9483.8267958684482</v>
      </c>
      <c r="J8" t="s">
        <v>4471</v>
      </c>
      <c r="K8">
        <v>87</v>
      </c>
      <c r="L8" s="20">
        <v>1289766</v>
      </c>
      <c r="M8" s="323">
        <v>0.19256505670866431</v>
      </c>
      <c r="N8" s="323">
        <v>0.26367408243088986</v>
      </c>
      <c r="O8" s="323">
        <v>0.28527758538376929</v>
      </c>
      <c r="P8" s="20">
        <v>9483.8267958684482</v>
      </c>
      <c r="Q8" s="323">
        <f t="shared" si="0"/>
        <v>7.3531375426770813E-3</v>
      </c>
    </row>
    <row r="9" spans="1:17">
      <c r="A9" s="28" t="s">
        <v>5634</v>
      </c>
      <c r="B9">
        <v>26</v>
      </c>
      <c r="C9" s="65">
        <v>239424.99999999997</v>
      </c>
      <c r="D9" s="323">
        <v>0.61795956478303371</v>
      </c>
      <c r="E9" s="323">
        <v>0.81411318046323689</v>
      </c>
      <c r="F9" s="323">
        <v>0.88125897413185983</v>
      </c>
      <c r="G9" s="20">
        <v>1561.6108552800106</v>
      </c>
      <c r="J9" t="s">
        <v>5634</v>
      </c>
      <c r="K9">
        <v>26</v>
      </c>
      <c r="L9" s="20">
        <v>239424.99999999997</v>
      </c>
      <c r="M9" s="323">
        <v>0.61795956478303371</v>
      </c>
      <c r="N9" s="323">
        <v>0.81411318046323689</v>
      </c>
      <c r="O9" s="323">
        <v>0.88125897413185983</v>
      </c>
      <c r="P9" s="20">
        <v>1561.6108552800106</v>
      </c>
      <c r="Q9" s="323">
        <f t="shared" si="0"/>
        <v>6.5223383325885382E-3</v>
      </c>
    </row>
    <row r="10" spans="1:17">
      <c r="A10" s="28" t="s">
        <v>5635</v>
      </c>
      <c r="B10">
        <v>25</v>
      </c>
      <c r="C10" s="65">
        <v>373294.88</v>
      </c>
      <c r="D10" s="323">
        <v>0.36830689831806213</v>
      </c>
      <c r="E10" s="323">
        <v>0.64603204461637342</v>
      </c>
      <c r="F10" s="323">
        <v>0.78444073870540942</v>
      </c>
      <c r="G10" s="20">
        <v>3867.5603728163824</v>
      </c>
      <c r="J10" t="s">
        <v>5635</v>
      </c>
      <c r="K10">
        <v>25</v>
      </c>
      <c r="L10" s="20">
        <v>373294.88</v>
      </c>
      <c r="M10" s="323">
        <v>0.36830689831806213</v>
      </c>
      <c r="N10" s="323">
        <v>0.64603204461637342</v>
      </c>
      <c r="O10" s="323">
        <v>0.78444073870540942</v>
      </c>
      <c r="P10" s="20">
        <v>3867.5603728163824</v>
      </c>
      <c r="Q10" s="323">
        <f t="shared" si="0"/>
        <v>1.0360603855098099E-2</v>
      </c>
    </row>
    <row r="11" spans="1:17">
      <c r="A11" s="28" t="s">
        <v>5636</v>
      </c>
      <c r="B11">
        <v>33</v>
      </c>
      <c r="C11" s="65">
        <v>218692.27272727274</v>
      </c>
      <c r="D11" s="323">
        <v>0.64927513981136009</v>
      </c>
      <c r="E11" s="323">
        <v>0.80795361152271372</v>
      </c>
      <c r="F11" s="323">
        <v>0.874366957198217</v>
      </c>
      <c r="G11" s="20">
        <v>719.98748782751034</v>
      </c>
      <c r="J11" t="s">
        <v>5636</v>
      </c>
      <c r="K11">
        <v>33</v>
      </c>
      <c r="L11" s="20">
        <v>218692.27272727274</v>
      </c>
      <c r="M11" s="323">
        <v>0.64927513981136009</v>
      </c>
      <c r="N11" s="323">
        <v>0.80795361152271372</v>
      </c>
      <c r="O11" s="323">
        <v>0.874366957198217</v>
      </c>
      <c r="P11" s="20">
        <v>719.98748782751034</v>
      </c>
      <c r="Q11" s="323">
        <f t="shared" si="0"/>
        <v>3.2922401822829562E-3</v>
      </c>
    </row>
    <row r="12" spans="1:17">
      <c r="A12" s="28" t="s">
        <v>5639</v>
      </c>
      <c r="B12">
        <v>35</v>
      </c>
      <c r="C12" s="65">
        <v>1201712.3999999999</v>
      </c>
      <c r="D12" s="323">
        <v>0.80080259662884934</v>
      </c>
      <c r="E12" s="323">
        <v>0.9229983787410414</v>
      </c>
      <c r="F12" s="323">
        <v>0.95961020017387932</v>
      </c>
      <c r="G12" s="20">
        <v>710.20546164694952</v>
      </c>
      <c r="J12" t="s">
        <v>5639</v>
      </c>
      <c r="K12">
        <v>35</v>
      </c>
      <c r="L12" s="20">
        <v>1201712.3999999999</v>
      </c>
      <c r="M12" s="323">
        <v>0.80080259662884934</v>
      </c>
      <c r="N12" s="323">
        <v>0.9229983787410414</v>
      </c>
      <c r="O12" s="323">
        <v>0.95961020017387932</v>
      </c>
      <c r="P12" s="20">
        <v>710.20546164694952</v>
      </c>
      <c r="Q12" s="323">
        <f t="shared" si="0"/>
        <v>5.9099453550362762E-4</v>
      </c>
    </row>
    <row r="13" spans="1:17">
      <c r="A13" s="28" t="s">
        <v>5640</v>
      </c>
      <c r="B13">
        <v>16</v>
      </c>
      <c r="C13" s="65">
        <v>234271.99999999997</v>
      </c>
      <c r="D13" s="323">
        <v>0.2053848021102927</v>
      </c>
      <c r="E13" s="323">
        <v>0.35420066540088119</v>
      </c>
      <c r="F13" s="323">
        <v>0.40536867306050478</v>
      </c>
      <c r="G13" s="20">
        <v>1557.9987161817537</v>
      </c>
      <c r="J13" t="s">
        <v>5640</v>
      </c>
      <c r="K13">
        <v>16</v>
      </c>
      <c r="L13" s="20">
        <v>234271.99999999997</v>
      </c>
      <c r="M13" s="323">
        <v>0.2053848021102927</v>
      </c>
      <c r="N13" s="323">
        <v>0.35420066540088119</v>
      </c>
      <c r="O13" s="323">
        <v>0.40536867306050478</v>
      </c>
      <c r="P13" s="20">
        <v>1557.9987161817537</v>
      </c>
      <c r="Q13" s="323">
        <f t="shared" si="0"/>
        <v>6.650383811047645E-3</v>
      </c>
    </row>
    <row r="14" spans="1:17">
      <c r="A14" s="28" t="s">
        <v>5638</v>
      </c>
      <c r="B14">
        <v>37</v>
      </c>
      <c r="C14" s="65">
        <v>382583.00000000006</v>
      </c>
      <c r="D14" s="323">
        <v>0.44318886969867943</v>
      </c>
      <c r="E14" s="323">
        <v>0.6141437991095362</v>
      </c>
      <c r="F14" s="323">
        <v>0.70517352904836028</v>
      </c>
      <c r="G14" s="20">
        <v>2601.8355403070955</v>
      </c>
      <c r="J14" t="s">
        <v>5638</v>
      </c>
      <c r="K14">
        <v>37</v>
      </c>
      <c r="L14" s="20">
        <v>382583.00000000006</v>
      </c>
      <c r="M14" s="323">
        <v>0.44318886969867943</v>
      </c>
      <c r="N14" s="323">
        <v>0.6141437991095362</v>
      </c>
      <c r="O14" s="323">
        <v>0.70517352904836028</v>
      </c>
      <c r="P14" s="20">
        <v>2601.8355403070955</v>
      </c>
      <c r="Q14" s="323">
        <f t="shared" si="0"/>
        <v>6.8007087097625742E-3</v>
      </c>
    </row>
    <row r="15" spans="1:17">
      <c r="A15" s="28" t="s">
        <v>5637</v>
      </c>
      <c r="B15">
        <v>29</v>
      </c>
      <c r="C15" s="65">
        <v>398346.06896551733</v>
      </c>
      <c r="D15" s="323">
        <v>0.55262593952487915</v>
      </c>
      <c r="E15" s="323">
        <v>0.69060251083999569</v>
      </c>
      <c r="F15" s="323">
        <v>0.72351696043043723</v>
      </c>
      <c r="G15" s="20">
        <v>1241.2571730138463</v>
      </c>
      <c r="J15" t="s">
        <v>5637</v>
      </c>
      <c r="K15">
        <v>29</v>
      </c>
      <c r="L15" s="20">
        <v>398346.06896551733</v>
      </c>
      <c r="M15" s="323">
        <v>0.55262593952487915</v>
      </c>
      <c r="N15" s="323">
        <v>0.69060251083999569</v>
      </c>
      <c r="O15" s="323">
        <v>0.72351696043043723</v>
      </c>
      <c r="P15" s="20">
        <v>1241.2571730138463</v>
      </c>
      <c r="Q15" s="323">
        <f t="shared" si="0"/>
        <v>3.1160271676266881E-3</v>
      </c>
    </row>
    <row r="16" spans="1:17">
      <c r="A16" s="28" t="s">
        <v>5642</v>
      </c>
      <c r="B16">
        <v>24</v>
      </c>
      <c r="C16" s="65">
        <v>240985.99999999997</v>
      </c>
      <c r="D16" s="323">
        <v>0.44117290906465306</v>
      </c>
      <c r="E16" s="323">
        <v>0.64505040479804021</v>
      </c>
      <c r="F16" s="323">
        <v>0.70629830695869644</v>
      </c>
      <c r="G16" s="20">
        <v>758.18599938261843</v>
      </c>
      <c r="J16" t="s">
        <v>5642</v>
      </c>
      <c r="K16">
        <v>24</v>
      </c>
      <c r="L16" s="20">
        <v>240985.99999999997</v>
      </c>
      <c r="M16" s="323">
        <v>0.44117290906465306</v>
      </c>
      <c r="N16" s="323">
        <v>0.64505040479804021</v>
      </c>
      <c r="O16" s="323">
        <v>0.70629830695869644</v>
      </c>
      <c r="P16" s="20">
        <v>758.18599938261843</v>
      </c>
      <c r="Q16" s="323">
        <f t="shared" si="0"/>
        <v>3.1461827632419249E-3</v>
      </c>
    </row>
    <row r="17" spans="1:17">
      <c r="A17" s="28" t="s">
        <v>5641</v>
      </c>
      <c r="B17">
        <v>34</v>
      </c>
      <c r="C17" s="65">
        <v>196142.14705882352</v>
      </c>
      <c r="D17" s="323">
        <v>0.1797561478112028</v>
      </c>
      <c r="E17" s="323">
        <v>0.31181827670152418</v>
      </c>
      <c r="F17" s="323">
        <v>0.38008796413909446</v>
      </c>
      <c r="G17" s="20">
        <v>3294.1181343777343</v>
      </c>
      <c r="J17" t="s">
        <v>5641</v>
      </c>
      <c r="K17">
        <v>34</v>
      </c>
      <c r="L17" s="20">
        <v>196142.14705882352</v>
      </c>
      <c r="M17" s="323">
        <v>0.1797561478112028</v>
      </c>
      <c r="N17" s="323">
        <v>0.31181827670152418</v>
      </c>
      <c r="O17" s="323">
        <v>0.38008796413909446</v>
      </c>
      <c r="P17" s="20">
        <v>3294.1181343777343</v>
      </c>
      <c r="Q17" s="323">
        <f t="shared" si="0"/>
        <v>1.6794545097896883E-2</v>
      </c>
    </row>
    <row r="18" spans="1:17">
      <c r="A18" s="28" t="s">
        <v>6965</v>
      </c>
      <c r="B18">
        <v>49</v>
      </c>
      <c r="C18" s="65">
        <v>180000</v>
      </c>
      <c r="D18" s="323">
        <v>7.7140017844579245E-2</v>
      </c>
      <c r="E18" s="323">
        <v>0.23100439604781847</v>
      </c>
      <c r="F18" s="323">
        <v>0.40108695413289314</v>
      </c>
      <c r="G18" s="20">
        <v>7284.2874118114469</v>
      </c>
      <c r="J18" t="s">
        <v>6965</v>
      </c>
      <c r="K18">
        <v>49</v>
      </c>
      <c r="L18" s="20">
        <v>180000</v>
      </c>
      <c r="M18" s="323">
        <v>7.7140017844579245E-2</v>
      </c>
      <c r="N18" s="323">
        <v>0.23100439604781847</v>
      </c>
      <c r="O18" s="323">
        <v>0.40108695413289314</v>
      </c>
      <c r="P18" s="20">
        <v>7284.2874118114469</v>
      </c>
      <c r="Q18" s="323">
        <f t="shared" si="0"/>
        <v>4.046826339895248E-2</v>
      </c>
    </row>
    <row r="19" spans="1:17">
      <c r="A19" s="28" t="s">
        <v>8101</v>
      </c>
      <c r="B19">
        <v>23</v>
      </c>
      <c r="C19" s="65">
        <v>37125</v>
      </c>
      <c r="D19" s="323">
        <v>4.4883257548663756E-2</v>
      </c>
      <c r="E19" s="323">
        <v>0.14225196266367107</v>
      </c>
      <c r="F19" s="323">
        <v>0.22303744973363976</v>
      </c>
      <c r="J19" t="s">
        <v>8101</v>
      </c>
      <c r="K19">
        <v>23</v>
      </c>
      <c r="L19" s="20">
        <v>37125</v>
      </c>
      <c r="M19" s="323">
        <v>4.4883257548663756E-2</v>
      </c>
      <c r="N19" s="323">
        <v>0.14225196266367107</v>
      </c>
      <c r="O19" s="323">
        <v>0.22303744973363976</v>
      </c>
      <c r="Q19" s="323">
        <f t="shared" si="0"/>
        <v>0</v>
      </c>
    </row>
    <row r="20" spans="1:17">
      <c r="A20" s="28" t="s">
        <v>1528</v>
      </c>
      <c r="B20">
        <v>141</v>
      </c>
      <c r="C20" s="65">
        <v>269828</v>
      </c>
      <c r="D20" s="323">
        <v>0.14156803059046419</v>
      </c>
      <c r="E20" s="323">
        <v>0.15222855705972671</v>
      </c>
      <c r="F20" s="323">
        <v>0.16688088572584819</v>
      </c>
      <c r="G20" s="20">
        <v>25595.493786789979</v>
      </c>
      <c r="J20" t="s">
        <v>1528</v>
      </c>
      <c r="K20">
        <v>141</v>
      </c>
      <c r="L20" s="20">
        <v>269828</v>
      </c>
      <c r="M20" s="323">
        <v>0.14156803059046419</v>
      </c>
      <c r="N20" s="323">
        <v>0.15222855705972671</v>
      </c>
      <c r="O20" s="323">
        <v>0.16688088572584819</v>
      </c>
      <c r="P20" s="20">
        <v>25595.493786789979</v>
      </c>
      <c r="Q20" s="323">
        <f t="shared" si="0"/>
        <v>9.4858553548149108E-2</v>
      </c>
    </row>
    <row r="21" spans="1:17">
      <c r="A21" s="28" t="s">
        <v>1291</v>
      </c>
      <c r="B21">
        <v>139</v>
      </c>
      <c r="C21" s="65">
        <v>157264</v>
      </c>
      <c r="D21" s="323">
        <v>1.9989837807046228E-2</v>
      </c>
      <c r="E21" s="323">
        <v>2.9248055622796271E-2</v>
      </c>
      <c r="F21" s="323">
        <v>3.748769596139629E-2</v>
      </c>
      <c r="G21" s="20">
        <v>17146.949245913638</v>
      </c>
      <c r="J21" t="s">
        <v>1291</v>
      </c>
      <c r="K21">
        <v>139</v>
      </c>
      <c r="L21" s="20">
        <v>157264</v>
      </c>
      <c r="M21" s="323">
        <v>1.9989837807046228E-2</v>
      </c>
      <c r="N21" s="323">
        <v>2.9248055622796271E-2</v>
      </c>
      <c r="O21" s="323">
        <v>3.748769596139629E-2</v>
      </c>
      <c r="P21" s="20">
        <v>17146.949245913638</v>
      </c>
      <c r="Q21" s="323">
        <f t="shared" si="0"/>
        <v>0.10903289529653092</v>
      </c>
    </row>
    <row r="22" spans="1:17">
      <c r="A22" s="28" t="s">
        <v>1395</v>
      </c>
      <c r="B22">
        <v>24</v>
      </c>
      <c r="C22" s="65">
        <v>724800</v>
      </c>
      <c r="D22" s="323">
        <v>0.31291151310251486</v>
      </c>
      <c r="E22" s="323">
        <v>0.40804610833733285</v>
      </c>
      <c r="F22" s="323">
        <v>0.47148632845314403</v>
      </c>
      <c r="G22" s="20">
        <v>1383.7701394342114</v>
      </c>
      <c r="J22" t="s">
        <v>1395</v>
      </c>
      <c r="K22">
        <v>24</v>
      </c>
      <c r="L22" s="20">
        <v>724800</v>
      </c>
      <c r="M22" s="323">
        <v>0.31291151310251486</v>
      </c>
      <c r="N22" s="323">
        <v>0.40804610833733285</v>
      </c>
      <c r="O22" s="323">
        <v>0.47148632845314403</v>
      </c>
      <c r="P22" s="20">
        <v>1383.7701394342114</v>
      </c>
      <c r="Q22" s="323">
        <f t="shared" si="0"/>
        <v>1.9091751371884814E-3</v>
      </c>
    </row>
    <row r="23" spans="1:17">
      <c r="A23" s="28" t="s">
        <v>6479</v>
      </c>
      <c r="B23">
        <v>1137</v>
      </c>
      <c r="C23" s="65">
        <v>898790.33333333337</v>
      </c>
      <c r="D23" s="323">
        <v>0.25576357425344604</v>
      </c>
      <c r="E23" s="323">
        <v>0.33477694288073967</v>
      </c>
      <c r="F23" s="323">
        <v>0.37362043272597761</v>
      </c>
      <c r="G23" s="20">
        <v>152773.75572750357</v>
      </c>
      <c r="J23" t="s">
        <v>6479</v>
      </c>
      <c r="K23">
        <v>1137</v>
      </c>
      <c r="L23" s="20">
        <v>898790.33333333337</v>
      </c>
      <c r="M23" s="323">
        <v>0.25576357425344604</v>
      </c>
      <c r="N23" s="323">
        <v>0.33477694288073967</v>
      </c>
      <c r="O23" s="323">
        <v>0.37362043272597761</v>
      </c>
      <c r="P23" s="20">
        <v>152773.75572750357</v>
      </c>
      <c r="Q23" s="323">
        <f t="shared" si="0"/>
        <v>0.16997707926042471</v>
      </c>
    </row>
    <row r="24" spans="1:17">
      <c r="B24"/>
      <c r="C24"/>
    </row>
    <row r="25" spans="1:17">
      <c r="B25"/>
      <c r="C25"/>
    </row>
    <row r="26" spans="1:17">
      <c r="B26"/>
      <c r="C26"/>
    </row>
    <row r="27" spans="1:17">
      <c r="B27"/>
      <c r="C27"/>
    </row>
    <row r="28" spans="1:17">
      <c r="B28"/>
      <c r="C28"/>
    </row>
    <row r="29" spans="1:17">
      <c r="B29"/>
      <c r="C29"/>
    </row>
    <row r="30" spans="1:17">
      <c r="B30"/>
      <c r="C30"/>
    </row>
    <row r="31" spans="1:17">
      <c r="B31"/>
      <c r="C31"/>
    </row>
    <row r="32" spans="1:17">
      <c r="B32"/>
      <c r="C32"/>
    </row>
    <row r="33" spans="2:3">
      <c r="B33"/>
      <c r="C33"/>
    </row>
    <row r="34" spans="2:3">
      <c r="B34"/>
      <c r="C34"/>
    </row>
    <row r="35" spans="2:3">
      <c r="B35"/>
      <c r="C35"/>
    </row>
    <row r="36" spans="2:3">
      <c r="B36"/>
      <c r="C36"/>
    </row>
    <row r="37" spans="2:3">
      <c r="B37"/>
      <c r="C37"/>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BBB5D-DD3E-471F-A604-320DF0CBD260}">
  <sheetPr>
    <tabColor rgb="FF0070C0"/>
  </sheetPr>
  <dimension ref="A1:DM19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RowHeight="13.8"/>
  <cols>
    <col min="1" max="1" width="4.875" customWidth="1"/>
    <col min="2" max="2" width="13.875" customWidth="1"/>
    <col min="4" max="4" width="10.5" customWidth="1"/>
    <col min="5" max="5" width="10.5" style="226" customWidth="1"/>
    <col min="9" max="9" width="9" style="1"/>
    <col min="12" max="13" width="11.375" customWidth="1"/>
    <col min="26" max="26" width="9.875" bestFit="1" customWidth="1"/>
    <col min="27" max="27" width="11" style="9" customWidth="1"/>
    <col min="29" max="30" width="9" style="123"/>
  </cols>
  <sheetData>
    <row r="1" spans="1:31" s="153" customFormat="1" ht="18" customHeight="1" thickBot="1">
      <c r="A1" s="153">
        <v>1</v>
      </c>
      <c r="B1" s="154"/>
      <c r="C1" s="154"/>
      <c r="D1" s="119" t="s">
        <v>6034</v>
      </c>
      <c r="E1" s="211">
        <v>1.5</v>
      </c>
      <c r="F1" s="155"/>
      <c r="G1" s="154"/>
      <c r="H1" s="119" t="s">
        <v>6035</v>
      </c>
      <c r="I1" s="157">
        <v>200</v>
      </c>
      <c r="K1" s="161">
        <v>0.01</v>
      </c>
      <c r="L1" s="161">
        <v>3.0000000000000001E-3</v>
      </c>
      <c r="M1" s="162">
        <f>0.05*0.01</f>
        <v>5.0000000000000001E-4</v>
      </c>
      <c r="R1" s="120" t="s">
        <v>6317</v>
      </c>
      <c r="S1" s="157">
        <v>1</v>
      </c>
      <c r="T1" s="157">
        <v>5</v>
      </c>
      <c r="U1" s="153" t="s">
        <v>6316</v>
      </c>
      <c r="AA1" s="213"/>
      <c r="AC1" s="156"/>
      <c r="AD1" s="156"/>
    </row>
    <row r="2" spans="1:31" s="124" customFormat="1" ht="42" thickBot="1">
      <c r="A2" s="124">
        <v>2</v>
      </c>
      <c r="B2" s="11" t="s">
        <v>6036</v>
      </c>
      <c r="C2" s="11" t="s">
        <v>6037</v>
      </c>
      <c r="D2" s="11" t="s">
        <v>6038</v>
      </c>
      <c r="E2" s="212" t="s">
        <v>6319</v>
      </c>
      <c r="F2" s="125" t="s">
        <v>6039</v>
      </c>
      <c r="G2" s="11" t="s">
        <v>6040</v>
      </c>
      <c r="H2" s="11" t="s">
        <v>6041</v>
      </c>
      <c r="I2" s="125" t="s">
        <v>6042</v>
      </c>
      <c r="J2" s="126" t="s">
        <v>6043</v>
      </c>
      <c r="K2" s="126" t="s">
        <v>6044</v>
      </c>
      <c r="L2" s="127" t="s">
        <v>6045</v>
      </c>
      <c r="M2" s="127" t="s">
        <v>6320</v>
      </c>
      <c r="N2" s="11" t="s">
        <v>6036</v>
      </c>
      <c r="O2" s="121" t="s">
        <v>6037</v>
      </c>
      <c r="P2" s="11" t="s">
        <v>6046</v>
      </c>
      <c r="Q2" s="158" t="s">
        <v>6047</v>
      </c>
      <c r="R2" s="125" t="s">
        <v>6039</v>
      </c>
      <c r="S2" s="11" t="s">
        <v>6040</v>
      </c>
      <c r="T2" s="11" t="s">
        <v>6040</v>
      </c>
      <c r="U2" s="11" t="s">
        <v>6041</v>
      </c>
      <c r="V2" s="11" t="s">
        <v>6041</v>
      </c>
      <c r="W2" s="122" t="s">
        <v>6048</v>
      </c>
      <c r="X2" s="128" t="s">
        <v>6036</v>
      </c>
      <c r="Y2" s="128" t="s">
        <v>6049</v>
      </c>
      <c r="Z2" s="128" t="s">
        <v>6050</v>
      </c>
      <c r="AA2" s="214" t="s">
        <v>6318</v>
      </c>
      <c r="AB2" s="129" t="s">
        <v>6039</v>
      </c>
      <c r="AC2" s="11" t="s">
        <v>6040</v>
      </c>
      <c r="AD2" s="11" t="s">
        <v>6041</v>
      </c>
      <c r="AE2" s="129" t="s">
        <v>6051</v>
      </c>
    </row>
    <row r="3" spans="1:31" ht="14.4" thickBot="1">
      <c r="B3" s="121"/>
      <c r="C3" s="121"/>
      <c r="D3" s="121"/>
      <c r="E3" s="160"/>
      <c r="F3" s="122"/>
      <c r="G3" s="121"/>
      <c r="H3" s="121"/>
      <c r="I3" s="122"/>
      <c r="J3" s="122"/>
      <c r="K3" s="122"/>
      <c r="L3" s="122"/>
      <c r="M3" s="122"/>
      <c r="N3" s="121"/>
      <c r="P3" s="121"/>
      <c r="Q3" s="121"/>
      <c r="R3" s="122"/>
      <c r="S3" s="121"/>
      <c r="U3" s="121"/>
    </row>
    <row r="4" spans="1:31" ht="13.8" customHeight="1" thickBot="1">
      <c r="A4">
        <v>3</v>
      </c>
      <c r="B4" s="130" t="s">
        <v>6052</v>
      </c>
      <c r="C4" s="12">
        <v>521</v>
      </c>
      <c r="D4" s="13">
        <v>966809</v>
      </c>
      <c r="E4" s="224">
        <v>785215</v>
      </c>
      <c r="F4" s="131">
        <v>0.81</v>
      </c>
      <c r="G4" s="132">
        <v>44503</v>
      </c>
      <c r="H4" s="132">
        <v>44532</v>
      </c>
      <c r="I4" s="159" t="s">
        <v>6053</v>
      </c>
      <c r="J4" s="133">
        <f t="shared" ref="J4:J35" si="0">Q4/E4</f>
        <v>0.47390077876759867</v>
      </c>
      <c r="K4" s="134">
        <f t="shared" ref="K4:K35" si="1">MAX(K$1*$E$1*Q4,$I$1)</f>
        <v>5581.71</v>
      </c>
      <c r="L4" s="134">
        <f t="shared" ref="L4:L35" si="2">MAX(L$1*$E$1*E4,$I$1*$S$1)</f>
        <v>3533.4675000000002</v>
      </c>
      <c r="M4" s="19">
        <f>MAX(ROUND(E4*$E$1/$I$1,0)*0.01,MIN($T$1,ROUND(E4*$E$1/$I$1,0)))*$I$1*LEFT($M$2,1)*0.01</f>
        <v>588.9</v>
      </c>
      <c r="N4" s="135" t="s">
        <v>6052</v>
      </c>
      <c r="O4" s="12">
        <v>521</v>
      </c>
      <c r="P4" s="13">
        <v>966809</v>
      </c>
      <c r="Q4" s="13">
        <v>372114</v>
      </c>
      <c r="R4" s="131">
        <v>0.38</v>
      </c>
      <c r="S4" s="132">
        <v>44503</v>
      </c>
      <c r="T4" s="12" t="s">
        <v>6054</v>
      </c>
      <c r="U4" s="132">
        <v>44503</v>
      </c>
      <c r="V4" s="12" t="s">
        <v>6055</v>
      </c>
      <c r="W4" s="12" t="s">
        <v>6053</v>
      </c>
      <c r="X4" s="136" t="s">
        <v>6052</v>
      </c>
      <c r="Y4" s="137">
        <v>1014</v>
      </c>
      <c r="Z4" s="137">
        <v>920175</v>
      </c>
      <c r="AA4" s="215">
        <v>469968</v>
      </c>
      <c r="AB4" s="138">
        <v>0.51</v>
      </c>
      <c r="AC4" s="139" t="s">
        <v>6056</v>
      </c>
      <c r="AD4" s="140" t="s">
        <v>6057</v>
      </c>
      <c r="AE4" s="141" t="s">
        <v>6053</v>
      </c>
    </row>
    <row r="5" spans="1:31" ht="14.4" thickBot="1">
      <c r="A5">
        <v>5</v>
      </c>
      <c r="B5" s="130" t="s">
        <v>6058</v>
      </c>
      <c r="C5" s="12">
        <v>5</v>
      </c>
      <c r="D5" s="12">
        <v>869</v>
      </c>
      <c r="E5" s="225">
        <v>749</v>
      </c>
      <c r="F5" s="131">
        <v>0.86</v>
      </c>
      <c r="G5" s="132">
        <v>44503</v>
      </c>
      <c r="H5" s="132">
        <v>44531</v>
      </c>
      <c r="I5" s="159" t="s">
        <v>6053</v>
      </c>
      <c r="J5" s="133">
        <f t="shared" si="0"/>
        <v>0.986648865153538</v>
      </c>
      <c r="K5" s="134">
        <f t="shared" si="1"/>
        <v>200</v>
      </c>
      <c r="L5" s="134">
        <f t="shared" si="2"/>
        <v>200</v>
      </c>
      <c r="M5" s="19">
        <f t="shared" ref="M5:M61" si="3">MAX(ROUND(E5*$E$1/$I$1,0)*0.01,MIN($T$1,ROUND(E5*$E$1/$I$1,0)))*$I$1*LEFT($M$2,1)*0.01</f>
        <v>50</v>
      </c>
      <c r="N5" s="135" t="s">
        <v>6058</v>
      </c>
      <c r="O5" s="12">
        <v>5</v>
      </c>
      <c r="P5" s="12">
        <v>869</v>
      </c>
      <c r="Q5" s="12">
        <v>739</v>
      </c>
      <c r="R5" s="131">
        <v>0.85</v>
      </c>
      <c r="S5" s="132">
        <v>44503</v>
      </c>
      <c r="T5" s="12" t="s">
        <v>6059</v>
      </c>
      <c r="U5" s="132">
        <v>44503</v>
      </c>
      <c r="V5" s="12" t="s">
        <v>6055</v>
      </c>
      <c r="W5" s="12" t="s">
        <v>6060</v>
      </c>
      <c r="X5" s="136" t="s">
        <v>6058</v>
      </c>
      <c r="Y5" s="142">
        <v>5</v>
      </c>
      <c r="Z5" s="142">
        <v>788</v>
      </c>
      <c r="AA5" s="216">
        <v>510</v>
      </c>
      <c r="AB5" s="138">
        <v>0.64</v>
      </c>
      <c r="AC5" s="140" t="s">
        <v>6061</v>
      </c>
      <c r="AD5" s="140" t="s">
        <v>6062</v>
      </c>
      <c r="AE5" s="141" t="s">
        <v>6053</v>
      </c>
    </row>
    <row r="6" spans="1:31" ht="14.4" thickBot="1">
      <c r="A6">
        <v>7</v>
      </c>
      <c r="B6" s="130" t="s">
        <v>6063</v>
      </c>
      <c r="C6" s="12">
        <v>30</v>
      </c>
      <c r="D6" s="13">
        <v>25605</v>
      </c>
      <c r="E6" s="224">
        <v>22620</v>
      </c>
      <c r="F6" s="131">
        <v>0.88</v>
      </c>
      <c r="G6" s="132">
        <v>44503</v>
      </c>
      <c r="H6" s="132">
        <v>44521</v>
      </c>
      <c r="I6" s="159" t="s">
        <v>6053</v>
      </c>
      <c r="J6" s="133">
        <f t="shared" si="0"/>
        <v>0.88594164456233426</v>
      </c>
      <c r="K6" s="134">
        <f t="shared" si="1"/>
        <v>300.59999999999997</v>
      </c>
      <c r="L6" s="134">
        <f t="shared" si="2"/>
        <v>200</v>
      </c>
      <c r="M6" s="19">
        <f t="shared" si="3"/>
        <v>50</v>
      </c>
      <c r="N6" s="135" t="s">
        <v>6063</v>
      </c>
      <c r="O6" s="12">
        <v>30</v>
      </c>
      <c r="P6" s="13">
        <v>25605</v>
      </c>
      <c r="Q6" s="13">
        <v>20040</v>
      </c>
      <c r="R6" s="131">
        <v>0.78</v>
      </c>
      <c r="S6" s="132">
        <v>44503</v>
      </c>
      <c r="T6" s="12" t="s">
        <v>6064</v>
      </c>
      <c r="U6" s="132">
        <v>44503</v>
      </c>
      <c r="V6" s="12" t="s">
        <v>6065</v>
      </c>
      <c r="W6" s="12" t="s">
        <v>6060</v>
      </c>
      <c r="X6" s="136" t="s">
        <v>6063</v>
      </c>
      <c r="Y6" s="142">
        <v>30</v>
      </c>
      <c r="Z6" s="137">
        <v>23717</v>
      </c>
      <c r="AA6" s="215">
        <v>15703</v>
      </c>
      <c r="AB6" s="138">
        <v>0.66</v>
      </c>
      <c r="AC6" s="140" t="s">
        <v>6066</v>
      </c>
      <c r="AD6" s="140" t="s">
        <v>6067</v>
      </c>
      <c r="AE6" s="141" t="s">
        <v>6053</v>
      </c>
    </row>
    <row r="7" spans="1:31" ht="14.4" thickBot="1">
      <c r="A7">
        <v>9</v>
      </c>
      <c r="B7" s="130" t="s">
        <v>6068</v>
      </c>
      <c r="C7" s="12">
        <v>157</v>
      </c>
      <c r="D7" s="13">
        <v>124793</v>
      </c>
      <c r="E7" s="224">
        <v>103635</v>
      </c>
      <c r="F7" s="131">
        <v>0.83</v>
      </c>
      <c r="G7" s="132">
        <v>44503</v>
      </c>
      <c r="H7" s="132">
        <v>44531</v>
      </c>
      <c r="I7" s="159" t="s">
        <v>6053</v>
      </c>
      <c r="J7" s="133">
        <f t="shared" si="0"/>
        <v>0.85994113957639795</v>
      </c>
      <c r="K7" s="134">
        <f t="shared" si="1"/>
        <v>1336.8</v>
      </c>
      <c r="L7" s="134">
        <f t="shared" si="2"/>
        <v>466.35750000000007</v>
      </c>
      <c r="M7" s="19">
        <f t="shared" si="3"/>
        <v>77.7</v>
      </c>
      <c r="N7" s="135" t="s">
        <v>6068</v>
      </c>
      <c r="O7" s="12">
        <v>157</v>
      </c>
      <c r="P7" s="13">
        <v>124793</v>
      </c>
      <c r="Q7" s="13">
        <v>89120</v>
      </c>
      <c r="R7" s="131">
        <v>0.71</v>
      </c>
      <c r="S7" s="132">
        <v>44503</v>
      </c>
      <c r="T7" s="12" t="s">
        <v>6069</v>
      </c>
      <c r="U7" s="132">
        <v>44504</v>
      </c>
      <c r="V7" s="12" t="s">
        <v>6070</v>
      </c>
      <c r="W7" s="12" t="s">
        <v>6053</v>
      </c>
      <c r="X7" s="136" t="s">
        <v>6068</v>
      </c>
      <c r="Y7" s="142">
        <v>165</v>
      </c>
      <c r="Z7" s="137">
        <v>116182</v>
      </c>
      <c r="AA7" s="215">
        <v>67539</v>
      </c>
      <c r="AB7" s="138">
        <v>0.57999999999999996</v>
      </c>
      <c r="AC7" s="140" t="s">
        <v>6071</v>
      </c>
      <c r="AD7" s="140" t="s">
        <v>6072</v>
      </c>
      <c r="AE7" s="141" t="s">
        <v>6053</v>
      </c>
    </row>
    <row r="8" spans="1:31" ht="14.4" thickBot="1">
      <c r="A8">
        <v>11</v>
      </c>
      <c r="B8" s="130" t="s">
        <v>6073</v>
      </c>
      <c r="C8" s="12">
        <v>29</v>
      </c>
      <c r="D8" s="13">
        <v>31364</v>
      </c>
      <c r="E8" s="224">
        <v>27524</v>
      </c>
      <c r="F8" s="131">
        <v>0.87</v>
      </c>
      <c r="G8" s="132">
        <v>44503</v>
      </c>
      <c r="H8" s="132">
        <v>44531</v>
      </c>
      <c r="I8" s="159" t="s">
        <v>6053</v>
      </c>
      <c r="J8" s="133">
        <f t="shared" si="0"/>
        <v>0.82477110885045779</v>
      </c>
      <c r="K8" s="134">
        <f t="shared" si="1"/>
        <v>340.51499999999999</v>
      </c>
      <c r="L8" s="134">
        <f t="shared" si="2"/>
        <v>200</v>
      </c>
      <c r="M8" s="19">
        <f t="shared" si="3"/>
        <v>50</v>
      </c>
      <c r="N8" s="135" t="s">
        <v>6073</v>
      </c>
      <c r="O8" s="12">
        <v>29</v>
      </c>
      <c r="P8" s="13">
        <v>31364</v>
      </c>
      <c r="Q8" s="13">
        <v>22701</v>
      </c>
      <c r="R8" s="131">
        <v>0.72</v>
      </c>
      <c r="S8" s="132">
        <v>44503</v>
      </c>
      <c r="T8" s="12" t="s">
        <v>6074</v>
      </c>
      <c r="U8" s="132">
        <v>44503</v>
      </c>
      <c r="V8" s="12" t="s">
        <v>6075</v>
      </c>
      <c r="W8" s="12" t="s">
        <v>6060</v>
      </c>
      <c r="X8" s="136" t="s">
        <v>6073</v>
      </c>
      <c r="Y8" s="142">
        <v>29</v>
      </c>
      <c r="Z8" s="137">
        <v>29889</v>
      </c>
      <c r="AA8" s="215">
        <v>19089</v>
      </c>
      <c r="AB8" s="138">
        <v>0.63</v>
      </c>
      <c r="AC8" s="140" t="s">
        <v>6076</v>
      </c>
      <c r="AD8" s="140" t="s">
        <v>6077</v>
      </c>
      <c r="AE8" s="141" t="s">
        <v>6053</v>
      </c>
    </row>
    <row r="9" spans="1:31" ht="14.4" thickBot="1">
      <c r="A9">
        <v>13</v>
      </c>
      <c r="B9" s="130" t="s">
        <v>6078</v>
      </c>
      <c r="C9" s="12">
        <v>18</v>
      </c>
      <c r="D9" s="13">
        <v>9807</v>
      </c>
      <c r="E9" s="224">
        <v>8039</v>
      </c>
      <c r="F9" s="131">
        <v>0.82</v>
      </c>
      <c r="G9" s="132">
        <v>44503</v>
      </c>
      <c r="H9" s="132">
        <v>44525</v>
      </c>
      <c r="I9" s="159" t="s">
        <v>6053</v>
      </c>
      <c r="J9" s="133">
        <f t="shared" si="0"/>
        <v>0.53140937927602938</v>
      </c>
      <c r="K9" s="134">
        <f t="shared" si="1"/>
        <v>200</v>
      </c>
      <c r="L9" s="134">
        <f t="shared" si="2"/>
        <v>200</v>
      </c>
      <c r="M9" s="19">
        <f t="shared" si="3"/>
        <v>50</v>
      </c>
      <c r="N9" s="135" t="s">
        <v>6078</v>
      </c>
      <c r="O9" s="12">
        <v>18</v>
      </c>
      <c r="P9" s="13">
        <v>9807</v>
      </c>
      <c r="Q9" s="13">
        <v>4272</v>
      </c>
      <c r="R9" s="131">
        <v>0.43</v>
      </c>
      <c r="S9" s="132">
        <v>44503</v>
      </c>
      <c r="T9" s="12" t="s">
        <v>6079</v>
      </c>
      <c r="U9" s="132">
        <v>44503</v>
      </c>
      <c r="V9" s="12" t="s">
        <v>6080</v>
      </c>
      <c r="W9" s="12" t="s">
        <v>6060</v>
      </c>
      <c r="X9" s="136" t="s">
        <v>6078</v>
      </c>
      <c r="Y9" s="142">
        <v>18</v>
      </c>
      <c r="Z9" s="137">
        <v>9093</v>
      </c>
      <c r="AA9" s="215">
        <v>4883</v>
      </c>
      <c r="AB9" s="138">
        <v>0.53</v>
      </c>
      <c r="AC9" s="140" t="s">
        <v>6081</v>
      </c>
      <c r="AD9" s="140" t="s">
        <v>6082</v>
      </c>
      <c r="AE9" s="141" t="s">
        <v>6053</v>
      </c>
    </row>
    <row r="10" spans="1:31" ht="14.4" thickBot="1">
      <c r="A10">
        <v>15</v>
      </c>
      <c r="B10" s="130" t="s">
        <v>6083</v>
      </c>
      <c r="C10" s="12">
        <v>957</v>
      </c>
      <c r="D10" s="13">
        <v>703021</v>
      </c>
      <c r="E10" s="224">
        <v>591143</v>
      </c>
      <c r="F10" s="131">
        <v>0.84</v>
      </c>
      <c r="G10" s="132">
        <v>44503</v>
      </c>
      <c r="H10" s="132">
        <v>44530</v>
      </c>
      <c r="I10" s="159" t="s">
        <v>6053</v>
      </c>
      <c r="J10" s="133">
        <f t="shared" si="0"/>
        <v>0.61486307035691867</v>
      </c>
      <c r="K10" s="134">
        <f t="shared" si="1"/>
        <v>5452.08</v>
      </c>
      <c r="L10" s="134">
        <f t="shared" si="2"/>
        <v>2660.1435000000001</v>
      </c>
      <c r="M10" s="19">
        <f t="shared" si="3"/>
        <v>443.40000000000003</v>
      </c>
      <c r="N10" s="135" t="s">
        <v>6083</v>
      </c>
      <c r="O10" s="12">
        <v>957</v>
      </c>
      <c r="P10" s="13">
        <v>703021</v>
      </c>
      <c r="Q10" s="13">
        <v>363472</v>
      </c>
      <c r="R10" s="131">
        <v>0.51</v>
      </c>
      <c r="S10" s="132">
        <v>44503</v>
      </c>
      <c r="T10" s="12" t="s">
        <v>6084</v>
      </c>
      <c r="U10" s="132">
        <v>44503</v>
      </c>
      <c r="V10" s="12" t="s">
        <v>6085</v>
      </c>
      <c r="W10" s="12" t="s">
        <v>6060</v>
      </c>
      <c r="X10" s="136" t="s">
        <v>6083</v>
      </c>
      <c r="Y10" s="142">
        <v>855</v>
      </c>
      <c r="Z10" s="137">
        <v>657273</v>
      </c>
      <c r="AA10" s="215">
        <v>330514</v>
      </c>
      <c r="AB10" s="138">
        <v>0.5</v>
      </c>
      <c r="AC10" s="140" t="s">
        <v>6086</v>
      </c>
      <c r="AD10" s="140" t="s">
        <v>6087</v>
      </c>
      <c r="AE10" s="141" t="s">
        <v>6053</v>
      </c>
    </row>
    <row r="11" spans="1:31" ht="14.4" thickBot="1">
      <c r="A11">
        <v>17</v>
      </c>
      <c r="B11" s="130" t="s">
        <v>6088</v>
      </c>
      <c r="C11" s="12">
        <v>18</v>
      </c>
      <c r="D11" s="13">
        <v>15904</v>
      </c>
      <c r="E11" s="224">
        <v>11624</v>
      </c>
      <c r="F11" s="131">
        <v>0.73</v>
      </c>
      <c r="G11" s="132">
        <v>44503</v>
      </c>
      <c r="H11" s="132">
        <v>44532</v>
      </c>
      <c r="I11" s="159" t="s">
        <v>6053</v>
      </c>
      <c r="J11" s="133">
        <f t="shared" si="0"/>
        <v>0.79705781142463872</v>
      </c>
      <c r="K11" s="134">
        <f t="shared" si="1"/>
        <v>200</v>
      </c>
      <c r="L11" s="134">
        <f t="shared" si="2"/>
        <v>200</v>
      </c>
      <c r="M11" s="19">
        <f t="shared" si="3"/>
        <v>50</v>
      </c>
      <c r="N11" s="135" t="s">
        <v>6088</v>
      </c>
      <c r="O11" s="12">
        <v>18</v>
      </c>
      <c r="P11" s="13">
        <v>15904</v>
      </c>
      <c r="Q11" s="13">
        <v>9265</v>
      </c>
      <c r="R11" s="131">
        <v>0.57999999999999996</v>
      </c>
      <c r="S11" s="132">
        <v>44503</v>
      </c>
      <c r="T11" s="12" t="s">
        <v>6089</v>
      </c>
      <c r="U11" s="132">
        <v>44503</v>
      </c>
      <c r="V11" s="12" t="s">
        <v>6090</v>
      </c>
      <c r="W11" s="12" t="s">
        <v>6060</v>
      </c>
      <c r="X11" s="136" t="s">
        <v>6088</v>
      </c>
      <c r="Y11" s="142">
        <v>18</v>
      </c>
      <c r="Z11" s="137">
        <v>15182</v>
      </c>
      <c r="AA11" s="215">
        <v>7254</v>
      </c>
      <c r="AB11" s="138">
        <v>0.47</v>
      </c>
      <c r="AC11" s="140" t="s">
        <v>6091</v>
      </c>
      <c r="AD11" s="140" t="s">
        <v>6092</v>
      </c>
      <c r="AE11" s="141" t="s">
        <v>6053</v>
      </c>
    </row>
    <row r="12" spans="1:31" ht="14.4" thickBot="1">
      <c r="A12">
        <v>19</v>
      </c>
      <c r="B12" s="130" t="s">
        <v>6093</v>
      </c>
      <c r="C12" s="12">
        <v>202</v>
      </c>
      <c r="D12" s="13">
        <v>135554</v>
      </c>
      <c r="E12" s="224">
        <v>118133</v>
      </c>
      <c r="F12" s="131">
        <v>0.87</v>
      </c>
      <c r="G12" s="132">
        <v>44503</v>
      </c>
      <c r="H12" s="132">
        <v>44525</v>
      </c>
      <c r="I12" s="159" t="s">
        <v>6053</v>
      </c>
      <c r="J12" s="133">
        <f t="shared" si="0"/>
        <v>0.75681646957243109</v>
      </c>
      <c r="K12" s="134">
        <f t="shared" si="1"/>
        <v>1341.075</v>
      </c>
      <c r="L12" s="134">
        <f t="shared" si="2"/>
        <v>531.59850000000006</v>
      </c>
      <c r="M12" s="19">
        <f t="shared" si="3"/>
        <v>88.600000000000009</v>
      </c>
      <c r="N12" s="135" t="s">
        <v>6093</v>
      </c>
      <c r="O12" s="12">
        <v>202</v>
      </c>
      <c r="P12" s="13">
        <v>135554</v>
      </c>
      <c r="Q12" s="13">
        <v>89405</v>
      </c>
      <c r="R12" s="131">
        <v>0.66</v>
      </c>
      <c r="S12" s="132">
        <v>44503</v>
      </c>
      <c r="T12" s="12" t="s">
        <v>6054</v>
      </c>
      <c r="U12" s="132">
        <v>44504</v>
      </c>
      <c r="V12" s="12" t="s">
        <v>6094</v>
      </c>
      <c r="W12" s="12" t="s">
        <v>6060</v>
      </c>
      <c r="X12" s="136" t="s">
        <v>6093</v>
      </c>
      <c r="Y12" s="142">
        <v>198</v>
      </c>
      <c r="Z12" s="137">
        <v>124979</v>
      </c>
      <c r="AA12" s="215">
        <v>75708</v>
      </c>
      <c r="AB12" s="138">
        <v>0.6</v>
      </c>
      <c r="AC12" s="140" t="s">
        <v>6095</v>
      </c>
      <c r="AD12" s="140" t="s">
        <v>6096</v>
      </c>
      <c r="AE12" s="141" t="s">
        <v>6053</v>
      </c>
    </row>
    <row r="13" spans="1:31" ht="14.4" thickBot="1">
      <c r="A13">
        <v>21</v>
      </c>
      <c r="B13" s="130" t="s">
        <v>6097</v>
      </c>
      <c r="C13" s="12">
        <v>384</v>
      </c>
      <c r="D13" s="13">
        <v>496482</v>
      </c>
      <c r="E13" s="224">
        <v>370068</v>
      </c>
      <c r="F13" s="131">
        <v>0.74</v>
      </c>
      <c r="G13" s="132">
        <v>44503</v>
      </c>
      <c r="H13" s="132">
        <v>44531</v>
      </c>
      <c r="I13" s="159" t="s">
        <v>6053</v>
      </c>
      <c r="J13" s="133">
        <f t="shared" si="0"/>
        <v>0.75634477987829263</v>
      </c>
      <c r="K13" s="134">
        <f t="shared" si="1"/>
        <v>4198.4849999999997</v>
      </c>
      <c r="L13" s="134">
        <f t="shared" si="2"/>
        <v>1665.3060000000003</v>
      </c>
      <c r="M13" s="19">
        <f t="shared" si="3"/>
        <v>277.60000000000002</v>
      </c>
      <c r="N13" s="135" t="s">
        <v>6097</v>
      </c>
      <c r="O13" s="12">
        <v>384</v>
      </c>
      <c r="P13" s="13">
        <v>496482</v>
      </c>
      <c r="Q13" s="13">
        <v>279899</v>
      </c>
      <c r="R13" s="131">
        <v>0.56000000000000005</v>
      </c>
      <c r="S13" s="132">
        <v>44503</v>
      </c>
      <c r="T13" s="12" t="s">
        <v>6098</v>
      </c>
      <c r="U13" s="132">
        <v>44503</v>
      </c>
      <c r="V13" s="12" t="s">
        <v>6099</v>
      </c>
      <c r="W13" s="12" t="s">
        <v>6060</v>
      </c>
      <c r="X13" s="136" t="s">
        <v>6097</v>
      </c>
      <c r="Y13" s="142">
        <v>334</v>
      </c>
      <c r="Z13" s="137">
        <v>471384</v>
      </c>
      <c r="AA13" s="215">
        <v>199118</v>
      </c>
      <c r="AB13" s="138">
        <v>0.42</v>
      </c>
      <c r="AC13" s="140" t="s">
        <v>6100</v>
      </c>
      <c r="AD13" s="140" t="s">
        <v>6101</v>
      </c>
      <c r="AE13" s="141" t="s">
        <v>6053</v>
      </c>
    </row>
    <row r="14" spans="1:31" ht="14.4" thickBot="1">
      <c r="A14">
        <v>23</v>
      </c>
      <c r="B14" s="130" t="s">
        <v>6102</v>
      </c>
      <c r="C14" s="12">
        <v>74</v>
      </c>
      <c r="D14" s="13">
        <v>14279</v>
      </c>
      <c r="E14" s="224">
        <v>11455</v>
      </c>
      <c r="F14" s="131">
        <v>0.8</v>
      </c>
      <c r="G14" s="132">
        <v>44503</v>
      </c>
      <c r="H14" s="132">
        <v>44531</v>
      </c>
      <c r="I14" s="159" t="s">
        <v>6053</v>
      </c>
      <c r="J14" s="133">
        <f t="shared" si="0"/>
        <v>0.62723701440419033</v>
      </c>
      <c r="K14" s="134">
        <f t="shared" si="1"/>
        <v>200</v>
      </c>
      <c r="L14" s="134">
        <f t="shared" si="2"/>
        <v>200</v>
      </c>
      <c r="M14" s="19">
        <f t="shared" si="3"/>
        <v>50</v>
      </c>
      <c r="N14" s="135" t="s">
        <v>6102</v>
      </c>
      <c r="O14" s="12">
        <v>74</v>
      </c>
      <c r="P14" s="13">
        <v>14279</v>
      </c>
      <c r="Q14" s="13">
        <v>7185</v>
      </c>
      <c r="R14" s="131">
        <v>0.5</v>
      </c>
      <c r="S14" s="132">
        <v>44503</v>
      </c>
      <c r="T14" s="12" t="s">
        <v>6103</v>
      </c>
      <c r="U14" s="132">
        <v>44504</v>
      </c>
      <c r="V14" s="12" t="s">
        <v>6104</v>
      </c>
      <c r="W14" s="12" t="s">
        <v>6053</v>
      </c>
      <c r="X14" s="136" t="s">
        <v>6102</v>
      </c>
      <c r="Y14" s="142">
        <v>34</v>
      </c>
      <c r="Z14" s="137">
        <v>13454</v>
      </c>
      <c r="AA14" s="215">
        <v>6986</v>
      </c>
      <c r="AB14" s="138">
        <v>0.51</v>
      </c>
      <c r="AC14" s="140" t="s">
        <v>6105</v>
      </c>
      <c r="AD14" s="140" t="s">
        <v>6106</v>
      </c>
      <c r="AE14" s="141" t="s">
        <v>6053</v>
      </c>
    </row>
    <row r="15" spans="1:31" ht="13.8" customHeight="1" thickBot="1">
      <c r="A15">
        <v>25</v>
      </c>
      <c r="B15" s="130" t="s">
        <v>6107</v>
      </c>
      <c r="C15" s="12">
        <v>66</v>
      </c>
      <c r="D15" s="13">
        <v>85183</v>
      </c>
      <c r="E15" s="224">
        <v>69932</v>
      </c>
      <c r="F15" s="131">
        <v>0.82</v>
      </c>
      <c r="G15" s="132">
        <v>44503</v>
      </c>
      <c r="H15" s="132">
        <v>44531</v>
      </c>
      <c r="I15" s="159" t="s">
        <v>6053</v>
      </c>
      <c r="J15" s="133">
        <f t="shared" si="0"/>
        <v>0.59871017559915352</v>
      </c>
      <c r="K15" s="134">
        <f t="shared" si="1"/>
        <v>628.03499999999997</v>
      </c>
      <c r="L15" s="134">
        <f t="shared" si="2"/>
        <v>314.69400000000002</v>
      </c>
      <c r="M15" s="19">
        <f t="shared" si="3"/>
        <v>52.4</v>
      </c>
      <c r="N15" s="135" t="s">
        <v>6107</v>
      </c>
      <c r="O15" s="12">
        <v>66</v>
      </c>
      <c r="P15" s="13">
        <v>85183</v>
      </c>
      <c r="Q15" s="13">
        <v>41869</v>
      </c>
      <c r="R15" s="131">
        <v>0.49</v>
      </c>
      <c r="S15" s="132">
        <v>44503</v>
      </c>
      <c r="T15" s="12" t="s">
        <v>6108</v>
      </c>
      <c r="U15" s="132">
        <v>44504</v>
      </c>
      <c r="V15" s="12" t="s">
        <v>6109</v>
      </c>
      <c r="W15" s="12" t="s">
        <v>6053</v>
      </c>
      <c r="X15" s="136" t="s">
        <v>6107</v>
      </c>
      <c r="Y15" s="142">
        <v>141</v>
      </c>
      <c r="Z15" s="137">
        <v>79198</v>
      </c>
      <c r="AA15" s="215">
        <v>47969</v>
      </c>
      <c r="AB15" s="138">
        <v>0.6</v>
      </c>
      <c r="AC15" s="140" t="s">
        <v>6110</v>
      </c>
      <c r="AD15" s="140" t="s">
        <v>6111</v>
      </c>
      <c r="AE15" s="141" t="s">
        <v>6053</v>
      </c>
    </row>
    <row r="16" spans="1:31" ht="14.4" thickBot="1">
      <c r="A16">
        <v>27</v>
      </c>
      <c r="B16" s="130" t="s">
        <v>6112</v>
      </c>
      <c r="C16" s="12">
        <v>218</v>
      </c>
      <c r="D16" s="13">
        <v>84676</v>
      </c>
      <c r="E16" s="224">
        <v>57366</v>
      </c>
      <c r="F16" s="131">
        <v>0.67</v>
      </c>
      <c r="G16" s="132">
        <v>44503</v>
      </c>
      <c r="H16" s="132">
        <v>44531</v>
      </c>
      <c r="I16" s="159" t="s">
        <v>6053</v>
      </c>
      <c r="J16" s="133">
        <f t="shared" si="0"/>
        <v>0.34856883868493532</v>
      </c>
      <c r="K16" s="134">
        <f t="shared" si="1"/>
        <v>299.94</v>
      </c>
      <c r="L16" s="134">
        <f t="shared" si="2"/>
        <v>258.14700000000005</v>
      </c>
      <c r="M16" s="19">
        <f t="shared" si="3"/>
        <v>50</v>
      </c>
      <c r="N16" s="135" t="s">
        <v>6112</v>
      </c>
      <c r="O16" s="12">
        <v>218</v>
      </c>
      <c r="P16" s="13">
        <v>84676</v>
      </c>
      <c r="Q16" s="13">
        <v>19996</v>
      </c>
      <c r="R16" s="131">
        <v>0.23</v>
      </c>
      <c r="S16" s="132">
        <v>44503</v>
      </c>
      <c r="T16" s="12" t="s">
        <v>6113</v>
      </c>
      <c r="U16" s="132">
        <v>44504</v>
      </c>
      <c r="V16" s="12" t="s">
        <v>6114</v>
      </c>
      <c r="W16" s="12" t="s">
        <v>6053</v>
      </c>
      <c r="X16" s="136" t="s">
        <v>6112</v>
      </c>
      <c r="Y16" s="142">
        <v>218</v>
      </c>
      <c r="Z16" s="137">
        <v>77111</v>
      </c>
      <c r="AA16" s="215">
        <v>23885</v>
      </c>
      <c r="AB16" s="138">
        <v>0.31</v>
      </c>
      <c r="AC16" s="140" t="s">
        <v>6100</v>
      </c>
      <c r="AD16" s="140" t="s">
        <v>6115</v>
      </c>
      <c r="AE16" s="141" t="s">
        <v>6053</v>
      </c>
    </row>
    <row r="17" spans="1:31" ht="14.4" thickBot="1">
      <c r="A17">
        <v>29</v>
      </c>
      <c r="B17" s="130" t="s">
        <v>6116</v>
      </c>
      <c r="C17" s="12">
        <v>21</v>
      </c>
      <c r="D17" s="13">
        <v>11016</v>
      </c>
      <c r="E17" s="224">
        <v>9624</v>
      </c>
      <c r="F17" s="131">
        <v>0.87</v>
      </c>
      <c r="G17" s="132">
        <v>44503</v>
      </c>
      <c r="H17" s="132">
        <v>44532</v>
      </c>
      <c r="I17" s="159" t="s">
        <v>6053</v>
      </c>
      <c r="J17" s="133">
        <f t="shared" si="0"/>
        <v>0.66988778054862841</v>
      </c>
      <c r="K17" s="134">
        <f t="shared" si="1"/>
        <v>200</v>
      </c>
      <c r="L17" s="134">
        <f t="shared" si="2"/>
        <v>200</v>
      </c>
      <c r="M17" s="19">
        <f t="shared" si="3"/>
        <v>50</v>
      </c>
      <c r="N17" s="135" t="s">
        <v>6116</v>
      </c>
      <c r="O17" s="12">
        <v>21</v>
      </c>
      <c r="P17" s="13">
        <v>11016</v>
      </c>
      <c r="Q17" s="13">
        <v>6447</v>
      </c>
      <c r="R17" s="131">
        <v>0.57999999999999996</v>
      </c>
      <c r="S17" s="132">
        <v>44503</v>
      </c>
      <c r="T17" s="12" t="s">
        <v>6117</v>
      </c>
      <c r="U17" s="132">
        <v>44503</v>
      </c>
      <c r="V17" s="12" t="s">
        <v>6118</v>
      </c>
      <c r="W17" s="12" t="s">
        <v>6053</v>
      </c>
      <c r="X17" s="136" t="s">
        <v>6116</v>
      </c>
      <c r="Y17" s="142">
        <v>21</v>
      </c>
      <c r="Z17" s="137">
        <v>10029</v>
      </c>
      <c r="AA17" s="215">
        <v>6833</v>
      </c>
      <c r="AB17" s="138">
        <v>0.68</v>
      </c>
      <c r="AC17" s="140" t="s">
        <v>6119</v>
      </c>
      <c r="AD17" s="140" t="s">
        <v>6120</v>
      </c>
      <c r="AE17" s="141" t="s">
        <v>6053</v>
      </c>
    </row>
    <row r="18" spans="1:31" ht="14.4" thickBot="1">
      <c r="A18">
        <v>31</v>
      </c>
      <c r="B18" s="130" t="s">
        <v>6121</v>
      </c>
      <c r="C18" s="12">
        <v>694</v>
      </c>
      <c r="D18" s="13">
        <v>425839</v>
      </c>
      <c r="E18" s="224">
        <v>309143</v>
      </c>
      <c r="F18" s="131">
        <v>0.72</v>
      </c>
      <c r="G18" s="132">
        <v>44503</v>
      </c>
      <c r="H18" s="132">
        <v>44531</v>
      </c>
      <c r="I18" s="159" t="s">
        <v>6053</v>
      </c>
      <c r="J18" s="133">
        <f t="shared" si="0"/>
        <v>0.46947205662104591</v>
      </c>
      <c r="K18" s="134">
        <f t="shared" si="1"/>
        <v>2177.0099999999998</v>
      </c>
      <c r="L18" s="134">
        <f t="shared" si="2"/>
        <v>1391.1435000000001</v>
      </c>
      <c r="M18" s="19">
        <f t="shared" si="3"/>
        <v>231.9</v>
      </c>
      <c r="N18" s="135" t="s">
        <v>6121</v>
      </c>
      <c r="O18" s="12">
        <v>694</v>
      </c>
      <c r="P18" s="13">
        <v>425839</v>
      </c>
      <c r="Q18" s="13">
        <v>145134</v>
      </c>
      <c r="R18" s="131">
        <v>0.34</v>
      </c>
      <c r="S18" s="132">
        <v>44503</v>
      </c>
      <c r="T18" s="12" t="s">
        <v>6122</v>
      </c>
      <c r="U18" s="132">
        <v>44504</v>
      </c>
      <c r="V18" s="12" t="s">
        <v>6123</v>
      </c>
      <c r="W18" s="12" t="s">
        <v>6060</v>
      </c>
      <c r="X18" s="136" t="s">
        <v>6121</v>
      </c>
      <c r="Y18" s="142">
        <v>657</v>
      </c>
      <c r="Z18" s="137">
        <v>399154</v>
      </c>
      <c r="AA18" s="215">
        <v>162116</v>
      </c>
      <c r="AB18" s="138">
        <v>0.4</v>
      </c>
      <c r="AC18" s="140" t="s">
        <v>6124</v>
      </c>
      <c r="AD18" s="140" t="s">
        <v>6125</v>
      </c>
      <c r="AE18" s="141" t="s">
        <v>6053</v>
      </c>
    </row>
    <row r="19" spans="1:31" ht="14.4" thickBot="1">
      <c r="A19">
        <v>33</v>
      </c>
      <c r="B19" s="130" t="s">
        <v>6126</v>
      </c>
      <c r="C19" s="12">
        <v>96</v>
      </c>
      <c r="D19" s="13">
        <v>60100</v>
      </c>
      <c r="E19" s="224">
        <v>44442</v>
      </c>
      <c r="F19" s="131">
        <v>0.73</v>
      </c>
      <c r="G19" s="132">
        <v>44503</v>
      </c>
      <c r="H19" s="132">
        <v>44533</v>
      </c>
      <c r="I19" s="159" t="s">
        <v>6053</v>
      </c>
      <c r="J19" s="133">
        <f t="shared" si="0"/>
        <v>0.8124521848701679</v>
      </c>
      <c r="K19" s="134">
        <f t="shared" si="1"/>
        <v>541.60500000000002</v>
      </c>
      <c r="L19" s="134">
        <f t="shared" si="2"/>
        <v>200</v>
      </c>
      <c r="M19" s="19">
        <f t="shared" si="3"/>
        <v>50</v>
      </c>
      <c r="N19" s="135" t="s">
        <v>6126</v>
      </c>
      <c r="O19" s="12">
        <v>96</v>
      </c>
      <c r="P19" s="13">
        <v>60100</v>
      </c>
      <c r="Q19" s="13">
        <v>36107</v>
      </c>
      <c r="R19" s="131">
        <v>0.6</v>
      </c>
      <c r="S19" s="132">
        <v>44503</v>
      </c>
      <c r="T19" s="12" t="s">
        <v>6103</v>
      </c>
      <c r="U19" s="132">
        <v>44503</v>
      </c>
      <c r="V19" s="12" t="s">
        <v>6127</v>
      </c>
      <c r="W19" s="12" t="s">
        <v>6060</v>
      </c>
      <c r="X19" s="136" t="s">
        <v>6126</v>
      </c>
      <c r="Y19" s="142">
        <v>64</v>
      </c>
      <c r="Z19" s="137">
        <v>55738</v>
      </c>
      <c r="AA19" s="215">
        <v>21248</v>
      </c>
      <c r="AB19" s="138">
        <v>0.38</v>
      </c>
      <c r="AC19" s="140" t="s">
        <v>6128</v>
      </c>
      <c r="AD19" s="140" t="s">
        <v>6129</v>
      </c>
      <c r="AE19" s="141" t="s">
        <v>6053</v>
      </c>
    </row>
    <row r="20" spans="1:31" ht="14.4" thickBot="1">
      <c r="A20">
        <v>35</v>
      </c>
      <c r="B20" s="130" t="s">
        <v>6130</v>
      </c>
      <c r="C20" s="12">
        <v>70</v>
      </c>
      <c r="D20" s="13">
        <v>37262</v>
      </c>
      <c r="E20" s="224">
        <v>28812</v>
      </c>
      <c r="F20" s="131">
        <v>0.77</v>
      </c>
      <c r="G20" s="132">
        <v>44503</v>
      </c>
      <c r="H20" s="132">
        <v>44532</v>
      </c>
      <c r="I20" s="159" t="s">
        <v>6053</v>
      </c>
      <c r="J20" s="133">
        <f t="shared" si="0"/>
        <v>0.38723448563098711</v>
      </c>
      <c r="K20" s="134">
        <f t="shared" si="1"/>
        <v>200</v>
      </c>
      <c r="L20" s="134">
        <f t="shared" si="2"/>
        <v>200</v>
      </c>
      <c r="M20" s="19">
        <f t="shared" si="3"/>
        <v>50</v>
      </c>
      <c r="N20" s="135" t="s">
        <v>6130</v>
      </c>
      <c r="O20" s="12">
        <v>70</v>
      </c>
      <c r="P20" s="13">
        <v>37262</v>
      </c>
      <c r="Q20" s="13">
        <v>11157</v>
      </c>
      <c r="R20" s="131">
        <v>0.28999999999999998</v>
      </c>
      <c r="S20" s="132">
        <v>44503</v>
      </c>
      <c r="T20" s="12" t="s">
        <v>6131</v>
      </c>
      <c r="U20" s="132">
        <v>44504</v>
      </c>
      <c r="V20" s="12" t="s">
        <v>6132</v>
      </c>
      <c r="W20" s="12" t="s">
        <v>6060</v>
      </c>
      <c r="X20" s="136" t="s">
        <v>6130</v>
      </c>
      <c r="Y20" s="142">
        <v>70</v>
      </c>
      <c r="Z20" s="137">
        <v>33905</v>
      </c>
      <c r="AA20" s="215">
        <v>17902</v>
      </c>
      <c r="AB20" s="138">
        <v>0.52</v>
      </c>
      <c r="AC20" s="140" t="s">
        <v>6133</v>
      </c>
      <c r="AD20" s="140" t="s">
        <v>6134</v>
      </c>
      <c r="AE20" s="141" t="s">
        <v>6053</v>
      </c>
    </row>
    <row r="21" spans="1:31" ht="14.4" thickBot="1">
      <c r="A21">
        <v>37</v>
      </c>
      <c r="B21" s="130" t="s">
        <v>6135</v>
      </c>
      <c r="C21" s="12">
        <v>57</v>
      </c>
      <c r="D21" s="13">
        <v>15252</v>
      </c>
      <c r="E21" s="224">
        <v>12122</v>
      </c>
      <c r="F21" s="131">
        <v>0.79</v>
      </c>
      <c r="G21" s="132">
        <v>44503</v>
      </c>
      <c r="H21" s="132">
        <v>44532</v>
      </c>
      <c r="I21" s="159" t="s">
        <v>6053</v>
      </c>
      <c r="J21" s="133">
        <f t="shared" si="0"/>
        <v>0.71770334928229662</v>
      </c>
      <c r="K21" s="134">
        <f t="shared" si="1"/>
        <v>200</v>
      </c>
      <c r="L21" s="134">
        <f t="shared" si="2"/>
        <v>200</v>
      </c>
      <c r="M21" s="19">
        <f t="shared" si="3"/>
        <v>50</v>
      </c>
      <c r="N21" s="135" t="s">
        <v>6135</v>
      </c>
      <c r="O21" s="12">
        <v>57</v>
      </c>
      <c r="P21" s="13">
        <v>15252</v>
      </c>
      <c r="Q21" s="13">
        <v>8700</v>
      </c>
      <c r="R21" s="131">
        <v>0.56999999999999995</v>
      </c>
      <c r="S21" s="132">
        <v>44503</v>
      </c>
      <c r="T21" s="12" t="s">
        <v>6064</v>
      </c>
      <c r="U21" s="132">
        <v>44504</v>
      </c>
      <c r="V21" s="12" t="s">
        <v>6136</v>
      </c>
      <c r="W21" s="12" t="s">
        <v>6053</v>
      </c>
      <c r="X21" s="136" t="s">
        <v>6135</v>
      </c>
      <c r="Y21" s="142">
        <v>51</v>
      </c>
      <c r="Z21" s="137">
        <v>14028</v>
      </c>
      <c r="AA21" s="215">
        <v>7762</v>
      </c>
      <c r="AB21" s="138">
        <v>0.55000000000000004</v>
      </c>
      <c r="AC21" s="140" t="s">
        <v>6137</v>
      </c>
      <c r="AD21" s="140" t="s">
        <v>6138</v>
      </c>
      <c r="AE21" s="141" t="s">
        <v>6053</v>
      </c>
    </row>
    <row r="22" spans="1:31" ht="14.4" thickBot="1">
      <c r="A22">
        <v>39</v>
      </c>
      <c r="B22" s="130" t="s">
        <v>6139</v>
      </c>
      <c r="C22" s="13">
        <v>3383</v>
      </c>
      <c r="D22" s="13">
        <v>5813333</v>
      </c>
      <c r="E22" s="224">
        <v>4338191</v>
      </c>
      <c r="F22" s="131">
        <v>0.74</v>
      </c>
      <c r="G22" s="132">
        <v>44503</v>
      </c>
      <c r="H22" s="132">
        <v>44531</v>
      </c>
      <c r="I22" s="159" t="s">
        <v>6053</v>
      </c>
      <c r="J22" s="133">
        <f t="shared" si="0"/>
        <v>0.77971278811836542</v>
      </c>
      <c r="K22" s="134">
        <f t="shared" si="1"/>
        <v>50738.144999999997</v>
      </c>
      <c r="L22" s="134">
        <f t="shared" si="2"/>
        <v>19521.859500000002</v>
      </c>
      <c r="M22" s="19">
        <f t="shared" si="3"/>
        <v>3253.6</v>
      </c>
      <c r="N22" s="135" t="s">
        <v>6139</v>
      </c>
      <c r="O22" s="13">
        <v>3383</v>
      </c>
      <c r="P22" s="13">
        <v>5813333</v>
      </c>
      <c r="Q22" s="13">
        <v>3382543</v>
      </c>
      <c r="R22" s="131">
        <v>0.57999999999999996</v>
      </c>
      <c r="S22" s="132">
        <v>44503</v>
      </c>
      <c r="T22" s="12" t="s">
        <v>6054</v>
      </c>
      <c r="U22" s="132">
        <v>44504</v>
      </c>
      <c r="V22" s="12" t="s">
        <v>6140</v>
      </c>
      <c r="W22" s="12" t="s">
        <v>6053</v>
      </c>
      <c r="X22" s="136" t="s">
        <v>6139</v>
      </c>
      <c r="Y22" s="137">
        <v>3072</v>
      </c>
      <c r="Z22" s="137">
        <v>5546785</v>
      </c>
      <c r="AA22" s="215">
        <v>2122469</v>
      </c>
      <c r="AB22" s="138">
        <v>0.38</v>
      </c>
      <c r="AC22" s="140" t="s">
        <v>6141</v>
      </c>
      <c r="AD22" s="140" t="s">
        <v>6142</v>
      </c>
      <c r="AE22" s="141" t="s">
        <v>6053</v>
      </c>
    </row>
    <row r="23" spans="1:31" ht="14.4" thickBot="1">
      <c r="A23">
        <v>41</v>
      </c>
      <c r="B23" s="130" t="s">
        <v>6143</v>
      </c>
      <c r="C23" s="12">
        <v>72</v>
      </c>
      <c r="D23" s="13">
        <v>67909</v>
      </c>
      <c r="E23" s="224">
        <v>54392</v>
      </c>
      <c r="F23" s="131">
        <v>0.8</v>
      </c>
      <c r="G23" s="132">
        <v>44503</v>
      </c>
      <c r="H23" s="132">
        <v>44525</v>
      </c>
      <c r="I23" s="159" t="s">
        <v>6053</v>
      </c>
      <c r="J23" s="133">
        <f t="shared" si="0"/>
        <v>0.75295999411678183</v>
      </c>
      <c r="K23" s="134">
        <f t="shared" si="1"/>
        <v>614.32499999999993</v>
      </c>
      <c r="L23" s="134">
        <f t="shared" si="2"/>
        <v>244.76400000000004</v>
      </c>
      <c r="M23" s="19">
        <f t="shared" si="3"/>
        <v>50</v>
      </c>
      <c r="N23" s="135" t="s">
        <v>6143</v>
      </c>
      <c r="O23" s="12">
        <v>72</v>
      </c>
      <c r="P23" s="13">
        <v>67909</v>
      </c>
      <c r="Q23" s="13">
        <v>40955</v>
      </c>
      <c r="R23" s="131">
        <v>0.6</v>
      </c>
      <c r="S23" s="132">
        <v>44503</v>
      </c>
      <c r="T23" s="12" t="s">
        <v>6144</v>
      </c>
      <c r="U23" s="132">
        <v>44503</v>
      </c>
      <c r="V23" s="12" t="s">
        <v>6145</v>
      </c>
      <c r="W23" s="12" t="s">
        <v>6060</v>
      </c>
      <c r="X23" s="136" t="s">
        <v>6143</v>
      </c>
      <c r="Y23" s="142">
        <v>72</v>
      </c>
      <c r="Z23" s="137">
        <v>61851</v>
      </c>
      <c r="AA23" s="215">
        <v>31373</v>
      </c>
      <c r="AB23" s="138">
        <v>0.5</v>
      </c>
      <c r="AC23" s="140" t="s">
        <v>6146</v>
      </c>
      <c r="AD23" s="140" t="s">
        <v>6147</v>
      </c>
      <c r="AE23" s="141" t="s">
        <v>6053</v>
      </c>
    </row>
    <row r="24" spans="1:31" ht="14.4" thickBot="1">
      <c r="A24">
        <v>43</v>
      </c>
      <c r="B24" s="130" t="s">
        <v>6148</v>
      </c>
      <c r="C24" s="12">
        <v>112</v>
      </c>
      <c r="D24" s="13">
        <v>175192</v>
      </c>
      <c r="E24" s="224">
        <v>158103</v>
      </c>
      <c r="F24" s="131">
        <v>0.9</v>
      </c>
      <c r="G24" s="132">
        <v>44503</v>
      </c>
      <c r="H24" s="132">
        <v>44532</v>
      </c>
      <c r="I24" s="159" t="s">
        <v>6053</v>
      </c>
      <c r="J24" s="133">
        <f t="shared" si="0"/>
        <v>0.63952613169895578</v>
      </c>
      <c r="K24" s="134">
        <f t="shared" si="1"/>
        <v>1516.665</v>
      </c>
      <c r="L24" s="134">
        <f t="shared" si="2"/>
        <v>711.46350000000007</v>
      </c>
      <c r="M24" s="19">
        <f t="shared" si="3"/>
        <v>118.60000000000001</v>
      </c>
      <c r="N24" s="135" t="s">
        <v>6148</v>
      </c>
      <c r="O24" s="12">
        <v>112</v>
      </c>
      <c r="P24" s="13">
        <v>175192</v>
      </c>
      <c r="Q24" s="13">
        <v>101111</v>
      </c>
      <c r="R24" s="131">
        <v>0.56999999999999995</v>
      </c>
      <c r="S24" s="132">
        <v>44503</v>
      </c>
      <c r="T24" s="12" t="s">
        <v>6149</v>
      </c>
      <c r="U24" s="132">
        <v>44503</v>
      </c>
      <c r="V24" s="12" t="s">
        <v>6150</v>
      </c>
      <c r="W24" s="12" t="s">
        <v>6060</v>
      </c>
      <c r="X24" s="136" t="s">
        <v>6148</v>
      </c>
      <c r="Y24" s="142">
        <v>157</v>
      </c>
      <c r="Z24" s="137">
        <v>166260</v>
      </c>
      <c r="AA24" s="215">
        <v>115923</v>
      </c>
      <c r="AB24" s="138">
        <v>0.69</v>
      </c>
      <c r="AC24" s="140" t="s">
        <v>6151</v>
      </c>
      <c r="AD24" s="140" t="s">
        <v>6152</v>
      </c>
      <c r="AE24" s="141" t="s">
        <v>6053</v>
      </c>
    </row>
    <row r="25" spans="1:31" ht="14.4" thickBot="1">
      <c r="A25">
        <v>45</v>
      </c>
      <c r="B25" s="130" t="s">
        <v>6153</v>
      </c>
      <c r="C25" s="12">
        <v>25</v>
      </c>
      <c r="D25" s="13">
        <v>11918</v>
      </c>
      <c r="E25" s="224">
        <v>10410</v>
      </c>
      <c r="F25" s="131">
        <v>0.87</v>
      </c>
      <c r="G25" s="132">
        <v>44503</v>
      </c>
      <c r="H25" s="132">
        <v>44531</v>
      </c>
      <c r="I25" s="159" t="s">
        <v>6053</v>
      </c>
      <c r="J25" s="133">
        <f t="shared" si="0"/>
        <v>0.9130643611911623</v>
      </c>
      <c r="K25" s="134">
        <f t="shared" si="1"/>
        <v>200</v>
      </c>
      <c r="L25" s="134">
        <f t="shared" si="2"/>
        <v>200</v>
      </c>
      <c r="M25" s="19">
        <f t="shared" si="3"/>
        <v>50</v>
      </c>
      <c r="N25" s="135" t="s">
        <v>6153</v>
      </c>
      <c r="O25" s="12">
        <v>25</v>
      </c>
      <c r="P25" s="13">
        <v>11918</v>
      </c>
      <c r="Q25" s="13">
        <v>9505</v>
      </c>
      <c r="R25" s="131">
        <v>0.79</v>
      </c>
      <c r="S25" s="132">
        <v>44503</v>
      </c>
      <c r="T25" s="12" t="s">
        <v>6154</v>
      </c>
      <c r="U25" s="132">
        <v>44503</v>
      </c>
      <c r="V25" s="12" t="s">
        <v>6155</v>
      </c>
      <c r="W25" s="12" t="s">
        <v>6060</v>
      </c>
      <c r="X25" s="136" t="s">
        <v>6153</v>
      </c>
      <c r="Y25" s="142">
        <v>25</v>
      </c>
      <c r="Z25" s="137">
        <v>10916</v>
      </c>
      <c r="AA25" s="215">
        <v>7214</v>
      </c>
      <c r="AB25" s="138">
        <v>0.66</v>
      </c>
      <c r="AC25" s="140" t="s">
        <v>6156</v>
      </c>
      <c r="AD25" s="140" t="s">
        <v>6157</v>
      </c>
      <c r="AE25" s="141" t="s">
        <v>6053</v>
      </c>
    </row>
    <row r="26" spans="1:31" ht="14.4" thickBot="1">
      <c r="A26">
        <v>47</v>
      </c>
      <c r="B26" s="130" t="s">
        <v>6158</v>
      </c>
      <c r="C26" s="12">
        <v>250</v>
      </c>
      <c r="D26" s="13">
        <v>53697</v>
      </c>
      <c r="E26" s="224">
        <v>44135</v>
      </c>
      <c r="F26" s="131">
        <v>0.82</v>
      </c>
      <c r="G26" s="132">
        <v>44503</v>
      </c>
      <c r="H26" s="132">
        <v>44525</v>
      </c>
      <c r="I26" s="159" t="s">
        <v>6053</v>
      </c>
      <c r="J26" s="133">
        <f t="shared" si="0"/>
        <v>0.57883765718817271</v>
      </c>
      <c r="K26" s="134">
        <f t="shared" si="1"/>
        <v>383.20499999999998</v>
      </c>
      <c r="L26" s="134">
        <f t="shared" si="2"/>
        <v>200</v>
      </c>
      <c r="M26" s="19">
        <f t="shared" si="3"/>
        <v>50</v>
      </c>
      <c r="N26" s="135" t="s">
        <v>6158</v>
      </c>
      <c r="O26" s="12">
        <v>250</v>
      </c>
      <c r="P26" s="13">
        <v>53697</v>
      </c>
      <c r="Q26" s="13">
        <v>25547</v>
      </c>
      <c r="R26" s="131">
        <v>0.47</v>
      </c>
      <c r="S26" s="132">
        <v>44503</v>
      </c>
      <c r="T26" s="12" t="s">
        <v>6159</v>
      </c>
      <c r="U26" s="132">
        <v>44504</v>
      </c>
      <c r="V26" s="12" t="s">
        <v>6160</v>
      </c>
      <c r="W26" s="12" t="s">
        <v>6053</v>
      </c>
      <c r="X26" s="136" t="s">
        <v>6158</v>
      </c>
      <c r="Y26" s="142">
        <v>248</v>
      </c>
      <c r="Z26" s="137">
        <v>52602</v>
      </c>
      <c r="AA26" s="215">
        <v>29527</v>
      </c>
      <c r="AB26" s="138">
        <v>0.56000000000000005</v>
      </c>
      <c r="AC26" s="140" t="s">
        <v>6161</v>
      </c>
      <c r="AD26" s="140" t="s">
        <v>6162</v>
      </c>
      <c r="AE26" s="141" t="s">
        <v>6053</v>
      </c>
    </row>
    <row r="27" spans="1:31" ht="14.4" thickBot="1">
      <c r="A27">
        <v>49</v>
      </c>
      <c r="B27" s="130" t="s">
        <v>6163</v>
      </c>
      <c r="C27" s="12">
        <v>268</v>
      </c>
      <c r="D27" s="13">
        <v>117174</v>
      </c>
      <c r="E27" s="224">
        <v>92424</v>
      </c>
      <c r="F27" s="131">
        <v>0.78</v>
      </c>
      <c r="G27" s="132">
        <v>44503</v>
      </c>
      <c r="H27" s="132">
        <v>44531</v>
      </c>
      <c r="I27" s="159" t="s">
        <v>6053</v>
      </c>
      <c r="J27" s="133">
        <f t="shared" si="0"/>
        <v>0.66768371851467156</v>
      </c>
      <c r="K27" s="134">
        <f t="shared" si="1"/>
        <v>925.65</v>
      </c>
      <c r="L27" s="134">
        <f t="shared" si="2"/>
        <v>415.90800000000007</v>
      </c>
      <c r="M27" s="19">
        <f t="shared" si="3"/>
        <v>69.3</v>
      </c>
      <c r="N27" s="135" t="s">
        <v>6163</v>
      </c>
      <c r="O27" s="12">
        <v>268</v>
      </c>
      <c r="P27" s="13">
        <v>117174</v>
      </c>
      <c r="Q27" s="13">
        <v>61710</v>
      </c>
      <c r="R27" s="131">
        <v>0.52</v>
      </c>
      <c r="S27" s="132">
        <v>44503</v>
      </c>
      <c r="T27" s="12" t="s">
        <v>6164</v>
      </c>
      <c r="U27" s="132">
        <v>44503</v>
      </c>
      <c r="V27" s="12" t="s">
        <v>6165</v>
      </c>
      <c r="W27" s="12" t="s">
        <v>6053</v>
      </c>
      <c r="X27" s="136" t="s">
        <v>6163</v>
      </c>
      <c r="Y27" s="142">
        <v>269</v>
      </c>
      <c r="Z27" s="137">
        <v>104706</v>
      </c>
      <c r="AA27" s="215">
        <v>45265</v>
      </c>
      <c r="AB27" s="138">
        <v>0.43</v>
      </c>
      <c r="AC27" s="140" t="s">
        <v>6166</v>
      </c>
      <c r="AD27" s="140" t="s">
        <v>6167</v>
      </c>
      <c r="AE27" s="141" t="s">
        <v>6053</v>
      </c>
    </row>
    <row r="28" spans="1:31" ht="14.4" thickBot="1">
      <c r="A28">
        <v>51</v>
      </c>
      <c r="B28" s="130" t="s">
        <v>6168</v>
      </c>
      <c r="C28" s="12">
        <v>21</v>
      </c>
      <c r="D28" s="13">
        <v>5338</v>
      </c>
      <c r="E28" s="224">
        <v>4403</v>
      </c>
      <c r="F28" s="131">
        <v>0.82</v>
      </c>
      <c r="G28" s="132">
        <v>44503</v>
      </c>
      <c r="H28" s="132">
        <v>44520</v>
      </c>
      <c r="I28" s="159" t="s">
        <v>6053</v>
      </c>
      <c r="J28" s="133">
        <f t="shared" si="0"/>
        <v>0.87894617306382017</v>
      </c>
      <c r="K28" s="134">
        <f t="shared" si="1"/>
        <v>200</v>
      </c>
      <c r="L28" s="134">
        <f t="shared" si="2"/>
        <v>200</v>
      </c>
      <c r="M28" s="19">
        <f t="shared" si="3"/>
        <v>50</v>
      </c>
      <c r="N28" s="135" t="s">
        <v>6168</v>
      </c>
      <c r="O28" s="12">
        <v>21</v>
      </c>
      <c r="P28" s="13">
        <v>5338</v>
      </c>
      <c r="Q28" s="13">
        <v>3870</v>
      </c>
      <c r="R28" s="131">
        <v>0.72</v>
      </c>
      <c r="S28" s="132">
        <v>44503</v>
      </c>
      <c r="T28" s="12" t="s">
        <v>6169</v>
      </c>
      <c r="U28" s="132">
        <v>44504</v>
      </c>
      <c r="V28" s="12" t="s">
        <v>6170</v>
      </c>
      <c r="W28" s="12" t="s">
        <v>6053</v>
      </c>
      <c r="X28" s="136" t="s">
        <v>6168</v>
      </c>
      <c r="Y28" s="142">
        <v>21</v>
      </c>
      <c r="Z28" s="137">
        <v>4984</v>
      </c>
      <c r="AA28" s="215">
        <v>3022</v>
      </c>
      <c r="AB28" s="138">
        <v>0.6</v>
      </c>
      <c r="AC28" s="140" t="s">
        <v>6171</v>
      </c>
      <c r="AD28" s="140" t="s">
        <v>6172</v>
      </c>
      <c r="AE28" s="141" t="s">
        <v>6053</v>
      </c>
    </row>
    <row r="29" spans="1:31" ht="14.4" thickBot="1">
      <c r="A29">
        <v>53</v>
      </c>
      <c r="B29" s="130" t="s">
        <v>6173</v>
      </c>
      <c r="C29" s="12">
        <v>12</v>
      </c>
      <c r="D29" s="13">
        <v>7831</v>
      </c>
      <c r="E29" s="224">
        <v>6828</v>
      </c>
      <c r="F29" s="131">
        <v>0.87</v>
      </c>
      <c r="G29" s="132">
        <v>44503</v>
      </c>
      <c r="H29" s="132">
        <v>44521</v>
      </c>
      <c r="I29" s="159" t="s">
        <v>6053</v>
      </c>
      <c r="J29" s="133">
        <f t="shared" si="0"/>
        <v>0.94346807264206212</v>
      </c>
      <c r="K29" s="134">
        <f t="shared" si="1"/>
        <v>200</v>
      </c>
      <c r="L29" s="134">
        <f t="shared" si="2"/>
        <v>200</v>
      </c>
      <c r="M29" s="19">
        <f t="shared" si="3"/>
        <v>50</v>
      </c>
      <c r="N29" s="135" t="s">
        <v>6173</v>
      </c>
      <c r="O29" s="12">
        <v>12</v>
      </c>
      <c r="P29" s="13">
        <v>7831</v>
      </c>
      <c r="Q29" s="13">
        <v>6442</v>
      </c>
      <c r="R29" s="131">
        <v>0.82</v>
      </c>
      <c r="S29" s="132">
        <v>44503</v>
      </c>
      <c r="T29" s="12" t="s">
        <v>6174</v>
      </c>
      <c r="U29" s="132">
        <v>44504</v>
      </c>
      <c r="V29" s="12" t="s">
        <v>6175</v>
      </c>
      <c r="W29" s="12" t="s">
        <v>6053</v>
      </c>
      <c r="X29" s="136" t="s">
        <v>6173</v>
      </c>
      <c r="Y29" s="142">
        <v>12</v>
      </c>
      <c r="Z29" s="137">
        <v>7095</v>
      </c>
      <c r="AA29" s="215">
        <v>4267</v>
      </c>
      <c r="AB29" s="138">
        <v>0.6</v>
      </c>
      <c r="AC29" s="140" t="s">
        <v>6176</v>
      </c>
      <c r="AD29" s="140" t="s">
        <v>6177</v>
      </c>
      <c r="AE29" s="141" t="s">
        <v>6053</v>
      </c>
    </row>
    <row r="30" spans="1:31" ht="14.4" thickBot="1">
      <c r="A30">
        <v>55</v>
      </c>
      <c r="B30" s="130" t="s">
        <v>6178</v>
      </c>
      <c r="C30" s="12">
        <v>188</v>
      </c>
      <c r="D30" s="13">
        <v>206917</v>
      </c>
      <c r="E30" s="224">
        <v>165976</v>
      </c>
      <c r="F30" s="131">
        <v>0.8</v>
      </c>
      <c r="G30" s="132">
        <v>44503</v>
      </c>
      <c r="H30" s="132">
        <v>44531</v>
      </c>
      <c r="I30" s="159" t="s">
        <v>6053</v>
      </c>
      <c r="J30" s="133">
        <f t="shared" si="0"/>
        <v>0.71499493902732925</v>
      </c>
      <c r="K30" s="134">
        <f t="shared" si="1"/>
        <v>1780.08</v>
      </c>
      <c r="L30" s="134">
        <f t="shared" si="2"/>
        <v>746.89200000000005</v>
      </c>
      <c r="M30" s="19">
        <f t="shared" si="3"/>
        <v>124.5</v>
      </c>
      <c r="N30" s="135" t="s">
        <v>6178</v>
      </c>
      <c r="O30" s="12">
        <v>188</v>
      </c>
      <c r="P30" s="13">
        <v>206917</v>
      </c>
      <c r="Q30" s="13">
        <v>118672</v>
      </c>
      <c r="R30" s="131">
        <v>0.56999999999999995</v>
      </c>
      <c r="S30" s="132">
        <v>44503</v>
      </c>
      <c r="T30" s="12" t="s">
        <v>6179</v>
      </c>
      <c r="U30" s="132">
        <v>44504</v>
      </c>
      <c r="V30" s="12" t="s">
        <v>6180</v>
      </c>
      <c r="W30" s="12" t="s">
        <v>6060</v>
      </c>
      <c r="X30" s="136" t="s">
        <v>6178</v>
      </c>
      <c r="Y30" s="142">
        <v>190</v>
      </c>
      <c r="Z30" s="137">
        <v>195245</v>
      </c>
      <c r="AA30" s="215">
        <v>91603</v>
      </c>
      <c r="AB30" s="138">
        <v>0.46</v>
      </c>
      <c r="AC30" s="140" t="s">
        <v>6181</v>
      </c>
      <c r="AD30" s="140" t="s">
        <v>6182</v>
      </c>
      <c r="AE30" s="141" t="s">
        <v>6053</v>
      </c>
    </row>
    <row r="31" spans="1:31" ht="14.4" thickBot="1">
      <c r="A31">
        <v>57</v>
      </c>
      <c r="B31" s="130" t="s">
        <v>6183</v>
      </c>
      <c r="C31" s="12">
        <v>191</v>
      </c>
      <c r="D31" s="13">
        <v>84845</v>
      </c>
      <c r="E31" s="224">
        <v>73269</v>
      </c>
      <c r="F31" s="131">
        <v>0.86</v>
      </c>
      <c r="G31" s="132">
        <v>44503</v>
      </c>
      <c r="H31" s="132">
        <v>44525</v>
      </c>
      <c r="I31" s="159" t="s">
        <v>6053</v>
      </c>
      <c r="J31" s="133">
        <f t="shared" si="0"/>
        <v>0.61327437251770867</v>
      </c>
      <c r="K31" s="134">
        <f t="shared" si="1"/>
        <v>674.01</v>
      </c>
      <c r="L31" s="134">
        <f t="shared" si="2"/>
        <v>329.71050000000002</v>
      </c>
      <c r="M31" s="19">
        <f t="shared" si="3"/>
        <v>55</v>
      </c>
      <c r="N31" s="135" t="s">
        <v>6183</v>
      </c>
      <c r="O31" s="12">
        <v>191</v>
      </c>
      <c r="P31" s="13">
        <v>84845</v>
      </c>
      <c r="Q31" s="13">
        <v>44934</v>
      </c>
      <c r="R31" s="131">
        <v>0.53</v>
      </c>
      <c r="S31" s="132">
        <v>44503</v>
      </c>
      <c r="T31" s="12" t="s">
        <v>6184</v>
      </c>
      <c r="U31" s="132">
        <v>44504</v>
      </c>
      <c r="V31" s="12" t="s">
        <v>6160</v>
      </c>
      <c r="W31" s="12" t="s">
        <v>6060</v>
      </c>
      <c r="X31" s="136" t="s">
        <v>6183</v>
      </c>
      <c r="Y31" s="142">
        <v>170</v>
      </c>
      <c r="Z31" s="137">
        <v>80667</v>
      </c>
      <c r="AA31" s="215">
        <v>47314</v>
      </c>
      <c r="AB31" s="138">
        <v>0.57999999999999996</v>
      </c>
      <c r="AC31" s="140" t="s">
        <v>6185</v>
      </c>
      <c r="AD31" s="140" t="s">
        <v>6186</v>
      </c>
      <c r="AE31" s="141" t="s">
        <v>6053</v>
      </c>
    </row>
    <row r="32" spans="1:31" ht="14.4" thickBot="1">
      <c r="A32">
        <v>59</v>
      </c>
      <c r="B32" s="130" t="s">
        <v>6187</v>
      </c>
      <c r="C32" s="12">
        <v>111</v>
      </c>
      <c r="D32" s="13">
        <v>74299</v>
      </c>
      <c r="E32" s="224">
        <v>65800</v>
      </c>
      <c r="F32" s="131">
        <v>0.88</v>
      </c>
      <c r="G32" s="132">
        <v>44503</v>
      </c>
      <c r="H32" s="132">
        <v>44531</v>
      </c>
      <c r="I32" s="159" t="s">
        <v>6053</v>
      </c>
      <c r="J32" s="133">
        <f t="shared" si="0"/>
        <v>0.46334346504559271</v>
      </c>
      <c r="K32" s="134">
        <f t="shared" si="1"/>
        <v>457.32</v>
      </c>
      <c r="L32" s="134">
        <f t="shared" si="2"/>
        <v>296.10000000000002</v>
      </c>
      <c r="M32" s="19">
        <f t="shared" si="3"/>
        <v>50</v>
      </c>
      <c r="N32" s="135" t="s">
        <v>6187</v>
      </c>
      <c r="O32" s="12">
        <v>111</v>
      </c>
      <c r="P32" s="13">
        <v>74299</v>
      </c>
      <c r="Q32" s="13">
        <v>30488</v>
      </c>
      <c r="R32" s="131">
        <v>0.41</v>
      </c>
      <c r="S32" s="132">
        <v>44503</v>
      </c>
      <c r="T32" s="12" t="s">
        <v>6054</v>
      </c>
      <c r="U32" s="132">
        <v>44503</v>
      </c>
      <c r="V32" s="12" t="s">
        <v>6188</v>
      </c>
      <c r="W32" s="12" t="s">
        <v>6053</v>
      </c>
      <c r="X32" s="136" t="s">
        <v>6187</v>
      </c>
      <c r="Y32" s="142">
        <v>46</v>
      </c>
      <c r="Z32" s="137">
        <v>68151</v>
      </c>
      <c r="AA32" s="215">
        <v>46275</v>
      </c>
      <c r="AB32" s="138">
        <v>0.67</v>
      </c>
      <c r="AC32" s="140" t="s">
        <v>6091</v>
      </c>
      <c r="AD32" s="140" t="s">
        <v>6189</v>
      </c>
      <c r="AE32" s="141" t="s">
        <v>6053</v>
      </c>
    </row>
    <row r="33" spans="1:31" ht="14.4" thickBot="1">
      <c r="A33">
        <v>61</v>
      </c>
      <c r="B33" s="130" t="s">
        <v>6190</v>
      </c>
      <c r="C33" s="13">
        <v>1795</v>
      </c>
      <c r="D33" s="13">
        <v>1772700</v>
      </c>
      <c r="E33" s="224">
        <v>1546570</v>
      </c>
      <c r="F33" s="131">
        <v>0.87</v>
      </c>
      <c r="G33" s="132">
        <v>44503</v>
      </c>
      <c r="H33" s="132">
        <v>44531</v>
      </c>
      <c r="I33" s="159" t="s">
        <v>6053</v>
      </c>
      <c r="J33" s="133">
        <f t="shared" si="0"/>
        <v>0.84175174741524794</v>
      </c>
      <c r="K33" s="134">
        <f t="shared" si="1"/>
        <v>19527.419999999998</v>
      </c>
      <c r="L33" s="134">
        <f t="shared" si="2"/>
        <v>6959.5650000000005</v>
      </c>
      <c r="M33" s="19">
        <f t="shared" si="3"/>
        <v>1159.9000000000001</v>
      </c>
      <c r="N33" s="135" t="s">
        <v>6190</v>
      </c>
      <c r="O33" s="13">
        <v>1795</v>
      </c>
      <c r="P33" s="13">
        <v>1772700</v>
      </c>
      <c r="Q33" s="13">
        <v>1301828</v>
      </c>
      <c r="R33" s="131">
        <v>0.73</v>
      </c>
      <c r="S33" s="132">
        <v>44503</v>
      </c>
      <c r="T33" s="12" t="s">
        <v>6084</v>
      </c>
      <c r="U33" s="132">
        <v>44504</v>
      </c>
      <c r="V33" s="12" t="s">
        <v>6191</v>
      </c>
      <c r="W33" s="12" t="s">
        <v>6053</v>
      </c>
      <c r="X33" s="136" t="s">
        <v>6190</v>
      </c>
      <c r="Y33" s="137">
        <v>1703</v>
      </c>
      <c r="Z33" s="137">
        <v>1634407</v>
      </c>
      <c r="AA33" s="215">
        <v>818021</v>
      </c>
      <c r="AB33" s="138">
        <v>0.5</v>
      </c>
      <c r="AC33" s="140" t="s">
        <v>6192</v>
      </c>
      <c r="AD33" s="140" t="s">
        <v>6193</v>
      </c>
      <c r="AE33" s="141" t="s">
        <v>6053</v>
      </c>
    </row>
    <row r="34" spans="1:31" ht="14.4" thickBot="1">
      <c r="A34">
        <v>63</v>
      </c>
      <c r="B34" s="130" t="s">
        <v>6194</v>
      </c>
      <c r="C34" s="12">
        <v>127</v>
      </c>
      <c r="D34" s="13">
        <v>270599</v>
      </c>
      <c r="E34" s="224">
        <v>239315</v>
      </c>
      <c r="F34" s="131">
        <v>0.88</v>
      </c>
      <c r="G34" s="132">
        <v>44503</v>
      </c>
      <c r="H34" s="132">
        <v>44531</v>
      </c>
      <c r="I34" s="159" t="s">
        <v>6053</v>
      </c>
      <c r="J34" s="133">
        <f t="shared" si="0"/>
        <v>0.6757746066899275</v>
      </c>
      <c r="K34" s="134">
        <f t="shared" si="1"/>
        <v>2425.8449999999998</v>
      </c>
      <c r="L34" s="134">
        <f t="shared" si="2"/>
        <v>1076.9175</v>
      </c>
      <c r="M34" s="19">
        <f t="shared" si="3"/>
        <v>179.5</v>
      </c>
      <c r="N34" s="135" t="s">
        <v>6194</v>
      </c>
      <c r="O34" s="12">
        <v>127</v>
      </c>
      <c r="P34" s="13">
        <v>270599</v>
      </c>
      <c r="Q34" s="13">
        <v>161723</v>
      </c>
      <c r="R34" s="131">
        <v>0.59</v>
      </c>
      <c r="S34" s="132">
        <v>44503</v>
      </c>
      <c r="T34" s="12" t="s">
        <v>6098</v>
      </c>
      <c r="U34" s="132">
        <v>44503</v>
      </c>
      <c r="V34" s="12" t="s">
        <v>6075</v>
      </c>
      <c r="W34" s="12" t="s">
        <v>6053</v>
      </c>
      <c r="X34" s="136" t="s">
        <v>6194</v>
      </c>
      <c r="Y34" s="142">
        <v>301</v>
      </c>
      <c r="Z34" s="137">
        <v>247932</v>
      </c>
      <c r="AA34" s="215">
        <v>142604</v>
      </c>
      <c r="AB34" s="138">
        <v>0.56999999999999995</v>
      </c>
      <c r="AC34" s="140" t="s">
        <v>6195</v>
      </c>
      <c r="AD34" s="140" t="s">
        <v>6196</v>
      </c>
      <c r="AE34" s="141" t="s">
        <v>6053</v>
      </c>
    </row>
    <row r="35" spans="1:31" ht="14.4" thickBot="1">
      <c r="A35">
        <v>65</v>
      </c>
      <c r="B35" s="130" t="s">
        <v>6197</v>
      </c>
      <c r="C35" s="12">
        <v>29</v>
      </c>
      <c r="D35" s="13">
        <v>13655</v>
      </c>
      <c r="E35" s="224">
        <v>11422</v>
      </c>
      <c r="F35" s="131">
        <v>0.83</v>
      </c>
      <c r="G35" s="132">
        <v>44503</v>
      </c>
      <c r="H35" s="132">
        <v>44523</v>
      </c>
      <c r="I35" s="159" t="s">
        <v>6053</v>
      </c>
      <c r="J35" s="133">
        <f t="shared" si="0"/>
        <v>0.9720714410786202</v>
      </c>
      <c r="K35" s="134">
        <f t="shared" si="1"/>
        <v>200</v>
      </c>
      <c r="L35" s="134">
        <f t="shared" si="2"/>
        <v>200</v>
      </c>
      <c r="M35" s="19">
        <f t="shared" si="3"/>
        <v>50</v>
      </c>
      <c r="N35" s="135" t="s">
        <v>6197</v>
      </c>
      <c r="O35" s="12">
        <v>29</v>
      </c>
      <c r="P35" s="13">
        <v>13655</v>
      </c>
      <c r="Q35" s="13">
        <v>11103</v>
      </c>
      <c r="R35" s="131">
        <v>0.81</v>
      </c>
      <c r="S35" s="132">
        <v>44503</v>
      </c>
      <c r="T35" s="12" t="s">
        <v>6198</v>
      </c>
      <c r="U35" s="132">
        <v>44503</v>
      </c>
      <c r="V35" s="12" t="s">
        <v>6198</v>
      </c>
      <c r="W35" s="12" t="s">
        <v>6060</v>
      </c>
      <c r="X35" s="136" t="s">
        <v>6197</v>
      </c>
      <c r="Y35" s="142">
        <v>29</v>
      </c>
      <c r="Z35" s="137">
        <v>12688</v>
      </c>
      <c r="AA35" s="215">
        <v>8218</v>
      </c>
      <c r="AB35" s="138">
        <v>0.64</v>
      </c>
      <c r="AC35" s="140" t="s">
        <v>6199</v>
      </c>
      <c r="AD35" s="140" t="s">
        <v>6200</v>
      </c>
      <c r="AE35" s="141" t="s">
        <v>6053</v>
      </c>
    </row>
    <row r="36" spans="1:31" ht="14.4" thickBot="1">
      <c r="A36">
        <v>67</v>
      </c>
      <c r="B36" s="130" t="s">
        <v>6201</v>
      </c>
      <c r="C36" s="12">
        <v>864</v>
      </c>
      <c r="D36" s="13">
        <v>1241552</v>
      </c>
      <c r="E36" s="224">
        <v>1016027</v>
      </c>
      <c r="F36" s="131">
        <v>0.81</v>
      </c>
      <c r="G36" s="132">
        <v>44503</v>
      </c>
      <c r="H36" s="132">
        <v>44531</v>
      </c>
      <c r="I36" s="159" t="s">
        <v>6053</v>
      </c>
      <c r="J36" s="133">
        <f t="shared" ref="J36:J61" si="4">Q36/E36</f>
        <v>0.4296450783296113</v>
      </c>
      <c r="K36" s="134">
        <f t="shared" ref="K36:K61" si="5">MAX(K$1*$E$1*Q36,$I$1)</f>
        <v>6547.9650000000001</v>
      </c>
      <c r="L36" s="134">
        <f t="shared" ref="L36:L61" si="6">MAX(L$1*$E$1*E36,$I$1*$S$1)</f>
        <v>4572.1215000000002</v>
      </c>
      <c r="M36" s="19">
        <f t="shared" si="3"/>
        <v>762</v>
      </c>
      <c r="N36" s="135" t="s">
        <v>6201</v>
      </c>
      <c r="O36" s="12">
        <v>864</v>
      </c>
      <c r="P36" s="13">
        <v>1241552</v>
      </c>
      <c r="Q36" s="13">
        <v>436531</v>
      </c>
      <c r="R36" s="131">
        <v>0.35</v>
      </c>
      <c r="S36" s="132">
        <v>44503</v>
      </c>
      <c r="T36" s="12" t="s">
        <v>6149</v>
      </c>
      <c r="U36" s="132">
        <v>44504</v>
      </c>
      <c r="V36" s="12" t="s">
        <v>6202</v>
      </c>
      <c r="W36" s="12" t="s">
        <v>6053</v>
      </c>
      <c r="X36" s="136" t="s">
        <v>6201</v>
      </c>
      <c r="Y36" s="142">
        <v>817</v>
      </c>
      <c r="Z36" s="137">
        <v>1116317</v>
      </c>
      <c r="AA36" s="215">
        <v>482272</v>
      </c>
      <c r="AB36" s="138">
        <v>0.43</v>
      </c>
      <c r="AC36" s="140" t="s">
        <v>6203</v>
      </c>
      <c r="AD36" s="140" t="s">
        <v>6204</v>
      </c>
      <c r="AE36" s="141" t="s">
        <v>6053</v>
      </c>
    </row>
    <row r="37" spans="1:31" ht="14.4" thickBot="1">
      <c r="A37">
        <v>69</v>
      </c>
      <c r="B37" s="130" t="s">
        <v>6205</v>
      </c>
      <c r="C37" s="12">
        <v>677</v>
      </c>
      <c r="D37" s="13">
        <v>884247</v>
      </c>
      <c r="E37" s="224">
        <v>729569</v>
      </c>
      <c r="F37" s="131">
        <v>0.82</v>
      </c>
      <c r="G37" s="132">
        <v>44503</v>
      </c>
      <c r="H37" s="132">
        <v>44531</v>
      </c>
      <c r="I37" s="159" t="s">
        <v>6053</v>
      </c>
      <c r="J37" s="133">
        <f t="shared" si="4"/>
        <v>0.46980614582034053</v>
      </c>
      <c r="K37" s="134">
        <f t="shared" si="5"/>
        <v>5141.34</v>
      </c>
      <c r="L37" s="134">
        <f t="shared" si="6"/>
        <v>3283.0605000000005</v>
      </c>
      <c r="M37" s="19">
        <f t="shared" si="3"/>
        <v>547.20000000000005</v>
      </c>
      <c r="N37" s="135" t="s">
        <v>6205</v>
      </c>
      <c r="O37" s="12">
        <v>677</v>
      </c>
      <c r="P37" s="13">
        <v>884247</v>
      </c>
      <c r="Q37" s="13">
        <v>342756</v>
      </c>
      <c r="R37" s="131">
        <v>0.38</v>
      </c>
      <c r="S37" s="132">
        <v>44503</v>
      </c>
      <c r="T37" s="12" t="s">
        <v>6103</v>
      </c>
      <c r="U37" s="132">
        <v>44504</v>
      </c>
      <c r="V37" s="12" t="s">
        <v>6206</v>
      </c>
      <c r="W37" s="12" t="s">
        <v>6053</v>
      </c>
      <c r="X37" s="136" t="s">
        <v>6205</v>
      </c>
      <c r="Y37" s="142">
        <v>608</v>
      </c>
      <c r="Z37" s="137">
        <v>818656</v>
      </c>
      <c r="AA37" s="215">
        <v>409351</v>
      </c>
      <c r="AB37" s="138">
        <v>0.5</v>
      </c>
      <c r="AC37" s="140" t="s">
        <v>6207</v>
      </c>
      <c r="AD37" s="140" t="s">
        <v>6208</v>
      </c>
      <c r="AE37" s="141" t="s">
        <v>6053</v>
      </c>
    </row>
    <row r="38" spans="1:31" ht="14.4" thickBot="1">
      <c r="A38">
        <v>71</v>
      </c>
      <c r="B38" s="130" t="s">
        <v>6209</v>
      </c>
      <c r="C38" s="12">
        <v>54</v>
      </c>
      <c r="D38" s="13">
        <v>35359</v>
      </c>
      <c r="E38" s="224">
        <v>29207</v>
      </c>
      <c r="F38" s="131">
        <v>0.82</v>
      </c>
      <c r="G38" s="132">
        <v>44503</v>
      </c>
      <c r="H38" s="132">
        <v>44532</v>
      </c>
      <c r="I38" s="159" t="s">
        <v>6053</v>
      </c>
      <c r="J38" s="133">
        <f t="shared" si="4"/>
        <v>0.78803026671688292</v>
      </c>
      <c r="K38" s="134">
        <f t="shared" si="5"/>
        <v>345.24</v>
      </c>
      <c r="L38" s="134">
        <f t="shared" si="6"/>
        <v>200</v>
      </c>
      <c r="M38" s="19">
        <f t="shared" si="3"/>
        <v>50</v>
      </c>
      <c r="N38" s="135" t="s">
        <v>6209</v>
      </c>
      <c r="O38" s="12">
        <v>54</v>
      </c>
      <c r="P38" s="13">
        <v>35359</v>
      </c>
      <c r="Q38" s="13">
        <v>23016</v>
      </c>
      <c r="R38" s="131">
        <v>0.65</v>
      </c>
      <c r="S38" s="132">
        <v>44503</v>
      </c>
      <c r="T38" s="12" t="s">
        <v>6210</v>
      </c>
      <c r="U38" s="132">
        <v>44503</v>
      </c>
      <c r="V38" s="12" t="s">
        <v>6075</v>
      </c>
      <c r="W38" s="12" t="s">
        <v>6060</v>
      </c>
      <c r="X38" s="136" t="s">
        <v>6209</v>
      </c>
      <c r="Y38" s="142">
        <v>32</v>
      </c>
      <c r="Z38" s="137">
        <v>32453</v>
      </c>
      <c r="AA38" s="215">
        <v>17346</v>
      </c>
      <c r="AB38" s="138">
        <v>0.53</v>
      </c>
      <c r="AC38" s="140" t="s">
        <v>6211</v>
      </c>
      <c r="AD38" s="140" t="s">
        <v>6212</v>
      </c>
      <c r="AE38" s="141" t="s">
        <v>6053</v>
      </c>
    </row>
    <row r="39" spans="1:31" ht="13.8" customHeight="1" thickBot="1">
      <c r="A39">
        <v>73</v>
      </c>
      <c r="B39" s="130" t="s">
        <v>6213</v>
      </c>
      <c r="C39" s="13">
        <v>2327</v>
      </c>
      <c r="D39" s="13">
        <v>1102687</v>
      </c>
      <c r="E39" s="224">
        <v>852636</v>
      </c>
      <c r="F39" s="131">
        <v>0.77</v>
      </c>
      <c r="G39" s="132">
        <v>44503</v>
      </c>
      <c r="H39" s="132">
        <v>44531</v>
      </c>
      <c r="I39" s="159" t="s">
        <v>6053</v>
      </c>
      <c r="J39" s="133">
        <f t="shared" si="4"/>
        <v>0.57683583615986189</v>
      </c>
      <c r="K39" s="134">
        <f t="shared" si="5"/>
        <v>7377.4650000000001</v>
      </c>
      <c r="L39" s="134">
        <f t="shared" si="6"/>
        <v>3836.8620000000005</v>
      </c>
      <c r="M39" s="19">
        <f t="shared" si="3"/>
        <v>639.5</v>
      </c>
      <c r="N39" s="135" t="s">
        <v>6213</v>
      </c>
      <c r="O39" s="13">
        <v>2327</v>
      </c>
      <c r="P39" s="13">
        <v>1102687</v>
      </c>
      <c r="Q39" s="13">
        <v>491831</v>
      </c>
      <c r="R39" s="131">
        <v>0.44</v>
      </c>
      <c r="S39" s="132">
        <v>44503</v>
      </c>
      <c r="T39" s="12" t="s">
        <v>6214</v>
      </c>
      <c r="U39" s="132">
        <v>44504</v>
      </c>
      <c r="V39" s="12" t="s">
        <v>6202</v>
      </c>
      <c r="W39" s="12" t="s">
        <v>6053</v>
      </c>
      <c r="X39" s="136" t="s">
        <v>6213</v>
      </c>
      <c r="Y39" s="137">
        <v>2256</v>
      </c>
      <c r="Z39" s="137">
        <v>1016190</v>
      </c>
      <c r="AA39" s="215">
        <v>391935</v>
      </c>
      <c r="AB39" s="138">
        <v>0.38</v>
      </c>
      <c r="AC39" s="140" t="s">
        <v>6215</v>
      </c>
      <c r="AD39" s="140" t="s">
        <v>6216</v>
      </c>
      <c r="AE39" s="141" t="s">
        <v>6053</v>
      </c>
    </row>
    <row r="40" spans="1:31" ht="14.4" thickBot="1">
      <c r="A40">
        <v>75</v>
      </c>
      <c r="B40" s="130" t="s">
        <v>6217</v>
      </c>
      <c r="C40" s="13">
        <v>1414</v>
      </c>
      <c r="D40" s="13">
        <v>1950545</v>
      </c>
      <c r="E40" s="224">
        <v>1627753</v>
      </c>
      <c r="F40" s="131">
        <v>0.83</v>
      </c>
      <c r="G40" s="132">
        <v>44503</v>
      </c>
      <c r="H40" s="132">
        <v>44531</v>
      </c>
      <c r="I40" s="159" t="s">
        <v>6053</v>
      </c>
      <c r="J40" s="133">
        <f t="shared" si="4"/>
        <v>0.77075821700221103</v>
      </c>
      <c r="K40" s="134">
        <f t="shared" si="5"/>
        <v>18819.059999999998</v>
      </c>
      <c r="L40" s="134">
        <f t="shared" si="6"/>
        <v>7324.8885000000009</v>
      </c>
      <c r="M40" s="19">
        <f t="shared" si="3"/>
        <v>1220.8</v>
      </c>
      <c r="N40" s="135" t="s">
        <v>6217</v>
      </c>
      <c r="O40" s="13">
        <v>1414</v>
      </c>
      <c r="P40" s="13">
        <v>1950545</v>
      </c>
      <c r="Q40" s="13">
        <v>1254604</v>
      </c>
      <c r="R40" s="131">
        <v>0.64</v>
      </c>
      <c r="S40" s="132">
        <v>44503</v>
      </c>
      <c r="T40" s="12" t="s">
        <v>6218</v>
      </c>
      <c r="U40" s="132">
        <v>44504</v>
      </c>
      <c r="V40" s="12" t="s">
        <v>6219</v>
      </c>
      <c r="W40" s="12" t="s">
        <v>6060</v>
      </c>
      <c r="X40" s="136" t="s">
        <v>6217</v>
      </c>
      <c r="Y40" s="137">
        <v>1862</v>
      </c>
      <c r="Z40" s="137">
        <v>1826138</v>
      </c>
      <c r="AA40" s="215">
        <v>907602</v>
      </c>
      <c r="AB40" s="138">
        <v>0.49</v>
      </c>
      <c r="AC40" s="140" t="s">
        <v>6220</v>
      </c>
      <c r="AD40" s="140" t="s">
        <v>6221</v>
      </c>
      <c r="AE40" s="141" t="s">
        <v>6053</v>
      </c>
    </row>
    <row r="41" spans="1:31" ht="14.4" thickBot="1">
      <c r="A41">
        <v>77</v>
      </c>
      <c r="B41" s="130" t="s">
        <v>6222</v>
      </c>
      <c r="C41" s="12">
        <v>609</v>
      </c>
      <c r="D41" s="13">
        <v>521771</v>
      </c>
      <c r="E41" s="224">
        <v>449866</v>
      </c>
      <c r="F41" s="131">
        <v>0.86</v>
      </c>
      <c r="G41" s="132">
        <v>44503</v>
      </c>
      <c r="H41" s="132">
        <v>44531</v>
      </c>
      <c r="I41" s="159" t="s">
        <v>6053</v>
      </c>
      <c r="J41" s="133">
        <f t="shared" si="4"/>
        <v>0.78364890878617188</v>
      </c>
      <c r="K41" s="134">
        <f t="shared" si="5"/>
        <v>5288.0549999999994</v>
      </c>
      <c r="L41" s="134">
        <f t="shared" si="6"/>
        <v>2024.3970000000002</v>
      </c>
      <c r="M41" s="19">
        <f t="shared" si="3"/>
        <v>337.40000000000003</v>
      </c>
      <c r="N41" s="135" t="s">
        <v>6222</v>
      </c>
      <c r="O41" s="12">
        <v>609</v>
      </c>
      <c r="P41" s="13">
        <v>521771</v>
      </c>
      <c r="Q41" s="13">
        <v>352537</v>
      </c>
      <c r="R41" s="131">
        <v>0.67</v>
      </c>
      <c r="S41" s="132">
        <v>44503</v>
      </c>
      <c r="T41" s="12" t="s">
        <v>6223</v>
      </c>
      <c r="U41" s="132">
        <v>44503</v>
      </c>
      <c r="V41" s="12" t="s">
        <v>6224</v>
      </c>
      <c r="W41" s="12" t="s">
        <v>6060</v>
      </c>
      <c r="X41" s="136" t="s">
        <v>6222</v>
      </c>
      <c r="Y41" s="142">
        <v>609</v>
      </c>
      <c r="Z41" s="137">
        <v>505246</v>
      </c>
      <c r="AA41" s="215">
        <v>305184</v>
      </c>
      <c r="AB41" s="138">
        <v>0.6</v>
      </c>
      <c r="AC41" s="140" t="s">
        <v>6141</v>
      </c>
      <c r="AD41" s="140" t="s">
        <v>6225</v>
      </c>
      <c r="AE41" s="141" t="s">
        <v>6053</v>
      </c>
    </row>
    <row r="42" spans="1:31" ht="14.4" thickBot="1">
      <c r="A42">
        <v>79</v>
      </c>
      <c r="B42" s="130" t="s">
        <v>6226</v>
      </c>
      <c r="C42" s="12">
        <v>207</v>
      </c>
      <c r="D42" s="13">
        <v>366394</v>
      </c>
      <c r="E42" s="224">
        <v>292818</v>
      </c>
      <c r="F42" s="131">
        <v>0.79</v>
      </c>
      <c r="G42" s="132">
        <v>44503</v>
      </c>
      <c r="H42" s="132">
        <v>44532</v>
      </c>
      <c r="I42" s="159" t="s">
        <v>6053</v>
      </c>
      <c r="J42" s="133">
        <f t="shared" si="4"/>
        <v>0.49095684008496743</v>
      </c>
      <c r="K42" s="134">
        <f t="shared" si="5"/>
        <v>2156.415</v>
      </c>
      <c r="L42" s="134">
        <f t="shared" si="6"/>
        <v>1317.6810000000003</v>
      </c>
      <c r="M42" s="19">
        <f t="shared" si="3"/>
        <v>219.6</v>
      </c>
      <c r="N42" s="135" t="s">
        <v>6226</v>
      </c>
      <c r="O42" s="12">
        <v>207</v>
      </c>
      <c r="P42" s="13">
        <v>366394</v>
      </c>
      <c r="Q42" s="13">
        <v>143761</v>
      </c>
      <c r="R42" s="131">
        <v>0.39</v>
      </c>
      <c r="S42" s="132">
        <v>44503</v>
      </c>
      <c r="T42" s="12" t="s">
        <v>6154</v>
      </c>
      <c r="U42" s="132">
        <v>44504</v>
      </c>
      <c r="V42" s="12" t="s">
        <v>6227</v>
      </c>
      <c r="W42" s="12" t="s">
        <v>6060</v>
      </c>
      <c r="X42" s="136" t="s">
        <v>6226</v>
      </c>
      <c r="Y42" s="142">
        <v>377</v>
      </c>
      <c r="Z42" s="137">
        <v>326470</v>
      </c>
      <c r="AA42" s="215">
        <v>150482</v>
      </c>
      <c r="AB42" s="138">
        <v>0.46</v>
      </c>
      <c r="AC42" s="140" t="s">
        <v>6228</v>
      </c>
      <c r="AD42" s="140" t="s">
        <v>6229</v>
      </c>
      <c r="AE42" s="141" t="s">
        <v>6053</v>
      </c>
    </row>
    <row r="43" spans="1:31" ht="14.4" thickBot="1">
      <c r="A43">
        <v>81</v>
      </c>
      <c r="B43" s="130" t="s">
        <v>6230</v>
      </c>
      <c r="C43" s="12">
        <v>112</v>
      </c>
      <c r="D43" s="13">
        <v>183746</v>
      </c>
      <c r="E43" s="224">
        <v>162615</v>
      </c>
      <c r="F43" s="131">
        <v>0.88</v>
      </c>
      <c r="G43" s="132">
        <v>44503</v>
      </c>
      <c r="H43" s="132">
        <v>44530</v>
      </c>
      <c r="I43" s="159" t="s">
        <v>6053</v>
      </c>
      <c r="J43" s="133">
        <f t="shared" si="4"/>
        <v>0.72548042923469547</v>
      </c>
      <c r="K43" s="134">
        <f t="shared" si="5"/>
        <v>1769.61</v>
      </c>
      <c r="L43" s="134">
        <f t="shared" si="6"/>
        <v>731.76750000000004</v>
      </c>
      <c r="M43" s="19">
        <f t="shared" si="3"/>
        <v>122</v>
      </c>
      <c r="N43" s="135" t="s">
        <v>6230</v>
      </c>
      <c r="O43" s="12">
        <v>112</v>
      </c>
      <c r="P43" s="13">
        <v>183746</v>
      </c>
      <c r="Q43" s="13">
        <v>117974</v>
      </c>
      <c r="R43" s="131">
        <v>0.64</v>
      </c>
      <c r="S43" s="132">
        <v>44503</v>
      </c>
      <c r="T43" s="12" t="s">
        <v>6089</v>
      </c>
      <c r="U43" s="132">
        <v>44503</v>
      </c>
      <c r="V43" s="12" t="s">
        <v>6127</v>
      </c>
      <c r="W43" s="12" t="s">
        <v>6060</v>
      </c>
      <c r="X43" s="136" t="s">
        <v>6230</v>
      </c>
      <c r="Y43" s="142">
        <v>142</v>
      </c>
      <c r="Z43" s="137">
        <v>176343</v>
      </c>
      <c r="AA43" s="215">
        <v>111239</v>
      </c>
      <c r="AB43" s="138">
        <v>0.63</v>
      </c>
      <c r="AC43" s="140" t="s">
        <v>6231</v>
      </c>
      <c r="AD43" s="140" t="s">
        <v>6232</v>
      </c>
      <c r="AE43" s="141" t="s">
        <v>6053</v>
      </c>
    </row>
    <row r="44" spans="1:31" ht="14.4" thickBot="1">
      <c r="A44">
        <v>83</v>
      </c>
      <c r="B44" s="130" t="s">
        <v>6233</v>
      </c>
      <c r="C44" s="12">
        <v>403</v>
      </c>
      <c r="D44" s="13">
        <v>442988</v>
      </c>
      <c r="E44" s="224">
        <v>380077</v>
      </c>
      <c r="F44" s="131">
        <v>0.85</v>
      </c>
      <c r="G44" s="132">
        <v>44503</v>
      </c>
      <c r="H44" s="132">
        <v>44530</v>
      </c>
      <c r="I44" s="159" t="s">
        <v>6053</v>
      </c>
      <c r="J44" s="133">
        <f t="shared" si="4"/>
        <v>0.67986750053278677</v>
      </c>
      <c r="K44" s="134">
        <f t="shared" si="5"/>
        <v>3876.0299999999997</v>
      </c>
      <c r="L44" s="134">
        <f t="shared" si="6"/>
        <v>1710.3465000000001</v>
      </c>
      <c r="M44" s="19">
        <f t="shared" si="3"/>
        <v>285.10000000000002</v>
      </c>
      <c r="N44" s="135" t="s">
        <v>6233</v>
      </c>
      <c r="O44" s="12">
        <v>403</v>
      </c>
      <c r="P44" s="13">
        <v>442988</v>
      </c>
      <c r="Q44" s="13">
        <v>258402</v>
      </c>
      <c r="R44" s="131">
        <v>0.57999999999999996</v>
      </c>
      <c r="S44" s="132">
        <v>44503</v>
      </c>
      <c r="T44" s="12" t="s">
        <v>6103</v>
      </c>
      <c r="U44" s="132">
        <v>44504</v>
      </c>
      <c r="V44" s="12" t="s">
        <v>6234</v>
      </c>
      <c r="W44" s="12" t="s">
        <v>6060</v>
      </c>
      <c r="X44" s="136" t="s">
        <v>6233</v>
      </c>
      <c r="Y44" s="142">
        <v>341</v>
      </c>
      <c r="Z44" s="137">
        <v>417299</v>
      </c>
      <c r="AA44" s="215">
        <v>228291</v>
      </c>
      <c r="AB44" s="138">
        <v>0.54</v>
      </c>
      <c r="AC44" s="140" t="s">
        <v>6235</v>
      </c>
      <c r="AD44" s="140" t="s">
        <v>6236</v>
      </c>
      <c r="AE44" s="141" t="s">
        <v>6053</v>
      </c>
    </row>
    <row r="45" spans="1:31" ht="14.4" thickBot="1">
      <c r="A45">
        <v>85</v>
      </c>
      <c r="B45" s="130" t="s">
        <v>6237</v>
      </c>
      <c r="C45" s="12">
        <v>226</v>
      </c>
      <c r="D45" s="13">
        <v>235198</v>
      </c>
      <c r="E45" s="224">
        <v>203506</v>
      </c>
      <c r="F45" s="131">
        <v>0.86</v>
      </c>
      <c r="G45" s="132">
        <v>44503</v>
      </c>
      <c r="H45" s="132">
        <v>44531</v>
      </c>
      <c r="I45" s="159" t="s">
        <v>6053</v>
      </c>
      <c r="J45" s="133">
        <f t="shared" si="4"/>
        <v>0.77055221959057718</v>
      </c>
      <c r="K45" s="134">
        <f t="shared" si="5"/>
        <v>2352.1799999999998</v>
      </c>
      <c r="L45" s="134">
        <f t="shared" si="6"/>
        <v>915.77700000000016</v>
      </c>
      <c r="M45" s="19">
        <f t="shared" si="3"/>
        <v>152.6</v>
      </c>
      <c r="N45" s="135" t="s">
        <v>6237</v>
      </c>
      <c r="O45" s="12">
        <v>226</v>
      </c>
      <c r="P45" s="13">
        <v>235198</v>
      </c>
      <c r="Q45" s="13">
        <v>156812</v>
      </c>
      <c r="R45" s="131">
        <v>0.66</v>
      </c>
      <c r="S45" s="132">
        <v>44503</v>
      </c>
      <c r="T45" s="12" t="s">
        <v>6064</v>
      </c>
      <c r="U45" s="132">
        <v>44504</v>
      </c>
      <c r="V45" s="12" t="s">
        <v>6238</v>
      </c>
      <c r="W45" s="12" t="s">
        <v>6060</v>
      </c>
      <c r="X45" s="136" t="s">
        <v>6237</v>
      </c>
      <c r="Y45" s="142">
        <v>202</v>
      </c>
      <c r="Z45" s="137">
        <v>226923</v>
      </c>
      <c r="AA45" s="215">
        <v>133274</v>
      </c>
      <c r="AB45" s="138">
        <v>0.57999999999999996</v>
      </c>
      <c r="AC45" s="140" t="s">
        <v>6203</v>
      </c>
      <c r="AD45" s="140" t="s">
        <v>6239</v>
      </c>
      <c r="AE45" s="141" t="s">
        <v>6053</v>
      </c>
    </row>
    <row r="46" spans="1:31" ht="14.4" thickBot="1">
      <c r="A46">
        <v>87</v>
      </c>
      <c r="B46" s="130" t="s">
        <v>6240</v>
      </c>
      <c r="C46" s="12">
        <v>596</v>
      </c>
      <c r="D46" s="13">
        <v>1019309</v>
      </c>
      <c r="E46" s="224">
        <v>863964</v>
      </c>
      <c r="F46" s="131">
        <v>0.84</v>
      </c>
      <c r="G46" s="132">
        <v>44503</v>
      </c>
      <c r="H46" s="132">
        <v>44531</v>
      </c>
      <c r="I46" s="159" t="s">
        <v>6053</v>
      </c>
      <c r="J46" s="133">
        <f t="shared" si="4"/>
        <v>0.64745869040839665</v>
      </c>
      <c r="K46" s="134">
        <f t="shared" si="5"/>
        <v>8390.7150000000001</v>
      </c>
      <c r="L46" s="134">
        <f t="shared" si="6"/>
        <v>3887.8380000000006</v>
      </c>
      <c r="M46" s="19">
        <f t="shared" si="3"/>
        <v>648</v>
      </c>
      <c r="N46" s="135" t="s">
        <v>6240</v>
      </c>
      <c r="O46" s="12">
        <v>596</v>
      </c>
      <c r="P46" s="13">
        <v>1019309</v>
      </c>
      <c r="Q46" s="13">
        <v>559381</v>
      </c>
      <c r="R46" s="131">
        <v>0.54</v>
      </c>
      <c r="S46" s="132">
        <v>44503</v>
      </c>
      <c r="T46" s="12" t="s">
        <v>6241</v>
      </c>
      <c r="U46" s="132">
        <v>44504</v>
      </c>
      <c r="V46" s="12" t="s">
        <v>6242</v>
      </c>
      <c r="W46" s="12" t="s">
        <v>6053</v>
      </c>
      <c r="X46" s="136" t="s">
        <v>6240</v>
      </c>
      <c r="Y46" s="142">
        <v>478</v>
      </c>
      <c r="Z46" s="137">
        <v>951292</v>
      </c>
      <c r="AA46" s="215">
        <v>495791</v>
      </c>
      <c r="AB46" s="138">
        <v>0.52</v>
      </c>
      <c r="AC46" s="140" t="s">
        <v>6243</v>
      </c>
      <c r="AD46" s="140" t="s">
        <v>6244</v>
      </c>
      <c r="AE46" s="141" t="s">
        <v>6053</v>
      </c>
    </row>
    <row r="47" spans="1:31" ht="13.8" customHeight="1" thickBot="1">
      <c r="A47">
        <v>89</v>
      </c>
      <c r="B47" s="130" t="s">
        <v>6245</v>
      </c>
      <c r="C47" s="12">
        <v>168</v>
      </c>
      <c r="D47" s="13">
        <v>170831</v>
      </c>
      <c r="E47" s="224">
        <v>146857</v>
      </c>
      <c r="F47" s="131">
        <v>0.86</v>
      </c>
      <c r="G47" s="132">
        <v>44503</v>
      </c>
      <c r="H47" s="132">
        <v>44531</v>
      </c>
      <c r="I47" s="159" t="s">
        <v>6053</v>
      </c>
      <c r="J47" s="133">
        <f t="shared" si="4"/>
        <v>0.86086465064654727</v>
      </c>
      <c r="K47" s="134">
        <f t="shared" si="5"/>
        <v>1896.36</v>
      </c>
      <c r="L47" s="134">
        <f t="shared" si="6"/>
        <v>660.8565000000001</v>
      </c>
      <c r="M47" s="19">
        <f t="shared" si="3"/>
        <v>110.10000000000001</v>
      </c>
      <c r="N47" s="135" t="s">
        <v>6245</v>
      </c>
      <c r="O47" s="12">
        <v>168</v>
      </c>
      <c r="P47" s="13">
        <v>170831</v>
      </c>
      <c r="Q47" s="13">
        <v>126424</v>
      </c>
      <c r="R47" s="131">
        <v>0.74</v>
      </c>
      <c r="S47" s="132">
        <v>44503</v>
      </c>
      <c r="T47" s="12" t="s">
        <v>6246</v>
      </c>
      <c r="U47" s="132">
        <v>44504</v>
      </c>
      <c r="V47" s="12" t="s">
        <v>6247</v>
      </c>
      <c r="W47" s="12" t="s">
        <v>6053</v>
      </c>
      <c r="X47" s="136" t="s">
        <v>6245</v>
      </c>
      <c r="Y47" s="142">
        <v>199</v>
      </c>
      <c r="Z47" s="137">
        <v>163604</v>
      </c>
      <c r="AA47" s="215">
        <v>103900</v>
      </c>
      <c r="AB47" s="138">
        <v>0.63</v>
      </c>
      <c r="AC47" s="140" t="s">
        <v>6171</v>
      </c>
      <c r="AD47" s="140" t="s">
        <v>6248</v>
      </c>
      <c r="AE47" s="141" t="s">
        <v>6053</v>
      </c>
    </row>
    <row r="48" spans="1:31" ht="14.4" thickBot="1">
      <c r="A48">
        <v>91</v>
      </c>
      <c r="B48" s="130" t="s">
        <v>6249</v>
      </c>
      <c r="C48" s="12">
        <v>97</v>
      </c>
      <c r="D48" s="13">
        <v>111243</v>
      </c>
      <c r="E48" s="224">
        <v>94084</v>
      </c>
      <c r="F48" s="131">
        <v>0.84</v>
      </c>
      <c r="G48" s="132">
        <v>44503</v>
      </c>
      <c r="H48" s="132">
        <v>44531</v>
      </c>
      <c r="I48" s="159" t="s">
        <v>6053</v>
      </c>
      <c r="J48" s="133">
        <f t="shared" si="4"/>
        <v>0.77614684749798057</v>
      </c>
      <c r="K48" s="134">
        <f t="shared" si="5"/>
        <v>1095.345</v>
      </c>
      <c r="L48" s="134">
        <f t="shared" si="6"/>
        <v>423.37800000000004</v>
      </c>
      <c r="M48" s="19">
        <f t="shared" si="3"/>
        <v>70.600000000000009</v>
      </c>
      <c r="N48" s="135" t="s">
        <v>6249</v>
      </c>
      <c r="O48" s="12">
        <v>97</v>
      </c>
      <c r="P48" s="13">
        <v>111243</v>
      </c>
      <c r="Q48" s="13">
        <v>73023</v>
      </c>
      <c r="R48" s="131">
        <v>0.65</v>
      </c>
      <c r="S48" s="132">
        <v>44503</v>
      </c>
      <c r="T48" s="12" t="s">
        <v>6069</v>
      </c>
      <c r="U48" s="132">
        <v>44504</v>
      </c>
      <c r="V48" s="12" t="s">
        <v>6250</v>
      </c>
      <c r="W48" s="12" t="s">
        <v>6053</v>
      </c>
      <c r="X48" s="136" t="s">
        <v>6249</v>
      </c>
      <c r="Y48" s="142">
        <v>97</v>
      </c>
      <c r="Z48" s="137">
        <v>103883</v>
      </c>
      <c r="AA48" s="215">
        <v>58362</v>
      </c>
      <c r="AB48" s="138">
        <v>0.56000000000000005</v>
      </c>
      <c r="AC48" s="140" t="s">
        <v>6119</v>
      </c>
      <c r="AD48" s="140" t="s">
        <v>6251</v>
      </c>
      <c r="AE48" s="141" t="s">
        <v>6053</v>
      </c>
    </row>
    <row r="49" spans="1:31" ht="14.4" thickBot="1">
      <c r="A49">
        <v>93</v>
      </c>
      <c r="B49" s="130" t="s">
        <v>6252</v>
      </c>
      <c r="C49" s="12">
        <v>23</v>
      </c>
      <c r="D49" s="13">
        <v>2261</v>
      </c>
      <c r="E49" s="224">
        <v>1964</v>
      </c>
      <c r="F49" s="131">
        <v>0.86</v>
      </c>
      <c r="G49" s="132">
        <v>44503</v>
      </c>
      <c r="H49" s="132">
        <v>44532</v>
      </c>
      <c r="I49" s="159" t="s">
        <v>6053</v>
      </c>
      <c r="J49" s="133">
        <f t="shared" si="4"/>
        <v>0.98625254582484723</v>
      </c>
      <c r="K49" s="134">
        <f t="shared" si="5"/>
        <v>200</v>
      </c>
      <c r="L49" s="134">
        <f t="shared" si="6"/>
        <v>200</v>
      </c>
      <c r="M49" s="19">
        <f t="shared" si="3"/>
        <v>50</v>
      </c>
      <c r="N49" s="135" t="s">
        <v>6252</v>
      </c>
      <c r="O49" s="12">
        <v>23</v>
      </c>
      <c r="P49" s="13">
        <v>2261</v>
      </c>
      <c r="Q49" s="13">
        <v>1937</v>
      </c>
      <c r="R49" s="131">
        <v>0.85</v>
      </c>
      <c r="S49" s="132">
        <v>44503</v>
      </c>
      <c r="T49" s="12" t="s">
        <v>6074</v>
      </c>
      <c r="U49" s="132">
        <v>44504</v>
      </c>
      <c r="V49" s="12" t="s">
        <v>6253</v>
      </c>
      <c r="W49" s="12" t="s">
        <v>6053</v>
      </c>
      <c r="X49" s="136" t="s">
        <v>6252</v>
      </c>
      <c r="Y49" s="142">
        <v>23</v>
      </c>
      <c r="Z49" s="137">
        <v>2123</v>
      </c>
      <c r="AA49" s="215">
        <v>1389</v>
      </c>
      <c r="AB49" s="138">
        <v>0.65</v>
      </c>
      <c r="AC49" s="140" t="s">
        <v>6254</v>
      </c>
      <c r="AD49" s="140" t="s">
        <v>6255</v>
      </c>
      <c r="AE49" s="141" t="s">
        <v>6053</v>
      </c>
    </row>
    <row r="50" spans="1:31" ht="14.4" thickBot="1">
      <c r="A50">
        <v>95</v>
      </c>
      <c r="B50" s="130" t="s">
        <v>6256</v>
      </c>
      <c r="C50" s="12">
        <v>64</v>
      </c>
      <c r="D50" s="13">
        <v>29240</v>
      </c>
      <c r="E50" s="224">
        <v>23796</v>
      </c>
      <c r="F50" s="131">
        <v>0.81</v>
      </c>
      <c r="G50" s="132">
        <v>44503</v>
      </c>
      <c r="H50" s="132">
        <v>44533</v>
      </c>
      <c r="I50" s="159" t="s">
        <v>6053</v>
      </c>
      <c r="J50" s="133">
        <f t="shared" si="4"/>
        <v>0.82690368129097325</v>
      </c>
      <c r="K50" s="134">
        <f t="shared" si="5"/>
        <v>295.15499999999997</v>
      </c>
      <c r="L50" s="134">
        <f t="shared" si="6"/>
        <v>200</v>
      </c>
      <c r="M50" s="19">
        <f t="shared" si="3"/>
        <v>50</v>
      </c>
      <c r="N50" s="135" t="s">
        <v>6256</v>
      </c>
      <c r="O50" s="12">
        <v>64</v>
      </c>
      <c r="P50" s="13">
        <v>29240</v>
      </c>
      <c r="Q50" s="13">
        <v>19677</v>
      </c>
      <c r="R50" s="131">
        <v>0.67</v>
      </c>
      <c r="S50" s="132">
        <v>44503</v>
      </c>
      <c r="T50" s="12" t="s">
        <v>6257</v>
      </c>
      <c r="U50" s="132">
        <v>44504</v>
      </c>
      <c r="V50" s="12" t="s">
        <v>6258</v>
      </c>
      <c r="W50" s="12" t="s">
        <v>6053</v>
      </c>
      <c r="X50" s="136" t="s">
        <v>6256</v>
      </c>
      <c r="Y50" s="142">
        <v>54</v>
      </c>
      <c r="Z50" s="137">
        <v>27662</v>
      </c>
      <c r="AA50" s="215">
        <v>15364</v>
      </c>
      <c r="AB50" s="138">
        <v>0.55000000000000004</v>
      </c>
      <c r="AC50" s="140" t="s">
        <v>6259</v>
      </c>
      <c r="AD50" s="140" t="s">
        <v>6260</v>
      </c>
      <c r="AE50" s="141" t="s">
        <v>6053</v>
      </c>
    </row>
    <row r="51" spans="1:31" ht="14.4" thickBot="1">
      <c r="A51">
        <v>97</v>
      </c>
      <c r="B51" s="130" t="s">
        <v>6261</v>
      </c>
      <c r="C51" s="12">
        <v>348</v>
      </c>
      <c r="D51" s="13">
        <v>259161</v>
      </c>
      <c r="E51" s="224">
        <v>209002</v>
      </c>
      <c r="F51" s="131">
        <v>0.8</v>
      </c>
      <c r="G51" s="132">
        <v>44503</v>
      </c>
      <c r="H51" s="132">
        <v>44531</v>
      </c>
      <c r="I51" s="159" t="s">
        <v>6053</v>
      </c>
      <c r="J51" s="133">
        <f t="shared" si="4"/>
        <v>0.84426464818518487</v>
      </c>
      <c r="K51" s="134">
        <f t="shared" si="5"/>
        <v>2646.7950000000001</v>
      </c>
      <c r="L51" s="134">
        <f t="shared" si="6"/>
        <v>940.50900000000013</v>
      </c>
      <c r="M51" s="19">
        <f t="shared" si="3"/>
        <v>156.80000000000001</v>
      </c>
      <c r="N51" s="135" t="s">
        <v>6261</v>
      </c>
      <c r="O51" s="12">
        <v>348</v>
      </c>
      <c r="P51" s="13">
        <v>259161</v>
      </c>
      <c r="Q51" s="13">
        <v>176453</v>
      </c>
      <c r="R51" s="131">
        <v>0.68</v>
      </c>
      <c r="S51" s="132">
        <v>44503</v>
      </c>
      <c r="T51" s="12" t="s">
        <v>6262</v>
      </c>
      <c r="U51" s="132">
        <v>44504</v>
      </c>
      <c r="V51" s="12" t="s">
        <v>6263</v>
      </c>
      <c r="W51" s="12" t="s">
        <v>6053</v>
      </c>
      <c r="X51" s="136" t="s">
        <v>6261</v>
      </c>
      <c r="Y51" s="142">
        <v>175</v>
      </c>
      <c r="Z51" s="137">
        <v>239267</v>
      </c>
      <c r="AA51" s="215">
        <v>111578</v>
      </c>
      <c r="AB51" s="138">
        <v>0.46</v>
      </c>
      <c r="AC51" s="140" t="s">
        <v>6264</v>
      </c>
      <c r="AD51" s="140" t="s">
        <v>6265</v>
      </c>
      <c r="AE51" s="141" t="s">
        <v>6053</v>
      </c>
    </row>
    <row r="52" spans="1:31" ht="14.4" thickBot="1">
      <c r="A52">
        <v>99</v>
      </c>
      <c r="B52" s="130" t="s">
        <v>6266</v>
      </c>
      <c r="C52" s="12">
        <v>668</v>
      </c>
      <c r="D52" s="13">
        <v>300840</v>
      </c>
      <c r="E52" s="224">
        <v>272244</v>
      </c>
      <c r="F52" s="131">
        <v>0.9</v>
      </c>
      <c r="G52" s="132">
        <v>44503</v>
      </c>
      <c r="H52" s="132">
        <v>44525</v>
      </c>
      <c r="I52" s="159" t="s">
        <v>6053</v>
      </c>
      <c r="J52" s="133">
        <f t="shared" si="4"/>
        <v>0.73678024125416908</v>
      </c>
      <c r="K52" s="134">
        <f t="shared" si="5"/>
        <v>3008.7599999999998</v>
      </c>
      <c r="L52" s="134">
        <f t="shared" si="6"/>
        <v>1225.0980000000002</v>
      </c>
      <c r="M52" s="19">
        <f t="shared" si="3"/>
        <v>204.20000000000005</v>
      </c>
      <c r="N52" s="135" t="s">
        <v>6266</v>
      </c>
      <c r="O52" s="12">
        <v>668</v>
      </c>
      <c r="P52" s="13">
        <v>300840</v>
      </c>
      <c r="Q52" s="13">
        <v>200584</v>
      </c>
      <c r="R52" s="131">
        <v>0.66</v>
      </c>
      <c r="S52" s="132">
        <v>44503</v>
      </c>
      <c r="T52" s="12" t="s">
        <v>6267</v>
      </c>
      <c r="U52" s="132">
        <v>44504</v>
      </c>
      <c r="V52" s="12" t="s">
        <v>6268</v>
      </c>
      <c r="W52" s="12" t="s">
        <v>6060</v>
      </c>
      <c r="X52" s="136" t="s">
        <v>6266</v>
      </c>
      <c r="Y52" s="142">
        <v>526</v>
      </c>
      <c r="Z52" s="137">
        <v>279338</v>
      </c>
      <c r="AA52" s="215">
        <v>187208</v>
      </c>
      <c r="AB52" s="138">
        <v>0.67</v>
      </c>
      <c r="AC52" s="140" t="s">
        <v>6269</v>
      </c>
      <c r="AD52" s="140" t="s">
        <v>6270</v>
      </c>
      <c r="AE52" s="141" t="s">
        <v>6053</v>
      </c>
    </row>
    <row r="53" spans="1:31" ht="14.4" thickBot="1">
      <c r="A53">
        <v>101</v>
      </c>
      <c r="B53" s="130" t="s">
        <v>6271</v>
      </c>
      <c r="C53" s="12">
        <v>192</v>
      </c>
      <c r="D53" s="13">
        <v>279644</v>
      </c>
      <c r="E53" s="224">
        <v>217517</v>
      </c>
      <c r="F53" s="131">
        <v>0.77</v>
      </c>
      <c r="G53" s="132">
        <v>44503</v>
      </c>
      <c r="H53" s="132">
        <v>44523</v>
      </c>
      <c r="I53" s="159" t="s">
        <v>6053</v>
      </c>
      <c r="J53" s="133">
        <f t="shared" si="4"/>
        <v>0.63951783079023705</v>
      </c>
      <c r="K53" s="134">
        <f t="shared" si="5"/>
        <v>2086.59</v>
      </c>
      <c r="L53" s="134">
        <f t="shared" si="6"/>
        <v>978.82650000000012</v>
      </c>
      <c r="M53" s="19">
        <f t="shared" si="3"/>
        <v>163.1</v>
      </c>
      <c r="N53" s="135" t="s">
        <v>6271</v>
      </c>
      <c r="O53" s="12">
        <v>192</v>
      </c>
      <c r="P53" s="13">
        <v>279644</v>
      </c>
      <c r="Q53" s="13">
        <v>139106</v>
      </c>
      <c r="R53" s="131">
        <v>0.49</v>
      </c>
      <c r="S53" s="132">
        <v>44503</v>
      </c>
      <c r="T53" s="12" t="s">
        <v>6257</v>
      </c>
      <c r="U53" s="132">
        <v>44503</v>
      </c>
      <c r="V53" s="12" t="s">
        <v>6272</v>
      </c>
      <c r="W53" s="12" t="s">
        <v>6060</v>
      </c>
      <c r="X53" s="136" t="s">
        <v>6271</v>
      </c>
      <c r="Y53" s="142">
        <v>165</v>
      </c>
      <c r="Z53" s="137">
        <v>261326</v>
      </c>
      <c r="AA53" s="215">
        <v>113666</v>
      </c>
      <c r="AB53" s="138">
        <v>0.43</v>
      </c>
      <c r="AC53" s="140" t="s">
        <v>6273</v>
      </c>
      <c r="AD53" s="140" t="s">
        <v>6274</v>
      </c>
      <c r="AE53" s="141" t="s">
        <v>6053</v>
      </c>
    </row>
    <row r="54" spans="1:31" ht="14.4" thickBot="1">
      <c r="A54">
        <v>103</v>
      </c>
      <c r="B54" s="130" t="s">
        <v>6275</v>
      </c>
      <c r="C54" s="12">
        <v>45</v>
      </c>
      <c r="D54" s="13">
        <v>52096</v>
      </c>
      <c r="E54" s="224">
        <v>43264</v>
      </c>
      <c r="F54" s="131">
        <v>0.83</v>
      </c>
      <c r="G54" s="132">
        <v>44503</v>
      </c>
      <c r="H54" s="132">
        <v>44530</v>
      </c>
      <c r="I54" s="159" t="s">
        <v>6053</v>
      </c>
      <c r="J54" s="133">
        <f t="shared" si="4"/>
        <v>0.63711168639053251</v>
      </c>
      <c r="K54" s="134">
        <f t="shared" si="5"/>
        <v>413.46</v>
      </c>
      <c r="L54" s="134">
        <f t="shared" si="6"/>
        <v>200</v>
      </c>
      <c r="M54" s="19">
        <f t="shared" si="3"/>
        <v>50</v>
      </c>
      <c r="N54" s="135" t="s">
        <v>6275</v>
      </c>
      <c r="O54" s="12">
        <v>45</v>
      </c>
      <c r="P54" s="13">
        <v>52096</v>
      </c>
      <c r="Q54" s="13">
        <v>27564</v>
      </c>
      <c r="R54" s="131">
        <v>0.52</v>
      </c>
      <c r="S54" s="132">
        <v>44503</v>
      </c>
      <c r="T54" s="12" t="s">
        <v>6113</v>
      </c>
      <c r="U54" s="132">
        <v>44503</v>
      </c>
      <c r="V54" s="12" t="s">
        <v>6113</v>
      </c>
      <c r="W54" s="12" t="s">
        <v>6060</v>
      </c>
      <c r="X54" s="136" t="s">
        <v>6275</v>
      </c>
      <c r="Y54" s="142">
        <v>48</v>
      </c>
      <c r="Z54" s="137">
        <v>48423</v>
      </c>
      <c r="AA54" s="215">
        <v>25593</v>
      </c>
      <c r="AB54" s="138">
        <v>0.52</v>
      </c>
      <c r="AC54" s="140" t="s">
        <v>6276</v>
      </c>
      <c r="AD54" s="140" t="s">
        <v>6277</v>
      </c>
      <c r="AE54" s="141" t="s">
        <v>6053</v>
      </c>
    </row>
    <row r="55" spans="1:31" ht="14.4" thickBot="1">
      <c r="A55">
        <v>105</v>
      </c>
      <c r="B55" s="130" t="s">
        <v>6278</v>
      </c>
      <c r="C55" s="12">
        <v>46</v>
      </c>
      <c r="D55" s="13">
        <v>37023</v>
      </c>
      <c r="E55" s="224">
        <v>29078</v>
      </c>
      <c r="F55" s="131">
        <v>0.78</v>
      </c>
      <c r="G55" s="132">
        <v>44503</v>
      </c>
      <c r="H55" s="132">
        <v>44531</v>
      </c>
      <c r="I55" s="159" t="s">
        <v>6053</v>
      </c>
      <c r="J55" s="133">
        <f t="shared" si="4"/>
        <v>0.65083568333447972</v>
      </c>
      <c r="K55" s="134">
        <f t="shared" si="5"/>
        <v>283.875</v>
      </c>
      <c r="L55" s="134">
        <f t="shared" si="6"/>
        <v>200</v>
      </c>
      <c r="M55" s="19">
        <f t="shared" si="3"/>
        <v>50</v>
      </c>
      <c r="N55" s="135" t="s">
        <v>6278</v>
      </c>
      <c r="O55" s="12">
        <v>46</v>
      </c>
      <c r="P55" s="13">
        <v>37023</v>
      </c>
      <c r="Q55" s="13">
        <v>18925</v>
      </c>
      <c r="R55" s="131">
        <v>0.51</v>
      </c>
      <c r="S55" s="132">
        <v>44503</v>
      </c>
      <c r="T55" s="12" t="s">
        <v>6113</v>
      </c>
      <c r="U55" s="132">
        <v>44503</v>
      </c>
      <c r="V55" s="12" t="s">
        <v>6279</v>
      </c>
      <c r="W55" s="12" t="s">
        <v>6060</v>
      </c>
      <c r="X55" s="136" t="s">
        <v>6278</v>
      </c>
      <c r="Y55" s="142">
        <v>46</v>
      </c>
      <c r="Z55" s="137">
        <v>35087</v>
      </c>
      <c r="AA55" s="215">
        <v>18285</v>
      </c>
      <c r="AB55" s="138">
        <v>0.52</v>
      </c>
      <c r="AC55" s="140" t="s">
        <v>6181</v>
      </c>
      <c r="AD55" s="140" t="s">
        <v>6280</v>
      </c>
      <c r="AE55" s="141" t="s">
        <v>6053</v>
      </c>
    </row>
    <row r="56" spans="1:31" ht="14.4" thickBot="1">
      <c r="A56">
        <v>107</v>
      </c>
      <c r="B56" s="130" t="s">
        <v>6281</v>
      </c>
      <c r="C56" s="12">
        <v>25</v>
      </c>
      <c r="D56" s="13">
        <v>8204</v>
      </c>
      <c r="E56" s="224">
        <v>6387</v>
      </c>
      <c r="F56" s="131">
        <v>0.77</v>
      </c>
      <c r="G56" s="132">
        <v>44503</v>
      </c>
      <c r="H56" s="132">
        <v>44523</v>
      </c>
      <c r="I56" s="159" t="s">
        <v>6053</v>
      </c>
      <c r="J56" s="133">
        <f t="shared" si="4"/>
        <v>0.97400970721778612</v>
      </c>
      <c r="K56" s="134">
        <f t="shared" si="5"/>
        <v>200</v>
      </c>
      <c r="L56" s="134">
        <f t="shared" si="6"/>
        <v>200</v>
      </c>
      <c r="M56" s="19">
        <f t="shared" si="3"/>
        <v>50</v>
      </c>
      <c r="N56" s="135" t="s">
        <v>6281</v>
      </c>
      <c r="O56" s="12">
        <v>25</v>
      </c>
      <c r="P56" s="13">
        <v>8204</v>
      </c>
      <c r="Q56" s="13">
        <v>6221</v>
      </c>
      <c r="R56" s="131">
        <v>0.75</v>
      </c>
      <c r="S56" s="132">
        <v>44503</v>
      </c>
      <c r="T56" s="12" t="s">
        <v>6159</v>
      </c>
      <c r="U56" s="132">
        <v>44504</v>
      </c>
      <c r="V56" s="12" t="s">
        <v>6282</v>
      </c>
      <c r="W56" s="12" t="s">
        <v>6053</v>
      </c>
      <c r="X56" s="136" t="s">
        <v>6281</v>
      </c>
      <c r="Y56" s="142">
        <v>25</v>
      </c>
      <c r="Z56" s="137">
        <v>7897</v>
      </c>
      <c r="AA56" s="215">
        <v>4878</v>
      </c>
      <c r="AB56" s="138">
        <v>0.61</v>
      </c>
      <c r="AC56" s="140" t="s">
        <v>6283</v>
      </c>
      <c r="AD56" s="140" t="s">
        <v>6284</v>
      </c>
      <c r="AE56" s="141" t="s">
        <v>6053</v>
      </c>
    </row>
    <row r="57" spans="1:31" ht="14.4" thickBot="1">
      <c r="A57">
        <v>109</v>
      </c>
      <c r="B57" s="130" t="s">
        <v>6285</v>
      </c>
      <c r="C57" s="12">
        <v>271</v>
      </c>
      <c r="D57" s="13">
        <v>199726</v>
      </c>
      <c r="E57" s="224">
        <v>148677</v>
      </c>
      <c r="F57" s="131">
        <v>0.74</v>
      </c>
      <c r="G57" s="132">
        <v>44503</v>
      </c>
      <c r="H57" s="132">
        <v>44532</v>
      </c>
      <c r="I57" s="159" t="s">
        <v>6053</v>
      </c>
      <c r="J57" s="133">
        <f t="shared" si="4"/>
        <v>0.69014037140916218</v>
      </c>
      <c r="K57" s="134">
        <f t="shared" si="5"/>
        <v>1539.12</v>
      </c>
      <c r="L57" s="134">
        <f t="shared" si="6"/>
        <v>669.04650000000004</v>
      </c>
      <c r="M57" s="19">
        <f t="shared" si="3"/>
        <v>111.5</v>
      </c>
      <c r="N57" s="135" t="s">
        <v>6285</v>
      </c>
      <c r="O57" s="12">
        <v>271</v>
      </c>
      <c r="P57" s="13">
        <v>199726</v>
      </c>
      <c r="Q57" s="13">
        <v>102608</v>
      </c>
      <c r="R57" s="131">
        <v>0.51</v>
      </c>
      <c r="S57" s="132">
        <v>44503</v>
      </c>
      <c r="T57" s="12" t="s">
        <v>6286</v>
      </c>
      <c r="U57" s="132">
        <v>44504</v>
      </c>
      <c r="V57" s="12" t="s">
        <v>6287</v>
      </c>
      <c r="W57" s="12" t="s">
        <v>6060</v>
      </c>
      <c r="X57" s="136" t="s">
        <v>6285</v>
      </c>
      <c r="Y57" s="142">
        <v>134</v>
      </c>
      <c r="Z57" s="137">
        <v>183086</v>
      </c>
      <c r="AA57" s="215">
        <v>73605</v>
      </c>
      <c r="AB57" s="138">
        <v>0.4</v>
      </c>
      <c r="AC57" s="140" t="s">
        <v>6288</v>
      </c>
      <c r="AD57" s="140" t="s">
        <v>6289</v>
      </c>
      <c r="AE57" s="141" t="s">
        <v>6053</v>
      </c>
    </row>
    <row r="58" spans="1:31" ht="14.4" thickBot="1">
      <c r="A58">
        <v>111</v>
      </c>
      <c r="B58" s="130" t="s">
        <v>6290</v>
      </c>
      <c r="C58" s="12">
        <v>73</v>
      </c>
      <c r="D58" s="13">
        <v>35042</v>
      </c>
      <c r="E58" s="224">
        <v>30829</v>
      </c>
      <c r="F58" s="131">
        <v>0.88</v>
      </c>
      <c r="G58" s="132">
        <v>44503</v>
      </c>
      <c r="H58" s="132">
        <v>44524</v>
      </c>
      <c r="I58" s="159" t="s">
        <v>6053</v>
      </c>
      <c r="J58" s="133">
        <f t="shared" si="4"/>
        <v>0.88264296603847026</v>
      </c>
      <c r="K58" s="134">
        <f t="shared" si="5"/>
        <v>408.16499999999996</v>
      </c>
      <c r="L58" s="134">
        <f t="shared" si="6"/>
        <v>200</v>
      </c>
      <c r="M58" s="19">
        <f t="shared" si="3"/>
        <v>50</v>
      </c>
      <c r="N58" s="135" t="s">
        <v>6290</v>
      </c>
      <c r="O58" s="12">
        <v>73</v>
      </c>
      <c r="P58" s="13">
        <v>35042</v>
      </c>
      <c r="Q58" s="13">
        <v>27211</v>
      </c>
      <c r="R58" s="131">
        <v>0.77</v>
      </c>
      <c r="S58" s="132">
        <v>44503</v>
      </c>
      <c r="T58" s="12" t="s">
        <v>6291</v>
      </c>
      <c r="U58" s="132">
        <v>44503</v>
      </c>
      <c r="V58" s="12" t="s">
        <v>6292</v>
      </c>
      <c r="W58" s="12" t="s">
        <v>6053</v>
      </c>
      <c r="X58" s="136" t="s">
        <v>6290</v>
      </c>
      <c r="Y58" s="142">
        <v>73</v>
      </c>
      <c r="Z58" s="137">
        <v>32562</v>
      </c>
      <c r="AA58" s="215">
        <v>21486</v>
      </c>
      <c r="AB58" s="138">
        <v>0.66</v>
      </c>
      <c r="AC58" s="140" t="s">
        <v>6293</v>
      </c>
      <c r="AD58" s="140" t="s">
        <v>6294</v>
      </c>
      <c r="AE58" s="141" t="s">
        <v>6053</v>
      </c>
    </row>
    <row r="59" spans="1:31" ht="14.4" thickBot="1">
      <c r="A59">
        <v>113</v>
      </c>
      <c r="B59" s="130" t="s">
        <v>6295</v>
      </c>
      <c r="C59" s="12">
        <v>695</v>
      </c>
      <c r="D59" s="13">
        <v>500442</v>
      </c>
      <c r="E59" s="224">
        <v>429922</v>
      </c>
      <c r="F59" s="131">
        <v>0.85</v>
      </c>
      <c r="G59" s="132">
        <v>44503</v>
      </c>
      <c r="H59" s="132">
        <v>44532</v>
      </c>
      <c r="I59" s="159" t="s">
        <v>6053</v>
      </c>
      <c r="J59" s="133">
        <f t="shared" si="4"/>
        <v>0.78205348877238201</v>
      </c>
      <c r="K59" s="134">
        <f t="shared" si="5"/>
        <v>5043.33</v>
      </c>
      <c r="L59" s="134">
        <f t="shared" si="6"/>
        <v>1934.6490000000001</v>
      </c>
      <c r="M59" s="19">
        <f t="shared" si="3"/>
        <v>322.40000000000003</v>
      </c>
      <c r="N59" s="135" t="s">
        <v>6295</v>
      </c>
      <c r="O59" s="12">
        <v>695</v>
      </c>
      <c r="P59" s="13">
        <v>500442</v>
      </c>
      <c r="Q59" s="13">
        <v>336222</v>
      </c>
      <c r="R59" s="131">
        <v>0.67</v>
      </c>
      <c r="S59" s="132">
        <v>44503</v>
      </c>
      <c r="T59" s="12" t="s">
        <v>6296</v>
      </c>
      <c r="U59" s="132">
        <v>44504</v>
      </c>
      <c r="V59" s="12" t="s">
        <v>6297</v>
      </c>
      <c r="W59" s="12" t="s">
        <v>6060</v>
      </c>
      <c r="X59" s="136" t="s">
        <v>6295</v>
      </c>
      <c r="Y59" s="142">
        <v>648</v>
      </c>
      <c r="Z59" s="137">
        <v>463227</v>
      </c>
      <c r="AA59" s="215">
        <v>239396</v>
      </c>
      <c r="AB59" s="138">
        <v>0.51</v>
      </c>
      <c r="AC59" s="140" t="s">
        <v>6298</v>
      </c>
      <c r="AD59" s="140" t="s">
        <v>6299</v>
      </c>
      <c r="AE59" s="141" t="s">
        <v>6053</v>
      </c>
    </row>
    <row r="60" spans="1:31" ht="14.4" thickBot="1">
      <c r="A60">
        <v>115</v>
      </c>
      <c r="B60" s="130" t="s">
        <v>6300</v>
      </c>
      <c r="C60" s="12">
        <v>58</v>
      </c>
      <c r="D60" s="13">
        <v>119218</v>
      </c>
      <c r="E60" s="224">
        <v>99040</v>
      </c>
      <c r="F60" s="131">
        <v>0.83</v>
      </c>
      <c r="G60" s="132">
        <v>44503</v>
      </c>
      <c r="H60" s="132">
        <v>44531</v>
      </c>
      <c r="I60" s="159" t="s">
        <v>6053</v>
      </c>
      <c r="J60" s="133">
        <f t="shared" si="4"/>
        <v>0.56469103392568654</v>
      </c>
      <c r="K60" s="134">
        <f t="shared" si="5"/>
        <v>838.90499999999997</v>
      </c>
      <c r="L60" s="134">
        <f t="shared" si="6"/>
        <v>445.68000000000006</v>
      </c>
      <c r="M60" s="19">
        <f t="shared" si="3"/>
        <v>74.3</v>
      </c>
      <c r="N60" s="135" t="s">
        <v>6300</v>
      </c>
      <c r="O60" s="12">
        <v>58</v>
      </c>
      <c r="P60" s="13">
        <v>119218</v>
      </c>
      <c r="Q60" s="13">
        <v>55927</v>
      </c>
      <c r="R60" s="131">
        <v>0.46</v>
      </c>
      <c r="S60" s="132">
        <v>44503</v>
      </c>
      <c r="T60" s="12" t="s">
        <v>6301</v>
      </c>
      <c r="U60" s="132">
        <v>44504</v>
      </c>
      <c r="V60" s="12" t="s">
        <v>6302</v>
      </c>
      <c r="W60" s="12" t="s">
        <v>6060</v>
      </c>
      <c r="X60" s="136" t="s">
        <v>6300</v>
      </c>
      <c r="Y60" s="142">
        <v>138</v>
      </c>
      <c r="Z60" s="137">
        <v>117378</v>
      </c>
      <c r="AA60" s="215">
        <v>64858</v>
      </c>
      <c r="AB60" s="138">
        <v>0.55000000000000004</v>
      </c>
      <c r="AC60" s="140" t="s">
        <v>6303</v>
      </c>
      <c r="AD60" s="140" t="s">
        <v>6304</v>
      </c>
      <c r="AE60" s="141" t="s">
        <v>6053</v>
      </c>
    </row>
    <row r="61" spans="1:31" ht="14.4" thickBot="1">
      <c r="A61">
        <v>117</v>
      </c>
      <c r="B61" s="130" t="s">
        <v>6305</v>
      </c>
      <c r="C61" s="12">
        <v>34</v>
      </c>
      <c r="D61" s="13">
        <v>39626</v>
      </c>
      <c r="E61" s="224">
        <v>30201</v>
      </c>
      <c r="F61" s="131">
        <v>0.76</v>
      </c>
      <c r="G61" s="132">
        <v>44503</v>
      </c>
      <c r="H61" s="132">
        <v>44530</v>
      </c>
      <c r="I61" s="159" t="s">
        <v>6053</v>
      </c>
      <c r="J61" s="133">
        <f t="shared" si="4"/>
        <v>0.62315817357041159</v>
      </c>
      <c r="K61" s="134">
        <f t="shared" si="5"/>
        <v>282.3</v>
      </c>
      <c r="L61" s="134">
        <f t="shared" si="6"/>
        <v>200</v>
      </c>
      <c r="M61" s="19">
        <f t="shared" si="3"/>
        <v>50</v>
      </c>
      <c r="N61" s="135" t="s">
        <v>6305</v>
      </c>
      <c r="O61" s="12">
        <v>34</v>
      </c>
      <c r="P61" s="13">
        <v>39626</v>
      </c>
      <c r="Q61" s="13">
        <v>18820</v>
      </c>
      <c r="R61" s="131">
        <v>0.47</v>
      </c>
      <c r="S61" s="132">
        <v>44503</v>
      </c>
      <c r="T61" s="12" t="s">
        <v>6306</v>
      </c>
      <c r="U61" s="132">
        <v>44504</v>
      </c>
      <c r="V61" s="12" t="s">
        <v>6307</v>
      </c>
      <c r="W61" s="12" t="s">
        <v>6060</v>
      </c>
      <c r="X61" s="136" t="s">
        <v>6305</v>
      </c>
      <c r="Y61" s="142">
        <v>34</v>
      </c>
      <c r="Z61" s="137">
        <v>36707</v>
      </c>
      <c r="AA61" s="215">
        <v>16659</v>
      </c>
      <c r="AB61" s="138">
        <v>0.45</v>
      </c>
      <c r="AC61" s="140" t="s">
        <v>6308</v>
      </c>
      <c r="AD61" s="140" t="s">
        <v>6309</v>
      </c>
      <c r="AE61" s="141" t="s">
        <v>6053</v>
      </c>
    </row>
    <row r="62" spans="1:31" ht="14.4" thickBot="1">
      <c r="B62" s="130"/>
      <c r="C62" s="12"/>
      <c r="D62" s="12"/>
      <c r="E62" s="225"/>
      <c r="F62" s="131"/>
      <c r="G62" s="132"/>
      <c r="H62" s="132"/>
      <c r="I62" s="159"/>
      <c r="J62" s="133"/>
      <c r="K62" s="133"/>
      <c r="L62" s="134"/>
      <c r="M62" s="134"/>
      <c r="N62" s="130"/>
      <c r="O62" s="12"/>
      <c r="P62" s="143"/>
      <c r="Q62" s="143"/>
      <c r="R62" s="143"/>
      <c r="S62" s="13"/>
      <c r="U62" s="13"/>
      <c r="W62" s="131"/>
      <c r="X62" s="136"/>
      <c r="Y62" s="142"/>
      <c r="Z62" s="137"/>
      <c r="AA62" s="215"/>
      <c r="AB62" s="138"/>
      <c r="AC62" s="140"/>
      <c r="AD62" s="140"/>
      <c r="AE62" s="141"/>
    </row>
    <row r="63" spans="1:31" s="144" customFormat="1" ht="14.4" thickBot="1">
      <c r="A63" s="144">
        <v>119</v>
      </c>
      <c r="B63" s="145" t="s">
        <v>6310</v>
      </c>
      <c r="C63" s="146">
        <v>20497</v>
      </c>
      <c r="D63" s="146">
        <v>22047615</v>
      </c>
      <c r="E63" s="146">
        <v>17783784</v>
      </c>
      <c r="F63" s="147">
        <v>0.8</v>
      </c>
      <c r="G63" s="148">
        <v>44503</v>
      </c>
      <c r="H63" s="148">
        <v>44533</v>
      </c>
      <c r="I63" s="160" t="s">
        <v>6060</v>
      </c>
      <c r="J63" s="133">
        <f>Q63/E63</f>
        <v>0.69143664812842986</v>
      </c>
      <c r="K63" s="149">
        <f t="shared" ref="K63" si="7">SUM(K4:K61)</f>
        <v>185742.75499999992</v>
      </c>
      <c r="L63" s="149">
        <f>SUM(L4:L61)</f>
        <v>82606.820500000002</v>
      </c>
      <c r="M63" s="149">
        <f t="shared" ref="M63" si="8">SUM(M4:M61)</f>
        <v>14168.100000000002</v>
      </c>
      <c r="N63" s="130" t="s">
        <v>6310</v>
      </c>
      <c r="O63" s="13">
        <v>20497</v>
      </c>
      <c r="P63" s="150">
        <v>22047615</v>
      </c>
      <c r="Q63" s="150">
        <v>12296360</v>
      </c>
      <c r="R63" s="131">
        <v>0.55000000000000004</v>
      </c>
      <c r="S63" s="132">
        <v>44503</v>
      </c>
      <c r="T63" s="12" t="s">
        <v>6164</v>
      </c>
      <c r="U63" s="132">
        <v>44504</v>
      </c>
      <c r="V63" s="12" t="s">
        <v>6136</v>
      </c>
      <c r="W63" s="12" t="s">
        <v>6060</v>
      </c>
      <c r="X63" s="136" t="s">
        <v>6310</v>
      </c>
      <c r="Y63" s="137">
        <v>20346</v>
      </c>
      <c r="Z63" s="151">
        <v>20660465</v>
      </c>
      <c r="AA63" s="217">
        <v>9687076</v>
      </c>
      <c r="AB63" s="138">
        <v>0.46</v>
      </c>
      <c r="AC63" s="140" t="s">
        <v>6185</v>
      </c>
      <c r="AD63" s="140" t="s">
        <v>6229</v>
      </c>
      <c r="AE63" s="141" t="s">
        <v>6060</v>
      </c>
    </row>
    <row r="65" spans="2:6">
      <c r="B65" s="152" t="s">
        <v>6312</v>
      </c>
    </row>
    <row r="66" spans="2:6">
      <c r="B66" s="152" t="s">
        <v>6313</v>
      </c>
    </row>
    <row r="67" spans="2:6">
      <c r="B67" s="152" t="s">
        <v>6314</v>
      </c>
    </row>
    <row r="68" spans="2:6">
      <c r="B68" s="152" t="s">
        <v>6315</v>
      </c>
    </row>
    <row r="70" spans="2:6" ht="41.4">
      <c r="B70" s="11" t="s">
        <v>6036</v>
      </c>
      <c r="C70" s="11" t="s">
        <v>6037</v>
      </c>
      <c r="D70" s="11" t="s">
        <v>6038</v>
      </c>
      <c r="E70" s="212" t="s">
        <v>6319</v>
      </c>
    </row>
    <row r="71" spans="2:6">
      <c r="B71" s="121"/>
      <c r="C71" s="121"/>
      <c r="D71" s="121"/>
      <c r="E71" s="160"/>
    </row>
    <row r="72" spans="2:6">
      <c r="B72" s="130" t="s">
        <v>6139</v>
      </c>
      <c r="C72" s="13">
        <v>3383</v>
      </c>
      <c r="D72" s="13">
        <v>5813333</v>
      </c>
      <c r="E72" s="224">
        <v>4338191</v>
      </c>
      <c r="F72" t="s">
        <v>6373</v>
      </c>
    </row>
    <row r="73" spans="2:6">
      <c r="B73" s="218" t="s">
        <v>6139</v>
      </c>
      <c r="C73" s="220">
        <v>3072</v>
      </c>
      <c r="D73" s="220">
        <v>5546785</v>
      </c>
      <c r="E73" s="229">
        <v>2122469</v>
      </c>
      <c r="F73" t="s">
        <v>6413</v>
      </c>
    </row>
    <row r="74" spans="2:6">
      <c r="B74" s="130" t="s">
        <v>6217</v>
      </c>
      <c r="C74" s="13">
        <v>1414</v>
      </c>
      <c r="D74" s="13">
        <v>1950545</v>
      </c>
      <c r="E74" s="224">
        <v>1627753</v>
      </c>
      <c r="F74" t="s">
        <v>6391</v>
      </c>
    </row>
    <row r="75" spans="2:6">
      <c r="B75" s="130" t="s">
        <v>6190</v>
      </c>
      <c r="C75" s="13">
        <v>1795</v>
      </c>
      <c r="D75" s="13">
        <v>1772700</v>
      </c>
      <c r="E75" s="224">
        <v>1546570</v>
      </c>
      <c r="F75" t="s">
        <v>6384</v>
      </c>
    </row>
    <row r="76" spans="2:6">
      <c r="B76" s="130" t="s">
        <v>6201</v>
      </c>
      <c r="C76" s="12">
        <v>864</v>
      </c>
      <c r="D76" s="13">
        <v>1241552</v>
      </c>
      <c r="E76" s="224">
        <v>1016027</v>
      </c>
      <c r="F76" t="s">
        <v>6387</v>
      </c>
    </row>
    <row r="77" spans="2:6">
      <c r="B77" s="218" t="s">
        <v>6217</v>
      </c>
      <c r="C77" s="220">
        <v>1862</v>
      </c>
      <c r="D77" s="220">
        <v>1826138</v>
      </c>
      <c r="E77" s="229">
        <v>907602</v>
      </c>
      <c r="F77" t="s">
        <v>6414</v>
      </c>
    </row>
    <row r="78" spans="2:6">
      <c r="B78" s="130" t="s">
        <v>6240</v>
      </c>
      <c r="C78" s="12">
        <v>596</v>
      </c>
      <c r="D78" s="13">
        <v>1019309</v>
      </c>
      <c r="E78" s="224">
        <v>863964</v>
      </c>
      <c r="F78" t="s">
        <v>6397</v>
      </c>
    </row>
    <row r="79" spans="2:6">
      <c r="B79" s="130" t="s">
        <v>6213</v>
      </c>
      <c r="C79" s="13">
        <v>2327</v>
      </c>
      <c r="D79" s="13">
        <v>1102687</v>
      </c>
      <c r="E79" s="224">
        <v>852636</v>
      </c>
      <c r="F79" t="s">
        <v>6390</v>
      </c>
    </row>
    <row r="80" spans="2:6">
      <c r="B80" s="218" t="s">
        <v>6190</v>
      </c>
      <c r="C80" s="220">
        <v>1703</v>
      </c>
      <c r="D80" s="220">
        <v>1634407</v>
      </c>
      <c r="E80" s="229">
        <v>818021</v>
      </c>
      <c r="F80" t="s">
        <v>6415</v>
      </c>
    </row>
    <row r="81" spans="2:6">
      <c r="B81" s="130" t="s">
        <v>6052</v>
      </c>
      <c r="C81" s="12">
        <v>521</v>
      </c>
      <c r="D81" s="13">
        <v>966809</v>
      </c>
      <c r="E81" s="224">
        <v>785215</v>
      </c>
      <c r="F81" t="s">
        <v>6355</v>
      </c>
    </row>
    <row r="82" spans="2:6">
      <c r="B82" s="130" t="s">
        <v>6205</v>
      </c>
      <c r="C82" s="12">
        <v>677</v>
      </c>
      <c r="D82" s="13">
        <v>884247</v>
      </c>
      <c r="E82" s="224">
        <v>729569</v>
      </c>
      <c r="F82" t="s">
        <v>6388</v>
      </c>
    </row>
    <row r="83" spans="2:6">
      <c r="B83" s="130" t="s">
        <v>6083</v>
      </c>
      <c r="C83" s="12">
        <v>957</v>
      </c>
      <c r="D83" s="13">
        <v>703021</v>
      </c>
      <c r="E83" s="224">
        <v>591143</v>
      </c>
      <c r="F83" t="s">
        <v>6361</v>
      </c>
    </row>
    <row r="84" spans="2:6">
      <c r="B84" s="218" t="s">
        <v>6240</v>
      </c>
      <c r="C84" s="222">
        <v>478</v>
      </c>
      <c r="D84" s="220">
        <v>951292</v>
      </c>
      <c r="E84" s="229">
        <v>495791</v>
      </c>
      <c r="F84" t="s">
        <v>6416</v>
      </c>
    </row>
    <row r="85" spans="2:6">
      <c r="B85" s="218" t="s">
        <v>6201</v>
      </c>
      <c r="C85" s="222">
        <v>817</v>
      </c>
      <c r="D85" s="220">
        <v>1116317</v>
      </c>
      <c r="E85" s="229">
        <v>482272</v>
      </c>
      <c r="F85" t="s">
        <v>6417</v>
      </c>
    </row>
    <row r="86" spans="2:6">
      <c r="B86" s="218" t="s">
        <v>6052</v>
      </c>
      <c r="C86" s="220">
        <v>1014</v>
      </c>
      <c r="D86" s="220">
        <v>920175</v>
      </c>
      <c r="E86" s="229">
        <v>469968</v>
      </c>
      <c r="F86" t="s">
        <v>6418</v>
      </c>
    </row>
    <row r="87" spans="2:6">
      <c r="B87" s="130" t="s">
        <v>6222</v>
      </c>
      <c r="C87" s="12">
        <v>609</v>
      </c>
      <c r="D87" s="13">
        <v>521771</v>
      </c>
      <c r="E87" s="224">
        <v>449866</v>
      </c>
      <c r="F87" t="s">
        <v>6392</v>
      </c>
    </row>
    <row r="88" spans="2:6">
      <c r="B88" s="130" t="s">
        <v>6295</v>
      </c>
      <c r="C88" s="12">
        <v>695</v>
      </c>
      <c r="D88" s="13">
        <v>500442</v>
      </c>
      <c r="E88" s="224">
        <v>429922</v>
      </c>
      <c r="F88" t="s">
        <v>6410</v>
      </c>
    </row>
    <row r="89" spans="2:6">
      <c r="B89" s="218" t="s">
        <v>6205</v>
      </c>
      <c r="C89" s="222">
        <v>608</v>
      </c>
      <c r="D89" s="220">
        <v>818656</v>
      </c>
      <c r="E89" s="229">
        <v>409351</v>
      </c>
      <c r="F89" t="s">
        <v>6419</v>
      </c>
    </row>
    <row r="90" spans="2:6">
      <c r="B90" s="218" t="s">
        <v>6213</v>
      </c>
      <c r="C90" s="220">
        <v>2256</v>
      </c>
      <c r="D90" s="220">
        <v>1016190</v>
      </c>
      <c r="E90" s="229">
        <v>391935</v>
      </c>
      <c r="F90" t="s">
        <v>6420</v>
      </c>
    </row>
    <row r="91" spans="2:6">
      <c r="B91" s="130" t="s">
        <v>6233</v>
      </c>
      <c r="C91" s="12">
        <v>403</v>
      </c>
      <c r="D91" s="13">
        <v>442988</v>
      </c>
      <c r="E91" s="224">
        <v>380077</v>
      </c>
      <c r="F91" t="s">
        <v>6395</v>
      </c>
    </row>
    <row r="92" spans="2:6">
      <c r="B92" s="130" t="s">
        <v>6097</v>
      </c>
      <c r="C92" s="12">
        <v>384</v>
      </c>
      <c r="D92" s="13">
        <v>496482</v>
      </c>
      <c r="E92" s="224">
        <v>370068</v>
      </c>
      <c r="F92" t="s">
        <v>6364</v>
      </c>
    </row>
    <row r="93" spans="2:6">
      <c r="B93" s="218" t="s">
        <v>6083</v>
      </c>
      <c r="C93" s="222">
        <v>855</v>
      </c>
      <c r="D93" s="220">
        <v>657273</v>
      </c>
      <c r="E93" s="229">
        <v>330514</v>
      </c>
      <c r="F93" t="s">
        <v>6421</v>
      </c>
    </row>
    <row r="94" spans="2:6">
      <c r="B94" s="130" t="s">
        <v>6121</v>
      </c>
      <c r="C94" s="12">
        <v>694</v>
      </c>
      <c r="D94" s="13">
        <v>425839</v>
      </c>
      <c r="E94" s="224">
        <v>309143</v>
      </c>
      <c r="F94" t="s">
        <v>6369</v>
      </c>
    </row>
    <row r="95" spans="2:6">
      <c r="B95" s="218" t="s">
        <v>6222</v>
      </c>
      <c r="C95" s="222">
        <v>609</v>
      </c>
      <c r="D95" s="220">
        <v>505246</v>
      </c>
      <c r="E95" s="229">
        <v>305184</v>
      </c>
      <c r="F95" t="s">
        <v>6422</v>
      </c>
    </row>
    <row r="96" spans="2:6">
      <c r="B96" s="130" t="s">
        <v>6226</v>
      </c>
      <c r="C96" s="12">
        <v>207</v>
      </c>
      <c r="D96" s="13">
        <v>366394</v>
      </c>
      <c r="E96" s="224">
        <v>292818</v>
      </c>
      <c r="F96" t="s">
        <v>6393</v>
      </c>
    </row>
    <row r="97" spans="2:6">
      <c r="B97" s="130" t="s">
        <v>6266</v>
      </c>
      <c r="C97" s="12">
        <v>668</v>
      </c>
      <c r="D97" s="13">
        <v>300840</v>
      </c>
      <c r="E97" s="224">
        <v>272244</v>
      </c>
      <c r="F97" t="s">
        <v>6403</v>
      </c>
    </row>
    <row r="98" spans="2:6">
      <c r="B98" s="218" t="s">
        <v>6295</v>
      </c>
      <c r="C98" s="222">
        <v>648</v>
      </c>
      <c r="D98" s="220">
        <v>463227</v>
      </c>
      <c r="E98" s="229">
        <v>239396</v>
      </c>
      <c r="F98" t="s">
        <v>6423</v>
      </c>
    </row>
    <row r="99" spans="2:6">
      <c r="B99" s="130" t="s">
        <v>6194</v>
      </c>
      <c r="C99" s="12">
        <v>127</v>
      </c>
      <c r="D99" s="13">
        <v>270599</v>
      </c>
      <c r="E99" s="224">
        <v>239315</v>
      </c>
      <c r="F99" t="s">
        <v>6385</v>
      </c>
    </row>
    <row r="100" spans="2:6">
      <c r="B100" s="218" t="s">
        <v>6233</v>
      </c>
      <c r="C100" s="222">
        <v>341</v>
      </c>
      <c r="D100" s="220">
        <v>417299</v>
      </c>
      <c r="E100" s="229">
        <v>228291</v>
      </c>
      <c r="F100" t="s">
        <v>6424</v>
      </c>
    </row>
    <row r="101" spans="2:6">
      <c r="B101" s="130" t="s">
        <v>6271</v>
      </c>
      <c r="C101" s="12">
        <v>192</v>
      </c>
      <c r="D101" s="13">
        <v>279644</v>
      </c>
      <c r="E101" s="224">
        <v>217517</v>
      </c>
      <c r="F101" t="s">
        <v>6404</v>
      </c>
    </row>
    <row r="102" spans="2:6">
      <c r="B102" s="130" t="s">
        <v>6261</v>
      </c>
      <c r="C102" s="12">
        <v>348</v>
      </c>
      <c r="D102" s="13">
        <v>259161</v>
      </c>
      <c r="E102" s="224">
        <v>209002</v>
      </c>
      <c r="F102" t="s">
        <v>6402</v>
      </c>
    </row>
    <row r="103" spans="2:6">
      <c r="B103" s="130" t="s">
        <v>6237</v>
      </c>
      <c r="C103" s="12">
        <v>226</v>
      </c>
      <c r="D103" s="13">
        <v>235198</v>
      </c>
      <c r="E103" s="224">
        <v>203506</v>
      </c>
      <c r="F103" t="s">
        <v>6396</v>
      </c>
    </row>
    <row r="104" spans="2:6">
      <c r="B104" s="218" t="s">
        <v>6097</v>
      </c>
      <c r="C104" s="222">
        <v>334</v>
      </c>
      <c r="D104" s="220">
        <v>471384</v>
      </c>
      <c r="E104" s="229">
        <v>199118</v>
      </c>
      <c r="F104" t="s">
        <v>6425</v>
      </c>
    </row>
    <row r="105" spans="2:6">
      <c r="B105" s="218" t="s">
        <v>6266</v>
      </c>
      <c r="C105" s="222">
        <v>526</v>
      </c>
      <c r="D105" s="220">
        <v>279338</v>
      </c>
      <c r="E105" s="229">
        <v>187208</v>
      </c>
      <c r="F105" t="s">
        <v>6426</v>
      </c>
    </row>
    <row r="106" spans="2:6">
      <c r="B106" s="130" t="s">
        <v>6178</v>
      </c>
      <c r="C106" s="12">
        <v>188</v>
      </c>
      <c r="D106" s="13">
        <v>206917</v>
      </c>
      <c r="E106" s="224">
        <v>165976</v>
      </c>
      <c r="F106" t="s">
        <v>6381</v>
      </c>
    </row>
    <row r="107" spans="2:6">
      <c r="B107" s="130" t="s">
        <v>6230</v>
      </c>
      <c r="C107" s="12">
        <v>112</v>
      </c>
      <c r="D107" s="13">
        <v>183746</v>
      </c>
      <c r="E107" s="224">
        <v>162615</v>
      </c>
      <c r="F107" t="s">
        <v>6394</v>
      </c>
    </row>
    <row r="108" spans="2:6">
      <c r="B108" s="218" t="s">
        <v>6121</v>
      </c>
      <c r="C108" s="222">
        <v>657</v>
      </c>
      <c r="D108" s="220">
        <v>399154</v>
      </c>
      <c r="E108" s="229">
        <v>162116</v>
      </c>
      <c r="F108" t="s">
        <v>6427</v>
      </c>
    </row>
    <row r="109" spans="2:6">
      <c r="B109" s="130" t="s">
        <v>6148</v>
      </c>
      <c r="C109" s="12">
        <v>112</v>
      </c>
      <c r="D109" s="13">
        <v>175192</v>
      </c>
      <c r="E109" s="224">
        <v>158103</v>
      </c>
      <c r="F109" t="s">
        <v>6375</v>
      </c>
    </row>
    <row r="110" spans="2:6">
      <c r="B110" s="218" t="s">
        <v>6226</v>
      </c>
      <c r="C110" s="222">
        <v>377</v>
      </c>
      <c r="D110" s="220">
        <v>326470</v>
      </c>
      <c r="E110" s="229">
        <v>150482</v>
      </c>
      <c r="F110" t="s">
        <v>6428</v>
      </c>
    </row>
    <row r="111" spans="2:6">
      <c r="B111" s="130" t="s">
        <v>6285</v>
      </c>
      <c r="C111" s="12">
        <v>271</v>
      </c>
      <c r="D111" s="13">
        <v>199726</v>
      </c>
      <c r="E111" s="224">
        <v>148677</v>
      </c>
      <c r="F111" t="s">
        <v>6408</v>
      </c>
    </row>
    <row r="112" spans="2:6">
      <c r="B112" s="130" t="s">
        <v>6245</v>
      </c>
      <c r="C112" s="12">
        <v>168</v>
      </c>
      <c r="D112" s="13">
        <v>170831</v>
      </c>
      <c r="E112" s="224">
        <v>146857</v>
      </c>
      <c r="F112" t="s">
        <v>6398</v>
      </c>
    </row>
    <row r="113" spans="2:6">
      <c r="B113" s="218" t="s">
        <v>6194</v>
      </c>
      <c r="C113" s="222">
        <v>301</v>
      </c>
      <c r="D113" s="220">
        <v>247932</v>
      </c>
      <c r="E113" s="229">
        <v>142604</v>
      </c>
      <c r="F113" t="s">
        <v>6429</v>
      </c>
    </row>
    <row r="114" spans="2:6">
      <c r="B114" s="218" t="s">
        <v>6237</v>
      </c>
      <c r="C114" s="222">
        <v>202</v>
      </c>
      <c r="D114" s="220">
        <v>226923</v>
      </c>
      <c r="E114" s="229">
        <v>133274</v>
      </c>
      <c r="F114" t="s">
        <v>6430</v>
      </c>
    </row>
    <row r="115" spans="2:6">
      <c r="B115" s="130" t="s">
        <v>6093</v>
      </c>
      <c r="C115" s="12">
        <v>202</v>
      </c>
      <c r="D115" s="13">
        <v>135554</v>
      </c>
      <c r="E115" s="224">
        <v>118133</v>
      </c>
      <c r="F115" t="s">
        <v>6363</v>
      </c>
    </row>
    <row r="116" spans="2:6">
      <c r="B116" s="218" t="s">
        <v>6148</v>
      </c>
      <c r="C116" s="222">
        <v>157</v>
      </c>
      <c r="D116" s="220">
        <v>166260</v>
      </c>
      <c r="E116" s="229">
        <v>115923</v>
      </c>
      <c r="F116" t="s">
        <v>6431</v>
      </c>
    </row>
    <row r="117" spans="2:6">
      <c r="B117" s="218" t="s">
        <v>6271</v>
      </c>
      <c r="C117" s="222">
        <v>165</v>
      </c>
      <c r="D117" s="220">
        <v>261326</v>
      </c>
      <c r="E117" s="229">
        <v>113666</v>
      </c>
      <c r="F117" t="s">
        <v>6432</v>
      </c>
    </row>
    <row r="118" spans="2:6">
      <c r="B118" s="218" t="s">
        <v>6261</v>
      </c>
      <c r="C118" s="222">
        <v>175</v>
      </c>
      <c r="D118" s="220">
        <v>239267</v>
      </c>
      <c r="E118" s="229">
        <v>111578</v>
      </c>
      <c r="F118" t="s">
        <v>6433</v>
      </c>
    </row>
    <row r="119" spans="2:6">
      <c r="B119" s="218" t="s">
        <v>6230</v>
      </c>
      <c r="C119" s="222">
        <v>142</v>
      </c>
      <c r="D119" s="220">
        <v>176343</v>
      </c>
      <c r="E119" s="229">
        <v>111239</v>
      </c>
      <c r="F119" t="s">
        <v>6434</v>
      </c>
    </row>
    <row r="120" spans="2:6">
      <c r="B120" s="218" t="s">
        <v>6245</v>
      </c>
      <c r="C120" s="222">
        <v>199</v>
      </c>
      <c r="D120" s="220">
        <v>163604</v>
      </c>
      <c r="E120" s="229">
        <v>103900</v>
      </c>
      <c r="F120" t="s">
        <v>6435</v>
      </c>
    </row>
    <row r="121" spans="2:6">
      <c r="B121" s="130" t="s">
        <v>6068</v>
      </c>
      <c r="C121" s="12">
        <v>157</v>
      </c>
      <c r="D121" s="13">
        <v>124793</v>
      </c>
      <c r="E121" s="224">
        <v>103635</v>
      </c>
      <c r="F121" t="s">
        <v>6358</v>
      </c>
    </row>
    <row r="122" spans="2:6">
      <c r="B122" s="130" t="s">
        <v>6300</v>
      </c>
      <c r="C122" s="12">
        <v>58</v>
      </c>
      <c r="D122" s="13">
        <v>119218</v>
      </c>
      <c r="E122" s="224">
        <v>99040</v>
      </c>
      <c r="F122" t="s">
        <v>6411</v>
      </c>
    </row>
    <row r="123" spans="2:6">
      <c r="B123" s="130" t="s">
        <v>6249</v>
      </c>
      <c r="C123" s="12">
        <v>97</v>
      </c>
      <c r="D123" s="13">
        <v>111243</v>
      </c>
      <c r="E123" s="224">
        <v>94084</v>
      </c>
      <c r="F123" t="s">
        <v>6399</v>
      </c>
    </row>
    <row r="124" spans="2:6">
      <c r="B124" s="130" t="s">
        <v>6163</v>
      </c>
      <c r="C124" s="12">
        <v>268</v>
      </c>
      <c r="D124" s="13">
        <v>117174</v>
      </c>
      <c r="E124" s="224">
        <v>92424</v>
      </c>
      <c r="F124" t="s">
        <v>6378</v>
      </c>
    </row>
    <row r="125" spans="2:6">
      <c r="B125" s="218" t="s">
        <v>6178</v>
      </c>
      <c r="C125" s="222">
        <v>190</v>
      </c>
      <c r="D125" s="220">
        <v>195245</v>
      </c>
      <c r="E125" s="229">
        <v>91603</v>
      </c>
      <c r="F125" t="s">
        <v>6436</v>
      </c>
    </row>
    <row r="126" spans="2:6">
      <c r="B126" s="218" t="s">
        <v>6093</v>
      </c>
      <c r="C126" s="222">
        <v>198</v>
      </c>
      <c r="D126" s="220">
        <v>124979</v>
      </c>
      <c r="E126" s="229">
        <v>75708</v>
      </c>
      <c r="F126" t="s">
        <v>6437</v>
      </c>
    </row>
    <row r="127" spans="2:6">
      <c r="B127" s="218" t="s">
        <v>6285</v>
      </c>
      <c r="C127" s="222">
        <v>134</v>
      </c>
      <c r="D127" s="220">
        <v>183086</v>
      </c>
      <c r="E127" s="229">
        <v>73605</v>
      </c>
      <c r="F127" t="s">
        <v>6438</v>
      </c>
    </row>
    <row r="128" spans="2:6">
      <c r="B128" s="130" t="s">
        <v>6183</v>
      </c>
      <c r="C128" s="12">
        <v>191</v>
      </c>
      <c r="D128" s="13">
        <v>84845</v>
      </c>
      <c r="E128" s="224">
        <v>73269</v>
      </c>
      <c r="F128" t="s">
        <v>6382</v>
      </c>
    </row>
    <row r="129" spans="2:6" ht="14.4" thickBot="1">
      <c r="B129" s="130" t="s">
        <v>6107</v>
      </c>
      <c r="C129" s="12">
        <v>66</v>
      </c>
      <c r="D129" s="13">
        <v>85183</v>
      </c>
      <c r="E129" s="224">
        <v>69932</v>
      </c>
      <c r="F129" t="s">
        <v>6366</v>
      </c>
    </row>
    <row r="130" spans="2:6" ht="14.4" thickBot="1">
      <c r="B130" s="136" t="s">
        <v>6068</v>
      </c>
      <c r="C130" s="142">
        <v>165</v>
      </c>
      <c r="D130" s="137">
        <v>116182</v>
      </c>
      <c r="E130" s="230">
        <v>67539</v>
      </c>
      <c r="F130" t="s">
        <v>6439</v>
      </c>
    </row>
    <row r="131" spans="2:6" ht="14.4" thickBot="1">
      <c r="B131" s="219" t="s">
        <v>6187</v>
      </c>
      <c r="C131" s="221">
        <v>111</v>
      </c>
      <c r="D131" s="223">
        <v>74299</v>
      </c>
      <c r="E131" s="227">
        <v>65800</v>
      </c>
      <c r="F131" t="s">
        <v>6383</v>
      </c>
    </row>
    <row r="132" spans="2:6" ht="14.4" thickBot="1">
      <c r="B132" s="136" t="s">
        <v>6300</v>
      </c>
      <c r="C132" s="142">
        <v>138</v>
      </c>
      <c r="D132" s="137">
        <v>117378</v>
      </c>
      <c r="E132" s="230">
        <v>64858</v>
      </c>
      <c r="F132" t="s">
        <v>6440</v>
      </c>
    </row>
    <row r="133" spans="2:6" ht="14.4" thickBot="1">
      <c r="B133" s="136" t="s">
        <v>6249</v>
      </c>
      <c r="C133" s="142">
        <v>97</v>
      </c>
      <c r="D133" s="137">
        <v>103883</v>
      </c>
      <c r="E133" s="230">
        <v>58362</v>
      </c>
      <c r="F133" t="s">
        <v>6441</v>
      </c>
    </row>
    <row r="134" spans="2:6" ht="14.4" thickBot="1">
      <c r="B134" s="219" t="s">
        <v>6112</v>
      </c>
      <c r="C134" s="221">
        <v>218</v>
      </c>
      <c r="D134" s="223">
        <v>84676</v>
      </c>
      <c r="E134" s="227">
        <v>57366</v>
      </c>
      <c r="F134" t="s">
        <v>6367</v>
      </c>
    </row>
    <row r="135" spans="2:6" ht="14.4" thickBot="1">
      <c r="B135" s="219" t="s">
        <v>6143</v>
      </c>
      <c r="C135" s="221">
        <v>72</v>
      </c>
      <c r="D135" s="223">
        <v>67909</v>
      </c>
      <c r="E135" s="227">
        <v>54392</v>
      </c>
      <c r="F135" t="s">
        <v>6374</v>
      </c>
    </row>
    <row r="136" spans="2:6" ht="14.4" thickBot="1">
      <c r="B136" s="136" t="s">
        <v>6107</v>
      </c>
      <c r="C136" s="142">
        <v>141</v>
      </c>
      <c r="D136" s="137">
        <v>79198</v>
      </c>
      <c r="E136" s="230">
        <v>47969</v>
      </c>
      <c r="F136" t="s">
        <v>6442</v>
      </c>
    </row>
    <row r="137" spans="2:6" ht="14.4" thickBot="1">
      <c r="B137" s="136" t="s">
        <v>6183</v>
      </c>
      <c r="C137" s="142">
        <v>170</v>
      </c>
      <c r="D137" s="137">
        <v>80667</v>
      </c>
      <c r="E137" s="230">
        <v>47314</v>
      </c>
      <c r="F137" t="s">
        <v>6443</v>
      </c>
    </row>
    <row r="138" spans="2:6" ht="14.4" thickBot="1">
      <c r="B138" s="136" t="s">
        <v>6187</v>
      </c>
      <c r="C138" s="142">
        <v>46</v>
      </c>
      <c r="D138" s="137">
        <v>68151</v>
      </c>
      <c r="E138" s="230">
        <v>46275</v>
      </c>
      <c r="F138" t="s">
        <v>6444</v>
      </c>
    </row>
    <row r="139" spans="2:6" ht="14.4" thickBot="1">
      <c r="B139" s="136" t="s">
        <v>6163</v>
      </c>
      <c r="C139" s="142">
        <v>269</v>
      </c>
      <c r="D139" s="137">
        <v>104706</v>
      </c>
      <c r="E139" s="230">
        <v>45265</v>
      </c>
      <c r="F139" t="s">
        <v>6445</v>
      </c>
    </row>
    <row r="140" spans="2:6" ht="14.4" thickBot="1">
      <c r="B140" s="219" t="s">
        <v>6126</v>
      </c>
      <c r="C140" s="221">
        <v>96</v>
      </c>
      <c r="D140" s="223">
        <v>60100</v>
      </c>
      <c r="E140" s="227">
        <v>44442</v>
      </c>
      <c r="F140" t="s">
        <v>6370</v>
      </c>
    </row>
    <row r="141" spans="2:6" ht="14.4" thickBot="1">
      <c r="B141" s="219" t="s">
        <v>6158</v>
      </c>
      <c r="C141" s="221">
        <v>250</v>
      </c>
      <c r="D141" s="223">
        <v>53697</v>
      </c>
      <c r="E141" s="227">
        <v>44135</v>
      </c>
      <c r="F141" t="s">
        <v>6377</v>
      </c>
    </row>
    <row r="142" spans="2:6" ht="14.4" thickBot="1">
      <c r="B142" s="219" t="s">
        <v>6275</v>
      </c>
      <c r="C142" s="221">
        <v>45</v>
      </c>
      <c r="D142" s="223">
        <v>52096</v>
      </c>
      <c r="E142" s="227">
        <v>43264</v>
      </c>
      <c r="F142" t="s">
        <v>6405</v>
      </c>
    </row>
    <row r="143" spans="2:6" ht="14.4" thickBot="1">
      <c r="B143" s="136" t="s">
        <v>6143</v>
      </c>
      <c r="C143" s="142">
        <v>72</v>
      </c>
      <c r="D143" s="137">
        <v>61851</v>
      </c>
      <c r="E143" s="230">
        <v>31373</v>
      </c>
      <c r="F143" t="s">
        <v>6446</v>
      </c>
    </row>
    <row r="144" spans="2:6" ht="14.4" thickBot="1">
      <c r="B144" s="219" t="s">
        <v>6290</v>
      </c>
      <c r="C144" s="221">
        <v>73</v>
      </c>
      <c r="D144" s="223">
        <v>35042</v>
      </c>
      <c r="E144" s="227">
        <v>30829</v>
      </c>
      <c r="F144" t="s">
        <v>6409</v>
      </c>
    </row>
    <row r="145" spans="2:6" ht="14.4" thickBot="1">
      <c r="B145" s="219" t="s">
        <v>6305</v>
      </c>
      <c r="C145" s="221">
        <v>34</v>
      </c>
      <c r="D145" s="223">
        <v>39626</v>
      </c>
      <c r="E145" s="227">
        <v>30201</v>
      </c>
      <c r="F145" t="s">
        <v>6412</v>
      </c>
    </row>
    <row r="146" spans="2:6" ht="14.4" thickBot="1">
      <c r="B146" s="136" t="s">
        <v>6158</v>
      </c>
      <c r="C146" s="142">
        <v>248</v>
      </c>
      <c r="D146" s="137">
        <v>52602</v>
      </c>
      <c r="E146" s="230">
        <v>29527</v>
      </c>
      <c r="F146" t="s">
        <v>6447</v>
      </c>
    </row>
    <row r="147" spans="2:6" ht="14.4" thickBot="1">
      <c r="B147" s="219" t="s">
        <v>6209</v>
      </c>
      <c r="C147" s="221">
        <v>54</v>
      </c>
      <c r="D147" s="223">
        <v>35359</v>
      </c>
      <c r="E147" s="227">
        <v>29207</v>
      </c>
      <c r="F147" t="s">
        <v>6389</v>
      </c>
    </row>
    <row r="148" spans="2:6" ht="14.4" thickBot="1">
      <c r="B148" s="219" t="s">
        <v>6278</v>
      </c>
      <c r="C148" s="221">
        <v>46</v>
      </c>
      <c r="D148" s="223">
        <v>37023</v>
      </c>
      <c r="E148" s="227">
        <v>29078</v>
      </c>
      <c r="F148" t="s">
        <v>6406</v>
      </c>
    </row>
    <row r="149" spans="2:6" ht="14.4" thickBot="1">
      <c r="B149" s="219" t="s">
        <v>6130</v>
      </c>
      <c r="C149" s="221">
        <v>70</v>
      </c>
      <c r="D149" s="223">
        <v>37262</v>
      </c>
      <c r="E149" s="227">
        <v>28812</v>
      </c>
      <c r="F149" t="s">
        <v>6371</v>
      </c>
    </row>
    <row r="150" spans="2:6" ht="14.4" thickBot="1">
      <c r="B150" s="219" t="s">
        <v>6073</v>
      </c>
      <c r="C150" s="221">
        <v>29</v>
      </c>
      <c r="D150" s="223">
        <v>31364</v>
      </c>
      <c r="E150" s="227">
        <v>27524</v>
      </c>
      <c r="F150" t="s">
        <v>6359</v>
      </c>
    </row>
    <row r="151" spans="2:6" ht="14.4" thickBot="1">
      <c r="B151" s="136" t="s">
        <v>6275</v>
      </c>
      <c r="C151" s="142">
        <v>48</v>
      </c>
      <c r="D151" s="137">
        <v>48423</v>
      </c>
      <c r="E151" s="230">
        <v>25593</v>
      </c>
      <c r="F151" t="s">
        <v>6448</v>
      </c>
    </row>
    <row r="152" spans="2:6" ht="14.4" thickBot="1">
      <c r="B152" s="136" t="s">
        <v>6112</v>
      </c>
      <c r="C152" s="142">
        <v>218</v>
      </c>
      <c r="D152" s="137">
        <v>77111</v>
      </c>
      <c r="E152" s="230">
        <v>23885</v>
      </c>
      <c r="F152" t="s">
        <v>6449</v>
      </c>
    </row>
    <row r="153" spans="2:6" ht="14.4" thickBot="1">
      <c r="B153" s="219" t="s">
        <v>6256</v>
      </c>
      <c r="C153" s="221">
        <v>64</v>
      </c>
      <c r="D153" s="223">
        <v>29240</v>
      </c>
      <c r="E153" s="227">
        <v>23796</v>
      </c>
      <c r="F153" t="s">
        <v>6401</v>
      </c>
    </row>
    <row r="154" spans="2:6" ht="14.4" thickBot="1">
      <c r="B154" s="219" t="s">
        <v>6063</v>
      </c>
      <c r="C154" s="221">
        <v>30</v>
      </c>
      <c r="D154" s="223">
        <v>25605</v>
      </c>
      <c r="E154" s="227">
        <v>22620</v>
      </c>
      <c r="F154" t="s">
        <v>6357</v>
      </c>
    </row>
    <row r="155" spans="2:6" ht="14.4" thickBot="1">
      <c r="B155" s="136" t="s">
        <v>6290</v>
      </c>
      <c r="C155" s="142">
        <v>73</v>
      </c>
      <c r="D155" s="137">
        <v>32562</v>
      </c>
      <c r="E155" s="230">
        <v>21486</v>
      </c>
      <c r="F155" t="s">
        <v>6450</v>
      </c>
    </row>
    <row r="156" spans="2:6" ht="14.4" thickBot="1">
      <c r="B156" s="136" t="s">
        <v>6126</v>
      </c>
      <c r="C156" s="142">
        <v>64</v>
      </c>
      <c r="D156" s="137">
        <v>55738</v>
      </c>
      <c r="E156" s="230">
        <v>21248</v>
      </c>
      <c r="F156" t="s">
        <v>6451</v>
      </c>
    </row>
    <row r="157" spans="2:6" ht="14.4" thickBot="1">
      <c r="B157" s="136" t="s">
        <v>6073</v>
      </c>
      <c r="C157" s="142">
        <v>29</v>
      </c>
      <c r="D157" s="137">
        <v>29889</v>
      </c>
      <c r="E157" s="230">
        <v>19089</v>
      </c>
      <c r="F157" t="s">
        <v>6452</v>
      </c>
    </row>
    <row r="158" spans="2:6" ht="14.4" thickBot="1">
      <c r="B158" s="136" t="s">
        <v>6278</v>
      </c>
      <c r="C158" s="142">
        <v>46</v>
      </c>
      <c r="D158" s="137">
        <v>35087</v>
      </c>
      <c r="E158" s="230">
        <v>18285</v>
      </c>
      <c r="F158" t="s">
        <v>6453</v>
      </c>
    </row>
    <row r="159" spans="2:6" ht="14.4" thickBot="1">
      <c r="B159" s="136" t="s">
        <v>6130</v>
      </c>
      <c r="C159" s="142">
        <v>70</v>
      </c>
      <c r="D159" s="137">
        <v>33905</v>
      </c>
      <c r="E159" s="230">
        <v>17902</v>
      </c>
      <c r="F159" t="s">
        <v>6454</v>
      </c>
    </row>
    <row r="160" spans="2:6" ht="14.4" thickBot="1">
      <c r="B160" s="136" t="s">
        <v>6209</v>
      </c>
      <c r="C160" s="142">
        <v>32</v>
      </c>
      <c r="D160" s="137">
        <v>32453</v>
      </c>
      <c r="E160" s="230">
        <v>17346</v>
      </c>
      <c r="F160" t="s">
        <v>6455</v>
      </c>
    </row>
    <row r="161" spans="2:6" ht="14.4" thickBot="1">
      <c r="B161" s="136" t="s">
        <v>6305</v>
      </c>
      <c r="C161" s="142">
        <v>34</v>
      </c>
      <c r="D161" s="137">
        <v>36707</v>
      </c>
      <c r="E161" s="230">
        <v>16659</v>
      </c>
      <c r="F161" t="s">
        <v>6456</v>
      </c>
    </row>
    <row r="162" spans="2:6" ht="14.4" thickBot="1">
      <c r="B162" s="136" t="s">
        <v>6063</v>
      </c>
      <c r="C162" s="142">
        <v>30</v>
      </c>
      <c r="D162" s="137">
        <v>23717</v>
      </c>
      <c r="E162" s="230">
        <v>15703</v>
      </c>
      <c r="F162" t="s">
        <v>6457</v>
      </c>
    </row>
    <row r="163" spans="2:6" ht="14.4" thickBot="1">
      <c r="B163" s="136" t="s">
        <v>6256</v>
      </c>
      <c r="C163" s="142">
        <v>54</v>
      </c>
      <c r="D163" s="137">
        <v>27662</v>
      </c>
      <c r="E163" s="230">
        <v>15364</v>
      </c>
      <c r="F163" t="s">
        <v>6458</v>
      </c>
    </row>
    <row r="164" spans="2:6" ht="14.4" thickBot="1">
      <c r="B164" s="219" t="s">
        <v>6135</v>
      </c>
      <c r="C164" s="221">
        <v>57</v>
      </c>
      <c r="D164" s="223">
        <v>15252</v>
      </c>
      <c r="E164" s="227">
        <v>12122</v>
      </c>
      <c r="F164" t="s">
        <v>6372</v>
      </c>
    </row>
    <row r="165" spans="2:6" ht="14.4" thickBot="1">
      <c r="B165" s="219" t="s">
        <v>6088</v>
      </c>
      <c r="C165" s="221">
        <v>18</v>
      </c>
      <c r="D165" s="223">
        <v>15904</v>
      </c>
      <c r="E165" s="227">
        <v>11624</v>
      </c>
      <c r="F165" t="s">
        <v>6362</v>
      </c>
    </row>
    <row r="166" spans="2:6" ht="14.4" thickBot="1">
      <c r="B166" s="219" t="s">
        <v>6102</v>
      </c>
      <c r="C166" s="221">
        <v>74</v>
      </c>
      <c r="D166" s="223">
        <v>14279</v>
      </c>
      <c r="E166" s="227">
        <v>11455</v>
      </c>
      <c r="F166" t="s">
        <v>6365</v>
      </c>
    </row>
    <row r="167" spans="2:6" ht="14.4" thickBot="1">
      <c r="B167" s="219" t="s">
        <v>6197</v>
      </c>
      <c r="C167" s="221">
        <v>29</v>
      </c>
      <c r="D167" s="223">
        <v>13655</v>
      </c>
      <c r="E167" s="227">
        <v>11422</v>
      </c>
      <c r="F167" t="s">
        <v>6386</v>
      </c>
    </row>
    <row r="168" spans="2:6" ht="14.4" thickBot="1">
      <c r="B168" s="219" t="s">
        <v>6153</v>
      </c>
      <c r="C168" s="221">
        <v>25</v>
      </c>
      <c r="D168" s="223">
        <v>11918</v>
      </c>
      <c r="E168" s="227">
        <v>10410</v>
      </c>
      <c r="F168" t="s">
        <v>6376</v>
      </c>
    </row>
    <row r="169" spans="2:6" ht="14.4" thickBot="1">
      <c r="B169" s="219" t="s">
        <v>6116</v>
      </c>
      <c r="C169" s="221">
        <v>21</v>
      </c>
      <c r="D169" s="223">
        <v>11016</v>
      </c>
      <c r="E169" s="227">
        <v>9624</v>
      </c>
      <c r="F169" t="s">
        <v>6368</v>
      </c>
    </row>
    <row r="170" spans="2:6" ht="14.4" thickBot="1">
      <c r="B170" s="136" t="s">
        <v>6197</v>
      </c>
      <c r="C170" s="142">
        <v>29</v>
      </c>
      <c r="D170" s="137">
        <v>12688</v>
      </c>
      <c r="E170" s="230">
        <v>8218</v>
      </c>
      <c r="F170" t="s">
        <v>6459</v>
      </c>
    </row>
    <row r="171" spans="2:6" ht="14.4" thickBot="1">
      <c r="B171" s="219" t="s">
        <v>6078</v>
      </c>
      <c r="C171" s="221">
        <v>18</v>
      </c>
      <c r="D171" s="223">
        <v>9807</v>
      </c>
      <c r="E171" s="227">
        <v>8039</v>
      </c>
      <c r="F171" t="s">
        <v>6360</v>
      </c>
    </row>
    <row r="172" spans="2:6" ht="14.4" thickBot="1">
      <c r="B172" s="136" t="s">
        <v>6135</v>
      </c>
      <c r="C172" s="142">
        <v>51</v>
      </c>
      <c r="D172" s="137">
        <v>14028</v>
      </c>
      <c r="E172" s="230">
        <v>7762</v>
      </c>
      <c r="F172" t="s">
        <v>6460</v>
      </c>
    </row>
    <row r="173" spans="2:6" ht="14.4" thickBot="1">
      <c r="B173" s="136" t="s">
        <v>6088</v>
      </c>
      <c r="C173" s="142">
        <v>18</v>
      </c>
      <c r="D173" s="137">
        <v>15182</v>
      </c>
      <c r="E173" s="230">
        <v>7254</v>
      </c>
      <c r="F173" t="s">
        <v>6461</v>
      </c>
    </row>
    <row r="174" spans="2:6" ht="14.4" thickBot="1">
      <c r="B174" s="136" t="s">
        <v>6153</v>
      </c>
      <c r="C174" s="142">
        <v>25</v>
      </c>
      <c r="D174" s="137">
        <v>10916</v>
      </c>
      <c r="E174" s="230">
        <v>7214</v>
      </c>
      <c r="F174" t="s">
        <v>6462</v>
      </c>
    </row>
    <row r="175" spans="2:6" ht="14.4" thickBot="1">
      <c r="B175" s="136" t="s">
        <v>6102</v>
      </c>
      <c r="C175" s="142">
        <v>34</v>
      </c>
      <c r="D175" s="137">
        <v>13454</v>
      </c>
      <c r="E175" s="230">
        <v>6986</v>
      </c>
      <c r="F175" t="s">
        <v>6463</v>
      </c>
    </row>
    <row r="176" spans="2:6" ht="14.4" thickBot="1">
      <c r="B176" s="136" t="s">
        <v>6116</v>
      </c>
      <c r="C176" s="142">
        <v>21</v>
      </c>
      <c r="D176" s="137">
        <v>10029</v>
      </c>
      <c r="E176" s="230">
        <v>6833</v>
      </c>
      <c r="F176" t="s">
        <v>6464</v>
      </c>
    </row>
    <row r="177" spans="2:117" ht="14.4" thickBot="1">
      <c r="B177" s="219" t="s">
        <v>6173</v>
      </c>
      <c r="C177" s="221">
        <v>12</v>
      </c>
      <c r="D177" s="223">
        <v>7831</v>
      </c>
      <c r="E177" s="227">
        <v>6828</v>
      </c>
      <c r="F177" t="s">
        <v>6380</v>
      </c>
    </row>
    <row r="178" spans="2:117" ht="14.4" thickBot="1">
      <c r="B178" s="219" t="s">
        <v>6281</v>
      </c>
      <c r="C178" s="221">
        <v>25</v>
      </c>
      <c r="D178" s="223">
        <v>8204</v>
      </c>
      <c r="E178" s="227">
        <v>6387</v>
      </c>
      <c r="F178" t="s">
        <v>6407</v>
      </c>
    </row>
    <row r="179" spans="2:117" ht="14.4" thickBot="1">
      <c r="B179" s="136" t="s">
        <v>6078</v>
      </c>
      <c r="C179" s="142">
        <v>18</v>
      </c>
      <c r="D179" s="137">
        <v>9093</v>
      </c>
      <c r="E179" s="230">
        <v>4883</v>
      </c>
      <c r="F179" t="s">
        <v>6465</v>
      </c>
    </row>
    <row r="180" spans="2:117" ht="14.4" thickBot="1">
      <c r="B180" s="136" t="s">
        <v>6281</v>
      </c>
      <c r="C180" s="142">
        <v>25</v>
      </c>
      <c r="D180" s="137">
        <v>7897</v>
      </c>
      <c r="E180" s="230">
        <v>4878</v>
      </c>
      <c r="F180" t="s">
        <v>6466</v>
      </c>
    </row>
    <row r="181" spans="2:117" ht="14.4" thickBot="1">
      <c r="B181" s="219" t="s">
        <v>6168</v>
      </c>
      <c r="C181" s="221">
        <v>21</v>
      </c>
      <c r="D181" s="223">
        <v>5338</v>
      </c>
      <c r="E181" s="227">
        <v>4403</v>
      </c>
      <c r="F181" t="s">
        <v>6379</v>
      </c>
    </row>
    <row r="182" spans="2:117" ht="14.4" thickBot="1">
      <c r="B182" s="136" t="s">
        <v>6173</v>
      </c>
      <c r="C182" s="142">
        <v>12</v>
      </c>
      <c r="D182" s="137">
        <v>7095</v>
      </c>
      <c r="E182" s="230">
        <v>4267</v>
      </c>
      <c r="F182" t="s">
        <v>6467</v>
      </c>
    </row>
    <row r="183" spans="2:117" ht="14.4" thickBot="1">
      <c r="B183" s="136" t="s">
        <v>6168</v>
      </c>
      <c r="C183" s="142">
        <v>21</v>
      </c>
      <c r="D183" s="137">
        <v>4984</v>
      </c>
      <c r="E183" s="230">
        <v>3022</v>
      </c>
      <c r="F183" t="s">
        <v>6468</v>
      </c>
    </row>
    <row r="184" spans="2:117" ht="14.4" thickBot="1">
      <c r="B184" s="219" t="s">
        <v>6252</v>
      </c>
      <c r="C184" s="221">
        <v>23</v>
      </c>
      <c r="D184" s="223">
        <v>2261</v>
      </c>
      <c r="E184" s="227">
        <v>1964</v>
      </c>
      <c r="F184" t="s">
        <v>6400</v>
      </c>
    </row>
    <row r="185" spans="2:117" ht="14.4" thickBot="1">
      <c r="B185" s="136" t="s">
        <v>6252</v>
      </c>
      <c r="C185" s="142">
        <v>23</v>
      </c>
      <c r="D185" s="137">
        <v>2123</v>
      </c>
      <c r="E185" s="230">
        <v>1389</v>
      </c>
      <c r="F185" t="s">
        <v>6469</v>
      </c>
    </row>
    <row r="186" spans="2:117" ht="14.4" thickBot="1">
      <c r="B186" s="219" t="s">
        <v>6058</v>
      </c>
      <c r="C186" s="221">
        <v>5</v>
      </c>
      <c r="D186" s="221">
        <v>869</v>
      </c>
      <c r="E186" s="228">
        <v>749</v>
      </c>
      <c r="F186" t="s">
        <v>6356</v>
      </c>
    </row>
    <row r="187" spans="2:117" ht="14.4" thickBot="1">
      <c r="B187" s="136" t="s">
        <v>6058</v>
      </c>
      <c r="C187" s="142">
        <v>5</v>
      </c>
      <c r="D187" s="142">
        <v>788</v>
      </c>
      <c r="E187" s="231">
        <v>510</v>
      </c>
      <c r="F187" t="s">
        <v>6470</v>
      </c>
    </row>
    <row r="189" spans="2:117" ht="14.4" thickBot="1">
      <c r="B189" t="s">
        <v>6373</v>
      </c>
      <c r="C189" t="s">
        <v>6413</v>
      </c>
      <c r="D189" t="s">
        <v>6391</v>
      </c>
      <c r="E189" t="s">
        <v>6384</v>
      </c>
      <c r="F189" t="s">
        <v>6387</v>
      </c>
      <c r="G189" t="s">
        <v>6414</v>
      </c>
      <c r="H189" t="s">
        <v>6397</v>
      </c>
      <c r="I189" t="s">
        <v>6390</v>
      </c>
      <c r="J189" t="s">
        <v>6415</v>
      </c>
      <c r="K189" t="s">
        <v>6355</v>
      </c>
      <c r="L189" t="s">
        <v>6388</v>
      </c>
      <c r="M189" t="s">
        <v>6361</v>
      </c>
      <c r="N189" t="s">
        <v>6416</v>
      </c>
      <c r="O189" t="s">
        <v>6417</v>
      </c>
      <c r="P189" t="s">
        <v>6418</v>
      </c>
      <c r="Q189" t="s">
        <v>6392</v>
      </c>
      <c r="R189" t="s">
        <v>6410</v>
      </c>
      <c r="S189" t="s">
        <v>6419</v>
      </c>
      <c r="T189" t="s">
        <v>6420</v>
      </c>
      <c r="U189" t="s">
        <v>6395</v>
      </c>
      <c r="V189" t="s">
        <v>6364</v>
      </c>
      <c r="W189" t="s">
        <v>6421</v>
      </c>
      <c r="X189" t="s">
        <v>6369</v>
      </c>
      <c r="Y189" t="s">
        <v>6422</v>
      </c>
      <c r="Z189" t="s">
        <v>6393</v>
      </c>
      <c r="AA189" t="s">
        <v>6403</v>
      </c>
      <c r="AB189" t="s">
        <v>6423</v>
      </c>
      <c r="AC189" t="s">
        <v>6385</v>
      </c>
      <c r="AD189" t="s">
        <v>6424</v>
      </c>
      <c r="AE189" t="s">
        <v>6404</v>
      </c>
      <c r="AF189" t="s">
        <v>6402</v>
      </c>
      <c r="AG189" t="s">
        <v>6396</v>
      </c>
      <c r="AH189" t="s">
        <v>6425</v>
      </c>
      <c r="AI189" t="s">
        <v>6426</v>
      </c>
      <c r="AJ189" t="s">
        <v>6381</v>
      </c>
      <c r="AK189" t="s">
        <v>6394</v>
      </c>
      <c r="AL189" t="s">
        <v>6427</v>
      </c>
      <c r="AM189" t="s">
        <v>6375</v>
      </c>
      <c r="AN189" t="s">
        <v>6428</v>
      </c>
      <c r="AO189" t="s">
        <v>6408</v>
      </c>
      <c r="AP189" t="s">
        <v>6398</v>
      </c>
      <c r="AQ189" t="s">
        <v>6429</v>
      </c>
      <c r="AR189" t="s">
        <v>6430</v>
      </c>
      <c r="AS189" t="s">
        <v>6363</v>
      </c>
      <c r="AT189" t="s">
        <v>6431</v>
      </c>
      <c r="AU189" t="s">
        <v>6432</v>
      </c>
      <c r="AV189" t="s">
        <v>6433</v>
      </c>
      <c r="AW189" t="s">
        <v>6434</v>
      </c>
      <c r="AX189" t="s">
        <v>6435</v>
      </c>
      <c r="AY189" t="s">
        <v>6358</v>
      </c>
      <c r="AZ189" t="s">
        <v>6411</v>
      </c>
      <c r="BA189" t="s">
        <v>6399</v>
      </c>
      <c r="BB189" t="s">
        <v>6378</v>
      </c>
      <c r="BC189" t="s">
        <v>6436</v>
      </c>
      <c r="BD189" t="s">
        <v>6437</v>
      </c>
      <c r="BE189" t="s">
        <v>6438</v>
      </c>
      <c r="BF189" t="s">
        <v>6382</v>
      </c>
      <c r="BG189" t="s">
        <v>6366</v>
      </c>
      <c r="BH189" t="s">
        <v>6439</v>
      </c>
      <c r="BI189" t="s">
        <v>6383</v>
      </c>
      <c r="BJ189" t="s">
        <v>6440</v>
      </c>
      <c r="BK189" t="s">
        <v>6441</v>
      </c>
      <c r="BL189" t="s">
        <v>6367</v>
      </c>
      <c r="BM189" t="s">
        <v>6374</v>
      </c>
      <c r="BN189" t="s">
        <v>6442</v>
      </c>
      <c r="BO189" t="s">
        <v>6443</v>
      </c>
      <c r="BP189" t="s">
        <v>6444</v>
      </c>
      <c r="BQ189" t="s">
        <v>6445</v>
      </c>
      <c r="BR189" t="s">
        <v>6370</v>
      </c>
      <c r="BS189" t="s">
        <v>6377</v>
      </c>
      <c r="BT189" t="s">
        <v>6405</v>
      </c>
      <c r="BU189" t="s">
        <v>6446</v>
      </c>
      <c r="BV189" t="s">
        <v>6409</v>
      </c>
      <c r="BW189" t="s">
        <v>6412</v>
      </c>
      <c r="BX189" t="s">
        <v>6447</v>
      </c>
      <c r="BY189" t="s">
        <v>6389</v>
      </c>
      <c r="BZ189" t="s">
        <v>6406</v>
      </c>
      <c r="CA189" t="s">
        <v>6371</v>
      </c>
      <c r="CB189" t="s">
        <v>6359</v>
      </c>
      <c r="CC189" t="s">
        <v>6448</v>
      </c>
      <c r="CD189" t="s">
        <v>6449</v>
      </c>
      <c r="CE189" t="s">
        <v>6401</v>
      </c>
      <c r="CF189" t="s">
        <v>6357</v>
      </c>
      <c r="CG189" t="s">
        <v>6450</v>
      </c>
      <c r="CH189" t="s">
        <v>6451</v>
      </c>
      <c r="CI189" t="s">
        <v>6452</v>
      </c>
      <c r="CJ189" t="s">
        <v>6453</v>
      </c>
      <c r="CK189" t="s">
        <v>6454</v>
      </c>
      <c r="CL189" t="s">
        <v>6455</v>
      </c>
      <c r="CM189" t="s">
        <v>6456</v>
      </c>
      <c r="CN189" t="s">
        <v>6457</v>
      </c>
      <c r="CO189" t="s">
        <v>6458</v>
      </c>
      <c r="CP189" t="s">
        <v>6372</v>
      </c>
      <c r="CQ189" t="s">
        <v>6362</v>
      </c>
      <c r="CR189" t="s">
        <v>6365</v>
      </c>
      <c r="CS189" t="s">
        <v>6386</v>
      </c>
      <c r="CT189" t="s">
        <v>6376</v>
      </c>
      <c r="CU189" t="s">
        <v>6368</v>
      </c>
      <c r="CV189" t="s">
        <v>6459</v>
      </c>
      <c r="CW189" t="s">
        <v>6360</v>
      </c>
      <c r="CX189" t="s">
        <v>6460</v>
      </c>
      <c r="CY189" t="s">
        <v>6461</v>
      </c>
      <c r="CZ189" t="s">
        <v>6462</v>
      </c>
      <c r="DA189" t="s">
        <v>6463</v>
      </c>
      <c r="DB189" t="s">
        <v>6464</v>
      </c>
      <c r="DC189" t="s">
        <v>6380</v>
      </c>
      <c r="DD189" t="s">
        <v>6407</v>
      </c>
      <c r="DE189" t="s">
        <v>6465</v>
      </c>
      <c r="DF189" t="s">
        <v>6466</v>
      </c>
      <c r="DG189" t="s">
        <v>6379</v>
      </c>
      <c r="DH189" t="s">
        <v>6467</v>
      </c>
      <c r="DI189" t="s">
        <v>6468</v>
      </c>
      <c r="DJ189" t="s">
        <v>6400</v>
      </c>
      <c r="DK189" t="s">
        <v>6469</v>
      </c>
      <c r="DL189" t="s">
        <v>6356</v>
      </c>
      <c r="DM189" t="s">
        <v>6470</v>
      </c>
    </row>
    <row r="190" spans="2:117" ht="14.4" thickBot="1">
      <c r="B190" s="224">
        <v>4338191</v>
      </c>
      <c r="C190" s="229">
        <v>2122469</v>
      </c>
      <c r="D190" s="224">
        <v>1627753</v>
      </c>
      <c r="E190" s="224">
        <v>1546570</v>
      </c>
      <c r="F190" s="224">
        <v>1016027</v>
      </c>
      <c r="G190" s="229">
        <v>907602</v>
      </c>
      <c r="H190" s="224">
        <v>863964</v>
      </c>
      <c r="I190" s="224">
        <v>852636</v>
      </c>
      <c r="J190" s="229">
        <v>818021</v>
      </c>
      <c r="K190" s="224">
        <v>785215</v>
      </c>
      <c r="L190" s="224">
        <v>729569</v>
      </c>
      <c r="M190" s="224">
        <v>591143</v>
      </c>
      <c r="N190" s="229">
        <v>495791</v>
      </c>
      <c r="O190" s="229">
        <v>482272</v>
      </c>
      <c r="P190" s="229">
        <v>469968</v>
      </c>
      <c r="Q190" s="224">
        <v>449866</v>
      </c>
      <c r="R190" s="224">
        <v>429922</v>
      </c>
      <c r="S190" s="229">
        <v>409351</v>
      </c>
      <c r="T190" s="229">
        <v>391935</v>
      </c>
      <c r="U190" s="224">
        <v>380077</v>
      </c>
      <c r="V190" s="224">
        <v>370068</v>
      </c>
      <c r="W190" s="229">
        <v>330514</v>
      </c>
      <c r="X190" s="224">
        <v>309143</v>
      </c>
      <c r="Y190" s="229">
        <v>305184</v>
      </c>
      <c r="Z190" s="224">
        <v>292818</v>
      </c>
      <c r="AA190" s="224">
        <v>272244</v>
      </c>
      <c r="AB190" s="229">
        <v>239396</v>
      </c>
      <c r="AC190" s="224">
        <v>239315</v>
      </c>
      <c r="AD190" s="229">
        <v>228291</v>
      </c>
      <c r="AE190" s="224">
        <v>217517</v>
      </c>
      <c r="AF190" s="224">
        <v>209002</v>
      </c>
      <c r="AG190" s="224">
        <v>203506</v>
      </c>
      <c r="AH190" s="229">
        <v>199118</v>
      </c>
      <c r="AI190" s="229">
        <v>187208</v>
      </c>
      <c r="AJ190" s="224">
        <v>165976</v>
      </c>
      <c r="AK190" s="224">
        <v>162615</v>
      </c>
      <c r="AL190" s="229">
        <v>162116</v>
      </c>
      <c r="AM190" s="224">
        <v>158103</v>
      </c>
      <c r="AN190" s="229">
        <v>150482</v>
      </c>
      <c r="AO190" s="224">
        <v>148677</v>
      </c>
      <c r="AP190" s="224">
        <v>146857</v>
      </c>
      <c r="AQ190" s="229">
        <v>142604</v>
      </c>
      <c r="AR190" s="229">
        <v>133274</v>
      </c>
      <c r="AS190" s="224">
        <v>118133</v>
      </c>
      <c r="AT190" s="229">
        <v>115923</v>
      </c>
      <c r="AU190" s="229">
        <v>113666</v>
      </c>
      <c r="AV190" s="229">
        <v>111578</v>
      </c>
      <c r="AW190" s="229">
        <v>111239</v>
      </c>
      <c r="AX190" s="229">
        <v>103900</v>
      </c>
      <c r="AY190" s="224">
        <v>103635</v>
      </c>
      <c r="AZ190" s="224">
        <v>99040</v>
      </c>
      <c r="BA190" s="224">
        <v>94084</v>
      </c>
      <c r="BB190" s="224">
        <v>92424</v>
      </c>
      <c r="BC190" s="229">
        <v>91603</v>
      </c>
      <c r="BD190" s="229">
        <v>75708</v>
      </c>
      <c r="BE190" s="229">
        <v>73605</v>
      </c>
      <c r="BF190" s="224">
        <v>73269</v>
      </c>
      <c r="BG190" s="224">
        <v>69932</v>
      </c>
      <c r="BH190" s="230">
        <v>67539</v>
      </c>
      <c r="BI190" s="227">
        <v>65800</v>
      </c>
      <c r="BJ190" s="230">
        <v>64858</v>
      </c>
      <c r="BK190" s="230">
        <v>58362</v>
      </c>
      <c r="BL190" s="227">
        <v>57366</v>
      </c>
      <c r="BM190" s="227">
        <v>54392</v>
      </c>
      <c r="BN190" s="230">
        <v>47969</v>
      </c>
      <c r="BO190" s="230">
        <v>47314</v>
      </c>
      <c r="BP190" s="230">
        <v>46275</v>
      </c>
      <c r="BQ190" s="230">
        <v>45265</v>
      </c>
      <c r="BR190" s="227">
        <v>44442</v>
      </c>
      <c r="BS190" s="227">
        <v>44135</v>
      </c>
      <c r="BT190" s="227">
        <v>43264</v>
      </c>
      <c r="BU190" s="230">
        <v>31373</v>
      </c>
      <c r="BV190" s="227">
        <v>30829</v>
      </c>
      <c r="BW190" s="227">
        <v>30201</v>
      </c>
      <c r="BX190" s="230">
        <v>29527</v>
      </c>
      <c r="BY190" s="227">
        <v>29207</v>
      </c>
      <c r="BZ190" s="227">
        <v>29078</v>
      </c>
      <c r="CA190" s="227">
        <v>28812</v>
      </c>
      <c r="CB190" s="227">
        <v>27524</v>
      </c>
      <c r="CC190" s="230">
        <v>25593</v>
      </c>
      <c r="CD190" s="230">
        <v>23885</v>
      </c>
      <c r="CE190" s="227">
        <v>23796</v>
      </c>
      <c r="CF190" s="227">
        <v>22620</v>
      </c>
      <c r="CG190" s="230">
        <v>21486</v>
      </c>
      <c r="CH190" s="230">
        <v>21248</v>
      </c>
      <c r="CI190" s="230">
        <v>19089</v>
      </c>
      <c r="CJ190" s="230">
        <v>18285</v>
      </c>
      <c r="CK190" s="230">
        <v>17902</v>
      </c>
      <c r="CL190" s="230">
        <v>17346</v>
      </c>
      <c r="CM190" s="230">
        <v>16659</v>
      </c>
      <c r="CN190" s="230">
        <v>15703</v>
      </c>
      <c r="CO190" s="230">
        <v>15364</v>
      </c>
      <c r="CP190" s="227">
        <v>12122</v>
      </c>
      <c r="CQ190" s="227">
        <v>11624</v>
      </c>
      <c r="CR190" s="227">
        <v>11455</v>
      </c>
      <c r="CS190" s="227">
        <v>11422</v>
      </c>
      <c r="CT190" s="227">
        <v>10410</v>
      </c>
      <c r="CU190" s="227">
        <v>9624</v>
      </c>
      <c r="CV190" s="230">
        <v>8218</v>
      </c>
      <c r="CW190" s="227">
        <v>8039</v>
      </c>
      <c r="CX190" s="230">
        <v>7762</v>
      </c>
      <c r="CY190" s="230">
        <v>7254</v>
      </c>
      <c r="CZ190" s="230">
        <v>7214</v>
      </c>
      <c r="DA190" s="230">
        <v>6986</v>
      </c>
      <c r="DB190" s="230">
        <v>6833</v>
      </c>
      <c r="DC190" s="227">
        <v>6828</v>
      </c>
      <c r="DD190" s="227">
        <v>6387</v>
      </c>
      <c r="DE190" s="230">
        <v>4883</v>
      </c>
      <c r="DF190" s="230">
        <v>4878</v>
      </c>
      <c r="DG190" s="227">
        <v>4403</v>
      </c>
      <c r="DH190" s="230">
        <v>4267</v>
      </c>
      <c r="DI190" s="230">
        <v>3022</v>
      </c>
      <c r="DJ190" s="227">
        <v>1964</v>
      </c>
      <c r="DK190" s="230">
        <v>1389</v>
      </c>
      <c r="DL190" s="228">
        <v>749</v>
      </c>
      <c r="DM190" s="231">
        <v>510</v>
      </c>
    </row>
  </sheetData>
  <autoFilter ref="A3:AE3" xr:uid="{98EBBB5D-DD3E-471F-A604-320DF0CBD260}"/>
  <sortState xmlns:xlrd2="http://schemas.microsoft.com/office/spreadsheetml/2017/richdata2" ref="B72:F187">
    <sortCondition descending="1" ref="E72:E187"/>
  </sortState>
  <hyperlinks>
    <hyperlink ref="F2" r:id="rId1" location="15-day" display="https://web.archive.org/web/20210110095403/https:/electionresults.sos.ca.gov/returns/status - 15-day" xr:uid="{8536063D-8991-44CD-A9F5-A97FB0C06926}"/>
    <hyperlink ref="I2" r:id="rId2" location="reportType" tooltip="Link to Report Type Definitions" display="https://web.archive.org/web/20210110095403/https:/electionresults.sos.ca.gov/returns/status - reportType" xr:uid="{220D36F1-1A66-4B65-8A08-55E1B504EB39}"/>
    <hyperlink ref="B4" r:id="rId3" display="https://web.archive.org/web/20210110095403/https:/www.acvote.org/election-information/elections?id=241" xr:uid="{071B6364-148F-412B-98A7-485149BA92B9}"/>
    <hyperlink ref="B5" r:id="rId4" display="https://web.archive.org/web/20210110095403/http:/www.alpinecountyca.gov/index.aspx?NID=388" xr:uid="{F5B9AABE-2E01-4F57-8354-4BD4CEF34897}"/>
    <hyperlink ref="B6" r:id="rId5" display="https://web.archive.org/web/20210110095403/https:/www.amadorgov.org/government/elections" xr:uid="{9B2F6858-448A-44B6-A817-F2B6A4135C46}"/>
    <hyperlink ref="B7" r:id="rId6" display="https://web.archive.org/web/20210110095403/https:/clerk-recorder.buttecounty.net/elections/archives/eln44/44_eln_main.html" xr:uid="{9B6AA112-71C8-47D4-8325-618EC2CEE9A9}"/>
    <hyperlink ref="B8" r:id="rId7" display="https://web.archive.org/web/20210110095403/http:/elections.calaverasgov.us/Results" xr:uid="{58414697-A20F-4E9C-9F04-F7766EA29936}"/>
    <hyperlink ref="B9" r:id="rId8" display="https://web.archive.org/web/20210110095403/http:/www.countyofcolusa.org/index.aspx?NID=197" xr:uid="{9891DDF7-463B-4712-8E12-01F6386DDC92}"/>
    <hyperlink ref="B10" r:id="rId9" location="Elections" display="https://web.archive.org/web/20210110095403/https:/www.cocovote.us/election/presidential-general-election-november-3-2020/ - Elections" xr:uid="{636042C7-EAD5-439D-8AD5-CE7C65903F5F}"/>
    <hyperlink ref="B11" r:id="rId10" display="https://web.archive.org/web/20210110095403/http:/www.co.del-norte.ca.us/departments/clerk-recorder/elections" xr:uid="{B9AB7ED0-42B6-4A3A-B4B4-A59AA1B54E32}"/>
    <hyperlink ref="B12" r:id="rId11" display="https://web.archive.org/web/20210110095403/https:/www.edcgov.us/Government/Elections" xr:uid="{073EBF0E-3849-400A-B0DB-0430B2D9CBB9}"/>
    <hyperlink ref="B13" r:id="rId12" display="https://web.archive.org/web/20210110095403/https:/www.co.fresno.ca.us/departments/county-clerk-registrar-of-voters/election-races/consolidated-presidential-general-election-november-3-2020" xr:uid="{79451362-0A0D-416E-BF57-A5A25497C32C}"/>
    <hyperlink ref="B14" r:id="rId13" display="https://web.archive.org/web/20210110095403/http:/www.countyofglenn.net/dept/elections/welcome" xr:uid="{D8604DC9-BE87-40A2-9C54-5D342149BF2D}"/>
    <hyperlink ref="B15" r:id="rId14" display="https://web.archive.org/web/20210110095403/https:/humboldtgov.org/2663/Presidential-General-Election---November" xr:uid="{717D54B4-6926-4132-A04B-925598C7C666}"/>
    <hyperlink ref="B16" r:id="rId15" display="https://web.archive.org/web/20210110095403/https:/elections.imperialcounty.org/" xr:uid="{D3782390-2303-467E-AA3E-EA40CF798462}"/>
    <hyperlink ref="B17" r:id="rId16" display="https://web.archive.org/web/20210110095403/https:/elections.inyocounty.us/" xr:uid="{5DBDCDF4-4864-48B3-AC8E-7B546CA420FB}"/>
    <hyperlink ref="B18" r:id="rId17" display="https://web.archive.org/web/20210110095403/https:/www.kernvote.com/ElectionInformation/CurrentElectionInformation?ElectionID=107" xr:uid="{ED113986-8907-45FD-92B4-6E37C586D3A5}"/>
    <hyperlink ref="B19" r:id="rId18" display="https://web.archive.org/web/20210110095403/https:/www.countyofkings.com/departments/administration/elections" xr:uid="{2E3AD1FB-3F79-4068-A775-B97FF83037F9}"/>
    <hyperlink ref="B20" r:id="rId19" display="https://web.archive.org/web/20210110095403/http:/www.lakecountyca.gov/Government/Directory/ROV.htm" xr:uid="{96FB3791-8A6B-4A14-87B1-EB2ED92ADE75}"/>
    <hyperlink ref="B21" r:id="rId20" display="https://web.archive.org/web/20210110095403/http:/www.lassencounty.org/dept/county-clerk-recorder/elections" xr:uid="{78BB96D6-BE0E-4331-B2DC-712C7D31D665}"/>
    <hyperlink ref="B22" r:id="rId21" display="https://web.archive.org/web/20210110095403/https:/www.lavote.net/home/voting-elections/current-elections/upcoming-elections" xr:uid="{06D26291-820B-474B-A72F-0348FE16E4E3}"/>
    <hyperlink ref="B23" r:id="rId22" display="https://web.archive.org/web/20210110095403/http:/votemadera.com/" xr:uid="{64A42374-9F73-4AEF-964F-A17A13CE7F4F}"/>
    <hyperlink ref="B24" r:id="rId23" display="https://web.archive.org/web/20210110095403/https:/www.marincounty.org/depts/rv/election-info/election-page" xr:uid="{D5FD245B-F892-4139-A4C1-65F1D1D6D866}"/>
    <hyperlink ref="B25" r:id="rId24" display="https://web.archive.org/web/20210110095403/http:/www.mariposacounty.org/363/Current-Election-Information" xr:uid="{58EF0122-55F0-43DA-A755-46CFD05FD9E8}"/>
    <hyperlink ref="B26" r:id="rId25" display="https://web.archive.org/web/20210110095403/https:/www.mendocinocounty.org/government/assessor-county-clerk-recorder-elections/current-election-results" xr:uid="{43A0301F-3FF1-46AF-A102-0B69985ACAE8}"/>
    <hyperlink ref="B27" r:id="rId26" display="https://web.archive.org/web/20210110095403/https:/www.co.merced.ca.us/3330/November-3-2020-Presidential-General-Ele" xr:uid="{B592BA22-BFB6-4904-908A-4F4898311174}"/>
    <hyperlink ref="B28" r:id="rId27" display="https://web.archive.org/web/20210110095403/http:/www.co.modoc.ca.us/departments/elections/current_election.php" xr:uid="{A00F954B-1090-4218-A5D2-7399D15941B9}"/>
    <hyperlink ref="B29" r:id="rId28" display="https://web.archive.org/web/20210110095403/https:/monocounty.ca.gov/elections/page/november-3-2020-general-election" xr:uid="{F35E3577-C9AF-492F-AA40-36213B814CDC}"/>
    <hyperlink ref="B30" r:id="rId29" display="https://web.archive.org/web/20210110095403/https:/www.montereycountyelections.us/2020-presidential-general-election/" xr:uid="{72534CC2-D2C6-44CA-B6D1-552E0CF89A6F}"/>
    <hyperlink ref="B31" r:id="rId30" display="https://web.archive.org/web/20210110095403/http:/www.countyofnapa.org/Elections/" xr:uid="{AE97E253-07AE-4B78-91E6-A48B1D2F4B5F}"/>
    <hyperlink ref="B32" r:id="rId31" display="https://web.archive.org/web/20210110095403/https:/www.mynevadacounty.com/2922/November-3-2020-Presidential-General-Ele" xr:uid="{E86C9996-0FD5-48E7-8D76-3D7C4D7178CA}"/>
    <hyperlink ref="B33" r:id="rId32" display="https://web.archive.org/web/20210110095403/http:/www.ocvote.com/results/current-election-results/" xr:uid="{E6134711-B207-4D16-90AD-820CC4B041F1}"/>
    <hyperlink ref="B34" r:id="rId33" display="https://web.archive.org/web/20210110095403/http:/www.placerelections.com/election-night-results.aspx" xr:uid="{CB8695D5-5D38-4134-99F4-63315B5E95C0}"/>
    <hyperlink ref="B35" r:id="rId34" display="https://web.archive.org/web/20210110095403/http:/www.countyofplumas.com/index.aspx?NID=142" xr:uid="{E9DDC820-A1CF-4C42-87BC-124CECFD1B3E}"/>
    <hyperlink ref="B36" r:id="rId35" display="https://web.archive.org/web/20210110095403/https:/www.voteinfo.net/" xr:uid="{DAEF2048-9D81-4A36-AEE0-0F3D3E0BDE75}"/>
    <hyperlink ref="B37" r:id="rId36" display="https://web.archive.org/web/20210110095403/http:/www.elections.saccounty.net/ElectionInformation/Pages/InfoUpcomingElect.aspx" xr:uid="{ADF2BA0E-5E24-4DB8-B240-B07630397BFE}"/>
    <hyperlink ref="B38" r:id="rId37" display="https://web.archive.org/web/20210110095403/http:/sbcvote.us/registrar-of-voters/" xr:uid="{5AC2131F-BBD6-4ED5-87A8-B843D11D2F5A}"/>
    <hyperlink ref="B39" r:id="rId38" display="https://web.archive.org/web/20210110095403/http:/www.sbcountyelections.com/" xr:uid="{3C493044-72DC-48FF-AC2C-532F8A20653F}"/>
    <hyperlink ref="B40" r:id="rId39" display="https://web.archive.org/web/20210110095403/https:/www.sdvote.com/content/rov/en/elections/election_information.html" xr:uid="{53481860-A20F-4ADF-BDE4-22107BDD37D3}"/>
    <hyperlink ref="B41" r:id="rId40" display="https://web.archive.org/web/20210110095403/https:/sfelections.sfgov.org/" xr:uid="{AB13A4FD-7FC8-4EFE-9BE1-4BEA44A0DA49}"/>
    <hyperlink ref="B42" r:id="rId41" display="https://web.archive.org/web/20210110095403/https:/www.sjgov.org/department/rov/info/election_information" xr:uid="{5205DCDA-EA63-444E-B14B-D98B02C6F7DB}"/>
    <hyperlink ref="B43" r:id="rId42" display="https://web.archive.org/web/20210110095403/https:/www.slocounty.ca.gov/Departments/Clerk-Recorder/All-Services/Elections-and-Voting/Elections-Conducted-by-County-of-San-Luis-Obispo/November-3,-2020-Presidential-General-Election.aspx" xr:uid="{D97E6F77-F141-450F-9548-E3080CBD11D7}"/>
    <hyperlink ref="B44" r:id="rId43" display="https://web.archive.org/web/20210110095403/https:/www.smcacre.org/post/november-3-2020-election-results" xr:uid="{27F97AE9-AA56-413B-890C-CB8B82BC8100}"/>
    <hyperlink ref="B45" r:id="rId44" display="https://web.archive.org/web/20210110095403/http:/www.sbcvote.com/Elections/ElectionResults.aspx" xr:uid="{3E1FF440-7843-434B-AD23-141502A25ED9}"/>
    <hyperlink ref="B46" r:id="rId45" display="https://web.archive.org/web/20210110095403/https:/www.sccgov.org/sites/rov/Voting/VotingNovember2020/Pages/home.aspx" xr:uid="{7AB73B66-162A-4CD7-BD0A-BC35AE5A5743}"/>
    <hyperlink ref="B47" r:id="rId46" display="https://web.archive.org/web/20210110095403/https:/www.votescount.us/Home/UpcomingElections/November3,2020Election.aspx" xr:uid="{1B262339-A566-40B7-BB73-8F294E84859B}"/>
    <hyperlink ref="B48" r:id="rId47" display="https://web.archive.org/web/20210110095403/https:/www.elections.co.shasta.ca.us/" xr:uid="{204A1A6D-5B46-4847-8CD8-4BC05691B139}"/>
    <hyperlink ref="B49" r:id="rId48" display="https://web.archive.org/web/20210110095403/http:/www.sierracounty.ca.gov/216/Upcoming-Elections" xr:uid="{46FA3744-4945-4628-B75F-E89AFC3F4A9D}"/>
    <hyperlink ref="B50" r:id="rId49" display="https://web.archive.org/web/20210110095403/https:/www.co.siskiyou.ca.us/elections/page/november-3-2020-presidential-general-election" xr:uid="{9341ADAD-EC9B-4B40-956C-4D03744CFDE1}"/>
    <hyperlink ref="B51" r:id="rId50" display="https://web.archive.org/web/20210110095403/https:/www.solanocounty.com/depts/rov/november_3_2020___presidential_general_election/election_results/default.asp" xr:uid="{800ACE90-BCC4-4346-A7B1-75CE17755DE6}"/>
    <hyperlink ref="B52" r:id="rId51" display="https://web.archive.org/web/20210110095403/https:/sonomacounty.ca.gov/CRA/Registrar-of-Voters/Elections/November-3-2020-Presidential-Election/" xr:uid="{94247EBC-8954-449D-B218-2CFDBDC6E0D9}"/>
    <hyperlink ref="B53" r:id="rId52" display="https://web.archive.org/web/20210110095403/https:/www.stanvote.com/election.shtm" xr:uid="{9D2EDD0A-5FB2-4F41-B78D-B354D465357F}"/>
    <hyperlink ref="B54" r:id="rId53" display="https://web.archive.org/web/20210110095403/http:/www.co.sutter.ca.us/doc/government/depts/cr/elections/cr_elections_home" xr:uid="{F424EB06-C8E3-4097-A067-E9B2E4779AEF}"/>
    <hyperlink ref="B55" r:id="rId54" display="https://web.archive.org/web/20210110095403/http:/www.co.tehama.ca.us/gov-departments/elections" xr:uid="{49C091B7-3A95-441B-9EEE-213AD8FEA266}"/>
    <hyperlink ref="B56" r:id="rId55" display="https://web.archive.org/web/20210110095403/https:/www.trinitycounty.org/2020-General-Election" xr:uid="{DC611E36-017A-4289-AB84-02C8D521559D}"/>
    <hyperlink ref="B57" r:id="rId56" display="https://web.archive.org/web/20210110095403/https:/tularecoelections.org/elections/index.cfm/registrar-of-voters/current-election-information/november-3-2020-presidential-general-election/" xr:uid="{872F4DFA-7BB9-4814-BA59-D5FAA086BF0E}"/>
    <hyperlink ref="B58" r:id="rId57" display="https://web.archive.org/web/20210110095403/http:/www.co.tuolumne.ca.us/index.aspx?nid=194" xr:uid="{F7425591-FE0C-40FC-8904-98E36B41A7F9}"/>
    <hyperlink ref="B59" r:id="rId58" display="https://web.archive.org/web/20210110095403/https:/recorder.countyofventura.org/november-3-2020-presidential-general-election/" xr:uid="{5911F735-435D-4C54-88DB-B40D6AE98D3D}"/>
    <hyperlink ref="B60" r:id="rId59" display="https://web.archive.org/web/20210110095403/http:/www.yoloelections.org/" xr:uid="{5BDBA398-0B71-4542-AFF2-6F9F81832AC3}"/>
    <hyperlink ref="B61" r:id="rId60" display="https://web.archive.org/web/20210110095403/https:/www.yuba.org/departments/elections/current_election.php" xr:uid="{C8412166-B3EF-4D27-A77F-680165A6A036}"/>
    <hyperlink ref="B63" r:id="rId61" display="https://web.archive.org/web/20210110095403/https:/electionresults.sos.ca.gov/returns/status" xr:uid="{855111EC-5C60-45D3-8381-C806D4A92F27}"/>
    <hyperlink ref="X4" r:id="rId62" display="https://web.archive.org/web/20200424171200/https:/www.acvote.org/election-information/elections?id=240" xr:uid="{B65BC0A1-0DA6-428A-B8C7-05E992B1C74B}"/>
    <hyperlink ref="X5" r:id="rId63" display="https://web.archive.org/web/20200424171200/http:/www.alpinecountyca.gov/index.aspx?NID=388" xr:uid="{19AC3298-CEBA-4410-8E6F-7A64BAC90C58}"/>
    <hyperlink ref="X6" r:id="rId64" display="https://web.archive.org/web/20200424171200/https:/www.amadorgov.org/government/elections" xr:uid="{1AA3F9C0-478F-4EC9-A5A4-D19182DFB38F}"/>
    <hyperlink ref="X7" r:id="rId65" display="https://web.archive.org/web/20200424171200/https:/clerk-recorder.buttecounty.net/elections/archives/eln44/44_eln_main.html" xr:uid="{D719DBE2-3F5D-4B71-A619-02425A54A947}"/>
    <hyperlink ref="X8" r:id="rId66" display="https://web.archive.org/web/20200424171200/http:/elections.calaverasgov.us/Results" xr:uid="{6A501ED1-A780-4D62-A1DB-39BF760887FD}"/>
    <hyperlink ref="X9" r:id="rId67" display="https://web.archive.org/web/20200424171200/http:/www.countyofcolusa.org/index.aspx?NID=197" xr:uid="{3D3A52F9-6854-434D-A758-9524D70EC744}"/>
    <hyperlink ref="X10" r:id="rId68" location="Election" display="https://web.archive.org/web/20200424171200/https:/www.cocovote.us/election/presidential-primary-election-march-3-2020/ - Election" xr:uid="{304855FB-A36E-4616-8ED5-57D843A42436}"/>
    <hyperlink ref="X11" r:id="rId69" display="https://web.archive.org/web/20200424171200/http:/www.co.del-norte.ca.us/departments/clerk-recorder/elections" xr:uid="{0AE37C55-80AC-43AE-B088-6F598D5676F4}"/>
    <hyperlink ref="X12" r:id="rId70" display="https://web.archive.org/web/20200424171200/https:/www.edcgov.us/Government/Elections" xr:uid="{9A6A74B1-2BFE-443A-B6E9-C86F3DD18DEA}"/>
    <hyperlink ref="X13" r:id="rId71" display="https://web.archive.org/web/20200424171200/https:/www.co.fresno.ca.us/departments/county-clerk-registrar-of-voters/election-races/presidential-primary-election-march-3-2020" xr:uid="{D84229F6-CB3B-4DBD-8CC5-6E4518AF517F}"/>
    <hyperlink ref="X14" r:id="rId72" display="https://web.archive.org/web/20200424171200/http:/www.countyofglenn.net/dept/elections/welcome" xr:uid="{892C4E65-E46C-4C63-B961-F069D1557C32}"/>
    <hyperlink ref="X15" r:id="rId73" display="https://web.archive.org/web/20200424171200/https:/humboldtgov.org/2607/Presidential-Primary-Election---March-3-" xr:uid="{40D59FCA-A87A-4036-83A4-380364AA88BF}"/>
    <hyperlink ref="X16" r:id="rId74" display="https://web.archive.org/web/20200424171200/http:/www.co.imperial.ca.us/regvoters/index.asp?fileinc=results" xr:uid="{465F51F0-5BA2-4AB9-BC0D-286AE2FA0F55}"/>
    <hyperlink ref="X17" r:id="rId75" display="https://web.archive.org/web/20200424171200/http:/elections.inyocounty.us/p/election-results.html" xr:uid="{3F2F6191-2CAA-49A0-A0F3-DF6140B40338}"/>
    <hyperlink ref="X18" r:id="rId76" display="https://web.archive.org/web/20200424171200/https:/www.kernvote.com/ElectionInformation/CurrentElectionInformation?ElectionID=102" xr:uid="{ED49B1E8-B4B7-4080-9FA7-009D0F344271}"/>
    <hyperlink ref="X19" r:id="rId77" display="https://web.archive.org/web/20200424171200/https:/www.countyofkings.com/departments/administration/elections" xr:uid="{F23D8970-37F3-4761-B48D-B374546B6983}"/>
    <hyperlink ref="X20" r:id="rId78" display="https://web.archive.org/web/20200424171200/http:/www.lakecountyca.gov/Government/Directory/ROV/Upcoming/030320.htm" xr:uid="{E44B7D63-6712-4D92-900B-1127CE35878D}"/>
    <hyperlink ref="X21" r:id="rId79" display="https://web.archive.org/web/20200424171200/http:/www.lassencounty.org/dept/county-clerk-recorder/elections" xr:uid="{3381C69F-1C72-45B0-93A4-B22850CD985C}"/>
    <hyperlink ref="X22" r:id="rId80" display="https://web.archive.org/web/20200424171200/http:/www.lavote.net/home/voting-elections/current-elections/election-results" xr:uid="{D41FA767-697A-4C82-B5AA-04D390C26BA9}"/>
    <hyperlink ref="X23" r:id="rId81" display="https://web.archive.org/web/20200424171200/http:/votemadera.com/" xr:uid="{97EDD85B-8285-4BB5-9971-4ED03FB89F15}"/>
    <hyperlink ref="X24" r:id="rId82" display="https://web.archive.org/web/20200424171200/https:/www.marincounty.org/depts/rv" xr:uid="{EC7E098A-5EED-4053-94F8-C80C84B372FE}"/>
    <hyperlink ref="X25" r:id="rId83" display="https://web.archive.org/web/20200424171200/http:/www.mariposacounty.org/index.aspx?NID=132" xr:uid="{FA3FD5E3-67A2-4D7C-9B1B-3A6F2DF73675}"/>
    <hyperlink ref="X26" r:id="rId84" display="https://web.archive.org/web/20200424171200/https:/www.mendocinocounty.org/government/assessor-county-clerk-recorder-elections/current-election-results" xr:uid="{A9B300F6-1C00-4B8D-9E2A-B2515E40FFB8}"/>
    <hyperlink ref="X27" r:id="rId85" display="https://web.archive.org/web/20200424171200/https:/www.co.merced.ca.us/3212/March-3-2020-Presidential-Primary-Electi" xr:uid="{37C44B87-F6EA-44FC-93F8-52C2A91EA31A}"/>
    <hyperlink ref="X28" r:id="rId86" display="https://web.archive.org/web/20200424171200/http:/www.co.modoc.ca.us/departments/elections/2016-elections" xr:uid="{6946AF27-61AA-466F-B089-507434B1699A}"/>
    <hyperlink ref="X29" r:id="rId87" display="https://web.archive.org/web/20200424171200/https:/monocounty.ca.gov/elections/page/march-3-2020-presidential-primary-election" xr:uid="{AF88777D-67FA-4CD7-8030-29CBB5EBF6D6}"/>
    <hyperlink ref="X30" r:id="rId88" display="https://web.archive.org/web/20200424171200/https:/www.montereycountyelections.us/election-description/e/118" xr:uid="{E3CFE4F0-7F7F-443E-A4BB-2092E69B6EAC}"/>
    <hyperlink ref="X31" r:id="rId89" display="https://web.archive.org/web/20200424171200/http:/www.countyofnapa.org/Elections/" xr:uid="{A88AD950-DC2B-4A08-B6E1-41CAB6FB46AF}"/>
    <hyperlink ref="X32" r:id="rId90" display="https://web.archive.org/web/20200424171200/https:/www.mynevadacounty.com/2853/March-3-2020-Presidential-Primary-Electi" xr:uid="{EAB62AED-079A-4CDB-BDFD-D3B296537BEB}"/>
    <hyperlink ref="X33" r:id="rId91" display="https://web.archive.org/web/20200424171200/http:/www.ocvote.com/results/current-election-results/" xr:uid="{6ABF3775-DEDF-4988-BBE5-99893D9873A6}"/>
    <hyperlink ref="X34" r:id="rId92" display="https://web.archive.org/web/20200424171200/http:/www.placerelections.com/election-night-results.aspx" xr:uid="{0E2D8ED2-F61B-46C9-A893-5147ADCAFA60}"/>
    <hyperlink ref="X35" r:id="rId93" display="https://web.archive.org/web/20200424171200/http:/www.countyofplumas.com/index.aspx?NID=142" xr:uid="{145AFE5E-F335-4FE5-856D-AB5C6AF5EDA0}"/>
    <hyperlink ref="X36" r:id="rId94" display="https://web.archive.org/web/20200424171200/https:/www.voteinfo.net/" xr:uid="{A8EC5536-F5DF-4D51-AA2D-67A2EC74D0AC}"/>
    <hyperlink ref="X37" r:id="rId95" display="https://web.archive.org/web/20200424171200/http:/www.elections.saccounty.net/ElectionInformation/Pages/InfoUpcomingElect.aspx" xr:uid="{3FF6005B-C426-4EFA-B2B1-CCF94FE9C095}"/>
    <hyperlink ref="X38" r:id="rId96" display="https://web.archive.org/web/20200424171200/http:/sbcvote.us/registrar-of-voters/" xr:uid="{7D8F3E77-22BC-4D05-83C3-60EC7DD41888}"/>
    <hyperlink ref="X39" r:id="rId97" display="https://web.archive.org/web/20200424171200/http:/www.sbcountyelections.com/" xr:uid="{8A35198F-4E32-49C2-A777-39D3AF4801F1}"/>
    <hyperlink ref="X40" r:id="rId98" display="https://web.archive.org/web/20200424171200/https:/www.sdvote.com/content/rov/en/elections/election_information.html" xr:uid="{05AF3859-3A6A-4085-BD3C-E8964EC7FAA0}"/>
    <hyperlink ref="X41" r:id="rId99" display="https://web.archive.org/web/20200424171200/https:/sfelections.sfgov.org/" xr:uid="{58BE4AD9-E6B3-438E-8709-CA92850D41B0}"/>
    <hyperlink ref="X42" r:id="rId100" display="https://web.archive.org/web/20200424171200/https:/www.sjgov.org/department/rov/info/election_information" xr:uid="{20F960F6-2CA8-4D1E-AAEF-1F7A7E237EA5}"/>
    <hyperlink ref="X43" r:id="rId101" display="https://web.archive.org/web/20200424171200/https:/www.slocounty.ca.gov/Departments/Clerk-Recorder/All-Services/Elections-Conducted-by-County-of-San-Luis-Obispo/March-3,-2020-Presidential-Primary-Election.aspx" xr:uid="{AEAB9EA3-F324-418B-A4CA-F12224950F8C}"/>
    <hyperlink ref="X44" r:id="rId102" display="https://web.archive.org/web/20200424171200/https:/www.smcacre.org/current-election" xr:uid="{90F7B5B6-B913-4DA1-A13A-5CE515C1979B}"/>
    <hyperlink ref="X45" r:id="rId103" display="https://web.archive.org/web/20200424171200/http:/www.sbcvote.com/Elections/ElectionResults.aspx" xr:uid="{A89AE893-52A2-4105-A7D4-ABCD642E1758}"/>
    <hyperlink ref="X46" r:id="rId104" display="https://web.archive.org/web/20200424171200/https:/www.sccgov.org/sites/rov/Voting/March2020/Pages/home.aspx" xr:uid="{7B5372FA-5D2D-4762-A780-93EB37D3A312}"/>
    <hyperlink ref="X47" r:id="rId105" display="https://web.archive.org/web/20200424171200/https:/www.votescount.com/" xr:uid="{E14D4B32-F457-4DFE-979A-722AA697F1A6}"/>
    <hyperlink ref="X48" r:id="rId106" display="https://web.archive.org/web/20200424171200/https:/www.elections.co.shasta.ca.us/presidental-primary-election-march-3-2020/" xr:uid="{6908AA5C-7955-4030-926D-4E7F9AF0A6E0}"/>
    <hyperlink ref="X49" r:id="rId107" display="https://web.archive.org/web/20200424171200/http:/www.sierracounty.ca.gov/216/Upcoming-Elections" xr:uid="{2F07B95A-7C74-483D-A16C-E3C4F444559A}"/>
    <hyperlink ref="X50" r:id="rId108" display="https://web.archive.org/web/20200424171200/https:/www.co.siskiyou.ca.us/elections/page/march-3-2020-presidential-primary-election" xr:uid="{625EBDEF-57A6-4BB7-AC82-43C5A9DD56C9}"/>
    <hyperlink ref="X51" r:id="rId109" display="https://web.archive.org/web/20200424171200/https:/www.solanocounty.com/depts/rov/june_5th_2018___primary_election/election_results/default.asp" xr:uid="{A86A13EB-EFEE-497F-A1C5-DC5ACD8872A3}"/>
    <hyperlink ref="X52" r:id="rId110" display="https://web.archive.org/web/20200424171200/http:/sonomacounty.ca.gov/CRA/Registrar-of-Voters/Elections/March-3-2020-Presidential-Primary-Election/" xr:uid="{C785CA8A-2E3C-4B9F-B7E1-F22BB143BE1C}"/>
    <hyperlink ref="X53" r:id="rId111" display="https://web.archive.org/web/20200424171200/http:/stanvote.com/returns.shtm" xr:uid="{A310AA37-3A2F-40F4-A9B8-BDB5F961D313}"/>
    <hyperlink ref="X54" r:id="rId112" display="https://web.archive.org/web/20200424171200/http:/www.co.sutter.ca.us/doc/government/depts/cr/elections/cr_elections_home" xr:uid="{B2522BAD-2221-42DF-A94F-C232A7F2CF9E}"/>
    <hyperlink ref="X55" r:id="rId113" display="https://web.archive.org/web/20200424171200/http:/www.co.tehama.ca.us/gov-departments/elections" xr:uid="{B242D017-C164-44C2-A2BB-B9BECA2B46F5}"/>
    <hyperlink ref="X56" r:id="rId114" display="https://web.archive.org/web/20200424171200/https:/www.trinitycounty.org/2020-Presidential-Primary" xr:uid="{5BF3C50D-F048-4A7C-AA70-C1CC9753EDC5}"/>
    <hyperlink ref="X57" r:id="rId115" display="https://web.archive.org/web/20200424171200/https:/tularecoelections.org/elections/index.cfm/registrar-of-voters/current-election-information/march-3-2020-presidential-primary-election/" xr:uid="{237293FE-169A-4B6A-88C0-D1A0920A380B}"/>
    <hyperlink ref="X58" r:id="rId116" display="https://web.archive.org/web/20200424171200/http:/www.co.tuolumne.ca.us/index.aspx?nid=194" xr:uid="{F3BED431-D0D8-414D-9A8E-B546378EA983}"/>
    <hyperlink ref="X59" r:id="rId117" display="https://web.archive.org/web/20200424171200/https:/recorder.countyofventura.org/elections/" xr:uid="{3430CF8D-88FB-46A4-8D3A-984640CF37EC}"/>
    <hyperlink ref="X60" r:id="rId118" display="https://web.archive.org/web/20200424171200/http:/www.yoloelections.org/" xr:uid="{F2EBA640-0006-4344-9EB7-07DDEC57ACF1}"/>
    <hyperlink ref="X61" r:id="rId119" display="https://web.archive.org/web/20200424171200/https:/www.yuba.org/departments/elections/current_election.php" xr:uid="{8B3BAD54-5DE6-44F2-A0D5-7FEDD5546FE5}"/>
    <hyperlink ref="X63" r:id="rId120" display="https://web.archive.org/web/20200424171200/https:/electionresults.sos.ca.gov/returns/status" xr:uid="{02C1242E-2E7E-406E-8F74-EE26DA4270A1}"/>
    <hyperlink ref="R2" r:id="rId121" location="15-day" display="https://web.archive.org/web/20201105171748/https:/electionresults.sos.ca.gov/returns/status - 15-day" xr:uid="{DB53A8F9-AA9C-4E6A-8361-C629BB7F460C}"/>
    <hyperlink ref="W2" r:id="rId122" location="reportType" tooltip="Link to Report Type Definitions" display="https://web.archive.org/web/20201105171748/https:/electionresults.sos.ca.gov/returns/status - reportType" xr:uid="{07A2599E-5DCB-4214-A9CC-3CA845CD8ABE}"/>
    <hyperlink ref="N4" r:id="rId123" display="https://web.archive.org/web/20201105171748/https:/www.acvote.org/election-information/elections?id=241" xr:uid="{34955916-2DB9-48F1-90D2-A90D945A7D38}"/>
    <hyperlink ref="N5" r:id="rId124" display="https://web.archive.org/web/20201105171748/http:/www.alpinecountyca.gov/index.aspx?NID=388" xr:uid="{74FD696D-7E93-4A78-AB76-075700FC23E6}"/>
    <hyperlink ref="N6" r:id="rId125" display="https://web.archive.org/web/20201105171748/https:/www.amadorgov.org/government/elections" xr:uid="{BDEA18E4-3834-4C92-BC1D-D4D71F3B6425}"/>
    <hyperlink ref="N7" r:id="rId126" display="https://web.archive.org/web/20201105171748/https:/clerk-recorder.buttecounty.net/elections/archives/eln44/44_eln_main.html" xr:uid="{91B817D2-7C9E-4E7A-9D92-70CAAF611A51}"/>
    <hyperlink ref="N8" r:id="rId127" display="https://web.archive.org/web/20201105171748/http:/elections.calaverasgov.us/Results" xr:uid="{448CC6F6-099E-41DC-810A-4644D3246489}"/>
    <hyperlink ref="N9" r:id="rId128" display="https://web.archive.org/web/20201105171748/http:/www.countyofcolusa.org/index.aspx?NID=197" xr:uid="{3885A9A5-6643-46F5-B1A2-1564DF7D6CA0}"/>
    <hyperlink ref="N10" r:id="rId129" location="Elections" display="https://web.archive.org/web/20201105171748/https:/www.cocovote.us/election/presidential-general-election-november-3-2020/ - Elections" xr:uid="{F036AFBE-F20B-4123-A91E-C6E4DC9366F8}"/>
    <hyperlink ref="N11" r:id="rId130" display="https://web.archive.org/web/20201105171748/http:/www.co.del-norte.ca.us/departments/clerk-recorder/elections" xr:uid="{9C3FE964-EE1D-4C60-94FF-9EBCAF0549F6}"/>
    <hyperlink ref="N12" r:id="rId131" display="https://web.archive.org/web/20201105171748/https:/www.edcgov.us/Government/Elections" xr:uid="{3AB3601C-F78A-4A3F-A77A-1677B8C2614D}"/>
    <hyperlink ref="N13" r:id="rId132" display="https://web.archive.org/web/20201105171748/https:/www.co.fresno.ca.us/departments/county-clerk-registrar-of-voters/election-races/consolidated-presidential-general-election-november-3-2020" xr:uid="{9A667C4D-461D-456A-A715-28709667F0F4}"/>
    <hyperlink ref="N14" r:id="rId133" display="https://web.archive.org/web/20201105171748/http:/www.countyofglenn.net/dept/elections/welcome" xr:uid="{88E8D425-413A-4DE3-A11D-B62E2A3FF560}"/>
    <hyperlink ref="N15" r:id="rId134" display="https://web.archive.org/web/20201105171748/https:/humboldtgov.org/2663/Presidential-General-Election---November" xr:uid="{7A9A6B98-C2F1-4242-AB20-4620CA84AD51}"/>
    <hyperlink ref="N16" r:id="rId135" display="https://web.archive.org/web/20201105171748/https:/elections.imperialcounty.org/" xr:uid="{48C3B6D1-A01A-4B4A-8062-8D3A1EBDF70E}"/>
    <hyperlink ref="N17" r:id="rId136" display="https://web.archive.org/web/20201105171748/https:/elections.inyocounty.us/" xr:uid="{8C06B859-A1C1-480A-81D9-E869DB6370E1}"/>
    <hyperlink ref="N18" r:id="rId137" display="https://web.archive.org/web/20201105171748/https:/www.kernvote.com/ElectionInformation/CurrentElectionInformation?ElectionID=107" xr:uid="{847874D0-E6C6-4D54-A32F-2B1AD7E7306F}"/>
    <hyperlink ref="N19" r:id="rId138" display="https://web.archive.org/web/20201105171748/https:/www.countyofkings.com/departments/administration/elections" xr:uid="{5EF7AE1F-7D30-4FA3-ABA2-34C53D06B5A3}"/>
    <hyperlink ref="N20" r:id="rId139" display="https://web.archive.org/web/20201105171748/http:/www.lakecountyca.gov/Government/Directory/ROV.htm" xr:uid="{B31D6A4D-4D9F-4523-83C2-1ECD8E330952}"/>
    <hyperlink ref="N21" r:id="rId140" display="https://web.archive.org/web/20201105171748/http:/www.lassencounty.org/dept/county-clerk-recorder/elections" xr:uid="{7CE480F3-EEB9-4AF5-9F4D-EBD71F0BFF37}"/>
    <hyperlink ref="N22" r:id="rId141" display="https://web.archive.org/web/20201105171748/https:/www.lavote.net/home/voting-elections/current-elections/upcoming-elections" xr:uid="{5173A1AA-325A-464D-83D1-4A892E6237DB}"/>
    <hyperlink ref="N23" r:id="rId142" display="https://web.archive.org/web/20201105171748/http:/votemadera.com/" xr:uid="{4AAE9ED6-4D71-4BD5-98AD-3C13DCF33639}"/>
    <hyperlink ref="N24" r:id="rId143" display="https://web.archive.org/web/20201105171748/https:/www.marincounty.org/depts/rv/election-info/election-page" xr:uid="{D8478D81-21E7-4A4A-A4C9-605A0E4A4870}"/>
    <hyperlink ref="N25" r:id="rId144" display="https://web.archive.org/web/20201105171748/http:/www.mariposacounty.org/363/Current-Election-Information" xr:uid="{B95EEECA-C6CB-450C-A58F-D0B5E6615510}"/>
    <hyperlink ref="N26" r:id="rId145" display="https://web.archive.org/web/20201105171748/https:/www.mendocinocounty.org/government/assessor-county-clerk-recorder-elections/current-election-results" xr:uid="{B12ADDE8-6A5F-444D-A096-1DB0BF46F6A6}"/>
    <hyperlink ref="N27" r:id="rId146" display="https://web.archive.org/web/20201105171748/https:/www.co.merced.ca.us/3330/November-3-2020-Presidential-General-Ele" xr:uid="{386B3740-71C7-48B7-A703-79B6809A1C89}"/>
    <hyperlink ref="N28" r:id="rId147" display="https://web.archive.org/web/20201105171748/http:/www.co.modoc.ca.us/departments/elections/current_election.php" xr:uid="{32AE30C7-84A4-42F1-B116-1BB7DF719086}"/>
    <hyperlink ref="N29" r:id="rId148" display="https://web.archive.org/web/20201105171748/https:/monocounty.ca.gov/elections/page/november-3-2020-general-election" xr:uid="{E6CCCEF4-4E68-4BE2-A9B2-1A655AF8071E}"/>
    <hyperlink ref="N30" r:id="rId149" display="https://web.archive.org/web/20201105171748/https:/www.montereycountyelections.us/2020-presidential-general-election/" xr:uid="{4CA1E652-FD6C-4879-8B24-A2CB790FD360}"/>
    <hyperlink ref="N31" r:id="rId150" display="https://web.archive.org/web/20201105171748/http:/www.countyofnapa.org/Elections/" xr:uid="{D28357FD-A328-4694-8A54-E071F4AE742C}"/>
    <hyperlink ref="N32" r:id="rId151" display="https://web.archive.org/web/20201105171748/https:/www.mynevadacounty.com/2922/November-3-2020-Presidential-General-Ele" xr:uid="{72B4906B-7009-4342-8E9F-5E99651F8ECC}"/>
    <hyperlink ref="N33" r:id="rId152" display="https://web.archive.org/web/20201105171748/http:/www.ocvote.com/results/current-election-results/" xr:uid="{82C180D6-FD5E-41BD-86DE-F6C2E0C93CE4}"/>
    <hyperlink ref="N34" r:id="rId153" display="https://web.archive.org/web/20201105171748/http:/www.placerelections.com/election-night-results.aspx" xr:uid="{DB62A8D0-74C9-49C3-852E-B70D1C955403}"/>
    <hyperlink ref="N35" r:id="rId154" display="https://web.archive.org/web/20201105171748/http:/www.countyofplumas.com/index.aspx?NID=142" xr:uid="{53AE142F-CAB1-475C-A596-652365F9DD36}"/>
    <hyperlink ref="N36" r:id="rId155" display="https://web.archive.org/web/20201105171748/https:/www.voteinfo.net/" xr:uid="{D1DB6890-BA17-4245-BAC4-0C1894CAE3D9}"/>
    <hyperlink ref="N37" r:id="rId156" display="https://web.archive.org/web/20201105171748/http:/www.elections.saccounty.net/ElectionInformation/Pages/InfoUpcomingElect.aspx" xr:uid="{C79D4427-8CB7-4885-BF72-CB8E8FA67F1E}"/>
    <hyperlink ref="N38" r:id="rId157" display="https://web.archive.org/web/20201105171748/http:/sbcvote.us/registrar-of-voters/" xr:uid="{6AD83EE0-1F76-42CB-9350-35A4155A7B36}"/>
    <hyperlink ref="N39" r:id="rId158" display="https://web.archive.org/web/20201105171748/http:/www.sbcountyelections.com/" xr:uid="{A27FB475-3BE1-4478-B7DC-432E21A2B584}"/>
    <hyperlink ref="N40" r:id="rId159" display="https://web.archive.org/web/20201105171748/https:/www.sdvote.com/content/rov/en/elections/election_information.html" xr:uid="{0D1F6356-CED9-4A28-839B-C3097DD5A7DB}"/>
    <hyperlink ref="N41" r:id="rId160" display="https://web.archive.org/web/20201105171748/https:/sfelections.sfgov.org/" xr:uid="{5EB4B4CB-A84D-42F0-843A-620B8CB7324A}"/>
    <hyperlink ref="N42" r:id="rId161" display="https://web.archive.org/web/20201105171748/https:/www.sjgov.org/department/rov/info/election_information" xr:uid="{E90186C8-3BF1-4A09-85AE-9F1497D09908}"/>
    <hyperlink ref="N43" r:id="rId162" display="https://web.archive.org/web/20201105171748/https:/www.slocounty.ca.gov/Departments/Clerk-Recorder/All-Services/Elections-and-Voting/Elections-Conducted-by-County-of-San-Luis-Obispo/November-3,-2020-Presidential-General-Election.aspx" xr:uid="{54A6E223-389C-42CE-B567-52A6B9D73A9F}"/>
    <hyperlink ref="N44" r:id="rId163" display="https://web.archive.org/web/20201105171748/https:/www.smcacre.org/post/november-3-2020-election-results" xr:uid="{5FB17A91-3E6C-49A0-AE24-4EDDACE0526B}"/>
    <hyperlink ref="N45" r:id="rId164" display="https://web.archive.org/web/20201105171748/http:/www.sbcvote.com/Elections/ElectionResults.aspx" xr:uid="{74D12615-056D-4119-BB6D-9B02D4CC3355}"/>
    <hyperlink ref="N46" r:id="rId165" display="https://web.archive.org/web/20201105171748/https:/www.sccgov.org/sites/rov/Voting/VotingNovember2020/Pages/home.aspx" xr:uid="{35AD5D91-A05F-45AB-B4B8-43F2B72DCB98}"/>
    <hyperlink ref="N47" r:id="rId166" display="https://web.archive.org/web/20201105171748/https:/www.votescount.us/Home/UpcomingElections/November3,2020Election.aspx" xr:uid="{F1C4459B-6FE8-4A73-8B14-48262606C1C7}"/>
    <hyperlink ref="N48" r:id="rId167" display="https://web.archive.org/web/20201105171748/https:/www.elections.co.shasta.ca.us/" xr:uid="{ACE8FD33-C6DE-4700-AA9B-98FA662B9335}"/>
    <hyperlink ref="N49" r:id="rId168" display="https://web.archive.org/web/20201105171748/http:/www.sierracounty.ca.gov/216/Upcoming-Elections" xr:uid="{16260B33-BA79-492E-A871-B8EC4E72563E}"/>
    <hyperlink ref="N50" r:id="rId169" display="https://web.archive.org/web/20201105171748/https:/www.co.siskiyou.ca.us/elections/page/november-3-2020-presidential-general-election" xr:uid="{AC3F30B4-89BC-4973-A612-FD29CECD8A3A}"/>
    <hyperlink ref="N51" r:id="rId170" display="https://web.archive.org/web/20201105171748/https:/www.solanocounty.com/depts/rov/november_3_2020___presidential_general_election/election_results/default.asp" xr:uid="{09C7E878-A0E3-4D3B-B0D4-27670C0A3C5D}"/>
    <hyperlink ref="N52" r:id="rId171" display="https://web.archive.org/web/20201105171748/https:/sonomacounty.ca.gov/CRA/Registrar-of-Voters/Elections/November-3-2020-Presidential-Election/" xr:uid="{67341177-E45D-4803-B6B5-43904F6106D8}"/>
    <hyperlink ref="N53" r:id="rId172" display="https://web.archive.org/web/20201105171748/https:/www.stanvote.com/election.shtm" xr:uid="{7BA0C20D-57AE-4949-A878-B9FA4018C09E}"/>
    <hyperlink ref="N54" r:id="rId173" display="https://web.archive.org/web/20201105171748/http:/www.co.sutter.ca.us/doc/government/depts/cr/elections/cr_elections_home" xr:uid="{FB6C550F-AFBD-4F9B-9C5D-BAF201387A9B}"/>
    <hyperlink ref="N55" r:id="rId174" display="https://web.archive.org/web/20201105171748/http:/www.co.tehama.ca.us/gov-departments/elections" xr:uid="{6DC4D416-DB1A-4AD8-AF1D-410BA1F729BD}"/>
    <hyperlink ref="N56" r:id="rId175" display="https://web.archive.org/web/20201105171748/https:/www.trinitycounty.org/2020-General-Election" xr:uid="{C59808F1-A566-415D-B8D1-7873209E2D26}"/>
    <hyperlink ref="N57" r:id="rId176" display="https://web.archive.org/web/20201105171748/https:/tularecoelections.org/elections/index.cfm/registrar-of-voters/current-election-information/november-3-2020-presidential-general-election/" xr:uid="{31597337-B7A5-44E3-BE14-3A46CCB27677}"/>
    <hyperlink ref="N58" r:id="rId177" display="https://web.archive.org/web/20201105171748/http:/www.co.tuolumne.ca.us/index.aspx?nid=194" xr:uid="{7B6AF638-9159-4462-A11A-3ADAE6A40F56}"/>
    <hyperlink ref="N59" r:id="rId178" display="https://web.archive.org/web/20201105171748/https:/recorder.countyofventura.org/november-3-2020-presidential-general-election/" xr:uid="{61906BC3-F57D-4BFA-8F30-6415D55ADD64}"/>
    <hyperlink ref="N60" r:id="rId179" display="https://web.archive.org/web/20201105171748/http:/www.yoloelections.org/" xr:uid="{F8B67621-235C-4F4D-B6A0-9B30F3332B10}"/>
    <hyperlink ref="N61" r:id="rId180" display="https://web.archive.org/web/20201105171748/https:/www.yuba.org/departments/elections/current_election.php" xr:uid="{0FF0E82A-1B67-4B5F-BF81-AB065427993D}"/>
    <hyperlink ref="N63" r:id="rId181" display="https://web.archive.org/web/20201105171748/https:/electionresults.sos.ca.gov/returns/status" xr:uid="{2B862CEF-C952-43F8-B943-41877B3A22F5}"/>
    <hyperlink ref="B65" r:id="rId182" display="https://web.archive.org/web/20200305070323/https:/electionresults.sos.ca.gov/returns/status" xr:uid="{B8EB4BC7-9168-43ED-8FAE-839A6474FAF0}"/>
    <hyperlink ref="B66" r:id="rId183" display="https://web.archive.org/web/20200424171200/https:/electionresults.sos.ca.gov/returns/status" xr:uid="{BF2A6AAA-E905-4734-A154-CF095BF43A07}"/>
    <hyperlink ref="B67" r:id="rId184" display="https://web.archive.org/web/20201105171748/https:/electionresults.sos.ca.gov/returns/status" xr:uid="{499CB217-6690-453C-AC22-A494EF5C6647}"/>
    <hyperlink ref="B68" r:id="rId185" display="https://web.archive.org/web/20210110095403/https:/electionresults.sos.ca.gov/returns/status" xr:uid="{2360759F-52BF-475D-BF82-48EB8CD07313}"/>
    <hyperlink ref="B81" r:id="rId186" display="https://web.archive.org/web/20210110095403/https:/www.acvote.org/election-information/elections?id=241" xr:uid="{1975E87E-6C24-482A-96ED-FB37A8899326}"/>
    <hyperlink ref="B186" r:id="rId187" display="https://web.archive.org/web/20210110095403/http:/www.alpinecountyca.gov/index.aspx?NID=388" xr:uid="{E9F80705-8F6B-49DC-862E-1F8A444DA407}"/>
    <hyperlink ref="B154" r:id="rId188" display="https://web.archive.org/web/20210110095403/https:/www.amadorgov.org/government/elections" xr:uid="{801F4D31-DFF9-4F12-B9E8-AA5CC4ACD74E}"/>
    <hyperlink ref="B121" r:id="rId189" display="https://web.archive.org/web/20210110095403/https:/clerk-recorder.buttecounty.net/elections/archives/eln44/44_eln_main.html" xr:uid="{414E9168-A2BB-4F23-B255-FFB6DD454094}"/>
    <hyperlink ref="B150" r:id="rId190" display="https://web.archive.org/web/20210110095403/http:/elections.calaverasgov.us/Results" xr:uid="{33ED223F-2506-41A6-A765-70A93910279D}"/>
    <hyperlink ref="B171" r:id="rId191" display="https://web.archive.org/web/20210110095403/http:/www.countyofcolusa.org/index.aspx?NID=197" xr:uid="{44B59547-58D6-435E-A82A-2CF3DD437636}"/>
    <hyperlink ref="B83" r:id="rId192" location="Elections" display="https://web.archive.org/web/20210110095403/https:/www.cocovote.us/election/presidential-general-election-november-3-2020/ - Elections" xr:uid="{6F831952-9030-4569-90DC-FB87835791EF}"/>
    <hyperlink ref="B165" r:id="rId193" display="https://web.archive.org/web/20210110095403/http:/www.co.del-norte.ca.us/departments/clerk-recorder/elections" xr:uid="{28269464-9517-42F0-B7FD-BD73A75C55E3}"/>
    <hyperlink ref="B115" r:id="rId194" display="https://web.archive.org/web/20210110095403/https:/www.edcgov.us/Government/Elections" xr:uid="{BFD789FF-7947-4ABF-BDFA-C745A393373A}"/>
    <hyperlink ref="B92" r:id="rId195" display="https://web.archive.org/web/20210110095403/https:/www.co.fresno.ca.us/departments/county-clerk-registrar-of-voters/election-races/consolidated-presidential-general-election-november-3-2020" xr:uid="{B6F16A3B-3C20-41CD-8009-24BEF98A3877}"/>
    <hyperlink ref="B166" r:id="rId196" display="https://web.archive.org/web/20210110095403/http:/www.countyofglenn.net/dept/elections/welcome" xr:uid="{C7196ACA-86BD-42A9-B48B-A925734A9316}"/>
    <hyperlink ref="B129" r:id="rId197" display="https://web.archive.org/web/20210110095403/https:/humboldtgov.org/2663/Presidential-General-Election---November" xr:uid="{647A1E42-DE4E-44A2-9A3D-3A7820260C37}"/>
    <hyperlink ref="B134" r:id="rId198" display="https://web.archive.org/web/20210110095403/https:/elections.imperialcounty.org/" xr:uid="{384C91E5-DB59-4162-A0C9-59C7B4465BCB}"/>
    <hyperlink ref="B169" r:id="rId199" display="https://web.archive.org/web/20210110095403/https:/elections.inyocounty.us/" xr:uid="{5619821F-0FC7-4784-97BD-9A10CE1847C1}"/>
    <hyperlink ref="B94" r:id="rId200" display="https://web.archive.org/web/20210110095403/https:/www.kernvote.com/ElectionInformation/CurrentElectionInformation?ElectionID=107" xr:uid="{FBE67775-2CAF-4085-BE3B-57F886199BFC}"/>
    <hyperlink ref="B140" r:id="rId201" display="https://web.archive.org/web/20210110095403/https:/www.countyofkings.com/departments/administration/elections" xr:uid="{C389C39B-FB48-4326-ADFC-B15D862AB612}"/>
    <hyperlink ref="B149" r:id="rId202" display="https://web.archive.org/web/20210110095403/http:/www.lakecountyca.gov/Government/Directory/ROV.htm" xr:uid="{323B6002-91AE-41E5-9787-0E749B1A431A}"/>
    <hyperlink ref="B164" r:id="rId203" display="https://web.archive.org/web/20210110095403/http:/www.lassencounty.org/dept/county-clerk-recorder/elections" xr:uid="{A86F80EB-DF41-4ED1-A379-4C4D0E941353}"/>
    <hyperlink ref="B72" r:id="rId204" display="https://web.archive.org/web/20210110095403/https:/www.lavote.net/home/voting-elections/current-elections/upcoming-elections" xr:uid="{A120D061-BE6E-4B0A-8399-AFD087CBE3F6}"/>
    <hyperlink ref="B135" r:id="rId205" display="https://web.archive.org/web/20210110095403/http:/votemadera.com/" xr:uid="{41881409-6ADF-4B18-B5BC-B3AEA952259D}"/>
    <hyperlink ref="B109" r:id="rId206" display="https://web.archive.org/web/20210110095403/https:/www.marincounty.org/depts/rv/election-info/election-page" xr:uid="{4DC25C94-81C6-403B-BCD2-2CECD31713A9}"/>
    <hyperlink ref="B168" r:id="rId207" display="https://web.archive.org/web/20210110095403/http:/www.mariposacounty.org/363/Current-Election-Information" xr:uid="{A247C892-4AE6-4DFF-8ED8-FC38C7717563}"/>
    <hyperlink ref="B141" r:id="rId208" display="https://web.archive.org/web/20210110095403/https:/www.mendocinocounty.org/government/assessor-county-clerk-recorder-elections/current-election-results" xr:uid="{AB454C07-3A70-453A-A246-2FB4C1AFE967}"/>
    <hyperlink ref="B124" r:id="rId209" display="https://web.archive.org/web/20210110095403/https:/www.co.merced.ca.us/3330/November-3-2020-Presidential-General-Ele" xr:uid="{AD4DE738-28FE-4236-BC29-20F4B9E96FEF}"/>
    <hyperlink ref="B181" r:id="rId210" display="https://web.archive.org/web/20210110095403/http:/www.co.modoc.ca.us/departments/elections/current_election.php" xr:uid="{724F61DB-EC5C-492C-AC99-454586170BFD}"/>
    <hyperlink ref="B177" r:id="rId211" display="https://web.archive.org/web/20210110095403/https:/monocounty.ca.gov/elections/page/november-3-2020-general-election" xr:uid="{7D418DC9-4852-42B8-94CE-4838F8CA1781}"/>
    <hyperlink ref="B106" r:id="rId212" display="https://web.archive.org/web/20210110095403/https:/www.montereycountyelections.us/2020-presidential-general-election/" xr:uid="{D3BE4618-ED96-4165-8A13-EC1D262241EA}"/>
    <hyperlink ref="B128" r:id="rId213" display="https://web.archive.org/web/20210110095403/http:/www.countyofnapa.org/Elections/" xr:uid="{C722EB92-8C90-4CED-BBE4-B9E189E33E16}"/>
    <hyperlink ref="B131" r:id="rId214" display="https://web.archive.org/web/20210110095403/https:/www.mynevadacounty.com/2922/November-3-2020-Presidential-General-Ele" xr:uid="{0019F39D-5394-45C3-AE99-A4757D9DDEBB}"/>
    <hyperlink ref="B75" r:id="rId215" display="https://web.archive.org/web/20210110095403/http:/www.ocvote.com/results/current-election-results/" xr:uid="{2EBC9F0B-C2A2-40A7-92F8-E7E0305A47E2}"/>
    <hyperlink ref="B99" r:id="rId216" display="https://web.archive.org/web/20210110095403/http:/www.placerelections.com/election-night-results.aspx" xr:uid="{DC9D865B-0526-4B13-B9F1-BF0E85DAE537}"/>
    <hyperlink ref="B167" r:id="rId217" display="https://web.archive.org/web/20210110095403/http:/www.countyofplumas.com/index.aspx?NID=142" xr:uid="{486603F8-D884-45DC-9912-7D886CEB09B7}"/>
    <hyperlink ref="B76" r:id="rId218" display="https://web.archive.org/web/20210110095403/https:/www.voteinfo.net/" xr:uid="{9D4B0C21-29CD-4CB7-AC4F-E882C990F2BD}"/>
    <hyperlink ref="B82" r:id="rId219" display="https://web.archive.org/web/20210110095403/http:/www.elections.saccounty.net/ElectionInformation/Pages/InfoUpcomingElect.aspx" xr:uid="{45B40CAC-775E-4779-90B8-A03E6D6CD4BF}"/>
    <hyperlink ref="B147" r:id="rId220" display="https://web.archive.org/web/20210110095403/http:/sbcvote.us/registrar-of-voters/" xr:uid="{4CFC6114-ADE6-475F-A9ED-47694FE3B680}"/>
    <hyperlink ref="B79" r:id="rId221" display="https://web.archive.org/web/20210110095403/http:/www.sbcountyelections.com/" xr:uid="{5B83A6DA-655A-49D3-A75D-09A446A1B9C9}"/>
    <hyperlink ref="B74" r:id="rId222" display="https://web.archive.org/web/20210110095403/https:/www.sdvote.com/content/rov/en/elections/election_information.html" xr:uid="{018BF918-D824-4744-94C4-1F6CB1DA305B}"/>
    <hyperlink ref="B87" r:id="rId223" display="https://web.archive.org/web/20210110095403/https:/sfelections.sfgov.org/" xr:uid="{70DC72C9-D37C-4A86-80CE-1EEA15249BF5}"/>
    <hyperlink ref="B96" r:id="rId224" display="https://web.archive.org/web/20210110095403/https:/www.sjgov.org/department/rov/info/election_information" xr:uid="{D303F52F-92FF-46F0-853F-1B6D2BCD4C0B}"/>
    <hyperlink ref="B107" r:id="rId225" display="https://web.archive.org/web/20210110095403/https:/www.slocounty.ca.gov/Departments/Clerk-Recorder/All-Services/Elections-and-Voting/Elections-Conducted-by-County-of-San-Luis-Obispo/November-3,-2020-Presidential-General-Election.aspx" xr:uid="{5E34879F-748C-4F84-A866-F7F8E4B6FC6D}"/>
    <hyperlink ref="B91" r:id="rId226" display="https://web.archive.org/web/20210110095403/https:/www.smcacre.org/post/november-3-2020-election-results" xr:uid="{D20F453F-7C03-49E3-950B-95CB77A8670A}"/>
    <hyperlink ref="B103" r:id="rId227" display="https://web.archive.org/web/20210110095403/http:/www.sbcvote.com/Elections/ElectionResults.aspx" xr:uid="{1AB1EFFA-5A0A-4CD8-B22E-2AF7D77B6CB3}"/>
    <hyperlink ref="B78" r:id="rId228" display="https://web.archive.org/web/20210110095403/https:/www.sccgov.org/sites/rov/Voting/VotingNovember2020/Pages/home.aspx" xr:uid="{52376C48-A4FE-4FC9-AEF6-61A77118AA6F}"/>
    <hyperlink ref="B112" r:id="rId229" display="https://web.archive.org/web/20210110095403/https:/www.votescount.us/Home/UpcomingElections/November3,2020Election.aspx" xr:uid="{7CBEA2A8-39C6-49E1-9E8E-2613EF2B9131}"/>
    <hyperlink ref="B123" r:id="rId230" display="https://web.archive.org/web/20210110095403/https:/www.elections.co.shasta.ca.us/" xr:uid="{EE954702-DD47-42D7-AC85-A77237379A8D}"/>
    <hyperlink ref="B184" r:id="rId231" display="https://web.archive.org/web/20210110095403/http:/www.sierracounty.ca.gov/216/Upcoming-Elections" xr:uid="{CAAB9806-CD77-4FF4-A22B-E21220C4B59E}"/>
    <hyperlink ref="B153" r:id="rId232" display="https://web.archive.org/web/20210110095403/https:/www.co.siskiyou.ca.us/elections/page/november-3-2020-presidential-general-election" xr:uid="{30B36D1A-5085-443F-83C1-38189E9E1B5F}"/>
    <hyperlink ref="B102" r:id="rId233" display="https://web.archive.org/web/20210110095403/https:/www.solanocounty.com/depts/rov/november_3_2020___presidential_general_election/election_results/default.asp" xr:uid="{5041F4BD-947C-427A-A4FE-DAF39A1DCFFC}"/>
    <hyperlink ref="B97" r:id="rId234" display="https://web.archive.org/web/20210110095403/https:/sonomacounty.ca.gov/CRA/Registrar-of-Voters/Elections/November-3-2020-Presidential-Election/" xr:uid="{46736BBD-CA3E-4D92-A682-5A2F02232806}"/>
    <hyperlink ref="B101" r:id="rId235" display="https://web.archive.org/web/20210110095403/https:/www.stanvote.com/election.shtm" xr:uid="{E065F3F5-3514-44BA-BB11-EA20C20EC7DA}"/>
    <hyperlink ref="B142" r:id="rId236" display="https://web.archive.org/web/20210110095403/http:/www.co.sutter.ca.us/doc/government/depts/cr/elections/cr_elections_home" xr:uid="{A764F42D-ADBB-4BC6-B38F-FA0A4639B207}"/>
    <hyperlink ref="B148" r:id="rId237" display="https://web.archive.org/web/20210110095403/http:/www.co.tehama.ca.us/gov-departments/elections" xr:uid="{B2BA5358-8413-4DE3-9307-621D76064584}"/>
    <hyperlink ref="B178" r:id="rId238" display="https://web.archive.org/web/20210110095403/https:/www.trinitycounty.org/2020-General-Election" xr:uid="{1A77B7B3-772C-4D8A-B7CB-54BAC810B2D7}"/>
    <hyperlink ref="B111" r:id="rId239" display="https://web.archive.org/web/20210110095403/https:/tularecoelections.org/elections/index.cfm/registrar-of-voters/current-election-information/november-3-2020-presidential-general-election/" xr:uid="{7DFC97F5-3FEE-4A03-95AE-17F406E4FC2D}"/>
    <hyperlink ref="B144" r:id="rId240" display="https://web.archive.org/web/20210110095403/http:/www.co.tuolumne.ca.us/index.aspx?nid=194" xr:uid="{64AFC4F5-2920-4EB8-AF13-8827B19175A6}"/>
    <hyperlink ref="B88" r:id="rId241" display="https://web.archive.org/web/20210110095403/https:/recorder.countyofventura.org/november-3-2020-presidential-general-election/" xr:uid="{D796D9CF-300B-4AF2-8896-2E8B8D34A5BA}"/>
    <hyperlink ref="B122" r:id="rId242" display="https://web.archive.org/web/20210110095403/http:/www.yoloelections.org/" xr:uid="{F3CD1634-CD9F-4A8C-A129-5C08F61DE423}"/>
    <hyperlink ref="B145" r:id="rId243" display="https://web.archive.org/web/20210110095403/https:/www.yuba.org/departments/elections/current_election.php" xr:uid="{9F8966F1-AE32-40DC-A5A7-A8F5675B7DE8}"/>
    <hyperlink ref="B86" r:id="rId244" display="https://web.archive.org/web/20200424171200/https:/www.acvote.org/election-information/elections?id=240" xr:uid="{28547752-9C3C-4472-9DAC-7D369B511BA0}"/>
    <hyperlink ref="B187" r:id="rId245" display="https://web.archive.org/web/20200424171200/http:/www.alpinecountyca.gov/index.aspx?NID=388" xr:uid="{FA14447D-059A-4A94-A7E8-AE16D9739480}"/>
    <hyperlink ref="B162" r:id="rId246" display="https://web.archive.org/web/20200424171200/https:/www.amadorgov.org/government/elections" xr:uid="{CEBA8A61-E86B-42F0-BD87-FEA1E0FF80F8}"/>
    <hyperlink ref="B130" r:id="rId247" display="https://web.archive.org/web/20200424171200/https:/clerk-recorder.buttecounty.net/elections/archives/eln44/44_eln_main.html" xr:uid="{52D0DB94-7D5B-472D-983F-7514F98079A2}"/>
    <hyperlink ref="B157" r:id="rId248" display="https://web.archive.org/web/20200424171200/http:/elections.calaverasgov.us/Results" xr:uid="{6D1EA417-05A0-475B-A64F-D2ACE5BDB7F9}"/>
    <hyperlink ref="B179" r:id="rId249" display="https://web.archive.org/web/20200424171200/http:/www.countyofcolusa.org/index.aspx?NID=197" xr:uid="{BC36097D-87F0-4E40-91A5-B9A6E9F3FC3E}"/>
    <hyperlink ref="B93" r:id="rId250" location="Election" display="https://web.archive.org/web/20200424171200/https:/www.cocovote.us/election/presidential-primary-election-march-3-2020/ - Election" xr:uid="{EAA26C1B-F54A-4D14-AF15-9B742F406945}"/>
    <hyperlink ref="B173" r:id="rId251" display="https://web.archive.org/web/20200424171200/http:/www.co.del-norte.ca.us/departments/clerk-recorder/elections" xr:uid="{BBC8E771-F8B6-48E6-9F64-12C3A8096A71}"/>
    <hyperlink ref="B126" r:id="rId252" display="https://web.archive.org/web/20200424171200/https:/www.edcgov.us/Government/Elections" xr:uid="{00EE0685-E785-4676-9B79-5B4AF6EB54A0}"/>
    <hyperlink ref="B104" r:id="rId253" display="https://web.archive.org/web/20200424171200/https:/www.co.fresno.ca.us/departments/county-clerk-registrar-of-voters/election-races/presidential-primary-election-march-3-2020" xr:uid="{2CEF4CB3-CA61-4711-B377-EF10BF5BE8B5}"/>
    <hyperlink ref="B175" r:id="rId254" display="https://web.archive.org/web/20200424171200/http:/www.countyofglenn.net/dept/elections/welcome" xr:uid="{D85F2E7E-3AB4-456E-B83A-1C7379EBAFBA}"/>
    <hyperlink ref="B136" r:id="rId255" display="https://web.archive.org/web/20200424171200/https:/humboldtgov.org/2607/Presidential-Primary-Election---March-3-" xr:uid="{95C83A62-9761-47D9-8DE4-4CC14D62F819}"/>
    <hyperlink ref="B152" r:id="rId256" display="https://web.archive.org/web/20200424171200/http:/www.co.imperial.ca.us/regvoters/index.asp?fileinc=results" xr:uid="{36F32994-6C41-4EBA-A8AF-B7F84BC3B840}"/>
    <hyperlink ref="B176" r:id="rId257" display="https://web.archive.org/web/20200424171200/http:/elections.inyocounty.us/p/election-results.html" xr:uid="{DC132B8F-A7AF-4571-98B7-D569107276F1}"/>
    <hyperlink ref="B108" r:id="rId258" display="https://web.archive.org/web/20200424171200/https:/www.kernvote.com/ElectionInformation/CurrentElectionInformation?ElectionID=102" xr:uid="{408A69E1-5BDD-4D70-9836-1968216105C7}"/>
    <hyperlink ref="B156" r:id="rId259" display="https://web.archive.org/web/20200424171200/https:/www.countyofkings.com/departments/administration/elections" xr:uid="{8D01B385-B264-41EB-AB4E-2DC1D3C2B8BA}"/>
    <hyperlink ref="B159" r:id="rId260" display="https://web.archive.org/web/20200424171200/http:/www.lakecountyca.gov/Government/Directory/ROV/Upcoming/030320.htm" xr:uid="{F88D3815-91E3-4368-BCB3-64C8513EE4F8}"/>
    <hyperlink ref="B172" r:id="rId261" display="https://web.archive.org/web/20200424171200/http:/www.lassencounty.org/dept/county-clerk-recorder/elections" xr:uid="{008CAED3-0A7B-4AE5-AB0C-507072DFB7D3}"/>
    <hyperlink ref="B73" r:id="rId262" display="https://web.archive.org/web/20200424171200/http:/www.lavote.net/home/voting-elections/current-elections/election-results" xr:uid="{954A275C-8840-4891-889B-1D31C66AD99F}"/>
    <hyperlink ref="B143" r:id="rId263" display="https://web.archive.org/web/20200424171200/http:/votemadera.com/" xr:uid="{AC4ECA01-5EC0-438F-BB91-6EB76EF97149}"/>
    <hyperlink ref="B116" r:id="rId264" display="https://web.archive.org/web/20200424171200/https:/www.marincounty.org/depts/rv" xr:uid="{7F9F1308-8846-4035-B567-6059FE5420F1}"/>
    <hyperlink ref="B174" r:id="rId265" display="https://web.archive.org/web/20200424171200/http:/www.mariposacounty.org/index.aspx?NID=132" xr:uid="{8132DF4F-9A00-4648-B1C2-3E6610F40469}"/>
    <hyperlink ref="B146" r:id="rId266" display="https://web.archive.org/web/20200424171200/https:/www.mendocinocounty.org/government/assessor-county-clerk-recorder-elections/current-election-results" xr:uid="{C8EAAD86-D884-49C1-A9F9-CD5728AA2A03}"/>
    <hyperlink ref="B139" r:id="rId267" display="https://web.archive.org/web/20200424171200/https:/www.co.merced.ca.us/3212/March-3-2020-Presidential-Primary-Electi" xr:uid="{548FF48B-2764-4984-9F61-1BB40939C73B}"/>
    <hyperlink ref="B183" r:id="rId268" display="https://web.archive.org/web/20200424171200/http:/www.co.modoc.ca.us/departments/elections/2016-elections" xr:uid="{2B4164E2-1B65-45B1-AA43-56280C972244}"/>
    <hyperlink ref="B182" r:id="rId269" display="https://web.archive.org/web/20200424171200/https:/monocounty.ca.gov/elections/page/march-3-2020-presidential-primary-election" xr:uid="{0775254C-53A1-4CC7-83A9-6961467C331D}"/>
    <hyperlink ref="B125" r:id="rId270" display="https://web.archive.org/web/20200424171200/https:/www.montereycountyelections.us/election-description/e/118" xr:uid="{B66FE3BF-1CC6-40A5-B575-D62758F8253F}"/>
    <hyperlink ref="B137" r:id="rId271" display="https://web.archive.org/web/20200424171200/http:/www.countyofnapa.org/Elections/" xr:uid="{0AB077E1-F196-48A1-B3BF-4717A145BCB9}"/>
    <hyperlink ref="B138" r:id="rId272" display="https://web.archive.org/web/20200424171200/https:/www.mynevadacounty.com/2853/March-3-2020-Presidential-Primary-Electi" xr:uid="{6B54D50F-6637-4894-BEC2-A3EA5740E6E0}"/>
    <hyperlink ref="B80" r:id="rId273" display="https://web.archive.org/web/20200424171200/http:/www.ocvote.com/results/current-election-results/" xr:uid="{629A5889-7039-487D-AFFA-C18B9B1D512B}"/>
    <hyperlink ref="B113" r:id="rId274" display="https://web.archive.org/web/20200424171200/http:/www.placerelections.com/election-night-results.aspx" xr:uid="{92102ACA-04C2-4521-BA24-ECA97EE3F60B}"/>
    <hyperlink ref="B170" r:id="rId275" display="https://web.archive.org/web/20200424171200/http:/www.countyofplumas.com/index.aspx?NID=142" xr:uid="{B1D10F0F-E76E-4C78-907F-1CBFAA472914}"/>
    <hyperlink ref="B85" r:id="rId276" display="https://web.archive.org/web/20200424171200/https:/www.voteinfo.net/" xr:uid="{AF21ADAB-1543-424D-84D8-F9A6C0F6D32D}"/>
    <hyperlink ref="B89" r:id="rId277" display="https://web.archive.org/web/20200424171200/http:/www.elections.saccounty.net/ElectionInformation/Pages/InfoUpcomingElect.aspx" xr:uid="{ED1E3BB0-DB9D-47A1-9C8F-EB13CF142B19}"/>
    <hyperlink ref="B160" r:id="rId278" display="https://web.archive.org/web/20200424171200/http:/sbcvote.us/registrar-of-voters/" xr:uid="{AB8513CA-F7DA-4D58-AD6F-C3F3BE6C5FE3}"/>
    <hyperlink ref="B90" r:id="rId279" display="https://web.archive.org/web/20200424171200/http:/www.sbcountyelections.com/" xr:uid="{3840FD57-52A5-4B8D-A28A-3B5EC7941509}"/>
    <hyperlink ref="B77" r:id="rId280" display="https://web.archive.org/web/20200424171200/https:/www.sdvote.com/content/rov/en/elections/election_information.html" xr:uid="{6EA92302-5D74-4599-A13F-180F44BA67EA}"/>
    <hyperlink ref="B95" r:id="rId281" display="https://web.archive.org/web/20200424171200/https:/sfelections.sfgov.org/" xr:uid="{3F1C7996-2832-46A1-91DF-0B0ECC59E60F}"/>
    <hyperlink ref="B110" r:id="rId282" display="https://web.archive.org/web/20200424171200/https:/www.sjgov.org/department/rov/info/election_information" xr:uid="{BF3F966E-1694-44B3-9663-73234722CD5E}"/>
    <hyperlink ref="B119" r:id="rId283" display="https://web.archive.org/web/20200424171200/https:/www.slocounty.ca.gov/Departments/Clerk-Recorder/All-Services/Elections-Conducted-by-County-of-San-Luis-Obispo/March-3,-2020-Presidential-Primary-Election.aspx" xr:uid="{2A882248-E265-46D9-AF8D-0509B8655CD9}"/>
    <hyperlink ref="B100" r:id="rId284" display="https://web.archive.org/web/20200424171200/https:/www.smcacre.org/current-election" xr:uid="{1274FAFA-A82E-4C42-8FB6-A8C1891FD3E6}"/>
    <hyperlink ref="B114" r:id="rId285" display="https://web.archive.org/web/20200424171200/http:/www.sbcvote.com/Elections/ElectionResults.aspx" xr:uid="{86DC4DB7-A7E4-457F-8E1B-1445D1B15A4E}"/>
    <hyperlink ref="B84" r:id="rId286" display="https://web.archive.org/web/20200424171200/https:/www.sccgov.org/sites/rov/Voting/March2020/Pages/home.aspx" xr:uid="{6EDC3C0C-ADEA-41CD-A0EB-AC3117314BD8}"/>
    <hyperlink ref="B120" r:id="rId287" display="https://web.archive.org/web/20200424171200/https:/www.votescount.com/" xr:uid="{F7F6C78D-5522-4BA7-B3A3-A3FED16B9C52}"/>
    <hyperlink ref="B133" r:id="rId288" display="https://web.archive.org/web/20200424171200/https:/www.elections.co.shasta.ca.us/presidental-primary-election-march-3-2020/" xr:uid="{570D7874-13C9-4598-B818-530120E121CC}"/>
    <hyperlink ref="B185" r:id="rId289" display="https://web.archive.org/web/20200424171200/http:/www.sierracounty.ca.gov/216/Upcoming-Elections" xr:uid="{C4F700CA-CA83-4390-B1A9-03CC0B4A5EDB}"/>
    <hyperlink ref="B163" r:id="rId290" display="https://web.archive.org/web/20200424171200/https:/www.co.siskiyou.ca.us/elections/page/march-3-2020-presidential-primary-election" xr:uid="{631D66C7-8CBF-4CFD-AFB8-38147F621516}"/>
    <hyperlink ref="B118" r:id="rId291" display="https://web.archive.org/web/20200424171200/https:/www.solanocounty.com/depts/rov/june_5th_2018___primary_election/election_results/default.asp" xr:uid="{15F00AE1-FADE-4AF5-A5CB-105E2953C5BF}"/>
    <hyperlink ref="B105" r:id="rId292" display="https://web.archive.org/web/20200424171200/http:/sonomacounty.ca.gov/CRA/Registrar-of-Voters/Elections/March-3-2020-Presidential-Primary-Election/" xr:uid="{1487AE99-B5F5-4E51-AF75-33E94E11641E}"/>
    <hyperlink ref="B117" r:id="rId293" display="https://web.archive.org/web/20200424171200/http:/stanvote.com/returns.shtm" xr:uid="{FB6281BD-EF17-483C-820E-AAC146155E73}"/>
    <hyperlink ref="B151" r:id="rId294" display="https://web.archive.org/web/20200424171200/http:/www.co.sutter.ca.us/doc/government/depts/cr/elections/cr_elections_home" xr:uid="{ABF79AE6-7068-4EBF-9E50-A4DF07DD2C45}"/>
    <hyperlink ref="B158" r:id="rId295" display="https://web.archive.org/web/20200424171200/http:/www.co.tehama.ca.us/gov-departments/elections" xr:uid="{18DCBE2A-F847-4273-8706-4482CA38FB0C}"/>
    <hyperlink ref="B180" r:id="rId296" display="https://web.archive.org/web/20200424171200/https:/www.trinitycounty.org/2020-Presidential-Primary" xr:uid="{0D8FF12C-D55A-4F65-895F-0680E42540E6}"/>
    <hyperlink ref="B127" r:id="rId297" display="https://web.archive.org/web/20200424171200/https:/tularecoelections.org/elections/index.cfm/registrar-of-voters/current-election-information/march-3-2020-presidential-primary-election/" xr:uid="{7787BEB4-51B9-4554-82A3-C69FC67E4FCE}"/>
    <hyperlink ref="B155" r:id="rId298" display="https://web.archive.org/web/20200424171200/http:/www.co.tuolumne.ca.us/index.aspx?nid=194" xr:uid="{6B76CC2F-F37C-4C63-BC8F-E1311C76257F}"/>
    <hyperlink ref="B98" r:id="rId299" display="https://web.archive.org/web/20200424171200/https:/recorder.countyofventura.org/elections/" xr:uid="{0FD30FE3-0DB5-48DA-999E-2DBB007DFCDC}"/>
    <hyperlink ref="B132" r:id="rId300" display="https://web.archive.org/web/20200424171200/http:/www.yoloelections.org/" xr:uid="{96FF3E96-38F9-4E4D-B67E-D7601E136F8C}"/>
    <hyperlink ref="B161" r:id="rId301" display="https://web.archive.org/web/20200424171200/https:/www.yuba.org/departments/elections/current_election.php" xr:uid="{44479638-618A-440E-8187-02C88BF704F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672E9-0384-445E-A31C-3EFC2A0C1906}">
  <sheetPr>
    <tabColor rgb="FF0070C0"/>
  </sheetPr>
  <dimension ref="A1:DY43"/>
  <sheetViews>
    <sheetView workbookViewId="0">
      <pane xSplit="1" ySplit="5" topLeftCell="B9" activePane="bottomRight" state="frozen"/>
      <selection pane="topRight" activeCell="B1" sqref="B1"/>
      <selection pane="bottomLeft" activeCell="A6" sqref="A6"/>
      <selection pane="bottomRight" activeCell="B9" sqref="B9"/>
    </sheetView>
  </sheetViews>
  <sheetFormatPr defaultRowHeight="13.8"/>
  <cols>
    <col min="1" max="1" width="64.375" style="210" customWidth="1"/>
    <col min="2" max="12" width="8.5" customWidth="1"/>
    <col min="13" max="13" width="9" customWidth="1"/>
    <col min="14" max="14" width="8.5" customWidth="1"/>
    <col min="15" max="23" width="4.125" customWidth="1"/>
    <col min="24" max="24" width="7.875" customWidth="1"/>
    <col min="25" max="128" width="4.125" customWidth="1"/>
  </cols>
  <sheetData>
    <row r="1" spans="1:128" s="235" customFormat="1" ht="52.2">
      <c r="A1" s="236" t="s">
        <v>6474</v>
      </c>
      <c r="B1" s="234"/>
      <c r="L1" s="124"/>
      <c r="M1" s="124" t="s">
        <v>6373</v>
      </c>
      <c r="N1" s="124" t="s">
        <v>6413</v>
      </c>
      <c r="O1" s="124" t="s">
        <v>6391</v>
      </c>
      <c r="P1" s="124" t="s">
        <v>6384</v>
      </c>
      <c r="Q1" s="124" t="s">
        <v>6387</v>
      </c>
      <c r="R1" s="124" t="s">
        <v>6414</v>
      </c>
      <c r="S1" s="124" t="s">
        <v>6397</v>
      </c>
      <c r="T1" s="124" t="s">
        <v>6390</v>
      </c>
      <c r="U1" s="124" t="s">
        <v>6415</v>
      </c>
      <c r="V1" s="124" t="s">
        <v>6355</v>
      </c>
      <c r="W1" s="124" t="s">
        <v>6388</v>
      </c>
      <c r="X1" s="124" t="s">
        <v>6361</v>
      </c>
      <c r="Y1" s="124" t="s">
        <v>6416</v>
      </c>
      <c r="Z1" s="124" t="s">
        <v>6417</v>
      </c>
      <c r="AA1" s="124" t="s">
        <v>6418</v>
      </c>
      <c r="AB1" s="124" t="s">
        <v>6392</v>
      </c>
      <c r="AC1" s="124" t="s">
        <v>6410</v>
      </c>
      <c r="AD1" s="124" t="s">
        <v>6419</v>
      </c>
      <c r="AE1" s="124" t="s">
        <v>6420</v>
      </c>
      <c r="AF1" s="124" t="s">
        <v>6395</v>
      </c>
      <c r="AG1" s="124" t="s">
        <v>6364</v>
      </c>
      <c r="AH1" s="124" t="s">
        <v>6421</v>
      </c>
      <c r="AI1" s="124" t="s">
        <v>6369</v>
      </c>
      <c r="AJ1" s="124" t="s">
        <v>6422</v>
      </c>
      <c r="AK1" s="124" t="s">
        <v>6393</v>
      </c>
      <c r="AL1" s="124" t="s">
        <v>6403</v>
      </c>
      <c r="AM1" s="124" t="s">
        <v>6423</v>
      </c>
      <c r="AN1" s="124" t="s">
        <v>6385</v>
      </c>
      <c r="AO1" s="124" t="s">
        <v>6424</v>
      </c>
      <c r="AP1" s="124" t="s">
        <v>6404</v>
      </c>
      <c r="AQ1" s="124" t="s">
        <v>6402</v>
      </c>
      <c r="AR1" s="124" t="s">
        <v>6396</v>
      </c>
      <c r="AS1" s="124" t="s">
        <v>6425</v>
      </c>
      <c r="AT1" s="124" t="s">
        <v>6426</v>
      </c>
      <c r="AU1" s="124" t="s">
        <v>6381</v>
      </c>
      <c r="AV1" s="124" t="s">
        <v>6394</v>
      </c>
      <c r="AW1" s="124" t="s">
        <v>6427</v>
      </c>
      <c r="AX1" s="124" t="s">
        <v>6375</v>
      </c>
      <c r="AY1" s="124" t="s">
        <v>6428</v>
      </c>
      <c r="AZ1" s="124" t="s">
        <v>6408</v>
      </c>
      <c r="BA1" s="124" t="s">
        <v>6398</v>
      </c>
      <c r="BB1" s="124" t="s">
        <v>6429</v>
      </c>
      <c r="BC1" s="124" t="s">
        <v>6430</v>
      </c>
      <c r="BD1" s="124" t="s">
        <v>6363</v>
      </c>
      <c r="BE1" s="124" t="s">
        <v>6431</v>
      </c>
      <c r="BF1" s="124" t="s">
        <v>6432</v>
      </c>
      <c r="BG1" s="124" t="s">
        <v>6433</v>
      </c>
      <c r="BH1" s="124" t="s">
        <v>6434</v>
      </c>
      <c r="BI1" s="124" t="s">
        <v>6435</v>
      </c>
      <c r="BJ1" s="124" t="s">
        <v>6358</v>
      </c>
      <c r="BK1" s="124" t="s">
        <v>6411</v>
      </c>
      <c r="BL1" s="124" t="s">
        <v>6399</v>
      </c>
      <c r="BM1" s="124" t="s">
        <v>6378</v>
      </c>
      <c r="BN1" s="124" t="s">
        <v>6436</v>
      </c>
      <c r="BO1" s="124" t="s">
        <v>6437</v>
      </c>
      <c r="BP1" s="124" t="s">
        <v>6438</v>
      </c>
      <c r="BQ1" s="124" t="s">
        <v>6382</v>
      </c>
      <c r="BR1" s="124" t="s">
        <v>6366</v>
      </c>
      <c r="BS1" s="124" t="s">
        <v>6439</v>
      </c>
      <c r="BT1" s="124" t="s">
        <v>6383</v>
      </c>
      <c r="BU1" s="124" t="s">
        <v>6440</v>
      </c>
      <c r="BV1" s="124" t="s">
        <v>6441</v>
      </c>
      <c r="BW1" s="124" t="s">
        <v>6367</v>
      </c>
      <c r="BX1" s="124" t="s">
        <v>6374</v>
      </c>
      <c r="BY1" s="124" t="s">
        <v>6442</v>
      </c>
      <c r="BZ1" s="124" t="s">
        <v>6443</v>
      </c>
      <c r="CA1" s="124" t="s">
        <v>6444</v>
      </c>
      <c r="CB1" s="124" t="s">
        <v>6445</v>
      </c>
      <c r="CC1" s="124" t="s">
        <v>6370</v>
      </c>
      <c r="CD1" s="124" t="s">
        <v>6377</v>
      </c>
      <c r="CE1" s="124" t="s">
        <v>6405</v>
      </c>
      <c r="CF1" s="124" t="s">
        <v>6446</v>
      </c>
      <c r="CG1" s="124" t="s">
        <v>6409</v>
      </c>
      <c r="CH1" s="124" t="s">
        <v>6412</v>
      </c>
      <c r="CI1" s="124" t="s">
        <v>6447</v>
      </c>
      <c r="CJ1" s="124" t="s">
        <v>6389</v>
      </c>
      <c r="CK1" s="124" t="s">
        <v>6406</v>
      </c>
      <c r="CL1" s="124" t="s">
        <v>6371</v>
      </c>
      <c r="CM1" s="124" t="s">
        <v>6359</v>
      </c>
      <c r="CN1" s="124" t="s">
        <v>6448</v>
      </c>
      <c r="CO1" s="124" t="s">
        <v>6449</v>
      </c>
      <c r="CP1" s="124" t="s">
        <v>6401</v>
      </c>
      <c r="CQ1" s="124" t="s">
        <v>6357</v>
      </c>
      <c r="CR1" s="124" t="s">
        <v>6450</v>
      </c>
      <c r="CS1" s="124" t="s">
        <v>6451</v>
      </c>
      <c r="CT1" s="124" t="s">
        <v>6452</v>
      </c>
      <c r="CU1" s="124" t="s">
        <v>6453</v>
      </c>
      <c r="CV1" s="124" t="s">
        <v>6454</v>
      </c>
      <c r="CW1" s="124" t="s">
        <v>6455</v>
      </c>
      <c r="CX1" s="124" t="s">
        <v>6456</v>
      </c>
      <c r="CY1" s="124" t="s">
        <v>6457</v>
      </c>
      <c r="CZ1" s="124" t="s">
        <v>6458</v>
      </c>
      <c r="DA1" s="124" t="s">
        <v>6372</v>
      </c>
      <c r="DB1" s="124" t="s">
        <v>6362</v>
      </c>
      <c r="DC1" s="124" t="s">
        <v>6365</v>
      </c>
      <c r="DD1" s="124" t="s">
        <v>6386</v>
      </c>
      <c r="DE1" s="124" t="s">
        <v>6376</v>
      </c>
      <c r="DF1" s="124" t="s">
        <v>6368</v>
      </c>
      <c r="DG1" s="124" t="s">
        <v>6459</v>
      </c>
      <c r="DH1" s="124" t="s">
        <v>6360</v>
      </c>
      <c r="DI1" s="124" t="s">
        <v>6460</v>
      </c>
      <c r="DJ1" s="124" t="s">
        <v>6461</v>
      </c>
      <c r="DK1" s="124" t="s">
        <v>6462</v>
      </c>
      <c r="DL1" s="124" t="s">
        <v>6463</v>
      </c>
      <c r="DM1" s="124" t="s">
        <v>6464</v>
      </c>
      <c r="DN1" s="124" t="s">
        <v>6380</v>
      </c>
      <c r="DO1" s="124" t="s">
        <v>6407</v>
      </c>
      <c r="DP1" s="124" t="s">
        <v>6465</v>
      </c>
      <c r="DQ1" s="124" t="s">
        <v>6466</v>
      </c>
      <c r="DR1" s="124" t="s">
        <v>6379</v>
      </c>
      <c r="DS1" s="124" t="s">
        <v>6467</v>
      </c>
      <c r="DT1" s="124" t="s">
        <v>6468</v>
      </c>
      <c r="DU1" s="124" t="s">
        <v>6400</v>
      </c>
      <c r="DV1" s="124" t="s">
        <v>6469</v>
      </c>
      <c r="DW1" s="124" t="s">
        <v>6356</v>
      </c>
      <c r="DX1" s="124" t="s">
        <v>6470</v>
      </c>
    </row>
    <row r="2" spans="1:128" s="238" customFormat="1" ht="13.2">
      <c r="A2" s="237" t="s">
        <v>6471</v>
      </c>
      <c r="B2" s="238">
        <v>500</v>
      </c>
      <c r="C2" s="238">
        <f>B2*2.2</f>
        <v>1100</v>
      </c>
      <c r="D2" s="238">
        <f t="shared" ref="D2:L2" si="0">C2*2.2</f>
        <v>2420</v>
      </c>
      <c r="E2" s="238">
        <f t="shared" si="0"/>
        <v>5324</v>
      </c>
      <c r="F2" s="238">
        <f t="shared" si="0"/>
        <v>11712.800000000001</v>
      </c>
      <c r="G2" s="238">
        <f t="shared" si="0"/>
        <v>25768.160000000003</v>
      </c>
      <c r="H2" s="238">
        <f t="shared" si="0"/>
        <v>56689.952000000012</v>
      </c>
      <c r="I2" s="238">
        <v>100000</v>
      </c>
      <c r="J2" s="238">
        <f t="shared" si="0"/>
        <v>220000.00000000003</v>
      </c>
      <c r="K2" s="238">
        <f t="shared" si="0"/>
        <v>484000.00000000012</v>
      </c>
      <c r="L2" s="238">
        <f t="shared" si="0"/>
        <v>1064800.0000000002</v>
      </c>
      <c r="M2" s="238">
        <v>4338191</v>
      </c>
      <c r="N2" s="238">
        <v>2122469</v>
      </c>
      <c r="O2" s="238">
        <v>1627753</v>
      </c>
      <c r="P2" s="238">
        <v>1546570</v>
      </c>
      <c r="Q2" s="238">
        <v>1016027</v>
      </c>
      <c r="R2" s="238">
        <v>907602</v>
      </c>
      <c r="S2" s="238">
        <v>863964</v>
      </c>
      <c r="T2" s="238">
        <v>852636</v>
      </c>
      <c r="U2" s="238">
        <v>818021</v>
      </c>
      <c r="V2" s="238">
        <v>785215</v>
      </c>
      <c r="W2" s="238">
        <v>729569</v>
      </c>
      <c r="X2" s="238">
        <v>591143</v>
      </c>
      <c r="Y2" s="238">
        <v>495791</v>
      </c>
      <c r="Z2" s="238">
        <v>482272</v>
      </c>
      <c r="AA2" s="238">
        <v>469968</v>
      </c>
      <c r="AB2" s="238">
        <v>449866</v>
      </c>
      <c r="AC2" s="238">
        <v>429922</v>
      </c>
      <c r="AD2" s="238">
        <v>409351</v>
      </c>
      <c r="AE2" s="238">
        <v>391935</v>
      </c>
      <c r="AF2" s="238">
        <v>380077</v>
      </c>
      <c r="AG2" s="238">
        <v>370068</v>
      </c>
      <c r="AH2" s="238">
        <v>330514</v>
      </c>
      <c r="AI2" s="238">
        <v>309143</v>
      </c>
      <c r="AJ2" s="238">
        <v>305184</v>
      </c>
      <c r="AK2" s="238">
        <v>292818</v>
      </c>
      <c r="AL2" s="238">
        <v>272244</v>
      </c>
      <c r="AM2" s="238">
        <v>239396</v>
      </c>
      <c r="AN2" s="238">
        <v>239315</v>
      </c>
      <c r="AO2" s="238">
        <v>228291</v>
      </c>
      <c r="AP2" s="238">
        <v>217517</v>
      </c>
      <c r="AQ2" s="238">
        <v>209002</v>
      </c>
      <c r="AR2" s="238">
        <v>203506</v>
      </c>
      <c r="AS2" s="238">
        <v>199118</v>
      </c>
      <c r="AT2" s="238">
        <v>187208</v>
      </c>
      <c r="AU2" s="238">
        <v>165976</v>
      </c>
      <c r="AV2" s="238">
        <v>162615</v>
      </c>
      <c r="AW2" s="238">
        <v>162116</v>
      </c>
      <c r="AX2" s="238">
        <v>158103</v>
      </c>
      <c r="AY2" s="238">
        <v>150482</v>
      </c>
      <c r="AZ2" s="238">
        <v>148677</v>
      </c>
      <c r="BA2" s="238">
        <v>146857</v>
      </c>
      <c r="BB2" s="238">
        <v>142604</v>
      </c>
      <c r="BC2" s="238">
        <v>133274</v>
      </c>
      <c r="BD2" s="238">
        <v>118133</v>
      </c>
      <c r="BE2" s="238">
        <v>115923</v>
      </c>
      <c r="BF2" s="238">
        <v>113666</v>
      </c>
      <c r="BG2" s="238">
        <v>111578</v>
      </c>
      <c r="BH2" s="238">
        <v>111239</v>
      </c>
      <c r="BI2" s="238">
        <v>103900</v>
      </c>
      <c r="BJ2" s="238">
        <v>103635</v>
      </c>
      <c r="BK2" s="238">
        <v>99040</v>
      </c>
      <c r="BL2" s="238">
        <v>94084</v>
      </c>
      <c r="BM2" s="238">
        <v>92424</v>
      </c>
      <c r="BN2" s="238">
        <v>91603</v>
      </c>
      <c r="BO2" s="238">
        <v>75708</v>
      </c>
      <c r="BP2" s="238">
        <v>73605</v>
      </c>
      <c r="BQ2" s="238">
        <v>73269</v>
      </c>
      <c r="BR2" s="238">
        <v>69932</v>
      </c>
      <c r="BS2" s="238">
        <v>67539</v>
      </c>
      <c r="BT2" s="238">
        <v>65800</v>
      </c>
      <c r="BU2" s="238">
        <v>64858</v>
      </c>
      <c r="BV2" s="238">
        <v>58362</v>
      </c>
      <c r="BW2" s="238">
        <v>57366</v>
      </c>
      <c r="BX2" s="238">
        <v>54392</v>
      </c>
      <c r="BY2" s="238">
        <v>47969</v>
      </c>
      <c r="BZ2" s="238">
        <v>47314</v>
      </c>
      <c r="CA2" s="238">
        <v>46275</v>
      </c>
      <c r="CB2" s="238">
        <v>45265</v>
      </c>
      <c r="CC2" s="238">
        <v>44442</v>
      </c>
      <c r="CD2" s="238">
        <v>44135</v>
      </c>
      <c r="CE2" s="238">
        <v>43264</v>
      </c>
      <c r="CF2" s="238">
        <v>31373</v>
      </c>
      <c r="CG2" s="238">
        <v>30829</v>
      </c>
      <c r="CH2" s="238">
        <v>30201</v>
      </c>
      <c r="CI2" s="238">
        <v>29527</v>
      </c>
      <c r="CJ2" s="238">
        <v>29207</v>
      </c>
      <c r="CK2" s="238">
        <v>29078</v>
      </c>
      <c r="CL2" s="238">
        <v>28812</v>
      </c>
      <c r="CM2" s="238">
        <v>27524</v>
      </c>
      <c r="CN2" s="238">
        <v>25593</v>
      </c>
      <c r="CO2" s="238">
        <v>23885</v>
      </c>
      <c r="CP2" s="238">
        <v>23796</v>
      </c>
      <c r="CQ2" s="238">
        <v>22620</v>
      </c>
      <c r="CR2" s="238">
        <v>21486</v>
      </c>
      <c r="CS2" s="238">
        <v>21248</v>
      </c>
      <c r="CT2" s="238">
        <v>19089</v>
      </c>
      <c r="CU2" s="238">
        <v>18285</v>
      </c>
      <c r="CV2" s="238">
        <v>17902</v>
      </c>
      <c r="CW2" s="238">
        <v>17346</v>
      </c>
      <c r="CX2" s="238">
        <v>16659</v>
      </c>
      <c r="CY2" s="238">
        <v>15703</v>
      </c>
      <c r="CZ2" s="238">
        <v>15364</v>
      </c>
      <c r="DA2" s="238">
        <v>12122</v>
      </c>
      <c r="DB2" s="238">
        <v>11624</v>
      </c>
      <c r="DC2" s="238">
        <v>11455</v>
      </c>
      <c r="DD2" s="238">
        <v>11422</v>
      </c>
      <c r="DE2" s="238">
        <v>10410</v>
      </c>
      <c r="DF2" s="238">
        <v>9624</v>
      </c>
      <c r="DG2" s="238">
        <v>8218</v>
      </c>
      <c r="DH2" s="238">
        <v>8039</v>
      </c>
      <c r="DI2" s="238">
        <v>7762</v>
      </c>
      <c r="DJ2" s="238">
        <v>7254</v>
      </c>
      <c r="DK2" s="238">
        <v>7214</v>
      </c>
      <c r="DL2" s="238">
        <v>6986</v>
      </c>
      <c r="DM2" s="238">
        <v>6833</v>
      </c>
      <c r="DN2" s="238">
        <v>6828</v>
      </c>
      <c r="DO2" s="238">
        <v>6387</v>
      </c>
      <c r="DP2" s="238">
        <v>4883</v>
      </c>
      <c r="DQ2" s="238">
        <v>4878</v>
      </c>
      <c r="DR2" s="238">
        <v>4403</v>
      </c>
      <c r="DS2" s="238">
        <v>4267</v>
      </c>
      <c r="DT2" s="238">
        <v>3022</v>
      </c>
      <c r="DU2" s="238">
        <v>1964</v>
      </c>
      <c r="DV2" s="238">
        <v>1389</v>
      </c>
      <c r="DW2" s="238">
        <v>749</v>
      </c>
      <c r="DX2" s="238">
        <v>510</v>
      </c>
    </row>
    <row r="3" spans="1:128" s="166" customFormat="1">
      <c r="A3" s="163" t="s">
        <v>6321</v>
      </c>
      <c r="B3" s="164">
        <v>300</v>
      </c>
      <c r="C3" s="165">
        <f>B3</f>
        <v>300</v>
      </c>
      <c r="D3" s="165">
        <f t="shared" ref="D3:L3" si="1">C3</f>
        <v>300</v>
      </c>
      <c r="E3" s="165">
        <f t="shared" si="1"/>
        <v>300</v>
      </c>
      <c r="F3" s="165">
        <f t="shared" si="1"/>
        <v>300</v>
      </c>
      <c r="G3" s="165">
        <f t="shared" si="1"/>
        <v>300</v>
      </c>
      <c r="H3" s="165">
        <f t="shared" si="1"/>
        <v>300</v>
      </c>
      <c r="I3" s="165">
        <f t="shared" si="1"/>
        <v>300</v>
      </c>
      <c r="J3" s="165">
        <f t="shared" si="1"/>
        <v>300</v>
      </c>
      <c r="K3" s="165">
        <f t="shared" si="1"/>
        <v>300</v>
      </c>
      <c r="L3" s="165">
        <f t="shared" si="1"/>
        <v>300</v>
      </c>
      <c r="M3" s="165">
        <f t="shared" ref="M3" si="2">L3</f>
        <v>300</v>
      </c>
      <c r="N3" s="165">
        <f t="shared" ref="N3" si="3">M3</f>
        <v>300</v>
      </c>
      <c r="O3" s="165">
        <f t="shared" ref="O3" si="4">N3</f>
        <v>300</v>
      </c>
      <c r="P3" s="165">
        <f t="shared" ref="P3" si="5">O3</f>
        <v>300</v>
      </c>
      <c r="Q3" s="165">
        <f t="shared" ref="Q3" si="6">P3</f>
        <v>300</v>
      </c>
      <c r="R3" s="165">
        <f t="shared" ref="R3" si="7">Q3</f>
        <v>300</v>
      </c>
      <c r="S3" s="165">
        <f t="shared" ref="S3" si="8">R3</f>
        <v>300</v>
      </c>
      <c r="T3" s="165">
        <f t="shared" ref="T3" si="9">S3</f>
        <v>300</v>
      </c>
      <c r="U3" s="165">
        <f t="shared" ref="U3" si="10">T3</f>
        <v>300</v>
      </c>
      <c r="V3" s="165">
        <f t="shared" ref="V3" si="11">U3</f>
        <v>300</v>
      </c>
      <c r="W3" s="165">
        <f t="shared" ref="W3" si="12">V3</f>
        <v>300</v>
      </c>
      <c r="X3" s="165">
        <f t="shared" ref="X3" si="13">W3</f>
        <v>300</v>
      </c>
      <c r="Y3" s="165">
        <f t="shared" ref="Y3" si="14">X3</f>
        <v>300</v>
      </c>
      <c r="Z3" s="165">
        <f t="shared" ref="Z3" si="15">Y3</f>
        <v>300</v>
      </c>
      <c r="AA3" s="165">
        <f t="shared" ref="AA3" si="16">Z3</f>
        <v>300</v>
      </c>
      <c r="AB3" s="165">
        <f t="shared" ref="AB3" si="17">AA3</f>
        <v>300</v>
      </c>
      <c r="AC3" s="165">
        <f t="shared" ref="AC3" si="18">AB3</f>
        <v>300</v>
      </c>
      <c r="AD3" s="165">
        <f t="shared" ref="AD3" si="19">AC3</f>
        <v>300</v>
      </c>
      <c r="AE3" s="165">
        <f t="shared" ref="AE3" si="20">AD3</f>
        <v>300</v>
      </c>
      <c r="AF3" s="165">
        <f t="shared" ref="AF3" si="21">AE3</f>
        <v>300</v>
      </c>
      <c r="AG3" s="165">
        <f t="shared" ref="AG3" si="22">AF3</f>
        <v>300</v>
      </c>
      <c r="AH3" s="165">
        <f t="shared" ref="AH3" si="23">AG3</f>
        <v>300</v>
      </c>
      <c r="AI3" s="165">
        <f t="shared" ref="AI3" si="24">AH3</f>
        <v>300</v>
      </c>
      <c r="AJ3" s="165">
        <f t="shared" ref="AJ3" si="25">AI3</f>
        <v>300</v>
      </c>
      <c r="AK3" s="165">
        <f t="shared" ref="AK3" si="26">AJ3</f>
        <v>300</v>
      </c>
      <c r="AL3" s="165">
        <f t="shared" ref="AL3" si="27">AK3</f>
        <v>300</v>
      </c>
      <c r="AM3" s="165">
        <f t="shared" ref="AM3" si="28">AL3</f>
        <v>300</v>
      </c>
      <c r="AN3" s="165">
        <f t="shared" ref="AN3" si="29">AM3</f>
        <v>300</v>
      </c>
      <c r="AO3" s="165">
        <f t="shared" ref="AO3" si="30">AN3</f>
        <v>300</v>
      </c>
      <c r="AP3" s="165">
        <f t="shared" ref="AP3" si="31">AO3</f>
        <v>300</v>
      </c>
      <c r="AQ3" s="165">
        <f t="shared" ref="AQ3" si="32">AP3</f>
        <v>300</v>
      </c>
      <c r="AR3" s="165">
        <f t="shared" ref="AR3" si="33">AQ3</f>
        <v>300</v>
      </c>
      <c r="AS3" s="165">
        <f t="shared" ref="AS3" si="34">AR3</f>
        <v>300</v>
      </c>
      <c r="AT3" s="165">
        <f t="shared" ref="AT3" si="35">AS3</f>
        <v>300</v>
      </c>
      <c r="AU3" s="165">
        <f t="shared" ref="AU3" si="36">AT3</f>
        <v>300</v>
      </c>
      <c r="AV3" s="165">
        <f t="shared" ref="AV3" si="37">AU3</f>
        <v>300</v>
      </c>
      <c r="AW3" s="165">
        <f t="shared" ref="AW3" si="38">AV3</f>
        <v>300</v>
      </c>
      <c r="AX3" s="165">
        <f t="shared" ref="AX3" si="39">AW3</f>
        <v>300</v>
      </c>
      <c r="AY3" s="165">
        <f t="shared" ref="AY3" si="40">AX3</f>
        <v>300</v>
      </c>
      <c r="AZ3" s="165">
        <f t="shared" ref="AZ3" si="41">AY3</f>
        <v>300</v>
      </c>
      <c r="BA3" s="165">
        <f t="shared" ref="BA3" si="42">AZ3</f>
        <v>300</v>
      </c>
      <c r="BB3" s="165">
        <f t="shared" ref="BB3" si="43">BA3</f>
        <v>300</v>
      </c>
      <c r="BC3" s="165">
        <f t="shared" ref="BC3" si="44">BB3</f>
        <v>300</v>
      </c>
      <c r="BD3" s="165">
        <f t="shared" ref="BD3" si="45">BC3</f>
        <v>300</v>
      </c>
      <c r="BE3" s="165">
        <f t="shared" ref="BE3" si="46">BD3</f>
        <v>300</v>
      </c>
      <c r="BF3" s="165">
        <f t="shared" ref="BF3" si="47">BE3</f>
        <v>300</v>
      </c>
      <c r="BG3" s="165">
        <f t="shared" ref="BG3" si="48">BF3</f>
        <v>300</v>
      </c>
      <c r="BH3" s="165">
        <f t="shared" ref="BH3" si="49">BG3</f>
        <v>300</v>
      </c>
      <c r="BI3" s="165">
        <f t="shared" ref="BI3" si="50">BH3</f>
        <v>300</v>
      </c>
      <c r="BJ3" s="165">
        <f t="shared" ref="BJ3" si="51">BI3</f>
        <v>300</v>
      </c>
      <c r="BK3" s="165">
        <f t="shared" ref="BK3" si="52">BJ3</f>
        <v>300</v>
      </c>
      <c r="BL3" s="165">
        <f t="shared" ref="BL3" si="53">BK3</f>
        <v>300</v>
      </c>
      <c r="BM3" s="165">
        <f t="shared" ref="BM3" si="54">BL3</f>
        <v>300</v>
      </c>
      <c r="BN3" s="165">
        <f t="shared" ref="BN3" si="55">BM3</f>
        <v>300</v>
      </c>
      <c r="BO3" s="165">
        <f t="shared" ref="BO3" si="56">BN3</f>
        <v>300</v>
      </c>
      <c r="BP3" s="165">
        <f t="shared" ref="BP3" si="57">BO3</f>
        <v>300</v>
      </c>
      <c r="BQ3" s="165">
        <f t="shared" ref="BQ3" si="58">BP3</f>
        <v>300</v>
      </c>
      <c r="BR3" s="165">
        <f t="shared" ref="BR3" si="59">BQ3</f>
        <v>300</v>
      </c>
      <c r="BS3" s="165">
        <f t="shared" ref="BS3" si="60">BR3</f>
        <v>300</v>
      </c>
      <c r="BT3" s="165">
        <f t="shared" ref="BT3" si="61">BS3</f>
        <v>300</v>
      </c>
      <c r="BU3" s="165">
        <f t="shared" ref="BU3" si="62">BT3</f>
        <v>300</v>
      </c>
      <c r="BV3" s="165">
        <f t="shared" ref="BV3" si="63">BU3</f>
        <v>300</v>
      </c>
      <c r="BW3" s="165">
        <f t="shared" ref="BW3" si="64">BV3</f>
        <v>300</v>
      </c>
      <c r="BX3" s="165">
        <f t="shared" ref="BX3" si="65">BW3</f>
        <v>300</v>
      </c>
      <c r="BY3" s="165">
        <f t="shared" ref="BY3" si="66">BX3</f>
        <v>300</v>
      </c>
      <c r="BZ3" s="165">
        <f t="shared" ref="BZ3" si="67">BY3</f>
        <v>300</v>
      </c>
      <c r="CA3" s="165">
        <f t="shared" ref="CA3" si="68">BZ3</f>
        <v>300</v>
      </c>
      <c r="CB3" s="165">
        <f t="shared" ref="CB3" si="69">CA3</f>
        <v>300</v>
      </c>
      <c r="CC3" s="165">
        <f t="shared" ref="CC3" si="70">CB3</f>
        <v>300</v>
      </c>
      <c r="CD3" s="165">
        <f t="shared" ref="CD3" si="71">CC3</f>
        <v>300</v>
      </c>
      <c r="CE3" s="165">
        <f t="shared" ref="CE3" si="72">CD3</f>
        <v>300</v>
      </c>
      <c r="CF3" s="165">
        <f t="shared" ref="CF3" si="73">CE3</f>
        <v>300</v>
      </c>
      <c r="CG3" s="165">
        <f t="shared" ref="CG3" si="74">CF3</f>
        <v>300</v>
      </c>
      <c r="CH3" s="165">
        <f t="shared" ref="CH3" si="75">CG3</f>
        <v>300</v>
      </c>
      <c r="CI3" s="165">
        <f t="shared" ref="CI3" si="76">CH3</f>
        <v>300</v>
      </c>
      <c r="CJ3" s="165">
        <f t="shared" ref="CJ3" si="77">CI3</f>
        <v>300</v>
      </c>
      <c r="CK3" s="165">
        <f t="shared" ref="CK3" si="78">CJ3</f>
        <v>300</v>
      </c>
      <c r="CL3" s="165">
        <f t="shared" ref="CL3" si="79">CK3</f>
        <v>300</v>
      </c>
      <c r="CM3" s="165">
        <f t="shared" ref="CM3" si="80">CL3</f>
        <v>300</v>
      </c>
      <c r="CN3" s="165">
        <f t="shared" ref="CN3" si="81">CM3</f>
        <v>300</v>
      </c>
      <c r="CO3" s="165">
        <f t="shared" ref="CO3" si="82">CN3</f>
        <v>300</v>
      </c>
      <c r="CP3" s="165">
        <f t="shared" ref="CP3" si="83">CO3</f>
        <v>300</v>
      </c>
      <c r="CQ3" s="165">
        <f t="shared" ref="CQ3" si="84">CP3</f>
        <v>300</v>
      </c>
      <c r="CR3" s="165">
        <f t="shared" ref="CR3" si="85">CQ3</f>
        <v>300</v>
      </c>
      <c r="CS3" s="165">
        <f t="shared" ref="CS3" si="86">CR3</f>
        <v>300</v>
      </c>
      <c r="CT3" s="165">
        <f t="shared" ref="CT3" si="87">CS3</f>
        <v>300</v>
      </c>
      <c r="CU3" s="165">
        <f t="shared" ref="CU3" si="88">CT3</f>
        <v>300</v>
      </c>
      <c r="CV3" s="165">
        <f t="shared" ref="CV3" si="89">CU3</f>
        <v>300</v>
      </c>
      <c r="CW3" s="165">
        <f t="shared" ref="CW3" si="90">CV3</f>
        <v>300</v>
      </c>
      <c r="CX3" s="165">
        <f t="shared" ref="CX3" si="91">CW3</f>
        <v>300</v>
      </c>
      <c r="CY3" s="165">
        <f t="shared" ref="CY3" si="92">CX3</f>
        <v>300</v>
      </c>
      <c r="CZ3" s="165">
        <f t="shared" ref="CZ3" si="93">CY3</f>
        <v>300</v>
      </c>
      <c r="DA3" s="165">
        <f t="shared" ref="DA3" si="94">CZ3</f>
        <v>300</v>
      </c>
      <c r="DB3" s="165">
        <f t="shared" ref="DB3" si="95">DA3</f>
        <v>300</v>
      </c>
      <c r="DC3" s="165">
        <f t="shared" ref="DC3" si="96">DB3</f>
        <v>300</v>
      </c>
      <c r="DD3" s="165">
        <f t="shared" ref="DD3" si="97">DC3</f>
        <v>300</v>
      </c>
      <c r="DE3" s="165">
        <f t="shared" ref="DE3" si="98">DD3</f>
        <v>300</v>
      </c>
      <c r="DF3" s="165">
        <f t="shared" ref="DF3" si="99">DE3</f>
        <v>300</v>
      </c>
      <c r="DG3" s="165">
        <f t="shared" ref="DG3" si="100">DF3</f>
        <v>300</v>
      </c>
      <c r="DH3" s="165">
        <f t="shared" ref="DH3" si="101">DG3</f>
        <v>300</v>
      </c>
      <c r="DI3" s="165">
        <f t="shared" ref="DI3" si="102">DH3</f>
        <v>300</v>
      </c>
      <c r="DJ3" s="165">
        <f t="shared" ref="DJ3" si="103">DI3</f>
        <v>300</v>
      </c>
      <c r="DK3" s="165">
        <f t="shared" ref="DK3" si="104">DJ3</f>
        <v>300</v>
      </c>
      <c r="DL3" s="165">
        <f t="shared" ref="DL3" si="105">DK3</f>
        <v>300</v>
      </c>
      <c r="DM3" s="165">
        <f t="shared" ref="DM3" si="106">DL3</f>
        <v>300</v>
      </c>
      <c r="DN3" s="165">
        <f t="shared" ref="DN3" si="107">DM3</f>
        <v>300</v>
      </c>
      <c r="DO3" s="165">
        <f t="shared" ref="DO3" si="108">DN3</f>
        <v>300</v>
      </c>
      <c r="DP3" s="165">
        <f t="shared" ref="DP3" si="109">DO3</f>
        <v>300</v>
      </c>
      <c r="DQ3" s="165">
        <f t="shared" ref="DQ3" si="110">DP3</f>
        <v>300</v>
      </c>
      <c r="DR3" s="165">
        <f t="shared" ref="DR3" si="111">DQ3</f>
        <v>300</v>
      </c>
      <c r="DS3" s="165">
        <f t="shared" ref="DS3" si="112">DR3</f>
        <v>300</v>
      </c>
      <c r="DT3" s="165">
        <f t="shared" ref="DT3" si="113">DS3</f>
        <v>300</v>
      </c>
      <c r="DU3" s="165">
        <f t="shared" ref="DU3" si="114">DT3</f>
        <v>300</v>
      </c>
      <c r="DV3" s="165">
        <f t="shared" ref="DV3" si="115">DU3</f>
        <v>300</v>
      </c>
      <c r="DW3" s="165">
        <f t="shared" ref="DW3" si="116">DV3</f>
        <v>300</v>
      </c>
      <c r="DX3" s="165">
        <f t="shared" ref="DX3" si="117">DW3</f>
        <v>300</v>
      </c>
    </row>
    <row r="4" spans="1:128" s="166" customFormat="1">
      <c r="A4" s="163" t="s">
        <v>6322</v>
      </c>
      <c r="B4" s="164">
        <f>ROUND(B2/B3,0)</f>
        <v>2</v>
      </c>
      <c r="C4" s="164">
        <f t="shared" ref="C4:L4" si="118">ROUND(C2/C3,0)</f>
        <v>4</v>
      </c>
      <c r="D4" s="164">
        <f t="shared" si="118"/>
        <v>8</v>
      </c>
      <c r="E4" s="164">
        <f t="shared" si="118"/>
        <v>18</v>
      </c>
      <c r="F4" s="164">
        <f t="shared" si="118"/>
        <v>39</v>
      </c>
      <c r="G4" s="164">
        <f t="shared" si="118"/>
        <v>86</v>
      </c>
      <c r="H4" s="164">
        <f t="shared" si="118"/>
        <v>189</v>
      </c>
      <c r="I4" s="164">
        <f t="shared" si="118"/>
        <v>333</v>
      </c>
      <c r="J4" s="164">
        <f t="shared" si="118"/>
        <v>733</v>
      </c>
      <c r="K4" s="164">
        <f t="shared" si="118"/>
        <v>1613</v>
      </c>
      <c r="L4" s="164">
        <f t="shared" si="118"/>
        <v>3549</v>
      </c>
      <c r="M4" s="164">
        <f t="shared" ref="M4:BX4" si="119">ROUND(M2/M3,0)</f>
        <v>14461</v>
      </c>
      <c r="N4" s="164">
        <f t="shared" si="119"/>
        <v>7075</v>
      </c>
      <c r="O4" s="164">
        <f t="shared" si="119"/>
        <v>5426</v>
      </c>
      <c r="P4" s="164">
        <f t="shared" si="119"/>
        <v>5155</v>
      </c>
      <c r="Q4" s="164">
        <f t="shared" si="119"/>
        <v>3387</v>
      </c>
      <c r="R4" s="164">
        <f t="shared" si="119"/>
        <v>3025</v>
      </c>
      <c r="S4" s="164">
        <f t="shared" si="119"/>
        <v>2880</v>
      </c>
      <c r="T4" s="164">
        <f t="shared" si="119"/>
        <v>2842</v>
      </c>
      <c r="U4" s="164">
        <f t="shared" si="119"/>
        <v>2727</v>
      </c>
      <c r="V4" s="164">
        <f t="shared" si="119"/>
        <v>2617</v>
      </c>
      <c r="W4" s="164">
        <f t="shared" si="119"/>
        <v>2432</v>
      </c>
      <c r="X4" s="164">
        <f t="shared" si="119"/>
        <v>1970</v>
      </c>
      <c r="Y4" s="164">
        <f t="shared" si="119"/>
        <v>1653</v>
      </c>
      <c r="Z4" s="164">
        <f t="shared" si="119"/>
        <v>1608</v>
      </c>
      <c r="AA4" s="164">
        <f t="shared" si="119"/>
        <v>1567</v>
      </c>
      <c r="AB4" s="164">
        <f t="shared" si="119"/>
        <v>1500</v>
      </c>
      <c r="AC4" s="164">
        <f t="shared" si="119"/>
        <v>1433</v>
      </c>
      <c r="AD4" s="164">
        <f t="shared" si="119"/>
        <v>1365</v>
      </c>
      <c r="AE4" s="164">
        <f t="shared" si="119"/>
        <v>1306</v>
      </c>
      <c r="AF4" s="164">
        <f t="shared" si="119"/>
        <v>1267</v>
      </c>
      <c r="AG4" s="164">
        <f t="shared" si="119"/>
        <v>1234</v>
      </c>
      <c r="AH4" s="164">
        <f t="shared" si="119"/>
        <v>1102</v>
      </c>
      <c r="AI4" s="164">
        <f t="shared" si="119"/>
        <v>1030</v>
      </c>
      <c r="AJ4" s="164">
        <f t="shared" si="119"/>
        <v>1017</v>
      </c>
      <c r="AK4" s="164">
        <f t="shared" si="119"/>
        <v>976</v>
      </c>
      <c r="AL4" s="164">
        <f t="shared" si="119"/>
        <v>907</v>
      </c>
      <c r="AM4" s="164">
        <f t="shared" si="119"/>
        <v>798</v>
      </c>
      <c r="AN4" s="164">
        <f t="shared" si="119"/>
        <v>798</v>
      </c>
      <c r="AO4" s="164">
        <f t="shared" si="119"/>
        <v>761</v>
      </c>
      <c r="AP4" s="164">
        <f t="shared" si="119"/>
        <v>725</v>
      </c>
      <c r="AQ4" s="164">
        <f t="shared" si="119"/>
        <v>697</v>
      </c>
      <c r="AR4" s="164">
        <f t="shared" si="119"/>
        <v>678</v>
      </c>
      <c r="AS4" s="164">
        <f t="shared" si="119"/>
        <v>664</v>
      </c>
      <c r="AT4" s="164">
        <f t="shared" si="119"/>
        <v>624</v>
      </c>
      <c r="AU4" s="164">
        <f t="shared" si="119"/>
        <v>553</v>
      </c>
      <c r="AV4" s="164">
        <f t="shared" si="119"/>
        <v>542</v>
      </c>
      <c r="AW4" s="164">
        <f t="shared" si="119"/>
        <v>540</v>
      </c>
      <c r="AX4" s="164">
        <f t="shared" si="119"/>
        <v>527</v>
      </c>
      <c r="AY4" s="164">
        <f t="shared" si="119"/>
        <v>502</v>
      </c>
      <c r="AZ4" s="164">
        <f t="shared" si="119"/>
        <v>496</v>
      </c>
      <c r="BA4" s="164">
        <f t="shared" si="119"/>
        <v>490</v>
      </c>
      <c r="BB4" s="164">
        <f t="shared" si="119"/>
        <v>475</v>
      </c>
      <c r="BC4" s="164">
        <f t="shared" si="119"/>
        <v>444</v>
      </c>
      <c r="BD4" s="164">
        <f t="shared" si="119"/>
        <v>394</v>
      </c>
      <c r="BE4" s="164">
        <f t="shared" si="119"/>
        <v>386</v>
      </c>
      <c r="BF4" s="164">
        <f t="shared" si="119"/>
        <v>379</v>
      </c>
      <c r="BG4" s="164">
        <f t="shared" si="119"/>
        <v>372</v>
      </c>
      <c r="BH4" s="164">
        <f t="shared" si="119"/>
        <v>371</v>
      </c>
      <c r="BI4" s="164">
        <f t="shared" si="119"/>
        <v>346</v>
      </c>
      <c r="BJ4" s="164">
        <f t="shared" si="119"/>
        <v>345</v>
      </c>
      <c r="BK4" s="164">
        <f t="shared" si="119"/>
        <v>330</v>
      </c>
      <c r="BL4" s="164">
        <f t="shared" si="119"/>
        <v>314</v>
      </c>
      <c r="BM4" s="164">
        <f t="shared" si="119"/>
        <v>308</v>
      </c>
      <c r="BN4" s="164">
        <f t="shared" si="119"/>
        <v>305</v>
      </c>
      <c r="BO4" s="164">
        <f t="shared" si="119"/>
        <v>252</v>
      </c>
      <c r="BP4" s="164">
        <f t="shared" si="119"/>
        <v>245</v>
      </c>
      <c r="BQ4" s="164">
        <f t="shared" si="119"/>
        <v>244</v>
      </c>
      <c r="BR4" s="164">
        <f t="shared" si="119"/>
        <v>233</v>
      </c>
      <c r="BS4" s="164">
        <f t="shared" si="119"/>
        <v>225</v>
      </c>
      <c r="BT4" s="164">
        <f t="shared" si="119"/>
        <v>219</v>
      </c>
      <c r="BU4" s="164">
        <f t="shared" si="119"/>
        <v>216</v>
      </c>
      <c r="BV4" s="164">
        <f t="shared" si="119"/>
        <v>195</v>
      </c>
      <c r="BW4" s="164">
        <f t="shared" si="119"/>
        <v>191</v>
      </c>
      <c r="BX4" s="164">
        <f t="shared" si="119"/>
        <v>181</v>
      </c>
      <c r="BY4" s="164">
        <f t="shared" ref="BY4:DX4" si="120">ROUND(BY2/BY3,0)</f>
        <v>160</v>
      </c>
      <c r="BZ4" s="164">
        <f t="shared" si="120"/>
        <v>158</v>
      </c>
      <c r="CA4" s="164">
        <f t="shared" si="120"/>
        <v>154</v>
      </c>
      <c r="CB4" s="164">
        <f t="shared" si="120"/>
        <v>151</v>
      </c>
      <c r="CC4" s="164">
        <f t="shared" si="120"/>
        <v>148</v>
      </c>
      <c r="CD4" s="164">
        <f t="shared" si="120"/>
        <v>147</v>
      </c>
      <c r="CE4" s="164">
        <f t="shared" si="120"/>
        <v>144</v>
      </c>
      <c r="CF4" s="164">
        <f t="shared" si="120"/>
        <v>105</v>
      </c>
      <c r="CG4" s="164">
        <f t="shared" si="120"/>
        <v>103</v>
      </c>
      <c r="CH4" s="164">
        <f t="shared" si="120"/>
        <v>101</v>
      </c>
      <c r="CI4" s="164">
        <f t="shared" si="120"/>
        <v>98</v>
      </c>
      <c r="CJ4" s="164">
        <f t="shared" si="120"/>
        <v>97</v>
      </c>
      <c r="CK4" s="164">
        <f t="shared" si="120"/>
        <v>97</v>
      </c>
      <c r="CL4" s="164">
        <f t="shared" si="120"/>
        <v>96</v>
      </c>
      <c r="CM4" s="164">
        <f t="shared" si="120"/>
        <v>92</v>
      </c>
      <c r="CN4" s="164">
        <f t="shared" si="120"/>
        <v>85</v>
      </c>
      <c r="CO4" s="164">
        <f t="shared" si="120"/>
        <v>80</v>
      </c>
      <c r="CP4" s="164">
        <f t="shared" si="120"/>
        <v>79</v>
      </c>
      <c r="CQ4" s="164">
        <f t="shared" si="120"/>
        <v>75</v>
      </c>
      <c r="CR4" s="164">
        <f t="shared" si="120"/>
        <v>72</v>
      </c>
      <c r="CS4" s="164">
        <f t="shared" si="120"/>
        <v>71</v>
      </c>
      <c r="CT4" s="164">
        <f t="shared" si="120"/>
        <v>64</v>
      </c>
      <c r="CU4" s="164">
        <f t="shared" si="120"/>
        <v>61</v>
      </c>
      <c r="CV4" s="164">
        <f t="shared" si="120"/>
        <v>60</v>
      </c>
      <c r="CW4" s="164">
        <f t="shared" si="120"/>
        <v>58</v>
      </c>
      <c r="CX4" s="164">
        <f t="shared" si="120"/>
        <v>56</v>
      </c>
      <c r="CY4" s="164">
        <f t="shared" si="120"/>
        <v>52</v>
      </c>
      <c r="CZ4" s="164">
        <f t="shared" si="120"/>
        <v>51</v>
      </c>
      <c r="DA4" s="164">
        <f t="shared" si="120"/>
        <v>40</v>
      </c>
      <c r="DB4" s="164">
        <f t="shared" si="120"/>
        <v>39</v>
      </c>
      <c r="DC4" s="164">
        <f t="shared" si="120"/>
        <v>38</v>
      </c>
      <c r="DD4" s="164">
        <f t="shared" si="120"/>
        <v>38</v>
      </c>
      <c r="DE4" s="164">
        <f t="shared" si="120"/>
        <v>35</v>
      </c>
      <c r="DF4" s="164">
        <f t="shared" si="120"/>
        <v>32</v>
      </c>
      <c r="DG4" s="164">
        <f t="shared" si="120"/>
        <v>27</v>
      </c>
      <c r="DH4" s="164">
        <f t="shared" si="120"/>
        <v>27</v>
      </c>
      <c r="DI4" s="164">
        <f t="shared" si="120"/>
        <v>26</v>
      </c>
      <c r="DJ4" s="164">
        <f t="shared" si="120"/>
        <v>24</v>
      </c>
      <c r="DK4" s="164">
        <f t="shared" si="120"/>
        <v>24</v>
      </c>
      <c r="DL4" s="164">
        <f t="shared" si="120"/>
        <v>23</v>
      </c>
      <c r="DM4" s="164">
        <f t="shared" si="120"/>
        <v>23</v>
      </c>
      <c r="DN4" s="164">
        <f t="shared" si="120"/>
        <v>23</v>
      </c>
      <c r="DO4" s="164">
        <f t="shared" si="120"/>
        <v>21</v>
      </c>
      <c r="DP4" s="164">
        <f t="shared" si="120"/>
        <v>16</v>
      </c>
      <c r="DQ4" s="164">
        <f t="shared" si="120"/>
        <v>16</v>
      </c>
      <c r="DR4" s="164">
        <f t="shared" si="120"/>
        <v>15</v>
      </c>
      <c r="DS4" s="164">
        <f t="shared" si="120"/>
        <v>14</v>
      </c>
      <c r="DT4" s="164">
        <f t="shared" si="120"/>
        <v>10</v>
      </c>
      <c r="DU4" s="164">
        <f t="shared" si="120"/>
        <v>7</v>
      </c>
      <c r="DV4" s="164">
        <f t="shared" si="120"/>
        <v>5</v>
      </c>
      <c r="DW4" s="164">
        <f t="shared" si="120"/>
        <v>2</v>
      </c>
      <c r="DX4" s="164">
        <f t="shared" si="120"/>
        <v>2</v>
      </c>
    </row>
    <row r="5" spans="1:128" s="233" customFormat="1" ht="10.199999999999999">
      <c r="A5" s="232" t="s">
        <v>6323</v>
      </c>
      <c r="B5" s="233">
        <v>0.01</v>
      </c>
      <c r="C5" s="233">
        <f>B5</f>
        <v>0.01</v>
      </c>
      <c r="D5" s="233">
        <f t="shared" ref="D5:L5" si="121">C5</f>
        <v>0.01</v>
      </c>
      <c r="E5" s="233">
        <f t="shared" si="121"/>
        <v>0.01</v>
      </c>
      <c r="F5" s="233">
        <f t="shared" si="121"/>
        <v>0.01</v>
      </c>
      <c r="G5" s="233">
        <f t="shared" si="121"/>
        <v>0.01</v>
      </c>
      <c r="H5" s="233">
        <f t="shared" si="121"/>
        <v>0.01</v>
      </c>
      <c r="I5" s="233">
        <f t="shared" si="121"/>
        <v>0.01</v>
      </c>
      <c r="J5" s="233">
        <f t="shared" si="121"/>
        <v>0.01</v>
      </c>
      <c r="K5" s="233">
        <f t="shared" si="121"/>
        <v>0.01</v>
      </c>
      <c r="L5" s="233">
        <f t="shared" si="121"/>
        <v>0.01</v>
      </c>
      <c r="M5" s="233">
        <f t="shared" ref="M5" si="122">L5</f>
        <v>0.01</v>
      </c>
      <c r="N5" s="233">
        <f t="shared" ref="N5" si="123">M5</f>
        <v>0.01</v>
      </c>
      <c r="O5" s="233">
        <f t="shared" ref="O5" si="124">N5</f>
        <v>0.01</v>
      </c>
      <c r="P5" s="233">
        <f t="shared" ref="P5" si="125">O5</f>
        <v>0.01</v>
      </c>
      <c r="Q5" s="233">
        <f t="shared" ref="Q5" si="126">P5</f>
        <v>0.01</v>
      </c>
      <c r="R5" s="233">
        <f t="shared" ref="R5" si="127">Q5</f>
        <v>0.01</v>
      </c>
      <c r="S5" s="233">
        <f t="shared" ref="S5" si="128">R5</f>
        <v>0.01</v>
      </c>
      <c r="T5" s="233">
        <f t="shared" ref="T5" si="129">S5</f>
        <v>0.01</v>
      </c>
      <c r="U5" s="233">
        <f t="shared" ref="U5" si="130">T5</f>
        <v>0.01</v>
      </c>
      <c r="V5" s="233">
        <f t="shared" ref="V5" si="131">U5</f>
        <v>0.01</v>
      </c>
      <c r="W5" s="233">
        <f t="shared" ref="W5" si="132">V5</f>
        <v>0.01</v>
      </c>
      <c r="X5" s="233">
        <f t="shared" ref="X5" si="133">W5</f>
        <v>0.01</v>
      </c>
      <c r="Y5" s="233">
        <f t="shared" ref="Y5" si="134">X5</f>
        <v>0.01</v>
      </c>
      <c r="Z5" s="233">
        <f t="shared" ref="Z5" si="135">Y5</f>
        <v>0.01</v>
      </c>
      <c r="AA5" s="233">
        <f t="shared" ref="AA5" si="136">Z5</f>
        <v>0.01</v>
      </c>
      <c r="AB5" s="233">
        <f t="shared" ref="AB5" si="137">AA5</f>
        <v>0.01</v>
      </c>
      <c r="AC5" s="233">
        <f t="shared" ref="AC5" si="138">AB5</f>
        <v>0.01</v>
      </c>
      <c r="AD5" s="233">
        <f t="shared" ref="AD5" si="139">AC5</f>
        <v>0.01</v>
      </c>
      <c r="AE5" s="233">
        <f t="shared" ref="AE5" si="140">AD5</f>
        <v>0.01</v>
      </c>
      <c r="AF5" s="233">
        <f t="shared" ref="AF5" si="141">AE5</f>
        <v>0.01</v>
      </c>
      <c r="AG5" s="233">
        <f t="shared" ref="AG5" si="142">AF5</f>
        <v>0.01</v>
      </c>
      <c r="AH5" s="233">
        <f t="shared" ref="AH5" si="143">AG5</f>
        <v>0.01</v>
      </c>
      <c r="AI5" s="233">
        <f t="shared" ref="AI5" si="144">AH5</f>
        <v>0.01</v>
      </c>
      <c r="AJ5" s="233">
        <f t="shared" ref="AJ5" si="145">AI5</f>
        <v>0.01</v>
      </c>
      <c r="AK5" s="233">
        <f t="shared" ref="AK5" si="146">AJ5</f>
        <v>0.01</v>
      </c>
      <c r="AL5" s="233">
        <f t="shared" ref="AL5" si="147">AK5</f>
        <v>0.01</v>
      </c>
      <c r="AM5" s="233">
        <f t="shared" ref="AM5" si="148">AL5</f>
        <v>0.01</v>
      </c>
      <c r="AN5" s="233">
        <f t="shared" ref="AN5" si="149">AM5</f>
        <v>0.01</v>
      </c>
      <c r="AO5" s="233">
        <f t="shared" ref="AO5" si="150">AN5</f>
        <v>0.01</v>
      </c>
      <c r="AP5" s="233">
        <f t="shared" ref="AP5" si="151">AO5</f>
        <v>0.01</v>
      </c>
      <c r="AQ5" s="233">
        <f t="shared" ref="AQ5" si="152">AP5</f>
        <v>0.01</v>
      </c>
      <c r="AR5" s="233">
        <f t="shared" ref="AR5" si="153">AQ5</f>
        <v>0.01</v>
      </c>
      <c r="AS5" s="233">
        <f t="shared" ref="AS5" si="154">AR5</f>
        <v>0.01</v>
      </c>
      <c r="AT5" s="233">
        <f t="shared" ref="AT5" si="155">AS5</f>
        <v>0.01</v>
      </c>
      <c r="AU5" s="233">
        <f t="shared" ref="AU5" si="156">AT5</f>
        <v>0.01</v>
      </c>
      <c r="AV5" s="233">
        <f t="shared" ref="AV5" si="157">AU5</f>
        <v>0.01</v>
      </c>
      <c r="AW5" s="233">
        <f t="shared" ref="AW5" si="158">AV5</f>
        <v>0.01</v>
      </c>
      <c r="AX5" s="233">
        <f t="shared" ref="AX5" si="159">AW5</f>
        <v>0.01</v>
      </c>
      <c r="AY5" s="233">
        <f t="shared" ref="AY5" si="160">AX5</f>
        <v>0.01</v>
      </c>
      <c r="AZ5" s="233">
        <f t="shared" ref="AZ5" si="161">AY5</f>
        <v>0.01</v>
      </c>
      <c r="BA5" s="233">
        <f t="shared" ref="BA5" si="162">AZ5</f>
        <v>0.01</v>
      </c>
      <c r="BB5" s="233">
        <f t="shared" ref="BB5" si="163">BA5</f>
        <v>0.01</v>
      </c>
      <c r="BC5" s="233">
        <f t="shared" ref="BC5" si="164">BB5</f>
        <v>0.01</v>
      </c>
      <c r="BD5" s="233">
        <f t="shared" ref="BD5" si="165">BC5</f>
        <v>0.01</v>
      </c>
      <c r="BE5" s="233">
        <f t="shared" ref="BE5" si="166">BD5</f>
        <v>0.01</v>
      </c>
      <c r="BF5" s="233">
        <f t="shared" ref="BF5" si="167">BE5</f>
        <v>0.01</v>
      </c>
      <c r="BG5" s="233">
        <f t="shared" ref="BG5" si="168">BF5</f>
        <v>0.01</v>
      </c>
      <c r="BH5" s="233">
        <f t="shared" ref="BH5" si="169">BG5</f>
        <v>0.01</v>
      </c>
      <c r="BI5" s="233">
        <f t="shared" ref="BI5" si="170">BH5</f>
        <v>0.01</v>
      </c>
      <c r="BJ5" s="233">
        <f t="shared" ref="BJ5" si="171">BI5</f>
        <v>0.01</v>
      </c>
      <c r="BK5" s="233">
        <f t="shared" ref="BK5" si="172">BJ5</f>
        <v>0.01</v>
      </c>
      <c r="BL5" s="233">
        <f t="shared" ref="BL5" si="173">BK5</f>
        <v>0.01</v>
      </c>
      <c r="BM5" s="233">
        <f t="shared" ref="BM5" si="174">BL5</f>
        <v>0.01</v>
      </c>
      <c r="BN5" s="233">
        <f t="shared" ref="BN5" si="175">BM5</f>
        <v>0.01</v>
      </c>
      <c r="BO5" s="233">
        <f t="shared" ref="BO5" si="176">BN5</f>
        <v>0.01</v>
      </c>
      <c r="BP5" s="233">
        <f t="shared" ref="BP5" si="177">BO5</f>
        <v>0.01</v>
      </c>
      <c r="BQ5" s="233">
        <f t="shared" ref="BQ5" si="178">BP5</f>
        <v>0.01</v>
      </c>
      <c r="BR5" s="233">
        <f t="shared" ref="BR5" si="179">BQ5</f>
        <v>0.01</v>
      </c>
      <c r="BS5" s="233">
        <f t="shared" ref="BS5" si="180">BR5</f>
        <v>0.01</v>
      </c>
      <c r="BT5" s="233">
        <f t="shared" ref="BT5" si="181">BS5</f>
        <v>0.01</v>
      </c>
      <c r="BU5" s="233">
        <f t="shared" ref="BU5" si="182">BT5</f>
        <v>0.01</v>
      </c>
      <c r="BV5" s="233">
        <f t="shared" ref="BV5" si="183">BU5</f>
        <v>0.01</v>
      </c>
      <c r="BW5" s="233">
        <f t="shared" ref="BW5" si="184">BV5</f>
        <v>0.01</v>
      </c>
      <c r="BX5" s="233">
        <f t="shared" ref="BX5" si="185">BW5</f>
        <v>0.01</v>
      </c>
      <c r="BY5" s="233">
        <f t="shared" ref="BY5" si="186">BX5</f>
        <v>0.01</v>
      </c>
      <c r="BZ5" s="233">
        <f t="shared" ref="BZ5" si="187">BY5</f>
        <v>0.01</v>
      </c>
      <c r="CA5" s="233">
        <f t="shared" ref="CA5" si="188">BZ5</f>
        <v>0.01</v>
      </c>
      <c r="CB5" s="233">
        <f t="shared" ref="CB5" si="189">CA5</f>
        <v>0.01</v>
      </c>
      <c r="CC5" s="233">
        <f t="shared" ref="CC5" si="190">CB5</f>
        <v>0.01</v>
      </c>
      <c r="CD5" s="233">
        <f t="shared" ref="CD5" si="191">CC5</f>
        <v>0.01</v>
      </c>
      <c r="CE5" s="233">
        <f t="shared" ref="CE5" si="192">CD5</f>
        <v>0.01</v>
      </c>
      <c r="CF5" s="233">
        <f t="shared" ref="CF5" si="193">CE5</f>
        <v>0.01</v>
      </c>
      <c r="CG5" s="233">
        <f t="shared" ref="CG5" si="194">CF5</f>
        <v>0.01</v>
      </c>
      <c r="CH5" s="233">
        <f t="shared" ref="CH5" si="195">CG5</f>
        <v>0.01</v>
      </c>
      <c r="CI5" s="233">
        <f t="shared" ref="CI5" si="196">CH5</f>
        <v>0.01</v>
      </c>
      <c r="CJ5" s="233">
        <f t="shared" ref="CJ5" si="197">CI5</f>
        <v>0.01</v>
      </c>
      <c r="CK5" s="233">
        <f t="shared" ref="CK5" si="198">CJ5</f>
        <v>0.01</v>
      </c>
      <c r="CL5" s="233">
        <f t="shared" ref="CL5" si="199">CK5</f>
        <v>0.01</v>
      </c>
      <c r="CM5" s="233">
        <f t="shared" ref="CM5" si="200">CL5</f>
        <v>0.01</v>
      </c>
      <c r="CN5" s="233">
        <f t="shared" ref="CN5" si="201">CM5</f>
        <v>0.01</v>
      </c>
      <c r="CO5" s="233">
        <f t="shared" ref="CO5" si="202">CN5</f>
        <v>0.01</v>
      </c>
      <c r="CP5" s="233">
        <f t="shared" ref="CP5" si="203">CO5</f>
        <v>0.01</v>
      </c>
      <c r="CQ5" s="233">
        <f t="shared" ref="CQ5" si="204">CP5</f>
        <v>0.01</v>
      </c>
      <c r="CR5" s="233">
        <f t="shared" ref="CR5" si="205">CQ5</f>
        <v>0.01</v>
      </c>
      <c r="CS5" s="233">
        <f t="shared" ref="CS5" si="206">CR5</f>
        <v>0.01</v>
      </c>
      <c r="CT5" s="233">
        <f t="shared" ref="CT5" si="207">CS5</f>
        <v>0.01</v>
      </c>
      <c r="CU5" s="233">
        <f t="shared" ref="CU5" si="208">CT5</f>
        <v>0.01</v>
      </c>
      <c r="CV5" s="233">
        <f t="shared" ref="CV5" si="209">CU5</f>
        <v>0.01</v>
      </c>
      <c r="CW5" s="233">
        <f t="shared" ref="CW5" si="210">CV5</f>
        <v>0.01</v>
      </c>
      <c r="CX5" s="233">
        <f t="shared" ref="CX5" si="211">CW5</f>
        <v>0.01</v>
      </c>
      <c r="CY5" s="233">
        <f t="shared" ref="CY5" si="212">CX5</f>
        <v>0.01</v>
      </c>
      <c r="CZ5" s="233">
        <f t="shared" ref="CZ5" si="213">CY5</f>
        <v>0.01</v>
      </c>
      <c r="DA5" s="233">
        <f t="shared" ref="DA5" si="214">CZ5</f>
        <v>0.01</v>
      </c>
      <c r="DB5" s="233">
        <f t="shared" ref="DB5" si="215">DA5</f>
        <v>0.01</v>
      </c>
      <c r="DC5" s="233">
        <f t="shared" ref="DC5" si="216">DB5</f>
        <v>0.01</v>
      </c>
      <c r="DD5" s="233">
        <f t="shared" ref="DD5" si="217">DC5</f>
        <v>0.01</v>
      </c>
      <c r="DE5" s="233">
        <f t="shared" ref="DE5" si="218">DD5</f>
        <v>0.01</v>
      </c>
      <c r="DF5" s="233">
        <f t="shared" ref="DF5" si="219">DE5</f>
        <v>0.01</v>
      </c>
      <c r="DG5" s="233">
        <f t="shared" ref="DG5" si="220">DF5</f>
        <v>0.01</v>
      </c>
      <c r="DH5" s="233">
        <f t="shared" ref="DH5" si="221">DG5</f>
        <v>0.01</v>
      </c>
      <c r="DI5" s="233">
        <f t="shared" ref="DI5" si="222">DH5</f>
        <v>0.01</v>
      </c>
      <c r="DJ5" s="233">
        <f t="shared" ref="DJ5" si="223">DI5</f>
        <v>0.01</v>
      </c>
      <c r="DK5" s="233">
        <f t="shared" ref="DK5" si="224">DJ5</f>
        <v>0.01</v>
      </c>
      <c r="DL5" s="233">
        <f t="shared" ref="DL5" si="225">DK5</f>
        <v>0.01</v>
      </c>
      <c r="DM5" s="233">
        <f t="shared" ref="DM5" si="226">DL5</f>
        <v>0.01</v>
      </c>
      <c r="DN5" s="233">
        <f t="shared" ref="DN5" si="227">DM5</f>
        <v>0.01</v>
      </c>
      <c r="DO5" s="233">
        <f t="shared" ref="DO5" si="228">DN5</f>
        <v>0.01</v>
      </c>
      <c r="DP5" s="233">
        <f t="shared" ref="DP5" si="229">DO5</f>
        <v>0.01</v>
      </c>
      <c r="DQ5" s="233">
        <f t="shared" ref="DQ5" si="230">DP5</f>
        <v>0.01</v>
      </c>
      <c r="DR5" s="233">
        <f t="shared" ref="DR5" si="231">DQ5</f>
        <v>0.01</v>
      </c>
      <c r="DS5" s="233">
        <f t="shared" ref="DS5" si="232">DR5</f>
        <v>0.01</v>
      </c>
      <c r="DT5" s="233">
        <f t="shared" ref="DT5" si="233">DS5</f>
        <v>0.01</v>
      </c>
      <c r="DU5" s="233">
        <f t="shared" ref="DU5" si="234">DT5</f>
        <v>0.01</v>
      </c>
      <c r="DV5" s="233">
        <f t="shared" ref="DV5" si="235">DU5</f>
        <v>0.01</v>
      </c>
      <c r="DW5" s="233">
        <f t="shared" ref="DW5" si="236">DV5</f>
        <v>0.01</v>
      </c>
      <c r="DX5" s="233">
        <f t="shared" ref="DX5" si="237">DW5</f>
        <v>0.01</v>
      </c>
    </row>
    <row r="6" spans="1:128" s="168" customFormat="1" ht="27.6">
      <c r="A6" s="167" t="s">
        <v>6324</v>
      </c>
      <c r="B6" s="168">
        <f t="shared" ref="B6:L6" si="238">1-B5</f>
        <v>0.99</v>
      </c>
      <c r="C6" s="168">
        <f t="shared" si="238"/>
        <v>0.99</v>
      </c>
      <c r="D6" s="168">
        <f t="shared" si="238"/>
        <v>0.99</v>
      </c>
      <c r="E6" s="168">
        <f t="shared" si="238"/>
        <v>0.99</v>
      </c>
      <c r="F6" s="168">
        <f t="shared" si="238"/>
        <v>0.99</v>
      </c>
      <c r="G6" s="168">
        <f t="shared" si="238"/>
        <v>0.99</v>
      </c>
      <c r="H6" s="168">
        <f t="shared" si="238"/>
        <v>0.99</v>
      </c>
      <c r="I6" s="168">
        <f t="shared" si="238"/>
        <v>0.99</v>
      </c>
      <c r="J6" s="168">
        <f t="shared" si="238"/>
        <v>0.99</v>
      </c>
      <c r="K6" s="168">
        <f t="shared" si="238"/>
        <v>0.99</v>
      </c>
      <c r="L6" s="168">
        <f t="shared" si="238"/>
        <v>0.99</v>
      </c>
      <c r="M6" s="168">
        <f t="shared" ref="M6:BX6" si="239">1-M5</f>
        <v>0.99</v>
      </c>
      <c r="N6" s="168">
        <f t="shared" si="239"/>
        <v>0.99</v>
      </c>
      <c r="O6" s="168">
        <f t="shared" si="239"/>
        <v>0.99</v>
      </c>
      <c r="P6" s="168">
        <f t="shared" si="239"/>
        <v>0.99</v>
      </c>
      <c r="Q6" s="168">
        <f t="shared" si="239"/>
        <v>0.99</v>
      </c>
      <c r="R6" s="168">
        <f t="shared" si="239"/>
        <v>0.99</v>
      </c>
      <c r="S6" s="168">
        <f t="shared" si="239"/>
        <v>0.99</v>
      </c>
      <c r="T6" s="168">
        <f t="shared" si="239"/>
        <v>0.99</v>
      </c>
      <c r="U6" s="168">
        <f t="shared" si="239"/>
        <v>0.99</v>
      </c>
      <c r="V6" s="168">
        <f t="shared" si="239"/>
        <v>0.99</v>
      </c>
      <c r="W6" s="168">
        <f t="shared" si="239"/>
        <v>0.99</v>
      </c>
      <c r="X6" s="168">
        <f t="shared" si="239"/>
        <v>0.99</v>
      </c>
      <c r="Y6" s="168">
        <f t="shared" si="239"/>
        <v>0.99</v>
      </c>
      <c r="Z6" s="168">
        <f t="shared" si="239"/>
        <v>0.99</v>
      </c>
      <c r="AA6" s="168">
        <f t="shared" si="239"/>
        <v>0.99</v>
      </c>
      <c r="AB6" s="168">
        <f t="shared" si="239"/>
        <v>0.99</v>
      </c>
      <c r="AC6" s="168">
        <f t="shared" si="239"/>
        <v>0.99</v>
      </c>
      <c r="AD6" s="168">
        <f t="shared" si="239"/>
        <v>0.99</v>
      </c>
      <c r="AE6" s="168">
        <f t="shared" si="239"/>
        <v>0.99</v>
      </c>
      <c r="AF6" s="168">
        <f t="shared" si="239"/>
        <v>0.99</v>
      </c>
      <c r="AG6" s="168">
        <f t="shared" si="239"/>
        <v>0.99</v>
      </c>
      <c r="AH6" s="168">
        <f t="shared" si="239"/>
        <v>0.99</v>
      </c>
      <c r="AI6" s="168">
        <f t="shared" si="239"/>
        <v>0.99</v>
      </c>
      <c r="AJ6" s="168">
        <f t="shared" si="239"/>
        <v>0.99</v>
      </c>
      <c r="AK6" s="168">
        <f t="shared" si="239"/>
        <v>0.99</v>
      </c>
      <c r="AL6" s="168">
        <f t="shared" si="239"/>
        <v>0.99</v>
      </c>
      <c r="AM6" s="168">
        <f t="shared" si="239"/>
        <v>0.99</v>
      </c>
      <c r="AN6" s="168">
        <f t="shared" si="239"/>
        <v>0.99</v>
      </c>
      <c r="AO6" s="168">
        <f t="shared" si="239"/>
        <v>0.99</v>
      </c>
      <c r="AP6" s="168">
        <f t="shared" si="239"/>
        <v>0.99</v>
      </c>
      <c r="AQ6" s="168">
        <f t="shared" si="239"/>
        <v>0.99</v>
      </c>
      <c r="AR6" s="168">
        <f t="shared" si="239"/>
        <v>0.99</v>
      </c>
      <c r="AS6" s="168">
        <f t="shared" si="239"/>
        <v>0.99</v>
      </c>
      <c r="AT6" s="168">
        <f t="shared" si="239"/>
        <v>0.99</v>
      </c>
      <c r="AU6" s="168">
        <f t="shared" si="239"/>
        <v>0.99</v>
      </c>
      <c r="AV6" s="168">
        <f t="shared" si="239"/>
        <v>0.99</v>
      </c>
      <c r="AW6" s="168">
        <f t="shared" si="239"/>
        <v>0.99</v>
      </c>
      <c r="AX6" s="168">
        <f t="shared" si="239"/>
        <v>0.99</v>
      </c>
      <c r="AY6" s="168">
        <f t="shared" si="239"/>
        <v>0.99</v>
      </c>
      <c r="AZ6" s="168">
        <f t="shared" si="239"/>
        <v>0.99</v>
      </c>
      <c r="BA6" s="168">
        <f t="shared" si="239"/>
        <v>0.99</v>
      </c>
      <c r="BB6" s="168">
        <f t="shared" si="239"/>
        <v>0.99</v>
      </c>
      <c r="BC6" s="168">
        <f t="shared" si="239"/>
        <v>0.99</v>
      </c>
      <c r="BD6" s="168">
        <f t="shared" si="239"/>
        <v>0.99</v>
      </c>
      <c r="BE6" s="168">
        <f t="shared" si="239"/>
        <v>0.99</v>
      </c>
      <c r="BF6" s="168">
        <f t="shared" si="239"/>
        <v>0.99</v>
      </c>
      <c r="BG6" s="168">
        <f t="shared" si="239"/>
        <v>0.99</v>
      </c>
      <c r="BH6" s="168">
        <f t="shared" si="239"/>
        <v>0.99</v>
      </c>
      <c r="BI6" s="168">
        <f t="shared" si="239"/>
        <v>0.99</v>
      </c>
      <c r="BJ6" s="168">
        <f t="shared" si="239"/>
        <v>0.99</v>
      </c>
      <c r="BK6" s="168">
        <f t="shared" si="239"/>
        <v>0.99</v>
      </c>
      <c r="BL6" s="168">
        <f t="shared" si="239"/>
        <v>0.99</v>
      </c>
      <c r="BM6" s="168">
        <f t="shared" si="239"/>
        <v>0.99</v>
      </c>
      <c r="BN6" s="168">
        <f t="shared" si="239"/>
        <v>0.99</v>
      </c>
      <c r="BO6" s="168">
        <f t="shared" si="239"/>
        <v>0.99</v>
      </c>
      <c r="BP6" s="168">
        <f t="shared" si="239"/>
        <v>0.99</v>
      </c>
      <c r="BQ6" s="168">
        <f t="shared" si="239"/>
        <v>0.99</v>
      </c>
      <c r="BR6" s="168">
        <f t="shared" si="239"/>
        <v>0.99</v>
      </c>
      <c r="BS6" s="168">
        <f t="shared" si="239"/>
        <v>0.99</v>
      </c>
      <c r="BT6" s="168">
        <f t="shared" si="239"/>
        <v>0.99</v>
      </c>
      <c r="BU6" s="168">
        <f t="shared" si="239"/>
        <v>0.99</v>
      </c>
      <c r="BV6" s="168">
        <f t="shared" si="239"/>
        <v>0.99</v>
      </c>
      <c r="BW6" s="168">
        <f t="shared" si="239"/>
        <v>0.99</v>
      </c>
      <c r="BX6" s="168">
        <f t="shared" si="239"/>
        <v>0.99</v>
      </c>
      <c r="BY6" s="168">
        <f t="shared" ref="BY6:DX6" si="240">1-BY5</f>
        <v>0.99</v>
      </c>
      <c r="BZ6" s="168">
        <f t="shared" si="240"/>
        <v>0.99</v>
      </c>
      <c r="CA6" s="168">
        <f t="shared" si="240"/>
        <v>0.99</v>
      </c>
      <c r="CB6" s="168">
        <f t="shared" si="240"/>
        <v>0.99</v>
      </c>
      <c r="CC6" s="168">
        <f t="shared" si="240"/>
        <v>0.99</v>
      </c>
      <c r="CD6" s="168">
        <f t="shared" si="240"/>
        <v>0.99</v>
      </c>
      <c r="CE6" s="168">
        <f t="shared" si="240"/>
        <v>0.99</v>
      </c>
      <c r="CF6" s="168">
        <f t="shared" si="240"/>
        <v>0.99</v>
      </c>
      <c r="CG6" s="168">
        <f t="shared" si="240"/>
        <v>0.99</v>
      </c>
      <c r="CH6" s="168">
        <f t="shared" si="240"/>
        <v>0.99</v>
      </c>
      <c r="CI6" s="168">
        <f t="shared" si="240"/>
        <v>0.99</v>
      </c>
      <c r="CJ6" s="168">
        <f t="shared" si="240"/>
        <v>0.99</v>
      </c>
      <c r="CK6" s="168">
        <f t="shared" si="240"/>
        <v>0.99</v>
      </c>
      <c r="CL6" s="168">
        <f t="shared" si="240"/>
        <v>0.99</v>
      </c>
      <c r="CM6" s="168">
        <f t="shared" si="240"/>
        <v>0.99</v>
      </c>
      <c r="CN6" s="168">
        <f t="shared" si="240"/>
        <v>0.99</v>
      </c>
      <c r="CO6" s="168">
        <f t="shared" si="240"/>
        <v>0.99</v>
      </c>
      <c r="CP6" s="168">
        <f t="shared" si="240"/>
        <v>0.99</v>
      </c>
      <c r="CQ6" s="168">
        <f t="shared" si="240"/>
        <v>0.99</v>
      </c>
      <c r="CR6" s="168">
        <f t="shared" si="240"/>
        <v>0.99</v>
      </c>
      <c r="CS6" s="168">
        <f t="shared" si="240"/>
        <v>0.99</v>
      </c>
      <c r="CT6" s="168">
        <f t="shared" si="240"/>
        <v>0.99</v>
      </c>
      <c r="CU6" s="168">
        <f t="shared" si="240"/>
        <v>0.99</v>
      </c>
      <c r="CV6" s="168">
        <f t="shared" si="240"/>
        <v>0.99</v>
      </c>
      <c r="CW6" s="168">
        <f t="shared" si="240"/>
        <v>0.99</v>
      </c>
      <c r="CX6" s="168">
        <f t="shared" si="240"/>
        <v>0.99</v>
      </c>
      <c r="CY6" s="168">
        <f t="shared" si="240"/>
        <v>0.99</v>
      </c>
      <c r="CZ6" s="168">
        <f t="shared" si="240"/>
        <v>0.99</v>
      </c>
      <c r="DA6" s="168">
        <f t="shared" si="240"/>
        <v>0.99</v>
      </c>
      <c r="DB6" s="168">
        <f t="shared" si="240"/>
        <v>0.99</v>
      </c>
      <c r="DC6" s="168">
        <f t="shared" si="240"/>
        <v>0.99</v>
      </c>
      <c r="DD6" s="168">
        <f t="shared" si="240"/>
        <v>0.99</v>
      </c>
      <c r="DE6" s="168">
        <f t="shared" si="240"/>
        <v>0.99</v>
      </c>
      <c r="DF6" s="168">
        <f t="shared" si="240"/>
        <v>0.99</v>
      </c>
      <c r="DG6" s="168">
        <f t="shared" si="240"/>
        <v>0.99</v>
      </c>
      <c r="DH6" s="168">
        <f t="shared" si="240"/>
        <v>0.99</v>
      </c>
      <c r="DI6" s="168">
        <f t="shared" si="240"/>
        <v>0.99</v>
      </c>
      <c r="DJ6" s="168">
        <f t="shared" si="240"/>
        <v>0.99</v>
      </c>
      <c r="DK6" s="168">
        <f t="shared" si="240"/>
        <v>0.99</v>
      </c>
      <c r="DL6" s="168">
        <f t="shared" si="240"/>
        <v>0.99</v>
      </c>
      <c r="DM6" s="168">
        <f t="shared" si="240"/>
        <v>0.99</v>
      </c>
      <c r="DN6" s="168">
        <f t="shared" si="240"/>
        <v>0.99</v>
      </c>
      <c r="DO6" s="168">
        <f t="shared" si="240"/>
        <v>0.99</v>
      </c>
      <c r="DP6" s="168">
        <f t="shared" si="240"/>
        <v>0.99</v>
      </c>
      <c r="DQ6" s="168">
        <f t="shared" si="240"/>
        <v>0.99</v>
      </c>
      <c r="DR6" s="168">
        <f t="shared" si="240"/>
        <v>0.99</v>
      </c>
      <c r="DS6" s="168">
        <f t="shared" si="240"/>
        <v>0.99</v>
      </c>
      <c r="DT6" s="168">
        <f t="shared" si="240"/>
        <v>0.99</v>
      </c>
      <c r="DU6" s="168">
        <f t="shared" si="240"/>
        <v>0.99</v>
      </c>
      <c r="DV6" s="168">
        <f t="shared" si="240"/>
        <v>0.99</v>
      </c>
      <c r="DW6" s="168">
        <f t="shared" si="240"/>
        <v>0.99</v>
      </c>
      <c r="DX6" s="168">
        <f t="shared" si="240"/>
        <v>0.99</v>
      </c>
    </row>
    <row r="7" spans="1:128" s="170" customFormat="1">
      <c r="A7" s="169" t="s">
        <v>6325</v>
      </c>
      <c r="B7" s="164">
        <f>ROUND(B5*B2,0)</f>
        <v>5</v>
      </c>
      <c r="C7" s="164">
        <f t="shared" ref="C7:L7" si="241">ROUND(C5*C2,0)</f>
        <v>11</v>
      </c>
      <c r="D7" s="164">
        <f t="shared" si="241"/>
        <v>24</v>
      </c>
      <c r="E7" s="164">
        <f t="shared" si="241"/>
        <v>53</v>
      </c>
      <c r="F7" s="164">
        <f t="shared" si="241"/>
        <v>117</v>
      </c>
      <c r="G7" s="164">
        <f t="shared" si="241"/>
        <v>258</v>
      </c>
      <c r="H7" s="164">
        <f t="shared" si="241"/>
        <v>567</v>
      </c>
      <c r="I7" s="164">
        <f t="shared" si="241"/>
        <v>1000</v>
      </c>
      <c r="J7" s="164">
        <f t="shared" si="241"/>
        <v>2200</v>
      </c>
      <c r="K7" s="164">
        <f t="shared" si="241"/>
        <v>4840</v>
      </c>
      <c r="L7" s="164">
        <f t="shared" si="241"/>
        <v>10648</v>
      </c>
      <c r="M7" s="164">
        <f t="shared" ref="M7:BX7" si="242">ROUND(M5*M2,0)</f>
        <v>43382</v>
      </c>
      <c r="N7" s="164">
        <f t="shared" si="242"/>
        <v>21225</v>
      </c>
      <c r="O7" s="164">
        <f t="shared" si="242"/>
        <v>16278</v>
      </c>
      <c r="P7" s="164">
        <f t="shared" si="242"/>
        <v>15466</v>
      </c>
      <c r="Q7" s="164">
        <f t="shared" si="242"/>
        <v>10160</v>
      </c>
      <c r="R7" s="164">
        <f t="shared" si="242"/>
        <v>9076</v>
      </c>
      <c r="S7" s="164">
        <f t="shared" si="242"/>
        <v>8640</v>
      </c>
      <c r="T7" s="164">
        <f t="shared" si="242"/>
        <v>8526</v>
      </c>
      <c r="U7" s="164">
        <f t="shared" si="242"/>
        <v>8180</v>
      </c>
      <c r="V7" s="164">
        <f t="shared" si="242"/>
        <v>7852</v>
      </c>
      <c r="W7" s="164">
        <f t="shared" si="242"/>
        <v>7296</v>
      </c>
      <c r="X7" s="164">
        <f t="shared" si="242"/>
        <v>5911</v>
      </c>
      <c r="Y7" s="164">
        <f t="shared" si="242"/>
        <v>4958</v>
      </c>
      <c r="Z7" s="164">
        <f t="shared" si="242"/>
        <v>4823</v>
      </c>
      <c r="AA7" s="164">
        <f t="shared" si="242"/>
        <v>4700</v>
      </c>
      <c r="AB7" s="164">
        <f t="shared" si="242"/>
        <v>4499</v>
      </c>
      <c r="AC7" s="164">
        <f t="shared" si="242"/>
        <v>4299</v>
      </c>
      <c r="AD7" s="164">
        <f t="shared" si="242"/>
        <v>4094</v>
      </c>
      <c r="AE7" s="164">
        <f t="shared" si="242"/>
        <v>3919</v>
      </c>
      <c r="AF7" s="164">
        <f t="shared" si="242"/>
        <v>3801</v>
      </c>
      <c r="AG7" s="164">
        <f t="shared" si="242"/>
        <v>3701</v>
      </c>
      <c r="AH7" s="164">
        <f t="shared" si="242"/>
        <v>3305</v>
      </c>
      <c r="AI7" s="164">
        <f t="shared" si="242"/>
        <v>3091</v>
      </c>
      <c r="AJ7" s="164">
        <f t="shared" si="242"/>
        <v>3052</v>
      </c>
      <c r="AK7" s="164">
        <f t="shared" si="242"/>
        <v>2928</v>
      </c>
      <c r="AL7" s="164">
        <f t="shared" si="242"/>
        <v>2722</v>
      </c>
      <c r="AM7" s="164">
        <f t="shared" si="242"/>
        <v>2394</v>
      </c>
      <c r="AN7" s="164">
        <f t="shared" si="242"/>
        <v>2393</v>
      </c>
      <c r="AO7" s="164">
        <f t="shared" si="242"/>
        <v>2283</v>
      </c>
      <c r="AP7" s="164">
        <f t="shared" si="242"/>
        <v>2175</v>
      </c>
      <c r="AQ7" s="164">
        <f t="shared" si="242"/>
        <v>2090</v>
      </c>
      <c r="AR7" s="164">
        <f t="shared" si="242"/>
        <v>2035</v>
      </c>
      <c r="AS7" s="164">
        <f t="shared" si="242"/>
        <v>1991</v>
      </c>
      <c r="AT7" s="164">
        <f t="shared" si="242"/>
        <v>1872</v>
      </c>
      <c r="AU7" s="164">
        <f t="shared" si="242"/>
        <v>1660</v>
      </c>
      <c r="AV7" s="164">
        <f t="shared" si="242"/>
        <v>1626</v>
      </c>
      <c r="AW7" s="164">
        <f t="shared" si="242"/>
        <v>1621</v>
      </c>
      <c r="AX7" s="164">
        <f t="shared" si="242"/>
        <v>1581</v>
      </c>
      <c r="AY7" s="164">
        <f t="shared" si="242"/>
        <v>1505</v>
      </c>
      <c r="AZ7" s="164">
        <f t="shared" si="242"/>
        <v>1487</v>
      </c>
      <c r="BA7" s="164">
        <f t="shared" si="242"/>
        <v>1469</v>
      </c>
      <c r="BB7" s="164">
        <f t="shared" si="242"/>
        <v>1426</v>
      </c>
      <c r="BC7" s="164">
        <f t="shared" si="242"/>
        <v>1333</v>
      </c>
      <c r="BD7" s="164">
        <f t="shared" si="242"/>
        <v>1181</v>
      </c>
      <c r="BE7" s="164">
        <f t="shared" si="242"/>
        <v>1159</v>
      </c>
      <c r="BF7" s="164">
        <f t="shared" si="242"/>
        <v>1137</v>
      </c>
      <c r="BG7" s="164">
        <f t="shared" si="242"/>
        <v>1116</v>
      </c>
      <c r="BH7" s="164">
        <f t="shared" si="242"/>
        <v>1112</v>
      </c>
      <c r="BI7" s="164">
        <f t="shared" si="242"/>
        <v>1039</v>
      </c>
      <c r="BJ7" s="164">
        <f t="shared" si="242"/>
        <v>1036</v>
      </c>
      <c r="BK7" s="164">
        <f t="shared" si="242"/>
        <v>990</v>
      </c>
      <c r="BL7" s="164">
        <f t="shared" si="242"/>
        <v>941</v>
      </c>
      <c r="BM7" s="164">
        <f t="shared" si="242"/>
        <v>924</v>
      </c>
      <c r="BN7" s="164">
        <f t="shared" si="242"/>
        <v>916</v>
      </c>
      <c r="BO7" s="164">
        <f t="shared" si="242"/>
        <v>757</v>
      </c>
      <c r="BP7" s="164">
        <f t="shared" si="242"/>
        <v>736</v>
      </c>
      <c r="BQ7" s="164">
        <f t="shared" si="242"/>
        <v>733</v>
      </c>
      <c r="BR7" s="164">
        <f t="shared" si="242"/>
        <v>699</v>
      </c>
      <c r="BS7" s="164">
        <f t="shared" si="242"/>
        <v>675</v>
      </c>
      <c r="BT7" s="164">
        <f t="shared" si="242"/>
        <v>658</v>
      </c>
      <c r="BU7" s="164">
        <f t="shared" si="242"/>
        <v>649</v>
      </c>
      <c r="BV7" s="164">
        <f t="shared" si="242"/>
        <v>584</v>
      </c>
      <c r="BW7" s="164">
        <f t="shared" si="242"/>
        <v>574</v>
      </c>
      <c r="BX7" s="164">
        <f t="shared" si="242"/>
        <v>544</v>
      </c>
      <c r="BY7" s="164">
        <f t="shared" ref="BY7:DX7" si="243">ROUND(BY5*BY2,0)</f>
        <v>480</v>
      </c>
      <c r="BZ7" s="164">
        <f t="shared" si="243"/>
        <v>473</v>
      </c>
      <c r="CA7" s="164">
        <f t="shared" si="243"/>
        <v>463</v>
      </c>
      <c r="CB7" s="164">
        <f t="shared" si="243"/>
        <v>453</v>
      </c>
      <c r="CC7" s="164">
        <f t="shared" si="243"/>
        <v>444</v>
      </c>
      <c r="CD7" s="164">
        <f t="shared" si="243"/>
        <v>441</v>
      </c>
      <c r="CE7" s="164">
        <f t="shared" si="243"/>
        <v>433</v>
      </c>
      <c r="CF7" s="164">
        <f t="shared" si="243"/>
        <v>314</v>
      </c>
      <c r="CG7" s="164">
        <f t="shared" si="243"/>
        <v>308</v>
      </c>
      <c r="CH7" s="164">
        <f t="shared" si="243"/>
        <v>302</v>
      </c>
      <c r="CI7" s="164">
        <f t="shared" si="243"/>
        <v>295</v>
      </c>
      <c r="CJ7" s="164">
        <f t="shared" si="243"/>
        <v>292</v>
      </c>
      <c r="CK7" s="164">
        <f t="shared" si="243"/>
        <v>291</v>
      </c>
      <c r="CL7" s="164">
        <f t="shared" si="243"/>
        <v>288</v>
      </c>
      <c r="CM7" s="164">
        <f t="shared" si="243"/>
        <v>275</v>
      </c>
      <c r="CN7" s="164">
        <f t="shared" si="243"/>
        <v>256</v>
      </c>
      <c r="CO7" s="164">
        <f t="shared" si="243"/>
        <v>239</v>
      </c>
      <c r="CP7" s="164">
        <f t="shared" si="243"/>
        <v>238</v>
      </c>
      <c r="CQ7" s="164">
        <f t="shared" si="243"/>
        <v>226</v>
      </c>
      <c r="CR7" s="164">
        <f t="shared" si="243"/>
        <v>215</v>
      </c>
      <c r="CS7" s="164">
        <f t="shared" si="243"/>
        <v>212</v>
      </c>
      <c r="CT7" s="164">
        <f t="shared" si="243"/>
        <v>191</v>
      </c>
      <c r="CU7" s="164">
        <f t="shared" si="243"/>
        <v>183</v>
      </c>
      <c r="CV7" s="164">
        <f t="shared" si="243"/>
        <v>179</v>
      </c>
      <c r="CW7" s="164">
        <f t="shared" si="243"/>
        <v>173</v>
      </c>
      <c r="CX7" s="164">
        <f t="shared" si="243"/>
        <v>167</v>
      </c>
      <c r="CY7" s="164">
        <f t="shared" si="243"/>
        <v>157</v>
      </c>
      <c r="CZ7" s="164">
        <f t="shared" si="243"/>
        <v>154</v>
      </c>
      <c r="DA7" s="164">
        <f t="shared" si="243"/>
        <v>121</v>
      </c>
      <c r="DB7" s="164">
        <f t="shared" si="243"/>
        <v>116</v>
      </c>
      <c r="DC7" s="164">
        <f t="shared" si="243"/>
        <v>115</v>
      </c>
      <c r="DD7" s="164">
        <f t="shared" si="243"/>
        <v>114</v>
      </c>
      <c r="DE7" s="164">
        <f t="shared" si="243"/>
        <v>104</v>
      </c>
      <c r="DF7" s="164">
        <f t="shared" si="243"/>
        <v>96</v>
      </c>
      <c r="DG7" s="164">
        <f t="shared" si="243"/>
        <v>82</v>
      </c>
      <c r="DH7" s="164">
        <f t="shared" si="243"/>
        <v>80</v>
      </c>
      <c r="DI7" s="164">
        <f t="shared" si="243"/>
        <v>78</v>
      </c>
      <c r="DJ7" s="164">
        <f t="shared" si="243"/>
        <v>73</v>
      </c>
      <c r="DK7" s="164">
        <f t="shared" si="243"/>
        <v>72</v>
      </c>
      <c r="DL7" s="164">
        <f t="shared" si="243"/>
        <v>70</v>
      </c>
      <c r="DM7" s="164">
        <f t="shared" si="243"/>
        <v>68</v>
      </c>
      <c r="DN7" s="164">
        <f t="shared" si="243"/>
        <v>68</v>
      </c>
      <c r="DO7" s="164">
        <f t="shared" si="243"/>
        <v>64</v>
      </c>
      <c r="DP7" s="164">
        <f t="shared" si="243"/>
        <v>49</v>
      </c>
      <c r="DQ7" s="164">
        <f t="shared" si="243"/>
        <v>49</v>
      </c>
      <c r="DR7" s="164">
        <f t="shared" si="243"/>
        <v>44</v>
      </c>
      <c r="DS7" s="164">
        <f t="shared" si="243"/>
        <v>43</v>
      </c>
      <c r="DT7" s="164">
        <f t="shared" si="243"/>
        <v>30</v>
      </c>
      <c r="DU7" s="164">
        <f t="shared" si="243"/>
        <v>20</v>
      </c>
      <c r="DV7" s="164">
        <f t="shared" si="243"/>
        <v>14</v>
      </c>
      <c r="DW7" s="164">
        <f t="shared" si="243"/>
        <v>7</v>
      </c>
      <c r="DX7" s="164">
        <f t="shared" si="243"/>
        <v>5</v>
      </c>
    </row>
    <row r="8" spans="1:128" s="166" customFormat="1">
      <c r="A8" s="163" t="s">
        <v>6326</v>
      </c>
      <c r="B8" s="164">
        <f t="shared" ref="B8:L8" si="244">ROUNDUP(B5*B4,0)</f>
        <v>1</v>
      </c>
      <c r="C8" s="164">
        <f t="shared" si="244"/>
        <v>1</v>
      </c>
      <c r="D8" s="164">
        <f t="shared" si="244"/>
        <v>1</v>
      </c>
      <c r="E8" s="164">
        <f t="shared" si="244"/>
        <v>1</v>
      </c>
      <c r="F8" s="164">
        <f t="shared" si="244"/>
        <v>1</v>
      </c>
      <c r="G8" s="164">
        <f t="shared" si="244"/>
        <v>1</v>
      </c>
      <c r="H8" s="164">
        <f t="shared" si="244"/>
        <v>2</v>
      </c>
      <c r="I8" s="164">
        <f t="shared" si="244"/>
        <v>4</v>
      </c>
      <c r="J8" s="164">
        <f t="shared" si="244"/>
        <v>8</v>
      </c>
      <c r="K8" s="164">
        <f t="shared" si="244"/>
        <v>17</v>
      </c>
      <c r="L8" s="164">
        <f t="shared" si="244"/>
        <v>36</v>
      </c>
      <c r="M8" s="164">
        <f t="shared" ref="M8:BX8" si="245">ROUNDUP(M5*M4,0)</f>
        <v>145</v>
      </c>
      <c r="N8" s="164">
        <f t="shared" si="245"/>
        <v>71</v>
      </c>
      <c r="O8" s="164">
        <f t="shared" si="245"/>
        <v>55</v>
      </c>
      <c r="P8" s="164">
        <f t="shared" si="245"/>
        <v>52</v>
      </c>
      <c r="Q8" s="164">
        <f t="shared" si="245"/>
        <v>34</v>
      </c>
      <c r="R8" s="164">
        <f t="shared" si="245"/>
        <v>31</v>
      </c>
      <c r="S8" s="164">
        <f t="shared" si="245"/>
        <v>29</v>
      </c>
      <c r="T8" s="164">
        <f t="shared" si="245"/>
        <v>29</v>
      </c>
      <c r="U8" s="164">
        <f t="shared" si="245"/>
        <v>28</v>
      </c>
      <c r="V8" s="164">
        <f t="shared" si="245"/>
        <v>27</v>
      </c>
      <c r="W8" s="164">
        <f t="shared" si="245"/>
        <v>25</v>
      </c>
      <c r="X8" s="164">
        <f t="shared" si="245"/>
        <v>20</v>
      </c>
      <c r="Y8" s="164">
        <f t="shared" si="245"/>
        <v>17</v>
      </c>
      <c r="Z8" s="164">
        <f t="shared" si="245"/>
        <v>17</v>
      </c>
      <c r="AA8" s="164">
        <f t="shared" si="245"/>
        <v>16</v>
      </c>
      <c r="AB8" s="164">
        <f t="shared" si="245"/>
        <v>15</v>
      </c>
      <c r="AC8" s="164">
        <f t="shared" si="245"/>
        <v>15</v>
      </c>
      <c r="AD8" s="164">
        <f t="shared" si="245"/>
        <v>14</v>
      </c>
      <c r="AE8" s="164">
        <f t="shared" si="245"/>
        <v>14</v>
      </c>
      <c r="AF8" s="164">
        <f t="shared" si="245"/>
        <v>13</v>
      </c>
      <c r="AG8" s="164">
        <f t="shared" si="245"/>
        <v>13</v>
      </c>
      <c r="AH8" s="164">
        <f t="shared" si="245"/>
        <v>12</v>
      </c>
      <c r="AI8" s="164">
        <f t="shared" si="245"/>
        <v>11</v>
      </c>
      <c r="AJ8" s="164">
        <f t="shared" si="245"/>
        <v>11</v>
      </c>
      <c r="AK8" s="164">
        <f t="shared" si="245"/>
        <v>10</v>
      </c>
      <c r="AL8" s="164">
        <f t="shared" si="245"/>
        <v>10</v>
      </c>
      <c r="AM8" s="164">
        <f t="shared" si="245"/>
        <v>8</v>
      </c>
      <c r="AN8" s="164">
        <f t="shared" si="245"/>
        <v>8</v>
      </c>
      <c r="AO8" s="164">
        <f t="shared" si="245"/>
        <v>8</v>
      </c>
      <c r="AP8" s="164">
        <f t="shared" si="245"/>
        <v>8</v>
      </c>
      <c r="AQ8" s="164">
        <f t="shared" si="245"/>
        <v>7</v>
      </c>
      <c r="AR8" s="164">
        <f t="shared" si="245"/>
        <v>7</v>
      </c>
      <c r="AS8" s="164">
        <f t="shared" si="245"/>
        <v>7</v>
      </c>
      <c r="AT8" s="164">
        <f t="shared" si="245"/>
        <v>7</v>
      </c>
      <c r="AU8" s="164">
        <f t="shared" si="245"/>
        <v>6</v>
      </c>
      <c r="AV8" s="164">
        <f t="shared" si="245"/>
        <v>6</v>
      </c>
      <c r="AW8" s="164">
        <f t="shared" si="245"/>
        <v>6</v>
      </c>
      <c r="AX8" s="164">
        <f t="shared" si="245"/>
        <v>6</v>
      </c>
      <c r="AY8" s="164">
        <f t="shared" si="245"/>
        <v>6</v>
      </c>
      <c r="AZ8" s="164">
        <f t="shared" si="245"/>
        <v>5</v>
      </c>
      <c r="BA8" s="164">
        <f t="shared" si="245"/>
        <v>5</v>
      </c>
      <c r="BB8" s="164">
        <f t="shared" si="245"/>
        <v>5</v>
      </c>
      <c r="BC8" s="164">
        <f t="shared" si="245"/>
        <v>5</v>
      </c>
      <c r="BD8" s="164">
        <f t="shared" si="245"/>
        <v>4</v>
      </c>
      <c r="BE8" s="164">
        <f t="shared" si="245"/>
        <v>4</v>
      </c>
      <c r="BF8" s="164">
        <f t="shared" si="245"/>
        <v>4</v>
      </c>
      <c r="BG8" s="164">
        <f t="shared" si="245"/>
        <v>4</v>
      </c>
      <c r="BH8" s="164">
        <f t="shared" si="245"/>
        <v>4</v>
      </c>
      <c r="BI8" s="164">
        <f t="shared" si="245"/>
        <v>4</v>
      </c>
      <c r="BJ8" s="164">
        <f t="shared" si="245"/>
        <v>4</v>
      </c>
      <c r="BK8" s="164">
        <f t="shared" si="245"/>
        <v>4</v>
      </c>
      <c r="BL8" s="164">
        <f t="shared" si="245"/>
        <v>4</v>
      </c>
      <c r="BM8" s="164">
        <f t="shared" si="245"/>
        <v>4</v>
      </c>
      <c r="BN8" s="164">
        <f t="shared" si="245"/>
        <v>4</v>
      </c>
      <c r="BO8" s="164">
        <f t="shared" si="245"/>
        <v>3</v>
      </c>
      <c r="BP8" s="164">
        <f t="shared" si="245"/>
        <v>3</v>
      </c>
      <c r="BQ8" s="164">
        <f t="shared" si="245"/>
        <v>3</v>
      </c>
      <c r="BR8" s="164">
        <f t="shared" si="245"/>
        <v>3</v>
      </c>
      <c r="BS8" s="164">
        <f t="shared" si="245"/>
        <v>3</v>
      </c>
      <c r="BT8" s="164">
        <f t="shared" si="245"/>
        <v>3</v>
      </c>
      <c r="BU8" s="164">
        <f t="shared" si="245"/>
        <v>3</v>
      </c>
      <c r="BV8" s="164">
        <f t="shared" si="245"/>
        <v>2</v>
      </c>
      <c r="BW8" s="164">
        <f t="shared" si="245"/>
        <v>2</v>
      </c>
      <c r="BX8" s="164">
        <f t="shared" si="245"/>
        <v>2</v>
      </c>
      <c r="BY8" s="164">
        <f t="shared" ref="BY8:DX8" si="246">ROUNDUP(BY5*BY4,0)</f>
        <v>2</v>
      </c>
      <c r="BZ8" s="164">
        <f t="shared" si="246"/>
        <v>2</v>
      </c>
      <c r="CA8" s="164">
        <f t="shared" si="246"/>
        <v>2</v>
      </c>
      <c r="CB8" s="164">
        <f t="shared" si="246"/>
        <v>2</v>
      </c>
      <c r="CC8" s="164">
        <f t="shared" si="246"/>
        <v>2</v>
      </c>
      <c r="CD8" s="164">
        <f t="shared" si="246"/>
        <v>2</v>
      </c>
      <c r="CE8" s="164">
        <f t="shared" si="246"/>
        <v>2</v>
      </c>
      <c r="CF8" s="164">
        <f t="shared" si="246"/>
        <v>2</v>
      </c>
      <c r="CG8" s="164">
        <f t="shared" si="246"/>
        <v>2</v>
      </c>
      <c r="CH8" s="164">
        <f t="shared" si="246"/>
        <v>2</v>
      </c>
      <c r="CI8" s="164">
        <f t="shared" si="246"/>
        <v>1</v>
      </c>
      <c r="CJ8" s="164">
        <f t="shared" si="246"/>
        <v>1</v>
      </c>
      <c r="CK8" s="164">
        <f t="shared" si="246"/>
        <v>1</v>
      </c>
      <c r="CL8" s="164">
        <f t="shared" si="246"/>
        <v>1</v>
      </c>
      <c r="CM8" s="164">
        <f t="shared" si="246"/>
        <v>1</v>
      </c>
      <c r="CN8" s="164">
        <f t="shared" si="246"/>
        <v>1</v>
      </c>
      <c r="CO8" s="164">
        <f t="shared" si="246"/>
        <v>1</v>
      </c>
      <c r="CP8" s="164">
        <f t="shared" si="246"/>
        <v>1</v>
      </c>
      <c r="CQ8" s="164">
        <f t="shared" si="246"/>
        <v>1</v>
      </c>
      <c r="CR8" s="164">
        <f t="shared" si="246"/>
        <v>1</v>
      </c>
      <c r="CS8" s="164">
        <f t="shared" si="246"/>
        <v>1</v>
      </c>
      <c r="CT8" s="164">
        <f t="shared" si="246"/>
        <v>1</v>
      </c>
      <c r="CU8" s="164">
        <f t="shared" si="246"/>
        <v>1</v>
      </c>
      <c r="CV8" s="164">
        <f t="shared" si="246"/>
        <v>1</v>
      </c>
      <c r="CW8" s="164">
        <f t="shared" si="246"/>
        <v>1</v>
      </c>
      <c r="CX8" s="164">
        <f t="shared" si="246"/>
        <v>1</v>
      </c>
      <c r="CY8" s="164">
        <f t="shared" si="246"/>
        <v>1</v>
      </c>
      <c r="CZ8" s="164">
        <f t="shared" si="246"/>
        <v>1</v>
      </c>
      <c r="DA8" s="164">
        <f t="shared" si="246"/>
        <v>1</v>
      </c>
      <c r="DB8" s="164">
        <f t="shared" si="246"/>
        <v>1</v>
      </c>
      <c r="DC8" s="164">
        <f t="shared" si="246"/>
        <v>1</v>
      </c>
      <c r="DD8" s="164">
        <f t="shared" si="246"/>
        <v>1</v>
      </c>
      <c r="DE8" s="164">
        <f t="shared" si="246"/>
        <v>1</v>
      </c>
      <c r="DF8" s="164">
        <f t="shared" si="246"/>
        <v>1</v>
      </c>
      <c r="DG8" s="164">
        <f t="shared" si="246"/>
        <v>1</v>
      </c>
      <c r="DH8" s="164">
        <f t="shared" si="246"/>
        <v>1</v>
      </c>
      <c r="DI8" s="164">
        <f t="shared" si="246"/>
        <v>1</v>
      </c>
      <c r="DJ8" s="164">
        <f t="shared" si="246"/>
        <v>1</v>
      </c>
      <c r="DK8" s="164">
        <f t="shared" si="246"/>
        <v>1</v>
      </c>
      <c r="DL8" s="164">
        <f t="shared" si="246"/>
        <v>1</v>
      </c>
      <c r="DM8" s="164">
        <f t="shared" si="246"/>
        <v>1</v>
      </c>
      <c r="DN8" s="164">
        <f t="shared" si="246"/>
        <v>1</v>
      </c>
      <c r="DO8" s="164">
        <f t="shared" si="246"/>
        <v>1</v>
      </c>
      <c r="DP8" s="164">
        <f t="shared" si="246"/>
        <v>1</v>
      </c>
      <c r="DQ8" s="164">
        <f t="shared" si="246"/>
        <v>1</v>
      </c>
      <c r="DR8" s="164">
        <f t="shared" si="246"/>
        <v>1</v>
      </c>
      <c r="DS8" s="164">
        <f t="shared" si="246"/>
        <v>1</v>
      </c>
      <c r="DT8" s="164">
        <f t="shared" si="246"/>
        <v>1</v>
      </c>
      <c r="DU8" s="164">
        <f t="shared" si="246"/>
        <v>1</v>
      </c>
      <c r="DV8" s="164">
        <f t="shared" si="246"/>
        <v>1</v>
      </c>
      <c r="DW8" s="164">
        <f t="shared" si="246"/>
        <v>1</v>
      </c>
      <c r="DX8" s="164">
        <f t="shared" si="246"/>
        <v>1</v>
      </c>
    </row>
    <row r="9" spans="1:128" s="166" customFormat="1">
      <c r="A9" s="163" t="s">
        <v>6327</v>
      </c>
      <c r="B9" s="168">
        <f t="shared" ref="B9:L9" si="247">B8/B4</f>
        <v>0.5</v>
      </c>
      <c r="C9" s="168">
        <f t="shared" si="247"/>
        <v>0.25</v>
      </c>
      <c r="D9" s="168">
        <f t="shared" si="247"/>
        <v>0.125</v>
      </c>
      <c r="E9" s="168">
        <f t="shared" si="247"/>
        <v>5.5555555555555552E-2</v>
      </c>
      <c r="F9" s="168">
        <f t="shared" si="247"/>
        <v>2.564102564102564E-2</v>
      </c>
      <c r="G9" s="168">
        <f t="shared" si="247"/>
        <v>1.1627906976744186E-2</v>
      </c>
      <c r="H9" s="168">
        <f t="shared" si="247"/>
        <v>1.0582010582010581E-2</v>
      </c>
      <c r="I9" s="168">
        <f t="shared" si="247"/>
        <v>1.2012012012012012E-2</v>
      </c>
      <c r="J9" s="168">
        <f t="shared" si="247"/>
        <v>1.0914051841746248E-2</v>
      </c>
      <c r="K9" s="168">
        <f t="shared" si="247"/>
        <v>1.0539367637941723E-2</v>
      </c>
      <c r="L9" s="168">
        <f t="shared" si="247"/>
        <v>1.0143702451394759E-2</v>
      </c>
      <c r="M9" s="168">
        <f t="shared" ref="M9:BX9" si="248">M8/M4</f>
        <v>1.00269690892746E-2</v>
      </c>
      <c r="N9" s="168">
        <f t="shared" si="248"/>
        <v>1.0035335689045936E-2</v>
      </c>
      <c r="O9" s="168">
        <f t="shared" si="248"/>
        <v>1.0136380390711389E-2</v>
      </c>
      <c r="P9" s="168">
        <f t="shared" si="248"/>
        <v>1.008729388942774E-2</v>
      </c>
      <c r="Q9" s="168">
        <f t="shared" si="248"/>
        <v>1.0038382049010924E-2</v>
      </c>
      <c r="R9" s="168">
        <f t="shared" si="248"/>
        <v>1.0247933884297521E-2</v>
      </c>
      <c r="S9" s="168">
        <f t="shared" si="248"/>
        <v>1.0069444444444445E-2</v>
      </c>
      <c r="T9" s="168">
        <f t="shared" si="248"/>
        <v>1.020408163265306E-2</v>
      </c>
      <c r="U9" s="168">
        <f t="shared" si="248"/>
        <v>1.0267693436010267E-2</v>
      </c>
      <c r="V9" s="168">
        <f t="shared" si="248"/>
        <v>1.0317157050057318E-2</v>
      </c>
      <c r="W9" s="168">
        <f t="shared" si="248"/>
        <v>1.0279605263157895E-2</v>
      </c>
      <c r="X9" s="168">
        <f t="shared" si="248"/>
        <v>1.015228426395939E-2</v>
      </c>
      <c r="Y9" s="168">
        <f t="shared" si="248"/>
        <v>1.02843315184513E-2</v>
      </c>
      <c r="Z9" s="168">
        <f t="shared" si="248"/>
        <v>1.0572139303482588E-2</v>
      </c>
      <c r="AA9" s="168">
        <f t="shared" si="248"/>
        <v>1.021059349074665E-2</v>
      </c>
      <c r="AB9" s="168">
        <f t="shared" si="248"/>
        <v>0.01</v>
      </c>
      <c r="AC9" s="168">
        <f t="shared" si="248"/>
        <v>1.04675505931612E-2</v>
      </c>
      <c r="AD9" s="168">
        <f t="shared" si="248"/>
        <v>1.0256410256410256E-2</v>
      </c>
      <c r="AE9" s="168">
        <f t="shared" si="248"/>
        <v>1.0719754977029096E-2</v>
      </c>
      <c r="AF9" s="168">
        <f t="shared" si="248"/>
        <v>1.0260457774269928E-2</v>
      </c>
      <c r="AG9" s="168">
        <f t="shared" si="248"/>
        <v>1.0534846029173419E-2</v>
      </c>
      <c r="AH9" s="168">
        <f t="shared" si="248"/>
        <v>1.0889292196007259E-2</v>
      </c>
      <c r="AI9" s="168">
        <f t="shared" si="248"/>
        <v>1.0679611650485437E-2</v>
      </c>
      <c r="AJ9" s="168">
        <f t="shared" si="248"/>
        <v>1.0816125860373648E-2</v>
      </c>
      <c r="AK9" s="168">
        <f t="shared" si="248"/>
        <v>1.0245901639344262E-2</v>
      </c>
      <c r="AL9" s="168">
        <f t="shared" si="248"/>
        <v>1.1025358324145534E-2</v>
      </c>
      <c r="AM9" s="168">
        <f t="shared" si="248"/>
        <v>1.0025062656641603E-2</v>
      </c>
      <c r="AN9" s="168">
        <f t="shared" si="248"/>
        <v>1.0025062656641603E-2</v>
      </c>
      <c r="AO9" s="168">
        <f t="shared" si="248"/>
        <v>1.0512483574244415E-2</v>
      </c>
      <c r="AP9" s="168">
        <f t="shared" si="248"/>
        <v>1.1034482758620689E-2</v>
      </c>
      <c r="AQ9" s="168">
        <f t="shared" si="248"/>
        <v>1.0043041606886656E-2</v>
      </c>
      <c r="AR9" s="168">
        <f t="shared" si="248"/>
        <v>1.0324483775811209E-2</v>
      </c>
      <c r="AS9" s="168">
        <f t="shared" si="248"/>
        <v>1.0542168674698794E-2</v>
      </c>
      <c r="AT9" s="168">
        <f t="shared" si="248"/>
        <v>1.1217948717948718E-2</v>
      </c>
      <c r="AU9" s="168">
        <f t="shared" si="248"/>
        <v>1.0849909584086799E-2</v>
      </c>
      <c r="AV9" s="168">
        <f t="shared" si="248"/>
        <v>1.107011070110701E-2</v>
      </c>
      <c r="AW9" s="168">
        <f t="shared" si="248"/>
        <v>1.1111111111111112E-2</v>
      </c>
      <c r="AX9" s="168">
        <f t="shared" si="248"/>
        <v>1.1385199240986717E-2</v>
      </c>
      <c r="AY9" s="168">
        <f t="shared" si="248"/>
        <v>1.1952191235059761E-2</v>
      </c>
      <c r="AZ9" s="168">
        <f t="shared" si="248"/>
        <v>1.0080645161290322E-2</v>
      </c>
      <c r="BA9" s="168">
        <f t="shared" si="248"/>
        <v>1.020408163265306E-2</v>
      </c>
      <c r="BB9" s="168">
        <f t="shared" si="248"/>
        <v>1.0526315789473684E-2</v>
      </c>
      <c r="BC9" s="168">
        <f t="shared" si="248"/>
        <v>1.1261261261261261E-2</v>
      </c>
      <c r="BD9" s="168">
        <f t="shared" si="248"/>
        <v>1.015228426395939E-2</v>
      </c>
      <c r="BE9" s="168">
        <f t="shared" si="248"/>
        <v>1.0362694300518135E-2</v>
      </c>
      <c r="BF9" s="168">
        <f t="shared" si="248"/>
        <v>1.0554089709762533E-2</v>
      </c>
      <c r="BG9" s="168">
        <f t="shared" si="248"/>
        <v>1.0752688172043012E-2</v>
      </c>
      <c r="BH9" s="168">
        <f t="shared" si="248"/>
        <v>1.078167115902965E-2</v>
      </c>
      <c r="BI9" s="168">
        <f t="shared" si="248"/>
        <v>1.1560693641618497E-2</v>
      </c>
      <c r="BJ9" s="168">
        <f t="shared" si="248"/>
        <v>1.1594202898550725E-2</v>
      </c>
      <c r="BK9" s="168">
        <f t="shared" si="248"/>
        <v>1.2121212121212121E-2</v>
      </c>
      <c r="BL9" s="168">
        <f t="shared" si="248"/>
        <v>1.2738853503184714E-2</v>
      </c>
      <c r="BM9" s="168">
        <f t="shared" si="248"/>
        <v>1.2987012987012988E-2</v>
      </c>
      <c r="BN9" s="168">
        <f t="shared" si="248"/>
        <v>1.3114754098360656E-2</v>
      </c>
      <c r="BO9" s="168">
        <f t="shared" si="248"/>
        <v>1.1904761904761904E-2</v>
      </c>
      <c r="BP9" s="168">
        <f t="shared" si="248"/>
        <v>1.2244897959183673E-2</v>
      </c>
      <c r="BQ9" s="168">
        <f t="shared" si="248"/>
        <v>1.2295081967213115E-2</v>
      </c>
      <c r="BR9" s="168">
        <f t="shared" si="248"/>
        <v>1.2875536480686695E-2</v>
      </c>
      <c r="BS9" s="168">
        <f t="shared" si="248"/>
        <v>1.3333333333333334E-2</v>
      </c>
      <c r="BT9" s="168">
        <f t="shared" si="248"/>
        <v>1.3698630136986301E-2</v>
      </c>
      <c r="BU9" s="168">
        <f t="shared" si="248"/>
        <v>1.3888888888888888E-2</v>
      </c>
      <c r="BV9" s="168">
        <f t="shared" si="248"/>
        <v>1.0256410256410256E-2</v>
      </c>
      <c r="BW9" s="168">
        <f t="shared" si="248"/>
        <v>1.0471204188481676E-2</v>
      </c>
      <c r="BX9" s="168">
        <f t="shared" si="248"/>
        <v>1.1049723756906077E-2</v>
      </c>
      <c r="BY9" s="168">
        <f t="shared" ref="BY9:DX9" si="249">BY8/BY4</f>
        <v>1.2500000000000001E-2</v>
      </c>
      <c r="BZ9" s="168">
        <f t="shared" si="249"/>
        <v>1.2658227848101266E-2</v>
      </c>
      <c r="CA9" s="168">
        <f t="shared" si="249"/>
        <v>1.2987012987012988E-2</v>
      </c>
      <c r="CB9" s="168">
        <f t="shared" si="249"/>
        <v>1.3245033112582781E-2</v>
      </c>
      <c r="CC9" s="168">
        <f t="shared" si="249"/>
        <v>1.3513513513513514E-2</v>
      </c>
      <c r="CD9" s="168">
        <f t="shared" si="249"/>
        <v>1.3605442176870748E-2</v>
      </c>
      <c r="CE9" s="168">
        <f t="shared" si="249"/>
        <v>1.3888888888888888E-2</v>
      </c>
      <c r="CF9" s="168">
        <f t="shared" si="249"/>
        <v>1.9047619047619049E-2</v>
      </c>
      <c r="CG9" s="168">
        <f t="shared" si="249"/>
        <v>1.9417475728155338E-2</v>
      </c>
      <c r="CH9" s="168">
        <f t="shared" si="249"/>
        <v>1.9801980198019802E-2</v>
      </c>
      <c r="CI9" s="168">
        <f t="shared" si="249"/>
        <v>1.020408163265306E-2</v>
      </c>
      <c r="CJ9" s="168">
        <f t="shared" si="249"/>
        <v>1.0309278350515464E-2</v>
      </c>
      <c r="CK9" s="168">
        <f t="shared" si="249"/>
        <v>1.0309278350515464E-2</v>
      </c>
      <c r="CL9" s="168">
        <f t="shared" si="249"/>
        <v>1.0416666666666666E-2</v>
      </c>
      <c r="CM9" s="168">
        <f t="shared" si="249"/>
        <v>1.0869565217391304E-2</v>
      </c>
      <c r="CN9" s="168">
        <f t="shared" si="249"/>
        <v>1.1764705882352941E-2</v>
      </c>
      <c r="CO9" s="168">
        <f t="shared" si="249"/>
        <v>1.2500000000000001E-2</v>
      </c>
      <c r="CP9" s="168">
        <f t="shared" si="249"/>
        <v>1.2658227848101266E-2</v>
      </c>
      <c r="CQ9" s="168">
        <f t="shared" si="249"/>
        <v>1.3333333333333334E-2</v>
      </c>
      <c r="CR9" s="168">
        <f t="shared" si="249"/>
        <v>1.3888888888888888E-2</v>
      </c>
      <c r="CS9" s="168">
        <f t="shared" si="249"/>
        <v>1.4084507042253521E-2</v>
      </c>
      <c r="CT9" s="168">
        <f t="shared" si="249"/>
        <v>1.5625E-2</v>
      </c>
      <c r="CU9" s="168">
        <f t="shared" si="249"/>
        <v>1.6393442622950821E-2</v>
      </c>
      <c r="CV9" s="168">
        <f t="shared" si="249"/>
        <v>1.6666666666666666E-2</v>
      </c>
      <c r="CW9" s="168">
        <f t="shared" si="249"/>
        <v>1.7241379310344827E-2</v>
      </c>
      <c r="CX9" s="168">
        <f t="shared" si="249"/>
        <v>1.7857142857142856E-2</v>
      </c>
      <c r="CY9" s="168">
        <f t="shared" si="249"/>
        <v>1.9230769230769232E-2</v>
      </c>
      <c r="CZ9" s="168">
        <f t="shared" si="249"/>
        <v>1.9607843137254902E-2</v>
      </c>
      <c r="DA9" s="168">
        <f t="shared" si="249"/>
        <v>2.5000000000000001E-2</v>
      </c>
      <c r="DB9" s="168">
        <f t="shared" si="249"/>
        <v>2.564102564102564E-2</v>
      </c>
      <c r="DC9" s="168">
        <f t="shared" si="249"/>
        <v>2.6315789473684209E-2</v>
      </c>
      <c r="DD9" s="168">
        <f t="shared" si="249"/>
        <v>2.6315789473684209E-2</v>
      </c>
      <c r="DE9" s="168">
        <f t="shared" si="249"/>
        <v>2.8571428571428571E-2</v>
      </c>
      <c r="DF9" s="168">
        <f t="shared" si="249"/>
        <v>3.125E-2</v>
      </c>
      <c r="DG9" s="168">
        <f t="shared" si="249"/>
        <v>3.7037037037037035E-2</v>
      </c>
      <c r="DH9" s="168">
        <f t="shared" si="249"/>
        <v>3.7037037037037035E-2</v>
      </c>
      <c r="DI9" s="168">
        <f t="shared" si="249"/>
        <v>3.8461538461538464E-2</v>
      </c>
      <c r="DJ9" s="168">
        <f t="shared" si="249"/>
        <v>4.1666666666666664E-2</v>
      </c>
      <c r="DK9" s="168">
        <f t="shared" si="249"/>
        <v>4.1666666666666664E-2</v>
      </c>
      <c r="DL9" s="168">
        <f t="shared" si="249"/>
        <v>4.3478260869565216E-2</v>
      </c>
      <c r="DM9" s="168">
        <f t="shared" si="249"/>
        <v>4.3478260869565216E-2</v>
      </c>
      <c r="DN9" s="168">
        <f t="shared" si="249"/>
        <v>4.3478260869565216E-2</v>
      </c>
      <c r="DO9" s="168">
        <f t="shared" si="249"/>
        <v>4.7619047619047616E-2</v>
      </c>
      <c r="DP9" s="168">
        <f t="shared" si="249"/>
        <v>6.25E-2</v>
      </c>
      <c r="DQ9" s="168">
        <f t="shared" si="249"/>
        <v>6.25E-2</v>
      </c>
      <c r="DR9" s="168">
        <f t="shared" si="249"/>
        <v>6.6666666666666666E-2</v>
      </c>
      <c r="DS9" s="168">
        <f t="shared" si="249"/>
        <v>7.1428571428571425E-2</v>
      </c>
      <c r="DT9" s="168">
        <f t="shared" si="249"/>
        <v>0.1</v>
      </c>
      <c r="DU9" s="168">
        <f t="shared" si="249"/>
        <v>0.14285714285714285</v>
      </c>
      <c r="DV9" s="168">
        <f t="shared" si="249"/>
        <v>0.2</v>
      </c>
      <c r="DW9" s="168">
        <f t="shared" si="249"/>
        <v>0.5</v>
      </c>
      <c r="DX9" s="168">
        <f t="shared" si="249"/>
        <v>0.5</v>
      </c>
    </row>
    <row r="10" spans="1:128" s="173" customFormat="1" ht="15.6">
      <c r="A10" s="171" t="s">
        <v>6328</v>
      </c>
      <c r="B10" s="172"/>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172"/>
      <c r="CI10" s="172"/>
      <c r="CJ10" s="172"/>
      <c r="CK10" s="172"/>
      <c r="CL10" s="172"/>
      <c r="CM10" s="172"/>
      <c r="CN10" s="172"/>
      <c r="CO10" s="172"/>
      <c r="CP10" s="172"/>
      <c r="CQ10" s="172"/>
      <c r="CR10" s="172"/>
      <c r="CS10" s="172"/>
      <c r="CT10" s="172"/>
      <c r="CU10" s="172"/>
      <c r="CV10" s="172"/>
      <c r="CW10" s="172"/>
      <c r="CX10" s="172"/>
      <c r="CY10" s="172"/>
      <c r="CZ10" s="172"/>
      <c r="DA10" s="172"/>
      <c r="DB10" s="172"/>
      <c r="DC10" s="172"/>
      <c r="DD10" s="172"/>
      <c r="DE10" s="172"/>
      <c r="DF10" s="172"/>
      <c r="DG10" s="172"/>
      <c r="DH10" s="172"/>
      <c r="DI10" s="172"/>
      <c r="DJ10" s="172"/>
      <c r="DK10" s="172"/>
      <c r="DL10" s="172"/>
      <c r="DM10" s="172"/>
      <c r="DN10" s="172"/>
      <c r="DO10" s="172"/>
      <c r="DP10" s="172"/>
      <c r="DQ10" s="172"/>
      <c r="DR10" s="172"/>
      <c r="DS10" s="172"/>
      <c r="DT10" s="172"/>
      <c r="DU10" s="172"/>
      <c r="DV10" s="172"/>
      <c r="DW10" s="172"/>
      <c r="DX10" s="172"/>
    </row>
    <row r="11" spans="1:128" s="176" customFormat="1" ht="20.399999999999999" customHeight="1">
      <c r="A11" s="174" t="s">
        <v>6329</v>
      </c>
      <c r="B11" s="175">
        <v>0.01</v>
      </c>
      <c r="C11" s="175">
        <f>B11</f>
        <v>0.01</v>
      </c>
      <c r="D11" s="175">
        <f t="shared" ref="D11:L11" si="250">C11</f>
        <v>0.01</v>
      </c>
      <c r="E11" s="175">
        <f t="shared" si="250"/>
        <v>0.01</v>
      </c>
      <c r="F11" s="175">
        <f t="shared" si="250"/>
        <v>0.01</v>
      </c>
      <c r="G11" s="175">
        <f t="shared" si="250"/>
        <v>0.01</v>
      </c>
      <c r="H11" s="175">
        <f t="shared" si="250"/>
        <v>0.01</v>
      </c>
      <c r="I11" s="175">
        <f t="shared" si="250"/>
        <v>0.01</v>
      </c>
      <c r="J11" s="175">
        <f t="shared" si="250"/>
        <v>0.01</v>
      </c>
      <c r="K11" s="175">
        <f t="shared" si="250"/>
        <v>0.01</v>
      </c>
      <c r="L11" s="175">
        <f t="shared" si="250"/>
        <v>0.01</v>
      </c>
      <c r="M11" s="175">
        <f t="shared" ref="M11" si="251">L11</f>
        <v>0.01</v>
      </c>
      <c r="N11" s="175">
        <f t="shared" ref="N11" si="252">M11</f>
        <v>0.01</v>
      </c>
      <c r="O11" s="175">
        <f t="shared" ref="O11" si="253">N11</f>
        <v>0.01</v>
      </c>
      <c r="P11" s="175">
        <f t="shared" ref="P11" si="254">O11</f>
        <v>0.01</v>
      </c>
      <c r="Q11" s="175">
        <f t="shared" ref="Q11" si="255">P11</f>
        <v>0.01</v>
      </c>
      <c r="R11" s="175">
        <f t="shared" ref="R11" si="256">Q11</f>
        <v>0.01</v>
      </c>
      <c r="S11" s="175">
        <f t="shared" ref="S11" si="257">R11</f>
        <v>0.01</v>
      </c>
      <c r="T11" s="175">
        <f t="shared" ref="T11" si="258">S11</f>
        <v>0.01</v>
      </c>
      <c r="U11" s="175">
        <f t="shared" ref="U11" si="259">T11</f>
        <v>0.01</v>
      </c>
      <c r="V11" s="175">
        <f t="shared" ref="V11" si="260">U11</f>
        <v>0.01</v>
      </c>
      <c r="W11" s="175">
        <f t="shared" ref="W11" si="261">V11</f>
        <v>0.01</v>
      </c>
      <c r="X11" s="175">
        <f t="shared" ref="X11" si="262">W11</f>
        <v>0.01</v>
      </c>
      <c r="Y11" s="175">
        <f t="shared" ref="Y11" si="263">X11</f>
        <v>0.01</v>
      </c>
      <c r="Z11" s="175">
        <f t="shared" ref="Z11" si="264">Y11</f>
        <v>0.01</v>
      </c>
      <c r="AA11" s="175">
        <f t="shared" ref="AA11" si="265">Z11</f>
        <v>0.01</v>
      </c>
      <c r="AB11" s="175">
        <f t="shared" ref="AB11" si="266">AA11</f>
        <v>0.01</v>
      </c>
      <c r="AC11" s="175">
        <f t="shared" ref="AC11" si="267">AB11</f>
        <v>0.01</v>
      </c>
      <c r="AD11" s="175">
        <f t="shared" ref="AD11" si="268">AC11</f>
        <v>0.01</v>
      </c>
      <c r="AE11" s="175">
        <f t="shared" ref="AE11" si="269">AD11</f>
        <v>0.01</v>
      </c>
      <c r="AF11" s="175">
        <f t="shared" ref="AF11" si="270">AE11</f>
        <v>0.01</v>
      </c>
      <c r="AG11" s="175">
        <f t="shared" ref="AG11" si="271">AF11</f>
        <v>0.01</v>
      </c>
      <c r="AH11" s="175">
        <f t="shared" ref="AH11" si="272">AG11</f>
        <v>0.01</v>
      </c>
      <c r="AI11" s="175">
        <f t="shared" ref="AI11" si="273">AH11</f>
        <v>0.01</v>
      </c>
      <c r="AJ11" s="175">
        <f t="shared" ref="AJ11" si="274">AI11</f>
        <v>0.01</v>
      </c>
      <c r="AK11" s="175">
        <f t="shared" ref="AK11" si="275">AJ11</f>
        <v>0.01</v>
      </c>
      <c r="AL11" s="175">
        <f t="shared" ref="AL11" si="276">AK11</f>
        <v>0.01</v>
      </c>
      <c r="AM11" s="175">
        <f t="shared" ref="AM11" si="277">AL11</f>
        <v>0.01</v>
      </c>
      <c r="AN11" s="175">
        <f t="shared" ref="AN11" si="278">AM11</f>
        <v>0.01</v>
      </c>
      <c r="AO11" s="175">
        <f t="shared" ref="AO11" si="279">AN11</f>
        <v>0.01</v>
      </c>
      <c r="AP11" s="175">
        <f t="shared" ref="AP11" si="280">AO11</f>
        <v>0.01</v>
      </c>
      <c r="AQ11" s="175">
        <f t="shared" ref="AQ11" si="281">AP11</f>
        <v>0.01</v>
      </c>
      <c r="AR11" s="175">
        <f t="shared" ref="AR11" si="282">AQ11</f>
        <v>0.01</v>
      </c>
      <c r="AS11" s="175">
        <f t="shared" ref="AS11" si="283">AR11</f>
        <v>0.01</v>
      </c>
      <c r="AT11" s="175">
        <f t="shared" ref="AT11" si="284">AS11</f>
        <v>0.01</v>
      </c>
      <c r="AU11" s="175">
        <f t="shared" ref="AU11" si="285">AT11</f>
        <v>0.01</v>
      </c>
      <c r="AV11" s="175">
        <f t="shared" ref="AV11" si="286">AU11</f>
        <v>0.01</v>
      </c>
      <c r="AW11" s="175">
        <f t="shared" ref="AW11" si="287">AV11</f>
        <v>0.01</v>
      </c>
      <c r="AX11" s="175">
        <f t="shared" ref="AX11" si="288">AW11</f>
        <v>0.01</v>
      </c>
      <c r="AY11" s="175">
        <f t="shared" ref="AY11" si="289">AX11</f>
        <v>0.01</v>
      </c>
      <c r="AZ11" s="175">
        <f t="shared" ref="AZ11" si="290">AY11</f>
        <v>0.01</v>
      </c>
      <c r="BA11" s="175">
        <f t="shared" ref="BA11" si="291">AZ11</f>
        <v>0.01</v>
      </c>
      <c r="BB11" s="175">
        <f t="shared" ref="BB11" si="292">BA11</f>
        <v>0.01</v>
      </c>
      <c r="BC11" s="175">
        <f t="shared" ref="BC11" si="293">BB11</f>
        <v>0.01</v>
      </c>
      <c r="BD11" s="175">
        <f t="shared" ref="BD11" si="294">BC11</f>
        <v>0.01</v>
      </c>
      <c r="BE11" s="175">
        <f t="shared" ref="BE11" si="295">BD11</f>
        <v>0.01</v>
      </c>
      <c r="BF11" s="175">
        <f t="shared" ref="BF11" si="296">BE11</f>
        <v>0.01</v>
      </c>
      <c r="BG11" s="175">
        <f t="shared" ref="BG11" si="297">BF11</f>
        <v>0.01</v>
      </c>
      <c r="BH11" s="175">
        <f t="shared" ref="BH11" si="298">BG11</f>
        <v>0.01</v>
      </c>
      <c r="BI11" s="175">
        <f t="shared" ref="BI11" si="299">BH11</f>
        <v>0.01</v>
      </c>
      <c r="BJ11" s="175">
        <f t="shared" ref="BJ11" si="300">BI11</f>
        <v>0.01</v>
      </c>
      <c r="BK11" s="175">
        <f t="shared" ref="BK11" si="301">BJ11</f>
        <v>0.01</v>
      </c>
      <c r="BL11" s="175">
        <f t="shared" ref="BL11" si="302">BK11</f>
        <v>0.01</v>
      </c>
      <c r="BM11" s="175">
        <f t="shared" ref="BM11" si="303">BL11</f>
        <v>0.01</v>
      </c>
      <c r="BN11" s="175">
        <f t="shared" ref="BN11" si="304">BM11</f>
        <v>0.01</v>
      </c>
      <c r="BO11" s="175">
        <f t="shared" ref="BO11" si="305">BN11</f>
        <v>0.01</v>
      </c>
      <c r="BP11" s="175">
        <f t="shared" ref="BP11" si="306">BO11</f>
        <v>0.01</v>
      </c>
      <c r="BQ11" s="175">
        <f t="shared" ref="BQ11" si="307">BP11</f>
        <v>0.01</v>
      </c>
      <c r="BR11" s="175">
        <f t="shared" ref="BR11" si="308">BQ11</f>
        <v>0.01</v>
      </c>
      <c r="BS11" s="175">
        <f t="shared" ref="BS11" si="309">BR11</f>
        <v>0.01</v>
      </c>
      <c r="BT11" s="175">
        <f t="shared" ref="BT11" si="310">BS11</f>
        <v>0.01</v>
      </c>
      <c r="BU11" s="175">
        <f t="shared" ref="BU11" si="311">BT11</f>
        <v>0.01</v>
      </c>
      <c r="BV11" s="175">
        <f t="shared" ref="BV11" si="312">BU11</f>
        <v>0.01</v>
      </c>
      <c r="BW11" s="175">
        <f t="shared" ref="BW11" si="313">BV11</f>
        <v>0.01</v>
      </c>
      <c r="BX11" s="175">
        <f t="shared" ref="BX11" si="314">BW11</f>
        <v>0.01</v>
      </c>
      <c r="BY11" s="175">
        <f t="shared" ref="BY11" si="315">BX11</f>
        <v>0.01</v>
      </c>
      <c r="BZ11" s="175">
        <f t="shared" ref="BZ11" si="316">BY11</f>
        <v>0.01</v>
      </c>
      <c r="CA11" s="175">
        <f t="shared" ref="CA11" si="317">BZ11</f>
        <v>0.01</v>
      </c>
      <c r="CB11" s="175">
        <f t="shared" ref="CB11" si="318">CA11</f>
        <v>0.01</v>
      </c>
      <c r="CC11" s="175">
        <f t="shared" ref="CC11" si="319">CB11</f>
        <v>0.01</v>
      </c>
      <c r="CD11" s="175">
        <f t="shared" ref="CD11" si="320">CC11</f>
        <v>0.01</v>
      </c>
      <c r="CE11" s="175">
        <f t="shared" ref="CE11" si="321">CD11</f>
        <v>0.01</v>
      </c>
      <c r="CF11" s="175">
        <f t="shared" ref="CF11" si="322">CE11</f>
        <v>0.01</v>
      </c>
      <c r="CG11" s="175">
        <f t="shared" ref="CG11" si="323">CF11</f>
        <v>0.01</v>
      </c>
      <c r="CH11" s="175">
        <f t="shared" ref="CH11" si="324">CG11</f>
        <v>0.01</v>
      </c>
      <c r="CI11" s="175">
        <f t="shared" ref="CI11" si="325">CH11</f>
        <v>0.01</v>
      </c>
      <c r="CJ11" s="175">
        <f t="shared" ref="CJ11" si="326">CI11</f>
        <v>0.01</v>
      </c>
      <c r="CK11" s="175">
        <f t="shared" ref="CK11" si="327">CJ11</f>
        <v>0.01</v>
      </c>
      <c r="CL11" s="175">
        <f t="shared" ref="CL11" si="328">CK11</f>
        <v>0.01</v>
      </c>
      <c r="CM11" s="175">
        <f t="shared" ref="CM11" si="329">CL11</f>
        <v>0.01</v>
      </c>
      <c r="CN11" s="175">
        <f t="shared" ref="CN11" si="330">CM11</f>
        <v>0.01</v>
      </c>
      <c r="CO11" s="175">
        <f t="shared" ref="CO11" si="331">CN11</f>
        <v>0.01</v>
      </c>
      <c r="CP11" s="175">
        <f t="shared" ref="CP11" si="332">CO11</f>
        <v>0.01</v>
      </c>
      <c r="CQ11" s="175">
        <f t="shared" ref="CQ11" si="333">CP11</f>
        <v>0.01</v>
      </c>
      <c r="CR11" s="175">
        <f t="shared" ref="CR11" si="334">CQ11</f>
        <v>0.01</v>
      </c>
      <c r="CS11" s="175">
        <f t="shared" ref="CS11" si="335">CR11</f>
        <v>0.01</v>
      </c>
      <c r="CT11" s="175">
        <f t="shared" ref="CT11" si="336">CS11</f>
        <v>0.01</v>
      </c>
      <c r="CU11" s="175">
        <f t="shared" ref="CU11" si="337">CT11</f>
        <v>0.01</v>
      </c>
      <c r="CV11" s="175">
        <f t="shared" ref="CV11" si="338">CU11</f>
        <v>0.01</v>
      </c>
      <c r="CW11" s="175">
        <f t="shared" ref="CW11" si="339">CV11</f>
        <v>0.01</v>
      </c>
      <c r="CX11" s="175">
        <f t="shared" ref="CX11" si="340">CW11</f>
        <v>0.01</v>
      </c>
      <c r="CY11" s="175">
        <f t="shared" ref="CY11" si="341">CX11</f>
        <v>0.01</v>
      </c>
      <c r="CZ11" s="175">
        <f t="shared" ref="CZ11" si="342">CY11</f>
        <v>0.01</v>
      </c>
      <c r="DA11" s="175">
        <f t="shared" ref="DA11" si="343">CZ11</f>
        <v>0.01</v>
      </c>
      <c r="DB11" s="175">
        <f t="shared" ref="DB11" si="344">DA11</f>
        <v>0.01</v>
      </c>
      <c r="DC11" s="175">
        <f t="shared" ref="DC11" si="345">DB11</f>
        <v>0.01</v>
      </c>
      <c r="DD11" s="175">
        <f t="shared" ref="DD11" si="346">DC11</f>
        <v>0.01</v>
      </c>
      <c r="DE11" s="175">
        <f t="shared" ref="DE11" si="347">DD11</f>
        <v>0.01</v>
      </c>
      <c r="DF11" s="175">
        <f t="shared" ref="DF11" si="348">DE11</f>
        <v>0.01</v>
      </c>
      <c r="DG11" s="175">
        <f t="shared" ref="DG11" si="349">DF11</f>
        <v>0.01</v>
      </c>
      <c r="DH11" s="175">
        <f t="shared" ref="DH11" si="350">DG11</f>
        <v>0.01</v>
      </c>
      <c r="DI11" s="175">
        <f t="shared" ref="DI11" si="351">DH11</f>
        <v>0.01</v>
      </c>
      <c r="DJ11" s="175">
        <f t="shared" ref="DJ11" si="352">DI11</f>
        <v>0.01</v>
      </c>
      <c r="DK11" s="175">
        <f t="shared" ref="DK11" si="353">DJ11</f>
        <v>0.01</v>
      </c>
      <c r="DL11" s="175">
        <f t="shared" ref="DL11" si="354">DK11</f>
        <v>0.01</v>
      </c>
      <c r="DM11" s="175">
        <f t="shared" ref="DM11" si="355">DL11</f>
        <v>0.01</v>
      </c>
      <c r="DN11" s="175">
        <f t="shared" ref="DN11" si="356">DM11</f>
        <v>0.01</v>
      </c>
      <c r="DO11" s="175">
        <f t="shared" ref="DO11" si="357">DN11</f>
        <v>0.01</v>
      </c>
      <c r="DP11" s="175">
        <f t="shared" ref="DP11" si="358">DO11</f>
        <v>0.01</v>
      </c>
      <c r="DQ11" s="175">
        <f t="shared" ref="DQ11" si="359">DP11</f>
        <v>0.01</v>
      </c>
      <c r="DR11" s="175">
        <f t="shared" ref="DR11" si="360">DQ11</f>
        <v>0.01</v>
      </c>
      <c r="DS11" s="175">
        <f t="shared" ref="DS11" si="361">DR11</f>
        <v>0.01</v>
      </c>
      <c r="DT11" s="175">
        <f t="shared" ref="DT11" si="362">DS11</f>
        <v>0.01</v>
      </c>
      <c r="DU11" s="175">
        <f t="shared" ref="DU11" si="363">DT11</f>
        <v>0.01</v>
      </c>
      <c r="DV11" s="175">
        <f t="shared" ref="DV11" si="364">DU11</f>
        <v>0.01</v>
      </c>
      <c r="DW11" s="175">
        <f t="shared" ref="DW11" si="365">DV11</f>
        <v>0.01</v>
      </c>
      <c r="DX11" s="175">
        <f t="shared" ref="DX11" si="366">DW11</f>
        <v>0.01</v>
      </c>
    </row>
    <row r="12" spans="1:128" s="179" customFormat="1">
      <c r="A12" s="177" t="s">
        <v>6330</v>
      </c>
      <c r="B12" s="178">
        <f>MAX(1,B11*B4)</f>
        <v>1</v>
      </c>
      <c r="C12" s="178">
        <f t="shared" ref="C12:L12" si="367">MAX(1,C11*C4)</f>
        <v>1</v>
      </c>
      <c r="D12" s="178">
        <f t="shared" si="367"/>
        <v>1</v>
      </c>
      <c r="E12" s="178">
        <f t="shared" si="367"/>
        <v>1</v>
      </c>
      <c r="F12" s="178">
        <f t="shared" si="367"/>
        <v>1</v>
      </c>
      <c r="G12" s="178">
        <f t="shared" si="367"/>
        <v>1</v>
      </c>
      <c r="H12" s="178">
        <f t="shared" si="367"/>
        <v>1.8900000000000001</v>
      </c>
      <c r="I12" s="178">
        <f t="shared" si="367"/>
        <v>3.33</v>
      </c>
      <c r="J12" s="178">
        <f t="shared" si="367"/>
        <v>7.33</v>
      </c>
      <c r="K12" s="178">
        <f t="shared" si="367"/>
        <v>16.13</v>
      </c>
      <c r="L12" s="178">
        <f t="shared" si="367"/>
        <v>35.49</v>
      </c>
      <c r="M12" s="178">
        <f t="shared" ref="M12:BX12" si="368">MAX(1,M11*M4)</f>
        <v>144.61000000000001</v>
      </c>
      <c r="N12" s="178">
        <f t="shared" si="368"/>
        <v>70.75</v>
      </c>
      <c r="O12" s="178">
        <f t="shared" si="368"/>
        <v>54.26</v>
      </c>
      <c r="P12" s="178">
        <f t="shared" si="368"/>
        <v>51.550000000000004</v>
      </c>
      <c r="Q12" s="178">
        <f t="shared" si="368"/>
        <v>33.869999999999997</v>
      </c>
      <c r="R12" s="178">
        <f t="shared" si="368"/>
        <v>30.25</v>
      </c>
      <c r="S12" s="178">
        <f t="shared" si="368"/>
        <v>28.8</v>
      </c>
      <c r="T12" s="178">
        <f t="shared" si="368"/>
        <v>28.42</v>
      </c>
      <c r="U12" s="178">
        <f t="shared" si="368"/>
        <v>27.27</v>
      </c>
      <c r="V12" s="178">
        <f t="shared" si="368"/>
        <v>26.17</v>
      </c>
      <c r="W12" s="178">
        <f t="shared" si="368"/>
        <v>24.32</v>
      </c>
      <c r="X12" s="178">
        <f t="shared" si="368"/>
        <v>19.7</v>
      </c>
      <c r="Y12" s="178">
        <f t="shared" si="368"/>
        <v>16.53</v>
      </c>
      <c r="Z12" s="178">
        <f t="shared" si="368"/>
        <v>16.080000000000002</v>
      </c>
      <c r="AA12" s="178">
        <f t="shared" si="368"/>
        <v>15.67</v>
      </c>
      <c r="AB12" s="178">
        <f t="shared" si="368"/>
        <v>15</v>
      </c>
      <c r="AC12" s="178">
        <f t="shared" si="368"/>
        <v>14.33</v>
      </c>
      <c r="AD12" s="178">
        <f t="shared" si="368"/>
        <v>13.65</v>
      </c>
      <c r="AE12" s="178">
        <f t="shared" si="368"/>
        <v>13.06</v>
      </c>
      <c r="AF12" s="178">
        <f t="shared" si="368"/>
        <v>12.67</v>
      </c>
      <c r="AG12" s="178">
        <f t="shared" si="368"/>
        <v>12.34</v>
      </c>
      <c r="AH12" s="178">
        <f t="shared" si="368"/>
        <v>11.02</v>
      </c>
      <c r="AI12" s="178">
        <f t="shared" si="368"/>
        <v>10.3</v>
      </c>
      <c r="AJ12" s="178">
        <f t="shared" si="368"/>
        <v>10.17</v>
      </c>
      <c r="AK12" s="178">
        <f t="shared" si="368"/>
        <v>9.76</v>
      </c>
      <c r="AL12" s="178">
        <f t="shared" si="368"/>
        <v>9.07</v>
      </c>
      <c r="AM12" s="178">
        <f t="shared" si="368"/>
        <v>7.98</v>
      </c>
      <c r="AN12" s="178">
        <f t="shared" si="368"/>
        <v>7.98</v>
      </c>
      <c r="AO12" s="178">
        <f t="shared" si="368"/>
        <v>7.61</v>
      </c>
      <c r="AP12" s="178">
        <f t="shared" si="368"/>
        <v>7.25</v>
      </c>
      <c r="AQ12" s="178">
        <f t="shared" si="368"/>
        <v>6.97</v>
      </c>
      <c r="AR12" s="178">
        <f t="shared" si="368"/>
        <v>6.78</v>
      </c>
      <c r="AS12" s="178">
        <f t="shared" si="368"/>
        <v>6.6400000000000006</v>
      </c>
      <c r="AT12" s="178">
        <f t="shared" si="368"/>
        <v>6.24</v>
      </c>
      <c r="AU12" s="178">
        <f t="shared" si="368"/>
        <v>5.53</v>
      </c>
      <c r="AV12" s="178">
        <f t="shared" si="368"/>
        <v>5.42</v>
      </c>
      <c r="AW12" s="178">
        <f t="shared" si="368"/>
        <v>5.4</v>
      </c>
      <c r="AX12" s="178">
        <f t="shared" si="368"/>
        <v>5.2700000000000005</v>
      </c>
      <c r="AY12" s="178">
        <f t="shared" si="368"/>
        <v>5.0200000000000005</v>
      </c>
      <c r="AZ12" s="178">
        <f t="shared" si="368"/>
        <v>4.96</v>
      </c>
      <c r="BA12" s="178">
        <f t="shared" si="368"/>
        <v>4.9000000000000004</v>
      </c>
      <c r="BB12" s="178">
        <f t="shared" si="368"/>
        <v>4.75</v>
      </c>
      <c r="BC12" s="178">
        <f t="shared" si="368"/>
        <v>4.4400000000000004</v>
      </c>
      <c r="BD12" s="178">
        <f t="shared" si="368"/>
        <v>3.94</v>
      </c>
      <c r="BE12" s="178">
        <f t="shared" si="368"/>
        <v>3.86</v>
      </c>
      <c r="BF12" s="178">
        <f t="shared" si="368"/>
        <v>3.79</v>
      </c>
      <c r="BG12" s="178">
        <f t="shared" si="368"/>
        <v>3.72</v>
      </c>
      <c r="BH12" s="178">
        <f t="shared" si="368"/>
        <v>3.71</v>
      </c>
      <c r="BI12" s="178">
        <f t="shared" si="368"/>
        <v>3.46</v>
      </c>
      <c r="BJ12" s="178">
        <f t="shared" si="368"/>
        <v>3.45</v>
      </c>
      <c r="BK12" s="178">
        <f t="shared" si="368"/>
        <v>3.3000000000000003</v>
      </c>
      <c r="BL12" s="178">
        <f t="shared" si="368"/>
        <v>3.14</v>
      </c>
      <c r="BM12" s="178">
        <f t="shared" si="368"/>
        <v>3.08</v>
      </c>
      <c r="BN12" s="178">
        <f t="shared" si="368"/>
        <v>3.0500000000000003</v>
      </c>
      <c r="BO12" s="178">
        <f t="shared" si="368"/>
        <v>2.52</v>
      </c>
      <c r="BP12" s="178">
        <f t="shared" si="368"/>
        <v>2.4500000000000002</v>
      </c>
      <c r="BQ12" s="178">
        <f t="shared" si="368"/>
        <v>2.44</v>
      </c>
      <c r="BR12" s="178">
        <f t="shared" si="368"/>
        <v>2.33</v>
      </c>
      <c r="BS12" s="178">
        <f t="shared" si="368"/>
        <v>2.25</v>
      </c>
      <c r="BT12" s="178">
        <f t="shared" si="368"/>
        <v>2.19</v>
      </c>
      <c r="BU12" s="178">
        <f t="shared" si="368"/>
        <v>2.16</v>
      </c>
      <c r="BV12" s="178">
        <f t="shared" si="368"/>
        <v>1.95</v>
      </c>
      <c r="BW12" s="178">
        <f t="shared" si="368"/>
        <v>1.9100000000000001</v>
      </c>
      <c r="BX12" s="178">
        <f t="shared" si="368"/>
        <v>1.81</v>
      </c>
      <c r="BY12" s="178">
        <f t="shared" ref="BY12:DX12" si="369">MAX(1,BY11*BY4)</f>
        <v>1.6</v>
      </c>
      <c r="BZ12" s="178">
        <f t="shared" si="369"/>
        <v>1.58</v>
      </c>
      <c r="CA12" s="178">
        <f t="shared" si="369"/>
        <v>1.54</v>
      </c>
      <c r="CB12" s="178">
        <f t="shared" si="369"/>
        <v>1.51</v>
      </c>
      <c r="CC12" s="178">
        <f t="shared" si="369"/>
        <v>1.48</v>
      </c>
      <c r="CD12" s="178">
        <f t="shared" si="369"/>
        <v>1.47</v>
      </c>
      <c r="CE12" s="178">
        <f t="shared" si="369"/>
        <v>1.44</v>
      </c>
      <c r="CF12" s="178">
        <f t="shared" si="369"/>
        <v>1.05</v>
      </c>
      <c r="CG12" s="178">
        <f t="shared" si="369"/>
        <v>1.03</v>
      </c>
      <c r="CH12" s="178">
        <f t="shared" si="369"/>
        <v>1.01</v>
      </c>
      <c r="CI12" s="178">
        <f t="shared" si="369"/>
        <v>1</v>
      </c>
      <c r="CJ12" s="178">
        <f t="shared" si="369"/>
        <v>1</v>
      </c>
      <c r="CK12" s="178">
        <f t="shared" si="369"/>
        <v>1</v>
      </c>
      <c r="CL12" s="178">
        <f t="shared" si="369"/>
        <v>1</v>
      </c>
      <c r="CM12" s="178">
        <f t="shared" si="369"/>
        <v>1</v>
      </c>
      <c r="CN12" s="178">
        <f t="shared" si="369"/>
        <v>1</v>
      </c>
      <c r="CO12" s="178">
        <f t="shared" si="369"/>
        <v>1</v>
      </c>
      <c r="CP12" s="178">
        <f t="shared" si="369"/>
        <v>1</v>
      </c>
      <c r="CQ12" s="178">
        <f t="shared" si="369"/>
        <v>1</v>
      </c>
      <c r="CR12" s="178">
        <f t="shared" si="369"/>
        <v>1</v>
      </c>
      <c r="CS12" s="178">
        <f t="shared" si="369"/>
        <v>1</v>
      </c>
      <c r="CT12" s="178">
        <f t="shared" si="369"/>
        <v>1</v>
      </c>
      <c r="CU12" s="178">
        <f t="shared" si="369"/>
        <v>1</v>
      </c>
      <c r="CV12" s="178">
        <f t="shared" si="369"/>
        <v>1</v>
      </c>
      <c r="CW12" s="178">
        <f t="shared" si="369"/>
        <v>1</v>
      </c>
      <c r="CX12" s="178">
        <f t="shared" si="369"/>
        <v>1</v>
      </c>
      <c r="CY12" s="178">
        <f t="shared" si="369"/>
        <v>1</v>
      </c>
      <c r="CZ12" s="178">
        <f t="shared" si="369"/>
        <v>1</v>
      </c>
      <c r="DA12" s="178">
        <f t="shared" si="369"/>
        <v>1</v>
      </c>
      <c r="DB12" s="178">
        <f t="shared" si="369"/>
        <v>1</v>
      </c>
      <c r="DC12" s="178">
        <f t="shared" si="369"/>
        <v>1</v>
      </c>
      <c r="DD12" s="178">
        <f t="shared" si="369"/>
        <v>1</v>
      </c>
      <c r="DE12" s="178">
        <f t="shared" si="369"/>
        <v>1</v>
      </c>
      <c r="DF12" s="178">
        <f t="shared" si="369"/>
        <v>1</v>
      </c>
      <c r="DG12" s="178">
        <f t="shared" si="369"/>
        <v>1</v>
      </c>
      <c r="DH12" s="178">
        <f t="shared" si="369"/>
        <v>1</v>
      </c>
      <c r="DI12" s="178">
        <f t="shared" si="369"/>
        <v>1</v>
      </c>
      <c r="DJ12" s="178">
        <f t="shared" si="369"/>
        <v>1</v>
      </c>
      <c r="DK12" s="178">
        <f t="shared" si="369"/>
        <v>1</v>
      </c>
      <c r="DL12" s="178">
        <f t="shared" si="369"/>
        <v>1</v>
      </c>
      <c r="DM12" s="178">
        <f t="shared" si="369"/>
        <v>1</v>
      </c>
      <c r="DN12" s="178">
        <f t="shared" si="369"/>
        <v>1</v>
      </c>
      <c r="DO12" s="178">
        <f t="shared" si="369"/>
        <v>1</v>
      </c>
      <c r="DP12" s="178">
        <f t="shared" si="369"/>
        <v>1</v>
      </c>
      <c r="DQ12" s="178">
        <f t="shared" si="369"/>
        <v>1</v>
      </c>
      <c r="DR12" s="178">
        <f t="shared" si="369"/>
        <v>1</v>
      </c>
      <c r="DS12" s="178">
        <f t="shared" si="369"/>
        <v>1</v>
      </c>
      <c r="DT12" s="178">
        <f t="shared" si="369"/>
        <v>1</v>
      </c>
      <c r="DU12" s="178">
        <f t="shared" si="369"/>
        <v>1</v>
      </c>
      <c r="DV12" s="178">
        <f t="shared" si="369"/>
        <v>1</v>
      </c>
      <c r="DW12" s="178">
        <f t="shared" si="369"/>
        <v>1</v>
      </c>
      <c r="DX12" s="178">
        <f t="shared" si="369"/>
        <v>1</v>
      </c>
    </row>
    <row r="13" spans="1:128" s="179" customFormat="1">
      <c r="A13" s="180" t="s">
        <v>6331</v>
      </c>
      <c r="B13" s="178">
        <f>B12*B3</f>
        <v>300</v>
      </c>
      <c r="C13" s="178">
        <f t="shared" ref="C13:L13" si="370">C12*C3</f>
        <v>300</v>
      </c>
      <c r="D13" s="178">
        <f t="shared" si="370"/>
        <v>300</v>
      </c>
      <c r="E13" s="178">
        <f t="shared" si="370"/>
        <v>300</v>
      </c>
      <c r="F13" s="178">
        <f t="shared" si="370"/>
        <v>300</v>
      </c>
      <c r="G13" s="178">
        <f t="shared" si="370"/>
        <v>300</v>
      </c>
      <c r="H13" s="178">
        <f t="shared" si="370"/>
        <v>567</v>
      </c>
      <c r="I13" s="178">
        <f t="shared" si="370"/>
        <v>999</v>
      </c>
      <c r="J13" s="178">
        <f t="shared" si="370"/>
        <v>2199</v>
      </c>
      <c r="K13" s="178">
        <f t="shared" si="370"/>
        <v>4839</v>
      </c>
      <c r="L13" s="178">
        <f t="shared" si="370"/>
        <v>10647</v>
      </c>
      <c r="M13" s="178">
        <f t="shared" ref="M13:BX13" si="371">M12*M3</f>
        <v>43383.000000000007</v>
      </c>
      <c r="N13" s="178">
        <f t="shared" si="371"/>
        <v>21225</v>
      </c>
      <c r="O13" s="178">
        <f t="shared" si="371"/>
        <v>16278</v>
      </c>
      <c r="P13" s="178">
        <f t="shared" si="371"/>
        <v>15465.000000000002</v>
      </c>
      <c r="Q13" s="178">
        <f t="shared" si="371"/>
        <v>10161</v>
      </c>
      <c r="R13" s="178">
        <f t="shared" si="371"/>
        <v>9075</v>
      </c>
      <c r="S13" s="178">
        <f t="shared" si="371"/>
        <v>8640</v>
      </c>
      <c r="T13" s="178">
        <f t="shared" si="371"/>
        <v>8526</v>
      </c>
      <c r="U13" s="178">
        <f t="shared" si="371"/>
        <v>8181</v>
      </c>
      <c r="V13" s="178">
        <f t="shared" si="371"/>
        <v>7851.0000000000009</v>
      </c>
      <c r="W13" s="178">
        <f t="shared" si="371"/>
        <v>7296</v>
      </c>
      <c r="X13" s="178">
        <f t="shared" si="371"/>
        <v>5910</v>
      </c>
      <c r="Y13" s="178">
        <f t="shared" si="371"/>
        <v>4959</v>
      </c>
      <c r="Z13" s="178">
        <f t="shared" si="371"/>
        <v>4824.0000000000009</v>
      </c>
      <c r="AA13" s="178">
        <f t="shared" si="371"/>
        <v>4701</v>
      </c>
      <c r="AB13" s="178">
        <f t="shared" si="371"/>
        <v>4500</v>
      </c>
      <c r="AC13" s="178">
        <f t="shared" si="371"/>
        <v>4299</v>
      </c>
      <c r="AD13" s="178">
        <f t="shared" si="371"/>
        <v>4095</v>
      </c>
      <c r="AE13" s="178">
        <f t="shared" si="371"/>
        <v>3918</v>
      </c>
      <c r="AF13" s="178">
        <f t="shared" si="371"/>
        <v>3801</v>
      </c>
      <c r="AG13" s="178">
        <f t="shared" si="371"/>
        <v>3702</v>
      </c>
      <c r="AH13" s="178">
        <f t="shared" si="371"/>
        <v>3306</v>
      </c>
      <c r="AI13" s="178">
        <f t="shared" si="371"/>
        <v>3090</v>
      </c>
      <c r="AJ13" s="178">
        <f t="shared" si="371"/>
        <v>3051</v>
      </c>
      <c r="AK13" s="178">
        <f t="shared" si="371"/>
        <v>2928</v>
      </c>
      <c r="AL13" s="178">
        <f t="shared" si="371"/>
        <v>2721</v>
      </c>
      <c r="AM13" s="178">
        <f t="shared" si="371"/>
        <v>2394</v>
      </c>
      <c r="AN13" s="178">
        <f t="shared" si="371"/>
        <v>2394</v>
      </c>
      <c r="AO13" s="178">
        <f t="shared" si="371"/>
        <v>2283</v>
      </c>
      <c r="AP13" s="178">
        <f t="shared" si="371"/>
        <v>2175</v>
      </c>
      <c r="AQ13" s="178">
        <f t="shared" si="371"/>
        <v>2091</v>
      </c>
      <c r="AR13" s="178">
        <f t="shared" si="371"/>
        <v>2034</v>
      </c>
      <c r="AS13" s="178">
        <f t="shared" si="371"/>
        <v>1992.0000000000002</v>
      </c>
      <c r="AT13" s="178">
        <f t="shared" si="371"/>
        <v>1872</v>
      </c>
      <c r="AU13" s="178">
        <f t="shared" si="371"/>
        <v>1659</v>
      </c>
      <c r="AV13" s="178">
        <f t="shared" si="371"/>
        <v>1626</v>
      </c>
      <c r="AW13" s="178">
        <f t="shared" si="371"/>
        <v>1620</v>
      </c>
      <c r="AX13" s="178">
        <f t="shared" si="371"/>
        <v>1581.0000000000002</v>
      </c>
      <c r="AY13" s="178">
        <f t="shared" si="371"/>
        <v>1506.0000000000002</v>
      </c>
      <c r="AZ13" s="178">
        <f t="shared" si="371"/>
        <v>1488</v>
      </c>
      <c r="BA13" s="178">
        <f t="shared" si="371"/>
        <v>1470</v>
      </c>
      <c r="BB13" s="178">
        <f t="shared" si="371"/>
        <v>1425</v>
      </c>
      <c r="BC13" s="178">
        <f t="shared" si="371"/>
        <v>1332.0000000000002</v>
      </c>
      <c r="BD13" s="178">
        <f t="shared" si="371"/>
        <v>1182</v>
      </c>
      <c r="BE13" s="178">
        <f t="shared" si="371"/>
        <v>1158</v>
      </c>
      <c r="BF13" s="178">
        <f t="shared" si="371"/>
        <v>1137</v>
      </c>
      <c r="BG13" s="178">
        <f t="shared" si="371"/>
        <v>1116</v>
      </c>
      <c r="BH13" s="178">
        <f t="shared" si="371"/>
        <v>1113</v>
      </c>
      <c r="BI13" s="178">
        <f t="shared" si="371"/>
        <v>1038</v>
      </c>
      <c r="BJ13" s="178">
        <f t="shared" si="371"/>
        <v>1035</v>
      </c>
      <c r="BK13" s="178">
        <f t="shared" si="371"/>
        <v>990.00000000000011</v>
      </c>
      <c r="BL13" s="178">
        <f t="shared" si="371"/>
        <v>942</v>
      </c>
      <c r="BM13" s="178">
        <f t="shared" si="371"/>
        <v>924</v>
      </c>
      <c r="BN13" s="178">
        <f t="shared" si="371"/>
        <v>915.00000000000011</v>
      </c>
      <c r="BO13" s="178">
        <f t="shared" si="371"/>
        <v>756</v>
      </c>
      <c r="BP13" s="178">
        <f t="shared" si="371"/>
        <v>735</v>
      </c>
      <c r="BQ13" s="178">
        <f t="shared" si="371"/>
        <v>732</v>
      </c>
      <c r="BR13" s="178">
        <f t="shared" si="371"/>
        <v>699</v>
      </c>
      <c r="BS13" s="178">
        <f t="shared" si="371"/>
        <v>675</v>
      </c>
      <c r="BT13" s="178">
        <f t="shared" si="371"/>
        <v>657</v>
      </c>
      <c r="BU13" s="178">
        <f t="shared" si="371"/>
        <v>648</v>
      </c>
      <c r="BV13" s="178">
        <f t="shared" si="371"/>
        <v>585</v>
      </c>
      <c r="BW13" s="178">
        <f t="shared" si="371"/>
        <v>573</v>
      </c>
      <c r="BX13" s="178">
        <f t="shared" si="371"/>
        <v>543</v>
      </c>
      <c r="BY13" s="178">
        <f t="shared" ref="BY13:DX13" si="372">BY12*BY3</f>
        <v>480</v>
      </c>
      <c r="BZ13" s="178">
        <f t="shared" si="372"/>
        <v>474</v>
      </c>
      <c r="CA13" s="178">
        <f t="shared" si="372"/>
        <v>462</v>
      </c>
      <c r="CB13" s="178">
        <f t="shared" si="372"/>
        <v>453</v>
      </c>
      <c r="CC13" s="178">
        <f t="shared" si="372"/>
        <v>444</v>
      </c>
      <c r="CD13" s="178">
        <f t="shared" si="372"/>
        <v>441</v>
      </c>
      <c r="CE13" s="178">
        <f t="shared" si="372"/>
        <v>432</v>
      </c>
      <c r="CF13" s="178">
        <f t="shared" si="372"/>
        <v>315</v>
      </c>
      <c r="CG13" s="178">
        <f t="shared" si="372"/>
        <v>309</v>
      </c>
      <c r="CH13" s="178">
        <f t="shared" si="372"/>
        <v>303</v>
      </c>
      <c r="CI13" s="178">
        <f t="shared" si="372"/>
        <v>300</v>
      </c>
      <c r="CJ13" s="178">
        <f t="shared" si="372"/>
        <v>300</v>
      </c>
      <c r="CK13" s="178">
        <f t="shared" si="372"/>
        <v>300</v>
      </c>
      <c r="CL13" s="178">
        <f t="shared" si="372"/>
        <v>300</v>
      </c>
      <c r="CM13" s="178">
        <f t="shared" si="372"/>
        <v>300</v>
      </c>
      <c r="CN13" s="178">
        <f t="shared" si="372"/>
        <v>300</v>
      </c>
      <c r="CO13" s="178">
        <f t="shared" si="372"/>
        <v>300</v>
      </c>
      <c r="CP13" s="178">
        <f t="shared" si="372"/>
        <v>300</v>
      </c>
      <c r="CQ13" s="178">
        <f t="shared" si="372"/>
        <v>300</v>
      </c>
      <c r="CR13" s="178">
        <f t="shared" si="372"/>
        <v>300</v>
      </c>
      <c r="CS13" s="178">
        <f t="shared" si="372"/>
        <v>300</v>
      </c>
      <c r="CT13" s="178">
        <f t="shared" si="372"/>
        <v>300</v>
      </c>
      <c r="CU13" s="178">
        <f t="shared" si="372"/>
        <v>300</v>
      </c>
      <c r="CV13" s="178">
        <f t="shared" si="372"/>
        <v>300</v>
      </c>
      <c r="CW13" s="178">
        <f t="shared" si="372"/>
        <v>300</v>
      </c>
      <c r="CX13" s="178">
        <f t="shared" si="372"/>
        <v>300</v>
      </c>
      <c r="CY13" s="178">
        <f t="shared" si="372"/>
        <v>300</v>
      </c>
      <c r="CZ13" s="178">
        <f t="shared" si="372"/>
        <v>300</v>
      </c>
      <c r="DA13" s="178">
        <f t="shared" si="372"/>
        <v>300</v>
      </c>
      <c r="DB13" s="178">
        <f t="shared" si="372"/>
        <v>300</v>
      </c>
      <c r="DC13" s="178">
        <f t="shared" si="372"/>
        <v>300</v>
      </c>
      <c r="DD13" s="178">
        <f t="shared" si="372"/>
        <v>300</v>
      </c>
      <c r="DE13" s="178">
        <f t="shared" si="372"/>
        <v>300</v>
      </c>
      <c r="DF13" s="178">
        <f t="shared" si="372"/>
        <v>300</v>
      </c>
      <c r="DG13" s="178">
        <f t="shared" si="372"/>
        <v>300</v>
      </c>
      <c r="DH13" s="178">
        <f t="shared" si="372"/>
        <v>300</v>
      </c>
      <c r="DI13" s="178">
        <f t="shared" si="372"/>
        <v>300</v>
      </c>
      <c r="DJ13" s="178">
        <f t="shared" si="372"/>
        <v>300</v>
      </c>
      <c r="DK13" s="178">
        <f t="shared" si="372"/>
        <v>300</v>
      </c>
      <c r="DL13" s="178">
        <f t="shared" si="372"/>
        <v>300</v>
      </c>
      <c r="DM13" s="178">
        <f t="shared" si="372"/>
        <v>300</v>
      </c>
      <c r="DN13" s="178">
        <f t="shared" si="372"/>
        <v>300</v>
      </c>
      <c r="DO13" s="178">
        <f t="shared" si="372"/>
        <v>300</v>
      </c>
      <c r="DP13" s="178">
        <f t="shared" si="372"/>
        <v>300</v>
      </c>
      <c r="DQ13" s="178">
        <f t="shared" si="372"/>
        <v>300</v>
      </c>
      <c r="DR13" s="178">
        <f t="shared" si="372"/>
        <v>300</v>
      </c>
      <c r="DS13" s="178">
        <f t="shared" si="372"/>
        <v>300</v>
      </c>
      <c r="DT13" s="178">
        <f t="shared" si="372"/>
        <v>300</v>
      </c>
      <c r="DU13" s="178">
        <f t="shared" si="372"/>
        <v>300</v>
      </c>
      <c r="DV13" s="178">
        <f t="shared" si="372"/>
        <v>300</v>
      </c>
      <c r="DW13" s="178">
        <f t="shared" si="372"/>
        <v>300</v>
      </c>
      <c r="DX13" s="178">
        <f t="shared" si="372"/>
        <v>300</v>
      </c>
    </row>
    <row r="14" spans="1:128" s="181" customFormat="1">
      <c r="A14" s="177" t="s">
        <v>6332</v>
      </c>
      <c r="B14" s="181">
        <f t="shared" ref="B14:L14" si="373">B12/B4</f>
        <v>0.5</v>
      </c>
      <c r="C14" s="181">
        <f t="shared" si="373"/>
        <v>0.25</v>
      </c>
      <c r="D14" s="181">
        <f t="shared" si="373"/>
        <v>0.125</v>
      </c>
      <c r="E14" s="181">
        <f t="shared" si="373"/>
        <v>5.5555555555555552E-2</v>
      </c>
      <c r="F14" s="181">
        <f t="shared" si="373"/>
        <v>2.564102564102564E-2</v>
      </c>
      <c r="G14" s="181">
        <f t="shared" si="373"/>
        <v>1.1627906976744186E-2</v>
      </c>
      <c r="H14" s="181">
        <f t="shared" si="373"/>
        <v>0.01</v>
      </c>
      <c r="I14" s="181">
        <f t="shared" si="373"/>
        <v>0.01</v>
      </c>
      <c r="J14" s="181">
        <f t="shared" si="373"/>
        <v>0.01</v>
      </c>
      <c r="K14" s="181">
        <f t="shared" si="373"/>
        <v>0.01</v>
      </c>
      <c r="L14" s="181">
        <f t="shared" si="373"/>
        <v>0.01</v>
      </c>
      <c r="M14" s="181">
        <f t="shared" ref="M14:BX14" si="374">M12/M4</f>
        <v>0.01</v>
      </c>
      <c r="N14" s="181">
        <f t="shared" si="374"/>
        <v>0.01</v>
      </c>
      <c r="O14" s="181">
        <f t="shared" si="374"/>
        <v>0.01</v>
      </c>
      <c r="P14" s="181">
        <f t="shared" si="374"/>
        <v>0.01</v>
      </c>
      <c r="Q14" s="181">
        <f t="shared" si="374"/>
        <v>9.9999999999999985E-3</v>
      </c>
      <c r="R14" s="181">
        <f t="shared" si="374"/>
        <v>0.01</v>
      </c>
      <c r="S14" s="181">
        <f t="shared" si="374"/>
        <v>0.01</v>
      </c>
      <c r="T14" s="181">
        <f t="shared" si="374"/>
        <v>0.01</v>
      </c>
      <c r="U14" s="181">
        <f t="shared" si="374"/>
        <v>0.01</v>
      </c>
      <c r="V14" s="181">
        <f t="shared" si="374"/>
        <v>0.01</v>
      </c>
      <c r="W14" s="181">
        <f t="shared" si="374"/>
        <v>0.01</v>
      </c>
      <c r="X14" s="181">
        <f t="shared" si="374"/>
        <v>0.01</v>
      </c>
      <c r="Y14" s="181">
        <f t="shared" si="374"/>
        <v>0.01</v>
      </c>
      <c r="Z14" s="181">
        <f t="shared" si="374"/>
        <v>1.0000000000000002E-2</v>
      </c>
      <c r="AA14" s="181">
        <f t="shared" si="374"/>
        <v>0.01</v>
      </c>
      <c r="AB14" s="181">
        <f t="shared" si="374"/>
        <v>0.01</v>
      </c>
      <c r="AC14" s="181">
        <f t="shared" si="374"/>
        <v>0.01</v>
      </c>
      <c r="AD14" s="181">
        <f t="shared" si="374"/>
        <v>0.01</v>
      </c>
      <c r="AE14" s="181">
        <f t="shared" si="374"/>
        <v>0.01</v>
      </c>
      <c r="AF14" s="181">
        <f t="shared" si="374"/>
        <v>0.01</v>
      </c>
      <c r="AG14" s="181">
        <f t="shared" si="374"/>
        <v>0.01</v>
      </c>
      <c r="AH14" s="181">
        <f t="shared" si="374"/>
        <v>0.01</v>
      </c>
      <c r="AI14" s="181">
        <f t="shared" si="374"/>
        <v>0.01</v>
      </c>
      <c r="AJ14" s="181">
        <f t="shared" si="374"/>
        <v>0.01</v>
      </c>
      <c r="AK14" s="181">
        <f t="shared" si="374"/>
        <v>0.01</v>
      </c>
      <c r="AL14" s="181">
        <f t="shared" si="374"/>
        <v>0.01</v>
      </c>
      <c r="AM14" s="181">
        <f t="shared" si="374"/>
        <v>0.01</v>
      </c>
      <c r="AN14" s="181">
        <f t="shared" si="374"/>
        <v>0.01</v>
      </c>
      <c r="AO14" s="181">
        <f t="shared" si="374"/>
        <v>0.01</v>
      </c>
      <c r="AP14" s="181">
        <f t="shared" si="374"/>
        <v>0.01</v>
      </c>
      <c r="AQ14" s="181">
        <f t="shared" si="374"/>
        <v>0.01</v>
      </c>
      <c r="AR14" s="181">
        <f t="shared" si="374"/>
        <v>0.01</v>
      </c>
      <c r="AS14" s="181">
        <f t="shared" si="374"/>
        <v>0.01</v>
      </c>
      <c r="AT14" s="181">
        <f t="shared" si="374"/>
        <v>0.01</v>
      </c>
      <c r="AU14" s="181">
        <f t="shared" si="374"/>
        <v>0.01</v>
      </c>
      <c r="AV14" s="181">
        <f t="shared" si="374"/>
        <v>0.01</v>
      </c>
      <c r="AW14" s="181">
        <f t="shared" si="374"/>
        <v>0.01</v>
      </c>
      <c r="AX14" s="181">
        <f t="shared" si="374"/>
        <v>0.01</v>
      </c>
      <c r="AY14" s="181">
        <f t="shared" si="374"/>
        <v>0.01</v>
      </c>
      <c r="AZ14" s="181">
        <f t="shared" si="374"/>
        <v>0.01</v>
      </c>
      <c r="BA14" s="181">
        <f t="shared" si="374"/>
        <v>0.01</v>
      </c>
      <c r="BB14" s="181">
        <f t="shared" si="374"/>
        <v>0.01</v>
      </c>
      <c r="BC14" s="181">
        <f t="shared" si="374"/>
        <v>0.01</v>
      </c>
      <c r="BD14" s="181">
        <f t="shared" si="374"/>
        <v>0.01</v>
      </c>
      <c r="BE14" s="181">
        <f t="shared" si="374"/>
        <v>0.01</v>
      </c>
      <c r="BF14" s="181">
        <f t="shared" si="374"/>
        <v>0.01</v>
      </c>
      <c r="BG14" s="181">
        <f t="shared" si="374"/>
        <v>0.01</v>
      </c>
      <c r="BH14" s="181">
        <f t="shared" si="374"/>
        <v>0.01</v>
      </c>
      <c r="BI14" s="181">
        <f t="shared" si="374"/>
        <v>0.01</v>
      </c>
      <c r="BJ14" s="181">
        <f t="shared" si="374"/>
        <v>0.01</v>
      </c>
      <c r="BK14" s="181">
        <f t="shared" si="374"/>
        <v>0.01</v>
      </c>
      <c r="BL14" s="181">
        <f t="shared" si="374"/>
        <v>0.01</v>
      </c>
      <c r="BM14" s="181">
        <f t="shared" si="374"/>
        <v>0.01</v>
      </c>
      <c r="BN14" s="181">
        <f t="shared" si="374"/>
        <v>0.01</v>
      </c>
      <c r="BO14" s="181">
        <f t="shared" si="374"/>
        <v>0.01</v>
      </c>
      <c r="BP14" s="181">
        <f t="shared" si="374"/>
        <v>0.01</v>
      </c>
      <c r="BQ14" s="181">
        <f t="shared" si="374"/>
        <v>0.01</v>
      </c>
      <c r="BR14" s="181">
        <f t="shared" si="374"/>
        <v>0.01</v>
      </c>
      <c r="BS14" s="181">
        <f t="shared" si="374"/>
        <v>0.01</v>
      </c>
      <c r="BT14" s="181">
        <f t="shared" si="374"/>
        <v>0.01</v>
      </c>
      <c r="BU14" s="181">
        <f t="shared" si="374"/>
        <v>0.01</v>
      </c>
      <c r="BV14" s="181">
        <f t="shared" si="374"/>
        <v>0.01</v>
      </c>
      <c r="BW14" s="181">
        <f t="shared" si="374"/>
        <v>0.01</v>
      </c>
      <c r="BX14" s="181">
        <f t="shared" si="374"/>
        <v>0.01</v>
      </c>
      <c r="BY14" s="181">
        <f t="shared" ref="BY14:DX14" si="375">BY12/BY4</f>
        <v>0.01</v>
      </c>
      <c r="BZ14" s="181">
        <f t="shared" si="375"/>
        <v>0.01</v>
      </c>
      <c r="CA14" s="181">
        <f t="shared" si="375"/>
        <v>0.01</v>
      </c>
      <c r="CB14" s="181">
        <f t="shared" si="375"/>
        <v>0.01</v>
      </c>
      <c r="CC14" s="181">
        <f t="shared" si="375"/>
        <v>0.01</v>
      </c>
      <c r="CD14" s="181">
        <f t="shared" si="375"/>
        <v>0.01</v>
      </c>
      <c r="CE14" s="181">
        <f t="shared" si="375"/>
        <v>0.01</v>
      </c>
      <c r="CF14" s="181">
        <f t="shared" si="375"/>
        <v>0.01</v>
      </c>
      <c r="CG14" s="181">
        <f t="shared" si="375"/>
        <v>0.01</v>
      </c>
      <c r="CH14" s="181">
        <f t="shared" si="375"/>
        <v>0.01</v>
      </c>
      <c r="CI14" s="181">
        <f t="shared" si="375"/>
        <v>1.020408163265306E-2</v>
      </c>
      <c r="CJ14" s="181">
        <f t="shared" si="375"/>
        <v>1.0309278350515464E-2</v>
      </c>
      <c r="CK14" s="181">
        <f t="shared" si="375"/>
        <v>1.0309278350515464E-2</v>
      </c>
      <c r="CL14" s="181">
        <f t="shared" si="375"/>
        <v>1.0416666666666666E-2</v>
      </c>
      <c r="CM14" s="181">
        <f t="shared" si="375"/>
        <v>1.0869565217391304E-2</v>
      </c>
      <c r="CN14" s="181">
        <f t="shared" si="375"/>
        <v>1.1764705882352941E-2</v>
      </c>
      <c r="CO14" s="181">
        <f t="shared" si="375"/>
        <v>1.2500000000000001E-2</v>
      </c>
      <c r="CP14" s="181">
        <f t="shared" si="375"/>
        <v>1.2658227848101266E-2</v>
      </c>
      <c r="CQ14" s="181">
        <f t="shared" si="375"/>
        <v>1.3333333333333334E-2</v>
      </c>
      <c r="CR14" s="181">
        <f t="shared" si="375"/>
        <v>1.3888888888888888E-2</v>
      </c>
      <c r="CS14" s="181">
        <f t="shared" si="375"/>
        <v>1.4084507042253521E-2</v>
      </c>
      <c r="CT14" s="181">
        <f t="shared" si="375"/>
        <v>1.5625E-2</v>
      </c>
      <c r="CU14" s="181">
        <f t="shared" si="375"/>
        <v>1.6393442622950821E-2</v>
      </c>
      <c r="CV14" s="181">
        <f t="shared" si="375"/>
        <v>1.6666666666666666E-2</v>
      </c>
      <c r="CW14" s="181">
        <f t="shared" si="375"/>
        <v>1.7241379310344827E-2</v>
      </c>
      <c r="CX14" s="181">
        <f t="shared" si="375"/>
        <v>1.7857142857142856E-2</v>
      </c>
      <c r="CY14" s="181">
        <f t="shared" si="375"/>
        <v>1.9230769230769232E-2</v>
      </c>
      <c r="CZ14" s="181">
        <f t="shared" si="375"/>
        <v>1.9607843137254902E-2</v>
      </c>
      <c r="DA14" s="181">
        <f t="shared" si="375"/>
        <v>2.5000000000000001E-2</v>
      </c>
      <c r="DB14" s="181">
        <f t="shared" si="375"/>
        <v>2.564102564102564E-2</v>
      </c>
      <c r="DC14" s="181">
        <f t="shared" si="375"/>
        <v>2.6315789473684209E-2</v>
      </c>
      <c r="DD14" s="181">
        <f t="shared" si="375"/>
        <v>2.6315789473684209E-2</v>
      </c>
      <c r="DE14" s="181">
        <f t="shared" si="375"/>
        <v>2.8571428571428571E-2</v>
      </c>
      <c r="DF14" s="181">
        <f t="shared" si="375"/>
        <v>3.125E-2</v>
      </c>
      <c r="DG14" s="181">
        <f t="shared" si="375"/>
        <v>3.7037037037037035E-2</v>
      </c>
      <c r="DH14" s="181">
        <f t="shared" si="375"/>
        <v>3.7037037037037035E-2</v>
      </c>
      <c r="DI14" s="181">
        <f t="shared" si="375"/>
        <v>3.8461538461538464E-2</v>
      </c>
      <c r="DJ14" s="181">
        <f t="shared" si="375"/>
        <v>4.1666666666666664E-2</v>
      </c>
      <c r="DK14" s="181">
        <f t="shared" si="375"/>
        <v>4.1666666666666664E-2</v>
      </c>
      <c r="DL14" s="181">
        <f t="shared" si="375"/>
        <v>4.3478260869565216E-2</v>
      </c>
      <c r="DM14" s="181">
        <f t="shared" si="375"/>
        <v>4.3478260869565216E-2</v>
      </c>
      <c r="DN14" s="181">
        <f t="shared" si="375"/>
        <v>4.3478260869565216E-2</v>
      </c>
      <c r="DO14" s="181">
        <f t="shared" si="375"/>
        <v>4.7619047619047616E-2</v>
      </c>
      <c r="DP14" s="181">
        <f t="shared" si="375"/>
        <v>6.25E-2</v>
      </c>
      <c r="DQ14" s="181">
        <f t="shared" si="375"/>
        <v>6.25E-2</v>
      </c>
      <c r="DR14" s="181">
        <f t="shared" si="375"/>
        <v>6.6666666666666666E-2</v>
      </c>
      <c r="DS14" s="181">
        <f t="shared" si="375"/>
        <v>7.1428571428571425E-2</v>
      </c>
      <c r="DT14" s="181">
        <f t="shared" si="375"/>
        <v>0.1</v>
      </c>
      <c r="DU14" s="181">
        <f t="shared" si="375"/>
        <v>0.14285714285714285</v>
      </c>
      <c r="DV14" s="181">
        <f t="shared" si="375"/>
        <v>0.2</v>
      </c>
      <c r="DW14" s="181">
        <f t="shared" si="375"/>
        <v>0.5</v>
      </c>
      <c r="DX14" s="181">
        <f t="shared" si="375"/>
        <v>0.5</v>
      </c>
    </row>
    <row r="15" spans="1:128" s="181" customFormat="1">
      <c r="A15" s="182" t="s">
        <v>6333</v>
      </c>
    </row>
    <row r="16" spans="1:128" s="181" customFormat="1">
      <c r="A16" s="183" t="s">
        <v>6334</v>
      </c>
      <c r="B16" s="181">
        <f t="shared" ref="B16:L16" si="376">B9</f>
        <v>0.5</v>
      </c>
      <c r="C16" s="181">
        <f t="shared" si="376"/>
        <v>0.25</v>
      </c>
      <c r="D16" s="181">
        <f t="shared" si="376"/>
        <v>0.125</v>
      </c>
      <c r="E16" s="181">
        <f t="shared" si="376"/>
        <v>5.5555555555555552E-2</v>
      </c>
      <c r="F16" s="181">
        <f t="shared" si="376"/>
        <v>2.564102564102564E-2</v>
      </c>
      <c r="G16" s="181">
        <f t="shared" si="376"/>
        <v>1.1627906976744186E-2</v>
      </c>
      <c r="H16" s="181">
        <f t="shared" si="376"/>
        <v>1.0582010582010581E-2</v>
      </c>
      <c r="I16" s="181">
        <f t="shared" si="376"/>
        <v>1.2012012012012012E-2</v>
      </c>
      <c r="J16" s="181">
        <f t="shared" si="376"/>
        <v>1.0914051841746248E-2</v>
      </c>
      <c r="K16" s="181">
        <f t="shared" si="376"/>
        <v>1.0539367637941723E-2</v>
      </c>
      <c r="L16" s="181">
        <f t="shared" si="376"/>
        <v>1.0143702451394759E-2</v>
      </c>
      <c r="M16" s="181">
        <f t="shared" ref="M16:BX16" si="377">M9</f>
        <v>1.00269690892746E-2</v>
      </c>
      <c r="N16" s="181">
        <f t="shared" si="377"/>
        <v>1.0035335689045936E-2</v>
      </c>
      <c r="O16" s="181">
        <f t="shared" si="377"/>
        <v>1.0136380390711389E-2</v>
      </c>
      <c r="P16" s="181">
        <f t="shared" si="377"/>
        <v>1.008729388942774E-2</v>
      </c>
      <c r="Q16" s="181">
        <f t="shared" si="377"/>
        <v>1.0038382049010924E-2</v>
      </c>
      <c r="R16" s="181">
        <f t="shared" si="377"/>
        <v>1.0247933884297521E-2</v>
      </c>
      <c r="S16" s="181">
        <f t="shared" si="377"/>
        <v>1.0069444444444445E-2</v>
      </c>
      <c r="T16" s="181">
        <f t="shared" si="377"/>
        <v>1.020408163265306E-2</v>
      </c>
      <c r="U16" s="181">
        <f t="shared" si="377"/>
        <v>1.0267693436010267E-2</v>
      </c>
      <c r="V16" s="181">
        <f t="shared" si="377"/>
        <v>1.0317157050057318E-2</v>
      </c>
      <c r="W16" s="181">
        <f t="shared" si="377"/>
        <v>1.0279605263157895E-2</v>
      </c>
      <c r="X16" s="181">
        <f t="shared" si="377"/>
        <v>1.015228426395939E-2</v>
      </c>
      <c r="Y16" s="181">
        <f t="shared" si="377"/>
        <v>1.02843315184513E-2</v>
      </c>
      <c r="Z16" s="181">
        <f t="shared" si="377"/>
        <v>1.0572139303482588E-2</v>
      </c>
      <c r="AA16" s="181">
        <f t="shared" si="377"/>
        <v>1.021059349074665E-2</v>
      </c>
      <c r="AB16" s="181">
        <f t="shared" si="377"/>
        <v>0.01</v>
      </c>
      <c r="AC16" s="181">
        <f t="shared" si="377"/>
        <v>1.04675505931612E-2</v>
      </c>
      <c r="AD16" s="181">
        <f t="shared" si="377"/>
        <v>1.0256410256410256E-2</v>
      </c>
      <c r="AE16" s="181">
        <f t="shared" si="377"/>
        <v>1.0719754977029096E-2</v>
      </c>
      <c r="AF16" s="181">
        <f t="shared" si="377"/>
        <v>1.0260457774269928E-2</v>
      </c>
      <c r="AG16" s="181">
        <f t="shared" si="377"/>
        <v>1.0534846029173419E-2</v>
      </c>
      <c r="AH16" s="181">
        <f t="shared" si="377"/>
        <v>1.0889292196007259E-2</v>
      </c>
      <c r="AI16" s="181">
        <f t="shared" si="377"/>
        <v>1.0679611650485437E-2</v>
      </c>
      <c r="AJ16" s="181">
        <f t="shared" si="377"/>
        <v>1.0816125860373648E-2</v>
      </c>
      <c r="AK16" s="181">
        <f t="shared" si="377"/>
        <v>1.0245901639344262E-2</v>
      </c>
      <c r="AL16" s="181">
        <f t="shared" si="377"/>
        <v>1.1025358324145534E-2</v>
      </c>
      <c r="AM16" s="181">
        <f t="shared" si="377"/>
        <v>1.0025062656641603E-2</v>
      </c>
      <c r="AN16" s="181">
        <f t="shared" si="377"/>
        <v>1.0025062656641603E-2</v>
      </c>
      <c r="AO16" s="181">
        <f t="shared" si="377"/>
        <v>1.0512483574244415E-2</v>
      </c>
      <c r="AP16" s="181">
        <f t="shared" si="377"/>
        <v>1.1034482758620689E-2</v>
      </c>
      <c r="AQ16" s="181">
        <f t="shared" si="377"/>
        <v>1.0043041606886656E-2</v>
      </c>
      <c r="AR16" s="181">
        <f t="shared" si="377"/>
        <v>1.0324483775811209E-2</v>
      </c>
      <c r="AS16" s="181">
        <f t="shared" si="377"/>
        <v>1.0542168674698794E-2</v>
      </c>
      <c r="AT16" s="181">
        <f t="shared" si="377"/>
        <v>1.1217948717948718E-2</v>
      </c>
      <c r="AU16" s="181">
        <f t="shared" si="377"/>
        <v>1.0849909584086799E-2</v>
      </c>
      <c r="AV16" s="181">
        <f t="shared" si="377"/>
        <v>1.107011070110701E-2</v>
      </c>
      <c r="AW16" s="181">
        <f t="shared" si="377"/>
        <v>1.1111111111111112E-2</v>
      </c>
      <c r="AX16" s="181">
        <f t="shared" si="377"/>
        <v>1.1385199240986717E-2</v>
      </c>
      <c r="AY16" s="181">
        <f t="shared" si="377"/>
        <v>1.1952191235059761E-2</v>
      </c>
      <c r="AZ16" s="181">
        <f t="shared" si="377"/>
        <v>1.0080645161290322E-2</v>
      </c>
      <c r="BA16" s="181">
        <f t="shared" si="377"/>
        <v>1.020408163265306E-2</v>
      </c>
      <c r="BB16" s="181">
        <f t="shared" si="377"/>
        <v>1.0526315789473684E-2</v>
      </c>
      <c r="BC16" s="181">
        <f t="shared" si="377"/>
        <v>1.1261261261261261E-2</v>
      </c>
      <c r="BD16" s="181">
        <f t="shared" si="377"/>
        <v>1.015228426395939E-2</v>
      </c>
      <c r="BE16" s="181">
        <f t="shared" si="377"/>
        <v>1.0362694300518135E-2</v>
      </c>
      <c r="BF16" s="181">
        <f t="shared" si="377"/>
        <v>1.0554089709762533E-2</v>
      </c>
      <c r="BG16" s="181">
        <f t="shared" si="377"/>
        <v>1.0752688172043012E-2</v>
      </c>
      <c r="BH16" s="181">
        <f t="shared" si="377"/>
        <v>1.078167115902965E-2</v>
      </c>
      <c r="BI16" s="181">
        <f t="shared" si="377"/>
        <v>1.1560693641618497E-2</v>
      </c>
      <c r="BJ16" s="181">
        <f t="shared" si="377"/>
        <v>1.1594202898550725E-2</v>
      </c>
      <c r="BK16" s="181">
        <f t="shared" si="377"/>
        <v>1.2121212121212121E-2</v>
      </c>
      <c r="BL16" s="181">
        <f t="shared" si="377"/>
        <v>1.2738853503184714E-2</v>
      </c>
      <c r="BM16" s="181">
        <f t="shared" si="377"/>
        <v>1.2987012987012988E-2</v>
      </c>
      <c r="BN16" s="181">
        <f t="shared" si="377"/>
        <v>1.3114754098360656E-2</v>
      </c>
      <c r="BO16" s="181">
        <f t="shared" si="377"/>
        <v>1.1904761904761904E-2</v>
      </c>
      <c r="BP16" s="181">
        <f t="shared" si="377"/>
        <v>1.2244897959183673E-2</v>
      </c>
      <c r="BQ16" s="181">
        <f t="shared" si="377"/>
        <v>1.2295081967213115E-2</v>
      </c>
      <c r="BR16" s="181">
        <f t="shared" si="377"/>
        <v>1.2875536480686695E-2</v>
      </c>
      <c r="BS16" s="181">
        <f t="shared" si="377"/>
        <v>1.3333333333333334E-2</v>
      </c>
      <c r="BT16" s="181">
        <f t="shared" si="377"/>
        <v>1.3698630136986301E-2</v>
      </c>
      <c r="BU16" s="181">
        <f t="shared" si="377"/>
        <v>1.3888888888888888E-2</v>
      </c>
      <c r="BV16" s="181">
        <f t="shared" si="377"/>
        <v>1.0256410256410256E-2</v>
      </c>
      <c r="BW16" s="181">
        <f t="shared" si="377"/>
        <v>1.0471204188481676E-2</v>
      </c>
      <c r="BX16" s="181">
        <f t="shared" si="377"/>
        <v>1.1049723756906077E-2</v>
      </c>
      <c r="BY16" s="181">
        <f t="shared" ref="BY16:DX16" si="378">BY9</f>
        <v>1.2500000000000001E-2</v>
      </c>
      <c r="BZ16" s="181">
        <f t="shared" si="378"/>
        <v>1.2658227848101266E-2</v>
      </c>
      <c r="CA16" s="181">
        <f t="shared" si="378"/>
        <v>1.2987012987012988E-2</v>
      </c>
      <c r="CB16" s="181">
        <f t="shared" si="378"/>
        <v>1.3245033112582781E-2</v>
      </c>
      <c r="CC16" s="181">
        <f t="shared" si="378"/>
        <v>1.3513513513513514E-2</v>
      </c>
      <c r="CD16" s="181">
        <f t="shared" si="378"/>
        <v>1.3605442176870748E-2</v>
      </c>
      <c r="CE16" s="181">
        <f t="shared" si="378"/>
        <v>1.3888888888888888E-2</v>
      </c>
      <c r="CF16" s="181">
        <f t="shared" si="378"/>
        <v>1.9047619047619049E-2</v>
      </c>
      <c r="CG16" s="181">
        <f t="shared" si="378"/>
        <v>1.9417475728155338E-2</v>
      </c>
      <c r="CH16" s="181">
        <f t="shared" si="378"/>
        <v>1.9801980198019802E-2</v>
      </c>
      <c r="CI16" s="181">
        <f t="shared" si="378"/>
        <v>1.020408163265306E-2</v>
      </c>
      <c r="CJ16" s="181">
        <f t="shared" si="378"/>
        <v>1.0309278350515464E-2</v>
      </c>
      <c r="CK16" s="181">
        <f t="shared" si="378"/>
        <v>1.0309278350515464E-2</v>
      </c>
      <c r="CL16" s="181">
        <f t="shared" si="378"/>
        <v>1.0416666666666666E-2</v>
      </c>
      <c r="CM16" s="181">
        <f t="shared" si="378"/>
        <v>1.0869565217391304E-2</v>
      </c>
      <c r="CN16" s="181">
        <f t="shared" si="378"/>
        <v>1.1764705882352941E-2</v>
      </c>
      <c r="CO16" s="181">
        <f t="shared" si="378"/>
        <v>1.2500000000000001E-2</v>
      </c>
      <c r="CP16" s="181">
        <f t="shared" si="378"/>
        <v>1.2658227848101266E-2</v>
      </c>
      <c r="CQ16" s="181">
        <f t="shared" si="378"/>
        <v>1.3333333333333334E-2</v>
      </c>
      <c r="CR16" s="181">
        <f t="shared" si="378"/>
        <v>1.3888888888888888E-2</v>
      </c>
      <c r="CS16" s="181">
        <f t="shared" si="378"/>
        <v>1.4084507042253521E-2</v>
      </c>
      <c r="CT16" s="181">
        <f t="shared" si="378"/>
        <v>1.5625E-2</v>
      </c>
      <c r="CU16" s="181">
        <f t="shared" si="378"/>
        <v>1.6393442622950821E-2</v>
      </c>
      <c r="CV16" s="181">
        <f t="shared" si="378"/>
        <v>1.6666666666666666E-2</v>
      </c>
      <c r="CW16" s="181">
        <f t="shared" si="378"/>
        <v>1.7241379310344827E-2</v>
      </c>
      <c r="CX16" s="181">
        <f t="shared" si="378"/>
        <v>1.7857142857142856E-2</v>
      </c>
      <c r="CY16" s="181">
        <f t="shared" si="378"/>
        <v>1.9230769230769232E-2</v>
      </c>
      <c r="CZ16" s="181">
        <f t="shared" si="378"/>
        <v>1.9607843137254902E-2</v>
      </c>
      <c r="DA16" s="181">
        <f t="shared" si="378"/>
        <v>2.5000000000000001E-2</v>
      </c>
      <c r="DB16" s="181">
        <f t="shared" si="378"/>
        <v>2.564102564102564E-2</v>
      </c>
      <c r="DC16" s="181">
        <f t="shared" si="378"/>
        <v>2.6315789473684209E-2</v>
      </c>
      <c r="DD16" s="181">
        <f t="shared" si="378"/>
        <v>2.6315789473684209E-2</v>
      </c>
      <c r="DE16" s="181">
        <f t="shared" si="378"/>
        <v>2.8571428571428571E-2</v>
      </c>
      <c r="DF16" s="181">
        <f t="shared" si="378"/>
        <v>3.125E-2</v>
      </c>
      <c r="DG16" s="181">
        <f t="shared" si="378"/>
        <v>3.7037037037037035E-2</v>
      </c>
      <c r="DH16" s="181">
        <f t="shared" si="378"/>
        <v>3.7037037037037035E-2</v>
      </c>
      <c r="DI16" s="181">
        <f t="shared" si="378"/>
        <v>3.8461538461538464E-2</v>
      </c>
      <c r="DJ16" s="181">
        <f t="shared" si="378"/>
        <v>4.1666666666666664E-2</v>
      </c>
      <c r="DK16" s="181">
        <f t="shared" si="378"/>
        <v>4.1666666666666664E-2</v>
      </c>
      <c r="DL16" s="181">
        <f t="shared" si="378"/>
        <v>4.3478260869565216E-2</v>
      </c>
      <c r="DM16" s="181">
        <f t="shared" si="378"/>
        <v>4.3478260869565216E-2</v>
      </c>
      <c r="DN16" s="181">
        <f t="shared" si="378"/>
        <v>4.3478260869565216E-2</v>
      </c>
      <c r="DO16" s="181">
        <f t="shared" si="378"/>
        <v>4.7619047619047616E-2</v>
      </c>
      <c r="DP16" s="181">
        <f t="shared" si="378"/>
        <v>6.25E-2</v>
      </c>
      <c r="DQ16" s="181">
        <f t="shared" si="378"/>
        <v>6.25E-2</v>
      </c>
      <c r="DR16" s="181">
        <f t="shared" si="378"/>
        <v>6.6666666666666666E-2</v>
      </c>
      <c r="DS16" s="181">
        <f t="shared" si="378"/>
        <v>7.1428571428571425E-2</v>
      </c>
      <c r="DT16" s="181">
        <f t="shared" si="378"/>
        <v>0.1</v>
      </c>
      <c r="DU16" s="181">
        <f t="shared" si="378"/>
        <v>0.14285714285714285</v>
      </c>
      <c r="DV16" s="181">
        <f t="shared" si="378"/>
        <v>0.2</v>
      </c>
      <c r="DW16" s="181">
        <f t="shared" si="378"/>
        <v>0.5</v>
      </c>
      <c r="DX16" s="181">
        <f t="shared" si="378"/>
        <v>0.5</v>
      </c>
    </row>
    <row r="17" spans="1:129" s="176" customFormat="1" ht="27.6">
      <c r="A17" s="184" t="s">
        <v>6335</v>
      </c>
      <c r="B17" s="185">
        <f t="shared" ref="B17:L17" si="379">1-(1-B16)^B12</f>
        <v>0.5</v>
      </c>
      <c r="C17" s="185">
        <f t="shared" si="379"/>
        <v>0.25</v>
      </c>
      <c r="D17" s="185">
        <f t="shared" si="379"/>
        <v>0.125</v>
      </c>
      <c r="E17" s="185">
        <f t="shared" si="379"/>
        <v>5.555555555555558E-2</v>
      </c>
      <c r="F17" s="185">
        <f t="shared" si="379"/>
        <v>2.5641025641025661E-2</v>
      </c>
      <c r="G17" s="185">
        <f t="shared" si="379"/>
        <v>1.1627906976744207E-2</v>
      </c>
      <c r="H17" s="185">
        <f t="shared" si="379"/>
        <v>1.9905783455567705E-2</v>
      </c>
      <c r="I17" s="185">
        <f t="shared" si="379"/>
        <v>3.944321818424612E-2</v>
      </c>
      <c r="J17" s="185">
        <f t="shared" si="379"/>
        <v>7.7289518388423795E-2</v>
      </c>
      <c r="K17" s="185">
        <f t="shared" si="379"/>
        <v>0.15709598684542037</v>
      </c>
      <c r="L17" s="185">
        <f t="shared" si="379"/>
        <v>0.30360504012234046</v>
      </c>
      <c r="M17" s="185">
        <f t="shared" ref="M17:BX17" si="380">1-(1-M16)^M12</f>
        <v>0.76714015159168281</v>
      </c>
      <c r="N17" s="185">
        <f t="shared" si="380"/>
        <v>0.51011595523957132</v>
      </c>
      <c r="O17" s="185">
        <f t="shared" si="380"/>
        <v>0.42466712105277105</v>
      </c>
      <c r="P17" s="185">
        <f t="shared" si="380"/>
        <v>0.40704719393640565</v>
      </c>
      <c r="Q17" s="185">
        <f t="shared" si="380"/>
        <v>0.28945147167720287</v>
      </c>
      <c r="R17" s="185">
        <f t="shared" si="380"/>
        <v>0.2677251562824513</v>
      </c>
      <c r="S17" s="185">
        <f t="shared" si="380"/>
        <v>0.25283553104916279</v>
      </c>
      <c r="T17" s="185">
        <f t="shared" si="380"/>
        <v>0.25285031675924075</v>
      </c>
      <c r="U17" s="185">
        <f t="shared" si="380"/>
        <v>0.24530938350932152</v>
      </c>
      <c r="V17" s="185">
        <f t="shared" si="380"/>
        <v>0.23769037277241334</v>
      </c>
      <c r="W17" s="185">
        <f t="shared" si="380"/>
        <v>0.22220619725868707</v>
      </c>
      <c r="X17" s="185">
        <f t="shared" si="380"/>
        <v>0.18210568699543661</v>
      </c>
      <c r="Y17" s="185">
        <f t="shared" si="380"/>
        <v>0.15707745743680646</v>
      </c>
      <c r="Z17" s="185">
        <f t="shared" si="380"/>
        <v>0.15709836827162371</v>
      </c>
      <c r="AA17" s="185">
        <f t="shared" si="380"/>
        <v>0.14855676919894434</v>
      </c>
      <c r="AB17" s="185">
        <f t="shared" si="380"/>
        <v>0.13994164535871167</v>
      </c>
      <c r="AC17" s="185">
        <f t="shared" si="380"/>
        <v>0.13997222018713162</v>
      </c>
      <c r="AD17" s="185">
        <f t="shared" si="380"/>
        <v>0.13126999295684616</v>
      </c>
      <c r="AE17" s="185">
        <f t="shared" si="380"/>
        <v>0.13129856771505488</v>
      </c>
      <c r="AF17" s="185">
        <f t="shared" si="380"/>
        <v>0.12249403606248188</v>
      </c>
      <c r="AG17" s="185">
        <f t="shared" si="380"/>
        <v>0.12250990598366995</v>
      </c>
      <c r="AH17" s="185">
        <f t="shared" si="380"/>
        <v>0.1136630887701493</v>
      </c>
      <c r="AI17" s="185">
        <f t="shared" si="380"/>
        <v>0.10469567843719563</v>
      </c>
      <c r="AJ17" s="185">
        <f t="shared" si="380"/>
        <v>0.10470249811883192</v>
      </c>
      <c r="AK17" s="185">
        <f t="shared" si="380"/>
        <v>9.5629196182841714E-2</v>
      </c>
      <c r="AL17" s="185">
        <f t="shared" si="380"/>
        <v>9.5664947237701248E-2</v>
      </c>
      <c r="AM17" s="185">
        <f t="shared" si="380"/>
        <v>7.7256243119103507E-2</v>
      </c>
      <c r="AN17" s="185">
        <f t="shared" si="380"/>
        <v>7.7256243119103507E-2</v>
      </c>
      <c r="AO17" s="185">
        <f t="shared" si="380"/>
        <v>7.7274482722475279E-2</v>
      </c>
      <c r="AP17" s="185">
        <f t="shared" si="380"/>
        <v>7.7294029144246768E-2</v>
      </c>
      <c r="AQ17" s="185">
        <f t="shared" si="380"/>
        <v>6.7936075183226419E-2</v>
      </c>
      <c r="AR17" s="185">
        <f t="shared" si="380"/>
        <v>6.794538252058635E-2</v>
      </c>
      <c r="AS17" s="185">
        <f t="shared" si="380"/>
        <v>6.7952583749769202E-2</v>
      </c>
      <c r="AT17" s="185">
        <f t="shared" si="380"/>
        <v>6.7974952311671499E-2</v>
      </c>
      <c r="AU17" s="185">
        <f t="shared" si="380"/>
        <v>5.8544193104610676E-2</v>
      </c>
      <c r="AV17" s="185">
        <f t="shared" si="380"/>
        <v>5.8550504390585734E-2</v>
      </c>
      <c r="AW17" s="185">
        <f t="shared" si="380"/>
        <v>5.8551679724343164E-2</v>
      </c>
      <c r="AX17" s="185">
        <f t="shared" si="380"/>
        <v>5.8559538471746109E-2</v>
      </c>
      <c r="AY17" s="185">
        <f t="shared" si="380"/>
        <v>5.8575804464776726E-2</v>
      </c>
      <c r="AZ17" s="185">
        <f t="shared" si="380"/>
        <v>4.9011893377055249E-2</v>
      </c>
      <c r="BA17" s="185">
        <f t="shared" si="380"/>
        <v>4.9014868181510685E-2</v>
      </c>
      <c r="BB17" s="185">
        <f t="shared" si="380"/>
        <v>4.9022636272616604E-2</v>
      </c>
      <c r="BC17" s="185">
        <f t="shared" si="380"/>
        <v>4.9040365963143207E-2</v>
      </c>
      <c r="BD17" s="185">
        <f t="shared" si="380"/>
        <v>3.9406955424955203E-2</v>
      </c>
      <c r="BE17" s="185">
        <f t="shared" si="380"/>
        <v>3.94110537156942E-2</v>
      </c>
      <c r="BF17" s="185">
        <f t="shared" si="380"/>
        <v>3.9414782639504931E-2</v>
      </c>
      <c r="BG17" s="185">
        <f t="shared" si="380"/>
        <v>3.9418652899808948E-2</v>
      </c>
      <c r="BH17" s="185">
        <f t="shared" si="380"/>
        <v>3.9419217801632045E-2</v>
      </c>
      <c r="BI17" s="185">
        <f t="shared" si="380"/>
        <v>3.9434409719946828E-2</v>
      </c>
      <c r="BJ17" s="185">
        <f t="shared" si="380"/>
        <v>3.9435063544971283E-2</v>
      </c>
      <c r="BK17" s="185">
        <f t="shared" si="380"/>
        <v>3.9445350256200329E-2</v>
      </c>
      <c r="BL17" s="185">
        <f t="shared" si="380"/>
        <v>3.9457415186430866E-2</v>
      </c>
      <c r="BM17" s="185">
        <f t="shared" si="380"/>
        <v>3.9462265491785442E-2</v>
      </c>
      <c r="BN17" s="185">
        <f t="shared" si="380"/>
        <v>3.9464762830061284E-2</v>
      </c>
      <c r="BO17" s="185">
        <f t="shared" si="380"/>
        <v>2.9729132322237284E-2</v>
      </c>
      <c r="BP17" s="185">
        <f t="shared" si="380"/>
        <v>2.9734163467313723E-2</v>
      </c>
      <c r="BQ17" s="185">
        <f t="shared" si="380"/>
        <v>2.9734905960549729E-2</v>
      </c>
      <c r="BR17" s="185">
        <f t="shared" si="380"/>
        <v>2.9743497638180849E-2</v>
      </c>
      <c r="BS17" s="185">
        <f t="shared" si="380"/>
        <v>2.9750278475482839E-2</v>
      </c>
      <c r="BT17" s="185">
        <f t="shared" si="380"/>
        <v>2.9755692184580296E-2</v>
      </c>
      <c r="BU17" s="185">
        <f t="shared" si="380"/>
        <v>2.9758512870484588E-2</v>
      </c>
      <c r="BV17" s="185">
        <f t="shared" si="380"/>
        <v>1.9902547401823178E-2</v>
      </c>
      <c r="BW17" s="185">
        <f t="shared" si="380"/>
        <v>1.9904682022706899E-2</v>
      </c>
      <c r="BX17" s="185">
        <f t="shared" si="380"/>
        <v>1.9910434395214893E-2</v>
      </c>
      <c r="BY17" s="185">
        <f t="shared" ref="BY17:DX17" si="381">1-(1-BY16)^BY12</f>
        <v>1.9924874449820273E-2</v>
      </c>
      <c r="BZ17" s="185">
        <f t="shared" si="381"/>
        <v>1.9926451582858662E-2</v>
      </c>
      <c r="CA17" s="185">
        <f t="shared" si="381"/>
        <v>1.9929729811063668E-2</v>
      </c>
      <c r="CB17" s="185">
        <f t="shared" si="381"/>
        <v>1.9932303471399626E-2</v>
      </c>
      <c r="CC17" s="185">
        <f t="shared" si="381"/>
        <v>1.9934982413848723E-2</v>
      </c>
      <c r="CD17" s="185">
        <f t="shared" si="381"/>
        <v>1.9935899914953259E-2</v>
      </c>
      <c r="CE17" s="185">
        <f t="shared" si="381"/>
        <v>1.993872958832521E-2</v>
      </c>
      <c r="CF17" s="185">
        <f t="shared" si="381"/>
        <v>1.9990418205785399E-2</v>
      </c>
      <c r="CG17" s="185">
        <f t="shared" si="381"/>
        <v>1.9994137830724901E-2</v>
      </c>
      <c r="CH17" s="185">
        <f t="shared" si="381"/>
        <v>1.9998006733065399E-2</v>
      </c>
      <c r="CI17" s="185">
        <f t="shared" si="381"/>
        <v>1.0204081632653073E-2</v>
      </c>
      <c r="CJ17" s="185">
        <f t="shared" si="381"/>
        <v>1.0309278350515427E-2</v>
      </c>
      <c r="CK17" s="185">
        <f t="shared" si="381"/>
        <v>1.0309278350515427E-2</v>
      </c>
      <c r="CL17" s="185">
        <f t="shared" si="381"/>
        <v>1.041666666666663E-2</v>
      </c>
      <c r="CM17" s="185">
        <f t="shared" si="381"/>
        <v>1.0869565217391353E-2</v>
      </c>
      <c r="CN17" s="185">
        <f t="shared" si="381"/>
        <v>1.1764705882352899E-2</v>
      </c>
      <c r="CO17" s="185">
        <f t="shared" si="381"/>
        <v>1.2499999999999956E-2</v>
      </c>
      <c r="CP17" s="185">
        <f t="shared" si="381"/>
        <v>1.2658227848101222E-2</v>
      </c>
      <c r="CQ17" s="185">
        <f t="shared" si="381"/>
        <v>1.3333333333333308E-2</v>
      </c>
      <c r="CR17" s="185">
        <f t="shared" si="381"/>
        <v>1.388888888888884E-2</v>
      </c>
      <c r="CS17" s="185">
        <f t="shared" si="381"/>
        <v>1.4084507042253502E-2</v>
      </c>
      <c r="CT17" s="185">
        <f t="shared" si="381"/>
        <v>1.5625E-2</v>
      </c>
      <c r="CU17" s="185">
        <f t="shared" si="381"/>
        <v>1.6393442622950838E-2</v>
      </c>
      <c r="CV17" s="185">
        <f t="shared" si="381"/>
        <v>1.6666666666666718E-2</v>
      </c>
      <c r="CW17" s="185">
        <f t="shared" si="381"/>
        <v>1.7241379310344862E-2</v>
      </c>
      <c r="CX17" s="185">
        <f t="shared" si="381"/>
        <v>1.7857142857142905E-2</v>
      </c>
      <c r="CY17" s="185">
        <f t="shared" si="381"/>
        <v>1.9230769230769273E-2</v>
      </c>
      <c r="CZ17" s="185">
        <f t="shared" si="381"/>
        <v>1.9607843137254943E-2</v>
      </c>
      <c r="DA17" s="185">
        <f t="shared" si="381"/>
        <v>2.5000000000000022E-2</v>
      </c>
      <c r="DB17" s="185">
        <f t="shared" si="381"/>
        <v>2.5641025641025661E-2</v>
      </c>
      <c r="DC17" s="185">
        <f t="shared" si="381"/>
        <v>2.6315789473684181E-2</v>
      </c>
      <c r="DD17" s="185">
        <f t="shared" si="381"/>
        <v>2.6315789473684181E-2</v>
      </c>
      <c r="DE17" s="185">
        <f t="shared" si="381"/>
        <v>2.8571428571428581E-2</v>
      </c>
      <c r="DF17" s="185">
        <f t="shared" si="381"/>
        <v>3.125E-2</v>
      </c>
      <c r="DG17" s="185">
        <f t="shared" si="381"/>
        <v>3.7037037037036979E-2</v>
      </c>
      <c r="DH17" s="185">
        <f t="shared" si="381"/>
        <v>3.7037037037036979E-2</v>
      </c>
      <c r="DI17" s="185">
        <f t="shared" si="381"/>
        <v>3.8461538461538436E-2</v>
      </c>
      <c r="DJ17" s="185">
        <f t="shared" si="381"/>
        <v>4.166666666666663E-2</v>
      </c>
      <c r="DK17" s="185">
        <f t="shared" si="381"/>
        <v>4.166666666666663E-2</v>
      </c>
      <c r="DL17" s="185">
        <f t="shared" si="381"/>
        <v>4.3478260869565188E-2</v>
      </c>
      <c r="DM17" s="185">
        <f t="shared" si="381"/>
        <v>4.3478260869565188E-2</v>
      </c>
      <c r="DN17" s="185">
        <f t="shared" si="381"/>
        <v>4.3478260869565188E-2</v>
      </c>
      <c r="DO17" s="185">
        <f t="shared" si="381"/>
        <v>4.7619047619047672E-2</v>
      </c>
      <c r="DP17" s="185">
        <f t="shared" si="381"/>
        <v>6.25E-2</v>
      </c>
      <c r="DQ17" s="185">
        <f t="shared" si="381"/>
        <v>6.25E-2</v>
      </c>
      <c r="DR17" s="185">
        <f t="shared" si="381"/>
        <v>6.6666666666666652E-2</v>
      </c>
      <c r="DS17" s="185">
        <f t="shared" si="381"/>
        <v>7.1428571428571397E-2</v>
      </c>
      <c r="DT17" s="185">
        <f t="shared" si="381"/>
        <v>9.9999999999999978E-2</v>
      </c>
      <c r="DU17" s="185">
        <f t="shared" si="381"/>
        <v>0.14285714285714279</v>
      </c>
      <c r="DV17" s="185">
        <f t="shared" si="381"/>
        <v>0.19999999999999996</v>
      </c>
      <c r="DW17" s="185">
        <f t="shared" si="381"/>
        <v>0.5</v>
      </c>
      <c r="DX17" s="185">
        <f t="shared" si="381"/>
        <v>0.5</v>
      </c>
    </row>
    <row r="18" spans="1:129" s="176" customFormat="1" hidden="1">
      <c r="A18" s="186" t="s">
        <v>6336</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row>
    <row r="19" spans="1:129" s="176" customFormat="1" hidden="1">
      <c r="A19" s="184" t="s">
        <v>6337</v>
      </c>
      <c r="B19" s="187">
        <f t="shared" ref="B19:L19" si="382">B6^B$3</f>
        <v>4.9040894071285611E-2</v>
      </c>
      <c r="C19" s="187">
        <f t="shared" si="382"/>
        <v>4.9040894071285611E-2</v>
      </c>
      <c r="D19" s="187">
        <f t="shared" si="382"/>
        <v>4.9040894071285611E-2</v>
      </c>
      <c r="E19" s="187">
        <f t="shared" si="382"/>
        <v>4.9040894071285611E-2</v>
      </c>
      <c r="F19" s="187">
        <f t="shared" si="382"/>
        <v>4.9040894071285611E-2</v>
      </c>
      <c r="G19" s="187">
        <f t="shared" si="382"/>
        <v>4.9040894071285611E-2</v>
      </c>
      <c r="H19" s="187">
        <f t="shared" si="382"/>
        <v>4.9040894071285611E-2</v>
      </c>
      <c r="I19" s="187">
        <f t="shared" si="382"/>
        <v>4.9040894071285611E-2</v>
      </c>
      <c r="J19" s="187">
        <f t="shared" si="382"/>
        <v>4.9040894071285611E-2</v>
      </c>
      <c r="K19" s="187">
        <f t="shared" si="382"/>
        <v>4.9040894071285611E-2</v>
      </c>
      <c r="L19" s="187">
        <f t="shared" si="382"/>
        <v>4.9040894071285611E-2</v>
      </c>
      <c r="M19" s="187">
        <f t="shared" ref="M19:BX19" si="383">M6^M$3</f>
        <v>4.9040894071285611E-2</v>
      </c>
      <c r="N19" s="187">
        <f t="shared" si="383"/>
        <v>4.9040894071285611E-2</v>
      </c>
      <c r="O19" s="187">
        <f t="shared" si="383"/>
        <v>4.9040894071285611E-2</v>
      </c>
      <c r="P19" s="187">
        <f t="shared" si="383"/>
        <v>4.9040894071285611E-2</v>
      </c>
      <c r="Q19" s="187">
        <f t="shared" si="383"/>
        <v>4.9040894071285611E-2</v>
      </c>
      <c r="R19" s="187">
        <f t="shared" si="383"/>
        <v>4.9040894071285611E-2</v>
      </c>
      <c r="S19" s="187">
        <f t="shared" si="383"/>
        <v>4.9040894071285611E-2</v>
      </c>
      <c r="T19" s="187">
        <f t="shared" si="383"/>
        <v>4.9040894071285611E-2</v>
      </c>
      <c r="U19" s="187">
        <f t="shared" si="383"/>
        <v>4.9040894071285611E-2</v>
      </c>
      <c r="V19" s="187">
        <f t="shared" si="383"/>
        <v>4.9040894071285611E-2</v>
      </c>
      <c r="W19" s="187">
        <f t="shared" si="383"/>
        <v>4.9040894071285611E-2</v>
      </c>
      <c r="X19" s="187">
        <f t="shared" si="383"/>
        <v>4.9040894071285611E-2</v>
      </c>
      <c r="Y19" s="187">
        <f t="shared" si="383"/>
        <v>4.9040894071285611E-2</v>
      </c>
      <c r="Z19" s="187">
        <f t="shared" si="383"/>
        <v>4.9040894071285611E-2</v>
      </c>
      <c r="AA19" s="187">
        <f t="shared" si="383"/>
        <v>4.9040894071285611E-2</v>
      </c>
      <c r="AB19" s="187">
        <f t="shared" si="383"/>
        <v>4.9040894071285611E-2</v>
      </c>
      <c r="AC19" s="187">
        <f t="shared" si="383"/>
        <v>4.9040894071285611E-2</v>
      </c>
      <c r="AD19" s="187">
        <f t="shared" si="383"/>
        <v>4.9040894071285611E-2</v>
      </c>
      <c r="AE19" s="187">
        <f t="shared" si="383"/>
        <v>4.9040894071285611E-2</v>
      </c>
      <c r="AF19" s="187">
        <f t="shared" si="383"/>
        <v>4.9040894071285611E-2</v>
      </c>
      <c r="AG19" s="187">
        <f t="shared" si="383"/>
        <v>4.9040894071285611E-2</v>
      </c>
      <c r="AH19" s="187">
        <f t="shared" si="383"/>
        <v>4.9040894071285611E-2</v>
      </c>
      <c r="AI19" s="187">
        <f t="shared" si="383"/>
        <v>4.9040894071285611E-2</v>
      </c>
      <c r="AJ19" s="187">
        <f t="shared" si="383"/>
        <v>4.9040894071285611E-2</v>
      </c>
      <c r="AK19" s="187">
        <f t="shared" si="383"/>
        <v>4.9040894071285611E-2</v>
      </c>
      <c r="AL19" s="187">
        <f t="shared" si="383"/>
        <v>4.9040894071285611E-2</v>
      </c>
      <c r="AM19" s="187">
        <f t="shared" si="383"/>
        <v>4.9040894071285611E-2</v>
      </c>
      <c r="AN19" s="187">
        <f t="shared" si="383"/>
        <v>4.9040894071285611E-2</v>
      </c>
      <c r="AO19" s="187">
        <f t="shared" si="383"/>
        <v>4.9040894071285611E-2</v>
      </c>
      <c r="AP19" s="187">
        <f t="shared" si="383"/>
        <v>4.9040894071285611E-2</v>
      </c>
      <c r="AQ19" s="187">
        <f t="shared" si="383"/>
        <v>4.9040894071285611E-2</v>
      </c>
      <c r="AR19" s="187">
        <f t="shared" si="383"/>
        <v>4.9040894071285611E-2</v>
      </c>
      <c r="AS19" s="187">
        <f t="shared" si="383"/>
        <v>4.9040894071285611E-2</v>
      </c>
      <c r="AT19" s="187">
        <f t="shared" si="383"/>
        <v>4.9040894071285611E-2</v>
      </c>
      <c r="AU19" s="187">
        <f t="shared" si="383"/>
        <v>4.9040894071285611E-2</v>
      </c>
      <c r="AV19" s="187">
        <f t="shared" si="383"/>
        <v>4.9040894071285611E-2</v>
      </c>
      <c r="AW19" s="187">
        <f t="shared" si="383"/>
        <v>4.9040894071285611E-2</v>
      </c>
      <c r="AX19" s="187">
        <f t="shared" si="383"/>
        <v>4.9040894071285611E-2</v>
      </c>
      <c r="AY19" s="187">
        <f t="shared" si="383"/>
        <v>4.9040894071285611E-2</v>
      </c>
      <c r="AZ19" s="187">
        <f t="shared" si="383"/>
        <v>4.9040894071285611E-2</v>
      </c>
      <c r="BA19" s="187">
        <f t="shared" si="383"/>
        <v>4.9040894071285611E-2</v>
      </c>
      <c r="BB19" s="187">
        <f t="shared" si="383"/>
        <v>4.9040894071285611E-2</v>
      </c>
      <c r="BC19" s="187">
        <f t="shared" si="383"/>
        <v>4.9040894071285611E-2</v>
      </c>
      <c r="BD19" s="187">
        <f t="shared" si="383"/>
        <v>4.9040894071285611E-2</v>
      </c>
      <c r="BE19" s="187">
        <f t="shared" si="383"/>
        <v>4.9040894071285611E-2</v>
      </c>
      <c r="BF19" s="187">
        <f t="shared" si="383"/>
        <v>4.9040894071285611E-2</v>
      </c>
      <c r="BG19" s="187">
        <f t="shared" si="383"/>
        <v>4.9040894071285611E-2</v>
      </c>
      <c r="BH19" s="187">
        <f t="shared" si="383"/>
        <v>4.9040894071285611E-2</v>
      </c>
      <c r="BI19" s="187">
        <f t="shared" si="383"/>
        <v>4.9040894071285611E-2</v>
      </c>
      <c r="BJ19" s="187">
        <f t="shared" si="383"/>
        <v>4.9040894071285611E-2</v>
      </c>
      <c r="BK19" s="187">
        <f t="shared" si="383"/>
        <v>4.9040894071285611E-2</v>
      </c>
      <c r="BL19" s="187">
        <f t="shared" si="383"/>
        <v>4.9040894071285611E-2</v>
      </c>
      <c r="BM19" s="187">
        <f t="shared" si="383"/>
        <v>4.9040894071285611E-2</v>
      </c>
      <c r="BN19" s="187">
        <f t="shared" si="383"/>
        <v>4.9040894071285611E-2</v>
      </c>
      <c r="BO19" s="187">
        <f t="shared" si="383"/>
        <v>4.9040894071285611E-2</v>
      </c>
      <c r="BP19" s="187">
        <f t="shared" si="383"/>
        <v>4.9040894071285611E-2</v>
      </c>
      <c r="BQ19" s="187">
        <f t="shared" si="383"/>
        <v>4.9040894071285611E-2</v>
      </c>
      <c r="BR19" s="187">
        <f t="shared" si="383"/>
        <v>4.9040894071285611E-2</v>
      </c>
      <c r="BS19" s="187">
        <f t="shared" si="383"/>
        <v>4.9040894071285611E-2</v>
      </c>
      <c r="BT19" s="187">
        <f t="shared" si="383"/>
        <v>4.9040894071285611E-2</v>
      </c>
      <c r="BU19" s="187">
        <f t="shared" si="383"/>
        <v>4.9040894071285611E-2</v>
      </c>
      <c r="BV19" s="187">
        <f t="shared" si="383"/>
        <v>4.9040894071285611E-2</v>
      </c>
      <c r="BW19" s="187">
        <f t="shared" si="383"/>
        <v>4.9040894071285611E-2</v>
      </c>
      <c r="BX19" s="187">
        <f t="shared" si="383"/>
        <v>4.9040894071285611E-2</v>
      </c>
      <c r="BY19" s="187">
        <f t="shared" ref="BY19:DX19" si="384">BY6^BY$3</f>
        <v>4.9040894071285611E-2</v>
      </c>
      <c r="BZ19" s="187">
        <f t="shared" si="384"/>
        <v>4.9040894071285611E-2</v>
      </c>
      <c r="CA19" s="187">
        <f t="shared" si="384"/>
        <v>4.9040894071285611E-2</v>
      </c>
      <c r="CB19" s="187">
        <f t="shared" si="384"/>
        <v>4.9040894071285611E-2</v>
      </c>
      <c r="CC19" s="187">
        <f t="shared" si="384"/>
        <v>4.9040894071285611E-2</v>
      </c>
      <c r="CD19" s="187">
        <f t="shared" si="384"/>
        <v>4.9040894071285611E-2</v>
      </c>
      <c r="CE19" s="187">
        <f t="shared" si="384"/>
        <v>4.9040894071285611E-2</v>
      </c>
      <c r="CF19" s="187">
        <f t="shared" si="384"/>
        <v>4.9040894071285611E-2</v>
      </c>
      <c r="CG19" s="187">
        <f t="shared" si="384"/>
        <v>4.9040894071285611E-2</v>
      </c>
      <c r="CH19" s="187">
        <f t="shared" si="384"/>
        <v>4.9040894071285611E-2</v>
      </c>
      <c r="CI19" s="187">
        <f t="shared" si="384"/>
        <v>4.9040894071285611E-2</v>
      </c>
      <c r="CJ19" s="187">
        <f t="shared" si="384"/>
        <v>4.9040894071285611E-2</v>
      </c>
      <c r="CK19" s="187">
        <f t="shared" si="384"/>
        <v>4.9040894071285611E-2</v>
      </c>
      <c r="CL19" s="187">
        <f t="shared" si="384"/>
        <v>4.9040894071285611E-2</v>
      </c>
      <c r="CM19" s="187">
        <f t="shared" si="384"/>
        <v>4.9040894071285611E-2</v>
      </c>
      <c r="CN19" s="187">
        <f t="shared" si="384"/>
        <v>4.9040894071285611E-2</v>
      </c>
      <c r="CO19" s="187">
        <f t="shared" si="384"/>
        <v>4.9040894071285611E-2</v>
      </c>
      <c r="CP19" s="187">
        <f t="shared" si="384"/>
        <v>4.9040894071285611E-2</v>
      </c>
      <c r="CQ19" s="187">
        <f t="shared" si="384"/>
        <v>4.9040894071285611E-2</v>
      </c>
      <c r="CR19" s="187">
        <f t="shared" si="384"/>
        <v>4.9040894071285611E-2</v>
      </c>
      <c r="CS19" s="187">
        <f t="shared" si="384"/>
        <v>4.9040894071285611E-2</v>
      </c>
      <c r="CT19" s="187">
        <f t="shared" si="384"/>
        <v>4.9040894071285611E-2</v>
      </c>
      <c r="CU19" s="187">
        <f t="shared" si="384"/>
        <v>4.9040894071285611E-2</v>
      </c>
      <c r="CV19" s="187">
        <f t="shared" si="384"/>
        <v>4.9040894071285611E-2</v>
      </c>
      <c r="CW19" s="187">
        <f t="shared" si="384"/>
        <v>4.9040894071285611E-2</v>
      </c>
      <c r="CX19" s="187">
        <f t="shared" si="384"/>
        <v>4.9040894071285611E-2</v>
      </c>
      <c r="CY19" s="187">
        <f t="shared" si="384"/>
        <v>4.9040894071285611E-2</v>
      </c>
      <c r="CZ19" s="187">
        <f t="shared" si="384"/>
        <v>4.9040894071285611E-2</v>
      </c>
      <c r="DA19" s="187">
        <f t="shared" si="384"/>
        <v>4.9040894071285611E-2</v>
      </c>
      <c r="DB19" s="187">
        <f t="shared" si="384"/>
        <v>4.9040894071285611E-2</v>
      </c>
      <c r="DC19" s="187">
        <f t="shared" si="384"/>
        <v>4.9040894071285611E-2</v>
      </c>
      <c r="DD19" s="187">
        <f t="shared" si="384"/>
        <v>4.9040894071285611E-2</v>
      </c>
      <c r="DE19" s="187">
        <f t="shared" si="384"/>
        <v>4.9040894071285611E-2</v>
      </c>
      <c r="DF19" s="187">
        <f t="shared" si="384"/>
        <v>4.9040894071285611E-2</v>
      </c>
      <c r="DG19" s="187">
        <f t="shared" si="384"/>
        <v>4.9040894071285611E-2</v>
      </c>
      <c r="DH19" s="187">
        <f t="shared" si="384"/>
        <v>4.9040894071285611E-2</v>
      </c>
      <c r="DI19" s="187">
        <f t="shared" si="384"/>
        <v>4.9040894071285611E-2</v>
      </c>
      <c r="DJ19" s="187">
        <f t="shared" si="384"/>
        <v>4.9040894071285611E-2</v>
      </c>
      <c r="DK19" s="187">
        <f t="shared" si="384"/>
        <v>4.9040894071285611E-2</v>
      </c>
      <c r="DL19" s="187">
        <f t="shared" si="384"/>
        <v>4.9040894071285611E-2</v>
      </c>
      <c r="DM19" s="187">
        <f t="shared" si="384"/>
        <v>4.9040894071285611E-2</v>
      </c>
      <c r="DN19" s="187">
        <f t="shared" si="384"/>
        <v>4.9040894071285611E-2</v>
      </c>
      <c r="DO19" s="187">
        <f t="shared" si="384"/>
        <v>4.9040894071285611E-2</v>
      </c>
      <c r="DP19" s="187">
        <f t="shared" si="384"/>
        <v>4.9040894071285611E-2</v>
      </c>
      <c r="DQ19" s="187">
        <f t="shared" si="384"/>
        <v>4.9040894071285611E-2</v>
      </c>
      <c r="DR19" s="187">
        <f t="shared" si="384"/>
        <v>4.9040894071285611E-2</v>
      </c>
      <c r="DS19" s="187">
        <f t="shared" si="384"/>
        <v>4.9040894071285611E-2</v>
      </c>
      <c r="DT19" s="187">
        <f t="shared" si="384"/>
        <v>4.9040894071285611E-2</v>
      </c>
      <c r="DU19" s="187">
        <f t="shared" si="384"/>
        <v>4.9040894071285611E-2</v>
      </c>
      <c r="DV19" s="187">
        <f t="shared" si="384"/>
        <v>4.9040894071285611E-2</v>
      </c>
      <c r="DW19" s="187">
        <f t="shared" si="384"/>
        <v>4.9040894071285611E-2</v>
      </c>
      <c r="DX19" s="187">
        <f t="shared" si="384"/>
        <v>4.9040894071285611E-2</v>
      </c>
    </row>
    <row r="20" spans="1:129" s="176" customFormat="1" hidden="1">
      <c r="A20" s="184" t="s">
        <v>6338</v>
      </c>
      <c r="B20" s="187">
        <f>1-B19</f>
        <v>0.95095910592871435</v>
      </c>
      <c r="C20" s="187">
        <f t="shared" ref="C20:L20" si="385">1-C19</f>
        <v>0.95095910592871435</v>
      </c>
      <c r="D20" s="187">
        <f t="shared" si="385"/>
        <v>0.95095910592871435</v>
      </c>
      <c r="E20" s="187">
        <f t="shared" si="385"/>
        <v>0.95095910592871435</v>
      </c>
      <c r="F20" s="187">
        <f t="shared" si="385"/>
        <v>0.95095910592871435</v>
      </c>
      <c r="G20" s="187">
        <f t="shared" si="385"/>
        <v>0.95095910592871435</v>
      </c>
      <c r="H20" s="187">
        <f t="shared" si="385"/>
        <v>0.95095910592871435</v>
      </c>
      <c r="I20" s="187">
        <f t="shared" si="385"/>
        <v>0.95095910592871435</v>
      </c>
      <c r="J20" s="187">
        <f t="shared" si="385"/>
        <v>0.95095910592871435</v>
      </c>
      <c r="K20" s="187">
        <f t="shared" si="385"/>
        <v>0.95095910592871435</v>
      </c>
      <c r="L20" s="187">
        <f t="shared" si="385"/>
        <v>0.95095910592871435</v>
      </c>
      <c r="M20" s="187">
        <f t="shared" ref="M20:BX20" si="386">1-M19</f>
        <v>0.95095910592871435</v>
      </c>
      <c r="N20" s="187">
        <f t="shared" si="386"/>
        <v>0.95095910592871435</v>
      </c>
      <c r="O20" s="187">
        <f t="shared" si="386"/>
        <v>0.95095910592871435</v>
      </c>
      <c r="P20" s="187">
        <f t="shared" si="386"/>
        <v>0.95095910592871435</v>
      </c>
      <c r="Q20" s="187">
        <f t="shared" si="386"/>
        <v>0.95095910592871435</v>
      </c>
      <c r="R20" s="187">
        <f t="shared" si="386"/>
        <v>0.95095910592871435</v>
      </c>
      <c r="S20" s="187">
        <f t="shared" si="386"/>
        <v>0.95095910592871435</v>
      </c>
      <c r="T20" s="187">
        <f t="shared" si="386"/>
        <v>0.95095910592871435</v>
      </c>
      <c r="U20" s="187">
        <f t="shared" si="386"/>
        <v>0.95095910592871435</v>
      </c>
      <c r="V20" s="187">
        <f t="shared" si="386"/>
        <v>0.95095910592871435</v>
      </c>
      <c r="W20" s="187">
        <f t="shared" si="386"/>
        <v>0.95095910592871435</v>
      </c>
      <c r="X20" s="187">
        <f t="shared" si="386"/>
        <v>0.95095910592871435</v>
      </c>
      <c r="Y20" s="187">
        <f t="shared" si="386"/>
        <v>0.95095910592871435</v>
      </c>
      <c r="Z20" s="187">
        <f t="shared" si="386"/>
        <v>0.95095910592871435</v>
      </c>
      <c r="AA20" s="187">
        <f t="shared" si="386"/>
        <v>0.95095910592871435</v>
      </c>
      <c r="AB20" s="187">
        <f t="shared" si="386"/>
        <v>0.95095910592871435</v>
      </c>
      <c r="AC20" s="187">
        <f t="shared" si="386"/>
        <v>0.95095910592871435</v>
      </c>
      <c r="AD20" s="187">
        <f t="shared" si="386"/>
        <v>0.95095910592871435</v>
      </c>
      <c r="AE20" s="187">
        <f t="shared" si="386"/>
        <v>0.95095910592871435</v>
      </c>
      <c r="AF20" s="187">
        <f t="shared" si="386"/>
        <v>0.95095910592871435</v>
      </c>
      <c r="AG20" s="187">
        <f t="shared" si="386"/>
        <v>0.95095910592871435</v>
      </c>
      <c r="AH20" s="187">
        <f t="shared" si="386"/>
        <v>0.95095910592871435</v>
      </c>
      <c r="AI20" s="187">
        <f t="shared" si="386"/>
        <v>0.95095910592871435</v>
      </c>
      <c r="AJ20" s="187">
        <f t="shared" si="386"/>
        <v>0.95095910592871435</v>
      </c>
      <c r="AK20" s="187">
        <f t="shared" si="386"/>
        <v>0.95095910592871435</v>
      </c>
      <c r="AL20" s="187">
        <f t="shared" si="386"/>
        <v>0.95095910592871435</v>
      </c>
      <c r="AM20" s="187">
        <f t="shared" si="386"/>
        <v>0.95095910592871435</v>
      </c>
      <c r="AN20" s="187">
        <f t="shared" si="386"/>
        <v>0.95095910592871435</v>
      </c>
      <c r="AO20" s="187">
        <f t="shared" si="386"/>
        <v>0.95095910592871435</v>
      </c>
      <c r="AP20" s="187">
        <f t="shared" si="386"/>
        <v>0.95095910592871435</v>
      </c>
      <c r="AQ20" s="187">
        <f t="shared" si="386"/>
        <v>0.95095910592871435</v>
      </c>
      <c r="AR20" s="187">
        <f t="shared" si="386"/>
        <v>0.95095910592871435</v>
      </c>
      <c r="AS20" s="187">
        <f t="shared" si="386"/>
        <v>0.95095910592871435</v>
      </c>
      <c r="AT20" s="187">
        <f t="shared" si="386"/>
        <v>0.95095910592871435</v>
      </c>
      <c r="AU20" s="187">
        <f t="shared" si="386"/>
        <v>0.95095910592871435</v>
      </c>
      <c r="AV20" s="187">
        <f t="shared" si="386"/>
        <v>0.95095910592871435</v>
      </c>
      <c r="AW20" s="187">
        <f t="shared" si="386"/>
        <v>0.95095910592871435</v>
      </c>
      <c r="AX20" s="187">
        <f t="shared" si="386"/>
        <v>0.95095910592871435</v>
      </c>
      <c r="AY20" s="187">
        <f t="shared" si="386"/>
        <v>0.95095910592871435</v>
      </c>
      <c r="AZ20" s="187">
        <f t="shared" si="386"/>
        <v>0.95095910592871435</v>
      </c>
      <c r="BA20" s="187">
        <f t="shared" si="386"/>
        <v>0.95095910592871435</v>
      </c>
      <c r="BB20" s="187">
        <f t="shared" si="386"/>
        <v>0.95095910592871435</v>
      </c>
      <c r="BC20" s="187">
        <f t="shared" si="386"/>
        <v>0.95095910592871435</v>
      </c>
      <c r="BD20" s="187">
        <f t="shared" si="386"/>
        <v>0.95095910592871435</v>
      </c>
      <c r="BE20" s="187">
        <f t="shared" si="386"/>
        <v>0.95095910592871435</v>
      </c>
      <c r="BF20" s="187">
        <f t="shared" si="386"/>
        <v>0.95095910592871435</v>
      </c>
      <c r="BG20" s="187">
        <f t="shared" si="386"/>
        <v>0.95095910592871435</v>
      </c>
      <c r="BH20" s="187">
        <f t="shared" si="386"/>
        <v>0.95095910592871435</v>
      </c>
      <c r="BI20" s="187">
        <f t="shared" si="386"/>
        <v>0.95095910592871435</v>
      </c>
      <c r="BJ20" s="187">
        <f t="shared" si="386"/>
        <v>0.95095910592871435</v>
      </c>
      <c r="BK20" s="187">
        <f t="shared" si="386"/>
        <v>0.95095910592871435</v>
      </c>
      <c r="BL20" s="187">
        <f t="shared" si="386"/>
        <v>0.95095910592871435</v>
      </c>
      <c r="BM20" s="187">
        <f t="shared" si="386"/>
        <v>0.95095910592871435</v>
      </c>
      <c r="BN20" s="187">
        <f t="shared" si="386"/>
        <v>0.95095910592871435</v>
      </c>
      <c r="BO20" s="187">
        <f t="shared" si="386"/>
        <v>0.95095910592871435</v>
      </c>
      <c r="BP20" s="187">
        <f t="shared" si="386"/>
        <v>0.95095910592871435</v>
      </c>
      <c r="BQ20" s="187">
        <f t="shared" si="386"/>
        <v>0.95095910592871435</v>
      </c>
      <c r="BR20" s="187">
        <f t="shared" si="386"/>
        <v>0.95095910592871435</v>
      </c>
      <c r="BS20" s="187">
        <f t="shared" si="386"/>
        <v>0.95095910592871435</v>
      </c>
      <c r="BT20" s="187">
        <f t="shared" si="386"/>
        <v>0.95095910592871435</v>
      </c>
      <c r="BU20" s="187">
        <f t="shared" si="386"/>
        <v>0.95095910592871435</v>
      </c>
      <c r="BV20" s="187">
        <f t="shared" si="386"/>
        <v>0.95095910592871435</v>
      </c>
      <c r="BW20" s="187">
        <f t="shared" si="386"/>
        <v>0.95095910592871435</v>
      </c>
      <c r="BX20" s="187">
        <f t="shared" si="386"/>
        <v>0.95095910592871435</v>
      </c>
      <c r="BY20" s="187">
        <f t="shared" ref="BY20:DX20" si="387">1-BY19</f>
        <v>0.95095910592871435</v>
      </c>
      <c r="BZ20" s="187">
        <f t="shared" si="387"/>
        <v>0.95095910592871435</v>
      </c>
      <c r="CA20" s="187">
        <f t="shared" si="387"/>
        <v>0.95095910592871435</v>
      </c>
      <c r="CB20" s="187">
        <f t="shared" si="387"/>
        <v>0.95095910592871435</v>
      </c>
      <c r="CC20" s="187">
        <f t="shared" si="387"/>
        <v>0.95095910592871435</v>
      </c>
      <c r="CD20" s="187">
        <f t="shared" si="387"/>
        <v>0.95095910592871435</v>
      </c>
      <c r="CE20" s="187">
        <f t="shared" si="387"/>
        <v>0.95095910592871435</v>
      </c>
      <c r="CF20" s="187">
        <f t="shared" si="387"/>
        <v>0.95095910592871435</v>
      </c>
      <c r="CG20" s="187">
        <f t="shared" si="387"/>
        <v>0.95095910592871435</v>
      </c>
      <c r="CH20" s="187">
        <f t="shared" si="387"/>
        <v>0.95095910592871435</v>
      </c>
      <c r="CI20" s="187">
        <f t="shared" si="387"/>
        <v>0.95095910592871435</v>
      </c>
      <c r="CJ20" s="187">
        <f t="shared" si="387"/>
        <v>0.95095910592871435</v>
      </c>
      <c r="CK20" s="187">
        <f t="shared" si="387"/>
        <v>0.95095910592871435</v>
      </c>
      <c r="CL20" s="187">
        <f t="shared" si="387"/>
        <v>0.95095910592871435</v>
      </c>
      <c r="CM20" s="187">
        <f t="shared" si="387"/>
        <v>0.95095910592871435</v>
      </c>
      <c r="CN20" s="187">
        <f t="shared" si="387"/>
        <v>0.95095910592871435</v>
      </c>
      <c r="CO20" s="187">
        <f t="shared" si="387"/>
        <v>0.95095910592871435</v>
      </c>
      <c r="CP20" s="187">
        <f t="shared" si="387"/>
        <v>0.95095910592871435</v>
      </c>
      <c r="CQ20" s="187">
        <f t="shared" si="387"/>
        <v>0.95095910592871435</v>
      </c>
      <c r="CR20" s="187">
        <f t="shared" si="387"/>
        <v>0.95095910592871435</v>
      </c>
      <c r="CS20" s="187">
        <f t="shared" si="387"/>
        <v>0.95095910592871435</v>
      </c>
      <c r="CT20" s="187">
        <f t="shared" si="387"/>
        <v>0.95095910592871435</v>
      </c>
      <c r="CU20" s="187">
        <f t="shared" si="387"/>
        <v>0.95095910592871435</v>
      </c>
      <c r="CV20" s="187">
        <f t="shared" si="387"/>
        <v>0.95095910592871435</v>
      </c>
      <c r="CW20" s="187">
        <f t="shared" si="387"/>
        <v>0.95095910592871435</v>
      </c>
      <c r="CX20" s="187">
        <f t="shared" si="387"/>
        <v>0.95095910592871435</v>
      </c>
      <c r="CY20" s="187">
        <f t="shared" si="387"/>
        <v>0.95095910592871435</v>
      </c>
      <c r="CZ20" s="187">
        <f t="shared" si="387"/>
        <v>0.95095910592871435</v>
      </c>
      <c r="DA20" s="187">
        <f t="shared" si="387"/>
        <v>0.95095910592871435</v>
      </c>
      <c r="DB20" s="187">
        <f t="shared" si="387"/>
        <v>0.95095910592871435</v>
      </c>
      <c r="DC20" s="187">
        <f t="shared" si="387"/>
        <v>0.95095910592871435</v>
      </c>
      <c r="DD20" s="187">
        <f t="shared" si="387"/>
        <v>0.95095910592871435</v>
      </c>
      <c r="DE20" s="187">
        <f t="shared" si="387"/>
        <v>0.95095910592871435</v>
      </c>
      <c r="DF20" s="187">
        <f t="shared" si="387"/>
        <v>0.95095910592871435</v>
      </c>
      <c r="DG20" s="187">
        <f t="shared" si="387"/>
        <v>0.95095910592871435</v>
      </c>
      <c r="DH20" s="187">
        <f t="shared" si="387"/>
        <v>0.95095910592871435</v>
      </c>
      <c r="DI20" s="187">
        <f t="shared" si="387"/>
        <v>0.95095910592871435</v>
      </c>
      <c r="DJ20" s="187">
        <f t="shared" si="387"/>
        <v>0.95095910592871435</v>
      </c>
      <c r="DK20" s="187">
        <f t="shared" si="387"/>
        <v>0.95095910592871435</v>
      </c>
      <c r="DL20" s="187">
        <f t="shared" si="387"/>
        <v>0.95095910592871435</v>
      </c>
      <c r="DM20" s="187">
        <f t="shared" si="387"/>
        <v>0.95095910592871435</v>
      </c>
      <c r="DN20" s="187">
        <f t="shared" si="387"/>
        <v>0.95095910592871435</v>
      </c>
      <c r="DO20" s="187">
        <f t="shared" si="387"/>
        <v>0.95095910592871435</v>
      </c>
      <c r="DP20" s="187">
        <f t="shared" si="387"/>
        <v>0.95095910592871435</v>
      </c>
      <c r="DQ20" s="187">
        <f t="shared" si="387"/>
        <v>0.95095910592871435</v>
      </c>
      <c r="DR20" s="187">
        <f t="shared" si="387"/>
        <v>0.95095910592871435</v>
      </c>
      <c r="DS20" s="187">
        <f t="shared" si="387"/>
        <v>0.95095910592871435</v>
      </c>
      <c r="DT20" s="187">
        <f t="shared" si="387"/>
        <v>0.95095910592871435</v>
      </c>
      <c r="DU20" s="187">
        <f t="shared" si="387"/>
        <v>0.95095910592871435</v>
      </c>
      <c r="DV20" s="187">
        <f t="shared" si="387"/>
        <v>0.95095910592871435</v>
      </c>
      <c r="DW20" s="187">
        <f t="shared" si="387"/>
        <v>0.95095910592871435</v>
      </c>
      <c r="DX20" s="187">
        <f t="shared" si="387"/>
        <v>0.95095910592871435</v>
      </c>
    </row>
    <row r="21" spans="1:129" s="176" customFormat="1" ht="27.6" hidden="1">
      <c r="A21" s="184" t="s">
        <v>6339</v>
      </c>
      <c r="B21" s="185">
        <f t="shared" ref="B21:L21" si="388">1-B19^B12</f>
        <v>0.95095910592871435</v>
      </c>
      <c r="C21" s="185">
        <f t="shared" si="388"/>
        <v>0.95095910592871435</v>
      </c>
      <c r="D21" s="185">
        <f t="shared" si="388"/>
        <v>0.95095910592871435</v>
      </c>
      <c r="E21" s="185">
        <f t="shared" si="388"/>
        <v>0.95095910592871435</v>
      </c>
      <c r="F21" s="185">
        <f t="shared" si="388"/>
        <v>0.95095910592871435</v>
      </c>
      <c r="G21" s="185">
        <f t="shared" si="388"/>
        <v>0.95095910592871435</v>
      </c>
      <c r="H21" s="185">
        <f t="shared" si="388"/>
        <v>0.99664914730239407</v>
      </c>
      <c r="I21" s="185">
        <f t="shared" si="388"/>
        <v>0.99995639267938319</v>
      </c>
      <c r="J21" s="185">
        <f t="shared" si="388"/>
        <v>0.99999999974777221</v>
      </c>
      <c r="K21" s="185">
        <f t="shared" si="388"/>
        <v>1</v>
      </c>
      <c r="L21" s="185">
        <f t="shared" si="388"/>
        <v>1</v>
      </c>
      <c r="M21" s="185">
        <f t="shared" ref="M21:BX21" si="389">1-M19^M12</f>
        <v>1</v>
      </c>
      <c r="N21" s="185">
        <f t="shared" si="389"/>
        <v>1</v>
      </c>
      <c r="O21" s="185">
        <f t="shared" si="389"/>
        <v>1</v>
      </c>
      <c r="P21" s="185">
        <f t="shared" si="389"/>
        <v>1</v>
      </c>
      <c r="Q21" s="185">
        <f t="shared" si="389"/>
        <v>1</v>
      </c>
      <c r="R21" s="185">
        <f t="shared" si="389"/>
        <v>1</v>
      </c>
      <c r="S21" s="185">
        <f t="shared" si="389"/>
        <v>1</v>
      </c>
      <c r="T21" s="185">
        <f t="shared" si="389"/>
        <v>1</v>
      </c>
      <c r="U21" s="185">
        <f t="shared" si="389"/>
        <v>1</v>
      </c>
      <c r="V21" s="185">
        <f t="shared" si="389"/>
        <v>1</v>
      </c>
      <c r="W21" s="185">
        <f t="shared" si="389"/>
        <v>1</v>
      </c>
      <c r="X21" s="185">
        <f t="shared" si="389"/>
        <v>1</v>
      </c>
      <c r="Y21" s="185">
        <f t="shared" si="389"/>
        <v>1</v>
      </c>
      <c r="Z21" s="185">
        <f t="shared" si="389"/>
        <v>1</v>
      </c>
      <c r="AA21" s="185">
        <f t="shared" si="389"/>
        <v>1</v>
      </c>
      <c r="AB21" s="185">
        <f t="shared" si="389"/>
        <v>1</v>
      </c>
      <c r="AC21" s="185">
        <f t="shared" si="389"/>
        <v>1</v>
      </c>
      <c r="AD21" s="185">
        <f t="shared" si="389"/>
        <v>1</v>
      </c>
      <c r="AE21" s="185">
        <f t="shared" si="389"/>
        <v>1</v>
      </c>
      <c r="AF21" s="185">
        <f t="shared" si="389"/>
        <v>1</v>
      </c>
      <c r="AG21" s="185">
        <f t="shared" si="389"/>
        <v>0.99999999999999989</v>
      </c>
      <c r="AH21" s="185">
        <f t="shared" si="389"/>
        <v>0.99999999999999634</v>
      </c>
      <c r="AI21" s="185">
        <f t="shared" si="389"/>
        <v>0.99999999999996747</v>
      </c>
      <c r="AJ21" s="185">
        <f t="shared" si="389"/>
        <v>0.99999999999995182</v>
      </c>
      <c r="AK21" s="185">
        <f t="shared" si="389"/>
        <v>0.99999999999983413</v>
      </c>
      <c r="AL21" s="185">
        <f t="shared" si="389"/>
        <v>0.99999999999867151</v>
      </c>
      <c r="AM21" s="185">
        <f t="shared" si="389"/>
        <v>0.99999999996446509</v>
      </c>
      <c r="AN21" s="185">
        <f t="shared" si="389"/>
        <v>0.99999999996446509</v>
      </c>
      <c r="AO21" s="185">
        <f t="shared" si="389"/>
        <v>0.99999999989157007</v>
      </c>
      <c r="AP21" s="185">
        <f t="shared" si="389"/>
        <v>0.99999999967896802</v>
      </c>
      <c r="AQ21" s="185">
        <f t="shared" si="389"/>
        <v>0.99999999925322136</v>
      </c>
      <c r="AR21" s="185">
        <f t="shared" si="389"/>
        <v>0.99999999867570177</v>
      </c>
      <c r="AS21" s="185">
        <f t="shared" si="389"/>
        <v>0.99999999798020345</v>
      </c>
      <c r="AT21" s="185">
        <f t="shared" si="389"/>
        <v>0.99999999325341049</v>
      </c>
      <c r="AU21" s="185">
        <f t="shared" si="389"/>
        <v>0.9999999426163938</v>
      </c>
      <c r="AV21" s="185">
        <f t="shared" si="389"/>
        <v>0.99999992004853688</v>
      </c>
      <c r="AW21" s="185">
        <f t="shared" si="389"/>
        <v>0.99999991507897101</v>
      </c>
      <c r="AX21" s="185">
        <f t="shared" si="389"/>
        <v>0.99999987432680426</v>
      </c>
      <c r="AY21" s="185">
        <f t="shared" si="389"/>
        <v>0.99999973294355471</v>
      </c>
      <c r="AZ21" s="185">
        <f t="shared" si="389"/>
        <v>0.99999967998557049</v>
      </c>
      <c r="BA21" s="185">
        <f t="shared" si="389"/>
        <v>0.99999961652588099</v>
      </c>
      <c r="BB21" s="185">
        <f t="shared" si="389"/>
        <v>0.99999939722906694</v>
      </c>
      <c r="BC21" s="185">
        <f t="shared" si="389"/>
        <v>0.99999846510311774</v>
      </c>
      <c r="BD21" s="185">
        <f t="shared" si="389"/>
        <v>0.99999306893432027</v>
      </c>
      <c r="BE21" s="185">
        <f t="shared" si="389"/>
        <v>0.99999117823785622</v>
      </c>
      <c r="BF21" s="185">
        <f t="shared" si="389"/>
        <v>0.9999891052753771</v>
      </c>
      <c r="BG21" s="185">
        <f t="shared" si="389"/>
        <v>0.99998654520234453</v>
      </c>
      <c r="BH21" s="185">
        <f t="shared" si="389"/>
        <v>0.99998613334894138</v>
      </c>
      <c r="BI21" s="185">
        <f t="shared" si="389"/>
        <v>0.99997053326670748</v>
      </c>
      <c r="BJ21" s="185">
        <f t="shared" si="389"/>
        <v>0.99996963128551875</v>
      </c>
      <c r="BK21" s="185">
        <f t="shared" si="389"/>
        <v>0.99995226437077467</v>
      </c>
      <c r="BL21" s="185">
        <f t="shared" si="389"/>
        <v>0.9999226690561549</v>
      </c>
      <c r="BM21" s="185">
        <f t="shared" si="389"/>
        <v>0.99990733412986421</v>
      </c>
      <c r="BN21" s="185">
        <f t="shared" si="389"/>
        <v>0.99989856144436129</v>
      </c>
      <c r="BO21" s="185">
        <f t="shared" si="389"/>
        <v>0.99949857369235962</v>
      </c>
      <c r="BP21" s="185">
        <f t="shared" si="389"/>
        <v>0.99938074712836311</v>
      </c>
      <c r="BQ21" s="185">
        <f t="shared" si="389"/>
        <v>0.99936179170375639</v>
      </c>
      <c r="BR21" s="185">
        <f t="shared" si="389"/>
        <v>0.99911079678617931</v>
      </c>
      <c r="BS21" s="185">
        <f t="shared" si="389"/>
        <v>0.99886823475461961</v>
      </c>
      <c r="BT21" s="185">
        <f t="shared" si="389"/>
        <v>0.9986438027775435</v>
      </c>
      <c r="BU21" s="185">
        <f t="shared" si="389"/>
        <v>0.99851541147559908</v>
      </c>
      <c r="BV21" s="185">
        <f t="shared" si="389"/>
        <v>0.99720366731125576</v>
      </c>
      <c r="BW21" s="185">
        <f t="shared" si="389"/>
        <v>0.99684523870163722</v>
      </c>
      <c r="BX21" s="185">
        <f t="shared" si="389"/>
        <v>0.99573508218751872</v>
      </c>
      <c r="BY21" s="185">
        <f t="shared" ref="BY21:DX21" si="390">1-BY19^BY12</f>
        <v>0.99196671070951337</v>
      </c>
      <c r="BZ21" s="185">
        <f t="shared" si="390"/>
        <v>0.9914673832522144</v>
      </c>
      <c r="CA21" s="185">
        <f t="shared" si="390"/>
        <v>0.99037368865370456</v>
      </c>
      <c r="CB21" s="185">
        <f t="shared" si="390"/>
        <v>0.98946236497142015</v>
      </c>
      <c r="CC21" s="185">
        <f t="shared" si="390"/>
        <v>0.98846476620161616</v>
      </c>
      <c r="CD21" s="185">
        <f t="shared" si="390"/>
        <v>0.98811167094021146</v>
      </c>
      <c r="CE21" s="185">
        <f t="shared" si="390"/>
        <v>0.98698620185602848</v>
      </c>
      <c r="CF21" s="185">
        <f t="shared" si="390"/>
        <v>0.95782196933491237</v>
      </c>
      <c r="CG21" s="185">
        <f t="shared" si="390"/>
        <v>0.95520029743386237</v>
      </c>
      <c r="CH21" s="185">
        <f t="shared" si="390"/>
        <v>0.95241566952352563</v>
      </c>
      <c r="CI21" s="185">
        <f t="shared" si="390"/>
        <v>0.95095910592871435</v>
      </c>
      <c r="CJ21" s="185">
        <f t="shared" si="390"/>
        <v>0.95095910592871435</v>
      </c>
      <c r="CK21" s="185">
        <f t="shared" si="390"/>
        <v>0.95095910592871435</v>
      </c>
      <c r="CL21" s="185">
        <f t="shared" si="390"/>
        <v>0.95095910592871435</v>
      </c>
      <c r="CM21" s="185">
        <f t="shared" si="390"/>
        <v>0.95095910592871435</v>
      </c>
      <c r="CN21" s="185">
        <f t="shared" si="390"/>
        <v>0.95095910592871435</v>
      </c>
      <c r="CO21" s="185">
        <f t="shared" si="390"/>
        <v>0.95095910592871435</v>
      </c>
      <c r="CP21" s="185">
        <f t="shared" si="390"/>
        <v>0.95095910592871435</v>
      </c>
      <c r="CQ21" s="185">
        <f t="shared" si="390"/>
        <v>0.95095910592871435</v>
      </c>
      <c r="CR21" s="185">
        <f t="shared" si="390"/>
        <v>0.95095910592871435</v>
      </c>
      <c r="CS21" s="185">
        <f t="shared" si="390"/>
        <v>0.95095910592871435</v>
      </c>
      <c r="CT21" s="185">
        <f t="shared" si="390"/>
        <v>0.95095910592871435</v>
      </c>
      <c r="CU21" s="185">
        <f t="shared" si="390"/>
        <v>0.95095910592871435</v>
      </c>
      <c r="CV21" s="185">
        <f t="shared" si="390"/>
        <v>0.95095910592871435</v>
      </c>
      <c r="CW21" s="185">
        <f t="shared" si="390"/>
        <v>0.95095910592871435</v>
      </c>
      <c r="CX21" s="185">
        <f t="shared" si="390"/>
        <v>0.95095910592871435</v>
      </c>
      <c r="CY21" s="185">
        <f t="shared" si="390"/>
        <v>0.95095910592871435</v>
      </c>
      <c r="CZ21" s="185">
        <f t="shared" si="390"/>
        <v>0.95095910592871435</v>
      </c>
      <c r="DA21" s="185">
        <f t="shared" si="390"/>
        <v>0.95095910592871435</v>
      </c>
      <c r="DB21" s="185">
        <f t="shared" si="390"/>
        <v>0.95095910592871435</v>
      </c>
      <c r="DC21" s="185">
        <f t="shared" si="390"/>
        <v>0.95095910592871435</v>
      </c>
      <c r="DD21" s="185">
        <f t="shared" si="390"/>
        <v>0.95095910592871435</v>
      </c>
      <c r="DE21" s="185">
        <f t="shared" si="390"/>
        <v>0.95095910592871435</v>
      </c>
      <c r="DF21" s="185">
        <f t="shared" si="390"/>
        <v>0.95095910592871435</v>
      </c>
      <c r="DG21" s="185">
        <f t="shared" si="390"/>
        <v>0.95095910592871435</v>
      </c>
      <c r="DH21" s="185">
        <f t="shared" si="390"/>
        <v>0.95095910592871435</v>
      </c>
      <c r="DI21" s="185">
        <f t="shared" si="390"/>
        <v>0.95095910592871435</v>
      </c>
      <c r="DJ21" s="185">
        <f t="shared" si="390"/>
        <v>0.95095910592871435</v>
      </c>
      <c r="DK21" s="185">
        <f t="shared" si="390"/>
        <v>0.95095910592871435</v>
      </c>
      <c r="DL21" s="185">
        <f t="shared" si="390"/>
        <v>0.95095910592871435</v>
      </c>
      <c r="DM21" s="185">
        <f t="shared" si="390"/>
        <v>0.95095910592871435</v>
      </c>
      <c r="DN21" s="185">
        <f t="shared" si="390"/>
        <v>0.95095910592871435</v>
      </c>
      <c r="DO21" s="185">
        <f t="shared" si="390"/>
        <v>0.95095910592871435</v>
      </c>
      <c r="DP21" s="185">
        <f t="shared" si="390"/>
        <v>0.95095910592871435</v>
      </c>
      <c r="DQ21" s="185">
        <f t="shared" si="390"/>
        <v>0.95095910592871435</v>
      </c>
      <c r="DR21" s="185">
        <f t="shared" si="390"/>
        <v>0.95095910592871435</v>
      </c>
      <c r="DS21" s="185">
        <f t="shared" si="390"/>
        <v>0.95095910592871435</v>
      </c>
      <c r="DT21" s="185">
        <f t="shared" si="390"/>
        <v>0.95095910592871435</v>
      </c>
      <c r="DU21" s="185">
        <f t="shared" si="390"/>
        <v>0.95095910592871435</v>
      </c>
      <c r="DV21" s="185">
        <f t="shared" si="390"/>
        <v>0.95095910592871435</v>
      </c>
      <c r="DW21" s="185">
        <f t="shared" si="390"/>
        <v>0.95095910592871435</v>
      </c>
      <c r="DX21" s="185">
        <f t="shared" si="390"/>
        <v>0.95095910592871435</v>
      </c>
    </row>
    <row r="22" spans="1:129" s="244" customFormat="1" ht="15.6">
      <c r="A22" s="242" t="s">
        <v>6340</v>
      </c>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row>
    <row r="23" spans="1:129" s="244" customFormat="1" ht="27.6">
      <c r="A23" s="245" t="s">
        <v>6341</v>
      </c>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row>
    <row r="24" spans="1:129" s="248" customFormat="1" ht="14.4" customHeight="1">
      <c r="A24" s="246">
        <v>0.5</v>
      </c>
      <c r="B24" s="248">
        <f>ROUNDUP(LOG10(1-$A24)/LOG10(B$6),0)</f>
        <v>69</v>
      </c>
      <c r="C24" s="248">
        <f t="shared" ref="C24:BN25" si="391">ROUNDUP(LOG10(1-$A24)/LOG10(C$6),0)</f>
        <v>69</v>
      </c>
      <c r="D24" s="248">
        <f t="shared" si="391"/>
        <v>69</v>
      </c>
      <c r="E24" s="248">
        <f t="shared" si="391"/>
        <v>69</v>
      </c>
      <c r="F24" s="248">
        <f t="shared" si="391"/>
        <v>69</v>
      </c>
      <c r="G24" s="248">
        <f t="shared" si="391"/>
        <v>69</v>
      </c>
      <c r="H24" s="248">
        <f t="shared" si="391"/>
        <v>69</v>
      </c>
      <c r="I24" s="248">
        <f t="shared" si="391"/>
        <v>69</v>
      </c>
      <c r="J24" s="248">
        <f t="shared" si="391"/>
        <v>69</v>
      </c>
      <c r="K24" s="248">
        <f t="shared" si="391"/>
        <v>69</v>
      </c>
      <c r="L24" s="248">
        <f t="shared" si="391"/>
        <v>69</v>
      </c>
      <c r="M24" s="248">
        <f t="shared" si="391"/>
        <v>69</v>
      </c>
      <c r="N24" s="247">
        <f t="shared" si="391"/>
        <v>69</v>
      </c>
      <c r="O24" s="247">
        <f t="shared" si="391"/>
        <v>69</v>
      </c>
      <c r="P24" s="247">
        <f t="shared" si="391"/>
        <v>69</v>
      </c>
      <c r="Q24" s="247">
        <f t="shared" si="391"/>
        <v>69</v>
      </c>
      <c r="R24" s="247">
        <f t="shared" si="391"/>
        <v>69</v>
      </c>
      <c r="S24" s="247">
        <f t="shared" si="391"/>
        <v>69</v>
      </c>
      <c r="T24" s="247">
        <f t="shared" si="391"/>
        <v>69</v>
      </c>
      <c r="U24" s="247">
        <f t="shared" si="391"/>
        <v>69</v>
      </c>
      <c r="V24" s="247">
        <f t="shared" si="391"/>
        <v>69</v>
      </c>
      <c r="W24" s="247">
        <f t="shared" si="391"/>
        <v>69</v>
      </c>
      <c r="X24" s="247">
        <f t="shared" si="391"/>
        <v>69</v>
      </c>
      <c r="Y24" s="247">
        <f t="shared" si="391"/>
        <v>69</v>
      </c>
      <c r="Z24" s="247">
        <f t="shared" si="391"/>
        <v>69</v>
      </c>
      <c r="AA24" s="247">
        <f t="shared" si="391"/>
        <v>69</v>
      </c>
      <c r="AB24" s="247">
        <f t="shared" si="391"/>
        <v>69</v>
      </c>
      <c r="AC24" s="247">
        <f t="shared" si="391"/>
        <v>69</v>
      </c>
      <c r="AD24" s="247">
        <f t="shared" si="391"/>
        <v>69</v>
      </c>
      <c r="AE24" s="247">
        <f t="shared" si="391"/>
        <v>69</v>
      </c>
      <c r="AF24" s="247">
        <f t="shared" si="391"/>
        <v>69</v>
      </c>
      <c r="AG24" s="247">
        <f t="shared" si="391"/>
        <v>69</v>
      </c>
      <c r="AH24" s="247">
        <f t="shared" si="391"/>
        <v>69</v>
      </c>
      <c r="AI24" s="247">
        <f t="shared" si="391"/>
        <v>69</v>
      </c>
      <c r="AJ24" s="247">
        <f t="shared" si="391"/>
        <v>69</v>
      </c>
      <c r="AK24" s="247">
        <f t="shared" si="391"/>
        <v>69</v>
      </c>
      <c r="AL24" s="247">
        <f t="shared" si="391"/>
        <v>69</v>
      </c>
      <c r="AM24" s="247">
        <f t="shared" si="391"/>
        <v>69</v>
      </c>
      <c r="AN24" s="247">
        <f t="shared" si="391"/>
        <v>69</v>
      </c>
      <c r="AO24" s="247">
        <f t="shared" si="391"/>
        <v>69</v>
      </c>
      <c r="AP24" s="247">
        <f t="shared" si="391"/>
        <v>69</v>
      </c>
      <c r="AQ24" s="247">
        <f t="shared" si="391"/>
        <v>69</v>
      </c>
      <c r="AR24" s="247">
        <f t="shared" si="391"/>
        <v>69</v>
      </c>
      <c r="AS24" s="247">
        <f t="shared" si="391"/>
        <v>69</v>
      </c>
      <c r="AT24" s="247">
        <f t="shared" si="391"/>
        <v>69</v>
      </c>
      <c r="AU24" s="247">
        <f t="shared" si="391"/>
        <v>69</v>
      </c>
      <c r="AV24" s="247">
        <f t="shared" si="391"/>
        <v>69</v>
      </c>
      <c r="AW24" s="247">
        <f t="shared" si="391"/>
        <v>69</v>
      </c>
      <c r="AX24" s="247">
        <f t="shared" si="391"/>
        <v>69</v>
      </c>
      <c r="AY24" s="247">
        <f t="shared" si="391"/>
        <v>69</v>
      </c>
      <c r="AZ24" s="247">
        <f t="shared" si="391"/>
        <v>69</v>
      </c>
      <c r="BA24" s="247">
        <f t="shared" si="391"/>
        <v>69</v>
      </c>
      <c r="BB24" s="247">
        <f t="shared" si="391"/>
        <v>69</v>
      </c>
      <c r="BC24" s="247">
        <f t="shared" si="391"/>
        <v>69</v>
      </c>
      <c r="BD24" s="247">
        <f t="shared" si="391"/>
        <v>69</v>
      </c>
      <c r="BE24" s="247">
        <f t="shared" si="391"/>
        <v>69</v>
      </c>
      <c r="BF24" s="247">
        <f t="shared" si="391"/>
        <v>69</v>
      </c>
      <c r="BG24" s="247">
        <f t="shared" si="391"/>
        <v>69</v>
      </c>
      <c r="BH24" s="247">
        <f t="shared" si="391"/>
        <v>69</v>
      </c>
      <c r="BI24" s="247">
        <f t="shared" si="391"/>
        <v>69</v>
      </c>
      <c r="BJ24" s="247">
        <f t="shared" si="391"/>
        <v>69</v>
      </c>
      <c r="BK24" s="247">
        <f t="shared" si="391"/>
        <v>69</v>
      </c>
      <c r="BL24" s="247">
        <f t="shared" si="391"/>
        <v>69</v>
      </c>
      <c r="BM24" s="247">
        <f t="shared" si="391"/>
        <v>69</v>
      </c>
      <c r="BN24" s="247">
        <f t="shared" si="391"/>
        <v>69</v>
      </c>
      <c r="BO24" s="247">
        <f t="shared" ref="BO24:DX25" si="392">ROUNDUP(LOG10(1-$A24)/LOG10(BO$6),0)</f>
        <v>69</v>
      </c>
      <c r="BP24" s="247">
        <f t="shared" si="392"/>
        <v>69</v>
      </c>
      <c r="BQ24" s="247">
        <f t="shared" si="392"/>
        <v>69</v>
      </c>
      <c r="BR24" s="247">
        <f t="shared" si="392"/>
        <v>69</v>
      </c>
      <c r="BS24" s="247">
        <f t="shared" si="392"/>
        <v>69</v>
      </c>
      <c r="BT24" s="247">
        <f t="shared" si="392"/>
        <v>69</v>
      </c>
      <c r="BU24" s="247">
        <f t="shared" si="392"/>
        <v>69</v>
      </c>
      <c r="BV24" s="247">
        <f t="shared" si="392"/>
        <v>69</v>
      </c>
      <c r="BW24" s="247">
        <f t="shared" si="392"/>
        <v>69</v>
      </c>
      <c r="BX24" s="247">
        <f t="shared" si="392"/>
        <v>69</v>
      </c>
      <c r="BY24" s="247">
        <f t="shared" si="392"/>
        <v>69</v>
      </c>
      <c r="BZ24" s="247">
        <f t="shared" si="392"/>
        <v>69</v>
      </c>
      <c r="CA24" s="247">
        <f t="shared" si="392"/>
        <v>69</v>
      </c>
      <c r="CB24" s="247">
        <f t="shared" si="392"/>
        <v>69</v>
      </c>
      <c r="CC24" s="247">
        <f t="shared" si="392"/>
        <v>69</v>
      </c>
      <c r="CD24" s="247">
        <f t="shared" si="392"/>
        <v>69</v>
      </c>
      <c r="CE24" s="247">
        <f t="shared" si="392"/>
        <v>69</v>
      </c>
      <c r="CF24" s="247">
        <f t="shared" si="392"/>
        <v>69</v>
      </c>
      <c r="CG24" s="247">
        <f t="shared" si="392"/>
        <v>69</v>
      </c>
      <c r="CH24" s="247">
        <f t="shared" si="392"/>
        <v>69</v>
      </c>
      <c r="CI24" s="247">
        <f t="shared" si="392"/>
        <v>69</v>
      </c>
      <c r="CJ24" s="247">
        <f t="shared" si="392"/>
        <v>69</v>
      </c>
      <c r="CK24" s="247">
        <f t="shared" si="392"/>
        <v>69</v>
      </c>
      <c r="CL24" s="247">
        <f t="shared" si="392"/>
        <v>69</v>
      </c>
      <c r="CM24" s="247">
        <f t="shared" si="392"/>
        <v>69</v>
      </c>
      <c r="CN24" s="247">
        <f t="shared" si="392"/>
        <v>69</v>
      </c>
      <c r="CO24" s="247">
        <f t="shared" si="392"/>
        <v>69</v>
      </c>
      <c r="CP24" s="247">
        <f t="shared" si="392"/>
        <v>69</v>
      </c>
      <c r="CQ24" s="247">
        <f t="shared" si="392"/>
        <v>69</v>
      </c>
      <c r="CR24" s="247">
        <f t="shared" si="392"/>
        <v>69</v>
      </c>
      <c r="CS24" s="247">
        <f t="shared" si="392"/>
        <v>69</v>
      </c>
      <c r="CT24" s="247">
        <f t="shared" si="392"/>
        <v>69</v>
      </c>
      <c r="CU24" s="247">
        <f t="shared" si="392"/>
        <v>69</v>
      </c>
      <c r="CV24" s="247">
        <f t="shared" si="392"/>
        <v>69</v>
      </c>
      <c r="CW24" s="247">
        <f t="shared" si="392"/>
        <v>69</v>
      </c>
      <c r="CX24" s="247">
        <f t="shared" si="392"/>
        <v>69</v>
      </c>
      <c r="CY24" s="247">
        <f t="shared" si="392"/>
        <v>69</v>
      </c>
      <c r="CZ24" s="247">
        <f t="shared" si="392"/>
        <v>69</v>
      </c>
      <c r="DA24" s="247">
        <f t="shared" si="392"/>
        <v>69</v>
      </c>
      <c r="DB24" s="247">
        <f t="shared" si="392"/>
        <v>69</v>
      </c>
      <c r="DC24" s="247">
        <f t="shared" si="392"/>
        <v>69</v>
      </c>
      <c r="DD24" s="247">
        <f t="shared" si="392"/>
        <v>69</v>
      </c>
      <c r="DE24" s="247">
        <f t="shared" si="392"/>
        <v>69</v>
      </c>
      <c r="DF24" s="247">
        <f t="shared" si="392"/>
        <v>69</v>
      </c>
      <c r="DG24" s="247">
        <f t="shared" si="392"/>
        <v>69</v>
      </c>
      <c r="DH24" s="247">
        <f t="shared" si="392"/>
        <v>69</v>
      </c>
      <c r="DI24" s="247">
        <f t="shared" si="392"/>
        <v>69</v>
      </c>
      <c r="DJ24" s="247">
        <f t="shared" si="392"/>
        <v>69</v>
      </c>
      <c r="DK24" s="247">
        <f t="shared" si="392"/>
        <v>69</v>
      </c>
      <c r="DL24" s="247">
        <f t="shared" si="392"/>
        <v>69</v>
      </c>
      <c r="DM24" s="247">
        <f t="shared" si="392"/>
        <v>69</v>
      </c>
      <c r="DN24" s="247">
        <f t="shared" si="392"/>
        <v>69</v>
      </c>
      <c r="DO24" s="247">
        <f t="shared" si="392"/>
        <v>69</v>
      </c>
      <c r="DP24" s="247">
        <f t="shared" si="392"/>
        <v>69</v>
      </c>
      <c r="DQ24" s="247">
        <f t="shared" si="392"/>
        <v>69</v>
      </c>
      <c r="DR24" s="247">
        <f t="shared" si="392"/>
        <v>69</v>
      </c>
      <c r="DS24" s="247">
        <f t="shared" si="392"/>
        <v>69</v>
      </c>
      <c r="DT24" s="247">
        <f t="shared" si="392"/>
        <v>69</v>
      </c>
      <c r="DU24" s="247">
        <f t="shared" si="392"/>
        <v>69</v>
      </c>
      <c r="DV24" s="247">
        <f t="shared" si="392"/>
        <v>69</v>
      </c>
      <c r="DW24" s="247">
        <f t="shared" si="392"/>
        <v>69</v>
      </c>
      <c r="DX24" s="247">
        <f t="shared" si="392"/>
        <v>69</v>
      </c>
    </row>
    <row r="25" spans="1:129" s="248" customFormat="1" ht="14.4" customHeight="1">
      <c r="A25" s="246">
        <v>0.9</v>
      </c>
      <c r="B25" s="248">
        <f>ROUNDUP(LOG10(1-$A25)/LOG10(B$6),0)</f>
        <v>230</v>
      </c>
      <c r="C25" s="248">
        <f t="shared" si="391"/>
        <v>230</v>
      </c>
      <c r="D25" s="248">
        <f t="shared" si="391"/>
        <v>230</v>
      </c>
      <c r="E25" s="248">
        <f t="shared" si="391"/>
        <v>230</v>
      </c>
      <c r="F25" s="248">
        <f t="shared" si="391"/>
        <v>230</v>
      </c>
      <c r="G25" s="248">
        <f t="shared" si="391"/>
        <v>230</v>
      </c>
      <c r="H25" s="248">
        <f t="shared" si="391"/>
        <v>230</v>
      </c>
      <c r="I25" s="248">
        <f t="shared" si="391"/>
        <v>230</v>
      </c>
      <c r="J25" s="248">
        <f t="shared" si="391"/>
        <v>230</v>
      </c>
      <c r="K25" s="248">
        <f t="shared" si="391"/>
        <v>230</v>
      </c>
      <c r="L25" s="248">
        <f t="shared" si="391"/>
        <v>230</v>
      </c>
      <c r="M25" s="248">
        <f t="shared" si="391"/>
        <v>230</v>
      </c>
      <c r="N25" s="247">
        <f t="shared" si="391"/>
        <v>230</v>
      </c>
      <c r="O25" s="247">
        <f t="shared" si="391"/>
        <v>230</v>
      </c>
      <c r="P25" s="247">
        <f t="shared" si="391"/>
        <v>230</v>
      </c>
      <c r="Q25" s="247">
        <f t="shared" si="391"/>
        <v>230</v>
      </c>
      <c r="R25" s="247">
        <f t="shared" si="391"/>
        <v>230</v>
      </c>
      <c r="S25" s="247">
        <f t="shared" si="391"/>
        <v>230</v>
      </c>
      <c r="T25" s="247">
        <f t="shared" si="391"/>
        <v>230</v>
      </c>
      <c r="U25" s="247">
        <f t="shared" si="391"/>
        <v>230</v>
      </c>
      <c r="V25" s="247">
        <f t="shared" si="391"/>
        <v>230</v>
      </c>
      <c r="W25" s="247">
        <f t="shared" si="391"/>
        <v>230</v>
      </c>
      <c r="X25" s="247">
        <f t="shared" si="391"/>
        <v>230</v>
      </c>
      <c r="Y25" s="247">
        <f t="shared" si="391"/>
        <v>230</v>
      </c>
      <c r="Z25" s="247">
        <f t="shared" si="391"/>
        <v>230</v>
      </c>
      <c r="AA25" s="247">
        <f t="shared" si="391"/>
        <v>230</v>
      </c>
      <c r="AB25" s="247">
        <f t="shared" si="391"/>
        <v>230</v>
      </c>
      <c r="AC25" s="247">
        <f t="shared" si="391"/>
        <v>230</v>
      </c>
      <c r="AD25" s="247">
        <f t="shared" si="391"/>
        <v>230</v>
      </c>
      <c r="AE25" s="247">
        <f t="shared" si="391"/>
        <v>230</v>
      </c>
      <c r="AF25" s="247">
        <f t="shared" si="391"/>
        <v>230</v>
      </c>
      <c r="AG25" s="247">
        <f t="shared" si="391"/>
        <v>230</v>
      </c>
      <c r="AH25" s="247">
        <f t="shared" si="391"/>
        <v>230</v>
      </c>
      <c r="AI25" s="247">
        <f t="shared" si="391"/>
        <v>230</v>
      </c>
      <c r="AJ25" s="247">
        <f t="shared" si="391"/>
        <v>230</v>
      </c>
      <c r="AK25" s="247">
        <f t="shared" si="391"/>
        <v>230</v>
      </c>
      <c r="AL25" s="247">
        <f t="shared" si="391"/>
        <v>230</v>
      </c>
      <c r="AM25" s="247">
        <f t="shared" si="391"/>
        <v>230</v>
      </c>
      <c r="AN25" s="247">
        <f t="shared" si="391"/>
        <v>230</v>
      </c>
      <c r="AO25" s="247">
        <f t="shared" si="391"/>
        <v>230</v>
      </c>
      <c r="AP25" s="247">
        <f t="shared" si="391"/>
        <v>230</v>
      </c>
      <c r="AQ25" s="247">
        <f t="shared" si="391"/>
        <v>230</v>
      </c>
      <c r="AR25" s="247">
        <f t="shared" si="391"/>
        <v>230</v>
      </c>
      <c r="AS25" s="247">
        <f t="shared" si="391"/>
        <v>230</v>
      </c>
      <c r="AT25" s="247">
        <f t="shared" si="391"/>
        <v>230</v>
      </c>
      <c r="AU25" s="247">
        <f t="shared" si="391"/>
        <v>230</v>
      </c>
      <c r="AV25" s="247">
        <f t="shared" si="391"/>
        <v>230</v>
      </c>
      <c r="AW25" s="247">
        <f t="shared" si="391"/>
        <v>230</v>
      </c>
      <c r="AX25" s="247">
        <f t="shared" si="391"/>
        <v>230</v>
      </c>
      <c r="AY25" s="247">
        <f t="shared" si="391"/>
        <v>230</v>
      </c>
      <c r="AZ25" s="247">
        <f t="shared" si="391"/>
        <v>230</v>
      </c>
      <c r="BA25" s="247">
        <f t="shared" si="391"/>
        <v>230</v>
      </c>
      <c r="BB25" s="247">
        <f t="shared" si="391"/>
        <v>230</v>
      </c>
      <c r="BC25" s="247">
        <f t="shared" si="391"/>
        <v>230</v>
      </c>
      <c r="BD25" s="247">
        <f t="shared" si="391"/>
        <v>230</v>
      </c>
      <c r="BE25" s="247">
        <f t="shared" si="391"/>
        <v>230</v>
      </c>
      <c r="BF25" s="247">
        <f t="shared" si="391"/>
        <v>230</v>
      </c>
      <c r="BG25" s="247">
        <f t="shared" si="391"/>
        <v>230</v>
      </c>
      <c r="BH25" s="247">
        <f t="shared" si="391"/>
        <v>230</v>
      </c>
      <c r="BI25" s="247">
        <f t="shared" si="391"/>
        <v>230</v>
      </c>
      <c r="BJ25" s="247">
        <f t="shared" si="391"/>
        <v>230</v>
      </c>
      <c r="BK25" s="247">
        <f t="shared" si="391"/>
        <v>230</v>
      </c>
      <c r="BL25" s="247">
        <f t="shared" si="391"/>
        <v>230</v>
      </c>
      <c r="BM25" s="247">
        <f t="shared" si="391"/>
        <v>230</v>
      </c>
      <c r="BN25" s="247">
        <f t="shared" si="391"/>
        <v>230</v>
      </c>
      <c r="BO25" s="247">
        <f t="shared" si="392"/>
        <v>230</v>
      </c>
      <c r="BP25" s="247">
        <f t="shared" si="392"/>
        <v>230</v>
      </c>
      <c r="BQ25" s="247">
        <f t="shared" si="392"/>
        <v>230</v>
      </c>
      <c r="BR25" s="247">
        <f t="shared" si="392"/>
        <v>230</v>
      </c>
      <c r="BS25" s="247">
        <f t="shared" si="392"/>
        <v>230</v>
      </c>
      <c r="BT25" s="247">
        <f t="shared" si="392"/>
        <v>230</v>
      </c>
      <c r="BU25" s="247">
        <f t="shared" si="392"/>
        <v>230</v>
      </c>
      <c r="BV25" s="247">
        <f t="shared" si="392"/>
        <v>230</v>
      </c>
      <c r="BW25" s="247">
        <f t="shared" si="392"/>
        <v>230</v>
      </c>
      <c r="BX25" s="247">
        <f t="shared" si="392"/>
        <v>230</v>
      </c>
      <c r="BY25" s="247">
        <f t="shared" si="392"/>
        <v>230</v>
      </c>
      <c r="BZ25" s="247">
        <f t="shared" si="392"/>
        <v>230</v>
      </c>
      <c r="CA25" s="247">
        <f t="shared" si="392"/>
        <v>230</v>
      </c>
      <c r="CB25" s="247">
        <f t="shared" si="392"/>
        <v>230</v>
      </c>
      <c r="CC25" s="247">
        <f t="shared" si="392"/>
        <v>230</v>
      </c>
      <c r="CD25" s="247">
        <f t="shared" si="392"/>
        <v>230</v>
      </c>
      <c r="CE25" s="247">
        <f t="shared" si="392"/>
        <v>230</v>
      </c>
      <c r="CF25" s="247">
        <f t="shared" si="392"/>
        <v>230</v>
      </c>
      <c r="CG25" s="247">
        <f t="shared" si="392"/>
        <v>230</v>
      </c>
      <c r="CH25" s="247">
        <f t="shared" si="392"/>
        <v>230</v>
      </c>
      <c r="CI25" s="247">
        <f t="shared" si="392"/>
        <v>230</v>
      </c>
      <c r="CJ25" s="247">
        <f t="shared" si="392"/>
        <v>230</v>
      </c>
      <c r="CK25" s="247">
        <f t="shared" si="392"/>
        <v>230</v>
      </c>
      <c r="CL25" s="247">
        <f t="shared" si="392"/>
        <v>230</v>
      </c>
      <c r="CM25" s="247">
        <f t="shared" si="392"/>
        <v>230</v>
      </c>
      <c r="CN25" s="247">
        <f t="shared" si="392"/>
        <v>230</v>
      </c>
      <c r="CO25" s="247">
        <f t="shared" si="392"/>
        <v>230</v>
      </c>
      <c r="CP25" s="247">
        <f t="shared" si="392"/>
        <v>230</v>
      </c>
      <c r="CQ25" s="247">
        <f t="shared" si="392"/>
        <v>230</v>
      </c>
      <c r="CR25" s="247">
        <f t="shared" si="392"/>
        <v>230</v>
      </c>
      <c r="CS25" s="247">
        <f t="shared" si="392"/>
        <v>230</v>
      </c>
      <c r="CT25" s="247">
        <f t="shared" si="392"/>
        <v>230</v>
      </c>
      <c r="CU25" s="247">
        <f t="shared" si="392"/>
        <v>230</v>
      </c>
      <c r="CV25" s="247">
        <f t="shared" si="392"/>
        <v>230</v>
      </c>
      <c r="CW25" s="247">
        <f t="shared" si="392"/>
        <v>230</v>
      </c>
      <c r="CX25" s="247">
        <f t="shared" si="392"/>
        <v>230</v>
      </c>
      <c r="CY25" s="247">
        <f t="shared" si="392"/>
        <v>230</v>
      </c>
      <c r="CZ25" s="247">
        <f t="shared" si="392"/>
        <v>230</v>
      </c>
      <c r="DA25" s="247">
        <f t="shared" si="392"/>
        <v>230</v>
      </c>
      <c r="DB25" s="247">
        <f t="shared" si="392"/>
        <v>230</v>
      </c>
      <c r="DC25" s="247">
        <f t="shared" si="392"/>
        <v>230</v>
      </c>
      <c r="DD25" s="247">
        <f t="shared" si="392"/>
        <v>230</v>
      </c>
      <c r="DE25" s="247">
        <f t="shared" si="392"/>
        <v>230</v>
      </c>
      <c r="DF25" s="247">
        <f t="shared" si="392"/>
        <v>230</v>
      </c>
      <c r="DG25" s="247">
        <f t="shared" si="392"/>
        <v>230</v>
      </c>
      <c r="DH25" s="247">
        <f t="shared" si="392"/>
        <v>230</v>
      </c>
      <c r="DI25" s="247">
        <f t="shared" si="392"/>
        <v>230</v>
      </c>
      <c r="DJ25" s="247">
        <f t="shared" si="392"/>
        <v>230</v>
      </c>
      <c r="DK25" s="247">
        <f t="shared" si="392"/>
        <v>230</v>
      </c>
      <c r="DL25" s="247">
        <f t="shared" si="392"/>
        <v>230</v>
      </c>
      <c r="DM25" s="247">
        <f t="shared" si="392"/>
        <v>230</v>
      </c>
      <c r="DN25" s="247">
        <f t="shared" si="392"/>
        <v>230</v>
      </c>
      <c r="DO25" s="247">
        <f t="shared" si="392"/>
        <v>230</v>
      </c>
      <c r="DP25" s="247">
        <f t="shared" si="392"/>
        <v>230</v>
      </c>
      <c r="DQ25" s="247">
        <f t="shared" si="392"/>
        <v>230</v>
      </c>
      <c r="DR25" s="247">
        <f t="shared" si="392"/>
        <v>230</v>
      </c>
      <c r="DS25" s="247">
        <f t="shared" si="392"/>
        <v>230</v>
      </c>
      <c r="DT25" s="247">
        <f t="shared" si="392"/>
        <v>230</v>
      </c>
      <c r="DU25" s="247">
        <f t="shared" si="392"/>
        <v>230</v>
      </c>
      <c r="DV25" s="247">
        <f t="shared" si="392"/>
        <v>230</v>
      </c>
      <c r="DW25" s="247">
        <f t="shared" si="392"/>
        <v>230</v>
      </c>
      <c r="DX25" s="247">
        <f t="shared" si="392"/>
        <v>230</v>
      </c>
    </row>
    <row r="26" spans="1:129" s="189" customFormat="1" ht="15.6">
      <c r="A26" s="188" t="s">
        <v>6342</v>
      </c>
    </row>
    <row r="27" spans="1:129" s="55" customFormat="1">
      <c r="A27" s="190" t="s">
        <v>6343</v>
      </c>
      <c r="B27" s="60">
        <v>230</v>
      </c>
      <c r="C27" s="60">
        <f>B27</f>
        <v>230</v>
      </c>
      <c r="D27" s="60">
        <f t="shared" ref="D27:L27" si="393">C27</f>
        <v>230</v>
      </c>
      <c r="E27" s="60">
        <f t="shared" si="393"/>
        <v>230</v>
      </c>
      <c r="F27" s="60">
        <f t="shared" si="393"/>
        <v>230</v>
      </c>
      <c r="G27" s="60">
        <f t="shared" si="393"/>
        <v>230</v>
      </c>
      <c r="H27" s="60">
        <f t="shared" si="393"/>
        <v>230</v>
      </c>
      <c r="I27" s="60">
        <f t="shared" si="393"/>
        <v>230</v>
      </c>
      <c r="J27" s="60">
        <f t="shared" si="393"/>
        <v>230</v>
      </c>
      <c r="K27" s="60">
        <f t="shared" si="393"/>
        <v>230</v>
      </c>
      <c r="L27" s="60">
        <f t="shared" si="393"/>
        <v>230</v>
      </c>
      <c r="M27" s="60">
        <f t="shared" ref="M27" si="394">L27</f>
        <v>230</v>
      </c>
      <c r="N27" s="60">
        <f t="shared" ref="N27" si="395">M27</f>
        <v>230</v>
      </c>
      <c r="O27" s="60">
        <f t="shared" ref="O27" si="396">N27</f>
        <v>230</v>
      </c>
      <c r="P27" s="60">
        <f t="shared" ref="P27" si="397">O27</f>
        <v>230</v>
      </c>
      <c r="Q27" s="60">
        <f t="shared" ref="Q27" si="398">P27</f>
        <v>230</v>
      </c>
      <c r="R27" s="60">
        <f t="shared" ref="R27" si="399">Q27</f>
        <v>230</v>
      </c>
      <c r="S27" s="60">
        <f t="shared" ref="S27" si="400">R27</f>
        <v>230</v>
      </c>
      <c r="T27" s="60">
        <f t="shared" ref="T27" si="401">S27</f>
        <v>230</v>
      </c>
      <c r="U27" s="60">
        <f t="shared" ref="U27" si="402">T27</f>
        <v>230</v>
      </c>
      <c r="V27" s="60">
        <f t="shared" ref="V27" si="403">U27</f>
        <v>230</v>
      </c>
      <c r="W27" s="60">
        <f t="shared" ref="W27" si="404">V27</f>
        <v>230</v>
      </c>
      <c r="X27" s="60">
        <f t="shared" ref="X27" si="405">W27</f>
        <v>230</v>
      </c>
      <c r="Y27" s="60">
        <f t="shared" ref="Y27" si="406">X27</f>
        <v>230</v>
      </c>
      <c r="Z27" s="60">
        <f t="shared" ref="Z27" si="407">Y27</f>
        <v>230</v>
      </c>
      <c r="AA27" s="60">
        <f t="shared" ref="AA27" si="408">Z27</f>
        <v>230</v>
      </c>
      <c r="AB27" s="60">
        <f t="shared" ref="AB27" si="409">AA27</f>
        <v>230</v>
      </c>
      <c r="AC27" s="60">
        <f t="shared" ref="AC27" si="410">AB27</f>
        <v>230</v>
      </c>
      <c r="AD27" s="60">
        <f t="shared" ref="AD27" si="411">AC27</f>
        <v>230</v>
      </c>
      <c r="AE27" s="60">
        <f t="shared" ref="AE27" si="412">AD27</f>
        <v>230</v>
      </c>
      <c r="AF27" s="60">
        <f t="shared" ref="AF27" si="413">AE27</f>
        <v>230</v>
      </c>
      <c r="AG27" s="60">
        <f t="shared" ref="AG27" si="414">AF27</f>
        <v>230</v>
      </c>
      <c r="AH27" s="60">
        <f t="shared" ref="AH27" si="415">AG27</f>
        <v>230</v>
      </c>
      <c r="AI27" s="60">
        <f t="shared" ref="AI27" si="416">AH27</f>
        <v>230</v>
      </c>
      <c r="AJ27" s="60">
        <f t="shared" ref="AJ27" si="417">AI27</f>
        <v>230</v>
      </c>
      <c r="AK27" s="60">
        <f t="shared" ref="AK27" si="418">AJ27</f>
        <v>230</v>
      </c>
      <c r="AL27" s="60">
        <f t="shared" ref="AL27" si="419">AK27</f>
        <v>230</v>
      </c>
      <c r="AM27" s="60">
        <f t="shared" ref="AM27" si="420">AL27</f>
        <v>230</v>
      </c>
      <c r="AN27" s="60">
        <f t="shared" ref="AN27" si="421">AM27</f>
        <v>230</v>
      </c>
      <c r="AO27" s="60">
        <f t="shared" ref="AO27" si="422">AN27</f>
        <v>230</v>
      </c>
      <c r="AP27" s="60">
        <f t="shared" ref="AP27" si="423">AO27</f>
        <v>230</v>
      </c>
      <c r="AQ27" s="60">
        <f t="shared" ref="AQ27" si="424">AP27</f>
        <v>230</v>
      </c>
      <c r="AR27" s="60">
        <f t="shared" ref="AR27" si="425">AQ27</f>
        <v>230</v>
      </c>
      <c r="AS27" s="60">
        <f t="shared" ref="AS27" si="426">AR27</f>
        <v>230</v>
      </c>
      <c r="AT27" s="60">
        <f t="shared" ref="AT27" si="427">AS27</f>
        <v>230</v>
      </c>
      <c r="AU27" s="60">
        <f t="shared" ref="AU27" si="428">AT27</f>
        <v>230</v>
      </c>
      <c r="AV27" s="60">
        <f t="shared" ref="AV27" si="429">AU27</f>
        <v>230</v>
      </c>
      <c r="AW27" s="60">
        <f t="shared" ref="AW27" si="430">AV27</f>
        <v>230</v>
      </c>
      <c r="AX27" s="60">
        <f t="shared" ref="AX27" si="431">AW27</f>
        <v>230</v>
      </c>
      <c r="AY27" s="60">
        <f t="shared" ref="AY27" si="432">AX27</f>
        <v>230</v>
      </c>
      <c r="AZ27" s="60">
        <f t="shared" ref="AZ27" si="433">AY27</f>
        <v>230</v>
      </c>
      <c r="BA27" s="60">
        <f t="shared" ref="BA27" si="434">AZ27</f>
        <v>230</v>
      </c>
      <c r="BB27" s="60">
        <f t="shared" ref="BB27" si="435">BA27</f>
        <v>230</v>
      </c>
      <c r="BC27" s="60">
        <f t="shared" ref="BC27" si="436">BB27</f>
        <v>230</v>
      </c>
      <c r="BD27" s="60">
        <f t="shared" ref="BD27" si="437">BC27</f>
        <v>230</v>
      </c>
      <c r="BE27" s="60">
        <f t="shared" ref="BE27" si="438">BD27</f>
        <v>230</v>
      </c>
      <c r="BF27" s="60">
        <f t="shared" ref="BF27" si="439">BE27</f>
        <v>230</v>
      </c>
      <c r="BG27" s="60">
        <f t="shared" ref="BG27" si="440">BF27</f>
        <v>230</v>
      </c>
      <c r="BH27" s="60">
        <f t="shared" ref="BH27" si="441">BG27</f>
        <v>230</v>
      </c>
      <c r="BI27" s="60">
        <f t="shared" ref="BI27" si="442">BH27</f>
        <v>230</v>
      </c>
      <c r="BJ27" s="60">
        <f t="shared" ref="BJ27" si="443">BI27</f>
        <v>230</v>
      </c>
      <c r="BK27" s="60">
        <f t="shared" ref="BK27" si="444">BJ27</f>
        <v>230</v>
      </c>
      <c r="BL27" s="60">
        <f t="shared" ref="BL27" si="445">BK27</f>
        <v>230</v>
      </c>
      <c r="BM27" s="60">
        <f t="shared" ref="BM27" si="446">BL27</f>
        <v>230</v>
      </c>
      <c r="BN27" s="60">
        <f t="shared" ref="BN27" si="447">BM27</f>
        <v>230</v>
      </c>
      <c r="BO27" s="60">
        <f t="shared" ref="BO27" si="448">BN27</f>
        <v>230</v>
      </c>
      <c r="BP27" s="60">
        <f t="shared" ref="BP27" si="449">BO27</f>
        <v>230</v>
      </c>
      <c r="BQ27" s="60">
        <f t="shared" ref="BQ27" si="450">BP27</f>
        <v>230</v>
      </c>
      <c r="BR27" s="60">
        <f t="shared" ref="BR27" si="451">BQ27</f>
        <v>230</v>
      </c>
      <c r="BS27" s="60">
        <f t="shared" ref="BS27" si="452">BR27</f>
        <v>230</v>
      </c>
      <c r="BT27" s="60">
        <f t="shared" ref="BT27" si="453">BS27</f>
        <v>230</v>
      </c>
      <c r="BU27" s="60">
        <f t="shared" ref="BU27" si="454">BT27</f>
        <v>230</v>
      </c>
      <c r="BV27" s="60">
        <f t="shared" ref="BV27" si="455">BU27</f>
        <v>230</v>
      </c>
      <c r="BW27" s="60">
        <f t="shared" ref="BW27" si="456">BV27</f>
        <v>230</v>
      </c>
      <c r="BX27" s="60">
        <f t="shared" ref="BX27" si="457">BW27</f>
        <v>230</v>
      </c>
      <c r="BY27" s="60">
        <f t="shared" ref="BY27" si="458">BX27</f>
        <v>230</v>
      </c>
      <c r="BZ27" s="60">
        <f t="shared" ref="BZ27" si="459">BY27</f>
        <v>230</v>
      </c>
      <c r="CA27" s="60">
        <f t="shared" ref="CA27" si="460">BZ27</f>
        <v>230</v>
      </c>
      <c r="CB27" s="60">
        <f t="shared" ref="CB27" si="461">CA27</f>
        <v>230</v>
      </c>
      <c r="CC27" s="60">
        <f t="shared" ref="CC27" si="462">CB27</f>
        <v>230</v>
      </c>
      <c r="CD27" s="60">
        <f t="shared" ref="CD27" si="463">CC27</f>
        <v>230</v>
      </c>
      <c r="CE27" s="60">
        <f t="shared" ref="CE27" si="464">CD27</f>
        <v>230</v>
      </c>
      <c r="CF27" s="60">
        <f t="shared" ref="CF27" si="465">CE27</f>
        <v>230</v>
      </c>
      <c r="CG27" s="60">
        <f t="shared" ref="CG27" si="466">CF27</f>
        <v>230</v>
      </c>
      <c r="CH27" s="60">
        <f t="shared" ref="CH27" si="467">CG27</f>
        <v>230</v>
      </c>
      <c r="CI27" s="60">
        <f t="shared" ref="CI27" si="468">CH27</f>
        <v>230</v>
      </c>
      <c r="CJ27" s="60">
        <f t="shared" ref="CJ27" si="469">CI27</f>
        <v>230</v>
      </c>
      <c r="CK27" s="60">
        <f t="shared" ref="CK27" si="470">CJ27</f>
        <v>230</v>
      </c>
      <c r="CL27" s="60">
        <f t="shared" ref="CL27" si="471">CK27</f>
        <v>230</v>
      </c>
      <c r="CM27" s="60">
        <f t="shared" ref="CM27" si="472">CL27</f>
        <v>230</v>
      </c>
      <c r="CN27" s="60">
        <f t="shared" ref="CN27" si="473">CM27</f>
        <v>230</v>
      </c>
      <c r="CO27" s="60">
        <f t="shared" ref="CO27" si="474">CN27</f>
        <v>230</v>
      </c>
      <c r="CP27" s="60">
        <f t="shared" ref="CP27" si="475">CO27</f>
        <v>230</v>
      </c>
      <c r="CQ27" s="60">
        <f t="shared" ref="CQ27" si="476">CP27</f>
        <v>230</v>
      </c>
      <c r="CR27" s="60">
        <f t="shared" ref="CR27" si="477">CQ27</f>
        <v>230</v>
      </c>
      <c r="CS27" s="60">
        <f t="shared" ref="CS27" si="478">CR27</f>
        <v>230</v>
      </c>
      <c r="CT27" s="60">
        <f t="shared" ref="CT27" si="479">CS27</f>
        <v>230</v>
      </c>
      <c r="CU27" s="60">
        <f t="shared" ref="CU27" si="480">CT27</f>
        <v>230</v>
      </c>
      <c r="CV27" s="60">
        <f t="shared" ref="CV27" si="481">CU27</f>
        <v>230</v>
      </c>
      <c r="CW27" s="60">
        <f t="shared" ref="CW27" si="482">CV27</f>
        <v>230</v>
      </c>
      <c r="CX27" s="60">
        <f t="shared" ref="CX27" si="483">CW27</f>
        <v>230</v>
      </c>
      <c r="CY27" s="60">
        <f t="shared" ref="CY27" si="484">CX27</f>
        <v>230</v>
      </c>
      <c r="CZ27" s="60">
        <f t="shared" ref="CZ27" si="485">CY27</f>
        <v>230</v>
      </c>
      <c r="DA27" s="60">
        <f t="shared" ref="DA27" si="486">CZ27</f>
        <v>230</v>
      </c>
      <c r="DB27" s="60">
        <f t="shared" ref="DB27" si="487">DA27</f>
        <v>230</v>
      </c>
      <c r="DC27" s="60">
        <f t="shared" ref="DC27" si="488">DB27</f>
        <v>230</v>
      </c>
      <c r="DD27" s="60">
        <f t="shared" ref="DD27" si="489">DC27</f>
        <v>230</v>
      </c>
      <c r="DE27" s="60">
        <f t="shared" ref="DE27" si="490">DD27</f>
        <v>230</v>
      </c>
      <c r="DF27" s="60">
        <f t="shared" ref="DF27" si="491">DE27</f>
        <v>230</v>
      </c>
      <c r="DG27" s="60">
        <f t="shared" ref="DG27" si="492">DF27</f>
        <v>230</v>
      </c>
      <c r="DH27" s="60">
        <f t="shared" ref="DH27" si="493">DG27</f>
        <v>230</v>
      </c>
      <c r="DI27" s="60">
        <f t="shared" ref="DI27" si="494">DH27</f>
        <v>230</v>
      </c>
      <c r="DJ27" s="60">
        <f t="shared" ref="DJ27" si="495">DI27</f>
        <v>230</v>
      </c>
      <c r="DK27" s="60">
        <f t="shared" ref="DK27" si="496">DJ27</f>
        <v>230</v>
      </c>
      <c r="DL27" s="60">
        <f t="shared" ref="DL27" si="497">DK27</f>
        <v>230</v>
      </c>
      <c r="DM27" s="60">
        <f t="shared" ref="DM27" si="498">DL27</f>
        <v>230</v>
      </c>
      <c r="DN27" s="60">
        <f t="shared" ref="DN27" si="499">DM27</f>
        <v>230</v>
      </c>
      <c r="DO27" s="60">
        <f t="shared" ref="DO27" si="500">DN27</f>
        <v>230</v>
      </c>
      <c r="DP27" s="60">
        <f t="shared" ref="DP27" si="501">DO27</f>
        <v>230</v>
      </c>
      <c r="DQ27" s="60">
        <f t="shared" ref="DQ27" si="502">DP27</f>
        <v>230</v>
      </c>
      <c r="DR27" s="60">
        <f t="shared" ref="DR27" si="503">DQ27</f>
        <v>230</v>
      </c>
      <c r="DS27" s="60">
        <f t="shared" ref="DS27" si="504">DR27</f>
        <v>230</v>
      </c>
      <c r="DT27" s="60">
        <f t="shared" ref="DT27" si="505">DS27</f>
        <v>230</v>
      </c>
      <c r="DU27" s="60">
        <f t="shared" ref="DU27" si="506">DT27</f>
        <v>230</v>
      </c>
      <c r="DV27" s="60">
        <f t="shared" ref="DV27" si="507">DU27</f>
        <v>230</v>
      </c>
      <c r="DW27" s="60">
        <f t="shared" ref="DW27" si="508">DV27</f>
        <v>230</v>
      </c>
      <c r="DX27" s="60">
        <f t="shared" ref="DX27" si="509">DW27</f>
        <v>230</v>
      </c>
    </row>
    <row r="28" spans="1:129" s="55" customFormat="1">
      <c r="A28" s="190" t="s">
        <v>6344</v>
      </c>
      <c r="B28" s="191">
        <f t="shared" ref="B28:L28" si="510">MIN(B27,B4)</f>
        <v>2</v>
      </c>
      <c r="C28" s="191">
        <f t="shared" si="510"/>
        <v>4</v>
      </c>
      <c r="D28" s="191">
        <f t="shared" si="510"/>
        <v>8</v>
      </c>
      <c r="E28" s="191">
        <f t="shared" si="510"/>
        <v>18</v>
      </c>
      <c r="F28" s="191">
        <f t="shared" si="510"/>
        <v>39</v>
      </c>
      <c r="G28" s="191">
        <f t="shared" si="510"/>
        <v>86</v>
      </c>
      <c r="H28" s="191">
        <f t="shared" si="510"/>
        <v>189</v>
      </c>
      <c r="I28" s="191">
        <f t="shared" si="510"/>
        <v>230</v>
      </c>
      <c r="J28" s="191">
        <f t="shared" si="510"/>
        <v>230</v>
      </c>
      <c r="K28" s="191">
        <f t="shared" si="510"/>
        <v>230</v>
      </c>
      <c r="L28" s="191">
        <f t="shared" si="510"/>
        <v>230</v>
      </c>
      <c r="M28" s="191">
        <f t="shared" ref="M28:BX28" si="511">MIN(M27,M4)</f>
        <v>230</v>
      </c>
      <c r="N28" s="191">
        <f t="shared" si="511"/>
        <v>230</v>
      </c>
      <c r="O28" s="191">
        <f t="shared" si="511"/>
        <v>230</v>
      </c>
      <c r="P28" s="191">
        <f t="shared" si="511"/>
        <v>230</v>
      </c>
      <c r="Q28" s="191">
        <f t="shared" si="511"/>
        <v>230</v>
      </c>
      <c r="R28" s="191">
        <f t="shared" si="511"/>
        <v>230</v>
      </c>
      <c r="S28" s="191">
        <f t="shared" si="511"/>
        <v>230</v>
      </c>
      <c r="T28" s="191">
        <f t="shared" si="511"/>
        <v>230</v>
      </c>
      <c r="U28" s="191">
        <f t="shared" si="511"/>
        <v>230</v>
      </c>
      <c r="V28" s="191">
        <f t="shared" si="511"/>
        <v>230</v>
      </c>
      <c r="W28" s="191">
        <f t="shared" si="511"/>
        <v>230</v>
      </c>
      <c r="X28" s="191">
        <f t="shared" si="511"/>
        <v>230</v>
      </c>
      <c r="Y28" s="191">
        <f t="shared" si="511"/>
        <v>230</v>
      </c>
      <c r="Z28" s="191">
        <f t="shared" si="511"/>
        <v>230</v>
      </c>
      <c r="AA28" s="191">
        <f t="shared" si="511"/>
        <v>230</v>
      </c>
      <c r="AB28" s="191">
        <f t="shared" si="511"/>
        <v>230</v>
      </c>
      <c r="AC28" s="191">
        <f t="shared" si="511"/>
        <v>230</v>
      </c>
      <c r="AD28" s="191">
        <f t="shared" si="511"/>
        <v>230</v>
      </c>
      <c r="AE28" s="191">
        <f t="shared" si="511"/>
        <v>230</v>
      </c>
      <c r="AF28" s="191">
        <f t="shared" si="511"/>
        <v>230</v>
      </c>
      <c r="AG28" s="191">
        <f t="shared" si="511"/>
        <v>230</v>
      </c>
      <c r="AH28" s="191">
        <f t="shared" si="511"/>
        <v>230</v>
      </c>
      <c r="AI28" s="191">
        <f t="shared" si="511"/>
        <v>230</v>
      </c>
      <c r="AJ28" s="191">
        <f t="shared" si="511"/>
        <v>230</v>
      </c>
      <c r="AK28" s="191">
        <f t="shared" si="511"/>
        <v>230</v>
      </c>
      <c r="AL28" s="191">
        <f t="shared" si="511"/>
        <v>230</v>
      </c>
      <c r="AM28" s="191">
        <f t="shared" si="511"/>
        <v>230</v>
      </c>
      <c r="AN28" s="191">
        <f t="shared" si="511"/>
        <v>230</v>
      </c>
      <c r="AO28" s="191">
        <f t="shared" si="511"/>
        <v>230</v>
      </c>
      <c r="AP28" s="191">
        <f t="shared" si="511"/>
        <v>230</v>
      </c>
      <c r="AQ28" s="191">
        <f t="shared" si="511"/>
        <v>230</v>
      </c>
      <c r="AR28" s="191">
        <f t="shared" si="511"/>
        <v>230</v>
      </c>
      <c r="AS28" s="191">
        <f t="shared" si="511"/>
        <v>230</v>
      </c>
      <c r="AT28" s="191">
        <f t="shared" si="511"/>
        <v>230</v>
      </c>
      <c r="AU28" s="191">
        <f t="shared" si="511"/>
        <v>230</v>
      </c>
      <c r="AV28" s="191">
        <f t="shared" si="511"/>
        <v>230</v>
      </c>
      <c r="AW28" s="191">
        <f t="shared" si="511"/>
        <v>230</v>
      </c>
      <c r="AX28" s="191">
        <f t="shared" si="511"/>
        <v>230</v>
      </c>
      <c r="AY28" s="191">
        <f t="shared" si="511"/>
        <v>230</v>
      </c>
      <c r="AZ28" s="191">
        <f t="shared" si="511"/>
        <v>230</v>
      </c>
      <c r="BA28" s="191">
        <f t="shared" si="511"/>
        <v>230</v>
      </c>
      <c r="BB28" s="191">
        <f t="shared" si="511"/>
        <v>230</v>
      </c>
      <c r="BC28" s="191">
        <f t="shared" si="511"/>
        <v>230</v>
      </c>
      <c r="BD28" s="191">
        <f t="shared" si="511"/>
        <v>230</v>
      </c>
      <c r="BE28" s="191">
        <f t="shared" si="511"/>
        <v>230</v>
      </c>
      <c r="BF28" s="191">
        <f t="shared" si="511"/>
        <v>230</v>
      </c>
      <c r="BG28" s="191">
        <f t="shared" si="511"/>
        <v>230</v>
      </c>
      <c r="BH28" s="191">
        <f t="shared" si="511"/>
        <v>230</v>
      </c>
      <c r="BI28" s="191">
        <f t="shared" si="511"/>
        <v>230</v>
      </c>
      <c r="BJ28" s="191">
        <f t="shared" si="511"/>
        <v>230</v>
      </c>
      <c r="BK28" s="191">
        <f t="shared" si="511"/>
        <v>230</v>
      </c>
      <c r="BL28" s="191">
        <f t="shared" si="511"/>
        <v>230</v>
      </c>
      <c r="BM28" s="191">
        <f t="shared" si="511"/>
        <v>230</v>
      </c>
      <c r="BN28" s="191">
        <f t="shared" si="511"/>
        <v>230</v>
      </c>
      <c r="BO28" s="191">
        <f t="shared" si="511"/>
        <v>230</v>
      </c>
      <c r="BP28" s="191">
        <f t="shared" si="511"/>
        <v>230</v>
      </c>
      <c r="BQ28" s="191">
        <f t="shared" si="511"/>
        <v>230</v>
      </c>
      <c r="BR28" s="191">
        <f t="shared" si="511"/>
        <v>230</v>
      </c>
      <c r="BS28" s="191">
        <f t="shared" si="511"/>
        <v>225</v>
      </c>
      <c r="BT28" s="191">
        <f t="shared" si="511"/>
        <v>219</v>
      </c>
      <c r="BU28" s="191">
        <f t="shared" si="511"/>
        <v>216</v>
      </c>
      <c r="BV28" s="191">
        <f t="shared" si="511"/>
        <v>195</v>
      </c>
      <c r="BW28" s="191">
        <f t="shared" si="511"/>
        <v>191</v>
      </c>
      <c r="BX28" s="191">
        <f t="shared" si="511"/>
        <v>181</v>
      </c>
      <c r="BY28" s="191">
        <f t="shared" ref="BY28:DX28" si="512">MIN(BY27,BY4)</f>
        <v>160</v>
      </c>
      <c r="BZ28" s="191">
        <f t="shared" si="512"/>
        <v>158</v>
      </c>
      <c r="CA28" s="191">
        <f t="shared" si="512"/>
        <v>154</v>
      </c>
      <c r="CB28" s="191">
        <f t="shared" si="512"/>
        <v>151</v>
      </c>
      <c r="CC28" s="191">
        <f t="shared" si="512"/>
        <v>148</v>
      </c>
      <c r="CD28" s="191">
        <f t="shared" si="512"/>
        <v>147</v>
      </c>
      <c r="CE28" s="191">
        <f t="shared" si="512"/>
        <v>144</v>
      </c>
      <c r="CF28" s="191">
        <f t="shared" si="512"/>
        <v>105</v>
      </c>
      <c r="CG28" s="191">
        <f t="shared" si="512"/>
        <v>103</v>
      </c>
      <c r="CH28" s="191">
        <f t="shared" si="512"/>
        <v>101</v>
      </c>
      <c r="CI28" s="191">
        <f t="shared" si="512"/>
        <v>98</v>
      </c>
      <c r="CJ28" s="191">
        <f t="shared" si="512"/>
        <v>97</v>
      </c>
      <c r="CK28" s="191">
        <f t="shared" si="512"/>
        <v>97</v>
      </c>
      <c r="CL28" s="191">
        <f t="shared" si="512"/>
        <v>96</v>
      </c>
      <c r="CM28" s="191">
        <f t="shared" si="512"/>
        <v>92</v>
      </c>
      <c r="CN28" s="191">
        <f t="shared" si="512"/>
        <v>85</v>
      </c>
      <c r="CO28" s="191">
        <f t="shared" si="512"/>
        <v>80</v>
      </c>
      <c r="CP28" s="191">
        <f t="shared" si="512"/>
        <v>79</v>
      </c>
      <c r="CQ28" s="191">
        <f t="shared" si="512"/>
        <v>75</v>
      </c>
      <c r="CR28" s="191">
        <f t="shared" si="512"/>
        <v>72</v>
      </c>
      <c r="CS28" s="191">
        <f t="shared" si="512"/>
        <v>71</v>
      </c>
      <c r="CT28" s="191">
        <f t="shared" si="512"/>
        <v>64</v>
      </c>
      <c r="CU28" s="191">
        <f t="shared" si="512"/>
        <v>61</v>
      </c>
      <c r="CV28" s="191">
        <f t="shared" si="512"/>
        <v>60</v>
      </c>
      <c r="CW28" s="191">
        <f t="shared" si="512"/>
        <v>58</v>
      </c>
      <c r="CX28" s="191">
        <f t="shared" si="512"/>
        <v>56</v>
      </c>
      <c r="CY28" s="191">
        <f t="shared" si="512"/>
        <v>52</v>
      </c>
      <c r="CZ28" s="191">
        <f t="shared" si="512"/>
        <v>51</v>
      </c>
      <c r="DA28" s="191">
        <f t="shared" si="512"/>
        <v>40</v>
      </c>
      <c r="DB28" s="191">
        <f t="shared" si="512"/>
        <v>39</v>
      </c>
      <c r="DC28" s="191">
        <f t="shared" si="512"/>
        <v>38</v>
      </c>
      <c r="DD28" s="191">
        <f t="shared" si="512"/>
        <v>38</v>
      </c>
      <c r="DE28" s="191">
        <f t="shared" si="512"/>
        <v>35</v>
      </c>
      <c r="DF28" s="191">
        <f t="shared" si="512"/>
        <v>32</v>
      </c>
      <c r="DG28" s="191">
        <f t="shared" si="512"/>
        <v>27</v>
      </c>
      <c r="DH28" s="191">
        <f t="shared" si="512"/>
        <v>27</v>
      </c>
      <c r="DI28" s="191">
        <f t="shared" si="512"/>
        <v>26</v>
      </c>
      <c r="DJ28" s="191">
        <f t="shared" si="512"/>
        <v>24</v>
      </c>
      <c r="DK28" s="191">
        <f t="shared" si="512"/>
        <v>24</v>
      </c>
      <c r="DL28" s="191">
        <f t="shared" si="512"/>
        <v>23</v>
      </c>
      <c r="DM28" s="191">
        <f t="shared" si="512"/>
        <v>23</v>
      </c>
      <c r="DN28" s="191">
        <f t="shared" si="512"/>
        <v>23</v>
      </c>
      <c r="DO28" s="191">
        <f t="shared" si="512"/>
        <v>21</v>
      </c>
      <c r="DP28" s="191">
        <f t="shared" si="512"/>
        <v>16</v>
      </c>
      <c r="DQ28" s="191">
        <f t="shared" si="512"/>
        <v>16</v>
      </c>
      <c r="DR28" s="191">
        <f t="shared" si="512"/>
        <v>15</v>
      </c>
      <c r="DS28" s="191">
        <f t="shared" si="512"/>
        <v>14</v>
      </c>
      <c r="DT28" s="191">
        <f t="shared" si="512"/>
        <v>10</v>
      </c>
      <c r="DU28" s="191">
        <f t="shared" si="512"/>
        <v>7</v>
      </c>
      <c r="DV28" s="191">
        <f t="shared" si="512"/>
        <v>5</v>
      </c>
      <c r="DW28" s="191">
        <f t="shared" si="512"/>
        <v>2</v>
      </c>
      <c r="DX28" s="191">
        <f t="shared" si="512"/>
        <v>2</v>
      </c>
    </row>
    <row r="29" spans="1:129" s="192" customFormat="1">
      <c r="A29" s="239" t="s">
        <v>6472</v>
      </c>
      <c r="B29" s="240">
        <f>B27/B28</f>
        <v>115</v>
      </c>
      <c r="C29" s="240">
        <f t="shared" ref="C29:BN29" si="513">C27/C28</f>
        <v>57.5</v>
      </c>
      <c r="D29" s="240">
        <f t="shared" si="513"/>
        <v>28.75</v>
      </c>
      <c r="E29" s="240">
        <f t="shared" si="513"/>
        <v>12.777777777777779</v>
      </c>
      <c r="F29" s="240">
        <f t="shared" si="513"/>
        <v>5.8974358974358978</v>
      </c>
      <c r="G29" s="240">
        <f t="shared" si="513"/>
        <v>2.6744186046511627</v>
      </c>
      <c r="H29" s="240">
        <f t="shared" si="513"/>
        <v>1.216931216931217</v>
      </c>
      <c r="I29" s="240">
        <f t="shared" si="513"/>
        <v>1</v>
      </c>
      <c r="J29" s="240">
        <f t="shared" si="513"/>
        <v>1</v>
      </c>
      <c r="K29" s="240">
        <f t="shared" si="513"/>
        <v>1</v>
      </c>
      <c r="L29" s="240">
        <f t="shared" si="513"/>
        <v>1</v>
      </c>
      <c r="M29" s="240">
        <f t="shared" si="513"/>
        <v>1</v>
      </c>
      <c r="N29" s="240">
        <f t="shared" si="513"/>
        <v>1</v>
      </c>
      <c r="O29" s="240">
        <f t="shared" si="513"/>
        <v>1</v>
      </c>
      <c r="P29" s="240">
        <f t="shared" si="513"/>
        <v>1</v>
      </c>
      <c r="Q29" s="240">
        <f t="shared" si="513"/>
        <v>1</v>
      </c>
      <c r="R29" s="240">
        <f t="shared" si="513"/>
        <v>1</v>
      </c>
      <c r="S29" s="240">
        <f t="shared" si="513"/>
        <v>1</v>
      </c>
      <c r="T29" s="240">
        <f t="shared" si="513"/>
        <v>1</v>
      </c>
      <c r="U29" s="240">
        <f t="shared" si="513"/>
        <v>1</v>
      </c>
      <c r="V29" s="240">
        <f t="shared" si="513"/>
        <v>1</v>
      </c>
      <c r="W29" s="240">
        <f t="shared" si="513"/>
        <v>1</v>
      </c>
      <c r="X29" s="240">
        <f t="shared" si="513"/>
        <v>1</v>
      </c>
      <c r="Y29" s="240">
        <f t="shared" si="513"/>
        <v>1</v>
      </c>
      <c r="Z29" s="240">
        <f t="shared" si="513"/>
        <v>1</v>
      </c>
      <c r="AA29" s="240">
        <f t="shared" si="513"/>
        <v>1</v>
      </c>
      <c r="AB29" s="240">
        <f t="shared" si="513"/>
        <v>1</v>
      </c>
      <c r="AC29" s="240">
        <f t="shared" si="513"/>
        <v>1</v>
      </c>
      <c r="AD29" s="240">
        <f t="shared" si="513"/>
        <v>1</v>
      </c>
      <c r="AE29" s="240">
        <f t="shared" si="513"/>
        <v>1</v>
      </c>
      <c r="AF29" s="240">
        <f t="shared" si="513"/>
        <v>1</v>
      </c>
      <c r="AG29" s="240">
        <f t="shared" si="513"/>
        <v>1</v>
      </c>
      <c r="AH29" s="240">
        <f t="shared" si="513"/>
        <v>1</v>
      </c>
      <c r="AI29" s="240">
        <f t="shared" si="513"/>
        <v>1</v>
      </c>
      <c r="AJ29" s="240">
        <f t="shared" si="513"/>
        <v>1</v>
      </c>
      <c r="AK29" s="240">
        <f t="shared" si="513"/>
        <v>1</v>
      </c>
      <c r="AL29" s="240">
        <f t="shared" si="513"/>
        <v>1</v>
      </c>
      <c r="AM29" s="240">
        <f t="shared" si="513"/>
        <v>1</v>
      </c>
      <c r="AN29" s="240">
        <f t="shared" si="513"/>
        <v>1</v>
      </c>
      <c r="AO29" s="240">
        <f t="shared" si="513"/>
        <v>1</v>
      </c>
      <c r="AP29" s="240">
        <f t="shared" si="513"/>
        <v>1</v>
      </c>
      <c r="AQ29" s="240">
        <f t="shared" si="513"/>
        <v>1</v>
      </c>
      <c r="AR29" s="240">
        <f t="shared" si="513"/>
        <v>1</v>
      </c>
      <c r="AS29" s="240">
        <f t="shared" si="513"/>
        <v>1</v>
      </c>
      <c r="AT29" s="240">
        <f t="shared" si="513"/>
        <v>1</v>
      </c>
      <c r="AU29" s="240">
        <f t="shared" si="513"/>
        <v>1</v>
      </c>
      <c r="AV29" s="240">
        <f t="shared" si="513"/>
        <v>1</v>
      </c>
      <c r="AW29" s="240">
        <f t="shared" si="513"/>
        <v>1</v>
      </c>
      <c r="AX29" s="240">
        <f t="shared" si="513"/>
        <v>1</v>
      </c>
      <c r="AY29" s="240">
        <f t="shared" si="513"/>
        <v>1</v>
      </c>
      <c r="AZ29" s="240">
        <f t="shared" si="513"/>
        <v>1</v>
      </c>
      <c r="BA29" s="240">
        <f t="shared" si="513"/>
        <v>1</v>
      </c>
      <c r="BB29" s="240">
        <f t="shared" si="513"/>
        <v>1</v>
      </c>
      <c r="BC29" s="240">
        <f t="shared" si="513"/>
        <v>1</v>
      </c>
      <c r="BD29" s="240">
        <f t="shared" si="513"/>
        <v>1</v>
      </c>
      <c r="BE29" s="240">
        <f t="shared" si="513"/>
        <v>1</v>
      </c>
      <c r="BF29" s="240">
        <f t="shared" si="513"/>
        <v>1</v>
      </c>
      <c r="BG29" s="240">
        <f t="shared" si="513"/>
        <v>1</v>
      </c>
      <c r="BH29" s="240">
        <f t="shared" si="513"/>
        <v>1</v>
      </c>
      <c r="BI29" s="240">
        <f t="shared" si="513"/>
        <v>1</v>
      </c>
      <c r="BJ29" s="240">
        <f t="shared" si="513"/>
        <v>1</v>
      </c>
      <c r="BK29" s="240">
        <f t="shared" si="513"/>
        <v>1</v>
      </c>
      <c r="BL29" s="240">
        <f t="shared" si="513"/>
        <v>1</v>
      </c>
      <c r="BM29" s="240">
        <f t="shared" si="513"/>
        <v>1</v>
      </c>
      <c r="BN29" s="240">
        <f t="shared" si="513"/>
        <v>1</v>
      </c>
      <c r="BO29" s="240">
        <f t="shared" ref="BO29:DX29" si="514">BO27/BO28</f>
        <v>1</v>
      </c>
      <c r="BP29" s="240">
        <f t="shared" si="514"/>
        <v>1</v>
      </c>
      <c r="BQ29" s="240">
        <f t="shared" si="514"/>
        <v>1</v>
      </c>
      <c r="BR29" s="240">
        <f t="shared" si="514"/>
        <v>1</v>
      </c>
      <c r="BS29" s="240">
        <f t="shared" si="514"/>
        <v>1.0222222222222221</v>
      </c>
      <c r="BT29" s="240">
        <f t="shared" si="514"/>
        <v>1.0502283105022832</v>
      </c>
      <c r="BU29" s="240">
        <f t="shared" si="514"/>
        <v>1.0648148148148149</v>
      </c>
      <c r="BV29" s="240">
        <f t="shared" si="514"/>
        <v>1.1794871794871795</v>
      </c>
      <c r="BW29" s="240">
        <f t="shared" si="514"/>
        <v>1.2041884816753927</v>
      </c>
      <c r="BX29" s="240">
        <f t="shared" si="514"/>
        <v>1.270718232044199</v>
      </c>
      <c r="BY29" s="240">
        <f t="shared" si="514"/>
        <v>1.4375</v>
      </c>
      <c r="BZ29" s="240">
        <f t="shared" si="514"/>
        <v>1.4556962025316456</v>
      </c>
      <c r="CA29" s="240">
        <f t="shared" si="514"/>
        <v>1.4935064935064934</v>
      </c>
      <c r="CB29" s="240">
        <f t="shared" si="514"/>
        <v>1.5231788079470199</v>
      </c>
      <c r="CC29" s="240">
        <f t="shared" si="514"/>
        <v>1.5540540540540539</v>
      </c>
      <c r="CD29" s="240">
        <f t="shared" si="514"/>
        <v>1.564625850340136</v>
      </c>
      <c r="CE29" s="240">
        <f t="shared" si="514"/>
        <v>1.5972222222222223</v>
      </c>
      <c r="CF29" s="240">
        <f t="shared" si="514"/>
        <v>2.1904761904761907</v>
      </c>
      <c r="CG29" s="240">
        <f t="shared" si="514"/>
        <v>2.233009708737864</v>
      </c>
      <c r="CH29" s="240">
        <f t="shared" si="514"/>
        <v>2.277227722772277</v>
      </c>
      <c r="CI29" s="240">
        <f t="shared" si="514"/>
        <v>2.3469387755102042</v>
      </c>
      <c r="CJ29" s="240">
        <f t="shared" si="514"/>
        <v>2.3711340206185567</v>
      </c>
      <c r="CK29" s="240">
        <f t="shared" si="514"/>
        <v>2.3711340206185567</v>
      </c>
      <c r="CL29" s="240">
        <f t="shared" si="514"/>
        <v>2.3958333333333335</v>
      </c>
      <c r="CM29" s="240">
        <f t="shared" si="514"/>
        <v>2.5</v>
      </c>
      <c r="CN29" s="240">
        <f t="shared" si="514"/>
        <v>2.7058823529411766</v>
      </c>
      <c r="CO29" s="240">
        <f t="shared" si="514"/>
        <v>2.875</v>
      </c>
      <c r="CP29" s="240">
        <f t="shared" si="514"/>
        <v>2.9113924050632911</v>
      </c>
      <c r="CQ29" s="240">
        <f t="shared" si="514"/>
        <v>3.0666666666666669</v>
      </c>
      <c r="CR29" s="240">
        <f t="shared" si="514"/>
        <v>3.1944444444444446</v>
      </c>
      <c r="CS29" s="240">
        <f t="shared" si="514"/>
        <v>3.23943661971831</v>
      </c>
      <c r="CT29" s="240">
        <f t="shared" si="514"/>
        <v>3.59375</v>
      </c>
      <c r="CU29" s="240">
        <f t="shared" si="514"/>
        <v>3.7704918032786887</v>
      </c>
      <c r="CV29" s="240">
        <f t="shared" si="514"/>
        <v>3.8333333333333335</v>
      </c>
      <c r="CW29" s="240">
        <f t="shared" si="514"/>
        <v>3.9655172413793105</v>
      </c>
      <c r="CX29" s="240">
        <f t="shared" si="514"/>
        <v>4.1071428571428568</v>
      </c>
      <c r="CY29" s="240">
        <f t="shared" si="514"/>
        <v>4.4230769230769234</v>
      </c>
      <c r="CZ29" s="240">
        <f t="shared" si="514"/>
        <v>4.5098039215686274</v>
      </c>
      <c r="DA29" s="240">
        <f t="shared" si="514"/>
        <v>5.75</v>
      </c>
      <c r="DB29" s="240">
        <f t="shared" si="514"/>
        <v>5.8974358974358978</v>
      </c>
      <c r="DC29" s="240">
        <f t="shared" si="514"/>
        <v>6.0526315789473681</v>
      </c>
      <c r="DD29" s="240">
        <f t="shared" si="514"/>
        <v>6.0526315789473681</v>
      </c>
      <c r="DE29" s="240">
        <f t="shared" si="514"/>
        <v>6.5714285714285712</v>
      </c>
      <c r="DF29" s="240">
        <f t="shared" si="514"/>
        <v>7.1875</v>
      </c>
      <c r="DG29" s="240">
        <f t="shared" si="514"/>
        <v>8.518518518518519</v>
      </c>
      <c r="DH29" s="240">
        <f t="shared" si="514"/>
        <v>8.518518518518519</v>
      </c>
      <c r="DI29" s="240">
        <f t="shared" si="514"/>
        <v>8.8461538461538467</v>
      </c>
      <c r="DJ29" s="240">
        <f t="shared" si="514"/>
        <v>9.5833333333333339</v>
      </c>
      <c r="DK29" s="240">
        <f t="shared" si="514"/>
        <v>9.5833333333333339</v>
      </c>
      <c r="DL29" s="240">
        <f t="shared" si="514"/>
        <v>10</v>
      </c>
      <c r="DM29" s="240">
        <f t="shared" si="514"/>
        <v>10</v>
      </c>
      <c r="DN29" s="240">
        <f t="shared" si="514"/>
        <v>10</v>
      </c>
      <c r="DO29" s="240">
        <f t="shared" si="514"/>
        <v>10.952380952380953</v>
      </c>
      <c r="DP29" s="240">
        <f t="shared" si="514"/>
        <v>14.375</v>
      </c>
      <c r="DQ29" s="240">
        <f t="shared" si="514"/>
        <v>14.375</v>
      </c>
      <c r="DR29" s="240">
        <f t="shared" si="514"/>
        <v>15.333333333333334</v>
      </c>
      <c r="DS29" s="240">
        <f t="shared" si="514"/>
        <v>16.428571428571427</v>
      </c>
      <c r="DT29" s="241">
        <f t="shared" si="514"/>
        <v>23</v>
      </c>
      <c r="DU29" s="241">
        <f t="shared" si="514"/>
        <v>32.857142857142854</v>
      </c>
      <c r="DV29" s="241">
        <f t="shared" si="514"/>
        <v>46</v>
      </c>
      <c r="DW29" s="241">
        <f t="shared" si="514"/>
        <v>115</v>
      </c>
      <c r="DX29" s="241">
        <f t="shared" si="514"/>
        <v>115</v>
      </c>
      <c r="DY29" s="191"/>
    </row>
    <row r="30" spans="1:129" s="194" customFormat="1" hidden="1">
      <c r="A30" s="193" t="s">
        <v>6345</v>
      </c>
      <c r="B30" s="189">
        <f t="shared" ref="B30:L30" si="515">B29*B28</f>
        <v>230</v>
      </c>
      <c r="C30" s="189">
        <f t="shared" si="515"/>
        <v>230</v>
      </c>
      <c r="D30" s="189">
        <f t="shared" si="515"/>
        <v>230</v>
      </c>
      <c r="E30" s="189">
        <f t="shared" si="515"/>
        <v>230</v>
      </c>
      <c r="F30" s="189">
        <f t="shared" si="515"/>
        <v>230</v>
      </c>
      <c r="G30" s="189">
        <f t="shared" si="515"/>
        <v>230</v>
      </c>
      <c r="H30" s="189">
        <f t="shared" si="515"/>
        <v>230</v>
      </c>
      <c r="I30" s="189">
        <f t="shared" si="515"/>
        <v>230</v>
      </c>
      <c r="J30" s="189">
        <f t="shared" si="515"/>
        <v>230</v>
      </c>
      <c r="K30" s="189">
        <f t="shared" si="515"/>
        <v>230</v>
      </c>
      <c r="L30" s="189">
        <f t="shared" si="515"/>
        <v>230</v>
      </c>
      <c r="M30" s="189">
        <f t="shared" ref="M30:BX30" si="516">M29*M28</f>
        <v>230</v>
      </c>
      <c r="N30" s="189">
        <f t="shared" si="516"/>
        <v>230</v>
      </c>
      <c r="O30" s="189">
        <f t="shared" si="516"/>
        <v>230</v>
      </c>
      <c r="P30" s="189">
        <f t="shared" si="516"/>
        <v>230</v>
      </c>
      <c r="Q30" s="189">
        <f t="shared" si="516"/>
        <v>230</v>
      </c>
      <c r="R30" s="189">
        <f t="shared" si="516"/>
        <v>230</v>
      </c>
      <c r="S30" s="189">
        <f t="shared" si="516"/>
        <v>230</v>
      </c>
      <c r="T30" s="189">
        <f t="shared" si="516"/>
        <v>230</v>
      </c>
      <c r="U30" s="189">
        <f t="shared" si="516"/>
        <v>230</v>
      </c>
      <c r="V30" s="189">
        <f t="shared" si="516"/>
        <v>230</v>
      </c>
      <c r="W30" s="189">
        <f t="shared" si="516"/>
        <v>230</v>
      </c>
      <c r="X30" s="189">
        <f t="shared" si="516"/>
        <v>230</v>
      </c>
      <c r="Y30" s="189">
        <f t="shared" si="516"/>
        <v>230</v>
      </c>
      <c r="Z30" s="189">
        <f t="shared" si="516"/>
        <v>230</v>
      </c>
      <c r="AA30" s="189">
        <f t="shared" si="516"/>
        <v>230</v>
      </c>
      <c r="AB30" s="189">
        <f t="shared" si="516"/>
        <v>230</v>
      </c>
      <c r="AC30" s="189">
        <f t="shared" si="516"/>
        <v>230</v>
      </c>
      <c r="AD30" s="189">
        <f t="shared" si="516"/>
        <v>230</v>
      </c>
      <c r="AE30" s="189">
        <f t="shared" si="516"/>
        <v>230</v>
      </c>
      <c r="AF30" s="189">
        <f t="shared" si="516"/>
        <v>230</v>
      </c>
      <c r="AG30" s="189">
        <f t="shared" si="516"/>
        <v>230</v>
      </c>
      <c r="AH30" s="189">
        <f t="shared" si="516"/>
        <v>230</v>
      </c>
      <c r="AI30" s="189">
        <f t="shared" si="516"/>
        <v>230</v>
      </c>
      <c r="AJ30" s="189">
        <f t="shared" si="516"/>
        <v>230</v>
      </c>
      <c r="AK30" s="189">
        <f t="shared" si="516"/>
        <v>230</v>
      </c>
      <c r="AL30" s="189">
        <f t="shared" si="516"/>
        <v>230</v>
      </c>
      <c r="AM30" s="189">
        <f t="shared" si="516"/>
        <v>230</v>
      </c>
      <c r="AN30" s="189">
        <f t="shared" si="516"/>
        <v>230</v>
      </c>
      <c r="AO30" s="189">
        <f t="shared" si="516"/>
        <v>230</v>
      </c>
      <c r="AP30" s="189">
        <f t="shared" si="516"/>
        <v>230</v>
      </c>
      <c r="AQ30" s="189">
        <f t="shared" si="516"/>
        <v>230</v>
      </c>
      <c r="AR30" s="189">
        <f t="shared" si="516"/>
        <v>230</v>
      </c>
      <c r="AS30" s="189">
        <f t="shared" si="516"/>
        <v>230</v>
      </c>
      <c r="AT30" s="189">
        <f t="shared" si="516"/>
        <v>230</v>
      </c>
      <c r="AU30" s="189">
        <f t="shared" si="516"/>
        <v>230</v>
      </c>
      <c r="AV30" s="189">
        <f t="shared" si="516"/>
        <v>230</v>
      </c>
      <c r="AW30" s="189">
        <f t="shared" si="516"/>
        <v>230</v>
      </c>
      <c r="AX30" s="189">
        <f t="shared" si="516"/>
        <v>230</v>
      </c>
      <c r="AY30" s="189">
        <f t="shared" si="516"/>
        <v>230</v>
      </c>
      <c r="AZ30" s="189">
        <f t="shared" si="516"/>
        <v>230</v>
      </c>
      <c r="BA30" s="189">
        <f t="shared" si="516"/>
        <v>230</v>
      </c>
      <c r="BB30" s="189">
        <f t="shared" si="516"/>
        <v>230</v>
      </c>
      <c r="BC30" s="189">
        <f t="shared" si="516"/>
        <v>230</v>
      </c>
      <c r="BD30" s="189">
        <f t="shared" si="516"/>
        <v>230</v>
      </c>
      <c r="BE30" s="189">
        <f t="shared" si="516"/>
        <v>230</v>
      </c>
      <c r="BF30" s="189">
        <f t="shared" si="516"/>
        <v>230</v>
      </c>
      <c r="BG30" s="189">
        <f t="shared" si="516"/>
        <v>230</v>
      </c>
      <c r="BH30" s="189">
        <f t="shared" si="516"/>
        <v>230</v>
      </c>
      <c r="BI30" s="189">
        <f t="shared" si="516"/>
        <v>230</v>
      </c>
      <c r="BJ30" s="189">
        <f t="shared" si="516"/>
        <v>230</v>
      </c>
      <c r="BK30" s="189">
        <f t="shared" si="516"/>
        <v>230</v>
      </c>
      <c r="BL30" s="189">
        <f t="shared" si="516"/>
        <v>230</v>
      </c>
      <c r="BM30" s="189">
        <f t="shared" si="516"/>
        <v>230</v>
      </c>
      <c r="BN30" s="189">
        <f t="shared" si="516"/>
        <v>230</v>
      </c>
      <c r="BO30" s="189">
        <f t="shared" si="516"/>
        <v>230</v>
      </c>
      <c r="BP30" s="189">
        <f t="shared" si="516"/>
        <v>230</v>
      </c>
      <c r="BQ30" s="189">
        <f t="shared" si="516"/>
        <v>230</v>
      </c>
      <c r="BR30" s="189">
        <f t="shared" si="516"/>
        <v>230</v>
      </c>
      <c r="BS30" s="189">
        <f t="shared" si="516"/>
        <v>229.99999999999997</v>
      </c>
      <c r="BT30" s="189">
        <f t="shared" si="516"/>
        <v>230</v>
      </c>
      <c r="BU30" s="189">
        <f t="shared" si="516"/>
        <v>230</v>
      </c>
      <c r="BV30" s="189">
        <f t="shared" si="516"/>
        <v>230</v>
      </c>
      <c r="BW30" s="189">
        <f t="shared" si="516"/>
        <v>230</v>
      </c>
      <c r="BX30" s="189">
        <f t="shared" si="516"/>
        <v>230.00000000000003</v>
      </c>
      <c r="BY30" s="189">
        <f t="shared" ref="BY30:DX30" si="517">BY29*BY28</f>
        <v>230</v>
      </c>
      <c r="BZ30" s="189">
        <f t="shared" si="517"/>
        <v>230</v>
      </c>
      <c r="CA30" s="189">
        <f t="shared" si="517"/>
        <v>230</v>
      </c>
      <c r="CB30" s="189">
        <f t="shared" si="517"/>
        <v>230</v>
      </c>
      <c r="CC30" s="189">
        <f t="shared" si="517"/>
        <v>229.99999999999997</v>
      </c>
      <c r="CD30" s="189">
        <f t="shared" si="517"/>
        <v>230</v>
      </c>
      <c r="CE30" s="189">
        <f t="shared" si="517"/>
        <v>230</v>
      </c>
      <c r="CF30" s="189">
        <f t="shared" si="517"/>
        <v>230.00000000000003</v>
      </c>
      <c r="CG30" s="189">
        <f t="shared" si="517"/>
        <v>230</v>
      </c>
      <c r="CH30" s="189">
        <f t="shared" si="517"/>
        <v>229.99999999999997</v>
      </c>
      <c r="CI30" s="189">
        <f t="shared" si="517"/>
        <v>230.00000000000003</v>
      </c>
      <c r="CJ30" s="189">
        <f t="shared" si="517"/>
        <v>230</v>
      </c>
      <c r="CK30" s="189">
        <f t="shared" si="517"/>
        <v>230</v>
      </c>
      <c r="CL30" s="189">
        <f t="shared" si="517"/>
        <v>230</v>
      </c>
      <c r="CM30" s="189">
        <f t="shared" si="517"/>
        <v>230</v>
      </c>
      <c r="CN30" s="189">
        <f t="shared" si="517"/>
        <v>230</v>
      </c>
      <c r="CO30" s="189">
        <f t="shared" si="517"/>
        <v>230</v>
      </c>
      <c r="CP30" s="189">
        <f t="shared" si="517"/>
        <v>230</v>
      </c>
      <c r="CQ30" s="189">
        <f t="shared" si="517"/>
        <v>230.00000000000003</v>
      </c>
      <c r="CR30" s="189">
        <f t="shared" si="517"/>
        <v>230</v>
      </c>
      <c r="CS30" s="189">
        <f t="shared" si="517"/>
        <v>230</v>
      </c>
      <c r="CT30" s="189">
        <f t="shared" si="517"/>
        <v>230</v>
      </c>
      <c r="CU30" s="189">
        <f t="shared" si="517"/>
        <v>230</v>
      </c>
      <c r="CV30" s="189">
        <f t="shared" si="517"/>
        <v>230</v>
      </c>
      <c r="CW30" s="189">
        <f t="shared" si="517"/>
        <v>230</v>
      </c>
      <c r="CX30" s="189">
        <f t="shared" si="517"/>
        <v>229.99999999999997</v>
      </c>
      <c r="CY30" s="189">
        <f t="shared" si="517"/>
        <v>230</v>
      </c>
      <c r="CZ30" s="189">
        <f t="shared" si="517"/>
        <v>230</v>
      </c>
      <c r="DA30" s="189">
        <f t="shared" si="517"/>
        <v>230</v>
      </c>
      <c r="DB30" s="189">
        <f t="shared" si="517"/>
        <v>230</v>
      </c>
      <c r="DC30" s="189">
        <f t="shared" si="517"/>
        <v>230</v>
      </c>
      <c r="DD30" s="189">
        <f t="shared" si="517"/>
        <v>230</v>
      </c>
      <c r="DE30" s="189">
        <f t="shared" si="517"/>
        <v>230</v>
      </c>
      <c r="DF30" s="189">
        <f t="shared" si="517"/>
        <v>230</v>
      </c>
      <c r="DG30" s="189">
        <f t="shared" si="517"/>
        <v>230</v>
      </c>
      <c r="DH30" s="189">
        <f t="shared" si="517"/>
        <v>230</v>
      </c>
      <c r="DI30" s="189">
        <f t="shared" si="517"/>
        <v>230</v>
      </c>
      <c r="DJ30" s="189">
        <f t="shared" si="517"/>
        <v>230</v>
      </c>
      <c r="DK30" s="189">
        <f t="shared" si="517"/>
        <v>230</v>
      </c>
      <c r="DL30" s="189">
        <f t="shared" si="517"/>
        <v>230</v>
      </c>
      <c r="DM30" s="189">
        <f t="shared" si="517"/>
        <v>230</v>
      </c>
      <c r="DN30" s="189">
        <f t="shared" si="517"/>
        <v>230</v>
      </c>
      <c r="DO30" s="189">
        <f t="shared" si="517"/>
        <v>230</v>
      </c>
      <c r="DP30" s="189">
        <f t="shared" si="517"/>
        <v>230</v>
      </c>
      <c r="DQ30" s="189">
        <f t="shared" si="517"/>
        <v>230</v>
      </c>
      <c r="DR30" s="189">
        <f t="shared" si="517"/>
        <v>230</v>
      </c>
      <c r="DS30" s="189">
        <f t="shared" si="517"/>
        <v>229.99999999999997</v>
      </c>
      <c r="DT30" s="189">
        <f t="shared" si="517"/>
        <v>230</v>
      </c>
      <c r="DU30" s="189">
        <f t="shared" si="517"/>
        <v>229.99999999999997</v>
      </c>
      <c r="DV30" s="189">
        <f t="shared" si="517"/>
        <v>230</v>
      </c>
      <c r="DW30" s="189">
        <f t="shared" si="517"/>
        <v>230</v>
      </c>
      <c r="DX30" s="189">
        <f t="shared" si="517"/>
        <v>230</v>
      </c>
    </row>
    <row r="31" spans="1:129" s="194" customFormat="1" hidden="1">
      <c r="A31" s="195" t="str">
        <f>A15</f>
        <v>IF ERRORS ARE CONCENTRATED IN FEWEST POSSIBLE BATCHES</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row>
    <row r="32" spans="1:129" s="198" customFormat="1" ht="27.6" hidden="1">
      <c r="A32" s="196" t="s">
        <v>6346</v>
      </c>
      <c r="B32" s="197">
        <f>IF(B$28=B$4,1,IF(ISNUMBER(COMBIN(B$4-B8,B28)),1-COMBIN(B$4-B8,B28)/COMBIN(B4,B28),A32))</f>
        <v>1</v>
      </c>
      <c r="C32" s="197">
        <f t="shared" ref="C32:BN32" si="518">IF(C$28=C$4,1,IF(ISNUMBER(COMBIN(C$4-C8,C28)),1-COMBIN(C$4-C8,C28)/COMBIN(C4,C28),B32))</f>
        <v>1</v>
      </c>
      <c r="D32" s="197">
        <f t="shared" si="518"/>
        <v>1</v>
      </c>
      <c r="E32" s="197">
        <f t="shared" si="518"/>
        <v>1</v>
      </c>
      <c r="F32" s="197">
        <f t="shared" si="518"/>
        <v>1</v>
      </c>
      <c r="G32" s="197">
        <f t="shared" si="518"/>
        <v>1</v>
      </c>
      <c r="H32" s="197">
        <f t="shared" si="518"/>
        <v>1</v>
      </c>
      <c r="I32" s="197">
        <f t="shared" si="518"/>
        <v>0.99121312356124713</v>
      </c>
      <c r="J32" s="197">
        <f t="shared" si="518"/>
        <v>0.9516872060065803</v>
      </c>
      <c r="K32" s="197">
        <f t="shared" si="518"/>
        <v>0.9278796582835277</v>
      </c>
      <c r="L32" s="197">
        <f t="shared" si="518"/>
        <v>0.9278796582835277</v>
      </c>
      <c r="M32" s="197">
        <f t="shared" si="518"/>
        <v>0.9278796582835277</v>
      </c>
      <c r="N32" s="197">
        <f t="shared" si="518"/>
        <v>0.9278796582835277</v>
      </c>
      <c r="O32" s="197">
        <f t="shared" si="518"/>
        <v>0.9278796582835277</v>
      </c>
      <c r="P32" s="197">
        <f t="shared" si="518"/>
        <v>0.9278796582835277</v>
      </c>
      <c r="Q32" s="197">
        <f t="shared" si="518"/>
        <v>0.9278796582835277</v>
      </c>
      <c r="R32" s="197">
        <f t="shared" si="518"/>
        <v>0.9278796582835277</v>
      </c>
      <c r="S32" s="197">
        <f t="shared" si="518"/>
        <v>0.9278796582835277</v>
      </c>
      <c r="T32" s="197">
        <f t="shared" si="518"/>
        <v>0.9278796582835277</v>
      </c>
      <c r="U32" s="197">
        <f t="shared" si="518"/>
        <v>0.9278796582835277</v>
      </c>
      <c r="V32" s="197">
        <f t="shared" si="518"/>
        <v>0.9278796582835277</v>
      </c>
      <c r="W32" s="197">
        <f t="shared" si="518"/>
        <v>0.9278796582835277</v>
      </c>
      <c r="X32" s="197">
        <f t="shared" si="518"/>
        <v>0.91757015386807861</v>
      </c>
      <c r="Y32" s="197">
        <f t="shared" si="518"/>
        <v>0.92272702550022134</v>
      </c>
      <c r="Z32" s="197">
        <f t="shared" si="518"/>
        <v>0.92851789374949467</v>
      </c>
      <c r="AA32" s="197">
        <f t="shared" si="518"/>
        <v>0.92215405608858914</v>
      </c>
      <c r="AB32" s="197">
        <f t="shared" si="518"/>
        <v>0.91869031039693549</v>
      </c>
      <c r="AC32" s="197">
        <f t="shared" si="518"/>
        <v>0.92852367646770573</v>
      </c>
      <c r="AD32" s="197">
        <f t="shared" si="518"/>
        <v>0.92549681041544452</v>
      </c>
      <c r="AE32" s="197">
        <f t="shared" si="518"/>
        <v>0.934589248995918</v>
      </c>
      <c r="AF32" s="197">
        <f t="shared" si="518"/>
        <v>0.92704514526632686</v>
      </c>
      <c r="AG32" s="197">
        <f t="shared" si="518"/>
        <v>0.93253091873771499</v>
      </c>
      <c r="AH32" s="197">
        <f t="shared" si="518"/>
        <v>0.94069331606605422</v>
      </c>
      <c r="AI32" s="197">
        <f t="shared" si="518"/>
        <v>0.93889723859395746</v>
      </c>
      <c r="AJ32" s="197">
        <f t="shared" si="518"/>
        <v>0.94134933931171516</v>
      </c>
      <c r="AK32" s="197">
        <f t="shared" si="518"/>
        <v>0.93290812911345278</v>
      </c>
      <c r="AL32" s="197">
        <f t="shared" si="518"/>
        <v>0.9472244019639815</v>
      </c>
      <c r="AM32" s="197">
        <f t="shared" si="518"/>
        <v>0.93505493058851663</v>
      </c>
      <c r="AN32" s="197">
        <f t="shared" si="518"/>
        <v>0.93505493058851663</v>
      </c>
      <c r="AO32" s="197">
        <f t="shared" si="518"/>
        <v>0.94470297943151904</v>
      </c>
      <c r="AP32" s="197">
        <f t="shared" si="518"/>
        <v>0.9536257114697263</v>
      </c>
      <c r="AQ32" s="197">
        <f t="shared" si="518"/>
        <v>0.94028355393045626</v>
      </c>
      <c r="AR32" s="197">
        <f t="shared" si="518"/>
        <v>0.94587769213322126</v>
      </c>
      <c r="AS32" s="197">
        <f t="shared" si="518"/>
        <v>0.94989144728822006</v>
      </c>
      <c r="AT32" s="197">
        <f t="shared" si="518"/>
        <v>0.96077417416147293</v>
      </c>
      <c r="AU32" s="197">
        <f t="shared" si="518"/>
        <v>0.96105965387413661</v>
      </c>
      <c r="AV32" s="197">
        <f t="shared" si="518"/>
        <v>0.96435582146823851</v>
      </c>
      <c r="AW32" s="197">
        <f t="shared" si="518"/>
        <v>0.96494315140590281</v>
      </c>
      <c r="AX32" s="197">
        <f t="shared" si="518"/>
        <v>0.96866650519519515</v>
      </c>
      <c r="AY32" s="197">
        <f t="shared" si="518"/>
        <v>0.97533378174307372</v>
      </c>
      <c r="AZ32" s="197">
        <f t="shared" si="518"/>
        <v>0.95641243270882781</v>
      </c>
      <c r="BA32" s="197">
        <f t="shared" si="518"/>
        <v>0.95869754040393529</v>
      </c>
      <c r="BB32" s="197">
        <f t="shared" si="518"/>
        <v>0.96421519993761629</v>
      </c>
      <c r="BC32" s="197">
        <f t="shared" si="518"/>
        <v>0.9746177126671085</v>
      </c>
      <c r="BD32" s="197">
        <f t="shared" si="518"/>
        <v>0.9706221001207086</v>
      </c>
      <c r="BE32" s="197">
        <f t="shared" si="518"/>
        <v>0.97393303819045174</v>
      </c>
      <c r="BF32" s="197">
        <f t="shared" si="518"/>
        <v>0.97669452443764893</v>
      </c>
      <c r="BG32" s="197">
        <f t="shared" si="518"/>
        <v>0.979322151300834</v>
      </c>
      <c r="BH32" s="197">
        <f t="shared" si="518"/>
        <v>0.97968619793286149</v>
      </c>
      <c r="BI32" s="197">
        <f t="shared" si="518"/>
        <v>0.98779911403810272</v>
      </c>
      <c r="BJ32" s="197">
        <f t="shared" si="518"/>
        <v>0.9880820545272373</v>
      </c>
      <c r="BK32" s="197">
        <f t="shared" si="518"/>
        <v>0.99191832148655279</v>
      </c>
      <c r="BL32" s="197">
        <f t="shared" si="518"/>
        <v>0.99514412743256631</v>
      </c>
      <c r="BM32" s="197">
        <f t="shared" si="518"/>
        <v>0.99612073162687409</v>
      </c>
      <c r="BN32" s="197">
        <f t="shared" si="518"/>
        <v>0.99656184584340191</v>
      </c>
      <c r="BO32" s="197">
        <f t="shared" ref="BO32:DX32" si="519">IF(BO$28=BO$4,1,IF(ISNUMBER(COMBIN(BO$4-BO8,BO28)),1-COMBIN(BO$4-BO8,BO28)/COMBIN(BO4,BO28),BN32))</f>
        <v>0.99941567065073045</v>
      </c>
      <c r="BP32" s="197">
        <f t="shared" si="519"/>
        <v>0.9998120681180791</v>
      </c>
      <c r="BQ32" s="197">
        <f t="shared" si="519"/>
        <v>0.99984779070720453</v>
      </c>
      <c r="BR32" s="197">
        <f t="shared" si="519"/>
        <v>0.99999951949781751</v>
      </c>
      <c r="BS32" s="197">
        <f t="shared" si="519"/>
        <v>1</v>
      </c>
      <c r="BT32" s="197">
        <f t="shared" si="519"/>
        <v>1</v>
      </c>
      <c r="BU32" s="197">
        <f t="shared" si="519"/>
        <v>1</v>
      </c>
      <c r="BV32" s="197">
        <f t="shared" si="519"/>
        <v>1</v>
      </c>
      <c r="BW32" s="197">
        <f t="shared" si="519"/>
        <v>1</v>
      </c>
      <c r="BX32" s="197">
        <f t="shared" si="519"/>
        <v>1</v>
      </c>
      <c r="BY32" s="197">
        <f t="shared" si="519"/>
        <v>1</v>
      </c>
      <c r="BZ32" s="197">
        <f t="shared" si="519"/>
        <v>1</v>
      </c>
      <c r="CA32" s="197">
        <f t="shared" si="519"/>
        <v>1</v>
      </c>
      <c r="CB32" s="197">
        <f t="shared" si="519"/>
        <v>1</v>
      </c>
      <c r="CC32" s="197">
        <f t="shared" si="519"/>
        <v>1</v>
      </c>
      <c r="CD32" s="197">
        <f t="shared" si="519"/>
        <v>1</v>
      </c>
      <c r="CE32" s="197">
        <f t="shared" si="519"/>
        <v>1</v>
      </c>
      <c r="CF32" s="197">
        <f t="shared" si="519"/>
        <v>1</v>
      </c>
      <c r="CG32" s="197">
        <f t="shared" si="519"/>
        <v>1</v>
      </c>
      <c r="CH32" s="197">
        <f t="shared" si="519"/>
        <v>1</v>
      </c>
      <c r="CI32" s="197">
        <f t="shared" si="519"/>
        <v>1</v>
      </c>
      <c r="CJ32" s="197">
        <f t="shared" si="519"/>
        <v>1</v>
      </c>
      <c r="CK32" s="197">
        <f t="shared" si="519"/>
        <v>1</v>
      </c>
      <c r="CL32" s="197">
        <f t="shared" si="519"/>
        <v>1</v>
      </c>
      <c r="CM32" s="197">
        <f t="shared" si="519"/>
        <v>1</v>
      </c>
      <c r="CN32" s="197">
        <f t="shared" si="519"/>
        <v>1</v>
      </c>
      <c r="CO32" s="197">
        <f t="shared" si="519"/>
        <v>1</v>
      </c>
      <c r="CP32" s="197">
        <f t="shared" si="519"/>
        <v>1</v>
      </c>
      <c r="CQ32" s="197">
        <f t="shared" si="519"/>
        <v>1</v>
      </c>
      <c r="CR32" s="197">
        <f t="shared" si="519"/>
        <v>1</v>
      </c>
      <c r="CS32" s="197">
        <f t="shared" si="519"/>
        <v>1</v>
      </c>
      <c r="CT32" s="197">
        <f t="shared" si="519"/>
        <v>1</v>
      </c>
      <c r="CU32" s="197">
        <f t="shared" si="519"/>
        <v>1</v>
      </c>
      <c r="CV32" s="197">
        <f t="shared" si="519"/>
        <v>1</v>
      </c>
      <c r="CW32" s="197">
        <f t="shared" si="519"/>
        <v>1</v>
      </c>
      <c r="CX32" s="197">
        <f t="shared" si="519"/>
        <v>1</v>
      </c>
      <c r="CY32" s="197">
        <f t="shared" si="519"/>
        <v>1</v>
      </c>
      <c r="CZ32" s="197">
        <f t="shared" si="519"/>
        <v>1</v>
      </c>
      <c r="DA32" s="197">
        <f t="shared" si="519"/>
        <v>1</v>
      </c>
      <c r="DB32" s="197">
        <f t="shared" si="519"/>
        <v>1</v>
      </c>
      <c r="DC32" s="197">
        <f t="shared" si="519"/>
        <v>1</v>
      </c>
      <c r="DD32" s="197">
        <f t="shared" si="519"/>
        <v>1</v>
      </c>
      <c r="DE32" s="197">
        <f t="shared" si="519"/>
        <v>1</v>
      </c>
      <c r="DF32" s="197">
        <f t="shared" si="519"/>
        <v>1</v>
      </c>
      <c r="DG32" s="197">
        <f t="shared" si="519"/>
        <v>1</v>
      </c>
      <c r="DH32" s="197">
        <f t="shared" si="519"/>
        <v>1</v>
      </c>
      <c r="DI32" s="197">
        <f t="shared" si="519"/>
        <v>1</v>
      </c>
      <c r="DJ32" s="197">
        <f t="shared" si="519"/>
        <v>1</v>
      </c>
      <c r="DK32" s="197">
        <f t="shared" si="519"/>
        <v>1</v>
      </c>
      <c r="DL32" s="197">
        <f t="shared" si="519"/>
        <v>1</v>
      </c>
      <c r="DM32" s="197">
        <f t="shared" si="519"/>
        <v>1</v>
      </c>
      <c r="DN32" s="197">
        <f t="shared" si="519"/>
        <v>1</v>
      </c>
      <c r="DO32" s="197">
        <f t="shared" si="519"/>
        <v>1</v>
      </c>
      <c r="DP32" s="197">
        <f t="shared" si="519"/>
        <v>1</v>
      </c>
      <c r="DQ32" s="197">
        <f t="shared" si="519"/>
        <v>1</v>
      </c>
      <c r="DR32" s="197">
        <f t="shared" si="519"/>
        <v>1</v>
      </c>
      <c r="DS32" s="197">
        <f t="shared" si="519"/>
        <v>1</v>
      </c>
      <c r="DT32" s="197">
        <f t="shared" si="519"/>
        <v>1</v>
      </c>
      <c r="DU32" s="197">
        <f t="shared" si="519"/>
        <v>1</v>
      </c>
      <c r="DV32" s="197">
        <f t="shared" si="519"/>
        <v>1</v>
      </c>
      <c r="DW32" s="197">
        <f t="shared" si="519"/>
        <v>1</v>
      </c>
      <c r="DX32" s="197">
        <f t="shared" si="519"/>
        <v>1</v>
      </c>
    </row>
    <row r="33" spans="1:128" s="199" customFormat="1" hidden="1">
      <c r="A33" s="196" t="s">
        <v>6347</v>
      </c>
      <c r="B33" s="199">
        <f t="shared" ref="B33:L33" si="520">B9</f>
        <v>0.5</v>
      </c>
      <c r="C33" s="199">
        <f t="shared" si="520"/>
        <v>0.25</v>
      </c>
      <c r="D33" s="199">
        <f t="shared" si="520"/>
        <v>0.125</v>
      </c>
      <c r="E33" s="199">
        <f t="shared" si="520"/>
        <v>5.5555555555555552E-2</v>
      </c>
      <c r="F33" s="199">
        <f t="shared" si="520"/>
        <v>2.564102564102564E-2</v>
      </c>
      <c r="G33" s="199">
        <f t="shared" si="520"/>
        <v>1.1627906976744186E-2</v>
      </c>
      <c r="H33" s="199">
        <f t="shared" si="520"/>
        <v>1.0582010582010581E-2</v>
      </c>
      <c r="I33" s="199">
        <f t="shared" si="520"/>
        <v>1.2012012012012012E-2</v>
      </c>
      <c r="J33" s="199">
        <f t="shared" si="520"/>
        <v>1.0914051841746248E-2</v>
      </c>
      <c r="K33" s="199">
        <f t="shared" si="520"/>
        <v>1.0539367637941723E-2</v>
      </c>
      <c r="L33" s="199">
        <f t="shared" si="520"/>
        <v>1.0143702451394759E-2</v>
      </c>
      <c r="M33" s="199">
        <f t="shared" ref="M33:BX33" si="521">M9</f>
        <v>1.00269690892746E-2</v>
      </c>
      <c r="N33" s="199">
        <f t="shared" si="521"/>
        <v>1.0035335689045936E-2</v>
      </c>
      <c r="O33" s="199">
        <f t="shared" si="521"/>
        <v>1.0136380390711389E-2</v>
      </c>
      <c r="P33" s="199">
        <f t="shared" si="521"/>
        <v>1.008729388942774E-2</v>
      </c>
      <c r="Q33" s="199">
        <f t="shared" si="521"/>
        <v>1.0038382049010924E-2</v>
      </c>
      <c r="R33" s="199">
        <f t="shared" si="521"/>
        <v>1.0247933884297521E-2</v>
      </c>
      <c r="S33" s="199">
        <f t="shared" si="521"/>
        <v>1.0069444444444445E-2</v>
      </c>
      <c r="T33" s="199">
        <f t="shared" si="521"/>
        <v>1.020408163265306E-2</v>
      </c>
      <c r="U33" s="199">
        <f t="shared" si="521"/>
        <v>1.0267693436010267E-2</v>
      </c>
      <c r="V33" s="199">
        <f t="shared" si="521"/>
        <v>1.0317157050057318E-2</v>
      </c>
      <c r="W33" s="199">
        <f t="shared" si="521"/>
        <v>1.0279605263157895E-2</v>
      </c>
      <c r="X33" s="199">
        <f t="shared" si="521"/>
        <v>1.015228426395939E-2</v>
      </c>
      <c r="Y33" s="199">
        <f t="shared" si="521"/>
        <v>1.02843315184513E-2</v>
      </c>
      <c r="Z33" s="199">
        <f t="shared" si="521"/>
        <v>1.0572139303482588E-2</v>
      </c>
      <c r="AA33" s="199">
        <f t="shared" si="521"/>
        <v>1.021059349074665E-2</v>
      </c>
      <c r="AB33" s="199">
        <f t="shared" si="521"/>
        <v>0.01</v>
      </c>
      <c r="AC33" s="199">
        <f t="shared" si="521"/>
        <v>1.04675505931612E-2</v>
      </c>
      <c r="AD33" s="199">
        <f t="shared" si="521"/>
        <v>1.0256410256410256E-2</v>
      </c>
      <c r="AE33" s="199">
        <f t="shared" si="521"/>
        <v>1.0719754977029096E-2</v>
      </c>
      <c r="AF33" s="199">
        <f t="shared" si="521"/>
        <v>1.0260457774269928E-2</v>
      </c>
      <c r="AG33" s="199">
        <f t="shared" si="521"/>
        <v>1.0534846029173419E-2</v>
      </c>
      <c r="AH33" s="199">
        <f t="shared" si="521"/>
        <v>1.0889292196007259E-2</v>
      </c>
      <c r="AI33" s="199">
        <f t="shared" si="521"/>
        <v>1.0679611650485437E-2</v>
      </c>
      <c r="AJ33" s="199">
        <f t="shared" si="521"/>
        <v>1.0816125860373648E-2</v>
      </c>
      <c r="AK33" s="199">
        <f t="shared" si="521"/>
        <v>1.0245901639344262E-2</v>
      </c>
      <c r="AL33" s="199">
        <f t="shared" si="521"/>
        <v>1.1025358324145534E-2</v>
      </c>
      <c r="AM33" s="199">
        <f t="shared" si="521"/>
        <v>1.0025062656641603E-2</v>
      </c>
      <c r="AN33" s="199">
        <f t="shared" si="521"/>
        <v>1.0025062656641603E-2</v>
      </c>
      <c r="AO33" s="199">
        <f t="shared" si="521"/>
        <v>1.0512483574244415E-2</v>
      </c>
      <c r="AP33" s="199">
        <f t="shared" si="521"/>
        <v>1.1034482758620689E-2</v>
      </c>
      <c r="AQ33" s="199">
        <f t="shared" si="521"/>
        <v>1.0043041606886656E-2</v>
      </c>
      <c r="AR33" s="199">
        <f t="shared" si="521"/>
        <v>1.0324483775811209E-2</v>
      </c>
      <c r="AS33" s="199">
        <f t="shared" si="521"/>
        <v>1.0542168674698794E-2</v>
      </c>
      <c r="AT33" s="199">
        <f t="shared" si="521"/>
        <v>1.1217948717948718E-2</v>
      </c>
      <c r="AU33" s="199">
        <f t="shared" si="521"/>
        <v>1.0849909584086799E-2</v>
      </c>
      <c r="AV33" s="199">
        <f t="shared" si="521"/>
        <v>1.107011070110701E-2</v>
      </c>
      <c r="AW33" s="199">
        <f t="shared" si="521"/>
        <v>1.1111111111111112E-2</v>
      </c>
      <c r="AX33" s="199">
        <f t="shared" si="521"/>
        <v>1.1385199240986717E-2</v>
      </c>
      <c r="AY33" s="199">
        <f t="shared" si="521"/>
        <v>1.1952191235059761E-2</v>
      </c>
      <c r="AZ33" s="199">
        <f t="shared" si="521"/>
        <v>1.0080645161290322E-2</v>
      </c>
      <c r="BA33" s="199">
        <f t="shared" si="521"/>
        <v>1.020408163265306E-2</v>
      </c>
      <c r="BB33" s="199">
        <f t="shared" si="521"/>
        <v>1.0526315789473684E-2</v>
      </c>
      <c r="BC33" s="199">
        <f t="shared" si="521"/>
        <v>1.1261261261261261E-2</v>
      </c>
      <c r="BD33" s="199">
        <f t="shared" si="521"/>
        <v>1.015228426395939E-2</v>
      </c>
      <c r="BE33" s="199">
        <f t="shared" si="521"/>
        <v>1.0362694300518135E-2</v>
      </c>
      <c r="BF33" s="199">
        <f t="shared" si="521"/>
        <v>1.0554089709762533E-2</v>
      </c>
      <c r="BG33" s="199">
        <f t="shared" si="521"/>
        <v>1.0752688172043012E-2</v>
      </c>
      <c r="BH33" s="199">
        <f t="shared" si="521"/>
        <v>1.078167115902965E-2</v>
      </c>
      <c r="BI33" s="199">
        <f t="shared" si="521"/>
        <v>1.1560693641618497E-2</v>
      </c>
      <c r="BJ33" s="199">
        <f t="shared" si="521"/>
        <v>1.1594202898550725E-2</v>
      </c>
      <c r="BK33" s="199">
        <f t="shared" si="521"/>
        <v>1.2121212121212121E-2</v>
      </c>
      <c r="BL33" s="199">
        <f t="shared" si="521"/>
        <v>1.2738853503184714E-2</v>
      </c>
      <c r="BM33" s="199">
        <f t="shared" si="521"/>
        <v>1.2987012987012988E-2</v>
      </c>
      <c r="BN33" s="199">
        <f t="shared" si="521"/>
        <v>1.3114754098360656E-2</v>
      </c>
      <c r="BO33" s="199">
        <f t="shared" si="521"/>
        <v>1.1904761904761904E-2</v>
      </c>
      <c r="BP33" s="199">
        <f t="shared" si="521"/>
        <v>1.2244897959183673E-2</v>
      </c>
      <c r="BQ33" s="199">
        <f t="shared" si="521"/>
        <v>1.2295081967213115E-2</v>
      </c>
      <c r="BR33" s="199">
        <f t="shared" si="521"/>
        <v>1.2875536480686695E-2</v>
      </c>
      <c r="BS33" s="199">
        <f t="shared" si="521"/>
        <v>1.3333333333333334E-2</v>
      </c>
      <c r="BT33" s="199">
        <f t="shared" si="521"/>
        <v>1.3698630136986301E-2</v>
      </c>
      <c r="BU33" s="199">
        <f t="shared" si="521"/>
        <v>1.3888888888888888E-2</v>
      </c>
      <c r="BV33" s="199">
        <f t="shared" si="521"/>
        <v>1.0256410256410256E-2</v>
      </c>
      <c r="BW33" s="199">
        <f t="shared" si="521"/>
        <v>1.0471204188481676E-2</v>
      </c>
      <c r="BX33" s="199">
        <f t="shared" si="521"/>
        <v>1.1049723756906077E-2</v>
      </c>
      <c r="BY33" s="199">
        <f t="shared" ref="BY33:DX33" si="522">BY9</f>
        <v>1.2500000000000001E-2</v>
      </c>
      <c r="BZ33" s="199">
        <f t="shared" si="522"/>
        <v>1.2658227848101266E-2</v>
      </c>
      <c r="CA33" s="199">
        <f t="shared" si="522"/>
        <v>1.2987012987012988E-2</v>
      </c>
      <c r="CB33" s="199">
        <f t="shared" si="522"/>
        <v>1.3245033112582781E-2</v>
      </c>
      <c r="CC33" s="199">
        <f t="shared" si="522"/>
        <v>1.3513513513513514E-2</v>
      </c>
      <c r="CD33" s="199">
        <f t="shared" si="522"/>
        <v>1.3605442176870748E-2</v>
      </c>
      <c r="CE33" s="199">
        <f t="shared" si="522"/>
        <v>1.3888888888888888E-2</v>
      </c>
      <c r="CF33" s="199">
        <f t="shared" si="522"/>
        <v>1.9047619047619049E-2</v>
      </c>
      <c r="CG33" s="199">
        <f t="shared" si="522"/>
        <v>1.9417475728155338E-2</v>
      </c>
      <c r="CH33" s="199">
        <f t="shared" si="522"/>
        <v>1.9801980198019802E-2</v>
      </c>
      <c r="CI33" s="199">
        <f t="shared" si="522"/>
        <v>1.020408163265306E-2</v>
      </c>
      <c r="CJ33" s="199">
        <f t="shared" si="522"/>
        <v>1.0309278350515464E-2</v>
      </c>
      <c r="CK33" s="199">
        <f t="shared" si="522"/>
        <v>1.0309278350515464E-2</v>
      </c>
      <c r="CL33" s="199">
        <f t="shared" si="522"/>
        <v>1.0416666666666666E-2</v>
      </c>
      <c r="CM33" s="199">
        <f t="shared" si="522"/>
        <v>1.0869565217391304E-2</v>
      </c>
      <c r="CN33" s="199">
        <f t="shared" si="522"/>
        <v>1.1764705882352941E-2</v>
      </c>
      <c r="CO33" s="199">
        <f t="shared" si="522"/>
        <v>1.2500000000000001E-2</v>
      </c>
      <c r="CP33" s="199">
        <f t="shared" si="522"/>
        <v>1.2658227848101266E-2</v>
      </c>
      <c r="CQ33" s="199">
        <f t="shared" si="522"/>
        <v>1.3333333333333334E-2</v>
      </c>
      <c r="CR33" s="199">
        <f t="shared" si="522"/>
        <v>1.3888888888888888E-2</v>
      </c>
      <c r="CS33" s="199">
        <f t="shared" si="522"/>
        <v>1.4084507042253521E-2</v>
      </c>
      <c r="CT33" s="199">
        <f t="shared" si="522"/>
        <v>1.5625E-2</v>
      </c>
      <c r="CU33" s="199">
        <f t="shared" si="522"/>
        <v>1.6393442622950821E-2</v>
      </c>
      <c r="CV33" s="199">
        <f t="shared" si="522"/>
        <v>1.6666666666666666E-2</v>
      </c>
      <c r="CW33" s="199">
        <f t="shared" si="522"/>
        <v>1.7241379310344827E-2</v>
      </c>
      <c r="CX33" s="199">
        <f t="shared" si="522"/>
        <v>1.7857142857142856E-2</v>
      </c>
      <c r="CY33" s="199">
        <f t="shared" si="522"/>
        <v>1.9230769230769232E-2</v>
      </c>
      <c r="CZ33" s="199">
        <f t="shared" si="522"/>
        <v>1.9607843137254902E-2</v>
      </c>
      <c r="DA33" s="199">
        <f t="shared" si="522"/>
        <v>2.5000000000000001E-2</v>
      </c>
      <c r="DB33" s="199">
        <f t="shared" si="522"/>
        <v>2.564102564102564E-2</v>
      </c>
      <c r="DC33" s="199">
        <f t="shared" si="522"/>
        <v>2.6315789473684209E-2</v>
      </c>
      <c r="DD33" s="199">
        <f t="shared" si="522"/>
        <v>2.6315789473684209E-2</v>
      </c>
      <c r="DE33" s="199">
        <f t="shared" si="522"/>
        <v>2.8571428571428571E-2</v>
      </c>
      <c r="DF33" s="199">
        <f t="shared" si="522"/>
        <v>3.125E-2</v>
      </c>
      <c r="DG33" s="199">
        <f t="shared" si="522"/>
        <v>3.7037037037037035E-2</v>
      </c>
      <c r="DH33" s="199">
        <f t="shared" si="522"/>
        <v>3.7037037037037035E-2</v>
      </c>
      <c r="DI33" s="199">
        <f t="shared" si="522"/>
        <v>3.8461538461538464E-2</v>
      </c>
      <c r="DJ33" s="199">
        <f t="shared" si="522"/>
        <v>4.1666666666666664E-2</v>
      </c>
      <c r="DK33" s="199">
        <f t="shared" si="522"/>
        <v>4.1666666666666664E-2</v>
      </c>
      <c r="DL33" s="199">
        <f t="shared" si="522"/>
        <v>4.3478260869565216E-2</v>
      </c>
      <c r="DM33" s="199">
        <f t="shared" si="522"/>
        <v>4.3478260869565216E-2</v>
      </c>
      <c r="DN33" s="199">
        <f t="shared" si="522"/>
        <v>4.3478260869565216E-2</v>
      </c>
      <c r="DO33" s="199">
        <f t="shared" si="522"/>
        <v>4.7619047619047616E-2</v>
      </c>
      <c r="DP33" s="199">
        <f t="shared" si="522"/>
        <v>6.25E-2</v>
      </c>
      <c r="DQ33" s="199">
        <f t="shared" si="522"/>
        <v>6.25E-2</v>
      </c>
      <c r="DR33" s="199">
        <f t="shared" si="522"/>
        <v>6.6666666666666666E-2</v>
      </c>
      <c r="DS33" s="199">
        <f t="shared" si="522"/>
        <v>7.1428571428571425E-2</v>
      </c>
      <c r="DT33" s="199">
        <f t="shared" si="522"/>
        <v>0.1</v>
      </c>
      <c r="DU33" s="199">
        <f t="shared" si="522"/>
        <v>0.14285714285714285</v>
      </c>
      <c r="DV33" s="199">
        <f t="shared" si="522"/>
        <v>0.2</v>
      </c>
      <c r="DW33" s="199">
        <f t="shared" si="522"/>
        <v>0.5</v>
      </c>
      <c r="DX33" s="199">
        <f t="shared" si="522"/>
        <v>0.5</v>
      </c>
    </row>
    <row r="34" spans="1:128" s="199" customFormat="1" hidden="1">
      <c r="A34" s="196" t="s">
        <v>6348</v>
      </c>
      <c r="B34" s="199">
        <f t="shared" ref="B34:L34" si="523">B5*B2/(B3*B8)</f>
        <v>1.6666666666666666E-2</v>
      </c>
      <c r="C34" s="199">
        <f t="shared" si="523"/>
        <v>3.6666666666666667E-2</v>
      </c>
      <c r="D34" s="199">
        <f t="shared" si="523"/>
        <v>8.0666666666666664E-2</v>
      </c>
      <c r="E34" s="199">
        <f t="shared" si="523"/>
        <v>0.17746666666666666</v>
      </c>
      <c r="F34" s="199">
        <f t="shared" si="523"/>
        <v>0.3904266666666667</v>
      </c>
      <c r="G34" s="199">
        <f t="shared" si="523"/>
        <v>0.85893866666666685</v>
      </c>
      <c r="H34" s="199">
        <f t="shared" si="523"/>
        <v>0.94483253333333361</v>
      </c>
      <c r="I34" s="199">
        <f t="shared" si="523"/>
        <v>0.83333333333333337</v>
      </c>
      <c r="J34" s="199">
        <f t="shared" si="523"/>
        <v>0.91666666666666685</v>
      </c>
      <c r="K34" s="199">
        <f t="shared" si="523"/>
        <v>0.94901960784313744</v>
      </c>
      <c r="L34" s="199">
        <f t="shared" si="523"/>
        <v>0.98592592592592609</v>
      </c>
      <c r="M34" s="199">
        <f t="shared" ref="M34:BX34" si="524">M5*M2/(M3*M8)</f>
        <v>0.99728528735632194</v>
      </c>
      <c r="N34" s="199">
        <f t="shared" si="524"/>
        <v>0.99646431924882628</v>
      </c>
      <c r="O34" s="199">
        <f t="shared" si="524"/>
        <v>0.98651696969696978</v>
      </c>
      <c r="P34" s="199">
        <f t="shared" si="524"/>
        <v>0.99139102564102566</v>
      </c>
      <c r="Q34" s="199">
        <f t="shared" si="524"/>
        <v>0.99610490196078438</v>
      </c>
      <c r="R34" s="199">
        <f t="shared" si="524"/>
        <v>0.97591612903225811</v>
      </c>
      <c r="S34" s="199">
        <f t="shared" si="524"/>
        <v>0.99306206896551719</v>
      </c>
      <c r="T34" s="199">
        <f t="shared" si="524"/>
        <v>0.98004137931034485</v>
      </c>
      <c r="U34" s="199">
        <f t="shared" si="524"/>
        <v>0.97383452380952384</v>
      </c>
      <c r="V34" s="199">
        <f t="shared" si="524"/>
        <v>0.96940123456790128</v>
      </c>
      <c r="W34" s="199">
        <f t="shared" si="524"/>
        <v>0.97275866666666677</v>
      </c>
      <c r="X34" s="199">
        <f t="shared" si="524"/>
        <v>0.98523833333333333</v>
      </c>
      <c r="Y34" s="199">
        <f t="shared" si="524"/>
        <v>0.97213921568627448</v>
      </c>
      <c r="Z34" s="199">
        <f t="shared" si="524"/>
        <v>0.94563137254901963</v>
      </c>
      <c r="AA34" s="199">
        <f t="shared" si="524"/>
        <v>0.97910000000000008</v>
      </c>
      <c r="AB34" s="199">
        <f t="shared" si="524"/>
        <v>0.99970222222222216</v>
      </c>
      <c r="AC34" s="199">
        <f t="shared" si="524"/>
        <v>0.95538222222222224</v>
      </c>
      <c r="AD34" s="199">
        <f t="shared" si="524"/>
        <v>0.97464523809523818</v>
      </c>
      <c r="AE34" s="199">
        <f t="shared" si="524"/>
        <v>0.93317857142857141</v>
      </c>
      <c r="AF34" s="199">
        <f t="shared" si="524"/>
        <v>0.97455641025641027</v>
      </c>
      <c r="AG34" s="199">
        <f t="shared" si="524"/>
        <v>0.94889230769230781</v>
      </c>
      <c r="AH34" s="199">
        <f t="shared" si="524"/>
        <v>0.91809444444444444</v>
      </c>
      <c r="AI34" s="199">
        <f t="shared" si="524"/>
        <v>0.93679696969696979</v>
      </c>
      <c r="AJ34" s="199">
        <f t="shared" si="524"/>
        <v>0.92480000000000007</v>
      </c>
      <c r="AK34" s="199">
        <f t="shared" si="524"/>
        <v>0.97605999999999993</v>
      </c>
      <c r="AL34" s="199">
        <f t="shared" si="524"/>
        <v>0.90748000000000006</v>
      </c>
      <c r="AM34" s="199">
        <f t="shared" si="524"/>
        <v>0.99748333333333339</v>
      </c>
      <c r="AN34" s="199">
        <f t="shared" si="524"/>
        <v>0.9971458333333334</v>
      </c>
      <c r="AO34" s="199">
        <f t="shared" si="524"/>
        <v>0.95121249999999991</v>
      </c>
      <c r="AP34" s="199">
        <f t="shared" si="524"/>
        <v>0.90632083333333335</v>
      </c>
      <c r="AQ34" s="199">
        <f t="shared" si="524"/>
        <v>0.99524761904761905</v>
      </c>
      <c r="AR34" s="199">
        <f t="shared" si="524"/>
        <v>0.96907619047619042</v>
      </c>
      <c r="AS34" s="199">
        <f t="shared" si="524"/>
        <v>0.94818095238095246</v>
      </c>
      <c r="AT34" s="199">
        <f t="shared" si="524"/>
        <v>0.89146666666666663</v>
      </c>
      <c r="AU34" s="199">
        <f t="shared" si="524"/>
        <v>0.92208888888888885</v>
      </c>
      <c r="AV34" s="199">
        <f t="shared" si="524"/>
        <v>0.90341666666666676</v>
      </c>
      <c r="AW34" s="199">
        <f t="shared" si="524"/>
        <v>0.90064444444444447</v>
      </c>
      <c r="AX34" s="199">
        <f t="shared" si="524"/>
        <v>0.87834999999999996</v>
      </c>
      <c r="AY34" s="199">
        <f t="shared" si="524"/>
        <v>0.83601111111111104</v>
      </c>
      <c r="AZ34" s="199">
        <f t="shared" si="524"/>
        <v>0.99117999999999995</v>
      </c>
      <c r="BA34" s="199">
        <f t="shared" si="524"/>
        <v>0.97904666666666662</v>
      </c>
      <c r="BB34" s="199">
        <f t="shared" si="524"/>
        <v>0.95069333333333328</v>
      </c>
      <c r="BC34" s="199">
        <f t="shared" si="524"/>
        <v>0.88849333333333336</v>
      </c>
      <c r="BD34" s="199">
        <f t="shared" si="524"/>
        <v>0.98444166666666666</v>
      </c>
      <c r="BE34" s="199">
        <f t="shared" si="524"/>
        <v>0.96602500000000002</v>
      </c>
      <c r="BF34" s="199">
        <f t="shared" si="524"/>
        <v>0.94721666666666671</v>
      </c>
      <c r="BG34" s="199">
        <f t="shared" si="524"/>
        <v>0.92981666666666662</v>
      </c>
      <c r="BH34" s="199">
        <f t="shared" si="524"/>
        <v>0.92699166666666677</v>
      </c>
      <c r="BI34" s="199">
        <f t="shared" si="524"/>
        <v>0.86583333333333334</v>
      </c>
      <c r="BJ34" s="199">
        <f t="shared" si="524"/>
        <v>0.86362499999999998</v>
      </c>
      <c r="BK34" s="199">
        <f t="shared" si="524"/>
        <v>0.82533333333333336</v>
      </c>
      <c r="BL34" s="199">
        <f t="shared" si="524"/>
        <v>0.78403333333333336</v>
      </c>
      <c r="BM34" s="199">
        <f t="shared" si="524"/>
        <v>0.7702</v>
      </c>
      <c r="BN34" s="199">
        <f t="shared" si="524"/>
        <v>0.76335833333333336</v>
      </c>
      <c r="BO34" s="199">
        <f t="shared" si="524"/>
        <v>0.84120000000000006</v>
      </c>
      <c r="BP34" s="199">
        <f t="shared" si="524"/>
        <v>0.81783333333333341</v>
      </c>
      <c r="BQ34" s="199">
        <f t="shared" si="524"/>
        <v>0.81410000000000005</v>
      </c>
      <c r="BR34" s="199">
        <f t="shared" si="524"/>
        <v>0.77702222222222228</v>
      </c>
      <c r="BS34" s="199">
        <f t="shared" si="524"/>
        <v>0.75043333333333329</v>
      </c>
      <c r="BT34" s="199">
        <f t="shared" si="524"/>
        <v>0.73111111111111116</v>
      </c>
      <c r="BU34" s="199">
        <f t="shared" si="524"/>
        <v>0.72064444444444453</v>
      </c>
      <c r="BV34" s="199">
        <f t="shared" si="524"/>
        <v>0.97270000000000001</v>
      </c>
      <c r="BW34" s="199">
        <f t="shared" si="524"/>
        <v>0.95609999999999995</v>
      </c>
      <c r="BX34" s="199">
        <f t="shared" si="524"/>
        <v>0.9065333333333333</v>
      </c>
      <c r="BY34" s="199">
        <f t="shared" ref="BY34:DX34" si="525">BY5*BY2/(BY3*BY8)</f>
        <v>0.79948333333333332</v>
      </c>
      <c r="BZ34" s="199">
        <f t="shared" si="525"/>
        <v>0.78856666666666664</v>
      </c>
      <c r="CA34" s="199">
        <f t="shared" si="525"/>
        <v>0.77124999999999999</v>
      </c>
      <c r="CB34" s="199">
        <f t="shared" si="525"/>
        <v>0.75441666666666674</v>
      </c>
      <c r="CC34" s="199">
        <f t="shared" si="525"/>
        <v>0.74070000000000003</v>
      </c>
      <c r="CD34" s="199">
        <f t="shared" si="525"/>
        <v>0.73558333333333337</v>
      </c>
      <c r="CE34" s="199">
        <f t="shared" si="525"/>
        <v>0.72106666666666663</v>
      </c>
      <c r="CF34" s="199">
        <f t="shared" si="525"/>
        <v>0.52288333333333337</v>
      </c>
      <c r="CG34" s="199">
        <f t="shared" si="525"/>
        <v>0.5138166666666667</v>
      </c>
      <c r="CH34" s="199">
        <f t="shared" si="525"/>
        <v>0.50334999999999996</v>
      </c>
      <c r="CI34" s="199">
        <f t="shared" si="525"/>
        <v>0.98423333333333329</v>
      </c>
      <c r="CJ34" s="199">
        <f t="shared" si="525"/>
        <v>0.97356666666666669</v>
      </c>
      <c r="CK34" s="199">
        <f t="shared" si="525"/>
        <v>0.96926666666666672</v>
      </c>
      <c r="CL34" s="199">
        <f t="shared" si="525"/>
        <v>0.96040000000000003</v>
      </c>
      <c r="CM34" s="199">
        <f t="shared" si="525"/>
        <v>0.91746666666666665</v>
      </c>
      <c r="CN34" s="199">
        <f t="shared" si="525"/>
        <v>0.85309999999999997</v>
      </c>
      <c r="CO34" s="199">
        <f t="shared" si="525"/>
        <v>0.79616666666666669</v>
      </c>
      <c r="CP34" s="199">
        <f t="shared" si="525"/>
        <v>0.79320000000000002</v>
      </c>
      <c r="CQ34" s="199">
        <f t="shared" si="525"/>
        <v>0.754</v>
      </c>
      <c r="CR34" s="199">
        <f t="shared" si="525"/>
        <v>0.71620000000000006</v>
      </c>
      <c r="CS34" s="199">
        <f t="shared" si="525"/>
        <v>0.70826666666666671</v>
      </c>
      <c r="CT34" s="199">
        <f t="shared" si="525"/>
        <v>0.63630000000000009</v>
      </c>
      <c r="CU34" s="199">
        <f t="shared" si="525"/>
        <v>0.60949999999999993</v>
      </c>
      <c r="CV34" s="199">
        <f t="shared" si="525"/>
        <v>0.59673333333333334</v>
      </c>
      <c r="CW34" s="199">
        <f t="shared" si="525"/>
        <v>0.57820000000000005</v>
      </c>
      <c r="CX34" s="199">
        <f t="shared" si="525"/>
        <v>0.55530000000000002</v>
      </c>
      <c r="CY34" s="199">
        <f t="shared" si="525"/>
        <v>0.52343333333333331</v>
      </c>
      <c r="CZ34" s="199">
        <f t="shared" si="525"/>
        <v>0.51213333333333333</v>
      </c>
      <c r="DA34" s="199">
        <f t="shared" si="525"/>
        <v>0.40406666666666669</v>
      </c>
      <c r="DB34" s="199">
        <f t="shared" si="525"/>
        <v>0.38746666666666668</v>
      </c>
      <c r="DC34" s="199">
        <f t="shared" si="525"/>
        <v>0.3818333333333333</v>
      </c>
      <c r="DD34" s="199">
        <f t="shared" si="525"/>
        <v>0.38073333333333331</v>
      </c>
      <c r="DE34" s="199">
        <f t="shared" si="525"/>
        <v>0.34700000000000003</v>
      </c>
      <c r="DF34" s="199">
        <f t="shared" si="525"/>
        <v>0.32080000000000003</v>
      </c>
      <c r="DG34" s="199">
        <f t="shared" si="525"/>
        <v>0.27393333333333336</v>
      </c>
      <c r="DH34" s="199">
        <f t="shared" si="525"/>
        <v>0.26796666666666669</v>
      </c>
      <c r="DI34" s="199">
        <f t="shared" si="525"/>
        <v>0.25873333333333337</v>
      </c>
      <c r="DJ34" s="199">
        <f t="shared" si="525"/>
        <v>0.24180000000000001</v>
      </c>
      <c r="DK34" s="199">
        <f t="shared" si="525"/>
        <v>0.24046666666666666</v>
      </c>
      <c r="DL34" s="199">
        <f t="shared" si="525"/>
        <v>0.23286666666666667</v>
      </c>
      <c r="DM34" s="199">
        <f t="shared" si="525"/>
        <v>0.22776666666666667</v>
      </c>
      <c r="DN34" s="199">
        <f t="shared" si="525"/>
        <v>0.2276</v>
      </c>
      <c r="DO34" s="199">
        <f t="shared" si="525"/>
        <v>0.21290000000000001</v>
      </c>
      <c r="DP34" s="199">
        <f t="shared" si="525"/>
        <v>0.16276666666666667</v>
      </c>
      <c r="DQ34" s="199">
        <f t="shared" si="525"/>
        <v>0.16259999999999999</v>
      </c>
      <c r="DR34" s="199">
        <f t="shared" si="525"/>
        <v>0.14676666666666668</v>
      </c>
      <c r="DS34" s="199">
        <f t="shared" si="525"/>
        <v>0.14223333333333335</v>
      </c>
      <c r="DT34" s="199">
        <f t="shared" si="525"/>
        <v>0.10073333333333333</v>
      </c>
      <c r="DU34" s="199">
        <f t="shared" si="525"/>
        <v>6.5466666666666673E-2</v>
      </c>
      <c r="DV34" s="199">
        <f t="shared" si="525"/>
        <v>4.6300000000000001E-2</v>
      </c>
      <c r="DW34" s="199">
        <f t="shared" si="525"/>
        <v>2.4966666666666668E-2</v>
      </c>
      <c r="DX34" s="199">
        <f t="shared" si="525"/>
        <v>1.7000000000000001E-2</v>
      </c>
    </row>
    <row r="35" spans="1:128" s="202" customFormat="1" hidden="1">
      <c r="A35" s="200" t="s">
        <v>6349</v>
      </c>
      <c r="B35" s="199">
        <f t="shared" ref="B35:L35" si="526">(1-B34)^B29</f>
        <v>0.14473965887142531</v>
      </c>
      <c r="C35" s="201">
        <f t="shared" si="526"/>
        <v>0.11672229339555558</v>
      </c>
      <c r="D35" s="201">
        <f t="shared" si="526"/>
        <v>8.9094101972722453E-2</v>
      </c>
      <c r="E35" s="201">
        <f t="shared" si="526"/>
        <v>8.2385420998100575E-2</v>
      </c>
      <c r="F35" s="202">
        <f t="shared" si="526"/>
        <v>5.397645759106267E-2</v>
      </c>
      <c r="G35" s="203">
        <f t="shared" si="526"/>
        <v>5.3108115232186068E-3</v>
      </c>
      <c r="H35" s="203">
        <f t="shared" si="526"/>
        <v>2.9424887570962951E-2</v>
      </c>
      <c r="I35" s="203">
        <f t="shared" si="526"/>
        <v>0.16666666666666663</v>
      </c>
      <c r="J35" s="203">
        <f t="shared" si="526"/>
        <v>8.3333333333333148E-2</v>
      </c>
      <c r="K35" s="203">
        <f t="shared" si="526"/>
        <v>5.0980392156862564E-2</v>
      </c>
      <c r="L35" s="203">
        <f t="shared" si="526"/>
        <v>1.4074074074073906E-2</v>
      </c>
      <c r="M35" s="203">
        <f t="shared" ref="M35:BX35" si="527">(1-M34)^M29</f>
        <v>2.7147126436780633E-3</v>
      </c>
      <c r="N35" s="203">
        <f t="shared" si="527"/>
        <v>3.5356807511737198E-3</v>
      </c>
      <c r="O35" s="203">
        <f t="shared" si="527"/>
        <v>1.3483030303030219E-2</v>
      </c>
      <c r="P35" s="203">
        <f t="shared" si="527"/>
        <v>8.6089743589743417E-3</v>
      </c>
      <c r="Q35" s="203">
        <f t="shared" si="527"/>
        <v>3.8950980392156165E-3</v>
      </c>
      <c r="R35" s="203">
        <f t="shared" si="527"/>
        <v>2.4083870967741894E-2</v>
      </c>
      <c r="S35" s="203">
        <f t="shared" si="527"/>
        <v>6.9379310344828138E-3</v>
      </c>
      <c r="T35" s="203">
        <f t="shared" si="527"/>
        <v>1.9958620689655149E-2</v>
      </c>
      <c r="U35" s="203">
        <f t="shared" si="527"/>
        <v>2.6165476190476156E-2</v>
      </c>
      <c r="V35" s="203">
        <f t="shared" si="527"/>
        <v>3.0598765432098718E-2</v>
      </c>
      <c r="W35" s="203">
        <f t="shared" si="527"/>
        <v>2.7241333333333229E-2</v>
      </c>
      <c r="X35" s="203">
        <f t="shared" si="527"/>
        <v>1.4761666666666673E-2</v>
      </c>
      <c r="Y35" s="203">
        <f t="shared" si="527"/>
        <v>2.7860784313725517E-2</v>
      </c>
      <c r="Z35" s="203">
        <f t="shared" si="527"/>
        <v>5.4368627450980367E-2</v>
      </c>
      <c r="AA35" s="203">
        <f t="shared" si="527"/>
        <v>2.0899999999999919E-2</v>
      </c>
      <c r="AB35" s="203">
        <f t="shared" si="527"/>
        <v>2.977777777778412E-4</v>
      </c>
      <c r="AC35" s="203">
        <f t="shared" si="527"/>
        <v>4.4617777777777756E-2</v>
      </c>
      <c r="AD35" s="203">
        <f t="shared" si="527"/>
        <v>2.5354761904761824E-2</v>
      </c>
      <c r="AE35" s="203">
        <f t="shared" si="527"/>
        <v>6.6821428571428587E-2</v>
      </c>
      <c r="AF35" s="203">
        <f t="shared" si="527"/>
        <v>2.5443589743589734E-2</v>
      </c>
      <c r="AG35" s="203">
        <f t="shared" si="527"/>
        <v>5.1107692307692187E-2</v>
      </c>
      <c r="AH35" s="203">
        <f t="shared" si="527"/>
        <v>8.1905555555555565E-2</v>
      </c>
      <c r="AI35" s="203">
        <f t="shared" si="527"/>
        <v>6.3203030303030205E-2</v>
      </c>
      <c r="AJ35" s="203">
        <f t="shared" si="527"/>
        <v>7.5199999999999934E-2</v>
      </c>
      <c r="AK35" s="203">
        <f t="shared" si="527"/>
        <v>2.3940000000000072E-2</v>
      </c>
      <c r="AL35" s="203">
        <f t="shared" si="527"/>
        <v>9.2519999999999936E-2</v>
      </c>
      <c r="AM35" s="203">
        <f t="shared" si="527"/>
        <v>2.5166666666666115E-3</v>
      </c>
      <c r="AN35" s="203">
        <f t="shared" si="527"/>
        <v>2.8541666666666021E-3</v>
      </c>
      <c r="AO35" s="203">
        <f t="shared" si="527"/>
        <v>4.8787500000000095E-2</v>
      </c>
      <c r="AP35" s="203">
        <f t="shared" si="527"/>
        <v>9.3679166666666647E-2</v>
      </c>
      <c r="AQ35" s="203">
        <f t="shared" si="527"/>
        <v>4.7523809523809524E-3</v>
      </c>
      <c r="AR35" s="203">
        <f t="shared" si="527"/>
        <v>3.0923809523809576E-2</v>
      </c>
      <c r="AS35" s="203">
        <f t="shared" si="527"/>
        <v>5.1819047619047542E-2</v>
      </c>
      <c r="AT35" s="203">
        <f t="shared" si="527"/>
        <v>0.10853333333333337</v>
      </c>
      <c r="AU35" s="203">
        <f t="shared" si="527"/>
        <v>7.7911111111111153E-2</v>
      </c>
      <c r="AV35" s="203">
        <f t="shared" si="527"/>
        <v>9.6583333333333243E-2</v>
      </c>
      <c r="AW35" s="203">
        <f t="shared" si="527"/>
        <v>9.935555555555553E-2</v>
      </c>
      <c r="AX35" s="203">
        <f t="shared" si="527"/>
        <v>0.12165000000000004</v>
      </c>
      <c r="AY35" s="203">
        <f t="shared" si="527"/>
        <v>0.16398888888888896</v>
      </c>
      <c r="AZ35" s="203">
        <f t="shared" si="527"/>
        <v>8.82000000000005E-3</v>
      </c>
      <c r="BA35" s="203">
        <f t="shared" si="527"/>
        <v>2.0953333333333379E-2</v>
      </c>
      <c r="BB35" s="203">
        <f t="shared" si="527"/>
        <v>4.9306666666666721E-2</v>
      </c>
      <c r="BC35" s="203">
        <f t="shared" si="527"/>
        <v>0.11150666666666664</v>
      </c>
      <c r="BD35" s="203">
        <f t="shared" si="527"/>
        <v>1.5558333333333341E-2</v>
      </c>
      <c r="BE35" s="203">
        <f t="shared" si="527"/>
        <v>3.3974999999999977E-2</v>
      </c>
      <c r="BF35" s="203">
        <f t="shared" si="527"/>
        <v>5.2783333333333293E-2</v>
      </c>
      <c r="BG35" s="203">
        <f t="shared" si="527"/>
        <v>7.0183333333333375E-2</v>
      </c>
      <c r="BH35" s="203">
        <f t="shared" si="527"/>
        <v>7.3008333333333231E-2</v>
      </c>
      <c r="BI35" s="203">
        <f t="shared" si="527"/>
        <v>0.13416666666666666</v>
      </c>
      <c r="BJ35" s="203">
        <f t="shared" si="527"/>
        <v>0.13637500000000002</v>
      </c>
      <c r="BK35" s="203">
        <f t="shared" si="527"/>
        <v>0.17466666666666664</v>
      </c>
      <c r="BL35" s="203">
        <f t="shared" si="527"/>
        <v>0.21596666666666664</v>
      </c>
      <c r="BM35" s="203">
        <f t="shared" si="527"/>
        <v>0.2298</v>
      </c>
      <c r="BN35" s="203">
        <f t="shared" si="527"/>
        <v>0.23664166666666664</v>
      </c>
      <c r="BO35" s="203">
        <f t="shared" si="527"/>
        <v>0.15879999999999994</v>
      </c>
      <c r="BP35" s="203">
        <f t="shared" si="527"/>
        <v>0.18216666666666659</v>
      </c>
      <c r="BQ35" s="203">
        <f t="shared" si="527"/>
        <v>0.18589999999999995</v>
      </c>
      <c r="BR35" s="203">
        <f t="shared" si="527"/>
        <v>0.22297777777777772</v>
      </c>
      <c r="BS35" s="203">
        <f t="shared" si="527"/>
        <v>0.24198626957905889</v>
      </c>
      <c r="BT35" s="203">
        <f t="shared" si="527"/>
        <v>0.25172205285079935</v>
      </c>
      <c r="BU35" s="203">
        <f t="shared" si="527"/>
        <v>0.25719356682613659</v>
      </c>
      <c r="BV35" s="203">
        <f t="shared" si="527"/>
        <v>1.4304539831810211E-2</v>
      </c>
      <c r="BW35" s="203">
        <f t="shared" si="527"/>
        <v>2.3188433555814007E-2</v>
      </c>
      <c r="BX35" s="203">
        <f t="shared" si="527"/>
        <v>4.9203361146187605E-2</v>
      </c>
      <c r="BY35" s="203">
        <f t="shared" ref="BY35:DX35" si="528">(1-BY34)^BY29</f>
        <v>9.9275323249299982E-2</v>
      </c>
      <c r="BZ35" s="203">
        <f t="shared" si="528"/>
        <v>0.10414958973489714</v>
      </c>
      <c r="CA35" s="203">
        <f t="shared" si="528"/>
        <v>0.11045913728516542</v>
      </c>
      <c r="CB35" s="203">
        <f t="shared" si="528"/>
        <v>0.11780504021982986</v>
      </c>
      <c r="CC35" s="203">
        <f t="shared" si="528"/>
        <v>0.1227488479310364</v>
      </c>
      <c r="CD35" s="203">
        <f t="shared" si="528"/>
        <v>0.12476654911425356</v>
      </c>
      <c r="CE35" s="203">
        <f t="shared" si="528"/>
        <v>0.13011906787803865</v>
      </c>
      <c r="CF35" s="203">
        <f t="shared" si="528"/>
        <v>0.19771281109686084</v>
      </c>
      <c r="CG35" s="203">
        <f t="shared" si="528"/>
        <v>0.1998119731784328</v>
      </c>
      <c r="CH35" s="203">
        <f t="shared" si="528"/>
        <v>0.20315973384886912</v>
      </c>
      <c r="CI35" s="203">
        <f t="shared" si="528"/>
        <v>5.8912283253479226E-5</v>
      </c>
      <c r="CJ35" s="203">
        <f t="shared" si="528"/>
        <v>1.8143069659022789E-4</v>
      </c>
      <c r="CK35" s="203">
        <f t="shared" si="528"/>
        <v>2.5937005097654008E-4</v>
      </c>
      <c r="CL35" s="203">
        <f t="shared" si="528"/>
        <v>4.3682892008954752E-4</v>
      </c>
      <c r="CM35" s="203">
        <f t="shared" si="528"/>
        <v>1.9569217674919553E-3</v>
      </c>
      <c r="CN35" s="203">
        <f t="shared" si="528"/>
        <v>5.5726141945007229E-3</v>
      </c>
      <c r="CO35" s="203">
        <f t="shared" si="528"/>
        <v>1.0331567539890767E-2</v>
      </c>
      <c r="CP35" s="203">
        <f t="shared" si="528"/>
        <v>1.0169486503248178E-2</v>
      </c>
      <c r="CQ35" s="203">
        <f t="shared" si="528"/>
        <v>1.3558167504982475E-2</v>
      </c>
      <c r="CR35" s="203">
        <f t="shared" si="528"/>
        <v>1.7892806760194446E-2</v>
      </c>
      <c r="CS35" s="203">
        <f t="shared" si="528"/>
        <v>1.8486565426110459E-2</v>
      </c>
      <c r="CT35" s="203">
        <f t="shared" si="528"/>
        <v>2.6388897009443826E-2</v>
      </c>
      <c r="CU35" s="203">
        <f t="shared" si="528"/>
        <v>2.8854295288342827E-2</v>
      </c>
      <c r="CV35" s="203">
        <f t="shared" si="528"/>
        <v>3.0768329246710878E-2</v>
      </c>
      <c r="CW35" s="203">
        <f t="shared" si="528"/>
        <v>3.2610214921341585E-2</v>
      </c>
      <c r="CX35" s="203">
        <f t="shared" si="528"/>
        <v>3.5855965764360412E-2</v>
      </c>
      <c r="CY35" s="203">
        <f t="shared" si="528"/>
        <v>3.7697816779357428E-2</v>
      </c>
      <c r="CZ35" s="203">
        <f t="shared" si="528"/>
        <v>3.9291561292207518E-2</v>
      </c>
      <c r="DA35" s="203">
        <f t="shared" si="528"/>
        <v>5.0978452719525467E-2</v>
      </c>
      <c r="DB35" s="203">
        <f t="shared" si="528"/>
        <v>5.5540682638792298E-2</v>
      </c>
      <c r="DC35" s="203">
        <f t="shared" si="528"/>
        <v>5.440503006917919E-2</v>
      </c>
      <c r="DD35" s="203">
        <f t="shared" si="528"/>
        <v>5.4993633861145169E-2</v>
      </c>
      <c r="DE35" s="203">
        <f t="shared" si="528"/>
        <v>6.0773631926712979E-2</v>
      </c>
      <c r="DF35" s="203">
        <f t="shared" si="528"/>
        <v>6.2013080452911991E-2</v>
      </c>
      <c r="DG35" s="203">
        <f t="shared" si="528"/>
        <v>6.5422288537146461E-2</v>
      </c>
      <c r="DH35" s="203">
        <f t="shared" si="528"/>
        <v>7.0146111071820616E-2</v>
      </c>
      <c r="DI35" s="203">
        <f t="shared" si="528"/>
        <v>7.0757775025704697E-2</v>
      </c>
      <c r="DJ35" s="203">
        <f t="shared" si="528"/>
        <v>7.045760759679838E-2</v>
      </c>
      <c r="DK35" s="203">
        <f t="shared" si="528"/>
        <v>7.1654015599914009E-2</v>
      </c>
      <c r="DL35" s="203">
        <f t="shared" si="528"/>
        <v>7.0584369610797906E-2</v>
      </c>
      <c r="DM35" s="203">
        <f t="shared" si="528"/>
        <v>7.5419810953497674E-2</v>
      </c>
      <c r="DN35" s="203">
        <f t="shared" si="528"/>
        <v>7.5582743360647728E-2</v>
      </c>
      <c r="DO35" s="203">
        <f t="shared" si="528"/>
        <v>7.265742343285865E-2</v>
      </c>
      <c r="DP35" s="203">
        <f t="shared" si="528"/>
        <v>7.7789072577133786E-2</v>
      </c>
      <c r="DQ35" s="203">
        <f t="shared" si="528"/>
        <v>7.8011970970849137E-2</v>
      </c>
      <c r="DR35" s="203">
        <f t="shared" si="528"/>
        <v>8.77081216826745E-2</v>
      </c>
      <c r="DS35" s="203">
        <f t="shared" si="528"/>
        <v>8.0417500886127716E-2</v>
      </c>
      <c r="DT35" s="203">
        <f t="shared" si="528"/>
        <v>8.6983203678115045E-2</v>
      </c>
      <c r="DU35" s="203">
        <f t="shared" si="528"/>
        <v>0.10810083059449965</v>
      </c>
      <c r="DV35" s="203">
        <f t="shared" si="528"/>
        <v>0.11296450436559961</v>
      </c>
      <c r="DW35" s="203">
        <f t="shared" si="528"/>
        <v>5.4605735199298462E-2</v>
      </c>
      <c r="DX35" s="203">
        <f t="shared" si="528"/>
        <v>0.13920490898293805</v>
      </c>
    </row>
    <row r="36" spans="1:128" s="55" customFormat="1" ht="27.6" hidden="1">
      <c r="A36" s="190" t="s">
        <v>6350</v>
      </c>
      <c r="B36" s="199">
        <f>(1-B33)+B33*B35</f>
        <v>0.57236982943571268</v>
      </c>
      <c r="C36" s="199">
        <f t="shared" ref="C36:L36" si="529">(1-C33)+C33*C35</f>
        <v>0.77918057334888891</v>
      </c>
      <c r="D36" s="199">
        <f t="shared" si="529"/>
        <v>0.88613676274659026</v>
      </c>
      <c r="E36" s="199">
        <f t="shared" si="529"/>
        <v>0.94902141227767223</v>
      </c>
      <c r="F36" s="199">
        <f t="shared" si="529"/>
        <v>0.97574298609207855</v>
      </c>
      <c r="G36" s="199">
        <f t="shared" si="529"/>
        <v>0.98843384664561884</v>
      </c>
      <c r="H36" s="199">
        <f t="shared" si="529"/>
        <v>0.98972936388963983</v>
      </c>
      <c r="I36" s="199">
        <f t="shared" si="529"/>
        <v>0.98998998998998999</v>
      </c>
      <c r="J36" s="199">
        <f t="shared" si="529"/>
        <v>0.98999545247839926</v>
      </c>
      <c r="K36" s="199">
        <f t="shared" si="529"/>
        <v>0.9899979334573259</v>
      </c>
      <c r="L36" s="199">
        <f t="shared" si="529"/>
        <v>0.98999906076829158</v>
      </c>
      <c r="M36" s="199">
        <f t="shared" ref="M36:BX36" si="530">(1-M33)+M33*M35</f>
        <v>0.99000025125048985</v>
      </c>
      <c r="N36" s="199">
        <f t="shared" si="530"/>
        <v>0.99000014605418141</v>
      </c>
      <c r="O36" s="199">
        <f t="shared" si="530"/>
        <v>0.99000028873325963</v>
      </c>
      <c r="P36" s="199">
        <f t="shared" si="530"/>
        <v>0.98999954736501772</v>
      </c>
      <c r="Q36" s="199">
        <f t="shared" si="530"/>
        <v>0.99000071843322501</v>
      </c>
      <c r="R36" s="199">
        <f t="shared" si="530"/>
        <v>0.98999887603305781</v>
      </c>
      <c r="S36" s="199">
        <f t="shared" si="530"/>
        <v>0.99000041666666661</v>
      </c>
      <c r="T36" s="199">
        <f t="shared" si="530"/>
        <v>0.98999957776213932</v>
      </c>
      <c r="U36" s="199">
        <f t="shared" si="530"/>
        <v>0.9900009656521207</v>
      </c>
      <c r="V36" s="199">
        <f t="shared" si="530"/>
        <v>0.9899985352184435</v>
      </c>
      <c r="W36" s="199">
        <f t="shared" si="530"/>
        <v>0.99000042489035089</v>
      </c>
      <c r="X36" s="199">
        <f t="shared" si="530"/>
        <v>0.98999758037225039</v>
      </c>
      <c r="Y36" s="199">
        <f t="shared" si="530"/>
        <v>0.99000219802379508</v>
      </c>
      <c r="Z36" s="199">
        <f t="shared" si="530"/>
        <v>0.99000265339966831</v>
      </c>
      <c r="AA36" s="199">
        <f t="shared" si="530"/>
        <v>0.99000280791321005</v>
      </c>
      <c r="AB36" s="199">
        <f t="shared" si="530"/>
        <v>0.99000297777777779</v>
      </c>
      <c r="AC36" s="199">
        <f t="shared" si="530"/>
        <v>0.98999948825308215</v>
      </c>
      <c r="AD36" s="199">
        <f t="shared" si="530"/>
        <v>0.9900036385836386</v>
      </c>
      <c r="AE36" s="199">
        <f t="shared" si="530"/>
        <v>0.98999655436447165</v>
      </c>
      <c r="AF36" s="199">
        <f t="shared" si="530"/>
        <v>0.99000060510391996</v>
      </c>
      <c r="AG36" s="199">
        <f t="shared" si="530"/>
        <v>0.99000356564019443</v>
      </c>
      <c r="AH36" s="199">
        <f t="shared" si="530"/>
        <v>0.99000260133091356</v>
      </c>
      <c r="AI36" s="199">
        <f t="shared" si="530"/>
        <v>0.9899953721682847</v>
      </c>
      <c r="AJ36" s="199">
        <f t="shared" si="530"/>
        <v>0.98999724680432644</v>
      </c>
      <c r="AK36" s="199">
        <f t="shared" si="530"/>
        <v>0.9899993852459017</v>
      </c>
      <c r="AL36" s="199">
        <f t="shared" si="530"/>
        <v>0.98999470782800436</v>
      </c>
      <c r="AM36" s="199">
        <f t="shared" si="530"/>
        <v>0.99000016708437766</v>
      </c>
      <c r="AN36" s="199">
        <f t="shared" si="530"/>
        <v>0.99000355054302425</v>
      </c>
      <c r="AO36" s="199">
        <f t="shared" si="530"/>
        <v>0.99000039421813402</v>
      </c>
      <c r="AP36" s="199">
        <f t="shared" si="530"/>
        <v>0.98999921839080451</v>
      </c>
      <c r="AQ36" s="199">
        <f t="shared" si="530"/>
        <v>0.99000468675274989</v>
      </c>
      <c r="AR36" s="199">
        <f t="shared" si="530"/>
        <v>0.98999478859390366</v>
      </c>
      <c r="AS36" s="199">
        <f t="shared" si="530"/>
        <v>0.99000411646586339</v>
      </c>
      <c r="AT36" s="199">
        <f t="shared" si="530"/>
        <v>0.98999957264957272</v>
      </c>
      <c r="AU36" s="199">
        <f t="shared" si="530"/>
        <v>0.98999541892706444</v>
      </c>
      <c r="AV36" s="199">
        <f t="shared" si="530"/>
        <v>0.98999907749077498</v>
      </c>
      <c r="AW36" s="199">
        <f t="shared" si="530"/>
        <v>0.98999283950617289</v>
      </c>
      <c r="AX36" s="199">
        <f t="shared" si="530"/>
        <v>0.98999981024667938</v>
      </c>
      <c r="AY36" s="199">
        <f t="shared" si="530"/>
        <v>0.99000783532536518</v>
      </c>
      <c r="AZ36" s="199">
        <f t="shared" si="530"/>
        <v>0.99000826612903225</v>
      </c>
      <c r="BA36" s="199">
        <f t="shared" si="530"/>
        <v>0.99000972789115649</v>
      </c>
      <c r="BB36" s="199">
        <f t="shared" si="530"/>
        <v>0.98999270175438592</v>
      </c>
      <c r="BC36" s="199">
        <f t="shared" si="530"/>
        <v>0.9899944444444444</v>
      </c>
      <c r="BD36" s="199">
        <f t="shared" si="530"/>
        <v>0.99000566835871406</v>
      </c>
      <c r="BE36" s="199">
        <f t="shared" si="530"/>
        <v>0.98998937823834188</v>
      </c>
      <c r="BF36" s="199">
        <f t="shared" si="530"/>
        <v>0.99000299032541772</v>
      </c>
      <c r="BG36" s="199">
        <f t="shared" si="530"/>
        <v>0.99000197132616485</v>
      </c>
      <c r="BH36" s="199">
        <f t="shared" si="530"/>
        <v>0.99000548068283922</v>
      </c>
      <c r="BI36" s="199">
        <f t="shared" si="530"/>
        <v>0.989990366088632</v>
      </c>
      <c r="BJ36" s="199">
        <f t="shared" si="530"/>
        <v>0.98998695652173907</v>
      </c>
      <c r="BK36" s="199">
        <f t="shared" si="530"/>
        <v>0.98999595959595965</v>
      </c>
      <c r="BL36" s="199">
        <f t="shared" si="530"/>
        <v>0.99001231422505309</v>
      </c>
      <c r="BM36" s="199">
        <f t="shared" si="530"/>
        <v>0.98999740259740254</v>
      </c>
      <c r="BN36" s="199">
        <f t="shared" si="530"/>
        <v>0.989988743169399</v>
      </c>
      <c r="BO36" s="199">
        <f t="shared" si="530"/>
        <v>0.98998571428571436</v>
      </c>
      <c r="BP36" s="199">
        <f t="shared" si="530"/>
        <v>0.98998571428571425</v>
      </c>
      <c r="BQ36" s="199">
        <f t="shared" si="530"/>
        <v>0.98999057377049182</v>
      </c>
      <c r="BR36" s="199">
        <f t="shared" si="530"/>
        <v>0.9899954220314735</v>
      </c>
      <c r="BS36" s="199">
        <f t="shared" si="530"/>
        <v>0.98989315026105418</v>
      </c>
      <c r="BT36" s="199">
        <f t="shared" si="530"/>
        <v>0.98974961716233967</v>
      </c>
      <c r="BU36" s="199">
        <f t="shared" si="530"/>
        <v>0.98968324398369634</v>
      </c>
      <c r="BV36" s="199">
        <f t="shared" si="530"/>
        <v>0.98989030297263403</v>
      </c>
      <c r="BW36" s="199">
        <f t="shared" si="530"/>
        <v>0.98977160663409225</v>
      </c>
      <c r="BX36" s="199">
        <f t="shared" si="530"/>
        <v>0.98949395979167065</v>
      </c>
      <c r="BY36" s="199">
        <f t="shared" ref="BY36:DX36" si="531">(1-BY33)+BY33*BY35</f>
        <v>0.98874094154061631</v>
      </c>
      <c r="BZ36" s="199">
        <f t="shared" si="531"/>
        <v>0.98866012138904935</v>
      </c>
      <c r="CA36" s="199">
        <f t="shared" si="531"/>
        <v>0.98844752126344371</v>
      </c>
      <c r="CB36" s="199">
        <f t="shared" si="531"/>
        <v>0.98831529854595801</v>
      </c>
      <c r="CC36" s="199">
        <f t="shared" si="531"/>
        <v>0.98814525470177084</v>
      </c>
      <c r="CD36" s="199">
        <f t="shared" si="531"/>
        <v>0.98809206189271093</v>
      </c>
      <c r="CE36" s="199">
        <f t="shared" si="531"/>
        <v>0.98791832038719507</v>
      </c>
      <c r="CF36" s="199">
        <f t="shared" si="531"/>
        <v>0.98471833925898777</v>
      </c>
      <c r="CG36" s="199">
        <f t="shared" si="531"/>
        <v>0.98446236841123169</v>
      </c>
      <c r="CH36" s="199">
        <f t="shared" si="531"/>
        <v>0.98422098482869047</v>
      </c>
      <c r="CI36" s="199">
        <f t="shared" si="531"/>
        <v>0.98979651951309444</v>
      </c>
      <c r="CJ36" s="199">
        <f t="shared" si="531"/>
        <v>0.98969259206903704</v>
      </c>
      <c r="CK36" s="199">
        <f t="shared" si="531"/>
        <v>0.98969339556753588</v>
      </c>
      <c r="CL36" s="199">
        <f t="shared" si="531"/>
        <v>0.98958788363458428</v>
      </c>
      <c r="CM36" s="199">
        <f t="shared" si="531"/>
        <v>0.98915170567138577</v>
      </c>
      <c r="CN36" s="199">
        <f t="shared" si="531"/>
        <v>0.98830085428464121</v>
      </c>
      <c r="CO36" s="199">
        <f t="shared" si="531"/>
        <v>0.98762914459424866</v>
      </c>
      <c r="CP36" s="199">
        <f t="shared" si="531"/>
        <v>0.98747049982915513</v>
      </c>
      <c r="CQ36" s="199">
        <f t="shared" si="531"/>
        <v>0.98684744223339982</v>
      </c>
      <c r="CR36" s="199">
        <f t="shared" si="531"/>
        <v>0.98635962231611385</v>
      </c>
      <c r="CS36" s="199">
        <f t="shared" si="531"/>
        <v>0.98617586711867766</v>
      </c>
      <c r="CT36" s="199">
        <f t="shared" si="531"/>
        <v>0.98478732651577261</v>
      </c>
      <c r="CU36" s="199">
        <f t="shared" si="531"/>
        <v>0.98407957861128426</v>
      </c>
      <c r="CV36" s="199">
        <f t="shared" si="531"/>
        <v>0.98384613882077843</v>
      </c>
      <c r="CW36" s="199">
        <f t="shared" si="531"/>
        <v>0.98332086577450584</v>
      </c>
      <c r="CX36" s="199">
        <f t="shared" si="531"/>
        <v>0.98278314224579211</v>
      </c>
      <c r="CY36" s="199">
        <f t="shared" si="531"/>
        <v>0.98149418878421835</v>
      </c>
      <c r="CZ36" s="199">
        <f t="shared" si="531"/>
        <v>0.98116257963318054</v>
      </c>
      <c r="DA36" s="199">
        <f t="shared" si="531"/>
        <v>0.97627446131798812</v>
      </c>
      <c r="DB36" s="199">
        <f t="shared" si="531"/>
        <v>0.97578309442663569</v>
      </c>
      <c r="DC36" s="199">
        <f t="shared" si="531"/>
        <v>0.97511592184392581</v>
      </c>
      <c r="DD36" s="199">
        <f t="shared" si="531"/>
        <v>0.97513141141739856</v>
      </c>
      <c r="DE36" s="199">
        <f t="shared" si="531"/>
        <v>0.97316496091219173</v>
      </c>
      <c r="DF36" s="199">
        <f t="shared" si="531"/>
        <v>0.97068790876415345</v>
      </c>
      <c r="DG36" s="199">
        <f t="shared" si="531"/>
        <v>0.96538601068656105</v>
      </c>
      <c r="DH36" s="199">
        <f t="shared" si="531"/>
        <v>0.96556096707673411</v>
      </c>
      <c r="DI36" s="199">
        <f t="shared" si="531"/>
        <v>0.96425991442406556</v>
      </c>
      <c r="DJ36" s="199">
        <f t="shared" si="531"/>
        <v>0.96126906698319992</v>
      </c>
      <c r="DK36" s="199">
        <f t="shared" si="531"/>
        <v>0.96131891731666308</v>
      </c>
      <c r="DL36" s="199">
        <f t="shared" si="531"/>
        <v>0.95959062476568691</v>
      </c>
      <c r="DM36" s="199">
        <f t="shared" si="531"/>
        <v>0.95980086134580422</v>
      </c>
      <c r="DN36" s="199">
        <f t="shared" si="531"/>
        <v>0.95980794536350644</v>
      </c>
      <c r="DO36" s="199">
        <f t="shared" si="531"/>
        <v>0.9558408296872789</v>
      </c>
      <c r="DP36" s="199">
        <f t="shared" si="531"/>
        <v>0.94236181703607091</v>
      </c>
      <c r="DQ36" s="199">
        <f t="shared" si="531"/>
        <v>0.94237574818567804</v>
      </c>
      <c r="DR36" s="199">
        <f t="shared" si="531"/>
        <v>0.93918054144551166</v>
      </c>
      <c r="DS36" s="199">
        <f t="shared" si="531"/>
        <v>0.93431553577758053</v>
      </c>
      <c r="DT36" s="199">
        <f t="shared" si="531"/>
        <v>0.90869832036781151</v>
      </c>
      <c r="DU36" s="199">
        <f t="shared" si="531"/>
        <v>0.87258583294207148</v>
      </c>
      <c r="DV36" s="199">
        <f t="shared" si="531"/>
        <v>0.82259290087311998</v>
      </c>
      <c r="DW36" s="199">
        <f t="shared" si="531"/>
        <v>0.52730286759964928</v>
      </c>
      <c r="DX36" s="199">
        <f t="shared" si="531"/>
        <v>0.56960245449146907</v>
      </c>
    </row>
    <row r="37" spans="1:128" s="55" customFormat="1" ht="27.6" hidden="1">
      <c r="A37" s="190" t="s">
        <v>6351</v>
      </c>
      <c r="B37" s="204">
        <f t="shared" ref="B37:AG37" si="532">B32*(1-B35)</f>
        <v>0.85526034112857463</v>
      </c>
      <c r="C37" s="204">
        <f t="shared" si="532"/>
        <v>0.88327770660444438</v>
      </c>
      <c r="D37" s="204">
        <f t="shared" si="532"/>
        <v>0.91090589802727751</v>
      </c>
      <c r="E37" s="204">
        <f t="shared" si="532"/>
        <v>0.91761457900189947</v>
      </c>
      <c r="F37" s="204">
        <f t="shared" si="532"/>
        <v>0.94602354240893738</v>
      </c>
      <c r="G37" s="204">
        <f t="shared" si="532"/>
        <v>0.99468918847678134</v>
      </c>
      <c r="H37" s="204">
        <f t="shared" si="532"/>
        <v>0.97057511242903705</v>
      </c>
      <c r="I37" s="204">
        <f t="shared" si="532"/>
        <v>0.82601093630103928</v>
      </c>
      <c r="J37" s="204">
        <f t="shared" si="532"/>
        <v>0.87237993883936549</v>
      </c>
      <c r="K37" s="204">
        <f t="shared" si="532"/>
        <v>0.88057598942985782</v>
      </c>
      <c r="L37" s="204">
        <f t="shared" si="532"/>
        <v>0.91482061124101899</v>
      </c>
      <c r="M37" s="204">
        <f t="shared" si="532"/>
        <v>0.92536073164337374</v>
      </c>
      <c r="N37" s="204">
        <f t="shared" si="532"/>
        <v>0.92459897203632901</v>
      </c>
      <c r="O37" s="204">
        <f t="shared" si="532"/>
        <v>0.9153690287333256</v>
      </c>
      <c r="P37" s="204">
        <f t="shared" si="532"/>
        <v>0.91989156609715095</v>
      </c>
      <c r="Q37" s="204">
        <f t="shared" si="532"/>
        <v>0.92426547604591947</v>
      </c>
      <c r="R37" s="204">
        <f t="shared" si="532"/>
        <v>0.90553272431983478</v>
      </c>
      <c r="S37" s="204">
        <f t="shared" si="532"/>
        <v>0.92144209320605708</v>
      </c>
      <c r="T37" s="204">
        <f t="shared" si="532"/>
        <v>0.90936046013819993</v>
      </c>
      <c r="U37" s="204">
        <f t="shared" si="532"/>
        <v>0.90360124517708296</v>
      </c>
      <c r="V37" s="204">
        <f t="shared" si="532"/>
        <v>0.89948768627049414</v>
      </c>
      <c r="W37" s="204">
        <f t="shared" si="532"/>
        <v>0.90260297921900678</v>
      </c>
      <c r="X37" s="204">
        <f t="shared" si="532"/>
        <v>0.90402528911339597</v>
      </c>
      <c r="Y37" s="204">
        <f t="shared" si="532"/>
        <v>0.89701912686231422</v>
      </c>
      <c r="Z37" s="204">
        <f t="shared" si="532"/>
        <v>0.8780356503026594</v>
      </c>
      <c r="AA37" s="204">
        <f t="shared" si="532"/>
        <v>0.90288103631633765</v>
      </c>
      <c r="AB37" s="204">
        <f t="shared" si="532"/>
        <v>0.91841674483783942</v>
      </c>
      <c r="AC37" s="204">
        <f t="shared" si="532"/>
        <v>0.88709501340966446</v>
      </c>
      <c r="AD37" s="204">
        <f t="shared" si="532"/>
        <v>0.90203105914374437</v>
      </c>
      <c r="AE37" s="204">
        <f t="shared" si="532"/>
        <v>0.87213866025051223</v>
      </c>
      <c r="AF37" s="204">
        <f t="shared" si="532"/>
        <v>0.90345778891638384</v>
      </c>
      <c r="AG37" s="204">
        <f t="shared" si="532"/>
        <v>0.88487141547545833</v>
      </c>
      <c r="AH37" s="204">
        <f t="shared" ref="AH37:BM37" si="533">AH32*(1-AH35)</f>
        <v>0.86364530740626622</v>
      </c>
      <c r="AI37" s="204">
        <f t="shared" si="533"/>
        <v>0.87955608797167217</v>
      </c>
      <c r="AJ37" s="204">
        <f t="shared" si="533"/>
        <v>0.87055986899547422</v>
      </c>
      <c r="AK37" s="204">
        <f t="shared" si="533"/>
        <v>0.91057430850247667</v>
      </c>
      <c r="AL37" s="204">
        <f t="shared" si="533"/>
        <v>0.85958720029427405</v>
      </c>
      <c r="AM37" s="204">
        <f t="shared" si="533"/>
        <v>0.93270170901320226</v>
      </c>
      <c r="AN37" s="204">
        <f t="shared" si="533"/>
        <v>0.93238612797412868</v>
      </c>
      <c r="AO37" s="204">
        <f t="shared" si="533"/>
        <v>0.89861328282250374</v>
      </c>
      <c r="AP37" s="204">
        <f t="shared" si="533"/>
        <v>0.86429084950733526</v>
      </c>
      <c r="AQ37" s="204">
        <f t="shared" si="533"/>
        <v>0.93581496827892008</v>
      </c>
      <c r="AR37" s="204">
        <f t="shared" si="533"/>
        <v>0.9166275505488729</v>
      </c>
      <c r="AS37" s="204">
        <f t="shared" si="533"/>
        <v>0.90066897714826577</v>
      </c>
      <c r="AT37" s="204">
        <f t="shared" si="533"/>
        <v>0.85649815045914768</v>
      </c>
      <c r="AU37" s="204">
        <f t="shared" si="533"/>
        <v>0.88618242839674277</v>
      </c>
      <c r="AV37" s="204">
        <f t="shared" si="533"/>
        <v>0.87121512171143123</v>
      </c>
      <c r="AW37" s="204">
        <f t="shared" si="533"/>
        <v>0.86907068851844083</v>
      </c>
      <c r="AX37" s="204">
        <f t="shared" si="533"/>
        <v>0.85082822483819964</v>
      </c>
      <c r="AY37" s="204">
        <f t="shared" si="533"/>
        <v>0.81538987857922895</v>
      </c>
      <c r="AZ37" s="204">
        <f t="shared" si="533"/>
        <v>0.94797687505233585</v>
      </c>
      <c r="BA37" s="204">
        <f t="shared" si="533"/>
        <v>0.93860963127400476</v>
      </c>
      <c r="BB37" s="204">
        <f t="shared" si="533"/>
        <v>0.91667296247935881</v>
      </c>
      <c r="BC37" s="204">
        <f t="shared" si="533"/>
        <v>0.86594134025330816</v>
      </c>
      <c r="BD37" s="204">
        <f t="shared" si="533"/>
        <v>0.95552083794633058</v>
      </c>
      <c r="BE37" s="204">
        <f t="shared" si="533"/>
        <v>0.94084366321793111</v>
      </c>
      <c r="BF37" s="204">
        <f t="shared" si="533"/>
        <v>0.92514133178941504</v>
      </c>
      <c r="BG37" s="204">
        <f t="shared" si="533"/>
        <v>0.91059005831537043</v>
      </c>
      <c r="BH37" s="204">
        <f t="shared" si="533"/>
        <v>0.90816094143211323</v>
      </c>
      <c r="BI37" s="204">
        <f t="shared" si="533"/>
        <v>0.85526939957132397</v>
      </c>
      <c r="BJ37" s="204">
        <f t="shared" si="533"/>
        <v>0.85333236434108528</v>
      </c>
      <c r="BK37" s="204">
        <f t="shared" si="533"/>
        <v>0.8186632546669016</v>
      </c>
      <c r="BL37" s="204">
        <f t="shared" si="533"/>
        <v>0.7802261673780464</v>
      </c>
      <c r="BM37" s="204">
        <f t="shared" si="533"/>
        <v>0.76721218749901843</v>
      </c>
      <c r="BN37" s="204">
        <f t="shared" ref="BN37:CS37" si="534">BN32*(1-BN35)</f>
        <v>0.76073378970660954</v>
      </c>
      <c r="BO37" s="204">
        <f t="shared" si="534"/>
        <v>0.8407084621513945</v>
      </c>
      <c r="BP37" s="204">
        <f t="shared" si="534"/>
        <v>0.81767963637590246</v>
      </c>
      <c r="BQ37" s="204">
        <f t="shared" si="534"/>
        <v>0.81397608641473529</v>
      </c>
      <c r="BR37" s="204">
        <f t="shared" si="534"/>
        <v>0.77702184886134862</v>
      </c>
      <c r="BS37" s="204">
        <f t="shared" si="534"/>
        <v>0.75801373042094111</v>
      </c>
      <c r="BT37" s="204">
        <f t="shared" si="534"/>
        <v>0.74827794714920071</v>
      </c>
      <c r="BU37" s="204">
        <f t="shared" si="534"/>
        <v>0.74280643317386341</v>
      </c>
      <c r="BV37" s="204">
        <f t="shared" si="534"/>
        <v>0.98569546016818976</v>
      </c>
      <c r="BW37" s="204">
        <f t="shared" si="534"/>
        <v>0.97681156644418599</v>
      </c>
      <c r="BX37" s="204">
        <f t="shared" si="534"/>
        <v>0.95079663885381238</v>
      </c>
      <c r="BY37" s="204">
        <f t="shared" si="534"/>
        <v>0.9007246767507</v>
      </c>
      <c r="BZ37" s="204">
        <f t="shared" si="534"/>
        <v>0.89585041026510281</v>
      </c>
      <c r="CA37" s="204">
        <f t="shared" si="534"/>
        <v>0.88954086271483457</v>
      </c>
      <c r="CB37" s="204">
        <f t="shared" si="534"/>
        <v>0.88219495978017015</v>
      </c>
      <c r="CC37" s="204">
        <f t="shared" si="534"/>
        <v>0.87725115206896365</v>
      </c>
      <c r="CD37" s="204">
        <f t="shared" si="534"/>
        <v>0.87523345088574644</v>
      </c>
      <c r="CE37" s="204">
        <f t="shared" si="534"/>
        <v>0.86988093212196138</v>
      </c>
      <c r="CF37" s="204">
        <f t="shared" si="534"/>
        <v>0.8022871889031391</v>
      </c>
      <c r="CG37" s="204">
        <f t="shared" si="534"/>
        <v>0.8001880268215672</v>
      </c>
      <c r="CH37" s="204">
        <f t="shared" si="534"/>
        <v>0.7968402661511309</v>
      </c>
      <c r="CI37" s="204">
        <f t="shared" si="534"/>
        <v>0.9999410877167465</v>
      </c>
      <c r="CJ37" s="204">
        <f t="shared" si="534"/>
        <v>0.99981856930340973</v>
      </c>
      <c r="CK37" s="204">
        <f t="shared" si="534"/>
        <v>0.99974062994902346</v>
      </c>
      <c r="CL37" s="204">
        <f t="shared" si="534"/>
        <v>0.99956317107991044</v>
      </c>
      <c r="CM37" s="204">
        <f t="shared" si="534"/>
        <v>0.99804307823250804</v>
      </c>
      <c r="CN37" s="204">
        <f t="shared" si="534"/>
        <v>0.99442738580549928</v>
      </c>
      <c r="CO37" s="204">
        <f t="shared" si="534"/>
        <v>0.98966843246010927</v>
      </c>
      <c r="CP37" s="204">
        <f t="shared" si="534"/>
        <v>0.98983051349675177</v>
      </c>
      <c r="CQ37" s="204">
        <f t="shared" si="534"/>
        <v>0.98644183249501749</v>
      </c>
      <c r="CR37" s="204">
        <f t="shared" si="534"/>
        <v>0.98210719323980555</v>
      </c>
      <c r="CS37" s="204">
        <f t="shared" si="534"/>
        <v>0.98151343457388951</v>
      </c>
      <c r="CT37" s="204">
        <f t="shared" ref="CT37:DX37" si="535">CT32*(1-CT35)</f>
        <v>0.9736111029905562</v>
      </c>
      <c r="CU37" s="204">
        <f t="shared" si="535"/>
        <v>0.97114570471165718</v>
      </c>
      <c r="CV37" s="204">
        <f t="shared" si="535"/>
        <v>0.96923167075328909</v>
      </c>
      <c r="CW37" s="204">
        <f t="shared" si="535"/>
        <v>0.96738978507865836</v>
      </c>
      <c r="CX37" s="204">
        <f t="shared" si="535"/>
        <v>0.96414403423563955</v>
      </c>
      <c r="CY37" s="204">
        <f t="shared" si="535"/>
        <v>0.96230218322064254</v>
      </c>
      <c r="CZ37" s="204">
        <f t="shared" si="535"/>
        <v>0.96070843870779243</v>
      </c>
      <c r="DA37" s="204">
        <f t="shared" si="535"/>
        <v>0.9490215472804745</v>
      </c>
      <c r="DB37" s="204">
        <f t="shared" si="535"/>
        <v>0.9444593173612077</v>
      </c>
      <c r="DC37" s="204">
        <f t="shared" si="535"/>
        <v>0.94559496993082082</v>
      </c>
      <c r="DD37" s="204">
        <f t="shared" si="535"/>
        <v>0.9450063661388548</v>
      </c>
      <c r="DE37" s="204">
        <f t="shared" si="535"/>
        <v>0.93922636807328708</v>
      </c>
      <c r="DF37" s="204">
        <f t="shared" si="535"/>
        <v>0.93798691954708802</v>
      </c>
      <c r="DG37" s="204">
        <f t="shared" si="535"/>
        <v>0.93457771146285351</v>
      </c>
      <c r="DH37" s="204">
        <f t="shared" si="535"/>
        <v>0.92985388892817933</v>
      </c>
      <c r="DI37" s="204">
        <f t="shared" si="535"/>
        <v>0.92924222497429532</v>
      </c>
      <c r="DJ37" s="204">
        <f t="shared" si="535"/>
        <v>0.92954239240320158</v>
      </c>
      <c r="DK37" s="204">
        <f t="shared" si="535"/>
        <v>0.92834598440008598</v>
      </c>
      <c r="DL37" s="204">
        <f t="shared" si="535"/>
        <v>0.92941563038920205</v>
      </c>
      <c r="DM37" s="204">
        <f t="shared" si="535"/>
        <v>0.9245801890465023</v>
      </c>
      <c r="DN37" s="204">
        <f t="shared" si="535"/>
        <v>0.92441725663935226</v>
      </c>
      <c r="DO37" s="204">
        <f t="shared" si="535"/>
        <v>0.92734257656714136</v>
      </c>
      <c r="DP37" s="204">
        <f t="shared" si="535"/>
        <v>0.92221092742286626</v>
      </c>
      <c r="DQ37" s="204">
        <f t="shared" si="535"/>
        <v>0.92198802902915089</v>
      </c>
      <c r="DR37" s="204">
        <f t="shared" si="535"/>
        <v>0.9122918783173255</v>
      </c>
      <c r="DS37" s="204">
        <f t="shared" si="535"/>
        <v>0.91958249911387224</v>
      </c>
      <c r="DT37" s="204">
        <f t="shared" si="535"/>
        <v>0.91301679632188493</v>
      </c>
      <c r="DU37" s="204">
        <f t="shared" si="535"/>
        <v>0.89189916940550029</v>
      </c>
      <c r="DV37" s="204">
        <f t="shared" si="535"/>
        <v>0.88703549563440043</v>
      </c>
      <c r="DW37" s="204">
        <f t="shared" si="535"/>
        <v>0.94539426480070154</v>
      </c>
      <c r="DX37" s="204">
        <f t="shared" si="535"/>
        <v>0.86079509101706198</v>
      </c>
    </row>
    <row r="38" spans="1:128" s="55" customFormat="1">
      <c r="A38" s="190" t="s">
        <v>6473</v>
      </c>
      <c r="B38" s="185">
        <f t="shared" ref="B38:AG38" si="536">1-B6^B27</f>
        <v>0.90089518448112549</v>
      </c>
      <c r="C38" s="185">
        <f t="shared" si="536"/>
        <v>0.90089518448112549</v>
      </c>
      <c r="D38" s="185">
        <f t="shared" si="536"/>
        <v>0.90089518448112549</v>
      </c>
      <c r="E38" s="185">
        <f t="shared" si="536"/>
        <v>0.90089518448112549</v>
      </c>
      <c r="F38" s="185">
        <f t="shared" si="536"/>
        <v>0.90089518448112549</v>
      </c>
      <c r="G38" s="185">
        <f t="shared" si="536"/>
        <v>0.90089518448112549</v>
      </c>
      <c r="H38" s="185">
        <f t="shared" si="536"/>
        <v>0.90089518448112549</v>
      </c>
      <c r="I38" s="185">
        <f t="shared" si="536"/>
        <v>0.90089518448112549</v>
      </c>
      <c r="J38" s="185">
        <f t="shared" si="536"/>
        <v>0.90089518448112549</v>
      </c>
      <c r="K38" s="185">
        <f t="shared" si="536"/>
        <v>0.90089518448112549</v>
      </c>
      <c r="L38" s="185">
        <f t="shared" si="536"/>
        <v>0.90089518448112549</v>
      </c>
      <c r="M38" s="185">
        <f t="shared" si="536"/>
        <v>0.90089518448112549</v>
      </c>
      <c r="N38" s="185">
        <f t="shared" si="536"/>
        <v>0.90089518448112549</v>
      </c>
      <c r="O38" s="185">
        <f t="shared" si="536"/>
        <v>0.90089518448112549</v>
      </c>
      <c r="P38" s="185">
        <f t="shared" si="536"/>
        <v>0.90089518448112549</v>
      </c>
      <c r="Q38" s="185">
        <f t="shared" si="536"/>
        <v>0.90089518448112549</v>
      </c>
      <c r="R38" s="185">
        <f t="shared" si="536"/>
        <v>0.90089518448112549</v>
      </c>
      <c r="S38" s="185">
        <f t="shared" si="536"/>
        <v>0.90089518448112549</v>
      </c>
      <c r="T38" s="185">
        <f t="shared" si="536"/>
        <v>0.90089518448112549</v>
      </c>
      <c r="U38" s="185">
        <f t="shared" si="536"/>
        <v>0.90089518448112549</v>
      </c>
      <c r="V38" s="185">
        <f t="shared" si="536"/>
        <v>0.90089518448112549</v>
      </c>
      <c r="W38" s="185">
        <f t="shared" si="536"/>
        <v>0.90089518448112549</v>
      </c>
      <c r="X38" s="185">
        <f t="shared" si="536"/>
        <v>0.90089518448112549</v>
      </c>
      <c r="Y38" s="185">
        <f t="shared" si="536"/>
        <v>0.90089518448112549</v>
      </c>
      <c r="Z38" s="185">
        <f t="shared" si="536"/>
        <v>0.90089518448112549</v>
      </c>
      <c r="AA38" s="185">
        <f t="shared" si="536"/>
        <v>0.90089518448112549</v>
      </c>
      <c r="AB38" s="185">
        <f t="shared" si="536"/>
        <v>0.90089518448112549</v>
      </c>
      <c r="AC38" s="185">
        <f t="shared" si="536"/>
        <v>0.90089518448112549</v>
      </c>
      <c r="AD38" s="185">
        <f t="shared" si="536"/>
        <v>0.90089518448112549</v>
      </c>
      <c r="AE38" s="185">
        <f t="shared" si="536"/>
        <v>0.90089518448112549</v>
      </c>
      <c r="AF38" s="185">
        <f t="shared" si="536"/>
        <v>0.90089518448112549</v>
      </c>
      <c r="AG38" s="185">
        <f t="shared" si="536"/>
        <v>0.90089518448112549</v>
      </c>
      <c r="AH38" s="185">
        <f t="shared" ref="AH38:BM38" si="537">1-AH6^AH27</f>
        <v>0.90089518448112549</v>
      </c>
      <c r="AI38" s="185">
        <f t="shared" si="537"/>
        <v>0.90089518448112549</v>
      </c>
      <c r="AJ38" s="185">
        <f t="shared" si="537"/>
        <v>0.90089518448112549</v>
      </c>
      <c r="AK38" s="185">
        <f t="shared" si="537"/>
        <v>0.90089518448112549</v>
      </c>
      <c r="AL38" s="185">
        <f t="shared" si="537"/>
        <v>0.90089518448112549</v>
      </c>
      <c r="AM38" s="185">
        <f t="shared" si="537"/>
        <v>0.90089518448112549</v>
      </c>
      <c r="AN38" s="185">
        <f t="shared" si="537"/>
        <v>0.90089518448112549</v>
      </c>
      <c r="AO38" s="185">
        <f t="shared" si="537"/>
        <v>0.90089518448112549</v>
      </c>
      <c r="AP38" s="185">
        <f t="shared" si="537"/>
        <v>0.90089518448112549</v>
      </c>
      <c r="AQ38" s="185">
        <f t="shared" si="537"/>
        <v>0.90089518448112549</v>
      </c>
      <c r="AR38" s="185">
        <f t="shared" si="537"/>
        <v>0.90089518448112549</v>
      </c>
      <c r="AS38" s="185">
        <f t="shared" si="537"/>
        <v>0.90089518448112549</v>
      </c>
      <c r="AT38" s="185">
        <f t="shared" si="537"/>
        <v>0.90089518448112549</v>
      </c>
      <c r="AU38" s="185">
        <f t="shared" si="537"/>
        <v>0.90089518448112549</v>
      </c>
      <c r="AV38" s="185">
        <f t="shared" si="537"/>
        <v>0.90089518448112549</v>
      </c>
      <c r="AW38" s="185">
        <f t="shared" si="537"/>
        <v>0.90089518448112549</v>
      </c>
      <c r="AX38" s="185">
        <f t="shared" si="537"/>
        <v>0.90089518448112549</v>
      </c>
      <c r="AY38" s="185">
        <f t="shared" si="537"/>
        <v>0.90089518448112549</v>
      </c>
      <c r="AZ38" s="185">
        <f t="shared" si="537"/>
        <v>0.90089518448112549</v>
      </c>
      <c r="BA38" s="185">
        <f t="shared" si="537"/>
        <v>0.90089518448112549</v>
      </c>
      <c r="BB38" s="185">
        <f t="shared" si="537"/>
        <v>0.90089518448112549</v>
      </c>
      <c r="BC38" s="185">
        <f t="shared" si="537"/>
        <v>0.90089518448112549</v>
      </c>
      <c r="BD38" s="185">
        <f t="shared" si="537"/>
        <v>0.90089518448112549</v>
      </c>
      <c r="BE38" s="185">
        <f t="shared" si="537"/>
        <v>0.90089518448112549</v>
      </c>
      <c r="BF38" s="185">
        <f t="shared" si="537"/>
        <v>0.90089518448112549</v>
      </c>
      <c r="BG38" s="185">
        <f t="shared" si="537"/>
        <v>0.90089518448112549</v>
      </c>
      <c r="BH38" s="185">
        <f t="shared" si="537"/>
        <v>0.90089518448112549</v>
      </c>
      <c r="BI38" s="185">
        <f t="shared" si="537"/>
        <v>0.90089518448112549</v>
      </c>
      <c r="BJ38" s="185">
        <f t="shared" si="537"/>
        <v>0.90089518448112549</v>
      </c>
      <c r="BK38" s="185">
        <f t="shared" si="537"/>
        <v>0.90089518448112549</v>
      </c>
      <c r="BL38" s="185">
        <f t="shared" si="537"/>
        <v>0.90089518448112549</v>
      </c>
      <c r="BM38" s="185">
        <f t="shared" si="537"/>
        <v>0.90089518448112549</v>
      </c>
      <c r="BN38" s="185">
        <f t="shared" ref="BN38:CS38" si="538">1-BN6^BN27</f>
        <v>0.90089518448112549</v>
      </c>
      <c r="BO38" s="185">
        <f t="shared" si="538"/>
        <v>0.90089518448112549</v>
      </c>
      <c r="BP38" s="185">
        <f t="shared" si="538"/>
        <v>0.90089518448112549</v>
      </c>
      <c r="BQ38" s="185">
        <f t="shared" si="538"/>
        <v>0.90089518448112549</v>
      </c>
      <c r="BR38" s="185">
        <f t="shared" si="538"/>
        <v>0.90089518448112549</v>
      </c>
      <c r="BS38" s="185">
        <f t="shared" si="538"/>
        <v>0.90089518448112549</v>
      </c>
      <c r="BT38" s="185">
        <f t="shared" si="538"/>
        <v>0.90089518448112549</v>
      </c>
      <c r="BU38" s="185">
        <f t="shared" si="538"/>
        <v>0.90089518448112549</v>
      </c>
      <c r="BV38" s="185">
        <f t="shared" si="538"/>
        <v>0.90089518448112549</v>
      </c>
      <c r="BW38" s="185">
        <f t="shared" si="538"/>
        <v>0.90089518448112549</v>
      </c>
      <c r="BX38" s="185">
        <f t="shared" si="538"/>
        <v>0.90089518448112549</v>
      </c>
      <c r="BY38" s="185">
        <f t="shared" si="538"/>
        <v>0.90089518448112549</v>
      </c>
      <c r="BZ38" s="185">
        <f t="shared" si="538"/>
        <v>0.90089518448112549</v>
      </c>
      <c r="CA38" s="185">
        <f t="shared" si="538"/>
        <v>0.90089518448112549</v>
      </c>
      <c r="CB38" s="185">
        <f t="shared" si="538"/>
        <v>0.90089518448112549</v>
      </c>
      <c r="CC38" s="185">
        <f t="shared" si="538"/>
        <v>0.90089518448112549</v>
      </c>
      <c r="CD38" s="185">
        <f t="shared" si="538"/>
        <v>0.90089518448112549</v>
      </c>
      <c r="CE38" s="185">
        <f t="shared" si="538"/>
        <v>0.90089518448112549</v>
      </c>
      <c r="CF38" s="185">
        <f t="shared" si="538"/>
        <v>0.90089518448112549</v>
      </c>
      <c r="CG38" s="185">
        <f t="shared" si="538"/>
        <v>0.90089518448112549</v>
      </c>
      <c r="CH38" s="185">
        <f t="shared" si="538"/>
        <v>0.90089518448112549</v>
      </c>
      <c r="CI38" s="185">
        <f t="shared" si="538"/>
        <v>0.90089518448112549</v>
      </c>
      <c r="CJ38" s="185">
        <f t="shared" si="538"/>
        <v>0.90089518448112549</v>
      </c>
      <c r="CK38" s="185">
        <f t="shared" si="538"/>
        <v>0.90089518448112549</v>
      </c>
      <c r="CL38" s="185">
        <f t="shared" si="538"/>
        <v>0.90089518448112549</v>
      </c>
      <c r="CM38" s="185">
        <f t="shared" si="538"/>
        <v>0.90089518448112549</v>
      </c>
      <c r="CN38" s="185">
        <f t="shared" si="538"/>
        <v>0.90089518448112549</v>
      </c>
      <c r="CO38" s="185">
        <f t="shared" si="538"/>
        <v>0.90089518448112549</v>
      </c>
      <c r="CP38" s="185">
        <f t="shared" si="538"/>
        <v>0.90089518448112549</v>
      </c>
      <c r="CQ38" s="185">
        <f t="shared" si="538"/>
        <v>0.90089518448112549</v>
      </c>
      <c r="CR38" s="185">
        <f t="shared" si="538"/>
        <v>0.90089518448112549</v>
      </c>
      <c r="CS38" s="185">
        <f t="shared" si="538"/>
        <v>0.90089518448112549</v>
      </c>
      <c r="CT38" s="185">
        <f t="shared" ref="CT38:DX38" si="539">1-CT6^CT27</f>
        <v>0.90089518448112549</v>
      </c>
      <c r="CU38" s="185">
        <f t="shared" si="539"/>
        <v>0.90089518448112549</v>
      </c>
      <c r="CV38" s="185">
        <f t="shared" si="539"/>
        <v>0.90089518448112549</v>
      </c>
      <c r="CW38" s="185">
        <f t="shared" si="539"/>
        <v>0.90089518448112549</v>
      </c>
      <c r="CX38" s="185">
        <f t="shared" si="539"/>
        <v>0.90089518448112549</v>
      </c>
      <c r="CY38" s="185">
        <f t="shared" si="539"/>
        <v>0.90089518448112549</v>
      </c>
      <c r="CZ38" s="185">
        <f t="shared" si="539"/>
        <v>0.90089518448112549</v>
      </c>
      <c r="DA38" s="185">
        <f t="shared" si="539"/>
        <v>0.90089518448112549</v>
      </c>
      <c r="DB38" s="185">
        <f t="shared" si="539"/>
        <v>0.90089518448112549</v>
      </c>
      <c r="DC38" s="185">
        <f t="shared" si="539"/>
        <v>0.90089518448112549</v>
      </c>
      <c r="DD38" s="185">
        <f t="shared" si="539"/>
        <v>0.90089518448112549</v>
      </c>
      <c r="DE38" s="185">
        <f t="shared" si="539"/>
        <v>0.90089518448112549</v>
      </c>
      <c r="DF38" s="185">
        <f t="shared" si="539"/>
        <v>0.90089518448112549</v>
      </c>
      <c r="DG38" s="185">
        <f t="shared" si="539"/>
        <v>0.90089518448112549</v>
      </c>
      <c r="DH38" s="185">
        <f t="shared" si="539"/>
        <v>0.90089518448112549</v>
      </c>
      <c r="DI38" s="185">
        <f t="shared" si="539"/>
        <v>0.90089518448112549</v>
      </c>
      <c r="DJ38" s="185">
        <f t="shared" si="539"/>
        <v>0.90089518448112549</v>
      </c>
      <c r="DK38" s="185">
        <f t="shared" si="539"/>
        <v>0.90089518448112549</v>
      </c>
      <c r="DL38" s="185">
        <f t="shared" si="539"/>
        <v>0.90089518448112549</v>
      </c>
      <c r="DM38" s="185">
        <f t="shared" si="539"/>
        <v>0.90089518448112549</v>
      </c>
      <c r="DN38" s="185">
        <f t="shared" si="539"/>
        <v>0.90089518448112549</v>
      </c>
      <c r="DO38" s="185">
        <f t="shared" si="539"/>
        <v>0.90089518448112549</v>
      </c>
      <c r="DP38" s="185">
        <f t="shared" si="539"/>
        <v>0.90089518448112549</v>
      </c>
      <c r="DQ38" s="185">
        <f t="shared" si="539"/>
        <v>0.90089518448112549</v>
      </c>
      <c r="DR38" s="185">
        <f t="shared" si="539"/>
        <v>0.90089518448112549</v>
      </c>
      <c r="DS38" s="185">
        <f t="shared" si="539"/>
        <v>0.90089518448112549</v>
      </c>
      <c r="DT38" s="185">
        <f t="shared" si="539"/>
        <v>0.90089518448112549</v>
      </c>
      <c r="DU38" s="185">
        <f t="shared" si="539"/>
        <v>0.90089518448112549</v>
      </c>
      <c r="DV38" s="185">
        <f t="shared" si="539"/>
        <v>0.90089518448112549</v>
      </c>
      <c r="DW38" s="185">
        <f t="shared" si="539"/>
        <v>0.90089518448112549</v>
      </c>
      <c r="DX38" s="185">
        <f t="shared" si="539"/>
        <v>0.90089518448112549</v>
      </c>
    </row>
    <row r="39" spans="1:128" s="55" customFormat="1" hidden="1">
      <c r="A39" s="205" t="str">
        <f>A18</f>
        <v>IF ERRORS ARE SPREAD RANDOMLY</v>
      </c>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206"/>
      <c r="CR39" s="206"/>
      <c r="CS39" s="206"/>
      <c r="CT39" s="206"/>
      <c r="CU39" s="206"/>
      <c r="CV39" s="206"/>
      <c r="CW39" s="206"/>
      <c r="CX39" s="206"/>
      <c r="CY39" s="206"/>
      <c r="CZ39" s="206"/>
      <c r="DA39" s="206"/>
      <c r="DB39" s="206"/>
      <c r="DC39" s="206"/>
      <c r="DD39" s="206"/>
      <c r="DE39" s="206"/>
      <c r="DF39" s="206"/>
      <c r="DG39" s="206"/>
      <c r="DH39" s="206"/>
      <c r="DI39" s="206"/>
      <c r="DJ39" s="206"/>
      <c r="DK39" s="206"/>
      <c r="DL39" s="206"/>
      <c r="DM39" s="206"/>
      <c r="DN39" s="206"/>
      <c r="DO39" s="206"/>
      <c r="DP39" s="206"/>
      <c r="DQ39" s="206"/>
      <c r="DR39" s="206"/>
      <c r="DS39" s="206"/>
      <c r="DT39" s="206"/>
      <c r="DU39" s="206"/>
      <c r="DV39" s="206"/>
      <c r="DW39" s="206"/>
      <c r="DX39" s="206"/>
    </row>
    <row r="40" spans="1:128" s="206" customFormat="1" hidden="1">
      <c r="A40" s="196" t="s">
        <v>6352</v>
      </c>
      <c r="B40" s="199">
        <f t="shared" ref="B40:AG40" si="540">B5</f>
        <v>0.01</v>
      </c>
      <c r="C40" s="199">
        <f t="shared" si="540"/>
        <v>0.01</v>
      </c>
      <c r="D40" s="199">
        <f t="shared" si="540"/>
        <v>0.01</v>
      </c>
      <c r="E40" s="199">
        <f t="shared" si="540"/>
        <v>0.01</v>
      </c>
      <c r="F40" s="199">
        <f t="shared" si="540"/>
        <v>0.01</v>
      </c>
      <c r="G40" s="199">
        <f t="shared" si="540"/>
        <v>0.01</v>
      </c>
      <c r="H40" s="199">
        <f t="shared" si="540"/>
        <v>0.01</v>
      </c>
      <c r="I40" s="199">
        <f t="shared" si="540"/>
        <v>0.01</v>
      </c>
      <c r="J40" s="199">
        <f t="shared" si="540"/>
        <v>0.01</v>
      </c>
      <c r="K40" s="199">
        <f t="shared" si="540"/>
        <v>0.01</v>
      </c>
      <c r="L40" s="199">
        <f t="shared" si="540"/>
        <v>0.01</v>
      </c>
      <c r="M40" s="199">
        <f t="shared" si="540"/>
        <v>0.01</v>
      </c>
      <c r="N40" s="199">
        <f t="shared" si="540"/>
        <v>0.01</v>
      </c>
      <c r="O40" s="199">
        <f t="shared" si="540"/>
        <v>0.01</v>
      </c>
      <c r="P40" s="199">
        <f t="shared" si="540"/>
        <v>0.01</v>
      </c>
      <c r="Q40" s="199">
        <f t="shared" si="540"/>
        <v>0.01</v>
      </c>
      <c r="R40" s="199">
        <f t="shared" si="540"/>
        <v>0.01</v>
      </c>
      <c r="S40" s="199">
        <f t="shared" si="540"/>
        <v>0.01</v>
      </c>
      <c r="T40" s="199">
        <f t="shared" si="540"/>
        <v>0.01</v>
      </c>
      <c r="U40" s="199">
        <f t="shared" si="540"/>
        <v>0.01</v>
      </c>
      <c r="V40" s="199">
        <f t="shared" si="540"/>
        <v>0.01</v>
      </c>
      <c r="W40" s="199">
        <f t="shared" si="540"/>
        <v>0.01</v>
      </c>
      <c r="X40" s="199">
        <f t="shared" si="540"/>
        <v>0.01</v>
      </c>
      <c r="Y40" s="199">
        <f t="shared" si="540"/>
        <v>0.01</v>
      </c>
      <c r="Z40" s="199">
        <f t="shared" si="540"/>
        <v>0.01</v>
      </c>
      <c r="AA40" s="199">
        <f t="shared" si="540"/>
        <v>0.01</v>
      </c>
      <c r="AB40" s="199">
        <f t="shared" si="540"/>
        <v>0.01</v>
      </c>
      <c r="AC40" s="199">
        <f t="shared" si="540"/>
        <v>0.01</v>
      </c>
      <c r="AD40" s="199">
        <f t="shared" si="540"/>
        <v>0.01</v>
      </c>
      <c r="AE40" s="199">
        <f t="shared" si="540"/>
        <v>0.01</v>
      </c>
      <c r="AF40" s="199">
        <f t="shared" si="540"/>
        <v>0.01</v>
      </c>
      <c r="AG40" s="199">
        <f t="shared" si="540"/>
        <v>0.01</v>
      </c>
      <c r="AH40" s="199">
        <f t="shared" ref="AH40:BM40" si="541">AH5</f>
        <v>0.01</v>
      </c>
      <c r="AI40" s="199">
        <f t="shared" si="541"/>
        <v>0.01</v>
      </c>
      <c r="AJ40" s="199">
        <f t="shared" si="541"/>
        <v>0.01</v>
      </c>
      <c r="AK40" s="199">
        <f t="shared" si="541"/>
        <v>0.01</v>
      </c>
      <c r="AL40" s="199">
        <f t="shared" si="541"/>
        <v>0.01</v>
      </c>
      <c r="AM40" s="199">
        <f t="shared" si="541"/>
        <v>0.01</v>
      </c>
      <c r="AN40" s="199">
        <f t="shared" si="541"/>
        <v>0.01</v>
      </c>
      <c r="AO40" s="199">
        <f t="shared" si="541"/>
        <v>0.01</v>
      </c>
      <c r="AP40" s="199">
        <f t="shared" si="541"/>
        <v>0.01</v>
      </c>
      <c r="AQ40" s="199">
        <f t="shared" si="541"/>
        <v>0.01</v>
      </c>
      <c r="AR40" s="199">
        <f t="shared" si="541"/>
        <v>0.01</v>
      </c>
      <c r="AS40" s="199">
        <f t="shared" si="541"/>
        <v>0.01</v>
      </c>
      <c r="AT40" s="199">
        <f t="shared" si="541"/>
        <v>0.01</v>
      </c>
      <c r="AU40" s="199">
        <f t="shared" si="541"/>
        <v>0.01</v>
      </c>
      <c r="AV40" s="199">
        <f t="shared" si="541"/>
        <v>0.01</v>
      </c>
      <c r="AW40" s="199">
        <f t="shared" si="541"/>
        <v>0.01</v>
      </c>
      <c r="AX40" s="199">
        <f t="shared" si="541"/>
        <v>0.01</v>
      </c>
      <c r="AY40" s="199">
        <f t="shared" si="541"/>
        <v>0.01</v>
      </c>
      <c r="AZ40" s="199">
        <f t="shared" si="541"/>
        <v>0.01</v>
      </c>
      <c r="BA40" s="199">
        <f t="shared" si="541"/>
        <v>0.01</v>
      </c>
      <c r="BB40" s="199">
        <f t="shared" si="541"/>
        <v>0.01</v>
      </c>
      <c r="BC40" s="199">
        <f t="shared" si="541"/>
        <v>0.01</v>
      </c>
      <c r="BD40" s="199">
        <f t="shared" si="541"/>
        <v>0.01</v>
      </c>
      <c r="BE40" s="199">
        <f t="shared" si="541"/>
        <v>0.01</v>
      </c>
      <c r="BF40" s="199">
        <f t="shared" si="541"/>
        <v>0.01</v>
      </c>
      <c r="BG40" s="199">
        <f t="shared" si="541"/>
        <v>0.01</v>
      </c>
      <c r="BH40" s="199">
        <f t="shared" si="541"/>
        <v>0.01</v>
      </c>
      <c r="BI40" s="199">
        <f t="shared" si="541"/>
        <v>0.01</v>
      </c>
      <c r="BJ40" s="199">
        <f t="shared" si="541"/>
        <v>0.01</v>
      </c>
      <c r="BK40" s="199">
        <f t="shared" si="541"/>
        <v>0.01</v>
      </c>
      <c r="BL40" s="199">
        <f t="shared" si="541"/>
        <v>0.01</v>
      </c>
      <c r="BM40" s="199">
        <f t="shared" si="541"/>
        <v>0.01</v>
      </c>
      <c r="BN40" s="199">
        <f t="shared" ref="BN40:CS40" si="542">BN5</f>
        <v>0.01</v>
      </c>
      <c r="BO40" s="199">
        <f t="shared" si="542"/>
        <v>0.01</v>
      </c>
      <c r="BP40" s="199">
        <f t="shared" si="542"/>
        <v>0.01</v>
      </c>
      <c r="BQ40" s="199">
        <f t="shared" si="542"/>
        <v>0.01</v>
      </c>
      <c r="BR40" s="199">
        <f t="shared" si="542"/>
        <v>0.01</v>
      </c>
      <c r="BS40" s="199">
        <f t="shared" si="542"/>
        <v>0.01</v>
      </c>
      <c r="BT40" s="199">
        <f t="shared" si="542"/>
        <v>0.01</v>
      </c>
      <c r="BU40" s="199">
        <f t="shared" si="542"/>
        <v>0.01</v>
      </c>
      <c r="BV40" s="199">
        <f t="shared" si="542"/>
        <v>0.01</v>
      </c>
      <c r="BW40" s="199">
        <f t="shared" si="542"/>
        <v>0.01</v>
      </c>
      <c r="BX40" s="199">
        <f t="shared" si="542"/>
        <v>0.01</v>
      </c>
      <c r="BY40" s="199">
        <f t="shared" si="542"/>
        <v>0.01</v>
      </c>
      <c r="BZ40" s="199">
        <f t="shared" si="542"/>
        <v>0.01</v>
      </c>
      <c r="CA40" s="199">
        <f t="shared" si="542"/>
        <v>0.01</v>
      </c>
      <c r="CB40" s="199">
        <f t="shared" si="542"/>
        <v>0.01</v>
      </c>
      <c r="CC40" s="199">
        <f t="shared" si="542"/>
        <v>0.01</v>
      </c>
      <c r="CD40" s="199">
        <f t="shared" si="542"/>
        <v>0.01</v>
      </c>
      <c r="CE40" s="199">
        <f t="shared" si="542"/>
        <v>0.01</v>
      </c>
      <c r="CF40" s="199">
        <f t="shared" si="542"/>
        <v>0.01</v>
      </c>
      <c r="CG40" s="199">
        <f t="shared" si="542"/>
        <v>0.01</v>
      </c>
      <c r="CH40" s="199">
        <f t="shared" si="542"/>
        <v>0.01</v>
      </c>
      <c r="CI40" s="199">
        <f t="shared" si="542"/>
        <v>0.01</v>
      </c>
      <c r="CJ40" s="199">
        <f t="shared" si="542"/>
        <v>0.01</v>
      </c>
      <c r="CK40" s="199">
        <f t="shared" si="542"/>
        <v>0.01</v>
      </c>
      <c r="CL40" s="199">
        <f t="shared" si="542"/>
        <v>0.01</v>
      </c>
      <c r="CM40" s="199">
        <f t="shared" si="542"/>
        <v>0.01</v>
      </c>
      <c r="CN40" s="199">
        <f t="shared" si="542"/>
        <v>0.01</v>
      </c>
      <c r="CO40" s="199">
        <f t="shared" si="542"/>
        <v>0.01</v>
      </c>
      <c r="CP40" s="199">
        <f t="shared" si="542"/>
        <v>0.01</v>
      </c>
      <c r="CQ40" s="199">
        <f t="shared" si="542"/>
        <v>0.01</v>
      </c>
      <c r="CR40" s="199">
        <f t="shared" si="542"/>
        <v>0.01</v>
      </c>
      <c r="CS40" s="199">
        <f t="shared" si="542"/>
        <v>0.01</v>
      </c>
      <c r="CT40" s="199">
        <f t="shared" ref="CT40:DX40" si="543">CT5</f>
        <v>0.01</v>
      </c>
      <c r="CU40" s="199">
        <f t="shared" si="543"/>
        <v>0.01</v>
      </c>
      <c r="CV40" s="199">
        <f t="shared" si="543"/>
        <v>0.01</v>
      </c>
      <c r="CW40" s="199">
        <f t="shared" si="543"/>
        <v>0.01</v>
      </c>
      <c r="CX40" s="199">
        <f t="shared" si="543"/>
        <v>0.01</v>
      </c>
      <c r="CY40" s="199">
        <f t="shared" si="543"/>
        <v>0.01</v>
      </c>
      <c r="CZ40" s="199">
        <f t="shared" si="543"/>
        <v>0.01</v>
      </c>
      <c r="DA40" s="199">
        <f t="shared" si="543"/>
        <v>0.01</v>
      </c>
      <c r="DB40" s="199">
        <f t="shared" si="543"/>
        <v>0.01</v>
      </c>
      <c r="DC40" s="199">
        <f t="shared" si="543"/>
        <v>0.01</v>
      </c>
      <c r="DD40" s="199">
        <f t="shared" si="543"/>
        <v>0.01</v>
      </c>
      <c r="DE40" s="199">
        <f t="shared" si="543"/>
        <v>0.01</v>
      </c>
      <c r="DF40" s="199">
        <f t="shared" si="543"/>
        <v>0.01</v>
      </c>
      <c r="DG40" s="199">
        <f t="shared" si="543"/>
        <v>0.01</v>
      </c>
      <c r="DH40" s="199">
        <f t="shared" si="543"/>
        <v>0.01</v>
      </c>
      <c r="DI40" s="199">
        <f t="shared" si="543"/>
        <v>0.01</v>
      </c>
      <c r="DJ40" s="199">
        <f t="shared" si="543"/>
        <v>0.01</v>
      </c>
      <c r="DK40" s="199">
        <f t="shared" si="543"/>
        <v>0.01</v>
      </c>
      <c r="DL40" s="199">
        <f t="shared" si="543"/>
        <v>0.01</v>
      </c>
      <c r="DM40" s="199">
        <f t="shared" si="543"/>
        <v>0.01</v>
      </c>
      <c r="DN40" s="199">
        <f t="shared" si="543"/>
        <v>0.01</v>
      </c>
      <c r="DO40" s="199">
        <f t="shared" si="543"/>
        <v>0.01</v>
      </c>
      <c r="DP40" s="199">
        <f t="shared" si="543"/>
        <v>0.01</v>
      </c>
      <c r="DQ40" s="199">
        <f t="shared" si="543"/>
        <v>0.01</v>
      </c>
      <c r="DR40" s="199">
        <f t="shared" si="543"/>
        <v>0.01</v>
      </c>
      <c r="DS40" s="199">
        <f t="shared" si="543"/>
        <v>0.01</v>
      </c>
      <c r="DT40" s="199">
        <f t="shared" si="543"/>
        <v>0.01</v>
      </c>
      <c r="DU40" s="199">
        <f t="shared" si="543"/>
        <v>0.01</v>
      </c>
      <c r="DV40" s="199">
        <f t="shared" si="543"/>
        <v>0.01</v>
      </c>
      <c r="DW40" s="199">
        <f t="shared" si="543"/>
        <v>0.01</v>
      </c>
      <c r="DX40" s="199">
        <f t="shared" si="543"/>
        <v>0.01</v>
      </c>
    </row>
    <row r="41" spans="1:128" s="206" customFormat="1" hidden="1">
      <c r="A41" s="200" t="s">
        <v>6353</v>
      </c>
      <c r="B41" s="199">
        <f t="shared" ref="B41:AG41" si="544">(1-B40)^B29</f>
        <v>0.31480917318095175</v>
      </c>
      <c r="C41" s="199">
        <f t="shared" si="544"/>
        <v>0.56107858021934154</v>
      </c>
      <c r="D41" s="199">
        <f t="shared" si="544"/>
        <v>0.74905178740814815</v>
      </c>
      <c r="E41" s="199">
        <f t="shared" si="544"/>
        <v>0.87948307565977868</v>
      </c>
      <c r="F41" s="199">
        <f t="shared" si="544"/>
        <v>0.94245113096079502</v>
      </c>
      <c r="G41" s="199">
        <f t="shared" si="544"/>
        <v>0.97347921500419943</v>
      </c>
      <c r="H41" s="199">
        <f t="shared" si="544"/>
        <v>0.98784392195739179</v>
      </c>
      <c r="I41" s="199">
        <f t="shared" si="544"/>
        <v>0.99</v>
      </c>
      <c r="J41" s="199">
        <f t="shared" si="544"/>
        <v>0.99</v>
      </c>
      <c r="K41" s="199">
        <f t="shared" si="544"/>
        <v>0.99</v>
      </c>
      <c r="L41" s="199">
        <f t="shared" si="544"/>
        <v>0.99</v>
      </c>
      <c r="M41" s="199">
        <f t="shared" si="544"/>
        <v>0.99</v>
      </c>
      <c r="N41" s="199">
        <f t="shared" si="544"/>
        <v>0.99</v>
      </c>
      <c r="O41" s="199">
        <f t="shared" si="544"/>
        <v>0.99</v>
      </c>
      <c r="P41" s="199">
        <f t="shared" si="544"/>
        <v>0.99</v>
      </c>
      <c r="Q41" s="199">
        <f t="shared" si="544"/>
        <v>0.99</v>
      </c>
      <c r="R41" s="199">
        <f t="shared" si="544"/>
        <v>0.99</v>
      </c>
      <c r="S41" s="199">
        <f t="shared" si="544"/>
        <v>0.99</v>
      </c>
      <c r="T41" s="199">
        <f t="shared" si="544"/>
        <v>0.99</v>
      </c>
      <c r="U41" s="199">
        <f t="shared" si="544"/>
        <v>0.99</v>
      </c>
      <c r="V41" s="199">
        <f t="shared" si="544"/>
        <v>0.99</v>
      </c>
      <c r="W41" s="199">
        <f t="shared" si="544"/>
        <v>0.99</v>
      </c>
      <c r="X41" s="199">
        <f t="shared" si="544"/>
        <v>0.99</v>
      </c>
      <c r="Y41" s="199">
        <f t="shared" si="544"/>
        <v>0.99</v>
      </c>
      <c r="Z41" s="199">
        <f t="shared" si="544"/>
        <v>0.99</v>
      </c>
      <c r="AA41" s="199">
        <f t="shared" si="544"/>
        <v>0.99</v>
      </c>
      <c r="AB41" s="199">
        <f t="shared" si="544"/>
        <v>0.99</v>
      </c>
      <c r="AC41" s="199">
        <f t="shared" si="544"/>
        <v>0.99</v>
      </c>
      <c r="AD41" s="199">
        <f t="shared" si="544"/>
        <v>0.99</v>
      </c>
      <c r="AE41" s="199">
        <f t="shared" si="544"/>
        <v>0.99</v>
      </c>
      <c r="AF41" s="199">
        <f t="shared" si="544"/>
        <v>0.99</v>
      </c>
      <c r="AG41" s="199">
        <f t="shared" si="544"/>
        <v>0.99</v>
      </c>
      <c r="AH41" s="199">
        <f t="shared" ref="AH41:BM41" si="545">(1-AH40)^AH29</f>
        <v>0.99</v>
      </c>
      <c r="AI41" s="199">
        <f t="shared" si="545"/>
        <v>0.99</v>
      </c>
      <c r="AJ41" s="199">
        <f t="shared" si="545"/>
        <v>0.99</v>
      </c>
      <c r="AK41" s="199">
        <f t="shared" si="545"/>
        <v>0.99</v>
      </c>
      <c r="AL41" s="199">
        <f t="shared" si="545"/>
        <v>0.99</v>
      </c>
      <c r="AM41" s="199">
        <f t="shared" si="545"/>
        <v>0.99</v>
      </c>
      <c r="AN41" s="199">
        <f t="shared" si="545"/>
        <v>0.99</v>
      </c>
      <c r="AO41" s="199">
        <f t="shared" si="545"/>
        <v>0.99</v>
      </c>
      <c r="AP41" s="199">
        <f t="shared" si="545"/>
        <v>0.99</v>
      </c>
      <c r="AQ41" s="199">
        <f t="shared" si="545"/>
        <v>0.99</v>
      </c>
      <c r="AR41" s="199">
        <f t="shared" si="545"/>
        <v>0.99</v>
      </c>
      <c r="AS41" s="199">
        <f t="shared" si="545"/>
        <v>0.99</v>
      </c>
      <c r="AT41" s="199">
        <f t="shared" si="545"/>
        <v>0.99</v>
      </c>
      <c r="AU41" s="199">
        <f t="shared" si="545"/>
        <v>0.99</v>
      </c>
      <c r="AV41" s="199">
        <f t="shared" si="545"/>
        <v>0.99</v>
      </c>
      <c r="AW41" s="199">
        <f t="shared" si="545"/>
        <v>0.99</v>
      </c>
      <c r="AX41" s="199">
        <f t="shared" si="545"/>
        <v>0.99</v>
      </c>
      <c r="AY41" s="199">
        <f t="shared" si="545"/>
        <v>0.99</v>
      </c>
      <c r="AZ41" s="199">
        <f t="shared" si="545"/>
        <v>0.99</v>
      </c>
      <c r="BA41" s="199">
        <f t="shared" si="545"/>
        <v>0.99</v>
      </c>
      <c r="BB41" s="199">
        <f t="shared" si="545"/>
        <v>0.99</v>
      </c>
      <c r="BC41" s="199">
        <f t="shared" si="545"/>
        <v>0.99</v>
      </c>
      <c r="BD41" s="199">
        <f t="shared" si="545"/>
        <v>0.99</v>
      </c>
      <c r="BE41" s="199">
        <f t="shared" si="545"/>
        <v>0.99</v>
      </c>
      <c r="BF41" s="199">
        <f t="shared" si="545"/>
        <v>0.99</v>
      </c>
      <c r="BG41" s="199">
        <f t="shared" si="545"/>
        <v>0.99</v>
      </c>
      <c r="BH41" s="199">
        <f t="shared" si="545"/>
        <v>0.99</v>
      </c>
      <c r="BI41" s="199">
        <f t="shared" si="545"/>
        <v>0.99</v>
      </c>
      <c r="BJ41" s="199">
        <f t="shared" si="545"/>
        <v>0.99</v>
      </c>
      <c r="BK41" s="199">
        <f t="shared" si="545"/>
        <v>0.99</v>
      </c>
      <c r="BL41" s="199">
        <f t="shared" si="545"/>
        <v>0.99</v>
      </c>
      <c r="BM41" s="199">
        <f t="shared" si="545"/>
        <v>0.99</v>
      </c>
      <c r="BN41" s="199">
        <f t="shared" ref="BN41:CS41" si="546">(1-BN40)^BN29</f>
        <v>0.99</v>
      </c>
      <c r="BO41" s="199">
        <f t="shared" si="546"/>
        <v>0.99</v>
      </c>
      <c r="BP41" s="199">
        <f t="shared" si="546"/>
        <v>0.99</v>
      </c>
      <c r="BQ41" s="199">
        <f t="shared" si="546"/>
        <v>0.99</v>
      </c>
      <c r="BR41" s="199">
        <f t="shared" si="546"/>
        <v>0.99</v>
      </c>
      <c r="BS41" s="199">
        <f t="shared" si="546"/>
        <v>0.98977891730053502</v>
      </c>
      <c r="BT41" s="199">
        <f t="shared" si="546"/>
        <v>0.98950036284587062</v>
      </c>
      <c r="BU41" s="199">
        <f t="shared" si="546"/>
        <v>0.98935531345004191</v>
      </c>
      <c r="BV41" s="199">
        <f t="shared" si="546"/>
        <v>0.98821574242980792</v>
      </c>
      <c r="BW41" s="199">
        <f t="shared" si="546"/>
        <v>0.98797044201391515</v>
      </c>
      <c r="BX41" s="199">
        <f t="shared" si="546"/>
        <v>0.98731006000393318</v>
      </c>
      <c r="BY41" s="199">
        <f t="shared" si="546"/>
        <v>0.9856565045039607</v>
      </c>
      <c r="BZ41" s="199">
        <f t="shared" si="546"/>
        <v>0.98547626614757677</v>
      </c>
      <c r="CA41" s="199">
        <f t="shared" si="546"/>
        <v>0.98510185027702113</v>
      </c>
      <c r="CB41" s="199">
        <f t="shared" si="546"/>
        <v>0.98480812022855568</v>
      </c>
      <c r="CC41" s="199">
        <f t="shared" si="546"/>
        <v>0.98450257518484519</v>
      </c>
      <c r="CD41" s="199">
        <f t="shared" si="546"/>
        <v>0.98439797724145151</v>
      </c>
      <c r="CE41" s="199">
        <f t="shared" si="546"/>
        <v>0.98407553686840199</v>
      </c>
      <c r="CF41" s="199">
        <f t="shared" si="546"/>
        <v>0.97822554063018075</v>
      </c>
      <c r="CG41" s="199">
        <f t="shared" si="546"/>
        <v>0.9778074619142445</v>
      </c>
      <c r="CH41" s="199">
        <f t="shared" si="546"/>
        <v>0.97737301505962471</v>
      </c>
      <c r="CI41" s="199">
        <f t="shared" si="546"/>
        <v>0.97668848829801524</v>
      </c>
      <c r="CJ41" s="199">
        <f t="shared" si="546"/>
        <v>0.97645101550117142</v>
      </c>
      <c r="CK41" s="199">
        <f t="shared" si="546"/>
        <v>0.97645101550117142</v>
      </c>
      <c r="CL41" s="199">
        <f t="shared" si="546"/>
        <v>0.97620865491049691</v>
      </c>
      <c r="CM41" s="199">
        <f t="shared" si="546"/>
        <v>0.97518718710819818</v>
      </c>
      <c r="CN41" s="199">
        <f t="shared" si="546"/>
        <v>0.97317142886894736</v>
      </c>
      <c r="CO41" s="199">
        <f t="shared" si="546"/>
        <v>0.97151874487096623</v>
      </c>
      <c r="CP41" s="199">
        <f t="shared" si="546"/>
        <v>0.97116347114016954</v>
      </c>
      <c r="CQ41" s="199">
        <f t="shared" si="546"/>
        <v>0.96964909569431046</v>
      </c>
      <c r="CR41" s="199">
        <f t="shared" si="546"/>
        <v>0.96840466226283362</v>
      </c>
      <c r="CS41" s="199">
        <f t="shared" si="546"/>
        <v>0.96796686176605462</v>
      </c>
      <c r="CT41" s="199">
        <f t="shared" ref="CT41:DX41" si="547">(1-CT40)^CT29</f>
        <v>0.964526092163975</v>
      </c>
      <c r="CU41" s="199">
        <f t="shared" si="547"/>
        <v>0.96281431127858996</v>
      </c>
      <c r="CV41" s="199">
        <f t="shared" si="547"/>
        <v>0.96220641046559352</v>
      </c>
      <c r="CW41" s="199">
        <f t="shared" si="547"/>
        <v>0.96092897502167363</v>
      </c>
      <c r="CX41" s="199">
        <f t="shared" si="547"/>
        <v>0.95956217610013961</v>
      </c>
      <c r="CY41" s="199">
        <f t="shared" si="547"/>
        <v>0.95652016468550694</v>
      </c>
      <c r="CZ41" s="199">
        <f t="shared" si="547"/>
        <v>0.95568679104123277</v>
      </c>
      <c r="DA41" s="199">
        <f t="shared" si="547"/>
        <v>0.94384867163565767</v>
      </c>
      <c r="DB41" s="199">
        <f t="shared" si="547"/>
        <v>0.94245113096079502</v>
      </c>
      <c r="DC41" s="199">
        <f t="shared" si="547"/>
        <v>0.94098227100322329</v>
      </c>
      <c r="DD41" s="199">
        <f t="shared" si="547"/>
        <v>0.94098227100322329</v>
      </c>
      <c r="DE41" s="199">
        <f t="shared" si="547"/>
        <v>0.93608867927222794</v>
      </c>
      <c r="DF41" s="199">
        <f t="shared" si="547"/>
        <v>0.93031058246510889</v>
      </c>
      <c r="DG41" s="199">
        <f t="shared" si="547"/>
        <v>0.91794851658531451</v>
      </c>
      <c r="DH41" s="199">
        <f t="shared" si="547"/>
        <v>0.91794851658531451</v>
      </c>
      <c r="DI41" s="199">
        <f t="shared" si="547"/>
        <v>0.91493082544998938</v>
      </c>
      <c r="DJ41" s="199">
        <f t="shared" si="547"/>
        <v>0.90817724235726482</v>
      </c>
      <c r="DK41" s="199">
        <f t="shared" si="547"/>
        <v>0.90817724235726482</v>
      </c>
      <c r="DL41" s="199">
        <f t="shared" si="547"/>
        <v>0.9043820750088043</v>
      </c>
      <c r="DM41" s="199">
        <f t="shared" si="547"/>
        <v>0.9043820750088043</v>
      </c>
      <c r="DN41" s="199">
        <f t="shared" si="547"/>
        <v>0.9043820750088043</v>
      </c>
      <c r="DO41" s="199">
        <f t="shared" si="547"/>
        <v>0.89576685443842441</v>
      </c>
      <c r="DP41" s="199">
        <f t="shared" si="547"/>
        <v>0.86547777984657015</v>
      </c>
      <c r="DQ41" s="199">
        <f t="shared" si="547"/>
        <v>0.86547777984657015</v>
      </c>
      <c r="DR41" s="199">
        <f t="shared" si="547"/>
        <v>0.85718188380863902</v>
      </c>
      <c r="DS41" s="199">
        <f t="shared" si="547"/>
        <v>0.84779818538202933</v>
      </c>
      <c r="DT41" s="199">
        <f t="shared" si="547"/>
        <v>0.79361428364365527</v>
      </c>
      <c r="DU41" s="199">
        <f t="shared" si="547"/>
        <v>0.71876176313706186</v>
      </c>
      <c r="DV41" s="199">
        <f t="shared" si="547"/>
        <v>0.62982363120323204</v>
      </c>
      <c r="DW41" s="199">
        <f t="shared" si="547"/>
        <v>0.31480917318095175</v>
      </c>
      <c r="DX41" s="199">
        <f t="shared" si="547"/>
        <v>0.31480917318095175</v>
      </c>
    </row>
    <row r="42" spans="1:128" s="207" customFormat="1" ht="27.6" hidden="1">
      <c r="A42" s="190" t="s">
        <v>6354</v>
      </c>
      <c r="B42" s="204">
        <f t="shared" ref="B42:AG42" si="548">1-B41^B28</f>
        <v>0.90089518448112549</v>
      </c>
      <c r="C42" s="204">
        <f t="shared" si="548"/>
        <v>0.90089518448112527</v>
      </c>
      <c r="D42" s="204">
        <f t="shared" si="548"/>
        <v>0.90089518448112527</v>
      </c>
      <c r="E42" s="204">
        <f t="shared" si="548"/>
        <v>0.90089518448112527</v>
      </c>
      <c r="F42" s="204">
        <f t="shared" si="548"/>
        <v>0.90089518448112527</v>
      </c>
      <c r="G42" s="204">
        <f t="shared" si="548"/>
        <v>0.90089518448112516</v>
      </c>
      <c r="H42" s="204">
        <f t="shared" si="548"/>
        <v>0.90089518448112638</v>
      </c>
      <c r="I42" s="204">
        <f t="shared" si="548"/>
        <v>0.90089518448112549</v>
      </c>
      <c r="J42" s="204">
        <f t="shared" si="548"/>
        <v>0.90089518448112549</v>
      </c>
      <c r="K42" s="204">
        <f t="shared" si="548"/>
        <v>0.90089518448112549</v>
      </c>
      <c r="L42" s="204">
        <f t="shared" si="548"/>
        <v>0.90089518448112549</v>
      </c>
      <c r="M42" s="204">
        <f t="shared" si="548"/>
        <v>0.90089518448112549</v>
      </c>
      <c r="N42" s="204">
        <f t="shared" si="548"/>
        <v>0.90089518448112549</v>
      </c>
      <c r="O42" s="204">
        <f t="shared" si="548"/>
        <v>0.90089518448112549</v>
      </c>
      <c r="P42" s="204">
        <f t="shared" si="548"/>
        <v>0.90089518448112549</v>
      </c>
      <c r="Q42" s="204">
        <f t="shared" si="548"/>
        <v>0.90089518448112549</v>
      </c>
      <c r="R42" s="204">
        <f t="shared" si="548"/>
        <v>0.90089518448112549</v>
      </c>
      <c r="S42" s="204">
        <f t="shared" si="548"/>
        <v>0.90089518448112549</v>
      </c>
      <c r="T42" s="204">
        <f t="shared" si="548"/>
        <v>0.90089518448112549</v>
      </c>
      <c r="U42" s="204">
        <f t="shared" si="548"/>
        <v>0.90089518448112549</v>
      </c>
      <c r="V42" s="204">
        <f t="shared" si="548"/>
        <v>0.90089518448112549</v>
      </c>
      <c r="W42" s="204">
        <f t="shared" si="548"/>
        <v>0.90089518448112549</v>
      </c>
      <c r="X42" s="204">
        <f t="shared" si="548"/>
        <v>0.90089518448112549</v>
      </c>
      <c r="Y42" s="204">
        <f t="shared" si="548"/>
        <v>0.90089518448112549</v>
      </c>
      <c r="Z42" s="204">
        <f t="shared" si="548"/>
        <v>0.90089518448112549</v>
      </c>
      <c r="AA42" s="204">
        <f t="shared" si="548"/>
        <v>0.90089518448112549</v>
      </c>
      <c r="AB42" s="204">
        <f t="shared" si="548"/>
        <v>0.90089518448112549</v>
      </c>
      <c r="AC42" s="204">
        <f t="shared" si="548"/>
        <v>0.90089518448112549</v>
      </c>
      <c r="AD42" s="204">
        <f t="shared" si="548"/>
        <v>0.90089518448112549</v>
      </c>
      <c r="AE42" s="204">
        <f t="shared" si="548"/>
        <v>0.90089518448112549</v>
      </c>
      <c r="AF42" s="204">
        <f t="shared" si="548"/>
        <v>0.90089518448112549</v>
      </c>
      <c r="AG42" s="204">
        <f t="shared" si="548"/>
        <v>0.90089518448112549</v>
      </c>
      <c r="AH42" s="204">
        <f t="shared" ref="AH42:BM42" si="549">1-AH41^AH28</f>
        <v>0.90089518448112549</v>
      </c>
      <c r="AI42" s="204">
        <f t="shared" si="549"/>
        <v>0.90089518448112549</v>
      </c>
      <c r="AJ42" s="204">
        <f t="shared" si="549"/>
        <v>0.90089518448112549</v>
      </c>
      <c r="AK42" s="204">
        <f t="shared" si="549"/>
        <v>0.90089518448112549</v>
      </c>
      <c r="AL42" s="204">
        <f t="shared" si="549"/>
        <v>0.90089518448112549</v>
      </c>
      <c r="AM42" s="204">
        <f t="shared" si="549"/>
        <v>0.90089518448112549</v>
      </c>
      <c r="AN42" s="204">
        <f t="shared" si="549"/>
        <v>0.90089518448112549</v>
      </c>
      <c r="AO42" s="204">
        <f t="shared" si="549"/>
        <v>0.90089518448112549</v>
      </c>
      <c r="AP42" s="204">
        <f t="shared" si="549"/>
        <v>0.90089518448112549</v>
      </c>
      <c r="AQ42" s="204">
        <f t="shared" si="549"/>
        <v>0.90089518448112549</v>
      </c>
      <c r="AR42" s="204">
        <f t="shared" si="549"/>
        <v>0.90089518448112549</v>
      </c>
      <c r="AS42" s="204">
        <f t="shared" si="549"/>
        <v>0.90089518448112549</v>
      </c>
      <c r="AT42" s="204">
        <f t="shared" si="549"/>
        <v>0.90089518448112549</v>
      </c>
      <c r="AU42" s="204">
        <f t="shared" si="549"/>
        <v>0.90089518448112549</v>
      </c>
      <c r="AV42" s="204">
        <f t="shared" si="549"/>
        <v>0.90089518448112549</v>
      </c>
      <c r="AW42" s="204">
        <f t="shared" si="549"/>
        <v>0.90089518448112549</v>
      </c>
      <c r="AX42" s="204">
        <f t="shared" si="549"/>
        <v>0.90089518448112549</v>
      </c>
      <c r="AY42" s="204">
        <f t="shared" si="549"/>
        <v>0.90089518448112549</v>
      </c>
      <c r="AZ42" s="204">
        <f t="shared" si="549"/>
        <v>0.90089518448112549</v>
      </c>
      <c r="BA42" s="204">
        <f t="shared" si="549"/>
        <v>0.90089518448112549</v>
      </c>
      <c r="BB42" s="204">
        <f t="shared" si="549"/>
        <v>0.90089518448112549</v>
      </c>
      <c r="BC42" s="204">
        <f t="shared" si="549"/>
        <v>0.90089518448112549</v>
      </c>
      <c r="BD42" s="204">
        <f t="shared" si="549"/>
        <v>0.90089518448112549</v>
      </c>
      <c r="BE42" s="204">
        <f t="shared" si="549"/>
        <v>0.90089518448112549</v>
      </c>
      <c r="BF42" s="204">
        <f t="shared" si="549"/>
        <v>0.90089518448112549</v>
      </c>
      <c r="BG42" s="204">
        <f t="shared" si="549"/>
        <v>0.90089518448112549</v>
      </c>
      <c r="BH42" s="204">
        <f t="shared" si="549"/>
        <v>0.90089518448112549</v>
      </c>
      <c r="BI42" s="204">
        <f t="shared" si="549"/>
        <v>0.90089518448112549</v>
      </c>
      <c r="BJ42" s="204">
        <f t="shared" si="549"/>
        <v>0.90089518448112549</v>
      </c>
      <c r="BK42" s="204">
        <f t="shared" si="549"/>
        <v>0.90089518448112549</v>
      </c>
      <c r="BL42" s="204">
        <f t="shared" si="549"/>
        <v>0.90089518448112549</v>
      </c>
      <c r="BM42" s="204">
        <f t="shared" si="549"/>
        <v>0.90089518448112549</v>
      </c>
      <c r="BN42" s="204">
        <f t="shared" ref="BN42:CS42" si="550">1-BN41^BN28</f>
        <v>0.90089518448112549</v>
      </c>
      <c r="BO42" s="204">
        <f t="shared" si="550"/>
        <v>0.90089518448112549</v>
      </c>
      <c r="BP42" s="204">
        <f t="shared" si="550"/>
        <v>0.90089518448112549</v>
      </c>
      <c r="BQ42" s="204">
        <f t="shared" si="550"/>
        <v>0.90089518448112549</v>
      </c>
      <c r="BR42" s="204">
        <f t="shared" si="550"/>
        <v>0.90089518448112549</v>
      </c>
      <c r="BS42" s="204">
        <f t="shared" si="550"/>
        <v>0.90089518448112693</v>
      </c>
      <c r="BT42" s="204">
        <f t="shared" si="550"/>
        <v>0.90089518448112538</v>
      </c>
      <c r="BU42" s="204">
        <f t="shared" si="550"/>
        <v>0.90089518448112516</v>
      </c>
      <c r="BV42" s="204">
        <f t="shared" si="550"/>
        <v>0.90089518448112504</v>
      </c>
      <c r="BW42" s="204">
        <f t="shared" si="550"/>
        <v>0.90089518448112638</v>
      </c>
      <c r="BX42" s="204">
        <f t="shared" si="550"/>
        <v>0.90089518448112571</v>
      </c>
      <c r="BY42" s="204">
        <f t="shared" si="550"/>
        <v>0.90089518448112471</v>
      </c>
      <c r="BZ42" s="204">
        <f t="shared" si="550"/>
        <v>0.90089518448112504</v>
      </c>
      <c r="CA42" s="204">
        <f t="shared" si="550"/>
        <v>0.90089518448112615</v>
      </c>
      <c r="CB42" s="204">
        <f t="shared" si="550"/>
        <v>0.90089518448112571</v>
      </c>
      <c r="CC42" s="204">
        <f t="shared" si="550"/>
        <v>0.90089518448112538</v>
      </c>
      <c r="CD42" s="204">
        <f t="shared" si="550"/>
        <v>0.90089518448112549</v>
      </c>
      <c r="CE42" s="204">
        <f t="shared" si="550"/>
        <v>0.9008951844811256</v>
      </c>
      <c r="CF42" s="204">
        <f t="shared" si="550"/>
        <v>0.90089518448112549</v>
      </c>
      <c r="CG42" s="204">
        <f t="shared" si="550"/>
        <v>0.9008951844811256</v>
      </c>
      <c r="CH42" s="204">
        <f t="shared" si="550"/>
        <v>0.90089518448112504</v>
      </c>
      <c r="CI42" s="204">
        <f t="shared" si="550"/>
        <v>0.90089518448112527</v>
      </c>
      <c r="CJ42" s="204">
        <f t="shared" si="550"/>
        <v>0.90089518448112582</v>
      </c>
      <c r="CK42" s="204">
        <f t="shared" si="550"/>
        <v>0.90089518448112582</v>
      </c>
      <c r="CL42" s="204">
        <f t="shared" si="550"/>
        <v>0.90089518448112527</v>
      </c>
      <c r="CM42" s="204">
        <f t="shared" si="550"/>
        <v>0.9008951844811256</v>
      </c>
      <c r="CN42" s="204">
        <f t="shared" si="550"/>
        <v>0.90089518448112482</v>
      </c>
      <c r="CO42" s="204">
        <f t="shared" si="550"/>
        <v>0.90089518448112571</v>
      </c>
      <c r="CP42" s="204">
        <f t="shared" si="550"/>
        <v>0.90089518448112504</v>
      </c>
      <c r="CQ42" s="204">
        <f t="shared" si="550"/>
        <v>0.9008951844811256</v>
      </c>
      <c r="CR42" s="204">
        <f t="shared" si="550"/>
        <v>0.9008951844811256</v>
      </c>
      <c r="CS42" s="204">
        <f t="shared" si="550"/>
        <v>0.90089518448112516</v>
      </c>
      <c r="CT42" s="204">
        <f t="shared" ref="CT42:DX42" si="551">1-CT41^CT28</f>
        <v>0.9008951844811256</v>
      </c>
      <c r="CU42" s="204">
        <f t="shared" si="551"/>
        <v>0.90089518448112516</v>
      </c>
      <c r="CV42" s="204">
        <f t="shared" si="551"/>
        <v>0.90089518448112571</v>
      </c>
      <c r="CW42" s="204">
        <f t="shared" si="551"/>
        <v>0.90089518448112527</v>
      </c>
      <c r="CX42" s="204">
        <f t="shared" si="551"/>
        <v>0.90089518448112571</v>
      </c>
      <c r="CY42" s="204">
        <f t="shared" si="551"/>
        <v>0.90089518448112549</v>
      </c>
      <c r="CZ42" s="204">
        <f t="shared" si="551"/>
        <v>0.90089518448112504</v>
      </c>
      <c r="DA42" s="204">
        <f t="shared" si="551"/>
        <v>0.90089518448112516</v>
      </c>
      <c r="DB42" s="204">
        <f t="shared" si="551"/>
        <v>0.90089518448112527</v>
      </c>
      <c r="DC42" s="204">
        <f t="shared" si="551"/>
        <v>0.90089518448112516</v>
      </c>
      <c r="DD42" s="204">
        <f t="shared" si="551"/>
        <v>0.90089518448112516</v>
      </c>
      <c r="DE42" s="204">
        <f t="shared" si="551"/>
        <v>0.90089518448112549</v>
      </c>
      <c r="DF42" s="204">
        <f t="shared" si="551"/>
        <v>0.90089518448112527</v>
      </c>
      <c r="DG42" s="204">
        <f t="shared" si="551"/>
        <v>0.90089518448112527</v>
      </c>
      <c r="DH42" s="204">
        <f t="shared" si="551"/>
        <v>0.90089518448112527</v>
      </c>
      <c r="DI42" s="204">
        <f t="shared" si="551"/>
        <v>0.90089518448112527</v>
      </c>
      <c r="DJ42" s="204">
        <f t="shared" si="551"/>
        <v>0.90089518448112527</v>
      </c>
      <c r="DK42" s="204">
        <f t="shared" si="551"/>
        <v>0.90089518448112527</v>
      </c>
      <c r="DL42" s="204">
        <f t="shared" si="551"/>
        <v>0.9008951844811256</v>
      </c>
      <c r="DM42" s="204">
        <f t="shared" si="551"/>
        <v>0.9008951844811256</v>
      </c>
      <c r="DN42" s="204">
        <f t="shared" si="551"/>
        <v>0.9008951844811256</v>
      </c>
      <c r="DO42" s="204">
        <f t="shared" si="551"/>
        <v>0.90089518448112527</v>
      </c>
      <c r="DP42" s="204">
        <f t="shared" si="551"/>
        <v>0.90089518448112527</v>
      </c>
      <c r="DQ42" s="204">
        <f t="shared" si="551"/>
        <v>0.90089518448112527</v>
      </c>
      <c r="DR42" s="204">
        <f t="shared" si="551"/>
        <v>0.90089518448112549</v>
      </c>
      <c r="DS42" s="204">
        <f t="shared" si="551"/>
        <v>0.90089518448112538</v>
      </c>
      <c r="DT42" s="204">
        <f t="shared" si="551"/>
        <v>0.90089518448112538</v>
      </c>
      <c r="DU42" s="204">
        <f t="shared" si="551"/>
        <v>0.90089518448112527</v>
      </c>
      <c r="DV42" s="204">
        <f t="shared" si="551"/>
        <v>0.90089518448112549</v>
      </c>
      <c r="DW42" s="204">
        <f t="shared" si="551"/>
        <v>0.90089518448112549</v>
      </c>
      <c r="DX42" s="204">
        <f t="shared" si="551"/>
        <v>0.90089518448112549</v>
      </c>
    </row>
    <row r="43" spans="1:128" s="209" customFormat="1">
      <c r="A43" s="208"/>
    </row>
  </sheetData>
  <pageMargins left="0.25" right="0.25" top="0.75" bottom="0.75" header="0.3" footer="0.3"/>
  <pageSetup scale="80" fitToWidth="0"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F5895-575F-4302-BD9E-9AB353592C92}">
  <dimension ref="A1:H10"/>
  <sheetViews>
    <sheetView workbookViewId="0">
      <selection activeCell="A2" sqref="A2"/>
    </sheetView>
  </sheetViews>
  <sheetFormatPr defaultRowHeight="13.8"/>
  <cols>
    <col min="1" max="1" width="26.375" customWidth="1"/>
    <col min="8" max="8" width="107" customWidth="1"/>
  </cols>
  <sheetData>
    <row r="1" spans="1:8">
      <c r="A1" s="379"/>
      <c r="B1" s="379">
        <v>2020</v>
      </c>
      <c r="C1" s="379">
        <v>2019</v>
      </c>
      <c r="D1" s="379">
        <v>2018</v>
      </c>
      <c r="E1" s="379">
        <f>B1</f>
        <v>2020</v>
      </c>
      <c r="F1" s="379">
        <f t="shared" ref="F1:G1" si="0">C1</f>
        <v>2019</v>
      </c>
      <c r="G1" s="379">
        <f t="shared" si="0"/>
        <v>2018</v>
      </c>
      <c r="H1" s="379"/>
    </row>
    <row r="2" spans="1:8" ht="52.8">
      <c r="A2" s="379" t="s">
        <v>8771</v>
      </c>
      <c r="B2" s="383">
        <v>8306</v>
      </c>
      <c r="C2" s="383">
        <v>9006</v>
      </c>
      <c r="D2" s="383">
        <v>5200</v>
      </c>
      <c r="E2" s="384"/>
      <c r="F2" s="385" t="s">
        <v>8071</v>
      </c>
      <c r="G2" s="380"/>
      <c r="H2" s="380" t="s">
        <v>8100</v>
      </c>
    </row>
    <row r="3" spans="1:8" ht="26.4">
      <c r="A3" s="379" t="s">
        <v>8072</v>
      </c>
      <c r="B3" s="390">
        <v>51</v>
      </c>
      <c r="C3" s="386">
        <v>16</v>
      </c>
      <c r="D3" s="386">
        <v>43</v>
      </c>
      <c r="E3" s="387">
        <f t="shared" ref="E3:G8" si="1">B3/B$2</f>
        <v>6.1401396580784973E-3</v>
      </c>
      <c r="F3" s="381">
        <f t="shared" si="1"/>
        <v>1.7765933821896514E-3</v>
      </c>
      <c r="G3" s="381">
        <f t="shared" si="1"/>
        <v>8.26923076923077E-3</v>
      </c>
      <c r="H3" s="381" t="s">
        <v>8099</v>
      </c>
    </row>
    <row r="4" spans="1:8" ht="92.4">
      <c r="A4" s="379" t="s">
        <v>6020</v>
      </c>
      <c r="B4" s="390">
        <v>26</v>
      </c>
      <c r="C4" s="386"/>
      <c r="D4" s="386"/>
      <c r="E4" s="387">
        <f t="shared" si="1"/>
        <v>3.1302672766674693E-3</v>
      </c>
      <c r="F4" s="381"/>
      <c r="G4" s="381"/>
      <c r="H4" s="381" t="s">
        <v>8073</v>
      </c>
    </row>
    <row r="5" spans="1:8" ht="26.4">
      <c r="A5" s="382" t="s">
        <v>6022</v>
      </c>
      <c r="B5" s="380">
        <v>14</v>
      </c>
      <c r="C5" s="386"/>
      <c r="D5" s="386"/>
      <c r="E5" s="381">
        <f t="shared" si="1"/>
        <v>1.6855285335901757E-3</v>
      </c>
      <c r="F5" s="381"/>
      <c r="G5" s="381"/>
      <c r="H5" s="381" t="s">
        <v>8074</v>
      </c>
    </row>
    <row r="6" spans="1:8" ht="39.6">
      <c r="A6" s="382" t="s">
        <v>8075</v>
      </c>
      <c r="B6" s="390">
        <v>13</v>
      </c>
      <c r="C6" s="386">
        <v>19</v>
      </c>
      <c r="D6" s="386">
        <v>16</v>
      </c>
      <c r="E6" s="387">
        <f t="shared" si="1"/>
        <v>1.5651336383337346E-3</v>
      </c>
      <c r="F6" s="381">
        <f t="shared" si="1"/>
        <v>2.1097046413502108E-3</v>
      </c>
      <c r="G6" s="381">
        <f t="shared" si="1"/>
        <v>3.0769230769230769E-3</v>
      </c>
      <c r="H6" s="381" t="s">
        <v>8076</v>
      </c>
    </row>
    <row r="7" spans="1:8" ht="52.8">
      <c r="A7" s="379" t="s">
        <v>8077</v>
      </c>
      <c r="B7" s="380">
        <v>8</v>
      </c>
      <c r="C7" s="386">
        <v>4</v>
      </c>
      <c r="D7" s="386">
        <v>10</v>
      </c>
      <c r="E7" s="381">
        <f t="shared" si="1"/>
        <v>9.6315916205152899E-4</v>
      </c>
      <c r="F7" s="381">
        <f t="shared" si="1"/>
        <v>4.4414834554741284E-4</v>
      </c>
      <c r="G7" s="381">
        <f t="shared" si="1"/>
        <v>1.9230769230769232E-3</v>
      </c>
      <c r="H7" s="381" t="s">
        <v>8078</v>
      </c>
    </row>
    <row r="8" spans="1:8" ht="26.4">
      <c r="A8" s="379" t="s">
        <v>6015</v>
      </c>
      <c r="B8" s="380">
        <v>3</v>
      </c>
      <c r="C8" s="386">
        <v>0</v>
      </c>
      <c r="D8" s="386">
        <v>3</v>
      </c>
      <c r="E8" s="388">
        <f t="shared" si="1"/>
        <v>3.611846857693234E-4</v>
      </c>
      <c r="F8" s="388">
        <f t="shared" si="1"/>
        <v>0</v>
      </c>
      <c r="G8" s="388">
        <f t="shared" si="1"/>
        <v>5.7692307692307698E-4</v>
      </c>
      <c r="H8" s="381" t="s">
        <v>8079</v>
      </c>
    </row>
    <row r="9" spans="1:8" s="399" customFormat="1" ht="15.6">
      <c r="A9" s="93" t="s">
        <v>8080</v>
      </c>
      <c r="B9" s="398"/>
      <c r="C9" s="398"/>
      <c r="D9" s="398"/>
      <c r="E9" s="398"/>
      <c r="F9" s="398"/>
      <c r="G9" s="398"/>
      <c r="H9" s="398"/>
    </row>
    <row r="10" spans="1:8">
      <c r="B10" s="38">
        <f>B3+B4+B6</f>
        <v>90</v>
      </c>
      <c r="E10" s="389">
        <f>E3+E4+E6</f>
        <v>1.0835540573079701E-2</v>
      </c>
      <c r="H10" s="381" t="s">
        <v>8081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91611-EA23-4114-AB14-467323914594}">
  <sheetPr>
    <tabColor rgb="FF006400"/>
  </sheetPr>
  <dimension ref="A1:AA147"/>
  <sheetViews>
    <sheetView zoomScaleNormal="100" workbookViewId="0">
      <pane xSplit="2" ySplit="10" topLeftCell="C11" activePane="bottomRight" state="frozen"/>
      <selection pane="topRight" activeCell="C1" sqref="C1"/>
      <selection pane="bottomLeft" activeCell="A10" sqref="A10"/>
      <selection pane="bottomRight" activeCell="C11" sqref="C11"/>
    </sheetView>
  </sheetViews>
  <sheetFormatPr defaultRowHeight="13.8"/>
  <cols>
    <col min="1" max="1" width="6.5" style="20" customWidth="1"/>
    <col min="2" max="2" width="14" customWidth="1"/>
    <col min="3" max="3" width="11.5" style="28" customWidth="1"/>
    <col min="4" max="4" width="9.25" style="28" customWidth="1"/>
    <col min="5" max="5" width="7.125" style="28" customWidth="1"/>
    <col min="6" max="6" width="9.25" style="28" customWidth="1"/>
    <col min="7" max="7" width="9.25" customWidth="1"/>
    <col min="8" max="8" width="11.75" customWidth="1"/>
    <col min="9" max="9" width="10.375" customWidth="1"/>
    <col min="10" max="10" width="8.875" style="20" customWidth="1"/>
    <col min="12" max="12" width="9.375" style="20" customWidth="1"/>
    <col min="13" max="13" width="7.875" style="20" customWidth="1"/>
    <col min="14" max="14" width="8.75" customWidth="1"/>
    <col min="15" max="16" width="5.5" customWidth="1"/>
    <col min="17" max="19" width="4.375" customWidth="1"/>
    <col min="20" max="22" width="5.625" style="97" customWidth="1"/>
    <col min="23" max="23" width="6.5" style="97" customWidth="1"/>
    <col min="24" max="24" width="5.625" style="97" customWidth="1"/>
    <col min="25" max="25" width="9.5" style="97" bestFit="1" customWidth="1"/>
    <col min="26" max="28" width="3.875" customWidth="1"/>
  </cols>
  <sheetData>
    <row r="1" spans="1:27" ht="27.6">
      <c r="C1" s="31" t="s">
        <v>4786</v>
      </c>
      <c r="D1" s="32" t="s">
        <v>4800</v>
      </c>
      <c r="E1" s="31" t="s">
        <v>4787</v>
      </c>
      <c r="F1" s="31" t="s">
        <v>4788</v>
      </c>
      <c r="G1" t="s">
        <v>4793</v>
      </c>
    </row>
    <row r="2" spans="1:27" ht="9" customHeight="1">
      <c r="B2" t="s">
        <v>4785</v>
      </c>
      <c r="C2" s="37">
        <v>4114582</v>
      </c>
      <c r="D2" s="37">
        <v>8306</v>
      </c>
      <c r="E2" s="35">
        <f>C2/D2</f>
        <v>495.37466891403807</v>
      </c>
      <c r="F2" s="33">
        <f>D2/C2</f>
        <v>2.0186740718741297E-3</v>
      </c>
      <c r="G2" t="s">
        <v>4789</v>
      </c>
      <c r="M2" t="s">
        <v>5320</v>
      </c>
    </row>
    <row r="3" spans="1:27" ht="9" customHeight="1">
      <c r="B3" t="s">
        <v>4801</v>
      </c>
      <c r="C3" s="36">
        <v>1481718</v>
      </c>
      <c r="D3" s="36">
        <v>9543</v>
      </c>
      <c r="E3" s="35">
        <f t="shared" ref="E3:E7" si="0">C3/D3</f>
        <v>155.26752593524049</v>
      </c>
      <c r="F3" s="33">
        <f t="shared" ref="F3:F7" si="1">D3/C3</f>
        <v>6.4404967746899211E-3</v>
      </c>
      <c r="G3" t="s">
        <v>4790</v>
      </c>
    </row>
    <row r="4" spans="1:27" ht="9" customHeight="1">
      <c r="B4" t="s">
        <v>4791</v>
      </c>
      <c r="C4" s="36">
        <v>1579836</v>
      </c>
      <c r="D4" s="36">
        <v>9006</v>
      </c>
      <c r="E4" s="35">
        <f t="shared" si="0"/>
        <v>175.42038640906063</v>
      </c>
      <c r="F4" s="33">
        <f t="shared" si="1"/>
        <v>5.7005917069873078E-3</v>
      </c>
      <c r="G4" t="s">
        <v>4792</v>
      </c>
    </row>
    <row r="5" spans="1:27" ht="9" customHeight="1">
      <c r="B5" t="s">
        <v>4794</v>
      </c>
      <c r="C5" s="36">
        <v>4719452</v>
      </c>
      <c r="D5" s="36">
        <v>5668</v>
      </c>
      <c r="E5" s="35">
        <f t="shared" si="0"/>
        <v>832.6485532815808</v>
      </c>
      <c r="F5" s="33">
        <f t="shared" si="1"/>
        <v>1.2009868942411111E-3</v>
      </c>
      <c r="G5" t="s">
        <v>4795</v>
      </c>
    </row>
    <row r="6" spans="1:27" ht="9" customHeight="1">
      <c r="B6" t="s">
        <v>4796</v>
      </c>
      <c r="C6" s="36">
        <v>1131475</v>
      </c>
      <c r="D6" s="36">
        <v>7916</v>
      </c>
      <c r="E6" s="35">
        <f t="shared" si="0"/>
        <v>142.93519454269833</v>
      </c>
      <c r="F6" s="33">
        <f t="shared" si="1"/>
        <v>6.9961775558452458E-3</v>
      </c>
      <c r="G6" t="s">
        <v>4797</v>
      </c>
    </row>
    <row r="7" spans="1:27" ht="9" customHeight="1">
      <c r="B7" t="s">
        <v>4798</v>
      </c>
      <c r="C7" s="36">
        <v>1206356</v>
      </c>
      <c r="D7" s="36">
        <v>3015</v>
      </c>
      <c r="E7" s="35">
        <f t="shared" si="0"/>
        <v>400.11807628524048</v>
      </c>
      <c r="F7" s="33">
        <f t="shared" si="1"/>
        <v>2.4992622409968535E-3</v>
      </c>
      <c r="G7" t="s">
        <v>4799</v>
      </c>
    </row>
    <row r="8" spans="1:27" ht="9" customHeight="1">
      <c r="B8" t="s">
        <v>6495</v>
      </c>
      <c r="E8" s="34"/>
      <c r="F8" s="33"/>
      <c r="G8" t="s">
        <v>6494</v>
      </c>
    </row>
    <row r="9" spans="1:27" ht="15" customHeight="1">
      <c r="E9" s="326" t="s">
        <v>6979</v>
      </c>
      <c r="F9" s="327"/>
      <c r="G9" s="9"/>
      <c r="H9" s="9"/>
      <c r="I9" s="9"/>
      <c r="J9" s="38"/>
      <c r="K9" s="9"/>
      <c r="L9" s="38"/>
      <c r="M9" s="324" t="s">
        <v>6978</v>
      </c>
      <c r="N9" s="302"/>
      <c r="O9" s="302"/>
      <c r="P9" s="302"/>
      <c r="Q9" s="302"/>
      <c r="R9" s="302"/>
      <c r="S9" s="302"/>
      <c r="T9" s="325"/>
      <c r="U9" s="325"/>
      <c r="V9" s="325"/>
      <c r="W9" s="325"/>
      <c r="X9" s="325"/>
    </row>
    <row r="10" spans="1:27" s="4" customFormat="1" ht="60.6" customHeight="1">
      <c r="A10" s="328" t="s">
        <v>5317</v>
      </c>
      <c r="B10" s="67" t="s">
        <v>4785</v>
      </c>
      <c r="C10" s="67" t="s">
        <v>4931</v>
      </c>
      <c r="D10" s="4" t="s">
        <v>4928</v>
      </c>
      <c r="E10" s="329" t="s">
        <v>4929</v>
      </c>
      <c r="G10" s="66" t="s">
        <v>2</v>
      </c>
      <c r="H10" s="4" t="s">
        <v>5318</v>
      </c>
      <c r="I10" s="66" t="s">
        <v>4930</v>
      </c>
      <c r="J10" s="66" t="s">
        <v>4777</v>
      </c>
      <c r="K10" s="4" t="s">
        <v>6027</v>
      </c>
      <c r="L10" s="68">
        <v>5.0000000000000001E-4</v>
      </c>
      <c r="M10" s="98" t="s">
        <v>6028</v>
      </c>
      <c r="N10" s="98" t="s">
        <v>6014</v>
      </c>
      <c r="O10" s="98" t="s">
        <v>6015</v>
      </c>
      <c r="P10" s="98" t="s">
        <v>6016</v>
      </c>
      <c r="Q10" s="98" t="s">
        <v>6017</v>
      </c>
      <c r="R10" s="98" t="s">
        <v>6018</v>
      </c>
      <c r="S10" s="98" t="s">
        <v>6019</v>
      </c>
      <c r="T10" s="115" t="s">
        <v>6022</v>
      </c>
      <c r="U10" s="115" t="str">
        <f>O10</f>
        <v>Ambiguous Voter Intent</v>
      </c>
      <c r="V10" s="118" t="s">
        <v>6024</v>
      </c>
      <c r="W10" s="115" t="s">
        <v>6021</v>
      </c>
      <c r="X10" s="115" t="s">
        <v>6020</v>
      </c>
      <c r="Y10" s="115" t="s">
        <v>6977</v>
      </c>
      <c r="Z10" s="21"/>
      <c r="AA10" s="21"/>
    </row>
    <row r="11" spans="1:27">
      <c r="A11" s="20">
        <f t="shared" ref="A11:A42" si="2">I11/E11</f>
        <v>684.07142857142844</v>
      </c>
      <c r="B11" t="s">
        <v>4864</v>
      </c>
      <c r="C11">
        <v>8001</v>
      </c>
      <c r="D11">
        <v>134202</v>
      </c>
      <c r="E11" s="9">
        <v>350</v>
      </c>
      <c r="F11" t="str">
        <f t="shared" ref="F11:F42" si="3">CONCATENATE("CO_",PROPER(B11)," County")</f>
        <v>CO_Adams County</v>
      </c>
      <c r="G11" s="20">
        <v>236740</v>
      </c>
      <c r="H11" s="78">
        <f t="shared" ref="H11:H42" si="4">I11/G11</f>
        <v>1.0113415561375347</v>
      </c>
      <c r="I11" s="20">
        <v>239424.99999999997</v>
      </c>
      <c r="J11" s="29">
        <f t="shared" ref="J11:J42" si="5">E11/I11</f>
        <v>1.4618356479064428E-3</v>
      </c>
      <c r="K11" t="s">
        <v>4802</v>
      </c>
      <c r="L11" s="65">
        <f t="shared" ref="L11:L42" si="6">L$10*I11</f>
        <v>119.71249999999999</v>
      </c>
      <c r="M11" s="28" t="s">
        <v>5986</v>
      </c>
      <c r="N11">
        <v>1</v>
      </c>
      <c r="O11">
        <v>1</v>
      </c>
      <c r="P11">
        <v>1</v>
      </c>
      <c r="T11" s="97">
        <f t="shared" ref="T11:Y11" si="7">IF(N11="","",N11/$E11)</f>
        <v>2.8571428571428571E-3</v>
      </c>
      <c r="U11" s="97">
        <f t="shared" si="7"/>
        <v>2.8571428571428571E-3</v>
      </c>
      <c r="V11" s="97">
        <f t="shared" si="7"/>
        <v>2.8571428571428571E-3</v>
      </c>
      <c r="W11" s="97" t="str">
        <f t="shared" si="7"/>
        <v/>
      </c>
      <c r="X11" s="97" t="str">
        <f t="shared" si="7"/>
        <v/>
      </c>
      <c r="Y11" s="97" t="str">
        <f t="shared" si="7"/>
        <v/>
      </c>
    </row>
    <row r="12" spans="1:27">
      <c r="A12" s="20">
        <f t="shared" si="2"/>
        <v>83.4</v>
      </c>
      <c r="B12" t="s">
        <v>4865</v>
      </c>
      <c r="C12">
        <v>8003</v>
      </c>
      <c r="D12">
        <v>3759</v>
      </c>
      <c r="E12" s="9">
        <v>95</v>
      </c>
      <c r="F12" t="str">
        <f t="shared" si="3"/>
        <v>CO_Alamosa County</v>
      </c>
      <c r="G12" s="20">
        <v>7808</v>
      </c>
      <c r="H12" s="78">
        <f t="shared" si="4"/>
        <v>1.0147284836065575</v>
      </c>
      <c r="I12" s="20">
        <v>7923.0000000000009</v>
      </c>
      <c r="J12" s="29">
        <f t="shared" si="5"/>
        <v>1.199040767386091E-2</v>
      </c>
      <c r="K12" t="s">
        <v>4803</v>
      </c>
      <c r="L12" s="65">
        <f t="shared" si="6"/>
        <v>3.9615000000000005</v>
      </c>
      <c r="M12"/>
    </row>
    <row r="13" spans="1:27">
      <c r="A13" s="20">
        <f t="shared" si="2"/>
        <v>1083.6299694189602</v>
      </c>
      <c r="B13" t="s">
        <v>4866</v>
      </c>
      <c r="C13">
        <v>8005</v>
      </c>
      <c r="D13">
        <v>213607</v>
      </c>
      <c r="E13" s="9">
        <v>327</v>
      </c>
      <c r="F13" t="str">
        <f t="shared" si="3"/>
        <v>CO_Arapahoe County</v>
      </c>
      <c r="G13" s="20">
        <v>350183</v>
      </c>
      <c r="H13" s="78">
        <f t="shared" si="4"/>
        <v>1.0118909256017568</v>
      </c>
      <c r="I13" s="20">
        <v>354347</v>
      </c>
      <c r="J13" s="29">
        <f t="shared" si="5"/>
        <v>9.2282423725895807E-4</v>
      </c>
      <c r="K13" t="s">
        <v>4804</v>
      </c>
      <c r="L13" s="65">
        <f t="shared" si="6"/>
        <v>177.17349999999999</v>
      </c>
      <c r="M13" s="28" t="s">
        <v>5987</v>
      </c>
      <c r="P13">
        <v>5</v>
      </c>
      <c r="T13" s="97" t="str">
        <f t="shared" ref="T13:Y15" si="8">IF(N13="","",N13/$E13)</f>
        <v/>
      </c>
      <c r="U13" s="97" t="str">
        <f t="shared" si="8"/>
        <v/>
      </c>
      <c r="V13" s="97">
        <f t="shared" si="8"/>
        <v>1.5290519877675841E-2</v>
      </c>
      <c r="W13" s="97" t="str">
        <f t="shared" si="8"/>
        <v/>
      </c>
      <c r="X13" s="97" t="str">
        <f t="shared" si="8"/>
        <v/>
      </c>
      <c r="Y13" s="97" t="str">
        <f t="shared" si="8"/>
        <v/>
      </c>
    </row>
    <row r="14" spans="1:27">
      <c r="A14" s="20">
        <f t="shared" si="2"/>
        <v>44.568720379146917</v>
      </c>
      <c r="B14" t="s">
        <v>4867</v>
      </c>
      <c r="C14">
        <v>8007</v>
      </c>
      <c r="D14">
        <v>3738</v>
      </c>
      <c r="E14" s="9">
        <v>211</v>
      </c>
      <c r="F14" t="str">
        <f t="shared" si="3"/>
        <v>CO_Archuleta County</v>
      </c>
      <c r="G14" s="20">
        <v>9144</v>
      </c>
      <c r="H14" s="78">
        <f t="shared" si="4"/>
        <v>1.0284339457567804</v>
      </c>
      <c r="I14" s="20">
        <v>9404</v>
      </c>
      <c r="J14" s="29">
        <f t="shared" si="5"/>
        <v>2.2437260740110591E-2</v>
      </c>
      <c r="K14" t="s">
        <v>4805</v>
      </c>
      <c r="L14" s="65">
        <f t="shared" si="6"/>
        <v>4.702</v>
      </c>
      <c r="M14" s="28" t="s">
        <v>5988</v>
      </c>
      <c r="N14">
        <v>1</v>
      </c>
      <c r="T14" s="97">
        <f t="shared" si="8"/>
        <v>4.7393364928909956E-3</v>
      </c>
      <c r="U14" s="97" t="str">
        <f t="shared" si="8"/>
        <v/>
      </c>
      <c r="V14" s="97" t="str">
        <f t="shared" si="8"/>
        <v/>
      </c>
      <c r="W14" s="97" t="str">
        <f t="shared" si="8"/>
        <v/>
      </c>
      <c r="X14" s="97" t="str">
        <f t="shared" si="8"/>
        <v/>
      </c>
      <c r="Y14" s="97" t="str">
        <f t="shared" si="8"/>
        <v/>
      </c>
    </row>
    <row r="15" spans="1:27">
      <c r="A15" s="20">
        <f t="shared" si="2"/>
        <v>77.379310344827587</v>
      </c>
      <c r="B15" t="s">
        <v>4868</v>
      </c>
      <c r="C15">
        <v>8009</v>
      </c>
      <c r="D15">
        <v>317</v>
      </c>
      <c r="E15" s="9">
        <v>29</v>
      </c>
      <c r="F15" t="str">
        <f t="shared" si="3"/>
        <v>CO_Baca County</v>
      </c>
      <c r="G15" s="20">
        <v>2225</v>
      </c>
      <c r="H15" s="78">
        <f t="shared" si="4"/>
        <v>1.0085393258426967</v>
      </c>
      <c r="I15" s="20">
        <v>2244</v>
      </c>
      <c r="J15" s="29">
        <f t="shared" si="5"/>
        <v>1.2923351158645277E-2</v>
      </c>
      <c r="K15" t="s">
        <v>4806</v>
      </c>
      <c r="L15" s="65">
        <f t="shared" si="6"/>
        <v>1.1220000000000001</v>
      </c>
      <c r="M15" s="28" t="s">
        <v>5989</v>
      </c>
      <c r="R15">
        <v>23</v>
      </c>
      <c r="T15" s="97" t="str">
        <f t="shared" si="8"/>
        <v/>
      </c>
      <c r="U15" s="97" t="str">
        <f t="shared" si="8"/>
        <v/>
      </c>
      <c r="V15" s="97" t="str">
        <f t="shared" si="8"/>
        <v/>
      </c>
      <c r="W15" s="97" t="str">
        <f t="shared" si="8"/>
        <v/>
      </c>
      <c r="X15" s="97">
        <f t="shared" si="8"/>
        <v>0.7931034482758621</v>
      </c>
      <c r="Y15" s="97" t="str">
        <f t="shared" si="8"/>
        <v/>
      </c>
    </row>
    <row r="16" spans="1:27">
      <c r="A16" s="20">
        <f t="shared" si="2"/>
        <v>91.8</v>
      </c>
      <c r="B16" t="s">
        <v>4869</v>
      </c>
      <c r="C16">
        <v>8011</v>
      </c>
      <c r="D16">
        <v>732</v>
      </c>
      <c r="E16" s="9">
        <v>25</v>
      </c>
      <c r="F16" t="str">
        <f t="shared" si="3"/>
        <v>CO_Bent County</v>
      </c>
      <c r="G16" s="20">
        <v>2274</v>
      </c>
      <c r="H16" s="78">
        <f t="shared" si="4"/>
        <v>1.0092348284960422</v>
      </c>
      <c r="I16" s="20">
        <v>2295</v>
      </c>
      <c r="J16" s="29">
        <f t="shared" si="5"/>
        <v>1.0893246187363835E-2</v>
      </c>
      <c r="K16" t="s">
        <v>4807</v>
      </c>
      <c r="L16" s="65">
        <f t="shared" si="6"/>
        <v>1.1475</v>
      </c>
      <c r="M16"/>
    </row>
    <row r="17" spans="1:25">
      <c r="A17" s="20">
        <f t="shared" si="2"/>
        <v>252.96723300970874</v>
      </c>
      <c r="B17" t="s">
        <v>4870</v>
      </c>
      <c r="C17">
        <v>8013</v>
      </c>
      <c r="D17">
        <v>159089</v>
      </c>
      <c r="E17" s="9">
        <v>824</v>
      </c>
      <c r="F17" t="str">
        <f t="shared" si="3"/>
        <v>CO_Boulder County</v>
      </c>
      <c r="G17" s="20">
        <v>206111</v>
      </c>
      <c r="H17" s="78">
        <f t="shared" si="4"/>
        <v>1.0113239953229085</v>
      </c>
      <c r="I17" s="20">
        <v>208445</v>
      </c>
      <c r="J17" s="29">
        <f t="shared" si="5"/>
        <v>3.9530811485044013E-3</v>
      </c>
      <c r="K17" t="s">
        <v>4808</v>
      </c>
      <c r="L17" s="65">
        <f t="shared" si="6"/>
        <v>104.2225</v>
      </c>
      <c r="M17" s="28" t="s">
        <v>5990</v>
      </c>
      <c r="N17">
        <v>2</v>
      </c>
      <c r="P17">
        <v>5</v>
      </c>
      <c r="Q17">
        <v>1</v>
      </c>
      <c r="S17">
        <v>1</v>
      </c>
      <c r="T17" s="97">
        <f t="shared" ref="T17:Y18" si="9">IF(N17="","",N17/$E17)</f>
        <v>2.4271844660194173E-3</v>
      </c>
      <c r="U17" s="97" t="str">
        <f t="shared" si="9"/>
        <v/>
      </c>
      <c r="V17" s="97">
        <f t="shared" si="9"/>
        <v>6.0679611650485436E-3</v>
      </c>
      <c r="W17" s="97">
        <f t="shared" si="9"/>
        <v>1.2135922330097086E-3</v>
      </c>
      <c r="X17" s="97" t="str">
        <f t="shared" si="9"/>
        <v/>
      </c>
      <c r="Y17" s="97">
        <f t="shared" si="9"/>
        <v>1.2135922330097086E-3</v>
      </c>
    </row>
    <row r="18" spans="1:25">
      <c r="A18" s="20">
        <f t="shared" si="2"/>
        <v>747.66666666666652</v>
      </c>
      <c r="B18" t="s">
        <v>4871</v>
      </c>
      <c r="C18">
        <v>8014</v>
      </c>
      <c r="D18">
        <v>29077</v>
      </c>
      <c r="E18" s="9">
        <v>63</v>
      </c>
      <c r="F18" t="str">
        <f t="shared" si="3"/>
        <v>CO_Broomfield County</v>
      </c>
      <c r="G18" s="20">
        <v>46632</v>
      </c>
      <c r="H18" s="78">
        <f t="shared" si="4"/>
        <v>1.0101003602676273</v>
      </c>
      <c r="I18" s="20">
        <v>47102.999999999993</v>
      </c>
      <c r="J18" s="29">
        <f t="shared" si="5"/>
        <v>1.337494427106554E-3</v>
      </c>
      <c r="K18" t="s">
        <v>4809</v>
      </c>
      <c r="L18" s="65">
        <f t="shared" si="6"/>
        <v>23.551499999999997</v>
      </c>
      <c r="M18" s="28" t="s">
        <v>5991</v>
      </c>
      <c r="P18">
        <v>2</v>
      </c>
      <c r="T18" s="97" t="str">
        <f t="shared" si="9"/>
        <v/>
      </c>
      <c r="U18" s="97" t="str">
        <f t="shared" si="9"/>
        <v/>
      </c>
      <c r="V18" s="97">
        <f t="shared" si="9"/>
        <v>3.1746031746031744E-2</v>
      </c>
      <c r="W18" s="97" t="str">
        <f t="shared" si="9"/>
        <v/>
      </c>
      <c r="X18" s="97" t="str">
        <f t="shared" si="9"/>
        <v/>
      </c>
      <c r="Y18" s="97" t="str">
        <f t="shared" si="9"/>
        <v/>
      </c>
    </row>
    <row r="19" spans="1:25">
      <c r="A19" s="20">
        <f t="shared" si="2"/>
        <v>93.662162162162161</v>
      </c>
      <c r="B19" t="s">
        <v>4872</v>
      </c>
      <c r="C19">
        <v>8015</v>
      </c>
      <c r="D19">
        <v>7160</v>
      </c>
      <c r="E19" s="9">
        <v>148</v>
      </c>
      <c r="F19" t="str">
        <f t="shared" si="3"/>
        <v>CO_Chaffee County</v>
      </c>
      <c r="G19" s="20">
        <v>13718</v>
      </c>
      <c r="H19" s="78">
        <f t="shared" si="4"/>
        <v>1.0104971570199737</v>
      </c>
      <c r="I19" s="20">
        <v>13862</v>
      </c>
      <c r="J19" s="29">
        <f t="shared" si="5"/>
        <v>1.0676670033184244E-2</v>
      </c>
      <c r="K19" t="s">
        <v>4810</v>
      </c>
      <c r="L19" s="65">
        <f t="shared" si="6"/>
        <v>6.931</v>
      </c>
      <c r="M19"/>
    </row>
    <row r="20" spans="1:25">
      <c r="A20" s="20">
        <f t="shared" si="2"/>
        <v>3.7947019867549669</v>
      </c>
      <c r="B20" t="s">
        <v>4873</v>
      </c>
      <c r="C20">
        <v>8017</v>
      </c>
      <c r="D20">
        <v>131</v>
      </c>
      <c r="E20" s="9">
        <v>302</v>
      </c>
      <c r="F20" t="str">
        <f t="shared" si="3"/>
        <v>CO_Cheyenne County</v>
      </c>
      <c r="G20" s="20">
        <v>1136</v>
      </c>
      <c r="H20" s="78">
        <f t="shared" si="4"/>
        <v>1.0088028169014085</v>
      </c>
      <c r="I20" s="20">
        <v>1146</v>
      </c>
      <c r="J20" s="29">
        <f t="shared" si="5"/>
        <v>0.26352530541012215</v>
      </c>
      <c r="K20" t="s">
        <v>4811</v>
      </c>
      <c r="L20" s="65">
        <f t="shared" si="6"/>
        <v>0.57300000000000006</v>
      </c>
      <c r="M20" s="28" t="s">
        <v>5992</v>
      </c>
      <c r="N20">
        <v>2</v>
      </c>
      <c r="T20" s="97">
        <f t="shared" ref="T20:Y20" si="10">IF(N20="","",N20/$E20)</f>
        <v>6.6225165562913907E-3</v>
      </c>
      <c r="U20" s="97" t="str">
        <f t="shared" si="10"/>
        <v/>
      </c>
      <c r="V20" s="97" t="str">
        <f t="shared" si="10"/>
        <v/>
      </c>
      <c r="W20" s="97" t="str">
        <f t="shared" si="10"/>
        <v/>
      </c>
      <c r="X20" s="97" t="str">
        <f t="shared" si="10"/>
        <v/>
      </c>
      <c r="Y20" s="97" t="str">
        <f t="shared" si="10"/>
        <v/>
      </c>
    </row>
    <row r="21" spans="1:25">
      <c r="A21" s="20">
        <f t="shared" si="2"/>
        <v>108.32786885245902</v>
      </c>
      <c r="B21" t="s">
        <v>4874</v>
      </c>
      <c r="C21">
        <v>8019</v>
      </c>
      <c r="D21">
        <v>3604</v>
      </c>
      <c r="E21" s="9">
        <v>61</v>
      </c>
      <c r="F21" t="str">
        <f t="shared" si="3"/>
        <v>CO_Clear Creek County</v>
      </c>
      <c r="G21" s="20">
        <v>6548</v>
      </c>
      <c r="H21" s="78">
        <f t="shared" si="4"/>
        <v>1.0091631032376298</v>
      </c>
      <c r="I21" s="20">
        <v>6608</v>
      </c>
      <c r="J21" s="29">
        <f t="shared" si="5"/>
        <v>9.2312348668280864E-3</v>
      </c>
      <c r="K21" t="s">
        <v>4812</v>
      </c>
      <c r="L21" s="65">
        <f t="shared" si="6"/>
        <v>3.3040000000000003</v>
      </c>
      <c r="M21"/>
    </row>
    <row r="22" spans="1:25">
      <c r="A22" s="20">
        <f t="shared" si="2"/>
        <v>47.354838709677416</v>
      </c>
      <c r="B22" t="s">
        <v>4875</v>
      </c>
      <c r="C22">
        <v>8021</v>
      </c>
      <c r="D22">
        <v>1959</v>
      </c>
      <c r="E22" s="9">
        <v>93</v>
      </c>
      <c r="F22" t="str">
        <f t="shared" si="3"/>
        <v>CO_Conejos County</v>
      </c>
      <c r="G22" s="20">
        <v>4333</v>
      </c>
      <c r="H22" s="78">
        <f t="shared" si="4"/>
        <v>1.0163858758366029</v>
      </c>
      <c r="I22" s="20">
        <v>4404</v>
      </c>
      <c r="J22" s="29">
        <f t="shared" si="5"/>
        <v>2.111716621253406E-2</v>
      </c>
      <c r="K22" t="s">
        <v>4813</v>
      </c>
      <c r="L22" s="65">
        <f t="shared" si="6"/>
        <v>2.202</v>
      </c>
      <c r="M22" s="28" t="s">
        <v>5993</v>
      </c>
      <c r="N22">
        <v>1</v>
      </c>
      <c r="T22" s="97">
        <f t="shared" ref="T22:Y29" si="11">IF(N22="","",N22/$E22)</f>
        <v>1.0752688172043012E-2</v>
      </c>
      <c r="U22" s="97" t="str">
        <f t="shared" si="11"/>
        <v/>
      </c>
      <c r="V22" s="97" t="str">
        <f t="shared" si="11"/>
        <v/>
      </c>
      <c r="W22" s="97" t="str">
        <f t="shared" si="11"/>
        <v/>
      </c>
      <c r="X22" s="97" t="str">
        <f t="shared" si="11"/>
        <v/>
      </c>
      <c r="Y22" s="97" t="str">
        <f t="shared" si="11"/>
        <v/>
      </c>
    </row>
    <row r="23" spans="1:25">
      <c r="A23" s="20">
        <f t="shared" si="2"/>
        <v>89.125</v>
      </c>
      <c r="B23" t="s">
        <v>4876</v>
      </c>
      <c r="C23">
        <v>8023</v>
      </c>
      <c r="D23">
        <v>1311</v>
      </c>
      <c r="E23" s="9">
        <v>24</v>
      </c>
      <c r="F23" t="str">
        <f t="shared" si="3"/>
        <v>CO_Costilla County</v>
      </c>
      <c r="G23" s="20">
        <v>2094</v>
      </c>
      <c r="H23" s="78">
        <f t="shared" si="4"/>
        <v>1.0214899713467049</v>
      </c>
      <c r="I23" s="20">
        <v>2139</v>
      </c>
      <c r="J23" s="29">
        <f t="shared" si="5"/>
        <v>1.1220196353436185E-2</v>
      </c>
      <c r="K23" t="s">
        <v>4814</v>
      </c>
      <c r="L23" s="65">
        <f t="shared" si="6"/>
        <v>1.0695000000000001</v>
      </c>
      <c r="M23" s="28" t="s">
        <v>5994</v>
      </c>
      <c r="P23">
        <v>1</v>
      </c>
      <c r="T23" s="97" t="str">
        <f t="shared" si="11"/>
        <v/>
      </c>
      <c r="U23" s="97" t="str">
        <f t="shared" si="11"/>
        <v/>
      </c>
      <c r="V23" s="97">
        <f t="shared" si="11"/>
        <v>4.1666666666666664E-2</v>
      </c>
      <c r="W23" s="97" t="str">
        <f t="shared" si="11"/>
        <v/>
      </c>
      <c r="X23" s="97" t="str">
        <f t="shared" si="11"/>
        <v/>
      </c>
      <c r="Y23" s="97" t="str">
        <f t="shared" si="11"/>
        <v/>
      </c>
    </row>
    <row r="24" spans="1:25">
      <c r="A24" s="20">
        <f t="shared" si="2"/>
        <v>29.983050847457626</v>
      </c>
      <c r="B24" t="s">
        <v>4877</v>
      </c>
      <c r="C24">
        <v>8025</v>
      </c>
      <c r="D24">
        <v>437</v>
      </c>
      <c r="E24" s="9">
        <v>59</v>
      </c>
      <c r="F24" t="str">
        <f t="shared" si="3"/>
        <v>CO_Crowley County</v>
      </c>
      <c r="G24" s="20">
        <v>1750</v>
      </c>
      <c r="H24" s="78">
        <f t="shared" si="4"/>
        <v>1.0108571428571429</v>
      </c>
      <c r="I24" s="20">
        <v>1769</v>
      </c>
      <c r="J24" s="29">
        <f t="shared" si="5"/>
        <v>3.3352176370830981E-2</v>
      </c>
      <c r="K24" t="s">
        <v>4815</v>
      </c>
      <c r="L24" s="65">
        <f t="shared" si="6"/>
        <v>0.88450000000000006</v>
      </c>
      <c r="M24" s="28" t="s">
        <v>5995</v>
      </c>
      <c r="P24">
        <v>1</v>
      </c>
      <c r="T24" s="97" t="str">
        <f t="shared" si="11"/>
        <v/>
      </c>
      <c r="U24" s="97" t="str">
        <f t="shared" si="11"/>
        <v/>
      </c>
      <c r="V24" s="97">
        <f t="shared" si="11"/>
        <v>1.6949152542372881E-2</v>
      </c>
      <c r="W24" s="97" t="str">
        <f t="shared" si="11"/>
        <v/>
      </c>
      <c r="X24" s="97" t="str">
        <f t="shared" si="11"/>
        <v/>
      </c>
      <c r="Y24" s="97" t="str">
        <f t="shared" si="11"/>
        <v/>
      </c>
    </row>
    <row r="25" spans="1:25">
      <c r="A25" s="20">
        <f t="shared" si="2"/>
        <v>83.409090909090892</v>
      </c>
      <c r="B25" t="s">
        <v>4878</v>
      </c>
      <c r="C25">
        <v>8027</v>
      </c>
      <c r="D25">
        <v>1112</v>
      </c>
      <c r="E25" s="9">
        <v>44</v>
      </c>
      <c r="F25" t="str">
        <f t="shared" si="3"/>
        <v>CO_Custer County</v>
      </c>
      <c r="G25" s="20">
        <v>3635</v>
      </c>
      <c r="H25" s="78">
        <f t="shared" si="4"/>
        <v>1.0096286107290233</v>
      </c>
      <c r="I25" s="20">
        <v>3669.9999999999995</v>
      </c>
      <c r="J25" s="29">
        <f t="shared" si="5"/>
        <v>1.1989100817438694E-2</v>
      </c>
      <c r="K25" t="s">
        <v>4816</v>
      </c>
      <c r="L25" s="65">
        <f t="shared" si="6"/>
        <v>1.8349999999999997</v>
      </c>
      <c r="M25" s="28" t="s">
        <v>5996</v>
      </c>
      <c r="P25">
        <v>1</v>
      </c>
      <c r="T25" s="97" t="str">
        <f t="shared" si="11"/>
        <v/>
      </c>
      <c r="U25" s="97" t="str">
        <f t="shared" si="11"/>
        <v/>
      </c>
      <c r="V25" s="97">
        <f t="shared" si="11"/>
        <v>2.2727272727272728E-2</v>
      </c>
      <c r="W25" s="97" t="str">
        <f t="shared" si="11"/>
        <v/>
      </c>
      <c r="X25" s="97" t="str">
        <f t="shared" si="11"/>
        <v/>
      </c>
      <c r="Y25" s="97" t="str">
        <f t="shared" si="11"/>
        <v/>
      </c>
    </row>
    <row r="26" spans="1:25">
      <c r="A26" s="20">
        <f t="shared" si="2"/>
        <v>488.82499999999999</v>
      </c>
      <c r="B26" t="s">
        <v>4879</v>
      </c>
      <c r="C26">
        <v>8029</v>
      </c>
      <c r="D26">
        <v>5887</v>
      </c>
      <c r="E26" s="9">
        <v>40</v>
      </c>
      <c r="F26" t="str">
        <f t="shared" si="3"/>
        <v>CO_Delta County</v>
      </c>
      <c r="G26" s="20">
        <v>19370</v>
      </c>
      <c r="H26" s="78">
        <f t="shared" si="4"/>
        <v>1.0094475993804852</v>
      </c>
      <c r="I26" s="20">
        <v>19553</v>
      </c>
      <c r="J26" s="29">
        <f t="shared" si="5"/>
        <v>2.0457218841098551E-3</v>
      </c>
      <c r="K26" t="s">
        <v>4817</v>
      </c>
      <c r="L26" s="65">
        <f t="shared" si="6"/>
        <v>9.7765000000000004</v>
      </c>
      <c r="M26" s="28" t="s">
        <v>5997</v>
      </c>
      <c r="N26">
        <v>1</v>
      </c>
      <c r="T26" s="97">
        <f t="shared" si="11"/>
        <v>2.5000000000000001E-2</v>
      </c>
      <c r="U26" s="97" t="str">
        <f t="shared" si="11"/>
        <v/>
      </c>
      <c r="V26" s="97" t="str">
        <f t="shared" si="11"/>
        <v/>
      </c>
      <c r="W26" s="97" t="str">
        <f t="shared" si="11"/>
        <v/>
      </c>
      <c r="X26" s="97" t="str">
        <f t="shared" si="11"/>
        <v/>
      </c>
      <c r="Y26" s="97" t="str">
        <f t="shared" si="11"/>
        <v/>
      </c>
    </row>
    <row r="27" spans="1:25">
      <c r="A27" s="20">
        <f t="shared" si="2"/>
        <v>2259.0133843212238</v>
      </c>
      <c r="B27" t="s">
        <v>4880</v>
      </c>
      <c r="C27">
        <v>8031</v>
      </c>
      <c r="D27">
        <v>313293</v>
      </c>
      <c r="E27" s="9">
        <v>523</v>
      </c>
      <c r="F27" t="str">
        <f t="shared" si="3"/>
        <v>CO_Denver County</v>
      </c>
      <c r="G27" s="20">
        <v>393829</v>
      </c>
      <c r="H27" s="78">
        <f t="shared" si="4"/>
        <v>2.9999415990188636</v>
      </c>
      <c r="I27" s="20">
        <v>1181464</v>
      </c>
      <c r="J27" s="29">
        <f t="shared" si="5"/>
        <v>4.4267112666996201E-4</v>
      </c>
      <c r="K27" t="s">
        <v>4818</v>
      </c>
      <c r="L27" s="65">
        <f t="shared" si="6"/>
        <v>590.73199999999997</v>
      </c>
      <c r="M27" s="28" t="s">
        <v>5998</v>
      </c>
      <c r="O27">
        <v>1</v>
      </c>
      <c r="P27">
        <v>1</v>
      </c>
      <c r="R27">
        <v>1</v>
      </c>
      <c r="T27" s="97" t="str">
        <f t="shared" si="11"/>
        <v/>
      </c>
      <c r="U27" s="97">
        <f t="shared" si="11"/>
        <v>1.9120458891013384E-3</v>
      </c>
      <c r="V27" s="97">
        <f t="shared" si="11"/>
        <v>1.9120458891013384E-3</v>
      </c>
      <c r="W27" s="97" t="str">
        <f t="shared" si="11"/>
        <v/>
      </c>
      <c r="X27" s="97">
        <f t="shared" si="11"/>
        <v>1.9120458891013384E-3</v>
      </c>
      <c r="Y27" s="97" t="str">
        <f t="shared" si="11"/>
        <v/>
      </c>
    </row>
    <row r="28" spans="1:25">
      <c r="A28" s="20">
        <f t="shared" si="2"/>
        <v>28.846153846153847</v>
      </c>
      <c r="B28" t="s">
        <v>4881</v>
      </c>
      <c r="C28">
        <v>8033</v>
      </c>
      <c r="D28">
        <v>341</v>
      </c>
      <c r="E28" s="9">
        <v>52</v>
      </c>
      <c r="F28" t="str">
        <f t="shared" si="3"/>
        <v>CO_Dolores County</v>
      </c>
      <c r="G28" s="20">
        <v>1449</v>
      </c>
      <c r="H28" s="78">
        <f t="shared" si="4"/>
        <v>1.0351966873706004</v>
      </c>
      <c r="I28" s="20">
        <v>1500</v>
      </c>
      <c r="J28" s="29">
        <f t="shared" si="5"/>
        <v>3.4666666666666665E-2</v>
      </c>
      <c r="K28" t="s">
        <v>4819</v>
      </c>
      <c r="L28" s="65">
        <f t="shared" si="6"/>
        <v>0.75</v>
      </c>
      <c r="M28" s="28" t="s">
        <v>5999</v>
      </c>
      <c r="P28">
        <v>4</v>
      </c>
      <c r="T28" s="97" t="str">
        <f t="shared" si="11"/>
        <v/>
      </c>
      <c r="U28" s="97" t="str">
        <f t="shared" si="11"/>
        <v/>
      </c>
      <c r="V28" s="97">
        <f t="shared" si="11"/>
        <v>7.6923076923076927E-2</v>
      </c>
      <c r="W28" s="97" t="str">
        <f t="shared" si="11"/>
        <v/>
      </c>
      <c r="X28" s="97" t="str">
        <f t="shared" si="11"/>
        <v/>
      </c>
      <c r="Y28" s="97" t="str">
        <f t="shared" si="11"/>
        <v/>
      </c>
    </row>
    <row r="29" spans="1:25">
      <c r="A29" s="20">
        <f t="shared" si="2"/>
        <v>918.713725490196</v>
      </c>
      <c r="B29" t="s">
        <v>4882</v>
      </c>
      <c r="C29">
        <v>8035</v>
      </c>
      <c r="D29">
        <v>104653</v>
      </c>
      <c r="E29" s="9">
        <v>255</v>
      </c>
      <c r="F29" t="str">
        <f t="shared" si="3"/>
        <v>CO_Douglas County</v>
      </c>
      <c r="G29" s="20">
        <v>231605</v>
      </c>
      <c r="H29" s="78">
        <f t="shared" si="4"/>
        <v>1.0115152954383539</v>
      </c>
      <c r="I29" s="20">
        <v>234271.99999999997</v>
      </c>
      <c r="J29" s="29">
        <f t="shared" si="5"/>
        <v>1.0884783499521924E-3</v>
      </c>
      <c r="K29" t="s">
        <v>4820</v>
      </c>
      <c r="L29" s="65">
        <f t="shared" si="6"/>
        <v>117.13599999999998</v>
      </c>
      <c r="M29" s="28" t="s">
        <v>6000</v>
      </c>
      <c r="N29">
        <v>1</v>
      </c>
      <c r="P29">
        <v>3</v>
      </c>
      <c r="T29" s="97">
        <f t="shared" si="11"/>
        <v>3.9215686274509803E-3</v>
      </c>
      <c r="U29" s="97" t="str">
        <f t="shared" si="11"/>
        <v/>
      </c>
      <c r="V29" s="97">
        <f t="shared" si="11"/>
        <v>1.1764705882352941E-2</v>
      </c>
      <c r="W29" s="97" t="str">
        <f t="shared" si="11"/>
        <v/>
      </c>
      <c r="X29" s="97" t="str">
        <f t="shared" si="11"/>
        <v/>
      </c>
      <c r="Y29" s="97" t="str">
        <f t="shared" si="11"/>
        <v/>
      </c>
    </row>
    <row r="30" spans="1:25">
      <c r="A30" s="20">
        <f t="shared" si="2"/>
        <v>597.84693877551024</v>
      </c>
      <c r="B30" t="s">
        <v>4883</v>
      </c>
      <c r="C30">
        <v>8037</v>
      </c>
      <c r="D30">
        <v>18588</v>
      </c>
      <c r="E30" s="9">
        <v>98</v>
      </c>
      <c r="F30" t="str">
        <f t="shared" si="3"/>
        <v>CO_Eagle County</v>
      </c>
      <c r="G30" s="20">
        <v>29140</v>
      </c>
      <c r="H30" s="78">
        <f t="shared" si="4"/>
        <v>2.0106039807824296</v>
      </c>
      <c r="I30" s="20">
        <v>58589</v>
      </c>
      <c r="J30" s="29">
        <f t="shared" si="5"/>
        <v>1.6726689310280086E-3</v>
      </c>
      <c r="K30" t="s">
        <v>4821</v>
      </c>
      <c r="L30" s="65">
        <f t="shared" si="6"/>
        <v>29.294499999999999</v>
      </c>
      <c r="M30"/>
    </row>
    <row r="31" spans="1:25">
      <c r="A31" s="20">
        <f t="shared" si="2"/>
        <v>320.15313807531385</v>
      </c>
      <c r="B31" t="s">
        <v>4884</v>
      </c>
      <c r="C31">
        <v>8041</v>
      </c>
      <c r="D31">
        <v>161941</v>
      </c>
      <c r="E31" s="9">
        <v>1195</v>
      </c>
      <c r="F31" t="str">
        <f t="shared" si="3"/>
        <v>CO_El Paso County</v>
      </c>
      <c r="G31" s="20">
        <v>378851</v>
      </c>
      <c r="H31" s="78">
        <f t="shared" si="4"/>
        <v>1.0098508384562799</v>
      </c>
      <c r="I31" s="20">
        <v>382583.00000000006</v>
      </c>
      <c r="J31" s="29">
        <f t="shared" si="5"/>
        <v>3.1235052263169031E-3</v>
      </c>
      <c r="K31" t="s">
        <v>4822</v>
      </c>
      <c r="L31" s="65">
        <f t="shared" si="6"/>
        <v>191.29150000000004</v>
      </c>
      <c r="M31" s="28" t="s">
        <v>6001</v>
      </c>
      <c r="O31">
        <v>1</v>
      </c>
      <c r="P31">
        <v>8</v>
      </c>
      <c r="Q31">
        <v>8</v>
      </c>
      <c r="S31">
        <v>5</v>
      </c>
      <c r="T31" s="97" t="str">
        <f t="shared" ref="T31:Y31" si="12">IF(N31="","",N31/$E31)</f>
        <v/>
      </c>
      <c r="U31" s="97">
        <f t="shared" si="12"/>
        <v>8.3682008368200832E-4</v>
      </c>
      <c r="V31" s="97">
        <f t="shared" si="12"/>
        <v>6.6945606694560665E-3</v>
      </c>
      <c r="W31" s="97">
        <f t="shared" si="12"/>
        <v>6.6945606694560665E-3</v>
      </c>
      <c r="X31" s="97" t="str">
        <f t="shared" si="12"/>
        <v/>
      </c>
      <c r="Y31" s="97">
        <f t="shared" si="12"/>
        <v>4.1841004184100415E-3</v>
      </c>
    </row>
    <row r="32" spans="1:25">
      <c r="A32" s="20">
        <f t="shared" si="2"/>
        <v>797.91666666666663</v>
      </c>
      <c r="B32" t="s">
        <v>4885</v>
      </c>
      <c r="C32">
        <v>8039</v>
      </c>
      <c r="D32">
        <v>4490</v>
      </c>
      <c r="E32" s="9">
        <v>24</v>
      </c>
      <c r="F32" t="str">
        <f t="shared" si="3"/>
        <v>CO_Elbert County</v>
      </c>
      <c r="G32" s="20">
        <v>18983</v>
      </c>
      <c r="H32" s="78">
        <f t="shared" si="4"/>
        <v>1.0087973449928884</v>
      </c>
      <c r="I32" s="20">
        <v>19150</v>
      </c>
      <c r="J32" s="29">
        <f t="shared" si="5"/>
        <v>1.2532637075718016E-3</v>
      </c>
      <c r="K32" t="s">
        <v>4823</v>
      </c>
      <c r="L32" s="65">
        <f t="shared" si="6"/>
        <v>9.5750000000000011</v>
      </c>
      <c r="M32"/>
    </row>
    <row r="33" spans="1:25">
      <c r="A33" s="20">
        <f t="shared" si="2"/>
        <v>341.41558441558442</v>
      </c>
      <c r="B33" t="s">
        <v>4886</v>
      </c>
      <c r="C33">
        <v>8043</v>
      </c>
      <c r="D33">
        <v>7369</v>
      </c>
      <c r="E33" s="9">
        <v>77</v>
      </c>
      <c r="F33" t="str">
        <f t="shared" si="3"/>
        <v>CO_Fremont County</v>
      </c>
      <c r="G33" s="20">
        <v>25557</v>
      </c>
      <c r="H33" s="78">
        <f t="shared" si="4"/>
        <v>1.0286418593731659</v>
      </c>
      <c r="I33" s="20">
        <v>26289</v>
      </c>
      <c r="J33" s="29">
        <f t="shared" si="5"/>
        <v>2.9289817033740346E-3</v>
      </c>
      <c r="K33" t="s">
        <v>4824</v>
      </c>
      <c r="L33" s="65">
        <f t="shared" si="6"/>
        <v>13.144500000000001</v>
      </c>
      <c r="M33"/>
    </row>
    <row r="34" spans="1:25">
      <c r="A34" s="20">
        <f t="shared" si="2"/>
        <v>145.32558139534885</v>
      </c>
      <c r="B34" t="s">
        <v>4887</v>
      </c>
      <c r="C34">
        <v>8045</v>
      </c>
      <c r="D34">
        <v>15427</v>
      </c>
      <c r="E34" s="9">
        <v>215</v>
      </c>
      <c r="F34" t="str">
        <f t="shared" si="3"/>
        <v>CO_Garfield County</v>
      </c>
      <c r="G34" s="20">
        <v>30904</v>
      </c>
      <c r="H34" s="78">
        <f t="shared" si="4"/>
        <v>1.0110341703339374</v>
      </c>
      <c r="I34" s="20">
        <v>31245.000000000004</v>
      </c>
      <c r="J34" s="29">
        <f t="shared" si="5"/>
        <v>6.8811009761561839E-3</v>
      </c>
      <c r="K34" t="s">
        <v>4825</v>
      </c>
      <c r="L34" s="65">
        <f t="shared" si="6"/>
        <v>15.622500000000002</v>
      </c>
      <c r="M34"/>
    </row>
    <row r="35" spans="1:25">
      <c r="A35" s="20">
        <f t="shared" si="2"/>
        <v>8.3117647058823536</v>
      </c>
      <c r="B35" t="s">
        <v>4888</v>
      </c>
      <c r="C35">
        <v>8047</v>
      </c>
      <c r="D35">
        <v>2223</v>
      </c>
      <c r="E35" s="9">
        <v>510</v>
      </c>
      <c r="F35" t="str">
        <f t="shared" si="3"/>
        <v>CO_Gilpin County</v>
      </c>
      <c r="G35" s="20">
        <v>4186</v>
      </c>
      <c r="H35" s="78">
        <f t="shared" si="4"/>
        <v>1.0126612517916866</v>
      </c>
      <c r="I35" s="20">
        <v>4239</v>
      </c>
      <c r="J35" s="29">
        <f t="shared" si="5"/>
        <v>0.12031139419674451</v>
      </c>
      <c r="K35" t="s">
        <v>4826</v>
      </c>
      <c r="L35" s="65">
        <f t="shared" si="6"/>
        <v>2.1194999999999999</v>
      </c>
      <c r="M35" s="28" t="s">
        <v>6002</v>
      </c>
      <c r="N35">
        <v>2</v>
      </c>
      <c r="P35">
        <v>8</v>
      </c>
      <c r="T35" s="97">
        <f t="shared" ref="T35:Y35" si="13">IF(N35="","",N35/$E35)</f>
        <v>3.9215686274509803E-3</v>
      </c>
      <c r="U35" s="97" t="str">
        <f t="shared" si="13"/>
        <v/>
      </c>
      <c r="V35" s="97">
        <f t="shared" si="13"/>
        <v>1.5686274509803921E-2</v>
      </c>
      <c r="W35" s="97" t="str">
        <f t="shared" si="13"/>
        <v/>
      </c>
      <c r="X35" s="97" t="str">
        <f t="shared" si="13"/>
        <v/>
      </c>
      <c r="Y35" s="97" t="str">
        <f t="shared" si="13"/>
        <v/>
      </c>
    </row>
    <row r="36" spans="1:25">
      <c r="A36" s="20">
        <f t="shared" si="2"/>
        <v>190.6</v>
      </c>
      <c r="B36" t="s">
        <v>4889</v>
      </c>
      <c r="C36">
        <v>8049</v>
      </c>
      <c r="D36">
        <v>4710</v>
      </c>
      <c r="E36" s="9">
        <v>55</v>
      </c>
      <c r="F36" t="str">
        <f t="shared" si="3"/>
        <v>CO_Grand County</v>
      </c>
      <c r="G36" s="20">
        <v>9870</v>
      </c>
      <c r="H36" s="78">
        <f t="shared" si="4"/>
        <v>1.0621073961499494</v>
      </c>
      <c r="I36" s="20">
        <v>10483</v>
      </c>
      <c r="J36" s="29">
        <f t="shared" si="5"/>
        <v>5.246589716684155E-3</v>
      </c>
      <c r="K36" t="s">
        <v>4827</v>
      </c>
      <c r="L36" s="65">
        <f t="shared" si="6"/>
        <v>5.2415000000000003</v>
      </c>
      <c r="M36"/>
    </row>
    <row r="37" spans="1:25">
      <c r="A37" s="20">
        <f t="shared" si="2"/>
        <v>45.714285714285715</v>
      </c>
      <c r="B37" t="s">
        <v>4891</v>
      </c>
      <c r="C37">
        <v>8053</v>
      </c>
      <c r="D37">
        <v>255</v>
      </c>
      <c r="E37" s="9">
        <v>14</v>
      </c>
      <c r="F37" t="str">
        <f t="shared" si="3"/>
        <v>CO_Hinsdale County</v>
      </c>
      <c r="G37" s="20">
        <v>632</v>
      </c>
      <c r="H37" s="78">
        <f t="shared" si="4"/>
        <v>1.0126582278481013</v>
      </c>
      <c r="I37" s="20">
        <v>640</v>
      </c>
      <c r="J37" s="29">
        <f t="shared" si="5"/>
        <v>2.1874999999999999E-2</v>
      </c>
      <c r="K37" t="s">
        <v>4828</v>
      </c>
      <c r="L37" s="65">
        <f t="shared" si="6"/>
        <v>0.32</v>
      </c>
      <c r="M37"/>
    </row>
    <row r="38" spans="1:25">
      <c r="A38" s="20">
        <f t="shared" si="2"/>
        <v>131.14705882352942</v>
      </c>
      <c r="B38" t="s">
        <v>4892</v>
      </c>
      <c r="C38">
        <v>8055</v>
      </c>
      <c r="D38">
        <v>2076</v>
      </c>
      <c r="E38" s="9">
        <v>34</v>
      </c>
      <c r="F38" t="str">
        <f t="shared" si="3"/>
        <v>CO_Huerfano County</v>
      </c>
      <c r="G38" s="20">
        <v>4406</v>
      </c>
      <c r="H38" s="78">
        <f t="shared" si="4"/>
        <v>1.0120290512936905</v>
      </c>
      <c r="I38" s="20">
        <v>4459</v>
      </c>
      <c r="J38" s="29">
        <f t="shared" si="5"/>
        <v>7.6250280331912985E-3</v>
      </c>
      <c r="K38" t="s">
        <v>4829</v>
      </c>
      <c r="L38" s="65">
        <f t="shared" si="6"/>
        <v>2.2295000000000003</v>
      </c>
      <c r="M38"/>
    </row>
    <row r="39" spans="1:25">
      <c r="A39" s="20">
        <f t="shared" si="2"/>
        <v>22.224999999999998</v>
      </c>
      <c r="B39" t="s">
        <v>4893</v>
      </c>
      <c r="C39">
        <v>8057</v>
      </c>
      <c r="D39">
        <v>175</v>
      </c>
      <c r="E39" s="9">
        <v>40</v>
      </c>
      <c r="F39" t="str">
        <f t="shared" si="3"/>
        <v>CO_Jackson County</v>
      </c>
      <c r="G39" s="20">
        <v>876</v>
      </c>
      <c r="H39" s="78">
        <f t="shared" si="4"/>
        <v>1.0148401826484017</v>
      </c>
      <c r="I39" s="20">
        <v>888.99999999999989</v>
      </c>
      <c r="J39" s="29">
        <f t="shared" si="5"/>
        <v>4.4994375703037125E-2</v>
      </c>
      <c r="K39" t="s">
        <v>4830</v>
      </c>
      <c r="L39" s="65">
        <f t="shared" si="6"/>
        <v>0.44449999999999995</v>
      </c>
      <c r="M39"/>
    </row>
    <row r="40" spans="1:25">
      <c r="A40" s="20">
        <f t="shared" si="2"/>
        <v>1667.3973799126641</v>
      </c>
      <c r="B40" t="s">
        <v>4894</v>
      </c>
      <c r="C40">
        <v>8059</v>
      </c>
      <c r="D40">
        <v>218396</v>
      </c>
      <c r="E40" s="9">
        <v>229</v>
      </c>
      <c r="F40" t="str">
        <f t="shared" si="3"/>
        <v>CO_Jefferson County</v>
      </c>
      <c r="G40" s="20">
        <v>377358</v>
      </c>
      <c r="H40" s="78">
        <f t="shared" si="4"/>
        <v>1.0118614154198402</v>
      </c>
      <c r="I40" s="20">
        <v>381834.00000000006</v>
      </c>
      <c r="J40" s="29">
        <f t="shared" si="5"/>
        <v>5.997370585123377E-4</v>
      </c>
      <c r="K40" t="s">
        <v>4831</v>
      </c>
      <c r="L40" s="65">
        <f t="shared" si="6"/>
        <v>190.91700000000003</v>
      </c>
      <c r="M40" s="28" t="s">
        <v>6003</v>
      </c>
      <c r="P40">
        <v>1</v>
      </c>
      <c r="T40" s="97" t="str">
        <f t="shared" ref="T40:Y40" si="14">IF(N40="","",N40/$E40)</f>
        <v/>
      </c>
      <c r="U40" s="97" t="str">
        <f t="shared" si="14"/>
        <v/>
      </c>
      <c r="V40" s="97">
        <f t="shared" si="14"/>
        <v>4.3668122270742356E-3</v>
      </c>
      <c r="W40" s="97" t="str">
        <f t="shared" si="14"/>
        <v/>
      </c>
      <c r="X40" s="97" t="str">
        <f t="shared" si="14"/>
        <v/>
      </c>
      <c r="Y40" s="97" t="str">
        <f t="shared" si="14"/>
        <v/>
      </c>
    </row>
    <row r="41" spans="1:25">
      <c r="A41" s="20">
        <f t="shared" si="2"/>
        <v>27.545454545454547</v>
      </c>
      <c r="B41" t="s">
        <v>4895</v>
      </c>
      <c r="C41">
        <v>8061</v>
      </c>
      <c r="D41">
        <v>98</v>
      </c>
      <c r="E41" s="9">
        <v>33</v>
      </c>
      <c r="F41" t="str">
        <f t="shared" si="3"/>
        <v>CO_Kiowa County</v>
      </c>
      <c r="G41" s="20">
        <v>903</v>
      </c>
      <c r="H41" s="78">
        <f t="shared" si="4"/>
        <v>1.0066445182724253</v>
      </c>
      <c r="I41" s="20">
        <v>909</v>
      </c>
      <c r="J41" s="29">
        <f t="shared" si="5"/>
        <v>3.6303630363036306E-2</v>
      </c>
      <c r="K41" t="s">
        <v>4832</v>
      </c>
      <c r="L41" s="65">
        <f t="shared" si="6"/>
        <v>0.45450000000000002</v>
      </c>
      <c r="M41"/>
    </row>
    <row r="42" spans="1:25">
      <c r="A42" s="20">
        <f t="shared" si="2"/>
        <v>299.38461538461542</v>
      </c>
      <c r="B42" t="s">
        <v>4896</v>
      </c>
      <c r="C42">
        <v>8063</v>
      </c>
      <c r="D42">
        <v>662</v>
      </c>
      <c r="E42" s="9">
        <v>13</v>
      </c>
      <c r="F42" t="str">
        <f t="shared" si="3"/>
        <v>CO_Kit Carson County</v>
      </c>
      <c r="G42" s="20">
        <v>3871</v>
      </c>
      <c r="H42" s="78">
        <f t="shared" si="4"/>
        <v>1.0054249547920435</v>
      </c>
      <c r="I42" s="20">
        <v>3892.0000000000005</v>
      </c>
      <c r="J42" s="29">
        <f t="shared" si="5"/>
        <v>3.3401849948612537E-3</v>
      </c>
      <c r="K42" t="s">
        <v>4833</v>
      </c>
      <c r="L42" s="65">
        <f t="shared" si="6"/>
        <v>1.9460000000000002</v>
      </c>
      <c r="M42"/>
    </row>
    <row r="43" spans="1:25">
      <c r="A43" s="20">
        <f t="shared" ref="A43:A72" si="15">I43/E43</f>
        <v>455.63291139240505</v>
      </c>
      <c r="B43" t="s">
        <v>4897</v>
      </c>
      <c r="C43">
        <v>8067</v>
      </c>
      <c r="D43">
        <v>20548</v>
      </c>
      <c r="E43" s="9">
        <v>79</v>
      </c>
      <c r="F43" t="str">
        <f t="shared" ref="F43:F74" si="16">CONCATENATE("CO_",PROPER(B43)," County")</f>
        <v>CO_La Plata County</v>
      </c>
      <c r="G43" s="20">
        <v>35667</v>
      </c>
      <c r="H43" s="78">
        <f t="shared" ref="H43:H72" si="17">I43/G43</f>
        <v>1.0091961757366754</v>
      </c>
      <c r="I43" s="20">
        <v>35995</v>
      </c>
      <c r="J43" s="29">
        <f t="shared" ref="J43:J74" si="18">E43/I43</f>
        <v>2.1947492707320459E-3</v>
      </c>
      <c r="K43" t="s">
        <v>4834</v>
      </c>
      <c r="L43" s="65">
        <f t="shared" ref="L43:L74" si="19">L$10*I43</f>
        <v>17.997499999999999</v>
      </c>
      <c r="M43"/>
    </row>
    <row r="44" spans="1:25">
      <c r="A44" s="20">
        <f t="shared" si="15"/>
        <v>58.115942028985508</v>
      </c>
      <c r="B44" t="s">
        <v>4898</v>
      </c>
      <c r="C44">
        <v>8065</v>
      </c>
      <c r="D44">
        <v>2303</v>
      </c>
      <c r="E44" s="9">
        <v>69</v>
      </c>
      <c r="F44" t="str">
        <f t="shared" si="16"/>
        <v>CO_Lake County</v>
      </c>
      <c r="G44" s="20">
        <v>3961</v>
      </c>
      <c r="H44" s="78">
        <f t="shared" si="17"/>
        <v>1.0123706134814441</v>
      </c>
      <c r="I44" s="20">
        <v>4010</v>
      </c>
      <c r="J44" s="29">
        <f t="shared" si="18"/>
        <v>1.7206982543640899E-2</v>
      </c>
      <c r="K44" t="s">
        <v>4835</v>
      </c>
      <c r="L44" s="65">
        <f t="shared" si="19"/>
        <v>2.0049999999999999</v>
      </c>
      <c r="M44" s="28" t="s">
        <v>6004</v>
      </c>
      <c r="P44">
        <v>1</v>
      </c>
      <c r="T44" s="97" t="str">
        <f t="shared" ref="T44:Y44" si="20">IF(N44="","",N44/$E44)</f>
        <v/>
      </c>
      <c r="U44" s="97" t="str">
        <f t="shared" si="20"/>
        <v/>
      </c>
      <c r="V44" s="97">
        <f t="shared" si="20"/>
        <v>1.4492753623188406E-2</v>
      </c>
      <c r="W44" s="97" t="str">
        <f t="shared" si="20"/>
        <v/>
      </c>
      <c r="X44" s="97" t="str">
        <f t="shared" si="20"/>
        <v/>
      </c>
      <c r="Y44" s="97" t="str">
        <f t="shared" si="20"/>
        <v/>
      </c>
    </row>
    <row r="45" spans="1:25">
      <c r="A45" s="20">
        <f t="shared" si="15"/>
        <v>1117.7142857142856</v>
      </c>
      <c r="B45" t="s">
        <v>4899</v>
      </c>
      <c r="C45">
        <v>8069</v>
      </c>
      <c r="D45">
        <v>126120</v>
      </c>
      <c r="E45" s="9">
        <v>203</v>
      </c>
      <c r="F45" t="str">
        <f t="shared" si="16"/>
        <v>CO_Larimer County</v>
      </c>
      <c r="G45" s="20">
        <v>224338</v>
      </c>
      <c r="H45" s="78">
        <f t="shared" si="17"/>
        <v>1.0114024373935757</v>
      </c>
      <c r="I45" s="20">
        <v>226895.99999999997</v>
      </c>
      <c r="J45" s="29">
        <f t="shared" si="18"/>
        <v>8.9468302658486719E-4</v>
      </c>
      <c r="K45" t="s">
        <v>4836</v>
      </c>
      <c r="L45" s="65">
        <f t="shared" si="19"/>
        <v>113.44799999999999</v>
      </c>
      <c r="M45"/>
    </row>
    <row r="46" spans="1:25">
      <c r="A46" s="20">
        <f t="shared" si="15"/>
        <v>251.93749999999997</v>
      </c>
      <c r="B46" t="s">
        <v>4900</v>
      </c>
      <c r="C46">
        <v>8071</v>
      </c>
      <c r="D46">
        <v>3497</v>
      </c>
      <c r="E46" s="9">
        <v>32</v>
      </c>
      <c r="F46" t="str">
        <f t="shared" si="16"/>
        <v>CO_Las Animas County</v>
      </c>
      <c r="G46" s="20">
        <v>7961</v>
      </c>
      <c r="H46" s="78">
        <f t="shared" si="17"/>
        <v>1.0126868483858811</v>
      </c>
      <c r="I46" s="20">
        <v>8061.9999999999991</v>
      </c>
      <c r="J46" s="29">
        <f t="shared" si="18"/>
        <v>3.9692384023815438E-3</v>
      </c>
      <c r="K46" t="s">
        <v>4837</v>
      </c>
      <c r="L46" s="65">
        <f t="shared" si="19"/>
        <v>4.0309999999999997</v>
      </c>
      <c r="M46"/>
    </row>
    <row r="47" spans="1:25">
      <c r="A47" s="20">
        <f t="shared" si="15"/>
        <v>61.976744186046524</v>
      </c>
      <c r="B47" t="s">
        <v>4901</v>
      </c>
      <c r="C47">
        <v>8073</v>
      </c>
      <c r="D47">
        <v>470</v>
      </c>
      <c r="E47" s="9">
        <v>43</v>
      </c>
      <c r="F47" t="str">
        <f t="shared" si="16"/>
        <v>CO_Lincoln County</v>
      </c>
      <c r="G47" s="20">
        <v>2651</v>
      </c>
      <c r="H47" s="78">
        <f t="shared" si="17"/>
        <v>1.0052810260279141</v>
      </c>
      <c r="I47" s="20">
        <v>2665.0000000000005</v>
      </c>
      <c r="J47" s="29">
        <f t="shared" si="18"/>
        <v>1.613508442776735E-2</v>
      </c>
      <c r="K47" t="s">
        <v>4838</v>
      </c>
      <c r="L47" s="65">
        <f t="shared" si="19"/>
        <v>1.3325000000000002</v>
      </c>
      <c r="M47"/>
    </row>
    <row r="48" spans="1:25">
      <c r="A48" s="20">
        <f t="shared" si="15"/>
        <v>562.36842105263145</v>
      </c>
      <c r="B48" t="s">
        <v>4902</v>
      </c>
      <c r="C48">
        <v>8075</v>
      </c>
      <c r="D48">
        <v>2218</v>
      </c>
      <c r="E48" s="9">
        <v>19</v>
      </c>
      <c r="F48" t="str">
        <f t="shared" si="16"/>
        <v>CO_Logan County</v>
      </c>
      <c r="G48" s="20">
        <v>10532</v>
      </c>
      <c r="H48" s="78">
        <f t="shared" si="17"/>
        <v>1.0145271553361184</v>
      </c>
      <c r="I48" s="20">
        <v>10684.999999999998</v>
      </c>
      <c r="J48" s="29">
        <f t="shared" si="18"/>
        <v>1.7781937295273751E-3</v>
      </c>
      <c r="K48" t="s">
        <v>4839</v>
      </c>
      <c r="L48" s="65">
        <f t="shared" si="19"/>
        <v>5.3424999999999994</v>
      </c>
      <c r="M48"/>
    </row>
    <row r="49" spans="1:25">
      <c r="A49" s="20">
        <f t="shared" si="15"/>
        <v>1173.1538461538462</v>
      </c>
      <c r="B49" t="s">
        <v>4903</v>
      </c>
      <c r="C49">
        <v>8077</v>
      </c>
      <c r="D49">
        <v>31536</v>
      </c>
      <c r="E49" s="9">
        <v>78</v>
      </c>
      <c r="F49" t="str">
        <f t="shared" si="16"/>
        <v>CO_Mesa County</v>
      </c>
      <c r="G49" s="20">
        <v>90623</v>
      </c>
      <c r="H49" s="78">
        <f t="shared" si="17"/>
        <v>1.0097436633084316</v>
      </c>
      <c r="I49" s="20">
        <v>91506</v>
      </c>
      <c r="J49" s="29">
        <f t="shared" si="18"/>
        <v>8.5240312110681268E-4</v>
      </c>
      <c r="K49" t="s">
        <v>4840</v>
      </c>
      <c r="L49" s="65">
        <f t="shared" si="19"/>
        <v>45.753</v>
      </c>
      <c r="M49"/>
    </row>
    <row r="50" spans="1:25">
      <c r="A50" s="20">
        <f t="shared" si="15"/>
        <v>30.679999999999996</v>
      </c>
      <c r="B50" t="s">
        <v>4904</v>
      </c>
      <c r="C50">
        <v>8079</v>
      </c>
      <c r="D50">
        <v>317</v>
      </c>
      <c r="E50" s="9">
        <v>25</v>
      </c>
      <c r="F50" t="str">
        <f t="shared" si="16"/>
        <v>CO_Mineral County</v>
      </c>
      <c r="G50" s="20">
        <v>756</v>
      </c>
      <c r="H50" s="78">
        <f t="shared" si="17"/>
        <v>1.0145502645502644</v>
      </c>
      <c r="I50" s="20">
        <v>766.99999999999989</v>
      </c>
      <c r="J50" s="29">
        <f t="shared" si="18"/>
        <v>3.2594524119947857E-2</v>
      </c>
      <c r="K50" t="s">
        <v>4841</v>
      </c>
      <c r="L50" s="65">
        <f t="shared" si="19"/>
        <v>0.38349999999999995</v>
      </c>
      <c r="M50" s="28" t="s">
        <v>6005</v>
      </c>
      <c r="Q50">
        <v>2</v>
      </c>
      <c r="T50" s="97" t="str">
        <f t="shared" ref="T50:Y52" si="21">IF(N50="","",N50/$E50)</f>
        <v/>
      </c>
      <c r="U50" s="97" t="str">
        <f t="shared" si="21"/>
        <v/>
      </c>
      <c r="V50" s="97" t="str">
        <f t="shared" si="21"/>
        <v/>
      </c>
      <c r="W50" s="97">
        <f t="shared" si="21"/>
        <v>0.08</v>
      </c>
      <c r="X50" s="97" t="str">
        <f t="shared" si="21"/>
        <v/>
      </c>
      <c r="Y50" s="97" t="str">
        <f t="shared" si="21"/>
        <v/>
      </c>
    </row>
    <row r="51" spans="1:25">
      <c r="A51" s="20">
        <f t="shared" si="15"/>
        <v>96.904109589041099</v>
      </c>
      <c r="B51" t="s">
        <v>4905</v>
      </c>
      <c r="C51">
        <v>8081</v>
      </c>
      <c r="D51">
        <v>1203</v>
      </c>
      <c r="E51" s="9">
        <v>73</v>
      </c>
      <c r="F51" t="str">
        <f t="shared" si="16"/>
        <v>CO_Moffat County</v>
      </c>
      <c r="G51" s="20">
        <v>7026</v>
      </c>
      <c r="H51" s="78">
        <f t="shared" si="17"/>
        <v>1.0068317677198975</v>
      </c>
      <c r="I51" s="20">
        <v>7074</v>
      </c>
      <c r="J51" s="29">
        <f t="shared" si="18"/>
        <v>1.031947978512864E-2</v>
      </c>
      <c r="K51" t="s">
        <v>4842</v>
      </c>
      <c r="L51" s="65">
        <f t="shared" si="19"/>
        <v>3.5369999999999999</v>
      </c>
      <c r="M51" s="28" t="s">
        <v>6006</v>
      </c>
      <c r="N51">
        <v>2</v>
      </c>
      <c r="T51" s="97">
        <f t="shared" si="21"/>
        <v>2.7397260273972601E-2</v>
      </c>
      <c r="U51" s="97" t="str">
        <f t="shared" si="21"/>
        <v/>
      </c>
      <c r="V51" s="97" t="str">
        <f t="shared" si="21"/>
        <v/>
      </c>
      <c r="W51" s="97" t="str">
        <f t="shared" si="21"/>
        <v/>
      </c>
      <c r="X51" s="97" t="str">
        <f t="shared" si="21"/>
        <v/>
      </c>
      <c r="Y51" s="97" t="str">
        <f t="shared" si="21"/>
        <v/>
      </c>
    </row>
    <row r="52" spans="1:25">
      <c r="A52" s="20">
        <f t="shared" si="15"/>
        <v>289.46296296296293</v>
      </c>
      <c r="B52" t="s">
        <v>4906</v>
      </c>
      <c r="C52">
        <v>8083</v>
      </c>
      <c r="D52">
        <v>5836</v>
      </c>
      <c r="E52" s="9">
        <v>54</v>
      </c>
      <c r="F52" t="str">
        <f t="shared" si="16"/>
        <v>CO_Montezuma County</v>
      </c>
      <c r="G52" s="20">
        <v>15500</v>
      </c>
      <c r="H52" s="78">
        <f t="shared" si="17"/>
        <v>1.0084516129032257</v>
      </c>
      <c r="I52" s="20">
        <v>15630.999999999998</v>
      </c>
      <c r="J52" s="29">
        <f t="shared" si="18"/>
        <v>3.4546734054123219E-3</v>
      </c>
      <c r="K52" t="s">
        <v>4843</v>
      </c>
      <c r="L52" s="65">
        <f t="shared" si="19"/>
        <v>7.8154999999999992</v>
      </c>
      <c r="M52" s="28" t="s">
        <v>6007</v>
      </c>
      <c r="P52">
        <v>2</v>
      </c>
      <c r="Q52">
        <v>1</v>
      </c>
      <c r="T52" s="97" t="str">
        <f t="shared" si="21"/>
        <v/>
      </c>
      <c r="U52" s="97" t="str">
        <f t="shared" si="21"/>
        <v/>
      </c>
      <c r="V52" s="97">
        <f t="shared" si="21"/>
        <v>3.7037037037037035E-2</v>
      </c>
      <c r="W52" s="97">
        <f t="shared" si="21"/>
        <v>1.8518518518518517E-2</v>
      </c>
      <c r="X52" s="97" t="str">
        <f t="shared" si="21"/>
        <v/>
      </c>
      <c r="Y52" s="97" t="str">
        <f t="shared" si="21"/>
        <v/>
      </c>
    </row>
    <row r="53" spans="1:25">
      <c r="A53" s="20">
        <f t="shared" si="15"/>
        <v>585.09302325581405</v>
      </c>
      <c r="B53" t="s">
        <v>4907</v>
      </c>
      <c r="C53">
        <v>8085</v>
      </c>
      <c r="D53">
        <v>7687</v>
      </c>
      <c r="E53" s="9">
        <v>43</v>
      </c>
      <c r="F53" t="str">
        <f t="shared" si="16"/>
        <v>CO_Montrose County</v>
      </c>
      <c r="G53" s="20">
        <v>24922</v>
      </c>
      <c r="H53" s="78">
        <f t="shared" si="17"/>
        <v>1.0095096701709334</v>
      </c>
      <c r="I53" s="20">
        <v>25159.000000000004</v>
      </c>
      <c r="J53" s="29">
        <f t="shared" si="18"/>
        <v>1.7091299336221629E-3</v>
      </c>
      <c r="K53" t="s">
        <v>4844</v>
      </c>
      <c r="L53" s="65">
        <f t="shared" si="19"/>
        <v>12.579500000000001</v>
      </c>
      <c r="M53"/>
    </row>
    <row r="54" spans="1:25">
      <c r="A54" s="20">
        <f t="shared" si="15"/>
        <v>729.47368421052636</v>
      </c>
      <c r="B54" t="s">
        <v>4908</v>
      </c>
      <c r="C54">
        <v>8087</v>
      </c>
      <c r="D54">
        <v>3876</v>
      </c>
      <c r="E54" s="9">
        <v>19</v>
      </c>
      <c r="F54" t="str">
        <f t="shared" si="16"/>
        <v>CO_Morgan County</v>
      </c>
      <c r="G54" s="20">
        <v>13744</v>
      </c>
      <c r="H54" s="78">
        <f t="shared" si="17"/>
        <v>1.0084400465657741</v>
      </c>
      <c r="I54" s="20">
        <v>13860</v>
      </c>
      <c r="J54" s="29">
        <f t="shared" si="18"/>
        <v>1.3708513708513709E-3</v>
      </c>
      <c r="K54" t="s">
        <v>4845</v>
      </c>
      <c r="L54" s="65">
        <f t="shared" si="19"/>
        <v>6.93</v>
      </c>
      <c r="M54"/>
    </row>
    <row r="55" spans="1:25">
      <c r="A55" s="20">
        <f t="shared" si="15"/>
        <v>441.09090909090907</v>
      </c>
      <c r="B55" t="s">
        <v>4909</v>
      </c>
      <c r="C55">
        <v>8089</v>
      </c>
      <c r="D55">
        <v>3605</v>
      </c>
      <c r="E55" s="9">
        <v>22</v>
      </c>
      <c r="F55" t="str">
        <f t="shared" si="16"/>
        <v>CO_Otero County</v>
      </c>
      <c r="G55" s="20">
        <v>9576</v>
      </c>
      <c r="H55" s="78">
        <f t="shared" si="17"/>
        <v>1.0133667502088555</v>
      </c>
      <c r="I55" s="20">
        <v>9704</v>
      </c>
      <c r="J55" s="29">
        <f t="shared" si="18"/>
        <v>2.267106347897774E-3</v>
      </c>
      <c r="K55" t="s">
        <v>4846</v>
      </c>
      <c r="L55" s="65">
        <f t="shared" si="19"/>
        <v>4.8520000000000003</v>
      </c>
      <c r="M55"/>
    </row>
    <row r="56" spans="1:25">
      <c r="A56" s="20">
        <f t="shared" si="15"/>
        <v>31.889763779527556</v>
      </c>
      <c r="B56" t="s">
        <v>4910</v>
      </c>
      <c r="C56">
        <v>8091</v>
      </c>
      <c r="D56">
        <v>2365</v>
      </c>
      <c r="E56" s="9">
        <v>127</v>
      </c>
      <c r="F56" t="str">
        <f t="shared" si="16"/>
        <v>CO_Ouray County</v>
      </c>
      <c r="G56" s="20">
        <v>4020</v>
      </c>
      <c r="H56" s="78">
        <f t="shared" si="17"/>
        <v>1.0074626865671641</v>
      </c>
      <c r="I56" s="20">
        <v>4049.9999999999995</v>
      </c>
      <c r="J56" s="29">
        <f t="shared" si="18"/>
        <v>3.1358024691358032E-2</v>
      </c>
      <c r="K56" t="s">
        <v>4847</v>
      </c>
      <c r="L56" s="65">
        <f t="shared" si="19"/>
        <v>2.0249999999999999</v>
      </c>
      <c r="M56"/>
    </row>
    <row r="57" spans="1:25">
      <c r="A57" s="20">
        <f t="shared" si="15"/>
        <v>75.187878787878788</v>
      </c>
      <c r="B57" t="s">
        <v>4911</v>
      </c>
      <c r="C57">
        <v>8093</v>
      </c>
      <c r="D57">
        <v>4903</v>
      </c>
      <c r="E57" s="9">
        <v>165</v>
      </c>
      <c r="F57" t="str">
        <f t="shared" si="16"/>
        <v>CO_Park County</v>
      </c>
      <c r="G57" s="20">
        <v>12291</v>
      </c>
      <c r="H57" s="78">
        <f t="shared" si="17"/>
        <v>1.0093564396713042</v>
      </c>
      <c r="I57" s="20">
        <v>12406</v>
      </c>
      <c r="J57" s="29">
        <f t="shared" si="18"/>
        <v>1.3300016121231661E-2</v>
      </c>
      <c r="K57" t="s">
        <v>4848</v>
      </c>
      <c r="L57" s="65">
        <f t="shared" si="19"/>
        <v>6.2030000000000003</v>
      </c>
      <c r="M57" s="28" t="s">
        <v>6008</v>
      </c>
      <c r="P57">
        <v>2</v>
      </c>
      <c r="Q57">
        <v>1</v>
      </c>
      <c r="T57" s="97" t="str">
        <f t="shared" ref="T57:Y57" si="22">IF(N57="","",N57/$E57)</f>
        <v/>
      </c>
      <c r="U57" s="97" t="str">
        <f t="shared" si="22"/>
        <v/>
      </c>
      <c r="V57" s="97">
        <f t="shared" si="22"/>
        <v>1.2121212121212121E-2</v>
      </c>
      <c r="W57" s="97">
        <f t="shared" si="22"/>
        <v>6.0606060606060606E-3</v>
      </c>
      <c r="X57" s="97" t="str">
        <f t="shared" si="22"/>
        <v/>
      </c>
      <c r="Y57" s="97" t="str">
        <f t="shared" si="22"/>
        <v/>
      </c>
    </row>
    <row r="58" spans="1:25">
      <c r="A58" s="20">
        <f t="shared" si="15"/>
        <v>82.612903225806448</v>
      </c>
      <c r="B58" t="s">
        <v>4912</v>
      </c>
      <c r="C58">
        <v>8095</v>
      </c>
      <c r="D58">
        <v>486</v>
      </c>
      <c r="E58" s="9">
        <v>31</v>
      </c>
      <c r="F58" t="str">
        <f t="shared" si="16"/>
        <v>CO_Phillips County</v>
      </c>
      <c r="G58" s="20">
        <v>2485</v>
      </c>
      <c r="H58" s="78">
        <f t="shared" si="17"/>
        <v>1.0305835010060362</v>
      </c>
      <c r="I58" s="20">
        <v>2561</v>
      </c>
      <c r="J58" s="29">
        <f t="shared" si="18"/>
        <v>1.2104646622413119E-2</v>
      </c>
      <c r="K58" t="s">
        <v>4849</v>
      </c>
      <c r="L58" s="65">
        <f t="shared" si="19"/>
        <v>1.2805</v>
      </c>
      <c r="M58"/>
    </row>
    <row r="59" spans="1:25">
      <c r="A59" s="20">
        <f t="shared" si="15"/>
        <v>137.37499999999997</v>
      </c>
      <c r="B59" t="s">
        <v>4913</v>
      </c>
      <c r="C59">
        <v>8097</v>
      </c>
      <c r="D59">
        <v>8989</v>
      </c>
      <c r="E59" s="9">
        <v>88</v>
      </c>
      <c r="F59" t="str">
        <f t="shared" si="16"/>
        <v>CO_Pitkin County</v>
      </c>
      <c r="G59" s="20">
        <v>11957</v>
      </c>
      <c r="H59" s="78">
        <f t="shared" si="17"/>
        <v>1.0110395584176632</v>
      </c>
      <c r="I59" s="20">
        <v>12088.999999999998</v>
      </c>
      <c r="J59" s="29">
        <f t="shared" si="18"/>
        <v>7.2793448589626945E-3</v>
      </c>
      <c r="K59" t="s">
        <v>4850</v>
      </c>
      <c r="L59" s="65">
        <f t="shared" si="19"/>
        <v>6.0444999999999993</v>
      </c>
      <c r="M59"/>
    </row>
    <row r="60" spans="1:25">
      <c r="A60" s="20">
        <f t="shared" si="15"/>
        <v>62.932584269662932</v>
      </c>
      <c r="B60" t="s">
        <v>4914</v>
      </c>
      <c r="C60">
        <v>8099</v>
      </c>
      <c r="D60">
        <v>1458</v>
      </c>
      <c r="E60" s="9">
        <v>89</v>
      </c>
      <c r="F60" t="str">
        <f t="shared" si="16"/>
        <v>CO_Prowers County</v>
      </c>
      <c r="G60" s="20">
        <v>5561</v>
      </c>
      <c r="H60" s="78">
        <f t="shared" si="17"/>
        <v>1.0071929509081101</v>
      </c>
      <c r="I60" s="20">
        <v>5601.0000000000009</v>
      </c>
      <c r="J60" s="29">
        <f t="shared" si="18"/>
        <v>1.5890019639350113E-2</v>
      </c>
      <c r="K60" t="s">
        <v>4851</v>
      </c>
      <c r="L60" s="65">
        <f t="shared" si="19"/>
        <v>2.8005000000000004</v>
      </c>
      <c r="M60"/>
    </row>
    <row r="61" spans="1:25">
      <c r="A61" s="20">
        <f t="shared" si="15"/>
        <v>610.65068493150682</v>
      </c>
      <c r="B61" t="s">
        <v>4915</v>
      </c>
      <c r="C61">
        <v>8101</v>
      </c>
      <c r="D61">
        <v>43772</v>
      </c>
      <c r="E61" s="9">
        <v>146</v>
      </c>
      <c r="F61" t="str">
        <f t="shared" si="16"/>
        <v>CO_Pueblo County</v>
      </c>
      <c r="G61" s="20">
        <v>88301</v>
      </c>
      <c r="H61" s="78">
        <f t="shared" si="17"/>
        <v>1.0096714646493246</v>
      </c>
      <c r="I61" s="20">
        <v>89155</v>
      </c>
      <c r="J61" s="29">
        <f t="shared" si="18"/>
        <v>1.6375974426560485E-3</v>
      </c>
      <c r="K61" t="s">
        <v>4852</v>
      </c>
      <c r="L61" s="65">
        <f t="shared" si="19"/>
        <v>44.577500000000001</v>
      </c>
      <c r="M61" s="28" t="s">
        <v>6009</v>
      </c>
      <c r="N61">
        <v>1</v>
      </c>
      <c r="P61">
        <v>2</v>
      </c>
      <c r="T61" s="97">
        <f t="shared" ref="T61:Y61" si="23">IF(N61="","",N61/$E61)</f>
        <v>6.8493150684931503E-3</v>
      </c>
      <c r="U61" s="97" t="str">
        <f t="shared" si="23"/>
        <v/>
      </c>
      <c r="V61" s="97">
        <f t="shared" si="23"/>
        <v>1.3698630136986301E-2</v>
      </c>
      <c r="W61" s="97" t="str">
        <f t="shared" si="23"/>
        <v/>
      </c>
      <c r="X61" s="97" t="str">
        <f t="shared" si="23"/>
        <v/>
      </c>
      <c r="Y61" s="97" t="str">
        <f t="shared" si="23"/>
        <v/>
      </c>
    </row>
    <row r="62" spans="1:25">
      <c r="A62" s="20">
        <f t="shared" si="15"/>
        <v>24.562913907284766</v>
      </c>
      <c r="B62" t="s">
        <v>4916</v>
      </c>
      <c r="C62">
        <v>8103</v>
      </c>
      <c r="D62">
        <v>561</v>
      </c>
      <c r="E62" s="9">
        <v>151</v>
      </c>
      <c r="F62" t="str">
        <f t="shared" si="16"/>
        <v>CO_Rio Blanco County</v>
      </c>
      <c r="G62" s="20">
        <v>3691</v>
      </c>
      <c r="H62" s="78">
        <f t="shared" si="17"/>
        <v>1.0048767271742074</v>
      </c>
      <c r="I62" s="20">
        <v>3708.9999999999995</v>
      </c>
      <c r="J62" s="29">
        <f t="shared" si="18"/>
        <v>4.0711782151523324E-2</v>
      </c>
      <c r="K62" t="s">
        <v>4853</v>
      </c>
      <c r="L62" s="65">
        <f t="shared" si="19"/>
        <v>1.8544999999999998</v>
      </c>
      <c r="M62"/>
    </row>
    <row r="63" spans="1:25">
      <c r="A63" s="20">
        <f t="shared" si="15"/>
        <v>161.27500000000001</v>
      </c>
      <c r="B63" t="s">
        <v>4917</v>
      </c>
      <c r="C63">
        <v>8105</v>
      </c>
      <c r="D63">
        <v>2495</v>
      </c>
      <c r="E63" s="9">
        <v>40</v>
      </c>
      <c r="F63" t="str">
        <f t="shared" si="16"/>
        <v>CO_Rio Grande County</v>
      </c>
      <c r="G63" s="20">
        <v>6305</v>
      </c>
      <c r="H63" s="78">
        <f t="shared" si="17"/>
        <v>1.0231562252180808</v>
      </c>
      <c r="I63" s="20">
        <v>6451</v>
      </c>
      <c r="J63" s="29">
        <f t="shared" si="18"/>
        <v>6.2005890559603165E-3</v>
      </c>
      <c r="K63" t="s">
        <v>4854</v>
      </c>
      <c r="L63" s="65">
        <f t="shared" si="19"/>
        <v>3.2255000000000003</v>
      </c>
      <c r="M63" s="28" t="s">
        <v>6010</v>
      </c>
      <c r="P63">
        <v>1</v>
      </c>
      <c r="T63" s="97" t="str">
        <f t="shared" ref="T63:Y63" si="24">IF(N63="","",N63/$E63)</f>
        <v/>
      </c>
      <c r="U63" s="97" t="str">
        <f t="shared" si="24"/>
        <v/>
      </c>
      <c r="V63" s="97">
        <f t="shared" si="24"/>
        <v>2.5000000000000001E-2</v>
      </c>
      <c r="W63" s="97" t="str">
        <f t="shared" si="24"/>
        <v/>
      </c>
      <c r="X63" s="97" t="str">
        <f t="shared" si="24"/>
        <v/>
      </c>
      <c r="Y63" s="97" t="str">
        <f t="shared" si="24"/>
        <v/>
      </c>
    </row>
    <row r="64" spans="1:25">
      <c r="A64" s="20">
        <f t="shared" si="15"/>
        <v>277.37815126050418</v>
      </c>
      <c r="B64" t="s">
        <v>4918</v>
      </c>
      <c r="C64">
        <v>8107</v>
      </c>
      <c r="D64">
        <v>10582</v>
      </c>
      <c r="E64" s="9">
        <v>119</v>
      </c>
      <c r="F64" t="str">
        <f t="shared" si="16"/>
        <v>CO_Routt County</v>
      </c>
      <c r="G64" s="20">
        <v>16876</v>
      </c>
      <c r="H64" s="78">
        <f t="shared" si="17"/>
        <v>1.9559137236311923</v>
      </c>
      <c r="I64" s="20">
        <v>33008</v>
      </c>
      <c r="J64" s="29">
        <f t="shared" si="18"/>
        <v>3.6051866214251091E-3</v>
      </c>
      <c r="K64" t="s">
        <v>4855</v>
      </c>
      <c r="L64" s="65">
        <f t="shared" si="19"/>
        <v>16.504000000000001</v>
      </c>
      <c r="M64"/>
    </row>
    <row r="65" spans="1:25">
      <c r="A65" s="20">
        <f t="shared" si="15"/>
        <v>87.448717948717942</v>
      </c>
      <c r="B65" t="s">
        <v>4919</v>
      </c>
      <c r="C65">
        <v>8109</v>
      </c>
      <c r="D65">
        <v>1884</v>
      </c>
      <c r="E65" s="9">
        <v>78</v>
      </c>
      <c r="F65" t="str">
        <f t="shared" si="16"/>
        <v>CO_Saguache County</v>
      </c>
      <c r="G65" s="20">
        <v>3389</v>
      </c>
      <c r="H65" s="78">
        <f t="shared" si="17"/>
        <v>2.0126881085866035</v>
      </c>
      <c r="I65" s="20">
        <v>6821</v>
      </c>
      <c r="J65" s="29">
        <f t="shared" si="18"/>
        <v>1.1435273420319601E-2</v>
      </c>
      <c r="K65" t="s">
        <v>4856</v>
      </c>
      <c r="L65" s="65">
        <f t="shared" si="19"/>
        <v>3.4104999999999999</v>
      </c>
      <c r="M65" s="28" t="s">
        <v>6011</v>
      </c>
      <c r="S65">
        <v>1</v>
      </c>
      <c r="T65" s="97" t="str">
        <f t="shared" ref="T65:Y67" si="25">IF(N65="","",N65/$E65)</f>
        <v/>
      </c>
      <c r="U65" s="97" t="str">
        <f t="shared" si="25"/>
        <v/>
      </c>
      <c r="V65" s="97" t="str">
        <f t="shared" si="25"/>
        <v/>
      </c>
      <c r="W65" s="97" t="str">
        <f t="shared" si="25"/>
        <v/>
      </c>
      <c r="X65" s="97" t="str">
        <f t="shared" si="25"/>
        <v/>
      </c>
      <c r="Y65" s="97">
        <f t="shared" si="25"/>
        <v>1.282051282051282E-2</v>
      </c>
    </row>
    <row r="66" spans="1:25">
      <c r="A66" s="20">
        <f t="shared" si="15"/>
        <v>235.86363636363637</v>
      </c>
      <c r="B66" t="s">
        <v>4921</v>
      </c>
      <c r="C66">
        <v>8113</v>
      </c>
      <c r="D66">
        <v>3924</v>
      </c>
      <c r="E66" s="9">
        <v>22</v>
      </c>
      <c r="F66" t="str">
        <f t="shared" si="16"/>
        <v>CO_San Miguel County</v>
      </c>
      <c r="G66" s="20">
        <v>5147</v>
      </c>
      <c r="H66" s="78">
        <f t="shared" si="17"/>
        <v>1.0081600932582087</v>
      </c>
      <c r="I66" s="20">
        <v>5189</v>
      </c>
      <c r="J66" s="29">
        <f t="shared" si="18"/>
        <v>4.2397379071111964E-3</v>
      </c>
      <c r="K66" t="s">
        <v>4857</v>
      </c>
      <c r="L66" s="65">
        <f t="shared" si="19"/>
        <v>2.5945</v>
      </c>
      <c r="M66" s="28" t="s">
        <v>6012</v>
      </c>
      <c r="R66">
        <v>2</v>
      </c>
      <c r="T66" s="97" t="str">
        <f t="shared" si="25"/>
        <v/>
      </c>
      <c r="U66" s="97" t="str">
        <f t="shared" si="25"/>
        <v/>
      </c>
      <c r="V66" s="97" t="str">
        <f t="shared" si="25"/>
        <v/>
      </c>
      <c r="W66" s="97" t="str">
        <f t="shared" si="25"/>
        <v/>
      </c>
      <c r="X66" s="97">
        <f t="shared" si="25"/>
        <v>9.0909090909090912E-2</v>
      </c>
      <c r="Y66" s="97" t="str">
        <f t="shared" si="25"/>
        <v/>
      </c>
    </row>
    <row r="67" spans="1:25">
      <c r="A67" s="20">
        <f t="shared" si="15"/>
        <v>29.333333333333332</v>
      </c>
      <c r="B67" t="s">
        <v>4922</v>
      </c>
      <c r="C67">
        <v>8115</v>
      </c>
      <c r="D67">
        <v>301</v>
      </c>
      <c r="E67" s="9">
        <v>51</v>
      </c>
      <c r="F67" t="str">
        <f t="shared" si="16"/>
        <v>CO_Sedgwick County</v>
      </c>
      <c r="G67" s="20">
        <v>1446</v>
      </c>
      <c r="H67" s="78">
        <f t="shared" si="17"/>
        <v>1.0345781466113417</v>
      </c>
      <c r="I67" s="20">
        <v>1496</v>
      </c>
      <c r="J67" s="29">
        <f t="shared" si="18"/>
        <v>3.4090909090909088E-2</v>
      </c>
      <c r="K67" t="s">
        <v>4858</v>
      </c>
      <c r="L67" s="65">
        <f t="shared" si="19"/>
        <v>0.748</v>
      </c>
      <c r="M67" s="28" t="s">
        <v>6013</v>
      </c>
      <c r="P67">
        <v>2</v>
      </c>
      <c r="S67">
        <v>1</v>
      </c>
      <c r="T67" s="97" t="str">
        <f t="shared" si="25"/>
        <v/>
      </c>
      <c r="U67" s="97" t="str">
        <f t="shared" si="25"/>
        <v/>
      </c>
      <c r="V67" s="97">
        <f t="shared" si="25"/>
        <v>3.9215686274509803E-2</v>
      </c>
      <c r="W67" s="97" t="str">
        <f t="shared" si="25"/>
        <v/>
      </c>
      <c r="X67" s="97" t="str">
        <f t="shared" si="25"/>
        <v/>
      </c>
      <c r="Y67" s="97">
        <f t="shared" si="25"/>
        <v>1.9607843137254902E-2</v>
      </c>
    </row>
    <row r="68" spans="1:25">
      <c r="A68" s="20">
        <f t="shared" si="15"/>
        <v>371.43137254901961</v>
      </c>
      <c r="B68" t="s">
        <v>4923</v>
      </c>
      <c r="C68">
        <v>8117</v>
      </c>
      <c r="D68">
        <v>12631</v>
      </c>
      <c r="E68" s="9">
        <v>51</v>
      </c>
      <c r="F68" t="str">
        <f t="shared" si="16"/>
        <v>CO_Summit County</v>
      </c>
      <c r="G68" s="20">
        <v>18479</v>
      </c>
      <c r="H68" s="78">
        <f t="shared" si="17"/>
        <v>1.02510958385194</v>
      </c>
      <c r="I68" s="20">
        <v>18943</v>
      </c>
      <c r="J68" s="29">
        <f t="shared" si="18"/>
        <v>2.6922873884812331E-3</v>
      </c>
      <c r="K68" t="s">
        <v>4859</v>
      </c>
      <c r="L68" s="65">
        <f t="shared" si="19"/>
        <v>9.4715000000000007</v>
      </c>
      <c r="M68"/>
    </row>
    <row r="69" spans="1:25">
      <c r="A69" s="20">
        <f t="shared" si="15"/>
        <v>264.27692307692308</v>
      </c>
      <c r="B69" t="s">
        <v>4924</v>
      </c>
      <c r="C69">
        <v>8119</v>
      </c>
      <c r="D69">
        <v>5278</v>
      </c>
      <c r="E69" s="9">
        <v>65</v>
      </c>
      <c r="F69" t="str">
        <f t="shared" si="16"/>
        <v>CO_Teller County</v>
      </c>
      <c r="G69" s="20">
        <v>16939</v>
      </c>
      <c r="H69" s="78">
        <f t="shared" si="17"/>
        <v>1.0141094515614852</v>
      </c>
      <c r="I69" s="20">
        <v>17178</v>
      </c>
      <c r="J69" s="29">
        <f t="shared" si="18"/>
        <v>3.7839096518803121E-3</v>
      </c>
      <c r="K69" t="s">
        <v>4860</v>
      </c>
      <c r="L69" s="65">
        <f t="shared" si="19"/>
        <v>8.5890000000000004</v>
      </c>
      <c r="M69"/>
    </row>
    <row r="70" spans="1:25">
      <c r="A70" s="20">
        <f t="shared" si="15"/>
        <v>81.837837837837839</v>
      </c>
      <c r="B70" t="s">
        <v>4925</v>
      </c>
      <c r="C70">
        <v>8121</v>
      </c>
      <c r="D70">
        <v>369</v>
      </c>
      <c r="E70" s="9">
        <v>37</v>
      </c>
      <c r="F70" t="str">
        <f t="shared" si="16"/>
        <v>CO_Washington County</v>
      </c>
      <c r="G70" s="20">
        <v>3008</v>
      </c>
      <c r="H70" s="78">
        <f t="shared" si="17"/>
        <v>1.0066489361702127</v>
      </c>
      <c r="I70" s="20">
        <v>3028</v>
      </c>
      <c r="J70" s="29">
        <f t="shared" si="18"/>
        <v>1.2219286657859974E-2</v>
      </c>
      <c r="K70" t="s">
        <v>4861</v>
      </c>
      <c r="L70" s="65">
        <f t="shared" si="19"/>
        <v>1.514</v>
      </c>
      <c r="M70"/>
    </row>
    <row r="71" spans="1:25">
      <c r="A71" s="20">
        <f t="shared" si="15"/>
        <v>1119.7350993377484</v>
      </c>
      <c r="B71" t="s">
        <v>4926</v>
      </c>
      <c r="C71">
        <v>8123</v>
      </c>
      <c r="D71">
        <v>66060</v>
      </c>
      <c r="E71" s="9">
        <v>151</v>
      </c>
      <c r="F71" t="str">
        <f t="shared" si="16"/>
        <v>CO_Weld County</v>
      </c>
      <c r="G71" s="20">
        <v>166974</v>
      </c>
      <c r="H71" s="78">
        <f t="shared" si="17"/>
        <v>1.0126127421035611</v>
      </c>
      <c r="I71" s="20">
        <v>169080</v>
      </c>
      <c r="J71" s="29">
        <f t="shared" si="18"/>
        <v>8.9306837000236578E-4</v>
      </c>
      <c r="K71" t="s">
        <v>4862</v>
      </c>
      <c r="L71" s="65">
        <f t="shared" si="19"/>
        <v>84.54</v>
      </c>
      <c r="M71"/>
    </row>
    <row r="72" spans="1:25">
      <c r="A72" s="20">
        <f t="shared" si="15"/>
        <v>67.959459459459467</v>
      </c>
      <c r="B72" t="s">
        <v>4927</v>
      </c>
      <c r="C72">
        <v>8125</v>
      </c>
      <c r="D72">
        <v>785</v>
      </c>
      <c r="E72" s="9">
        <v>74</v>
      </c>
      <c r="F72" t="str">
        <f t="shared" si="16"/>
        <v>CO_Yuma County</v>
      </c>
      <c r="G72" s="20">
        <v>4981</v>
      </c>
      <c r="H72" s="78">
        <f t="shared" si="17"/>
        <v>1.0096366191527808</v>
      </c>
      <c r="I72" s="20">
        <v>5029.0000000000009</v>
      </c>
      <c r="J72" s="29">
        <f t="shared" si="18"/>
        <v>1.4714655000994231E-2</v>
      </c>
      <c r="K72" t="s">
        <v>4863</v>
      </c>
      <c r="L72" s="65">
        <f t="shared" si="19"/>
        <v>2.5145000000000004</v>
      </c>
      <c r="M72"/>
    </row>
    <row r="73" spans="1:25">
      <c r="B73" t="s">
        <v>4890</v>
      </c>
      <c r="C73">
        <v>8051</v>
      </c>
      <c r="D73">
        <v>7132</v>
      </c>
      <c r="E73" s="9"/>
      <c r="F73" t="str">
        <f t="shared" si="16"/>
        <v>CO_Gunnison County</v>
      </c>
      <c r="G73" s="20">
        <v>11190</v>
      </c>
      <c r="H73" s="78">
        <v>1.01</v>
      </c>
      <c r="I73" s="20">
        <f>G73*H73</f>
        <v>11301.9</v>
      </c>
      <c r="J73" s="29">
        <f t="shared" si="18"/>
        <v>0</v>
      </c>
      <c r="K73" t="s">
        <v>6025</v>
      </c>
      <c r="L73" s="65">
        <f t="shared" si="19"/>
        <v>5.6509499999999999</v>
      </c>
      <c r="M73"/>
    </row>
    <row r="74" spans="1:25">
      <c r="B74" t="s">
        <v>4920</v>
      </c>
      <c r="C74">
        <v>8111</v>
      </c>
      <c r="D74">
        <v>342</v>
      </c>
      <c r="E74" s="9"/>
      <c r="F74" t="str">
        <f t="shared" si="16"/>
        <v>CO_San Juan County</v>
      </c>
      <c r="G74" s="20">
        <v>562</v>
      </c>
      <c r="H74" s="78">
        <v>1.01</v>
      </c>
      <c r="I74" s="20">
        <f>G74*H74</f>
        <v>567.62</v>
      </c>
      <c r="J74" s="29">
        <f t="shared" si="18"/>
        <v>0</v>
      </c>
      <c r="K74" t="s">
        <v>6026</v>
      </c>
      <c r="L74" s="65">
        <f t="shared" si="19"/>
        <v>0.28381000000000001</v>
      </c>
      <c r="M74"/>
    </row>
    <row r="76" spans="1:25" s="99" customFormat="1">
      <c r="A76" s="99">
        <f>I76/E76</f>
        <v>496.80369853118231</v>
      </c>
      <c r="B76" s="99" t="s">
        <v>5310</v>
      </c>
      <c r="C76" s="100"/>
      <c r="D76" s="99">
        <f>SUM(D11:D74)</f>
        <v>1804352</v>
      </c>
      <c r="E76" s="99">
        <f>SUM(E11:E74)</f>
        <v>8306</v>
      </c>
      <c r="F76" s="101"/>
      <c r="G76" s="99">
        <f>SUM(G11:G74)</f>
        <v>3256980</v>
      </c>
      <c r="I76" s="99">
        <f>SUM(I11:I74)</f>
        <v>4126451.52</v>
      </c>
      <c r="K76" s="99" t="s">
        <v>5310</v>
      </c>
      <c r="L76" s="99">
        <f>SUM(L11:L74)</f>
        <v>2063.2257600000003</v>
      </c>
      <c r="M76" s="99" t="s">
        <v>5310</v>
      </c>
      <c r="N76" s="99">
        <f t="shared" ref="N76:S76" si="26">SUM(N11:N74)</f>
        <v>14</v>
      </c>
      <c r="O76" s="99">
        <f t="shared" si="26"/>
        <v>3</v>
      </c>
      <c r="P76" s="99">
        <f t="shared" si="26"/>
        <v>51</v>
      </c>
      <c r="Q76" s="99">
        <f t="shared" si="26"/>
        <v>13</v>
      </c>
      <c r="R76" s="99">
        <f t="shared" si="26"/>
        <v>26</v>
      </c>
      <c r="S76" s="99">
        <f t="shared" si="26"/>
        <v>8</v>
      </c>
      <c r="T76" s="97">
        <f t="shared" ref="T76:Y76" si="27">IF(N76="","",N76/$E76)</f>
        <v>1.6855285335901757E-3</v>
      </c>
      <c r="U76" s="97">
        <f t="shared" si="27"/>
        <v>3.611846857693234E-4</v>
      </c>
      <c r="V76" s="97">
        <f t="shared" si="27"/>
        <v>6.1401396580784973E-3</v>
      </c>
      <c r="W76" s="97">
        <f t="shared" si="27"/>
        <v>1.5651336383337346E-3</v>
      </c>
      <c r="X76" s="97">
        <f t="shared" si="27"/>
        <v>3.1302672766674693E-3</v>
      </c>
      <c r="Y76" s="97">
        <f t="shared" si="27"/>
        <v>9.6315916205152899E-4</v>
      </c>
    </row>
    <row r="77" spans="1:25">
      <c r="L77" s="76">
        <f>I76/G76</f>
        <v>1.2669563583442329</v>
      </c>
      <c r="M77" s="76"/>
    </row>
    <row r="78" spans="1:25">
      <c r="B78" t="s">
        <v>6029</v>
      </c>
    </row>
    <row r="79" spans="1:25" s="103" customFormat="1" ht="46.8" customHeight="1">
      <c r="A79" s="114"/>
      <c r="C79" s="773" t="s">
        <v>6980</v>
      </c>
      <c r="D79" s="773"/>
      <c r="E79" s="773"/>
      <c r="F79" s="773"/>
      <c r="G79" s="773"/>
      <c r="H79" s="773"/>
      <c r="I79" s="774" t="s">
        <v>6032</v>
      </c>
      <c r="J79" s="774"/>
      <c r="K79" s="774"/>
      <c r="L79" s="774"/>
      <c r="M79" s="774"/>
      <c r="N79" s="774"/>
      <c r="T79" s="116"/>
      <c r="U79" s="116"/>
      <c r="V79" s="116"/>
      <c r="W79" s="116"/>
      <c r="X79" s="116"/>
      <c r="Y79" s="116"/>
    </row>
    <row r="80" spans="1:25" s="113" customFormat="1" ht="70.2" customHeight="1">
      <c r="A80" s="109" t="s">
        <v>6033</v>
      </c>
      <c r="B80" s="110" t="s">
        <v>4785</v>
      </c>
      <c r="C80" s="110" t="s">
        <v>6014</v>
      </c>
      <c r="D80" s="110" t="s">
        <v>6015</v>
      </c>
      <c r="E80" s="111" t="s">
        <v>6016</v>
      </c>
      <c r="F80" s="111" t="s">
        <v>6017</v>
      </c>
      <c r="G80" s="111" t="s">
        <v>6018</v>
      </c>
      <c r="H80" s="109" t="s">
        <v>6019</v>
      </c>
      <c r="I80" s="112" t="s">
        <v>6022</v>
      </c>
      <c r="J80" s="112" t="s">
        <v>6015</v>
      </c>
      <c r="K80" s="112" t="s">
        <v>6024</v>
      </c>
      <c r="L80" s="112" t="s">
        <v>6021</v>
      </c>
      <c r="M80" s="112" t="s">
        <v>6020</v>
      </c>
      <c r="N80" s="112" t="s">
        <v>6023</v>
      </c>
      <c r="T80" s="117"/>
      <c r="U80" s="117"/>
      <c r="V80" s="117"/>
      <c r="W80" s="117"/>
      <c r="X80" s="117"/>
      <c r="Y80" s="117"/>
    </row>
    <row r="81" spans="1:25" s="103" customFormat="1" ht="12" customHeight="1">
      <c r="A81" s="104">
        <v>8306</v>
      </c>
      <c r="B81" s="105" t="s">
        <v>6031</v>
      </c>
      <c r="C81" s="106">
        <v>14</v>
      </c>
      <c r="D81" s="106">
        <v>3</v>
      </c>
      <c r="E81" s="103">
        <v>51</v>
      </c>
      <c r="F81" s="103">
        <v>13</v>
      </c>
      <c r="G81" s="103">
        <v>26</v>
      </c>
      <c r="H81" s="102">
        <v>8</v>
      </c>
      <c r="I81" s="107">
        <v>1.6855285335901757E-3</v>
      </c>
      <c r="J81" s="107">
        <v>3.611846857693234E-4</v>
      </c>
      <c r="K81" s="107">
        <v>6.1401396580784973E-3</v>
      </c>
      <c r="L81" s="107">
        <v>1.5651336383337346E-3</v>
      </c>
      <c r="M81" s="107">
        <v>3.1302672766674693E-3</v>
      </c>
      <c r="N81" s="107">
        <v>9.6315916205152899E-4</v>
      </c>
      <c r="T81" s="116"/>
      <c r="U81" s="116"/>
      <c r="V81" s="116"/>
      <c r="W81" s="116"/>
      <c r="X81" s="116"/>
      <c r="Y81" s="116"/>
    </row>
    <row r="82" spans="1:25" s="103" customFormat="1" ht="12" customHeight="1">
      <c r="A82" s="102"/>
      <c r="B82" s="105"/>
      <c r="C82" s="106"/>
      <c r="D82" s="106"/>
      <c r="H82" s="102"/>
      <c r="I82" s="107"/>
      <c r="J82" s="107"/>
      <c r="K82" s="107"/>
      <c r="L82" s="107"/>
      <c r="M82" s="107"/>
      <c r="N82" s="107"/>
      <c r="T82" s="116"/>
      <c r="U82" s="116"/>
      <c r="V82" s="116"/>
      <c r="W82" s="116"/>
      <c r="X82" s="116"/>
      <c r="Y82" s="116"/>
    </row>
    <row r="83" spans="1:25" s="103" customFormat="1" ht="12" customHeight="1">
      <c r="A83" s="103">
        <v>350</v>
      </c>
      <c r="B83" s="103" t="s">
        <v>4864</v>
      </c>
      <c r="C83" s="106">
        <v>1</v>
      </c>
      <c r="D83" s="106">
        <v>1</v>
      </c>
      <c r="E83" s="103">
        <v>1</v>
      </c>
      <c r="H83" s="102"/>
      <c r="I83" s="107">
        <v>2.8571428571428571E-3</v>
      </c>
      <c r="J83" s="107">
        <v>2.8571428571428571E-3</v>
      </c>
      <c r="K83" s="107">
        <v>2.8571428571428571E-3</v>
      </c>
      <c r="L83" s="107" t="s">
        <v>6030</v>
      </c>
      <c r="M83" s="107" t="s">
        <v>6030</v>
      </c>
      <c r="N83" s="107" t="s">
        <v>6030</v>
      </c>
      <c r="T83" s="116"/>
      <c r="U83" s="116"/>
      <c r="V83" s="116"/>
      <c r="W83" s="116"/>
      <c r="X83" s="116"/>
      <c r="Y83" s="116"/>
    </row>
    <row r="84" spans="1:25" s="103" customFormat="1" ht="12" customHeight="1">
      <c r="A84" s="103">
        <v>95</v>
      </c>
      <c r="B84" s="103" t="s">
        <v>4865</v>
      </c>
      <c r="C84" s="106"/>
      <c r="D84" s="106"/>
      <c r="H84" s="102"/>
      <c r="I84" s="107"/>
      <c r="J84" s="107"/>
      <c r="K84" s="107"/>
      <c r="L84" s="107"/>
      <c r="M84" s="107"/>
      <c r="N84" s="107"/>
      <c r="T84" s="116"/>
      <c r="U84" s="116"/>
      <c r="V84" s="116"/>
      <c r="W84" s="116"/>
      <c r="X84" s="116"/>
      <c r="Y84" s="116"/>
    </row>
    <row r="85" spans="1:25" s="103" customFormat="1" ht="12" customHeight="1">
      <c r="A85" s="103">
        <v>327</v>
      </c>
      <c r="B85" s="103" t="s">
        <v>4866</v>
      </c>
      <c r="C85" s="106"/>
      <c r="D85" s="106"/>
      <c r="E85" s="103">
        <v>5</v>
      </c>
      <c r="H85" s="102"/>
      <c r="I85" s="107" t="s">
        <v>6030</v>
      </c>
      <c r="J85" s="107" t="s">
        <v>6030</v>
      </c>
      <c r="K85" s="107">
        <v>1.5290519877675841E-2</v>
      </c>
      <c r="L85" s="107" t="s">
        <v>6030</v>
      </c>
      <c r="M85" s="107" t="s">
        <v>6030</v>
      </c>
      <c r="N85" s="107" t="s">
        <v>6030</v>
      </c>
      <c r="T85" s="116"/>
      <c r="U85" s="116"/>
      <c r="V85" s="116"/>
      <c r="W85" s="116"/>
      <c r="X85" s="116"/>
      <c r="Y85" s="116"/>
    </row>
    <row r="86" spans="1:25" s="103" customFormat="1" ht="12" customHeight="1">
      <c r="A86" s="103">
        <v>211</v>
      </c>
      <c r="B86" s="103" t="s">
        <v>4867</v>
      </c>
      <c r="C86" s="106">
        <v>1</v>
      </c>
      <c r="D86" s="106"/>
      <c r="H86" s="102"/>
      <c r="I86" s="107">
        <v>4.7393364928909956E-3</v>
      </c>
      <c r="J86" s="107" t="s">
        <v>6030</v>
      </c>
      <c r="K86" s="107" t="s">
        <v>6030</v>
      </c>
      <c r="L86" s="107" t="s">
        <v>6030</v>
      </c>
      <c r="M86" s="107" t="s">
        <v>6030</v>
      </c>
      <c r="N86" s="107" t="s">
        <v>6030</v>
      </c>
      <c r="T86" s="116"/>
      <c r="U86" s="116"/>
      <c r="V86" s="116"/>
      <c r="W86" s="116"/>
      <c r="X86" s="116"/>
      <c r="Y86" s="116"/>
    </row>
    <row r="87" spans="1:25" s="103" customFormat="1" ht="12" customHeight="1">
      <c r="A87" s="103">
        <v>29</v>
      </c>
      <c r="B87" s="103" t="s">
        <v>4868</v>
      </c>
      <c r="C87" s="106"/>
      <c r="D87" s="106"/>
      <c r="G87" s="103">
        <v>23</v>
      </c>
      <c r="H87" s="102"/>
      <c r="I87" s="107" t="s">
        <v>6030</v>
      </c>
      <c r="J87" s="107" t="s">
        <v>6030</v>
      </c>
      <c r="K87" s="107" t="s">
        <v>6030</v>
      </c>
      <c r="L87" s="107" t="s">
        <v>6030</v>
      </c>
      <c r="M87" s="107">
        <v>0.7931034482758621</v>
      </c>
      <c r="N87" s="107" t="s">
        <v>6030</v>
      </c>
      <c r="T87" s="116"/>
      <c r="U87" s="116"/>
      <c r="V87" s="116"/>
      <c r="W87" s="116"/>
      <c r="X87" s="116"/>
      <c r="Y87" s="116"/>
    </row>
    <row r="88" spans="1:25" s="103" customFormat="1" ht="12" customHeight="1">
      <c r="A88" s="103">
        <v>25</v>
      </c>
      <c r="B88" s="103" t="s">
        <v>4869</v>
      </c>
      <c r="C88" s="106"/>
      <c r="D88" s="106"/>
      <c r="H88" s="102"/>
      <c r="I88" s="107"/>
      <c r="J88" s="107"/>
      <c r="K88" s="107"/>
      <c r="L88" s="107"/>
      <c r="M88" s="107"/>
      <c r="N88" s="107"/>
      <c r="T88" s="116"/>
      <c r="U88" s="116"/>
      <c r="V88" s="116"/>
      <c r="W88" s="116"/>
      <c r="X88" s="116"/>
      <c r="Y88" s="116"/>
    </row>
    <row r="89" spans="1:25" s="103" customFormat="1" ht="12" customHeight="1">
      <c r="A89" s="103">
        <v>824</v>
      </c>
      <c r="B89" s="103" t="s">
        <v>4870</v>
      </c>
      <c r="C89" s="106">
        <v>2</v>
      </c>
      <c r="D89" s="106"/>
      <c r="E89" s="103">
        <v>5</v>
      </c>
      <c r="F89" s="103">
        <v>1</v>
      </c>
      <c r="H89" s="102">
        <v>1</v>
      </c>
      <c r="I89" s="107">
        <v>2.4271844660194173E-3</v>
      </c>
      <c r="J89" s="107" t="s">
        <v>6030</v>
      </c>
      <c r="K89" s="107">
        <v>6.0679611650485436E-3</v>
      </c>
      <c r="L89" s="107">
        <v>1.2135922330097086E-3</v>
      </c>
      <c r="M89" s="107" t="s">
        <v>6030</v>
      </c>
      <c r="N89" s="107">
        <v>1.2135922330097086E-3</v>
      </c>
      <c r="T89" s="116"/>
      <c r="U89" s="116"/>
      <c r="V89" s="116"/>
      <c r="W89" s="116"/>
      <c r="X89" s="116"/>
      <c r="Y89" s="116"/>
    </row>
    <row r="90" spans="1:25" s="103" customFormat="1" ht="12" customHeight="1">
      <c r="A90" s="103">
        <v>63</v>
      </c>
      <c r="B90" s="103" t="s">
        <v>4871</v>
      </c>
      <c r="C90" s="106"/>
      <c r="D90" s="106"/>
      <c r="E90" s="103">
        <v>2</v>
      </c>
      <c r="H90" s="102"/>
      <c r="I90" s="107" t="s">
        <v>6030</v>
      </c>
      <c r="J90" s="107" t="s">
        <v>6030</v>
      </c>
      <c r="K90" s="107">
        <v>3.1746031746031744E-2</v>
      </c>
      <c r="L90" s="107" t="s">
        <v>6030</v>
      </c>
      <c r="M90" s="107" t="s">
        <v>6030</v>
      </c>
      <c r="N90" s="107" t="s">
        <v>6030</v>
      </c>
      <c r="T90" s="116"/>
      <c r="U90" s="116"/>
      <c r="V90" s="116"/>
      <c r="W90" s="116"/>
      <c r="X90" s="116"/>
      <c r="Y90" s="116"/>
    </row>
    <row r="91" spans="1:25" s="103" customFormat="1" ht="12" customHeight="1">
      <c r="A91" s="103">
        <v>148</v>
      </c>
      <c r="B91" s="103" t="s">
        <v>4872</v>
      </c>
      <c r="C91" s="106"/>
      <c r="D91" s="106"/>
      <c r="H91" s="102"/>
      <c r="I91" s="107"/>
      <c r="J91" s="107"/>
      <c r="K91" s="107"/>
      <c r="L91" s="107"/>
      <c r="M91" s="107"/>
      <c r="N91" s="107"/>
      <c r="T91" s="116"/>
      <c r="U91" s="116"/>
      <c r="V91" s="116"/>
      <c r="W91" s="116"/>
      <c r="X91" s="116"/>
      <c r="Y91" s="116"/>
    </row>
    <row r="92" spans="1:25" s="103" customFormat="1" ht="12" customHeight="1">
      <c r="A92" s="103">
        <v>302</v>
      </c>
      <c r="B92" s="103" t="s">
        <v>4873</v>
      </c>
      <c r="C92" s="106">
        <v>2</v>
      </c>
      <c r="D92" s="106"/>
      <c r="H92" s="102"/>
      <c r="I92" s="107">
        <v>6.6225165562913907E-3</v>
      </c>
      <c r="J92" s="107" t="s">
        <v>6030</v>
      </c>
      <c r="K92" s="107" t="s">
        <v>6030</v>
      </c>
      <c r="L92" s="107" t="s">
        <v>6030</v>
      </c>
      <c r="M92" s="107" t="s">
        <v>6030</v>
      </c>
      <c r="N92" s="107" t="s">
        <v>6030</v>
      </c>
      <c r="T92" s="116"/>
      <c r="U92" s="116"/>
      <c r="V92" s="116"/>
      <c r="W92" s="116"/>
      <c r="X92" s="116"/>
      <c r="Y92" s="116"/>
    </row>
    <row r="93" spans="1:25" s="103" customFormat="1" ht="12" customHeight="1">
      <c r="A93" s="103">
        <v>61</v>
      </c>
      <c r="B93" s="103" t="s">
        <v>4874</v>
      </c>
      <c r="C93" s="106"/>
      <c r="D93" s="106"/>
      <c r="H93" s="102"/>
      <c r="I93" s="107"/>
      <c r="J93" s="107"/>
      <c r="K93" s="107"/>
      <c r="L93" s="107"/>
      <c r="M93" s="107"/>
      <c r="N93" s="107"/>
      <c r="T93" s="116"/>
      <c r="U93" s="116"/>
      <c r="V93" s="116"/>
      <c r="W93" s="116"/>
      <c r="X93" s="116"/>
      <c r="Y93" s="116"/>
    </row>
    <row r="94" spans="1:25" s="103" customFormat="1" ht="12" customHeight="1">
      <c r="A94" s="103">
        <v>93</v>
      </c>
      <c r="B94" s="103" t="s">
        <v>4875</v>
      </c>
      <c r="C94" s="106">
        <v>1</v>
      </c>
      <c r="D94" s="106"/>
      <c r="H94" s="102"/>
      <c r="I94" s="107">
        <v>1.0752688172043012E-2</v>
      </c>
      <c r="J94" s="107" t="s">
        <v>6030</v>
      </c>
      <c r="K94" s="107" t="s">
        <v>6030</v>
      </c>
      <c r="L94" s="107" t="s">
        <v>6030</v>
      </c>
      <c r="M94" s="107" t="s">
        <v>6030</v>
      </c>
      <c r="N94" s="107" t="s">
        <v>6030</v>
      </c>
      <c r="T94" s="116"/>
      <c r="U94" s="116"/>
      <c r="V94" s="116"/>
      <c r="W94" s="116"/>
      <c r="X94" s="116"/>
      <c r="Y94" s="116"/>
    </row>
    <row r="95" spans="1:25" s="103" customFormat="1" ht="12" customHeight="1">
      <c r="A95" s="103">
        <v>24</v>
      </c>
      <c r="B95" s="103" t="s">
        <v>4876</v>
      </c>
      <c r="C95" s="106"/>
      <c r="D95" s="106"/>
      <c r="E95" s="103">
        <v>1</v>
      </c>
      <c r="H95" s="102"/>
      <c r="I95" s="107" t="s">
        <v>6030</v>
      </c>
      <c r="J95" s="107" t="s">
        <v>6030</v>
      </c>
      <c r="K95" s="107">
        <v>4.1666666666666664E-2</v>
      </c>
      <c r="L95" s="107" t="s">
        <v>6030</v>
      </c>
      <c r="M95" s="107" t="s">
        <v>6030</v>
      </c>
      <c r="N95" s="107" t="s">
        <v>6030</v>
      </c>
      <c r="T95" s="116"/>
      <c r="U95" s="116"/>
      <c r="V95" s="116"/>
      <c r="W95" s="116"/>
      <c r="X95" s="116"/>
      <c r="Y95" s="116"/>
    </row>
    <row r="96" spans="1:25" s="103" customFormat="1" ht="12" customHeight="1">
      <c r="A96" s="103">
        <v>59</v>
      </c>
      <c r="B96" s="103" t="s">
        <v>4877</v>
      </c>
      <c r="C96" s="106"/>
      <c r="D96" s="106"/>
      <c r="E96" s="103">
        <v>1</v>
      </c>
      <c r="H96" s="102"/>
      <c r="I96" s="107" t="s">
        <v>6030</v>
      </c>
      <c r="J96" s="107" t="s">
        <v>6030</v>
      </c>
      <c r="K96" s="107">
        <v>1.6949152542372881E-2</v>
      </c>
      <c r="L96" s="107" t="s">
        <v>6030</v>
      </c>
      <c r="M96" s="107" t="s">
        <v>6030</v>
      </c>
      <c r="N96" s="107" t="s">
        <v>6030</v>
      </c>
      <c r="T96" s="116"/>
      <c r="U96" s="116"/>
      <c r="V96" s="116"/>
      <c r="W96" s="116"/>
      <c r="X96" s="116"/>
      <c r="Y96" s="116"/>
    </row>
    <row r="97" spans="1:25" s="103" customFormat="1" ht="12" customHeight="1">
      <c r="A97" s="103">
        <v>44</v>
      </c>
      <c r="B97" s="103" t="s">
        <v>4878</v>
      </c>
      <c r="C97" s="106"/>
      <c r="D97" s="106"/>
      <c r="E97" s="103">
        <v>1</v>
      </c>
      <c r="H97" s="102"/>
      <c r="I97" s="107" t="s">
        <v>6030</v>
      </c>
      <c r="J97" s="107" t="s">
        <v>6030</v>
      </c>
      <c r="K97" s="107">
        <v>2.2727272727272728E-2</v>
      </c>
      <c r="L97" s="107" t="s">
        <v>6030</v>
      </c>
      <c r="M97" s="107" t="s">
        <v>6030</v>
      </c>
      <c r="N97" s="107" t="s">
        <v>6030</v>
      </c>
      <c r="T97" s="116"/>
      <c r="U97" s="116"/>
      <c r="V97" s="116"/>
      <c r="W97" s="116"/>
      <c r="X97" s="116"/>
      <c r="Y97" s="116"/>
    </row>
    <row r="98" spans="1:25" s="103" customFormat="1" ht="12" customHeight="1">
      <c r="A98" s="103">
        <v>40</v>
      </c>
      <c r="B98" s="103" t="s">
        <v>4879</v>
      </c>
      <c r="C98" s="106">
        <v>1</v>
      </c>
      <c r="D98" s="106"/>
      <c r="H98" s="102"/>
      <c r="I98" s="107">
        <v>2.5000000000000001E-2</v>
      </c>
      <c r="J98" s="107" t="s">
        <v>6030</v>
      </c>
      <c r="K98" s="107" t="s">
        <v>6030</v>
      </c>
      <c r="L98" s="107" t="s">
        <v>6030</v>
      </c>
      <c r="M98" s="107" t="s">
        <v>6030</v>
      </c>
      <c r="N98" s="107" t="s">
        <v>6030</v>
      </c>
      <c r="T98" s="116"/>
      <c r="U98" s="116"/>
      <c r="V98" s="116"/>
      <c r="W98" s="116"/>
      <c r="X98" s="116"/>
      <c r="Y98" s="116"/>
    </row>
    <row r="99" spans="1:25" s="103" customFormat="1" ht="12" customHeight="1">
      <c r="A99" s="103">
        <v>523</v>
      </c>
      <c r="B99" s="103" t="s">
        <v>4880</v>
      </c>
      <c r="C99" s="106"/>
      <c r="D99" s="106">
        <v>1</v>
      </c>
      <c r="E99" s="103">
        <v>1</v>
      </c>
      <c r="G99" s="103">
        <v>1</v>
      </c>
      <c r="H99" s="102"/>
      <c r="I99" s="107" t="s">
        <v>6030</v>
      </c>
      <c r="J99" s="107">
        <v>1.9120458891013384E-3</v>
      </c>
      <c r="K99" s="107">
        <v>1.9120458891013384E-3</v>
      </c>
      <c r="L99" s="107" t="s">
        <v>6030</v>
      </c>
      <c r="M99" s="107">
        <v>1.9120458891013384E-3</v>
      </c>
      <c r="N99" s="107" t="s">
        <v>6030</v>
      </c>
      <c r="T99" s="116"/>
      <c r="U99" s="116"/>
      <c r="V99" s="116"/>
      <c r="W99" s="116"/>
      <c r="X99" s="116"/>
      <c r="Y99" s="116"/>
    </row>
    <row r="100" spans="1:25" s="103" customFormat="1" ht="12" customHeight="1">
      <c r="A100" s="103">
        <v>52</v>
      </c>
      <c r="B100" s="103" t="s">
        <v>4881</v>
      </c>
      <c r="C100" s="106"/>
      <c r="D100" s="106"/>
      <c r="E100" s="103">
        <v>4</v>
      </c>
      <c r="H100" s="102"/>
      <c r="I100" s="107" t="s">
        <v>6030</v>
      </c>
      <c r="J100" s="107" t="s">
        <v>6030</v>
      </c>
      <c r="K100" s="107">
        <v>7.6923076923076927E-2</v>
      </c>
      <c r="L100" s="107" t="s">
        <v>6030</v>
      </c>
      <c r="M100" s="107" t="s">
        <v>6030</v>
      </c>
      <c r="N100" s="107" t="s">
        <v>6030</v>
      </c>
      <c r="T100" s="116"/>
      <c r="U100" s="116"/>
      <c r="V100" s="116"/>
      <c r="W100" s="116"/>
      <c r="X100" s="116"/>
      <c r="Y100" s="116"/>
    </row>
    <row r="101" spans="1:25" s="103" customFormat="1" ht="12" customHeight="1">
      <c r="A101" s="103">
        <v>255</v>
      </c>
      <c r="B101" s="103" t="s">
        <v>4882</v>
      </c>
      <c r="C101" s="106">
        <v>1</v>
      </c>
      <c r="D101" s="106"/>
      <c r="E101" s="103">
        <v>3</v>
      </c>
      <c r="H101" s="102"/>
      <c r="I101" s="107">
        <v>3.9215686274509803E-3</v>
      </c>
      <c r="J101" s="107" t="s">
        <v>6030</v>
      </c>
      <c r="K101" s="107">
        <v>1.1764705882352941E-2</v>
      </c>
      <c r="L101" s="107" t="s">
        <v>6030</v>
      </c>
      <c r="M101" s="107" t="s">
        <v>6030</v>
      </c>
      <c r="N101" s="107" t="s">
        <v>6030</v>
      </c>
      <c r="T101" s="116"/>
      <c r="U101" s="116"/>
      <c r="V101" s="116"/>
      <c r="W101" s="116"/>
      <c r="X101" s="116"/>
      <c r="Y101" s="116"/>
    </row>
    <row r="102" spans="1:25" s="103" customFormat="1" ht="12" customHeight="1">
      <c r="A102" s="103">
        <v>98</v>
      </c>
      <c r="B102" s="103" t="s">
        <v>4883</v>
      </c>
      <c r="C102" s="106"/>
      <c r="D102" s="106"/>
      <c r="H102" s="102"/>
      <c r="I102" s="107"/>
      <c r="J102" s="107"/>
      <c r="K102" s="107"/>
      <c r="L102" s="107"/>
      <c r="M102" s="107"/>
      <c r="N102" s="107"/>
      <c r="T102" s="116"/>
      <c r="U102" s="116"/>
      <c r="V102" s="116"/>
      <c r="W102" s="116"/>
      <c r="X102" s="116"/>
      <c r="Y102" s="116"/>
    </row>
    <row r="103" spans="1:25" s="103" customFormat="1" ht="12" customHeight="1">
      <c r="A103" s="103">
        <v>1195</v>
      </c>
      <c r="B103" s="103" t="s">
        <v>4884</v>
      </c>
      <c r="C103" s="106"/>
      <c r="D103" s="106">
        <v>1</v>
      </c>
      <c r="E103" s="103">
        <v>8</v>
      </c>
      <c r="F103" s="103">
        <v>8</v>
      </c>
      <c r="H103" s="102">
        <v>5</v>
      </c>
      <c r="I103" s="107" t="s">
        <v>6030</v>
      </c>
      <c r="J103" s="107">
        <v>8.3682008368200832E-4</v>
      </c>
      <c r="K103" s="107">
        <v>6.6945606694560665E-3</v>
      </c>
      <c r="L103" s="107">
        <v>6.6945606694560665E-3</v>
      </c>
      <c r="M103" s="107" t="s">
        <v>6030</v>
      </c>
      <c r="N103" s="107">
        <v>4.1841004184100415E-3</v>
      </c>
      <c r="T103" s="116"/>
      <c r="U103" s="116"/>
      <c r="V103" s="116"/>
      <c r="W103" s="116"/>
      <c r="X103" s="116"/>
      <c r="Y103" s="116"/>
    </row>
    <row r="104" spans="1:25" s="103" customFormat="1" ht="12" customHeight="1">
      <c r="A104" s="103">
        <v>24</v>
      </c>
      <c r="B104" s="103" t="s">
        <v>4885</v>
      </c>
      <c r="C104" s="106"/>
      <c r="D104" s="106"/>
      <c r="H104" s="102"/>
      <c r="I104" s="107"/>
      <c r="J104" s="107"/>
      <c r="K104" s="107"/>
      <c r="L104" s="107"/>
      <c r="M104" s="107"/>
      <c r="N104" s="107"/>
      <c r="T104" s="116"/>
      <c r="U104" s="116"/>
      <c r="V104" s="116"/>
      <c r="W104" s="116"/>
      <c r="X104" s="116"/>
      <c r="Y104" s="116"/>
    </row>
    <row r="105" spans="1:25" s="103" customFormat="1" ht="12" customHeight="1">
      <c r="A105" s="103">
        <v>77</v>
      </c>
      <c r="B105" s="103" t="s">
        <v>4886</v>
      </c>
      <c r="C105" s="106"/>
      <c r="D105" s="106"/>
      <c r="H105" s="102"/>
      <c r="I105" s="107"/>
      <c r="J105" s="107"/>
      <c r="K105" s="107"/>
      <c r="L105" s="107"/>
      <c r="M105" s="107"/>
      <c r="N105" s="107"/>
      <c r="T105" s="116"/>
      <c r="U105" s="116"/>
      <c r="V105" s="116"/>
      <c r="W105" s="116"/>
      <c r="X105" s="116"/>
      <c r="Y105" s="116"/>
    </row>
    <row r="106" spans="1:25" s="103" customFormat="1" ht="12" customHeight="1">
      <c r="A106" s="103">
        <v>215</v>
      </c>
      <c r="B106" s="103" t="s">
        <v>4887</v>
      </c>
      <c r="C106" s="106"/>
      <c r="D106" s="106"/>
      <c r="H106" s="102"/>
      <c r="I106" s="107"/>
      <c r="J106" s="107"/>
      <c r="K106" s="107"/>
      <c r="L106" s="107"/>
      <c r="M106" s="107"/>
      <c r="N106" s="107"/>
      <c r="T106" s="116"/>
      <c r="U106" s="116"/>
      <c r="V106" s="116"/>
      <c r="W106" s="116"/>
      <c r="X106" s="116"/>
      <c r="Y106" s="116"/>
    </row>
    <row r="107" spans="1:25" s="103" customFormat="1" ht="12" customHeight="1">
      <c r="A107" s="103">
        <v>510</v>
      </c>
      <c r="B107" s="103" t="s">
        <v>4888</v>
      </c>
      <c r="C107" s="106">
        <v>2</v>
      </c>
      <c r="D107" s="106"/>
      <c r="E107" s="103">
        <v>8</v>
      </c>
      <c r="H107" s="102"/>
      <c r="I107" s="107">
        <v>3.9215686274509803E-3</v>
      </c>
      <c r="J107" s="107" t="s">
        <v>6030</v>
      </c>
      <c r="K107" s="107">
        <v>1.5686274509803921E-2</v>
      </c>
      <c r="L107" s="107" t="s">
        <v>6030</v>
      </c>
      <c r="M107" s="107" t="s">
        <v>6030</v>
      </c>
      <c r="N107" s="107" t="s">
        <v>6030</v>
      </c>
      <c r="T107" s="116"/>
      <c r="U107" s="116"/>
      <c r="V107" s="116"/>
      <c r="W107" s="116"/>
      <c r="X107" s="116"/>
      <c r="Y107" s="116"/>
    </row>
    <row r="108" spans="1:25" s="103" customFormat="1" ht="12" customHeight="1">
      <c r="A108" s="103">
        <v>55</v>
      </c>
      <c r="B108" s="103" t="s">
        <v>4889</v>
      </c>
      <c r="C108" s="106"/>
      <c r="D108" s="106"/>
      <c r="H108" s="102"/>
      <c r="I108" s="107"/>
      <c r="J108" s="107"/>
      <c r="K108" s="107"/>
      <c r="L108" s="107"/>
      <c r="M108" s="107"/>
      <c r="N108" s="107"/>
      <c r="T108" s="116"/>
      <c r="U108" s="116"/>
      <c r="V108" s="116"/>
      <c r="W108" s="116"/>
      <c r="X108" s="116"/>
      <c r="Y108" s="116"/>
    </row>
    <row r="109" spans="1:25" s="103" customFormat="1" ht="12" customHeight="1">
      <c r="A109" s="103">
        <v>14</v>
      </c>
      <c r="B109" s="103" t="s">
        <v>4891</v>
      </c>
      <c r="C109" s="106"/>
      <c r="D109" s="106"/>
      <c r="H109" s="102"/>
      <c r="I109" s="107"/>
      <c r="J109" s="107"/>
      <c r="K109" s="107"/>
      <c r="L109" s="107"/>
      <c r="M109" s="107"/>
      <c r="N109" s="107"/>
      <c r="T109" s="116"/>
      <c r="U109" s="116"/>
      <c r="V109" s="116"/>
      <c r="W109" s="116"/>
      <c r="X109" s="116"/>
      <c r="Y109" s="116"/>
    </row>
    <row r="110" spans="1:25" s="103" customFormat="1" ht="12" customHeight="1">
      <c r="A110" s="103">
        <v>34</v>
      </c>
      <c r="B110" s="103" t="s">
        <v>4892</v>
      </c>
      <c r="C110" s="106"/>
      <c r="D110" s="106"/>
      <c r="H110" s="102"/>
      <c r="I110" s="107"/>
      <c r="J110" s="107"/>
      <c r="K110" s="107"/>
      <c r="L110" s="107"/>
      <c r="M110" s="107"/>
      <c r="N110" s="107"/>
      <c r="T110" s="116"/>
      <c r="U110" s="116"/>
      <c r="V110" s="116"/>
      <c r="W110" s="116"/>
      <c r="X110" s="116"/>
      <c r="Y110" s="116"/>
    </row>
    <row r="111" spans="1:25" s="103" customFormat="1" ht="12" customHeight="1">
      <c r="A111" s="103">
        <v>40</v>
      </c>
      <c r="B111" s="103" t="s">
        <v>4893</v>
      </c>
      <c r="C111" s="106"/>
      <c r="D111" s="106"/>
      <c r="H111" s="102"/>
      <c r="I111" s="107"/>
      <c r="J111" s="107"/>
      <c r="K111" s="107"/>
      <c r="L111" s="107"/>
      <c r="M111" s="107"/>
      <c r="N111" s="107"/>
      <c r="T111" s="116"/>
      <c r="U111" s="116"/>
      <c r="V111" s="116"/>
      <c r="W111" s="116"/>
      <c r="X111" s="116"/>
      <c r="Y111" s="116"/>
    </row>
    <row r="112" spans="1:25" s="103" customFormat="1" ht="12" customHeight="1">
      <c r="A112" s="103">
        <v>229</v>
      </c>
      <c r="B112" s="103" t="s">
        <v>4894</v>
      </c>
      <c r="C112" s="106"/>
      <c r="D112" s="106"/>
      <c r="E112" s="103">
        <v>1</v>
      </c>
      <c r="H112" s="102"/>
      <c r="I112" s="107" t="s">
        <v>6030</v>
      </c>
      <c r="J112" s="107" t="s">
        <v>6030</v>
      </c>
      <c r="K112" s="107">
        <v>4.3668122270742356E-3</v>
      </c>
      <c r="L112" s="107" t="s">
        <v>6030</v>
      </c>
      <c r="M112" s="107" t="s">
        <v>6030</v>
      </c>
      <c r="N112" s="107" t="s">
        <v>6030</v>
      </c>
      <c r="T112" s="116"/>
      <c r="U112" s="116"/>
      <c r="V112" s="116"/>
      <c r="W112" s="116"/>
      <c r="X112" s="116"/>
      <c r="Y112" s="116"/>
    </row>
    <row r="113" spans="1:25" s="103" customFormat="1" ht="12" customHeight="1">
      <c r="A113" s="103">
        <v>33</v>
      </c>
      <c r="B113" s="103" t="s">
        <v>4895</v>
      </c>
      <c r="C113" s="106"/>
      <c r="D113" s="106"/>
      <c r="H113" s="102"/>
      <c r="I113" s="107"/>
      <c r="J113" s="107"/>
      <c r="K113" s="107"/>
      <c r="L113" s="107"/>
      <c r="M113" s="107"/>
      <c r="N113" s="107"/>
      <c r="T113" s="116"/>
      <c r="U113" s="116"/>
      <c r="V113" s="116"/>
      <c r="W113" s="116"/>
      <c r="X113" s="116"/>
      <c r="Y113" s="116"/>
    </row>
    <row r="114" spans="1:25" s="103" customFormat="1" ht="12" customHeight="1">
      <c r="A114" s="103">
        <v>13</v>
      </c>
      <c r="B114" s="103" t="s">
        <v>4896</v>
      </c>
      <c r="C114" s="106"/>
      <c r="D114" s="106"/>
      <c r="H114" s="102"/>
      <c r="I114" s="107"/>
      <c r="J114" s="107"/>
      <c r="K114" s="107"/>
      <c r="L114" s="107"/>
      <c r="M114" s="107"/>
      <c r="N114" s="107"/>
      <c r="T114" s="116"/>
      <c r="U114" s="116"/>
      <c r="V114" s="116"/>
      <c r="W114" s="116"/>
      <c r="X114" s="116"/>
      <c r="Y114" s="116"/>
    </row>
    <row r="115" spans="1:25" s="103" customFormat="1" ht="12" customHeight="1">
      <c r="A115" s="103">
        <v>79</v>
      </c>
      <c r="B115" s="103" t="s">
        <v>4897</v>
      </c>
      <c r="C115" s="106"/>
      <c r="D115" s="106"/>
      <c r="H115" s="102"/>
      <c r="I115" s="107"/>
      <c r="J115" s="107"/>
      <c r="K115" s="107"/>
      <c r="L115" s="107"/>
      <c r="M115" s="107"/>
      <c r="N115" s="107"/>
      <c r="T115" s="116"/>
      <c r="U115" s="116"/>
      <c r="V115" s="116"/>
      <c r="W115" s="116"/>
      <c r="X115" s="116"/>
      <c r="Y115" s="116"/>
    </row>
    <row r="116" spans="1:25" s="103" customFormat="1" ht="12" customHeight="1">
      <c r="A116" s="103">
        <v>69</v>
      </c>
      <c r="B116" s="103" t="s">
        <v>4898</v>
      </c>
      <c r="C116" s="106"/>
      <c r="D116" s="106"/>
      <c r="E116" s="103">
        <v>1</v>
      </c>
      <c r="H116" s="102"/>
      <c r="I116" s="107" t="s">
        <v>6030</v>
      </c>
      <c r="J116" s="107" t="s">
        <v>6030</v>
      </c>
      <c r="K116" s="107">
        <v>1.4492753623188406E-2</v>
      </c>
      <c r="L116" s="107" t="s">
        <v>6030</v>
      </c>
      <c r="M116" s="107" t="s">
        <v>6030</v>
      </c>
      <c r="N116" s="107" t="s">
        <v>6030</v>
      </c>
      <c r="T116" s="116"/>
      <c r="U116" s="116"/>
      <c r="V116" s="116"/>
      <c r="W116" s="116"/>
      <c r="X116" s="116"/>
      <c r="Y116" s="116"/>
    </row>
    <row r="117" spans="1:25" s="103" customFormat="1" ht="12" customHeight="1">
      <c r="A117" s="103">
        <v>203</v>
      </c>
      <c r="B117" s="103" t="s">
        <v>4899</v>
      </c>
      <c r="C117" s="106"/>
      <c r="D117" s="106"/>
      <c r="H117" s="102"/>
      <c r="I117" s="107"/>
      <c r="J117" s="107"/>
      <c r="K117" s="107"/>
      <c r="L117" s="107"/>
      <c r="M117" s="107"/>
      <c r="N117" s="107"/>
      <c r="T117" s="116"/>
      <c r="U117" s="116"/>
      <c r="V117" s="116"/>
      <c r="W117" s="116"/>
      <c r="X117" s="116"/>
      <c r="Y117" s="116"/>
    </row>
    <row r="118" spans="1:25" s="103" customFormat="1" ht="12" customHeight="1">
      <c r="A118" s="103">
        <v>32</v>
      </c>
      <c r="B118" s="103" t="s">
        <v>4900</v>
      </c>
      <c r="C118" s="106"/>
      <c r="D118" s="106"/>
      <c r="H118" s="102"/>
      <c r="I118" s="107"/>
      <c r="J118" s="107"/>
      <c r="K118" s="107"/>
      <c r="L118" s="107"/>
      <c r="M118" s="107"/>
      <c r="N118" s="107"/>
      <c r="T118" s="116"/>
      <c r="U118" s="116"/>
      <c r="V118" s="116"/>
      <c r="W118" s="116"/>
      <c r="X118" s="116"/>
      <c r="Y118" s="116"/>
    </row>
    <row r="119" spans="1:25" s="103" customFormat="1" ht="12" customHeight="1">
      <c r="A119" s="103">
        <v>43</v>
      </c>
      <c r="B119" s="103" t="s">
        <v>4901</v>
      </c>
      <c r="C119" s="106"/>
      <c r="D119" s="106"/>
      <c r="H119" s="102"/>
      <c r="I119" s="107"/>
      <c r="J119" s="107"/>
      <c r="K119" s="107"/>
      <c r="L119" s="107"/>
      <c r="M119" s="107"/>
      <c r="N119" s="107"/>
      <c r="T119" s="116"/>
      <c r="U119" s="116"/>
      <c r="V119" s="116"/>
      <c r="W119" s="116"/>
      <c r="X119" s="116"/>
      <c r="Y119" s="116"/>
    </row>
    <row r="120" spans="1:25" s="103" customFormat="1" ht="12" customHeight="1">
      <c r="A120" s="103">
        <v>19</v>
      </c>
      <c r="B120" s="103" t="s">
        <v>4902</v>
      </c>
      <c r="C120" s="106"/>
      <c r="D120" s="106"/>
      <c r="H120" s="102"/>
      <c r="I120" s="107"/>
      <c r="J120" s="107"/>
      <c r="K120" s="107"/>
      <c r="L120" s="107"/>
      <c r="M120" s="107"/>
      <c r="N120" s="107"/>
      <c r="T120" s="116"/>
      <c r="U120" s="116"/>
      <c r="V120" s="116"/>
      <c r="W120" s="116"/>
      <c r="X120" s="116"/>
      <c r="Y120" s="116"/>
    </row>
    <row r="121" spans="1:25" s="103" customFormat="1" ht="12" customHeight="1">
      <c r="A121" s="103">
        <v>78</v>
      </c>
      <c r="B121" s="103" t="s">
        <v>4903</v>
      </c>
      <c r="C121" s="106"/>
      <c r="D121" s="106"/>
      <c r="H121" s="102"/>
      <c r="I121" s="107"/>
      <c r="J121" s="107"/>
      <c r="K121" s="107"/>
      <c r="L121" s="107"/>
      <c r="M121" s="107"/>
      <c r="N121" s="107"/>
      <c r="T121" s="116"/>
      <c r="U121" s="116"/>
      <c r="V121" s="116"/>
      <c r="W121" s="116"/>
      <c r="X121" s="116"/>
      <c r="Y121" s="116"/>
    </row>
    <row r="122" spans="1:25" s="103" customFormat="1" ht="12" customHeight="1">
      <c r="A122" s="103">
        <v>25</v>
      </c>
      <c r="B122" s="103" t="s">
        <v>4904</v>
      </c>
      <c r="C122" s="106"/>
      <c r="D122" s="106"/>
      <c r="F122" s="103">
        <v>2</v>
      </c>
      <c r="H122" s="102"/>
      <c r="I122" s="107" t="s">
        <v>6030</v>
      </c>
      <c r="J122" s="107" t="s">
        <v>6030</v>
      </c>
      <c r="K122" s="107" t="s">
        <v>6030</v>
      </c>
      <c r="L122" s="107">
        <v>0.08</v>
      </c>
      <c r="M122" s="107" t="s">
        <v>6030</v>
      </c>
      <c r="N122" s="107" t="s">
        <v>6030</v>
      </c>
      <c r="T122" s="116"/>
      <c r="U122" s="116"/>
      <c r="V122" s="116"/>
      <c r="W122" s="116"/>
      <c r="X122" s="116"/>
      <c r="Y122" s="116"/>
    </row>
    <row r="123" spans="1:25" s="103" customFormat="1" ht="12" customHeight="1">
      <c r="A123" s="103">
        <v>73</v>
      </c>
      <c r="B123" s="103" t="s">
        <v>4905</v>
      </c>
      <c r="C123" s="106">
        <v>2</v>
      </c>
      <c r="D123" s="106"/>
      <c r="H123" s="102"/>
      <c r="I123" s="107">
        <v>2.7397260273972601E-2</v>
      </c>
      <c r="J123" s="107" t="s">
        <v>6030</v>
      </c>
      <c r="K123" s="107" t="s">
        <v>6030</v>
      </c>
      <c r="L123" s="107" t="s">
        <v>6030</v>
      </c>
      <c r="M123" s="107" t="s">
        <v>6030</v>
      </c>
      <c r="N123" s="107" t="s">
        <v>6030</v>
      </c>
      <c r="T123" s="116"/>
      <c r="U123" s="116"/>
      <c r="V123" s="116"/>
      <c r="W123" s="116"/>
      <c r="X123" s="116"/>
      <c r="Y123" s="116"/>
    </row>
    <row r="124" spans="1:25" s="103" customFormat="1" ht="12" customHeight="1">
      <c r="A124" s="103">
        <v>54</v>
      </c>
      <c r="B124" s="103" t="s">
        <v>4906</v>
      </c>
      <c r="C124" s="106"/>
      <c r="D124" s="106"/>
      <c r="E124" s="103">
        <v>2</v>
      </c>
      <c r="F124" s="103">
        <v>1</v>
      </c>
      <c r="H124" s="102"/>
      <c r="I124" s="107" t="s">
        <v>6030</v>
      </c>
      <c r="J124" s="107" t="s">
        <v>6030</v>
      </c>
      <c r="K124" s="107">
        <v>3.7037037037037035E-2</v>
      </c>
      <c r="L124" s="107">
        <v>1.8518518518518517E-2</v>
      </c>
      <c r="M124" s="107" t="s">
        <v>6030</v>
      </c>
      <c r="N124" s="107" t="s">
        <v>6030</v>
      </c>
      <c r="T124" s="116"/>
      <c r="U124" s="116"/>
      <c r="V124" s="116"/>
      <c r="W124" s="116"/>
      <c r="X124" s="116"/>
      <c r="Y124" s="116"/>
    </row>
    <row r="125" spans="1:25" s="103" customFormat="1" ht="12" customHeight="1">
      <c r="A125" s="103">
        <v>43</v>
      </c>
      <c r="B125" s="103" t="s">
        <v>4907</v>
      </c>
      <c r="C125" s="106"/>
      <c r="D125" s="106"/>
      <c r="H125" s="102"/>
      <c r="I125" s="107"/>
      <c r="J125" s="107"/>
      <c r="K125" s="107"/>
      <c r="L125" s="107"/>
      <c r="M125" s="107"/>
      <c r="N125" s="107"/>
      <c r="T125" s="116"/>
      <c r="U125" s="116"/>
      <c r="V125" s="116"/>
      <c r="W125" s="116"/>
      <c r="X125" s="116"/>
      <c r="Y125" s="116"/>
    </row>
    <row r="126" spans="1:25" s="103" customFormat="1" ht="12" customHeight="1">
      <c r="A126" s="103">
        <v>19</v>
      </c>
      <c r="B126" s="103" t="s">
        <v>4908</v>
      </c>
      <c r="C126" s="106"/>
      <c r="D126" s="106"/>
      <c r="H126" s="102"/>
      <c r="I126" s="107"/>
      <c r="J126" s="107"/>
      <c r="K126" s="107"/>
      <c r="L126" s="107"/>
      <c r="M126" s="107"/>
      <c r="N126" s="107"/>
      <c r="T126" s="116"/>
      <c r="U126" s="116"/>
      <c r="V126" s="116"/>
      <c r="W126" s="116"/>
      <c r="X126" s="116"/>
      <c r="Y126" s="116"/>
    </row>
    <row r="127" spans="1:25" s="103" customFormat="1" ht="12" customHeight="1">
      <c r="A127" s="103">
        <v>22</v>
      </c>
      <c r="B127" s="103" t="s">
        <v>4909</v>
      </c>
      <c r="C127" s="106"/>
      <c r="D127" s="106"/>
      <c r="H127" s="102"/>
      <c r="I127" s="107"/>
      <c r="J127" s="107"/>
      <c r="K127" s="107"/>
      <c r="L127" s="107"/>
      <c r="M127" s="107"/>
      <c r="N127" s="107"/>
      <c r="T127" s="116"/>
      <c r="U127" s="116"/>
      <c r="V127" s="116"/>
      <c r="W127" s="116"/>
      <c r="X127" s="116"/>
      <c r="Y127" s="116"/>
    </row>
    <row r="128" spans="1:25" s="103" customFormat="1" ht="12" customHeight="1">
      <c r="A128" s="103">
        <v>127</v>
      </c>
      <c r="B128" s="103" t="s">
        <v>4910</v>
      </c>
      <c r="C128" s="106"/>
      <c r="D128" s="106"/>
      <c r="H128" s="102"/>
      <c r="I128" s="107"/>
      <c r="J128" s="107"/>
      <c r="K128" s="107"/>
      <c r="L128" s="107"/>
      <c r="M128" s="107"/>
      <c r="N128" s="107"/>
      <c r="T128" s="116"/>
      <c r="U128" s="116"/>
      <c r="V128" s="116"/>
      <c r="W128" s="116"/>
      <c r="X128" s="116"/>
      <c r="Y128" s="116"/>
    </row>
    <row r="129" spans="1:25" s="103" customFormat="1" ht="12" customHeight="1">
      <c r="A129" s="103">
        <v>165</v>
      </c>
      <c r="B129" s="103" t="s">
        <v>4911</v>
      </c>
      <c r="C129" s="106"/>
      <c r="D129" s="106"/>
      <c r="E129" s="103">
        <v>2</v>
      </c>
      <c r="F129" s="103">
        <v>1</v>
      </c>
      <c r="H129" s="102"/>
      <c r="I129" s="107" t="s">
        <v>6030</v>
      </c>
      <c r="J129" s="107" t="s">
        <v>6030</v>
      </c>
      <c r="K129" s="107">
        <v>1.2121212121212121E-2</v>
      </c>
      <c r="L129" s="107">
        <v>6.0606060606060606E-3</v>
      </c>
      <c r="M129" s="107" t="s">
        <v>6030</v>
      </c>
      <c r="N129" s="107" t="s">
        <v>6030</v>
      </c>
      <c r="T129" s="116"/>
      <c r="U129" s="116"/>
      <c r="V129" s="116"/>
      <c r="W129" s="116"/>
      <c r="X129" s="116"/>
      <c r="Y129" s="116"/>
    </row>
    <row r="130" spans="1:25" s="103" customFormat="1" ht="12" customHeight="1">
      <c r="A130" s="103">
        <v>31</v>
      </c>
      <c r="B130" s="103" t="s">
        <v>4912</v>
      </c>
      <c r="C130" s="106"/>
      <c r="D130" s="106"/>
      <c r="H130" s="102"/>
      <c r="I130" s="107"/>
      <c r="J130" s="107"/>
      <c r="K130" s="107"/>
      <c r="L130" s="107"/>
      <c r="M130" s="107"/>
      <c r="N130" s="107"/>
      <c r="T130" s="116"/>
      <c r="U130" s="116"/>
      <c r="V130" s="116"/>
      <c r="W130" s="116"/>
      <c r="X130" s="116"/>
      <c r="Y130" s="116"/>
    </row>
    <row r="131" spans="1:25" s="103" customFormat="1" ht="12" customHeight="1">
      <c r="A131" s="103">
        <v>88</v>
      </c>
      <c r="B131" s="103" t="s">
        <v>4913</v>
      </c>
      <c r="C131" s="106"/>
      <c r="D131" s="106"/>
      <c r="H131" s="102"/>
      <c r="I131" s="107"/>
      <c r="J131" s="107"/>
      <c r="K131" s="107"/>
      <c r="L131" s="107"/>
      <c r="M131" s="107"/>
      <c r="N131" s="107"/>
      <c r="T131" s="116"/>
      <c r="U131" s="116"/>
      <c r="V131" s="116"/>
      <c r="W131" s="116"/>
      <c r="X131" s="116"/>
      <c r="Y131" s="116"/>
    </row>
    <row r="132" spans="1:25" s="103" customFormat="1" ht="12" customHeight="1">
      <c r="A132" s="103">
        <v>89</v>
      </c>
      <c r="B132" s="103" t="s">
        <v>4914</v>
      </c>
      <c r="C132" s="106"/>
      <c r="D132" s="106"/>
      <c r="H132" s="102"/>
      <c r="I132" s="107"/>
      <c r="J132" s="107"/>
      <c r="K132" s="107"/>
      <c r="L132" s="107"/>
      <c r="M132" s="107"/>
      <c r="N132" s="107"/>
      <c r="T132" s="116"/>
      <c r="U132" s="116"/>
      <c r="V132" s="116"/>
      <c r="W132" s="116"/>
      <c r="X132" s="116"/>
      <c r="Y132" s="116"/>
    </row>
    <row r="133" spans="1:25" s="103" customFormat="1" ht="12" customHeight="1">
      <c r="A133" s="103">
        <v>146</v>
      </c>
      <c r="B133" s="103" t="s">
        <v>4915</v>
      </c>
      <c r="C133" s="106">
        <v>1</v>
      </c>
      <c r="D133" s="106"/>
      <c r="E133" s="103">
        <v>2</v>
      </c>
      <c r="H133" s="102"/>
      <c r="I133" s="107">
        <v>6.8493150684931503E-3</v>
      </c>
      <c r="J133" s="107" t="s">
        <v>6030</v>
      </c>
      <c r="K133" s="107">
        <v>1.3698630136986301E-2</v>
      </c>
      <c r="L133" s="107" t="s">
        <v>6030</v>
      </c>
      <c r="M133" s="107" t="s">
        <v>6030</v>
      </c>
      <c r="N133" s="107" t="s">
        <v>6030</v>
      </c>
      <c r="T133" s="116"/>
      <c r="U133" s="116"/>
      <c r="V133" s="116"/>
      <c r="W133" s="116"/>
      <c r="X133" s="116"/>
      <c r="Y133" s="116"/>
    </row>
    <row r="134" spans="1:25" s="103" customFormat="1" ht="12" customHeight="1">
      <c r="A134" s="103">
        <v>151</v>
      </c>
      <c r="B134" s="103" t="s">
        <v>4916</v>
      </c>
      <c r="C134" s="106"/>
      <c r="D134" s="106"/>
      <c r="H134" s="102"/>
      <c r="I134" s="107"/>
      <c r="J134" s="107"/>
      <c r="K134" s="107"/>
      <c r="L134" s="107"/>
      <c r="M134" s="107"/>
      <c r="N134" s="107"/>
      <c r="T134" s="116"/>
      <c r="U134" s="116"/>
      <c r="V134" s="116"/>
      <c r="W134" s="116"/>
      <c r="X134" s="116"/>
      <c r="Y134" s="116"/>
    </row>
    <row r="135" spans="1:25" s="103" customFormat="1" ht="12" customHeight="1">
      <c r="A135" s="103">
        <v>40</v>
      </c>
      <c r="B135" s="103" t="s">
        <v>4917</v>
      </c>
      <c r="C135" s="106"/>
      <c r="D135" s="106"/>
      <c r="E135" s="103">
        <v>1</v>
      </c>
      <c r="H135" s="102"/>
      <c r="I135" s="107" t="s">
        <v>6030</v>
      </c>
      <c r="J135" s="107" t="s">
        <v>6030</v>
      </c>
      <c r="K135" s="107">
        <v>2.5000000000000001E-2</v>
      </c>
      <c r="L135" s="107" t="s">
        <v>6030</v>
      </c>
      <c r="M135" s="107" t="s">
        <v>6030</v>
      </c>
      <c r="N135" s="107" t="s">
        <v>6030</v>
      </c>
      <c r="T135" s="116"/>
      <c r="U135" s="116"/>
      <c r="V135" s="116"/>
      <c r="W135" s="116"/>
      <c r="X135" s="116"/>
      <c r="Y135" s="116"/>
    </row>
    <row r="136" spans="1:25" s="103" customFormat="1" ht="12" customHeight="1">
      <c r="A136" s="103">
        <v>119</v>
      </c>
      <c r="B136" s="103" t="s">
        <v>4918</v>
      </c>
      <c r="C136" s="106"/>
      <c r="D136" s="106"/>
      <c r="H136" s="102"/>
      <c r="I136" s="107"/>
      <c r="J136" s="107"/>
      <c r="K136" s="107"/>
      <c r="L136" s="107"/>
      <c r="M136" s="107"/>
      <c r="N136" s="107"/>
      <c r="T136" s="116"/>
      <c r="U136" s="116"/>
      <c r="V136" s="116"/>
      <c r="W136" s="116"/>
      <c r="X136" s="116"/>
      <c r="Y136" s="116"/>
    </row>
    <row r="137" spans="1:25" s="103" customFormat="1" ht="12" customHeight="1">
      <c r="A137" s="103">
        <v>78</v>
      </c>
      <c r="B137" s="103" t="s">
        <v>4919</v>
      </c>
      <c r="C137" s="106"/>
      <c r="D137" s="106"/>
      <c r="H137" s="102">
        <v>1</v>
      </c>
      <c r="I137" s="107" t="s">
        <v>6030</v>
      </c>
      <c r="J137" s="107" t="s">
        <v>6030</v>
      </c>
      <c r="K137" s="107" t="s">
        <v>6030</v>
      </c>
      <c r="L137" s="107" t="s">
        <v>6030</v>
      </c>
      <c r="M137" s="107" t="s">
        <v>6030</v>
      </c>
      <c r="N137" s="107">
        <v>1.282051282051282E-2</v>
      </c>
      <c r="T137" s="116"/>
      <c r="U137" s="116"/>
      <c r="V137" s="116"/>
      <c r="W137" s="116"/>
      <c r="X137" s="116"/>
      <c r="Y137" s="116"/>
    </row>
    <row r="138" spans="1:25" s="103" customFormat="1" ht="12" customHeight="1">
      <c r="A138" s="103">
        <v>22</v>
      </c>
      <c r="B138" s="103" t="s">
        <v>4921</v>
      </c>
      <c r="C138" s="106"/>
      <c r="D138" s="106"/>
      <c r="G138" s="103">
        <v>2</v>
      </c>
      <c r="H138" s="102"/>
      <c r="I138" s="107" t="s">
        <v>6030</v>
      </c>
      <c r="J138" s="107" t="s">
        <v>6030</v>
      </c>
      <c r="K138" s="107" t="s">
        <v>6030</v>
      </c>
      <c r="L138" s="107" t="s">
        <v>6030</v>
      </c>
      <c r="M138" s="107">
        <v>9.0909090909090912E-2</v>
      </c>
      <c r="N138" s="107" t="s">
        <v>6030</v>
      </c>
      <c r="T138" s="116"/>
      <c r="U138" s="116"/>
      <c r="V138" s="116"/>
      <c r="W138" s="116"/>
      <c r="X138" s="116"/>
      <c r="Y138" s="116"/>
    </row>
    <row r="139" spans="1:25" s="103" customFormat="1" ht="12" customHeight="1">
      <c r="A139" s="103">
        <v>51</v>
      </c>
      <c r="B139" s="103" t="s">
        <v>4922</v>
      </c>
      <c r="C139" s="106"/>
      <c r="D139" s="106"/>
      <c r="E139" s="103">
        <v>2</v>
      </c>
      <c r="H139" s="102">
        <v>1</v>
      </c>
      <c r="I139" s="107" t="s">
        <v>6030</v>
      </c>
      <c r="J139" s="107" t="s">
        <v>6030</v>
      </c>
      <c r="K139" s="107">
        <v>3.9215686274509803E-2</v>
      </c>
      <c r="L139" s="107" t="s">
        <v>6030</v>
      </c>
      <c r="M139" s="107" t="s">
        <v>6030</v>
      </c>
      <c r="N139" s="107">
        <v>1.9607843137254902E-2</v>
      </c>
      <c r="T139" s="116"/>
      <c r="U139" s="116"/>
      <c r="V139" s="116"/>
      <c r="W139" s="116"/>
      <c r="X139" s="116"/>
      <c r="Y139" s="116"/>
    </row>
    <row r="140" spans="1:25" s="103" customFormat="1" ht="12" customHeight="1">
      <c r="A140" s="103">
        <v>51</v>
      </c>
      <c r="B140" s="103" t="s">
        <v>4923</v>
      </c>
      <c r="C140" s="106"/>
      <c r="D140" s="106"/>
      <c r="H140" s="102"/>
      <c r="I140" s="108"/>
      <c r="J140" s="108"/>
      <c r="K140" s="108"/>
      <c r="L140" s="108"/>
      <c r="M140" s="108"/>
      <c r="N140" s="108"/>
      <c r="T140" s="116"/>
      <c r="U140" s="116"/>
      <c r="V140" s="116"/>
      <c r="W140" s="116"/>
      <c r="X140" s="116"/>
      <c r="Y140" s="116"/>
    </row>
    <row r="141" spans="1:25" s="103" customFormat="1" ht="12" customHeight="1">
      <c r="A141" s="103">
        <v>65</v>
      </c>
      <c r="B141" s="103" t="s">
        <v>4924</v>
      </c>
      <c r="C141" s="106"/>
      <c r="D141" s="106"/>
      <c r="H141" s="102"/>
      <c r="I141" s="108"/>
      <c r="J141" s="108"/>
      <c r="K141" s="108"/>
      <c r="L141" s="108"/>
      <c r="M141" s="108"/>
      <c r="N141" s="108"/>
      <c r="T141" s="116"/>
      <c r="U141" s="116"/>
      <c r="V141" s="116"/>
      <c r="W141" s="116"/>
      <c r="X141" s="116"/>
      <c r="Y141" s="116"/>
    </row>
    <row r="142" spans="1:25" s="103" customFormat="1" ht="12" customHeight="1">
      <c r="A142" s="103">
        <v>37</v>
      </c>
      <c r="B142" s="103" t="s">
        <v>4925</v>
      </c>
      <c r="C142" s="106"/>
      <c r="D142" s="106"/>
      <c r="H142" s="102"/>
      <c r="I142" s="108"/>
      <c r="J142" s="108"/>
      <c r="K142" s="108"/>
      <c r="L142" s="108"/>
      <c r="M142" s="108"/>
      <c r="N142" s="108"/>
      <c r="T142" s="116"/>
      <c r="U142" s="116"/>
      <c r="V142" s="116"/>
      <c r="W142" s="116"/>
      <c r="X142" s="116"/>
      <c r="Y142" s="116"/>
    </row>
    <row r="143" spans="1:25" s="103" customFormat="1" ht="12" customHeight="1">
      <c r="A143" s="103">
        <v>151</v>
      </c>
      <c r="B143" s="103" t="s">
        <v>4926</v>
      </c>
      <c r="C143" s="106"/>
      <c r="D143" s="106"/>
      <c r="H143" s="102"/>
      <c r="I143" s="108"/>
      <c r="J143" s="108"/>
      <c r="K143" s="108"/>
      <c r="L143" s="108"/>
      <c r="M143" s="108"/>
      <c r="N143" s="108"/>
      <c r="T143" s="116"/>
      <c r="U143" s="116"/>
      <c r="V143" s="116"/>
      <c r="W143" s="116"/>
      <c r="X143" s="116"/>
      <c r="Y143" s="116"/>
    </row>
    <row r="144" spans="1:25" s="103" customFormat="1" ht="12" customHeight="1">
      <c r="A144" s="103">
        <v>74</v>
      </c>
      <c r="B144" s="103" t="s">
        <v>4927</v>
      </c>
      <c r="C144" s="106"/>
      <c r="D144" s="106"/>
      <c r="H144" s="102"/>
      <c r="I144" s="108"/>
      <c r="J144" s="108"/>
      <c r="K144" s="108"/>
      <c r="L144" s="108"/>
      <c r="M144" s="108"/>
      <c r="N144" s="108"/>
      <c r="T144" s="116"/>
      <c r="U144" s="116"/>
      <c r="V144" s="116"/>
      <c r="W144" s="116"/>
      <c r="X144" s="116"/>
      <c r="Y144" s="116"/>
    </row>
    <row r="145" spans="1:1">
      <c r="A145"/>
    </row>
    <row r="146" spans="1:1">
      <c r="A146"/>
    </row>
    <row r="147" spans="1:1">
      <c r="A147" s="28"/>
    </row>
  </sheetData>
  <autoFilter ref="A10:O10" xr:uid="{B0391611-EA23-4114-AB14-467323914594}">
    <sortState xmlns:xlrd2="http://schemas.microsoft.com/office/spreadsheetml/2017/richdata2" ref="A11:O74">
      <sortCondition descending="1" ref="L10"/>
    </sortState>
  </autoFilter>
  <sortState xmlns:xlrd2="http://schemas.microsoft.com/office/spreadsheetml/2017/richdata2" ref="A11:Y74">
    <sortCondition ref="K11:K74"/>
  </sortState>
  <mergeCells count="2">
    <mergeCell ref="C79:H79"/>
    <mergeCell ref="I79:N79"/>
  </mergeCells>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explanation</vt:lpstr>
      <vt:lpstr>costs</vt:lpstr>
      <vt:lpstr>hand counts</vt:lpstr>
      <vt:lpstr>tallies</vt:lpstr>
      <vt:lpstr>pivot of tallies</vt:lpstr>
      <vt:lpstr>CA counties</vt:lpstr>
      <vt:lpstr>CA-audits</vt:lpstr>
      <vt:lpstr>CO errs</vt:lpstr>
      <vt:lpstr>CO counties</vt:lpstr>
      <vt:lpstr>CO</vt:lpstr>
      <vt:lpstr>PA counties</vt:lpstr>
      <vt:lpstr>PA pivot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x</dc:creator>
  <cp:lastModifiedBy>hickory redwood</cp:lastModifiedBy>
  <cp:lastPrinted>2022-10-26T21:51:12Z</cp:lastPrinted>
  <dcterms:created xsi:type="dcterms:W3CDTF">2021-10-04T20:36:24Z</dcterms:created>
  <dcterms:modified xsi:type="dcterms:W3CDTF">2023-09-10T16:41:14Z</dcterms:modified>
</cp:coreProperties>
</file>